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 sheetId="1" r:id="rId4"/>
    <sheet state="visible" name="Data" sheetId="2" r:id="rId5"/>
    <sheet state="visible" name="Details" sheetId="3" r:id="rId6"/>
    <sheet state="visible" name="Data Cleaning" sheetId="4" r:id="rId7"/>
    <sheet state="visible" name="Order_data" sheetId="5" r:id="rId8"/>
    <sheet state="visible" name="Sales Dashboard" sheetId="6" r:id="rId9"/>
    <sheet state="visible" name="Cancellation Report" sheetId="7" r:id="rId10"/>
    <sheet state="visible" name="Segment Table" sheetId="8" r:id="rId11"/>
    <sheet state="visible" name="RFM Segmentation" sheetId="9" r:id="rId12"/>
    <sheet state="visible" name="RFM Score Calculation" sheetId="10" r:id="rId13"/>
    <sheet state="visible" name="Top Customer Analysis" sheetId="11" r:id="rId14"/>
    <sheet state="visible" name="Customized Message" sheetId="12" r:id="rId15"/>
  </sheets>
  <definedNames/>
  <calcPr/>
  <pivotCaches>
    <pivotCache cacheId="0" r:id="rId16"/>
    <pivotCache cacheId="1" r:id="rId17"/>
  </pivotCaches>
</workbook>
</file>

<file path=xl/sharedStrings.xml><?xml version="1.0" encoding="utf-8"?>
<sst xmlns="http://schemas.openxmlformats.org/spreadsheetml/2006/main" count="2764" uniqueCount="2679">
  <si>
    <t>Get Started</t>
  </si>
  <si>
    <r>
      <rPr>
        <rFont val="Noto Serif Georgian"/>
        <b/>
        <color theme="1"/>
        <sz val="11.0"/>
      </rPr>
      <t>Baskit</t>
    </r>
    <r>
      <rPr>
        <rFont val="Noto Serif Georgian"/>
        <color theme="1"/>
        <sz val="11.0"/>
      </rPr>
      <t xml:space="preserve"> is a modern grocery delivery service specializing in providing fresh fruits, vegetables, snacks, and drinks to customers across Mumbai. With a diverse selection of high-quality products and a commitment to reliable service, Baskit ensures a seamless, convenient shopping experience delivered right to your doorstep.
Recognizing order cancellations as a critical area for improvement, Baskit is dedicated to addressing issues that impact the customer experience. For instance, when an order is canceled due to stock unavailability, the system quickly identifies and flags the problem. By tackling these challenges head-on, Baskit strives to improve customer satisfaction, foster trust, and build long-term loyalty. To support this goal, the company is analyzing order data from its top customers to gain valuable insights and better address these concerns.</t>
    </r>
  </si>
  <si>
    <t>Objective</t>
  </si>
  <si>
    <t>Perform a comprehensive analysis of online order cancellations as of 1/1/2024 to enhance service quality and customer satisfaction. The analysis will focus on the following key areas:</t>
  </si>
  <si>
    <r>
      <rPr>
        <rFont val="Noto Serif Georgian"/>
        <b/>
        <color theme="1"/>
        <sz val="11.0"/>
      </rPr>
      <t>Dark Store-wise Cancellation Analysis:</t>
    </r>
    <r>
      <rPr>
        <rFont val="Noto Serif Georgian"/>
        <color theme="1"/>
        <sz val="11.0"/>
      </rPr>
      <t xml:space="preserve"> Examine the key reasons for order cancellations at each dark store and conduct a detailed analysis to identify underlying issues, with the goal of addressing and minimizing these challenges effectively.</t>
    </r>
  </si>
  <si>
    <t>Data</t>
  </si>
  <si>
    <t>You have been provided the following Data sets for your analysis.</t>
  </si>
  <si>
    <r>
      <rPr>
        <rFont val="Noto Serif Georgian"/>
        <b/>
        <color rgb="FF1F1F1F"/>
        <sz val="11.0"/>
      </rPr>
      <t>Order Data Sheet:</t>
    </r>
    <r>
      <rPr>
        <rFont val="Noto Serif Georgian"/>
        <color rgb="FF1F1F1F"/>
        <sz val="11.0"/>
      </rPr>
      <t xml:space="preserve"> Contains uncleaned order data of top customers from the past year, providing raw insights into online orders, including customer details, order statuses, delivery times, and cancellation reasons.</t>
    </r>
  </si>
  <si>
    <r>
      <rPr>
        <rFont val="Noto Serif Georgian"/>
        <b/>
        <color theme="1"/>
        <sz val="11.0"/>
      </rPr>
      <t>Details Sheet:</t>
    </r>
    <r>
      <rPr>
        <rFont val="Noto Serif Georgian"/>
        <color theme="1"/>
        <sz val="11.0"/>
      </rPr>
      <t xml:space="preserve"> Lists the items along with their respective prices and categories</t>
    </r>
  </si>
  <si>
    <t>Uncleaned Order Data</t>
  </si>
  <si>
    <t>//ord_14015//Anaya Rao//Colaba//Banana+2*Nikhil Deshmukh/2/11/2023//Online Payment//Delivered*Satisfied with the Delivery: Timely and quality</t>
  </si>
  <si>
    <t>//ord_11003//Aarav Mehta//Andheri//Potato+2*Sita T/7/22/2023//Online Payment//Delivered*On-time Delivery: Delivered on time</t>
  </si>
  <si>
    <t>//ord_12007//Ishaan Chaturvedi//Bandra//Onion+1*Sita T/1/8/2023//UPI//Delivered*Quality of Items: Perfect condition</t>
  </si>
  <si>
    <t>//ord_13011//Mohit Malhotra//Lower Parel//Tomato+2*Kiran Mehta/7/27/2023//Credit Card//Delivered*Packaging: Secure and intact</t>
  </si>
  <si>
    <t>//ord_15019//Ishaan Chaturvedi//Bandra//Onion+2*Ram Gopal/4/26/2023//Credit Card//Delivered*Customer Service: Seamless and easy</t>
  </si>
  <si>
    <t>//ord_16023//Tanishq Bansal//Powai//Apple+2*Vivek Kumar/5/24/2023//UPI//Delivered*Delivery Experience: Quick and professional</t>
  </si>
  <si>
    <t>//ord_17027//Mohit Malhotra//Lower Parel//Tomato+1*Venu R/6/19/2023//UPI//Delivered*Convenience: Easy tracking</t>
  </si>
  <si>
    <t>//ord_18031//Mehul Thakkar//Malad//Apple+2*Ram Gopal/2/24/2023//COD//Delivered*Overall Satisfaction: Great service will order again</t>
  </si>
  <si>
    <t>//ord_19035//Aditi Iyer//Dadar//Orange+2*Shine Thomas/7/8/2023//UPI//Delivered*On-time Delivery: Delivered on time</t>
  </si>
  <si>
    <t>//ord_20039//Sahil Desai//Lower Parel//Cucumber+2*Kiran Mehta/12/27/2023//Credit Card//Delivered*Quality of Items: Perfect condition</t>
  </si>
  <si>
    <t>//ord_21043//Diya Arora//Lower Parel//Papaya+1*Ram Gopal/12/4/2023//Credit Card//Cancelled*Delayed Delivery:Heavy Traffic</t>
  </si>
  <si>
    <t>//ord_22047//Parth Goel//Juhu//Papaya+2*Ram Gopal/8/20/2023//Online Payment//Delivered*Packaging: Secure and intact</t>
  </si>
  <si>
    <t>//ord_23051//Simran Bhatt//Juhu//Tomato+2*Ramesh S/8/7/2023//UPI//Delivered*Satisfied with the Delivery: Timely and quality</t>
  </si>
  <si>
    <t>//ord_24055//Aditi Iyer//Dadar//Guava+2*Ramesh S/10/30/2023//Online Payment//Delivered*Customer Service: Seamless and easy</t>
  </si>
  <si>
    <t>//ord_25059//Aarohi Kapoor//Bandra//Sweet Corn+1*Manju Ajay/3/20/2023//COD//Delivered*Delivery Experience: Quick and professional</t>
  </si>
  <si>
    <t>//ord_26063//Kunal Sharma//Powai//Icecream+4*Sandeep Kumar/10/9/2023//Credit Card//Delivered*Convenience: Easy tracking</t>
  </si>
  <si>
    <t>//ord_27067//Sana Malik//Powai//Chilli Cheese Toast+6*Venu R/10/19/2023//Credit Card//Delivered*Overall Satisfaction: Great service will order again</t>
  </si>
  <si>
    <t>//ord_28071//Yash Verma//Lower Parel//Sweet Corn+2*Venu R/1/16/2023//Online Payment//Delivered*On-time Delivery: Delivered on time</t>
  </si>
  <si>
    <t>//ord_29075//Kunal Sharma//Powai//Juice+3*Ram Gopal/3/12/2023//Online Payment//Delivered*Quality of Items: Perfect condition</t>
  </si>
  <si>
    <t>//ord_30079//Anaya Rao//Colaba//Cold Coffee+1*Venu R/6/6/2023//Credit Card//Delivered*Packaging: Secure and intact</t>
  </si>
  <si>
    <t>//ord_31083//Ritika Dutta//Lower Parel//Tomato+3*Nithin Lal/2/14/2023//COD//Delivered*Satisfied with the Delivery: Timely and quality</t>
  </si>
  <si>
    <t>//ord_32087//Aditya Basu//Juhu//Veg Puff+6*Ram Gopal/12/20/2023//UPI//Delivered*Customer Service: Seamless and easy</t>
  </si>
  <si>
    <t>//ord_33091//Aditya Basu//Juhu//Chicken Puff+5*Ramesh S/12/26/2023//UPI//Delivered*Delivery Experience: Quick and professional</t>
  </si>
  <si>
    <t>//ord_34095//Anaya Rao//Colaba//Sweet Corn+2*Ramesh S/9/24/2023//Online Payment//Delivered*Convenience: Easy tracking</t>
  </si>
  <si>
    <t>//ord_35099//Simran Bhatt//Juhu//Papaya+1*Nithin Lal/9/28/2023//Online Payment//Delivered*Overall Satisfaction: Great service will order again</t>
  </si>
  <si>
    <t>//ord_36103//Aarav Mehta//Andheri//Sweet Corn+2*Rohan Yadav/2/15/2023//Credit Card//Delivered*On-time Delivery: Delivered on time</t>
  </si>
  <si>
    <t>//ord_37107//Simran Bhatt//Juhu//Orange+2*Sita T/11/15/2023//UPI//Delivered*Quality of Items: Perfect condition</t>
  </si>
  <si>
    <t xml:space="preserve">//ord_38111//Siya Reddy//Juhu//Chilli Cheese Toast+5*Priya Joshi/6/7/2023//Credit Card//Cancelled*Delayed Delivery:Bad Weather Conditions </t>
  </si>
  <si>
    <t>//ord_39115//Simran Bhatt//Juhu//Apple+2*Ramesh S/3/20/2023//Credit Card//Delivered*Packaging: Secure and intact</t>
  </si>
  <si>
    <t>//ord_40119//Anaya Rao//Colaba//Chilli Cheese Toast+3*Ramesh S/1/18/2023//UPI//Delivered*Satisfied with the Delivery: Timely and quality</t>
  </si>
  <si>
    <t>//ord_61123//Dev Chauhan//Bandra//Veg Puff+3*Nithin Lal/4/1/2023//Credit Card//Delivered*Customer Service: Seamless and easy</t>
  </si>
  <si>
    <t>//ord_42127//Parth Goel//Juhu//Papaya+2*Vivek Kumar/4/1/2023//UPI//Delivered*Delivery Experience: Quick and professional</t>
  </si>
  <si>
    <t>//ord_43131//Dev Chauhan//Bandra//Popcorn+5*Ramesh S/1/5/2023//UPI//Cancelled*Delayed Delivery:Heavy Traffic</t>
  </si>
  <si>
    <t>//ord_44135//Aarohi Kapoor//Bandra//Tiramisu+4*Sandeep Kumar/10/23/2023//UPI//Cancelled*Delayed Delivery:Heavy Traffic</t>
  </si>
  <si>
    <t>//ord_45139//Kritika Shetty//Malad//Papaya+2*Not Assigned/9/24/2023//Credit Card//Cancelled*High Delivery Fees</t>
  </si>
  <si>
    <t>//ord_46143//Mohit Malhotra//Lower Parel//Apple+1*Shine Thomas/10/27/2023//Online Payment//Delivered*Convenience: Easy tracking</t>
  </si>
  <si>
    <t>//ord_47147//Dev Chauhan//Bandra//Chilli Cheese Toast+2*Ram Gopal/5/7/2023//COD//Delivered*Overall Satisfaction: Great service will order again</t>
  </si>
  <si>
    <t>//ord_48151//Riya Chakraborty//Juhu//Juice+2*Tanvi Jain/10/25/2023//Credit Card//Delivered*On-time Delivery: Delivered on time</t>
  </si>
  <si>
    <t>//ord_49155//Omkar Mishra//Powai//Chicken Puff+2*Not Assigned/12/14/2023//Online Payment//Cancelled*Payment Issues</t>
  </si>
  <si>
    <t>//ord_50159//Sanjay Nair//Dadar//Veg Puff+4*Venu R/8/13/2023//Credit Card//Cancelled*Delayed Delivery:Heavy Traffic</t>
  </si>
  <si>
    <t>//ord_51163//Ishita Banerjee//Juhu//Rasmalai+4*Manju Ajay/10/27/2023//UPI//Delivered*Quality of Items: Perfect condition</t>
  </si>
  <si>
    <t>//ord_52167//Ishita Banerjee//Juhu//Juice+5*Ramesh S/7/13/2023//Credit Card//Delivered*Packaging: Secure and intact</t>
  </si>
  <si>
    <t>//ord_53171//Aarohi Kapoor//Bandra//Apple+1*Ramesh S/1/7/2023//COD//Delivered*Satisfied with the Delivery: Timely and quality</t>
  </si>
  <si>
    <t>//ord_54175//Omkar Mishra//Powai//Juice+5*Sandeep Kumar/9/6/2023//Credit Card//Delivered*Customer Service: Seamless and easy</t>
  </si>
  <si>
    <t>//ord_55179//Aditi Iyer//Dadar//Papaya+2*Venu R/2/5/2023//Credit Card//Delivered*Delivery Experience: Quick and professional</t>
  </si>
  <si>
    <t>//ord_56183//Omkar Mishra//Powai//Potato+2*Manju Ajay/1/14/2023//UPI//Delivered*Convenience: Easy tracking</t>
  </si>
  <si>
    <t>//ord_57187//Siya Reddy//Juhu//Chocolate Mousse+5*Venu R/8/30/2023//Online Payment//Delivered*Overall Satisfaction: Great service will order again</t>
  </si>
  <si>
    <t>//ord_58191//Arvind Kulkarni//Juhu//Banana+1*Nikhil Deshmukh/2/22/2023//UPI//Cancelled*Delayed Delivery:Traffic Accidents or Road Closures</t>
  </si>
  <si>
    <t>//ord_59195//Pallavi Ghosh//Bandra//Guava+2*Ramesh S/9/27/2023//UPI//Delivered*On-time Delivery: Delivered on time</t>
  </si>
  <si>
    <t xml:space="preserve">//ord_60199//Parth Goel//Juhu//Tomato+1*Vivek Kumar/5/14/2023//Credit Card//Cancelled*Delayed Delivery:Bad Weather Conditions </t>
  </si>
  <si>
    <t>//ord_11207//Arvind Kulkarni//Juhu//Tomato+1*Ramesh S/6/20/2023//COD//Delivered*Quality of Items: Perfect condition</t>
  </si>
  <si>
    <t>//ord_62207//Nitin Sehgal//Bandra//Guava+1*Ramesh S/12/30/2023//COD//Delivered*Packaging: Secure and intact</t>
  </si>
  <si>
    <t>//ord_63211//Anaya Rao//Colaba//Tomato+2*Vivek Kumar/11/25/2023//COD//Delivered*Satisfied with the Delivery: Timely and quality</t>
  </si>
  <si>
    <t>//ord_64215//Kritika Shetty//Malad//Orange+1*Neha Shah/1/8/2023//UPI//Cancelled*Delayed Delivery:Heavy Traffic</t>
  </si>
  <si>
    <t>//ord_65219//Diya Arora//Lower Parel//Cold Coffee+4*Kiran Mehta/10/25/2023//Credit Card//Delivered*Customer Service: Seamless and easy</t>
  </si>
  <si>
    <t>//ord_66223//Pallavi Ghosh//Bandra//Cold Coffee+3*Ram Gopal/7/13/2023//Credit Card//Delivered*Delivery Experience: Quick and professional</t>
  </si>
  <si>
    <t>//ord_67227//Omkar Mishra//Powai//Chocolate Mousse+5*Vivek Kumar/3/6/2023//COD//Delivered*Convenience: Easy tracking</t>
  </si>
  <si>
    <t>//ord_68231//Ishaan Chaturvedi//Bandra//Orange+2*Venu R/11/25/2023//COD//Delivered*Overall Satisfaction: Great service will order again</t>
  </si>
  <si>
    <t>//ord_69235//Kritika Shetty//Malad//Guava+1*Vivek Kumar/10/17/2023//Credit Card//Cancelled*Delayed Delivery:Vehicle Breakdown</t>
  </si>
  <si>
    <t>//ord_70239//Siya Reddy//Juhu//Tomato+2*Nikhil Deshmukh/3/10/2023//Credit Card//Cancelled*Delayed Delivery:Heavy Traffic</t>
  </si>
  <si>
    <t>//ord_71243//Sanjay Nair//Dadar//Chilli Cheese Toast+3*Ramesh S/10/26/2023//Online Payment//Delivered*On-time Delivery: Delivered on time</t>
  </si>
  <si>
    <t>//ord_72247//Omkar Mishra//Powai//Potato+1*Manju Ajay/7/20/2023//Credit Card//Delivered*Quality of Items: Perfect condition</t>
  </si>
  <si>
    <t>//ord_73251//Kritika Shetty//Malad//Papaya+1*Neha Shah/6/17/2023//Credit Card//Delivered*Packaging: Secure and intact</t>
  </si>
  <si>
    <t>//ord_74255//Aarohi Kapoor//Bandra//Rasmalai+2*Shine Thomas/6/22/2023//UPI//Delivered*Satisfied with the Delivery: Timely and quality</t>
  </si>
  <si>
    <t>//ord_75259//Sakshi Tandon//Colaba//Popcorn+3*Vivek Kumar/3/12/2023//UPI//Delivered*Customer Service: Seamless and easy</t>
  </si>
  <si>
    <t>//ord_76263//Sanjay Nair//Dadar//Rasmalai+1*Nithin Lal/6/28/2023//Credit Card//Delivered*Delivery Experience: Quick and professional</t>
  </si>
  <si>
    <t>//ord_77267//Mohit Malhotra//Lower Parel//Icecream+2*Manju Ajay/1/22/2023//Credit Card//Delivered*Convenience: Easy tracking</t>
  </si>
  <si>
    <t>//ord_78271//Aarav Mehta//Andheri//Chocolate Mousse+3*Rohan Yadav/5/3/2023//Credit Card//Delivered*Overall Satisfaction: Great service will order again</t>
  </si>
  <si>
    <t>//ord_79275//Simran Bhatt//Juhu//Banana+1*Sita T/9/5/2023//UPI//Delivered*On-time Delivery: Delivered on time</t>
  </si>
  <si>
    <t>//ord_80279//Simran Bhatt//Juhu//Tomato+2*Ramesh S/9/30/2023//UPI//Delivered*Quality of Items: Perfect condition</t>
  </si>
  <si>
    <t>//ord_81283//Siya Reddy//Juhu//Guava+2*Ramesh S/9/20/2023//Credit Card//Delivered*Packaging: Secure and intact</t>
  </si>
  <si>
    <t>//ord_82287//Aditi Iyer//Dadar//Orange+2*Ramesh S/9/9/2023//Credit Card//Delivered*Satisfied with the Delivery: Timely and quality</t>
  </si>
  <si>
    <t>//ord_83291//Aarav Mehta//Andheri//Popcorn+5*Manju Ajay/8/30/2023//Online Payment//Delivered*Customer Service: Seamless and easy</t>
  </si>
  <si>
    <t>//ord_84295//Ishaan Chaturvedi//Bandra//Potato+1*Priya Joshi/10/18/2023//Credit Card//Delivered*Delivery Experience: Quick and professional</t>
  </si>
  <si>
    <t>//ord_85299//Aarav Mehta//Andheri//Guava+1*Vivek Kumar/7/29/2023//UPI//Delivered*Convenience: Easy tracking</t>
  </si>
  <si>
    <t>//ord_86303//Sanjay Nair//Dadar//Sweet Corn+2*Sita T/6/21/2023//Online Payment//Delivered*Overall Satisfaction: Great service will order again</t>
  </si>
  <si>
    <t>//ord_87307//Ishita Banerjee//Juhu//Popcorn+2*Manju Ajay/12/28/2023//Credit Card//Cancelled*Delayed Delivery:Heavy Traffic</t>
  </si>
  <si>
    <t>//ord_88311//Parth Goel//Juhu//Chilli Cheese Toast+1*Tanvi Jain/8/13/2023//Credit Card//Delivered*On-time Delivery: Delivered on time</t>
  </si>
  <si>
    <t>//ord_89315//Omkar Mishra//Powai//Tomato+2*Ramesh S/10/5/2023//UPI//Delivered*Quality of Items: Perfect condition</t>
  </si>
  <si>
    <t>//ord_90319//Sakshi Tandon//Colaba//Rasmalai+2*Venu R/7/20/2023//COD//Delivered*Packaging: Secure and intact</t>
  </si>
  <si>
    <t>//ord_91323//Mohit Malhotra//Lower Parel//Popcorn+1*Nithin Lal/5/9/2023//UPI//Delivered*Satisfied with the Delivery: Timely and quality</t>
  </si>
  <si>
    <t>//ord_32327//Anaya Rao//Colaba//Cold Coffee+4*Nikhil Deshmukh/3/2/2023//COD//Delivered*Customer Service: Seamless and easy</t>
  </si>
  <si>
    <t>//ord_93331//Dev Chauhan//Bandra//Papaya+1*Nithin Lal/5/20/2023//COD//Delivered*Delivery Experience: Quick and professional</t>
  </si>
  <si>
    <t>//ord_94335//Pallavi Ghosh//Bandra//Potato+2*Vivek Kumar/9/13/2023//COD//Delivered*Convenience: Easy tracking</t>
  </si>
  <si>
    <t xml:space="preserve">//ord_95339//Siya Reddy//Juhu//Veg Puff+1*Rohan Yadav/9/7/2023//UPI//Cancelled*Delayed Delivery:Bad Weather Conditions </t>
  </si>
  <si>
    <t>//ord_96343//Tanishq Bansal//Powai//Chilli Cheese Toast+2*Ramesh S/2/1/2023//UPI//Delivered*Overall Satisfaction: Great service will order again</t>
  </si>
  <si>
    <t>//ord_97347//Anaya Rao//Colaba//Chilli Cheese Toast+3*Nikhil Deshmukh/11/24/2023//Credit Card//Delivered*On-time Delivery: Delivered on time</t>
  </si>
  <si>
    <t>//ord_98351//Sanjay Nair//Dadar//Juice+3*Nithin Lal/8/23/2023//Online Payment//Delivered*Quality of Items: Perfect condition</t>
  </si>
  <si>
    <t>//ord_99355//Simran Bhatt//Juhu//Chicken Puff+5*Tanvi Jain/1/3/2023//Credit Card//Delivered*Packaging: Secure and intact</t>
  </si>
  <si>
    <t>//ord_30039//Pranav Joshi//Andheri//Guava+2*Not Assigned/11/4/2023//Credit Card//Cancelled*Out of Stock</t>
  </si>
  <si>
    <t>//ord_40133//Anaya Rao//Colaba//Tiramisu+4*Sita T/8/12/2023//Online Payment//Delivered*Satisfied with the Delivery: Timely and quality</t>
  </si>
  <si>
    <t>//ord_50227//Tanishq Bansal//Powai//Apple+2*Nithin Lal/12/4/2023//Credit Card//Cancelled*Delayed Delivery:Incorrect Address or Location</t>
  </si>
  <si>
    <t>//ord_60321//Omkar Mishra//Powai//Onion+1*Venu R/7/16/2023//COD//Delivered*Customer Service: Seamless and easy</t>
  </si>
  <si>
    <t xml:space="preserve">//ord_70415//Aarav Mehta//Andheri//Papaya+2*Sandeep Kumar/12/11/2023//Credit Card//Cancelled*Delayed Delivery:Bad Weather Conditions </t>
  </si>
  <si>
    <t>//ord_80509//Sakshi Tandon//Colaba//Veg Puff+3*Sita T/10/25/2023//Credit Card//Delivered*Delivery Experience: Quick and professional</t>
  </si>
  <si>
    <t>//ord_90603//Aarav Mehta//Andheri//Chilli Cheese Toast+1*Nithin Lal/8/21/2023//Credit Card//Delivered*Convenience: Easy tracking</t>
  </si>
  <si>
    <t>//ord_10097//Sakshi Tandon//Colaba//Veg Puff+5*Sita T/11/25/2023//Online Payment//Delivered*Overall Satisfaction: Great service will order again</t>
  </si>
  <si>
    <t>//ord_10098//Anaya Rao//Colaba//Icecream+4*Not Assigned/8/22/2023//Credit Card//Cancelled*Payment Issues</t>
  </si>
  <si>
    <t>//ord_13099//Omkar Mishra//Powai//Chicken Puff+5*Nithin Lal/9/17/2023//Credit Card//Cancelled*Delayed Delivery:Heavy Traffic</t>
  </si>
  <si>
    <t>//ord_10100//Nitin Sehgal//Bandra//Cold Coffee+5*Venu R/10/26/2023//Online Payment//Delivered*On-time Delivery: Delivered on time</t>
  </si>
  <si>
    <t>//ord_10101//Kritika Shetty//Malad//Orange+1*Not Assigned/1/16/2023//Credit Card//Cancelled*High Delivery Fees</t>
  </si>
  <si>
    <t>//ord_10102//Pranav Joshi//Andheri//Orange+2*Shine Thomas/9/4/2023//COD//Delivered*Quality of Items: Perfect condition</t>
  </si>
  <si>
    <t>//ord_10103//Ishita Banerjee//Juhu//Veg Puff+4*Tanvi Jain/11/15/2023//UPI//Cancelled*Delayed Delivery:High Order Volume</t>
  </si>
  <si>
    <t>//ord_10104//Sanjay Nair//Dadar//Icecream+3*Ramesh S/9/2/2023//UPI//Delivered*Packaging: Secure and intact</t>
  </si>
  <si>
    <t>//ord_10105//Tanishq Bansal//Powai//Veg Puff+2*Manju Ajay/11/20/2023//Credit Card//Cancelled*Delayed Delivery:Vehicle Breakdown</t>
  </si>
  <si>
    <t>//ord_10106//Aarav Mehta//Andheri//Rasmalai+4*Not Assigned/7/3/2023//UPI//Cancelled*Out of Stock</t>
  </si>
  <si>
    <t>//ord_10107//Sahil Desai//Lower Parel//Veg Puff+5*Kiran Mehta/7/11/2023//Online Payment//Delivered*Satisfied with the Delivery: Timely and quality</t>
  </si>
  <si>
    <t>//ord_13108//Riya Chakraborty//Juhu//Chicken Puff+2*Ram Gopal/2/13/2023//COD//Delivered*Customer Service: Seamless and easy</t>
  </si>
  <si>
    <t>//ord_10109//Pallavi Ghosh//Bandra//Juice+4*Priya Joshi/1/17/2023//UPI//Cancelled*Delayed Delivery:Heavy Traffic</t>
  </si>
  <si>
    <t>//ord_10110//Aditi Iyer//Dadar//Cucumber+2*Vivek Kumar/7/26/2023//UPI//Delivered*Delivery Experience: Quick and professional</t>
  </si>
  <si>
    <t xml:space="preserve">//ord_10111//Parth Goel//Juhu//Potato+2*Manju Ajay/5/23/2023//UPI//Cancelled*Delayed Delivery:Bad Weather Conditions </t>
  </si>
  <si>
    <t>//ord_10112//Dev Chauhan//Bandra//Chilli Cheese Toast+5*Ramesh S/11/27/2023//COD//Delivered*Convenience: Easy tracking</t>
  </si>
  <si>
    <t>//ord_10113//Mohit Malhotra//Lower Parel//Cold Coffee+2*Kiran Mehta/9/7/2023//Credit Card//Delivered*Overall Satisfaction: Great service will order again</t>
  </si>
  <si>
    <t>//ord_10114//Aarohi Kapoor//Bandra//Cold Coffee+5*Ram Gopal/10/10/2023//Online Payment//Delivered*On-time Delivery: Delivered on time</t>
  </si>
  <si>
    <t>//ord_10115//Aarohi Kapoor//Bandra//Onion+2*Vivek Kumar/9/13/2023//UPI//Delivered*Quality of Items: Perfect condition</t>
  </si>
  <si>
    <t>//ord_10116//Aditi Iyer//Dadar//Cucumber+1*Aman Kumar/9/6/2023//COD//Delivered*Packaging: Secure and intact</t>
  </si>
  <si>
    <t>//ord_13117//Aditya Basu//Juhu//Chilli Cheese Toast+3*Not Assigned/10/28/2023//Credit Card//Cancelled*High Delivery Fees</t>
  </si>
  <si>
    <t>//ord_10118//Aarohi Kapoor//Bandra//Rasmalai+1*Kiran Mehta/5/21/2023//Credit Card//Cancelled*Delayed Delivery:Heavy Traffic</t>
  </si>
  <si>
    <t>//ord_10119//Pranav Joshi//Andheri//Popcorn+4*Vivek Kumar/9/25/2023//Online Payment//Cancelled*Delayed Delivery:Traffic Accidents or Road Closures</t>
  </si>
  <si>
    <t>//ord_10120//Shruti Aggarwal//Colaba//Onion+3*Sita T/1/10/2023//UPI//Delivered*Satisfied with the Delivery: Timely and quality</t>
  </si>
  <si>
    <t>//ord_10121//Harsh Vardhan//Bandra//Chicken Puff+6*Nithin Lal/2/21/2023//Online Payment//Delivered*Customer Service: Seamless and easy</t>
  </si>
  <si>
    <t>//ord_10122//Sana Malik//Powai//Sweet Corn+3*Vivek Kumar/7/14/2023//Online Payment//Delivered*Delivery Experience: Quick and professional</t>
  </si>
  <si>
    <t>//ord_10123//Yash Verma//Lower Parel//Papaya+2*Venu R/10/10/2023//UPI//Delivered*Convenience: Easy tracking</t>
  </si>
  <si>
    <t>//ord_10124//Leena Das//Andheri//Orange+2*Rohan Yadav/8/19/2023//COD//Delivered*Overall Satisfaction: Great service will order again</t>
  </si>
  <si>
    <t>//ord_10125//Shruti Aggarwal//Colaba//Icecream+8*Sita T/1/27/2023//Credit Card//Delivered*On-time Delivery: Delivered on time</t>
  </si>
  <si>
    <t>//ord_13126//Omkar Mishra//Powai//Cold Coffee+2*Neha Shah/7/22/2023//Online Payment//Cancelled*Delayed Delivery:Heavy Traffic</t>
  </si>
  <si>
    <t>//ord_10127//Siya Reddy//Juhu//Orange+2*Venu R/11/15/2023//Online Payment//Cancelled*Delayed Delivery:Vehicle Breakdown</t>
  </si>
  <si>
    <t>//ord_10128//Pranav Joshi//Andheri//Tomato+1*Ramesh S/8/19/2023//Credit Card//Delivered*Quality of Items: Perfect condition</t>
  </si>
  <si>
    <t>//ord_10129//Mehul Thakkar//Malad//Banana+2*Kiran Mehta/10/29/2023//Credit Card//Cancelled*Delayed Delivery:Heavy Traffic</t>
  </si>
  <si>
    <t>//ord_10130//Aarohi Kapoor//Bandra//Potato+1*Not Assigned/8/1/2023//Credit Card//Cancelled*Out of Stock</t>
  </si>
  <si>
    <t>//ord_10131//Kritika Shetty//Malad//Apple+2*Vivek Kumar/1/20/2023//Online Payment//Cancelled*Delayed Delivery:Vehicle Breakdown</t>
  </si>
  <si>
    <t>//ord_10132//Mohit Malhotra//Lower Parel//Onion+2*Not Assigned/11/10/2023//Credit Card//Cancelled*Payment Issues</t>
  </si>
  <si>
    <t>//ord_10133//Anaya Rao//Colaba//Sweet Corn+2*Ram Gopal/5/28/2023//Credit Card//Delivered*Packaging: Secure and intact</t>
  </si>
  <si>
    <t>//ord_10134//Diya Arora//Lower Parel//Cold Coffee+4*Kiran Mehta/12/17/2023//UPI//Delivered*Satisfied with the Delivery: Timely and quality</t>
  </si>
  <si>
    <t>//ord_13135//Tanishq Bansal//Powai//Orange+2*Ram Gopal/7/12/2023//COD//Delivered*Customer Service: Seamless and easy</t>
  </si>
  <si>
    <t>//ord_10136//Ishaan Chaturvedi//Bandra//Cold Coffee+3*Not Assigned/5/11/2023//Credit Card//Cancelled*Payment Issues</t>
  </si>
  <si>
    <t>//ord_10137//Pallavi Ghosh//Bandra//Cucumber+1*Not Assigned/11/27/2023//Credit Card//Cancelled*Payment Issues</t>
  </si>
  <si>
    <t>//ord_10138//Tanishq Bansal//Powai//Icecream+2*Vivek Kumar/10/11/2023//Online Payment//Delivered*Delivery Experience: Quick and professional</t>
  </si>
  <si>
    <t>//ord_10139//Mehul Thakkar//Malad//Veg Puff+1*Not Assigned/7/10/2023//UPI//Cancelled*Out of Stock</t>
  </si>
  <si>
    <t>//ord_10140//Sana Malik//Powai//Tomato+2*Shine Thomas/12/30/2023//UPI//Delivered*Convenience: Easy tracking</t>
  </si>
  <si>
    <t>//ord_10141//Yash Verma//Lower Parel//Banana+2*Venu R/12/21/2023//Credit Card//Delivered*Overall Satisfaction: Great service will order again</t>
  </si>
  <si>
    <t>//ord_10142//Anaya Rao//Colaba//Cold Coffee+3*Rohan Yadav/9/2/2023//Credit Card//Cancelled*Delayed Delivery:Heavy Traffic</t>
  </si>
  <si>
    <t>//ord_10143//Arvind Kulkarni//Juhu//Rasmalai+4*Nithin Lal/2/17/2023//Credit Card//Cancelled*Delayed Delivery:Heavy Traffic</t>
  </si>
  <si>
    <t>//ord_13144//Aditya Rao//Lower Parel//Chicken Puff+3*Not Assigned/12/1/2023//UPI//Cancelled*Out of Stock</t>
  </si>
  <si>
    <t xml:space="preserve">//ord_10145//Mehul Thakkar//Malad//Veg Puff+2*Kiran Mehta/7/30/2023//Credit Card//Cancelled*Delayed Delivery:Bad Weather Conditions </t>
  </si>
  <si>
    <t>//ord_10146//Siya Reddy//Juhu//Veg Puff+5*Shine Thomas/7/30/2023//Online Payment//Cancelled*Delayed Delivery:Incorrect Address or Location</t>
  </si>
  <si>
    <t>//ord_10147//Aarav Mehta//Andheri//Juice+5*Not Assigned/10/29/2023//UPI//Cancelled*Payment Issues</t>
  </si>
  <si>
    <t>//ord_10148//Pallavi Ghosh//Bandra//Chicken Puff+3*Sita T/2/3/2023//Credit Card//Delivered*On-time Delivery: Delivered on time</t>
  </si>
  <si>
    <t>//ord_10149//Ishita Banerjee//Juhu//Chicken Puff+4*Not Assigned/10/15/2023//UPI//Cancelled*Out of Stock</t>
  </si>
  <si>
    <t>//ord_10150//Diya Arora//Lower Parel//Banana+2*Kiran Mehta/9/27/2023//UPI//Delivered*Quality of Items: Perfect condition</t>
  </si>
  <si>
    <t>//ord_10151//Mohit Malhotra//Lower Parel//Papaya+1*Ram Gopal/7/9/2023//COD//Delivered*Packaging: Secure and intact</t>
  </si>
  <si>
    <t>//ord_10152//Omkar Mishra//Powai//Popcorn+3*Ram Gopal/8/16/2023//UPI//Delivered*Satisfied with the Delivery: Timely and quality</t>
  </si>
  <si>
    <t>//ord_10153//Aarohi Kapoor//Bandra//Rasmalai+4*Priya Joshi/12/14/2023//UPI//Delivered*Customer Service: Seamless and easy</t>
  </si>
  <si>
    <t>//ord_10154//Pallavi Ghosh//Bandra//Onion+1*Vivek Kumar/7/10/2023//Online Payment//Delivered*Delivery Experience: Quick and professional</t>
  </si>
  <si>
    <t>//ord_10155//Aarav Mehta//Andheri//Orange+1*Vivek Kumar/6/6/2023//UPI//Delivered*Convenience: Easy tracking</t>
  </si>
  <si>
    <t>//ord_10156//Omkar Mishra//Powai//Papaya+2*Sita T/7/10/2023//Online Payment//Delivered*Overall Satisfaction: Great service will order again</t>
  </si>
  <si>
    <t>//ord_10157//Tanishq Bansal//Powai//Chocolate Mousse+5*Venu R/9/28/2023//Online Payment//Delivered*On-time Delivery: Delivered on time</t>
  </si>
  <si>
    <t>//ord_10158//Mohit Malhotra//Lower Parel//Papaya+2*Venu R/9/12/2023//UPI//Delivered*Quality of Items: Perfect condition</t>
  </si>
  <si>
    <t>//ord_10159//Yash Verma//Lower Parel//Icecream+2*Ram Gopal/5/19/2023//UPI//Delivered*Packaging: Secure and intact</t>
  </si>
  <si>
    <t xml:space="preserve">//ord_10160//Arvind Kulkarni//Juhu//Veg Puff+3*Kiran Mehta/12/11/2023//Online Payment//Cancelled*Delayed Delivery:Bad Weather Conditions </t>
  </si>
  <si>
    <t>//ord_10161//Mohit Malhotra//Lower Parel//Papaya+2*Kiran Mehta/9/12/2023//Online Payment//Delivered*Satisfied with the Delivery: Timely and quality</t>
  </si>
  <si>
    <t>//ord_10162//Ishita Banerjee//Juhu//Onion+2*Ram Gopal/10/6/2023//Online Payment//Delivered*Customer Service: Seamless and easy</t>
  </si>
  <si>
    <t>//ord_10163//Leena Das//Andheri//Tomato+3*Ramesh S/11/3/2023//UPI//Delivered*Delivery Experience: Quick and professional</t>
  </si>
  <si>
    <t>//ord_10164//Sana Malik//Powai//Tiramisu+6*Sandeep Kumar/11/14/2023//Credit Card//Delivered*Convenience: Easy tracking</t>
  </si>
  <si>
    <t>//ord_10165//Diya Arora//Lower Parel//Cold Coffee+2*Venu R/10/5/2023//Credit Card//Cancelled*Delayed Delivery:Traffic Accidents or Road Closures</t>
  </si>
  <si>
    <t>//ord_10166//Omkar Mishra//Powai//Rasmalai+3*Ram Gopal/5/28/2023//Online Payment//Delivered*Overall Satisfaction: Great service will order again</t>
  </si>
  <si>
    <t>//ord_10167//Aarohi Kapoor//Bandra//Potato+1*Priya Joshi/9/12/2023//Online Payment//Delivered*On-time Delivery: Delivered on time</t>
  </si>
  <si>
    <t>//ord_10168//Aarav Mehta//Andheri//Chicken Puff+3*Vivek Kumar/10/9/2023//UPI//Delivered*Quality of Items: Perfect condition</t>
  </si>
  <si>
    <t>//ord_10169//Mohit Malhotra//Lower Parel//Banana+2*Sita T/10/29/2023//Credit Card//Delivered*Packaging: Secure and intact</t>
  </si>
  <si>
    <t>//ord_10170//Omkar Mishra//Powai//Tiramisu+3*Ram Gopal/4/19/2023//UPI//Delivered*Satisfied with the Delivery: Timely and quality</t>
  </si>
  <si>
    <t>//ord_10171//Sakshi Tandon//Colaba//Juice+4*Priya Joshi/7/4/2023//Credit Card//Cancelled*Delayed Delivery:High Order Volume</t>
  </si>
  <si>
    <t>//ord_10172//Dev Chauhan//Bandra//Juice+3*Nithin Lal/12/19/2023//UPI//Delivered*Customer Service: Seamless and easy</t>
  </si>
  <si>
    <t>//ord_10173//Nitin Sehgal//Bandra//Tiramisu+2*Vivek Kumar/10/6/2023//COD//Delivered*Delivery Experience: Quick and professional</t>
  </si>
  <si>
    <t>//ord_10174//Omkar Mishra//Powai//Banana+2*Sandeep Kumar/6/3/2023//UPI//Delivered*Convenience: Easy tracking</t>
  </si>
  <si>
    <t>//ord_10175//Omkar Mishra//Powai//Apple+2*Venu R/7/10/2023//Online Payment//Cancelled*Delayed Delivery:Vehicle Breakdown</t>
  </si>
  <si>
    <t>//ord_10176//Ishaan Chaturvedi//Bandra//Apple+2*Rohan Yadav/8/22/2023//UPI//Cancelled*Delayed Delivery:Heavy Traffic</t>
  </si>
  <si>
    <t>//ord_10177//Diya Arora//Lower Parel//Rasmalai+2*Vivek Kumar/12/17/2023//COD//Delivered*Overall Satisfaction: Great service will order again</t>
  </si>
  <si>
    <t xml:space="preserve">//ord_10178//Parth Goel//Juhu//Chocolate Mousse+3*Ram Gopal/6/18/2023//Credit Card//Cancelled*Delayed Delivery:Bad Weather Conditions </t>
  </si>
  <si>
    <t>//ord_10179//Siya Reddy//Juhu//Chicken Puff+5*Ramesh S/8/28/2023//COD//Delivered*On-time Delivery: Delivered on time</t>
  </si>
  <si>
    <t>//ord_10180//Sanjay Nair//Dadar//Chocolate Mousse+5*Ramesh S/8/19/2023//Credit Card//Delivered*Quality of Items: Perfect condition</t>
  </si>
  <si>
    <t>//ord_10181//Aarav Mehta//Andheri//Potato+1*Manju Ajay/12/21/2023//COD//Delivered*Packaging: Secure and intact</t>
  </si>
  <si>
    <t>//ord_10182//Mohit Malhotra//Lower Parel//Icecream+2*Kiran Mehta/10/23/2023//Credit Card//Delivered*Satisfied with the Delivery: Timely and quality</t>
  </si>
  <si>
    <t>//ord_10183//Pallavi Ghosh//Bandra//Tomato+1*Not Assigned/10/30/2023//UPI//Cancelled*Payment Issues</t>
  </si>
  <si>
    <t>//ord_10184//Nitin Sehgal//Bandra//Chilli Cheese Toast+3*Vivek Kumar/11/17/2023//Online Payment//Delivered*Customer Service: Seamless and easy</t>
  </si>
  <si>
    <t>//ord_10185//Arvind Kulkarni//Juhu//Chilli Cheese Toast+5*Not Assigned/12/8/2023//Credit Card//Cancelled*Out of Stock</t>
  </si>
  <si>
    <t>//ord_10186//Tanishq Bansal//Powai//Chilli Cheese Toast+1*Not Assigned/9/13/2023//Credit Card//Cancelled*High Delivery Fees</t>
  </si>
  <si>
    <t>//ord_10187//Mohit Malhotra//Lower Parel//Veg Puff+3*Neha Shah/9/13/2023//Credit Card//Cancelled*Delayed Delivery:Heavy Traffic</t>
  </si>
  <si>
    <t>//ord_10188//Parth Goel//Juhu//Icecream+1*Ram Gopal/6/9/2023//Online Payment//Delivered*Delivery Experience: Quick and professional</t>
  </si>
  <si>
    <t>//ord_10189//Dev Chauhan//Bandra//Chicken Puff+2*Ramesh S/5/17/2023//Credit Card//Delivered*Convenience: Easy tracking</t>
  </si>
  <si>
    <t>//ord_10190//Tanishq Bansal//Powai//Chilli Cheese Toast+3*Vivek Kumar/11/28/2023//Credit Card//Cancelled*Delayed Delivery:Incorrect Address or Location</t>
  </si>
  <si>
    <t>//ord_10191//Parth Goel//Juhu//Guava+1*Tanvi Jain/11/11/2023//Online Payment//Cancelled*Delayed Delivery:Traffic Accidents or Road Closures</t>
  </si>
  <si>
    <t>//ord_10192//Mehul Thakkar//Malad//Sweet Corn+1*Ramesh S/4/16/2023//Credit Card//Delivered*Overall Satisfaction: Great service will order again</t>
  </si>
  <si>
    <t>//ord_10193//Aditi Iyer//Dadar//Tomato+1*Shine Thomas/8/6/2023//UPI//Delivered*On-time Delivery: Delivered on time</t>
  </si>
  <si>
    <t>//ord_10194//Kritika Shetty//Malad//Icecream+5*Neha Shah/7/18/2023//Online Payment//Delivered*Quality of Items: Perfect condition</t>
  </si>
  <si>
    <t>//ord_10195//Tanishq Bansal//Powai//Papaya+1*Shine Thomas/5/22/2023//COD//Delivered*Packaging: Secure and intact</t>
  </si>
  <si>
    <t>//ord_10196//Parth Goel//Juhu//Potato+1*Venu R/12/19/2023//Online Payment//Delivered*Satisfied with the Delivery: Timely and quality</t>
  </si>
  <si>
    <t>//ord_10197//Tanishq Bansal//Powai//Orange+2*Ramesh S/7/12/2023//UPI//Delivered*Customer Service: Seamless and easy</t>
  </si>
  <si>
    <t>//ord_10198//Aditi Iyer//Dadar//Veg Puff+2*Venu R/11/5/2023//Online Payment//Delivered*Delivery Experience: Quick and professional</t>
  </si>
  <si>
    <t>//ord_10199//Mohit Malhotra//Lower Parel//Popcorn+1*Manju Ajay/9/9/2023//Credit Card//Delivered*Convenience: Easy tracking</t>
  </si>
  <si>
    <t>//ord_10200//Ishaan Chaturvedi//Bandra//Papaya+2*Ram Gopal/4/29/2023//COD//Delivered*Overall Satisfaction: Great service will order again</t>
  </si>
  <si>
    <t>//ord_10201//Aarav Mehta//Andheri//Sweet Corn+2*Rohan Yadav/7/24/2023//Online Payment//Delivered*On-time Delivery: Delivered on time</t>
  </si>
  <si>
    <t>//ord_10202//Mehul Thakkar//Malad//Papaya+1*Sita T/9/15/2023//COD//Delivered*Quality of Items: Perfect condition</t>
  </si>
  <si>
    <t>//ord_10203//Kritika Shetty//Malad//Cucumber+2*Shine Thomas/5/30/2023//COD//Delivered*Packaging: Secure and intact</t>
  </si>
  <si>
    <t>//ord_10204//Parth Goel//Juhu//Chocolate Mousse+3*Shine Thomas/2/22/2023//COD//Delivered*Satisfied with the Delivery: Timely and quality</t>
  </si>
  <si>
    <t>//ord_10205//Sanjay Nair//Dadar//Cucumber+2*Aman Kumar/5/26/2023//Credit Card//Delivered*Customer Service: Seamless and easy</t>
  </si>
  <si>
    <t>//ord_10206//Parth Goel//Juhu//Sweet Corn+2*Manju Ajay/11/27/2023//Credit Card//Delivered*Delivery Experience: Quick and professional</t>
  </si>
  <si>
    <t>//ord_10207//Ishita Banerjee//Juhu//Juice+3*Ramesh S/6/8/2023//Credit Card//Delivered*Convenience: Easy tracking</t>
  </si>
  <si>
    <t>//ord_10208//Anaya Rao//Colaba//Onion+1*Ramesh S/11/4/2023//Online Payment//Delivered*Overall Satisfaction: Great service will order again</t>
  </si>
  <si>
    <t>//ord_10209//Kritika Shetty//Malad//Chocolate Mousse+4*Nithin Lal/4/13/2023//Online Payment//Delivered*On-time Delivery: Delivered on time</t>
  </si>
  <si>
    <t>//ord_10210//Mohit Malhotra//Lower Parel//Rasmalai+3*Shine Thomas/5/24/2023//Online Payment//Delivered*Quality of Items: Perfect condition</t>
  </si>
  <si>
    <t>//ord_10211//Tanishq Bansal//Powai//Orange+2*Ram Gopal/7/12/2023//UPI//Delivered*Packaging: Secure and intact</t>
  </si>
  <si>
    <t>//ord_10212//Kavya Menon//Andheri//Apple+3*Rohan Yadav/12/24/2023//Online Payment//Delivered*Satisfied with the Delivery: Timely and quality</t>
  </si>
  <si>
    <t>//ord_10213//Kavya Menon//Andheri//Rasmalai+6*Sita T/7/14/2023//Credit Card//Delivered*Customer Service: Seamless and easy</t>
  </si>
  <si>
    <t>//ord_10214//Mehul Thakkar//Malad//Guava+1*Not Assigned/6/11/2023//Credit Card//Cancelled*Out of Stock</t>
  </si>
  <si>
    <t>//ord_10215//Mehul Thakkar//Malad//Papaya+2*Neha Shah/9/27/2023//Online Payment//Delivered*Delivery Experience: Quick and professional</t>
  </si>
  <si>
    <t>//ord_10216//Aarohi Kapoor//Bandra//Chocolate Mousse+4*Priya Joshi/6/20/2023//Credit Card//Delivered*Convenience: Easy tracking</t>
  </si>
  <si>
    <t>//ord_10217//Kritika Shetty//Malad//Rasmalai+5*Not Assigned/12/15/2023//UPI//Cancelled*High Delivery Fees</t>
  </si>
  <si>
    <t>//ord_10218//Aarav Mehta//Andheri//Onion+2*Shine Thomas/9/21/2023//Credit Card//Delivered*Overall Satisfaction: Great service will order again</t>
  </si>
  <si>
    <t>//ord_10219//Kritika Shetty//Malad//Cold Coffee+4*Sita T/12/29/2023//Online Payment//Delivered*On-time Delivery: Delivered on time</t>
  </si>
  <si>
    <t>//ord_10220//Anaya Rao//Colaba//Cold Coffee+2*Nikhil Deshmukh/6/6/2023//Online Payment//Delivered*Quality of Items: Perfect condition</t>
  </si>
  <si>
    <t>//ord_10221//Aditi Iyer//Dadar//Chicken Puff+4*Nithin Lal/12/1/2023//Online Payment//Delivered*Packaging: Secure and intact</t>
  </si>
  <si>
    <t>//ord_10222//Omkar Mishra//Powai//Chicken Puff+5*Manju Ajay/10/8/2023//Online Payment//Delivered*Satisfied with the Delivery: Timely and quality</t>
  </si>
  <si>
    <t>//ord_10223//Parth Goel//Juhu//Papaya+1*Tanvi Jain/10/22/2023//Online Payment//Delivered*Customer Service: Seamless and easy</t>
  </si>
  <si>
    <t>//ord_10224//Kritika Shetty//Malad//Tiramisu+4*Ramesh S/2/19/2023//Credit Card//Cancelled*Delayed Delivery:High Order Volume</t>
  </si>
  <si>
    <t>//ord_10225//Dev Chauhan//Bandra//Veg Puff+4*Shine Thomas/10/12/2023//Online Payment//Delivered*Delivery Experience: Quick and professional</t>
  </si>
  <si>
    <t>//ord_10226//Parth Goel//Juhu//Icecream+5*Vivek Kumar/10/15/2023//Online Payment//Delivered*Convenience: Easy tracking</t>
  </si>
  <si>
    <t>//ord_10227//Pallavi Ghosh//Bandra//Popcorn+4*Ramesh S/3/30/2023//COD//Delivered*On-time Delivery: Delivered on time</t>
  </si>
  <si>
    <t>//ord_10228//Mohit Malhotra//Lower Parel//Juice+1*Vivek Kumar/3/21/2023//UPI//Delivered*Quality of Items: Perfect condition</t>
  </si>
  <si>
    <t>//ord_10229//Sahil Desai//Lower Parel//Orange+2*Ram Gopal/9/6/2023//Online Payment//Delivered*Packaging: Secure and intact</t>
  </si>
  <si>
    <t>//ord_10230//Sakshi Tandon//Colaba//Potato+2*Ram Gopal/4/24/2023//Credit Card//Delivered*Satisfied with the Delivery: Timely and quality</t>
  </si>
  <si>
    <t>//ord_10231//Mehul Thakkar//Malad//Veg Puff+3*Nithin Lal/12/20/2023//Online Payment//Delivered*Customer Service: Seamless and easy</t>
  </si>
  <si>
    <t>//ord_10232//Pallavi Ghosh//Bandra//Papaya+1*Priya Joshi/11/12/2023//Credit Card//Delivered*Customer Service: Seamless and easy</t>
  </si>
  <si>
    <t>//ord_10233//Aditi Iyer//Dadar//Potato+2*Vivek Kumar/11/7/2023//UPI//Delivered*Delivery Experience: Quick and professional</t>
  </si>
  <si>
    <t>//ord_10234//Arvind Kulkarni//Juhu//Papaya+2*Tanvi Jain/3/20/2023//UPI//Cancelled*Delayed Delivery:Heavy Traffic</t>
  </si>
  <si>
    <t>//ord_10235//Mohit Malhotra//Lower Parel//Orange+2*Kiran Mehta/8/26/2023//Credit Card//Delivered*Convenience: Easy tracking</t>
  </si>
  <si>
    <t>//ord_10236//Sakshi Tandon//Colaba//Icecream+5*Nikhil Deshmukh/9/18/2023//UPI//Delivered*Overall Satisfaction: Great service will order again</t>
  </si>
  <si>
    <t>//ord_10237//Aarohi Kapoor//Bandra//Chilli Cheese Toast+1*Nithin Lal/4/17/2023//COD//Delivered*On-time Delivery: Delivered on time</t>
  </si>
  <si>
    <t>//ord_10238//Omkar Mishra//Powai//Cold Coffee+4*Vivek Kumar/9/2/2023//UPI//Delivered*Quality of Items: Perfect condition</t>
  </si>
  <si>
    <t>//ord_10239//Ishita Banerjee//Juhu//Cucumber+2*Venu R/6/9/2023//UPI//Cancelled*Delayed Delivery:High Order Volume</t>
  </si>
  <si>
    <t>//ord_10240//Pranav Joshi//Andheri//Guava+1*Ramesh S/11/15/2023//Credit Card//Delivered*On-time Delivery: Delivered on time</t>
  </si>
  <si>
    <t>//ord_10241//Parth Goel//Juhu//Tomato+1*Sita T/3/27/2023//COD//Delivered*Quality of Items: Perfect condition</t>
  </si>
  <si>
    <t>//ord_10242//Anaya Rao//Colaba//Papaya+2*Ramesh S/7/27/2023//Online Payment//Delivered*Packaging: Secure and intact</t>
  </si>
  <si>
    <t>//ord_10243//Ishita Banerjee//Juhu//Onion+2*Tanvi Jain/4/8/2023//Online Payment//Cancelled*Delayed Delivery:Vehicle Breakdown</t>
  </si>
  <si>
    <t>//ord_10244//Dev Chauhan//Bandra//Icecream+4*Ramesh S/11/26/2023//COD//Delivered*Satisfied with the Delivery: Timely and quality</t>
  </si>
  <si>
    <t>//ord_10245//Parth Goel//Juhu//Chicken Puff+4*Tanvi Jain/11/11/2023//COD//Delivered*Customer Service: Seamless and easy</t>
  </si>
  <si>
    <t>//ord_10246//Tanishq Bansal//Powai//Onion+1*Ramesh S/11/25/2023//Online Payment//Delivered*Delivery Experience: Quick and professional</t>
  </si>
  <si>
    <t>//ord_10247//Siya Reddy//Juhu//Banana+1*Tanvi Jain/6/25/2023//Online Payment//Delivered*Convenience: Easy tracking</t>
  </si>
  <si>
    <t>//ord_10248//Siya Reddy//Juhu//Popcorn+1*Ramesh S/11/22/2023//UPI//Delivered*Overall Satisfaction: Great service will order again</t>
  </si>
  <si>
    <t>//ord_10249//Aarohi Kapoor//Bandra//Icecream+1*Ramesh S/12/25/2023//UPI//Delivered*On-time Delivery: Delivered on time</t>
  </si>
  <si>
    <t>//ord_10250//Siya Reddy//Juhu//Chicken Puff+3*Vivek Kumar/3/23/2023//Online Payment//Delivered*Quality of Items: Perfect condition</t>
  </si>
  <si>
    <t>//ord_10251//Siya Reddy//Juhu//Papaya+1*Ramesh S/2/1/2023//Credit Card//Delivered*On-time Delivery: Delivered on time</t>
  </si>
  <si>
    <t>//ord_10252//Sakshi Tandon//Colaba//Onion+1*Ramesh S/12/25/2023//Online Payment//Delivered*Quality of Items: Perfect condition</t>
  </si>
  <si>
    <t xml:space="preserve">//ord_10253//Mehul Thakkar//Malad//Orange+2*Nithin Lal/7/18/2023//Credit Card//Cancelled*Delayed Delivery:Bad Weather Conditions </t>
  </si>
  <si>
    <t>//ord_10254//Sakshi Tandon//Colaba//Tomato+1*Shine Thomas/3/12/2023//COD//Delivered*Packaging: Secure and intact</t>
  </si>
  <si>
    <t>//ord_10255//Sanjay Nair//Dadar//Sweet Corn+1*Nithin Lal/7/24/2023//UPI//Delivered*Satisfied with the Delivery: Timely and quality</t>
  </si>
  <si>
    <t>//ord_10256//Diya Arora//Lower Parel//Cold Coffee+3*Manju Ajay/12/13/2023//Online Payment//Delivered*Customer Service: Seamless and easy</t>
  </si>
  <si>
    <t>//ord_10257//Arvind Kulkarni//Juhu//Papaya+2*Tanvi Jain/4/26/2023//Online Payment//Cancelled*Delayed Delivery:Heavy Traffic</t>
  </si>
  <si>
    <t>//ord_10258//Ishita Banerjee//Juhu//Juice+3*Ramesh S/12/11/2023//Credit Card//Cancelled*Delayed Delivery:Heavy Traffic</t>
  </si>
  <si>
    <t>//ord_10259//Ishaan Chaturvedi//Bandra//Banana+2*Ramesh S/7/15/2023//Credit Card//Delivered*Delivery Experience: Quick and professional</t>
  </si>
  <si>
    <t>//ord_10260//Siya Reddy//Juhu//Guava+1*Vivek Kumar/10/5/2023//Online Payment//Delivered*Convenience: Easy tracking</t>
  </si>
  <si>
    <t>//ord_10261//Arvind Kulkarni//Juhu//Icecream+4*Ramesh S/1/10/2023//Credit Card//Delivered*Overall Satisfaction: Great service will order again</t>
  </si>
  <si>
    <t xml:space="preserve">//ord_10262//Siya Reddy//Juhu//Tiramisu+4*Aman Kumar/2/18/2023//Credit Card//Cancelled*Delayed Delivery:Bad Weather Conditions </t>
  </si>
  <si>
    <t>//ord_10263//Aditi Iyer//Dadar//Chilli Cheese Toast+3*Aman Kumar/1/12/2023//Credit Card//Delivered*On-time Delivery: Delivered on time</t>
  </si>
  <si>
    <t>//ord_10264//Aarav Mehta//Andheri//Chicken Puff+3*Manju Ajay/2/23/2023//Credit Card//Delivered*Quality of Items: Perfect condition</t>
  </si>
  <si>
    <t>//ord_10265//Omkar Mishra//Powai//Potato+2*Sita T/12/26/2023//COD//Delivered*On-time Delivery: Delivered on time</t>
  </si>
  <si>
    <t>//ord_10266//Diya Arora//Lower Parel//Onion+2*Venu R/3/25/2023//Online Payment//Delivered*Quality of Items: Perfect condition</t>
  </si>
  <si>
    <t>//ord_10267//Aditi Iyer//Dadar//Papaya+2*Aman Kumar/3/18/2023//COD//Delivered*Packaging: Secure and intact</t>
  </si>
  <si>
    <t>//ord_10268//Aditya Rao//Lower Parel//Icecream+4*Not Assigned/10/17/2023//UPI//Cancelled*High Delivery Fees</t>
  </si>
  <si>
    <t>//ord_10269//Pallavi Ghosh//Bandra//Cold Coffee+5*Priya Joshi/6/15/2023//COD//Delivered*Satisfied with the Delivery: Timely and quality</t>
  </si>
  <si>
    <t>//ord_10270//Aditi Iyer//Dadar//Juice+5*Vivek Kumar/9/15/2023//Credit Card//Delivered*Customer Service: Seamless and easy</t>
  </si>
  <si>
    <t xml:space="preserve">//ord_10271//Aditi Iyer//Dadar//Juice+3*Manju Ajay/4/1/2023//Online Payment//Cancelled*Delayed Delivery:Bad Weather Conditions </t>
  </si>
  <si>
    <t>//ord_10272//Parth Goel//Juhu//Juice+1*Kiran Mehta/9/6/2023//Credit Card//Cancelled*Delayed Delivery:Heavy Traffic</t>
  </si>
  <si>
    <t>//ord_10273//Mehul Thakkar//Malad//Juice+4*Ramesh S/1/16/2023//Credit Card//Cancelled*Delayed Delivery:Incorrect Address or Location</t>
  </si>
  <si>
    <t>//ord_10274//Aarav Mehta//Andheri//Popcorn+1*Not Assigned/8/15/2023//Credit Card//Cancelled*High Delivery Fees</t>
  </si>
  <si>
    <t>//ord_10275//Ishita Banerjee//Juhu//Onion+1*Sita T/3/12/2023//Online Payment//Delivered*Delivery Experience: Quick and professional</t>
  </si>
  <si>
    <t xml:space="preserve">//ord_10276//Kritika Shetty//Malad//Rasmalai+3*Tanvi Jain/3/30/2023//Credit Card//Cancelled*Delayed Delivery:Bad Weather Conditions </t>
  </si>
  <si>
    <t>//ord_10277//Diya Arora//Lower Parel//Chocolate Mousse+3*Shine Thomas/12/6/2023//UPI//Delivered*Convenience: Easy tracking</t>
  </si>
  <si>
    <t>//ord_10278//Siya Reddy//Juhu//Chicken Puff+4*Ram Gopal/11/16/2023//Credit Card//Cancelled*Delayed Delivery:Heavy Traffic</t>
  </si>
  <si>
    <t>//ord_10279//Diya Arora//Lower Parel//Popcorn+1*Not Assigned/3/20/2023//Credit Card//Cancelled*Payment Issues</t>
  </si>
  <si>
    <t>//ord_10280//Ishita Banerjee//Juhu//Banana+2*Kiran Mehta/2/28/2023//Online Payment//Cancelled*Delayed Delivery:High Order Volume</t>
  </si>
  <si>
    <t>//ord_10281//Parth Goel//Juhu//Cucumber+1*Tanvi Jain/3/22/2023//UPI//Delivered*Overall Satisfaction: Great service will order again</t>
  </si>
  <si>
    <t>//ord_10282//Anaya Rao//Colaba//Icecream+3*Ramesh S/1/12/2023//Credit Card//Cancelled*Delayed Delivery:Vehicle Breakdown</t>
  </si>
  <si>
    <t>//ord_10283//Anaya Rao//Colaba//Rasmalai+4*Nithin Lal/4/21/2023//Online Payment//Delivered*On-time Delivery: Delivered on time</t>
  </si>
  <si>
    <t>//ord_10284//Siya Reddy//Juhu//Chilli Cheese Toast+2*Not Assigned/12/19/2023//Online Payment//Cancelled*Out of Stock</t>
  </si>
  <si>
    <t>//ord_10285//Aditya Rao//Lower Parel//Apple+2*Ramesh S/12/24/2023//Online Payment//Delivered*Quality of Items: Perfect condition</t>
  </si>
  <si>
    <t>//ord_10286//Mohit Malhotra//Lower Parel//Banana+1*Not Assigned/7/16/2023//Online Payment//Cancelled*High Delivery Fees</t>
  </si>
  <si>
    <t>//ord_10287//Diya Arora//Lower Parel//Chicken Puff+1*Not Assigned/1/4/2023//Online Payment//Cancelled*High Delivery Fees</t>
  </si>
  <si>
    <t>//ord_10288//Aditya Basu//Juhu//Icecream+8*Not Assigned/6/15/2023//Credit Card//Cancelled*Payment Issues</t>
  </si>
  <si>
    <t>//ord_10289//Sakshi Tandon//Colaba//Chocolate Mousse+1*Not Assigned/12/14/2023//Credit Card//Cancelled*High Delivery Fees</t>
  </si>
  <si>
    <t>//ord_10290//Parth Goel//Juhu//Apple+1*Tanvi Jain/11/1/2023//COD//Delivered*On-time Delivery: Delivered on time</t>
  </si>
  <si>
    <t>//ord_10291//Pallavi Ghosh//Bandra//Popcorn+4*Ramesh S/10/2/2023//COD//Delivered*Quality of Items: Perfect condition</t>
  </si>
  <si>
    <t>//ord_10292//Tanishq Bansal//Powai//Banana+2*Vivek Kumar/2/23/2023//UPI//Delivered*Packaging: Secure and intact</t>
  </si>
  <si>
    <t>//ord_10293//Aarav Mehta//Andheri//Potato+1*Priya Joshi/10/1/2023//Online Payment//Cancelled*Delayed Delivery:Heavy Traffic</t>
  </si>
  <si>
    <t xml:space="preserve">//ord_10294//Sanjay Nair//Dadar//Cucumber+2*Sita T/3/10/2023//UPI//Cancelled*Delayed Delivery:Bad Weather Conditions </t>
  </si>
  <si>
    <t>//ord_10295//Mehul Thakkar//Malad//Chocolate Mousse+5*Neha Shah/7/10/2023//Online Payment//Cancelled*Delayed Delivery:Incorrect Address or Location</t>
  </si>
  <si>
    <t>//ord_10296//Sanjay Nair//Dadar//Onion+2*Shine Thomas/9/17/2023//COD//Delivered*Satisfied with the Delivery: Timely and quality</t>
  </si>
  <si>
    <t>//ord_10297//Ishaan Chaturvedi//Bandra//Onion+1*Priya Joshi/7/18/2023//COD//Delivered*Customer Service: Seamless and easy</t>
  </si>
  <si>
    <t>//ord_10298//Dev Chauhan//Bandra//Juice+2*Not Assigned/7/24/2023//Credit Card//Cancelled*Payment Issues</t>
  </si>
  <si>
    <t>//ord_10299//Tanishq Bansal//Powai//Cucumber+2*Vivek Kumar/6/6/2023//Online Payment//Delivered*Delivery Experience: Quick and professional</t>
  </si>
  <si>
    <t>//ord_10300//Kritika Shetty//Malad//Potato+1*Venu R/7/9/2023//Credit Card//Cancelled*Delayed Delivery:Heavy Traffic</t>
  </si>
  <si>
    <t>//ord_10301//Kunal Sharma//Powai//Chicken Puff+8*Shine Thomas/1/20/2023//Credit Card//Delivered*Convenience: Easy tracking</t>
  </si>
  <si>
    <t>//ord_10302//Kunal Sharma//Powai//Cold Coffee+8*Sandeep Kumar/2/27/2023//COD//Delivered*Overall Satisfaction: Great service will order again</t>
  </si>
  <si>
    <t>//ord_10303//Arvind Kulkarni//Juhu//Juice+3*Tanvi Jain/4/17/2023//UPI//Cancelled*Delayed Delivery:Traffic Accidents or Road Closures</t>
  </si>
  <si>
    <t>//ord_10304//Harsh Vardhan//Bandra//Tiramisu+4*Ramesh S/4/27/2023//UPI//Delivered*On-time Delivery: Delivered on time</t>
  </si>
  <si>
    <t>//ord_10305//Leena Das//Andheri//Potato+5*Vivek Kumar/11/21/2023//Credit Card//Delivered*Quality of Items: Perfect condition</t>
  </si>
  <si>
    <t>//ord_10306//Kritika Shetty//Malad//Popcorn+4*Sita T/6/20/2023//Online Payment//Cancelled*Delayed Delivery:High Order Volume</t>
  </si>
  <si>
    <t>//ord_10307//Arvind Kulkarni//Juhu//Guava+2*Nikhil Deshmukh/10/11/2023//UPI//Cancelled*Delayed Delivery:Vehicle Breakdown</t>
  </si>
  <si>
    <t>//ord_10308//Ishita Banerjee//Juhu//Chilli Cheese Toast+3*Ramesh S/12/17/2023//Credit Card//Delivered*On-time Delivery: Delivered on time</t>
  </si>
  <si>
    <t>//ord_10309//Sakshi Tandon//Colaba//Onion+2*Ramesh S/7/25/2023//Credit Card//Cancelled*Delayed Delivery:Heavy Traffic</t>
  </si>
  <si>
    <t>//ord_10310//Dev Chauhan//Bandra//Veg Puff+3*Not Assigned/7/11/2023//Credit Card//Cancelled*Payment Issues</t>
  </si>
  <si>
    <t>//ord_10311//Dev Chauhan//Bandra//Cucumber+2*Not Assigned/6/13/2023//UPI//Cancelled*Out of Stock</t>
  </si>
  <si>
    <t>//ord_10312//Anaya Rao//Colaba//Guava+1*Vivek Kumar/5/27/2023//Online Payment//Delivered*Quality of Items: Perfect condition</t>
  </si>
  <si>
    <t>//ord_10018//Pranav Joshi//Andheri//Cold Coffee+4*Nithin Lal/8/14/2023//Online Payment//Delivered*On-time Delivery: Delivered on time</t>
  </si>
  <si>
    <t>//ord_10027//Shruti Aggarwal//Colaba//Banana+2*Nikhil Deshmukh/6/6/2023//UPI//Delivered*Quality of Items: Perfect condition</t>
  </si>
  <si>
    <t>//ord_10036//Harsh Vardhan//Bandra//Cold Coffee+5*Nithin Lal/5/3/2023//Online Payment//Delivered*Packaging: Secure and intact</t>
  </si>
  <si>
    <t>//ord_10045//Sana Malik//Powai//Banana+2*Vivek Kumar/10/6/2023//Online Payment//Delivered*Satisfied with the Delivery: Timely and quality</t>
  </si>
  <si>
    <t>//ord_10054//Yash Verma//Lower Parel//Apple+2*Venu R/2/4/2023//UPI//Delivered*Customer Service: Seamless and easy</t>
  </si>
  <si>
    <t>//ord_10063//Leena Das//Andheri//Tiramisu+6*Ram Gopal/9/16/2023//COD//Delivered*Delivery Experience: Quick and professional</t>
  </si>
  <si>
    <t>//ord_10072//Shruti Aggarwal//Colaba//Chocolate Mousse+6*Sita T/7/14/2023//Credit Card//Delivered*Convenience: Easy tracking</t>
  </si>
  <si>
    <t>//ord_10081//Omkar Mishra//Powai//Cold Coffee+2*Sandeep Kumar/2/20/2023//Online Payment//Delivered*Overall Satisfaction: Great service will order again</t>
  </si>
  <si>
    <t xml:space="preserve">//ord_10313//Aarav Mehta//Andheri//Potato+1*Priya Joshi/1/20/2023//Credit Card//Cancelled*Delayed Delivery:Bad Weather Conditions </t>
  </si>
  <si>
    <t>//ord_10314//Nitin Sehgal//Bandra//Sweet Corn+1*Sita T/12/14/2023//Credit Card//Delivered*Packaging: Secure and intact</t>
  </si>
  <si>
    <t>//ord_10315//Parth Goel//Juhu//Onion+2*Vivek Kumar/12/24/2023//UPI//Delivered*Satisfied with the Delivery: Timely and quality</t>
  </si>
  <si>
    <t>//ord_10316//Diya Arora//Lower Parel//Cucumber+1*Kiran Mehta/9/22/2023//COD//Delivered*Customer Service: Seamless and easy</t>
  </si>
  <si>
    <t>//ord_10317//Kritika Shetty//Malad//Tomato+1*Not Assigned/9/30/2023//Credit Card//Cancelled*Payment Issues</t>
  </si>
  <si>
    <t>//ord_10318//Aarohi Kapoor//Bandra//Sweet Corn+1*Shine Thomas/4/2/2023//Credit Card//Delivered*Delivery Experience: Quick and professional</t>
  </si>
  <si>
    <t>//ord_10319//Anaya Rao//Colaba//Orange+1*Vivek Kumar/10/9/2023//Online Payment//Delivered*Convenience: Easy tracking</t>
  </si>
  <si>
    <t>//ord_10320//Aarohi Kapoor//Bandra//Icecream+1*Priya Joshi/12/28/2023//UPI//Delivered*Overall Satisfaction: Great service will order again</t>
  </si>
  <si>
    <t>//ord_10321//Parth Goel//Juhu//Chocolate Mousse+4*Tanvi Jain/8/8/2023//Credit Card//Delivered*On-time Delivery: Delivered on time</t>
  </si>
  <si>
    <t>//ord_10322//Dev Chauhan//Bandra//Apple+2*Priya Joshi/12/17/2023//Online Payment//Delivered*Quality of Items: Perfect condition</t>
  </si>
  <si>
    <t>//ord_10323//Kritika Shetty//Malad//Rasmalai+3*Vivek Kumar/4/2/2023//COD//Delivered*On-time Delivery: Delivered on time</t>
  </si>
  <si>
    <t>//ord_10324//Mohit Malhotra//Lower Parel//Cold Coffee+2*Not Assigned/7/1/2023//UPI//Cancelled*Payment Issues</t>
  </si>
  <si>
    <t>//ord_10325//Aditi Iyer//Dadar//Banana+2*Not Assigned/4/17/2023//UPI//Cancelled*Payment Issues</t>
  </si>
  <si>
    <t>//ord_10326//Anaya Rao//Malad//Banana+1*Neha Shah/7/21/2023//Online Payment//Delivered*Quality of Items: Perfect condition</t>
  </si>
  <si>
    <t>//ord_10327//Arvind Kulkarni//Juhu//Chicken Puff+2*Tanvi Jain/6/4/2023//Online Payment//Delivered*Packaging: Secure and intact</t>
  </si>
  <si>
    <t>//ord_10328//Aarohi Kapoor//Bandra//Sweet Corn+1*Priya Joshi/10/12/2023//Credit Card//Delivered*Satisfied with the Delivery: Timely and quality</t>
  </si>
  <si>
    <t>//ord_10329//Ishita Banerjee//Juhu//Banana+1*Tanvi Jain/7/7/2023//UPI//Delivered*Customer Service: Seamless and easy</t>
  </si>
  <si>
    <t>//ord_10330//Pranav Joshi//Andheri//Banana+1*Not Assigned/4/7/2023//Credit Card//Cancelled*Payment Issues</t>
  </si>
  <si>
    <t>//ord_10331//Dev Chauhan//Bandra//Popcorn+2*Priya Joshi/7/14/2023//Credit Card//Delivered*Delivery Experience: Quick and professional</t>
  </si>
  <si>
    <t>//ord_10332//Aditya Basu//Juhu//Guava+3*Tanvi Jain/8/5/2023//UPI//Delivered*Convenience: Easy tracking</t>
  </si>
  <si>
    <t xml:space="preserve">//ord_10333//Mehul Thakkar//Malad//Potato+2*Ramesh S/6/23/2023//UPI//Cancelled*Delayed Delivery:Bad Weather Conditions </t>
  </si>
  <si>
    <t>//ord_10334//Tanishq Bansal//Powai//Rasmalai+5*Shine Thomas/11/23/2023//COD//Delivered*Overall Satisfaction: Great service will order again</t>
  </si>
  <si>
    <t>//ord_10335//Mehul Thakkar//Malad//Potato+2*Venu R/5/26/2023//UPI//Delivered*On-time Delivery: Delivered on time</t>
  </si>
  <si>
    <t>//ord_10336//Sakshi Tandon//Colaba//Veg Puff+1*Rohan Yadav/7/30/2023//Online Payment//Cancelled*Delayed Delivery:Heavy Traffic</t>
  </si>
  <si>
    <t>//ord_10337//Mehul Thakkar//Malad//Orange+2*Nithin Lal/10/24/2023//COD//Delivered*Quality of Items: Perfect condition</t>
  </si>
  <si>
    <t>//ord_10338//Diya Arora//Lower Parel//Papaya+1*Shine Thomas/4/3/2023//Credit Card//Cancelled*Delayed Delivery:Heavy Traffic</t>
  </si>
  <si>
    <t>//ord_10339//Aarohi Kapoor//Bandra//Juice+3*Nikhil Deshmukh/4/13/2023//UPI//Cancelled*Delayed Delivery:Traffic Accidents or Road Closures</t>
  </si>
  <si>
    <t>//ord_10340//Siya Reddy//Juhu//Onion+1*Not Assigned/2/9/2023//UPI//Cancelled*High Delivery Fees</t>
  </si>
  <si>
    <t>//ord_10341//Aarav Mehta//Andheri//Banana+2*Not Assigned/12/8/2023//Credit Card//Cancelled*High Delivery Fees</t>
  </si>
  <si>
    <t>//ord_10342//Sakshi Tandon//Colaba//Popcorn+1*Nikhil Deshmukh/7/14/2023//Online Payment//Delivered*On-time Delivery: Delivered on time</t>
  </si>
  <si>
    <t>//ord_10343//Ishita Banerjee//Juhu//Tomato+1*Tanvi Jain/3/2/2023//COD//Delivered*Quality of Items: Perfect condition</t>
  </si>
  <si>
    <t>//ord_10344//Sakshi Tandon//Colaba//Orange+2*Nikhil Deshmukh/11/21/2023//Credit Card//Delivered*Packaging: Secure and intact</t>
  </si>
  <si>
    <t>//ord_10345//Kritika Shetty//Malad//Juice+4*Nithin Lal/1/7/2023//Online Payment//Cancelled*Delayed Delivery:Heavy Traffic</t>
  </si>
  <si>
    <t>//ord_10346//Sanjay Nair//Dadar//Apple+2*Aman Kumar/10/29/2023//Credit Card//Delivered*Satisfied with the Delivery: Timely and quality</t>
  </si>
  <si>
    <t>//ord_10347//Aditi Iyer//Dadar//Cold Coffee+4*Aman Kumar/11/9/2023//Credit Card//Cancelled*Delayed Delivery:Vehicle Breakdown</t>
  </si>
  <si>
    <t>//ord_10348//Omkar Mishra//Powai//Sweet Corn+2*Sandeep Kumar/9/2/2023//Online Payment//Delivered*Customer Service: Seamless and easy</t>
  </si>
  <si>
    <t>//ord_10349//Arvind Kulkarni//Juhu//Potato+2*Venu R/7/28/2023//Credit Card//Delivered*Delivery Experience: Quick and professional</t>
  </si>
  <si>
    <t>//ord_10350//Pallavi Ghosh//Bandra//Papaya+1*Not Assigned/10/11/2023//UPI//Cancelled*Payment Issues</t>
  </si>
  <si>
    <t>//ord_10351//Pallavi Ghosh//Bandra//Tiramisu+1*Vivek Kumar/1/23/2023//COD//Delivered*Convenience: Easy tracking</t>
  </si>
  <si>
    <t>//ord_10352//Sanjay Nair//Dadar//Cucumber+1*Vivek Kumar/5/16/2023//Credit Card//Delivered*Overall Satisfaction: Great service will order again</t>
  </si>
  <si>
    <t>//ord_10353//Diya Arora//Lower Parel//Rasmalai+5*Manju Ajay/11/2/2023//UPI//Delivered*On-time Delivery: Delivered on time</t>
  </si>
  <si>
    <t>//ord_10354//Mehul Thakkar//Malad//Tomato+1*Ram Gopal/7/30/2023//Credit Card//Cancelled*Delayed Delivery:Heavy Traffic</t>
  </si>
  <si>
    <t>//ord_10355//Simran Bhatt//Juhu//Banana+2*Shine Thomas/4/27/2023//UPI//Delivered*Quality of Items: Perfect condition</t>
  </si>
  <si>
    <t>//ord_10356//Arvind Kulkarni//Juhu//Orange+2*Ramesh S/12/10/2023//COD//Delivered*On-time Delivery: Delivered on time</t>
  </si>
  <si>
    <t>//ord_10357//Omkar Mishra//Powai//Icecream+3*Ramesh S/11/25/2023//Credit Card//Delivered*Quality of Items: Perfect condition</t>
  </si>
  <si>
    <t>//ord_10358//Parth Goel//Juhu//Popcorn+3*Tanvi Jain/10/25/2023//COD//Delivered*Packaging: Secure and intact</t>
  </si>
  <si>
    <t xml:space="preserve">//ord_10359//Mehul Thakkar//Malad//Popcorn+5*Sandeep Kumar/4/21/2023//Online Payment//Cancelled*Delayed Delivery:Bad Weather Conditions </t>
  </si>
  <si>
    <t>//ord_10360//Omkar Mishra//Powai//Juice+4*Sandeep Kumar/8/27/2023//Online Payment//Delivered*Satisfied with the Delivery: Timely and quality</t>
  </si>
  <si>
    <t>//ord_10361//Aarohi Kapoor//Bandra//Popcorn+5*Priya Joshi/4/9/2023//Credit Card//Delivered*Customer Service: Seamless and easy</t>
  </si>
  <si>
    <t>//ord_10362//Diya Arora//Lower Parel//Onion+2*Kiran Mehta/2/1/2023//COD//Delivered*Delivery Experience: Quick and professional</t>
  </si>
  <si>
    <t>//ord_10363//Ishita Banerjee//Juhu//Banana+1*Ram Gopal/6/26/2023//Credit Card//Cancelled*Delayed Delivery:Incorrect Address or Location</t>
  </si>
  <si>
    <t>//ord_10364//Omkar Mishra//Powai//Chocolate Mousse+5*Ramesh S/11/6/2023//UPI//Delivered*Convenience: Easy tracking</t>
  </si>
  <si>
    <t>//ord_10365//Mohit Malhotra//Lower Parel//Tomato+2*Venu R/5/5/2023//UPI//Delivered*Overall Satisfaction: Great service will order again</t>
  </si>
  <si>
    <t>//ord_10366//Tanishq Bansal//Powai//Guava+2*Ram Gopal/7/3/2023//UPI//Delivered*On-time Delivery: Delivered on time</t>
  </si>
  <si>
    <t>//ord_10367//Siya Reddy//Juhu//Potato+1*Priya Joshi/8/8/2023//Online Payment//Cancelled*Delayed Delivery:Traffic Accidents or Road Closures</t>
  </si>
  <si>
    <t>//ord_10368//Sanjay Nair//Dadar//Cold Coffee+4*Ramesh S/10/8/2023//UPI//Delivered*Quality of Items: Perfect condition</t>
  </si>
  <si>
    <t>//ord_10369//Siya Reddy//Juhu//Banana+2*Manju Ajay/4/5/2023//UPI//Cancelled*Delayed Delivery:High Order Volume</t>
  </si>
  <si>
    <t>//ord_10370//Mehul Thakkar//Malad//Veg Puff+2*Ramesh S/7/22/2023//Credit Card//Delivered*On-time Delivery: Delivered on time</t>
  </si>
  <si>
    <t>//ord_10371//Aditi Iyer//Dadar//Cucumber+2*Shine Thomas/7/20/2023//UPI//Delivered*Quality of Items: Perfect condition</t>
  </si>
  <si>
    <t>//ord_10372//Ishaan Chaturvedi//Bandra//Potato+1*Priya Joshi/10/2/2023//Online Payment//Delivered*Packaging: Secure and intact</t>
  </si>
  <si>
    <t>//ord_10373//Pranav Joshi//Andheri//Sweet Corn+1*Rohan Yadav/3/2/2023//Online Payment//Delivered*Satisfied with the Delivery: Timely and quality</t>
  </si>
  <si>
    <t xml:space="preserve">//ord_10374//Kritika Shetty//Malad//Potato+1*Rohan Yadav/12/9/2023//UPI//Cancelled*Delayed Delivery:Bad Weather Conditions </t>
  </si>
  <si>
    <t>//ord_10375//Siya Reddy//Juhu//Chilli Cheese Toast+4*Shine Thomas/4/4/2023//Online Payment//Cancelled*Delayed Delivery:Vehicle Breakdown</t>
  </si>
  <si>
    <t>//ord_10376//Dev Chauhan//Bandra//Sweet Corn+2*Priya Joshi/8/18/2023//Credit Card//Delivered*Customer Service: Seamless and easy</t>
  </si>
  <si>
    <t>//ord_10377//Pallavi Ghosh//Bandra//Orange+2*Priya Joshi/4/21/2023//Credit Card//Delivered*Delivery Experience: Quick and professional</t>
  </si>
  <si>
    <t>//ord_10378//Aarohi Kapoor//Bandra//Juice+2*Vivek Kumar/1/8/2023//Online Payment//Delivered*Convenience: Easy tracking</t>
  </si>
  <si>
    <t>//ord_10379//Pranav Joshi//Andheri//Icecream+1*Vivek Kumar/11/21/2023//Online Payment//Delivered*Overall Satisfaction: Great service will order again</t>
  </si>
  <si>
    <t>//ord_10380//Aditya Rao//Lower Parel//Orange+2*Sita T/7/22/2023//UPI//Delivered*On-time Delivery: Delivered on time</t>
  </si>
  <si>
    <t>//ord_10381//Mehul Thakkar//Malad//Chicken Puff+1*Neha Shah/5/10/2023//Credit Card//Cancelled*Delayed Delivery:Heavy Traffic</t>
  </si>
  <si>
    <t>//ord_10382//Pallavi Ghosh//Bandra//Juice+1*Shine Thomas/6/9/2023//Online Payment//Delivered*Quality of Items: Perfect condition</t>
  </si>
  <si>
    <t>//ord_10383//Aarohi Kapoor//Bandra//Cold Coffee+4*Vivek Kumar/9/1/2023//Credit Card//Delivered*On-time Delivery: Delivered on time</t>
  </si>
  <si>
    <t>//ord_10384//Simran Bhatt//Juhu//Tiramisu+1*Tanvi Jain/11/5/2023//Credit Card//Delivered*Quality of Items: Perfect condition</t>
  </si>
  <si>
    <t>//ord_10385//Diya Arora//Lower Parel//Veg Puff+5*Kiran Mehta/3/14/2023//Online Payment//Delivered*Packaging: Secure and intact</t>
  </si>
  <si>
    <t>//ord_10386//Mehul Thakkar//Malad//Cucumber+2*Ram Gopal/4/17/2023//Credit Card//Cancelled*Delayed Delivery:Incorrect Address or Location</t>
  </si>
  <si>
    <t>//ord_10387//Diya Arora//Lower Parel//Onion+1*Kiran Mehta/3/24/2023//COD//Delivered*Satisfied with the Delivery: Timely and quality</t>
  </si>
  <si>
    <t xml:space="preserve">//ord_10388//Mehul Thakkar//Malad//Rasmalai+5*Priya Joshi/6/5/2023//Online Payment//Cancelled*Delayed Delivery:Bad Weather Conditions </t>
  </si>
  <si>
    <t>//ord_10389//Dev Chauhan//Bandra//Cold Coffee+2*Shine Thomas/1/13/2023//Online Payment//Delivered*Customer Service: Seamless and easy</t>
  </si>
  <si>
    <t>//ord_10390//Ishaan Chaturvedi//Bandra//Juice+4*Vivek Kumar/5/21/2023//UPI//Delivered*Delivery Experience: Quick and professional</t>
  </si>
  <si>
    <t>//ord_10391//Sanjay Nair//Dadar//Juice+2*Vivek Kumar/6/8/2023//Credit Card//Delivered*Convenience: Easy tracking</t>
  </si>
  <si>
    <t>//ord_10392//Ishita Banerjee//Juhu//Chicken Puff+3*Manju Ajay/10/19/2023//UPI//Delivered*Overall Satisfaction: Great service will order again</t>
  </si>
  <si>
    <t>//ord_10393//Dev Chauhan//Bandra//Papaya+1*Ramesh S/10/10/2023//COD//Delivered*On-time Delivery: Delivered on time</t>
  </si>
  <si>
    <t>//ord_10394//Aarav Mehta//Andheri//Apple+1*Vivek Kumar/12/15/2023//UPI//Delivered*Quality of Items: Perfect condition</t>
  </si>
  <si>
    <t>//ord_10395//Anaya Rao//Colaba//Chicken Puff+2*Sita T/12/16/2023//Online Payment//Delivered*On-time Delivery: Delivered on time</t>
  </si>
  <si>
    <t>//ord_10396//Dev Chauhan//Bandra//Orange+2*Nithin Lal/12/2/2023//Credit Card//Delivered*Quality of Items: Perfect condition</t>
  </si>
  <si>
    <t>//ord_10397//Dev Chauhan//Bandra//Cucumber+1*Priya Joshi/10/7/2023//Online Payment//Delivered*Packaging: Secure and intact</t>
  </si>
  <si>
    <t>//ord_10398//Simran Bhatt//Juhu//Orange+2*Tanvi Jain/1/9/2023//Credit Card//Delivered*Satisfied with the Delivery: Timely and quality</t>
  </si>
  <si>
    <t>//ord_10399//Pranav Joshi//Andheri//Juice+5*Rohan Yadav/9/2/2023//Credit Card//Delivered*Customer Service: Seamless and easy</t>
  </si>
  <si>
    <t>//ord_10400//Aarohi Kapoor//Bandra//Rasmalai+1*Priya Joshi/2/28/2023//COD//Delivered*Delivery Experience: Quick and professional</t>
  </si>
  <si>
    <t>//ord_10401//Ishita Banerjee//Juhu//Apple+2*Not Assigned/3/22/2023//Credit Card//Cancelled*High Delivery Fees</t>
  </si>
  <si>
    <t>//ord_10402//Ishita Banerjee//Juhu//Banana+2*Tanvi Jain/6/14/2023//COD//Delivered*Convenience: Easy tracking</t>
  </si>
  <si>
    <t>//ord_10403//Omkar Mishra//Powai//Sweet Corn+2*Sandeep Kumar/7/7/2023//Credit Card//Delivered*Overall Satisfaction: Great service will order again</t>
  </si>
  <si>
    <t>//ord_10404//Aarohi Kapoor//Bandra//Chocolate Mousse+5*Priya Joshi/6/17/2023//COD//Delivered*On-time Delivery: Delivered on time</t>
  </si>
  <si>
    <t>//ord_10405//Ishaan Chaturvedi//Bandra//Tiramisu+2*Priya Joshi/9/28/2023//UPI//Delivered*Quality of Items: Perfect condition</t>
  </si>
  <si>
    <t>//ord_10406//Mehul Thakkar//Malad//Apple+1*Vivek Kumar/11/18/2023//Credit Card//Cancelled*Delayed Delivery:Traffic Accidents or Road Closures</t>
  </si>
  <si>
    <t>//ord_10407//Omkar Mishra//Powai//Juice+5*Shine Thomas/1/27/2023//Credit Card//Delivered*On-time Delivery: Delivered on time</t>
  </si>
  <si>
    <t>//ord_10408//Omkar Mishra//Powai//Banana+1*Venu R/8/22/2023//UPI//Delivered*Quality of Items: Perfect condition</t>
  </si>
  <si>
    <t>//ord_10409//Sanjay Nair//Dadar//Potato+1*Venu R/7/26/2023//UPI//Delivered*Packaging: Secure and intact</t>
  </si>
  <si>
    <t>//ord_10410//Aarav Mehta//Andheri//Chicken Puff+5*Rohan Yadav/3/25/2023//Credit Card//Delivered*Satisfied with the Delivery: Timely and quality</t>
  </si>
  <si>
    <t>//ord_10411//Tanishq Bansal//Powai//Guava+2*Sandeep Kumar/2/18/2023//COD//Delivered*Customer Service: Seamless and easy</t>
  </si>
  <si>
    <t>//ord_10412//Anaya Rao//Malad//Tiramisu+4*Neha Shah/6/23/2023//Credit Card//Delivered*Delivery Experience: Quick and professional</t>
  </si>
  <si>
    <t>//ord_10413//Dev Chauhan//Bandra//Tomato+2*Priya Joshi/2/10/2023//Online Payment//Delivered*Convenience: Easy tracking</t>
  </si>
  <si>
    <t>//ord_10414//Sakshi Tandon//Colaba//Orange+2*Nikhil Deshmukh/7/9/2023//COD//Delivered*Overall Satisfaction: Great service will order again</t>
  </si>
  <si>
    <t>//ord_10415//Mohit Malhotra//Lower Parel//Juice+1*Kiran Mehta/1/3/2023//Credit Card//Delivered*On-time Delivery: Delivered on time</t>
  </si>
  <si>
    <t>//ord_10416//Arvind Kulkarni//Juhu//Potato+1*Tanvi Jain/6/4/2023//Credit Card//Delivered*Quality of Items: Perfect condition</t>
  </si>
  <si>
    <t>//ord_10417//Diya Arora//Lower Parel//Apple+2*Kiran Mehta/7/20/2023//COD//Delivered*On-time Delivery: Delivered on time</t>
  </si>
  <si>
    <t>//ord_10418//Simran Bhatt//Juhu//Papaya+2*Tanvi Jain/4/1/2023//COD//Delivered*Quality of Items: Perfect condition</t>
  </si>
  <si>
    <t>//ord_10419//Mehul Thakkar//Malad//Tiramisu+1*Neha Shah/2/28/2023//Credit Card//Delivered*Packaging: Secure and intact</t>
  </si>
  <si>
    <t>//ord_10420//Ishita Banerjee//Juhu//Juice+2*Kiran Mehta/12/16/2023//Online Payment//Cancelled*Delayed Delivery:Heavy Traffic</t>
  </si>
  <si>
    <t>//ord_10421//Tanishq Bansal//Powai//Guava+1*Sandeep Kumar/1/26/2023//Credit Card//Delivered*Satisfied with the Delivery: Timely and quality</t>
  </si>
  <si>
    <t>//ord_10422//Aditi Iyer//Dadar//Orange+2*Aman Kumar/8/30/2023//Online Payment//Delivered*Customer Service: Seamless and easy</t>
  </si>
  <si>
    <t>//ord_10423//Diya Arora//Lower Parel//Sweet Corn+2*Kiran Mehta/1/12/2023//Online Payment//Delivered*Delivery Experience: Quick and professional</t>
  </si>
  <si>
    <t>//ord_10424//Mehul Thakkar//Malad//Juice+5*Not Assigned/1/22/2023//Online Payment//Cancelled*High Delivery Fees</t>
  </si>
  <si>
    <t>//ord_10425//Mohit Malhotra//Lower Parel//Chilli Cheese Toast+5*Kiran Mehta/6/3/2023//Online Payment//Delivered*Convenience: Easy tracking</t>
  </si>
  <si>
    <t>//ord_10426//Arvind Kulkarni//Juhu//Potato+2*Ram Gopal/12/14/2023//Online Payment//Cancelled*Delayed Delivery:Traffic Accidents or Road Closures</t>
  </si>
  <si>
    <t>//ord_10427//Nitin Sehgal//Bandra//Chicken Puff+4*Priya Joshi/9/20/2023//Online Payment//Delivered*Overall Satisfaction: Great service will order again</t>
  </si>
  <si>
    <t>//ord_10428//Siya Reddy//Juhu//Chicken Puff+2*Tanvi Jain/10/10/2023//Online Payment//Cancelled*Delayed Delivery:Heavy Traffic</t>
  </si>
  <si>
    <t>//ord_10429//Mohit Malhotra//Lower Parel//Popcorn+4*Ramesh S/2/27/2023//Credit Card//Delivered*On-time Delivery: Delivered on time</t>
  </si>
  <si>
    <t>//ord_10430//Parth Goel//Juhu//Papaya+1*Ram Gopal/3/15/2023//Online Payment//Delivered*Quality of Items: Perfect condition</t>
  </si>
  <si>
    <t>//ord_10431//Pranav Joshi//Andheri//Apple+2*Ramesh S/5/21/2023//Online Payment//Delivered*On-time Delivery: Delivered on time</t>
  </si>
  <si>
    <t>//ord_10432//Aarohi Kapoor//Bandra//Guava+2*Sita T/9/21/2023//COD//Delivered*Quality of Items: Perfect condition</t>
  </si>
  <si>
    <t>//ord_10433//Parth Goel//Juhu//Banana+1*Vivek Kumar/4/19/2023//Online Payment//Delivered*Packaging: Secure and intact</t>
  </si>
  <si>
    <t>//ord_10434//Mehul Thakkar//Malad//Tiramisu+5*Not Assigned/8/3/2023//Online Payment//Cancelled*App Glitches:Slow Loading Time</t>
  </si>
  <si>
    <t>//ord_10435//Diya Arora//Lower Parel//Juice+1*Shine Thomas/9/7/2023//UPI//Delivered*Satisfied with the Delivery: Timely and quality</t>
  </si>
  <si>
    <t>//ord_10436//Sanjay Nair//Dadar//Potato+2*Ram Gopal/8/17/2023//UPI//Delivered*Customer Service: Seamless and easy</t>
  </si>
  <si>
    <t>//ord_10437//Sakshi Tandon//Colaba//Tiramisu+2*Manju Ajay/12/16/2023//UPI//Delivered*Delivery Experience: Quick and professional</t>
  </si>
  <si>
    <t>//ord_10438//Tanishq Bansal//Powai//Juice+2*Nithin Lal/5/29/2023//Credit Card//Delivered*Convenience: Easy tracking</t>
  </si>
  <si>
    <t>//ord_10439//Sakshi Tandon//Colaba//Chocolate Mousse+1*Nikhil Deshmukh/8/19/2023//Credit Card//Delivered*Overall Satisfaction: Great service will order again</t>
  </si>
  <si>
    <t>//ord_10440//Kritika Shetty//Malad//Guava+2*Nithin Lal/12/1/2023//Credit Card//Cancelled*Delayed Delivery:High Order Volume</t>
  </si>
  <si>
    <t>//ord_10441//Arvind Kulkarni//Juhu//Tiramisu+4*Not Assigned/6/30/2023//Online Payment//Cancelled*Out of Stock</t>
  </si>
  <si>
    <t>//ord_10442//Pranav Joshi//Andheri//Tiramisu+2*Rohan Yadav/1/1/2023//UPI//Delivered*On-time Delivery: Delivered on time</t>
  </si>
  <si>
    <t>//ord_10443//Omkar Mishra//Powai//Cold Coffee+5*Sandeep Kumar/9/30/2023//Online Payment//Delivered*Quality of Items: Perfect condition</t>
  </si>
  <si>
    <t>//ord_10444//Tanishq Bansal//Powai//Banana+1*Sandeep Kumar/3/28/2023//Online Payment//Delivered*On-time Delivery: Delivered on time</t>
  </si>
  <si>
    <t>//ord_10445//Aditi Iyer//Dadar//Popcorn+3*Aman Kumar/6/10/2023//COD//Delivered*Quality of Items: Perfect condition</t>
  </si>
  <si>
    <t>//ord_10446//Aditi Iyer//Dadar//Chocolate Mousse+3*Aman Kumar/8/17/2023//Online Payment//Delivered*Packaging: Secure and intact</t>
  </si>
  <si>
    <t xml:space="preserve">//ord_10447//Siya Reddy//Juhu//Rasmalai+1*Neha Shah/12/26/2023//UPI//Cancelled*Delayed Delivery:Bad Weather Conditions </t>
  </si>
  <si>
    <t>//ord_10448//Anaya Rao//Colaba//Rasmalai+3*Nikhil Deshmukh/8/6/2023//Online Payment//Delivered*Satisfied with the Delivery: Timely and quality</t>
  </si>
  <si>
    <t>//ord_10449//Mehul Thakkar//Malad//Cucumber+2*Not Assigned/4/28/2023//Credit Card//Cancelled*Payment Issues</t>
  </si>
  <si>
    <t>//ord_10450//Siya Reddy//Juhu//Popcorn+4*Not Assigned/5/12/2023//Credit Card//Cancelled*App Glitches:Slow Loading Time</t>
  </si>
  <si>
    <t>//ord_10451//Diya Arora//Lower Parel//Tiramisu+4*Kiran Mehta/10/14/2023//Online Payment//Delivered*Customer Service: Seamless and easy</t>
  </si>
  <si>
    <t>//ord_10452//Kritika Shetty//Malad//Icecream+3*Ram Gopal/7/22/2023//Credit Card//Cancelled*Delayed Delivery:Heavy Traffic</t>
  </si>
  <si>
    <t>//ord_10453//Ishita Banerjee//Juhu//Chilli Cheese Toast+4*Not Assigned/9/30/2023//Credit Card//Cancelled*App Glitches: Payment Button Malfunction</t>
  </si>
  <si>
    <t>//ord_10454//Tanishq Bansal//Powai//Papaya+2*Sandeep Kumar/12/4/2023//Online Payment//Delivered*Delivery Experience: Quick and professional</t>
  </si>
  <si>
    <t>//ord_10455//Kritika Shetty//Malad//Banana+2*Not Assigned/7/24/2023//UPI//Cancelled*App Glitches: Payment Button Malfunction</t>
  </si>
  <si>
    <t>//ord_10456//Omkar Mishra//Powai//Guava+2*Shine Thomas/5/12/2023//COD//Delivered*Convenience: Easy tracking</t>
  </si>
  <si>
    <t xml:space="preserve">//ord_10457//Arvind Kulkarni//Juhu//Tomato+1*Priya Joshi/11/10/2023//Online Payment//Cancelled*Delayed Delivery:Bad Weather Conditions </t>
  </si>
  <si>
    <t>//ord_10458//Omkar Mishra//Powai//Banana+2*Ramesh S/12/24/2023//UPI//Delivered*Overall Satisfaction: Great service will order again</t>
  </si>
  <si>
    <t>//ord_10459//Kritika Shetty//Malad//Orange+2*Venu R/7/6/2023//UPI//Cancelled*Delayed Delivery:Heavy Traffic</t>
  </si>
  <si>
    <t>//ord_10460//Kritika Shetty//Malad//Icecream+4*Not Assigned/1/1/2023//UPI//Cancelled*Out of Stock</t>
  </si>
  <si>
    <t>//ord_10461//Aditya Rao//Lower Parel//Tiramisu+2*Shine Thomas/11/13/2023//COD//Delivered*On-time Delivery: Delivered on time</t>
  </si>
  <si>
    <t>//ord_10462//Dev Chauhan//Bandra//Banana+1*Ram Gopal/1/12/2023//COD//Delivered*Quality of Items: Perfect condition</t>
  </si>
  <si>
    <t>//ord_10463//Kavya Menon//Andheri//Icecream+6*Vivek Kumar/4/28/2023//COD//Delivered*On-time Delivery: Delivered on time</t>
  </si>
  <si>
    <t>//ord_10464//Kavya Menon//Andheri//Tiramisu+3*Sita T/1/11/2023//Credit Card//Delivered*Quality of Items: Perfect condition</t>
  </si>
  <si>
    <t>//ord_10465//Kavya Menon//Andheri//Chocolate Mousse+3*Sita T/9/5/2023//COD//Delivered*Packaging: Secure and intact</t>
  </si>
  <si>
    <t>//ord_10466//Aarohi Kapoor//Bandra//Chocolate Mousse+3*Sita T/1/25/2023//Online Payment//Delivered*Satisfied with the Delivery: Timely and quality</t>
  </si>
  <si>
    <t>//ord_10467//Diya Arora//Lower Parel//Icecream+5*Vivek Kumar/5/13/2023//Online Payment//Delivered*Customer Service: Seamless and easy</t>
  </si>
  <si>
    <t>//ord_10468//Mehul Thakkar//Malad//Apple+1*Not Assigned/11/3/2023//Online Payment//Cancelled*App Glitches: Payment Button Malfunction</t>
  </si>
  <si>
    <t>//ord_10469//Anaya Rao//Colaba//Apple+1*Shine Thomas/8/20/2023//UPI//Delivered*Delivery Experience: Quick and professional</t>
  </si>
  <si>
    <t>//ord_10470//Harsh Vardhan//Bandra//Tiramisu+2*Nithin Lal/11/14/2023//UPI//Delivered*Convenience: Easy tracking</t>
  </si>
  <si>
    <t>//ord_10471//Leena Das//Andheri//Chocolate Mousse+6*Vivek Kumar/7/4/2023//UPI//Delivered*Overall Satisfaction: Great service will order again</t>
  </si>
  <si>
    <t>//ord_10472//Diya Arora//Lower Parel//Banana+1*Sita T/10/21/2023//Credit Card//Delivered*On-time Delivery: Delivered on time</t>
  </si>
  <si>
    <t>//ord_10473//Diya Arora//Lower Parel//Potato+2*Ram Gopal/1/29/2023//UPI//Delivered*Quality of Items: Perfect condition</t>
  </si>
  <si>
    <t>//ord_10474//Aarav Mehta//Andheri//Icecream+3*Ram Gopal/8/5/2023//Credit Card//Delivered*On-time Delivery: Delivered on time</t>
  </si>
  <si>
    <t>//ord_10475//Leena Das//Andheri//Papaya+2*Sita T/8/4/2023//COD//Delivered*Quality of Items: Perfect condition</t>
  </si>
  <si>
    <t>//ord_10476//Sana Malik//Powai//Tomato+3*Sita T/11/28/2023//Online Payment//Delivered*Packaging: Secure and intact</t>
  </si>
  <si>
    <t>//ord_10477//Diya Arora//Lower Parel//Juice+1*Venu R/4/12/2023//COD//Delivered*Satisfied with the Delivery: Timely and quality</t>
  </si>
  <si>
    <t>//ord_10478//Anaya Rao//Colaba//Guava+2*Ram Gopal/4/21/2023//Credit Card//Delivered*Customer Service: Seamless and easy</t>
  </si>
  <si>
    <t>//ord_10479//Siya Reddy//Juhu//Guava+2*Not Assigned/12/8/2023//UPI//Cancelled*High Delivery Fees</t>
  </si>
  <si>
    <t>//ord_10480//Sanjay Nair//Dadar//Apple+2*Ramesh S/4/16/2023//UPI//Delivered*Delivery Experience: Quick and professional</t>
  </si>
  <si>
    <t>//ord_10481//Anaya Rao//Malad//Potato+2*Not Assigned/8/6/2023//Credit Card//Cancelled*App Glitches: Inconsistent Data Display</t>
  </si>
  <si>
    <t>//ord_10482//Pallavi Ghosh//Bandra//Papaya+1*Shine Thomas/4/24/2023//COD//Delivered*Convenience: Easy tracking</t>
  </si>
  <si>
    <t>//ord_10483//Aarav Mehta//Andheri//Veg Puff+3*Vivek Kumar/4/10/2023//UPI//Delivered*Overall Satisfaction: Great service will order again</t>
  </si>
  <si>
    <t>//ord_10484//Mehul Thakkar//Malad//Onion+2*Not Assigned/6/9/2023//Credit Card//Cancelled*High Delivery Fees</t>
  </si>
  <si>
    <t>//ord_10485//Aarav Mehta//Andheri//Tomato+2*Shine Thomas/2/27/2023//COD//Delivered*On-time Delivery: Delivered on time</t>
  </si>
  <si>
    <t>//ord_10486//Pallavi Ghosh//Bandra//Veg Puff+4*Sita T/12/18/2023//UPI//Delivered*Quality of Items: Perfect condition</t>
  </si>
  <si>
    <t>//ord_10487//Mohit Malhotra//Lower Parel//Tomato+2*Vivek Kumar/2/11/2023//COD//Delivered*On-time Delivery: Delivered on time</t>
  </si>
  <si>
    <t>//ord_10488//Riya Chakraborty//Juhu//Juice+9*Tanvi Jain/12/29/2023//Credit Card//Delivered*Quality of Items: Perfect condition</t>
  </si>
  <si>
    <t>//ord_10489//Omkar Mishra//Powai//Icecream+3*Sandeep Kumar/2/18/2023//UPI//Delivered*Packaging: Secure and intact</t>
  </si>
  <si>
    <t>//ord_10490//Pallavi Ghosh//Bandra//Juice+2*Priya Joshi/9/2/2023//Credit Card//Delivered*Satisfied with the Delivery: Timely and quality</t>
  </si>
  <si>
    <t>//ord_10491//Siya Reddy//Juhu//Rasmalai+1*Not Assigned/6/13/2023//Online Payment//Cancelled*App Glitches:Slow Loading Time</t>
  </si>
  <si>
    <t xml:space="preserve">//ord_10492//Mehul Thakkar//Malad//Banana+1*Neha Shah/2/12/2023//Credit Card//Cancelled*Delayed Delivery:Bad Weather Conditions </t>
  </si>
  <si>
    <t>//ord_10493//Siya Reddy//Juhu//Chicken Puff+1*Not Assigned/7/13/2023//UPI//Cancelled*App Glitches:Slow Loading Time</t>
  </si>
  <si>
    <t>//ord_10494//Omkar Mishra//Powai//Cucumber+2*Sandeep Kumar/6/15/2023//Online Payment//Delivered*Customer Service: Seamless and easy</t>
  </si>
  <si>
    <t>//ord_10495//Tanishq Bansal//Bandra//Cold Coffee+5*Priya Joshi/9/8/2023//Credit Card//Delivered*Delivery Experience: Quick and professional</t>
  </si>
  <si>
    <t>//ord_10496//Anaya Rao//Malad//Potato+1*Neha Shah/5/10/2023//COD//Delivered*Convenience: Easy tracking</t>
  </si>
  <si>
    <t>//ord_10497//Anaya Rao//Malad//Icecream+2*Neha Shah/2/2/2023//Credit Card//Delivered*Overall Satisfaction: Great service will order again</t>
  </si>
  <si>
    <t>//ord_10498//Tanishq Bansal//Bandra//Cold Coffee+4*Priya Joshi/9/14/2023//Credit Card//Delivered*On-time Delivery: Delivered on time</t>
  </si>
  <si>
    <t>//ord_10499//Ishaan Chaturvedi//Bandra//Chocolate Mousse+1*Priya Joshi/12/17/2023//COD//Delivered*Quality of Items: Perfect condition</t>
  </si>
  <si>
    <t>//ord_10500//Mehul Thakkar//Malad//Cucumber+2*Vivek Kumar/11/6/2023//Credit Card//Cancelled*Delayed Delivery:High Order Volume</t>
  </si>
  <si>
    <t>//ord_10501//Pallavi Ghosh//Bandra//Chilli Cheese Toast+5*Priya Joshi/5/18/2023//UPI//Delivered*On-time Delivery: Delivered on time</t>
  </si>
  <si>
    <t>//ord_10502//Siya Reddy//Juhu//Potato+2*Tanvi Jain/7/17/2023//COD//Delivered*Quality of Items: Perfect condition</t>
  </si>
  <si>
    <t>//ord_10503//Omkar Mishra//Powai//Potato+2*Sandeep Kumar/10/20/2023//COD//Delivered*Packaging: Secure and intact</t>
  </si>
  <si>
    <t>//ord_10504//Mehul Thakkar//Malad//Onion+2*Not Assigned/10/11/2023//Online Payment//Cancelled*App Glitches: Payment Button Malfunction</t>
  </si>
  <si>
    <t>//ord_10505//Pallavi Ghosh//Bandra//Papaya+1*Priya Joshi/7/2/2023//Online Payment//Delivered*Satisfied with the Delivery: Timely and quality</t>
  </si>
  <si>
    <t>//ord_10506//Omkar Mishra//Powai//Rasmalai+2*Sandeep Kumar/1/23/2023//UPI//Delivered*Customer Service: Seamless and easy</t>
  </si>
  <si>
    <t>//ord_10507//Mohit Malhotra//Lower Parel//Orange+1*Kiran Mehta/1/6/2023//Credit Card//Delivered*Delivery Experience: Quick and professional</t>
  </si>
  <si>
    <t>//ord_10508//Aditya Basu//Juhu//Icecream+9*Ram Gopal/6/27/2023//UPI//Delivered*Convenience: Easy tracking</t>
  </si>
  <si>
    <t>//ord_10509//Mehul Thakkar//Malad//Chilli Cheese Toast+3*Ramesh S/12/1/2023//Online Payment//Delivered*Overall Satisfaction: Great service will order again</t>
  </si>
  <si>
    <t>//ord_10510//Pranav Joshi//Andheri//Veg Puff+5*Shine Thomas/10/6/2023//UPI//Delivered*On-time Delivery: Delivered on time</t>
  </si>
  <si>
    <t>//ord_10511//Pallavi Ghosh//Bandra//Potato+1*Sita T/5/4/2023//Credit Card//Delivered*Quality of Items: Perfect condition</t>
  </si>
  <si>
    <t>//ord_10512//Tanishq Bansal//Powai//Orange+1*Vivek Kumar/12/3/2023//UPI//Delivered*On-time Delivery: Delivered on time</t>
  </si>
  <si>
    <t>//ord_10513//Tanishq Bansal//Powai//Cold Coffee+3*Not Assigned/12/24/2023//Credit Card//Cancelled*Out of Stock</t>
  </si>
  <si>
    <t xml:space="preserve">//ord_10514//Arvind Kulkarni//Juhu//Potato+1*Kiran Mehta/11/17/2023//Credit Card//Cancelled*Delayed Delivery:Bad Weather Conditions </t>
  </si>
  <si>
    <t>//ord_10515//Arvind Kulkarni//Juhu//Chicken Puff+5*Ramesh S/11/26/2023//COD//Delivered*Quality of Items: Perfect condition</t>
  </si>
  <si>
    <t>//ord_10516//Siya Reddy//Juhu//Veg Puff+2*Ramesh S/2/5/2023//COD//Delivered*Packaging: Secure and intact</t>
  </si>
  <si>
    <t>//ord_10517//Omkar Mishra//Powai//Chilli Cheese Toast+2*Not Assigned/1/20/2023//Credit Card//Cancelled*High Delivery Fees</t>
  </si>
  <si>
    <t>//ord_10518//Siya Reddy//Juhu//Juice+5*Venu R/5/12/2023//Credit Card//Cancelled*Delayed Delivery:Heavy Traffic</t>
  </si>
  <si>
    <t>//ord_10519//Diya Arora//Lower Parel//Cucumber+2*Not Assigned/12/25/2023//Credit Card//Cancelled*High Delivery Fees</t>
  </si>
  <si>
    <t>//ord_10520//Pallavi Ghosh//Bandra//Chocolate Mousse+5*Not Assigned/9/29/2023//UPI//Cancelled*Payment Issues</t>
  </si>
  <si>
    <t xml:space="preserve">//ord_10521//Mehul Thakkar//Malad//Chicken Puff+1*Tanvi Jain/10/14/2023//Online Payment//Cancelled*Delayed Delivery:Bad Weather Conditions </t>
  </si>
  <si>
    <t>//ord_10522//Parth Goel//Juhu//Sweet Corn+2*Not Assigned/6/15/2023//Credit Card//Cancelled*Out of Stock</t>
  </si>
  <si>
    <t>//ord_10523//Arvind Kulkarni//Juhu//Orange+1*Ramesh S/8/10/2023//COD//Delivered*Satisfied with the Delivery: Timely and quality</t>
  </si>
  <si>
    <t>//ord_10524//Aarav Mehta//Andheri//Apple+1*Ramesh S/12/1/2023//Credit Card//Delivered*Customer Service: Seamless and easy</t>
  </si>
  <si>
    <t>//ord_10525//Nitin Sehgal//Bandra//Orange+2*Sita T/8/6/2023//Online Payment//Delivered*Delivery Experience: Quick and professional</t>
  </si>
  <si>
    <t>//ord_10526//Arvind Kulkarni//Juhu//Icecream+3*Vivek Kumar/11/13/2023//Credit Card//Cancelled*Delayed Delivery:Incorrect Address or Location</t>
  </si>
  <si>
    <t>//ord_10527//Anaya Rao//Colaba//Tiramisu+1*Not Assigned/2/24/2023//Online Payment//Cancelled*Out of Stock</t>
  </si>
  <si>
    <t>//ord_10528//Arvind Kulkarni//Juhu//Veg Puff+5*Tanvi Jain/8/20/2023//Credit Card//Cancelled*Delayed Delivery:Heavy Traffic</t>
  </si>
  <si>
    <t>//ord_10529//Siya Reddy//Juhu//Sweet Corn+1*Not Assigned/10/25/2023//Credit Card//Cancelled*App Glitches:App Freezes</t>
  </si>
  <si>
    <t>//ord_10530//Diya Arora//Lower Parel//Rasmalai+4*Not Assigned/11/15/2023//Online Payment//Cancelled*App Glitches:Error Messages</t>
  </si>
  <si>
    <t>//ord_10531//Kritika Shetty//Malad//Sweet Corn+1*Ram Gopal/11/18/2023//Online Payment//Cancelled*Delayed Delivery:High Order Volume</t>
  </si>
  <si>
    <t>//ord_10532//Parth Goel//Juhu//Popcorn+4*Tanvi Jain/5/22/2023//COD//Delivered*Convenience: Easy tracking</t>
  </si>
  <si>
    <t>//ord_10533//Siya Reddy//Juhu//Rasmalai+4*Tanvi Jain/11/18/2023//Online Payment//Delivered*Overall Satisfaction: Great service will order again</t>
  </si>
  <si>
    <t>//ord_10534//Aditi Iyer//Dadar//Chicken Puff+1*Tanvi Jain/7/12/2023//Credit Card//Cancelled*Delayed Delivery:Vehicle Breakdown</t>
  </si>
  <si>
    <t>//ord_10535//Kritika Shetty//Malad//Sweet Corn+1*Not Assigned/11/26/2023//Credit Card//Cancelled*App Glitches: Payment Button Malfunction</t>
  </si>
  <si>
    <t>//ord_10536//Sakshi Tandon//Colaba//Banana+2*Not Assigned/8/6/2023//Online Payment//Cancelled*App Glitches:Slow Loading Time</t>
  </si>
  <si>
    <t>//ord_10537//Tanishq Bansal//Powai//Cold Coffee+2*Nithin Lal/2/15/2023//UPI//Cancelled*Delayed Delivery:Heavy Traffic</t>
  </si>
  <si>
    <t>//ord_10538//Siya Reddy//Juhu//Popcorn+4*Tanvi Jain/6/10/2023//Online Payment//Delivered*On-time Delivery: Delivered on time</t>
  </si>
  <si>
    <t>//ord_10539//Parth Goel//Juhu//Papaya+1*Tanvi Jain/12/30/2023//Credit Card//Delivered*Quality of Items: Perfect condition</t>
  </si>
  <si>
    <t>//ord_10540//Arvind Kulkarni//Juhu//Tomato+2*Tanvi Jain/12/26/2023//UPI//Delivered*On-time Delivery: Delivered on time</t>
  </si>
  <si>
    <t>//ord_10541//Pranav Joshi//Andheri//Potato+1*Rohan Yadav/9/30/2023//Online Payment//Delivered*Quality of Items: Perfect condition</t>
  </si>
  <si>
    <t>//ord_10542//Mohit Malhotra//Lower Parel//Icecream+3*Not Assigned/5/19/2023//Online Payment//Cancelled*App Glitches:Slow Loading Time</t>
  </si>
  <si>
    <t>//ord_10543//Sanjay Nair//Dadar//Chicken Puff+3*Aman Kumar/9/24/2023//UPI//Delivered*Packaging: Secure and intact</t>
  </si>
  <si>
    <t>//ord_10544//Mohit Malhotra//Lower Parel//Veg Puff+4*Kiran Mehta/2/3/2023//UPI//Delivered*Satisfied with the Delivery: Timely and quality</t>
  </si>
  <si>
    <t>//ord_10545//Anaya Rao//Colaba//Icecream+4*Nikhil Deshmukh/12/17/2023//COD//Delivered*Customer Service: Seamless and easy</t>
  </si>
  <si>
    <t>//ord_10546//Aarav Mehta//Andheri//Chocolate Mousse+4*Rohan Yadav/12/23/2023//Online Payment//Delivered*Delivery Experience: Quick and professional</t>
  </si>
  <si>
    <t>//ord_10547//Mehul Thakkar//Malad//Chocolate Mousse+3*Neha Shah/2/28/2023//UPI//Delivered*Convenience: Easy tracking</t>
  </si>
  <si>
    <t>//ord_10548//Anaya Rao//Colaba//Orange+1*Nikhil Deshmukh/6/9/2023//UPI//Delivered*Overall Satisfaction: Great service will order again</t>
  </si>
  <si>
    <t>//ord_10549//Aditi Iyer//Dadar//Juice+2*Aman Kumar/12/23/2023//Credit Card//Delivered*On-time Delivery: Delivered on time</t>
  </si>
  <si>
    <t>//ord_10550//Dev Chauhan//Bandra//Popcorn+2*Priya Joshi/5/30/2023//Online Payment//Delivered*Quality of Items: Perfect condition</t>
  </si>
  <si>
    <t>//ord_10551//Pallavi Ghosh//Bandra//Chicken Puff+2*Priya Joshi/2/13/2023//Credit Card//Delivered*On-time Delivery: Delivered on time</t>
  </si>
  <si>
    <t>//ord_10552//Tanishq Bansal//Powai//Tiramisu+3*Sandeep Kumar/11/27/2023//Credit Card//Delivered*Quality of Items: Perfect condition</t>
  </si>
  <si>
    <t>//ord_10553//Anaya Rao//Malad//Orange+2*Venu R/1/24/2023//Online Payment//Delivered*Packaging: Secure and intact</t>
  </si>
  <si>
    <t>//ord_10554//Aarav Mehta//Andheri//Guava+2*Shine Thomas/9/6/2023//UPI//Delivered*Satisfied with the Delivery: Timely and quality</t>
  </si>
  <si>
    <t>//ord_10555//Pallavi Ghosh//Bandra//Cucumber+2*Sita T/2/23/2023//Online Payment//Delivered*Customer Service: Seamless and easy</t>
  </si>
  <si>
    <t>//ord_10556//Aditi Iyer//Dadar//Veg Puff+4*Vivek Kumar/6/1/2023//UPI//Delivered*Delivery Experience: Quick and professional</t>
  </si>
  <si>
    <t>//ord_10557//Ishaan Chaturvedi//Bandra//Icecream+2*Manju Ajay/12/7/2023//UPI//Delivered*Convenience: Easy tracking</t>
  </si>
  <si>
    <t>//ord_10558//Anaya Rao//Colaba//Guava+2*Vivek Kumar/6/15/2023//COD//Delivered*Overall Satisfaction: Great service will order again</t>
  </si>
  <si>
    <t xml:space="preserve">//ord_10559//Ishita Banerjee//Juhu//Tomato+1*Aman Kumar/2/7/2023//Credit Card//Cancelled*Delayed Delivery:Bad Weather Conditions </t>
  </si>
  <si>
    <t>//ord_10560//Mohit Malhotra//Lower Parel//Onion+2*Ramesh S/7/10/2023//Online Payment//Delivered*On-time Delivery: Delivered on time</t>
  </si>
  <si>
    <t>//ord_10561//Mohit Malhotra//Lower Parel//Sweet Corn+2*Ram Gopal/12/14/2023//COD//Delivered*Quality of Items: Perfect condition</t>
  </si>
  <si>
    <t>//ord_10562//Mohit Malhotra//Lower Parel//Rasmalai+2*Kiran Mehta/9/27/2023//COD//Delivered*On-time Delivery: Delivered on time</t>
  </si>
  <si>
    <t>//ord_10563//Aditi Iyer//Dadar//Popcorn+5*Aman Kumar/3/15/2023//Credit Card//Delivered*Quality of Items: Perfect condition</t>
  </si>
  <si>
    <t>//ord_10564//Sanjay Nair//Dadar//Chocolate Mousse+2*Aman Kumar/10/10/2023//Credit Card//Delivered*Packaging: Secure and intact</t>
  </si>
  <si>
    <t>//ord_10565//Dev Chauhan//Bandra//Orange+1*Priya Joshi/9/28/2023//Credit Card//Delivered*Satisfied with the Delivery: Timely and quality</t>
  </si>
  <si>
    <t>//ord_10566//Aditi Iyer//Dadar//Cucumber+1*Not Assigned/6/1/2023//Credit Card//Cancelled*App Glitches:Slow Loading Time</t>
  </si>
  <si>
    <t>//ord_10567//Sakshi Tandon//Colaba//Popcorn+2*Not Assigned/11/4/2023//Online Payment//Cancelled*Payment Issues</t>
  </si>
  <si>
    <t>//ord_10568//Diya Arora//Lower Parel//Icecream+5*Nithin Lal/3/19/2023//Credit Card//Cancelled*Delayed Delivery:Incorrect Address or Location</t>
  </si>
  <si>
    <t>//ord_10569//Pranav Joshi//Andheri//Orange+1*Rohan Yadav/8/15/2023//Credit Card//Delivered*Customer Service: Seamless and easy</t>
  </si>
  <si>
    <t>//ord_10570//Aditi Iyer//Dadar//Onion+1*Aman Kumar/11/29/2023//UPI//Delivered*Delivery Experience: Quick and professional</t>
  </si>
  <si>
    <t>//ord_10571//Pranav Joshi//Andheri//Apple+1*Rohan Yadav/2/27/2023//Credit Card//Delivered*Convenience: Easy tracking</t>
  </si>
  <si>
    <t>//ord_10572//Ishita Banerjee//Juhu//Cold Coffee+2*Tanvi Jain/8/27/2023//UPI//Delivered*Overall Satisfaction: Great service will order again</t>
  </si>
  <si>
    <t>//ord_10573//Sakshi Tandon//Colaba//Juice+3*Nikhil Deshmukh/12/14/2023//COD//Delivered*On-time Delivery: Delivered on time</t>
  </si>
  <si>
    <t>//ord_10574//Ishita Banerjee//Juhu//Tiramisu+5*Tanvi Jain/5/26/2023//Credit Card//Delivered*Quality of Items: Perfect condition</t>
  </si>
  <si>
    <t>//ord_10575//Anaya Rao//Colaba//Banana+1*Not Assigned/12/18/2023//Credit Card//Cancelled*High Delivery Fees</t>
  </si>
  <si>
    <t>//ord_10576//Arvind Kulkarni//Juhu//Juice+4*Not Assigned/1/30/2023//Online Payment//Cancelled*App Glitches:Missing Content</t>
  </si>
  <si>
    <t>//ord_10577//Aarav Mehta//Andheri//Sweet Corn+2*Rohan Yadav/11/7/2023//Credit Card//Delivered*On-time Delivery: Delivered on time</t>
  </si>
  <si>
    <t>//ord_10578//Ishita Banerjee//Juhu//Papaya+2*Tanvi Jain/11/20/2023//Credit Card//Cancelled*Delayed Delivery:Traffic Accidents or Road Closures</t>
  </si>
  <si>
    <t>//ord_10579//Ishaan Chaturvedi//Bandra//Rasmalai+1*Not Assigned/9/2/2023//Credit Card//Cancelled*Out of Stock</t>
  </si>
  <si>
    <t>//ord_10580//Tanishq Bansal//Powai//Banana+2*Vivek Kumar/6/8/2023//COD//Delivered*Quality of Items: Perfect condition</t>
  </si>
  <si>
    <t>//ord_10581//Pranav Joshi//Andheri//Rasmalai+5*Venu R/3/14/2023//UPI//Delivered*Packaging: Secure and intact</t>
  </si>
  <si>
    <t>//ord_10582//Parth Goel//Juhu//Banana+2*Sita T/5/10/2023//COD//Delivered*Satisfied with the Delivery: Timely and quality</t>
  </si>
  <si>
    <t>//ord_10583//Siya Reddy//Juhu//Potato+1*Not Assigned/3/19/2023//UPI//Cancelled*App Glitches:Slow Loading Time</t>
  </si>
  <si>
    <t>//ord_10584//Anaya Rao//Colaba//Icecream+3*Ramesh S/1/8/2023//COD//Delivered*Customer Service: Seamless and easy</t>
  </si>
  <si>
    <t>//ord_10585//Pranav Joshi//Andheri//Cold Coffee+2*Not Assigned/3/15/2023//Credit Card//Cancelled*App Glitches: Payment Button Malfunction</t>
  </si>
  <si>
    <t>//ord_10586//Sakshi Tandon//Colaba//Papaya+1*Sita T/6/19/2023//Online Payment//Cancelled*Delayed Delivery:High Order Volume</t>
  </si>
  <si>
    <t>//ord_10587//Parth Goel//Juhu//Juice+2*Not Assigned/2/4/2023//Credit Card//Cancelled*App Glitches: Payment Button Malfunction</t>
  </si>
  <si>
    <t>//ord_10588//Anaya Rao//Colaba//Onion+2*Not Assigned/3/18/2023//UPI//Cancelled*App Glitches:App Freezes</t>
  </si>
  <si>
    <t>//ord_10589//Aditi Iyer//Dadar//Popcorn+5*Nithin Lal/8/1/2023//Online Payment//Delivered*Delivery Experience: Quick and professional</t>
  </si>
  <si>
    <t xml:space="preserve">//ord_10590//Siya Reddy//Juhu//Chicken Puff+3*Sandeep Kumar/6/20/2023//Credit Card//Cancelled*Delayed Delivery:Bad Weather Conditions </t>
  </si>
  <si>
    <t>//ord_10591//Sanjay Nair//Dadar//Icecream+4*Ramesh S/2/13/2023//Online Payment//Cancelled*Delayed Delivery:Heavy Traffic</t>
  </si>
  <si>
    <t>//ord_10592//Mehul Thakkar//Malad//Veg Puff+1*Manju Ajay/7/13/2023//Credit Card//Delivered*Convenience: Easy tracking</t>
  </si>
  <si>
    <t>//ord_10593//Anaya Rao//Colaba//Cold Coffee+1*Shine Thomas/7/16/2023//COD//Delivered*Overall Satisfaction: Great service will order again</t>
  </si>
  <si>
    <t>//ord_10594//Arvind Kulkarni//Juhu//Potato+1*Nithin Lal/1/16/2023//Credit Card//Delivered*On-time Delivery: Delivered on time</t>
  </si>
  <si>
    <t>//ord_10595//Omkar Mishra//Powai//Chicken Puff+2*Ramesh S/5/3/2023//Online Payment//Delivered*Quality of Items: Perfect condition</t>
  </si>
  <si>
    <t>//ord_10596//Diya Arora//Lower Parel//Rasmalai+2*Venu R/1/30/2023//Credit Card//Delivered*On-time Delivery: Delivered on time</t>
  </si>
  <si>
    <t>//ord_10597//Mehul Thakkar//Malad//Papaya+1*Not Assigned/7/24/2023//UPI//Cancelled*App Glitches:Slow Loading Time</t>
  </si>
  <si>
    <t>//ord_10598//Dev Chauhan//Bandra//Tomato+2*Shine Thomas/11/6/2023//Credit Card//Delivered*Quality of Items: Perfect condition</t>
  </si>
  <si>
    <t>//ord_10599//Diya Arora//Lower Parel//Chicken Puff+5*Vivek Kumar/2/7/2023//UPI//Delivered*Packaging: Secure and intact</t>
  </si>
  <si>
    <t>//ord_10600//Aarav Mehta//Andheri//Potato+2*Ram Gopal/11/26/2023//COD//Delivered*Satisfied with the Delivery: Timely and quality</t>
  </si>
  <si>
    <t>//ord_10601//Mohit Malhotra//Lower Parel//Chicken Puff+2*Sita T/6/17/2023//COD//Delivered*Customer Service: Seamless and easy</t>
  </si>
  <si>
    <t>//ord_10602//Aarav Mehta//Andheri//Rasmalai+3*Ram Gopal/8/20/2023//UPI//Delivered*Delivery Experience: Quick and professional</t>
  </si>
  <si>
    <t>//ord_10603//Tanishq Bansal//Powai//Papaya+1*Sandeep Kumar/5/29/2023//UPI//Delivered*Convenience: Easy tracking</t>
  </si>
  <si>
    <t>//ord_10604//Omkar Mishra//Powai//Onion+2*Sandeep Kumar/9/2/2023//UPI//Delivered*Overall Satisfaction: Great service will order again</t>
  </si>
  <si>
    <t>//ord_10605//Aditi Iyer//Dadar//Tiramisu+2*Aman Kumar/5/15/2023//COD//Delivered*On-time Delivery: Delivered on time</t>
  </si>
  <si>
    <t>//ord_10606//Parth Goel//Juhu//Veg Puff+3*Tanvi Jain/12/13/2023//Online Payment//Delivered*Quality of Items: Perfect condition</t>
  </si>
  <si>
    <t>//ord_10607//Sanjay Nair//Dadar//Potato+2*Aman Kumar/10/22/2023//UPI//Delivered*On-time Delivery: Delivered on time</t>
  </si>
  <si>
    <t>//ord_10608//Mohit Malhotra//Lower Parel//Apple+1*Kiran Mehta/6/12/2023//UPI//Delivered*Quality of Items: Perfect condition</t>
  </si>
  <si>
    <t>//ord_10609//Aditi Iyer//Dadar//Tomato+2*Aman Kumar/9/27/2023//COD//Delivered*Packaging: Secure and intact</t>
  </si>
  <si>
    <t>//ord_10610//Sakshi Tandon//Colaba//Tomato+2*Nikhil Deshmukh/7/23/2023//Credit Card//Delivered*Satisfied with the Delivery: Timely and quality</t>
  </si>
  <si>
    <t>//ord_10611//Diya Arora//Lower Parel//Tomato+2*Kiran Mehta/11/3/2023//UPI//Delivered*Customer Service: Seamless and easy</t>
  </si>
  <si>
    <t>//ord_10612//Siya Reddy//Juhu//Icecream+2*Not Assigned/2/9/2023//UPI//Cancelled*High Delivery Fees</t>
  </si>
  <si>
    <t>//ord_10613//Ishita Banerjee//Juhu//Apple+2*Tanvi Jain/7/17/2023//COD//Delivered*Delivery Experience: Quick and professional</t>
  </si>
  <si>
    <t>//ord_10614//Ishaan Chaturvedi//Bandra//Rasmalai+3*Priya Joshi/3/30/2023//Online Payment//Delivered*Convenience: Easy tracking</t>
  </si>
  <si>
    <t>//ord_10615//Kritika Shetty//Malad//Tiramisu+4*Not Assigned/10/17/2023//Credit Card//Cancelled*High Delivery Fees</t>
  </si>
  <si>
    <t>//ord_10616//Sakshi Tandon//Colaba//Onion+1*Nikhil Deshmukh/10/29/2023//Online Payment//Delivered*Overall Satisfaction: Great service will order again</t>
  </si>
  <si>
    <t>//ord_10617//Aditi Iyer//Dadar//Papaya+1*Aman Kumar/11/11/2023//Online Payment//Delivered*On-time Delivery: Delivered on time</t>
  </si>
  <si>
    <t>//ord_10618//Tanishq Bansal//Powai//Icecream+2*Manju Ajay/2/10/2023//COD//Delivered*Quality of Items: Perfect condition</t>
  </si>
  <si>
    <t>//ord_10619//Ishaan Chaturvedi//Bandra//Juice+5*Venu R/6/5/2023//Online Payment//Delivered*On-time Delivery: Delivered on time</t>
  </si>
  <si>
    <t>//ord_10620//Sakshi Tandon//Colaba//Apple+1*Vivek Kumar/3/25/2023//UPI//Delivered*Quality of Items: Perfect condition</t>
  </si>
  <si>
    <t>//ord_10621//Aarav Mehta//Andheri//Rasmalai+2*Nithin Lal/2/5/2023//COD//Delivered*Packaging: Secure and intact</t>
  </si>
  <si>
    <t>//ord_10622//Siya Reddy//Juhu//Tiramisu+2*Sita T/5/16/2023//Credit Card//Delivered*Satisfied with the Delivery: Timely and quality</t>
  </si>
  <si>
    <t>//ord_10623//Tanishq Bansal//Powai//Papaya+1*Ramesh S/2/23/2023//UPI//Delivered*Customer Service: Seamless and easy</t>
  </si>
  <si>
    <t>//ord_10624//Diya Arora//Lower Parel//Banana+1*Venu R/1/5/2023//Credit Card//Delivered*Delivery Experience: Quick and professional</t>
  </si>
  <si>
    <t>//ord_10625//Omkar Mishra//Powai//Cold Coffee+4*Ram Gopal/7/5/2023//Online Payment//Delivered*Convenience: Easy tracking</t>
  </si>
  <si>
    <t>//ord_10626//Aarohi Kapoor//Bandra//Popcorn+5*Venu R/10/18/2023//Credit Card//Delivered*Overall Satisfaction: Great service will order again</t>
  </si>
  <si>
    <t>//ord_10627//Anaya Rao//Malad//Chilli Cheese Toast+2*Vivek Kumar/9/7/2023//Credit Card//Delivered*On-time Delivery: Delivered on time</t>
  </si>
  <si>
    <t>//ord_10628//Aditya Rao//Lower Parel//Rasmalai+2*Shine Thomas/2/17/2023//Online Payment//Delivered*Quality of Items: Perfect condition</t>
  </si>
  <si>
    <t>//ord_10629//Sakshi Tandon//Colaba//Rasmalai+2*Ram Gopal/10/26/2023//Credit Card//Delivered*On-time Delivery: Delivered on time</t>
  </si>
  <si>
    <t>//ord_10630//Ishita Banerjee//Juhu//Tomato+2*Not Assigned/1/11/2023//Credit Card//Cancelled*Payment Issues</t>
  </si>
  <si>
    <t>//ord_10631//Anaya Rao//Colaba//Potato+1*Ramesh S/9/28/2023//Credit Card//Delivered*Quality of Items: Perfect condition</t>
  </si>
  <si>
    <t>//ord_10632//Pranav Joshi//Andheri//Cucumber+2*Nithin Lal/3/4/2023//Credit Card//Delivered*Packaging: Secure and intact</t>
  </si>
  <si>
    <t>//ord_10633//Arvind Kulkarni//Juhu//Potato+2*Not Assigned/11/30/2023//UPI//Cancelled*App Glitches:Slow Loading Time</t>
  </si>
  <si>
    <t>//ord_10634//Arvind Kulkarni//Juhu//Onion+2*Not Assigned/3/13/2023//Online Payment//Cancelled*App Glitches:Slow Loading Time</t>
  </si>
  <si>
    <t>//ord_10635//Parth Goel//Juhu//Potato+2*Ramesh S/12/19/2023//COD//Delivered*Satisfied with the Delivery: Timely and quality</t>
  </si>
  <si>
    <t>//ord_10636//Pranav Joshi//Andheri//Cucumber+1*Ramesh S/9/30/2023//Online Payment//Delivered*Customer Service: Seamless and easy</t>
  </si>
  <si>
    <t>//ord_10637//Pranav Joshi//Andheri//Tiramisu+2*Sita T/9/23/2023//Online Payment//Delivered*Delivery Experience: Quick and professional</t>
  </si>
  <si>
    <t>//ord_10638//Mehul Thakkar//Malad//Apple+2*Not Assigned/11/11/2023//Credit Card//Cancelled*App Glitches: Inconsistent Data Display</t>
  </si>
  <si>
    <t>//ord_10639//Diya Arora//Lower Parel//Chilli Cheese Toast+1*Shine Thomas/7/13/2023//COD//Delivered*Convenience: Easy tracking</t>
  </si>
  <si>
    <t>//ord_10640//Siya Reddy//Juhu//Rasmalai+3*Not Assigned/1/13/2023//UPI//Cancelled*High Delivery Fees</t>
  </si>
  <si>
    <t>//ord_10641//Pallavi Ghosh//Bandra//Apple+2*Ramesh S/11/29/2023//Credit Card//Delivered*Overall Satisfaction: Great service will order again</t>
  </si>
  <si>
    <t>//ord_10642//Kritika Shetty//Malad//Rasmalai+5*Vivek Kumar/8/28/2023//UPI//Delivered*On-time Delivery: Delivered on time</t>
  </si>
  <si>
    <t>//ord_10643//Ishita Banerjee//Juhu//Chocolate Mousse+1*Not Assigned/3/28/2023//Credit Card//Cancelled*App Glitches:Slow Loading Time</t>
  </si>
  <si>
    <t>//ord_10644//Mehul Thakkar//Malad//Sweet Corn+1*Ramesh S/5/15/2023//UPI//Delivered*Quality of Items: Perfect condition</t>
  </si>
  <si>
    <t>//ord_10645//Mohit Malhotra//Lower Parel//Rasmalai+4*Shine Thomas/7/13/2023//Credit Card//Delivered*On-time Delivery: Delivered on time</t>
  </si>
  <si>
    <t>//ord_10646//Pranav Joshi//Andheri//Cucumber+1*Ram Gopal/10/29/2023//Credit Card//Delivered*Quality of Items: Perfect condition</t>
  </si>
  <si>
    <t>//ord_10647//Diya Arora//Lower Parel//Cucumber+1*Sita T/9/9/2023//Credit Card//Delivered*Packaging: Secure and intact</t>
  </si>
  <si>
    <t>//ord_10648//Parth Goel//Juhu//Potato+2*Ram Gopal/9/26/2023//Credit Card//Delivered*Satisfied with the Delivery: Timely and quality</t>
  </si>
  <si>
    <t>//ord_10649//Sanjay Nair//Dadar//Rasmalai+4*Ramesh S/6/6/2023//UPI//Delivered*Customer Service: Seamless and easy</t>
  </si>
  <si>
    <t>//ord_10650//Sanjay Nair//Dadar//Sweet Corn+1*Manju Ajay/9/23/2023//UPI//Delivered*Delivery Experience: Quick and professional</t>
  </si>
  <si>
    <t>//ord_10651//Aarohi Kapoor//Bandra//Sweet Corn+2*Manju Ajay/1/1/2023//Credit Card//Delivered*Convenience: Easy tracking</t>
  </si>
  <si>
    <t>//ord_10652//Omkar Mishra//Powai//Apple+1*Vivek Kumar/6/24/2023//UPI//Delivered*Overall Satisfaction: Great service will order again</t>
  </si>
  <si>
    <t>//ord_10653//Sanjay Nair//Dadar//Guava+1*Venu R/5/16/2023//Credit Card//Delivered*On-time Delivery: Delivered on time</t>
  </si>
  <si>
    <t>//ord_10654//Aditi Iyer//Dadar//Chicken Puff+3*Manju Ajay/11/26/2023//COD//Delivered*Quality of Items: Perfect condition</t>
  </si>
  <si>
    <t>//ord_10655//Sanjay Nair//Dadar//Sweet Corn+2*Manju Ajay/12/14/2023//Online Payment//Delivered*On-time Delivery: Delivered on time</t>
  </si>
  <si>
    <t>//ord_10656//Pranav Joshi//Andheri//Sweet Corn+2*Manju Ajay/5/16/2023//Online Payment//Delivered*Quality of Items: Perfect condition</t>
  </si>
  <si>
    <t>//ord_10657//Parth Goel//Juhu//Chilli Cheese Toast+5*Sita T/12/22/2023//UPI//Delivered*Packaging: Secure and intact</t>
  </si>
  <si>
    <t>//ord_10658//Ishaan Chaturvedi//Bandra//Orange+1*Ramesh S/11/11/2023//COD//Delivered*Satisfied with the Delivery: Timely and quality</t>
  </si>
  <si>
    <t>//ord_10659//Mehul Thakkar//Malad//Popcorn+1*Not Assigned/8/2/2023//Online Payment//Cancelled*App Glitches: Payment Button Malfunction</t>
  </si>
  <si>
    <t>//ord_10660//Aditi Iyer//Dadar//Icecream+2*Shine Thomas/11/13/2023//COD//Delivered*Customer Service: Seamless and easy</t>
  </si>
  <si>
    <t>//ord_10661//Ishaan Chaturvedi//Bandra//Icecream+2*Manju Ajay/10/23/2023//UPI//Delivered*Delivery Experience: Quick and professional</t>
  </si>
  <si>
    <t>//ord_10662//Aditi Iyer//Dadar//Cucumber+1*Vivek Kumar/5/22/2023//COD//Delivered*Convenience: Easy tracking</t>
  </si>
  <si>
    <t>//ord_10663//Aarav Mehta//Andheri//Guava+2*Manju Ajay/4/8/2023//Online Payment//Delivered*Overall Satisfaction: Great service will order again</t>
  </si>
  <si>
    <t>//ord_10664//Anaya Rao//Colaba//Chicken Puff+4*Sita T/2/19/2023//COD//Delivered*On-time Delivery: Delivered on time</t>
  </si>
  <si>
    <t>//ord_10665//Ishita Banerjee//Juhu//Potato+1*Not Assigned/9/23/2023//UPI//Cancelled*App Glitches:Missing Content</t>
  </si>
  <si>
    <t>//ord_10666//Diya Arora//Lower Parel//Papaya+1*Ramesh S/1/2/2023//UPI//Delivered*Quality of Items: Perfect condition</t>
  </si>
  <si>
    <t>//ord_10667//Pranav Joshi//Andheri//Icecream+5*Ram Gopal/12/6/2023//Online Payment//Delivered*On-time Delivery: Delivered on time</t>
  </si>
  <si>
    <t>//ord_10668//Tanishq Bansal//Powai//Cucumber+2*Sandeep Kumar/1/14/2023//UPI//Delivered*Quality of Items: Perfect condition</t>
  </si>
  <si>
    <t>//ord_10669//Mehul Thakkar//Malad//Veg Puff+2*Neha Shah/8/10/2023//UPI//Delivered*Packaging: Secure and intact</t>
  </si>
  <si>
    <t>//ord_10670//Dev Chauhan//Bandra//Sweet Corn+1*Priya Joshi/12/7/2023//UPI//Delivered*Satisfied with the Delivery: Timely and quality</t>
  </si>
  <si>
    <t>//ord_10671//Aarohi Kapoor//Bandra//Papaya+2*Priya Joshi/7/9/2023//UPI//Delivered*Customer Service: Seamless and easy</t>
  </si>
  <si>
    <t>//ord_10672//Mohit Malhotra//Lower Parel//Chocolate Mousse+5*Kiran Mehta/9/11/2023//UPI//Delivered*Delivery Experience: Quick and professional</t>
  </si>
  <si>
    <t>//ord_10673//Siya Reddy//Juhu//Veg Puff+5*Tanvi Jain/4/3/2023//UPI//Delivered*Convenience: Easy tracking</t>
  </si>
  <si>
    <t>//ord_10674//Aarohi Kapoor//Bandra//Cold Coffee+3*Not Assigned/2/21/2023//Credit Card//Cancelled*Out of Stock</t>
  </si>
  <si>
    <t>//ord_10675//Tanishq Bansal//Powai//Rasmalai+1*Not Assigned/11/18/2023//Credit Card//Cancelled*High Delivery Fees</t>
  </si>
  <si>
    <t>//ord_10676//Sanjay Nair//Dadar//Chocolate Mousse+3*Not Assigned/8/8/2023//UPI//Cancelled*Payment Issues</t>
  </si>
  <si>
    <t>//ord_10677//Aarohi Kapoor//Bandra//Banana+2*Priya Joshi/11/6/2023//Credit Card//Delivered*Overall Satisfaction: Great service will order again</t>
  </si>
  <si>
    <t>//ord_10678//Kritika Shetty//Malad//Papaya+1*Not Assigned/5/10/2023//Online Payment//Cancelled*Payment Issues</t>
  </si>
  <si>
    <t>//ord_10679//Aditya Basu//Juhu//Banana+3*Tanvi Jain/6/19/2023//UPI//Delivered*On-time Delivery: Delivered on time</t>
  </si>
  <si>
    <t>//ord_10680//Aditi Iyer//Dadar//Orange+1*Aman Kumar/8/12/2023//UPI//Delivered*Quality of Items: Perfect condition</t>
  </si>
  <si>
    <t>//ord_10681//Ishaan Chaturvedi//Bandra//Chocolate Mousse+3*Not Assigned/8/6/2023//UPI//Cancelled*Out of Stock</t>
  </si>
  <si>
    <t>//ord_10682//Aarav Mehta//Andheri//Papaya+2*Rohan Yadav/2/21/2023//Credit Card//Delivered*On-time Delivery: Delivered on time</t>
  </si>
  <si>
    <t>//ord_10683//Ishita Banerjee//Juhu//Popcorn+5*Sita T/12/21/2023//Online Payment//Delivered*Quality of Items: Perfect condition</t>
  </si>
  <si>
    <t>//ord_10684//Aarav Mehta//Andheri//Chocolate Mousse+5*Ramesh S/5/21/2023//UPI//Delivered*Packaging: Secure and intact</t>
  </si>
  <si>
    <t>//ord_10685//Sanjay Nair//Dadar//Chicken Puff+3*Not Assigned/4/28/2023//Credit Card//Cancelled*Payment Issues</t>
  </si>
  <si>
    <t>//ord_10686//Pranav Joshi//Andheri//Banana+1*Manju Ajay/12/1/2023//Credit Card//Delivered*Satisfied with the Delivery: Timely and quality</t>
  </si>
  <si>
    <t>//ord_10687//Aditi Iyer//Dadar//Sweet Corn+1*Not Assigned/2/27/2023//Credit Card//Cancelled*Payment Issues</t>
  </si>
  <si>
    <t>//ord_10688//Pallavi Ghosh//Bandra//Chicken Puff+3*Not Assigned/10/21/2023//Credit Card//Cancelled*App Glitches:Slow Loading Time</t>
  </si>
  <si>
    <t>//ord_10689//Mehul Thakkar//Malad//Apple+2*Not Assigned/10/11/2023//Credit Card//Cancelled*Payment Issues</t>
  </si>
  <si>
    <t>//ord_10690//Diya Arora//Lower Parel//Cold Coffee+1*Shine Thomas/6/12/2023//Online Payment//Delivered*Customer Service: Seamless and easy</t>
  </si>
  <si>
    <t xml:space="preserve">//ord_10691//Arvind Kulkarni//Juhu//Cold Coffee+1*Rohan Yadav/11/30/2023//Credit Card//Cancelled*Delayed Delivery:Bad Weather Conditions </t>
  </si>
  <si>
    <t>//ord_10692//Kritika Shetty//Malad//Icecream+2*Ramesh S/10/29/2023//UPI//Delivered*Delivery Experience: Quick and professional</t>
  </si>
  <si>
    <t>//ord_10693//Aditi Iyer//Dadar//Guava+2*Not Assigned/10/29/2023//UPI//Cancelled*Out of Stock</t>
  </si>
  <si>
    <t>//ord_10694//Pranav Joshi//Andheri//Juice+1*Manju Ajay/9/20/2023//UPI//Delivered*Convenience: Easy tracking</t>
  </si>
  <si>
    <t>//ord_10695//Parth Goel//Juhu//Apple+2*Sita T/7/23/2023//UPI//Delivered*Overall Satisfaction: Great service will order again</t>
  </si>
  <si>
    <t>//ord_10696//Aarav Mehta//Andheri//Tomato+1*Ramesh S/8/13/2023//UPI//Delivered*On-time Delivery: Delivered on time</t>
  </si>
  <si>
    <t>//ord_10697//Parth Goel//Juhu//Apple+2*Sita T/9/7/2023//Credit Card//Cancelled*Delayed Delivery:Heavy Traffic</t>
  </si>
  <si>
    <t>//ord_10698//Kritika Shetty//Malad//Chicken Puff+5*Not Assigned/11/26/2023//UPI//Cancelled*App Glitches: Payment Button Malfunction</t>
  </si>
  <si>
    <t>//ord_10699//Aarav Mehta//Andheri//Cucumber+1*Shine Thomas/12/28/2023//Online Payment//Delivered*Quality of Items: Perfect condition</t>
  </si>
  <si>
    <t>//ord_10700//Ishita Banerjee//Juhu//Tomato+2*Not Assigned/8/9/2023//Credit Card//Cancelled*App Glitches: Payment Button Malfunction</t>
  </si>
  <si>
    <t>//ord_10701//Aditi Iyer//Dadar//Sweet Corn+1*Ramesh S/3/26/2023//Online Payment//Delivered*On-time Delivery: Delivered on time</t>
  </si>
  <si>
    <t>//ord_10702//Parth Goel//Juhu//Papaya+1*Manju Ajay/10/7/2023//UPI//Delivered*Quality of Items: Perfect condition</t>
  </si>
  <si>
    <t>//ord_10703//Mohit Malhotra//Lower Parel//Guava+1*Neha Shah/10/29/2023//Credit Card//Cancelled*Delayed Delivery:Traffic Accidents or Road Closures</t>
  </si>
  <si>
    <t>//ord_10704//Pallavi Ghosh//Bandra//Cucumber+1*Ram Gopal/2/10/2023//Credit Card//Cancelled*Delayed Delivery:Heavy Traffic</t>
  </si>
  <si>
    <t>//ord_10705//Pranav Joshi//Andheri//Orange+2*Vivek Kumar/7/19/2023//Online Payment//Delivered*Packaging: Secure and intact</t>
  </si>
  <si>
    <t>//ord_10706//Sanjay Nair//Dadar//Sweet Corn+1*Sita T/12/1/2023//Online Payment//Delivered*Satisfied with the Delivery: Timely and quality</t>
  </si>
  <si>
    <t xml:space="preserve">//ord_10707//Aditi Iyer//Dadar//Sweet Corn+2*Kiran Mehta/12/12/2023//Credit Card//Cancelled*Delayed Delivery:Bad Weather Conditions </t>
  </si>
  <si>
    <t>//ord_10708//Kritika Shetty//Malad//Popcorn+5*Manju Ajay/12/2/2023//Credit Card//Cancelled*Delayed Delivery:Heavy Traffic</t>
  </si>
  <si>
    <t>//ord_10709//Sanjay Nair//Dadar//Popcorn+3*Shine Thomas/8/5/2023//Credit Card//Delivered*Customer Service: Seamless and easy</t>
  </si>
  <si>
    <t>//ord_10710//Aditi Iyer//Dadar//Cold Coffee+3*Not Assigned/5/7/2023//Online Payment//Cancelled*Out of Stock</t>
  </si>
  <si>
    <t>//ord_10711//Parth Goel//Juhu//Cucumber+2*Manju Ajay/10/27/2023//Credit Card//Delivered*Delivery Experience: Quick and professional</t>
  </si>
  <si>
    <t>//ord_10712//Diya Arora//Lower Parel//Guava+1*Ramesh S/6/4/2023//UPI//Delivered*Convenience: Easy tracking</t>
  </si>
  <si>
    <t>//ord_10713//Mohit Malhotra//Lower Parel//Rasmalai+2*Kiran Mehta/3/18/2023//UPI//Delivered*Overall Satisfaction: Great service will order again</t>
  </si>
  <si>
    <t xml:space="preserve">//ord_10714//Aarav Mehta//Andheri//Chicken Puff+2*Nikhil Deshmukh/5/16/2023//UPI//Cancelled*Delayed Delivery:Bad Weather Conditions </t>
  </si>
  <si>
    <t>//ord_10715//Mehul Thakkar//Malad//Apple+2*Sita T/7/16/2023//Credit Card//Cancelled*Delayed Delivery:Heavy Traffic</t>
  </si>
  <si>
    <t>//ord_10716//Ishita Banerjee//Juhu//Juice+4*Priya Joshi/12/16/2023//UPI//Cancelled*Delayed Delivery:Heavy Traffic</t>
  </si>
  <si>
    <t>//ord_10717//Tanishq Bansal//Powai//Chocolate Mousse+4*Sandeep Kumar/10/26/2023//Credit Card//Delivered*On-time Delivery: Delivered on time</t>
  </si>
  <si>
    <t>//ord_10718//Mohit Malhotra//Lower Parel//Chilli Cheese Toast+4*Kiran Mehta/12/29/2023//UPI//Delivered*Quality of Items: Perfect condition</t>
  </si>
  <si>
    <t>//ord_10719//Sakshi Tandon//Colaba//Chocolate Mousse+1*Nikhil Deshmukh/12/4/2023//UPI//Delivered*On-time Delivery: Delivered on time</t>
  </si>
  <si>
    <t>//ord_10720//Anaya Rao//Colaba//Cucumber+1*Nikhil Deshmukh/8/11/2023//Credit Card//Delivered*Quality of Items: Perfect condition</t>
  </si>
  <si>
    <t>//ord_10721//Dev Chauhan//Bandra//Juice+4*Priya Joshi/3/29/2023//UPI//Delivered*Packaging: Secure and intact</t>
  </si>
  <si>
    <t>//ord_10722//Ishaan Chaturvedi//Bandra//Rasmalai+4*Not Assigned/3/16/2023//Credit Card//Cancelled*High Delivery Fees</t>
  </si>
  <si>
    <t>//ord_10723//Mohit Malhotra//Lower Parel//Potato+1*Not Assigned/10/7/2023//UPI//Cancelled*App Glitches:Slow Loading Time</t>
  </si>
  <si>
    <t>//ord_10724//Pranav Joshi//Andheri//Banana+1*Not Assigned/10/16/2023//Online Payment//Cancelled*App Glitches: Payment Button Malfunction</t>
  </si>
  <si>
    <t>//ord_10725//Mohit Malhotra//Lower Parel//Tomato+1*Sita T/9/25/2023//Online Payment//Delivered*Satisfied with the Delivery: Timely and quality</t>
  </si>
  <si>
    <t>//ord_10726//Kritika Shetty//Malad//Juice+5*Not Assigned/6/16/2023//Online Payment//Cancelled*App Glitches: Inconsistent Data Display</t>
  </si>
  <si>
    <t>//ord_10727//Pallavi Ghosh//Bandra//Tomato+2*Not Assigned/2/28/2023//Credit Card//Cancelled*Payment Issues</t>
  </si>
  <si>
    <t>//ord_10728//Tanishq Bansal//Powai//Sweet Corn+1*Vivek Kumar/10/23/2023//UPI//Delivered*Customer Service: Seamless and easy</t>
  </si>
  <si>
    <t>//ord_10729//Siya Reddy//Juhu//Popcorn+1*Not Assigned/10/21/2023//UPI//Cancelled*App Glitches:Slow Loading Time</t>
  </si>
  <si>
    <t>//ord_10730//Aarohi Kapoor//Bandra//Apple+2*Ramesh S/10/23/2023//UPI//Delivered*Delivery Experience: Quick and professional</t>
  </si>
  <si>
    <t>//ord_10731//Siya Reddy//Juhu//Guava+2*Vivek Kumar/6/8/2023//UPI//Cancelled*Delayed Delivery:Heavy Traffic</t>
  </si>
  <si>
    <t>//ord_10732//Mohit Malhotra//Lower Parel//Onion+1*Ramesh S/2/18/2023//UPI//Delivered*Convenience: Easy tracking</t>
  </si>
  <si>
    <t>//ord_10733//Dev Chauhan//Bandra//Cold Coffee+2*Ram Gopal/5/5/2023//Credit Card//Delivered*Overall Satisfaction: Great service will order again</t>
  </si>
  <si>
    <t xml:space="preserve">//ord_10734//Arvind Kulkarni//Juhu//Veg Puff+1*Priya Joshi/10/26/2023//Online Payment//Cancelled*Delayed Delivery:Bad Weather Conditions </t>
  </si>
  <si>
    <t>//ord_10735//Tanishq Bansal//Powai//Onion+1*Not Assigned/9/29/2023//Credit Card//Cancelled*App Glitches:App Freezes</t>
  </si>
  <si>
    <t>//ord_10736//Dev Chauhan//Bandra//Apple+1*Venu R/12/15/2023//Credit Card//Delivered*On-time Delivery: Delivered on time</t>
  </si>
  <si>
    <t>//ord_10737//Siya Reddy//Juhu//Veg Puff+2*Not Assigned/12/3/2023//Credit Card//Cancelled*App Glitches: Payment Button Malfunction</t>
  </si>
  <si>
    <t>//ord_10738//Mehul Thakkar//Malad//Onion+1*Not Assigned/10/4/2023//Credit Card//Cancelled*App Glitches: Inconsistent Data Display</t>
  </si>
  <si>
    <t>//ord_10739//Dev Chauhan//Bandra//Cold Coffee+4*Not Assigned/12/17/2023//Credit Card//Cancelled*Payment Issues</t>
  </si>
  <si>
    <t>//ord_10740//Siya Reddy//Juhu//Orange+1*Not Assigned/10/12/2023//Credit Card//Cancelled*App Glitches:Slow Loading Time</t>
  </si>
  <si>
    <t>//ord_10741//Anaya Rao//Colaba//Cucumber+1*Ramesh S/10/21/2023//UPI//Cancelled*Delayed Delivery:Vehicle Breakdown</t>
  </si>
  <si>
    <t>//ord_10742//Aarohi Kapoor//Bandra//Orange+1*Neha Shah/3/12/2023//Credit Card//Cancelled*Delayed Delivery:Heavy Traffic</t>
  </si>
  <si>
    <t>//ord_10743//Dev Chauhan//Bandra//Apple+1*Vivek Kumar/3/8/2023//UPI//Delivered*Quality of Items: Perfect condition</t>
  </si>
  <si>
    <t xml:space="preserve">//ord_10744//Ishita Banerjee//Juhu//Tomato+1*Vivek Kumar/5/19/2023//UPI//Cancelled*Delayed Delivery:Bad Weather Conditions </t>
  </si>
  <si>
    <t>//ord_10745//Ishita Banerjee//Juhu//Onion+2*Priya Joshi/7/18/2023//Credit Card//Cancelled*Delayed Delivery:Heavy Traffic</t>
  </si>
  <si>
    <t>//ord_10746//Parth Goel//Juhu//Tomato+2*Not Assigned/12/30/2023//Online Payment//Cancelled*Out of Stock</t>
  </si>
  <si>
    <t>//ord_10747//Mehul Thakkar//Malad//Rasmalai+2*Not Assigned/12/3/2023//Online Payment//Cancelled*App Glitches: Payment Button Malfunction</t>
  </si>
  <si>
    <t>//ord_10748//Aarohi Kapoor//Bandra//Cold Coffee+2*Shine Thomas/10/24/2023//UPI//Delivered*On-time Delivery: Delivered on time</t>
  </si>
  <si>
    <t>//ord_10749//Kritika Shetty//Malad//Juice+2*Not Assigned/12/16/2023//UPI//Cancelled*App Glitches:Slow Loading Time</t>
  </si>
  <si>
    <t xml:space="preserve">//ord_10750//Dev Chauhan//Bandra//Veg Puff+3*Shine Thomas/12/9/2023//Credit Card//Cancelled*Delayed Delivery:Bad Weather Conditions </t>
  </si>
  <si>
    <t>//ord_10751//Arvind Kulkarni//Juhu//Papaya+1*Vivek Kumar/7/5/2023//UPI//Delivered*Quality of Items: Perfect condition</t>
  </si>
  <si>
    <t>//ord_10752//Aarohi Kapoor//Bandra//Veg Puff+2*Ramesh S/12/13/2023//UPI//Delivered*Packaging: Secure and intact</t>
  </si>
  <si>
    <t>//ord_10753//Sakshi Tandon//Colaba//Sweet Corn+2*Not Assigned/2/13/2023//Credit Card//Cancelled*App Glitches:Slow Loading Time</t>
  </si>
  <si>
    <t>//ord_10754//Aarohi Kapoor//Bandra//Juice+5*Not Assigned/12/18/2023//Online Payment//Cancelled*Payment Issues</t>
  </si>
  <si>
    <t>//ord_10755//Ishaan Chaturvedi//Bandra//Chocolate Mousse+4*Vivek Kumar/2/6/2023//COD//Delivered*Satisfied with the Delivery: Timely and quality</t>
  </si>
  <si>
    <t>//ord_10756//Siya Reddy//Juhu//Chilli Cheese Toast+5*Aman Kumar/10/8/2023//Credit Card//Cancelled*Delayed Delivery:Incorrect Address or Location</t>
  </si>
  <si>
    <t>//ord_10757//Ishaan Chaturvedi//Bandra//Tomato+1*Ramesh S/10/5/2023//Credit Card//Delivered*Customer Service: Seamless and easy</t>
  </si>
  <si>
    <t>//ord_10758//Sanjay Nair//Dadar//Chocolate Mousse+5*Vivek Kumar/2/14/2023//Credit Card//Delivered*Delivery Experience: Quick and professional</t>
  </si>
  <si>
    <t>//ord_10759//Mehul Thakkar//Malad//Guava+2*Manju Ajay/3/6/2023//UPI//Cancelled*Delayed Delivery:Traffic Accidents or Road Closures</t>
  </si>
  <si>
    <t>//ord_10760//Diya Arora//Lower Parel//Papaya+1*Shine Thomas/6/16/2023//Credit Card//Delivered*Convenience: Easy tracking</t>
  </si>
  <si>
    <t>//ord_10761//Sanjay Nair//Dadar//Apple+1*Ram Gopal/8/24/2023//COD//Delivered*Overall Satisfaction: Great service will order again</t>
  </si>
  <si>
    <t>//ord_10762//Mehul Thakkar//Malad//Potato+1*Manju Ajay/10/18/2023//UPI//Delivered*On-time Delivery: Delivered on time</t>
  </si>
  <si>
    <t>//ord_10763//Pranav Joshi//Andheri//Potato+2*Shine Thomas/12/4/2023//UPI//Delivered*Quality of Items: Perfect condition</t>
  </si>
  <si>
    <t>//ord_10764//Siya Reddy//Juhu//Icecream+4*Sita T/12/1/2023//COD//Delivered*On-time Delivery: Delivered on time</t>
  </si>
  <si>
    <t>//ord_10765//Aditi Iyer//Dadar//Cold Coffee+2*Ramesh S/8/22/2023//Online Payment//Delivered*Quality of Items: Perfect condition</t>
  </si>
  <si>
    <t>//ord_10766//Aarohi Kapoor//Bandra//Cold Coffee+1*Manju Ajay/12/13/2023//Online Payment//Delivered*Packaging: Secure and intact</t>
  </si>
  <si>
    <t>//ord_10767//Omkar Mishra//Powai//Potato+1*Vivek Kumar/10/24/2023//Online Payment//Delivered*Satisfied with the Delivery: Timely and quality</t>
  </si>
  <si>
    <t>//ord_10768//Ishaan Chaturvedi//Bandra//Juice+5*Venu R/9/9/2023//UPI//Delivered*Customer Service: Seamless and easy</t>
  </si>
  <si>
    <t>//ord_10769//Siya Reddy//Juhu//Veg Puff+3*Vivek Kumar/10/5/2023//UPI//Delivered*Delivery Experience: Quick and professional</t>
  </si>
  <si>
    <t>//ord_10770//Sana Malik//Powai//Veg Puff+8*Ramesh S/8/20/2023//Credit Card//Delivered*Convenience: Easy tracking</t>
  </si>
  <si>
    <t>//ord_10771//Yash Verma//Lower Parel//Orange+2*Venu R/8/2/2023//COD//Delivered*Overall Satisfaction: Great service will order again</t>
  </si>
  <si>
    <t>//ord_10772//Dev Chauhan//Bandra//Potato+2*Ram Gopal/8/2/2023//COD//Delivered*On-time Delivery: Delivered on time</t>
  </si>
  <si>
    <t>//ord_10773//Aarav Mehta//Andheri//Onion+2*Vivek Kumar/10/2/2023//UPI//Delivered*Quality of Items: Perfect condition</t>
  </si>
  <si>
    <t>//ord_10774//Sakshi Tandon//Colaba//Icecream+4*Sita T/10/14/2023//UPI//Delivered*On-time Delivery: Delivered on time</t>
  </si>
  <si>
    <t>//ord_10775//Sakshi Tandon//Colaba//Guava+2*Nithin Lal/9/5/2023//Credit Card//Delivered*Quality of Items: Perfect condition</t>
  </si>
  <si>
    <t>//ord_10776//Ishaan Chaturvedi//Bandra//Guava+1*Nithin Lal/6/18/2023//Credit Card//Delivered*Packaging: Secure and intact</t>
  </si>
  <si>
    <t>//ord_10777//Kritika Shetty//Malad//Guava+1*Not Assigned/7/14/2023//Credit Card//Cancelled*App Glitches:Error Messages</t>
  </si>
  <si>
    <t>//ord_10778//Anaya Rao//Colaba//Tiramisu+5*Shine Thomas/6/7/2023//COD//Delivered*Satisfied with the Delivery: Timely and quality</t>
  </si>
  <si>
    <t>//ord_10779//Parth Goel//Juhu//Icecream+5*Nithin Lal/10/8/2023//UPI//Delivered*Customer Service: Seamless and easy</t>
  </si>
  <si>
    <t>//ord_10780//Aarav Mehta//Andheri//Cold Coffee+5*Ramesh S/7/18/2023//UPI//Delivered*Delivery Experience: Quick and professional</t>
  </si>
  <si>
    <t>//ord_10781//Kritika Shetty//Malad//Chilli Cheese Toast+5*Sita T/12/4/2023//Online Payment//Delivered*Convenience: Easy tracking</t>
  </si>
  <si>
    <t>//ord_10782//Pallavi Ghosh//Bandra//Tiramisu+2*Shine Thomas/8/21/2023//COD//Delivered*Overall Satisfaction: Great service will order again</t>
  </si>
  <si>
    <t>//ord_10783//Siya Reddy//Juhu//Papaya+1*Priya Joshi/5/13/2023//UPI//Cancelled*Delayed Delivery:High Order Volume</t>
  </si>
  <si>
    <t>//ord_10784//Sakshi Tandon//Colaba//Veg Puff+4*Ramesh S/12/1/2023//UPI//Delivered*On-time Delivery: Delivered on time</t>
  </si>
  <si>
    <t>//ord_10785//Mehul Thakkar//Malad//Banana+1*Not Assigned/9/3/2023//Credit Card//Cancelled*Payment Issues</t>
  </si>
  <si>
    <t>//ord_10786//Anaya Rao//Colaba//Icecream+5*Shine Thomas/6/4/2023//UPI//Delivered*Quality of Items: Perfect condition</t>
  </si>
  <si>
    <t>//ord_10787//Sanjay Nair//Dadar//Apple+2*Nithin Lal/5/25/2023//UPI//Delivered*On-time Delivery: Delivered on time</t>
  </si>
  <si>
    <t>//ord_10788//Pallavi Ghosh//Bandra//Chicken Puff+4*Manju Ajay/9/28/2023//Credit Card//Delivered*Quality of Items: Perfect condition</t>
  </si>
  <si>
    <t>//ord_10789//Mehul Thakkar//Malad//Tomato+1*Not Assigned/6/17/2023//UPI//Cancelled*App Glitches: Payment Button Malfunction</t>
  </si>
  <si>
    <t>//ord_10790//Sanjay Nair//Dadar//Veg Puff+5*Shine Thomas/6/18/2023//UPI//Delivered*Packaging: Secure and intact</t>
  </si>
  <si>
    <t>//ord_10791//Aarav Mehta//Andheri//Icecream+2*Manju Ajay/7/26/2023//Credit Card//Delivered*Satisfied with the Delivery: Timely and quality</t>
  </si>
  <si>
    <t>//ord_10792//Pranav Joshi//Andheri//Banana+2*Rohan Yadav/8/2/2023//UPI//Delivered*Customer Service: Seamless and easy</t>
  </si>
  <si>
    <t>//ord_10793//Sanjay Nair//Dadar//Guava+2*Aman Kumar/2/9/2023//Credit Card//Delivered*Delivery Experience: Quick and professional</t>
  </si>
  <si>
    <t>//ord_10794//Pranav Joshi//Andheri//Veg Puff+4*Rohan Yadav/2/24/2023//UPI//Delivered*Convenience: Easy tracking</t>
  </si>
  <si>
    <t>//ord_10795//Ishita Banerjee//Juhu//Apple+2*Tanvi Jain/7/28/2023//UPI//Delivered*Overall Satisfaction: Great service will order again</t>
  </si>
  <si>
    <t>//ord_10796//Mehul Thakkar//Malad//Chocolate Mousse+1*Not Assigned/5/19/2023//Credit Card//Cancelled*Out of Stock</t>
  </si>
  <si>
    <t xml:space="preserve">//ord_10797//Siya Reddy//Juhu//Popcorn+3*Shine Thomas/9/18/2023//Credit Card//Cancelled*Delayed Delivery:Bad Weather Conditions </t>
  </si>
  <si>
    <t>//ord_10798//Anaya Rao//Colaba//Potato+2*Nikhil Deshmukh/12/10/2023//UPI//Delivered*On-time Delivery: Delivered on time</t>
  </si>
  <si>
    <t>//ord_10799//Aditi Iyer//Dadar//Sweet Corn+2*Aman Kumar/8/10/2023//Credit Card//Delivered*Quality of Items: Perfect condition</t>
  </si>
  <si>
    <t>//ord_10800//Omkar Mishra//Powai//Apple+1*Sandeep Kumar/7/30/2023//UPI//Delivered*On-time Delivery: Delivered on time</t>
  </si>
  <si>
    <t>//ord_10801//Aditya Basu//Juhu//Papaya+2*Tanvi Jain/6/14/2023//UPI//Delivered*Quality of Items: Perfect condition</t>
  </si>
  <si>
    <t>//ord_10802//Pranav Joshi//Andheri//Chocolate Mousse+3*Rohan Yadav/10/2/2023//UPI//Delivered*Packaging: Secure and intact</t>
  </si>
  <si>
    <t>//ord_10803//Tanishq Bansal//Powai//Icecream+4*Sandeep Kumar/2/14/2023//Credit Card//Delivered*Satisfied with the Delivery: Timely and quality</t>
  </si>
  <si>
    <t>//ord_10804//Arvind Kulkarni//Juhu//Icecream+2*Tanvi Jain/8/15/2023//Credit Card//Delivered*Customer Service: Seamless and easy</t>
  </si>
  <si>
    <t>//ord_10805//Siya Reddy//Juhu//Papaya+2*Tanvi Jain/12/22/2023//Credit Card//Delivered*Delivery Experience: Quick and professional</t>
  </si>
  <si>
    <t>//ord_10806//Dev Chauhan//Bandra//Chicken Puff+5*Priya Joshi/10/28/2023//Online Payment//Delivered*Convenience: Easy tracking</t>
  </si>
  <si>
    <t>//ord_10807//Pranav Joshi//Andheri//Chicken Puff+2*Rohan Yadav/5/27/2023//UPI//Delivered*Overall Satisfaction: Great service will order again</t>
  </si>
  <si>
    <t>//ord_10808//Siya Reddy//Juhu//Papaya+1*Not Assigned/8/5/2023//Credit Card//Cancelled*High Delivery Fees</t>
  </si>
  <si>
    <t>//ord_10809//Aarav Mehta//Andheri//Orange+1*Rohan Yadav/8/27/2023//Online Payment//Delivered*On-time Delivery: Delivered on time</t>
  </si>
  <si>
    <t>//ord_10810//Sakshi Tandon//Colaba//Apple+1*Nikhil Deshmukh/8/27/2023//Credit Card//Delivered*Quality of Items: Perfect condition</t>
  </si>
  <si>
    <t>//ord_10811//Anaya Rao//Colaba//Potato+2*Nikhil Deshmukh/6/17/2023//Credit Card//Delivered*On-time Delivery: Delivered on time</t>
  </si>
  <si>
    <t>//ord_10812//Arvind Kulkarni//Juhu//Chocolate Mousse+2*Tanvi Jain/10/26/2023//Credit Card//Delivered*Quality of Items: Perfect condition</t>
  </si>
  <si>
    <t>//ord_10813//Sakshi Tandon//Colaba//Apple+1*Nikhil Deshmukh/6/14/2023//Credit Card//Delivered*Packaging: Secure and intact</t>
  </si>
  <si>
    <t>//ord_10814//Omkar Mishra//Powai//Apple+1*Sandeep Kumar/6/13/2023//UPI//Delivered*Satisfied with the Delivery: Timely and quality</t>
  </si>
  <si>
    <t>//ord_10815//Dev Chauhan//Bandra//Cucumber+2*Priya Joshi/8/26/2023//UPI//Delivered*Customer Service: Seamless and easy</t>
  </si>
  <si>
    <t>//ord_10816//Omkar Mishra//Powai//Juice+1*Sandeep Kumar/6/17/2023//Online Payment//Delivered*Delivery Experience: Quick and professional</t>
  </si>
  <si>
    <t>//ord_10817//Diya Arora//Lower Parel//Orange+1*Kiran Mehta/6/12/2023//UPI//Delivered*Convenience: Easy tracking</t>
  </si>
  <si>
    <t>//ord_10818//Mohit Malhotra//Lower Parel//Juice+4*Kiran Mehta/12/13/2023//Credit Card//Delivered*Overall Satisfaction: Great service will order again</t>
  </si>
  <si>
    <t>//ord_10819//Omkar Mishra//Powai//Guava+1*Sandeep Kumar/8/6/2023//UPI//Delivered*On-time Delivery: Delivered on time</t>
  </si>
  <si>
    <t>//ord_10820//Pallavi Ghosh//Bandra//Potato+2*Priya Joshi/9/28/2023//Online Payment//Delivered*Quality of Items: Perfect condition</t>
  </si>
  <si>
    <t>//ord_10821//Ishita Banerjee//Juhu//Chilli Cheese Toast+5*Tanvi Jain/12/14/2023//UPI//Delivered*On-time Delivery: Delivered on time</t>
  </si>
  <si>
    <t>//ord_10822//Ishita Banerjee//Juhu//Rasmalai+3*Aman Kumar/11/17/2023//Credit Card//Cancelled*Delayed Delivery:Heavy Traffic</t>
  </si>
  <si>
    <t>//ord_10823//Omkar Mishra//Powai//Cucumber+1*Sandeep Kumar/10/14/2023//UPI//Delivered*Quality of Items: Perfect condition</t>
  </si>
  <si>
    <t>//ord_10824//Aarav Mehta//Andheri//Veg Puff+4*Rohan Yadav/11/4/2023//Credit Card//Delivered*Packaging: Secure and intact</t>
  </si>
  <si>
    <t>//ord_10825//Sakshi Tandon//Colaba//Cold Coffee+5*Nikhil Deshmukh/5/30/2023//Online Payment//Delivered*Satisfied with the Delivery: Timely and quality</t>
  </si>
  <si>
    <t>//ord_10826//Anaya Rao//Colaba//Apple+1*Nikhil Deshmukh/12/4/2023//Credit Card//Delivered*Customer Service: Seamless and easy</t>
  </si>
  <si>
    <t>//ord_10827//Aditi Iyer//Dadar//Cold Coffee+1*Aman Kumar/7/7/2023//Credit Card//Delivered*Delivery Experience: Quick and professional</t>
  </si>
  <si>
    <t>//ord_10828//Aditi Iyer//Dadar//Rasmalai+1*Aman Kumar/2/20/2023//Credit Card//Delivered*Convenience: Easy tracking</t>
  </si>
  <si>
    <t xml:space="preserve">//ord_10829//Kritika Shetty//Malad//Guava+1*Manju Ajay/6/23/2023//Credit Card//Cancelled*Delayed Delivery:Bad Weather Conditions </t>
  </si>
  <si>
    <t>//ord_30830//Siya Reddy//Juhu//Veg Puff+1*Tanvi Jain/10/29/2023//Online Payment//Delivered*Overall Satisfaction: Great service will order again</t>
  </si>
  <si>
    <t>//ord_30831//Diya Arora//Lower Parel//Juice+3*Kiran Mehta/2/14/2023//Credit Card//Delivered*On-time Delivery: Delivered on time</t>
  </si>
  <si>
    <t>//ord_30832//Anaya Rao//Colaba//Banana+2*Nikhil Deshmukh/5/18/2023//Credit Card//Delivered*Quality of Items: Perfect condition</t>
  </si>
  <si>
    <t>//ord_30833//Sanjay Nair//Dadar//Tiramisu+3*Aman Kumar/3/7/2023//Online Payment//Delivered*On-time Delivery: Delivered on time</t>
  </si>
  <si>
    <t>//ord_30834//Pranav Joshi//Andheri//Potato+1*Rohan Yadav/10/7/2023//Credit Card//Delivered*Quality of Items: Perfect condition</t>
  </si>
  <si>
    <t>//ord_30835//Sakshi Tandon//Colaba//Tomato+2*Nikhil Deshmukh/6/11/2023//UPI//Delivered*Packaging: Secure and intact</t>
  </si>
  <si>
    <t>//ord_30836//Aarohi Kapoor//Bandra//Icecream+3*Priya Joshi/9/20/2023//UPI//Delivered*Satisfied with the Delivery: Timely and quality</t>
  </si>
  <si>
    <t>//ord_30837//Aarohi Kapoor//Bandra//Cold Coffee+3*Vivek Kumar/12/26/2023//Online Payment//Delivered*Customer Service: Seamless and easy</t>
  </si>
  <si>
    <t>//ord_30838//Omkar Mishra//Powai//Icecream+1*Vivek Kumar/12/5/2023//UPI//Delivered*Delivery Experience: Quick and professional</t>
  </si>
  <si>
    <t>//ord_30839//Kritika Shetty//Malad//Icecream+4*Not Assigned/4/18/2023//Online Payment//Cancelled*App Glitches:Slow Loading Time</t>
  </si>
  <si>
    <t>//ord_30840//Siya Reddy//Juhu//Chicken Puff+3*Not Assigned/10/23/2023//UPI//Cancelled*App Glitches:Missing Content</t>
  </si>
  <si>
    <t>//ord_30841//Kritika Shetty//Malad//Sweet Corn+1*Ramesh S/12/23/2023//UPI//Delivered*Convenience: Easy tracking</t>
  </si>
  <si>
    <t>//ord_30842//Anaya Rao//Colaba//Chilli Cheese Toast+1*Shine Thomas/8/20/2023//Online Payment//Delivered*Overall Satisfaction: Great service will order again</t>
  </si>
  <si>
    <t>//ord_30843//Kritika Shetty//Malad//Chilli Cheese Toast+1*Nithin Lal/12/23/2023//UPI//Delivered*On-time Delivery: Delivered on time</t>
  </si>
  <si>
    <t>//ord_30844//Mehul Thakkar//Malad//Banana+1*Not Assigned/11/27/2023//UPI//Cancelled*Out of Stock</t>
  </si>
  <si>
    <t>//ord_30845//Sakshi Tandon//Colaba//Chocolate Mousse+4*Shine Thomas/8/21/2023//Credit Card//Delivered*Quality of Items: Perfect condition</t>
  </si>
  <si>
    <t>//ord_30846//Arvind Kulkarni//Juhu//Chilli Cheese Toast+2*Not Assigned/5/9/2023//Credit Card//Cancelled*Out of Stock</t>
  </si>
  <si>
    <t>//ord_30847//Sakshi Tandon//Colaba//Popcorn+1*Ramesh S/8/8/2023//UPI//Delivered*On-time Delivery: Delivered on time</t>
  </si>
  <si>
    <t>//ord_30848//Ishaan Chaturvedi//Bandra//Cucumber+1*Nithin Lal/12/10/2023//Credit Card//Delivered*Quality of Items: Perfect condition</t>
  </si>
  <si>
    <t>//ord_30849//Mehul Thakkar//Malad//Chicken Puff+2*Vivek Kumar/5/25/2023//UPI//Delivered*Packaging: Secure and intact</t>
  </si>
  <si>
    <t>//ord_30850//Aarav Mehta//Andheri//Icecream+2*Shine Thomas/11/23/2023//Online Payment//Delivered*Satisfied with the Delivery: Timely and quality</t>
  </si>
  <si>
    <t>//ord_30851//Mehul Thakkar//Malad//Tomato+2*Rohan Yadav/12/16/2023//Credit Card//Cancelled*Delayed Delivery:Heavy Traffic</t>
  </si>
  <si>
    <t>//ord_30852//Parth Goel//Juhu//Tiramisu+5*Shine Thomas/6/22/2023//UPI//Delivered*Customer Service: Seamless and easy</t>
  </si>
  <si>
    <t>//ord_30853//Ishita Banerjee//Juhu//Papaya+2*Ramesh S/1/4/2023//Online Payment//Delivered*Delivery Experience: Quick and professional</t>
  </si>
  <si>
    <t>//ord_30854//Pranav Joshi//Andheri//Popcorn+1*Ramesh S/2/1/2023//Online Payment//Delivered*Convenience: Easy tracking</t>
  </si>
  <si>
    <t>//ord_30855//Pranav Joshi//Andheri//Apple+2*Sita T/1/10/2023//UPI//Delivered*Overall Satisfaction: Great service will order again</t>
  </si>
  <si>
    <t>//ord_30856//Pranav Joshi//Andheri//Juice+2*Sita T/12/5/2023//UPI//Delivered*On-time Delivery: Delivered on time</t>
  </si>
  <si>
    <t>//ord_30857//Mehul Thakkar//Malad//Tiramisu+2*Not Assigned/3/6/2023//Credit Card//Cancelled*App Glitches: Payment Button Malfunction</t>
  </si>
  <si>
    <t>//ord_30858//Mohit Malhotra//Lower Parel//Onion+2*Shine Thomas/12/24/2023//Credit Card//Delivered*Quality of Items: Perfect condition</t>
  </si>
  <si>
    <t>//ord_30859//Pallavi Ghosh//Bandra//Juice+1*Ram Gopal/12/6/2023//UPI//Delivered*On-time Delivery: Delivered on time</t>
  </si>
  <si>
    <t>//ord_30860//Tanishq Bansal//Powai//Banana+2*Vivek Kumar/9/21/2023//UPI//Delivered*Quality of Items: Perfect condition</t>
  </si>
  <si>
    <t>//ord_30861//Pallavi Ghosh//Bandra//Cucumber+1*Not Assigned/11/9/2023//Online Payment//Cancelled*App Glitches:App Freezes</t>
  </si>
  <si>
    <t>//ord_30862//Ishaan Chaturvedi//Bandra//Tiramisu+1*Vivek Kumar/5/16/2023//UPI//Delivered*Packaging: Secure and intact</t>
  </si>
  <si>
    <t>//ord_30863//Sanjay Nair//Dadar//Tiramisu+5*Vivek Kumar/9/30/2023//Credit Card//Delivered*Satisfied with the Delivery: Timely and quality</t>
  </si>
  <si>
    <t>//ord_30864//Tanishq Bansal//Powai//Apple+1*Not Assigned/7/26/2023//Credit Card//Cancelled*App Glitches:Slow Loading Time</t>
  </si>
  <si>
    <t>//ord_30865//Omkar Mishra//Powai//Rasmalai+5*Venu R/8/19/2023//Credit Card//Cancelled*Delayed Delivery:Traffic Accidents or Road Closures</t>
  </si>
  <si>
    <t>//ord_30866//Tanishq Bansal//Powai//Sweet Corn+1*Aman Kumar/9/13/2023//Credit Card//Cancelled*Delayed Delivery:Heavy Traffic</t>
  </si>
  <si>
    <t>//ord_30867//Ishita Banerjee//Juhu//Popcorn+5*Not Assigned/2/26/2023//UPI//Cancelled*Out of Stock</t>
  </si>
  <si>
    <t>//ord_30868//Siya Reddy//Juhu//Tiramisu+1*Not Assigned/3/27/2023//Online Payment//Cancelled*App Glitches:Slow Loading Time</t>
  </si>
  <si>
    <t>//ord_30869//Mehul Thakkar//Malad//Rasmalai+2*Ramesh S/1/28/2023//UPI//Delivered*Customer Service: Seamless and easy</t>
  </si>
  <si>
    <t>//ord_30870//Arvind Kulkarni//Juhu//Guava+1*Shine Thomas/3/19/2023//UPI//Cancelled*Delayed Delivery:Heavy Traffic</t>
  </si>
  <si>
    <t>//ord_30871//Sanjay Nair//Dadar//Cold Coffee+5*Not Assigned/11/15/2023//Online Payment//Cancelled*Out of Stock</t>
  </si>
  <si>
    <t>//ord_30872//Aditi Iyer//Dadar//Potato+2*Not Assigned/12/22/2023//Online Payment//Cancelled*Out of Stock</t>
  </si>
  <si>
    <t>//ord_30873//Pranav Joshi//Andheri//Onion+1*Not Assigned/10/24/2023//Credit Card//Cancelled*App Glitches: Inconsistent Data Display</t>
  </si>
  <si>
    <t>//ord_30874//Ishita Banerjee//Juhu//Chilli Cheese Toast+5*Not Assigned/1/27/2023//Online Payment//Cancelled*App Glitches: Payment Button Malfunction</t>
  </si>
  <si>
    <t>//ord_30875//Mohit Malhotra//Lower Parel//Tiramisu+4*Ramesh S/12/22/2023//Online Payment//Delivered*Delivery Experience: Quick and professional</t>
  </si>
  <si>
    <t>//ord_30876//Anaya Rao//Colaba//Cucumber+1*Ram Gopal/10/6/2023//Online Payment//Delivered*Convenience: Easy tracking</t>
  </si>
  <si>
    <t>//ord_30877//Ishaan Chaturvedi//Bandra//Sweet Corn+2*Nithin Lal/8/10/2023//Credit Card//Delivered*Overall Satisfaction: Great service will order again</t>
  </si>
  <si>
    <t>//ord_30878//Pranav Joshi//Andheri//Cold Coffee+5*Vivek Kumar/6/21/2023//COD//Delivered*On-time Delivery: Delivered on time</t>
  </si>
  <si>
    <t>//ord_30879//Pranav Joshi//Andheri//Cold Coffee+1*Sita T/4/19/2023//Online Payment//Delivered*Quality of Items: Perfect condition</t>
  </si>
  <si>
    <t>//ord_30880//Dev Chauhan//Bandra//Banana+2*Sita T/3/4/2023//COD//Delivered*On-time Delivery: Delivered on time</t>
  </si>
  <si>
    <t>//ord_30881//Kritika Shetty//Malad//Juice+4*Rohan Yadav/7/8/2023//UPI//Cancelled*Delayed Delivery:Heavy Traffic</t>
  </si>
  <si>
    <t>//ord_30882//Pranav Joshi//Andheri//Chocolate Mousse+4*Shine Thomas/2/27/2023//Online Payment//Delivered*Quality of Items: Perfect condition</t>
  </si>
  <si>
    <t>//ord_30883//Pallavi Ghosh//Bandra//Chocolate Mousse+4*Sita T/10/8/2023//COD//Delivered*Packaging: Secure and intact</t>
  </si>
  <si>
    <t>//ord_30884//Pranav Joshi//Andheri//Cucumber+1*Vivek Kumar/2/12/2023//Credit Card//Delivered*Satisfied with the Delivery: Timely and quality</t>
  </si>
  <si>
    <t>//ord_30885//Mehul Thakkar//Malad//Cucumber+1*Not Assigned/10/3/2023//Online Payment//Cancelled*Out of Stock</t>
  </si>
  <si>
    <t>//ord_30886//Aarav Mehta//Andheri//Apple+1*Shine Thomas/11/21/2023//COD//Delivered*Customer Service: Seamless and easy</t>
  </si>
  <si>
    <t xml:space="preserve">//ord_30887//Siya Reddy//Juhu//Tiramisu+4*Sita T/9/11/2023//Credit Card//Cancelled*Delayed Delivery:Bad Weather Conditions </t>
  </si>
  <si>
    <t>//ord_30888//Diya Arora//Lower Parel//Cold Coffee+2*Ramesh S/7/22/2023//UPI//Delivered*Delivery Experience: Quick and professional</t>
  </si>
  <si>
    <t>//ord_30889//Pallavi Ghosh//Bandra//Chocolate Mousse+3*Ram Gopal/12/1/2023//UPI//Delivered*Convenience: Easy tracking</t>
  </si>
  <si>
    <t>//ord_30890//Tanishq Bansal//Powai//Cold Coffee+1*Vivek Kumar/8/26/2023//Credit Card//Delivered*Overall Satisfaction: Great service will order again</t>
  </si>
  <si>
    <t xml:space="preserve">//ord_30891//Mehul Thakkar//Malad//Chocolate Mousse+1*Priya Joshi/12/27/2023//Online Payment//Cancelled*Delayed Delivery:Bad Weather Conditions </t>
  </si>
  <si>
    <t>//ord_30892//Dev Chauhan//Bandra//Rasmalai+2*Shine Thomas/12/5/2023//UPI//Delivered*On-time Delivery: Delivered on time</t>
  </si>
  <si>
    <t>//ord_30893//Siya Reddy//Juhu//Cucumber+1*Not Assigned/12/9/2023//Credit Card//Cancelled*Out of Stock</t>
  </si>
  <si>
    <t>//ord_30894//Ishaan Chaturvedi//Bandra//Potato+1*Ramesh S/10/16/2023//COD//Delivered*Quality of Items: Perfect condition</t>
  </si>
  <si>
    <t>//ord_30895//Aarav Mehta//Andheri//Orange+2*Vivek Kumar/12/18/2023//Credit Card//Delivered*On-time Delivery: Delivered on time</t>
  </si>
  <si>
    <t>//ord_30896//Pallavi Ghosh//Bandra//Veg Puff+4*Sita T/5/17/2023//COD//Delivered*Quality of Items: Perfect condition</t>
  </si>
  <si>
    <t>//ord_30897//Aarohi Kapoor//Bandra//Juice+2*Vivek Kumar/9/20/2023//Online Payment//Delivered*Packaging: Secure and intact</t>
  </si>
  <si>
    <t>//ord_30898//Pallavi Ghosh//Bandra//Chicken Puff+3*Vivek Kumar/3/14/2023//Online Payment//Delivered*Satisfied with the Delivery: Timely and quality</t>
  </si>
  <si>
    <t>//ord_30899//Arvind Kulkarni//Juhu//Chocolate Mousse+3*Not Assigned/6/9/2023//UPI//Cancelled*Out of Stock</t>
  </si>
  <si>
    <t>//ord_30900//Ishaan Chaturvedi//Bandra//Icecream+1*Ramesh S/4/8/2023//COD//Delivered*Customer Service: Seamless and easy</t>
  </si>
  <si>
    <t>//ord_30901//Pranav Joshi//Andheri//Juice+5*Vivek Kumar/2/27/2023//Credit Card//Delivered*Delivery Experience: Quick and professional</t>
  </si>
  <si>
    <t>//ord_30902//Kritika Shetty//Malad//Veg Puff+4*Sita T/5/18/2023//Credit Card//Cancelled*Delayed Delivery:Heavy Traffic</t>
  </si>
  <si>
    <t>//ord_30903//Mehul Thakkar//Malad//Apple+1*Aman Kumar/1/7/2023//Credit Card//Cancelled*Delayed Delivery:Heavy Traffic</t>
  </si>
  <si>
    <t>//ord_30904//Omkar Mishra//Powai//Tiramisu+5*Shine Thomas/12/19/2023//Credit Card//Delivered*Convenience: Easy tracking</t>
  </si>
  <si>
    <t>//ord_30905//Sakshi Tandon//Colaba//Sweet Corn+2*Nikhil Deshmukh/4/30/2023//Credit Card//Delivered*Overall Satisfaction: Great service will order again</t>
  </si>
  <si>
    <t>//ord_30906//Dev Chauhan//Bandra//Chicken Puff+2*Priya Joshi/11/19/2023//UPI//Delivered*On-time Delivery: Delivered on time</t>
  </si>
  <si>
    <t>//ord_30907//Mehul Thakkar//Malad//Tomato+2*Not Assigned/5/14/2023//Credit Card//Cancelled*Payment Issues</t>
  </si>
  <si>
    <t>//ord_30908//Aditi Iyer//Dadar//Apple+1*Aman Kumar/7/15/2023//Credit Card//Delivered*Quality of Items: Perfect condition</t>
  </si>
  <si>
    <t xml:space="preserve">//ord_30909//Kritika Shetty//Malad//Icecream+4*Manju Ajay/4/21/2023//Online Payment//Cancelled*Delayed Delivery:Bad Weather Conditions </t>
  </si>
  <si>
    <t>//ord_30910//Sanjay Nair//Dadar//Juice+1*Aman Kumar/6/2/2023//Online Payment//Delivered*Satisfied with the Delivery: Timely and quality</t>
  </si>
  <si>
    <t>//ord_96334//Parth Goel//Juhu//Chocolate Mousse+1*Tanvi Jain/1/15/2023//Credit Card//Delivered*Satisfied with the Delivery: Timely and quality</t>
  </si>
  <si>
    <t>//ord_96428//Omkar Mishra//Powai//Orange+2*Sandeep Kumar/4/19/2023//UPI//Delivered*Customer Service: Seamless and easy</t>
  </si>
  <si>
    <t>//ord_96522//Sakshi Tandon//Colaba//Cold Coffee+2*Nikhil Deshmukh/8/15/2023//COD//Delivered*On-time Delivery: Delivered on time</t>
  </si>
  <si>
    <t>//ord_96616//Mohit Malhotra//Lower Parel//Tiramisu+1*Kiran Mehta/8/20/2023//UPI//Delivered*Delivery Experience: Quick and professional</t>
  </si>
  <si>
    <t>//ord_96710//Anaya Rao//Colaba//Cold Coffee+4*Nikhil Deshmukh/3/15/2023//COD//Delivered*Convenience: Easy tracking</t>
  </si>
  <si>
    <t>//ord_96804//Dev Chauhan//Bandra//Orange+1*Priya Joshi/10/7/2023//COD//Delivered*Overall Satisfaction: Great service will order again</t>
  </si>
  <si>
    <t xml:space="preserve">//ord_96898//Pallavi Ghosh//Bandra//Orange+2*Aman Kumar/2/17/2023//Credit Card//Cancelled*Delayed Delivery:Bad Weather Conditions </t>
  </si>
  <si>
    <t>//ord_96992//Siya Reddy//Juhu//Veg Puff+1*Tanvi Jain/10/3/2023//UPI//Delivered*On-time Delivery: Delivered on time</t>
  </si>
  <si>
    <t>//ord_97086//Tanishq Bansal//Powai//Cold Coffee+2*Sandeep Kumar/6/16/2023//UPI//Delivered*Quality of Items: Perfect condition</t>
  </si>
  <si>
    <t>//ord_97180//Anaya Rao//Colaba//Tiramisu+3*Nikhil Deshmukh/8/2/2023//Credit Card//Delivered*Quality of Items: Perfect condition</t>
  </si>
  <si>
    <t>//ord_30911//Arvind Kulkarni//Juhu//Onion+2*Nithin Lal/5/3/2023//Credit Card//Cancelled*Delayed Delivery:Heavy Traffic</t>
  </si>
  <si>
    <t>//ord_30912//Aditi Iyer//Dadar//Tiramisu+2*Aman Kumar/3/5/2023//UPI//Delivered*Quality of Items: Perfect condition</t>
  </si>
  <si>
    <t>//ord_30913//Sakshi Tandon//Colaba//Chocolate Mousse+3*Nikhil Deshmukh/4/5/2023//COD//Delivered*Packaging: Secure and intact</t>
  </si>
  <si>
    <t>//ord_30914//Aarohi Kapoor//Bandra//Papaya+1*Priya Joshi/7/28/2023//COD//Delivered*Satisfied with the Delivery: Timely and quality</t>
  </si>
  <si>
    <t>//ord_30915//Aditi Iyer//Dadar//Sweet Corn+1*Aman Kumar/12/14/2023//Online Payment//Delivered*Customer Service: Seamless and easy</t>
  </si>
  <si>
    <t>//ord_30916//Aarohi Kapoor//Bandra//Cucumber+1*Priya Joshi/3/15/2023//UPI//Delivered*Delivery Experience: Quick and professional</t>
  </si>
  <si>
    <t>//ord_30917//Sakshi Tandon//Colaba//Potato+1*Nikhil Deshmukh/1/22/2023//UPI//Delivered*Convenience: Easy tracking</t>
  </si>
  <si>
    <t>//ord_30918//Aarav Mehta//Andheri//Sweet Corn+1*Rohan Yadav/5/15/2023//Online Payment//Delivered*Overall Satisfaction: Great service will order again</t>
  </si>
  <si>
    <t>//ord_30919//Siya Reddy//Juhu//Veg Puff+4*Tanvi Jain/6/6/2023//Credit Card//Cancelled*Delayed Delivery:Heavy Traffic</t>
  </si>
  <si>
    <t>//ord_30920//Parth Goel//Juhu//Banana+2*Tanvi Jain/7/12/2023//UPI//Delivered*On-time Delivery: Delivered on time</t>
  </si>
  <si>
    <t>//ord_30921//Dev Chauhan//Bandra//Tiramisu+4*Priya Joshi/1/8/2023//UPI//Delivered*Quality of Items: Perfect condition</t>
  </si>
  <si>
    <t>//ord_30922//Siya Reddy//Juhu//Icecream+5*Vivek Kumar/6/21/2023//Online Payment//Cancelled*Delayed Delivery:Vehicle Breakdown</t>
  </si>
  <si>
    <t>//ord_30923//Dev Chauhan//Bandra//Chilli Cheese Toast+3*Priya Joshi/5/5/2023//Credit Card//Delivered*On-time Delivery: Delivered on time</t>
  </si>
  <si>
    <t>//ord_30924//Arvind Kulkarni//Juhu//Apple+1*Kiran Mehta/8/26/2023//Credit Card//Cancelled*Delayed Delivery:Heavy Traffic</t>
  </si>
  <si>
    <t>//ord_30925//Mehul Thakkar//Dadar//Cucumber+1*Aman Kumar/4/17/2023//Online Payment//Delivered*Quality of Items: Perfect condition</t>
  </si>
  <si>
    <t>//ord_30926//Aditi Iyer//Bandra//Rasmalai+3*Priya Joshi/10/28/2023//Online Payment//Delivered*Packaging: Secure and intact</t>
  </si>
  <si>
    <t>//ord_30927//Aditi Iyer//Dadar//Sweet Corn+2*Aman Kumar/1/13/2023//UPI//Delivered*Satisfied with the Delivery: Timely and quality</t>
  </si>
  <si>
    <t>//ord_30928//Ishita Banerjee//Juhu//Veg Puff+3*Tanvi Jain/11/5/2023//COD//Delivered*Customer Service: Seamless and easy</t>
  </si>
  <si>
    <t>//ord_30929//Diya Arora//Lower Parel//Potato+2*Kiran Mehta/11/9/2023//Credit Card//Delivered*Delivery Experience: Quick and professional</t>
  </si>
  <si>
    <t>//ord_30930//Mohit Malhotra//Lower Parel//Potato+2*Kiran Mehta/7/28/2023//Online Payment//Delivered*Convenience: Easy tracking</t>
  </si>
  <si>
    <t>//ord_30931//Ishita Banerjee//Juhu//Onion+2*Tanvi Jain/7/11/2023//UPI//Delivered*Overall Satisfaction: Great service will order again</t>
  </si>
  <si>
    <t>//ord_30932//Tanishq Bansal//Powai//Popcorn+1*Sandeep Kumar/1/25/2023//Credit Card//Delivered*On-time Delivery: Delivered on time</t>
  </si>
  <si>
    <t>//ord_30933//Mohit Malhotra//Lower Parel//Juice+2*Kiran Mehta/5/8/2023//Online Payment//Delivered*Quality of Items: Perfect condition</t>
  </si>
  <si>
    <t>//ord_30934//Siya Reddy//Juhu//Papaya+2*Tanvi Jain/11/24/2023//Online Payment//Delivered*On-time Delivery: Delivered on time</t>
  </si>
  <si>
    <t>//ord_30935//Aarav Mehta//Andheri//Chocolate Mousse+2*Rohan Yadav/11/18/2023//COD//Delivered*Quality of Items: Perfect condition</t>
  </si>
  <si>
    <t xml:space="preserve">//ord_30936//Ishita Banerjee//Juhu//Popcorn+4*Sita T/12/15/2023//Credit Card//Cancelled*Delayed Delivery:Bad Weather Conditions </t>
  </si>
  <si>
    <t>//ord_30937//Dev Chauhan//Bandra//Rasmalai+3*Priya Joshi/5/21/2023//COD//Delivered*Packaging: Secure and intact</t>
  </si>
  <si>
    <t>//ord_30938//Arvind Kulkarni//Juhu//Rasmalai+2*Tanvi Jain/1/24/2023//Online Payment//Delivered*Satisfied with the Delivery: Timely and quality</t>
  </si>
  <si>
    <t>//ord_30939//Mohit Malhotra//Lower Parel//Icecream+4*Ramesh S/2/15/2023//Credit Card//Delivered*Customer Service: Seamless and easy</t>
  </si>
  <si>
    <t>//ord_30940//Mehul Thakkar//Malad//Sweet Corn+2*Ram Gopal/5/30/2023//Credit Card//Delivered*Delivery Experience: Quick and professional</t>
  </si>
  <si>
    <t>//ord_30941//Diya Arora//Lower Parel//Popcorn+5*Shine Thomas/7/6/2023//Online Payment//Delivered*Convenience: Easy tracking</t>
  </si>
  <si>
    <t>//ord_30942//Pallavi Ghosh//Bandra//Tomato+2*Ram Gopal/5/11/2023//COD//Delivered*Overall Satisfaction: Great service will order again</t>
  </si>
  <si>
    <t>//ord_30943//Ishita Banerjee//Juhu//Veg Puff+1*Vivek Kumar/2/20/2023//COD//Delivered*On-time Delivery: Delivered on time</t>
  </si>
  <si>
    <t>//ord_30944//Mohit Malhotra//Lower Parel//Papaya+1*Ramesh S/2/9/2023//Credit Card//Delivered*Quality of Items: Perfect condition</t>
  </si>
  <si>
    <t>//ord_30945//Anaya Rao//Colaba//Onion+2*Ram Gopal/12/16/2023//COD//Delivered*On-time Delivery: Delivered on time</t>
  </si>
  <si>
    <t>//ord_30946//Tanishq Bansal//Powai//Popcorn+5*Nithin Lal/3/9/2023//Online Payment//Delivered*Quality of Items: Perfect condition</t>
  </si>
  <si>
    <t>//ord_30947//Dev Chauhan//Bandra//Popcorn+1*Venu R/8/14/2023//UPI//Delivered*Packaging: Secure and intact</t>
  </si>
  <si>
    <t>//ord_30948//Pranav Joshi//Andheri//Popcorn+1*Vivek Kumar/7/5/2023//Online Payment//Delivered*Satisfied with the Delivery: Timely and quality</t>
  </si>
  <si>
    <t>//ord_30949//Parth Goel//Juhu//Icecream+4*Sita T/8/3/2023//UPI//Delivered*Customer Service: Seamless and easy</t>
  </si>
  <si>
    <t>//ord_30950//Kritika Shetty//Malad//Banana+2*Ramesh S/6/2/2023//UPI//Delivered*Delivery Experience: Quick and professional</t>
  </si>
  <si>
    <t>//ord_30951//Aarohi Kapoor//Bandra//Popcorn+3*Shine Thomas/6/10/2023//Credit Card//Delivered*Convenience: Easy tracking</t>
  </si>
  <si>
    <t>//ord_30952//Mehul Thakkar//Malad//Papaya+2*Not Assigned/9/20/2023//Credit Card//Cancelled*App Glitches: Inconsistent Data Display</t>
  </si>
  <si>
    <t>//ord_30953//Ishaan Chaturvedi//Bandra//Icecream+4*Shine Thomas/3/12/2023//UPI//Delivered*Overall Satisfaction: Great service will order again</t>
  </si>
  <si>
    <t>//ord_30954//Pallavi Ghosh//Bandra//Chicken Puff+3*Vivek Kumar/10/25/2023//Online Payment//Delivered*On-time Delivery: Delivered on time</t>
  </si>
  <si>
    <t>//ord_30955//Mohit Malhotra//Lower Parel//Juice+1*Vivek Kumar/1/11/2023//UPI//Delivered*Quality of Items: Perfect condition</t>
  </si>
  <si>
    <t>//ord_40956//Sakshi Tandon//Colaba//Veg Puff+5*Ram Gopal/5/2/2023//UPI//Delivered*On-time Delivery: Delivered on time</t>
  </si>
  <si>
    <t>//ord_40957//Aarohi Kapoor//Bandra//Tiramisu+2*Nithin Lal/8/29/2023//Online Payment//Delivered*Quality of Items: Perfect condition</t>
  </si>
  <si>
    <t>//ord_40958//Tanishq Bansal//Powai//Cucumber+2*Vivek Kumar/6/7/2023//UPI//Delivered*Packaging: Secure and intact</t>
  </si>
  <si>
    <t>//ord_40959//Siya Reddy//Juhu//Juice+4*Not Assigned/12/18/2023//Credit Card//Cancelled*High Delivery Fees</t>
  </si>
  <si>
    <t>//ord_40960//Kritika Shetty//Malad//Juice+4*Ramesh S/5/16/2023//UPI//Delivered*Satisfied with the Delivery: Timely and quality</t>
  </si>
  <si>
    <t>//ord_40961//Parth Goel//Juhu//Cucumber+2*Shine Thomas/12/22/2023//UPI//Delivered*Customer Service: Seamless and easy</t>
  </si>
  <si>
    <t>//ord_40962//Pranav Joshi//Andheri//Potato+2*Ramesh S/5/3/2023//UPI//Delivered*Delivery Experience: Quick and professional</t>
  </si>
  <si>
    <t>//ord_40963//Pallavi Ghosh//Bandra//Chocolate Mousse+3*Sita T/3/10/2023//Credit Card//Delivered*Convenience: Easy tracking</t>
  </si>
  <si>
    <t>//ord_40964//Mehul Thakkar//Malad//Apple+2*Vivek Kumar/3/19/2023//UPI//Delivered*Overall Satisfaction: Great service will order again</t>
  </si>
  <si>
    <t>//ord_40965//Omkar Mishra//Powai//Potato+2*Shine Thomas/9/21/2023//Credit Card//Delivered*On-time Delivery: Delivered on time</t>
  </si>
  <si>
    <t>//ord_40966//Arvind Kulkarni//Juhu//Chicken Puff+3*Venu R/6/16/2023//UPI//Delivered*Quality of Items: Perfect condition</t>
  </si>
  <si>
    <t>//ord_40967//Aditya Rao//Lower Parel//Chocolate Mousse+3*Ramesh S/12/17/2023//UPI//Delivered*On-time Delivery: Delivered on time</t>
  </si>
  <si>
    <t>//ord_40968//Aditi Iyer//Dadar//Apple+2*Ram Gopal/12/17/2023//UPI//Delivered*Quality of Items: Perfect condition</t>
  </si>
  <si>
    <t>//ord_40969//Aditi Iyer//Dadar//Chicken Puff+5*Manju Ajay/12/18/2023//Credit Card//Delivered*Packaging: Secure and intact</t>
  </si>
  <si>
    <t>//ord_40970//Aditi Iyer//Dadar//Potato+2*Manju Ajay/2/20/2023//Online Payment//Delivered*Satisfied with the Delivery: Timely and quality</t>
  </si>
  <si>
    <t>//ord_40971//Mohit Malhotra//Lower Parel//Tiramisu+5*Manju Ajay/7/14/2023//Online Payment//Delivered*Customer Service: Seamless and easy</t>
  </si>
  <si>
    <t>//ord_40972//Anaya Rao//Colaba//Tomato+1*Ram Gopal/4/29/2023//Credit Card//Delivered*Delivery Experience: Quick and professional</t>
  </si>
  <si>
    <t>//ord_40973//Kritika Shetty//Malad//Papaya+1*Not Assigned/5/12/2023//Credit Card//Cancelled*App Glitches:Slow Loading Time</t>
  </si>
  <si>
    <t>//ord_40974//Pranav Joshi//Andheri//Papaya+1*Shine Thomas/12/4/2023//Online Payment//Delivered*Convenience: Easy tracking</t>
  </si>
  <si>
    <t>//ord_40975//Aditi Iyer//Dadar//Guava+2*Sita T/4/20/2023//Online Payment//Delivered*Overall Satisfaction: Great service will order again</t>
  </si>
  <si>
    <t>//ord_40976//Aditya Basu//Juhu//Cucumber+2*Manju Ajay/3/14/2023//UPI//Delivered*On-time Delivery: Delivered on time</t>
  </si>
  <si>
    <t>//ord_40977//Aditya Rao//Lower Parel//Tiramisu+2*Ramesh S/2/20/2023//Credit Card//Delivered*Quality of Items: Perfect condition</t>
  </si>
  <si>
    <t>//ord_40978//Mehul Thakkar//Malad//Onion+2*Not Assigned/10/28/2023//Credit Card//Cancelled*App Glitches:Missing Content</t>
  </si>
  <si>
    <t>//ord_40979//Aarohi Kapoor//Bandra//Papaya+2*Shine Thomas/10/25/2023//Online Payment//Delivered*On-time Delivery: Delivered on time</t>
  </si>
  <si>
    <t>//ord_40980//Pranav Joshi//Andheri//Orange+1*Vivek Kumar/9/14/2023//Online Payment//Delivered*Quality of Items: Perfect condition</t>
  </si>
  <si>
    <t>//ord_40981//Ishita Banerjee//Juhu//Sweet Corn+2*Not Assigned/7/1/2023//Credit Card//Cancelled*App Glitches: Payment Button Malfunction</t>
  </si>
  <si>
    <t>//ord_40982//Sanjay Nair//Dadar//Juice+2*Ramesh S/11/6/2023//UPI//Delivered*Packaging: Secure and intact</t>
  </si>
  <si>
    <t>//ord_40983//Siya Reddy//Juhu//Rasmalai+4*Manju Ajay/3/25/2023//Credit Card//Delivered*Satisfied with the Delivery: Timely and quality</t>
  </si>
  <si>
    <t>//ord_40984//Sanjay Nair//Dadar//Chicken Puff+3*Ramesh S/11/6/2023//UPI//Delivered*Customer Service: Seamless and easy</t>
  </si>
  <si>
    <t>//ord_40985//Pranav Joshi//Andheri//Banana+1*Manju Ajay/2/25/2023//UPI//Delivered*Delivery Experience: Quick and professional</t>
  </si>
  <si>
    <t xml:space="preserve">//ord_40986//Mehul Thakkar//Malad//Apple+1*Priya Joshi/9/5/2023//Credit Card//Cancelled*Delayed Delivery:Bad Weather Conditions </t>
  </si>
  <si>
    <t>//ord_40987//Aarav Mehta//Andheri//Tiramisu+4*Shine Thomas/6/26/2023//UPI//Delivered*Convenience: Easy tracking</t>
  </si>
  <si>
    <t>//ord_10090//Siya Reddy//Juhu//Banana+2*Sita T/2/13/2023//Online Payment//Delivered*Customer Service: Seamless and easy</t>
  </si>
  <si>
    <t>//ord_10099//Pranav Joshi//Andheri//Banana+1*Ramesh S/3/3/2023//Credit Card//Delivered*Delivery Experience: Quick and professional</t>
  </si>
  <si>
    <t>//ord_10108//Mehul Thakkar//Malad//Apple+2*Sita T/9/20/2023//Credit Card//Delivered*Convenience: Easy tracking</t>
  </si>
  <si>
    <t>//ord_40988//Dev Chauhan//Bandra//Rasmalai+3*Shine Thomas/6/14/2023//Credit Card//Delivered*Overall Satisfaction: Great service will order again</t>
  </si>
  <si>
    <t>//ord_40989//Siya Reddy//Juhu//Chilli Cheese Toast+1*Vivek Kumar/4/21/2023//UPI//Delivered*On-time Delivery: Delivered on time</t>
  </si>
  <si>
    <t>//ord_40990//Anaya Rao//Colaba//Veg Puff+5*Ramesh S/7/4/2023//UPI//Delivered*Quality of Items: Perfect condition</t>
  </si>
  <si>
    <t>//ord_40991//Aarohi Kapoor//Bandra//Orange+1*Nithin Lal/8/1/2023//Credit Card//Delivered*On-time Delivery: Delivered on time</t>
  </si>
  <si>
    <t>//ord_40992//Kritika Shetty//Malad//Juice+1*Vivek Kumar/7/3/2023//UPI//Delivered*Quality of Items: Perfect condition</t>
  </si>
  <si>
    <t>//ord_40993//Siya Reddy//Juhu//Apple+2*Shine Thomas/9/30/2023//UPI//Delivered*Packaging: Secure and intact</t>
  </si>
  <si>
    <t>//ord_40994//Anaya Rao//Colaba//Cold Coffee+4*Ramesh S/12/17/2023//UPI//Delivered*Satisfied with the Delivery: Timely and quality</t>
  </si>
  <si>
    <t>//ord_40995//Aditi Iyer//Dadar//Guava+1*Nithin Lal/12/18/2023//Credit Card//Delivered*Customer Service: Seamless and easy</t>
  </si>
  <si>
    <t>//ord_40996//Aarohi Kapoor//Bandra//Veg Puff+1*Manju Ajay/12/12/2023//UPI//Delivered*Delivery Experience: Quick and professional</t>
  </si>
  <si>
    <t>//ord_40997//Tanishq Bansal//Powai//Apple+1*Vivek Kumar/2/18/2023//Credit Card//Delivered*Convenience: Easy tracking</t>
  </si>
  <si>
    <t>//ord_40998//Parth Goel//Juhu//Veg Puff+4*Venu R/3/1/2023//UPI//Delivered*Overall Satisfaction: Great service will order again</t>
  </si>
  <si>
    <t>//ord_40999//Anaya Rao//Colaba//Chocolate Mousse+4*Ramesh S/12/7/2023//Online Payment//Delivered*On-time Delivery: Delivered on time</t>
  </si>
  <si>
    <t>//ord_41000//Ishita Banerjee//Juhu//Papaya+1*Not Assigned/6/4/2023//UPI//Cancelled*App Glitches: Payment Button Malfunction</t>
  </si>
  <si>
    <t>//ord_41001//Sanjay Nair//Dadar//Apple+2*Ramesh S/6/6/2023//Online Payment//Delivered*Quality of Items: Perfect condition</t>
  </si>
  <si>
    <t>//ord_41002//Diya Arora//Lower Parel//Cucumber+2*Manju Ajay/9/15/2023//UPI//Delivered*On-time Delivery: Delivered on time</t>
  </si>
  <si>
    <t>//ord_41003//Siya Reddy//Juhu//Chocolate Mousse+2*Ram Gopal/3/30/2023//Credit Card//Delivered*Quality of Items: Perfect condition</t>
  </si>
  <si>
    <t>//ord_41004//Siya Reddy//Juhu//Chicken Puff+4*Ramesh S/11/13/2023//Online Payment//Delivered*Packaging: Secure and intact</t>
  </si>
  <si>
    <t>//ord_41005//Dev Chauhan//Bandra//Cold Coffee+4*Ramesh S/8/27/2023//Online Payment//Delivered*Satisfied with the Delivery: Timely and quality</t>
  </si>
  <si>
    <t>//ord_41006//Pranav Joshi//Andheri//Veg Puff+1*Vivek Kumar/6/11/2023//UPI//Delivered*Customer Service: Seamless and easy</t>
  </si>
  <si>
    <t>//ord_41007//Pranav Joshi//Andheri//Tiramisu+2*Sita T/1/8/2023//Credit Card//Delivered*Delivery Experience: Quick and professional</t>
  </si>
  <si>
    <t>//ord_41008//Dev Chauhan//Bandra//Potato+1*Priya Joshi/4/11/2023//UPI//Delivered*Convenience: Easy tracking</t>
  </si>
  <si>
    <t>//ord_41009//Arvind Kulkarni//Juhu//Potato+2*Tanvi Jain/12/15/2023//Credit Card//Delivered*Overall Satisfaction: Great service will order again</t>
  </si>
  <si>
    <t>//ord_41010//Aarohi Kapoor//Bandra//Apple+2*Priya Joshi/1/27/2023//Credit Card//Delivered*On-time Delivery: Delivered on time</t>
  </si>
  <si>
    <t>//ord_41011//Tanishq Bansal//Powai//Icecream+4*Sandeep Kumar/4/15/2023//UPI//Delivered*Quality of Items: Perfect condition</t>
  </si>
  <si>
    <t>//ord_41012//Aarav Mehta//Andheri//Sweet Corn+1*Rohan Yadav/2/14/2023//Online Payment//Delivered*On-time Delivery: Delivered on time</t>
  </si>
  <si>
    <t>//ord_41013//Tanishq Bansal//Powai//Veg Puff+5*Sandeep Kumar/6/18/2023//UPI//Delivered*Quality of Items: Perfect condition</t>
  </si>
  <si>
    <t>//ord_41014//Aarohi Kapoor//Bandra//Potato+1*Priya Joshi/9/2/2023//Online Payment//Delivered*Packaging: Secure and intact</t>
  </si>
  <si>
    <t>//ord_41015//Aarohi Kapoor//Bandra//Popcorn+3*Priya Joshi/11/2/2023//COD//Delivered*Satisfied with the Delivery: Timely and quality</t>
  </si>
  <si>
    <t>//ord_41016//Aarohi Kapoor//Bandra//Papaya+2*Priya Joshi/3/14/2023//UPI//Delivered*Customer Service: Seamless and easy</t>
  </si>
  <si>
    <t>//ord_41017//Ishaan Chaturvedi//Bandra//Tomato+1*Priya Joshi/1/14/2023//COD//Delivered*Delivery Experience: Quick and professional</t>
  </si>
  <si>
    <t>//ord_41018//Pranav Joshi//Andheri//Papaya+2*Rohan Yadav/11/5/2023//UPI//Delivered*Convenience: Easy tracking</t>
  </si>
  <si>
    <t>//ord_41019//Aarohi Kapoor//Bandra//Icecream+5*Priya Joshi/7/8/2023//Online Payment//Delivered*Overall Satisfaction: Great service will order again</t>
  </si>
  <si>
    <t>//ord_41020//Siya Reddy//Juhu//Cold Coffee+3*Vivek Kumar/6/23/2023//UPI//Cancelled*Delayed Delivery:Incorrect Address or Location</t>
  </si>
  <si>
    <t>//ord_41021//Aarav Mehta//Andheri//Chilli Cheese Toast+1*Rohan Yadav/6/1/2023//Credit Card//Delivered*On-time Delivery: Delivered on time</t>
  </si>
  <si>
    <t>//ord_41022//Mehul Thakkar//Malad//Guava+2*Neha Shah/11/4/2023//Online Payment//Delivered*Quality of Items: Perfect condition</t>
  </si>
  <si>
    <t>//ord_41023//Aditi Iyer//Dadar//Rasmalai+2*Aman Kumar/9/21/2023//COD//Delivered*On-time Delivery: Delivered on time</t>
  </si>
  <si>
    <t>//ord_41024//Anaya Rao//Colaba//Orange+2*Nikhil Deshmukh/3/3/2023//COD//Delivered*Quality of Items: Perfect condition</t>
  </si>
  <si>
    <t>//ord_41025//Kritika Shetty//Malad//Banana+2*Not Assigned/4/23/2023//UPI//Cancelled*App Glitches:Slow Loading Time</t>
  </si>
  <si>
    <t>//ord_41026//Tanishq Bansal//Powai//Tiramisu+4*Sandeep Kumar/3/16/2023//Online Payment//Delivered*Packaging: Secure and intact</t>
  </si>
  <si>
    <t>//ord_41027//Diya Arora//Lower Parel//Icecream+3*Kiran Mehta/5/14/2023//UPI//Delivered*Satisfied with the Delivery: Timely and quality</t>
  </si>
  <si>
    <t>//ord_41028//Mohit Malhotra//Lower Parel//Juice+3*Kiran Mehta/12/1/2023//Online Payment//Delivered*Customer Service: Seamless and easy</t>
  </si>
  <si>
    <t>//ord_41029//Parth Goel//Juhu//Chocolate Mousse+5*Tanvi Jain/5/7/2023//Credit Card//Delivered*Delivery Experience: Quick and professional</t>
  </si>
  <si>
    <t>//ord_41030//Sakshi Tandon//Colaba//Popcorn+1*Nikhil Deshmukh/9/25/2023//Online Payment//Delivered*Convenience: Easy tracking</t>
  </si>
  <si>
    <t>//ord_41031//Anaya Rao//Colaba//Onion+1*Nikhil Deshmukh/6/16/2023//COD//Delivered*Overall Satisfaction: Great service will order again</t>
  </si>
  <si>
    <t>//ord_41032//Aditi Iyer//Dadar//Potato+1*Aman Kumar/6/20/2023//UPI//Delivered*On-time Delivery: Delivered on time</t>
  </si>
  <si>
    <t>//ord_41033//Arvind Kulkarni//Juhu//Apple+2*Priya Joshi/10/12/2023//Credit Card//Cancelled*Delayed Delivery:Heavy Traffic</t>
  </si>
  <si>
    <t>//ord_41034//Diya Arora//Lower Parel//Orange+1*Kiran Mehta/12/18/2023//Credit Card//Delivered*Quality of Items: Perfect condition</t>
  </si>
  <si>
    <t>//ord_41035//Aditi Iyer//Dadar//Papaya+1*Aman Kumar/2/21/2023//Online Payment//Delivered*On-time Delivery: Delivered on time</t>
  </si>
  <si>
    <t>//ord_41036//Tanishq Bansal//Powai//Juice+1*Sandeep Kumar/2/10/2023//Online Payment//Delivered*Quality of Items: Perfect condition</t>
  </si>
  <si>
    <t>//ord_41037//Diya Arora//Lower Parel//Papaya+1*Kiran Mehta/1/21/2023//COD//Delivered*Packaging: Secure and intact</t>
  </si>
  <si>
    <t>//ord_41038//Ishaan Chaturvedi//Bandra//Cucumber+1*Priya Joshi/10/3/2023//UPI//Delivered*Satisfied with the Delivery: Timely and quality</t>
  </si>
  <si>
    <t>//ord_41039//Aarohi Kapoor//Bandra//Veg Puff+1*Priya Joshi/7/2/2023//Credit Card//Delivered*Customer Service: Seamless and easy</t>
  </si>
  <si>
    <t>//ord_41040//Aditya Rao//Lower Parel//Veg Puff+4*Kiran Mehta/8/14/2023//Credit Card//Delivered*Delivery Experience: Quick and professional</t>
  </si>
  <si>
    <t>//ord_41041//Aditi Iyer//Dadar//Sweet Corn+2*Aman Kumar/2/15/2023//Credit Card//Delivered*Convenience: Easy tracking</t>
  </si>
  <si>
    <t>//ord_41042//Aditi Iyer//Dadar//Guava+1*Aman Kumar/1/7/2023//Credit Card//Delivered*Overall Satisfaction: Great service will order again</t>
  </si>
  <si>
    <t>//ord_41043//Pranav Joshi//Andheri//Popcorn+5*Rohan Yadav/7/5/2023//Credit Card//Delivered*On-time Delivery: Delivered on time</t>
  </si>
  <si>
    <t>//ord_41044//Sanjay Nair//Dadar//Orange+1*Sita T/5/19/2023//Online Payment//Delivered*Quality of Items: Perfect condition</t>
  </si>
  <si>
    <t>//ord_41045//Kritika Shetty//Malad//Tiramisu+2*Manju Ajay/12/18/2023//Credit Card//Cancelled*Delayed Delivery:High Order Volume</t>
  </si>
  <si>
    <t>//ord_41046//Sahil Desai//Lower Parel//Veg Puff+8*Shine Thomas/7/7/2023//COD//Delivered*On-time Delivery: Delivered on time</t>
  </si>
  <si>
    <t>//ord_41047//Ishaan Chaturvedi//Bandra//Potato+1*Ram Gopal/10/26/2023//Online Payment//Delivered*Quality of Items: Perfect condition</t>
  </si>
  <si>
    <t>//ord_41048//Aarav Mehta//Andheri//Cucumber+1*Vivek Kumar/7/7/2023//Online Payment//Delivered*Packaging: Secure and intact</t>
  </si>
  <si>
    <t>//ord_41049//Arvind Kulkarni//Juhu//Tomato+1*Not Assigned/10/9/2023//UPI//Cancelled*App Glitches: Inconsistent Data Display</t>
  </si>
  <si>
    <t>//ord_41050//Parth Goel//Juhu//Onion+1*Ramesh S/9/16/2023//Online Payment//Delivered*Satisfied with the Delivery: Timely and quality</t>
  </si>
  <si>
    <t>//ord_41051//Aditi Iyer//Dadar//Papaya+1*Ramesh S/6/8/2023//Credit Card//Delivered*Customer Service: Seamless and easy</t>
  </si>
  <si>
    <t>//ord_41052//Omkar Mishra//Powai//Chilli Cheese Toast+2*Manju Ajay/5/4/2023//UPI//Delivered*Delivery Experience: Quick and professional</t>
  </si>
  <si>
    <t>//ord_41053//Aditi Iyer//Dadar//Rasmalai+1*Venu R/1/10/2023//UPI//Delivered*Convenience: Easy tracking</t>
  </si>
  <si>
    <t>//ord_41054//Aarav Mehta//Andheri//Popcorn+5*Manju Ajay/1/19/2023//Credit Card//Delivered*Overall Satisfaction: Great service will order again</t>
  </si>
  <si>
    <t>//ord_41055//Aarav Mehta//Andheri//Papaya+1*Sita T/8/26/2023//Credit Card//Delivered*On-time Delivery: Delivered on time</t>
  </si>
  <si>
    <t>//ord_41056//Ishaan Chaturvedi//Bandra//Potato+1*Sita T/6/6/2023//COD//Delivered*Quality of Items: Perfect condition</t>
  </si>
  <si>
    <t>//ord_41057//Pranav Joshi//Andheri//Cucumber+1*Vivek Kumar/9/12/2023//UPI//Delivered*On-time Delivery: Delivered on time</t>
  </si>
  <si>
    <t>//ord_41058//Aditi Iyer//Dadar//Veg Puff+3*Sita T/5/8/2023//UPI//Delivered*Quality of Items: Perfect condition</t>
  </si>
  <si>
    <t>//ord_41059//Sanjay Nair//Dadar//Chilli Cheese Toast+2*Manju Ajay/4/4/2023//COD//Delivered*Packaging: Secure and intact</t>
  </si>
  <si>
    <t>//ord_41060//Ishaan Chaturvedi//Bandra//Chocolate Mousse+3*Manju Ajay/8/26/2023//UPI//Delivered*Satisfied with the Delivery: Timely and quality</t>
  </si>
  <si>
    <t>//ord_41061//Kritika Shetty//Malad//Chicken Puff+4*Not Assigned/1/26/2023//Online Payment//Cancelled*App Glitches:Slow Loading Time</t>
  </si>
  <si>
    <t xml:space="preserve">//ord_41062//Sanjay Nair//Dadar//Juice+5*Nikhil Deshmukh/3/25/2023//Online Payment//Cancelled*Delayed Delivery:Bad Weather Conditions </t>
  </si>
  <si>
    <t>//ord_41063//Ishaan Chaturvedi//Bandra//Veg Puff+4*Not Assigned/7/21/2023//UPI//Cancelled*Payment Issues</t>
  </si>
  <si>
    <t>//ord_41064//Omkar Mishra//Powai//Apple+1*Vivek Kumar/7/3/2023//COD//Delivered*Customer Service: Seamless and easy</t>
  </si>
  <si>
    <t>//ord_41065//Mohit Malhotra//Lower Parel//Banana+2*Venu R/5/14/2023//Credit Card//Delivered*Delivery Experience: Quick and professional</t>
  </si>
  <si>
    <t>//ord_41066//Anaya Rao//Colaba//Apple+1*Ram Gopal/5/16/2023//UPI//Cancelled*Delayed Delivery:Heavy Traffic</t>
  </si>
  <si>
    <t>//ord_41067//Sakshi Tandon//Colaba//Tiramisu+5*Not Assigned/9/16/2023//Credit Card//Cancelled*Payment Issues</t>
  </si>
  <si>
    <t>//ord_41068//Sakshi Tandon//Colaba//Icecream+1*Not Assigned/6/23/2023//UPI//Cancelled*App Glitches:Missing Content</t>
  </si>
  <si>
    <t>//ord_41069//Sanjay Nair//Dadar//Chicken Puff+5*Not Assigned/3/18/2023//Credit Card//Cancelled*High Delivery Fees</t>
  </si>
  <si>
    <t>//ord_41070//Mehul Thakkar//Malad//Veg Puff+1*Manju Ajay/5/25/2023//UPI//Delivered*Convenience: Easy tracking</t>
  </si>
  <si>
    <t>//ord_41071//Aarohi Kapoor//Bandra//Sweet Corn+2*Shine Thomas/10/4/2023//UPI//Delivered*Overall Satisfaction: Great service will order again</t>
  </si>
  <si>
    <t>//ord_41072//Mohit Malhotra//Lower Parel//Cucumber+2*Not Assigned/4/3/2023//UPI//Cancelled*App Glitches: Payment Button Malfunction</t>
  </si>
  <si>
    <t>//ord_41073//Ishita Banerjee//Juhu//Cucumber+2*Not Assigned/5/23/2023//Credit Card//Cancelled*Out of Stock</t>
  </si>
  <si>
    <t>//ord_41074//Siya Reddy//Juhu//Orange+1*Ramesh S/10/21/2023//Credit Card//Delivered*On-time Delivery: Delivered on time</t>
  </si>
  <si>
    <t>//ord_41075//Ishita Banerjee//Juhu//Potato+2*Ramesh S/4/25/2023//COD//Delivered*Quality of Items: Perfect condition</t>
  </si>
  <si>
    <t>//ord_41076//Sanjay Nair//Dadar//Papaya+2*Ramesh S/4/28/2023//COD//Delivered*On-time Delivery: Delivered on time</t>
  </si>
  <si>
    <t>//ord_41077//Sanjay Nair//Dadar//Guava+2*Manju Ajay/1/11/2023//COD//Delivered*Quality of Items: Perfect condition</t>
  </si>
  <si>
    <t>//ord_41078//Omkar Mishra//Powai//Orange+2*Manju Ajay/1/1/2023//Online Payment//Delivered*Packaging: Secure and intact</t>
  </si>
  <si>
    <t xml:space="preserve">//ord_41079//Mohit Malhotra//Lower Parel//Cucumber+2*Kiran Mehta/5/21/2023//Online Payment//Cancelled*Delayed Delivery:Bad Weather Conditions </t>
  </si>
  <si>
    <t>//ord_41080//Sanjay Nair//Dadar//Tiramisu+4*Ram Gopal/11/26/2023//UPI//Delivered*Satisfied with the Delivery: Timely and quality</t>
  </si>
  <si>
    <t>//ord_41081//Mehul Thakkar//Malad//Chicken Puff+5*Manju Ajay/11/21/2023//Online Payment//Delivered*Customer Service: Seamless and easy</t>
  </si>
  <si>
    <t>//ord_41082//Aarav Mehta//Andheri//Chilli Cheese Toast+2*Shine Thomas/1/28/2023//Credit Card//Delivered*Delivery Experience: Quick and professional</t>
  </si>
  <si>
    <t>//ord_41083//Kritika Shetty//Malad//Tiramisu+4*Sita T/5/17/2023//COD//Delivered*Convenience: Easy tracking</t>
  </si>
  <si>
    <t>//ord_41084//Ritika Dutta//Lower Parel//Orange+2*Shine Thomas/7/13/2023//UPI//Delivered*Overall Satisfaction: Great service will order again</t>
  </si>
  <si>
    <t>//ord_41085//Pallavi Ghosh//Bandra//Chocolate Mousse+4*Not Assigned/1/29/2023//Credit Card//Cancelled*App Glitches: Payment Button Malfunction</t>
  </si>
  <si>
    <t>//ord_41086//Aarohi Kapoor//Bandra//Popcorn+4*Vivek Kumar/1/2/2023//UPI//Delivered*On-time Delivery: Delivered on time</t>
  </si>
  <si>
    <t>//ord_41087//Arvind Kulkarni//Juhu//Guava+1*Not Assigned/1/24/2023//Credit Card//Cancelled*Out of Stock</t>
  </si>
  <si>
    <t>//ord_41088//Diya Arora//Lower Parel//Rasmalai+3*Ramesh S/4/9/2023//UPI//Delivered*Quality of Items: Perfect condition</t>
  </si>
  <si>
    <t>//ord_41089//Tanishq Bansal//Powai//Sweet Corn+2*Ram Gopal/7/10/2023//Credit Card//Delivered*On-time Delivery: Delivered on time</t>
  </si>
  <si>
    <t>//ord_41090//Aarav Mehta//Andheri//Rasmalai+5*Venu R/8/15/2023//Online Payment//Delivered*Quality of Items: Perfect condition</t>
  </si>
  <si>
    <t>//ord_41091//Aditi Iyer//Dadar//Orange+2*Sita T/11/30/2023//Online Payment//Delivered*Packaging: Secure and intact</t>
  </si>
  <si>
    <t>//ord_41092//Kritika Shetty//Malad//Icecream+1*Manju Ajay/1/16/2023//Online Payment//Delivered*Satisfied with the Delivery: Timely and quality</t>
  </si>
  <si>
    <t>//ord_41093//Kritika Shetty//Malad//Chilli Cheese Toast+2*Shine Thomas/10/11/2023//Online Payment//Cancelled*Delayed Delivery:Heavy Traffic</t>
  </si>
  <si>
    <t>//ord_41094//Arvind Kulkarni//Juhu//Sweet Corn+2*Not Assigned/10/3/2023//Credit Card//Cancelled*App Glitches:Slow Loading Time</t>
  </si>
  <si>
    <t>//ord_41095//Parth Goel//Juhu//Rasmalai+1*Ramesh S/7/11/2023//Credit Card//Delivered*Customer Service: Seamless and easy</t>
  </si>
  <si>
    <t>//ord_41096//Aarohi Kapoor//Bandra//Onion+2*Ramesh S/9/21/2023//COD//Delivered*Delivery Experience: Quick and professional</t>
  </si>
  <si>
    <t>//ord_41097//Mohit Malhotra//Lower Parel//Potato+2*Vivek Kumar/7/30/2023//Online Payment//Delivered*Convenience: Easy tracking</t>
  </si>
  <si>
    <t>//ord_41098//Kritika Shetty//Malad//Juice+2*Not Assigned/1/13/2023//Credit Card//Cancelled*App Glitches:Slow Loading Time</t>
  </si>
  <si>
    <t>//ord_41099//Dev Chauhan//Bandra//Juice+2*Shine Thomas/1/15/2023//Credit Card//Delivered*Overall Satisfaction: Great service will order again</t>
  </si>
  <si>
    <t>//ord_41100//Mehul Thakkar//Malad//Chocolate Mousse+1*Not Assigned/6/13/2023//Credit Card//Cancelled*Out of Stock</t>
  </si>
  <si>
    <t>//ord_41101//Ishaan Chaturvedi//Bandra//Guava+1*Shine Thomas/9/9/2023//UPI//Delivered*On-time Delivery: Delivered on time</t>
  </si>
  <si>
    <t>//ord_41102//Sanjay Nair//Dadar//Chocolate Mousse+4*Vivek Kumar/12/17/2023//COD//Delivered*Quality of Items: Perfect condition</t>
  </si>
  <si>
    <t>//ord_41103//Diya Arora//Lower Parel//Apple+1*Manju Ajay/1/13/2023//COD//Delivered*On-time Delivery: Delivered on time</t>
  </si>
  <si>
    <t>//ord_41104//Kritika Shetty//Malad//Onion+1*Not Assigned/10/27/2023//UPI//Cancelled*App Glitches:Slow Loading Time</t>
  </si>
  <si>
    <t>//ord_41105//Parth Goel//Juhu//Potato+2*Shine Thomas/2/5/2023//COD//Delivered*Quality of Items: Perfect condition</t>
  </si>
  <si>
    <t>//ord_41106//Pallavi Ghosh//Bandra//Veg Puff+1*Ramesh S/2/12/2023//Credit Card//Delivered*Packaging: Secure and intact</t>
  </si>
  <si>
    <t>//ord_41107//Tanishq Bansal//Powai//Orange+1*Vivek Kumar/11/27/2023//Online Payment//Delivered*Satisfied with the Delivery: Timely and quality</t>
  </si>
  <si>
    <t>//ord_41108//Anaya Rao//Colaba//Potato+2*Venu R/1/3/2023//UPI//Delivered*Customer Service: Seamless and easy</t>
  </si>
  <si>
    <t>//ord_41109//Kritika Shetty//Malad//Veg Puff+1*Nithin Lal/12/4/2023//Credit Card//Delivered*Delivery Experience: Quick and professional</t>
  </si>
  <si>
    <t>//ord_41110//Aditi Iyer//Dadar//Guava+2*Shine Thomas/7/12/2023//COD//Delivered*Convenience: Easy tracking</t>
  </si>
  <si>
    <t>//ord_41111//Parth Goel//Juhu//Guava+2*Manju Ajay/1/10/2023//COD//Delivered*Overall Satisfaction: Great service will order again</t>
  </si>
  <si>
    <t>//ord_41112//Pallavi Ghosh//Bandra//Potato+1*Priya Joshi/11/11/2023//Online Payment//Delivered*On-time Delivery: Delivered on time</t>
  </si>
  <si>
    <t>//ord_41113//Omkar Mishra//Powai//Sweet Corn+1*Sandeep Kumar/5/12/2023//COD//Delivered*Quality of Items: Perfect condition</t>
  </si>
  <si>
    <t>//ord_41114//Siya Reddy//Juhu//Papaya+1*Not Assigned/5/6/2023//Online Payment//Cancelled*Payment Issues</t>
  </si>
  <si>
    <t>//ord_41115//Aarohi Kapoor//Bandra//Veg Puff+5*Priya Joshi/6/4/2023//UPI//Delivered*On-time Delivery: Delivered on time</t>
  </si>
  <si>
    <t>//ord_41116//Diya Arora//Lower Parel//Chilli Cheese Toast+3*Kiran Mehta/10/1/2023//UPI//Delivered*Quality of Items: Perfect condition</t>
  </si>
  <si>
    <t>//ord_41117//Arvind Kulkarni//Juhu//Juice+2*Not Assigned/7/30/2023//UPI//Cancelled*App Glitches:Slow Loading Time</t>
  </si>
  <si>
    <t>//ord_41118//Arvind Kulkarni//Juhu//Orange+2*Not Assigned/8/14/2023//Credit Card//Cancelled*Payment Issues</t>
  </si>
  <si>
    <t>//ord_41119//Anaya Rao//Colaba//Tiramisu+5*Nikhil Deshmukh/2/19/2023//COD//Delivered*Packaging: Secure and intact</t>
  </si>
  <si>
    <t>//ord_41120//Pranav Joshi//Andheri//Banana+1*Rohan Yadav/11/15/2023//UPI//Delivered*Satisfied with the Delivery: Timely and quality</t>
  </si>
  <si>
    <t>//ord_41121//Ishaan Chaturvedi//Bandra//Apple+1*Priya Joshi/9/20/2023//UPI//Delivered*Customer Service: Seamless and easy</t>
  </si>
  <si>
    <t>//ord_41122//Ishaan Chaturvedi//Bandra//Apple+2*Priya Joshi/3/20/2023//Credit Card//Delivered*Delivery Experience: Quick and professional</t>
  </si>
  <si>
    <t>//ord_41123//Diya Arora//Lower Parel//Rasmalai+4*Kiran Mehta/7/6/2023//Online Payment//Delivered*Convenience: Easy tracking</t>
  </si>
  <si>
    <t>//ord_41124//Parth Goel//Juhu//Icecream+4*Tanvi Jain/4/23/2023//UPI//Delivered*Overall Satisfaction: Great service will order again</t>
  </si>
  <si>
    <t>//ord_41125//Mehul Thakkar//Malad//Onion+2*Neha Shah/6/22/2023//Credit Card//Delivered*On-time Delivery: Delivered on time</t>
  </si>
  <si>
    <t>//ord_41126//Diya Arora//Lower Parel//Apple+2*Kiran Mehta/8/11/2023//Online Payment//Delivered*Quality of Items: Perfect condition</t>
  </si>
  <si>
    <t>//ord_41127//Tanishq Bansal//Powai//Cold Coffee+2*Sandeep Kumar/5/18/2023//Online Payment//Delivered*On-time Delivery: Delivered on time</t>
  </si>
  <si>
    <t>//ord_41128//Arvind Kulkarni//Juhu//Chocolate Mousse+5*Tanvi Jain/8/21/2023//COD//Delivered*Quality of Items: Perfect condition</t>
  </si>
  <si>
    <t>//ord_41129//Aarav Mehta//Andheri//Guava+1*Rohan Yadav/2/19/2023//Online Payment//Delivered*Packaging: Secure and intact</t>
  </si>
  <si>
    <t>//ord_41130//Mehul Thakkar//Malad//Chilli Cheese Toast+2*Neha Shah/7/26/2023//Online Payment//Delivered*Satisfied with the Delivery: Timely and quality</t>
  </si>
  <si>
    <t>//ord_41131//Aarav Mehta//Andheri//Cold Coffee+2*Rohan Yadav/10/11/2023//Credit Card//Delivered*Customer Service: Seamless and easy</t>
  </si>
  <si>
    <t>//ord_41132//Arvind Kulkarni//Juhu//Tiramisu+1*Tanvi Jain/9/18/2023//UPI//Delivered*Delivery Experience: Quick and professional</t>
  </si>
  <si>
    <t>//ord_41133//Arvind Kulkarni//Juhu//Papaya+2*Neha Shah/1/3/2023//Online Payment//Cancelled*Delayed Delivery:Traffic Accidents or Road Closures</t>
  </si>
  <si>
    <t>//ord_41134//Aditi Iyer//Dadar//Rasmalai+2*Aman Kumar/1/24/2023//COD//Delivered*Convenience: Easy tracking</t>
  </si>
  <si>
    <t>//ord_41135//Aarav Mehta//Andheri//Veg Puff+3*Rohan Yadav/2/20/2023//Online Payment//Delivered*Overall Satisfaction: Great service will order again</t>
  </si>
  <si>
    <t>//ord_41136//Aditi Iyer//Dadar//Orange+1*Aman Kumar/6/19/2023//COD//Delivered*On-time Delivery: Delivered on time</t>
  </si>
  <si>
    <t>//ord_41137//Pallavi Ghosh//Bandra//Chocolate Mousse+2*Priya Joshi/6/14/2023//Credit Card//Delivered*Quality of Items: Perfect condition</t>
  </si>
  <si>
    <t>//ord_41138//Mehul Thakkar//Malad//Potato+2*Neha Shah/1/29/2023//Credit Card//Delivered*On-time Delivery: Delivered on time</t>
  </si>
  <si>
    <t>//ord_41139//Mohit Malhotra//Lower Parel//Guava+2*Kiran Mehta/11/8/2023//Online Payment//Delivered*Quality of Items: Perfect condition</t>
  </si>
  <si>
    <t>//ord_41140//Ishaan Chaturvedi//Bandra//Tiramisu+5*Priya Joshi/12/24/2023//Online Payment//Delivered*Packaging: Secure and intact</t>
  </si>
  <si>
    <t>//ord_41141//Kritika Shetty//Malad//Onion+1*Not Assigned/10/1/2023//Online Payment//Cancelled*App Glitches:Missing Content</t>
  </si>
  <si>
    <t>//ord_41142//Sanjay Nair//Dadar//Potato+2*Aman Kumar/4/21/2023//Credit Card//Delivered*Satisfied with the Delivery: Timely and quality</t>
  </si>
  <si>
    <t>//ord_41143//Pranav Joshi//Andheri//Onion+1*Rohan Yadav/9/16/2023//Online Payment//Delivered*Customer Service: Seamless and easy</t>
  </si>
  <si>
    <t>//ord_41144//Parth Goel//Juhu//Banana+2*Tanvi Jain/7/1/2023//UPI//Delivered*Delivery Experience: Quick and professional</t>
  </si>
  <si>
    <t>//ord_41145//Sanjay Nair//Dadar//Rasmalai+2*Aman Kumar/4/5/2023//COD//Delivered*Convenience: Easy tracking</t>
  </si>
  <si>
    <t>//ord_41146//Pranav Joshi//Andheri//Orange+2*Rohan Yadav/7/19/2023//Online Payment//Delivered*Overall Satisfaction: Great service will order again</t>
  </si>
  <si>
    <t>//ord_41147//Omkar Mishra//Powai//Tiramisu+5*Sandeep Kumar/12/17/2023//Online Payment//Delivered*On-time Delivery: Delivered on time</t>
  </si>
  <si>
    <t>//ord_41148//Anaya Rao//Colaba//Rasmalai+3*Nikhil Deshmukh/6/13/2023//UPI//Delivered*Quality of Items: Perfect condition</t>
  </si>
  <si>
    <t>//ord_41149//Omkar Mishra//Powai//Banana+2*Sandeep Kumar/9/20/2023//Credit Card//Delivered*On-time Delivery: Delivered on time</t>
  </si>
  <si>
    <t>//ord_41150//Ishita Banerjee//Juhu//Veg Puff+3*Venu R/7/5/2023//Credit Card//Delivered*Quality of Items: Perfect condition</t>
  </si>
  <si>
    <t>//ord_41151//Pallavi Ghosh//Bandra//Onion+2*Ramesh S/2/13/2023//COD//Delivered*Packaging: Secure and intact</t>
  </si>
  <si>
    <t>//ord_41152//Kritika Shetty//Malad//Juice+1*Vivek Kumar/6/18/2023//Credit Card//Delivered*Satisfied with the Delivery: Timely and quality</t>
  </si>
  <si>
    <t>//ord_41153//Aditi Iyer//Dadar//Onion+2*Shine Thomas/9/25/2023//Credit Card//Delivered*Customer Service: Seamless and easy</t>
  </si>
  <si>
    <t>//ord_41154//Ishita Banerjee//Juhu//Guava+1*Manju Ajay/8/21/2023//Online Payment//Delivered*Delivery Experience: Quick and professional</t>
  </si>
  <si>
    <t>//ord_41155//Omkar Mishra//Powai//Tiramisu+5*Ramesh S/2/12/2023//Online Payment//Delivered*Convenience: Easy tracking</t>
  </si>
  <si>
    <t>//ord_41156//Dev Chauhan//Bandra//Cucumber+1*Venu R/1/26/2023//Online Payment//Delivered*Overall Satisfaction: Great service will order again</t>
  </si>
  <si>
    <t>//ord_41157//Dev Chauhan//Bandra//Banana+2*Vivek Kumar/6/9/2023//Online Payment//Delivered*On-time Delivery: Delivered on time</t>
  </si>
  <si>
    <t>//ord_41158//Ishaan Chaturvedi//Bandra//Popcorn+4*Vivek Kumar/8/12/2023//UPI//Delivered*Quality of Items: Perfect condition</t>
  </si>
  <si>
    <t>//ord_41159//Mehul Thakkar//Malad//Chicken Puff+4*Not Assigned/12/15/2023//Credit Card//Cancelled*App Glitches: Payment Button Malfunction</t>
  </si>
  <si>
    <t>//ord_41160//Sanjay Nair//Dadar//Popcorn+4*Shine Thomas/2/16/2023//Online Payment//Delivered*On-time Delivery: Delivered on time</t>
  </si>
  <si>
    <t>//ord_41161//Aarohi Kapoor//Bandra//Tiramisu+3*Manju Ajay/8/6/2023//COD//Delivered*Quality of Items: Perfect condition</t>
  </si>
  <si>
    <t>//ord_41162//Sanjay Nair//Dadar//Guava+2*Vivek Kumar/2/21/2023//UPI//Delivered*Packaging: Secure and intact</t>
  </si>
  <si>
    <t>//ord_41163//Dev Chauhan//Bandra//Juice+3*Manju Ajay/1/23/2023//Credit Card//Delivered*Satisfied with the Delivery: Timely and quality</t>
  </si>
  <si>
    <t>//ord_41164//Dev Chauhan//Bandra//Rasmalai+4*Vivek Kumar/4/27/2023//Credit Card//Delivered*Customer Service: Seamless and easy</t>
  </si>
  <si>
    <t>//ord_41165//Ishaan Chaturvedi//Bandra//Orange+1*Vivek Kumar/9/12/2023//UPI//Delivered*Delivery Experience: Quick and professional</t>
  </si>
  <si>
    <t>//ord_41166//Anaya Rao//Colaba//Chicken Puff+2*Vivek Kumar/2/16/2023//Credit Card//Delivered*Convenience: Easy tracking</t>
  </si>
  <si>
    <t>//ord_41167//Parth Goel//Juhu//Chicken Puff+4*Nithin Lal/9/1/2023//Online Payment//Delivered*Overall Satisfaction: Great service will order again</t>
  </si>
  <si>
    <t>//ord_41168//Diya Arora//Lower Parel//Cucumber+2*Ramesh S/4/30/2023//Online Payment//Delivered*On-time Delivery: Delivered on time</t>
  </si>
  <si>
    <t>//ord_41169//Pranav Joshi//Andheri//Papaya+2*Ram Gopal/5/6/2023//UPI//Delivered*Quality of Items: Perfect condition</t>
  </si>
  <si>
    <t>//ord_41170//Parth Goel//Juhu//Sweet Corn+1*Sita T/8/17/2023//Credit Card//Delivered*On-time Delivery: Delivered on time</t>
  </si>
  <si>
    <t>//ord_41171//Dev Chauhan//Bandra//Papaya+1*Ramesh S/9/18/2023//Online Payment//Delivered*Quality of Items: Perfect condition</t>
  </si>
  <si>
    <t>//ord_41172//Mehul Thakkar//Malad//Tiramisu+3*Vivek Kumar/8/30/2023//COD//Delivered*Packaging: Secure and intact</t>
  </si>
  <si>
    <t>//ord_41173//Ishita Banerjee//Juhu//Rasmalai+3*Not Assigned/9/2/2023//Online Payment//Cancelled*Out of Stock</t>
  </si>
  <si>
    <t>//ord_41174//Mohit Malhotra//Lower Parel//Rasmalai+2*Ramesh S/9/26/2023//UPI//Delivered*Satisfied with the Delivery: Timely and quality</t>
  </si>
  <si>
    <t>//ord_41175//Arvind Kulkarni//Juhu//Apple+1*Ram Gopal/10/10/2023//UPI//Delivered*Customer Service: Seamless and easy</t>
  </si>
  <si>
    <t>//ord_41176//Sahil Desai//Lower Parel//Banana+2*Ramesh S/9/2/2023//UPI//Delivered*Delivery Experience: Quick and professional</t>
  </si>
  <si>
    <t>//ord_41177//Diya Arora//Lower Parel//Icecream+4*Ram Gopal/10/18/2023//Online Payment//Delivered*Convenience: Easy tracking</t>
  </si>
  <si>
    <t>//ord_41178//Ishaan Chaturvedi//Bandra//Potato+2*Ram Gopal/1/16/2023//Online Payment//Delivered*Overall Satisfaction: Great service will order again</t>
  </si>
  <si>
    <t>//ord_41179//Pallavi Ghosh//Bandra//Juice+4*Vivek Kumar/2/28/2023//Credit Card//Delivered*On-time Delivery: Delivered on time</t>
  </si>
  <si>
    <t>//ord_41180//Siya Reddy//Juhu//Papaya+2*Not Assigned/2/27/2023//Credit Card//Cancelled*App Glitches: Payment Button Malfunction</t>
  </si>
  <si>
    <t>//ord_41181//Siya Reddy//Juhu//Popcorn+5*Not Assigned/8/12/2023//UPI//Cancelled*App Glitches: Payment Button Malfunction</t>
  </si>
  <si>
    <t>//ord_41182//Tanishq Bansal//Bandra//Sweet Corn+1*Ramesh S/1/24/2023//UPI//Delivered*Quality of Items: Perfect condition</t>
  </si>
  <si>
    <t>//ord_41183//Anaya Rao//Colaba//Guava+1*Vivek Kumar/9/18/2023//Online Payment//Delivered*On-time Delivery: Delivered on time</t>
  </si>
  <si>
    <t>//ord_41184//Arvind Kulkarni//Juhu//Chilli Cheese Toast+4*Not Assigned/9/17/2023//UPI//Cancelled*App Glitches:Error Messages</t>
  </si>
  <si>
    <t>//ord_41185//Aditi Iyer//Dadar//Papaya+2*Ramesh S/12/29/2023//UPI//Delivered*Quality of Items: Perfect condition</t>
  </si>
  <si>
    <t>//ord_61186//Ishita Banerjee//Juhu//Chicken Puff+1*Not Assigned/12/21/2023//UPI//Cancelled*App Glitches: Inconsistent Data Display</t>
  </si>
  <si>
    <t>//ord_61187//Pranav Joshi//Andheri//Banana+1*Ramesh S/8/25/2023//Online Payment//Delivered*Packaging: Secure and intact</t>
  </si>
  <si>
    <t>//ord_61188//Pranav Joshi//Andheri//Onion+1*Sita T/5/30/2023//COD//Delivered*Satisfied with the Delivery: Timely and quality</t>
  </si>
  <si>
    <t>//ord_61189//Parth Goel//Juhu//Chicken Puff+2*Sita T/1/24/2023//UPI//Delivered*Customer Service: Seamless and easy</t>
  </si>
  <si>
    <t>//ord_61190//Ritika Dutta//Lower Parel//Chicken Puff+9*Ramesh S/8/30/2023//Online Payment//Delivered*Delivery Experience: Quick and professional</t>
  </si>
  <si>
    <t>//ord_61191//Simran Bhatt//Juhu//Juice+1*Ram Gopal/11/21/2023//Online Payment//Delivered*Convenience: Easy tracking</t>
  </si>
  <si>
    <t>//ord_61192//Tanishq Bansal//Powai//Chilli Cheese Toast+1*Ramesh S/2/6/2023//UPI//Delivered*Overall Satisfaction: Great service will order again</t>
  </si>
  <si>
    <t>//ord_61193//Aarohi Kapoor//Bandra//Tiramisu+1*Venu R/10/6/2023//Online Payment//Delivered*On-time Delivery: Delivered on time</t>
  </si>
  <si>
    <t>//ord_61194//Aarohi Kapoor//Bandra//Veg Puff+1*Vivek Kumar/11/12/2023//UPI//Delivered*Quality of Items: Perfect condition</t>
  </si>
  <si>
    <t>//ord_61195//Pallavi Ghosh//Bandra//Apple+1*Vivek Kumar/9/21/2023//UPI//Delivered*On-time Delivery: Delivered on time</t>
  </si>
  <si>
    <t>//ord_61196//Aarav Mehta//Andheri//Potato+2*Vivek Kumar/12/27/2023//Credit Card//Delivered*Quality of Items: Perfect condition</t>
  </si>
  <si>
    <t>//ord_61197//Arvind Kulkarni//Juhu//Apple+2*Not Assigned/4/6/2023//Credit Card//Cancelled*Out of Stock</t>
  </si>
  <si>
    <t>//ord_61198//Aarav Mehta//Andheri//Veg Puff+2*Ramesh S/11/30/2023//Online Payment//Delivered*Packaging: Secure and intact</t>
  </si>
  <si>
    <t>//ord_61199//Siya Reddy//Juhu//Orange+2*Not Assigned/2/18/2023//Credit Card//Cancelled*App Glitches:Slow Loading Time</t>
  </si>
  <si>
    <t>//ord_61200//Tanishq Bansal//Powai//Sweet Corn+2*Ramesh S/1/27/2023//UPI//Delivered*Satisfied with the Delivery: Timely and quality</t>
  </si>
  <si>
    <t>//ord_61201//Sakshi Tandon//Colaba//Orange+1*Venu R/12/28/2023//Credit Card//Delivered*Customer Service: Seamless and easy</t>
  </si>
  <si>
    <t>//ord_61202//Ishaan Chaturvedi//Bandra//Onion+2*Nithin Lal/2/26/2023//COD//Delivered*Delivery Experience: Quick and professional</t>
  </si>
  <si>
    <t>//ord_61203//Pranav Joshi//Andheri//Onion+1*Vivek Kumar/7/5/2023//COD//Delivered*Convenience: Easy tracking</t>
  </si>
  <si>
    <t>//ord_61204//Anaya Rao//Colaba//Rasmalai+1*Sita T/8/29/2023//Credit Card//Delivered*Overall Satisfaction: Great service will order again</t>
  </si>
  <si>
    <t>//ord_61205//Ishita Banerjee//Juhu//Veg Puff+1*Nithin Lal/11/20/2023//Credit Card//Cancelled*Delayed Delivery:Heavy Traffic</t>
  </si>
  <si>
    <t>//ord_61206//Aarav Mehta//Andheri//Guava+1*Ramesh S/11/30/2023//Credit Card//Delivered*On-time Delivery: Delivered on time</t>
  </si>
  <si>
    <t>//ord_61207//Sakshi Tandon//Colaba//Apple+1*Sita T/12/2/2023//COD//Delivered*Quality of Items: Perfect condition</t>
  </si>
  <si>
    <t>//ord_61208//Anaya Rao//Colaba//Tiramisu+5*Nithin Lal/9/21/2023//Credit Card//Delivered*On-time Delivery: Delivered on time</t>
  </si>
  <si>
    <t>//ord_61209//Omkar Mishra//Powai//Onion+2*Nithin Lal/9/29/2023//UPI//Delivered*Quality of Items: Perfect condition</t>
  </si>
  <si>
    <t>//ord_61210//Aarohi Kapoor//Bandra//Banana+2*Venu R/2/2/2023//Credit Card//Delivered*Packaging: Secure and intact</t>
  </si>
  <si>
    <t>//ord_61211//Mohit Malhotra//Lower Parel//Cold Coffee+3*Vivek Kumar/11/19/2023//COD//Delivered*Satisfied with the Delivery: Timely and quality</t>
  </si>
  <si>
    <t>//ord_61212//Mehul Thakkar//Malad//Icecream+4*Not Assigned/5/9/2023//Credit Card//Cancelled*App Glitches:Missing Content</t>
  </si>
  <si>
    <t>//ord_61213//Sakshi Tandon//Colaba//Icecream+5*Shine Thomas/10/29/2023//COD//Delivered*Customer Service: Seamless and easy</t>
  </si>
  <si>
    <t>//ord_61214//Sakshi Tandon//Colaba//Chilli Cheese Toast+5*Nithin Lal/11/16/2023//Credit Card//Delivered*Delivery Experience: Quick and professional</t>
  </si>
  <si>
    <t>//ord_61215//Aditya Rao//Lower Parel//Tiramisu+6*Nithin Lal/11/17/2023//Online Payment//Delivered*Convenience: Easy tracking</t>
  </si>
  <si>
    <t>//ord_61216//Ishita Banerjee//Juhu//Apple+2*Sandeep Kumar/7/10/2023//UPI//Cancelled*Delayed Delivery:Vehicle Breakdown</t>
  </si>
  <si>
    <t>//ord_61217//Sanjay Nair//Dadar//Chocolate Mousse+5*Ramesh S/11/25/2023//COD//Delivered*Overall Satisfaction: Great service will order again</t>
  </si>
  <si>
    <t>//ord_61218//Sakshi Tandon//Colaba//Guava+2*Manju Ajay/2/13/2023//Credit Card//Delivered*On-time Delivery: Delivered on time</t>
  </si>
  <si>
    <t>//ord_61219//Mohit Malhotra//Lower Parel//Popcorn+5*Nithin Lal/8/13/2023//UPI//Delivered*Quality of Items: Perfect condition</t>
  </si>
  <si>
    <t>//ord_61220//Dev Chauhan//Bandra//Potato+1*Ram Gopal/12/29/2023//UPI//Delivered*On-time Delivery: Delivered on time</t>
  </si>
  <si>
    <t>//ord_61221//Tanishq Bansal//Powai//Cold Coffee+4*Vivek Kumar/2/11/2023//UPI//Delivered*Quality of Items: Perfect condition</t>
  </si>
  <si>
    <t>//ord_61222//Arvind Kulkarni//Juhu//Apple+2*Venu R/4/25/2023//Credit Card//Cancelled*Delayed Delivery:Heavy Traffic</t>
  </si>
  <si>
    <t>//ord_61223//Ishaan Chaturvedi//Bandra//Popcorn+5*Ramesh S/2/14/2023//Credit Card//Delivered*Packaging: Secure and intact</t>
  </si>
  <si>
    <t>//ord_61224//Pranav Joshi//Andheri//Guava+2*Vivek Kumar/9/29/2023//COD//Delivered*Satisfied with the Delivery: Timely and quality</t>
  </si>
  <si>
    <t>//ord_61225//Diya Arora//Lower Parel//Orange+2*Sita T/5/11/2023//Credit Card//Delivered*Customer Service: Seamless and easy</t>
  </si>
  <si>
    <t>//ord_61226//Pallavi Ghosh//Bandra//Papaya+1*Ram Gopal/6/11/2023//COD//Delivered*Delivery Experience: Quick and professional</t>
  </si>
  <si>
    <t>//ord_61227//Omkar Mishra//Powai//Guava+2*Sandeep Kumar/11/25/2023//Credit Card//Delivered*Convenience: Easy tracking</t>
  </si>
  <si>
    <t>//ord_61228//Aarohi Kapoor//Bandra//Chicken Puff+4*Priya Joshi/6/11/2023//Online Payment//Delivered*Overall Satisfaction: Great service will order again</t>
  </si>
  <si>
    <t>//ord_61229//Ishaan Chaturvedi//Bandra//Chilli Cheese Toast+3*Priya Joshi/9/26/2023//Credit Card//Delivered*On-time Delivery: Delivered on time</t>
  </si>
  <si>
    <t>//ord_61230//Diya Arora//Lower Parel//Orange+1*Kiran Mehta/5/5/2023//UPI//Delivered*Quality of Items: Perfect condition</t>
  </si>
  <si>
    <t>//ord_61231//Tanishq Bansal//Powai//Onion+2*Sandeep Kumar/12/3/2023//COD//Delivered*On-time Delivery: Delivered on time</t>
  </si>
  <si>
    <t>//ord_61232//Kritika Shetty//Malad//Veg Puff+4*Neha Shah/7/25/2023//UPI//Delivered*Quality of Items: Perfect condition</t>
  </si>
  <si>
    <t>//ord_61233//Kritika Shetty//Malad//Sweet Corn+1*Neha Shah/6/8/2023//Credit Card//Delivered*Packaging: Secure and intact</t>
  </si>
  <si>
    <t>//ord_61234//Pranav Joshi//Andheri//Popcorn+2*Not Assigned/7/7/2023//Online Payment//Cancelled*Out of Stock</t>
  </si>
  <si>
    <t>//ord_61235//Pallavi Ghosh//Bandra//Potato+2*Not Assigned/8/18/2023//UPI//Cancelled*High Delivery Fees</t>
  </si>
  <si>
    <t>//ord_61236//Mohit Malhotra//Lower Parel//Chocolate Mousse+3*Kiran Mehta/10/23/2023//COD//Delivered*Satisfied with the Delivery: Timely and quality</t>
  </si>
  <si>
    <t>//ord_61237//Aditi Iyer//Dadar//Juice+5*Not Assigned/3/29/2023//UPI//Cancelled*Payment Issues</t>
  </si>
  <si>
    <t>//ord_61238//Omkar Mishra//Powai//Rasmalai+5*Sandeep Kumar/2/25/2023//UPI//Delivered*Customer Service: Seamless and easy</t>
  </si>
  <si>
    <t>//ord_61239//Dev Chauhan//Bandra//Chicken Puff+1*Priya Joshi/1/4/2023//Credit Card//Delivered*Delivery Experience: Quick and professional</t>
  </si>
  <si>
    <t xml:space="preserve">//ord_61240//Arvind Kulkarni//Juhu//Veg Puff+4*Nikhil Deshmukh/5/11/2023//Credit Card//Cancelled*Delayed Delivery:Bad Weather Conditions </t>
  </si>
  <si>
    <t>//ord_61241//Ishaan Chaturvedi//Bandra//Orange+1*Ramesh S/12/19/2023//Credit Card//Cancelled*Delayed Delivery:Heavy Traffic</t>
  </si>
  <si>
    <t>//ord_61242//Anaya Rao//Colaba//Veg Puff+3*Not Assigned/2/9/2023//UPI//Cancelled*High Delivery Fees</t>
  </si>
  <si>
    <t>//ord_61243//Pranav Joshi//Andheri//Orange+2*Not Assigned/6/22/2023//UPI//Cancelled*Out of Stock</t>
  </si>
  <si>
    <t xml:space="preserve">//ord_61244//Ishaan Chaturvedi//Bandra//Veg Puff+5*Nikhil Deshmukh/7/11/2023//Credit Card//Cancelled*Delayed Delivery:Bad Weather Conditions </t>
  </si>
  <si>
    <t>//ord_61245//Sahil Desai//Colaba//Guava+2*Nikhil Deshmukh/8/26/2023//Online Payment//Delivered*Convenience: Easy tracking</t>
  </si>
  <si>
    <t>//ord_61246//Sahil Desai//Colaba//Chocolate Mousse+9*Nikhil Deshmukh/4/18/2023//Credit Card//Delivered*Overall Satisfaction: Great service will order again</t>
  </si>
  <si>
    <t>//ord_61247//Aarav Mehta//Andheri//Orange+2*Not Assigned/9/15/2023//Online Payment//Cancelled*Out of Stock</t>
  </si>
  <si>
    <t>//ord_61248//Pranav Joshi//Andheri//Potato+1*Not Assigned/3/26/2023//Credit Card//Cancelled*Out of Stock</t>
  </si>
  <si>
    <t>//ord_61249//Sakshi Tandon//Colaba//Potato+1*Not Assigned/2/24/2023//Online Payment//Cancelled*Out of Stock</t>
  </si>
  <si>
    <t>//ord_61250//Sakshi Tandon//Colaba//Banana+2*Not Assigned/5/8/2023//Credit Card//Cancelled*Payment Issues</t>
  </si>
  <si>
    <t>//ord_61251//Sakshi Tandon//Colaba//Onion+1*Nikhil Deshmukh/8/18/2023//UPI//Delivered*On-time Delivery: Delivered on time</t>
  </si>
  <si>
    <t>//ord_61252//Tanishq Bansal//Powai//Orange+2*Not Assigned/3/4/2023//Credit Card//Cancelled*High Delivery Fees</t>
  </si>
  <si>
    <t>//ord_61253//Kritika Shetty//Malad//Papaya+2*Not Assigned/1/5/2023//Online Payment//Cancelled*App Glitches:Error Messages</t>
  </si>
  <si>
    <t>//ord_61254//Mohit Malhotra//Lower Parel//Chicken Puff+4*Not Assigned/9/29/2023//Credit Card//Cancelled*High Delivery Fees</t>
  </si>
  <si>
    <t>//ord_61255//Siya Reddy//Juhu//Icecream+3*Tanvi Jain/7/23/2023//UPI//Delivered*Quality of Items: Perfect condition</t>
  </si>
  <si>
    <t>//ord_61256//Mehul Thakkar//Malad//Banana+1*Neha Shah/3/4/2023//UPI//Delivered*On-time Delivery: Delivered on time</t>
  </si>
  <si>
    <t>//ord_61257//Parth Goel//Juhu//Chicken Puff+5*Not Assigned/9/16/2023//Online Payment//Cancelled*High Delivery Fees</t>
  </si>
  <si>
    <t>//ord_61258//Kritika Shetty//Malad//Guava+1*Not Assigned/8/22/2023//Credit Card//Cancelled*Payment Issues</t>
  </si>
  <si>
    <t>//ord_61259//Kritika Shetty//Malad//Juice+4*Not Assigned/5/19/2023//Credit Card//Cancelled*App Glitches: Payment Button Malfunction</t>
  </si>
  <si>
    <t>//ord_61260//Omkar Mishra//Powai//Juice+4*Sandeep Kumar/10/9/2023//UPI//Delivered*Quality of Items: Perfect condition</t>
  </si>
  <si>
    <t>//ord_61261//Ishaan Chaturvedi//Bandra//Tiramisu+5*Priya Joshi/6/7/2023//Online Payment//Delivered*Packaging: Secure and intact</t>
  </si>
  <si>
    <t>//ord_61262//Ishita Banerjee//Juhu//Veg Puff+2*Tanvi Jain/2/8/2023//UPI//Delivered*Satisfied with the Delivery: Timely and quality</t>
  </si>
  <si>
    <t>//ord_61263//Mohit Malhotra//Lower Parel//Orange+1*Kiran Mehta/1/19/2023//UPI//Delivered*Customer Service: Seamless and easy</t>
  </si>
  <si>
    <t>//ord_61264//Aarav Mehta//Andheri//Guava+1*Rohan Yadav/1/18/2023//Online Payment//Delivered*Delivery Experience: Quick and professional</t>
  </si>
  <si>
    <t>//ord_61265//Aarav Mehta//Andheri//Apple+1*Rohan Yadav/11/26/2023//UPI//Delivered*Convenience: Easy tracking</t>
  </si>
  <si>
    <t>//ord_61266//Diya Arora//Lower Parel//Sweet Corn+2*Sita T/2/9/2023//Credit Card//Cancelled*Delayed Delivery:Heavy Traffic</t>
  </si>
  <si>
    <t>//ord_61267//Sakshi Tandon//Colaba//Apple+2*Nikhil Deshmukh/11/4/2023//UPI//Delivered*Overall Satisfaction: Great service will order again</t>
  </si>
  <si>
    <t>//ord_61268//Mehul Thakkar//Malad//Juice+5*Neha Shah/9/22/2023//UPI//Delivered*On-time Delivery: Delivered on time</t>
  </si>
  <si>
    <t>//ord_61269//Arvind Kulkarni//Juhu//Chocolate Mousse+5*Not Assigned/3/2/2023//Online Payment//Cancelled*App Glitches:Slow Loading Time</t>
  </si>
  <si>
    <t xml:space="preserve">//ord_61270//Arvind Kulkarni//Juhu//Guava+2*Kiran Mehta/9/22/2023//UPI//Cancelled*Delayed Delivery:Bad Weather Conditions </t>
  </si>
  <si>
    <t>//ord_61271//Aarohi Kapoor//Bandra//Banana+2*Not Assigned/5/22/2023//Credit Card//Cancelled*App Glitches: Payment Button Malfunction</t>
  </si>
  <si>
    <t>//ord_61272//Kritika Shetty//Malad//Popcorn+2*Not Assigned/2/9/2023//Credit Card//Cancelled*App Glitches:Slow Loading Time</t>
  </si>
  <si>
    <t>//ord_61273//Pallavi Ghosh//Bandra//Popcorn+2*Priya Joshi/10/16/2023//Credit Card//Delivered*Quality of Items: Perfect condition</t>
  </si>
  <si>
    <t>//ord_61274//Aarav Mehta//Andheri//Chilli Cheese Toast+2*Vivek Kumar/9/21/2023//Online Payment//Delivered*On-time Delivery: Delivered on time</t>
  </si>
  <si>
    <t>//ord_61275//Mohit Malhotra//Lower Parel//Sweet Corn+2*Sita T/3/9/2023//Online Payment//Delivered*Quality of Items: Perfect condition</t>
  </si>
  <si>
    <t>//ord_61276//Siya Reddy//Juhu//Tiramisu+3*Ram Gopal/6/30/2023//Credit Card//Cancelled*Delayed Delivery:Incorrect Address or Location</t>
  </si>
  <si>
    <t>//ord_61277//Aditi Iyer//Dadar//Chocolate Mousse+1*Ramesh S/11/1/2023//UPI//Delivered*Packaging: Secure and intact</t>
  </si>
  <si>
    <t>//ord_61278//Dev Chauhan//Bandra//Cucumber+1*Manju Ajay/6/29/2023//UPI//Delivered*Satisfied with the Delivery: Timely and quality</t>
  </si>
  <si>
    <t>//ord_61279//Ishaan Chaturvedi//Bandra//Chilli Cheese Toast+5*Vivek Kumar/8/18/2023//Online Payment//Delivered*Customer Service: Seamless and easy</t>
  </si>
  <si>
    <t>//ord_61280//Mehul Thakkar//Malad//Cold Coffee+3*Not Assigned/2/18/2023//Credit Card//Cancelled*App Glitches: Payment Button Malfunction</t>
  </si>
  <si>
    <t>//ord_61281//Ishita Banerjee//Juhu//Guava+1*Not Assigned/8/12/2023//Credit Card//Cancelled*App Glitches:App Freezes</t>
  </si>
  <si>
    <t>//ord_61282//Anaya Rao//Colaba//Sweet Corn+1*Not Assigned/9/10/2023//Online Payment//Cancelled*App Glitches: Payment Button Malfunction</t>
  </si>
  <si>
    <t>//ord_61283//Arvind Kulkarni//Juhu//Orange+2*Sandeep Kumar/2/24/2023//UPI//Cancelled*Delayed Delivery:Traffic Accidents or Road Closures</t>
  </si>
  <si>
    <t>//ord_61284//Parth Goel//Juhu//Sweet Corn+2*Not Assigned/1/23/2023//Credit Card//Cancelled*High Delivery Fees</t>
  </si>
  <si>
    <t>//ord_61285//Parth Goel//Juhu//Chicken Puff+4*Ramesh S/1/12/2023//UPI//Delivered*Delivery Experience: Quick and professional</t>
  </si>
  <si>
    <t>//ord_61286//Siya Reddy//Juhu//Rasmalai+4*Ramesh S/8/7/2023//UPI//Delivered*Convenience: Easy tracking</t>
  </si>
  <si>
    <t>//ord_61287//Aarav Mehta//Andheri//Apple+1*Ramesh S/2/25/2023//UPI//Delivered*Overall Satisfaction: Great service will order again</t>
  </si>
  <si>
    <t>//ord_61288//Tanishq Bansal//Powai//Rasmalai+4*Sita T/8/7/2023//Credit Card//Delivered*On-time Delivery: Delivered on time</t>
  </si>
  <si>
    <t>//ord_61289//Sanjay Nair//Dadar//Banana+2*Venu R/7/25/2023//Credit Card//Delivered*Quality of Items: Perfect condition</t>
  </si>
  <si>
    <t>//ord_61290//Kritika Shetty//Malad//Tomato+2*Manju Ajay/7/10/2023//Online Payment//Delivered*On-time Delivery: Delivered on time</t>
  </si>
  <si>
    <t>//ord_61291//Ishaan Chaturvedi//Bandra//Potato+2*Not Assigned/1/7/2023//Online Payment//Cancelled*App Glitches:Slow Loading Time</t>
  </si>
  <si>
    <t>//ord_61292//Aditya Basu//Juhu//Onion+3*Not Assigned/6/22/2023//Credit Card//Cancelled*High Delivery Fees</t>
  </si>
  <si>
    <t>//ord_61293//Mohit Malhotra//Lower Parel//Onion+2*Ramesh S/4/25/2023//Online Payment//Delivered*Quality of Items: Perfect condition</t>
  </si>
  <si>
    <t>//ord_61294//Diya Arora//Lower Parel//Veg Puff+5*Ram Gopal/10/29/2023//UPI//Delivered*Packaging: Secure and intact</t>
  </si>
  <si>
    <t>//ord_61295//Pallavi Ghosh//Bandra//Cold Coffee+3*Ram Gopal/6/23/2023//Credit Card//Delivered*Satisfied with the Delivery: Timely and quality</t>
  </si>
  <si>
    <t>//ord_61296//Mehul Thakkar//Malad//Icecream+3*Vivek Kumar/7/8/2023//Credit Card//Delivered*Customer Service: Seamless and easy</t>
  </si>
  <si>
    <t>//ord_61297//Kritika Shetty//Malad//Sweet Corn+2*Shine Thomas/5/6/2023//UPI//Cancelled*Delayed Delivery:High Order Volume</t>
  </si>
  <si>
    <t>//ord_61298//Siya Reddy//Juhu//Cucumber+1*Tanvi Jain/1/24/2023//UPI//Cancelled*Delayed Delivery:Heavy Traffic</t>
  </si>
  <si>
    <t xml:space="preserve">//ord_61299//Aarav Mehta//Andheri//Sweet Corn+2*Ramesh S/12/1/2023//Online Payment//Cancelled*Delayed Delivery:Bad Weather Conditions </t>
  </si>
  <si>
    <t xml:space="preserve">//ord_61300//Dev Chauhan//Bandra//Popcorn+4*Nikhil Deshmukh/6/11/2023//Online Payment//Cancelled*Delayed Delivery:Bad Weather Conditions </t>
  </si>
  <si>
    <t>//ord_61301//Ishita Banerjee//Juhu//Onion+2*Vivek Kumar/9/22/2023//Credit Card//Cancelled*Delayed Delivery:Heavy Traffic</t>
  </si>
  <si>
    <t>//ord_61302//Ishita Banerjee//Juhu//Potato+1*Ramesh S/11/30/2023//UPI//Delivered*Delivery Experience: Quick and professional</t>
  </si>
  <si>
    <t>//ord_61303//Arvind Kulkarni//Juhu//Orange+2*Ramesh S/6/29/2023//Credit Card//Delivered*Convenience: Easy tracking</t>
  </si>
  <si>
    <t>//ord_61304//Mehul Thakkar//Malad//Cucumber+2*Not Assigned/1/5/2023//Online Payment//Cancelled*High Delivery Fees</t>
  </si>
  <si>
    <t>//ord_61305//Anaya Rao//Colaba//Onion+2*Shine Thomas/3/24/2023//UPI//Delivered*Overall Satisfaction: Great service will order again</t>
  </si>
  <si>
    <t>//ord_61306//Aarav Mehta//Andheri//Potato+1*Aman Kumar/9/15/2023//Credit Card//Cancelled*Delayed Delivery:Heavy Traffic</t>
  </si>
  <si>
    <t>//ord_61307//Ishaan Chaturvedi//Bandra//Veg Puff+5*Sita T/2/5/2023//Credit Card//Delivered*On-time Delivery: Delivered on time</t>
  </si>
  <si>
    <t xml:space="preserve">//ord_61308//Sanjay Nair//Dadar//Veg Puff+2*Vivek Kumar/5/30/2023//UPI//Cancelled*Delayed Delivery:Bad Weather Conditions </t>
  </si>
  <si>
    <t>//ord_61309//Aditi Iyer//Dadar//Icecream+4*Not Assigned/11/22/2023//Online Payment//Cancelled*High Delivery Fees</t>
  </si>
  <si>
    <t xml:space="preserve">//ord_61310//Mohit Malhotra//Lower Parel//Cucumber+2*Priya Joshi/1/11/2023//Online Payment//Cancelled*Delayed Delivery:Bad Weather Conditions </t>
  </si>
  <si>
    <t>//ord_61311//Sanjay Nair//Dadar//Papaya+1*Ram Gopal/3/11/2023//UPI//Cancelled*Delayed Delivery:Heavy Traffic</t>
  </si>
  <si>
    <t>//ord_61312//Diya Arora//Lower Parel//Cold Coffee+4*Manju Ajay/6/24/2023//Credit Card//Delivered*Quality of Items: Perfect condition</t>
  </si>
  <si>
    <t>//ord_61313//Mehul Thakkar//Malad//Banana+1*Sandeep Kumar/1/15/2023//UPI//Cancelled*Delayed Delivery:Heavy Traffic</t>
  </si>
  <si>
    <t>//ord_61314//Ishaan Chaturvedi//Bandra//Juice+5*Shine Thomas/6/26/2023//Credit Card//Delivered*On-time Delivery: Delivered on time</t>
  </si>
  <si>
    <t>//ord_61315//Ishaan Chaturvedi//Bandra//Sweet Corn+1*Vivek Kumar/3/19/2023//Credit Card//Delivered*Quality of Items: Perfect condition</t>
  </si>
  <si>
    <t>//ord_61316//Siya Reddy//Juhu//Orange+2*Vivek Kumar/8/12/2023//UPI//Delivered*Packaging: Secure and intact</t>
  </si>
  <si>
    <t>//ord_61317//Kunal Sharma//Powai//Chocolate Mousse+4*Ramesh S/8/19/2023//UPI//Delivered*Satisfied with the Delivery: Timely and quality</t>
  </si>
  <si>
    <t>//ord_61318//Kunal Sharma//Powai//Guava+3*Sandeep Kumar/2/4/2023//Online Payment//Delivered*Customer Service: Seamless and easy</t>
  </si>
  <si>
    <t>//ord_61319//Ishaan Chaturvedi//Bandra//Onion+1*Not Assigned/7/19/2023//UPI//Cancelled*Out of Stock</t>
  </si>
  <si>
    <t>//ord_61320//Aditi Iyer//Dadar//Cucumber+2*Aman Kumar/11/11/2023//Credit Card//Delivered*Delivery Experience: Quick and professional</t>
  </si>
  <si>
    <t>//ord_61321//Siya Reddy//Juhu//Chicken Puff+5*Not Assigned/3/2/2023//Credit Card//Cancelled*Out of Stock</t>
  </si>
  <si>
    <t>//ord_61322//Omkar Mishra//Powai//Orange+2*Sandeep Kumar/11/25/2023//UPI//Delivered*Convenience: Easy tracking</t>
  </si>
  <si>
    <t xml:space="preserve">//ord_61323//Arvind Kulkarni//Juhu//Apple+1*Venu R/5/29/2023//UPI//Cancelled*Delayed Delivery:Bad Weather Conditions </t>
  </si>
  <si>
    <t>//ord_61324//Kritika Shetty//Malad//Popcorn+4*Neha Shah/9/5/2023//Credit Card//Delivered*Overall Satisfaction: Great service will order again</t>
  </si>
  <si>
    <t>//ord_61325//Aditi Iyer//Dadar//Icecream+1*Aman Kumar/3/14/2023//UPI//Delivered*On-time Delivery: Delivered on time</t>
  </si>
  <si>
    <t>//ord_61326//Parth Goel//Juhu//Banana+2*Tanvi Jain/9/13/2023//UPI//Delivered*Quality of Items: Perfect condition</t>
  </si>
  <si>
    <t>//ord_61327//Sanjay Nair//Dadar//Popcorn+1*Aman Kumar/11/18/2023//Credit Card//Delivered*On-time Delivery: Delivered on time</t>
  </si>
  <si>
    <t>//ord_61328//Diya Arora//Lower Parel//Popcorn+2*Kiran Mehta/2/12/2023//UPI//Delivered*Quality of Items: Perfect condition</t>
  </si>
  <si>
    <t>//ord_61329//Aditi Iyer//Dadar//Banana+1*Aman Kumar/6/27/2023//UPI//Delivered*Packaging: Secure and intact</t>
  </si>
  <si>
    <t>//ord_61330//Dev Chauhan//Bandra//Veg Puff+3*Priya Joshi/1/12/2023//UPI//Delivered*Satisfied with the Delivery: Timely and quality</t>
  </si>
  <si>
    <t>//ord_61331//Ishita Banerjee//Juhu//Rasmalai+1*Tanvi Jain/11/3/2023//Credit Card//Delivered*Customer Service: Seamless and easy</t>
  </si>
  <si>
    <t>//ord_61332//Arvind Kulkarni//Juhu//Apple+1*Tanvi Jain/5/12/2023//UPI//Delivered*Delivery Experience: Quick and professional</t>
  </si>
  <si>
    <t>//ord_61333//Diya Arora//Lower Parel//Cold Coffee+3*Kiran Mehta/12/6/2023//Online Payment//Delivered*Convenience: Easy tracking</t>
  </si>
  <si>
    <t>//ord_61334//Aarohi Kapoor//Bandra//Guava+1*Priya Joshi/12/4/2023//UPI//Delivered*Overall Satisfaction: Great service will order again</t>
  </si>
  <si>
    <t>//ord_61335//Arvind Kulkarni//Juhu//Guava+1*Kiran Mehta/7/1/2023//Online Payment//Cancelled*Delayed Delivery:Heavy Traffic</t>
  </si>
  <si>
    <t>//ord_61336//Siya Reddy//Juhu//Chocolate Mousse+4*Not Assigned/5/5/2023//UPI//Cancelled*Payment Issues</t>
  </si>
  <si>
    <t>//ord_61337//Omkar Mishra//Powai//Tiramisu+3*Sandeep Kumar/3/2/2023//Online Payment//Delivered*On-time Delivery: Delivered on time</t>
  </si>
  <si>
    <t>//ord_61338//Pallavi Ghosh//Bandra//Icecream+4*Priya Joshi/1/19/2023//UPI//Delivered*Quality of Items: Perfect condition</t>
  </si>
  <si>
    <t>//ord_61339//Ishaan Chaturvedi//Bandra//Chocolate Mousse+4*Priya Joshi/11/29/2023//UPI//Delivered*On-time Delivery: Delivered on time</t>
  </si>
  <si>
    <t>//ord_61340//Mohit Malhotra//Lower Parel//Chocolate Mousse+1*Kiran Mehta/6/30/2023//Credit Card//Delivered*Quality of Items: Perfect condition</t>
  </si>
  <si>
    <t xml:space="preserve">//ord_61341//Ishita Banerjee//Juhu//Apple+2*Ram Gopal/11/22/2023//Credit Card//Cancelled*Delayed Delivery:Bad Weather Conditions </t>
  </si>
  <si>
    <t>//ord_71342//Pranav Joshi//Andheri//Sweet Corn+2*Rohan Yadav/12/16/2023//UPI//Delivered*Packaging: Secure and intact</t>
  </si>
  <si>
    <t>//ord_71343//Aarav Mehta//Andheri//Chilli Cheese Toast+4*Rohan Yadav/11/9/2023//Online Payment//Delivered*Satisfied with the Delivery: Timely and quality</t>
  </si>
  <si>
    <t>//ord_71344//Mehul Thakkar//Malad//Cucumber+1*Not Assigned/12/17/2023//Credit Card//Cancelled*Payment Issues</t>
  </si>
  <si>
    <t>//ord_71345//Pranav Joshi//Andheri//Tiramisu+4*Rohan Yadav/8/18/2023//UPI//Delivered*Customer Service: Seamless and easy</t>
  </si>
  <si>
    <t>//ord_71346//Anaya Rao//Malad//Rasmalai+2*Neha Shah/2/27/2023//Online Payment//Delivered*Delivery Experience: Quick and professional</t>
  </si>
  <si>
    <t>//ord_71347//Mohit Malhotra//Lower Parel//Banana+2*Kiran Mehta/3/6/2023//Online Payment//Delivered*Convenience: Easy tracking</t>
  </si>
  <si>
    <t xml:space="preserve">//ord_71348//Arvind Kulkarni//Juhu//Sweet Corn+2*Nikhil Deshmukh/5/18/2023//UPI//Cancelled*Delayed Delivery:Bad Weather Conditions </t>
  </si>
  <si>
    <t>//ord_71349//Ishita Banerjee//Juhu//Guava+2*Tanvi Jain/3/4/2023//Online Payment//Delivered*Overall Satisfaction: Great service will order again</t>
  </si>
  <si>
    <t>//ord_71350//Parth Goel//Juhu//Icecream+2*Tanvi Jain/11/26/2023//UPI//Delivered*On-time Delivery: Delivered on time</t>
  </si>
  <si>
    <t>//ord_71351//Aarav Mehta//Andheri//Orange+2*Rohan Yadav/4/2/2023//Credit Card//Delivered*Quality of Items: Perfect condition</t>
  </si>
  <si>
    <t>//ord_71352//Siya Reddy//Juhu//Banana+2*Sita T/5/26/2023//Online Payment//Cancelled*Delayed Delivery:High Order Volume</t>
  </si>
  <si>
    <t>//ord_71353//Sakshi Tandon//Colaba//Chilli Cheese Toast+4*Nikhil Deshmukh/9/10/2023//UPI//Delivered*On-time Delivery: Delivered on time</t>
  </si>
  <si>
    <t xml:space="preserve">//ord_71354//Ishita Banerjee//Juhu//Rasmalai+2*Priya Joshi/10/6/2023//Credit Card//Cancelled*Delayed Delivery:Bad Weather Conditions </t>
  </si>
  <si>
    <t>//ord_71355//Anaya Rao//Colaba//Apple+1*Nikhil Deshmukh/11/23/2023//Credit Card//Delivered*Quality of Items: Perfect condition</t>
  </si>
  <si>
    <t>//ord_71356//Mehul Thakkar//Dadar//Tiramisu+2*Aman Kumar/1/4/2023//Online Payment//Delivered*Packaging: Secure and intact</t>
  </si>
  <si>
    <t>//ord_71357//Aditi Iyer//Bandra//Popcorn+1*Priya Joshi/9/29/2023//UPI//Delivered*Satisfied with the Delivery: Timely and quality</t>
  </si>
  <si>
    <t>//ord_71358//Omkar Mishra//Powai//Chilli Cheese Toast+5*Sandeep Kumar/1/2/2023//Online Payment//Delivered*Customer Service: Seamless and easy</t>
  </si>
  <si>
    <t>//ord_71359//Dev Chauhan//Bandra//Icecream+1*Priya Joshi/4/28/2023//COD//Delivered*Delivery Experience: Quick and professional</t>
  </si>
  <si>
    <t>//ord_71360//Ishaan Chaturvedi//Bandra//Banana+1*Priya Joshi/10/11/2023//Online Payment//Delivered*Convenience: Easy tracking</t>
  </si>
  <si>
    <t>//ord_71361//Sanjay Nair//Dadar//Guava+1*Aman Kumar/1/30/2023//Online Payment//Delivered*Overall Satisfaction: Great service will order again</t>
  </si>
  <si>
    <t>//ord_71362//Aarohi Kapoor//Bandra//Veg Puff+2*Priya Joshi/2/7/2023//Credit Card//Delivered*On-time Delivery: Delivered on time</t>
  </si>
  <si>
    <t>//ord_71363//Aditi Iyer//Dadar//Orange+2*Aman Kumar/7/22/2023//Credit Card//Delivered*Quality of Items: Perfect condition</t>
  </si>
  <si>
    <t>//ord_71364//Diya Arora//Lower Parel//Guava+1*Kiran Mehta/6/7/2023//Credit Card//Delivered*On-time Delivery: Delivered on time</t>
  </si>
  <si>
    <t>//ord_71365//Parth Goel//Juhu//Cucumber+1*Tanvi Jain/1/7/2023//COD//Delivered*Quality of Items: Perfect condition</t>
  </si>
  <si>
    <t>//ord_71366//Mehul Thakkar//Malad//Veg Puff+3*Not Assigned/11/16/2023//Credit Card//Cancelled*App Glitches:Slow Loading Time</t>
  </si>
  <si>
    <t>//ord_71367//Kritika Shetty//Malad//Orange+2*Shine Thomas/10/29/2023//Credit Card//Cancelled*Delayed Delivery:Heavy Traffic</t>
  </si>
  <si>
    <t>//ord_71368//Aarav Mehta//Andheri//Sweet Corn+2*Rohan Yadav/5/8/2023//Credit Card//Delivered*Packaging: Secure and intact</t>
  </si>
  <si>
    <t>//ord_71369//Siya Reddy//Juhu//Orange+1*Not Assigned/7/12/2023//Online Payment//Cancelled*App Glitches: Payment Button Malfunction</t>
  </si>
  <si>
    <t>//ord_71370//Pranav Joshi//Andheri//Chicken Puff+5*Ramesh S/8/25/2023//UPI//Delivered*Satisfied with the Delivery: Timely and quality</t>
  </si>
  <si>
    <t>//ord_71371//Ishaan Chaturvedi//Bandra//Popcorn+4*Sita T/11/7/2023//COD//Delivered*Customer Service: Seamless and easy</t>
  </si>
  <si>
    <t>//ord_71372//Aarohi Kapoor//Bandra//Rasmalai+1*Vivek Kumar/2/16/2023//Online Payment//Delivered*Delivery Experience: Quick and professional</t>
  </si>
  <si>
    <t>//ord_71373//Sanjay Nair//Dadar//Apple+1*Vivek Kumar/1/23/2023//Online Payment//Delivered*Convenience: Easy tracking</t>
  </si>
  <si>
    <t>//ord_71374//Sakshi Tandon//Colaba//Potato+2*Manju Ajay/8/20/2023//COD//Delivered*Overall Satisfaction: Great service will order again</t>
  </si>
  <si>
    <t>//ord_71375//Siya Reddy//Juhu//Juice+4*Not Assigned/10/18/2023//UPI//Cancelled*App Glitches: Payment Button Malfunction</t>
  </si>
  <si>
    <t>//ord_71376//Aarav Mehta//Andheri//Chilli Cheese Toast+2*Ramesh S/7/23/2023//Credit Card//Delivered*On-time Delivery: Delivered on time</t>
  </si>
  <si>
    <t>//ord_71377//Aditi Iyer//Dadar//Cucumber+2*Sita T/9/15/2023//Online Payment//Delivered*Quality of Items: Perfect condition</t>
  </si>
  <si>
    <t>//ord_71378//Aditi Iyer//Dadar//Veg Puff+2*Manju Ajay/2/7/2023//COD//Delivered*On-time Delivery: Delivered on time</t>
  </si>
  <si>
    <t xml:space="preserve">//ord_71379//Mehul Thakkar//Malad//Chilli Cheese Toast+5*Priya Joshi/12/14/2023//Credit Card//Cancelled*Delayed Delivery:Bad Weather Conditions </t>
  </si>
  <si>
    <t>//ord_71380//Diya Arora//Lower Parel//Veg Puff+3*Shine Thomas/7/28/2023//Credit Card//Delivered*Quality of Items: Perfect condition</t>
  </si>
  <si>
    <t>//ord_71381//Riya Chakraborty//Juhu//Juice+6*Ram Gopal/5/10/2023//Credit Card//Delivered*Packaging: Secure and intact</t>
  </si>
  <si>
    <t>//ord_71382//Tanishq Bansal//Bandra//Orange+1*Ramesh S/7/17/2023//Online Payment//Delivered*Satisfied with the Delivery: Timely and quality</t>
  </si>
  <si>
    <t>//ord_71383//Aarav Mehta//Andheri//Onion+1*Vivek Kumar/10/28/2023//Online Payment//Delivered*Customer Service: Seamless and easy</t>
  </si>
  <si>
    <t>//ord_71384//Aarohi Kapoor//Bandra//Apple+1*Sita T/10/6/2023//Online Payment//Delivered*Delivery Experience: Quick and professional</t>
  </si>
  <si>
    <t>//ord_71385//Omkar Mishra//Powai//Onion+1*Vivek Kumar/10/29/2023//Online Payment//Delivered*Convenience: Easy tracking</t>
  </si>
  <si>
    <t>//ord_71386//Parth Goel//Juhu//Banana+2*Venu R/4/16/2023//Credit Card//Delivered*Overall Satisfaction: Great service will order again</t>
  </si>
  <si>
    <t>//ord_71387//Pranav Joshi//Andheri//Rasmalai+2*Ramesh S/6/5/2023//Credit Card//Delivered*On-time Delivery: Delivered on time</t>
  </si>
  <si>
    <t>//ord_71388//Omkar Mishra//Powai//Onion+1*Sita T/8/24/2023//COD//Delivered*Quality of Items: Perfect condition</t>
  </si>
  <si>
    <t>//ord_71389//Diya Arora//Lower Parel//Banana+2*Venu R/7/10/2023//COD//Delivered*On-time Delivery: Delivered on time</t>
  </si>
  <si>
    <t>//ord_71390//Aarav Mehta//Andheri//Chicken Puff+3*Ram Gopal/8/24/2023//Online Payment//Delivered*Quality of Items: Perfect condition</t>
  </si>
  <si>
    <t>//ord_71391//Tanishq Bansal//Powai//Guava+2*Sita T/1/24/2023//UPI//Delivered*Packaging: Secure and intact</t>
  </si>
  <si>
    <t>//ord_71392//Sakshi Tandon//Colaba//Orange+2*Venu R/9/5/2023//Online Payment//Delivered*Satisfied with the Delivery: Timely and quality</t>
  </si>
  <si>
    <t>//ord_71393//Riya Chakraborty//Juhu//Cucumber+2*Nithin Lal/1/28/2023//Online Payment//Delivered*Customer Service: Seamless and easy</t>
  </si>
  <si>
    <t>//ord_71394//Aditi Iyer//Dadar//Popcorn+4*Ramesh S/12/6/2023//UPI//Delivered*Delivery Experience: Quick and professional</t>
  </si>
  <si>
    <t>//ord_71395//Kritika Shetty//Malad//Juice+5*Not Assigned/2/1/2023//Credit Card//Cancelled*App Glitches:Slow Loading Time</t>
  </si>
  <si>
    <t>//ord_71396//Siya Reddy//Juhu//Banana+1*Not Assigned/11/13/2023//Online Payment//Cancelled*App Glitches: Payment Button Malfunction</t>
  </si>
  <si>
    <t>//ord_71397//Dev Chauhan//Bandra//Onion+1*Ramesh S/8/19/2023//Online Payment//Delivered*Convenience: Easy tracking</t>
  </si>
  <si>
    <t>//ord_71398//Kritika Shetty//Malad//Papaya+2*Not Assigned/6/16/2023//Credit Card//Cancelled*App Glitches: Inconsistent Data Display</t>
  </si>
  <si>
    <t>//ord_71399//Pranav Joshi//Andheri//Potato+2*Shine Thomas/8/8/2023//UPI//Delivered*Overall Satisfaction: Great service will order again</t>
  </si>
  <si>
    <t>//ord_71400//Sanjay Nair//Dadar//Guava+1*Sita T/5/21/2023//Credit Card//Delivered*On-time Delivery: Delivered on time</t>
  </si>
  <si>
    <t>//ord_71401//Ishita Banerjee//Juhu//Potato+2*Manju Ajay/8/2/2023//Credit Card//Cancelled*Delayed Delivery:Incorrect Address or Location</t>
  </si>
  <si>
    <t>//ord_71402//Ishita Banerjee//Juhu//Guava+2*Not Assigned/5/30/2023//Online Payment//Cancelled*App Glitches:Slow Loading Time</t>
  </si>
  <si>
    <t>//ord_71403//Ishaan Chaturvedi//Bandra//Orange+2*Ramesh S/12/30/2023//UPI//Delivered*Quality of Items: Perfect condition</t>
  </si>
  <si>
    <t>//ord_71404//Ishita Banerjee//Juhu//Tiramisu+4*Aman Kumar/7/15/2023//Online Payment//Cancelled*Delayed Delivery:Heavy Traffic</t>
  </si>
  <si>
    <t>//ord_71405//Tanishq Bansal//Powai//Juice+1*Ramesh S/12/4/2023//Credit Card//Delivered*On-time Delivery: Delivered on time</t>
  </si>
  <si>
    <t>//ord_71406//Kritika Shetty//Malad//Cold Coffee+4*Not Assigned/3/8/2023//UPI//Cancelled*App Glitches:Slow Loading Time</t>
  </si>
  <si>
    <t>//ord_71407//Tanishq Bansal//Powai//Rasmalai+4*Shine Thomas/11/16/2023//COD//Delivered*Quality of Items: Perfect condition</t>
  </si>
  <si>
    <t>//ord_71408//Kritika Shetty//Malad//Tiramisu+5*Not Assigned/12/16/2023//Online Payment//Cancelled*App Glitches: Payment Button Malfunction</t>
  </si>
  <si>
    <t>//ord_71409//Sanjay Nair//Dadar//Tiramisu+1*Shine Thomas/2/28/2023//Online Payment//Delivered*Packaging: Secure and intact</t>
  </si>
  <si>
    <t>//ord_71410//Pranav Joshi//Andheri//Juice+4*Manju Ajay/2/11/2023//Credit Card//Delivered*Satisfied with the Delivery: Timely and quality</t>
  </si>
  <si>
    <t>//ord_71411//Ishita Banerjee//Juhu//Chocolate Mousse+3*Sita T/8/6/2023//Credit Card//Cancelled*Delayed Delivery:High Order Volume</t>
  </si>
  <si>
    <t>//ord_71412//Anaya Rao//Colaba//Tomato+2*Not Assigned/7/7/2023//UPI//Cancelled*High Delivery Fees</t>
  </si>
  <si>
    <t>//ord_71413//Kunal Sharma//Powai//Chilli Cheese Toast+3*Nithin Lal/6/22/2023//UPI//Delivered*Customer Service: Seamless and easy</t>
  </si>
  <si>
    <t>//ord_71414//Kunal Sharma//Powai//Guava+3*Venu R/4/30/2023//UPI//Delivered*Delivery Experience: Quick and professional</t>
  </si>
  <si>
    <t xml:space="preserve">//ord_71415//Aditya Rao//Lower Parel//Cold Coffee+5*Priya Joshi/8/15/2023//Online Payment//Cancelled*Delayed Delivery:Bad Weather Conditions </t>
  </si>
  <si>
    <t>//ord_71416//Dev Chauhan//Bandra//Veg Puff+4*Ram Gopal/6/1/2023//Online Payment//Delivered*Convenience: Easy tracking</t>
  </si>
  <si>
    <t>//ord_71417//Kritika Shetty//Malad//Rasmalai+4*Not Assigned/8/15/2023//Credit Card//Cancelled*App Glitches:App Freezes</t>
  </si>
  <si>
    <t>//ord_71418//Arvind Kulkarni//Juhu//Cold Coffee+5*Shine Thomas/1/25/2023//Credit Card//Cancelled*Delayed Delivery:Heavy Traffic</t>
  </si>
  <si>
    <t xml:space="preserve">//ord_71419//Kritika Shetty//Malad//Tiramisu+4*Priya Joshi/12/9/2023//Credit Card//Cancelled*Delayed Delivery:Bad Weather Conditions </t>
  </si>
  <si>
    <t>//ord_71420//Dev Chauhan//Bandra//Chilli Cheese Toast+2*Shine Thomas/2/7/2023//Credit Card//Delivered*Overall Satisfaction: Great service will order again</t>
  </si>
  <si>
    <t>//ord_71421//Omkar Mishra//Powai//Sweet Corn+1*Vivek Kumar/9/27/2023//Credit Card//Cancelled*Delayed Delivery:Incorrect Address or Location</t>
  </si>
  <si>
    <t>//ord_71422//Anaya Rao//Colaba//Chocolate Mousse+4*Not Assigned/3/11/2023//Credit Card//Cancelled*High Delivery Fees</t>
  </si>
  <si>
    <t>//ord_71423//Tanishq Bansal//Powai//Chilli Cheese Toast+4*Not Assigned/2/7/2023//Credit Card//Cancelled*App Glitches:Error Messages</t>
  </si>
  <si>
    <t>//ord_71424//Pallavi Ghosh//Bandra//Papaya+1*Venu R/5/9/2023//Credit Card//Delivered*On-time Delivery: Delivered on time</t>
  </si>
  <si>
    <t>//ord_71425//Siya Reddy//Juhu//Chilli Cheese Toast+2*Vivek Kumar/8/2/2023//COD//Delivered*Quality of Items: Perfect condition</t>
  </si>
  <si>
    <t>//ord_71426//Tanishq Bansal//Powai//Cucumber+1*Ramesh S/1/26/2023//COD//Delivered*On-time Delivery: Delivered on time</t>
  </si>
  <si>
    <t>//ord_71427//Dev Chauhan//Bandra//Guava+2*Not Assigned/2/4/2023//Credit Card//Cancelled*Payment Issues</t>
  </si>
  <si>
    <t>//ord_71428//Tanishq Bansal//Powai//Icecream+1*Not Assigned/7/19/2023//UPI//Cancelled*App Glitches:Slow Loading Time</t>
  </si>
  <si>
    <t>//ord_71429//Pallavi Ghosh//Bandra//Onion+2*Not Assigned/5/20/2023//Online Payment//Cancelled*App Glitches: Inconsistent Data Display</t>
  </si>
  <si>
    <t>//ord_71430//Diya Arora//Lower Parel//Chocolate Mousse+3*Kiran Mehta/5/13/2023//UPI//Delivered*Quality of Items: Perfect condition</t>
  </si>
  <si>
    <t>//ord_71431//Kritika Shetty//Malad//Papaya+1*Neha Shah/3/3/2023//Credit Card//Delivered*Packaging: Secure and intact</t>
  </si>
  <si>
    <t>//ord_71432//Aditi Iyer//Dadar//Potato+2*Not Assigned/5/19/2023//UPI//Cancelled*High Delivery Fees</t>
  </si>
  <si>
    <t>//ord_71433//Mohit Malhotra//Lower Parel//Papaya+2*Not Assigned/2/3/2023//Credit Card//Cancelled*High Delivery Fees</t>
  </si>
  <si>
    <t>//ord_71434//Aditya Rao//Lower Parel//Banana+3*Kiran Mehta/5/19/2023//UPI//Delivered*Satisfied with the Delivery: Timely and quality</t>
  </si>
  <si>
    <t>//ord_71435//Aditi Iyer//Dadar//Veg Puff+5*Sandeep Kumar/10/10/2023//Credit Card//Cancelled*Delayed Delivery:Traffic Accidents or Road Closures</t>
  </si>
  <si>
    <t>//ord_71436//Pallavi Ghosh//Bandra//Apple+1*Priya Joshi/7/26/2023//Online Payment//Delivered*Customer Service: Seamless and easy</t>
  </si>
  <si>
    <t>//ord_71437//Arvind Kulkarni//Juhu//Orange+1*Not Assigned/5/19/2023//Online Payment//Cancelled*App Glitches:Slow Loading Time</t>
  </si>
  <si>
    <t>//ord_71438//Ishaan Chaturvedi//Bandra//Cold Coffee+5*Priya Joshi/3/29/2023//COD//Delivered*Delivery Experience: Quick and professional</t>
  </si>
  <si>
    <t>//ord_71439//Arvind Kulkarni//Juhu//Tomato+2*Not Assigned/4/20/2023//UPI//Cancelled*App Glitches:Slow Loading Time</t>
  </si>
  <si>
    <t>//ord_71440//Omkar Mishra//Powai//Tiramisu+2*Not Assigned/6/17/2023//Credit Card//Cancelled*App Glitches:Slow Loading Time</t>
  </si>
  <si>
    <t>//ord_71441//Mohit Malhotra//Lower Parel//Juice+4*Kiran Mehta/3/25/2023//COD//Delivered*Convenience: Easy tracking</t>
  </si>
  <si>
    <t>//ord_71442//Ishita Banerjee//Juhu//Veg Puff+1*Ram Gopal/9/2/2023//Online Payment//Cancelled*Delayed Delivery:High Order Volume</t>
  </si>
  <si>
    <t>//ord_71443//Omkar Mishra//Powai//Onion+1*Sandeep Kumar/11/28/2023//Credit Card//Delivered*Overall Satisfaction: Great service will order again</t>
  </si>
  <si>
    <t>//ord_71444//Ishaan Chaturvedi//Bandra//Orange+1*Priya Joshi/11/29/2023//Online Payment//Delivered*On-time Delivery: Delivered on time</t>
  </si>
  <si>
    <t>//ord_71445//Sanjay Nair//Dadar//Chocolate Mousse+3*Aman Kumar/11/2/2023//UPI//Delivered*Quality of Items: Perfect condition</t>
  </si>
  <si>
    <t>//ord_71446//Dev Chauhan//Bandra//Tomato+2*Priya Joshi/11/6/2023//UPI//Delivered*On-time Delivery: Delivered on time</t>
  </si>
  <si>
    <t>//ord_71447//Kritika Shetty//Malad//Popcorn+3*Priya Joshi/6/4/2023//Credit Card//Cancelled*Delayed Delivery:Vehicle Breakdown</t>
  </si>
  <si>
    <t>//ord_71448//Sakshi Tandon//Colaba//Sweet Corn+2*Nikhil Deshmukh/12/20/2023//UPI//Delivered*Quality of Items: Perfect condition</t>
  </si>
  <si>
    <t>//ord_71449//Ishaan Chaturvedi//Bandra//Papaya+2*Priya Joshi/9/9/2023//Credit Card//Delivered*Packaging: Secure and intact</t>
  </si>
  <si>
    <t>//ord_71450//Kritika Shetty//Malad//Chicken Puff+1*Not Assigned/11/11/2023//Credit Card//Cancelled*App Glitches: Payment Button Malfunction</t>
  </si>
  <si>
    <t>//ord_71451//Arvind Kulkarni//Juhu//Chicken Puff+5*Shine Thomas/4/8/2023//Credit Card//Cancelled*Delayed Delivery:Heavy Traffic</t>
  </si>
  <si>
    <t xml:space="preserve">//ord_71452//Pallavi Ghosh//Bandra//Cold Coffee+3*Aman Kumar/4/15/2023//UPI//Cancelled*Delayed Delivery:Bad Weather Conditions </t>
  </si>
  <si>
    <t>//ord_71453//Aarav Mehta//Andheri//Tiramisu+5*Rohan Yadav/6/30/2023//Credit Card//Delivered*Satisfied with the Delivery: Timely and quality</t>
  </si>
  <si>
    <t>//ord_71454//Dev Chauhan//Bandra//Potato+1*Priya Joshi/3/28/2023//Online Payment//Delivered*Customer Service: Seamless and easy</t>
  </si>
  <si>
    <t>//ord_71455//Aarohi Kapoor//Bandra//Banana+1*Priya Joshi/7/5/2023//Online Payment//Delivered*Delivery Experience: Quick and professional</t>
  </si>
  <si>
    <t>//ord_71456//Aarav Mehta//Andheri//Banana+2*Rohan Yadav/3/30/2023//Credit Card//Delivered*Convenience: Easy tracking</t>
  </si>
  <si>
    <t>//ord_71457//Sanjay Nair//Dadar//Potato+1*Aman Kumar/11/14/2023//Online Payment//Delivered*Overall Satisfaction: Great service will order again</t>
  </si>
  <si>
    <t>//ord_71458//Omkar Mishra//Powai//Popcorn+5*Not Assigned/5/12/2023//UPI//Cancelled*Payment Issues</t>
  </si>
  <si>
    <t>//ord_71459//Omkar Mishra//Powai//Chocolate Mousse+3*Not Assigned/6/30/2023//UPI//Cancelled*App Glitches:Slow Loading Time</t>
  </si>
  <si>
    <t>//ord_71460//Aditi Iyer//Dadar//Icecream+3*Not Assigned/11/20/2023//Credit Card//Cancelled*App Glitches: Payment Button Malfunction</t>
  </si>
  <si>
    <t>//ord_71461//Siya Reddy//Juhu//Papaya+1*Not Assigned/4/30/2023//Online Payment//Cancelled*App Glitches: Payment Button Malfunction</t>
  </si>
  <si>
    <t>//ord_71462//Dev Chauhan//Bandra//Potato+2*Priya Joshi/5/3/2023//UPI//Delivered*On-time Delivery: Delivered on time</t>
  </si>
  <si>
    <t>//ord_71463//Pallavi Ghosh//Bandra//Cucumber+2*Priya Joshi/2/15/2023//Credit Card//Delivered*Quality of Items: Perfect condition</t>
  </si>
  <si>
    <t>//ord_71464//Anaya Rao//Colaba//Banana+2*Nikhil Deshmukh/6/12/2023//Online Payment//Delivered*On-time Delivery: Delivered on time</t>
  </si>
  <si>
    <t>//ord_71465//Omkar Mishra//Powai//Chocolate Mousse+3*Not Assigned/12/16/2023//Credit Card//Cancelled*App Glitches: Inconsistent Data Display</t>
  </si>
  <si>
    <t>//ord_71466//Kritika Shetty//Malad//Sweet Corn+1*Not Assigned/2/25/2023//Credit Card//Cancelled*App Glitches:Slow Loading Time</t>
  </si>
  <si>
    <t>//ord_71467//Aarohi Kapoor//Bandra//Popcorn+3*Not Assigned/3/15/2023//Credit Card//Cancelled*High Delivery Fees</t>
  </si>
  <si>
    <t>//ord_71468//Aditya Basu//Juhu//Cucumber+2*Tanvi Jain/10/16/2023//COD//Delivered*Quality of Items: Perfect condition</t>
  </si>
  <si>
    <t>//ord_71469//Parth Goel//Juhu//Chocolate Mousse+1*Tanvi Jain/6/24/2023//Online Payment//Delivered*Packaging: Secure and intact</t>
  </si>
  <si>
    <t>//ord_71470//Siya Reddy//Juhu//Tiramisu+1*Not Assigned/7/26/2023//Online Payment//Cancelled*App Glitches:Missing Content</t>
  </si>
  <si>
    <t>//ord_71471//Parth Goel//Juhu//Veg Puff+2*Tanvi Jain/11/13/2023//COD//Delivered*Satisfied with the Delivery: Timely and quality</t>
  </si>
  <si>
    <t>//ord_71472//Arvind Kulkarni//Juhu//Popcorn+1*Ramesh S/7/6/2023//Online Payment//Cancelled*Delayed Delivery:Heavy Traffic</t>
  </si>
  <si>
    <t>//ord_71473//Sakshi Tandon//Colaba//Tiramisu+1*Nikhil Deshmukh/6/18/2023//Online Payment//Delivered*Customer Service: Seamless and easy</t>
  </si>
  <si>
    <t>//ord_71474//Arvind Kulkarni//Juhu//Banana+2*Not Assigned/11/2/2023//Credit Card//Cancelled*App Glitches: Payment Button Malfunction</t>
  </si>
  <si>
    <t>//ord_71475//Anaya Rao//Colaba//Chocolate Mousse+2*Nikhil Deshmukh/10/5/2023//COD//Delivered*Delivery Experience: Quick and professional</t>
  </si>
  <si>
    <t>//ord_71476//Arvind Kulkarni//Juhu//Juice+1*Not Assigned/3/2/2023//UPI//Cancelled*App Glitches:App Freezes</t>
  </si>
  <si>
    <t>//ord_71477//Mohit Malhotra//Lower Parel//Veg Puff+2*Kiran Mehta/12/29/2023//Credit Card//Delivered*Convenience: Easy tracking</t>
  </si>
  <si>
    <t>//ord_71478//Dev Chauhan//Bandra//Veg Puff+5*Priya Joshi/10/19/2023//UPI//Delivered*Overall Satisfaction: Great service will order again</t>
  </si>
  <si>
    <t>//ord_71479//Sakshi Tandon//Colaba//Popcorn+3*Nikhil Deshmukh/12/6/2023//Online Payment//Delivered*On-time Delivery: Delivered on time</t>
  </si>
  <si>
    <t>//ord_71480//Pranav Joshi//Andheri//Chocolate Mousse+5*Rohan Yadav/12/26/2023//COD//Delivered*Quality of Items: Perfect condition</t>
  </si>
  <si>
    <t>//ord_71481//Dev Chauhan//Bandra//Guava+2*Priya Joshi/7/1/2023//Credit Card//Delivered*On-time Delivery: Delivered on time</t>
  </si>
  <si>
    <t>//ord_71482//Siya Reddy//Juhu//Potato+1*Not Assigned/6/2/2023//Credit Card//Cancelled*Out of Stock</t>
  </si>
  <si>
    <t>//ord_71483//Mehul Thakkar//Malad//Guava+1*Neha Shah/12/21/2023//Online Payment//Delivered*Customer Service: Seamless and easy</t>
  </si>
  <si>
    <t>//ord_71484//Pranav Joshi//Andheri//Tiramisu+5*Rohan Yadav/1/11/2023//Credit Card//Delivered*Quality of Items: Perfect condition</t>
  </si>
  <si>
    <t>//ord_71485//Sanjay Nair//Dadar//Chilli Cheese Toast+1*Aman Kumar/2/20/2023//COD//Delivered*Packaging: Secure and intact</t>
  </si>
  <si>
    <t>//ord_71486//Anaya Rao//Colaba//Potato+1*Nikhil Deshmukh/5/29/2023//Credit Card//Delivered*Satisfied with the Delivery: Timely and quality</t>
  </si>
  <si>
    <t>//ord_71487//Sahil Desai//Lower Parel//Tomato+2*Kiran Mehta/8/24/2023//COD//Delivered*Customer Service: Seamless and easy</t>
  </si>
  <si>
    <t>//ord_71488//Ishaan Chaturvedi//Bandra//Onion+1*Priya Joshi/3/20/2023//Online Payment//Delivered*Delivery Experience: Quick and professional</t>
  </si>
  <si>
    <t>//ord_71489//Dev Chauhan//Bandra//Sweet Corn+1*Priya Joshi/3/22/2023//UPI//Delivered*Convenience: Easy tracking</t>
  </si>
  <si>
    <t>//ord_71490//Ishita Banerjee//Juhu//Banana+1*Not Assigned/5/26/2023//Credit Card//Cancelled*App Glitches:Error Messages</t>
  </si>
  <si>
    <t>//ord_71491//Ishaan Chaturvedi//Bandra//Tomato+1*Priya Joshi/5/6/2023//UPI//Delivered*Overall Satisfaction: Great service will order again</t>
  </si>
  <si>
    <t>//ord_71492//Mohit Malhotra//Lower Parel//Tiramisu+1*Vivek Kumar/7/24/2023//Online Payment//Delivered*On-time Delivery: Delivered on time</t>
  </si>
  <si>
    <t>//ord_71493//Ishaan Chaturvedi//Bandra//Apple+2*Ram Gopal/3/25/2023//COD//Delivered*Quality of Items: Perfect condition</t>
  </si>
  <si>
    <t>//ord_71494//Kritika Shetty//Malad//Chocolate Mousse+5*Not Assigned/11/13/2023//Credit Card//Cancelled*App Glitches:Slow Loading Time</t>
  </si>
  <si>
    <t>//ord_71495//Sanjay Nair//Dadar//Veg Puff+1*Shine Thomas/9/30/2023//Online Payment//Delivered*On-time Delivery: Delivered on time</t>
  </si>
  <si>
    <t>//ord_71496//Aarav Mehta//Andheri//Rasmalai+2*Manju Ajay/1/14/2023//Credit Card//Delivered*Quality of Items: Perfect condition</t>
  </si>
  <si>
    <t>//ord_71497//Mohit Malhotra//Lower Parel//Papaya+1*Sita T/12/14/2023//Credit Card//Delivered*Packaging: Secure and intact</t>
  </si>
  <si>
    <t>//ord_71498//Parth Goel//Juhu//Potato+2*Ram Gopal/7/7/2023//Credit Card//Delivered*Satisfied with the Delivery: Timely and quality</t>
  </si>
  <si>
    <t>//ord_71499//Ishita Banerjee//Juhu//Papaya+2*Ramesh S/12/1/2023//COD//Delivered*Customer Service: Seamless and easy</t>
  </si>
  <si>
    <t>//ord_71500//Aditi Iyer//Dadar//Onion+1*Ramesh S/2/14/2023//UPI//Delivered*Delivery Experience: Quick and professional</t>
  </si>
  <si>
    <t>//ord_71501//Sanjay Nair//Dadar//Icecream+3*Manju Ajay/3/6/2023//Credit Card//Delivered*Convenience: Easy tracking</t>
  </si>
  <si>
    <t>//ord_71502//Parth Goel//Juhu//Potato+2*Manju Ajay/2/2/2023//UPI//Delivered*Overall Satisfaction: Great service will order again</t>
  </si>
  <si>
    <t>//ord_71503//Pranav Joshi//Andheri//Onion+1*Ramesh S/8/5/2023//Credit Card//Delivered*On-time Delivery: Delivered on time</t>
  </si>
  <si>
    <t>//ord_71504//Sakshi Tandon//Colaba//Chilli Cheese Toast+5*Sita T/9/9/2023//Credit Card//Delivered*Quality of Items: Perfect condition</t>
  </si>
  <si>
    <t>//ord_71505//Sanjay Nair//Dadar//Chocolate Mousse+5*Nithin Lal/6/17/2023//UPI//Delivered*On-time Delivery: Delivered on time</t>
  </si>
  <si>
    <t>//ord_71506//Sakshi Tandon//Colaba//Cold Coffee+2*Manju Ajay/6/21/2023//COD//Delivered*Quality of Items: Perfect condition</t>
  </si>
  <si>
    <t>//ord_71507//Anaya Rao//Colaba//Icecream+1*Nithin Lal/9/2/2023//Online Payment//Delivered*Packaging: Secure and intact</t>
  </si>
  <si>
    <t>//ord_71508//Pallavi Ghosh//Bandra//Chocolate Mousse+3*Nithin Lal/11/26/2023//COD//Delivered*Satisfied with the Delivery: Timely and quality</t>
  </si>
  <si>
    <t>//ord_71509//Tanishq Bansal//Bandra//Juice+2*Vivek Kumar/8/17/2023//Online Payment//Delivered*Customer Service: Seamless and easy</t>
  </si>
  <si>
    <t>//ord_71510//Kritika Shetty//Malad//Cucumber+1*Not Assigned/9/13/2023//Online Payment//Cancelled*App Glitches:Slow Loading Time</t>
  </si>
  <si>
    <t>//ord_71511//Aarohi Kapoor//Bandra//Rasmalai+4*Shine Thomas/10/10/2023//COD//Delivered*Delivery Experience: Quick and professional</t>
  </si>
  <si>
    <t>//ord_71512//Aarav Mehta//Andheri//Cucumber+1*Vivek Kumar/1/16/2023//Credit Card//Delivered*Convenience: Easy tracking</t>
  </si>
  <si>
    <t>//ord_71513//Sanjay Nair//Dadar//Chicken Puff+1*Sita T/3/19/2023//Online Payment//Delivered*Overall Satisfaction: Great service will order again</t>
  </si>
  <si>
    <t>//ord_71514//Aarav Mehta//Andheri//Potato+2*Manju Ajay/5/6/2023//Credit Card//Delivered*On-time Delivery: Delivered on time</t>
  </si>
  <si>
    <t>//ord_71515//Pallavi Ghosh//Bandra//Chicken Puff+2*Sita T/9/22/2023//Online Payment//Delivered*Quality of Items: Perfect condition</t>
  </si>
  <si>
    <t>//ord_71516//Siya Reddy//Juhu//Icecream+3*Not Assigned/11/27/2023//Credit Card//Cancelled*Payment Issues</t>
  </si>
  <si>
    <t>//ord_71517//Sakshi Tandon//Colaba//Chilli Cheese Toast+1*Ramesh S/10/23/2023//UPI//Delivered*On-time Delivery: Delivered on time</t>
  </si>
  <si>
    <t>//ord_71518//Sakshi Tandon//Colaba//Sweet Corn+1*Nithin Lal/10/8/2023//Online Payment//Delivered*Quality of Items: Perfect condition</t>
  </si>
  <si>
    <t>//ord_71519//Mohit Malhotra//Lower Parel//Sweet Corn+2*Nithin Lal/9/3/2023//Online Payment//Delivered*Packaging: Secure and intact</t>
  </si>
  <si>
    <t>//ord_71520//Aarav Mehta//Andheri//Tomato+2*Ram Gopal/3/15/2023//Credit Card//Delivered*Satisfied with the Delivery: Timely and quality</t>
  </si>
  <si>
    <t>//ord_71521//Aarav Mehta//Andheri//Chilli Cheese Toast+1*Sita T/12/6/2023//Online Payment//Delivered*Customer Service: Seamless and easy</t>
  </si>
  <si>
    <t>//ord_71522//Anaya Rao//Colaba//Potato+2*Sita T/12/25/2023//Online Payment//Delivered*Delivery Experience: Quick and professional</t>
  </si>
  <si>
    <t>//ord_71523//Sanjay Nair//Dadar//Chicken Puff+3*Nithin Lal/11/2/2023//Online Payment//Delivered*Convenience: Easy tracking</t>
  </si>
  <si>
    <t xml:space="preserve">//ord_71524//Ishita Banerjee//Juhu//Rasmalai+5*Priya Joshi/5/14/2023//Credit Card//Cancelled*Delayed Delivery:Bad Weather Conditions </t>
  </si>
  <si>
    <t>//ord_71525//Parth Goel//Juhu//Sweet Corn+1*Ramesh S/1/6/2023//UPI//Delivered*Overall Satisfaction: Great service will order again</t>
  </si>
  <si>
    <t>//ord_71526//Sanjay Nair//Dadar//Chocolate Mousse+1*Ramesh S/3/14/2023//COD//Delivered*On-time Delivery: Delivered on time</t>
  </si>
  <si>
    <t>//ord_71527//Mohit Malhotra//Lower Parel//Cold Coffee+4*Manju Ajay/1/13/2023//UPI//Delivered*Quality of Items: Perfect condition</t>
  </si>
  <si>
    <t>//ord_71528//Sanjay Nair//Dadar//Onion+1*Ram Gopal/12/5/2023//Credit Card//Delivered*On-time Delivery: Delivered on time</t>
  </si>
  <si>
    <t>//ord_71529//Pallavi Ghosh//Bandra//Cucumber+1*Manju Ajay/2/18/2023//UPI//Delivered*Quality of Items: Perfect condition</t>
  </si>
  <si>
    <t>//ord_71530//Dev Chauhan//Bandra//Veg Puff+2*Vivek Kumar/8/15/2023//Credit Card//Delivered*Packaging: Secure and intact</t>
  </si>
  <si>
    <t>//ord_71531//Mohit Malhotra//Lower Parel//Potato+1*Vivek Kumar/8/9/2023//UPI//Delivered*Satisfied with the Delivery: Timely and quality</t>
  </si>
  <si>
    <t>//ord_71532//Omkar Mishra//Powai//Cold Coffee+1*Ram Gopal/10/5/2023//UPI//Delivered*Customer Service: Seamless and easy</t>
  </si>
  <si>
    <t>//ord_71533//Tanishq Bansal//Powai//Apple+2*Venu R/2/6/2023//Credit Card//Delivered*Delivery Experience: Quick and professional</t>
  </si>
  <si>
    <t>//ord_71534//Omkar Mishra//Powai//Potato+2*Venu R/11/9/2023//Credit Card//Delivered*Convenience: Easy tracking</t>
  </si>
  <si>
    <t>//ord_71535//Pranav Joshi//Andheri//Tiramisu+5*Venu R/8/1/2023//COD//Delivered*Overall Satisfaction: Great service will order again</t>
  </si>
  <si>
    <t>//ord_71536//Ishaan Chaturvedi//Bandra//Chicken Puff+3*Sita T/8/21/2023//COD//Delivered*On-time Delivery: Delivered on time</t>
  </si>
  <si>
    <t>//ord_71537//Ishaan Chaturvedi//Bandra//Banana+1*Vivek Kumar/10/1/2023//Online Payment//Delivered*Quality of Items: Perfect condition</t>
  </si>
  <si>
    <t>//ord_71538//Kritika Shetty//Malad//Popcorn+3*Vivek Kumar/11/10/2023//Credit Card//Cancelled*Delayed Delivery:Heavy Traffic</t>
  </si>
  <si>
    <t>//ord_71539//Pranav Joshi//Andheri//Banana+2*Shine Thomas/12/3/2023//Online Payment//Delivered*On-time Delivery: Delivered on time</t>
  </si>
  <si>
    <t>//ord_71540//Dev Chauhan//Bandra//Icecream+4*Sita T/1/10/2023//UPI//Delivered*Quality of Items: Perfect condition</t>
  </si>
  <si>
    <t>//ord_71541//Siya Reddy//Juhu//Sweet Corn+1*Tanvi Jain/12/14/2023//Online Payment//Delivered*Packaging: Secure and intact</t>
  </si>
  <si>
    <t>//ord_71542//Sakshi Tandon//Colaba//Juice+1*Nikhil Deshmukh/11/3/2023//Online Payment//Delivered*Satisfied with the Delivery: Timely and quality</t>
  </si>
  <si>
    <t>//ord_71543//Aditi Iyer//Dadar//Apple+1*Aman Kumar/11/25/2023//UPI//Delivered*Customer Service: Seamless and easy</t>
  </si>
  <si>
    <t>//ord_71544//Arvind Kulkarni//Juhu//Popcorn+2*Not Assigned/6/10/2023//Credit Card//Cancelled*High Delivery Fees</t>
  </si>
  <si>
    <t>//ord_71545//Sakshi Tandon//Colaba//Rasmalai+3*Nikhil Deshmukh/12/12/2023//Online Payment//Delivered*Delivery Experience: Quick and professional</t>
  </si>
  <si>
    <t>//ord_71546//Aarav Mehta//Andheri//Guava+1*Rohan Yadav/12/11/2023//UPI//Delivered*Convenience: Easy tracking</t>
  </si>
  <si>
    <t>//ord_71547//Sanjay Nair//Dadar//Sweet Corn+2*Aman Kumar/12/26/2023//Online Payment//Delivered*Overall Satisfaction: Great service will order again</t>
  </si>
  <si>
    <t>//ord_71548//Ishaan Chaturvedi//Bandra//Cucumber+1*Priya Joshi/5/20/2023//Credit Card//Delivered*On-time Delivery: Delivered on time</t>
  </si>
  <si>
    <t>//ord_71549//Aditi Iyer//Dadar//Sweet Corn+1*Aman Kumar/3/5/2023//Online Payment//Delivered*Quality of Items: Perfect condition</t>
  </si>
  <si>
    <t>//ord_71550//Anaya Rao//Colaba//Juice+3*Nikhil Deshmukh/5/15/2023//UPI//Delivered*On-time Delivery: Delivered on time</t>
  </si>
  <si>
    <t>//ord_71551//Ishaan Chaturvedi//Bandra//Papaya+2*Priya Joshi/8/12/2023//UPI//Delivered*Quality of Items: Perfect condition</t>
  </si>
  <si>
    <t>//ord_71552//Diya Arora//Lower Parel//Sweet Corn+1*Kiran Mehta/3/17/2023//UPI//Delivered*Packaging: Secure and intact</t>
  </si>
  <si>
    <t>//ord_71553//Arvind Kulkarni//Juhu//Onion+2*Not Assigned/8/17/2023//Credit Card//Cancelled*App Glitches:Missing Content</t>
  </si>
  <si>
    <t>//ord_71554//Pallavi Ghosh//Bandra//Cucumber+2*Priya Joshi/2/1/2023//UPI//Delivered*Satisfied with the Delivery: Timely and quality</t>
  </si>
  <si>
    <t>//ord_71555//Diya Arora//Lower Parel//Chicken Puff+2*Kiran Mehta/10/6/2023//UPI//Delivered*Customer Service: Seamless and easy</t>
  </si>
  <si>
    <t>//ord_71556//Mehul Thakkar//Malad//Papaya+2*Neha Shah/6/29/2023//UPI//Delivered*Delivery Experience: Quick and professional</t>
  </si>
  <si>
    <t>//ord_71557//Ishaan Chaturvedi//Bandra//Veg Puff+2*Priya Joshi/12/19/2023//UPI//Delivered*Convenience: Easy tracking</t>
  </si>
  <si>
    <t>//ord_71558//Omkar Mishra//Powai//Tomato+1*Sandeep Kumar/7/13/2023//Online Payment//Delivered*Overall Satisfaction: Great service will order again</t>
  </si>
  <si>
    <t>//ord_71559//Omkar Mishra//Powai//Icecream+1*Sandeep Kumar/10/29/2023//UPI//Delivered*On-time Delivery: Delivered on time</t>
  </si>
  <si>
    <t>//ord_71560//Diya Arora//Lower Parel//Banana+1*Kiran Mehta/8/12/2023//Online Payment//Delivered*Quality of Items: Perfect condition</t>
  </si>
  <si>
    <t>//ord_71561//Dev Chauhan//Bandra//Cold Coffee+5*Priya Joshi/7/5/2023//UPI//Delivered*On-time Delivery: Delivered on time</t>
  </si>
  <si>
    <t>//ord_71562//Dev Chauhan//Bandra//Veg Puff+2*Priya Joshi/11/24/2023//Online Payment//Delivered*Quality of Items: Perfect condition</t>
  </si>
  <si>
    <t>//ord_71563//Aditi Iyer//Dadar//Rasmalai+2*Aman Kumar/9/3/2023//UPI//Delivered*Packaging: Secure and intact</t>
  </si>
  <si>
    <t>//ord_71564//Tanishq Bansal//Powai//Veg Puff+5*Sandeep Kumar/1/9/2023//Online Payment//Delivered*Satisfied with the Delivery: Timely and quality</t>
  </si>
  <si>
    <t>//ord_71565//Tanishq Bansal//Powai//Orange+2*Venu R/7/28/2023//UPI//Delivered*Customer Service: Seamless and easy</t>
  </si>
  <si>
    <t>//ord_71566//Dev Chauhan//Bandra//Icecream+1*Venu R/9/28/2023//Online Payment//Delivered*Delivery Experience: Quick and professional</t>
  </si>
  <si>
    <t>//ord_71567//Pranav Joshi//Andheri//Tomato+1*Vivek Kumar/5/20/2023//Credit Card//Delivered*Convenience: Easy tracking</t>
  </si>
  <si>
    <t>//ord_71568//Ishaan Chaturvedi//Bandra//Banana+2*Sita T/10/21/2023//UPI//Delivered*Overall Satisfaction: Great service will order again</t>
  </si>
  <si>
    <t>//ord_71569//Ishita Banerjee//Juhu//Tomato+2*Not Assigned/12/4/2023//Credit Card//Cancelled*App Glitches: Payment Button Malfunction</t>
  </si>
  <si>
    <t>//ord_71570//Aarav Mehta//Andheri//Chicken Puff+1*Ramesh S/11/18/2023//UPI//Delivered*On-time Delivery: Delivered on time</t>
  </si>
  <si>
    <t>//ord_71571//Arvind Kulkarni//Juhu//Chilli Cheese Toast+5*Sita T/8/4/2023//UPI//Delivered*Quality of Items: Perfect condition</t>
  </si>
  <si>
    <t>//ord_71572//Aarav Mehta//Andheri//Chicken Puff+3*Ramesh S/12/13/2023//Online Payment//Delivered*On-time Delivery: Delivered on time</t>
  </si>
  <si>
    <t>//ord_71573//Sakshi Tandon//Colaba//Guava+2*Sita T/2/2/2023//UPI//Delivered*Quality of Items: Perfect condition</t>
  </si>
  <si>
    <t>//ord_71574//Aditi Iyer//Dadar//Popcorn+2*Nithin Lal/3/30/2023//Credit Card//Delivered*Packaging: Secure and intact</t>
  </si>
  <si>
    <t>//ord_71575//Arvind Kulkarni//Juhu//Chicken Puff+1*Not Assigned/9/9/2023//UPI//Cancelled*App Glitches:App Freezes</t>
  </si>
  <si>
    <t>//ord_71576//Parth Goel//Juhu//Chocolate Mousse+2*Ramesh S/7/17/2023//UPI//Delivered*Satisfied with the Delivery: Timely and quality</t>
  </si>
  <si>
    <t>//ord_71577//Dev Chauhan//Bandra//Cucumber+1*Ramesh S/11/10/2023//Credit Card//Delivered*Customer Service: Seamless and easy</t>
  </si>
  <si>
    <t>//ord_71578//Tanishq Bansal//Powai//Popcorn+4*Vivek Kumar/2/23/2023//Credit Card//Delivered*Delivery Experience: Quick and professional</t>
  </si>
  <si>
    <t>//ord_71579//Aditi Iyer//Dadar//Tomato+2*Rohan Yadav/11/14/2023//UPI//Cancelled*Delayed Delivery:Vehicle Breakdown</t>
  </si>
  <si>
    <t>//ord_71580//Kritika Shetty//Malad//Potato+2*Manju Ajay/11/28/2023//Credit Card//Cancelled*Delayed Delivery:Heavy Traffic</t>
  </si>
  <si>
    <t>//ord_71581//Dev Chauhan//Bandra//Rasmalai+2*Shine Thomas/5/12/2023//UPI//Delivered*Convenience: Easy tracking</t>
  </si>
  <si>
    <t>//ord_71582//Mohit Malhotra//Lower Parel//Cold Coffee+3*Vivek Kumar/5/21/2023//Online Payment//Delivered*Overall Satisfaction: Great service will order again</t>
  </si>
  <si>
    <t>//ord_71583//Diya Arora//Lower Parel//Apple+1*Ram Gopal/3/17/2023//UPI//Delivered*On-time Delivery: Delivered on time</t>
  </si>
  <si>
    <t>//ord_71584//Pranav Joshi//Andheri//Chocolate Mousse+3*Not Assigned/7/26/2023//Credit Card//Cancelled*App Glitches: Payment Button Malfunction</t>
  </si>
  <si>
    <t>//ord_71585//Parth Goel//Juhu//Icecream+2*Sita T/5/9/2023//UPI//Delivered*Quality of Items: Perfect condition</t>
  </si>
  <si>
    <t xml:space="preserve">//ord_71586//Dev Chauhan//Bandra//Papaya+1*Sandeep Kumar/3/11/2023//UPI//Cancelled*Delayed Delivery:Bad Weather Conditions </t>
  </si>
  <si>
    <t>//ord_71587//Tanishq Bansal//Powai//Chilli Cheese Toast+3*Vivek Kumar/10/2/2023//UPI//Cancelled*Delayed Delivery:Incorrect Address or Location</t>
  </si>
  <si>
    <t>//ord_71588//Sakshi Tandon//Colaba//Onion+2*Venu R/10/23/2023//Credit Card//Delivered*On-time Delivery: Delivered on time</t>
  </si>
  <si>
    <t>//ord_71589//Ishita Banerjee//Juhu//Icecream+1*Nithin Lal/2/2/2023//Online Payment//Delivered*Quality of Items: Perfect condition</t>
  </si>
  <si>
    <t>//ord_71590//Omkar Mishra//Powai//Sweet Corn+1*Tanvi Jain/12/9/2023//Credit Card//Cancelled*Delayed Delivery:Heavy Traffic</t>
  </si>
  <si>
    <t>//ord_71591//Tanishq Bansal//Powai//Cucumber+1*Venu R/7/13/2023//Online Payment//Delivered*Packaging: Secure and intact</t>
  </si>
  <si>
    <t xml:space="preserve">//ord_71592//Kritika Shetty//Malad//Chilli Cheese Toast+4*Venu R/12/14/2023//Credit Card//Cancelled*Delayed Delivery:Bad Weather Conditions </t>
  </si>
  <si>
    <t>//ord_71593//Diya Arora//Lower Parel//Veg Puff+4*Shine Thomas/8/22/2023//Credit Card//Delivered*Satisfied with the Delivery: Timely and quality</t>
  </si>
  <si>
    <t>//ord_71594//Aarohi Kapoor//Bandra//Icecream+3*Ram Gopal/5/18/2023//Credit Card//Delivered*Customer Service: Seamless and easy</t>
  </si>
  <si>
    <t>//ord_71595//Parth Goel//Juhu//Banana+1*Not Assigned/6/23/2023//Credit Card//Cancelled*App Glitches:Slow Loading Time</t>
  </si>
  <si>
    <t>//ord_71596//Parth Goel//Juhu//Chocolate Mousse+3*Not Assigned/7/19/2023//Credit Card//Cancelled*Payment Issues</t>
  </si>
  <si>
    <t>//ord_71597//Arvind Kulkarni//Juhu//Sweet Corn+2*Ramesh S/10/8/2023//UPI//Delivered*Delivery Experience: Quick and professional</t>
  </si>
  <si>
    <t>//ord_71598//Anaya Rao//Colaba//Cold Coffee+3*Not Assigned/11/11/2023//Credit Card//Cancelled*High Delivery Fees</t>
  </si>
  <si>
    <t>//ord_71599//Siya Reddy//Juhu//Popcorn+5*Not Assigned/9/13/2023//UPI//Cancelled*App Glitches:Slow Loading Time</t>
  </si>
  <si>
    <t>//ord_71600//Pallavi Ghosh//Bandra//Papaya+1*Not Assigned/12/26/2023//Online Payment//Cancelled*Out of Stock</t>
  </si>
  <si>
    <t>//ord_71601//Aarav Mehta//Andheri//Sweet Corn+1*Not Assigned/1/8/2023//Credit Card//Cancelled*Payment Issues</t>
  </si>
  <si>
    <t>//ord_71602//Ishita Banerjee//Juhu//Banana+2*Sita T/5/2/2023//Credit Card//Delivered*Convenience: Easy tracking</t>
  </si>
  <si>
    <t>//ord_71603//Omkar Mishra//Powai//Chilli Cheese Toast+1*Not Assigned/1/19/2023//Credit Card//Cancelled*Out of Stock</t>
  </si>
  <si>
    <t>//ord_71604//Aditi Iyer//Dadar//Tomato+2*Venu R/11/3/2023//Online Payment//Delivered*Overall Satisfaction: Great service will order again</t>
  </si>
  <si>
    <t>//ord_71605//Kavya Menon//Andheri//Icecream+6*Manju Ajay/5/29/2023//UPI//Delivered*On-time Delivery: Delivered on time</t>
  </si>
  <si>
    <t>//ord_71606//Kavya Menon//Andheri//Onion+3*Sita T/11/22/2023//Credit Card//Delivered*Quality of Items: Perfect condition</t>
  </si>
  <si>
    <t>//ord_71607//Anaya Rao//Colaba//Papaya+1*Sita T/8/20/2023//Credit Card//Delivered*On-time Delivery: Delivered on time</t>
  </si>
  <si>
    <t>//ord_71608//Aditya Rao//Lower Parel//Tiramisu+5*Nithin Lal/2/3/2023//Online Payment//Delivered*Quality of Items: Perfect condition</t>
  </si>
  <si>
    <t>//ord_71609//Aditya Rao//Lower Parel//Orange+2*Ram Gopal/8/28/2023//Online Payment//Delivered*Packaging: Secure and intact</t>
  </si>
  <si>
    <t>//ord_71610//Arvind Kulkarni//Juhu//Chocolate Mousse+2*Not Assigned/1/14/2023//UPI//Cancelled*App Glitches: Payment Button Malfunction</t>
  </si>
  <si>
    <t>//ord_71611//Mohit Malhotra//Lower Parel//Apple+2*Not Assigned/6/11/2023//Credit Card//Cancelled*High Delivery Fees</t>
  </si>
  <si>
    <t>//ord_71612//Mehul Thakkar//Malad//Papaya+2*Ram Gopal/11/6/2023//Online Payment//Delivered*Satisfied with the Delivery: Timely and quality</t>
  </si>
  <si>
    <t>//ord_71613//Aditi Iyer//Dadar//Icecream+4*Not Assigned/8/12/2023//Online Payment//Cancelled*App Glitches: Payment Button Malfunction</t>
  </si>
  <si>
    <t>//ord_71614//Mohit Malhotra//Lower Parel//Chicken Puff+5*Manju Ajay/11/2/2023//UPI//Delivered*Customer Service: Seamless and easy</t>
  </si>
  <si>
    <t>//ord_71615//Tanishq Bansal//Powai//Guava+2*Not Assigned/9/5/2023//UPI//Cancelled*Out of Stock</t>
  </si>
  <si>
    <t>//ord_71616//Aditi Iyer//Dadar//Orange+1*Venu R/12/25/2023//Online Payment//Delivered*Delivery Experience: Quick and professional</t>
  </si>
  <si>
    <t>//ord_71617//Aarohi Kapoor//Bandra//Apple+2*Manju Ajay/9/27/2023//Online Payment//Delivered*Convenience: Easy tracking</t>
  </si>
  <si>
    <t>//ord_71618//Kritika Shetty//Malad//Rasmalai+3*Not Assigned/2/10/2023//UPI//Cancelled*App Glitches:App Freezes</t>
  </si>
  <si>
    <t>//ord_71619//Pallavi Ghosh//Bandra//Banana+2*Shine Thomas/11/25/2023//UPI//Delivered*Overall Satisfaction: Great service will order again</t>
  </si>
  <si>
    <t>//ord_71620//Pallavi Ghosh//Bandra//Guava+2*Not Assigned/10/19/2023//Online Payment//Cancelled*Payment Issues</t>
  </si>
  <si>
    <t>//ord_71621//Pallavi Ghosh//Bandra//Tomato+2*Vivek Kumar/5/17/2023//UPI//Delivered*On-time Delivery: Delivered on time</t>
  </si>
  <si>
    <t>//ord_71622//Ishita Banerjee//Juhu//Juice+5*Not Assigned/7/9/2023//UPI//Cancelled*App Glitches:Slow Loading Time</t>
  </si>
  <si>
    <t>//ord_71623//Omkar Mishra//Powai//Juice+4*Ramesh S/6/25/2023//Credit Card//Delivered*Quality of Items: Perfect condition</t>
  </si>
  <si>
    <t>//ord_71624//Sakshi Tandon//Colaba//Onion+2*Venu R/10/18/2023//Credit Card//Delivered*On-time Delivery: Delivered on time</t>
  </si>
  <si>
    <t>//ord_71625//Sakshi Tandon//Colaba//Rasmalai+3*Nithin Lal/5/18/2023//UPI//Delivered*Quality of Items: Perfect condition</t>
  </si>
  <si>
    <t>//ord_71626//Mehul Thakkar//Malad//Popcorn+3*Nithin Lal/3/27/2023//Online Payment//Delivered*Packaging: Secure and intact</t>
  </si>
  <si>
    <t>//ord_71627//Sakshi Tandon//Colaba//Guava+1*Not Assigned/2/10/2023//Credit Card//Cancelled*Payment Issues</t>
  </si>
  <si>
    <t>//ord_71628//Anaya Rao//Colaba//Guava+1*Not Assigned/12/5/2023//Credit Card//Cancelled*App Glitches: Inconsistent Data Display</t>
  </si>
  <si>
    <t>//ord_71629//Parth Goel//Juhu//Chocolate Mousse+4*Nithin Lal/5/13/2023//Credit Card//Delivered*Satisfied with the Delivery: Timely and quality</t>
  </si>
  <si>
    <t>//ord_71630//Sakshi Tandon//Colaba//Juice+3*Not Assigned/9/9/2023//Online Payment//Cancelled*Payment Issues</t>
  </si>
  <si>
    <t>//ord_71631//Kritika Shetty//Malad//Icecream+3*Aman Kumar/3/18/2023//Credit Card//Cancelled*Delayed Delivery:Traffic Accidents or Road Closures</t>
  </si>
  <si>
    <t>//ord_71632//Siya Reddy//Juhu//Tomato+1*Tanvi Jain/2/6/2023//UPI//Delivered*Customer Service: Seamless and easy</t>
  </si>
  <si>
    <t>//ord_71633//Aarohi Kapoor//Bandra//Potato+1*Not Assigned/5/22/2023//Online Payment//Cancelled*App Glitches: Payment Button Malfunction</t>
  </si>
  <si>
    <t>//ord_71634//Pranav Joshi//Andheri//Guava+1*Vivek Kumar/5/5/2023//UPI//Cancelled*Delayed Delivery:High Order Volume</t>
  </si>
  <si>
    <t>//ord_71635//Aditi Iyer//Dadar//Cucumber+2*Aman Kumar/2/10/2023//UPI//Delivered*Delivery Experience: Quick and professional</t>
  </si>
  <si>
    <t>//ord_71636//Sanjay Nair//Dadar//Sweet Corn+1*Aman Kumar/6/28/2023//UPI//Delivered*Convenience: Easy tracking</t>
  </si>
  <si>
    <t>//ord_71637//Sana Malik//Powai//Banana+3*Sandeep Kumar/8/22/2023//UPI//Delivered*Overall Satisfaction: Great service will order again</t>
  </si>
  <si>
    <t>//ord_71638//Yash Verma//Lower Parel//Cucumber+3*Kiran Mehta/8/10/2023//UPI//Delivered*On-time Delivery: Delivered on time</t>
  </si>
  <si>
    <t>//ord_71639//Sana Malik//Juhu//Tiramisu+6*Tanvi Jain/2/8/2023//Credit Card//Delivered*Quality of Items: Perfect condition</t>
  </si>
  <si>
    <t>//ord_71640//Yash Verma//Colaba//Orange+2*Nikhil Deshmukh/6/19/2023//Credit Card//Delivered*On-time Delivery: Delivered on time</t>
  </si>
  <si>
    <t>//ord_71641//Omkar Mishra//Powai//Cold Coffee+3*Sandeep Kumar/7/29/2023//UPI//Delivered*Quality of Items: Perfect condition</t>
  </si>
  <si>
    <t>//ord_71642//Omkar Mishra//Powai//Rasmalai+2*Sandeep Kumar/11/12/2023//UPI//Delivered*Packaging: Secure and intact</t>
  </si>
  <si>
    <t>//ord_71643//Ishita Banerjee//Juhu//Potato+2*Tanvi Jain/10/18/2023//Credit Card//Delivered*Satisfied with the Delivery: Timely and quality</t>
  </si>
  <si>
    <t>//ord_71644//Tanishq Bansal//Powai//Guava+1*Sandeep Kumar/12/1/2023//UPI//Delivered*Customer Service: Seamless and easy</t>
  </si>
  <si>
    <t>//ord_71645//Mohit Malhotra//Lower Parel//Chocolate Mousse+1*Kiran Mehta/10/17/2023//Online Payment//Delivered*Delivery Experience: Quick and professional</t>
  </si>
  <si>
    <t>//ord_71646//Kunal Sharma//Powai//Rasmalai+8*Sandeep Kumar/7/9/2023//UPI//Delivered*Convenience: Easy tracking</t>
  </si>
  <si>
    <t>//ord_71647//Kunal Sharma//Powai//Potato+5*Sandeep Kumar/2/27/2023//Credit Card//Delivered*Overall Satisfaction: Great service will order again</t>
  </si>
  <si>
    <t>//ord_71648//Sanjay Nair//Dadar//Chicken Puff+3*Aman Kumar/8/2/2023//Credit Card//Delivered*On-time Delivery: Delivered on time</t>
  </si>
  <si>
    <t>//ord_71649//Siya Reddy//Juhu//Tiramisu+1*Tanvi Jain/1/24/2023//Credit Card//Delivered*Quality of Items: Perfect condition</t>
  </si>
  <si>
    <t>//ord_71650//Kritika Shetty//Malad//Rasmalai+4*Priya Joshi/3/10/2023//UPI//Cancelled*Delayed Delivery:Vehicle Breakdown</t>
  </si>
  <si>
    <t>//ord_71651//Siya Reddy//Juhu//Cucumber+2*Shine Thomas/10/20/2023//Credit Card//Cancelled*Delayed Delivery:Heavy Traffic</t>
  </si>
  <si>
    <t>//ord_71652//Anaya Rao//Colaba//Tiramisu+4*Nikhil Deshmukh/6/10/2023//Credit Card//Delivered*On-time Delivery: Delivered on time</t>
  </si>
  <si>
    <t>//ord_71653//Aditi Iyer//Dadar//Veg Puff+1*Aman Kumar/9/12/2023//UPI//Delivered*Quality of Items: Perfect condition</t>
  </si>
  <si>
    <t>//ord_71654//Ritika Dutta//Lower Parel//Tomato+3*Kiran Mehta/2/2/2023//Credit Card//Delivered*Packaging: Secure and intact</t>
  </si>
  <si>
    <t>//ord_71655//Ishaan Chaturvedi//Bandra//Veg Puff+1*Priya Joshi/12/7/2023//UPI//Delivered*Satisfied with the Delivery: Timely and quality</t>
  </si>
  <si>
    <t>//ord_71656//Arvind Kulkarni//Juhu//Guava+1*Tanvi Jain/3/9/2023//Online Payment//Delivered*Customer Service: Seamless and easy</t>
  </si>
  <si>
    <t>//ord_71657//Pranav Joshi//Andheri//Potato+2*Rohan Yadav/7/8/2023//UPI//Delivered*Delivery Experience: Quick and professional</t>
  </si>
  <si>
    <t>//ord_71658//Dev Chauhan//Bandra//Chocolate Mousse+3*Priya Joshi/6/13/2023//Online Payment//Delivered*Convenience: Easy tracking</t>
  </si>
  <si>
    <t>//ord_71659//Mehul Thakkar//Malad//Apple+2*Not Assigned/2/27/2023//Credit Card//Cancelled*App Glitches:Slow Loading Time</t>
  </si>
  <si>
    <t>//ord_71660//Kritika Shetty//Malad//Chilli Cheese Toast+3*Neha Shah/10/15/2023//Online Payment//Delivered*Overall Satisfaction: Great service will order again</t>
  </si>
  <si>
    <t>//ord_71661//Siya Reddy//Juhu//Onion+1*Tanvi Jain/12/18/2023//UPI//Delivered*On-time Delivery: Delivered on time</t>
  </si>
  <si>
    <t>//ord_71662//Anaya Rao//Colaba//Cucumber+2*Nikhil Deshmukh/3/18/2023//UPI//Delivered*Quality of Items: Perfect condition</t>
  </si>
  <si>
    <t>//ord_71663//Aditya Basu//Juhu//Popcorn+6*Nithin Lal/8/13/2023//UPI//Delivered*On-time Delivery: Delivered on time</t>
  </si>
  <si>
    <t>//ord_71664//Pranav Joshi//Andheri//Chocolate Mousse+1*Ramesh S/10/9/2023//Online Payment//Delivered*Quality of Items: Perfect condition</t>
  </si>
  <si>
    <t>//ord_71665//Tanishq Bansal//Powai//Chilli Cheese Toast+3*Sita T/11/11/2023//UPI//Delivered*Packaging: Secure and intact</t>
  </si>
  <si>
    <t>//ord_71666//Pranav Joshi//Andheri//Rasmalai+3*Venu R/2/11/2023//Credit Card//Delivered*Satisfied with the Delivery: Timely and quality</t>
  </si>
  <si>
    <t>//ord_71667//Aarohi Kapoor//Bandra//Chicken Puff+4*Sita T/6/26/2023//Online Payment//Delivered*Customer Service: Seamless and easy</t>
  </si>
  <si>
    <t>//ord_71668//Pallavi Ghosh//Bandra//Tomato+2*Vivek Kumar/1/19/2023//Online Payment//Delivered*Delivery Experience: Quick and professional</t>
  </si>
  <si>
    <t>//ord_71669//Ishaan Chaturvedi//Bandra//Banana+2*Vivek Kumar/6/24/2023//UPI//Delivered*Convenience: Easy tracking</t>
  </si>
  <si>
    <t>//ord_71670//Parth Goel//Juhu//Cucumber+2*Vivek Kumar/10/19/2023//UPI//Delivered*Overall Satisfaction: Great service will order again</t>
  </si>
  <si>
    <t>//ord_71671//Sanjay Nair//Dadar//Guava+1*Ramesh S/7/12/2023//Credit Card//Delivered*On-time Delivery: Delivered on time</t>
  </si>
  <si>
    <t>//ord_71672//Mehul Thakkar//Malad//Apple+1*Manju Ajay/9/20/2023//Credit Card//Delivered*Quality of Items: Perfect condition</t>
  </si>
  <si>
    <t>//ord_71673//Ishita Banerjee//Juhu//Veg Puff+4*Shine Thomas/3/16/2023//Credit Card//Delivered*On-time Delivery: Delivered on time</t>
  </si>
  <si>
    <t>//ord_71674//Kritika Shetty//Malad//Guava+2*Ramesh S/5/2/2023//Online Payment//Delivered*Quality of Items: Perfect condition</t>
  </si>
  <si>
    <t>//ord_71675//Pranav Joshi//Andheri//Banana+2*Shine Thomas/6/18/2023//Credit Card//Delivered*Packaging: Secure and intact</t>
  </si>
  <si>
    <t>//ord_71676//Siya Reddy//Juhu//Tomato+1*Not Assigned/7/4/2023//Credit Card//Cancelled*App Glitches:Missing Content</t>
  </si>
  <si>
    <t>//ord_71677//Aditya Rao//Lower Parel//Chilli Cheese Toast+6*Ramesh S/12/1/2023//Online Payment//Delivered*Satisfied with the Delivery: Timely and quality</t>
  </si>
  <si>
    <t>//ord_71678//Shruti Aggarwal//Colaba//Onion+4*Ram Gopal/3/22/2023//UPI//Delivered*Customer Service: Seamless and easy</t>
  </si>
  <si>
    <t>//ord_71679//Sahil Desai//Colaba//Guava+3*Nithin Lal/5/14/2023//UPI//Delivered*Delivery Experience: Quick and professional</t>
  </si>
  <si>
    <t>//ord_71680//Harsh Vardhan//Bandra//Chocolate Mousse+4*Nithin Lal/11/4/2023//UPI//Delivered*Convenience: Easy tracking</t>
  </si>
  <si>
    <t>//ord_71681//Leena Das//Andheri//Orange+2*Vivek Kumar/10/4/2023//UPI//Delivered*Overall Satisfaction: Great service will order again</t>
  </si>
  <si>
    <t>//ord_71682//Mehul Thakkar//Dadar//Sweet Corn+1*Sita T/11/20/2023//Credit Card//Delivered*On-time Delivery: Delivered on time</t>
  </si>
  <si>
    <t>//ord_71683//Sana Malik//Juhu//Potato+3*Manju Ajay/5/29/2023//Credit Card//Delivered*Quality of Items: Perfect condition</t>
  </si>
  <si>
    <t>//ord_71684//Yash Verma//Colaba//Sweet Corn+3*Ramesh S/5/18/2023//Credit Card//Delivered*On-time Delivery: Delivered on time</t>
  </si>
  <si>
    <t>//ord_71685//Harsh Vardhan//Bandra//Cold Coffee+5*Nithin Lal/11/29/2023//Credit Card//Delivered*Quality of Items: Perfect condition</t>
  </si>
  <si>
    <t>//ord_71686//Sana Malik//Powai//Popcorn+4*Vivek Kumar/2/16/2023//Credit Card//Delivered*Packaging: Secure and intact</t>
  </si>
  <si>
    <t>//ord_71687//Yash Verma//Lower Parel//Chilli Cheese Toast+3*Venu R/11/24/2023//Online Payment//Delivered*Satisfied with the Delivery: Timely and quality</t>
  </si>
  <si>
    <t>//ord_71688//Leena Das//Andheri//Banana+2*Ram Gopal/1/3/2023//UPI//Delivered*Customer Service: Seamless and easy</t>
  </si>
  <si>
    <t>//ord_71689//Aditya Rao//Lower Parel//Icecream+4*Sita T/3/5/2023//Credit Card//Delivered*Delivery Experience: Quick and professional</t>
  </si>
  <si>
    <t>//ord_71690//Sahil Desai//Colaba//Chicken Puff+5*Ram Gopal/2/8/2023//UPI//Delivered*Convenience: Easy tracking</t>
  </si>
  <si>
    <t>//ord_71691//Shruti Aggarwal//Colaba//Apple+4*Nithin Lal/3/15/2023//UPI//Delivered*Overall Satisfaction: Great service will order again</t>
  </si>
  <si>
    <t>//ord_71692//Tanishq Bansal//Bandra//Potato+1*Nithin Lal/1/19/2023//Credit Card//Delivered*On-time Delivery: Delivered on time</t>
  </si>
  <si>
    <t>//ord_71693//Aditya Basu//Juhu//Juice+8*Vivek Kumar/8/22/2023//Credit Card//Delivered*Quality of Items: Perfect condition</t>
  </si>
  <si>
    <t>//ord_71694//Omkar Mishra//Powai//Tomato+2*Ramesh S/6/8/2023//Credit Card//Delivered*On-time Delivery: Delivered on time</t>
  </si>
  <si>
    <t>//ord_71695//Aarav Mehta//Andheri//Tiramisu+5*Venu R/1/9/2023//UPI//Delivered*Quality of Items: Perfect condition</t>
  </si>
  <si>
    <t>//ord_71696//Aarav Mehta//Andheri//Apple+1*Sita T/6/4/2023//Online Payment//Delivered*Packaging: Secure and intact</t>
  </si>
  <si>
    <t>//ord_71697//Sahil Desai//Lower Parel//Sweet Corn+3*Sita T/12/24/2023//UPI//Delivered*Satisfied with the Delivery: Timely and quality</t>
  </si>
  <si>
    <t xml:space="preserve">//ord_71698//Mehul Thakkar//Malad//Guava+1*Neha Shah/11/12/2023//Credit Card//Cancelled*Delayed Delivery:Bad Weather Conditions </t>
  </si>
  <si>
    <t>//ord_71699//Arvind Kulkarni//Juhu//Tiramisu+5*Shine Thomas/11/27/2023//UPI//Delivered*Customer Service: Seamless and easy</t>
  </si>
  <si>
    <t>//ord_71700//Sakshi Tandon//Colaba//Chocolate Mousse+3*Ramesh S/1/9/2023//UPI//Delivered*Delivery Experience: Quick and professional</t>
  </si>
  <si>
    <t>//ord_71701//Ishaan Chaturvedi//Bandra//Chicken Puff+2*Nithin Lal/11/26/2023//UPI//Delivered*Convenience: Easy tracking</t>
  </si>
  <si>
    <t>//ord_71702//Anaya Rao//Colaba//Orange+2*Vivek Kumar/12/12/2023//UPI//Delivered*Overall Satisfaction: Great service will order again</t>
  </si>
  <si>
    <t>//ord_71703//Anaya Rao//Malad//Juice+5*Nithin Lal/6/27/2023//Online Payment//Delivered*On-time Delivery: Delivered on time</t>
  </si>
  <si>
    <t>//ord_71704//Anaya Rao//Malad//Cold Coffee+5*Shine Thomas/12/29/2023//UPI//Delivered*Quality of Items: Perfect condition</t>
  </si>
  <si>
    <t>//ord_71705//Tanishq Bansal//Powai//Onion+1*Not Assigned/10/21/2023//Credit Card//Cancelled*Payment Issues</t>
  </si>
  <si>
    <t>//ord_71706//Pallavi Ghosh//Bandra//Guava+2*Not Assigned/1/24/2023//Credit Card//Cancelled*Out of Stock</t>
  </si>
  <si>
    <t>//ord_71707//Kavya Menon//Andheri//Chocolate Mousse+6*Vivek Kumar/5/13/2023//Online Payment//Delivered*On-time Delivery: Delivered on time</t>
  </si>
  <si>
    <t>//ord_71708//Kavya Menon//Andheri//Guava+3*Sita T/12/14/2023//Online Payment//Delivered*Quality of Items: Perfect condition</t>
  </si>
  <si>
    <t>//ord_71709//Siya Reddy//Juhu//Guava+1*Sita T/3/8/2023//UPI//Delivered*Packaging: Secure and intact</t>
  </si>
  <si>
    <t>//ord_71710//Dev Chauhan//Bandra//Tiramisu+4*Not Assigned/7/2/2023//Credit Card//Cancelled*App Glitches: Payment Button Malfunction</t>
  </si>
  <si>
    <t>//ord_71711//Diya Arora//Lower Parel//Cold Coffee+5*Not Assigned/5/18/2023//Credit Card//Cancelled*App Glitches:App Freezes</t>
  </si>
  <si>
    <t>//ord_71712//Diya Arora//Lower Parel//Cold Coffee+5*Kiran Mehta/12/28/2023//UPI//Delivered*Satisfied with the Delivery: Timely and quality</t>
  </si>
  <si>
    <t>//ord_71713//Diya Arora//Lower Parel//Icecream+3*Kiran Mehta/8/3/2023//UPI//Delivered*Customer Service: Seamless and easy</t>
  </si>
  <si>
    <t>//ord_71714//Parth Goel//Juhu//Chocolate Mousse+4*Not Assigned/12/10/2023//UPI//Cancelled*App Glitches:Slow Loading Time</t>
  </si>
  <si>
    <t>//ord_71715//Pallavi Ghosh//Bandra//Guava+2*Priya Joshi/1/6/2023//Credit Card//Delivered*Delivery Experience: Quick and professional</t>
  </si>
  <si>
    <t>//ord_71716//Parth Goel//Juhu//Papaya+1*Tanvi Jain/5/29/2023//Online Payment//Delivered*Convenience: Easy tracking</t>
  </si>
  <si>
    <t>//ord_71717//Sakshi Tandon//Colaba//Rasmalai+1*Not Assigned/12/29/2023//UPI//Cancelled*App Glitches:Slow Loading Time</t>
  </si>
  <si>
    <t>//ord_71718//Omkar Mishra//Powai//Banana+1*Not Assigned/3/19/2023//Credit Card//Cancelled*Payment Issues</t>
  </si>
  <si>
    <t>//ord_71719//Sakshi Tandon//Colaba//Apple+2*Nikhil Deshmukh/7/1/2023//Credit Card//Delivered*Overall Satisfaction: Great service will order again</t>
  </si>
  <si>
    <t>//ord_71720//Tanishq Bansal//Powai//Orange+1*Not Assigned/11/18/2023//Credit Card//Cancelled*App Glitches:Slow Loading Time</t>
  </si>
  <si>
    <t>//ord_71721//Ishaan Chaturvedi//Bandra//Rasmalai+3*Priya Joshi/6/22/2023//Online Payment//Delivered*On-time Delivery: Delivered on time</t>
  </si>
  <si>
    <t>//ord_71722//Mehul Thakkar//Malad//Veg Puff+5*Neha Shah/3/20/2023//Credit Card//Delivered*Quality of Items: Perfect condition</t>
  </si>
  <si>
    <t>//ord_71723//Arvind Kulkarni//Juhu//Cold Coffee+1*Not Assigned/12/29/2023//UPI//Cancelled*High Delivery Fees</t>
  </si>
  <si>
    <t>//ord_71724//Shruti Aggarwal//Colaba//Chilli Cheese Toast+8*Nikhil Deshmukh/1/23/2023//Online Payment//Delivered*On-time Delivery: Delivered on time</t>
  </si>
  <si>
    <t>//ord_71725//Sahil Desai//Colaba//Tiramisu+3*Nikhil Deshmukh/5/29/2023//UPI//Delivered*Quality of Items: Perfect condition</t>
  </si>
  <si>
    <t>//ord_71726//Sana Malik//Powai//Guava+3*Sandeep Kumar/7/20/2023//UPI//Delivered*Packaging: Secure and intact</t>
  </si>
  <si>
    <t>//ord_71727//Yash Verma//Lower Parel//Rasmalai+6*Kiran Mehta/8/20/2023//Online Payment//Delivered*Satisfied with the Delivery: Timely and quality</t>
  </si>
  <si>
    <t>//ord_71728//Harsh Vardhan//Bandra//Tomato+2*Priya Joshi/12/23/2023//Online Payment//Delivered*Customer Service: Seamless and easy</t>
  </si>
  <si>
    <t>//ord_71729//Leena Das//Andheri//Onion+4*Rohan Yadav/9/22/2023//UPI//Delivered*Delivery Experience: Quick and professional</t>
  </si>
  <si>
    <t>//ord_71730//Mehul Thakkar//Dadar//Guava+1*Aman Kumar/12/6/2023//Online Payment//Delivered*Convenience: Easy tracking</t>
  </si>
  <si>
    <t>//ord_71731//Sana Malik//Juhu//Rasmalai+6*Tanvi Jain/2/9/2023//Credit Card//Delivered*Overall Satisfaction: Great service will order again</t>
  </si>
  <si>
    <t>//ord_71732//Harsh Vardhan//Bandra//Veg Puff+6*Priya Joshi/9/11/2023//UPI//Delivered*On-time Delivery: Delivered on time</t>
  </si>
  <si>
    <t>//ord_71733//Leena Das//Andheri//Potato+3*Rohan Yadav/12/25/2023//UPI//Delivered*Quality of Items: Perfect condition</t>
  </si>
  <si>
    <t>//ord_71734//Yash Verma//Colaba//Tomato+3*Nikhil Deshmukh/2/3/2023//Credit Card//Delivered*On-time Delivery: Delivered on time</t>
  </si>
  <si>
    <t>//ord_71735//Aditi Iyer//Bandra//Tomato+1*Priya Joshi/11/3/2023//Credit Card//Delivered*Quality of Items: Perfect condition</t>
  </si>
  <si>
    <t>//ord_71736//Sahil Desai//Colaba//Rasmalai+3*Nikhil Deshmukh/11/20/2023//Credit Card//Delivered*Packaging: Secure and intact</t>
  </si>
  <si>
    <t>//ord_71737//Shruti Aggarwal//Colaba//Cold Coffee+8*Nikhil Deshmukh/6/26/2023//COD//Delivered*Satisfied with the Delivery: Timely and quality</t>
  </si>
  <si>
    <t>//ord_71738//Omkar Mishra//Powai//Cold Coffee+1*Nithin Lal/12/31/2023//Credit Card//Cancelled*Delayed Delivery:Heavy Traffic</t>
  </si>
  <si>
    <t>//ord_71739//Arvind Kulkarni//Juhu//Papaya+2*Not Assigned/1/17/2023//Credit Card//Cancelled*App Glitches: Payment Button Malfunction</t>
  </si>
  <si>
    <t>//ord_71740//Mohit Malhotra//Lower Parel//Apple+2*Kiran Mehta/11/29/2023//Credit Card//Delivered*Customer Service: Seamless and easy</t>
  </si>
  <si>
    <t>//ord_71741//Omkar Mishra//Powai//Cucumber+1*Not Assigned/5/24/2023//Online Payment//Cancelled*App Glitches:Slow Loading Time</t>
  </si>
  <si>
    <t xml:space="preserve">//ord_71742//Arvind Kulkarni//Juhu//Guava+2*Kiran Mehta/8/6/2023//UPI//Cancelled*Delayed Delivery:Bad Weather Conditions </t>
  </si>
  <si>
    <t>//ord_71743//Anaya Rao//Colaba//Apple+1*Nikhil Deshmukh/7/2/2023//Online Payment//Delivered*Delivery Experience: Quick and professional</t>
  </si>
  <si>
    <t>//ord_71744//Ishita Banerjee//Juhu//Papaya+1*Tanvi Jain/7/2/2023//UPI//Delivered*Convenience: Easy tracking</t>
  </si>
  <si>
    <t>//ord_71745//Sakshi Tandon//Colaba//Chicken Puff+1*Nikhil Deshmukh/12/5/2023//UPI//Delivered*Overall Satisfaction: Great service will order again</t>
  </si>
  <si>
    <t>//ord_71746//Siya Reddy//Juhu//Onion+1*Nithin Lal/11/14/2023//Credit Card//Cancelled*Delayed Delivery:Heavy Traffic</t>
  </si>
  <si>
    <t>//ord_71747//Diya Arora//Lower Parel//Orange+1*Ramesh S/12/18/2023//Online Payment//Delivered*On-time Delivery: Delivered on time</t>
  </si>
  <si>
    <t>//ord_71748//Ishita Banerjee//Juhu//Icecream+4*Ram Gopal/12/10/2023//COD//Delivered*Quality of Items: Perfect condition</t>
  </si>
  <si>
    <t>//ord_71749//Omkar Mishra//Powai//Icecream+5*Kiran Mehta/3/14/2023//Credit Card//Cancelled*Delayed Delivery:Heavy Traffic</t>
  </si>
  <si>
    <t>//ord_71750//Parth Goel//Juhu//Chicken Puff+5*Not Assigned/2/24/2023//Credit Card//Cancelled*App Glitches: Payment Button Malfunction</t>
  </si>
  <si>
    <t>//ord_71751//Sakshi Tandon//Colaba//Sweet Corn+2*Ramesh S/8/14/2023//Online Payment//Delivered*On-time Delivery: Delivered on time</t>
  </si>
  <si>
    <t>//ord_71752//Mohit Malhotra//Lower Parel//Banana+1*Nithin Lal/6/21/2023//Online Payment//Delivered*Quality of Items: Perfect condition</t>
  </si>
  <si>
    <t>//ord_71753//Ishaan Chaturvedi//Bandra//Potato+1*Not Assigned/6/20/2023//Online Payment//Cancelled*Payment Issues</t>
  </si>
  <si>
    <t xml:space="preserve">//ord_71754//Diya Arora//Lower Parel//Chocolate Mousse+5*Vivek Kumar/8/8/2023//Online Payment//Cancelled*Delayed Delivery:Bad Weather Conditions </t>
  </si>
  <si>
    <t>//ord_71755//Mehul Thakkar//Malad//Chicken Puff+1*Not Assigned/7/6/2023//Credit Card//Cancelled*App Glitches: Payment Button Malfunction</t>
  </si>
  <si>
    <t>//ord_71756//Parth Goel//Juhu//Popcorn+4*Not Assigned/3/14/2023//UPI//Cancelled*Payment Issues</t>
  </si>
  <si>
    <t>//ord_71757//Arvind Kulkarni//Juhu//Papaya+2*Not Assigned/12/23/2023//Online Payment//Cancelled*App Glitches: Payment Button Malfunction</t>
  </si>
  <si>
    <t>//ord_71758//Pallavi Ghosh//Bandra//Popcorn+3*Not Assigned/9/2/2023//Online Payment//Cancelled*App Glitches:Slow Loading Time</t>
  </si>
  <si>
    <t>//ord_71759//Arvind Kulkarni//Juhu//Apple+2*Not Assigned/7/20/2023//Credit Card//Cancelled*App Glitches:Error Messages</t>
  </si>
  <si>
    <t>//ord_71760//Sakshi Tandon//Colaba//Chocolate Mousse+5*Ramesh S/9/25/2023//COD//Delivered*Packaging: Secure and intact</t>
  </si>
  <si>
    <t>//ord_71761//Aarohi Kapoor//Bandra//Veg Puff+5*Nithin Lal/10/13/2023//Online Payment//Delivered*Satisfied with the Delivery: Timely and quality</t>
  </si>
  <si>
    <t>//ord_71762//Nitin Sehgal//Bandra//Banana+1*Vivek Kumar/10/14/2023//UPI//Delivered*Customer Service: Seamless and easy</t>
  </si>
  <si>
    <t>//ord_71763//Diya Arora//Lower Parel//Tiramisu+3*Vivek Kumar/12/30/2023//Online Payment//Delivered*Delivery Experience: Quick and professional</t>
  </si>
  <si>
    <t>//ord_71764//Anaya Rao//Colaba//Popcorn+5*Ram Gopal/6/11/2023//Credit Card//Delivered*Convenience: Easy tracking</t>
  </si>
  <si>
    <t>//ord_71765//Sanjay Nair//Dadar//Tiramisu+4*Not Assigned/7/16/2023//Credit Card//Cancelled*App Glitches:Slow Loading Time</t>
  </si>
  <si>
    <t>//ord_71766//Dev Chauhan//Bandra//Tiramisu+4*Not Assigned/6/12/2023//Credit Card//Cancelled*App Glitches: Payment Button Malfunction</t>
  </si>
  <si>
    <t>//ord_71767//Sakshi Tandon//Colaba//Icecream+3*Vivek Kumar/11/3/2023//Online Payment//Delivered*Overall Satisfaction: Great service will order again</t>
  </si>
  <si>
    <t>//ord_71768//Kritika Shetty//Malad//Papaya+2*Nithin Lal/4/3/2023//COD//Delivered*On-time Delivery: Delivered on time</t>
  </si>
  <si>
    <t>//ord_71769//Tanishq Bansal//Powai//Sweet Corn+1*Shine Thomas/6/25/2023//COD//Delivered*Quality of Items: Perfect condition</t>
  </si>
  <si>
    <t>//ord_71770//Dev Chauhan//Bandra//Papaya+1*Not Assigned/6/14/2023//Credit Card//Cancelled*App Glitches:Slow Loading Time</t>
  </si>
  <si>
    <t>//ord_71771//Sana Malik//Powai//Papaya+3*Vivek Kumar/7/13/2023//COD//Delivered*On-time Delivery: Delivered on time</t>
  </si>
  <si>
    <t>//ord_71772//Yash Verma//Lower Parel//Tomato+3*Venu R/1/7/2023//Credit Card//Delivered*Quality of Items: Perfect condition</t>
  </si>
  <si>
    <t>//ord_71773//Sanjay Nair//Dadar//Rasmalai+2*Ram Gopal/7/8/2023//COD//Delivered*Packaging: Secure and intact</t>
  </si>
  <si>
    <t>//ord_71774//Mehul Thakkar//Malad//Cucumber+2*Sandeep Kumar/11/11/2023//UPI//Cancelled*Delayed Delivery:Heavy Traffic</t>
  </si>
  <si>
    <t xml:space="preserve">//ord_71775//Mohit Malhotra//Lower Parel//Orange+2*Shine Thomas/12/13/2023//Online Payment//Cancelled*Delayed Delivery:Bad Weather Conditions </t>
  </si>
  <si>
    <t>//ord_71776//Ishaan Chaturvedi//Bandra//Icecream+1*Kiran Mehta/4/14/2023//UPI//Cancelled*Delayed Delivery:Heavy Traffic</t>
  </si>
  <si>
    <t>//ord_71777//Ritika Dutta//Lower Parel//Banana+2*Vivek Kumar/3/7/2023//UPI//Delivered*Satisfied with the Delivery: Timely and quality</t>
  </si>
  <si>
    <t>//ord_71778//Kunal Sharma//Powai//Cold Coffee+5*Ram Gopal/6/23/2023//COD//Delivered*Customer Service: Seamless and easy</t>
  </si>
  <si>
    <t>//ord_71779//Kunal Sharma//Powai//Icecream+9*Venu R/10/16/2023//Online Payment//Delivered*Delivery Experience: Quick and professional</t>
  </si>
  <si>
    <t>//ord_71780//Simran Bhatt//Juhu//Onion+1*Venu R/10/14/2023//UPI//Delivered*Convenience: Easy tracking</t>
  </si>
  <si>
    <t>//ord_71781//Diya Arora//Lower Parel//Chilli Cheese Toast+2*Not Assigned/12/9/2023//Credit Card//Cancelled*Out of Stock</t>
  </si>
  <si>
    <t>//ord_71782//Pranav Joshi//Andheri//Rasmalai+3*Not Assigned/8/28/2023//Credit Card//Cancelled*High Delivery Fees</t>
  </si>
  <si>
    <t>//ord_71783//Diya Arora//Lower Parel//Rasmalai+4*Not Assigned/9/9/2023//Credit Card//Cancelled*App Glitches:Missing Content</t>
  </si>
  <si>
    <t>//ord_71784//Tanishq Bansal//Bandra//Chocolate Mousse+3*Ram Gopal/1/5/2023//Online Payment//Delivered*Overall Satisfaction: Great service will order again</t>
  </si>
  <si>
    <t>//ord_71785//Tanishq Bansal//Bandra//Orange+1*Vivek Kumar/6/11/2023//Online Payment//Delivered*On-time Delivery: Delivered on time</t>
  </si>
  <si>
    <t>//ord_71786//Arvind Kulkarni//Juhu//Tomato+1*Not Assigned/11/6/2023//Credit Card//Cancelled*App Glitches: Payment Button Malfunction</t>
  </si>
  <si>
    <t>//ord_71787//Ishaan Chaturvedi//Bandra//Icecream+5*Ramesh S/5/19/2023//COD//Delivered*Quality of Items: Perfect condition</t>
  </si>
  <si>
    <t>//ord_71788//Tanishq Bansal//Powai//Juice+2*Not Assigned/10/4/2023//Online Payment//Cancelled*Payment Issues</t>
  </si>
  <si>
    <t>//ord_71789//Tanishq Bansal//Powai//Chicken Puff+3*Venu R/2/23/2023//Credit Card//Delivered*On-time Delivery: Delivered on time</t>
  </si>
  <si>
    <t>//ord_71790//Mohit Malhotra//Lower Parel//Veg Puff+1*Venu R/9/7/2023//COD//Delivered*Quality of Items: Perfect condition</t>
  </si>
  <si>
    <t>//ord_71791//Aarav Mehta//Andheri//Veg Puff+3*Ram Gopal/10/13/2023//COD//Delivered*Packaging: Secure and intact</t>
  </si>
  <si>
    <t>//ord_71792//Tanishq Bansal//Bandra//Cucumber+1*Sita T/11/12/2023//Credit Card//Delivered*Satisfied with the Delivery: Timely and quality</t>
  </si>
  <si>
    <t>//ord_71793//Pranav Joshi//Andheri//Sweet Corn+2*Vivek Kumar/5/19/2023//Online Payment//Delivered*Customer Service: Seamless and easy</t>
  </si>
  <si>
    <t>//ord_71794//Aditi Iyer//Dadar//Chilli Cheese Toast+5*Sita T/7/3/2023//UPI//Delivered*Delivery Experience: Quick and professional</t>
  </si>
  <si>
    <t>//ord_71795//Ishaan Chaturvedi//Bandra//Sweet Corn+1*Manju Ajay/5/23/2023//UPI//Delivered*Convenience: Easy tracking</t>
  </si>
  <si>
    <t>//ord_71796//Aarav Mehta//Andheri//Tiramisu+1*Vivek Kumar/3/7/2023//Online Payment//Delivered*Overall Satisfaction: Great service will order again</t>
  </si>
  <si>
    <t>//ord_71797//Ishaan Chaturvedi//Bandra//Chocolate Mousse+4*Sita T/1/26/2023//UPI//Delivered*On-time Delivery: Delivered on time</t>
  </si>
  <si>
    <t>//ord_71798//Pranav Joshi//Andheri//Banana+1*Vivek Kumar/5/16/2023//Credit Card//Delivered*Quality of Items: Perfect condition</t>
  </si>
  <si>
    <t>//ord_71799//Tanishq Bansal//Powai//Guava+1*Sita T/10/4/2023//Online Payment//Delivered*On-time Delivery: Delivered on time</t>
  </si>
  <si>
    <t>//ord_71800//Diya Arora//Lower Parel//Banana+2*Venu R/4/25/2023//Credit Card//Delivered*Quality of Items: Perfect condition</t>
  </si>
  <si>
    <t>//ord_71801//Pallavi Ghosh//Bandra//Potato+1*Priya Joshi/12/25/2023//Credit Card//Delivered*Packaging: Secure and intact</t>
  </si>
  <si>
    <t>//ord_71802//Parth Goel//Juhu//Juice+5*Tanvi Jain/10/25/2023//UPI//Delivered*Satisfied with the Delivery: Timely and quality</t>
  </si>
  <si>
    <t>//ord_71803//Dev Chauhan//Bandra//Popcorn+1*Priya Joshi/7/25/2023//COD//Delivered*Customer Service: Seamless and easy</t>
  </si>
  <si>
    <t>//ord_71804//Siya Reddy//Juhu//Chocolate Mousse+2*Tanvi Jain/3/17/2023//UPI//Delivered*Delivery Experience: Quick and professional</t>
  </si>
  <si>
    <t xml:space="preserve">//ord_71805//Mehul Thakkar//Malad//Cold Coffee+4*Ramesh S/8/22/2023//Online Payment//Cancelled*Delayed Delivery:Bad Weather Conditions </t>
  </si>
  <si>
    <t>//ord_71806//Parth Goel//Juhu//Tiramisu+3*Tanvi Jain/2/15/2023//COD//Delivered*Convenience: Easy tracking</t>
  </si>
  <si>
    <t>//ord_71807//Aarav Mehta//Andheri//Popcorn+5*Rohan Yadav/3/20/2023//Online Payment//Delivered*Overall Satisfaction: Great service will order again</t>
  </si>
  <si>
    <t>//ord_71808//Kritika Shetty//Malad//Tiramisu+2*Neha Shah/9/14/2023//COD//Delivered*On-time Delivery: Delivered on time</t>
  </si>
  <si>
    <t>//ord_71809//Aarohi Kapoor//Bandra//Tiramisu+2*Priya Joshi/10/27/2023//COD//Delivered*Quality of Items: Perfect condition</t>
  </si>
  <si>
    <t>//ord_71810//Ishita Banerjee//Juhu//Popcorn+3*Not Assigned/10/11/2023//UPI//Cancelled*App Glitches:App Freezes</t>
  </si>
  <si>
    <t>//ord_71811//Omkar Mishra//Powai//Tiramisu+4*Sandeep Kumar/7/23/2023//Online Payment//Delivered*On-time Delivery: Delivered on time</t>
  </si>
  <si>
    <t>//ord_71812//Arvind Kulkarni//Juhu//Rasmalai+3*Nikhil Deshmukh/1/27/2023//Credit Card//Cancelled*Delayed Delivery:Heavy Traffic</t>
  </si>
  <si>
    <t>//ord_71813//Aarav Mehta//Andheri//Chicken Puff+2*Rohan Yadav/4/16/2023//COD//Delivered*Quality of Items: Perfect condition</t>
  </si>
  <si>
    <t>//ord_71814//Mohit Malhotra//Lower Parel//Banana+1*Kiran Mehta/10/20/2023//Online Payment//Delivered*Packaging: Secure and intact</t>
  </si>
  <si>
    <t>//ord_71815//Diya Arora//Lower Parel//Banana+2*Kiran Mehta/4/19/2023//Online Payment//Delivered*Satisfied with the Delivery: Timely and quality</t>
  </si>
  <si>
    <t>//ord_71816//Pallavi Ghosh//Bandra//Tiramisu+3*Ram Gopal/2/10/2023//Online Payment//Delivered*Customer Service: Seamless and easy</t>
  </si>
  <si>
    <t>//ord_71817//Anaya Rao//Colaba//Tomato+1*Vivek Kumar/10/23/2023//Credit Card//Delivered*Delivery Experience: Quick and professional</t>
  </si>
  <si>
    <t>//ord_71818//Sakshi Tandon//Colaba//Apple+1*Nithin Lal/7/24/2023//UPI//Delivered*Convenience: Easy tracking</t>
  </si>
  <si>
    <t>//ord_71819//Riya Chakraborty//Juhu//Juice+2*Nithin Lal/11/26/2023//Credit Card//Delivered*Overall Satisfaction: Great service will order again</t>
  </si>
  <si>
    <t>//ord_71820//Anaya Rao//Colaba//Sweet Corn+1*Ramesh S/12/18/2023//UPI//Delivered*On-time Delivery: Delivered on time</t>
  </si>
  <si>
    <t>//ord_71821//Pranav Joshi//Andheri//Chicken Puff+5*Nithin Lal/12/20/2023//Online Payment//Delivered*Quality of Items: Perfect condition</t>
  </si>
  <si>
    <t>//ord_71822//Ritika Dutta//Lower Parel//Onion+3*Sita T/4/18/2023//COD//Delivered*On-time Delivery: Delivered on time</t>
  </si>
  <si>
    <t>//ord_71823//Kavya Menon//Andheri//Rasmalai+3*Ram Gopal/10/9/2023//Online Payment//Delivered*Quality of Items: Perfect condition</t>
  </si>
  <si>
    <t>//ord_71824//Kavya Menon//Andheri//Orange+3*Sita T/8/26/2023//UPI//Delivered*Packaging: Secure and intact</t>
  </si>
  <si>
    <t>//ord_71825//Dev Chauhan//Bandra//Banana+1*Sita T/4/19/2023//Online Payment//Delivered*Satisfied with the Delivery: Timely and quality</t>
  </si>
  <si>
    <t>//ord_71826//Tanishq Bansal//Powai//Tiramisu+1*Vivek Kumar/3/12/2023//Credit Card//Delivered*Customer Service: Seamless and easy</t>
  </si>
  <si>
    <t>//ord_71827//Ritika Dutta//Lower Parel//Veg Puff+8*Venu R/3/30/2023//Online Payment//Delivered*Delivery Experience: Quick and professional</t>
  </si>
  <si>
    <t>//ord_71828//Tanishq Bansal//Powai//Juice+2*Ram Gopal/4/26/2023//COD//Delivered*Convenience: Easy tracking</t>
  </si>
  <si>
    <t>//ord_71829//Aditi Iyer//Dadar//Veg Puff+3*Venu R/7/25/2023//Credit Card//Delivered*Overall Satisfaction: Great service will order again</t>
  </si>
  <si>
    <t>//ord_71830//Parth Goel//Juhu//Chocolate Mousse+1*Manju Ajay/11/7/2023//COD//Delivered*On-time Delivery: Delivered on time</t>
  </si>
  <si>
    <t>//ord_71831//Tanishq Bansal//Powai//Tiramisu+3*Ramesh S/2/4/2023//UPI//Delivered*Quality of Items: Perfect condition</t>
  </si>
  <si>
    <t>//ord_71832//Omkar Mishra//Powai//Potato+1*Venu R/4/7/2023//COD//Delivered*On-time Delivery: Delivered on time</t>
  </si>
  <si>
    <t>//ord_71833//Parth Goel//Juhu//Apple+2*Venu R/1/1/2023//Credit Card//Delivered*Quality of Items: Perfect condition</t>
  </si>
  <si>
    <t>//ord_71834//Aarohi Kapoor//Bandra//Cold Coffee+4*Ramesh S/11/15/2023//Online Payment//Delivered*Packaging: Secure and intact</t>
  </si>
  <si>
    <t>//ord_71835//Sakshi Tandon//Colaba//Tiramisu+5*Vivek Kumar/11/30/2023//UPI//Delivered*Satisfied with the Delivery: Timely and quality</t>
  </si>
  <si>
    <t>//ord_71836//Dev Chauhan//Bandra//Popcorn+1*Nithin Lal/11/10/2023//COD//Delivered*Customer Service: Seamless and easy</t>
  </si>
  <si>
    <t>//ord_71837//Arvind Kulkarni//Juhu//Apple+1*Vivek Kumar/2/10/2023//Credit Card//Cancelled*Delayed Delivery:Heavy Traffic</t>
  </si>
  <si>
    <t>//ord_71838//Pranav Joshi//Andheri//Papaya+1*Ramesh S/11/24/2023//UPI//Delivered*Delivery Experience: Quick and professional</t>
  </si>
  <si>
    <t>//ord_71839//Omkar Mishra//Powai//Papaya+1*Sita T/5/7/2023//Online Payment//Delivered*Convenience: Easy tracking</t>
  </si>
  <si>
    <t>//ord_71840//Omkar Mishra//Powai//Chicken Puff+1*Venu R/2/26/2023//Credit Card//Delivered*Overall Satisfaction: Great service will order again</t>
  </si>
  <si>
    <t>//ord_71841//Dev Chauhan//Bandra//Popcorn+5*Venu R/5/13/2023//UPI//Delivered*On-time Delivery: Delivered on time</t>
  </si>
  <si>
    <t xml:space="preserve">//ord_71842//Siya Reddy//Juhu//Apple+1*Kiran Mehta/1/21/2023//Online Payment//Cancelled*Delayed Delivery:Bad Weather Conditions </t>
  </si>
  <si>
    <t>//ord_71843//Aarav Mehta//Andheri//Cold Coffee+3*Ramesh S/9/3/2023//COD//Delivered*Quality of Items: Perfect condition</t>
  </si>
  <si>
    <t>//ord_71844//Pallavi Ghosh//Bandra//Guava+2*Sita T/11/30/2023//Online Payment//Delivered*On-time Delivery: Delivered on time</t>
  </si>
  <si>
    <t>//ord_71845//Aditya Rao//Lower Parel//Banana+2*Vivek Kumar/4/14/2023//COD//Delivered*Quality of Items: Perfect condition</t>
  </si>
  <si>
    <t>//ord_71846//Omkar Mishra//Powai//Onion+1*Ram Gopal/10/20/2023//Online Payment//Delivered*Packaging: Secure and intact</t>
  </si>
  <si>
    <t>//ord_71847//Diya Arora//Lower Parel//Orange+1*Venu R/6/21/2023//Online Payment//Delivered*Satisfied with the Delivery: Timely and quality</t>
  </si>
  <si>
    <t>//ord_71848//Omkar Mishra//Powai//Chocolate Mousse+3*Ram Gopal/3/1/2023//COD//Delivered*Customer Service: Seamless and easy</t>
  </si>
  <si>
    <t>//ord_71849//Dev Chauhan//Bandra//Chicken Puff+5*Venu R/12/11/2023//Online Payment//Delivered*Delivery Experience: Quick and professional</t>
  </si>
  <si>
    <t>//ord_71850//Anaya Rao//Colaba//Juice+1*Vivek Kumar/5/15/2023//Online Payment//Delivered*Convenience: Easy tracking</t>
  </si>
  <si>
    <t>//ord_71851//Parth Goel//Juhu//Rasmalai+4*Nithin Lal/9/23/2023//Credit Card//Delivered*Overall Satisfaction: Great service will order again</t>
  </si>
  <si>
    <t>//ord_71852//Pranav Joshi//Andheri//Potato+1*Ramesh S/10/2/2023//Online Payment//Delivered*On-time Delivery: Delivered on time</t>
  </si>
  <si>
    <t>//ord_71853//Pranav Joshi//Andheri//Sweet Corn+1*Sita T/8/11/2023//COD//Delivered*Quality of Items: Perfect condition</t>
  </si>
  <si>
    <t>//ord_71854//Mehul Thakkar//Malad//Potato+1*Sita T/1/12/2023//UPI//Delivered*On-time Delivery: Delivered on time</t>
  </si>
  <si>
    <t>//ord_81855//Diya Arora//Lower Parel//Sweet Corn+2*Shine Thomas/12/17/2023//COD//Delivered*Quality of Items: Perfect condition</t>
  </si>
  <si>
    <t>//ord_81856//Arvind Kulkarni//Juhu//Cucumber+2*Ram Gopal/10/20/2023//Online Payment//Delivered*Packaging: Secure and intact</t>
  </si>
  <si>
    <t>//ord_81857//Aarohi Kapoor//Bandra//Sweet Corn+1*Ramesh S/2/17/2023//UPI//Delivered*Satisfied with the Delivery: Timely and quality</t>
  </si>
  <si>
    <t>//ord_81858//Diya Arora//Lower Parel//Papaya+2*Vivek Kumar/5/24/2023//COD//Delivered*Customer Service: Seamless and easy</t>
  </si>
  <si>
    <t>//ord_81859//Aarav Mehta//Andheri//Tiramisu+3*Ram Gopal/9/8/2023//UPI//Delivered*Delivery Experience: Quick and professional</t>
  </si>
  <si>
    <t>//ord_81860//Parth Goel//Juhu//Juice+1*Sita T/1/20/2023//UPI//Delivered*Convenience: Easy tracking</t>
  </si>
  <si>
    <t>//ord_81861//Aditi Iyer//Dadar//Tomato+1*Ramesh S/5/5/2023//UPI//Delivered*Overall Satisfaction: Great service will order again</t>
  </si>
  <si>
    <t>//ord_81862//Pranav Joshi//Andheri//Cucumber+2*Manju Ajay/6/25/2023//UPI//Delivered*On-time Delivery: Delivered on time</t>
  </si>
  <si>
    <t>//ord_81863//Mohit Malhotra//Lower Parel//Rasmalai+3*Sita T/12/29/2023//Credit Card//Delivered*Quality of Items: Perfect condition</t>
  </si>
  <si>
    <t xml:space="preserve">//ord_81864//Arvind Kulkarni//Juhu//Guava+1*Ram Gopal/11/23/2023//Credit Card//Cancelled*Delayed Delivery:Bad Weather Conditions </t>
  </si>
  <si>
    <t>//ord_81865//Pallavi Ghosh//Bandra//Cold Coffee+4*Ramesh S/2/2/2023//COD//Delivered*On-time Delivery: Delivered on time</t>
  </si>
  <si>
    <t>//ord_81866//Tanishq Bansal//Bandra//Papaya+2*Vivek Kumar/11/29/2023//Credit Card//Delivered*Quality of Items: Perfect condition</t>
  </si>
  <si>
    <t>//ord_81867//Tanishq Bansal//Bandra//Rasmalai+5*Vivek Kumar/9/12/2023//UPI//Delivered*Packaging: Secure and intact</t>
  </si>
  <si>
    <t>//ord_81868//Dev Chauhan//Bandra//Apple+2*Vivek Kumar/4/12/2023//UPI//Delivered*Satisfied with the Delivery: Timely and quality</t>
  </si>
  <si>
    <t>//ord_81869//Arvind Kulkarni//Juhu//Icecream+2*Vivek Kumar/10/25/2023//Credit Card//Delivered*Customer Service: Seamless and easy</t>
  </si>
  <si>
    <t>//ord_81870//Parth Goel//Juhu//Chocolate Mousse+4*Tanvi Jain/5/19/2023//Online Payment//Delivered*Delivery Experience: Quick and professional</t>
  </si>
  <si>
    <t>//ord_81871//Mehul Thakkar//Malad//Juice+4*Neha Shah/4/6/2023//UPI//Delivered*Convenience: Easy tracking</t>
  </si>
  <si>
    <t>//ord_81872//Sakshi Tandon//Colaba//Papaya+2*Nikhil Deshmukh/6/14/2023//UPI//Delivered*Overall Satisfaction: Great service will order again</t>
  </si>
  <si>
    <t>//ord_81873//Ishaan Chaturvedi//Bandra//Chilli Cheese Toast+1*Priya Joshi/1/14/2023//UPI//Delivered*On-time Delivery: Delivered on time</t>
  </si>
  <si>
    <t>//ord_81874//Riya Chakraborty//Juhu//Juice+9*Tanvi Jain/5/26/2023//Credit Card//Delivered*Quality of Items: Perfect condition</t>
  </si>
  <si>
    <t>//ord_81875//Aarohi Kapoor//Bandra//Chilli Cheese Toast+5*Priya Joshi/8/12/2023//Credit Card//Delivered*On-time Delivery: Delivered on time</t>
  </si>
  <si>
    <t>//ord_81876//Mehul Thakkar//Malad//Papaya+2*Not Assigned/3/9/2023//Online Payment//Cancelled*High Delivery Fees</t>
  </si>
  <si>
    <t>//ord_81877//Aarohi Kapoor//Bandra//Apple+1*Priya Joshi/12/20/2023//UPI//Delivered*Quality of Items: Perfect condition</t>
  </si>
  <si>
    <t>//ord_81878//Mehul Thakkar//Malad//Tiramisu+1*Not Assigned/2/11/2023//Online Payment//Cancelled*App Glitches:Slow Loading Time</t>
  </si>
  <si>
    <t>//ord_81879//Siya Reddy//Juhu//Rasmalai+5*Tanvi Jain/10/10/2023//UPI//Delivered*Packaging: Secure and intact</t>
  </si>
  <si>
    <t>//ord_81880//Mehul Thakkar//Malad//Cucumber+2*Neha Shah/1/2/2023//Credit Card//Delivered*Satisfied with the Delivery: Timely and quality</t>
  </si>
  <si>
    <t>//ord_81881//Aditi Iyer//Dadar//Popcorn+3*Aman Kumar/2/13/2023//Online Payment//Delivered*Customer Service: Seamless and easy</t>
  </si>
  <si>
    <t>//ord_81882//Arvind Kulkarni//Juhu//Banana+1*Not Assigned/8/24/2023//UPI//Cancelled*App Glitches:Slow Loading Time</t>
  </si>
  <si>
    <t>//ord_81883//Arvind Kulkarni//Juhu//Sweet Corn+2*Not Assigned/5/16/2023//Credit Card//Cancelled*Payment Issues</t>
  </si>
  <si>
    <t>//ord_81884//Diya Arora//Lower Parel//Chicken Puff+3*Kiran Mehta/1/10/2023//Credit Card//Delivered*Delivery Experience: Quick and professional</t>
  </si>
  <si>
    <t>//ord_81885//Diya Arora//Lower Parel//Onion+2*Kiran Mehta/10/10/2023//Online Payment//Delivered*Convenience: Easy tracking</t>
  </si>
  <si>
    <t>//ord_81886//Dev Chauhan//Bandra//Cucumber+2*Priya Joshi/10/6/2023//UPI//Delivered*Overall Satisfaction: Great service will order again</t>
  </si>
  <si>
    <t>//ord_81887//Aarav Mehta//Andheri//Popcorn+4*Rohan Yadav/5/8/2023//Credit Card//Delivered*On-time Delivery: Delivered on time</t>
  </si>
  <si>
    <t>//ord_81888//Anaya Rao//Colaba//Chicken Puff+2*Nikhil Deshmukh/2/5/2023//UPI//Delivered*Quality of Items: Perfect condition</t>
  </si>
  <si>
    <t>//ord_81889//Aarav Mehta//Andheri//Icecream+2*Rohan Yadav/3/29/2023//Online Payment//Delivered*On-time Delivery: Delivered on time</t>
  </si>
  <si>
    <t>//ord_81890//Sakshi Tandon//Colaba//Chilli Cheese Toast+2*Nikhil Deshmukh/12/22/2023//UPI//Delivered*Quality of Items: Perfect condition</t>
  </si>
  <si>
    <t>//ord_81891//Sakshi Tandon//Colaba//Onion+1*Nikhil Deshmukh/10/24/2023//Credit Card//Delivered*Packaging: Secure and intact</t>
  </si>
  <si>
    <t>//ord_81892//Omkar Mishra//Powai//Rasmalai+3*Sandeep Kumar/8/21/2023//Online Payment//Delivered*Satisfied with the Delivery: Timely and quality</t>
  </si>
  <si>
    <t>//ord_81893//Dev Chauhan//Bandra//Cucumber+1*Priya Joshi/12/11/2023//UPI//Delivered*Customer Service: Seamless and easy</t>
  </si>
  <si>
    <t>//ord_81894//Kritika Shetty//Malad//Tomato+2*Not Assigned/2/11/2023//Credit Card//Cancelled*Payment Issues</t>
  </si>
  <si>
    <t>//ord_81895//Sakshi Tandon//Colaba//Orange+2*Nikhil Deshmukh/1/8/2023//UPI//Delivered*Delivery Experience: Quick and professional</t>
  </si>
  <si>
    <t>//ord_81896//Aarohi Kapoor//Bandra//Banana+1*Nithin Lal/1/9/2023//Online Payment//Delivered*Convenience: Easy tracking</t>
  </si>
  <si>
    <t>//ord_81897//Sanjay Nair//Dadar//Sweet Corn+1*Not Assigned/10/27/2023//Credit Card//Cancelled*High Delivery Fees</t>
  </si>
  <si>
    <t>//ord_81898//Shruti Aggarwal//Colaba//Papaya+2*Manju Ajay/12/27/2023//UPI//Delivered*Overall Satisfaction: Great service will order again</t>
  </si>
  <si>
    <t>//ord_81899//Mehul Thakkar//Dadar//Rasmalai+4*Nithin Lal/8/13/2023//Online Payment//Delivered*On-time Delivery: Delivered on time</t>
  </si>
  <si>
    <t>//ord_81900//Sana Malik//Powai//Juice+9*Manju Ajay/9/1/2023//UPI//Delivered*Quality of Items: Perfect condition</t>
  </si>
  <si>
    <t>//ord_81901//Yash Verma//Lower Parel//Onion+4*Venu R/7/27/2023//Credit Card//Delivered*On-time Delivery: Delivered on time</t>
  </si>
  <si>
    <t>//ord_81902//Sana Malik//Juhu//Icecream+9*Ram Gopal/2/20/2023//Credit Card//Delivered*Quality of Items: Perfect condition</t>
  </si>
  <si>
    <t>//ord_81903//Harsh Vardhan//Bandra//Tomato+2*Ramesh S/8/25/2023//Online Payment//Delivered*Packaging: Secure and intact</t>
  </si>
  <si>
    <t>//ord_81904//Sana Malik//Powai//Potato+3*Vivek Kumar/8/21/2023//Online Payment//Delivered*Satisfied with the Delivery: Timely and quality</t>
  </si>
  <si>
    <t>//ord_81905//Yash Verma//Lower Parel//Chicken Puff+5*Venu R/11/13/2023//UPI//Delivered*Customer Service: Seamless and easy</t>
  </si>
  <si>
    <t>//ord_81906//Leena Das//Andheri//Tiramisu+3*Ram Gopal/3/6/2023//Online Payment//Delivered*Delivery Experience: Quick and professional</t>
  </si>
  <si>
    <t>//ord_81907//Yash Verma//Colaba//Veg Puff+5*Sita T/12/19/2023//Credit Card//Delivered*Convenience: Easy tracking</t>
  </si>
  <si>
    <t>//ord_81908//Aditi Iyer//Bandra//Popcorn+1*Nithin Lal/5/4/2023//UPI//Delivered*Overall Satisfaction: Great service will order again</t>
  </si>
  <si>
    <t>//ord_81909//Shruti Aggarwal//Colaba//Chilli Cheese Toast+6*Vivek Kumar/9/10/2023//UPI//Delivered*On-time Delivery: Delivered on time</t>
  </si>
  <si>
    <t>//ord_81910//Sana Malik//Powai//Tomato+3*Nithin Lal/6/26/2023//Online Payment//Delivered*Quality of Items: Perfect condition</t>
  </si>
  <si>
    <t>//ord_81911//Yash Verma//Lower Parel//Icecream+6*Venu R/11/29/2023//UPI//Delivered*On-time Delivery: Delivered on time</t>
  </si>
  <si>
    <t>//ord_10135//Mohit Malhotra//Lower Parel//Banana+2*Ram Gopal/7/16/2023//UPI//Delivered*Convenience: Easy tracking</t>
  </si>
  <si>
    <t>//ord_10144//Anaya Rao//Colaba//Orange+2*Ram Gopal/8/9/2023//Credit Card//Delivered*Delivery Experience: Quick and professional</t>
  </si>
  <si>
    <t>//ord_81912//Aarohi Kapoor//Bandra//Potato+1*Not Assigned/10/13/2023//UPI//Cancelled*App Glitches: Payment Button Malfunction</t>
  </si>
  <si>
    <t>//ord_81913//Arvind Kulkarni//Juhu//Sweet Corn+2*Not Assigned/5/15/2023//Credit Card//Cancelled*App Glitches:Slow Loading Time</t>
  </si>
  <si>
    <t>//ord_81914//Arvind Kulkarni//Juhu//Cold Coffee+4*Not Assigned/11/17/2023//Credit Card//Cancelled*App Glitches:Slow Loading Time</t>
  </si>
  <si>
    <t>//ord_81915//Parth Goel//Juhu//Sweet Corn+1*Ramesh S/9/10/2023//Online Payment//Delivered*Quality of Items: Perfect condition</t>
  </si>
  <si>
    <t>//ord_81916//Kritika Shetty//Malad//Potato+2*Ramesh S/11/30/2023//Credit Card//Delivered*Packaging: Secure and intact</t>
  </si>
  <si>
    <t>//ord_81917//Siya Reddy//Juhu//Juice+3*Priya Joshi/5/14/2023//Credit Card//Cancelled*Delayed Delivery:Incorrect Address or Location</t>
  </si>
  <si>
    <t>//ord_81918//Ishaan Chaturvedi//Bandra//Cold Coffee+5*Ramesh S/6/18/2023//Online Payment//Delivered*Satisfied with the Delivery: Timely and quality</t>
  </si>
  <si>
    <t>//ord_81919//Aarohi Kapoor//Bandra//Apple+2*Not Assigned/12/11/2023//Online Payment//Cancelled*Payment Issues</t>
  </si>
  <si>
    <t>//ord_81920//Anaya Rao//Colaba//Apple+1*Vivek Kumar/1/26/2023//Online Payment//Cancelled*Delayed Delivery:Heavy Traffic</t>
  </si>
  <si>
    <t>//ord_81921//Arvind Kulkarni//Juhu//Chocolate Mousse+5*Priya Joshi/7/20/2023//UPI//Cancelled*Delayed Delivery:Heavy Traffic</t>
  </si>
  <si>
    <t>//ord_81922//Pallavi Ghosh//Bandra//Potato+2*Ramesh S/1/25/2023//UPI//Cancelled*Delayed Delivery:High Order Volume</t>
  </si>
  <si>
    <t>//ord_81923//Ishaan Chaturvedi//Bandra//Popcorn+2*Vivek Kumar/1/29/2023//UPI//Delivered*Customer Service: Seamless and easy</t>
  </si>
  <si>
    <t>//ord_81924//Parth Goel//Juhu//Tiramisu+5*Vivek Kumar/1/24/2023//UPI//Delivered*Delivery Experience: Quick and professional</t>
  </si>
  <si>
    <t xml:space="preserve">//ord_81925//Mehul Thakkar//Malad//Popcorn+3*Priya Joshi/12/23/2023//Credit Card//Cancelled*Delayed Delivery:Bad Weather Conditions </t>
  </si>
  <si>
    <t>//ord_81926//Dev Chauhan//Bandra//Chocolate Mousse+5*Shine Thomas/11/10/2023//Credit Card//Delivered*Convenience: Easy tracking</t>
  </si>
  <si>
    <t>//ord_81927//Aditi Iyer//Dadar//Rasmalai+5*Not Assigned/12/6/2023//Credit Card//Cancelled*High Delivery Fees</t>
  </si>
  <si>
    <t>//ord_81928//Sakshi Tandon//Colaba//Juice+3*Manju Ajay/8/25/2023//Credit Card//Delivered*Overall Satisfaction: Great service will order again</t>
  </si>
  <si>
    <t>//ord_81929//Kritika Shetty//Malad//Tomato+1*Not Assigned/2/3/2023//Credit Card//Cancelled*High Delivery Fees</t>
  </si>
  <si>
    <t>//ord_81930//Dev Chauhan//Bandra//Potato+1*Shine Thomas/7/19/2023//UPI//Delivered*On-time Delivery: Delivered on time</t>
  </si>
  <si>
    <t>//ord_81931//Ritika Dutta//Lower Parel//Icecream+7*Vivek Kumar/8/19/2023//UPI//Delivered*Quality of Items: Perfect condition</t>
  </si>
  <si>
    <t>//ord_81932//Anaya Rao//Colaba//Onion+2*Ram Gopal/12/22/2023//UPI//Delivered*On-time Delivery: Delivered on time</t>
  </si>
  <si>
    <t>//ord_81933//Aarohi Kapoor//Bandra//Juice+1*Nithin Lal/7/8/2023//UPI//Delivered*Quality of Items: Perfect condition</t>
  </si>
  <si>
    <t>//ord_81934//Diya Arora//Lower Parel//Cucumber+2*Not Assigned/10/7/2023//Credit Card//Cancelled*Out of Stock</t>
  </si>
  <si>
    <t>//ord_81935//Siya Reddy//Juhu//Cucumber+1*Not Assigned/10/12/2023//UPI//Cancelled*High Delivery Fees</t>
  </si>
  <si>
    <t>//ord_81936//Sanjay Nair//Dadar//Rasmalai+3*Not Assigned/9/18/2023//Online Payment//Cancelled*Payment Issues</t>
  </si>
  <si>
    <t>//ord_81937//Parth Goel//Juhu//Cucumber+2*Manju Ajay/2/23/2023//Online Payment//Delivered*Packaging: Secure and intact</t>
  </si>
  <si>
    <t>//ord_81938//Pranav Joshi//Andheri//Popcorn+2*Ramesh S/2/28/2023//Online Payment//Cancelled*Delayed Delivery:Heavy Traffic</t>
  </si>
  <si>
    <t>//ord_81939//Pallavi Ghosh//Bandra//Guava+2*Sita T/10/11/2023//UPI//Delivered*Satisfied with the Delivery: Timely and quality</t>
  </si>
  <si>
    <t>//ord_81940//Sanjay Nair//Dadar//Icecream+3*Vivek Kumar/12/14/2023//UPI//Delivered*Customer Service: Seamless and easy</t>
  </si>
  <si>
    <t>//ord_81941//Ishita Banerjee//Juhu//Onion+1*Priya Joshi/7/28/2023//Credit Card//Cancelled*Delayed Delivery:Vehicle Breakdown</t>
  </si>
  <si>
    <t>//ord_81942//Sakshi Tandon//Colaba//Apple+2*Ramesh S/12/5/2023//Online Payment//Delivered*Delivery Experience: Quick and professional</t>
  </si>
  <si>
    <t>//ord_81943//Simran Bhatt//Juhu//Rasmalai+5*Nithin Lal/10/17/2023//Online Payment//Delivered*Convenience: Easy tracking</t>
  </si>
  <si>
    <t>//ord_81944//Ritika Dutta//Lower Parel//Icecream+8*Ramesh S/10/11/2023//UPI//Delivered*Overall Satisfaction: Great service will order again</t>
  </si>
  <si>
    <t xml:space="preserve">//ord_81945//Arvind Kulkarni//Juhu//Apple+1*Ram Gopal/10/6/2023//Credit Card//Cancelled*Delayed Delivery:Bad Weather Conditions </t>
  </si>
  <si>
    <t>//ord_81946//Pallavi Ghosh//Bandra//Cucumber+2*Rohan Yadav/8/24/2023//Credit Card//Cancelled*Delayed Delivery:Heavy Traffic</t>
  </si>
  <si>
    <t>//ord_81947//Diya Arora//Lower Parel//Cold Coffee+4*Not Assigned/3/27/2023//UPI//Cancelled*Out of Stock</t>
  </si>
  <si>
    <t>//ord_81948//Sanjay Nair//Dadar//Tiramisu+1*Ram Gopal/1/14/2023//UPI//Delivered*On-time Delivery: Delivered on time</t>
  </si>
  <si>
    <t>//ord_81949//Mohit Malhotra//Lower Parel//Rasmalai+4*Manju Ajay/10/22/2023//Online Payment//Delivered*Quality of Items: Perfect condition</t>
  </si>
  <si>
    <t>//ord_81950//Sakshi Tandon//Colaba//Potato+1*Not Assigned/1/7/2023//Credit Card//Cancelled*High Delivery Fees</t>
  </si>
  <si>
    <t xml:space="preserve">//ord_81951//Aarav Mehta//Andheri//Icecream+1*Nithin Lal/11/2/2023//Credit Card//Cancelled*Delayed Delivery:Bad Weather Conditions </t>
  </si>
  <si>
    <t>//ord_81952//Mehul Thakkar//Malad//Banana+2*Not Assigned/6/3/2023//Online Payment//Cancelled*High Delivery Fees</t>
  </si>
  <si>
    <t>//ord_81953//Anaya Rao//Colaba//Orange+2*Shine Thomas/6/23/2023//UPI//Delivered*On-time Delivery: Delivered on time</t>
  </si>
  <si>
    <t>//ord_81954//Ritika Dutta//Lower Parel//Cucumber+3*Nithin Lal/10/7/2023//Credit Card//Delivered*Quality of Items: Perfect condition</t>
  </si>
  <si>
    <t>//ord_81955//Simran Bhatt//Juhu//Popcorn+2*Ram Gopal/6/10/2023//Online Payment//Delivered*Packaging: Secure and intact</t>
  </si>
  <si>
    <t>//ord_81956//Ritika Dutta//Lower Parel//Apple+2*Ramesh S/7/4/2023//Credit Card//Delivered*Satisfied with the Delivery: Timely and quality</t>
  </si>
  <si>
    <t>//ord_81957//Ritika Dutta//Lower Parel//Banana+2*Ram Gopal/8/19/2023//Online Payment//Delivered*Customer Service: Seamless and easy</t>
  </si>
  <si>
    <t>//ord_81958//Aditya Basu//Juhu//Sweet Corn+3*Ram Gopal/12/9/2023//Online Payment//Delivered*Delivery Experience: Quick and professional</t>
  </si>
  <si>
    <t>//ord_81959//Siya Reddy//Juhu//Tiramisu+4*Rohan Yadav/2/26/2023//UPI//Cancelled*Delayed Delivery:Heavy Traffic</t>
  </si>
  <si>
    <t>//ord_81960//Aditya Basu//Juhu//Sweet Corn+3*Ramesh S/12/4/2023//UPI//Delivered*Convenience: Easy tracking</t>
  </si>
  <si>
    <t>//ord_81961//Ishita Banerjee//Juhu//Guava+2*Ramesh S/9/5/2023//UPI//Cancelled*Delayed Delivery:Traffic Accidents or Road Closures</t>
  </si>
  <si>
    <t>//ord_81962//Sanjay Nair//Dadar//Cucumber+1*Neha Shah/7/28/2023//Online Payment//Cancelled*Delayed Delivery:Heavy Traffic</t>
  </si>
  <si>
    <t>//ord_81963//Kavya Menon//Andheri//Cucumber+4*Manju Ajay/9/26/2023//Online Payment//Delivered*Overall Satisfaction: Great service will order again</t>
  </si>
  <si>
    <t>//ord_81964//Kavya Menon//Andheri//Cucumber+4*Sita T/6/24/2023//UPI//Delivered*On-time Delivery: Delivered on time</t>
  </si>
  <si>
    <t>//ord_81965//Ishita Banerjee//Juhu//Rasmalai+1*Not Assigned/1/8/2023//Credit Card//Cancelled*Payment Issues</t>
  </si>
  <si>
    <t>//ord_81966//Arvind Kulkarni//Juhu//Sweet Corn+2*Not Assigned/9/26/2023//Online Payment//Cancelled*App Glitches:Error Messages</t>
  </si>
  <si>
    <t>//ord_81967//Mehul Thakkar//Malad//Veg Puff+3*Ramesh S/3/29/2023//Credit Card//Delivered*Quality of Items: Perfect condition</t>
  </si>
  <si>
    <t>//ord_81968//Kunal Sharma//Powai//Cold Coffee+8*Shine Thomas/7/2/2023//Online Payment//Delivered*On-time Delivery: Delivered on time</t>
  </si>
  <si>
    <t>//ord_81969//Kunal Sharma//Powai//Tiramisu+6*Venu R/12/26/2023//Online Payment//Delivered*Quality of Items: Perfect condition</t>
  </si>
  <si>
    <t>//ord_81970//Siya Reddy//Juhu//Popcorn+2*Not Assigned/2/10/2023//Credit Card//Cancelled*Out of Stock</t>
  </si>
  <si>
    <t>//ord_81971//Anaya Rao//Colaba//Banana+1*Not Assigned/12/8/2023//Online Payment//Cancelled*App Glitches:Slow Loading Time</t>
  </si>
  <si>
    <t>//ord_81972//Ishaan Chaturvedi//Bandra//Chilli Cheese Toast+5*Nithin Lal/5/30/2023//UPI//Delivered*Packaging: Secure and intact</t>
  </si>
  <si>
    <t>//ord_81973//Mohit Malhotra//Lower Parel//Onion+1*Vivek Kumar/12/30/2023//UPI//Delivered*Satisfied with the Delivery: Timely and quality</t>
  </si>
  <si>
    <t>//ord_81974//Aarav Mehta//Andheri//Chilli Cheese Toast+1*Not Assigned/10/17/2023//Online Payment//Cancelled*App Glitches: Payment Button Malfunction</t>
  </si>
  <si>
    <t>//ord_81975//Mohit Malhotra//Lower Parel//Veg Puff+5*Sita T/7/28/2023//UPI//Delivered*Customer Service: Seamless and easy</t>
  </si>
  <si>
    <t>//ord_81976//Siya Reddy//Juhu//Chocolate Mousse+1*Ram Gopal/5/3/2023//Credit Card//Cancelled*Delayed Delivery:Heavy Traffic</t>
  </si>
  <si>
    <t>//ord_81977//Pranav Joshi//Andheri//Tiramisu+4*Ramesh S/7/8/2023//UPI//Delivered*Delivery Experience: Quick and professional</t>
  </si>
  <si>
    <t>//ord_81978//Sakshi Tandon//Colaba//Popcorn+4*Sita T/6/10/2023//Online Payment//Delivered*Convenience: Easy tracking</t>
  </si>
  <si>
    <t>//ord_81979//Sanjay Nair//Dadar//Cold Coffee+5*Nithin Lal/3/13/2023//COD//Delivered*Overall Satisfaction: Great service will order again</t>
  </si>
  <si>
    <t>//ord_81980//Aarav Mehta//Andheri//Cold Coffee+3*Manju Ajay/7/14/2023//Online Payment//Delivered*On-time Delivery: Delivered on time</t>
  </si>
  <si>
    <t>//ord_81981//Ritika Dutta//Lower Parel//Tiramisu+6*Sita T/9/17/2023//Online Payment//Delivered*Quality of Items: Perfect condition</t>
  </si>
  <si>
    <t>//ord_81982//Aarav Mehta//Andheri//Cucumber+1*Ram Gopal/5/2/2023//Online Payment//Delivered*On-time Delivery: Delivered on time</t>
  </si>
  <si>
    <t>//ord_81983//Shruti Aggarwal//Colaba//Tiramisu+4*Sita T/8/15/2023//UPI//Delivered*Quality of Items: Perfect condition</t>
  </si>
  <si>
    <t>//ord_81984//Sahil Desai//Colaba//Guava+3*Nithin Lal/1/27/2023//COD//Delivered*Packaging: Secure and intact</t>
  </si>
  <si>
    <t>//ord_81985//Mehul Thakkar//Dadar//Cucumber+2*Nithin Lal/7/1/2023//Online Payment//Delivered*Satisfied with the Delivery: Timely and quality</t>
  </si>
  <si>
    <t>//ord_81986//Sana Malik//Juhu//Chocolate Mousse+9*Manju Ajay/12/8/2023//Credit Card//Delivered*Customer Service: Seamless and easy</t>
  </si>
  <si>
    <t>//ord_81987//Sana Malik//Powai//Chocolate Mousse+9*Ramesh S/2/8/2023//Credit Card//Delivered*Delivery Experience: Quick and professional</t>
  </si>
  <si>
    <t>//ord_81988//Yash Verma//Lower Parel//Popcorn+3*Venu R/10/22/2023//Online Payment//Delivered*Convenience: Easy tracking</t>
  </si>
  <si>
    <t>//ord_81989//Harsh Vardhan//Bandra//Chicken Puff+5*Ram Gopal/10/25/2023//Credit Card//Delivered*Overall Satisfaction: Great service will order again</t>
  </si>
  <si>
    <t>//ord_81990//Leena Das//Andheri//Chocolate Mousse+6*Vivek Kumar/12/7/2023//Online Payment//Delivered*On-time Delivery: Delivered on time</t>
  </si>
  <si>
    <t>//ord_81991//Yash Verma//Colaba//Rasmalai+5*Sita T/7/13/2023//Credit Card//Delivered*Quality of Items: Perfect condition</t>
  </si>
  <si>
    <t>//ord_81992//Aditi Iyer//Bandra//Rasmalai+3*Nithin Lal/5/9/2023//Online Payment//Delivered*On-time Delivery: Delivered on time</t>
  </si>
  <si>
    <t>//ord_81993//Sahil Desai//Colaba//Chicken Puff+8*Nikhil Deshmukh/9/3/2023//UPI//Delivered*Quality of Items: Perfect condition</t>
  </si>
  <si>
    <t>//ord_81994//Shruti Aggarwal//Colaba//Chocolate Mousse+5*Nikhil Deshmukh/11/30/2023//UPI//Delivered*Packaging: Secure and intact</t>
  </si>
  <si>
    <t>//ord_81995//Arvind Kulkarni//Juhu//Chocolate Mousse+2*Not Assigned/9/4/2023//Credit Card//Cancelled*App Glitches:Slow Loading Time</t>
  </si>
  <si>
    <t xml:space="preserve">//ord_81996//Ishita Banerjee//Juhu//Banana+2*Rohan Yadav/2/19/2023//Credit Card//Cancelled*Delayed Delivery:Bad Weather Conditions </t>
  </si>
  <si>
    <t>//ord_81997//Aarav Mehta//Andheri//Icecream+1*Not Assigned/6/24/2023//Online Payment//Cancelled*App Glitches:Missing Content</t>
  </si>
  <si>
    <t>//ord_81998//Anaya Rao//Colaba//Onion+1*Not Assigned/11/7/2023//Online Payment//Cancelled*App Glitches:Slow Loading Time</t>
  </si>
  <si>
    <t>//ord_81999//Aarav Mehta//Andheri//Tomato+2*Not Assigned/6/27/2023//Credit Card//Cancelled*App Glitches:Slow Loading Time</t>
  </si>
  <si>
    <t>//ord_82000//Mohit Malhotra//Lower Parel//Popcorn+1*Not Assigned/6/4/2023//Online Payment//Cancelled*Out of Stock</t>
  </si>
  <si>
    <t>//ord_82001//Pranav Joshi//Andheri//Popcorn+2*Rohan Yadav/6/25/2023//COD//Delivered*Satisfied with the Delivery: Timely and quality</t>
  </si>
  <si>
    <t>//ord_82002//Sahil Desai//Colaba//Cold Coffee+6*Nikhil Deshmukh/11/24/2023//Credit Card//Delivered*Customer Service: Seamless and easy</t>
  </si>
  <si>
    <t>//ord_82003//Kritika Shetty//Malad//Guava+2*Nithin Lal/2/6/2023//Online Payment//Cancelled*Delayed Delivery:Heavy Traffic</t>
  </si>
  <si>
    <t>//ord_82004//Siya Reddy//Juhu//Icecream+4*Tanvi Jain/6/16/2023//Credit Card//Delivered*Delivery Experience: Quick and professional</t>
  </si>
  <si>
    <t>//ord_82005//Aditya Rao//Lower Parel//Apple+3*Kiran Mehta/12/10/2023//UPI//Delivered*Convenience: Easy tracking</t>
  </si>
  <si>
    <t>//ord_82006//Sanjay Nair//Dadar//Tiramisu+2*Not Assigned/2/10/2023//Online Payment//Cancelled*Payment Issues</t>
  </si>
  <si>
    <t>//ord_82007//Ishita Banerjee//Juhu//Veg Puff+3*Tanvi Jain/10/10/2023//Credit Card//Delivered*Overall Satisfaction: Great service will order again</t>
  </si>
  <si>
    <t>//ord_82008//Kritika Shetty//Malad//Papaya+2*Neha Shah/12/8/2023//UPI//Delivered*On-time Delivery: Delivered on time</t>
  </si>
  <si>
    <t>//ord_82009//Ishita Banerjee//Juhu//Chicken Puff+4*Tanvi Jain/10/23/2023//COD//Delivered*Quality of Items: Perfect condition</t>
  </si>
  <si>
    <t>//ord_82010//Aarohi Kapoor//Bandra//Cold Coffee+5*Priya Joshi/9/27/2023//UPI//Delivered*On-time Delivery: Delivered on time</t>
  </si>
  <si>
    <t>//ord_82011//Simran Bhatt//Juhu//Chocolate Mousse+4*Tanvi Jain/10/2/2023//COD//Delivered*Quality of Items: Perfect condition</t>
  </si>
  <si>
    <t>//ord_82012//Ritika Dutta//Lower Parel//Sweet Corn+3*Kiran Mehta/1/15/2023//UPI//Delivered*Packaging: Secure and intact</t>
  </si>
  <si>
    <t>//ord_82013//Pranav Joshi//Andheri//Rasmalai+2*Rohan Yadav/4/8/2023//Credit Card//Delivered*Satisfied with the Delivery: Timely and quality</t>
  </si>
  <si>
    <t xml:space="preserve">//ord_82014//Pranav Joshi//Andheri//Sweet Corn+1*Sandeep Kumar/1/23/2023//Credit Card//Cancelled*Delayed Delivery:Bad Weather Conditions </t>
  </si>
  <si>
    <t>//ord_82015//Parth Goel//Juhu//Chilli Cheese Toast+2*Tanvi Jain/5/17/2023//UPI//Delivered*Customer Service: Seamless and easy</t>
  </si>
  <si>
    <t>//ord_82016//Pallavi Ghosh//Bandra//Papaya+2*Priya Joshi/6/24/2023//COD//Delivered*Delivery Experience: Quick and professional</t>
  </si>
  <si>
    <t>//ord_82017//Aditi Iyer//Dadar//Potato+1*Not Assigned/3/16/2023//UPI//Cancelled*Payment Issues</t>
  </si>
  <si>
    <t>//ord_82018//Sakshi Tandon//Colaba//Juice+1*Manju Ajay/10/13/2023//Credit Card//Cancelled*Delayed Delivery:Incorrect Address or Location</t>
  </si>
  <si>
    <t>//ord_82019//Omkar Mishra//Powai//Cold Coffee+5*Nithin Lal/2/2/2023//Credit Card//Delivered*Convenience: Easy tracking</t>
  </si>
  <si>
    <t>//ord_82020//Arvind Kulkarni//Juhu//Icecream+3*Venu R/9/23/2023//COD//Delivered*Overall Satisfaction: Great service will order again</t>
  </si>
  <si>
    <t xml:space="preserve">//ord_82021//Pallavi Ghosh//Bandra//Chilli Cheese Toast+4*Tanvi Jain/6/12/2023//Credit Card//Cancelled*Delayed Delivery:Bad Weather Conditions </t>
  </si>
  <si>
    <t>//ord_82022//Siya Reddy//Juhu//Guava+2*Vivek Kumar/1/12/2023//Credit Card//Delivered*On-time Delivery: Delivered on time</t>
  </si>
  <si>
    <t>//ord_82023//Ishaan Chaturvedi//Bandra//Chocolate Mousse+2*Ramesh S/12/6/2023//UPI//Delivered*Quality of Items: Perfect condition</t>
  </si>
  <si>
    <t>//ord_82024//Siya Reddy//Juhu//Guava+1*Vivek Kumar/10/19/2023//Online Payment//Delivered*On-time Delivery: Delivered on time</t>
  </si>
  <si>
    <t>//ord_82025//Nitin Sehgal//Bandra//Chicken Puff+4*Not Assigned/7/11/2023//UPI//Cancelled*Out of Stock</t>
  </si>
  <si>
    <t>//ord_82026//Ishita Banerjee//Juhu//Tiramisu+4*Vivek Kumar/8/10/2023//Credit Card//Delivered*Quality of Items: Perfect condition</t>
  </si>
  <si>
    <t>//ord_82027//Anaya Rao//Colaba//Cold Coffee+4*Not Assigned/3/6/2023//UPI//Cancelled*App Glitches: Payment Button Malfunction</t>
  </si>
  <si>
    <t>//ord_82028//Kritika Shetty//Malad//Juice+2*Nithin Lal/4/19/2023//Credit Card//Delivered*Packaging: Secure and intact</t>
  </si>
  <si>
    <t>//ord_82029//Ishita Banerjee//Juhu//Cucumber+2*Shine Thomas/9/4/2023//Online Payment//Delivered*Satisfied with the Delivery: Timely and quality</t>
  </si>
  <si>
    <t>//ord_82030//Mehul Thakkar//Malad//Veg Puff+1*Not Assigned/3/8/2023//UPI//Cancelled*App Glitches: Payment Button Malfunction</t>
  </si>
  <si>
    <t>//ord_82031//Aarav Mehta//Andheri//Onion+2*Not Assigned/4/4/2023//Credit Card//Cancelled*Out of Stock</t>
  </si>
  <si>
    <t>//ord_82032//Tanishq Bansal//Powai//Chilli Cheese Toast+2*Sita T/5/25/2023//Credit Card//Cancelled*Delayed Delivery:High Order Volume</t>
  </si>
  <si>
    <t>//ord_82033//Aditi Iyer//Dadar//Onion+1*Venu R/8/23/2023//COD//Delivered*Customer Service: Seamless and easy</t>
  </si>
  <si>
    <t>//ord_82034//Kritika Shetty//Malad//Popcorn+5*Manju Ajay/6/17/2023//COD//Delivered*Delivery Experience: Quick and professional</t>
  </si>
  <si>
    <t>//ord_82035//Sahil Desai//Colaba//Cold Coffee+6*Shine Thomas/12/7/2023//Online Payment//Delivered*Convenience: Easy tracking</t>
  </si>
  <si>
    <t>//ord_82036//Kritika Shetty//Malad//Sweet Corn+1*Kiran Mehta/9/16/2023//Credit Card//Cancelled*Delayed Delivery:Vehicle Breakdown</t>
  </si>
  <si>
    <t>//ord_82037//Arvind Kulkarni//Juhu//Chicken Puff+1*Not Assigned/1/7/2023//UPI//Cancelled*App Glitches: Payment Button Malfunction</t>
  </si>
  <si>
    <t>//ord_82038//Omkar Mishra//Powai//Banana+1*Ramesh S/9/18/2023//UPI//Delivered*Overall Satisfaction: Great service will order again</t>
  </si>
  <si>
    <t>//ord_82039//Aarav Mehta//Andheri//Potato+1*Not Assigned/8/7/2023//Online Payment//Cancelled*High Delivery Fees</t>
  </si>
  <si>
    <t>//ord_82040//Aditya Rao//Lower Parel//Orange+3*Sita T/6/10/2023//Online Payment//Delivered*On-time Delivery: Delivered on time</t>
  </si>
  <si>
    <t>//ord_82041//Aditya Rao//Lower Parel//Tiramisu+3*Ram Gopal/2/16/2023//Online Payment//Delivered*Quality of Items: Perfect condition</t>
  </si>
  <si>
    <t>//ord_82042//Sanjay Nair//Dadar//Cucumber+1*Not Assigned/8/16/2023//Online Payment//Cancelled*App Glitches:Slow Loading Time</t>
  </si>
  <si>
    <t>//ord_82043//Aarohi Kapoor//Bandra//Chicken Puff+2*Manju Ajay/5/1/2023//Credit Card//Cancelled*Delayed Delivery:Heavy Traffic</t>
  </si>
  <si>
    <t xml:space="preserve">//ord_82044//Pallavi Ghosh//Bandra//Tiramisu+3*Priya Joshi/10/6/2023//Credit Card//Cancelled*Delayed Delivery:Bad Weather Conditions </t>
  </si>
  <si>
    <t>//ord_82045//Siya Reddy//Juhu//Potato+1*Not Assigned/4/14/2023//UPI//Cancelled*App Glitches: Inconsistent Data Display</t>
  </si>
  <si>
    <t>//ord_82046//Dev Chauhan//Bandra//Sweet Corn+2*Ramesh S/2/17/2023//UPI//Delivered*On-time Delivery: Delivered on time</t>
  </si>
  <si>
    <t>//ord_82047//Dev Chauhan//Bandra//Tomato+1*Vivek Kumar/1/29/2023//Online Payment//Delivered*Quality of Items: Perfect condition</t>
  </si>
  <si>
    <t>//ord_82048//Pallavi Ghosh//Bandra//Cold Coffee+1*Vivek Kumar/7/15/2023//UPI//Delivered*Packaging: Secure and intact</t>
  </si>
  <si>
    <t>//ord_82049//Pallavi Ghosh//Bandra//Veg Puff+4*Vivek Kumar/1/9/2023//Credit Card//Delivered*Satisfied with the Delivery: Timely and quality</t>
  </si>
  <si>
    <t>//ord_82050//Parth Goel//Juhu//Tomato+2*Vivek Kumar/9/11/2023//COD//Delivered*Customer Service: Seamless and easy</t>
  </si>
  <si>
    <t>//ord_82051//Sanjay Nair//Dadar//Chicken Puff+2*Ramesh S/11/15/2023//COD//Delivered*Delivery Experience: Quick and professional</t>
  </si>
  <si>
    <t>//ord_82052//Mohit Malhotra//Lower Parel//Rasmalai+1*Manju Ajay/2/16/2023//Credit Card//Delivered*Convenience: Easy tracking</t>
  </si>
  <si>
    <t>//ord_82053//Aditi Iyer//Dadar//Papaya+2*Ram Gopal/9/18/2023//Online Payment//Delivered*Overall Satisfaction: Great service will order again</t>
  </si>
  <si>
    <t>//ord_82054//Arvind Kulkarni//Juhu//Potato+1*Not Assigned/8/11/2023//Credit Card//Cancelled*App Glitches:Slow Loading Time</t>
  </si>
  <si>
    <t>//ord_82055//Mohit Malhotra//Lower Parel//Banana+2*Ramesh S/3/4/2023//Credit Card//Delivered*On-time Delivery: Delivered on time</t>
  </si>
  <si>
    <t>//ord_82056//Tanishq Bansal//Powai//Onion+2*Ram Gopal/2/21/2023//Online Payment//Delivered*Quality of Items: Perfect condition</t>
  </si>
  <si>
    <t>//ord_82057//Arvind Kulkarni//Juhu//Papaya+1*Venu R/2/9/2023//Online Payment//Delivered*On-time Delivery: Delivered on time</t>
  </si>
  <si>
    <t>//ord_82058//Sakshi Tandon//Colaba//Guava+1*Ramesh S/6/4/2023//UPI//Delivered*Quality of Items: Perfect condition</t>
  </si>
  <si>
    <t>//ord_10117//Aarohi Kapoor//Bandra//Orange+1*Nithin Lal/2/7/2023//Credit Card//Delivered*Overall Satisfaction: Great service will order again</t>
  </si>
  <si>
    <t>//ord_10126//Kritika Shetty//Malad//Banana+2*Vivek Kumar/12/16/2023//Online Payment//Delivered*On-time Delivery: Delivered on time</t>
  </si>
  <si>
    <t>//ord_82059//Pallavi Ghosh//Bandra//Potato+2*Shine Thomas/7/22/2023//Credit Card//Delivered*Packaging: Secure and intact</t>
  </si>
  <si>
    <t>//ord_82060//Tanishq Bansal//Powai//Papaya+1*Vivek Kumar/2/8/2023//Credit Card//Delivered*Satisfied with the Delivery: Timely and quality</t>
  </si>
  <si>
    <t>//ord_82061//Ritika Dutta//Lower Parel//Orange+2*Venu R/9/10/2023//Online Payment//Delivered*Customer Service: Seamless and easy</t>
  </si>
  <si>
    <t>//ord_82062//Ritika Dutta//Lower Parel//Papaya+2*Ram Gopal/2/14/2023//Credit Card//Delivered*Delivery Experience: Quick and professional</t>
  </si>
  <si>
    <t>//ord_82063//Simran Bhatt//Juhu//Tomato+2*Ram Gopal/9/3/2023//UPI//Delivered*Convenience: Easy tracking</t>
  </si>
  <si>
    <t>//ord_82064//Sakshi Tandon//Colaba//Tiramisu+3*Ramesh S/1/1/2023//Credit Card//Delivered*Overall Satisfaction: Great service will order again</t>
  </si>
  <si>
    <t>//ord_82065//Pranav Joshi//Andheri//Tomato+1*Nithin Lal/8/7/2023//Online Payment//Delivered*On-time Delivery: Delivered on time</t>
  </si>
  <si>
    <t>//ord_82066//Nitin Sehgal//Bandra//Sweet Corn+2*Sita T/6/12/2023//COD//Delivered*Quality of Items: Perfect condition</t>
  </si>
  <si>
    <t>//ord_82067//Aarohi Kapoor//Bandra//Chilli Cheese Toast+3*Vivek Kumar/5/3/2023//Online Payment//Delivered*On-time Delivery: Delivered on time</t>
  </si>
  <si>
    <t>//ord_82068//Arvind Kulkarni//Juhu//Tomato+2*Vivek Kumar/1/29/2023//Online Payment//Delivered*Quality of Items: Perfect condition</t>
  </si>
  <si>
    <t>//ord_82069//Kritika Shetty//Malad//Veg Puff+4*Ramesh S/8/7/2023//UPI//Delivered*Packaging: Secure and intact</t>
  </si>
  <si>
    <t>//ord_82070//Sahil Desai//Colaba//Papaya+2*Shine Thomas/9/19/2023//Online Payment//Delivered*Satisfied with the Delivery: Timely and quality</t>
  </si>
  <si>
    <t>//ord_82071//Ishaan Chaturvedi//Bandra//Banana+1*Nithin Lal/4/15/2023//UPI//Delivered*Customer Service: Seamless and easy</t>
  </si>
  <si>
    <t>//ord_82072//Sakshi Tandon//Colaba//Guava+2*Vivek Kumar/12/11/2023//Credit Card//Delivered*Delivery Experience: Quick and professional</t>
  </si>
  <si>
    <t>//ord_82073//Dev Chauhan//Bandra//Juice+4*Nithin Lal/7/5/2023//Online Payment//Delivered*Convenience: Easy tracking</t>
  </si>
  <si>
    <t>//ord_82074//Aditya Basu//Juhu//Popcorn+4*Tanvi Jain/4/2/2023//UPI//Delivered*Overall Satisfaction: Great service will order again</t>
  </si>
  <si>
    <t>//ord_82075//Parth Goel//Juhu//Tomato+2*Tanvi Jain/4/18/2023//Online Payment//Delivered*On-time Delivery: Delivered on time</t>
  </si>
  <si>
    <t>//ord_82076//Aditi Iyer//Dadar//Potato+2*Aman Kumar/5/26/2023//UPI//Delivered*Quality of Items: Perfect condition</t>
  </si>
  <si>
    <t>//ord_82077//Pallavi Ghosh//Bandra//Chocolate Mousse+5*Priya Joshi/1/9/2023//Online Payment//Delivered*On-time Delivery: Delivered on time</t>
  </si>
  <si>
    <t>//ord_82078//Ishita Banerjee//Juhu//Chocolate Mousse+3*Not Assigned/5/6/2023//Online Payment//Cancelled*Out of Stock</t>
  </si>
  <si>
    <t>//ord_82079//Tanishq Bansal//Powai//Cold Coffee+4*Sandeep Kumar/9/24/2023//COD//Delivered*Quality of Items: Perfect condition</t>
  </si>
  <si>
    <t>//ord_82080//Ishaan Chaturvedi//Bandra//Banana+2*Priya Joshi/6/5/2023//Credit Card//Delivered*Packaging: Secure and intact</t>
  </si>
  <si>
    <t>//ord_82081//Tanishq Bansal//Powai//Papaya+1*Sandeep Kumar/10/16/2023//Online Payment//Delivered*Satisfied with the Delivery: Timely and quality</t>
  </si>
  <si>
    <t>//ord_82082//Tanishq Bansal//Powai//Popcorn+4*Sandeep Kumar/3/12/2023//Credit Card//Delivered*Customer Service: Seamless and easy</t>
  </si>
  <si>
    <t>//ord_82083//Mehul Thakkar//Malad//Papaya+2*Not Assigned/11/29/2023//Credit Card//Cancelled*High Delivery Fees</t>
  </si>
  <si>
    <t>//ord_82084//Sanjay Nair//Dadar//Papaya+2*Aman Kumar/6/28/2023//Credit Card//Delivered*Delivery Experience: Quick and professional</t>
  </si>
  <si>
    <t>//ord_82085//Aditi Iyer//Dadar//Veg Puff+3*Aman Kumar/11/4/2023//COD//Delivered*Convenience: Easy tracking</t>
  </si>
  <si>
    <t>//ord_82086//Pallavi Ghosh//Bandra//Juice+5*Priya Joshi/8/13/2023//Online Payment//Delivered*Overall Satisfaction: Great service will order again</t>
  </si>
  <si>
    <t>//ord_82087//Siya Reddy//Juhu//Rasmalai+3*Tanvi Jain/4/13/2023//Online Payment//Delivered*On-time Delivery: Delivered on time</t>
  </si>
  <si>
    <t>//ord_82088//Sanjay Nair//Dadar//Orange+2*Aman Kumar/1/27/2023//COD//Delivered*Quality of Items: Perfect condition</t>
  </si>
  <si>
    <t>//ord_82089//Arvind Kulkarni//Juhu//Sweet Corn+1*Tanvi Jain/3/30/2023//Credit Card//Delivered*On-time Delivery: Delivered on time</t>
  </si>
  <si>
    <t>//ord_82090//Riya Chakraborty//Juhu//Orange+2*Tanvi Jain/9/12/2023//Credit Card//Delivered*Quality of Items: Perfect condition</t>
  </si>
  <si>
    <t>//ord_82091//Mehul Thakkar//Malad//Tiramisu+4*Not Assigned/1/25/2023//Online Payment//Cancelled*High Delivery Fees</t>
  </si>
  <si>
    <t>//ord_82092//Tanishq Bansal//Bandra//Popcorn+5*Priya Joshi/1/6/2023//UPI//Delivered*Packaging: Secure and intact</t>
  </si>
  <si>
    <t>//ord_82093//Riya Chakraborty//Juhu//Rasmalai+8*Tanvi Jain/1/25/2023//Credit Card//Delivered*Satisfied with the Delivery: Timely and quality</t>
  </si>
  <si>
    <t>//ord_82094//Diya Arora//Lower Parel//Orange+1*Kiran Mehta/1/17/2023//UPI//Delivered*Customer Service: Seamless and easy</t>
  </si>
  <si>
    <t>//ord_82095//Anaya Rao//Colaba//Onion+2*Nikhil Deshmukh/2/17/2023//UPI//Delivered*Delivery Experience: Quick and professional</t>
  </si>
  <si>
    <t>//ord_82096//Simran Bhatt//Juhu//Icecream+3*Tanvi Jain/12/28/2023//Online Payment//Delivered*Convenience: Easy tracking</t>
  </si>
  <si>
    <t>//ord_82097//Ritika Dutta//Lower Parel//Papaya+2*Kiran Mehta/7/27/2023//Credit Card//Delivered*Overall Satisfaction: Great service will order again</t>
  </si>
  <si>
    <t>//ord_82098//Pranav Joshi//Andheri//Banana+2*Rohan Yadav/12/18/2023//UPI//Delivered*On-time Delivery: Delivered on time</t>
  </si>
  <si>
    <t>//ord_82099//Mohit Malhotra//Lower Parel//Veg Puff+5*Kiran Mehta/12/27/2023//Online Payment//Delivered*Quality of Items: Perfect condition</t>
  </si>
  <si>
    <t>//ord_82100//Aarohi Kapoor//Bandra//Icecream+1*Priya Joshi/11/15/2023//Credit Card//Delivered*On-time Delivery: Delivered on time</t>
  </si>
  <si>
    <t>//ord_82101//Siya Reddy//Juhu//Chilli Cheese Toast+2*Not Assigned/8/26/2023//UPI//Cancelled*App Glitches:Slow Loading Time</t>
  </si>
  <si>
    <t>//ord_82102//Diya Arora//Lower Parel//Orange+1*Kiran Mehta/8/3/2023//Credit Card//Delivered*Quality of Items: Perfect condition</t>
  </si>
  <si>
    <t>//ord_82103//Aarohi Kapoor//Bandra//Onion+2*Priya Joshi/9/14/2023//Credit Card//Delivered*Packaging: Secure and intact</t>
  </si>
  <si>
    <t>//ord_82104//Omkar Mishra//Powai//Tiramisu+3*Sandeep Kumar/5/5/2023//Online Payment//Delivered*Satisfied with the Delivery: Timely and quality</t>
  </si>
  <si>
    <t>//ord_82105//Mohit Malhotra//Lower Parel//Chilli Cheese Toast+2*Kiran Mehta/11/23/2023//Online Payment//Delivered*Customer Service: Seamless and easy</t>
  </si>
  <si>
    <t>//ord_82106//Aarav Mehta//Andheri//Guava+2*Rohan Yadav/4/5/2023//Credit Card//Delivered*Delivery Experience: Quick and professional</t>
  </si>
  <si>
    <t>//ord_82107//Omkar Mishra//Powai//Tiramisu+1*Sandeep Kumar/12/28/2023//Credit Card//Delivered*Convenience: Easy tracking</t>
  </si>
  <si>
    <t>//ord_82108//Aditi Iyer//Dadar//Veg Puff+1*Aman Kumar/4/15/2023//Online Payment//Delivered*Overall Satisfaction: Great service will order again</t>
  </si>
  <si>
    <t>//ord_82109//Sakshi Tandon//Colaba//Popcorn+3*Manju Ajay/3/12/2023//UPI//Delivered*On-time Delivery: Delivered on time</t>
  </si>
  <si>
    <t>//ord_82110//Aditi Iyer//Dadar//Orange+1*Nithin Lal/4/3/2023//Online Payment//Delivered*Quality of Items: Perfect condition</t>
  </si>
  <si>
    <t>//ord_82111//Sanjay Nair//Dadar//Popcorn+2*Manju Ajay/2/27/2023//UPI//Delivered*On-time Delivery: Delivered on time</t>
  </si>
  <si>
    <t>//ord_82112//Aarohi Kapoor//Bandra//Veg Puff+1*Manju Ajay/8/10/2023//Online Payment//Delivered*Quality of Items: Perfect condition</t>
  </si>
  <si>
    <t>//ord_82113//Aarohi Kapoor//Bandra//Guava+2*Vivek Kumar/3/26/2023//Credit Card//Delivered*Packaging: Secure and intact</t>
  </si>
  <si>
    <t>//ord_82114//Siya Reddy//Juhu//Cucumber+1*Vivek Kumar/4/4/2023//Credit Card//Cancelled*Delayed Delivery:Heavy Traffic</t>
  </si>
  <si>
    <t>//ord_82115//Kritika Shetty//Malad//Sweet Corn+2*Ramesh S/12/11/2023//UPI//Delivered*Satisfied with the Delivery: Timely and quality</t>
  </si>
  <si>
    <t>//ord_82116//Anaya Rao//Malad//Icecream+1*Shine Thomas/3/13/2023//Credit Card//Delivered*Customer Service: Seamless and easy</t>
  </si>
  <si>
    <t>//ord_82117//Anaya Rao//Malad//Chilli Cheese Toast+4*Shine Thomas/10/20/2023//UPI//Delivered*Delivery Experience: Quick and professional</t>
  </si>
  <si>
    <t>//ord_82118//Anaya Rao//Colaba//Onion+1*Shine Thomas/4/26/2023//UPI//Delivered*Convenience: Easy tracking</t>
  </si>
  <si>
    <t>//ord_82119//Ishaan Chaturvedi//Bandra//Tiramisu+5*Nithin Lal/8/17/2023//Online Payment//Delivered*Overall Satisfaction: Great service will order again</t>
  </si>
  <si>
    <t>//ord_82120//Mohit Malhotra//Lower Parel//Juice+1*Vivek Kumar/3/25/2023//UPI//Delivered*On-time Delivery: Delivered on time</t>
  </si>
  <si>
    <t>//ord_82121//Parth Goel//Juhu//Apple+1*Ram Gopal/11/30/2023//Online Payment//Delivered*Quality of Items: Perfect condition</t>
  </si>
  <si>
    <t>//ord_82122//Pallavi Ghosh//Bandra//Chicken Puff+4*Ramesh S/5/16/2023//Credit Card//Delivered*On-time Delivery: Delivered on time</t>
  </si>
  <si>
    <t>//ord_82123//Tanishq Bansal//Powai//Banana+2*Vivek Kumar/9/9/2023//Online Payment//Delivered*Quality of Items: Perfect condition</t>
  </si>
  <si>
    <t>//ord_82124//Ishaan Chaturvedi//Bandra//Rasmalai+2*Venu R/12/30/2023//Credit Card//Delivered*Packaging: Secure and intact</t>
  </si>
  <si>
    <t>//ord_82125//Mehul Thakkar//Malad//Tomato+2*Not Assigned/12/5/2023//Credit Card//Cancelled*App Glitches: Payment Button Malfunction</t>
  </si>
  <si>
    <t>//ord_82126//Arvind Kulkarni//Juhu//Chicken Puff+5*Shine Thomas/7/12/2023//UPI//Delivered*Satisfied with the Delivery: Timely and quality</t>
  </si>
  <si>
    <t>//ord_82127//Omkar Mishra//Powai//Cucumber+2*Ramesh S/8/2/2023//UPI//Delivered*Customer Service: Seamless and easy</t>
  </si>
  <si>
    <t>//ord_82128//Anaya Rao//Colaba//Sweet Corn+1*Venu R/12/8/2023//UPI//Delivered*Delivery Experience: Quick and professional</t>
  </si>
  <si>
    <t xml:space="preserve">//ord_82129//Arvind Kulkarni//Juhu//Popcorn+2*Tanvi Jain/3/15/2023//UPI//Cancelled*Delayed Delivery:Bad Weather Conditions </t>
  </si>
  <si>
    <t>//ord_82130//Aarohi Kapoor//Bandra//Rasmalai+1*Ramesh S/12/8/2023//UPI//Delivered*Convenience: Easy tracking</t>
  </si>
  <si>
    <t>//ord_82131//Mohit Malhotra//Lower Parel//Tomato+2*Vivek Kumar/9/27/2023//Online Payment//Delivered*Overall Satisfaction: Great service will order again</t>
  </si>
  <si>
    <t>//ord_82132//Mohit Malhotra//Lower Parel//Icecream+5*Ram Gopal/12/21/2023//UPI//Delivered*On-time Delivery: Delivered on time</t>
  </si>
  <si>
    <t>//ord_82133//Parth Goel//Juhu//Popcorn+3*Ram Gopal/8/23/2023//UPI//Delivered*Quality of Items: Perfect condition</t>
  </si>
  <si>
    <t>//ord_82134//Siya Reddy//Juhu//Papaya+1*Ramesh S/11/28/2023//Credit Card//Delivered*On-time Delivery: Delivered on time</t>
  </si>
  <si>
    <t>//ord_82135//Diya Arora//Lower Parel//Chilli Cheese Toast+4*Ramesh S/4/22/2023//Credit Card//Delivered*Quality of Items: Perfect condition</t>
  </si>
  <si>
    <t>//ord_82136//Aditi Iyer//Dadar//Onion+1*Ram Gopal/10/7/2023//UPI//Delivered*Packaging: Secure and intact</t>
  </si>
  <si>
    <t>//ord_82137//Diya Arora//Lower Parel//Apple+2*Manju Ajay/2/13/2023//UPI//Delivered*Satisfied with the Delivery: Timely and quality</t>
  </si>
  <si>
    <t>//ord_82138//Mehul Thakkar//Dadar//Sweet Corn+2*Ram Gopal/4/3/2023//Credit Card//Delivered*Customer Service: Seamless and easy</t>
  </si>
  <si>
    <t>//ord_82139//Aditi Iyer//Bandra//Sweet Corn+2*Manju Ajay/11/10/2023//Online Payment//Delivered*Delivery Experience: Quick and professional</t>
  </si>
  <si>
    <t>//ord_82140//Mehul Thakkar//Malad//Chilli Cheese Toast+1*Not Assigned/2/26/2023//Credit Card//Cancelled*App Glitches:Slow Loading Time</t>
  </si>
  <si>
    <t>//ord_82141//Diya Arora//Lower Parel//Cold Coffee+5*Shine Thomas/12/14/2023//Credit Card//Delivered*Convenience: Easy tracking</t>
  </si>
  <si>
    <t>//ord_82142//Mehul Thakkar//Malad//Onion+1*Ram Gopal/2/28/2023//UPI//Cancelled*Delayed Delivery:Heavy Traffic</t>
  </si>
  <si>
    <t>//ord_82143//Tanishq Bansal//Bandra//Icecream+4*Shine Thomas/12/29/2023//Credit Card//Delivered*Overall Satisfaction: Great service will order again</t>
  </si>
  <si>
    <t>//ord_82144//Tanishq Bansal//Bandra//Chocolate Mousse+4*Vivek Kumar/8/1/2023//Online Payment//Delivered*On-time Delivery: Delivered on time</t>
  </si>
  <si>
    <t>//ord_82145//Diya Arora//Lower Parel//Potato+1*Vivek Kumar/7/30/2023//Credit Card//Delivered*Quality of Items: Perfect condition</t>
  </si>
  <si>
    <t>//ord_82146//Mehul Thakkar//Malad//Onion+2*Not Assigned/9/10/2023//Credit Card//Cancelled*App Glitches:Error Messages</t>
  </si>
  <si>
    <t>//ord_82147//Sahil Desai//Colaba//Papaya+2*Shine Thomas/11/6/2023//UPI//Delivered*On-time Delivery: Delivered on time</t>
  </si>
  <si>
    <t>//ord_82148//Aarohi Kapoor//Bandra//Tiramisu+3*Nithin Lal/12/20/2023//Online Payment//Delivered*Quality of Items: Perfect condition</t>
  </si>
  <si>
    <t>//ord_82149//Ishaan Chaturvedi//Bandra//Icecream+1*Vivek Kumar/12/13/2023//UPI//Delivered*Packaging: Secure and intact</t>
  </si>
  <si>
    <t>//ord_82150//Mohit Malhotra//Lower Parel//Papaya+1*Vivek Kumar/6/6/2023//UPI//Delivered*Satisfied with the Delivery: Timely and quality</t>
  </si>
  <si>
    <t>//ord_82151//Mohit Malhotra//Lower Parel//Cucumber+1*Ram Gopal/10/13/2023//Online Payment//Delivered*Customer Service: Seamless and easy</t>
  </si>
  <si>
    <t>//ord_82152//Diya Arora//Lower Parel//Juice+4*Ram Gopal/10/12/2023//Online Payment//Delivered*Delivery Experience: Quick and professional</t>
  </si>
  <si>
    <t xml:space="preserve">//ord_82153//Arvind Kulkarni//Juhu//Popcorn+3*Tanvi Jain/2/4/2023//UPI//Cancelled*Delayed Delivery:Bad Weather Conditions </t>
  </si>
  <si>
    <t>//ord_82154//Anaya Rao//Colaba//Papaya+1*Ramesh S/12/28/2023//UPI//Delivered*Convenience: Easy tracking</t>
  </si>
  <si>
    <t>//ord_82155//Mohit Malhotra//Lower Parel//Apple+1*Nithin Lal/12/23/2023//UPI//Delivered*Overall Satisfaction: Great service will order again</t>
  </si>
  <si>
    <t>//ord_82156//Kritika Shetty//Malad//Onion+2*Ram Gopal/5/26/2023//UPI//Cancelled*Delayed Delivery:Heavy Traffic</t>
  </si>
  <si>
    <t>//ord_82157//Pranav Joshi//Andheri//Popcorn+3*Shine Thomas/3/1/2023//UPI//Delivered*On-time Delivery: Delivered on time</t>
  </si>
  <si>
    <t>//ord_82158//Arvind Kulkarni//Juhu//Cucumber+2*Sita T/6/28/2023//UPI//Delivered*Quality of Items: Perfect condition</t>
  </si>
  <si>
    <t>//ord_82159//Mehul Thakkar//Malad//Orange+1*Tanvi Jain/4/4/2023//UPI//Cancelled*Delayed Delivery:High Order Volume</t>
  </si>
  <si>
    <t>//ord_82160//Pallavi Ghosh//Bandra//Rasmalai+4*Shine Thomas/7/11/2023//UPI//Delivered*On-time Delivery: Delivered on time</t>
  </si>
  <si>
    <t>//ord_82161//Sanjay Nair//Dadar//Veg Puff+4*Vivek Kumar/12/3/2023//Online Payment//Delivered*Quality of Items: Perfect condition</t>
  </si>
  <si>
    <t>//ord_82162//Dev Chauhan//Bandra//Onion+2*Manju Ajay/2/26/2023//UPI//Delivered*Packaging: Secure and intact</t>
  </si>
  <si>
    <t>//ord_82163//Omkar Mishra//Powai//Cucumber+1*Vivek Kumar/12/23/2023//UPI//Delivered*Satisfied with the Delivery: Timely and quality</t>
  </si>
  <si>
    <t>//ord_82164//Ishita Banerjee//Juhu//Papaya+2*Venu R/7/23/2023//UPI//Delivered*Customer Service: Seamless and easy</t>
  </si>
  <si>
    <t>//ord_82165//Pranav Joshi//Andheri//Sweet Corn+2*Ramesh S/11/4/2023//Credit Card//Delivered*Delivery Experience: Quick and professional</t>
  </si>
  <si>
    <t>//ord_82166//Kritika Shetty//Malad//Guava+2*Sita T/12/5/2023//Online Payment//Delivered*Convenience: Easy tracking</t>
  </si>
  <si>
    <t>//ord_82167//Parth Goel//Juhu//Sweet Corn+2*Shine Thomas/2/24/2023//UPI//Delivered*Overall Satisfaction: Great service will order again</t>
  </si>
  <si>
    <t>//ord_82168//Sakshi Tandon//Colaba//Chicken Puff+4*Ramesh S/8/18/2023//UPI//Delivered*On-time Delivery: Delivered on time</t>
  </si>
  <si>
    <t xml:space="preserve">//ord_82169//Mehul Thakkar//Malad//Sweet Corn+1*Nithin Lal/4/17/2023//Online Payment//Cancelled*Delayed Delivery:Bad Weather Conditions </t>
  </si>
  <si>
    <t>//ord_82170//Pranav Joshi//Andheri//Cold Coffee+3*Shine Thomas/12/9/2023//Credit Card//Delivered*Quality of Items: Perfect condition</t>
  </si>
  <si>
    <t>//ord_82171//Dev Chauhan//Bandra//Banana+2*Sita T/12/21/2023//Online Payment//Delivered*On-time Delivery: Delivered on time</t>
  </si>
  <si>
    <t>//ord_82172//Anaya Rao//Colaba//Chicken Puff+2*Vivek Kumar/10/2/2023//UPI//Delivered*Quality of Items: Perfect condition</t>
  </si>
  <si>
    <t>//ord_82173//Ishaan Chaturvedi//Bandra//Orange+1*Nithin Lal/8/23/2023//Credit Card//Delivered*Packaging: Secure and intact</t>
  </si>
  <si>
    <t>//ord_82174//Ishita Banerjee//Juhu//Sweet Corn+1*Nikhil Deshmukh/4/12/2023//Credit Card//Cancelled*Delayed Delivery:Heavy Traffic</t>
  </si>
  <si>
    <t>//ord_82175//Aditi Iyer//Dadar//Orange+2*Ramesh S/5/15/2023//Credit Card//Delivered*Satisfied with the Delivery: Timely and quality</t>
  </si>
  <si>
    <t>//ord_82176//Siya Reddy//Juhu//Cucumber+2*Not Assigned/3/30/2023//Online Payment//Cancelled*High Delivery Fees</t>
  </si>
  <si>
    <t>//ord_82177//Sanjay Nair//Dadar//Veg Puff+1*Ramesh S/12/14/2023//UPI//Delivered*Customer Service: Seamless and easy</t>
  </si>
  <si>
    <t>//ord_82178//Pranav Joshi//Andheri//Veg Puff+2*Manju Ajay/12/3/2023//UPI//Delivered*Delivery Experience: Quick and professional</t>
  </si>
  <si>
    <t>//ord_82179//Sakshi Tandon//Colaba//Popcorn+1*Sita T/2/10/2023//UPI//Delivered*Convenience: Easy tracking</t>
  </si>
  <si>
    <t>//ord_82180//Aarav Mehta//Andheri//Juice+4*Nithin Lal/12/1/2023//Online Payment//Delivered*Overall Satisfaction: Great service will order again</t>
  </si>
  <si>
    <t>//ord_82181//Omkar Mishra//Powai//Onion+1*Sita T/11/13/2023//Credit Card//Delivered*On-time Delivery: Delivered on time</t>
  </si>
  <si>
    <t>//ord_82182//Mohit Malhotra//Lower Parel//Cold Coffee+2*Not Assigned/11/21/2023//Credit Card//Cancelled*Out of Stock</t>
  </si>
  <si>
    <t xml:space="preserve">//ord_82183//Ishaan Chaturvedi//Bandra//Chicken Puff+2*Ram Gopal/9/22/2023//Credit Card//Cancelled*Delayed Delivery:Bad Weather Conditions </t>
  </si>
  <si>
    <t xml:space="preserve">//ord_82184//Parth Goel//Juhu//Chocolate Mousse+4*Kiran Mehta/7/26/2023//Credit Card//Cancelled*Delayed Delivery:Bad Weather Conditions </t>
  </si>
  <si>
    <t>//ord_82185//Aarav Mehta//Andheri//Guava+1*Ramesh S/2/2/2023//Online Payment//Cancelled*Delayed Delivery:Heavy Traffic</t>
  </si>
  <si>
    <t>//ord_82186//Arvind Kulkarni//Juhu//Tiramisu+4*Rohan Yadav/2/10/2023//Online Payment//Cancelled*Delayed Delivery:Heavy Traffic</t>
  </si>
  <si>
    <t>//ord_82187//Ishaan Chaturvedi//Bandra//Guava+2*Ramesh S/11/20/2023//UPI//Delivered*Quality of Items: Perfect condition</t>
  </si>
  <si>
    <t>//ord_82188//Tanishq Bansal//Bandra//Juice+5*Vivek Kumar/5/18/2023//Online Payment//Delivered*On-time Delivery: Delivered on time</t>
  </si>
  <si>
    <t>//ord_82189//Ritika Dutta//Lower Parel//Popcorn+2*Vivek Kumar/9/16/2023//UPI//Delivered*Quality of Items: Perfect condition</t>
  </si>
  <si>
    <t>//ord_82190//Shruti Aggarwal//Colaba//Papaya+2*Ram Gopal/10/22/2023//UPI//Delivered*Packaging: Secure and intact</t>
  </si>
  <si>
    <t>//ord_82191//Kavya Menon//Andheri//Apple+3*Nithin Lal/12/12/2023//UPI//Delivered*Satisfied with the Delivery: Timely and quality</t>
  </si>
  <si>
    <t>//ord_82192//Kunal Sharma//Powai//Onion+3*Sita T/8/24/2023//Online Payment//Delivered*Customer Service: Seamless and easy</t>
  </si>
  <si>
    <t>//ord_82193//Mehul Thakkar//Dadar//Cucumber+1*Venu R/11/15/2023//Credit Card//Delivered*Delivery Experience: Quick and professional</t>
  </si>
  <si>
    <t>//ord_82194//Simran Bhatt//Juhu//Orange+1*Manju Ajay/7/29/2023//UPI//Delivered*Convenience: Easy tracking</t>
  </si>
  <si>
    <t>//ord_82195//Ritika Dutta//Lower Parel//Juice+7*Ramesh S/12/26/2023//Online Payment//Delivered*Overall Satisfaction: Great service will order again</t>
  </si>
  <si>
    <t>//ord_82196//Aditi Iyer//Bandra//Rasmalai+5*Ram Gopal/2/9/2023//Credit Card//Delivered*On-time Delivery: Delivered on time</t>
  </si>
  <si>
    <t>//ord_82197//Sana Malik//Juhu//Veg Puff+6*Vivek Kumar/11/6/2023//Online Payment//Delivered*Quality of Items: Perfect condition</t>
  </si>
  <si>
    <t>//ord_82198//Harsh Vardhan//Bandra//Tiramisu+2*Ramesh S/6/2/2023//Online Payment//Delivered*On-time Delivery: Delivered on time</t>
  </si>
  <si>
    <t>//ord_82199//Yash Verma//Lower Parel//Cucumber+2*Vivek Kumar/6/10/2023//UPI//Delivered*Quality of Items: Perfect condition</t>
  </si>
  <si>
    <t>//ord_82200//Yash Verma//Colaba//Papaya+2*Ram Gopal/5/9/2023//UPI//Delivered*Packaging: Secure and intact</t>
  </si>
  <si>
    <t>//ord_82201//Leena Das//Andheri//Sweet Corn+2*Nithin Lal/6/25/2023//UPI//Delivered*Satisfied with the Delivery: Timely and quality</t>
  </si>
  <si>
    <t>//ord_82202//Sana Malik//Powai//Guava+2*Sita T/6/29/2023//UPI//Delivered*Customer Service: Seamless and easy</t>
  </si>
  <si>
    <t>//ord_82203//Aditya Basu//Juhu//Popcorn+5*Venu R/11/9/2023//UPI//Delivered*Delivery Experience: Quick and professional</t>
  </si>
  <si>
    <t>//ord_82204//Riya Chakraborty//Juhu//Orange+2*Ramesh S/12/1/2023//Credit Card//Delivered*Convenience: Easy tracking</t>
  </si>
  <si>
    <t>//ord_82205//Omkar Mishra//Powai//Banana+1*Ramesh S/8/5/2023//UPI//Delivered*Overall Satisfaction: Great service will order again</t>
  </si>
  <si>
    <t>//ord_82206//Aarohi Kapoor//Bandra//Orange+2*Venu R/12/3/2023//UPI//Delivered*On-time Delivery: Delivered on time</t>
  </si>
  <si>
    <t>//ord_82207//Sakshi Tandon//Colaba//Chicken Puff+5*Vivek Kumar/11/10/2023//UPI//Delivered*Quality of Items: Perfect condition</t>
  </si>
  <si>
    <t>//ord_82208//Mehul Thakkar//Malad//Tomato+1*Nithin Lal/12/12/2023//UPI//Delivered*On-time Delivery: Delivered on time</t>
  </si>
  <si>
    <t>//ord_82209//Aditya Rao//Lower Parel//Popcorn+3*Kiran Mehta/9/21/2023//Credit Card//Delivered*Quality of Items: Perfect condition</t>
  </si>
  <si>
    <t xml:space="preserve">//ord_82210//Sanjay Nair//Dadar//Chicken Puff+4*Ram Gopal/8/8/2023//Online Payment//Cancelled*Delayed Delivery:Bad Weather Conditions </t>
  </si>
  <si>
    <t>//ord_82211//Sahil Desai//Colaba//Juice+9*Nikhil Deshmukh/8/4/2023//Online Payment//Delivered*Packaging: Secure and intact</t>
  </si>
  <si>
    <t>//ord_82212//Mehul Thakkar//Dadar//Papaya+1*Aman Kumar/3/28/2023//Credit Card//Delivered*Satisfied with the Delivery: Timely and quality</t>
  </si>
  <si>
    <t>//ord_82213//Aarav Mehta//Andheri//Icecream+3*Not Assigned/12/13/2023//UPI//Cancelled*App Glitches: Payment Button Malfunction</t>
  </si>
  <si>
    <t>//ord_82214//Mehul Thakkar//Malad//Orange+2*Neha Shah/5/10/2023//UPI//Delivered*Customer Service: Seamless and easy</t>
  </si>
  <si>
    <t>//ord_82215//Arvind Kulkarni//Juhu//Icecream+5*Not Assigned/4/22/2023//Credit Card//Cancelled*App Glitches:Slow Loading Time</t>
  </si>
  <si>
    <t>//ord_82216//Dev Chauhan//Bandra//Onion+1*Priya Joshi/12/5/2023//Online Payment//Delivered*Delivery Experience: Quick and professional</t>
  </si>
  <si>
    <t>//ord_82217//Sakshi Tandon//Colaba//Banana+1*Not Assigned/8/18/2023//UPI//Cancelled*App Glitches: Payment Button Malfunction</t>
  </si>
  <si>
    <t>//ord_82218//Mehul Thakkar//Dadar//Chicken Puff+3*Aman Kumar/3/8/2023//Credit Card//Delivered*Convenience: Easy tracking</t>
  </si>
  <si>
    <t>//ord_92219//Ritika Dutta//Lower Parel//Icecream+8*Kiran Mehta/4/15/2023//Online Payment//Delivered*Overall Satisfaction: Great service will order again</t>
  </si>
  <si>
    <t>//ord_92220//Ishita Banerjee//Juhu//Cucumber+1*Tanvi Jain/9/29/2023//Online Payment//Delivered*On-time Delivery: Delivered on time</t>
  </si>
  <si>
    <t>//ord_92221//Sana Malik//Juhu//Chocolate Mousse+7*Tanvi Jain/10/24/2023//Online Payment//Delivered*Quality of Items: Perfect condition</t>
  </si>
  <si>
    <t>//ord_92222//Pranav Joshi//Andheri//Rasmalai+1*Rohan Yadav/8/16/2023//UPI//Delivered*On-time Delivery: Delivered on time</t>
  </si>
  <si>
    <t>//ord_92223//Mohit Malhotra//Lower Parel//Veg Puff+3*Kiran Mehta/3/7/2023//UPI//Delivered*Quality of Items: Perfect condition</t>
  </si>
  <si>
    <t>//ord_92224//Mehul Thakkar//Dadar//Sweet Corn+1*Aman Kumar/11/20/2023//Credit Card//Delivered*Packaging: Secure and intact</t>
  </si>
  <si>
    <t>//ord_92225//Yash Verma//Colaba//Tomato+2*Nikhil Deshmukh/3/27/2023//Credit Card//Delivered*Satisfied with the Delivery: Timely and quality</t>
  </si>
  <si>
    <t>//ord_92226//Sana Malik//Juhu//Popcorn+7*Tanvi Jain/9/9/2023//Online Payment//Delivered*Customer Service: Seamless and easy</t>
  </si>
  <si>
    <t>//ord_92227//Yash Verma//Colaba//Orange+2*Nikhil Deshmukh/12/2/2023//Credit Card//Delivered*Delivery Experience: Quick and professional</t>
  </si>
  <si>
    <t>//ord_92228//Aditya Rao//Lower Parel//Rasmalai+5*Kiran Mehta/4/13/2023//Online Payment//Delivered*Convenience: Easy tracking</t>
  </si>
  <si>
    <t>//ord_92229//Nitin Sehgal//Bandra//Cold Coffee+4*Priya Joshi/12/6/2023//Online Payment//Delivered*Overall Satisfaction: Great service will order again</t>
  </si>
  <si>
    <t>//ord_92230//Riya Chakraborty//Juhu//Papaya+2*Tanvi Jain/2/19/2023//Credit Card//Delivered*On-time Delivery: Delivered on time</t>
  </si>
  <si>
    <t>//ord_92231//Aditya Basu//Juhu//Cucumber+2*Tanvi Jain/11/6/2023//UPI//Delivered*Quality of Items: Perfect condition</t>
  </si>
  <si>
    <t>//ord_92232//Tanishq Bansal//Bandra//Tomato+1*Priya Joshi/7/19/2023//Online Payment//Delivered*On-time Delivery: Delivered on time</t>
  </si>
  <si>
    <t>//ord_92233//Ritika Dutta//Lower Parel//Apple+2*Kiran Mehta/9/29/2023//UPI//Delivered*Quality of Items: Perfect condition</t>
  </si>
  <si>
    <t>//ord_92234//Simran Bhatt//Juhu//Sweet Corn+2*Tanvi Jain/3/22/2023//UPI//Delivered*Packaging: Secure and intact</t>
  </si>
  <si>
    <t>//ord_92235//Anaya Rao//Malad//Tiramisu+1*Neha Shah/12/19/2023//UPI//Delivered*Satisfied with the Delivery: Timely and quality</t>
  </si>
  <si>
    <t>//ord_92236//Yash Verma//Colaba//Sweet Corn+3*Nikhil Deshmukh/2/15/2023//UPI//Delivered*Customer Service: Seamless and easy</t>
  </si>
  <si>
    <t>//ord_92237//Leena Das//Andheri//Orange+2*Rohan Yadav/2/9/2023//UPI//Delivered*Delivery Experience: Quick and professional</t>
  </si>
  <si>
    <t>//ord_82238//Yash Verma//Lower Parel//Rasmalai+5*Kiran Mehta/12/25/2023//UPI//Delivered*Convenience: Easy tracking</t>
  </si>
  <si>
    <t>//ord_92238//Diya Arora//Lower Parel//Onion+2*Kiran Mehta/9/20/2023//UPI//Delivered*Delivery Experience: Quick and professional</t>
  </si>
  <si>
    <t>//ord_92239//Mohit Malhotra//Lower Parel//Tomato+2*Kiran Mehta/7/16/2023//UPI//Delivered*Overall Satisfaction: Great service will order again</t>
  </si>
  <si>
    <t>//ord_92240//Tanishq Bansal//Powai//Guava+2*Sandeep Kumar/8/19/2023//UPI//Delivered*On-time Delivery: Delivered on time</t>
  </si>
  <si>
    <t>//ord_92241//Aditi Iyer//Dadar//Cucumber+2*Aman Kumar/10/29/2023//UPI//Delivered*Quality of Items: Perfect condition</t>
  </si>
  <si>
    <t>//ord_92242//Ishaan Chaturvedi//Bandra//Potato+1*Priya Joshi/7/11/2023//Online Payment//Delivered*Packaging: Secure and intact</t>
  </si>
  <si>
    <t>//ord_92243//Pranav Joshi//Andheri//Sweet Corn+1*Vivek Kumar/6/27/2023//Online Payment//Delivered*Satisfied with the Delivery: Timely and quality</t>
  </si>
  <si>
    <t>//ord_92244//Dev Chauhan//Bandra//Sweet Corn+2*Sita T/10/21/2023//Credit Card//Delivered*Customer Service: Seamless and easy</t>
  </si>
  <si>
    <t>//ord_92245//Pallavi Ghosh//Bandra//Orange+2*Vivek Kumar/12/26/2023//Credit Card//Delivered*Delivery Experience: Quick and professional</t>
  </si>
  <si>
    <t>//ord_92246//Anaya Rao//Colaba//Tomato+1*Vivek Kumar/7/10/2023//UPI//Delivered*On-time Delivery: Delivered on time</t>
  </si>
  <si>
    <t>//ord_92247//Diya Arora//Lower Parel//Onion+1*Nithin Lal/11/30/2023//UPI//Delivered*Satisfied with the Delivery: Timely and quality</t>
  </si>
  <si>
    <t>//ord_92248//Dev Chauhan//Bandra//Papaya+1*Ram Gopal/11/12/2023//UPI//Delivered*On-time Delivery: Delivered on time</t>
  </si>
  <si>
    <t>//ord_92249//Aarav Mehta//Andheri//Apple+1*Vivek Kumar/7/20/2023//UPI//Delivered*Quality of Items: Perfect condition</t>
  </si>
  <si>
    <t>//ord_92250//Dev Chauhan//Bandra//Orange+2*Sita T/9/24/2023//Credit Card//Delivered*Quality of Items: Perfect condition</t>
  </si>
  <si>
    <t>//ord_92251//Dev Chauhan//Bandra//Cucumber+1*Vivek Kumar/10/4/2023//Online Payment//Delivered*Packaging: Secure and intact</t>
  </si>
  <si>
    <t>//ord_92252//Simran Bhatt//Juhu//Orange+2*Vivek Kumar/9/22/2023//Credit Card//Delivered*Satisfied with the Delivery: Timely and quality</t>
  </si>
  <si>
    <t>//ord_92253//Ishita Banerjee//Juhu//Banana+2*Ramesh S/11/13/2023//UPI//Delivered*Convenience: Easy tracking</t>
  </si>
  <si>
    <t>//ord_92254//Omkar Mishra//Powai//Sweet Corn+2*Ramesh S/7/11/2023//Credit Card//Delivered*Overall Satisfaction: Great service will order again</t>
  </si>
  <si>
    <t>//ord_92255//Omkar Mishra//Powai//Banana+1*Venu R/9/4/2023//UPI//Delivered*Quality of Items: Perfect condition</t>
  </si>
  <si>
    <t>//ord_92256//Sanjay Nair//Dadar//Potato+1*Venu R/11/15/2023//UPI//Delivered*Packaging: Secure and intact</t>
  </si>
  <si>
    <t>//ord_92257//Tanishq Bansal//Powai//Guava+2*Manju Ajay/6/13/2023//UPI//Delivered*Customer Service: Seamless and easy</t>
  </si>
  <si>
    <t>//ord_92258//Aditya Basu//Juhu//Tomato+3*Venu R/7/29/2023//Online Payment//Delivered*Convenience: Easy tracking</t>
  </si>
  <si>
    <t>//ord_92259//Sakshi Tandon//Colaba//Orange+2*Ramesh S/8/5/2023//UPI//Delivered*Overall Satisfaction: Great service will order again</t>
  </si>
  <si>
    <t>//ord_92260//Arvind Kulkarni//Juhu//Potato+1*Nithin Lal/7/27/2023//Credit Card//Delivered*Quality of Items: Perfect condition</t>
  </si>
  <si>
    <t>//ord_92261//Diya Arora//Lower Parel//Apple+2*Ramesh S/7/16/2023//UPI//Delivered*On-time Delivery: Delivered on time</t>
  </si>
  <si>
    <t>//ord_92262//Simran Bhatt//Juhu//Papaya+2*Ram Gopal/9/17/2023//UPI//Delivered*Quality of Items: Perfect condition</t>
  </si>
  <si>
    <t>//ord_92263//Tanishq Bansal//Powai//Guava+1*Ramesh S/6/3/2023//Credit Card//Delivered*Satisfied with the Delivery: Timely and quality</t>
  </si>
  <si>
    <t>//ord_92264//Aditi Iyer//Dadar//Orange+2*Venu R/9/1/2023//Online Payment//Delivered*Customer Service: Seamless and easy</t>
  </si>
  <si>
    <t>//ord_92265//Diya Arora//Lower Parel//Sweet Corn+2*Manju Ajay/8/16/2023//Online Payment//Delivered*Delivery Experience: Quick and professional</t>
  </si>
  <si>
    <t>//ord_92266//Parth Goel//Juhu//Papaya+1*Ram Gopal/8/15/2023//Online Payment//Delivered*Quality of Items: Perfect condition</t>
  </si>
  <si>
    <t>//ord_92267//Pranav Joshi//Andheri//Apple+2*Ramesh S/11/30/2023//Online Payment//Delivered*On-time Delivery: Delivered on time</t>
  </si>
  <si>
    <t>//ord_92268//Aarohi Kapoor//Bandra//Guava+2*Sita T/12/19/2023//UPI//Delivered*Quality of Items: Perfect condition</t>
  </si>
  <si>
    <t>//ord_92269//Parth Goel//Juhu//Banana+1*Vivek Kumar/8/2/2023//Online Payment//Delivered*Packaging: Secure and intact</t>
  </si>
  <si>
    <t>//ord_92270//Sanjay Nair//Dadar//Potato+2*Ramesh S/10/18/2023//UPI//Delivered*Customer Service: Seamless and easy</t>
  </si>
  <si>
    <t>//ord_92271//Tanishq Bansal//Powai//Banana+1*Manju Ajay/11/1/2023//Online Payment//Delivered*On-time Delivery: Delivered on time</t>
  </si>
  <si>
    <t>//ord_92272//Tanishq Bansal//Powai//Papaya+2*Venu R/12/17/2023//Online Payment//Delivered*Delivery Experience: Quick and professional</t>
  </si>
  <si>
    <t>//ord_92273//Omkar Mishra//Powai//Guava+2*Venu R/9/6/2023//UPI//Delivered*Convenience: Easy tracking</t>
  </si>
  <si>
    <t>//ord_92274//Omkar Mishra//Powai//Banana+2*Venu R/12/12/2023//UPI//Delivered*Overall Satisfaction: Great service will order again</t>
  </si>
  <si>
    <t>//ord_92275//Anaya Rao//Colaba//Guava+1*Venu R/7/7/2023//UPI//Delivered*On-time Delivery: Delivered on time</t>
  </si>
  <si>
    <t>//ord_92276//Dev Chauhan//Bandra//Banana+1*Nithin Lal/7/27/2023//UPI//Delivered*Quality of Items: Perfect condition</t>
  </si>
  <si>
    <t>//ord_92277//Kavya Menon//Andheri//Tiramisu+3*Vivek Kumar/9/13/2023//Credit Card//Delivered*Quality of Items: Perfect condition</t>
  </si>
  <si>
    <t>//ord_92278//Kavya Menon//Andheri//Chocolate Mousse+3*Sita T/7/18/2023//UPI//Delivered*Packaging: Secure and intact</t>
  </si>
  <si>
    <t>//ord_92279//Anaya Rao//Colaba//Apple+1*Sita T/8/3/2023//UPI//Delivered*Delivery Experience: Quick and professional</t>
  </si>
  <si>
    <t>//ord_92280//Harsh Vardhan//Bandra//Chocolate Mousse+4*Nithin Lal/7/10/2023//UPI//Delivered*Convenience: Easy tracking</t>
  </si>
  <si>
    <t>//ord_92281//Dev Chauhan//Bandra//Popcorn+5*Vivek Kumar/7/24/2023//UPI//Delivered*On-time Delivery: Delivered on time</t>
  </si>
  <si>
    <t>//ord_92282//Siya Reddy//Juhu//Apple+1*Vivek Kumar/12/21/2023//Online Payment//Delivered*Quality of Items: Perfect condition</t>
  </si>
  <si>
    <t>//ord_92283//Aarav Mehta//Andheri//Cold Coffee+3*Not Assigned/8/27/2023//Credit Card//Cancelled*App Glitches: Inconsistent Data Display</t>
  </si>
  <si>
    <t>//ord_92295//Diya Arora//Lower Parel//Sweet Corn+2*Sita T/8/16/2023//UPI//Delivered*Packaging: Secure and intact</t>
  </si>
  <si>
    <t>//ord_92296//Arvind Kulkarni//Juhu//Cucumber+2*Ram Gopal/9/18/2023//Online Payment//Delivered*Satisfied with the Delivery: Timely and quality</t>
  </si>
  <si>
    <t>//ord_92297//Aarohi Kapoor//Bandra//Sweet Corn+1*Ramesh S/10/20/2023//UPI//Delivered*Customer Service: Seamless and easy</t>
  </si>
  <si>
    <t>//ord_92298//Diya Arora//Lower Parel//Papaya+2*Vivek Kumar/6/10/2023//UPI//Delivered*Delivery Experience: Quick and professional</t>
  </si>
  <si>
    <t>//ord_92299//Aarav Mehta//Andheri//Tiramisu+3*Ram Gopal/12/22/2023//UPI//Delivered*Convenience: Easy tracking</t>
  </si>
  <si>
    <t>//ord_92300//Parth Goel//Juhu//Juice+1*Sita T/6/19/2023//UPI//Delivered*Overall Satisfaction: Great service will order again</t>
  </si>
  <si>
    <t>//ord_92301//Aditi Iyer//Dadar//Tomato+1*Ramesh S/8/3/2023//UPI//Delivered*On-time Delivery: Delivered on time</t>
  </si>
  <si>
    <t>//ord_92302//Pranav Joshi//Andheri//Cucumber+2*Manju Ajay/11/18/2023//UPI//Delivered*On-time Delivery: Delivered on time</t>
  </si>
  <si>
    <t>//ord_92303//Mohit Malhotra//Lower Parel//Rasmalai+3*Sita T/8/19/2023//Credit Card//Delivered*Quality of Items: Perfect condition</t>
  </si>
  <si>
    <t>//ord_92304//Arvind Kulkarni//Juhu//Guava+1*Ram Gopal/12/25/2023//Credit Card//Delivered*Packaging: Secure and intact</t>
  </si>
  <si>
    <t>//ord_92322//Arvind Kulkarni//Juhu//Banana+1*Ramesh S/7/24/2023//UPI//Delivered*Satisfied with the Delivery: Timely and quality</t>
  </si>
  <si>
    <t>//ord_92323//Arvind Kulkarni//Juhu//Sweet Corn+2*Ramesh S/7/9/2023//UPI//Delivered*Customer Service: Seamless and easy</t>
  </si>
  <si>
    <t>//ord_92324//Diya Arora//Lower Parel//Chicken Puff+3*Ramesh S/12/27/2023//Credit Card//Delivered*Delivery Experience: Quick and professional</t>
  </si>
  <si>
    <t>//ord_92325//Diya Arora//Lower Parel//Onion+2*Ram Gopal/7/10/2023//Online Payment//Delivered*Convenience: Easy tracking</t>
  </si>
  <si>
    <t>//ord_92326//Dev Chauhan//Bandra//Cucumber+2*Ram Gopal/9/9/2023//UPI//Delivered*Overall Satisfaction: Great service will order again</t>
  </si>
  <si>
    <t>//ord_92327//Aarav Mehta//Andheri//Popcorn+4*Vivek Kumar/11/19/2023//Credit Card//Delivered*On-time Delivery: Delivered on time</t>
  </si>
  <si>
    <t>//ord_92328//Aditya Rao//Lower Parel//Chicken Puff+5*Sita T/8/14/2023//UPI//Delivered*Quality of Items: Perfect condition</t>
  </si>
  <si>
    <t>//ord_92329//Aarav Mehta//Andheri//Icecream+2*Not Assigned/7/16/2023//Online Payment//Cancelled*App Glitches:Slow Loading Time</t>
  </si>
  <si>
    <t>//ord_92293//Pranav Joshi//Andheri//Sweet Corn+1*Rohan Yadav/6/11/2023//UPI//Delivered*Packaging: Secure and intact</t>
  </si>
  <si>
    <t>//ord_92294//Mehul Thakkar//Malad//Potato+1*Neha Shah/10/21/2023//UPI//Delivered*Satisfied with the Delivery: Timely and quality</t>
  </si>
  <si>
    <t>//ord_92184//Pallavi Ghosh//Bandra//Guava+2*Priya Joshi/7/3/2023//Online Payment//Delivered*Customer Service: Seamless and easy</t>
  </si>
  <si>
    <t>//ord_91285//Anaya Rao//Colaba//Popcorn+1*Nikhil Deshmukh/10/6/2023//COD//Delivered*Delivery Experience: Quick and professional</t>
  </si>
  <si>
    <t>//ord_92186//Omkar Mishra//Powai//Onion+1*Sandeep Kumar/9/10/2023//Online Payment//Delivered*Convenience: Easy tracking</t>
  </si>
  <si>
    <t>//ord_92187//Diya Arora//Lower Parel//Orange+1*Kiran Mehta/11/10/2023//Online Payment//Delivered*Overall Satisfaction: Great service will order again</t>
  </si>
  <si>
    <t>//ord_91288//Omkar Mishra//Powai//Chocolate Mousse+3*Sandeep Kumar/9/14/2023//COD//Delivered*On-time Delivery: Delivered on time</t>
  </si>
  <si>
    <t>//ord_92189//Dev Chauhan//Bandra//Chicken Puff+5*Priya Joshi/10/12/2023//Online Payment//Delivered*On-time Delivery: Delivered on time</t>
  </si>
  <si>
    <t>//ord_91290//Anaya Rao//Colaba//Juice+1*Nikhil Deshmukh/10/8/2023//Online Payment//Delivered*Quality of Items: Perfect condition</t>
  </si>
  <si>
    <t>//ord_92191//Parth Goel//Juhu//Rasmalai+4*Tanvi Jain/11/14/2023//Credit Card//Delivered*Packaging: Secure and intact</t>
  </si>
  <si>
    <t>//ord_91292//Pranav Joshi//Andheri//Potato+1*Rohan Yadav/12/12/2023//Online Payment//Delivered*Satisfied with the Delivery: Timely and quality</t>
  </si>
  <si>
    <t>//ord_91386//Pallavi Ghosh//Bandra//Cucumber+2*Priya Joshi/11/8/2023//Credit Card//Delivered*Customer Service: Seamless and easy</t>
  </si>
  <si>
    <t>//ord_92305//Pallavi Ghosh//Bandra//Cold Coffee+4*Priya Joshi/8/15/2023//COD//Delivered*Delivery Experience: Quick and professional</t>
  </si>
  <si>
    <t>//ord_92306//Tanishq Bansal//Bandra//Papaya+2*Priya Joshi/11/24/2023//Credit Card//Delivered*Convenience: Easy tracking</t>
  </si>
  <si>
    <t>//ord_92307//Tanishq Bansal//Bandra//Rasmalai+5*Priya Joshi/9/20/2023//UPI//Delivered*Overall Satisfaction: Great service will order again</t>
  </si>
  <si>
    <t>//ord_92308//Dev Chauhan//Bandra//Apple+2*Priya Joshi/11/12/2023//COD//Delivered*On-time Delivery: Delivered on time</t>
  </si>
  <si>
    <t>//ord_92309//Arvind Kulkarni//Juhu//Icecream+2*Tanvi Jain/12/9/2023//Credit Card//Delivered*Quality of Items: Perfect condition</t>
  </si>
  <si>
    <t>//ord_92310//Parth Goel//Juhu//Chocolate Mousse+4*Not Assigned/10/7/2023//Online Payment//Cancelled*App Glitches: Payment Button Malfunction</t>
  </si>
  <si>
    <t>//ord_92311//Mehul Thakkar//Malad//Juice+4*Neha Shah/7/9/2023//UPI//Delivered*Packaging: Secure and intact</t>
  </si>
  <si>
    <t>//ord_92312//Sakshi Tandon//Colaba//Papaya+2*Nikhil Deshmukh/6/16/2023//UPI//Delivered*Satisfied with the Delivery: Timely and quality</t>
  </si>
  <si>
    <t>//ord_92313//Ishaan Chaturvedi//Bandra//Chilli Cheese Toast+1*Priya Joshi/9/7/2023//UPI//Delivered*Customer Service: Seamless and easy</t>
  </si>
  <si>
    <t>//ord_92314//Riya Chakraborty//Juhu//Juice+3*Tanvi Jain/6/15/2023//Credit Card//Delivered*Delivery Experience: Quick and professional</t>
  </si>
  <si>
    <t>//ord_92315//Aarohi Kapoor//Bandra//Chilli Cheese Toast+5*Ramesh S/9/21/2023//Credit Card//Delivered*Convenience: Easy tracking</t>
  </si>
  <si>
    <t>//ord_92316//Mehul Thakkar//Malad//Papaya+2*Vivek Kumar/7/18/2023//Online Payment//Delivered*Overall Satisfaction: Great service will order again</t>
  </si>
  <si>
    <t>//ord_92317//Aarohi Kapoor//Bandra//Apple+1*Shine Thomas/12/19/2023//UPI//Delivered*On-time Delivery: Delivered on time</t>
  </si>
  <si>
    <t>//ord_92318//Mehul Thakkar//Malad//Tiramisu+1*Vivek Kumar/8/20/2023//Online Payment//Delivered*On-time Delivery: Delivered on time</t>
  </si>
  <si>
    <t>//ord_92319//Siya Reddy//Juhu//Rasmalai+5*Shine Thomas/12/6/2023//COD//Delivered*Quality of Items: Perfect condition</t>
  </si>
  <si>
    <t>//ord_92320//Mehul Thakkar//Malad//Cucumber+2*Ramesh S/8/17/2023//Credit Card//Delivered*Packaging: Secure and intact</t>
  </si>
  <si>
    <t>//ord_92348//Aditi Iyer//Bandra//Popcorn+1*Shine Thomas/7/22/2023//COD//Delivered*Satisfied with the Delivery: Timely and quality</t>
  </si>
  <si>
    <t>//ord_92349//Shruti Aggarwal//Colaba//Chilli Cheese Toast+5*Vivek Kumar/6/15/2023//UPI//Delivered*Customer Service: Seamless and easy</t>
  </si>
  <si>
    <t>//ord_92350//Sana Malik//Powai//Tomato+2*Nithin Lal/12/6/2023//Online Payment//Delivered*Delivery Experience: Quick and professional</t>
  </si>
  <si>
    <t>//ord_92351//Yash Verma//Lower Parel//Icecream+8*Venu R/6/27/2023//COD//Delivered*Convenience: Easy tracking</t>
  </si>
  <si>
    <t>//ord_92352//Aarohi Kapoor//Bandra//Potato+1*Ram Gopal/6/9/2023//UPI//Delivered*Overall Satisfaction: Great service will order again</t>
  </si>
  <si>
    <t>//ord_92353//Arvind Kulkarni//Juhu//Sweet Corn+2*Vivek Kumar/12/8/2023//COD//Delivered*On-time Delivery: Delivered on time</t>
  </si>
  <si>
    <t>//ord_92354//Arvind Kulkarni//Juhu//Cold Coffee+4*Ramesh S/10/22/2023//COD//Delivered*Quality of Items: Perfect condition</t>
  </si>
  <si>
    <t>//ord_92355//Parth Goel//Juhu//Sweet Corn+1*Not Assigned/10/17/2023//Online Payment//Cancelled*App Glitches: Payment Button Malfunction</t>
  </si>
  <si>
    <t>//ord_92356//Kritika Shetty//Malad//Potato+2*Ramesh S/10/22/2023//Credit Card//Delivered*Packaging: Secure and intact</t>
  </si>
  <si>
    <t>//ord_92330//Sakshi Tandon//Colaba//Chilli Cheese Toast+2*Shine Thomas/10/4/2023//COD//Delivered*Satisfied with the Delivery: Timely and quality</t>
  </si>
  <si>
    <t>//ord_92331//Sakshi Tandon//Colaba//Onion+1*Nithin Lal/6/10/2023//Credit Card//Delivered*Customer Service: Seamless and easy</t>
  </si>
  <si>
    <t>//ord_92332//Omkar Mishra//Powai//Rasmalai+3*Nithin Lal/11/20/2023//Online Payment//Delivered*Delivery Experience: Quick and professional</t>
  </si>
  <si>
    <t>//ord_92333//Aditya Basu//Juhu//Cucumber+3*Venu R/11/11/2023//UPI//Delivered*Convenience: Easy tracking</t>
  </si>
  <si>
    <t>//ord_92334//Kritika Shetty//Malad//Tomato+2*Ramesh S/6/21/2023//Credit Card//Delivered*Overall Satisfaction: Great service will order again</t>
  </si>
  <si>
    <t>//ord_92335//Sakshi Tandon//Colaba//Orange+2*Shine Thomas/9/10/2023//UPI//Delivered*On-time Delivery: Delivered on time</t>
  </si>
  <si>
    <t>//ord_92336//Aarohi Kapoor//Bandra//Banana+1*Nithin Lal/10/25/2023//Online Payment//Delivered*On-time Delivery: Delivered on time</t>
  </si>
  <si>
    <t>//ord_92337//Sanjay Nair//Dadar//Sweet Corn+1*Vivek Kumar/7/6/2023//Credit Card//Delivered*Quality of Items: Perfect condition</t>
  </si>
  <si>
    <t>//ord_92338//Shruti Aggarwal//Colaba//Orange+2*Manju Ajay/11/19/2023//UPI//Delivered*Packaging: Secure and intact</t>
  </si>
  <si>
    <t>//ord_92339//Mehul Thakkar//Dadar//Rasmalai+4*Nithin Lal/10/19/2023//Online Payment//Delivered*Satisfied with the Delivery: Timely and quality</t>
  </si>
  <si>
    <t>//ord_92340//Sana Malik//Powai//Juice+4*Manju Ajay/11/10/2023//UPI//Delivered*Customer Service: Seamless and easy</t>
  </si>
  <si>
    <t>//ord_92341//Yash Verma//Lower Parel//Onion+3*Venu R/9/20/2023//Credit Card//Delivered*Delivery Experience: Quick and professional</t>
  </si>
  <si>
    <t>//ord_92342//Sana Malik//Juhu//Icecream+2*Ram Gopal/11/14/2023//Credit Card//Delivered*Convenience: Easy tracking</t>
  </si>
  <si>
    <t>//ord_92343//Harsh Vardhan//Bandra//Tomato+2*Ramesh S/7/14/2023//Online Payment//Delivered*Overall Satisfaction: Great service will order again</t>
  </si>
  <si>
    <t>//ord_92344//Sana Malik//Powai//Potato+4*Vivek Kumar/9/22/2023//Online Payment//Delivered*On-time Delivery: Delivered on time</t>
  </si>
  <si>
    <t>//ord_92345//Yash Verma//Lower Parel//Chicken Puff+9*Venu R/10/14/2023//UPI//Delivered*Quality of Items: Perfect condition</t>
  </si>
  <si>
    <t>//ord_92346//Leena Das//Andheri//Papaya+2*Priya Joshi/9/23/2023//Online Payment//Cancelled*Delayed Delivery:Heavy Traffic</t>
  </si>
  <si>
    <t>//ord_92347//Yash Verma//Colaba//Veg Puff+8*Sita T/8/8/2023//Credit Card//Delivered*Packaging: Secure and intact</t>
  </si>
  <si>
    <t>//ord_92376//Sanjay Nair//Dadar//Rasmalai+3*Nithin Lal/12/9/2023//Online Payment//Delivered*Satisfied with the Delivery: Timely and quality</t>
  </si>
  <si>
    <t>//ord_92377//Parth Goel//Juhu//Cucumber+2*Manju Ajay/10/26/2023//Online Payment//Delivered*Customer Service: Seamless and easy</t>
  </si>
  <si>
    <t>//ord_92378//Pranav Joshi//Andheri//Popcorn+2*Ramesh S/11/15/2023//Online Payment//Delivered*Delivery Experience: Quick and professional</t>
  </si>
  <si>
    <t>//ord_92379//Pallavi Ghosh//Bandra//Guava+2*Sita T/12/10/2023//UPI//Delivered*Convenience: Easy tracking</t>
  </si>
  <si>
    <t>//ord_92380//Sanjay Nair//Dadar//Icecream+3*Vivek Kumar/6/7/2023//UPI//Delivered*Overall Satisfaction: Great service will order again</t>
  </si>
  <si>
    <t>//ord_92381//Ishita Banerjee//Juhu//Onion+1*Manju Ajay/9/27/2023//Credit Card//Delivered*On-time Delivery: Delivered on time</t>
  </si>
  <si>
    <t>//ord_92382//Sakshi Tandon//Colaba//Apple+2*Ramesh S/9/8/2023//Online Payment//Delivered*On-time Delivery: Delivered on time</t>
  </si>
  <si>
    <t>//ord_92383//Simran Bhatt//Juhu//Rasmalai+5*Nithin Lal/7/17/2023//Online Payment//Delivered*Quality of Items: Perfect condition</t>
  </si>
  <si>
    <t>//ord_92384//Ritika Dutta//Lower Parel//Icecream+7*Ramesh S/8/26/2023//UPI//Delivered*Packaging: Secure and intact</t>
  </si>
  <si>
    <t>//ord_92385//Arvind Kulkarni//Juhu//Apple+1*Ram Gopal/10/21/2023//Credit Card//Delivered*Satisfied with the Delivery: Timely and quality</t>
  </si>
  <si>
    <t>//ord_92358//Ishaan Chaturvedi//Bandra//Cold Coffee+5*Ramesh S/7/27/2023//Online Payment//Delivered*Customer Service: Seamless and easy</t>
  </si>
  <si>
    <t>//ord_92359//Aarohi Kapoor//Bandra//Apple+2*Vivek Kumar/8/10/2023//Online Payment//Delivered*Delivery Experience: Quick and professional</t>
  </si>
  <si>
    <t>//ord_92360//Anaya Rao//Colaba//Apple+1*Vivek Kumar/6/11/2023//Online Payment//Delivered*Convenience: Easy tracking</t>
  </si>
  <si>
    <t>//ord_92361//Arvind Kulkarni//Juhu//Chocolate Mousse+5*Nithin Lal/9/15/2023//UPI//Delivered*Overall Satisfaction: Great service will order again</t>
  </si>
  <si>
    <t>//ord_92362//Pallavi Ghosh//Bandra//Potato+2*Ramesh S/7/7/2023//UPI//Delivered*On-time Delivery: Delivered on time</t>
  </si>
  <si>
    <t>//ord_92363//Ishaan Chaturvedi//Bandra//Popcorn+2*Vivek Kumar/9/18/2023//UPI//Delivered*Quality of Items: Perfect condition</t>
  </si>
  <si>
    <t xml:space="preserve">//ord_92364//Parth Goel//Juhu//Tiramisu+5*Vivek Kumar/6/19/2023//Credit Card//Cancelled*Delayed Delivery:Bad Weather Conditions </t>
  </si>
  <si>
    <t>//ord_92365//Mehul Thakkar//Malad//Popcorn+3*Ramesh S/11/9/2023//Credit Card//Delivered*Packaging: Secure and intact</t>
  </si>
  <si>
    <t>//ord_92366//Dev Chauhan//Bandra//Chocolate Mousse+5*Shine Thomas/7/16/2023//Credit Card//Delivered*Satisfied with the Delivery: Timely and quality</t>
  </si>
  <si>
    <t>//ord_92367//Aditi Iyer//Dadar//Rasmalai+5*Vivek Kumar/8/16/2023//UPI//Delivered*Customer Service: Seamless and easy</t>
  </si>
  <si>
    <t>//ord_92368//Sakshi Tandon//Colaba//Juice+3*Manju Ajay/10/20/2023//Credit Card//Delivered*Delivery Experience: Quick and professional</t>
  </si>
  <si>
    <t>//ord_92369//Kritika Shetty//Malad//Tomato+1*Nithin Lal/9/6/2023//Credit Card//Delivered*Convenience: Easy tracking</t>
  </si>
  <si>
    <t>//ord_92370//Dev Chauhan//Bandra//Potato+1*Shine Thomas/8/16/2023//UPI//Delivered*Overall Satisfaction: Great service will order again</t>
  </si>
  <si>
    <t>//ord_92371//Ritika Dutta//Lower Parel//Icecream+6*Vivek Kumar/6/8/2023//UPI//Delivered*On-time Delivery: Delivered on time</t>
  </si>
  <si>
    <t>//ord_92372//Anaya Rao//Colaba//Onion+2*Ram Gopal/12/30/2023//UPI//Delivered*On-time Delivery: Delivered on time</t>
  </si>
  <si>
    <t>//ord_92373//Aarohi Kapoor//Bandra//Juice+1*Nithin Lal/6/13/2023//UPI//Delivered*Quality of Items: Perfect condition</t>
  </si>
  <si>
    <t>//ord_92374//Diya Arora//Lower Parel//Cucumber+2*Vivek Kumar/9/13/2023//Credit Card//Delivered*Packaging: Secure and intact</t>
  </si>
  <si>
    <t>//ord_92375//Siya Reddy//Juhu//Cucumber+1*Ram Gopal/10/4/2023//UPI//Delivered*Satisfied with the Delivery: Timely and quality</t>
  </si>
  <si>
    <t>//ord_92284//Pallavi Ghosh//Bandra//Guava+2*Ramesh S/7/3/2023//Online Payment//Delivered*Customer Service: Seamless and easy</t>
  </si>
  <si>
    <t>//ord_92285//Anaya Rao//Colaba//Popcorn+1*Vivek Kumar/10/6/2023//UPI//Delivered*Delivery Experience: Quick and professional</t>
  </si>
  <si>
    <t>//ord_92286//Omkar Mishra//Powai//Onion+1*Nithin Lal/9/10/2023//Online Payment//Delivered*Convenience: Easy tracking</t>
  </si>
  <si>
    <t>//ord_92287//Diya Arora//Lower Parel//Orange+1*Venu R/11/10/2023//Online Payment//Delivered*Overall Satisfaction: Great service will order again</t>
  </si>
  <si>
    <t>//ord_92288//Omkar Mishra//Powai//Chocolate Mousse+3*Ram Gopal/9/14/2023//UPI//Delivered*On-time Delivery: Delivered on time</t>
  </si>
  <si>
    <t>//ord_92289//Dev Chauhan//Bandra//Chicken Puff+5*Venu R/10/12/2023//Online Payment//Delivered*Quality of Items: Perfect condition</t>
  </si>
  <si>
    <t>//ord_92290//Anaya Rao//Colaba//Juice+1*Not Assigned/10/8/2023//Online Payment//Cancelled*App Glitches: Payment Button Malfunction</t>
  </si>
  <si>
    <t>//ord_92291//Parth Goel//Juhu//Rasmalai+4*Nithin Lal/11/14/2023//Credit Card//Delivered*Packaging: Secure and intact</t>
  </si>
  <si>
    <t>//ord_92292//Pranav Joshi//Andheri//Potato+1*Ramesh S/12/12/2023//Online Payment//Delivered*Satisfied with the Delivery: Timely and quality</t>
  </si>
  <si>
    <t>//ord_92386//Pallavi Ghosh//Bandra//Cucumber+2*Sita T/11/8/2023//Credit Card//Delivered*Customer Service: Seamless and easy</t>
  </si>
  <si>
    <t>//ord_92480//Dev Chauhan//Bandra//Chilli Cheese Toast+2*Priya Joshi/1/13/2023//UPI//Delivered*Delivery Experience: Quick and professional</t>
  </si>
  <si>
    <t>//ord_92574//Riya Chakraborty//Juhu//Cold Coffee+8*Tanvi Jain/7/13/2023//Credit Card//Delivered*Convenience: Easy tracking</t>
  </si>
  <si>
    <t>//ord_92668//Omkar Mishra//Powai//Tiramisu+2*Sandeep Kumar/12/5/2023//Online Payment//Delivered*Overall Satisfaction: Great service will order again</t>
  </si>
  <si>
    <t>//ord_92762//Sanjay Nair//Dadar//Veg Puff+4*Aman Kumar/11/15/2023//Credit Card//Delivered*On-time Delivery: Delivered on time</t>
  </si>
  <si>
    <t>//ord_92856//Ishita Banerjee//Juhu//Chocolate Mousse+4*Tanvi Jain/11/15/2023//UPI//Delivered*On-time Delivery: Delivered on time</t>
  </si>
  <si>
    <t>//ord_92950//Ishita Banerjee//Juhu//Cold Coffee+5*Tanvi Jain/4/18/2023//Credit Card//Delivered*Quality of Items: Perfect condition</t>
  </si>
  <si>
    <t>//ord_93044//Aarohi Kapoor//Bandra//Banana+1*Priya Joshi/6/19/2023//UPI//Delivered*Packaging: Secure and intact</t>
  </si>
  <si>
    <t>//ord_93138//Omkar Mishra//Powai//Tiramisu+5*Sandeep Kumar/10/7/2023//Credit Card//Delivered*Satisfied with the Delivery: Timely and quality</t>
  </si>
  <si>
    <t>//ord_93232//Aditi Iyer//Dadar//Apple+2*Aman Kumar/12/19/2023//Credit Card//Delivered*Customer Service: Seamless and easy</t>
  </si>
  <si>
    <t>//ord_93326//Omkar Mishra//Powai//Orange+2*Sandeep Kumar/9/17/2023//UPI//Delivered*Delivery Experience: Quick and professional</t>
  </si>
  <si>
    <t>//ord_93420//Siya Reddy//Juhu//Cold Coffee+5*Tanvi Jain/4/6/2023//Online Payment//Delivered*Convenience: Easy tracking</t>
  </si>
  <si>
    <t>//ord_93514//Arvind Kulkarni//Juhu//Banana+1*Tanvi Jain/2/4/2023//UPI//Delivered*Overall Satisfaction: Great service will order again</t>
  </si>
  <si>
    <t>//ord_93608//Pallavi Ghosh//Bandra//Banana+2*Priya Joshi/2/8/2023//UPI//Delivered*On-time Delivery: Delivered on time</t>
  </si>
  <si>
    <t>//ord_93702//Parth Goel//Juhu//Orange+1*Tanvi Jain/1/4/2023//Credit Card//Delivered*Quality of Items: Perfect condition</t>
  </si>
  <si>
    <t>//ord_93796//Arvind Kulkarni//Juhu//Orange+1*Not Assigned/5/7/2023//Credit Card//Cancelled*App Glitches:Slow Loading Time</t>
  </si>
  <si>
    <t>//ord_93890//Nitin Sehgal//Bandra//Banana+1*Priya Joshi/5/19/2023//UPI//Delivered*Packaging: Secure and intact</t>
  </si>
  <si>
    <t>//ord_93984//Anaya Rao//Colaba//Banana+2*Nikhil Deshmukh/6/11/2023//UPI//Delivered*Satisfied with the Delivery: Timely and quality</t>
  </si>
  <si>
    <t>//ord_94078//Kritika Shetty//Malad//Apple+1*Neha Shah/2/6/2023//UPI//Delivered*Customer Service: Seamless and easy</t>
  </si>
  <si>
    <t>//ord_94172//Diya Arora//Lower Parel//Cold Coffee+4*Kiran Mehta/7/4/2023//Credit Card//Delivered*Delivery Experience: Quick and professional</t>
  </si>
  <si>
    <t>//ord_94266//Pallavi Ghosh//Bandra//Tiramisu+3*Priya Joshi/11/15/2023//Credit Card//Delivered*Convenience: Easy tracking</t>
  </si>
  <si>
    <t>//ord_94360//Omkar Mishra//Powai//Chocolate Mousse+5*Sandeep Kumar/3/9/2023//UPI//Delivered*Overall Satisfaction: Great service will order again</t>
  </si>
  <si>
    <t>//ord_94454//Ishaan Chaturvedi//Bandra//Orange+2*Priya Joshi/6/5/2023//UPI//Delivered*On-time Delivery: Delivered on time</t>
  </si>
  <si>
    <t>//ord_94548//Kritika Shetty//Malad//Banana+1*Neha Shah/7/5/2023//UPI//Delivered*On-time Delivery: Delivered on time</t>
  </si>
  <si>
    <t>//ord_94642//Siya Reddy//Juhu//Banana+2*Tanvi Jain/9/20/2023//UPI//Delivered*Quality of Items: Perfect condition</t>
  </si>
  <si>
    <t>//ord_94736//Sanjay Nair//Dadar//Cold Coffee+3*Aman Kumar/12/9/2023//Online Payment//Delivered*Packaging: Secure and intact</t>
  </si>
  <si>
    <t>//ord_94830//Omkar Mishra//Powai//Apple+1*Sandeep Kumar/12/18/2023//Credit Card//Delivered*Satisfied with the Delivery: Timely and quality</t>
  </si>
  <si>
    <t>//ord_94924//Kritika Shetty//Malad//Orange+1*Neha Shah/8/7/2023//Credit Card//Delivered*Customer Service: Seamless and easy</t>
  </si>
  <si>
    <t>//ord_95018//Aarohi Kapoor//Bandra//Tiramisu+2*Priya Joshi/12/19/2023//UPI//Delivered*Delivery Experience: Quick and professional</t>
  </si>
  <si>
    <t>//ord_95112//Sakshi Tandon//Colaba//Cold Coffee+3*Nikhil Deshmukh/10/6/2023//UPI//Delivered*Convenience: Easy tracking</t>
  </si>
  <si>
    <t>//ord_95206//Sanjay Nair//Dadar//Cold Coffee+1*Aman Kumar/2/17/2023//Credit Card//Delivered*Overall Satisfaction: Great service will order again</t>
  </si>
  <si>
    <t>//ord_95300//Mohit Malhotra//Lower Parel//Tiramisu+2*Kiran Mehta/6/16/2023//Credit Card//Delivered*On-time Delivery: Delivered on time</t>
  </si>
  <si>
    <t>//ord_95394//Aarav Mehta//Andheri//Chocolate Mousse+3*Rohan Yadav/3/12/2023//Credit Card//Delivered*Quality of Items: Perfect condition</t>
  </si>
  <si>
    <t>//ord_95488//Simran Bhatt//Juhu//Banana+1*Not Assigned/7/15/2023//UPI//Cancelled*App Glitches:Slow Loading Time</t>
  </si>
  <si>
    <t>//ord_95582//Simran Bhatt//Juhu//Orange+2*Tanvi Jain/3/8/2023//UPI//Delivered*Packaging: Secure and intact</t>
  </si>
  <si>
    <t>//ord_95676//Siya Reddy//Juhu//Apple+2*Tanvi Jain/3/4/2023//Credit Card//Delivered*Satisfied with the Delivery: Timely and quality</t>
  </si>
  <si>
    <t>//ord_95770//Aditi Iyer//Dadar//Orange+2*Aman Kumar/5/19/2023//Credit Card//Delivered*Customer Service: Seamless and easy</t>
  </si>
  <si>
    <t>//ord_95864//Aarav Mehta//Andheri//Cold Coffee+5*Rohan Yadav/4/10/2023//Online Payment//Delivered*Delivery Experience: Quick and professional</t>
  </si>
  <si>
    <t>//ord_95958//Ishaan Chaturvedi//Bandra//Banana+1*Priya Joshi/10/6/2023//Credit Card//Delivered*Convenience: Easy tracking</t>
  </si>
  <si>
    <t>//ord_96052//Aarav Mehta//Andheri//Banana+1*Vivek Kumar/8/6/2023//UPI//Delivered*Overall Satisfaction: Great service will order again</t>
  </si>
  <si>
    <t>//ord_96146//Sanjay Nair//Dadar//Apple+2*Sita T/10/14/2023//Online Payment//Delivered*On-time Delivery: Delivered on time</t>
  </si>
  <si>
    <t>//ord_96240//Ishita Banerjee//Juhu//Cold Coffee+2*Manju Ajay/5/15/2023//Credit Card//Delivered*On-time Delivery: Delivered on time</t>
  </si>
  <si>
    <t>//ord_97274//Sanjay Nair//Dadar//Chocolate Mousse+3*Ramesh S/10/11/2023//Online Payment//Delivered*Quality of Items: Perfect condition</t>
  </si>
  <si>
    <t>//ord_97368//Simran Bhatt//Juhu//Cold Coffee+5*Manju Ajay/12/5/2023//Credit Card//Delivered*Packaging: Secure and intact</t>
  </si>
  <si>
    <t>//ord_97462//Pranav Joshi//Andheri//Apple+2*Ramesh S/9/10/2023//UPI//Delivered*Satisfied with the Delivery: Timely and quality</t>
  </si>
  <si>
    <t>//ord_97556//Anaya Rao//Colaba//Tiramisu+4*Sita T/3/15/2023//Online Payment//Delivered*Customer Service: Seamless and easy</t>
  </si>
  <si>
    <t>//ord_97650//Tanishq Bansal//Powai//Orange+2*Nithin Lal/10/12/2023//UPI//Delivered*Delivery Experience: Quick and professional</t>
  </si>
  <si>
    <t>//ord_97744//Omkar Mishra//Powai//Banana+1*Venu R/12/16/2023//UPI//Delivered*Convenience: Easy tracking</t>
  </si>
  <si>
    <t>//ord_97838//Aarav Mehta//Andheri//Orange+2*Venu R/2/6/2023//Credit Card//Delivered*Overall Satisfaction: Great service will order again</t>
  </si>
  <si>
    <t>//ord_97932//Sakshi Tandon//Colaba//Veg Puff+3*Sita T/6/12/2023//Credit Card//Delivered*On-time Delivery: Delivered on time</t>
  </si>
  <si>
    <t>//ord_98026//Aarav Mehta//Andheri//Chocolate Mousse+1*Nithin Lal/9/15/2023//Credit Card//Delivered*Quality of Items: Perfect condition</t>
  </si>
  <si>
    <t>//ord_98120//Sakshi Tandon//Colaba//Veg Puff+5*Not Assigned/11/16/2023//Online Payment//Cancelled*App Glitches: Payment Button Malfunction</t>
  </si>
  <si>
    <t>//ord_98214//Anaya Rao//Colaba//Cold Coffee+4*Nithin Lal/4/16/2023//Credit Card//Delivered*Packaging: Secure and intact</t>
  </si>
  <si>
    <t>//ord_98308//Omkar Mishra//Powai//Tiramisu+5*Nithin Lal/6/14/2023//Credit Card//Delivered*Satisfied with the Delivery: Timely and quality</t>
  </si>
  <si>
    <t>//ord_98402//Nitin Sehgal//Bandra//Chocolate Mousse+5*Venu R/8/15/2023//Online Payment//Delivered*Customer Service: Seamless and easy</t>
  </si>
  <si>
    <t>//ord_98496//Kritika Shetty//Malad//Apple+1*Vivek Kumar/12/2/2023//UPI//Delivered*Delivery Experience: Quick and professional</t>
  </si>
  <si>
    <t>//ord_98590//Pranav Joshi//Andheri//Orange+2*Shine Thomas/12/15/2023//UPI//Delivered*Convenience: Easy tracking</t>
  </si>
  <si>
    <t>//ord_98684//Ishita Banerjee//Juhu//Veg Puff+4*Sita T/5/16/2023//UPI//Delivered*Overall Satisfaction: Great service will order again</t>
  </si>
  <si>
    <t>//ord_98778//Sanjay Nair//Dadar//Cold Coffee+3*Ramesh S/11/15/2023//UPI//Delivered*On-time Delivery: Delivered on time</t>
  </si>
  <si>
    <t>//ord_98872//Tanishq Bansal//Powai//Veg Puff+2*Manju Ajay/5/3/2023//UPI//Delivered*On-time Delivery: Delivered on time</t>
  </si>
  <si>
    <t>//ord_98966//Aarav Mehta//Andheri//Tiramisu+4*Venu R/6/14/2023//UPI//Delivered*Quality of Items: Perfect condition</t>
  </si>
  <si>
    <t>//ord_99060//Sahil Desai//Lower Parel//Veg Puff+9*Sita T/3/10/2023//Online Payment//Delivered*Packaging: Secure and intact</t>
  </si>
  <si>
    <t>//ord_99154//Tanishq Bansal//Powai//Cold Coffee+1*Ram Gopal/10/17/2023//UPI//Delivered*Satisfied with the Delivery: Timely and quality</t>
  </si>
  <si>
    <t>//ord_99248//Pallavi Ghosh//Bandra//Cold Coffee+4*Venu R/3/17/2023//UPI//Delivered*Customer Service: Seamless and easy</t>
  </si>
  <si>
    <t>//ord_99342//Aditi Iyer//Dadar//Banana+2*Vivek Kumar/5/18/2023//UPI//Delivered*Delivery Experience: Quick and professional</t>
  </si>
  <si>
    <t>//ord_99436//Parth Goel//Juhu//Banana+2*Tanvi Jain/11/11/2023//UPI//Delivered*Convenience: Easy tracking</t>
  </si>
  <si>
    <t>//ord_99530//Dev Chauhan//Bandra//Tiramisu+5*Priya Joshi/3/18/2023//UPI//Delivered*Overall Satisfaction: Great service will order again</t>
  </si>
  <si>
    <t>//ord_99624//Mohit Malhotra//Lower Parel//Chocolate Mousse+2*Kiran Mehta/8/11/2023//Credit Card//Delivered*On-time Delivery: Delivered on time</t>
  </si>
  <si>
    <t>//ord_99718//Aarohi Kapoor//Bandra//Cold Coffee+5*Priya Joshi/1/6/2023//Online Payment//Delivered*Quality of Items: Perfect condition</t>
  </si>
  <si>
    <t>//ord_99812//Aarohi Kapoor//Bandra//Orange+2*Not Assigned/5/18/2023//UPI//Cancelled*App Glitches:App Freezes</t>
  </si>
  <si>
    <t>//ord_99906//Aditi Iyer//Dadar//Orange+1*Aman Kumar/7/11/2023//UPI//Delivered*Packaging: Secure and intact</t>
  </si>
  <si>
    <t>//ord_10000//Dev Chauhan//Bandra//Cold Coffee+2*Priya Joshi/12/13/2023//UPI//Delivered*Satisfied with the Delivery: Timely and quality</t>
  </si>
  <si>
    <t>//ord_10009//Aarohi Kapoor//Bandra//Chocolate Mousse+1*Priya Joshi/11/20/2023//Credit Card//Delivered*Customer Service: Seamless and easy</t>
  </si>
  <si>
    <t>Item Ordered</t>
  </si>
  <si>
    <t>Item Price (INR)</t>
  </si>
  <si>
    <t>Food Category</t>
  </si>
  <si>
    <t>Food Item Ordered</t>
  </si>
  <si>
    <t>Potato</t>
  </si>
  <si>
    <t>Fruits and Vegetables</t>
  </si>
  <si>
    <t>Chilli Cheese Toast</t>
  </si>
  <si>
    <t>Snacks and Drinks</t>
  </si>
  <si>
    <t>Onion</t>
  </si>
  <si>
    <t>Juice</t>
  </si>
  <si>
    <t>Tomato</t>
  </si>
  <si>
    <t>Cold Coffee</t>
  </si>
  <si>
    <t>Banana</t>
  </si>
  <si>
    <t>Veg Puff</t>
  </si>
  <si>
    <t>Apple</t>
  </si>
  <si>
    <t>Chicken Puff</t>
  </si>
  <si>
    <t>Orange</t>
  </si>
  <si>
    <t>Popcorn</t>
  </si>
  <si>
    <t>Cucumber</t>
  </si>
  <si>
    <t>Tiramisu</t>
  </si>
  <si>
    <t>Papaya</t>
  </si>
  <si>
    <t>Rasmalai</t>
  </si>
  <si>
    <t>Guava</t>
  </si>
  <si>
    <t>Chocolate Mousse</t>
  </si>
  <si>
    <t>Sweet Corn</t>
  </si>
  <si>
    <t>Icecream</t>
  </si>
  <si>
    <t>Note: The price of fruits and vegetable items is based on the average price, as their prices fluctuate throughout the year</t>
  </si>
  <si>
    <t>Order-ID</t>
  </si>
  <si>
    <t>Customer-Name</t>
  </si>
  <si>
    <t>Dark-Store</t>
  </si>
  <si>
    <t>Items</t>
  </si>
  <si>
    <t>Month</t>
  </si>
  <si>
    <t>Day</t>
  </si>
  <si>
    <t>Year</t>
  </si>
  <si>
    <t>Payment Method</t>
  </si>
  <si>
    <t>Order-Status and Feedback Details</t>
  </si>
  <si>
    <t>Item</t>
  </si>
  <si>
    <t>Item and Delievery Details</t>
  </si>
  <si>
    <t>Quantity</t>
  </si>
  <si>
    <t>Delievery-Agents</t>
  </si>
  <si>
    <t>Order-Status</t>
  </si>
  <si>
    <t>Feedback &amp; Reason</t>
  </si>
  <si>
    <t>Feedback</t>
  </si>
  <si>
    <t>Reason</t>
  </si>
  <si>
    <t>Order_ID</t>
  </si>
  <si>
    <t>Customer_Name</t>
  </si>
  <si>
    <t>Dark_Store</t>
  </si>
  <si>
    <t>Delievery_Agents</t>
  </si>
  <si>
    <t>Order_Date</t>
  </si>
  <si>
    <t>Payment_Method</t>
  </si>
  <si>
    <t>Order_Status</t>
  </si>
  <si>
    <t>Item_Price</t>
  </si>
  <si>
    <t>Item_Category</t>
  </si>
  <si>
    <t>Total_Order_Amount</t>
  </si>
  <si>
    <t>Sales Dashboard</t>
  </si>
  <si>
    <t>Total Sales</t>
  </si>
  <si>
    <t>Delieverd Orders</t>
  </si>
  <si>
    <t>Cancelled Orders</t>
  </si>
  <si>
    <t>Dark Store</t>
  </si>
  <si>
    <t>Unique Customers</t>
  </si>
  <si>
    <t>Cancellation Rate</t>
  </si>
  <si>
    <t>SUM of Total_Order_Amount</t>
  </si>
  <si>
    <t>Bandra</t>
  </si>
  <si>
    <t>Delayed Delivery</t>
  </si>
  <si>
    <t>Juhu</t>
  </si>
  <si>
    <t>App Glitches</t>
  </si>
  <si>
    <t>Lower Parel</t>
  </si>
  <si>
    <t>Out of Stock</t>
  </si>
  <si>
    <t>Colaba</t>
  </si>
  <si>
    <t>Payment Issues</t>
  </si>
  <si>
    <t>Powai</t>
  </si>
  <si>
    <t>High Delivery Fees</t>
  </si>
  <si>
    <t>Andheri</t>
  </si>
  <si>
    <t>Dadar</t>
  </si>
  <si>
    <t>Malad</t>
  </si>
  <si>
    <t>Order_Date - Month</t>
  </si>
  <si>
    <t>COUNTA of Order_ID</t>
  </si>
  <si>
    <t>Jan</t>
  </si>
  <si>
    <t>Feb</t>
  </si>
  <si>
    <t>Mar</t>
  </si>
  <si>
    <t>Apr</t>
  </si>
  <si>
    <t>May</t>
  </si>
  <si>
    <t>Jun</t>
  </si>
  <si>
    <t>Jul</t>
  </si>
  <si>
    <t>Aug</t>
  </si>
  <si>
    <t>Sep</t>
  </si>
  <si>
    <t>Oct</t>
  </si>
  <si>
    <t>Nov</t>
  </si>
  <si>
    <t>Dec</t>
  </si>
  <si>
    <t>Dark Store-wise Cancellation Analysis</t>
  </si>
  <si>
    <t>Dart Store</t>
  </si>
  <si>
    <t>Total Orders</t>
  </si>
  <si>
    <t>Total Cancellation Orders</t>
  </si>
  <si>
    <t>Overall</t>
  </si>
  <si>
    <t>Cancellation Feedback Analysis</t>
  </si>
  <si>
    <t>Cancellation Reason</t>
  </si>
  <si>
    <t>Reasons</t>
  </si>
  <si>
    <t>Groups</t>
  </si>
  <si>
    <t>RFM Score</t>
  </si>
  <si>
    <t>Top-tier Customers</t>
  </si>
  <si>
    <t>Loyal Customers</t>
  </si>
  <si>
    <t>Potential Loyal Customers</t>
  </si>
  <si>
    <t>Recent Visit Date</t>
  </si>
  <si>
    <t>Orders Frequency</t>
  </si>
  <si>
    <t>Order Amount</t>
  </si>
  <si>
    <t>Analysis Date</t>
  </si>
  <si>
    <t>Recency</t>
  </si>
  <si>
    <t>Recency Scale</t>
  </si>
  <si>
    <t>Frequency Scale</t>
  </si>
  <si>
    <t>Monetary Scale</t>
  </si>
  <si>
    <t>Champion Customer Segmentation</t>
  </si>
  <si>
    <t>Aarav Mehta</t>
  </si>
  <si>
    <t>Ishaan Chaturvedi</t>
  </si>
  <si>
    <t>Mohit Malhotra</t>
  </si>
  <si>
    <t>Tanishq Bansal</t>
  </si>
  <si>
    <t>Mehul Thakkar</t>
  </si>
  <si>
    <t>Aditi Iyer</t>
  </si>
  <si>
    <t>Sahil Desai</t>
  </si>
  <si>
    <t>Diya Arora</t>
  </si>
  <si>
    <t>Parth Goel</t>
  </si>
  <si>
    <t>Simran Bhatt</t>
  </si>
  <si>
    <t>Aarohi Kapoor</t>
  </si>
  <si>
    <t>Kunal Sharma</t>
  </si>
  <si>
    <t>Sana Malik</t>
  </si>
  <si>
    <t>Yash Verma</t>
  </si>
  <si>
    <t>Ritika Dutta</t>
  </si>
  <si>
    <t>Aditya Basu</t>
  </si>
  <si>
    <t>Siya Reddy</t>
  </si>
  <si>
    <t>Dev Chauhan</t>
  </si>
  <si>
    <t>Kritika Shetty</t>
  </si>
  <si>
    <t>Riya Chakraborty</t>
  </si>
  <si>
    <t>Omkar Mishra</t>
  </si>
  <si>
    <t>Sanjay Nair</t>
  </si>
  <si>
    <t>Ishita Banerjee</t>
  </si>
  <si>
    <t>Arvind Kulkarni</t>
  </si>
  <si>
    <t>Pallavi Ghosh</t>
  </si>
  <si>
    <t>Nitin Sehgal</t>
  </si>
  <si>
    <t>Sakshi Tandon</t>
  </si>
  <si>
    <t>Pranav Joshi</t>
  </si>
  <si>
    <t>Shruti Aggarwal</t>
  </si>
  <si>
    <t>Harsh Vardhan</t>
  </si>
  <si>
    <t>Leena Das</t>
  </si>
  <si>
    <t>Aditya Rao</t>
  </si>
  <si>
    <t>Kavya Menon</t>
  </si>
  <si>
    <t>Particulars</t>
  </si>
  <si>
    <t>Frequency</t>
  </si>
  <si>
    <t>Monetary</t>
  </si>
  <si>
    <t>Mean</t>
  </si>
  <si>
    <t>Deviation</t>
  </si>
  <si>
    <t>Mean+Deviation</t>
  </si>
  <si>
    <t>Mean-Deviation</t>
  </si>
  <si>
    <t>Customer Segmentation Analysis</t>
  </si>
  <si>
    <t>Champion Customer Category</t>
  </si>
  <si>
    <t>Number of Customers</t>
  </si>
  <si>
    <t>Percentage of Customers</t>
  </si>
  <si>
    <t>Average Recency</t>
  </si>
  <si>
    <t>Average Frequency</t>
  </si>
  <si>
    <t xml:space="preserve">Average Order Amount </t>
  </si>
  <si>
    <t>Customer</t>
  </si>
  <si>
    <t>Delievery Status of the Last 5 Orders (Newest to Oldest)</t>
  </si>
  <si>
    <t>Consecutive Cancellation</t>
  </si>
  <si>
    <t>Customer Feedback Analysis</t>
  </si>
  <si>
    <t>Major Issues</t>
  </si>
  <si>
    <t>Customer-Category wise Feedback Analysis</t>
  </si>
  <si>
    <t>Count</t>
  </si>
  <si>
    <t>Customer Name</t>
  </si>
  <si>
    <t>Issue</t>
  </si>
  <si>
    <t>Message</t>
  </si>
  <si>
    <t>Major Issue</t>
  </si>
  <si>
    <t>You are one of our most valued customers! We've enhanced our delivery operations for faster and fresher deliveries. As a token of appreciation for your patience, enjoy 10% off your next order!</t>
  </si>
  <si>
    <t>App Glitch</t>
  </si>
  <si>
    <t>You are one of our most valued customers! The app issues have been resolved, ensuring a smoother shopping experience. Enjoy free delivery on your next purchase as a thank-you for your understanding!</t>
  </si>
  <si>
    <t>You are one of our most valued customers! Our payment process is now more secure and user-friendly. To thank you for your patience, enjoy 10% off your next order of fresh produce or snacks!</t>
  </si>
  <si>
    <t>You are one of our most valued customers! We've reduced delivery fees to give you more value on every purchase. As a thank-you, enjoy free delivery on your next order of fruits, vegetables, or snacks!</t>
  </si>
  <si>
    <t>You are one of our most valued customers! The items you’ve been waiting for are back in stock. Shop now and enjoy a free sample of a new snack or drink with your next order!</t>
  </si>
  <si>
    <t>More Than One Issue</t>
  </si>
  <si>
    <t>As one of our most valued customers, we're delighted to offer you 20% off your next order and a free snack of your choice as a token of our gratitude. Thank you for your continued trust in us!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</si>
</sst>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numFmt numFmtId="165" formatCode="M/d/yyyy"/>
    <numFmt numFmtId="166" formatCode="m/d/yyyy"/>
  </numFmts>
  <fonts count="17">
    <font>
      <sz val="11.0"/>
      <color theme="1"/>
      <name val="Calibri"/>
      <scheme val="minor"/>
    </font>
    <font>
      <b/>
      <sz val="11.0"/>
      <color theme="1"/>
      <name val="Noto Serif Georgian"/>
    </font>
    <font>
      <sz val="11.0"/>
      <color theme="1"/>
      <name val="Calibri"/>
    </font>
    <font>
      <sz val="11.0"/>
      <color theme="1"/>
      <name val="Noto Serif Georgian"/>
    </font>
    <font>
      <sz val="11.0"/>
      <color rgb="FF1F1F1F"/>
      <name val="Noto Serif Georgian"/>
    </font>
    <font>
      <b/>
      <sz val="10.0"/>
      <color theme="1"/>
      <name val="Noto Serif Georgian"/>
    </font>
    <font>
      <sz val="10.0"/>
      <color theme="1"/>
      <name val="Noto Serif Georgian"/>
    </font>
    <font>
      <sz val="8.0"/>
      <color theme="1"/>
      <name val="Noto Serif Georgian"/>
    </font>
    <font>
      <b/>
      <color theme="1"/>
      <name val="Noto Serif Georgian"/>
    </font>
    <font>
      <color theme="1"/>
      <name val="Noto Serif Georgian"/>
    </font>
    <font>
      <b/>
      <sz val="18.0"/>
      <color theme="1"/>
      <name val="Noto Serif Georgian"/>
    </font>
    <font>
      <b/>
      <color rgb="FF000000"/>
      <name val="Noto Serif Georgian"/>
    </font>
    <font>
      <b/>
      <sz val="12.0"/>
      <color theme="1"/>
      <name val="Noto Serif Georgian"/>
    </font>
    <font/>
    <font>
      <b/>
      <sz val="16.0"/>
      <color theme="1"/>
      <name val="Noto Serif Georgian"/>
    </font>
    <font>
      <b/>
      <sz val="13.0"/>
      <color theme="1"/>
      <name val="Noto Serif Georgian"/>
    </font>
    <font>
      <b/>
      <sz val="12.0"/>
      <color rgb="FF222222"/>
      <name val="Noto Serif Georgian"/>
    </font>
  </fonts>
  <fills count="14">
    <fill>
      <patternFill patternType="none"/>
    </fill>
    <fill>
      <patternFill patternType="lightGray"/>
    </fill>
    <fill>
      <patternFill patternType="solid">
        <fgColor rgb="FFC9DAF8"/>
        <bgColor rgb="FFC9DAF8"/>
      </patternFill>
    </fill>
    <fill>
      <patternFill patternType="solid">
        <fgColor rgb="FFFFFFFF"/>
        <bgColor rgb="FFFFFFFF"/>
      </patternFill>
    </fill>
    <fill>
      <patternFill patternType="solid">
        <fgColor rgb="FFFEF9F8"/>
        <bgColor rgb="FFFEF9F8"/>
      </patternFill>
    </fill>
    <fill>
      <patternFill patternType="solid">
        <fgColor rgb="FFFFFEFE"/>
        <bgColor rgb="FFFFFEFE"/>
      </patternFill>
    </fill>
    <fill>
      <patternFill patternType="solid">
        <fgColor rgb="FFFDF5F4"/>
        <bgColor rgb="FFFDF5F4"/>
      </patternFill>
    </fill>
    <fill>
      <patternFill patternType="solid">
        <fgColor rgb="FFFDF4F4"/>
        <bgColor rgb="FFFDF4F4"/>
      </patternFill>
    </fill>
    <fill>
      <patternFill patternType="solid">
        <fgColor rgb="FFE67C73"/>
        <bgColor rgb="FFE67C73"/>
      </patternFill>
    </fill>
    <fill>
      <patternFill patternType="solid">
        <fgColor rgb="FFFDF3F2"/>
        <bgColor rgb="FFFDF3F2"/>
      </patternFill>
    </fill>
    <fill>
      <patternFill patternType="solid">
        <fgColor rgb="FFFFFAFA"/>
        <bgColor rgb="FFFFFAFA"/>
      </patternFill>
    </fill>
    <fill>
      <patternFill patternType="solid">
        <fgColor rgb="FFFDF2F1"/>
        <bgColor rgb="FFFDF2F1"/>
      </patternFill>
    </fill>
    <fill>
      <patternFill patternType="solid">
        <fgColor rgb="FFFBE8E6"/>
        <bgColor rgb="FFFBE8E6"/>
      </patternFill>
    </fill>
    <fill>
      <patternFill patternType="solid">
        <fgColor rgb="FFFCECEB"/>
        <bgColor rgb="FFFCECEB"/>
      </patternFill>
    </fill>
  </fills>
  <borders count="1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left style="thin">
        <color rgb="FF000000"/>
      </left>
      <right style="thin">
        <color rgb="FF000000"/>
      </right>
    </border>
    <border>
      <right style="thin">
        <color rgb="FF000000"/>
      </right>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110">
    <xf borderId="0" fillId="0" fontId="0" numFmtId="0" xfId="0" applyAlignment="1" applyFont="1">
      <alignment readingOrder="0" shrinkToFit="0" vertical="bottom" wrapText="0"/>
    </xf>
    <xf borderId="0" fillId="2" fontId="1" numFmtId="0" xfId="0" applyAlignment="1" applyFill="1" applyFont="1">
      <alignment vertical="bottom"/>
    </xf>
    <xf borderId="0" fillId="0" fontId="2" numFmtId="0" xfId="0" applyAlignment="1" applyFont="1">
      <alignment vertical="bottom"/>
    </xf>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vertical="bottom" wrapText="1"/>
    </xf>
    <xf borderId="1" fillId="2" fontId="5" numFmtId="0" xfId="0" applyAlignment="1" applyBorder="1" applyFont="1">
      <alignment readingOrder="0"/>
    </xf>
    <xf borderId="0" fillId="0" fontId="6" numFmtId="0" xfId="0" applyAlignment="1" applyFont="1">
      <alignment readingOrder="0"/>
    </xf>
    <xf borderId="0" fillId="0" fontId="6" numFmtId="0" xfId="0" applyFont="1"/>
    <xf borderId="1" fillId="2" fontId="5" numFmtId="0" xfId="0" applyAlignment="1" applyBorder="1" applyFont="1">
      <alignment readingOrder="0" vertical="bottom"/>
    </xf>
    <xf borderId="1" fillId="2" fontId="5" numFmtId="0" xfId="0" applyAlignment="1" applyBorder="1" applyFont="1">
      <alignment vertical="bottom"/>
    </xf>
    <xf borderId="1" fillId="0" fontId="6" numFmtId="0" xfId="0" applyAlignment="1" applyBorder="1" applyFont="1">
      <alignment readingOrder="0"/>
    </xf>
    <xf borderId="0" fillId="0" fontId="7" numFmtId="0" xfId="0" applyAlignment="1" applyFont="1">
      <alignment readingOrder="0" shrinkToFit="0" wrapText="1"/>
    </xf>
    <xf borderId="1" fillId="2" fontId="5" numFmtId="0" xfId="0" applyBorder="1" applyFont="1"/>
    <xf borderId="1" fillId="0" fontId="6" numFmtId="0" xfId="0" applyBorder="1" applyFont="1"/>
    <xf borderId="1" fillId="0" fontId="6" numFmtId="14" xfId="0" applyBorder="1" applyFont="1" applyNumberFormat="1"/>
    <xf borderId="1" fillId="2" fontId="8" numFmtId="0" xfId="0" applyBorder="1" applyFont="1"/>
    <xf borderId="0" fillId="0" fontId="9" numFmtId="0" xfId="0" applyFont="1"/>
    <xf borderId="1" fillId="0" fontId="9" numFmtId="0" xfId="0" applyBorder="1" applyFont="1"/>
    <xf borderId="1" fillId="0" fontId="9" numFmtId="14" xfId="0" applyBorder="1" applyFont="1" applyNumberFormat="1"/>
    <xf borderId="0" fillId="2" fontId="10" numFmtId="0" xfId="0" applyAlignment="1" applyFont="1">
      <alignment horizontal="center" readingOrder="0" vertical="center"/>
    </xf>
    <xf borderId="0" fillId="0" fontId="9" numFmtId="3" xfId="0" applyFont="1" applyNumberFormat="1"/>
    <xf borderId="0" fillId="0" fontId="9" numFmtId="10" xfId="0" applyFont="1" applyNumberFormat="1"/>
    <xf borderId="0" fillId="2" fontId="11" numFmtId="0" xfId="0" applyFont="1"/>
    <xf borderId="0" fillId="0" fontId="9" numFmtId="0" xfId="0" applyAlignment="1" applyFont="1">
      <alignment readingOrder="0"/>
    </xf>
    <xf borderId="0" fillId="3" fontId="11" numFmtId="0" xfId="0" applyFill="1" applyFont="1"/>
    <xf borderId="0" fillId="0" fontId="9" numFmtId="164" xfId="0" applyFont="1" applyNumberFormat="1"/>
    <xf borderId="2" fillId="2" fontId="12" numFmtId="0" xfId="0" applyAlignment="1" applyBorder="1" applyFont="1">
      <alignment horizontal="center" readingOrder="0" vertical="bottom"/>
    </xf>
    <xf borderId="3" fillId="0" fontId="13" numFmtId="0" xfId="0" applyBorder="1" applyFont="1"/>
    <xf borderId="4" fillId="0" fontId="13" numFmtId="0" xfId="0" applyBorder="1" applyFont="1"/>
    <xf borderId="1" fillId="2" fontId="8" numFmtId="0" xfId="0" applyAlignment="1" applyBorder="1" applyFont="1">
      <alignment readingOrder="0" vertical="bottom"/>
    </xf>
    <xf borderId="1" fillId="2" fontId="8" numFmtId="0" xfId="0" applyAlignment="1" applyBorder="1" applyFont="1">
      <alignment vertical="bottom"/>
    </xf>
    <xf borderId="1" fillId="0" fontId="9" numFmtId="0" xfId="0" applyAlignment="1" applyBorder="1" applyFont="1">
      <alignment vertical="bottom"/>
    </xf>
    <xf borderId="1" fillId="0" fontId="9" numFmtId="0" xfId="0" applyAlignment="1" applyBorder="1" applyFont="1">
      <alignment horizontal="right" vertical="bottom"/>
    </xf>
    <xf borderId="1" fillId="4" fontId="9" numFmtId="10" xfId="0" applyAlignment="1" applyBorder="1" applyFill="1" applyFont="1" applyNumberFormat="1">
      <alignment horizontal="right" vertical="bottom"/>
    </xf>
    <xf borderId="1" fillId="3" fontId="9" numFmtId="10" xfId="0" applyAlignment="1" applyBorder="1" applyFont="1" applyNumberFormat="1">
      <alignment horizontal="right" vertical="bottom"/>
    </xf>
    <xf borderId="1" fillId="5" fontId="9" numFmtId="10" xfId="0" applyAlignment="1" applyBorder="1" applyFill="1" applyFont="1" applyNumberFormat="1">
      <alignment horizontal="right" vertical="bottom"/>
    </xf>
    <xf borderId="1" fillId="6" fontId="9" numFmtId="10" xfId="0" applyAlignment="1" applyBorder="1" applyFill="1" applyFont="1" applyNumberFormat="1">
      <alignment horizontal="right" vertical="bottom"/>
    </xf>
    <xf borderId="1" fillId="7" fontId="9" numFmtId="10" xfId="0" applyAlignment="1" applyBorder="1" applyFill="1" applyFont="1" applyNumberFormat="1">
      <alignment horizontal="right" vertical="bottom"/>
    </xf>
    <xf borderId="1" fillId="8" fontId="9" numFmtId="10" xfId="0" applyAlignment="1" applyBorder="1" applyFill="1" applyFont="1" applyNumberFormat="1">
      <alignment horizontal="right" vertical="bottom"/>
    </xf>
    <xf borderId="1" fillId="9" fontId="9" numFmtId="10" xfId="0" applyAlignment="1" applyBorder="1" applyFill="1" applyFont="1" applyNumberFormat="1">
      <alignment horizontal="right" vertical="bottom"/>
    </xf>
    <xf borderId="1" fillId="10" fontId="9" numFmtId="10" xfId="0" applyAlignment="1" applyBorder="1" applyFill="1" applyFont="1" applyNumberFormat="1">
      <alignment horizontal="right" vertical="bottom"/>
    </xf>
    <xf borderId="1" fillId="0" fontId="9" numFmtId="0" xfId="0" applyAlignment="1" applyBorder="1" applyFont="1">
      <alignment readingOrder="0" vertical="bottom"/>
    </xf>
    <xf borderId="1" fillId="11" fontId="9" numFmtId="10" xfId="0" applyAlignment="1" applyBorder="1" applyFill="1" applyFont="1" applyNumberFormat="1">
      <alignment horizontal="right" vertical="bottom"/>
    </xf>
    <xf borderId="0" fillId="3" fontId="9" numFmtId="0" xfId="0" applyAlignment="1" applyFont="1">
      <alignment vertical="bottom"/>
    </xf>
    <xf borderId="0" fillId="3" fontId="9" numFmtId="0" xfId="0" applyAlignment="1" applyFont="1">
      <alignment horizontal="right" vertical="bottom"/>
    </xf>
    <xf borderId="0" fillId="3" fontId="9" numFmtId="10" xfId="0" applyAlignment="1" applyFont="1" applyNumberFormat="1">
      <alignment horizontal="right" vertical="bottom"/>
    </xf>
    <xf borderId="0" fillId="0" fontId="3" numFmtId="0" xfId="0" applyAlignment="1" applyFont="1">
      <alignment vertical="bottom"/>
    </xf>
    <xf borderId="2" fillId="2" fontId="12" numFmtId="0" xfId="0" applyAlignment="1" applyBorder="1" applyFont="1">
      <alignment horizontal="center" vertical="bottom"/>
    </xf>
    <xf borderId="1" fillId="2" fontId="3" numFmtId="0" xfId="0" applyAlignment="1" applyBorder="1" applyFont="1">
      <alignment vertical="bottom"/>
    </xf>
    <xf borderId="1" fillId="12" fontId="9" numFmtId="10" xfId="0" applyAlignment="1" applyBorder="1" applyFill="1" applyFont="1" applyNumberFormat="1">
      <alignment horizontal="right" vertical="bottom"/>
    </xf>
    <xf borderId="5" fillId="0" fontId="9" numFmtId="0" xfId="0" applyAlignment="1" applyBorder="1" applyFont="1">
      <alignment vertical="bottom"/>
    </xf>
    <xf borderId="5" fillId="12" fontId="9" numFmtId="10" xfId="0" applyAlignment="1" applyBorder="1" applyFont="1" applyNumberFormat="1">
      <alignment horizontal="right" vertical="bottom"/>
    </xf>
    <xf borderId="6" fillId="3" fontId="9" numFmtId="0" xfId="0" applyAlignment="1" applyBorder="1" applyFont="1">
      <alignment vertical="bottom"/>
    </xf>
    <xf borderId="6" fillId="3" fontId="9" numFmtId="10" xfId="0" applyAlignment="1" applyBorder="1" applyFont="1" applyNumberFormat="1">
      <alignment horizontal="right" vertical="bottom"/>
    </xf>
    <xf borderId="7" fillId="3" fontId="8" numFmtId="0" xfId="0" applyAlignment="1" applyBorder="1" applyFont="1">
      <alignment vertical="bottom"/>
    </xf>
    <xf borderId="7" fillId="3" fontId="8" numFmtId="0" xfId="0" applyAlignment="1" applyBorder="1" applyFont="1">
      <alignment readingOrder="0" vertical="bottom"/>
    </xf>
    <xf borderId="0" fillId="3" fontId="3" numFmtId="0" xfId="0" applyAlignment="1" applyFont="1">
      <alignment vertical="bottom"/>
    </xf>
    <xf borderId="1" fillId="13" fontId="9" numFmtId="10" xfId="0" applyAlignment="1" applyBorder="1" applyFill="1" applyFont="1" applyNumberFormat="1">
      <alignment horizontal="right" vertical="bottom"/>
    </xf>
    <xf borderId="1" fillId="2" fontId="8" numFmtId="0" xfId="0" applyAlignment="1" applyBorder="1" applyFont="1">
      <alignment readingOrder="0"/>
    </xf>
    <xf borderId="1" fillId="0" fontId="9" numFmtId="0" xfId="0" applyAlignment="1" applyBorder="1" applyFont="1">
      <alignment readingOrder="0"/>
    </xf>
    <xf borderId="1" fillId="2" fontId="1" numFmtId="0" xfId="0" applyAlignment="1" applyBorder="1" applyFont="1">
      <alignment vertical="bottom"/>
    </xf>
    <xf borderId="1" fillId="0" fontId="9" numFmtId="165" xfId="0" applyBorder="1" applyFont="1" applyNumberFormat="1"/>
    <xf borderId="1" fillId="0" fontId="9" numFmtId="166" xfId="0" applyAlignment="1" applyBorder="1" applyFont="1" applyNumberFormat="1">
      <alignment readingOrder="0"/>
    </xf>
    <xf borderId="1" fillId="0" fontId="9" numFmtId="3" xfId="0" applyBorder="1" applyFont="1" applyNumberFormat="1"/>
    <xf borderId="1" fillId="0" fontId="3" numFmtId="0" xfId="0" applyAlignment="1" applyBorder="1" applyFont="1">
      <alignment vertical="bottom"/>
    </xf>
    <xf borderId="1" fillId="0" fontId="3" numFmtId="2" xfId="0" applyAlignment="1" applyBorder="1" applyFont="1" applyNumberFormat="1">
      <alignment horizontal="right" vertical="bottom"/>
    </xf>
    <xf borderId="8" fillId="2" fontId="14" numFmtId="0" xfId="0" applyAlignment="1" applyBorder="1" applyFont="1">
      <alignment horizontal="center" vertical="bottom"/>
    </xf>
    <xf borderId="6" fillId="0" fontId="13" numFmtId="0" xfId="0" applyBorder="1" applyFont="1"/>
    <xf borderId="9" fillId="0" fontId="13" numFmtId="0" xfId="0" applyBorder="1" applyFont="1"/>
    <xf borderId="2" fillId="2" fontId="1" numFmtId="0" xfId="0" applyAlignment="1" applyBorder="1" applyFont="1">
      <alignment horizontal="center" vertical="bottom"/>
    </xf>
    <xf borderId="10" fillId="0" fontId="3" numFmtId="0" xfId="0" applyAlignment="1" applyBorder="1" applyFont="1">
      <alignment vertical="bottom"/>
    </xf>
    <xf borderId="11" fillId="0" fontId="3" numFmtId="0" xfId="0" applyAlignment="1" applyBorder="1" applyFont="1">
      <alignment horizontal="right" vertical="bottom"/>
    </xf>
    <xf borderId="0" fillId="0" fontId="3" numFmtId="10" xfId="0" applyAlignment="1" applyFont="1" applyNumberFormat="1">
      <alignment horizontal="right" vertical="bottom"/>
    </xf>
    <xf borderId="10" fillId="0" fontId="3" numFmtId="1" xfId="0" applyAlignment="1" applyBorder="1" applyFont="1" applyNumberFormat="1">
      <alignment horizontal="right" vertical="bottom"/>
    </xf>
    <xf borderId="12" fillId="0" fontId="3" numFmtId="0" xfId="0" applyAlignment="1" applyBorder="1" applyFont="1">
      <alignment vertical="bottom"/>
    </xf>
    <xf borderId="0" fillId="0" fontId="3" numFmtId="1" xfId="0" applyAlignment="1" applyFont="1" applyNumberFormat="1">
      <alignment horizontal="right" vertical="bottom"/>
    </xf>
    <xf borderId="10" fillId="0" fontId="3" numFmtId="2" xfId="0" applyAlignment="1" applyBorder="1" applyFont="1" applyNumberFormat="1">
      <alignment horizontal="right" vertical="bottom"/>
    </xf>
    <xf borderId="13" fillId="0" fontId="3" numFmtId="0" xfId="0" applyAlignment="1" applyBorder="1" applyFont="1">
      <alignment vertical="bottom"/>
    </xf>
    <xf borderId="14" fillId="0" fontId="3" numFmtId="0" xfId="0" applyAlignment="1" applyBorder="1" applyFont="1">
      <alignment horizontal="right" vertical="bottom"/>
    </xf>
    <xf borderId="7" fillId="0" fontId="3" numFmtId="10" xfId="0" applyAlignment="1" applyBorder="1" applyFont="1" applyNumberFormat="1">
      <alignment horizontal="right" vertical="bottom"/>
    </xf>
    <xf borderId="13" fillId="0" fontId="3" numFmtId="1" xfId="0" applyAlignment="1" applyBorder="1" applyFont="1" applyNumberFormat="1">
      <alignment horizontal="right" vertical="bottom"/>
    </xf>
    <xf borderId="15" fillId="0" fontId="3" numFmtId="0" xfId="0" applyAlignment="1" applyBorder="1" applyFont="1">
      <alignment vertical="bottom"/>
    </xf>
    <xf borderId="7" fillId="0" fontId="3" numFmtId="1" xfId="0" applyAlignment="1" applyBorder="1" applyFont="1" applyNumberFormat="1">
      <alignment horizontal="right" vertical="bottom"/>
    </xf>
    <xf borderId="7" fillId="0" fontId="3" numFmtId="0" xfId="0" applyAlignment="1" applyBorder="1" applyFont="1">
      <alignment vertical="bottom"/>
    </xf>
    <xf borderId="13" fillId="0" fontId="3" numFmtId="2" xfId="0" applyAlignment="1" applyBorder="1" applyFont="1" applyNumberFormat="1">
      <alignment horizontal="right" vertical="bottom"/>
    </xf>
    <xf borderId="8" fillId="2" fontId="15" numFmtId="0" xfId="0" applyAlignment="1" applyBorder="1" applyFont="1">
      <alignment horizontal="center" readingOrder="0" vertical="center"/>
    </xf>
    <xf borderId="13" fillId="0" fontId="13" numFmtId="0" xfId="0" applyBorder="1" applyFont="1"/>
    <xf borderId="7" fillId="0" fontId="13" numFmtId="0" xfId="0" applyBorder="1" applyFont="1"/>
    <xf borderId="15" fillId="0" fontId="13" numFmtId="0" xfId="0" applyBorder="1" applyFont="1"/>
    <xf borderId="2" fillId="2" fontId="1" numFmtId="0" xfId="0" applyAlignment="1" applyBorder="1" applyFont="1">
      <alignment vertical="bottom"/>
    </xf>
    <xf borderId="2" fillId="0" fontId="9" numFmtId="0" xfId="0" applyBorder="1" applyFont="1"/>
    <xf borderId="8" fillId="2" fontId="16" numFmtId="0" xfId="0" applyAlignment="1" applyBorder="1" applyFont="1">
      <alignment horizontal="center" vertical="bottom"/>
    </xf>
    <xf borderId="0" fillId="3" fontId="16" numFmtId="0" xfId="0" applyAlignment="1" applyFont="1">
      <alignment horizontal="center" vertical="bottom"/>
    </xf>
    <xf borderId="0" fillId="3" fontId="12" numFmtId="0" xfId="0" applyAlignment="1" applyFont="1">
      <alignment horizontal="center" vertical="bottom"/>
    </xf>
    <xf borderId="13" fillId="2" fontId="1" numFmtId="0" xfId="0" applyAlignment="1" applyBorder="1" applyFont="1">
      <alignment vertical="bottom"/>
    </xf>
    <xf borderId="4" fillId="2" fontId="1" numFmtId="0" xfId="0" applyAlignment="1" applyBorder="1" applyFont="1">
      <alignment vertical="bottom"/>
    </xf>
    <xf borderId="0" fillId="3" fontId="1" numFmtId="0" xfId="0" applyAlignment="1" applyFont="1">
      <alignment vertical="bottom"/>
    </xf>
    <xf borderId="10" fillId="3" fontId="3" numFmtId="0" xfId="0" applyAlignment="1" applyBorder="1" applyFont="1">
      <alignment horizontal="right" vertical="bottom"/>
    </xf>
    <xf borderId="11" fillId="3" fontId="3" numFmtId="0" xfId="0" applyAlignment="1" applyBorder="1" applyFont="1">
      <alignment horizontal="right" vertical="bottom"/>
    </xf>
    <xf borderId="0" fillId="3" fontId="3" numFmtId="0" xfId="0" applyAlignment="1" applyFont="1">
      <alignment horizontal="right" vertical="bottom"/>
    </xf>
    <xf borderId="2" fillId="0" fontId="3" numFmtId="0" xfId="0" applyAlignment="1" applyBorder="1" applyFont="1">
      <alignment readingOrder="0" vertical="bottom"/>
    </xf>
    <xf borderId="2" fillId="0" fontId="3" numFmtId="0" xfId="0" applyAlignment="1" applyBorder="1" applyFont="1">
      <alignment shrinkToFit="0" vertical="bottom" wrapText="1"/>
    </xf>
    <xf borderId="1" fillId="0" fontId="3" numFmtId="0" xfId="0" applyAlignment="1" applyBorder="1" applyFont="1">
      <alignment shrinkToFit="0" vertical="bottom" wrapText="1"/>
    </xf>
    <xf borderId="8" fillId="2" fontId="1" numFmtId="0" xfId="0" applyAlignment="1" applyBorder="1" applyFont="1">
      <alignment horizontal="center" vertical="bottom"/>
    </xf>
    <xf borderId="2" fillId="2" fontId="3" numFmtId="0" xfId="0" applyAlignment="1" applyBorder="1" applyFont="1">
      <alignment vertical="bottom"/>
    </xf>
    <xf borderId="6" fillId="0" fontId="3" numFmtId="0" xfId="0" applyAlignment="1" applyBorder="1" applyFont="1">
      <alignment vertical="bottom"/>
    </xf>
    <xf borderId="6" fillId="3" fontId="3" numFmtId="0" xfId="0" applyAlignment="1" applyBorder="1" applyFont="1">
      <alignment horizontal="right" vertical="bottom"/>
    </xf>
    <xf borderId="5" fillId="0" fontId="9" numFmtId="0" xfId="0" applyBorder="1" applyFont="1"/>
    <xf borderId="6" fillId="0" fontId="9" numFmtId="0" xfId="0" applyBorder="1" applyFont="1"/>
  </cellXfs>
  <cellStyles count="1">
    <cellStyle xfId="0" name="Normal" builtinId="0"/>
  </cellStyles>
  <dxfs count="6">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B6D7A8"/>
          <bgColor rgb="FFB6D7A8"/>
        </patternFill>
      </fill>
      <border/>
    </dxf>
    <dxf>
      <font/>
      <fill>
        <patternFill patternType="solid">
          <fgColor rgb="FFEA9999"/>
          <bgColor rgb="FFEA9999"/>
        </patternFill>
      </fill>
      <border/>
    </dxf>
  </dxfs>
  <tableStyles count="2">
    <tableStyle count="3" pivot="0" name="Cancellation Report-style">
      <tableStyleElement dxfId="1" type="headerRow"/>
      <tableStyleElement dxfId="2" type="firstRowStripe"/>
      <tableStyleElement dxfId="3" type="secondRowStripe"/>
    </tableStyle>
    <tableStyle count="3" pivot="0" name="Cancellation Report-style 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pivotCacheDefinition" Target="pivotCache/pivotCacheDefinition2.xml"/><Relationship Id="rId16"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Sales by Dark Store</a:t>
            </a:r>
          </a:p>
        </c:rich>
      </c:tx>
      <c:overlay val="0"/>
    </c:title>
    <c:plotArea>
      <c:layout/>
      <c:barChart>
        <c:barDir val="bar"/>
        <c:grouping val="stacked"/>
        <c:ser>
          <c:idx val="0"/>
          <c:order val="0"/>
          <c:tx>
            <c:strRef>
              <c:f>'Sales Dashboard'!$B$57</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'Sales Dashboard'!$A$58:$A$65</c:f>
            </c:strRef>
          </c:cat>
          <c:val>
            <c:numRef>
              <c:f>'Sales Dashboard'!$B$58:$B$65</c:f>
              <c:numCache/>
            </c:numRef>
          </c:val>
        </c:ser>
        <c:overlap val="100"/>
        <c:axId val="40635946"/>
        <c:axId val="661851744"/>
      </c:barChart>
      <c:catAx>
        <c:axId val="40635946"/>
        <c:scaling>
          <c:orientation val="maxMin"/>
        </c:scaling>
        <c:delete val="0"/>
        <c:axPos val="l"/>
        <c:title>
          <c:tx>
            <c:rich>
              <a:bodyPr/>
              <a:lstStyle/>
              <a:p>
                <a:pPr lvl="0">
                  <a:defRPr b="0">
                    <a:solidFill>
                      <a:srgbClr val="000000"/>
                    </a:solidFill>
                    <a:latin typeface="Arial black"/>
                  </a:defRPr>
                </a:pPr>
                <a:r>
                  <a:rPr b="0">
                    <a:solidFill>
                      <a:srgbClr val="000000"/>
                    </a:solidFill>
                    <a:latin typeface="Arial black"/>
                  </a:rPr>
                  <a:t>Area  Name</a:t>
                </a:r>
              </a:p>
            </c:rich>
          </c:tx>
          <c:overlay val="0"/>
        </c:title>
        <c:numFmt formatCode="General" sourceLinked="1"/>
        <c:majorTickMark val="none"/>
        <c:minorTickMark val="none"/>
        <c:spPr/>
        <c:txPr>
          <a:bodyPr/>
          <a:lstStyle/>
          <a:p>
            <a:pPr lvl="0">
              <a:defRPr b="0">
                <a:solidFill>
                  <a:srgbClr val="000000"/>
                </a:solidFill>
                <a:latin typeface="Arial black"/>
              </a:defRPr>
            </a:pPr>
          </a:p>
        </c:txPr>
        <c:crossAx val="661851744"/>
      </c:catAx>
      <c:valAx>
        <c:axId val="661851744"/>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Arial black"/>
                  </a:defRPr>
                </a:pPr>
                <a:r>
                  <a:rPr b="0">
                    <a:solidFill>
                      <a:srgbClr val="000000"/>
                    </a:solidFill>
                    <a:latin typeface="Arial black"/>
                  </a:rPr>
                  <a:t>Order Amount</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40635946"/>
        <c:crosses val="max"/>
      </c:valAx>
    </c:plotArea>
    <c:legend>
      <c:legendPos val="r"/>
      <c:overlay val="0"/>
      <c:txPr>
        <a:bodyPr/>
        <a:lstStyle/>
        <a:p>
          <a:pPr lvl="0">
            <a:defRPr b="0">
              <a:solidFill>
                <a:srgbClr val="1A1A1A"/>
              </a:solidFill>
              <a:latin typeface="Arial black"/>
            </a:defRPr>
          </a:pPr>
        </a:p>
      </c:txPr>
    </c:legend>
    <c:plotVisOnly val="1"/>
  </c:chart>
  <c:spPr>
    <a:solidFill>
      <a:srgbClr val="D9D9D9"/>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Category Sales Distribution</a:t>
            </a:r>
          </a:p>
        </c:rich>
      </c:tx>
      <c:overlay val="0"/>
    </c:title>
    <c:view3D>
      <c:rotX val="50"/>
      <c:perspective val="0"/>
    </c:view3D>
    <c:plotArea>
      <c:layout/>
      <c:pie3DChart>
        <c:varyColors val="1"/>
        <c:ser>
          <c:idx val="0"/>
          <c:order val="0"/>
          <c:tx>
            <c:strRef>
              <c:f>'Sales Dashboard'!$E$57</c:f>
            </c:strRef>
          </c:tx>
          <c:dPt>
            <c:idx val="0"/>
            <c:spPr>
              <a:solidFill>
                <a:srgbClr val="6AA84F"/>
              </a:solidFill>
            </c:spPr>
          </c:dPt>
          <c:dPt>
            <c:idx val="1"/>
            <c:spPr>
              <a:solidFill>
                <a:srgbClr val="CC0000"/>
              </a:solidFill>
            </c:spPr>
          </c:dPt>
          <c:dLbls>
            <c:showLegendKey val="0"/>
            <c:showVal val="0"/>
            <c:showCatName val="0"/>
            <c:showSerName val="0"/>
            <c:showPercent val="1"/>
            <c:showBubbleSize val="0"/>
            <c:showLeaderLines val="1"/>
          </c:dLbls>
          <c:cat>
            <c:strRef>
              <c:f>'Sales Dashboard'!$D$58:$D$59</c:f>
            </c:strRef>
          </c:cat>
          <c:val>
            <c:numRef>
              <c:f>'Sales Dashboard'!$E$58:$E$59</c:f>
              <c:numCache/>
            </c:numRef>
          </c:val>
        </c:ser>
        <c:dLbls>
          <c:showLegendKey val="0"/>
          <c:showVal val="0"/>
          <c:showCatName val="0"/>
          <c:showSerName val="0"/>
          <c:showPercent val="0"/>
          <c:showBubbleSize val="0"/>
        </c:dLbls>
      </c:pie3DChart>
    </c:plotArea>
    <c:legend>
      <c:legendPos val="t"/>
      <c:overlay val="0"/>
      <c:txPr>
        <a:bodyPr/>
        <a:lstStyle/>
        <a:p>
          <a:pPr lvl="0">
            <a:defRPr b="0">
              <a:solidFill>
                <a:srgbClr val="1A1A1A"/>
              </a:solidFill>
              <a:latin typeface="Arial"/>
            </a:defRPr>
          </a:pPr>
        </a:p>
      </c:txPr>
    </c:legend>
    <c:plotVisOnly val="1"/>
  </c:chart>
  <c:spPr>
    <a:solidFill>
      <a:srgbClr val="D9D9D9"/>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Average Order Amount by Category</a:t>
            </a:r>
          </a:p>
        </c:rich>
      </c:tx>
      <c:overlay val="0"/>
    </c:title>
    <c:plotArea>
      <c:layout/>
      <c:barChart>
        <c:barDir val="bar"/>
        <c:ser>
          <c:idx val="0"/>
          <c:order val="0"/>
          <c:tx>
            <c:strRef>
              <c:f>'Sales Dashboard'!$H$57</c:f>
            </c:strRef>
          </c:tx>
          <c:spPr>
            <a:solidFill>
              <a:schemeClr val="accent1"/>
            </a:solidFill>
            <a:ln cmpd="sng">
              <a:solidFill>
                <a:srgbClr val="000000"/>
              </a:solidFill>
            </a:ln>
          </c:spPr>
          <c:dPt>
            <c:idx val="0"/>
            <c:spPr>
              <a:solidFill>
                <a:srgbClr val="CC0000"/>
              </a:solidFill>
              <a:ln cmpd="sng">
                <a:solidFill>
                  <a:srgbClr val="000000"/>
                </a:solidFill>
              </a:ln>
            </c:spPr>
          </c:dPt>
          <c:dPt>
            <c:idx val="1"/>
            <c:spPr>
              <a:solidFill>
                <a:srgbClr val="6AA84F"/>
              </a:solidFill>
              <a:ln cmpd="sng">
                <a:solidFill>
                  <a:srgbClr val="000000"/>
                </a:solidFill>
              </a:ln>
            </c:spPr>
          </c:dPt>
          <c:dLbls>
            <c:numFmt formatCode="#,##0.00;(#,##0.00)" sourceLinked="0"/>
            <c:txPr>
              <a:bodyPr/>
              <a:lstStyle/>
              <a:p>
                <a:pPr lvl="0">
                  <a:defRPr/>
                </a:pPr>
              </a:p>
            </c:txPr>
            <c:showLegendKey val="0"/>
            <c:showVal val="1"/>
            <c:showCatName val="0"/>
            <c:showSerName val="0"/>
            <c:showPercent val="0"/>
            <c:showBubbleSize val="0"/>
          </c:dLbls>
          <c:cat>
            <c:strRef>
              <c:f>'Sales Dashboard'!$G$58:$G$59</c:f>
            </c:strRef>
          </c:cat>
          <c:val>
            <c:numRef>
              <c:f>'Sales Dashboard'!$H$58:$H$59</c:f>
              <c:numCache/>
            </c:numRef>
          </c:val>
        </c:ser>
        <c:axId val="1875892726"/>
        <c:axId val="1817620087"/>
      </c:barChart>
      <c:catAx>
        <c:axId val="1875892726"/>
        <c:scaling>
          <c:orientation val="maxMin"/>
        </c:scaling>
        <c:delete val="0"/>
        <c:axPos val="l"/>
        <c:title>
          <c:tx>
            <c:rich>
              <a:bodyPr/>
              <a:lstStyle/>
              <a:p>
                <a:pPr lvl="0">
                  <a:defRPr b="0">
                    <a:solidFill>
                      <a:srgbClr val="000000"/>
                    </a:solidFill>
                    <a:latin typeface="Arial black"/>
                  </a:defRPr>
                </a:pPr>
                <a:r>
                  <a:rPr b="0">
                    <a:solidFill>
                      <a:srgbClr val="000000"/>
                    </a:solidFill>
                    <a:latin typeface="Arial black"/>
                  </a:rPr>
                  <a:t>Category</a:t>
                </a:r>
              </a:p>
            </c:rich>
          </c:tx>
          <c:overlay val="0"/>
        </c:title>
        <c:numFmt formatCode="General" sourceLinked="1"/>
        <c:majorTickMark val="none"/>
        <c:minorTickMark val="none"/>
        <c:spPr/>
        <c:txPr>
          <a:bodyPr/>
          <a:lstStyle/>
          <a:p>
            <a:pPr lvl="0">
              <a:defRPr b="0">
                <a:solidFill>
                  <a:srgbClr val="000000"/>
                </a:solidFill>
                <a:latin typeface="Arial black"/>
              </a:defRPr>
            </a:pPr>
          </a:p>
        </c:txPr>
        <c:crossAx val="1817620087"/>
      </c:catAx>
      <c:valAx>
        <c:axId val="1817620087"/>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Arial black"/>
                  </a:defRPr>
                </a:pPr>
                <a:r>
                  <a:rPr b="0">
                    <a:solidFill>
                      <a:srgbClr val="000000"/>
                    </a:solidFill>
                    <a:latin typeface="Arial black"/>
                  </a:rPr>
                  <a:t>Average Order Amount</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1875892726"/>
        <c:crosses val="max"/>
      </c:valAx>
    </c:plotArea>
    <c:legend>
      <c:legendPos val="r"/>
      <c:overlay val="0"/>
      <c:txPr>
        <a:bodyPr/>
        <a:lstStyle/>
        <a:p>
          <a:pPr lvl="0">
            <a:defRPr b="0">
              <a:solidFill>
                <a:srgbClr val="1A1A1A"/>
              </a:solidFill>
              <a:latin typeface="Arial black"/>
            </a:defRPr>
          </a:pPr>
        </a:p>
      </c:txPr>
    </c:legend>
    <c:plotVisOnly val="1"/>
  </c:chart>
  <c:spPr>
    <a:solidFill>
      <a:srgbClr val="D9D9D9"/>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Revenue loss due to Cancellation</a:t>
            </a:r>
          </a:p>
        </c:rich>
      </c:tx>
      <c:overlay val="0"/>
    </c:title>
    <c:plotArea>
      <c:layout/>
      <c:barChart>
        <c:barDir val="col"/>
        <c:ser>
          <c:idx val="0"/>
          <c:order val="0"/>
          <c:tx>
            <c:strRef>
              <c:f>'Sales Dashboard'!$K$57</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'Sales Dashboard'!$J$58:$J$62</c:f>
            </c:strRef>
          </c:cat>
          <c:val>
            <c:numRef>
              <c:f>'Sales Dashboard'!$K$58:$K$62</c:f>
              <c:numCache/>
            </c:numRef>
          </c:val>
        </c:ser>
        <c:axId val="316185322"/>
        <c:axId val="858959885"/>
      </c:barChart>
      <c:catAx>
        <c:axId val="316185322"/>
        <c:scaling>
          <c:orientation val="minMax"/>
        </c:scaling>
        <c:delete val="0"/>
        <c:axPos val="b"/>
        <c:title>
          <c:tx>
            <c:rich>
              <a:bodyPr/>
              <a:lstStyle/>
              <a:p>
                <a:pPr lvl="0">
                  <a:defRPr b="0">
                    <a:solidFill>
                      <a:srgbClr val="000000"/>
                    </a:solidFill>
                    <a:latin typeface="Arial black"/>
                  </a:defRPr>
                </a:pPr>
                <a:r>
                  <a:rPr b="0">
                    <a:solidFill>
                      <a:srgbClr val="000000"/>
                    </a:solidFill>
                    <a:latin typeface="Arial black"/>
                  </a:rPr>
                  <a:t>Feedback</a:t>
                </a:r>
              </a:p>
            </c:rich>
          </c:tx>
          <c:overlay val="0"/>
        </c:title>
        <c:numFmt formatCode="General" sourceLinked="1"/>
        <c:majorTickMark val="none"/>
        <c:minorTickMark val="none"/>
        <c:spPr/>
        <c:txPr>
          <a:bodyPr/>
          <a:lstStyle/>
          <a:p>
            <a:pPr lvl="0">
              <a:defRPr b="0">
                <a:solidFill>
                  <a:srgbClr val="000000"/>
                </a:solidFill>
                <a:latin typeface="Arial black"/>
              </a:defRPr>
            </a:pPr>
          </a:p>
        </c:txPr>
        <c:crossAx val="858959885"/>
      </c:catAx>
      <c:valAx>
        <c:axId val="858959885"/>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Arial black"/>
                  </a:defRPr>
                </a:pPr>
                <a:r>
                  <a:rPr b="0">
                    <a:solidFill>
                      <a:srgbClr val="000000"/>
                    </a:solidFill>
                    <a:latin typeface="Arial black"/>
                  </a:rPr>
                  <a:t>Amount (in Rs.)</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316185322"/>
      </c:valAx>
    </c:plotArea>
    <c:legend>
      <c:legendPos val="r"/>
      <c:overlay val="0"/>
      <c:txPr>
        <a:bodyPr/>
        <a:lstStyle/>
        <a:p>
          <a:pPr lvl="0">
            <a:defRPr b="0">
              <a:solidFill>
                <a:srgbClr val="1A1A1A"/>
              </a:solidFill>
              <a:latin typeface="Arial black"/>
            </a:defRPr>
          </a:pPr>
        </a:p>
      </c:txPr>
    </c:legend>
    <c:plotVisOnly val="1"/>
  </c:chart>
  <c:spPr>
    <a:solidFill>
      <a:srgbClr val="D9D9D9"/>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Sales and Total Orders by Month</a:t>
            </a:r>
          </a:p>
        </c:rich>
      </c:tx>
      <c:overlay val="0"/>
    </c:title>
    <c:plotArea>
      <c:layout/>
      <c:lineChart>
        <c:varyColors val="0"/>
        <c:ser>
          <c:idx val="0"/>
          <c:order val="0"/>
          <c:tx>
            <c:v>SUM of Item Total</c:v>
          </c:tx>
          <c:spPr>
            <a:ln cmpd="sng">
              <a:solidFill>
                <a:srgbClr val="4472C4"/>
              </a:solidFill>
            </a:ln>
          </c:spPr>
          <c:marker>
            <c:symbol val="none"/>
          </c:marker>
          <c:cat>
            <c:strRef>
              <c:f>'Sales Dashboard'!$A$68:$A$79</c:f>
            </c:strRef>
          </c:cat>
          <c:val>
            <c:numRef>
              <c:f>'Sales Dashboard'!$B$68:$B$79</c:f>
              <c:numCache/>
            </c:numRef>
          </c:val>
          <c:smooth val="0"/>
        </c:ser>
        <c:axId val="1872736976"/>
        <c:axId val="913996621"/>
      </c:lineChart>
      <c:catAx>
        <c:axId val="1872736976"/>
        <c:scaling>
          <c:orientation val="minMax"/>
        </c:scaling>
        <c:delete val="0"/>
        <c:axPos val="b"/>
        <c:title>
          <c:tx>
            <c:rich>
              <a:bodyPr/>
              <a:lstStyle/>
              <a:p>
                <a:pPr lvl="0">
                  <a:defRPr b="1" sz="1400">
                    <a:solidFill>
                      <a:srgbClr val="000000"/>
                    </a:solidFill>
                    <a:latin typeface="+mn-lt"/>
                  </a:defRPr>
                </a:pPr>
                <a:r>
                  <a:rPr b="1" sz="1400">
                    <a:solidFill>
                      <a:srgbClr val="000000"/>
                    </a:solidFill>
                    <a:latin typeface="+mn-lt"/>
                  </a:rPr>
                  <a:t>Order_Date - Month</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913996621"/>
      </c:catAx>
      <c:valAx>
        <c:axId val="913996621"/>
        <c:scaling>
          <c:orientation val="minMax"/>
        </c:scaling>
        <c:delete val="0"/>
        <c:axPos val="l"/>
        <c:minorGridlines>
          <c:spPr>
            <a:ln>
              <a:solidFill>
                <a:srgbClr val="CCCCCC">
                  <a:alpha val="0"/>
                </a:srgbClr>
              </a:solidFill>
            </a:ln>
          </c:spPr>
        </c:minorGridlines>
        <c:title>
          <c:tx>
            <c:rich>
              <a:bodyPr/>
              <a:lstStyle/>
              <a:p>
                <a:pPr lvl="0">
                  <a:defRPr b="1" sz="1400">
                    <a:solidFill>
                      <a:srgbClr val="000000"/>
                    </a:solidFill>
                    <a:latin typeface="+mn-lt"/>
                  </a:defRPr>
                </a:pPr>
                <a:r>
                  <a:rPr b="1" sz="1400">
                    <a:solidFill>
                      <a:srgbClr val="000000"/>
                    </a:solidFill>
                    <a:latin typeface="+mn-lt"/>
                  </a:rPr>
                  <a:t>Amount (in Rs.)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2736976"/>
      </c:valAx>
      <c:lineChart>
        <c:varyColors val="0"/>
        <c:ser>
          <c:idx val="1"/>
          <c:order val="1"/>
          <c:tx>
            <c:strRef>
              <c:f>'Sales Dashboard'!$C$67</c:f>
            </c:strRef>
          </c:tx>
          <c:spPr>
            <a:ln cmpd="sng">
              <a:solidFill>
                <a:srgbClr val="ED7D31"/>
              </a:solidFill>
            </a:ln>
          </c:spPr>
          <c:marker>
            <c:symbol val="circle"/>
            <c:size val="7"/>
            <c:spPr>
              <a:solidFill>
                <a:srgbClr val="ED7D31"/>
              </a:solidFill>
              <a:ln cmpd="sng">
                <a:solidFill>
                  <a:srgbClr val="ED7D31"/>
                </a:solidFill>
              </a:ln>
            </c:spPr>
          </c:marker>
          <c:dLbls>
            <c:numFmt formatCode="General" sourceLinked="1"/>
            <c:txPr>
              <a:bodyPr/>
              <a:lstStyle/>
              <a:p>
                <a:pPr lvl="0">
                  <a:defRPr/>
                </a:pPr>
              </a:p>
            </c:txPr>
            <c:showLegendKey val="0"/>
            <c:showVal val="1"/>
            <c:showCatName val="0"/>
            <c:showSerName val="0"/>
            <c:showPercent val="0"/>
            <c:showBubbleSize val="0"/>
          </c:dLbls>
          <c:cat>
            <c:strRef>
              <c:f>'Sales Dashboard'!$A$68:$A$79</c:f>
            </c:strRef>
          </c:cat>
          <c:val>
            <c:numRef>
              <c:f>'Sales Dashboard'!$C$68:$C$79</c:f>
              <c:numCache/>
            </c:numRef>
          </c:val>
          <c:smooth val="0"/>
        </c:ser>
        <c:axId val="1271475903"/>
        <c:axId val="1053284945"/>
      </c:lineChart>
      <c:catAx>
        <c:axId val="1271475903"/>
        <c:scaling>
          <c:orientation val="minMax"/>
        </c:scaling>
        <c:delete val="1"/>
        <c:axPos val="b"/>
        <c:numFmt formatCode="General" sourceLinked="1"/>
        <c:majorTickMark val="none"/>
        <c:minorTickMark val="none"/>
        <c:spPr/>
        <c:txPr>
          <a:bodyPr/>
          <a:lstStyle/>
          <a:p>
            <a:pPr lvl="0">
              <a:defRPr b="0" sz="1400">
                <a:solidFill>
                  <a:srgbClr val="000000"/>
                </a:solidFill>
                <a:latin typeface="+mn-lt"/>
              </a:defRPr>
            </a:pPr>
          </a:p>
        </c:txPr>
        <c:crossAx val="1053284945"/>
      </c:catAx>
      <c:valAx>
        <c:axId val="105328494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1475903"/>
        <c:crosses val="max"/>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152400</xdr:rowOff>
    </xdr:from>
    <xdr:ext cx="5715000" cy="65627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1085850</xdr:colOff>
      <xdr:row>23</xdr:row>
      <xdr:rowOff>95250</xdr:rowOff>
    </xdr:from>
    <xdr:ext cx="5648325" cy="33432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1085850</xdr:colOff>
      <xdr:row>6</xdr:row>
      <xdr:rowOff>152400</xdr:rowOff>
    </xdr:from>
    <xdr:ext cx="5648325" cy="32289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561975</xdr:colOff>
      <xdr:row>6</xdr:row>
      <xdr:rowOff>152400</xdr:rowOff>
    </xdr:from>
    <xdr:ext cx="6372225" cy="32289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561975</xdr:colOff>
      <xdr:row>23</xdr:row>
      <xdr:rowOff>104775</xdr:rowOff>
    </xdr:from>
    <xdr:ext cx="6372225" cy="3324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2493" sheet="Order_data"/>
  </cacheSource>
  <cacheFields>
    <cacheField name="Order_ID" numFmtId="0">
      <sharedItems>
        <s v="ord_14015"/>
        <s v="ord_11003"/>
        <s v="ord_12007"/>
        <s v="ord_13011"/>
        <s v="ord_15019"/>
        <s v="ord_16023"/>
        <s v="ord_17027"/>
        <s v="ord_18031"/>
        <s v="ord_19035"/>
        <s v="ord_20039"/>
        <s v="ord_21043"/>
        <s v="ord_22047"/>
        <s v="ord_23051"/>
        <s v="ord_24055"/>
        <s v="ord_25059"/>
        <s v="ord_26063"/>
        <s v="ord_27067"/>
        <s v="ord_28071"/>
        <s v="ord_29075"/>
        <s v="ord_30079"/>
        <s v="ord_31083"/>
        <s v="ord_32087"/>
        <s v="ord_33091"/>
        <s v="ord_34095"/>
        <s v="ord_35099"/>
        <s v="ord_36103"/>
        <s v="ord_37107"/>
        <s v="ord_38111"/>
        <s v="ord_39115"/>
        <s v="ord_40119"/>
        <s v="ord_61123"/>
        <s v="ord_42127"/>
        <s v="ord_43131"/>
        <s v="ord_44135"/>
        <s v="ord_45139"/>
        <s v="ord_46143"/>
        <s v="ord_47147"/>
        <s v="ord_48151"/>
        <s v="ord_49155"/>
        <s v="ord_50159"/>
        <s v="ord_51163"/>
        <s v="ord_52167"/>
        <s v="ord_53171"/>
        <s v="ord_54175"/>
        <s v="ord_55179"/>
        <s v="ord_56183"/>
        <s v="ord_57187"/>
        <s v="ord_58191"/>
        <s v="ord_59195"/>
        <s v="ord_60199"/>
        <s v="ord_11207"/>
        <s v="ord_62207"/>
        <s v="ord_63211"/>
        <s v="ord_64215"/>
        <s v="ord_65219"/>
        <s v="ord_66223"/>
        <s v="ord_67227"/>
        <s v="ord_68231"/>
        <s v="ord_69235"/>
        <s v="ord_70239"/>
        <s v="ord_71243"/>
        <s v="ord_72247"/>
        <s v="ord_73251"/>
        <s v="ord_74255"/>
        <s v="ord_75259"/>
        <s v="ord_76263"/>
        <s v="ord_77267"/>
        <s v="ord_78271"/>
        <s v="ord_79275"/>
        <s v="ord_80279"/>
        <s v="ord_81283"/>
        <s v="ord_82287"/>
        <s v="ord_83291"/>
        <s v="ord_84295"/>
        <s v="ord_85299"/>
        <s v="ord_86303"/>
        <s v="ord_87307"/>
        <s v="ord_88311"/>
        <s v="ord_89315"/>
        <s v="ord_90319"/>
        <s v="ord_91323"/>
        <s v="ord_32327"/>
        <s v="ord_93331"/>
        <s v="ord_94335"/>
        <s v="ord_95339"/>
        <s v="ord_96343"/>
        <s v="ord_97347"/>
        <s v="ord_98351"/>
        <s v="ord_99355"/>
        <s v="ord_30039"/>
        <s v="ord_40133"/>
        <s v="ord_50227"/>
        <s v="ord_60321"/>
        <s v="ord_70415"/>
        <s v="ord_80509"/>
        <s v="ord_90603"/>
        <s v="ord_10097"/>
        <s v="ord_10098"/>
        <s v="ord_13099"/>
        <s v="ord_10100"/>
        <s v="ord_10101"/>
        <s v="ord_10102"/>
        <s v="ord_10103"/>
        <s v="ord_10104"/>
        <s v="ord_10105"/>
        <s v="ord_10106"/>
        <s v="ord_10107"/>
        <s v="ord_13108"/>
        <s v="ord_10109"/>
        <s v="ord_10110"/>
        <s v="ord_10111"/>
        <s v="ord_10112"/>
        <s v="ord_10113"/>
        <s v="ord_10114"/>
        <s v="ord_10115"/>
        <s v="ord_10116"/>
        <s v="ord_13117"/>
        <s v="ord_10118"/>
        <s v="ord_10119"/>
        <s v="ord_10120"/>
        <s v="ord_10121"/>
        <s v="ord_10122"/>
        <s v="ord_10123"/>
        <s v="ord_10124"/>
        <s v="ord_10125"/>
        <s v="ord_13126"/>
        <s v="ord_10127"/>
        <s v="ord_10128"/>
        <s v="ord_10129"/>
        <s v="ord_10130"/>
        <s v="ord_10131"/>
        <s v="ord_10132"/>
        <s v="ord_10133"/>
        <s v="ord_10134"/>
        <s v="ord_13135"/>
        <s v="ord_10136"/>
        <s v="ord_10137"/>
        <s v="ord_10138"/>
        <s v="ord_10139"/>
        <s v="ord_10140"/>
        <s v="ord_10141"/>
        <s v="ord_10142"/>
        <s v="ord_10143"/>
        <s v="ord_13144"/>
        <s v="ord_10145"/>
        <s v="ord_10146"/>
        <s v="ord_10147"/>
        <s v="ord_10148"/>
        <s v="ord_10149"/>
        <s v="ord_10150"/>
        <s v="ord_10151"/>
        <s v="ord_10152"/>
        <s v="ord_10153"/>
        <s v="ord_10154"/>
        <s v="ord_10155"/>
        <s v="ord_10156"/>
        <s v="ord_10157"/>
        <s v="ord_10158"/>
        <s v="ord_10159"/>
        <s v="ord_10160"/>
        <s v="ord_10161"/>
        <s v="ord_10162"/>
        <s v="ord_10163"/>
        <s v="ord_10164"/>
        <s v="ord_10165"/>
        <s v="ord_10166"/>
        <s v="ord_10167"/>
        <s v="ord_10168"/>
        <s v="ord_10169"/>
        <s v="ord_10170"/>
        <s v="ord_10171"/>
        <s v="ord_10172"/>
        <s v="ord_10173"/>
        <s v="ord_10174"/>
        <s v="ord_10175"/>
        <s v="ord_10176"/>
        <s v="ord_10177"/>
        <s v="ord_10178"/>
        <s v="ord_10179"/>
        <s v="ord_10180"/>
        <s v="ord_10181"/>
        <s v="ord_10182"/>
        <s v="ord_10183"/>
        <s v="ord_10184"/>
        <s v="ord_10185"/>
        <s v="ord_10186"/>
        <s v="ord_10187"/>
        <s v="ord_10188"/>
        <s v="ord_10189"/>
        <s v="ord_10190"/>
        <s v="ord_10191"/>
        <s v="ord_10192"/>
        <s v="ord_10193"/>
        <s v="ord_10194"/>
        <s v="ord_10195"/>
        <s v="ord_10196"/>
        <s v="ord_10197"/>
        <s v="ord_10198"/>
        <s v="ord_10199"/>
        <s v="ord_10200"/>
        <s v="ord_10201"/>
        <s v="ord_10202"/>
        <s v="ord_10203"/>
        <s v="ord_10204"/>
        <s v="ord_10205"/>
        <s v="ord_10206"/>
        <s v="ord_10207"/>
        <s v="ord_10208"/>
        <s v="ord_10209"/>
        <s v="ord_10210"/>
        <s v="ord_10211"/>
        <s v="ord_10212"/>
        <s v="ord_10213"/>
        <s v="ord_10214"/>
        <s v="ord_10215"/>
        <s v="ord_10216"/>
        <s v="ord_10217"/>
        <s v="ord_10218"/>
        <s v="ord_10219"/>
        <s v="ord_10220"/>
        <s v="ord_10221"/>
        <s v="ord_10222"/>
        <s v="ord_10223"/>
        <s v="ord_10224"/>
        <s v="ord_10225"/>
        <s v="ord_10226"/>
        <s v="ord_10227"/>
        <s v="ord_10228"/>
        <s v="ord_10229"/>
        <s v="ord_10230"/>
        <s v="ord_10231"/>
        <s v="ord_10232"/>
        <s v="ord_10233"/>
        <s v="ord_10234"/>
        <s v="ord_10235"/>
        <s v="ord_10236"/>
        <s v="ord_10237"/>
        <s v="ord_10238"/>
        <s v="ord_10239"/>
        <s v="ord_10240"/>
        <s v="ord_10241"/>
        <s v="ord_10242"/>
        <s v="ord_10243"/>
        <s v="ord_10244"/>
        <s v="ord_10245"/>
        <s v="ord_10246"/>
        <s v="ord_10247"/>
        <s v="ord_10248"/>
        <s v="ord_10249"/>
        <s v="ord_10250"/>
        <s v="ord_10251"/>
        <s v="ord_10252"/>
        <s v="ord_10253"/>
        <s v="ord_10254"/>
        <s v="ord_10255"/>
        <s v="ord_10256"/>
        <s v="ord_10257"/>
        <s v="ord_10258"/>
        <s v="ord_10259"/>
        <s v="ord_10260"/>
        <s v="ord_10261"/>
        <s v="ord_10262"/>
        <s v="ord_10263"/>
        <s v="ord_10264"/>
        <s v="ord_10265"/>
        <s v="ord_10266"/>
        <s v="ord_10267"/>
        <s v="ord_10268"/>
        <s v="ord_10269"/>
        <s v="ord_10270"/>
        <s v="ord_10271"/>
        <s v="ord_10272"/>
        <s v="ord_10273"/>
        <s v="ord_10274"/>
        <s v="ord_10275"/>
        <s v="ord_10276"/>
        <s v="ord_10277"/>
        <s v="ord_10278"/>
        <s v="ord_10279"/>
        <s v="ord_10280"/>
        <s v="ord_10281"/>
        <s v="ord_10282"/>
        <s v="ord_10283"/>
        <s v="ord_10284"/>
        <s v="ord_10285"/>
        <s v="ord_10286"/>
        <s v="ord_10287"/>
        <s v="ord_10288"/>
        <s v="ord_10289"/>
        <s v="ord_10290"/>
        <s v="ord_10291"/>
        <s v="ord_10292"/>
        <s v="ord_10293"/>
        <s v="ord_10294"/>
        <s v="ord_10295"/>
        <s v="ord_10296"/>
        <s v="ord_10297"/>
        <s v="ord_10298"/>
        <s v="ord_10299"/>
        <s v="ord_10300"/>
        <s v="ord_10301"/>
        <s v="ord_10302"/>
        <s v="ord_10303"/>
        <s v="ord_10304"/>
        <s v="ord_10305"/>
        <s v="ord_10306"/>
        <s v="ord_10307"/>
        <s v="ord_10308"/>
        <s v="ord_10309"/>
        <s v="ord_10310"/>
        <s v="ord_10311"/>
        <s v="ord_10312"/>
        <s v="ord_10018"/>
        <s v="ord_10027"/>
        <s v="ord_10036"/>
        <s v="ord_10045"/>
        <s v="ord_10054"/>
        <s v="ord_10063"/>
        <s v="ord_10072"/>
        <s v="ord_10081"/>
        <s v="ord_10313"/>
        <s v="ord_10314"/>
        <s v="ord_10315"/>
        <s v="ord_10316"/>
        <s v="ord_10317"/>
        <s v="ord_10318"/>
        <s v="ord_10319"/>
        <s v="ord_10320"/>
        <s v="ord_10321"/>
        <s v="ord_10322"/>
        <s v="ord_10323"/>
        <s v="ord_10324"/>
        <s v="ord_10325"/>
        <s v="ord_10326"/>
        <s v="ord_10327"/>
        <s v="ord_10328"/>
        <s v="ord_10329"/>
        <s v="ord_10330"/>
        <s v="ord_10331"/>
        <s v="ord_10332"/>
        <s v="ord_10333"/>
        <s v="ord_10334"/>
        <s v="ord_10335"/>
        <s v="ord_10336"/>
        <s v="ord_10337"/>
        <s v="ord_10338"/>
        <s v="ord_10339"/>
        <s v="ord_10340"/>
        <s v="ord_10341"/>
        <s v="ord_10342"/>
        <s v="ord_10343"/>
        <s v="ord_10344"/>
        <s v="ord_10345"/>
        <s v="ord_10346"/>
        <s v="ord_10347"/>
        <s v="ord_10348"/>
        <s v="ord_10349"/>
        <s v="ord_10350"/>
        <s v="ord_10351"/>
        <s v="ord_10352"/>
        <s v="ord_10353"/>
        <s v="ord_10354"/>
        <s v="ord_10355"/>
        <s v="ord_10356"/>
        <s v="ord_10357"/>
        <s v="ord_10358"/>
        <s v="ord_10359"/>
        <s v="ord_10360"/>
        <s v="ord_10361"/>
        <s v="ord_10362"/>
        <s v="ord_10363"/>
        <s v="ord_10364"/>
        <s v="ord_10365"/>
        <s v="ord_10366"/>
        <s v="ord_10367"/>
        <s v="ord_10368"/>
        <s v="ord_10369"/>
        <s v="ord_10370"/>
        <s v="ord_10371"/>
        <s v="ord_10372"/>
        <s v="ord_10373"/>
        <s v="ord_10374"/>
        <s v="ord_10375"/>
        <s v="ord_10376"/>
        <s v="ord_10377"/>
        <s v="ord_10378"/>
        <s v="ord_10379"/>
        <s v="ord_10380"/>
        <s v="ord_10381"/>
        <s v="ord_10382"/>
        <s v="ord_10383"/>
        <s v="ord_10384"/>
        <s v="ord_10385"/>
        <s v="ord_10386"/>
        <s v="ord_10387"/>
        <s v="ord_10388"/>
        <s v="ord_10389"/>
        <s v="ord_10390"/>
        <s v="ord_10391"/>
        <s v="ord_10392"/>
        <s v="ord_10393"/>
        <s v="ord_10394"/>
        <s v="ord_10395"/>
        <s v="ord_10396"/>
        <s v="ord_10397"/>
        <s v="ord_10398"/>
        <s v="ord_10399"/>
        <s v="ord_10400"/>
        <s v="ord_10401"/>
        <s v="ord_10402"/>
        <s v="ord_10403"/>
        <s v="ord_10404"/>
        <s v="ord_10405"/>
        <s v="ord_10406"/>
        <s v="ord_10407"/>
        <s v="ord_10408"/>
        <s v="ord_10409"/>
        <s v="ord_10410"/>
        <s v="ord_10411"/>
        <s v="ord_10412"/>
        <s v="ord_10413"/>
        <s v="ord_10414"/>
        <s v="ord_10415"/>
        <s v="ord_10416"/>
        <s v="ord_10417"/>
        <s v="ord_10418"/>
        <s v="ord_10419"/>
        <s v="ord_10420"/>
        <s v="ord_10421"/>
        <s v="ord_10422"/>
        <s v="ord_10423"/>
        <s v="ord_10424"/>
        <s v="ord_10425"/>
        <s v="ord_10426"/>
        <s v="ord_10427"/>
        <s v="ord_10428"/>
        <s v="ord_10429"/>
        <s v="ord_10430"/>
        <s v="ord_10431"/>
        <s v="ord_10432"/>
        <s v="ord_10433"/>
        <s v="ord_10434"/>
        <s v="ord_10435"/>
        <s v="ord_10436"/>
        <s v="ord_10437"/>
        <s v="ord_10438"/>
        <s v="ord_10439"/>
        <s v="ord_10440"/>
        <s v="ord_10441"/>
        <s v="ord_10442"/>
        <s v="ord_10443"/>
        <s v="ord_10444"/>
        <s v="ord_10445"/>
        <s v="ord_10446"/>
        <s v="ord_10447"/>
        <s v="ord_10448"/>
        <s v="ord_10449"/>
        <s v="ord_10450"/>
        <s v="ord_10451"/>
        <s v="ord_10452"/>
        <s v="ord_10453"/>
        <s v="ord_10454"/>
        <s v="ord_10455"/>
        <s v="ord_10456"/>
        <s v="ord_10457"/>
        <s v="ord_10458"/>
        <s v="ord_10459"/>
        <s v="ord_10460"/>
        <s v="ord_10461"/>
        <s v="ord_10462"/>
        <s v="ord_10463"/>
        <s v="ord_10464"/>
        <s v="ord_10465"/>
        <s v="ord_10466"/>
        <s v="ord_10467"/>
        <s v="ord_10468"/>
        <s v="ord_10469"/>
        <s v="ord_10470"/>
        <s v="ord_10471"/>
        <s v="ord_10472"/>
        <s v="ord_10473"/>
        <s v="ord_10474"/>
        <s v="ord_10475"/>
        <s v="ord_10476"/>
        <s v="ord_10477"/>
        <s v="ord_10478"/>
        <s v="ord_10479"/>
        <s v="ord_10480"/>
        <s v="ord_10481"/>
        <s v="ord_10482"/>
        <s v="ord_10483"/>
        <s v="ord_10484"/>
        <s v="ord_10485"/>
        <s v="ord_10486"/>
        <s v="ord_10487"/>
        <s v="ord_10488"/>
        <s v="ord_10489"/>
        <s v="ord_10490"/>
        <s v="ord_10491"/>
        <s v="ord_10492"/>
        <s v="ord_10493"/>
        <s v="ord_10494"/>
        <s v="ord_10495"/>
        <s v="ord_10496"/>
        <s v="ord_10497"/>
        <s v="ord_10498"/>
        <s v="ord_10499"/>
        <s v="ord_10500"/>
        <s v="ord_10501"/>
        <s v="ord_10502"/>
        <s v="ord_10503"/>
        <s v="ord_10504"/>
        <s v="ord_10505"/>
        <s v="ord_10506"/>
        <s v="ord_10507"/>
        <s v="ord_10508"/>
        <s v="ord_10509"/>
        <s v="ord_10510"/>
        <s v="ord_10511"/>
        <s v="ord_10512"/>
        <s v="ord_10513"/>
        <s v="ord_10514"/>
        <s v="ord_10515"/>
        <s v="ord_10516"/>
        <s v="ord_10517"/>
        <s v="ord_10518"/>
        <s v="ord_10519"/>
        <s v="ord_10520"/>
        <s v="ord_10521"/>
        <s v="ord_10522"/>
        <s v="ord_10523"/>
        <s v="ord_10524"/>
        <s v="ord_10525"/>
        <s v="ord_10526"/>
        <s v="ord_10527"/>
        <s v="ord_10528"/>
        <s v="ord_10529"/>
        <s v="ord_10530"/>
        <s v="ord_10531"/>
        <s v="ord_10532"/>
        <s v="ord_10533"/>
        <s v="ord_10534"/>
        <s v="ord_10535"/>
        <s v="ord_10536"/>
        <s v="ord_10537"/>
        <s v="ord_10538"/>
        <s v="ord_10539"/>
        <s v="ord_10540"/>
        <s v="ord_10541"/>
        <s v="ord_10542"/>
        <s v="ord_10543"/>
        <s v="ord_10544"/>
        <s v="ord_10545"/>
        <s v="ord_10546"/>
        <s v="ord_10547"/>
        <s v="ord_10548"/>
        <s v="ord_10549"/>
        <s v="ord_10550"/>
        <s v="ord_10551"/>
        <s v="ord_10552"/>
        <s v="ord_10553"/>
        <s v="ord_10554"/>
        <s v="ord_10555"/>
        <s v="ord_10556"/>
        <s v="ord_10557"/>
        <s v="ord_10558"/>
        <s v="ord_10559"/>
        <s v="ord_10560"/>
        <s v="ord_10561"/>
        <s v="ord_10562"/>
        <s v="ord_10563"/>
        <s v="ord_10564"/>
        <s v="ord_10565"/>
        <s v="ord_10566"/>
        <s v="ord_10567"/>
        <s v="ord_10568"/>
        <s v="ord_10569"/>
        <s v="ord_10570"/>
        <s v="ord_10571"/>
        <s v="ord_10572"/>
        <s v="ord_10573"/>
        <s v="ord_10574"/>
        <s v="ord_10575"/>
        <s v="ord_10576"/>
        <s v="ord_10577"/>
        <s v="ord_10578"/>
        <s v="ord_10579"/>
        <s v="ord_10580"/>
        <s v="ord_10581"/>
        <s v="ord_10582"/>
        <s v="ord_10583"/>
        <s v="ord_10584"/>
        <s v="ord_10585"/>
        <s v="ord_10586"/>
        <s v="ord_10587"/>
        <s v="ord_10588"/>
        <s v="ord_10589"/>
        <s v="ord_10590"/>
        <s v="ord_10591"/>
        <s v="ord_10592"/>
        <s v="ord_10593"/>
        <s v="ord_10594"/>
        <s v="ord_10595"/>
        <s v="ord_10596"/>
        <s v="ord_10597"/>
        <s v="ord_10598"/>
        <s v="ord_10599"/>
        <s v="ord_10600"/>
        <s v="ord_10601"/>
        <s v="ord_10602"/>
        <s v="ord_10603"/>
        <s v="ord_10604"/>
        <s v="ord_10605"/>
        <s v="ord_10606"/>
        <s v="ord_10607"/>
        <s v="ord_10608"/>
        <s v="ord_10609"/>
        <s v="ord_10610"/>
        <s v="ord_10611"/>
        <s v="ord_10612"/>
        <s v="ord_10613"/>
        <s v="ord_10614"/>
        <s v="ord_10615"/>
        <s v="ord_10616"/>
        <s v="ord_10617"/>
        <s v="ord_10618"/>
        <s v="ord_10619"/>
        <s v="ord_10620"/>
        <s v="ord_10621"/>
        <s v="ord_10622"/>
        <s v="ord_10623"/>
        <s v="ord_10624"/>
        <s v="ord_10625"/>
        <s v="ord_10626"/>
        <s v="ord_10627"/>
        <s v="ord_10628"/>
        <s v="ord_10629"/>
        <s v="ord_10630"/>
        <s v="ord_10631"/>
        <s v="ord_10632"/>
        <s v="ord_10633"/>
        <s v="ord_10634"/>
        <s v="ord_10635"/>
        <s v="ord_10636"/>
        <s v="ord_10637"/>
        <s v="ord_10638"/>
        <s v="ord_10639"/>
        <s v="ord_10640"/>
        <s v="ord_10641"/>
        <s v="ord_10642"/>
        <s v="ord_10643"/>
        <s v="ord_10644"/>
        <s v="ord_10645"/>
        <s v="ord_10646"/>
        <s v="ord_10647"/>
        <s v="ord_10648"/>
        <s v="ord_10649"/>
        <s v="ord_10650"/>
        <s v="ord_10651"/>
        <s v="ord_10652"/>
        <s v="ord_10653"/>
        <s v="ord_10654"/>
        <s v="ord_10655"/>
        <s v="ord_10656"/>
        <s v="ord_10657"/>
        <s v="ord_10658"/>
        <s v="ord_10659"/>
        <s v="ord_10660"/>
        <s v="ord_10661"/>
        <s v="ord_10662"/>
        <s v="ord_10663"/>
        <s v="ord_10664"/>
        <s v="ord_10665"/>
        <s v="ord_10666"/>
        <s v="ord_10667"/>
        <s v="ord_10668"/>
        <s v="ord_10669"/>
        <s v="ord_10670"/>
        <s v="ord_10671"/>
        <s v="ord_10672"/>
        <s v="ord_10673"/>
        <s v="ord_10674"/>
        <s v="ord_10675"/>
        <s v="ord_10676"/>
        <s v="ord_10677"/>
        <s v="ord_10678"/>
        <s v="ord_10679"/>
        <s v="ord_10680"/>
        <s v="ord_10681"/>
        <s v="ord_10682"/>
        <s v="ord_10683"/>
        <s v="ord_10684"/>
        <s v="ord_10685"/>
        <s v="ord_10686"/>
        <s v="ord_10687"/>
        <s v="ord_10688"/>
        <s v="ord_10689"/>
        <s v="ord_10690"/>
        <s v="ord_10691"/>
        <s v="ord_10692"/>
        <s v="ord_10693"/>
        <s v="ord_10694"/>
        <s v="ord_10695"/>
        <s v="ord_10696"/>
        <s v="ord_10697"/>
        <s v="ord_10698"/>
        <s v="ord_10699"/>
        <s v="ord_10700"/>
        <s v="ord_10701"/>
        <s v="ord_10702"/>
        <s v="ord_10703"/>
        <s v="ord_10704"/>
        <s v="ord_10705"/>
        <s v="ord_10706"/>
        <s v="ord_10707"/>
        <s v="ord_10708"/>
        <s v="ord_10709"/>
        <s v="ord_10710"/>
        <s v="ord_10711"/>
        <s v="ord_10712"/>
        <s v="ord_10713"/>
        <s v="ord_10714"/>
        <s v="ord_10715"/>
        <s v="ord_10716"/>
        <s v="ord_10717"/>
        <s v="ord_10718"/>
        <s v="ord_10719"/>
        <s v="ord_10720"/>
        <s v="ord_10721"/>
        <s v="ord_10722"/>
        <s v="ord_10723"/>
        <s v="ord_10724"/>
        <s v="ord_10725"/>
        <s v="ord_10726"/>
        <s v="ord_10727"/>
        <s v="ord_10728"/>
        <s v="ord_10729"/>
        <s v="ord_10730"/>
        <s v="ord_10731"/>
        <s v="ord_10732"/>
        <s v="ord_10733"/>
        <s v="ord_10734"/>
        <s v="ord_10735"/>
        <s v="ord_10736"/>
        <s v="ord_10737"/>
        <s v="ord_10738"/>
        <s v="ord_10739"/>
        <s v="ord_10740"/>
        <s v="ord_10741"/>
        <s v="ord_10742"/>
        <s v="ord_10743"/>
        <s v="ord_10744"/>
        <s v="ord_10745"/>
        <s v="ord_10746"/>
        <s v="ord_10747"/>
        <s v="ord_10748"/>
        <s v="ord_10749"/>
        <s v="ord_10750"/>
        <s v="ord_10751"/>
        <s v="ord_10752"/>
        <s v="ord_10753"/>
        <s v="ord_10754"/>
        <s v="ord_10755"/>
        <s v="ord_10756"/>
        <s v="ord_10757"/>
        <s v="ord_10758"/>
        <s v="ord_10759"/>
        <s v="ord_10760"/>
        <s v="ord_10761"/>
        <s v="ord_10762"/>
        <s v="ord_10763"/>
        <s v="ord_10764"/>
        <s v="ord_10765"/>
        <s v="ord_10766"/>
        <s v="ord_10767"/>
        <s v="ord_10768"/>
        <s v="ord_10769"/>
        <s v="ord_10770"/>
        <s v="ord_10771"/>
        <s v="ord_10772"/>
        <s v="ord_10773"/>
        <s v="ord_10774"/>
        <s v="ord_10775"/>
        <s v="ord_10776"/>
        <s v="ord_10777"/>
        <s v="ord_10778"/>
        <s v="ord_10779"/>
        <s v="ord_10780"/>
        <s v="ord_10781"/>
        <s v="ord_10782"/>
        <s v="ord_10783"/>
        <s v="ord_10784"/>
        <s v="ord_10785"/>
        <s v="ord_10786"/>
        <s v="ord_10787"/>
        <s v="ord_10788"/>
        <s v="ord_10789"/>
        <s v="ord_10790"/>
        <s v="ord_10791"/>
        <s v="ord_10792"/>
        <s v="ord_10793"/>
        <s v="ord_10794"/>
        <s v="ord_10795"/>
        <s v="ord_10796"/>
        <s v="ord_10797"/>
        <s v="ord_10798"/>
        <s v="ord_10799"/>
        <s v="ord_10800"/>
        <s v="ord_10801"/>
        <s v="ord_10802"/>
        <s v="ord_10803"/>
        <s v="ord_10804"/>
        <s v="ord_10805"/>
        <s v="ord_10806"/>
        <s v="ord_10807"/>
        <s v="ord_10808"/>
        <s v="ord_10809"/>
        <s v="ord_10810"/>
        <s v="ord_10811"/>
        <s v="ord_10812"/>
        <s v="ord_10813"/>
        <s v="ord_10814"/>
        <s v="ord_10815"/>
        <s v="ord_10816"/>
        <s v="ord_10817"/>
        <s v="ord_10818"/>
        <s v="ord_10819"/>
        <s v="ord_10820"/>
        <s v="ord_10821"/>
        <s v="ord_10822"/>
        <s v="ord_10823"/>
        <s v="ord_10824"/>
        <s v="ord_10825"/>
        <s v="ord_10826"/>
        <s v="ord_10827"/>
        <s v="ord_10828"/>
        <s v="ord_10829"/>
        <s v="ord_30830"/>
        <s v="ord_30831"/>
        <s v="ord_30832"/>
        <s v="ord_30833"/>
        <s v="ord_30834"/>
        <s v="ord_30835"/>
        <s v="ord_30836"/>
        <s v="ord_30837"/>
        <s v="ord_30838"/>
        <s v="ord_30839"/>
        <s v="ord_30840"/>
        <s v="ord_30841"/>
        <s v="ord_30842"/>
        <s v="ord_30843"/>
        <s v="ord_30844"/>
        <s v="ord_30845"/>
        <s v="ord_30846"/>
        <s v="ord_30847"/>
        <s v="ord_30848"/>
        <s v="ord_30849"/>
        <s v="ord_30850"/>
        <s v="ord_30851"/>
        <s v="ord_30852"/>
        <s v="ord_30853"/>
        <s v="ord_30854"/>
        <s v="ord_30855"/>
        <s v="ord_30856"/>
        <s v="ord_30857"/>
        <s v="ord_30858"/>
        <s v="ord_30859"/>
        <s v="ord_30860"/>
        <s v="ord_30861"/>
        <s v="ord_30862"/>
        <s v="ord_30863"/>
        <s v="ord_30864"/>
        <s v="ord_30865"/>
        <s v="ord_30866"/>
        <s v="ord_30867"/>
        <s v="ord_30868"/>
        <s v="ord_30869"/>
        <s v="ord_30870"/>
        <s v="ord_30871"/>
        <s v="ord_30872"/>
        <s v="ord_30873"/>
        <s v="ord_30874"/>
        <s v="ord_30875"/>
        <s v="ord_30876"/>
        <s v="ord_30877"/>
        <s v="ord_30878"/>
        <s v="ord_30879"/>
        <s v="ord_30880"/>
        <s v="ord_30881"/>
        <s v="ord_30882"/>
        <s v="ord_30883"/>
        <s v="ord_30884"/>
        <s v="ord_30885"/>
        <s v="ord_30886"/>
        <s v="ord_30887"/>
        <s v="ord_30888"/>
        <s v="ord_30889"/>
        <s v="ord_30890"/>
        <s v="ord_30891"/>
        <s v="ord_30892"/>
        <s v="ord_30893"/>
        <s v="ord_30894"/>
        <s v="ord_30895"/>
        <s v="ord_30896"/>
        <s v="ord_30897"/>
        <s v="ord_30898"/>
        <s v="ord_30899"/>
        <s v="ord_30900"/>
        <s v="ord_30901"/>
        <s v="ord_30902"/>
        <s v="ord_30903"/>
        <s v="ord_30904"/>
        <s v="ord_30905"/>
        <s v="ord_30906"/>
        <s v="ord_30907"/>
        <s v="ord_30908"/>
        <s v="ord_30909"/>
        <s v="ord_30910"/>
        <s v="ord_96334"/>
        <s v="ord_96428"/>
        <s v="ord_96522"/>
        <s v="ord_96616"/>
        <s v="ord_96710"/>
        <s v="ord_96804"/>
        <s v="ord_96898"/>
        <s v="ord_96992"/>
        <s v="ord_97086"/>
        <s v="ord_97180"/>
        <s v="ord_30911"/>
        <s v="ord_30912"/>
        <s v="ord_30913"/>
        <s v="ord_30914"/>
        <s v="ord_30915"/>
        <s v="ord_30916"/>
        <s v="ord_30917"/>
        <s v="ord_30918"/>
        <s v="ord_30919"/>
        <s v="ord_30920"/>
        <s v="ord_30921"/>
        <s v="ord_30922"/>
        <s v="ord_30923"/>
        <s v="ord_30924"/>
        <s v="ord_30925"/>
        <s v="ord_30926"/>
        <s v="ord_30927"/>
        <s v="ord_30928"/>
        <s v="ord_30929"/>
        <s v="ord_30930"/>
        <s v="ord_30931"/>
        <s v="ord_30932"/>
        <s v="ord_30933"/>
        <s v="ord_30934"/>
        <s v="ord_30935"/>
        <s v="ord_30936"/>
        <s v="ord_30937"/>
        <s v="ord_30938"/>
        <s v="ord_30939"/>
        <s v="ord_30940"/>
        <s v="ord_30941"/>
        <s v="ord_30942"/>
        <s v="ord_30943"/>
        <s v="ord_30944"/>
        <s v="ord_30945"/>
        <s v="ord_30946"/>
        <s v="ord_30947"/>
        <s v="ord_30948"/>
        <s v="ord_30949"/>
        <s v="ord_30950"/>
        <s v="ord_30951"/>
        <s v="ord_30952"/>
        <s v="ord_30953"/>
        <s v="ord_30954"/>
        <s v="ord_30955"/>
        <s v="ord_40956"/>
        <s v="ord_40957"/>
        <s v="ord_40958"/>
        <s v="ord_40959"/>
        <s v="ord_40960"/>
        <s v="ord_40961"/>
        <s v="ord_40962"/>
        <s v="ord_40963"/>
        <s v="ord_40964"/>
        <s v="ord_40965"/>
        <s v="ord_40966"/>
        <s v="ord_40967"/>
        <s v="ord_40968"/>
        <s v="ord_40969"/>
        <s v="ord_40970"/>
        <s v="ord_40971"/>
        <s v="ord_40972"/>
        <s v="ord_40973"/>
        <s v="ord_40974"/>
        <s v="ord_40975"/>
        <s v="ord_40976"/>
        <s v="ord_40977"/>
        <s v="ord_40978"/>
        <s v="ord_40979"/>
        <s v="ord_40980"/>
        <s v="ord_40981"/>
        <s v="ord_40982"/>
        <s v="ord_40983"/>
        <s v="ord_40984"/>
        <s v="ord_40985"/>
        <s v="ord_40986"/>
        <s v="ord_40987"/>
        <s v="ord_10090"/>
        <s v="ord_10099"/>
        <s v="ord_10108"/>
        <s v="ord_40988"/>
        <s v="ord_40989"/>
        <s v="ord_40990"/>
        <s v="ord_40991"/>
        <s v="ord_40992"/>
        <s v="ord_40993"/>
        <s v="ord_40994"/>
        <s v="ord_40995"/>
        <s v="ord_40996"/>
        <s v="ord_40997"/>
        <s v="ord_40998"/>
        <s v="ord_40999"/>
        <s v="ord_41000"/>
        <s v="ord_41001"/>
        <s v="ord_41002"/>
        <s v="ord_41003"/>
        <s v="ord_41004"/>
        <s v="ord_41005"/>
        <s v="ord_41006"/>
        <s v="ord_41007"/>
        <s v="ord_41008"/>
        <s v="ord_41009"/>
        <s v="ord_41010"/>
        <s v="ord_41011"/>
        <s v="ord_41012"/>
        <s v="ord_41013"/>
        <s v="ord_41014"/>
        <s v="ord_41015"/>
        <s v="ord_41016"/>
        <s v="ord_41017"/>
        <s v="ord_41018"/>
        <s v="ord_41019"/>
        <s v="ord_41020"/>
        <s v="ord_41021"/>
        <s v="ord_41022"/>
        <s v="ord_41023"/>
        <s v="ord_41024"/>
        <s v="ord_41025"/>
        <s v="ord_41026"/>
        <s v="ord_41027"/>
        <s v="ord_41028"/>
        <s v="ord_41029"/>
        <s v="ord_41030"/>
        <s v="ord_41031"/>
        <s v="ord_41032"/>
        <s v="ord_41033"/>
        <s v="ord_41034"/>
        <s v="ord_41035"/>
        <s v="ord_41036"/>
        <s v="ord_41037"/>
        <s v="ord_41038"/>
        <s v="ord_41039"/>
        <s v="ord_41040"/>
        <s v="ord_41041"/>
        <s v="ord_41042"/>
        <s v="ord_41043"/>
        <s v="ord_41044"/>
        <s v="ord_41045"/>
        <s v="ord_41046"/>
        <s v="ord_41047"/>
        <s v="ord_41048"/>
        <s v="ord_41049"/>
        <s v="ord_41050"/>
        <s v="ord_41051"/>
        <s v="ord_41052"/>
        <s v="ord_41053"/>
        <s v="ord_41054"/>
        <s v="ord_41055"/>
        <s v="ord_41056"/>
        <s v="ord_41057"/>
        <s v="ord_41058"/>
        <s v="ord_41059"/>
        <s v="ord_41060"/>
        <s v="ord_41061"/>
        <s v="ord_41062"/>
        <s v="ord_41063"/>
        <s v="ord_41064"/>
        <s v="ord_41065"/>
        <s v="ord_41066"/>
        <s v="ord_41067"/>
        <s v="ord_41068"/>
        <s v="ord_41069"/>
        <s v="ord_41070"/>
        <s v="ord_41071"/>
        <s v="ord_41072"/>
        <s v="ord_41073"/>
        <s v="ord_41074"/>
        <s v="ord_41075"/>
        <s v="ord_41076"/>
        <s v="ord_41077"/>
        <s v="ord_41078"/>
        <s v="ord_41079"/>
        <s v="ord_41080"/>
        <s v="ord_41081"/>
        <s v="ord_41082"/>
        <s v="ord_41083"/>
        <s v="ord_41084"/>
        <s v="ord_41085"/>
        <s v="ord_41086"/>
        <s v="ord_41087"/>
        <s v="ord_41088"/>
        <s v="ord_41089"/>
        <s v="ord_41090"/>
        <s v="ord_41091"/>
        <s v="ord_41092"/>
        <s v="ord_41093"/>
        <s v="ord_41094"/>
        <s v="ord_41095"/>
        <s v="ord_41096"/>
        <s v="ord_41097"/>
        <s v="ord_41098"/>
        <s v="ord_41099"/>
        <s v="ord_41100"/>
        <s v="ord_41101"/>
        <s v="ord_41102"/>
        <s v="ord_41103"/>
        <s v="ord_41104"/>
        <s v="ord_41105"/>
        <s v="ord_41106"/>
        <s v="ord_41107"/>
        <s v="ord_41108"/>
        <s v="ord_41109"/>
        <s v="ord_41110"/>
        <s v="ord_41111"/>
        <s v="ord_41112"/>
        <s v="ord_41113"/>
        <s v="ord_41114"/>
        <s v="ord_41115"/>
        <s v="ord_41116"/>
        <s v="ord_41117"/>
        <s v="ord_41118"/>
        <s v="ord_41119"/>
        <s v="ord_41120"/>
        <s v="ord_41121"/>
        <s v="ord_41122"/>
        <s v="ord_41123"/>
        <s v="ord_41124"/>
        <s v="ord_41125"/>
        <s v="ord_41126"/>
        <s v="ord_41127"/>
        <s v="ord_41128"/>
        <s v="ord_41129"/>
        <s v="ord_41130"/>
        <s v="ord_41131"/>
        <s v="ord_41132"/>
        <s v="ord_41133"/>
        <s v="ord_41134"/>
        <s v="ord_41135"/>
        <s v="ord_41136"/>
        <s v="ord_41137"/>
        <s v="ord_41138"/>
        <s v="ord_41139"/>
        <s v="ord_41140"/>
        <s v="ord_41141"/>
        <s v="ord_41142"/>
        <s v="ord_41143"/>
        <s v="ord_41144"/>
        <s v="ord_41145"/>
        <s v="ord_41146"/>
        <s v="ord_41147"/>
        <s v="ord_41148"/>
        <s v="ord_41149"/>
        <s v="ord_41150"/>
        <s v="ord_41151"/>
        <s v="ord_41152"/>
        <s v="ord_41153"/>
        <s v="ord_41154"/>
        <s v="ord_41155"/>
        <s v="ord_41156"/>
        <s v="ord_41157"/>
        <s v="ord_41158"/>
        <s v="ord_41159"/>
        <s v="ord_41160"/>
        <s v="ord_41161"/>
        <s v="ord_41162"/>
        <s v="ord_41163"/>
        <s v="ord_41164"/>
        <s v="ord_41165"/>
        <s v="ord_41166"/>
        <s v="ord_41167"/>
        <s v="ord_41168"/>
        <s v="ord_41169"/>
        <s v="ord_41170"/>
        <s v="ord_41171"/>
        <s v="ord_41172"/>
        <s v="ord_41173"/>
        <s v="ord_41174"/>
        <s v="ord_41175"/>
        <s v="ord_41176"/>
        <s v="ord_41177"/>
        <s v="ord_41178"/>
        <s v="ord_41179"/>
        <s v="ord_41180"/>
        <s v="ord_41181"/>
        <s v="ord_41182"/>
        <s v="ord_41183"/>
        <s v="ord_41184"/>
        <s v="ord_41185"/>
        <s v="ord_61186"/>
        <s v="ord_61187"/>
        <s v="ord_61188"/>
        <s v="ord_61189"/>
        <s v="ord_61190"/>
        <s v="ord_61191"/>
        <s v="ord_61192"/>
        <s v="ord_61193"/>
        <s v="ord_61194"/>
        <s v="ord_61195"/>
        <s v="ord_61196"/>
        <s v="ord_61197"/>
        <s v="ord_61198"/>
        <s v="ord_61199"/>
        <s v="ord_61200"/>
        <s v="ord_61201"/>
        <s v="ord_61202"/>
        <s v="ord_61203"/>
        <s v="ord_61204"/>
        <s v="ord_61205"/>
        <s v="ord_61206"/>
        <s v="ord_61207"/>
        <s v="ord_61208"/>
        <s v="ord_61209"/>
        <s v="ord_61210"/>
        <s v="ord_61211"/>
        <s v="ord_61212"/>
        <s v="ord_61213"/>
        <s v="ord_61214"/>
        <s v="ord_61215"/>
        <s v="ord_61216"/>
        <s v="ord_61217"/>
        <s v="ord_61218"/>
        <s v="ord_61219"/>
        <s v="ord_61220"/>
        <s v="ord_61221"/>
        <s v="ord_61222"/>
        <s v="ord_61223"/>
        <s v="ord_61224"/>
        <s v="ord_61225"/>
        <s v="ord_61226"/>
        <s v="ord_61227"/>
        <s v="ord_61228"/>
        <s v="ord_61229"/>
        <s v="ord_61230"/>
        <s v="ord_61231"/>
        <s v="ord_61232"/>
        <s v="ord_61233"/>
        <s v="ord_61234"/>
        <s v="ord_61235"/>
        <s v="ord_61236"/>
        <s v="ord_61237"/>
        <s v="ord_61238"/>
        <s v="ord_61239"/>
        <s v="ord_61240"/>
        <s v="ord_61241"/>
        <s v="ord_61242"/>
        <s v="ord_61243"/>
        <s v="ord_61244"/>
        <s v="ord_61245"/>
        <s v="ord_61246"/>
        <s v="ord_61247"/>
        <s v="ord_61248"/>
        <s v="ord_61249"/>
        <s v="ord_61250"/>
        <s v="ord_61251"/>
        <s v="ord_61252"/>
        <s v="ord_61253"/>
        <s v="ord_61254"/>
        <s v="ord_61255"/>
        <s v="ord_61256"/>
        <s v="ord_61257"/>
        <s v="ord_61258"/>
        <s v="ord_61259"/>
        <s v="ord_61260"/>
        <s v="ord_61261"/>
        <s v="ord_61262"/>
        <s v="ord_61263"/>
        <s v="ord_61264"/>
        <s v="ord_61265"/>
        <s v="ord_61266"/>
        <s v="ord_61267"/>
        <s v="ord_61268"/>
        <s v="ord_61269"/>
        <s v="ord_61270"/>
        <s v="ord_61271"/>
        <s v="ord_61272"/>
        <s v="ord_61273"/>
        <s v="ord_61274"/>
        <s v="ord_61275"/>
        <s v="ord_61276"/>
        <s v="ord_61277"/>
        <s v="ord_61278"/>
        <s v="ord_61279"/>
        <s v="ord_61280"/>
        <s v="ord_61281"/>
        <s v="ord_61282"/>
        <s v="ord_61283"/>
        <s v="ord_61284"/>
        <s v="ord_61285"/>
        <s v="ord_61286"/>
        <s v="ord_61287"/>
        <s v="ord_61288"/>
        <s v="ord_61289"/>
        <s v="ord_61290"/>
        <s v="ord_61291"/>
        <s v="ord_61292"/>
        <s v="ord_61293"/>
        <s v="ord_61294"/>
        <s v="ord_61295"/>
        <s v="ord_61296"/>
        <s v="ord_61297"/>
        <s v="ord_61298"/>
        <s v="ord_61299"/>
        <s v="ord_61300"/>
        <s v="ord_61301"/>
        <s v="ord_61302"/>
        <s v="ord_61303"/>
        <s v="ord_61304"/>
        <s v="ord_61305"/>
        <s v="ord_61306"/>
        <s v="ord_61307"/>
        <s v="ord_61308"/>
        <s v="ord_61309"/>
        <s v="ord_61310"/>
        <s v="ord_61311"/>
        <s v="ord_61312"/>
        <s v="ord_61313"/>
        <s v="ord_61314"/>
        <s v="ord_61315"/>
        <s v="ord_61316"/>
        <s v="ord_61317"/>
        <s v="ord_61318"/>
        <s v="ord_61319"/>
        <s v="ord_61320"/>
        <s v="ord_61321"/>
        <s v="ord_61322"/>
        <s v="ord_61323"/>
        <s v="ord_61324"/>
        <s v="ord_61325"/>
        <s v="ord_61326"/>
        <s v="ord_61327"/>
        <s v="ord_61328"/>
        <s v="ord_61329"/>
        <s v="ord_61330"/>
        <s v="ord_61331"/>
        <s v="ord_61332"/>
        <s v="ord_61333"/>
        <s v="ord_61334"/>
        <s v="ord_61335"/>
        <s v="ord_61336"/>
        <s v="ord_61337"/>
        <s v="ord_61338"/>
        <s v="ord_61339"/>
        <s v="ord_61340"/>
        <s v="ord_61341"/>
        <s v="ord_71342"/>
        <s v="ord_71343"/>
        <s v="ord_71344"/>
        <s v="ord_71345"/>
        <s v="ord_71346"/>
        <s v="ord_71347"/>
        <s v="ord_71348"/>
        <s v="ord_71349"/>
        <s v="ord_71350"/>
        <s v="ord_71351"/>
        <s v="ord_71352"/>
        <s v="ord_71353"/>
        <s v="ord_71354"/>
        <s v="ord_71355"/>
        <s v="ord_71356"/>
        <s v="ord_71357"/>
        <s v="ord_71358"/>
        <s v="ord_71359"/>
        <s v="ord_71360"/>
        <s v="ord_71361"/>
        <s v="ord_71362"/>
        <s v="ord_71363"/>
        <s v="ord_71364"/>
        <s v="ord_71365"/>
        <s v="ord_71366"/>
        <s v="ord_71367"/>
        <s v="ord_71368"/>
        <s v="ord_71369"/>
        <s v="ord_71370"/>
        <s v="ord_71371"/>
        <s v="ord_71372"/>
        <s v="ord_71373"/>
        <s v="ord_71374"/>
        <s v="ord_71375"/>
        <s v="ord_71376"/>
        <s v="ord_71377"/>
        <s v="ord_71378"/>
        <s v="ord_71379"/>
        <s v="ord_71380"/>
        <s v="ord_71381"/>
        <s v="ord_71382"/>
        <s v="ord_71383"/>
        <s v="ord_71384"/>
        <s v="ord_71385"/>
        <s v="ord_71386"/>
        <s v="ord_71387"/>
        <s v="ord_71388"/>
        <s v="ord_71389"/>
        <s v="ord_71390"/>
        <s v="ord_71391"/>
        <s v="ord_71392"/>
        <s v="ord_71393"/>
        <s v="ord_71394"/>
        <s v="ord_71395"/>
        <s v="ord_71396"/>
        <s v="ord_71397"/>
        <s v="ord_71398"/>
        <s v="ord_71399"/>
        <s v="ord_71400"/>
        <s v="ord_71401"/>
        <s v="ord_71402"/>
        <s v="ord_71403"/>
        <s v="ord_71404"/>
        <s v="ord_71405"/>
        <s v="ord_71406"/>
        <s v="ord_71407"/>
        <s v="ord_71408"/>
        <s v="ord_71409"/>
        <s v="ord_71410"/>
        <s v="ord_71411"/>
        <s v="ord_71412"/>
        <s v="ord_71413"/>
        <s v="ord_71414"/>
        <s v="ord_71415"/>
        <s v="ord_71416"/>
        <s v="ord_71417"/>
        <s v="ord_71418"/>
        <s v="ord_71419"/>
        <s v="ord_71420"/>
        <s v="ord_71421"/>
        <s v="ord_71422"/>
        <s v="ord_71423"/>
        <s v="ord_71424"/>
        <s v="ord_71425"/>
        <s v="ord_71426"/>
        <s v="ord_71427"/>
        <s v="ord_71428"/>
        <s v="ord_71429"/>
        <s v="ord_71430"/>
        <s v="ord_71431"/>
        <s v="ord_71432"/>
        <s v="ord_71433"/>
        <s v="ord_71434"/>
        <s v="ord_71435"/>
        <s v="ord_71436"/>
        <s v="ord_71437"/>
        <s v="ord_71438"/>
        <s v="ord_71439"/>
        <s v="ord_71440"/>
        <s v="ord_71441"/>
        <s v="ord_71442"/>
        <s v="ord_71443"/>
        <s v="ord_71444"/>
        <s v="ord_71445"/>
        <s v="ord_71446"/>
        <s v="ord_71447"/>
        <s v="ord_71448"/>
        <s v="ord_71449"/>
        <s v="ord_71450"/>
        <s v="ord_71451"/>
        <s v="ord_71452"/>
        <s v="ord_71453"/>
        <s v="ord_71454"/>
        <s v="ord_71455"/>
        <s v="ord_71456"/>
        <s v="ord_71457"/>
        <s v="ord_71458"/>
        <s v="ord_71459"/>
        <s v="ord_71460"/>
        <s v="ord_71461"/>
        <s v="ord_71462"/>
        <s v="ord_71463"/>
        <s v="ord_71464"/>
        <s v="ord_71465"/>
        <s v="ord_71466"/>
        <s v="ord_71467"/>
        <s v="ord_71468"/>
        <s v="ord_71469"/>
        <s v="ord_71470"/>
        <s v="ord_71471"/>
        <s v="ord_71472"/>
        <s v="ord_71473"/>
        <s v="ord_71474"/>
        <s v="ord_71475"/>
        <s v="ord_71476"/>
        <s v="ord_71477"/>
        <s v="ord_71478"/>
        <s v="ord_71479"/>
        <s v="ord_71480"/>
        <s v="ord_71481"/>
        <s v="ord_71482"/>
        <s v="ord_71483"/>
        <s v="ord_71484"/>
        <s v="ord_71485"/>
        <s v="ord_71486"/>
        <s v="ord_71487"/>
        <s v="ord_71488"/>
        <s v="ord_71489"/>
        <s v="ord_71490"/>
        <s v="ord_71491"/>
        <s v="ord_71492"/>
        <s v="ord_71493"/>
        <s v="ord_71494"/>
        <s v="ord_71495"/>
        <s v="ord_71496"/>
        <s v="ord_71497"/>
        <s v="ord_71498"/>
        <s v="ord_71499"/>
        <s v="ord_71500"/>
        <s v="ord_71501"/>
        <s v="ord_71502"/>
        <s v="ord_71503"/>
        <s v="ord_71504"/>
        <s v="ord_71505"/>
        <s v="ord_71506"/>
        <s v="ord_71507"/>
        <s v="ord_71508"/>
        <s v="ord_71509"/>
        <s v="ord_71510"/>
        <s v="ord_71511"/>
        <s v="ord_71512"/>
        <s v="ord_71513"/>
        <s v="ord_71514"/>
        <s v="ord_71515"/>
        <s v="ord_71516"/>
        <s v="ord_71517"/>
        <s v="ord_71518"/>
        <s v="ord_71519"/>
        <s v="ord_71520"/>
        <s v="ord_71521"/>
        <s v="ord_71522"/>
        <s v="ord_71523"/>
        <s v="ord_71524"/>
        <s v="ord_71525"/>
        <s v="ord_71526"/>
        <s v="ord_71527"/>
        <s v="ord_71528"/>
        <s v="ord_71529"/>
        <s v="ord_71530"/>
        <s v="ord_71531"/>
        <s v="ord_71532"/>
        <s v="ord_71533"/>
        <s v="ord_71534"/>
        <s v="ord_71535"/>
        <s v="ord_71536"/>
        <s v="ord_71537"/>
        <s v="ord_71538"/>
        <s v="ord_71539"/>
        <s v="ord_71540"/>
        <s v="ord_71541"/>
        <s v="ord_71542"/>
        <s v="ord_71543"/>
        <s v="ord_71544"/>
        <s v="ord_71545"/>
        <s v="ord_71546"/>
        <s v="ord_71547"/>
        <s v="ord_71548"/>
        <s v="ord_71549"/>
        <s v="ord_71550"/>
        <s v="ord_71551"/>
        <s v="ord_71552"/>
        <s v="ord_71553"/>
        <s v="ord_71554"/>
        <s v="ord_71555"/>
        <s v="ord_71556"/>
        <s v="ord_71557"/>
        <s v="ord_71558"/>
        <s v="ord_71559"/>
        <s v="ord_71560"/>
        <s v="ord_71561"/>
        <s v="ord_71562"/>
        <s v="ord_71563"/>
        <s v="ord_71564"/>
        <s v="ord_71565"/>
        <s v="ord_71566"/>
        <s v="ord_71567"/>
        <s v="ord_71568"/>
        <s v="ord_71569"/>
        <s v="ord_71570"/>
        <s v="ord_71571"/>
        <s v="ord_71572"/>
        <s v="ord_71573"/>
        <s v="ord_71574"/>
        <s v="ord_71575"/>
        <s v="ord_71576"/>
        <s v="ord_71577"/>
        <s v="ord_71578"/>
        <s v="ord_71579"/>
        <s v="ord_71580"/>
        <s v="ord_71581"/>
        <s v="ord_71582"/>
        <s v="ord_71583"/>
        <s v="ord_71584"/>
        <s v="ord_71585"/>
        <s v="ord_71586"/>
        <s v="ord_71587"/>
        <s v="ord_71588"/>
        <s v="ord_71589"/>
        <s v="ord_71590"/>
        <s v="ord_71591"/>
        <s v="ord_71592"/>
        <s v="ord_71593"/>
        <s v="ord_71594"/>
        <s v="ord_71595"/>
        <s v="ord_71596"/>
        <s v="ord_71597"/>
        <s v="ord_71598"/>
        <s v="ord_71599"/>
        <s v="ord_71600"/>
        <s v="ord_71601"/>
        <s v="ord_71602"/>
        <s v="ord_71603"/>
        <s v="ord_71604"/>
        <s v="ord_71605"/>
        <s v="ord_71606"/>
        <s v="ord_71607"/>
        <s v="ord_71608"/>
        <s v="ord_71609"/>
        <s v="ord_71610"/>
        <s v="ord_71611"/>
        <s v="ord_71612"/>
        <s v="ord_71613"/>
        <s v="ord_71614"/>
        <s v="ord_71615"/>
        <s v="ord_71616"/>
        <s v="ord_71617"/>
        <s v="ord_71618"/>
        <s v="ord_71619"/>
        <s v="ord_71620"/>
        <s v="ord_71621"/>
        <s v="ord_71622"/>
        <s v="ord_71623"/>
        <s v="ord_71624"/>
        <s v="ord_71625"/>
        <s v="ord_71626"/>
        <s v="ord_71627"/>
        <s v="ord_71628"/>
        <s v="ord_71629"/>
        <s v="ord_71630"/>
        <s v="ord_71631"/>
        <s v="ord_71632"/>
        <s v="ord_71633"/>
        <s v="ord_71634"/>
        <s v="ord_71635"/>
        <s v="ord_71636"/>
        <s v="ord_71637"/>
        <s v="ord_71638"/>
        <s v="ord_71639"/>
        <s v="ord_71640"/>
        <s v="ord_71641"/>
        <s v="ord_71642"/>
        <s v="ord_71643"/>
        <s v="ord_71644"/>
        <s v="ord_71645"/>
        <s v="ord_71646"/>
        <s v="ord_71647"/>
        <s v="ord_71648"/>
        <s v="ord_71649"/>
        <s v="ord_71650"/>
        <s v="ord_71651"/>
        <s v="ord_71652"/>
        <s v="ord_71653"/>
        <s v="ord_71654"/>
        <s v="ord_71655"/>
        <s v="ord_71656"/>
        <s v="ord_71657"/>
        <s v="ord_71658"/>
        <s v="ord_71659"/>
        <s v="ord_71660"/>
        <s v="ord_71661"/>
        <s v="ord_71662"/>
        <s v="ord_71663"/>
        <s v="ord_71664"/>
        <s v="ord_71665"/>
        <s v="ord_71666"/>
        <s v="ord_71667"/>
        <s v="ord_71668"/>
        <s v="ord_71669"/>
        <s v="ord_71670"/>
        <s v="ord_71671"/>
        <s v="ord_71672"/>
        <s v="ord_71673"/>
        <s v="ord_71674"/>
        <s v="ord_71675"/>
        <s v="ord_71676"/>
        <s v="ord_71677"/>
        <s v="ord_71678"/>
        <s v="ord_71679"/>
        <s v="ord_71680"/>
        <s v="ord_71681"/>
        <s v="ord_71682"/>
        <s v="ord_71683"/>
        <s v="ord_71684"/>
        <s v="ord_71685"/>
        <s v="ord_71686"/>
        <s v="ord_71687"/>
        <s v="ord_71688"/>
        <s v="ord_71689"/>
        <s v="ord_71690"/>
        <s v="ord_71691"/>
        <s v="ord_71692"/>
        <s v="ord_71693"/>
        <s v="ord_71694"/>
        <s v="ord_71695"/>
        <s v="ord_71696"/>
        <s v="ord_71697"/>
        <s v="ord_71698"/>
        <s v="ord_71699"/>
        <s v="ord_71700"/>
        <s v="ord_71701"/>
        <s v="ord_71702"/>
        <s v="ord_71703"/>
        <s v="ord_71704"/>
        <s v="ord_71705"/>
        <s v="ord_71706"/>
        <s v="ord_71707"/>
        <s v="ord_71708"/>
        <s v="ord_71709"/>
        <s v="ord_71710"/>
        <s v="ord_71711"/>
        <s v="ord_71712"/>
        <s v="ord_71713"/>
        <s v="ord_71714"/>
        <s v="ord_71715"/>
        <s v="ord_71716"/>
        <s v="ord_71717"/>
        <s v="ord_71718"/>
        <s v="ord_71719"/>
        <s v="ord_71720"/>
        <s v="ord_71721"/>
        <s v="ord_71722"/>
        <s v="ord_71723"/>
        <s v="ord_71724"/>
        <s v="ord_71725"/>
        <s v="ord_71726"/>
        <s v="ord_71727"/>
        <s v="ord_71728"/>
        <s v="ord_71729"/>
        <s v="ord_71730"/>
        <s v="ord_71731"/>
        <s v="ord_71732"/>
        <s v="ord_71733"/>
        <s v="ord_71734"/>
        <s v="ord_71735"/>
        <s v="ord_71736"/>
        <s v="ord_71737"/>
        <s v="ord_71738"/>
        <s v="ord_71739"/>
        <s v="ord_71740"/>
        <s v="ord_71741"/>
        <s v="ord_71742"/>
        <s v="ord_71743"/>
        <s v="ord_71744"/>
        <s v="ord_71745"/>
        <s v="ord_71746"/>
        <s v="ord_71747"/>
        <s v="ord_71748"/>
        <s v="ord_71749"/>
        <s v="ord_71750"/>
        <s v="ord_71751"/>
        <s v="ord_71752"/>
        <s v="ord_71753"/>
        <s v="ord_71754"/>
        <s v="ord_71755"/>
        <s v="ord_71756"/>
        <s v="ord_71757"/>
        <s v="ord_71758"/>
        <s v="ord_71759"/>
        <s v="ord_71760"/>
        <s v="ord_71761"/>
        <s v="ord_71762"/>
        <s v="ord_71763"/>
        <s v="ord_71764"/>
        <s v="ord_71765"/>
        <s v="ord_71766"/>
        <s v="ord_71767"/>
        <s v="ord_71768"/>
        <s v="ord_71769"/>
        <s v="ord_71770"/>
        <s v="ord_71771"/>
        <s v="ord_71772"/>
        <s v="ord_71773"/>
        <s v="ord_71774"/>
        <s v="ord_71775"/>
        <s v="ord_71776"/>
        <s v="ord_71777"/>
        <s v="ord_71778"/>
        <s v="ord_71779"/>
        <s v="ord_71780"/>
        <s v="ord_71781"/>
        <s v="ord_71782"/>
        <s v="ord_71783"/>
        <s v="ord_71784"/>
        <s v="ord_71785"/>
        <s v="ord_71786"/>
        <s v="ord_71787"/>
        <s v="ord_71788"/>
        <s v="ord_71789"/>
        <s v="ord_71790"/>
        <s v="ord_71791"/>
        <s v="ord_71792"/>
        <s v="ord_71793"/>
        <s v="ord_71794"/>
        <s v="ord_71795"/>
        <s v="ord_71796"/>
        <s v="ord_71797"/>
        <s v="ord_71798"/>
        <s v="ord_71799"/>
        <s v="ord_71800"/>
        <s v="ord_71801"/>
        <s v="ord_71802"/>
        <s v="ord_71803"/>
        <s v="ord_71804"/>
        <s v="ord_71805"/>
        <s v="ord_71806"/>
        <s v="ord_71807"/>
        <s v="ord_71808"/>
        <s v="ord_71809"/>
        <s v="ord_71810"/>
        <s v="ord_71811"/>
        <s v="ord_71812"/>
        <s v="ord_71813"/>
        <s v="ord_71814"/>
        <s v="ord_71815"/>
        <s v="ord_71816"/>
        <s v="ord_71817"/>
        <s v="ord_71818"/>
        <s v="ord_71819"/>
        <s v="ord_71820"/>
        <s v="ord_71821"/>
        <s v="ord_71822"/>
        <s v="ord_71823"/>
        <s v="ord_71824"/>
        <s v="ord_71825"/>
        <s v="ord_71826"/>
        <s v="ord_71827"/>
        <s v="ord_71828"/>
        <s v="ord_71829"/>
        <s v="ord_71830"/>
        <s v="ord_71831"/>
        <s v="ord_71832"/>
        <s v="ord_71833"/>
        <s v="ord_71834"/>
        <s v="ord_71835"/>
        <s v="ord_71836"/>
        <s v="ord_71837"/>
        <s v="ord_71838"/>
        <s v="ord_71839"/>
        <s v="ord_71840"/>
        <s v="ord_71841"/>
        <s v="ord_71842"/>
        <s v="ord_71843"/>
        <s v="ord_71844"/>
        <s v="ord_71845"/>
        <s v="ord_71846"/>
        <s v="ord_71847"/>
        <s v="ord_71848"/>
        <s v="ord_71849"/>
        <s v="ord_71850"/>
        <s v="ord_71851"/>
        <s v="ord_71852"/>
        <s v="ord_71853"/>
        <s v="ord_71854"/>
        <s v="ord_81855"/>
        <s v="ord_81856"/>
        <s v="ord_81857"/>
        <s v="ord_81858"/>
        <s v="ord_81859"/>
        <s v="ord_81860"/>
        <s v="ord_81861"/>
        <s v="ord_81862"/>
        <s v="ord_81863"/>
        <s v="ord_81864"/>
        <s v="ord_81865"/>
        <s v="ord_81866"/>
        <s v="ord_81867"/>
        <s v="ord_81868"/>
        <s v="ord_81869"/>
        <s v="ord_81870"/>
        <s v="ord_81871"/>
        <s v="ord_81872"/>
        <s v="ord_81873"/>
        <s v="ord_81874"/>
        <s v="ord_81875"/>
        <s v="ord_81876"/>
        <s v="ord_81877"/>
        <s v="ord_81878"/>
        <s v="ord_81879"/>
        <s v="ord_81880"/>
        <s v="ord_81881"/>
        <s v="ord_81882"/>
        <s v="ord_81883"/>
        <s v="ord_81884"/>
        <s v="ord_81885"/>
        <s v="ord_81886"/>
        <s v="ord_81887"/>
        <s v="ord_81888"/>
        <s v="ord_81889"/>
        <s v="ord_81890"/>
        <s v="ord_81891"/>
        <s v="ord_81892"/>
        <s v="ord_81893"/>
        <s v="ord_81894"/>
        <s v="ord_81895"/>
        <s v="ord_81896"/>
        <s v="ord_81897"/>
        <s v="ord_81898"/>
        <s v="ord_81899"/>
        <s v="ord_81900"/>
        <s v="ord_81901"/>
        <s v="ord_81902"/>
        <s v="ord_81903"/>
        <s v="ord_81904"/>
        <s v="ord_81905"/>
        <s v="ord_81906"/>
        <s v="ord_81907"/>
        <s v="ord_81908"/>
        <s v="ord_81909"/>
        <s v="ord_81910"/>
        <s v="ord_81911"/>
        <s v="ord_10135"/>
        <s v="ord_10144"/>
        <s v="ord_81912"/>
        <s v="ord_81913"/>
        <s v="ord_81914"/>
        <s v="ord_81915"/>
        <s v="ord_81916"/>
        <s v="ord_81917"/>
        <s v="ord_81918"/>
        <s v="ord_81919"/>
        <s v="ord_81920"/>
        <s v="ord_81921"/>
        <s v="ord_81922"/>
        <s v="ord_81923"/>
        <s v="ord_81924"/>
        <s v="ord_81925"/>
        <s v="ord_81926"/>
        <s v="ord_81927"/>
        <s v="ord_81928"/>
        <s v="ord_81929"/>
        <s v="ord_81930"/>
        <s v="ord_81931"/>
        <s v="ord_81932"/>
        <s v="ord_81933"/>
        <s v="ord_81934"/>
        <s v="ord_81935"/>
        <s v="ord_81936"/>
        <s v="ord_81937"/>
        <s v="ord_81938"/>
        <s v="ord_81939"/>
        <s v="ord_81940"/>
        <s v="ord_81941"/>
        <s v="ord_81942"/>
        <s v="ord_81943"/>
        <s v="ord_81944"/>
        <s v="ord_81945"/>
        <s v="ord_81946"/>
        <s v="ord_81947"/>
        <s v="ord_81948"/>
        <s v="ord_81949"/>
        <s v="ord_81950"/>
        <s v="ord_81951"/>
        <s v="ord_81952"/>
        <s v="ord_81953"/>
        <s v="ord_81954"/>
        <s v="ord_81955"/>
        <s v="ord_81956"/>
        <s v="ord_81957"/>
        <s v="ord_81958"/>
        <s v="ord_81959"/>
        <s v="ord_81960"/>
        <s v="ord_81961"/>
        <s v="ord_81962"/>
        <s v="ord_81963"/>
        <s v="ord_81964"/>
        <s v="ord_81965"/>
        <s v="ord_81966"/>
        <s v="ord_81967"/>
        <s v="ord_81968"/>
        <s v="ord_81969"/>
        <s v="ord_81970"/>
        <s v="ord_81971"/>
        <s v="ord_81972"/>
        <s v="ord_81973"/>
        <s v="ord_81974"/>
        <s v="ord_81975"/>
        <s v="ord_81976"/>
        <s v="ord_81977"/>
        <s v="ord_81978"/>
        <s v="ord_81979"/>
        <s v="ord_81980"/>
        <s v="ord_81981"/>
        <s v="ord_81982"/>
        <s v="ord_81983"/>
        <s v="ord_81984"/>
        <s v="ord_81985"/>
        <s v="ord_81986"/>
        <s v="ord_81987"/>
        <s v="ord_81988"/>
        <s v="ord_81989"/>
        <s v="ord_81990"/>
        <s v="ord_81991"/>
        <s v="ord_81992"/>
        <s v="ord_81993"/>
        <s v="ord_81994"/>
        <s v="ord_81995"/>
        <s v="ord_81996"/>
        <s v="ord_81997"/>
        <s v="ord_81998"/>
        <s v="ord_81999"/>
        <s v="ord_82000"/>
        <s v="ord_82001"/>
        <s v="ord_82002"/>
        <s v="ord_82003"/>
        <s v="ord_82004"/>
        <s v="ord_82005"/>
        <s v="ord_82006"/>
        <s v="ord_82007"/>
        <s v="ord_82008"/>
        <s v="ord_82009"/>
        <s v="ord_82010"/>
        <s v="ord_82011"/>
        <s v="ord_82012"/>
        <s v="ord_82013"/>
        <s v="ord_82014"/>
        <s v="ord_82015"/>
        <s v="ord_82016"/>
        <s v="ord_82017"/>
        <s v="ord_82018"/>
        <s v="ord_82019"/>
        <s v="ord_82020"/>
        <s v="ord_82021"/>
        <s v="ord_82022"/>
        <s v="ord_82023"/>
        <s v="ord_82024"/>
        <s v="ord_82025"/>
        <s v="ord_82026"/>
        <s v="ord_82027"/>
        <s v="ord_82028"/>
        <s v="ord_82029"/>
        <s v="ord_82030"/>
        <s v="ord_82031"/>
        <s v="ord_82032"/>
        <s v="ord_82033"/>
        <s v="ord_82034"/>
        <s v="ord_82035"/>
        <s v="ord_82036"/>
        <s v="ord_82037"/>
        <s v="ord_82038"/>
        <s v="ord_82039"/>
        <s v="ord_82040"/>
        <s v="ord_82041"/>
        <s v="ord_82042"/>
        <s v="ord_82043"/>
        <s v="ord_82044"/>
        <s v="ord_82045"/>
        <s v="ord_82046"/>
        <s v="ord_82047"/>
        <s v="ord_82048"/>
        <s v="ord_82049"/>
        <s v="ord_82050"/>
        <s v="ord_82051"/>
        <s v="ord_82052"/>
        <s v="ord_82053"/>
        <s v="ord_82054"/>
        <s v="ord_82055"/>
        <s v="ord_82056"/>
        <s v="ord_82057"/>
        <s v="ord_82058"/>
        <s v="ord_10117"/>
        <s v="ord_10126"/>
        <s v="ord_82059"/>
        <s v="ord_82060"/>
        <s v="ord_82061"/>
        <s v="ord_82062"/>
        <s v="ord_82063"/>
        <s v="ord_82064"/>
        <s v="ord_82065"/>
        <s v="ord_82066"/>
        <s v="ord_82067"/>
        <s v="ord_82068"/>
        <s v="ord_82069"/>
        <s v="ord_82070"/>
        <s v="ord_82071"/>
        <s v="ord_82072"/>
        <s v="ord_82073"/>
        <s v="ord_82074"/>
        <s v="ord_82075"/>
        <s v="ord_82076"/>
        <s v="ord_82077"/>
        <s v="ord_82078"/>
        <s v="ord_82079"/>
        <s v="ord_82080"/>
        <s v="ord_82081"/>
        <s v="ord_82082"/>
        <s v="ord_82083"/>
        <s v="ord_82084"/>
        <s v="ord_82085"/>
        <s v="ord_82086"/>
        <s v="ord_82087"/>
        <s v="ord_82088"/>
        <s v="ord_82089"/>
        <s v="ord_82090"/>
        <s v="ord_82091"/>
        <s v="ord_82092"/>
        <s v="ord_82093"/>
        <s v="ord_82094"/>
        <s v="ord_82095"/>
        <s v="ord_82096"/>
        <s v="ord_82097"/>
        <s v="ord_82098"/>
        <s v="ord_82099"/>
        <s v="ord_82100"/>
        <s v="ord_82101"/>
        <s v="ord_82102"/>
        <s v="ord_82103"/>
        <s v="ord_82104"/>
        <s v="ord_82105"/>
        <s v="ord_82106"/>
        <s v="ord_82107"/>
        <s v="ord_82108"/>
        <s v="ord_82109"/>
        <s v="ord_82110"/>
        <s v="ord_82111"/>
        <s v="ord_82112"/>
        <s v="ord_82113"/>
        <s v="ord_82114"/>
        <s v="ord_82115"/>
        <s v="ord_82116"/>
        <s v="ord_82117"/>
        <s v="ord_82118"/>
        <s v="ord_82119"/>
        <s v="ord_82120"/>
        <s v="ord_82121"/>
        <s v="ord_82122"/>
        <s v="ord_82123"/>
        <s v="ord_82124"/>
        <s v="ord_82125"/>
        <s v="ord_82126"/>
        <s v="ord_82127"/>
        <s v="ord_82128"/>
        <s v="ord_82129"/>
        <s v="ord_82130"/>
        <s v="ord_82131"/>
        <s v="ord_82132"/>
        <s v="ord_82133"/>
        <s v="ord_82134"/>
        <s v="ord_82135"/>
        <s v="ord_82136"/>
        <s v="ord_82137"/>
        <s v="ord_82138"/>
        <s v="ord_82139"/>
        <s v="ord_82140"/>
        <s v="ord_82141"/>
        <s v="ord_82142"/>
        <s v="ord_82143"/>
        <s v="ord_82144"/>
        <s v="ord_82145"/>
        <s v="ord_82146"/>
        <s v="ord_82147"/>
        <s v="ord_82148"/>
        <s v="ord_82149"/>
        <s v="ord_82150"/>
        <s v="ord_82151"/>
        <s v="ord_82152"/>
        <s v="ord_82153"/>
        <s v="ord_82154"/>
        <s v="ord_82155"/>
        <s v="ord_82156"/>
        <s v="ord_82157"/>
        <s v="ord_82158"/>
        <s v="ord_82159"/>
        <s v="ord_82160"/>
        <s v="ord_82161"/>
        <s v="ord_82162"/>
        <s v="ord_82163"/>
        <s v="ord_82164"/>
        <s v="ord_82165"/>
        <s v="ord_82166"/>
        <s v="ord_82167"/>
        <s v="ord_82168"/>
        <s v="ord_82169"/>
        <s v="ord_82170"/>
        <s v="ord_82171"/>
        <s v="ord_82172"/>
        <s v="ord_82173"/>
        <s v="ord_82174"/>
        <s v="ord_82175"/>
        <s v="ord_82176"/>
        <s v="ord_82177"/>
        <s v="ord_82178"/>
        <s v="ord_82179"/>
        <s v="ord_82180"/>
        <s v="ord_82181"/>
        <s v="ord_82182"/>
        <s v="ord_82183"/>
        <s v="ord_82184"/>
        <s v="ord_82185"/>
        <s v="ord_82186"/>
        <s v="ord_82187"/>
        <s v="ord_82188"/>
        <s v="ord_82189"/>
        <s v="ord_82190"/>
        <s v="ord_82191"/>
        <s v="ord_82192"/>
        <s v="ord_82193"/>
        <s v="ord_82194"/>
        <s v="ord_82195"/>
        <s v="ord_82196"/>
        <s v="ord_82197"/>
        <s v="ord_82198"/>
        <s v="ord_82199"/>
        <s v="ord_82200"/>
        <s v="ord_82201"/>
        <s v="ord_82202"/>
        <s v="ord_82203"/>
        <s v="ord_82204"/>
        <s v="ord_82205"/>
        <s v="ord_82206"/>
        <s v="ord_82207"/>
        <s v="ord_82208"/>
        <s v="ord_82209"/>
        <s v="ord_82210"/>
        <s v="ord_82211"/>
        <s v="ord_82212"/>
        <s v="ord_82213"/>
        <s v="ord_82214"/>
        <s v="ord_82215"/>
        <s v="ord_82216"/>
        <s v="ord_82217"/>
        <s v="ord_82218"/>
        <s v="ord_92219"/>
        <s v="ord_92220"/>
        <s v="ord_92221"/>
        <s v="ord_92222"/>
        <s v="ord_92223"/>
        <s v="ord_92224"/>
        <s v="ord_92225"/>
        <s v="ord_92226"/>
        <s v="ord_92227"/>
        <s v="ord_92228"/>
        <s v="ord_92229"/>
        <s v="ord_92230"/>
        <s v="ord_92231"/>
        <s v="ord_92232"/>
        <s v="ord_92233"/>
        <s v="ord_92234"/>
        <s v="ord_92235"/>
        <s v="ord_92236"/>
        <s v="ord_92237"/>
        <s v="ord_82238"/>
        <s v="ord_92238"/>
        <s v="ord_92239"/>
        <s v="ord_92240"/>
        <s v="ord_92241"/>
        <s v="ord_92242"/>
        <s v="ord_92243"/>
        <s v="ord_92244"/>
        <s v="ord_92245"/>
        <s v="ord_92246"/>
        <s v="ord_92247"/>
        <s v="ord_92248"/>
        <s v="ord_92249"/>
        <s v="ord_92250"/>
        <s v="ord_92251"/>
        <s v="ord_92252"/>
        <s v="ord_92253"/>
        <s v="ord_92254"/>
        <s v="ord_92255"/>
        <s v="ord_92256"/>
        <s v="ord_92257"/>
        <s v="ord_92258"/>
        <s v="ord_92259"/>
        <s v="ord_92260"/>
        <s v="ord_92261"/>
        <s v="ord_92262"/>
        <s v="ord_92263"/>
        <s v="ord_92264"/>
        <s v="ord_92265"/>
        <s v="ord_92266"/>
        <s v="ord_92267"/>
        <s v="ord_92268"/>
        <s v="ord_92269"/>
        <s v="ord_92270"/>
        <s v="ord_92271"/>
        <s v="ord_92272"/>
        <s v="ord_92273"/>
        <s v="ord_92274"/>
        <s v="ord_92275"/>
        <s v="ord_92276"/>
        <s v="ord_92277"/>
        <s v="ord_92278"/>
        <s v="ord_92279"/>
        <s v="ord_92280"/>
        <s v="ord_92281"/>
        <s v="ord_92282"/>
        <s v="ord_92283"/>
        <s v="ord_92295"/>
        <s v="ord_92296"/>
        <s v="ord_92297"/>
        <s v="ord_92298"/>
        <s v="ord_92299"/>
        <s v="ord_92300"/>
        <s v="ord_92301"/>
        <s v="ord_92302"/>
        <s v="ord_92303"/>
        <s v="ord_92304"/>
        <s v="ord_92322"/>
        <s v="ord_92323"/>
        <s v="ord_92324"/>
        <s v="ord_92325"/>
        <s v="ord_92326"/>
        <s v="ord_92327"/>
        <s v="ord_92328"/>
        <s v="ord_92329"/>
        <s v="ord_92293"/>
        <s v="ord_92294"/>
        <s v="ord_92184"/>
        <s v="ord_91285"/>
        <s v="ord_92186"/>
        <s v="ord_92187"/>
        <s v="ord_91288"/>
        <s v="ord_92189"/>
        <s v="ord_91290"/>
        <s v="ord_92191"/>
        <s v="ord_91292"/>
        <s v="ord_91386"/>
        <s v="ord_92305"/>
        <s v="ord_92306"/>
        <s v="ord_92307"/>
        <s v="ord_92308"/>
        <s v="ord_92309"/>
        <s v="ord_92310"/>
        <s v="ord_92311"/>
        <s v="ord_92312"/>
        <s v="ord_92313"/>
        <s v="ord_92314"/>
        <s v="ord_92315"/>
        <s v="ord_92316"/>
        <s v="ord_92317"/>
        <s v="ord_92318"/>
        <s v="ord_92319"/>
        <s v="ord_92320"/>
        <s v="ord_92348"/>
        <s v="ord_92349"/>
        <s v="ord_92350"/>
        <s v="ord_92351"/>
        <s v="ord_92352"/>
        <s v="ord_92353"/>
        <s v="ord_92354"/>
        <s v="ord_92355"/>
        <s v="ord_92356"/>
        <s v="ord_92330"/>
        <s v="ord_92331"/>
        <s v="ord_92332"/>
        <s v="ord_92333"/>
        <s v="ord_92334"/>
        <s v="ord_92335"/>
        <s v="ord_92336"/>
        <s v="ord_92337"/>
        <s v="ord_92338"/>
        <s v="ord_92339"/>
        <s v="ord_92340"/>
        <s v="ord_92341"/>
        <s v="ord_92342"/>
        <s v="ord_92343"/>
        <s v="ord_92344"/>
        <s v="ord_92345"/>
        <s v="ord_92346"/>
        <s v="ord_92347"/>
        <s v="ord_92376"/>
        <s v="ord_92377"/>
        <s v="ord_92378"/>
        <s v="ord_92379"/>
        <s v="ord_92380"/>
        <s v="ord_92381"/>
        <s v="ord_92382"/>
        <s v="ord_92383"/>
        <s v="ord_92384"/>
        <s v="ord_92385"/>
        <s v="ord_92358"/>
        <s v="ord_92359"/>
        <s v="ord_92360"/>
        <s v="ord_92361"/>
        <s v="ord_92362"/>
        <s v="ord_92363"/>
        <s v="ord_92364"/>
        <s v="ord_92365"/>
        <s v="ord_92366"/>
        <s v="ord_92367"/>
        <s v="ord_92368"/>
        <s v="ord_92369"/>
        <s v="ord_92370"/>
        <s v="ord_92371"/>
        <s v="ord_92372"/>
        <s v="ord_92373"/>
        <s v="ord_92374"/>
        <s v="ord_92375"/>
        <s v="ord_92284"/>
        <s v="ord_92285"/>
        <s v="ord_92286"/>
        <s v="ord_92287"/>
        <s v="ord_92288"/>
        <s v="ord_92289"/>
        <s v="ord_92290"/>
        <s v="ord_92291"/>
        <s v="ord_92292"/>
        <s v="ord_92386"/>
        <s v="ord_92480"/>
        <s v="ord_92574"/>
        <s v="ord_92668"/>
        <s v="ord_92762"/>
        <s v="ord_92856"/>
        <s v="ord_92950"/>
        <s v="ord_93044"/>
        <s v="ord_93138"/>
        <s v="ord_93232"/>
        <s v="ord_93326"/>
        <s v="ord_93420"/>
        <s v="ord_93514"/>
        <s v="ord_93608"/>
        <s v="ord_93702"/>
        <s v="ord_93796"/>
        <s v="ord_93890"/>
        <s v="ord_93984"/>
        <s v="ord_94078"/>
        <s v="ord_94172"/>
        <s v="ord_94266"/>
        <s v="ord_94360"/>
        <s v="ord_94454"/>
        <s v="ord_94548"/>
        <s v="ord_94642"/>
        <s v="ord_94736"/>
        <s v="ord_94830"/>
        <s v="ord_94924"/>
        <s v="ord_95018"/>
        <s v="ord_95112"/>
        <s v="ord_95206"/>
        <s v="ord_95300"/>
        <s v="ord_95394"/>
        <s v="ord_95488"/>
        <s v="ord_95582"/>
        <s v="ord_95676"/>
        <s v="ord_95770"/>
        <s v="ord_95864"/>
        <s v="ord_95958"/>
        <s v="ord_96052"/>
        <s v="ord_96146"/>
        <s v="ord_96240"/>
        <s v="ord_97274"/>
        <s v="ord_97368"/>
        <s v="ord_97462"/>
        <s v="ord_97556"/>
        <s v="ord_97650"/>
        <s v="ord_97744"/>
        <s v="ord_97838"/>
        <s v="ord_97932"/>
        <s v="ord_98026"/>
        <s v="ord_98120"/>
        <s v="ord_98214"/>
        <s v="ord_98308"/>
        <s v="ord_98402"/>
        <s v="ord_98496"/>
        <s v="ord_98590"/>
        <s v="ord_98684"/>
        <s v="ord_98778"/>
        <s v="ord_98872"/>
        <s v="ord_98966"/>
        <s v="ord_99060"/>
        <s v="ord_99154"/>
        <s v="ord_99248"/>
        <s v="ord_99342"/>
        <s v="ord_99436"/>
        <s v="ord_99530"/>
        <s v="ord_99624"/>
        <s v="ord_99718"/>
        <s v="ord_99812"/>
        <s v="ord_99906"/>
        <s v="ord_10000"/>
        <s v="ord_10009"/>
      </sharedItems>
    </cacheField>
    <cacheField name="Customer_Name" numFmtId="0">
      <sharedItems>
        <s v="Anaya Rao"/>
        <s v="Aarav Mehta"/>
        <s v="Ishaan Chaturvedi"/>
        <s v="Mohit Malhotra"/>
        <s v="Tanishq Bansal"/>
        <s v="Mehul Thakkar"/>
        <s v="Aditi Iyer"/>
        <s v="Sahil Desai"/>
        <s v="Diya Arora"/>
        <s v="Parth Goel"/>
        <s v="Simran Bhatt"/>
        <s v="Aarohi Kapoor"/>
        <s v="Kunal Sharma"/>
        <s v="Sana Malik"/>
        <s v="Yash Verma"/>
        <s v="Ritika Dutta"/>
        <s v="Aditya Basu"/>
        <s v="Siya Reddy"/>
        <s v="Dev Chauhan"/>
        <s v="Kritika Shetty"/>
        <s v="Riya Chakraborty"/>
        <s v="Omkar Mishra"/>
        <s v="Sanjay Nair"/>
        <s v="Ishita Banerjee"/>
        <s v="Arvind Kulkarni"/>
        <s v="Pallavi Ghosh"/>
        <s v="Nitin Sehgal"/>
        <s v="Sakshi Tandon"/>
        <s v="Pranav Joshi"/>
        <s v="Shruti Aggarwal"/>
        <s v="Harsh Vardhan"/>
        <s v="Leena Das"/>
        <s v="Aditya Rao"/>
        <s v="Kavya Menon"/>
      </sharedItems>
    </cacheField>
    <cacheField name="Dark_Store" numFmtId="0">
      <sharedItems>
        <s v="Colaba"/>
        <s v="Andheri"/>
        <s v="Bandra"/>
        <s v="Lower Parel"/>
        <s v="Powai"/>
        <s v="Malad"/>
        <s v="Dadar"/>
        <s v="Juhu"/>
      </sharedItems>
    </cacheField>
    <cacheField name="Item" numFmtId="0">
      <sharedItems>
        <s v="Banana"/>
        <s v="Potato"/>
        <s v="Onion"/>
        <s v="Tomato"/>
        <s v="Apple"/>
        <s v="Orange"/>
        <s v="Cucumber"/>
        <s v="Papaya"/>
        <s v="Guava"/>
        <s v="Sweet Corn"/>
        <s v="Icecream"/>
        <s v="Chilli Cheese Toast"/>
        <s v="Juice"/>
        <s v="Cold Coffee"/>
        <s v="Veg Puff"/>
        <s v="Chicken Puff"/>
        <s v="Popcorn"/>
        <s v="Tiramisu"/>
        <s v="Rasmalai"/>
        <s v="Chocolate Mousse"/>
      </sharedItems>
    </cacheField>
    <cacheField name="Quantity" numFmtId="0">
      <sharedItems containsSemiMixedTypes="0" containsString="0" containsNumber="1" containsInteger="1">
        <n v="2.0"/>
        <n v="1.0"/>
        <n v="4.0"/>
        <n v="6.0"/>
        <n v="3.0"/>
        <n v="5.0"/>
        <n v="8.0"/>
        <n v="9.0"/>
        <n v="7.0"/>
      </sharedItems>
    </cacheField>
    <cacheField name="Delievery_Agents" numFmtId="0">
      <sharedItems>
        <s v="Nikhil Deshmukh"/>
        <s v="Sita T"/>
        <s v="Kiran Mehta"/>
        <s v="Ram Gopal"/>
        <s v="Vivek Kumar"/>
        <s v="Venu R"/>
        <s v="Shine Thomas"/>
        <s v="Ramesh S"/>
        <s v="Manju Ajay"/>
        <s v="Sandeep Kumar"/>
        <s v="Nithin Lal"/>
        <s v="Rohan Yadav"/>
        <s v="Priya Joshi"/>
        <s v="Not Assigned"/>
        <s v="Tanvi Jain"/>
        <s v="Neha Shah"/>
        <s v="Aman Kumar"/>
      </sharedItems>
    </cacheField>
    <cacheField name="Order_Date" numFmtId="14">
      <sharedItems containsSemiMixedTypes="0" containsDate="1" containsString="0">
        <d v="2023-02-11T00:00:00Z"/>
        <d v="2023-07-22T00:00:00Z"/>
        <d v="2023-01-08T00:00:00Z"/>
        <d v="2023-07-27T00:00:00Z"/>
        <d v="2023-04-26T00:00:00Z"/>
        <d v="2023-05-24T00:00:00Z"/>
        <d v="2023-06-19T00:00:00Z"/>
        <d v="2023-02-24T00:00:00Z"/>
        <d v="2023-07-08T00:00:00Z"/>
        <d v="2023-12-27T00:00:00Z"/>
        <d v="2023-12-04T00:00:00Z"/>
        <d v="2023-08-20T00:00:00Z"/>
        <d v="2023-08-07T00:00:00Z"/>
        <d v="2023-10-30T00:00:00Z"/>
        <d v="2023-03-20T00:00:00Z"/>
        <d v="2023-10-09T00:00:00Z"/>
        <d v="2023-10-19T00:00:00Z"/>
        <d v="2023-01-16T00:00:00Z"/>
        <d v="2023-03-12T00:00:00Z"/>
        <d v="2023-06-06T00:00:00Z"/>
        <d v="2023-02-14T00:00:00Z"/>
        <d v="2023-12-20T00:00:00Z"/>
        <d v="2023-12-26T00:00:00Z"/>
        <d v="2023-09-24T00:00:00Z"/>
        <d v="2023-09-28T00:00:00Z"/>
        <d v="2023-02-15T00:00:00Z"/>
        <d v="2023-11-15T00:00:00Z"/>
        <d v="2023-06-07T00:00:00Z"/>
        <d v="2023-01-18T00:00:00Z"/>
        <d v="2023-04-01T00:00:00Z"/>
        <d v="2023-01-05T00:00:00Z"/>
        <d v="2023-10-23T00:00:00Z"/>
        <d v="2023-10-27T00:00:00Z"/>
        <d v="2023-05-07T00:00:00Z"/>
        <d v="2023-10-25T00:00:00Z"/>
        <d v="2023-12-14T00:00:00Z"/>
        <d v="2023-08-13T00:00:00Z"/>
        <d v="2023-07-13T00:00:00Z"/>
        <d v="2023-01-07T00:00:00Z"/>
        <d v="2023-09-06T00:00:00Z"/>
        <d v="2023-02-05T00:00:00Z"/>
        <d v="2023-01-14T00:00:00Z"/>
        <d v="2023-08-30T00:00:00Z"/>
        <d v="2023-02-22T00:00:00Z"/>
        <d v="2023-09-27T00:00:00Z"/>
        <d v="2023-05-14T00:00:00Z"/>
        <d v="2023-06-20T00:00:00Z"/>
        <d v="2023-12-30T00:00:00Z"/>
        <d v="2023-11-25T00:00:00Z"/>
        <d v="2023-03-06T00:00:00Z"/>
        <d v="2023-10-17T00:00:00Z"/>
        <d v="2023-03-10T00:00:00Z"/>
        <d v="2023-10-26T00:00:00Z"/>
        <d v="2023-07-20T00:00:00Z"/>
        <d v="2023-06-17T00:00:00Z"/>
        <d v="2023-06-22T00:00:00Z"/>
        <d v="2023-06-28T00:00:00Z"/>
        <d v="2023-01-22T00:00:00Z"/>
        <d v="2023-05-03T00:00:00Z"/>
        <d v="2023-09-05T00:00:00Z"/>
        <d v="2023-09-30T00:00:00Z"/>
        <d v="2023-09-20T00:00:00Z"/>
        <d v="2023-09-09T00:00:00Z"/>
        <d v="2023-10-18T00:00:00Z"/>
        <d v="2023-07-29T00:00:00Z"/>
        <d v="2023-06-21T00:00:00Z"/>
        <d v="2023-12-28T00:00:00Z"/>
        <d v="2023-10-05T00:00:00Z"/>
        <d v="2023-05-09T00:00:00Z"/>
        <d v="2023-03-02T00:00:00Z"/>
        <d v="2023-05-20T00:00:00Z"/>
        <d v="2023-09-13T00:00:00Z"/>
        <d v="2023-09-07T00:00:00Z"/>
        <d v="2023-02-01T00:00:00Z"/>
        <d v="2023-11-24T00:00:00Z"/>
        <d v="2023-08-23T00:00:00Z"/>
        <d v="2023-01-03T00:00:00Z"/>
        <d v="2023-11-04T00:00:00Z"/>
        <d v="2023-08-12T00:00:00Z"/>
        <d v="2023-07-16T00:00:00Z"/>
        <d v="2023-12-11T00:00:00Z"/>
        <d v="2023-08-21T00:00:00Z"/>
        <d v="2023-08-22T00:00:00Z"/>
        <d v="2023-09-17T00:00:00Z"/>
        <d v="2023-09-04T00:00:00Z"/>
        <d v="2023-09-02T00:00:00Z"/>
        <d v="2023-11-20T00:00:00Z"/>
        <d v="2023-07-03T00:00:00Z"/>
        <d v="2023-07-11T00:00:00Z"/>
        <d v="2023-02-13T00:00:00Z"/>
        <d v="2023-01-17T00:00:00Z"/>
        <d v="2023-07-26T00:00:00Z"/>
        <d v="2023-05-23T00:00:00Z"/>
        <d v="2023-11-27T00:00:00Z"/>
        <d v="2023-10-10T00:00:00Z"/>
        <d v="2023-10-28T00:00:00Z"/>
        <d v="2023-05-21T00:00:00Z"/>
        <d v="2023-09-25T00:00:00Z"/>
        <d v="2023-01-10T00:00:00Z"/>
        <d v="2023-02-21T00:00:00Z"/>
        <d v="2023-07-14T00:00:00Z"/>
        <d v="2023-08-19T00:00:00Z"/>
        <d v="2023-01-27T00:00:00Z"/>
        <d v="2023-10-29T00:00:00Z"/>
        <d v="2023-08-01T00:00:00Z"/>
        <d v="2023-01-20T00:00:00Z"/>
        <d v="2023-11-10T00:00:00Z"/>
        <d v="2023-05-28T00:00:00Z"/>
        <d v="2023-12-17T00:00:00Z"/>
        <d v="2023-07-12T00:00:00Z"/>
        <d v="2023-05-11T00:00:00Z"/>
        <d v="2023-10-11T00:00:00Z"/>
        <d v="2023-07-10T00:00:00Z"/>
        <d v="2023-12-21T00:00:00Z"/>
        <d v="2023-02-17T00:00:00Z"/>
        <d v="2023-12-01T00:00:00Z"/>
        <d v="2023-07-30T00:00:00Z"/>
        <d v="2023-02-03T00:00:00Z"/>
        <d v="2023-10-15T00:00:00Z"/>
        <d v="2023-07-09T00:00:00Z"/>
        <d v="2023-08-16T00:00:00Z"/>
        <d v="2023-09-12T00:00:00Z"/>
        <d v="2023-05-19T00:00:00Z"/>
        <d v="2023-10-06T00:00:00Z"/>
        <d v="2023-11-03T00:00:00Z"/>
        <d v="2023-11-14T00:00:00Z"/>
        <d v="2023-04-19T00:00:00Z"/>
        <d v="2023-07-04T00:00:00Z"/>
        <d v="2023-12-19T00:00:00Z"/>
        <d v="2023-06-03T00:00:00Z"/>
        <d v="2023-06-18T00:00:00Z"/>
        <d v="2023-08-28T00:00:00Z"/>
        <d v="2023-11-17T00:00:00Z"/>
        <d v="2023-12-08T00:00:00Z"/>
        <d v="2023-06-09T00:00:00Z"/>
        <d v="2023-05-17T00:00:00Z"/>
        <d v="2023-11-28T00:00:00Z"/>
        <d v="2023-11-11T00:00:00Z"/>
        <d v="2023-04-16T00:00:00Z"/>
        <d v="2023-08-06T00:00:00Z"/>
        <d v="2023-07-18T00:00:00Z"/>
        <d v="2023-05-22T00:00:00Z"/>
        <d v="2023-11-05T00:00:00Z"/>
        <d v="2023-04-29T00:00:00Z"/>
        <d v="2023-07-24T00:00:00Z"/>
        <d v="2023-09-15T00:00:00Z"/>
        <d v="2023-05-30T00:00:00Z"/>
        <d v="2023-05-26T00:00:00Z"/>
        <d v="2023-06-08T00:00:00Z"/>
        <d v="2023-04-13T00:00:00Z"/>
        <d v="2023-12-24T00:00:00Z"/>
        <d v="2023-06-11T00:00:00Z"/>
        <d v="2023-12-15T00:00:00Z"/>
        <d v="2023-09-21T00:00:00Z"/>
        <d v="2023-12-29T00:00:00Z"/>
        <d v="2023-10-08T00:00:00Z"/>
        <d v="2023-10-22T00:00:00Z"/>
        <d v="2023-02-19T00:00:00Z"/>
        <d v="2023-10-12T00:00:00Z"/>
        <d v="2023-03-30T00:00:00Z"/>
        <d v="2023-03-21T00:00:00Z"/>
        <d v="2023-04-24T00:00:00Z"/>
        <d v="2023-11-12T00:00:00Z"/>
        <d v="2023-11-07T00:00:00Z"/>
        <d v="2023-08-26T00:00:00Z"/>
        <d v="2023-09-18T00:00:00Z"/>
        <d v="2023-04-17T00:00:00Z"/>
        <d v="2023-03-27T00:00:00Z"/>
        <d v="2023-04-08T00:00:00Z"/>
        <d v="2023-11-26T00:00:00Z"/>
        <d v="2023-06-25T00:00:00Z"/>
        <d v="2023-11-22T00:00:00Z"/>
        <d v="2023-12-25T00:00:00Z"/>
        <d v="2023-03-23T00:00:00Z"/>
        <d v="2023-12-13T00:00:00Z"/>
        <d v="2023-07-15T00:00:00Z"/>
        <d v="2023-02-18T00:00:00Z"/>
        <d v="2023-01-12T00:00:00Z"/>
        <d v="2023-02-23T00:00:00Z"/>
        <d v="2023-03-25T00:00:00Z"/>
        <d v="2023-03-18T00:00:00Z"/>
        <d v="2023-06-15T00:00:00Z"/>
        <d v="2023-08-15T00:00:00Z"/>
        <d v="2023-12-06T00:00:00Z"/>
        <d v="2023-11-16T00:00:00Z"/>
        <d v="2023-02-28T00:00:00Z"/>
        <d v="2023-03-22T00:00:00Z"/>
        <d v="2023-04-21T00:00:00Z"/>
        <d v="2023-01-04T00:00:00Z"/>
        <d v="2023-11-01T00:00:00Z"/>
        <d v="2023-10-02T00:00:00Z"/>
        <d v="2023-10-01T00:00:00Z"/>
        <d v="2023-02-27T00:00:00Z"/>
        <d v="2023-04-27T00:00:00Z"/>
        <d v="2023-11-21T00:00:00Z"/>
        <d v="2023-07-25T00:00:00Z"/>
        <d v="2023-06-13T00:00:00Z"/>
        <d v="2023-05-27T00:00:00Z"/>
        <d v="2023-08-14T00:00:00Z"/>
        <d v="2023-02-04T00:00:00Z"/>
        <d v="2023-09-16T00:00:00Z"/>
        <d v="2023-02-20T00:00:00Z"/>
        <d v="2023-09-22T00:00:00Z"/>
        <d v="2023-04-02T00:00:00Z"/>
        <d v="2023-08-08T00:00:00Z"/>
        <d v="2023-07-01T00:00:00Z"/>
        <d v="2023-07-21T00:00:00Z"/>
        <d v="2023-06-04T00:00:00Z"/>
        <d v="2023-07-07T00:00:00Z"/>
        <d v="2023-04-07T00:00:00Z"/>
        <d v="2023-08-05T00:00:00Z"/>
        <d v="2023-06-23T00:00:00Z"/>
        <d v="2023-11-23T00:00:00Z"/>
        <d v="2023-10-24T00:00:00Z"/>
        <d v="2023-04-03T00:00:00Z"/>
        <d v="2023-02-09T00:00:00Z"/>
        <d v="2023-11-09T00:00:00Z"/>
        <d v="2023-07-28T00:00:00Z"/>
        <d v="2023-01-23T00:00:00Z"/>
        <d v="2023-05-16T00:00:00Z"/>
        <d v="2023-11-02T00:00:00Z"/>
        <d v="2023-12-10T00:00:00Z"/>
        <d v="2023-08-27T00:00:00Z"/>
        <d v="2023-04-09T00:00:00Z"/>
        <d v="2023-06-26T00:00:00Z"/>
        <d v="2023-11-06T00:00:00Z"/>
        <d v="2023-05-05T00:00:00Z"/>
        <d v="2023-04-05T00:00:00Z"/>
        <d v="2023-12-09T00:00:00Z"/>
        <d v="2023-04-04T00:00:00Z"/>
        <d v="2023-08-18T00:00:00Z"/>
        <d v="2023-05-10T00:00:00Z"/>
        <d v="2023-09-01T00:00:00Z"/>
        <d v="2023-03-14T00:00:00Z"/>
        <d v="2023-03-24T00:00:00Z"/>
        <d v="2023-06-05T00:00:00Z"/>
        <d v="2023-01-13T00:00:00Z"/>
        <d v="2023-12-16T00:00:00Z"/>
        <d v="2023-12-02T00:00:00Z"/>
        <d v="2023-10-07T00:00:00Z"/>
        <d v="2023-01-09T00:00:00Z"/>
        <d v="2023-06-14T00:00:00Z"/>
        <d v="2023-11-18T00:00:00Z"/>
        <d v="2023-02-10T00:00:00Z"/>
        <d v="2023-01-26T00:00:00Z"/>
        <d v="2023-03-15T00:00:00Z"/>
        <d v="2023-08-03T00:00:00Z"/>
        <d v="2023-08-17T00:00:00Z"/>
        <d v="2023-05-29T00:00:00Z"/>
        <d v="2023-06-30T00:00:00Z"/>
        <d v="2023-01-01T00:00:00Z"/>
        <d v="2023-03-28T00:00:00Z"/>
        <d v="2023-06-10T00:00:00Z"/>
        <d v="2023-04-28T00:00:00Z"/>
        <d v="2023-05-12T00:00:00Z"/>
        <d v="2023-10-14T00:00:00Z"/>
        <d v="2023-07-06T00:00:00Z"/>
        <d v="2023-11-13T00:00:00Z"/>
        <d v="2023-01-11T00:00:00Z"/>
        <d v="2023-01-25T00:00:00Z"/>
        <d v="2023-05-13T00:00:00Z"/>
        <d v="2023-10-21T00:00:00Z"/>
        <d v="2023-01-29T00:00:00Z"/>
        <d v="2023-08-04T00:00:00Z"/>
        <d v="2023-04-12T00:00:00Z"/>
        <d v="2023-04-10T00:00:00Z"/>
        <d v="2023-12-18T00:00:00Z"/>
        <d v="2023-02-12T00:00:00Z"/>
        <d v="2023-09-08T00:00:00Z"/>
        <d v="2023-02-02T00:00:00Z"/>
        <d v="2023-09-14T00:00:00Z"/>
        <d v="2023-05-18T00:00:00Z"/>
        <d v="2023-07-17T00:00:00Z"/>
        <d v="2023-10-20T00:00:00Z"/>
        <d v="2023-07-02T00:00:00Z"/>
        <d v="2023-01-06T00:00:00Z"/>
        <d v="2023-06-27T00:00:00Z"/>
        <d v="2023-05-04T00:00:00Z"/>
        <d v="2023-12-03T00:00:00Z"/>
        <d v="2023-09-29T00:00:00Z"/>
        <d v="2023-08-10T00:00:00Z"/>
        <d v="2023-12-23T00:00:00Z"/>
        <d v="2023-01-24T00:00:00Z"/>
        <d v="2023-06-01T00:00:00Z"/>
        <d v="2023-12-07T00:00:00Z"/>
        <d v="2023-02-07T00:00:00Z"/>
        <d v="2023-03-19T00:00:00Z"/>
        <d v="2023-11-29T00:00:00Z"/>
        <d v="2023-01-30T00:00:00Z"/>
        <d v="2023-05-15T00:00:00Z"/>
        <d v="2023-06-12T00:00:00Z"/>
        <d v="2023-07-23T00:00:00Z"/>
        <d v="2023-07-05T00:00:00Z"/>
        <d v="2023-03-04T00:00:00Z"/>
        <d v="2023-11-30T00:00:00Z"/>
        <d v="2023-03-13T00:00:00Z"/>
        <d v="2023-09-23T00:00:00Z"/>
        <d v="2023-09-26T00:00:00Z"/>
        <d v="2023-06-24T00:00:00Z"/>
        <d v="2023-12-22T00:00:00Z"/>
        <d v="2023-08-02T00:00:00Z"/>
        <d v="2023-01-02T00:00:00Z"/>
        <d v="2023-09-11T00:00:00Z"/>
        <d v="2023-08-09T00:00:00Z"/>
        <d v="2023-03-26T00:00:00Z"/>
        <d v="2023-07-19T00:00:00Z"/>
        <d v="2023-12-12T00:00:00Z"/>
        <d v="2023-08-11T00:00:00Z"/>
        <d v="2023-03-29T00:00:00Z"/>
        <d v="2023-03-16T00:00:00Z"/>
        <d v="2023-10-16T00:00:00Z"/>
        <d v="2023-06-16T00:00:00Z"/>
        <d v="2023-10-04T00:00:00Z"/>
        <d v="2023-03-08T00:00:00Z"/>
        <d v="2023-02-06T00:00:00Z"/>
        <d v="2023-08-24T00:00:00Z"/>
        <d v="2023-09-03T00:00:00Z"/>
        <d v="2023-05-25T00:00:00Z"/>
        <d v="2023-03-07T00:00:00Z"/>
        <d v="2023-12-05T00:00:00Z"/>
        <d v="2023-04-18T00:00:00Z"/>
        <d v="2023-02-26T00:00:00Z"/>
        <d v="2023-01-28T00:00:00Z"/>
        <d v="2023-10-03T00:00:00Z"/>
        <d v="2023-04-30T00:00:00Z"/>
        <d v="2023-11-19T00:00:00Z"/>
        <d v="2023-06-02T00:00:00Z"/>
        <d v="2023-01-15T00:00:00Z"/>
        <d v="2023-03-05T00:00:00Z"/>
        <d v="2023-05-08T00:00:00Z"/>
        <d v="2023-03-09T00:00:00Z"/>
        <d v="2023-05-02T00:00:00Z"/>
        <d v="2023-08-29T00:00:00Z"/>
        <d v="2023-04-20T00:00:00Z"/>
        <d v="2023-02-25T00:00:00Z"/>
        <d v="2023-03-03T00:00:00Z"/>
        <d v="2023-03-01T00:00:00Z"/>
        <d v="2023-04-11T00:00:00Z"/>
        <d v="2023-04-15T00:00:00Z"/>
        <d v="2023-04-23T00:00:00Z"/>
        <d v="2023-01-21T00:00:00Z"/>
        <d v="2023-01-19T00:00:00Z"/>
        <d v="2023-04-25T00:00:00Z"/>
        <d v="2023-05-06T00:00:00Z"/>
        <d v="2023-11-08T00:00:00Z"/>
        <d v="2023-02-16T00:00:00Z"/>
        <d v="2023-08-25T00:00:00Z"/>
        <d v="2023-04-06T00:00:00Z"/>
        <d v="2023-02-08T00:00:00Z"/>
        <d v="2023-06-29T00:00:00Z"/>
        <d v="2023-09-10T00:00:00Z"/>
        <d v="2023-03-11T00:00:00Z"/>
        <d v="2023-03-17T00:00:00Z"/>
        <d v="2023-12-31T00:00:00Z"/>
        <d v="2023-10-13T00:00:00Z"/>
        <d v="2023-04-14T00:00:00Z"/>
        <d v="2023-05-01T00:00:00Z"/>
        <d v="2023-09-19T00:00:00Z"/>
        <d v="2023-04-22T00:00:00Z"/>
      </sharedItems>
    </cacheField>
    <cacheField name="Payment_Method" numFmtId="0">
      <sharedItems>
        <s v="Online Payment"/>
        <s v="UPI"/>
        <s v="Credit Card"/>
        <s v="COD"/>
      </sharedItems>
    </cacheField>
    <cacheField name="Order_Status" numFmtId="0">
      <sharedItems>
        <s v="Delivered"/>
        <s v="Cancelled"/>
      </sharedItems>
    </cacheField>
    <cacheField name="Feedback" numFmtId="0">
      <sharedItems>
        <s v="Satisfied with the Delivery"/>
        <s v="On-time Delivery"/>
        <s v="Quality of Items"/>
        <s v="Packaging"/>
        <s v="Customer Service"/>
        <s v="Delivery Experience"/>
        <s v="Convenience"/>
        <s v="Overall Satisfaction"/>
        <s v="Delayed Delivery"/>
        <s v="High Delivery Fees"/>
        <s v="Payment Issues"/>
        <s v="Out of Stock"/>
        <s v="App Glitches"/>
      </sharedItems>
    </cacheField>
    <cacheField name="Reason" numFmtId="0">
      <sharedItems containsBlank="1">
        <s v="Timely and quality"/>
        <s v="Delivered on time"/>
        <s v="Perfect condition"/>
        <s v="Secure and intact"/>
        <s v="Seamless and easy"/>
        <s v="Quick and professional"/>
        <s v="Easy tracking"/>
        <s v="Great service will order again"/>
        <s v="Heavy Traffic"/>
        <s v="Bad Weather Conditions"/>
        <m/>
        <s v="Traffic Accidents or Road Closures"/>
        <s v="Vehicle Breakdown"/>
        <s v="Incorrect Address or Location"/>
        <s v="High Order Volume"/>
        <s v="Slow Loading Time"/>
        <s v="Payment Button Malfunction"/>
        <s v="Inconsistent Data Display"/>
        <s v="App Freezes"/>
        <s v="Error Messages"/>
        <s v="Missing Content"/>
      </sharedItems>
    </cacheField>
    <cacheField name="Item_Price" numFmtId="0">
      <sharedItems containsSemiMixedTypes="0" containsString="0" containsNumber="1" containsInteger="1">
        <n v="80.0"/>
        <n v="55.0"/>
        <n v="84.0"/>
        <n v="25.0"/>
        <n v="230.0"/>
        <n v="180.0"/>
        <n v="30.0"/>
        <n v="75.0"/>
        <n v="70.0"/>
        <n v="60.0"/>
        <n v="90.0"/>
        <n v="270.0"/>
        <n v="150.0"/>
        <n v="110.0"/>
        <n v="145.0"/>
      </sharedItems>
    </cacheField>
    <cacheField name="Item_Category" numFmtId="0">
      <sharedItems>
        <s v="Fruits and Vegetables"/>
        <s v="Snacks and Drinks"/>
      </sharedItems>
    </cacheField>
    <cacheField name="Total_Order_Amount" numFmtId="0">
      <sharedItems containsSemiMixedTypes="0" containsString="0" containsNumber="1" containsInteger="1">
        <n v="160.0"/>
        <n v="110.0"/>
        <n v="84.0"/>
        <n v="50.0"/>
        <n v="168.0"/>
        <n v="460.0"/>
        <n v="25.0"/>
        <n v="360.0"/>
        <n v="60.0"/>
        <n v="75.0"/>
        <n v="150.0"/>
        <n v="140.0"/>
        <n v="480.0"/>
        <n v="120.0"/>
        <n v="270.0"/>
        <n v="450.0"/>
        <n v="400.0"/>
        <n v="240.0"/>
        <n v="750.0"/>
        <n v="600.0"/>
        <n v="230.0"/>
        <n v="180.0"/>
        <n v="320.0"/>
        <n v="440.0"/>
        <n v="725.0"/>
        <n v="80.0"/>
        <n v="70.0"/>
        <n v="1080.0"/>
        <n v="810.0"/>
        <n v="55.0"/>
        <n v="220.0"/>
        <n v="435.0"/>
        <n v="300.0"/>
        <n v="1350.0"/>
        <n v="540.0"/>
        <n v="30.0"/>
        <n v="252.0"/>
        <n v="720.0"/>
        <n v="900.0"/>
        <n v="330.0"/>
        <n v="90.0"/>
        <n v="580.0"/>
        <n v="690.0"/>
        <n v="660.0"/>
        <n v="550.0"/>
        <n v="145.0"/>
        <n v="2160.0"/>
        <n v="275.0"/>
        <n v="870.0"/>
        <n v="210.0"/>
        <n v="290.0"/>
        <n v="640.0"/>
        <n v="1305.0"/>
        <n v="880.0"/>
        <n v="336.0"/>
        <n v="165.0"/>
        <n v="920.0"/>
        <n v="225.0"/>
        <n v="630.0"/>
        <n v="1620.0"/>
        <n v="1015.0"/>
        <n v="1050.0"/>
      </sharedItems>
    </cacheField>
    <cacheField name="Cancellation Rate" formula="countifs(Order_Status,&quot;Cancelled&quot;)/counta(Order_ID)" databaseField="0"/>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2493" sheet="Order_data"/>
  </cacheSource>
  <cacheFields>
    <cacheField name="Order_ID" numFmtId="0">
      <sharedItems>
        <s v="ord_14015"/>
        <s v="ord_11003"/>
        <s v="ord_12007"/>
        <s v="ord_13011"/>
        <s v="ord_15019"/>
        <s v="ord_16023"/>
        <s v="ord_17027"/>
        <s v="ord_18031"/>
        <s v="ord_19035"/>
        <s v="ord_20039"/>
        <s v="ord_21043"/>
        <s v="ord_22047"/>
        <s v="ord_23051"/>
        <s v="ord_24055"/>
        <s v="ord_25059"/>
        <s v="ord_26063"/>
        <s v="ord_27067"/>
        <s v="ord_28071"/>
        <s v="ord_29075"/>
        <s v="ord_30079"/>
        <s v="ord_31083"/>
        <s v="ord_32087"/>
        <s v="ord_33091"/>
        <s v="ord_34095"/>
        <s v="ord_35099"/>
        <s v="ord_36103"/>
        <s v="ord_37107"/>
        <s v="ord_38111"/>
        <s v="ord_39115"/>
        <s v="ord_40119"/>
        <s v="ord_61123"/>
        <s v="ord_42127"/>
        <s v="ord_43131"/>
        <s v="ord_44135"/>
        <s v="ord_45139"/>
        <s v="ord_46143"/>
        <s v="ord_47147"/>
        <s v="ord_48151"/>
        <s v="ord_49155"/>
        <s v="ord_50159"/>
        <s v="ord_51163"/>
        <s v="ord_52167"/>
        <s v="ord_53171"/>
        <s v="ord_54175"/>
        <s v="ord_55179"/>
        <s v="ord_56183"/>
        <s v="ord_57187"/>
        <s v="ord_58191"/>
        <s v="ord_59195"/>
        <s v="ord_60199"/>
        <s v="ord_11207"/>
        <s v="ord_62207"/>
        <s v="ord_63211"/>
        <s v="ord_64215"/>
        <s v="ord_65219"/>
        <s v="ord_66223"/>
        <s v="ord_67227"/>
        <s v="ord_68231"/>
        <s v="ord_69235"/>
        <s v="ord_70239"/>
        <s v="ord_71243"/>
        <s v="ord_72247"/>
        <s v="ord_73251"/>
        <s v="ord_74255"/>
        <s v="ord_75259"/>
        <s v="ord_76263"/>
        <s v="ord_77267"/>
        <s v="ord_78271"/>
        <s v="ord_79275"/>
        <s v="ord_80279"/>
        <s v="ord_81283"/>
        <s v="ord_82287"/>
        <s v="ord_83291"/>
        <s v="ord_84295"/>
        <s v="ord_85299"/>
        <s v="ord_86303"/>
        <s v="ord_87307"/>
        <s v="ord_88311"/>
        <s v="ord_89315"/>
        <s v="ord_90319"/>
        <s v="ord_91323"/>
        <s v="ord_32327"/>
        <s v="ord_93331"/>
        <s v="ord_94335"/>
        <s v="ord_95339"/>
        <s v="ord_96343"/>
        <s v="ord_97347"/>
        <s v="ord_98351"/>
        <s v="ord_99355"/>
        <s v="ord_30039"/>
        <s v="ord_40133"/>
        <s v="ord_50227"/>
        <s v="ord_60321"/>
        <s v="ord_70415"/>
        <s v="ord_80509"/>
        <s v="ord_90603"/>
        <s v="ord_10097"/>
        <s v="ord_10098"/>
        <s v="ord_13099"/>
        <s v="ord_10100"/>
        <s v="ord_10101"/>
        <s v="ord_10102"/>
        <s v="ord_10103"/>
        <s v="ord_10104"/>
        <s v="ord_10105"/>
        <s v="ord_10106"/>
        <s v="ord_10107"/>
        <s v="ord_13108"/>
        <s v="ord_10109"/>
        <s v="ord_10110"/>
        <s v="ord_10111"/>
        <s v="ord_10112"/>
        <s v="ord_10113"/>
        <s v="ord_10114"/>
        <s v="ord_10115"/>
        <s v="ord_10116"/>
        <s v="ord_13117"/>
        <s v="ord_10118"/>
        <s v="ord_10119"/>
        <s v="ord_10120"/>
        <s v="ord_10121"/>
        <s v="ord_10122"/>
        <s v="ord_10123"/>
        <s v="ord_10124"/>
        <s v="ord_10125"/>
        <s v="ord_13126"/>
        <s v="ord_10127"/>
        <s v="ord_10128"/>
        <s v="ord_10129"/>
        <s v="ord_10130"/>
        <s v="ord_10131"/>
        <s v="ord_10132"/>
        <s v="ord_10133"/>
        <s v="ord_10134"/>
        <s v="ord_13135"/>
        <s v="ord_10136"/>
        <s v="ord_10137"/>
        <s v="ord_10138"/>
        <s v="ord_10139"/>
        <s v="ord_10140"/>
        <s v="ord_10141"/>
        <s v="ord_10142"/>
        <s v="ord_10143"/>
        <s v="ord_13144"/>
        <s v="ord_10145"/>
        <s v="ord_10146"/>
        <s v="ord_10147"/>
        <s v="ord_10148"/>
        <s v="ord_10149"/>
        <s v="ord_10150"/>
        <s v="ord_10151"/>
        <s v="ord_10152"/>
        <s v="ord_10153"/>
        <s v="ord_10154"/>
        <s v="ord_10155"/>
        <s v="ord_10156"/>
        <s v="ord_10157"/>
        <s v="ord_10158"/>
        <s v="ord_10159"/>
        <s v="ord_10160"/>
        <s v="ord_10161"/>
        <s v="ord_10162"/>
        <s v="ord_10163"/>
        <s v="ord_10164"/>
        <s v="ord_10165"/>
        <s v="ord_10166"/>
        <s v="ord_10167"/>
        <s v="ord_10168"/>
        <s v="ord_10169"/>
        <s v="ord_10170"/>
        <s v="ord_10171"/>
        <s v="ord_10172"/>
        <s v="ord_10173"/>
        <s v="ord_10174"/>
        <s v="ord_10175"/>
        <s v="ord_10176"/>
        <s v="ord_10177"/>
        <s v="ord_10178"/>
        <s v="ord_10179"/>
        <s v="ord_10180"/>
        <s v="ord_10181"/>
        <s v="ord_10182"/>
        <s v="ord_10183"/>
        <s v="ord_10184"/>
        <s v="ord_10185"/>
        <s v="ord_10186"/>
        <s v="ord_10187"/>
        <s v="ord_10188"/>
        <s v="ord_10189"/>
        <s v="ord_10190"/>
        <s v="ord_10191"/>
        <s v="ord_10192"/>
        <s v="ord_10193"/>
        <s v="ord_10194"/>
        <s v="ord_10195"/>
        <s v="ord_10196"/>
        <s v="ord_10197"/>
        <s v="ord_10198"/>
        <s v="ord_10199"/>
        <s v="ord_10200"/>
        <s v="ord_10201"/>
        <s v="ord_10202"/>
        <s v="ord_10203"/>
        <s v="ord_10204"/>
        <s v="ord_10205"/>
        <s v="ord_10206"/>
        <s v="ord_10207"/>
        <s v="ord_10208"/>
        <s v="ord_10209"/>
        <s v="ord_10210"/>
        <s v="ord_10211"/>
        <s v="ord_10212"/>
        <s v="ord_10213"/>
        <s v="ord_10214"/>
        <s v="ord_10215"/>
        <s v="ord_10216"/>
        <s v="ord_10217"/>
        <s v="ord_10218"/>
        <s v="ord_10219"/>
        <s v="ord_10220"/>
        <s v="ord_10221"/>
        <s v="ord_10222"/>
        <s v="ord_10223"/>
        <s v="ord_10224"/>
        <s v="ord_10225"/>
        <s v="ord_10226"/>
        <s v="ord_10227"/>
        <s v="ord_10228"/>
        <s v="ord_10229"/>
        <s v="ord_10230"/>
        <s v="ord_10231"/>
        <s v="ord_10232"/>
        <s v="ord_10233"/>
        <s v="ord_10234"/>
        <s v="ord_10235"/>
        <s v="ord_10236"/>
        <s v="ord_10237"/>
        <s v="ord_10238"/>
        <s v="ord_10239"/>
        <s v="ord_10240"/>
        <s v="ord_10241"/>
        <s v="ord_10242"/>
        <s v="ord_10243"/>
        <s v="ord_10244"/>
        <s v="ord_10245"/>
        <s v="ord_10246"/>
        <s v="ord_10247"/>
        <s v="ord_10248"/>
        <s v="ord_10249"/>
        <s v="ord_10250"/>
        <s v="ord_10251"/>
        <s v="ord_10252"/>
        <s v="ord_10253"/>
        <s v="ord_10254"/>
        <s v="ord_10255"/>
        <s v="ord_10256"/>
        <s v="ord_10257"/>
        <s v="ord_10258"/>
        <s v="ord_10259"/>
        <s v="ord_10260"/>
        <s v="ord_10261"/>
        <s v="ord_10262"/>
        <s v="ord_10263"/>
        <s v="ord_10264"/>
        <s v="ord_10265"/>
        <s v="ord_10266"/>
        <s v="ord_10267"/>
        <s v="ord_10268"/>
        <s v="ord_10269"/>
        <s v="ord_10270"/>
        <s v="ord_10271"/>
        <s v="ord_10272"/>
        <s v="ord_10273"/>
        <s v="ord_10274"/>
        <s v="ord_10275"/>
        <s v="ord_10276"/>
        <s v="ord_10277"/>
        <s v="ord_10278"/>
        <s v="ord_10279"/>
        <s v="ord_10280"/>
        <s v="ord_10281"/>
        <s v="ord_10282"/>
        <s v="ord_10283"/>
        <s v="ord_10284"/>
        <s v="ord_10285"/>
        <s v="ord_10286"/>
        <s v="ord_10287"/>
        <s v="ord_10288"/>
        <s v="ord_10289"/>
        <s v="ord_10290"/>
        <s v="ord_10291"/>
        <s v="ord_10292"/>
        <s v="ord_10293"/>
        <s v="ord_10294"/>
        <s v="ord_10295"/>
        <s v="ord_10296"/>
        <s v="ord_10297"/>
        <s v="ord_10298"/>
        <s v="ord_10299"/>
        <s v="ord_10300"/>
        <s v="ord_10301"/>
        <s v="ord_10302"/>
        <s v="ord_10303"/>
        <s v="ord_10304"/>
        <s v="ord_10305"/>
        <s v="ord_10306"/>
        <s v="ord_10307"/>
        <s v="ord_10308"/>
        <s v="ord_10309"/>
        <s v="ord_10310"/>
        <s v="ord_10311"/>
        <s v="ord_10312"/>
        <s v="ord_10018"/>
        <s v="ord_10027"/>
        <s v="ord_10036"/>
        <s v="ord_10045"/>
        <s v="ord_10054"/>
        <s v="ord_10063"/>
        <s v="ord_10072"/>
        <s v="ord_10081"/>
        <s v="ord_10313"/>
        <s v="ord_10314"/>
        <s v="ord_10315"/>
        <s v="ord_10316"/>
        <s v="ord_10317"/>
        <s v="ord_10318"/>
        <s v="ord_10319"/>
        <s v="ord_10320"/>
        <s v="ord_10321"/>
        <s v="ord_10322"/>
        <s v="ord_10323"/>
        <s v="ord_10324"/>
        <s v="ord_10325"/>
        <s v="ord_10326"/>
        <s v="ord_10327"/>
        <s v="ord_10328"/>
        <s v="ord_10329"/>
        <s v="ord_10330"/>
        <s v="ord_10331"/>
        <s v="ord_10332"/>
        <s v="ord_10333"/>
        <s v="ord_10334"/>
        <s v="ord_10335"/>
        <s v="ord_10336"/>
        <s v="ord_10337"/>
        <s v="ord_10338"/>
        <s v="ord_10339"/>
        <s v="ord_10340"/>
        <s v="ord_10341"/>
        <s v="ord_10342"/>
        <s v="ord_10343"/>
        <s v="ord_10344"/>
        <s v="ord_10345"/>
        <s v="ord_10346"/>
        <s v="ord_10347"/>
        <s v="ord_10348"/>
        <s v="ord_10349"/>
        <s v="ord_10350"/>
        <s v="ord_10351"/>
        <s v="ord_10352"/>
        <s v="ord_10353"/>
        <s v="ord_10354"/>
        <s v="ord_10355"/>
        <s v="ord_10356"/>
        <s v="ord_10357"/>
        <s v="ord_10358"/>
        <s v="ord_10359"/>
        <s v="ord_10360"/>
        <s v="ord_10361"/>
        <s v="ord_10362"/>
        <s v="ord_10363"/>
        <s v="ord_10364"/>
        <s v="ord_10365"/>
        <s v="ord_10366"/>
        <s v="ord_10367"/>
        <s v="ord_10368"/>
        <s v="ord_10369"/>
        <s v="ord_10370"/>
        <s v="ord_10371"/>
        <s v="ord_10372"/>
        <s v="ord_10373"/>
        <s v="ord_10374"/>
        <s v="ord_10375"/>
        <s v="ord_10376"/>
        <s v="ord_10377"/>
        <s v="ord_10378"/>
        <s v="ord_10379"/>
        <s v="ord_10380"/>
        <s v="ord_10381"/>
        <s v="ord_10382"/>
        <s v="ord_10383"/>
        <s v="ord_10384"/>
        <s v="ord_10385"/>
        <s v="ord_10386"/>
        <s v="ord_10387"/>
        <s v="ord_10388"/>
        <s v="ord_10389"/>
        <s v="ord_10390"/>
        <s v="ord_10391"/>
        <s v="ord_10392"/>
        <s v="ord_10393"/>
        <s v="ord_10394"/>
        <s v="ord_10395"/>
        <s v="ord_10396"/>
        <s v="ord_10397"/>
        <s v="ord_10398"/>
        <s v="ord_10399"/>
        <s v="ord_10400"/>
        <s v="ord_10401"/>
        <s v="ord_10402"/>
        <s v="ord_10403"/>
        <s v="ord_10404"/>
        <s v="ord_10405"/>
        <s v="ord_10406"/>
        <s v="ord_10407"/>
        <s v="ord_10408"/>
        <s v="ord_10409"/>
        <s v="ord_10410"/>
        <s v="ord_10411"/>
        <s v="ord_10412"/>
        <s v="ord_10413"/>
        <s v="ord_10414"/>
        <s v="ord_10415"/>
        <s v="ord_10416"/>
        <s v="ord_10417"/>
        <s v="ord_10418"/>
        <s v="ord_10419"/>
        <s v="ord_10420"/>
        <s v="ord_10421"/>
        <s v="ord_10422"/>
        <s v="ord_10423"/>
        <s v="ord_10424"/>
        <s v="ord_10425"/>
        <s v="ord_10426"/>
        <s v="ord_10427"/>
        <s v="ord_10428"/>
        <s v="ord_10429"/>
        <s v="ord_10430"/>
        <s v="ord_10431"/>
        <s v="ord_10432"/>
        <s v="ord_10433"/>
        <s v="ord_10434"/>
        <s v="ord_10435"/>
        <s v="ord_10436"/>
        <s v="ord_10437"/>
        <s v="ord_10438"/>
        <s v="ord_10439"/>
        <s v="ord_10440"/>
        <s v="ord_10441"/>
        <s v="ord_10442"/>
        <s v="ord_10443"/>
        <s v="ord_10444"/>
        <s v="ord_10445"/>
        <s v="ord_10446"/>
        <s v="ord_10447"/>
        <s v="ord_10448"/>
        <s v="ord_10449"/>
        <s v="ord_10450"/>
        <s v="ord_10451"/>
        <s v="ord_10452"/>
        <s v="ord_10453"/>
        <s v="ord_10454"/>
        <s v="ord_10455"/>
        <s v="ord_10456"/>
        <s v="ord_10457"/>
        <s v="ord_10458"/>
        <s v="ord_10459"/>
        <s v="ord_10460"/>
        <s v="ord_10461"/>
        <s v="ord_10462"/>
        <s v="ord_10463"/>
        <s v="ord_10464"/>
        <s v="ord_10465"/>
        <s v="ord_10466"/>
        <s v="ord_10467"/>
        <s v="ord_10468"/>
        <s v="ord_10469"/>
        <s v="ord_10470"/>
        <s v="ord_10471"/>
        <s v="ord_10472"/>
        <s v="ord_10473"/>
        <s v="ord_10474"/>
        <s v="ord_10475"/>
        <s v="ord_10476"/>
        <s v="ord_10477"/>
        <s v="ord_10478"/>
        <s v="ord_10479"/>
        <s v="ord_10480"/>
        <s v="ord_10481"/>
        <s v="ord_10482"/>
        <s v="ord_10483"/>
        <s v="ord_10484"/>
        <s v="ord_10485"/>
        <s v="ord_10486"/>
        <s v="ord_10487"/>
        <s v="ord_10488"/>
        <s v="ord_10489"/>
        <s v="ord_10490"/>
        <s v="ord_10491"/>
        <s v="ord_10492"/>
        <s v="ord_10493"/>
        <s v="ord_10494"/>
        <s v="ord_10495"/>
        <s v="ord_10496"/>
        <s v="ord_10497"/>
        <s v="ord_10498"/>
        <s v="ord_10499"/>
        <s v="ord_10500"/>
        <s v="ord_10501"/>
        <s v="ord_10502"/>
        <s v="ord_10503"/>
        <s v="ord_10504"/>
        <s v="ord_10505"/>
        <s v="ord_10506"/>
        <s v="ord_10507"/>
        <s v="ord_10508"/>
        <s v="ord_10509"/>
        <s v="ord_10510"/>
        <s v="ord_10511"/>
        <s v="ord_10512"/>
        <s v="ord_10513"/>
        <s v="ord_10514"/>
        <s v="ord_10515"/>
        <s v="ord_10516"/>
        <s v="ord_10517"/>
        <s v="ord_10518"/>
        <s v="ord_10519"/>
        <s v="ord_10520"/>
        <s v="ord_10521"/>
        <s v="ord_10522"/>
        <s v="ord_10523"/>
        <s v="ord_10524"/>
        <s v="ord_10525"/>
        <s v="ord_10526"/>
        <s v="ord_10527"/>
        <s v="ord_10528"/>
        <s v="ord_10529"/>
        <s v="ord_10530"/>
        <s v="ord_10531"/>
        <s v="ord_10532"/>
        <s v="ord_10533"/>
        <s v="ord_10534"/>
        <s v="ord_10535"/>
        <s v="ord_10536"/>
        <s v="ord_10537"/>
        <s v="ord_10538"/>
        <s v="ord_10539"/>
        <s v="ord_10540"/>
        <s v="ord_10541"/>
        <s v="ord_10542"/>
        <s v="ord_10543"/>
        <s v="ord_10544"/>
        <s v="ord_10545"/>
        <s v="ord_10546"/>
        <s v="ord_10547"/>
        <s v="ord_10548"/>
        <s v="ord_10549"/>
        <s v="ord_10550"/>
        <s v="ord_10551"/>
        <s v="ord_10552"/>
        <s v="ord_10553"/>
        <s v="ord_10554"/>
        <s v="ord_10555"/>
        <s v="ord_10556"/>
        <s v="ord_10557"/>
        <s v="ord_10558"/>
        <s v="ord_10559"/>
        <s v="ord_10560"/>
        <s v="ord_10561"/>
        <s v="ord_10562"/>
        <s v="ord_10563"/>
        <s v="ord_10564"/>
        <s v="ord_10565"/>
        <s v="ord_10566"/>
        <s v="ord_10567"/>
        <s v="ord_10568"/>
        <s v="ord_10569"/>
        <s v="ord_10570"/>
        <s v="ord_10571"/>
        <s v="ord_10572"/>
        <s v="ord_10573"/>
        <s v="ord_10574"/>
        <s v="ord_10575"/>
        <s v="ord_10576"/>
        <s v="ord_10577"/>
        <s v="ord_10578"/>
        <s v="ord_10579"/>
        <s v="ord_10580"/>
        <s v="ord_10581"/>
        <s v="ord_10582"/>
        <s v="ord_10583"/>
        <s v="ord_10584"/>
        <s v="ord_10585"/>
        <s v="ord_10586"/>
        <s v="ord_10587"/>
        <s v="ord_10588"/>
        <s v="ord_10589"/>
        <s v="ord_10590"/>
        <s v="ord_10591"/>
        <s v="ord_10592"/>
        <s v="ord_10593"/>
        <s v="ord_10594"/>
        <s v="ord_10595"/>
        <s v="ord_10596"/>
        <s v="ord_10597"/>
        <s v="ord_10598"/>
        <s v="ord_10599"/>
        <s v="ord_10600"/>
        <s v="ord_10601"/>
        <s v="ord_10602"/>
        <s v="ord_10603"/>
        <s v="ord_10604"/>
        <s v="ord_10605"/>
        <s v="ord_10606"/>
        <s v="ord_10607"/>
        <s v="ord_10608"/>
        <s v="ord_10609"/>
        <s v="ord_10610"/>
        <s v="ord_10611"/>
        <s v="ord_10612"/>
        <s v="ord_10613"/>
        <s v="ord_10614"/>
        <s v="ord_10615"/>
        <s v="ord_10616"/>
        <s v="ord_10617"/>
        <s v="ord_10618"/>
        <s v="ord_10619"/>
        <s v="ord_10620"/>
        <s v="ord_10621"/>
        <s v="ord_10622"/>
        <s v="ord_10623"/>
        <s v="ord_10624"/>
        <s v="ord_10625"/>
        <s v="ord_10626"/>
        <s v="ord_10627"/>
        <s v="ord_10628"/>
        <s v="ord_10629"/>
        <s v="ord_10630"/>
        <s v="ord_10631"/>
        <s v="ord_10632"/>
        <s v="ord_10633"/>
        <s v="ord_10634"/>
        <s v="ord_10635"/>
        <s v="ord_10636"/>
        <s v="ord_10637"/>
        <s v="ord_10638"/>
        <s v="ord_10639"/>
        <s v="ord_10640"/>
        <s v="ord_10641"/>
        <s v="ord_10642"/>
        <s v="ord_10643"/>
        <s v="ord_10644"/>
        <s v="ord_10645"/>
        <s v="ord_10646"/>
        <s v="ord_10647"/>
        <s v="ord_10648"/>
        <s v="ord_10649"/>
        <s v="ord_10650"/>
        <s v="ord_10651"/>
        <s v="ord_10652"/>
        <s v="ord_10653"/>
        <s v="ord_10654"/>
        <s v="ord_10655"/>
        <s v="ord_10656"/>
        <s v="ord_10657"/>
        <s v="ord_10658"/>
        <s v="ord_10659"/>
        <s v="ord_10660"/>
        <s v="ord_10661"/>
        <s v="ord_10662"/>
        <s v="ord_10663"/>
        <s v="ord_10664"/>
        <s v="ord_10665"/>
        <s v="ord_10666"/>
        <s v="ord_10667"/>
        <s v="ord_10668"/>
        <s v="ord_10669"/>
        <s v="ord_10670"/>
        <s v="ord_10671"/>
        <s v="ord_10672"/>
        <s v="ord_10673"/>
        <s v="ord_10674"/>
        <s v="ord_10675"/>
        <s v="ord_10676"/>
        <s v="ord_10677"/>
        <s v="ord_10678"/>
        <s v="ord_10679"/>
        <s v="ord_10680"/>
        <s v="ord_10681"/>
        <s v="ord_10682"/>
        <s v="ord_10683"/>
        <s v="ord_10684"/>
        <s v="ord_10685"/>
        <s v="ord_10686"/>
        <s v="ord_10687"/>
        <s v="ord_10688"/>
        <s v="ord_10689"/>
        <s v="ord_10690"/>
        <s v="ord_10691"/>
        <s v="ord_10692"/>
        <s v="ord_10693"/>
        <s v="ord_10694"/>
        <s v="ord_10695"/>
        <s v="ord_10696"/>
        <s v="ord_10697"/>
        <s v="ord_10698"/>
        <s v="ord_10699"/>
        <s v="ord_10700"/>
        <s v="ord_10701"/>
        <s v="ord_10702"/>
        <s v="ord_10703"/>
        <s v="ord_10704"/>
        <s v="ord_10705"/>
        <s v="ord_10706"/>
        <s v="ord_10707"/>
        <s v="ord_10708"/>
        <s v="ord_10709"/>
        <s v="ord_10710"/>
        <s v="ord_10711"/>
        <s v="ord_10712"/>
        <s v="ord_10713"/>
        <s v="ord_10714"/>
        <s v="ord_10715"/>
        <s v="ord_10716"/>
        <s v="ord_10717"/>
        <s v="ord_10718"/>
        <s v="ord_10719"/>
        <s v="ord_10720"/>
        <s v="ord_10721"/>
        <s v="ord_10722"/>
        <s v="ord_10723"/>
        <s v="ord_10724"/>
        <s v="ord_10725"/>
        <s v="ord_10726"/>
        <s v="ord_10727"/>
        <s v="ord_10728"/>
        <s v="ord_10729"/>
        <s v="ord_10730"/>
        <s v="ord_10731"/>
        <s v="ord_10732"/>
        <s v="ord_10733"/>
        <s v="ord_10734"/>
        <s v="ord_10735"/>
        <s v="ord_10736"/>
        <s v="ord_10737"/>
        <s v="ord_10738"/>
        <s v="ord_10739"/>
        <s v="ord_10740"/>
        <s v="ord_10741"/>
        <s v="ord_10742"/>
        <s v="ord_10743"/>
        <s v="ord_10744"/>
        <s v="ord_10745"/>
        <s v="ord_10746"/>
        <s v="ord_10747"/>
        <s v="ord_10748"/>
        <s v="ord_10749"/>
        <s v="ord_10750"/>
        <s v="ord_10751"/>
        <s v="ord_10752"/>
        <s v="ord_10753"/>
        <s v="ord_10754"/>
        <s v="ord_10755"/>
        <s v="ord_10756"/>
        <s v="ord_10757"/>
        <s v="ord_10758"/>
        <s v="ord_10759"/>
        <s v="ord_10760"/>
        <s v="ord_10761"/>
        <s v="ord_10762"/>
        <s v="ord_10763"/>
        <s v="ord_10764"/>
        <s v="ord_10765"/>
        <s v="ord_10766"/>
        <s v="ord_10767"/>
        <s v="ord_10768"/>
        <s v="ord_10769"/>
        <s v="ord_10770"/>
        <s v="ord_10771"/>
        <s v="ord_10772"/>
        <s v="ord_10773"/>
        <s v="ord_10774"/>
        <s v="ord_10775"/>
        <s v="ord_10776"/>
        <s v="ord_10777"/>
        <s v="ord_10778"/>
        <s v="ord_10779"/>
        <s v="ord_10780"/>
        <s v="ord_10781"/>
        <s v="ord_10782"/>
        <s v="ord_10783"/>
        <s v="ord_10784"/>
        <s v="ord_10785"/>
        <s v="ord_10786"/>
        <s v="ord_10787"/>
        <s v="ord_10788"/>
        <s v="ord_10789"/>
        <s v="ord_10790"/>
        <s v="ord_10791"/>
        <s v="ord_10792"/>
        <s v="ord_10793"/>
        <s v="ord_10794"/>
        <s v="ord_10795"/>
        <s v="ord_10796"/>
        <s v="ord_10797"/>
        <s v="ord_10798"/>
        <s v="ord_10799"/>
        <s v="ord_10800"/>
        <s v="ord_10801"/>
        <s v="ord_10802"/>
        <s v="ord_10803"/>
        <s v="ord_10804"/>
        <s v="ord_10805"/>
        <s v="ord_10806"/>
        <s v="ord_10807"/>
        <s v="ord_10808"/>
        <s v="ord_10809"/>
        <s v="ord_10810"/>
        <s v="ord_10811"/>
        <s v="ord_10812"/>
        <s v="ord_10813"/>
        <s v="ord_10814"/>
        <s v="ord_10815"/>
        <s v="ord_10816"/>
        <s v="ord_10817"/>
        <s v="ord_10818"/>
        <s v="ord_10819"/>
        <s v="ord_10820"/>
        <s v="ord_10821"/>
        <s v="ord_10822"/>
        <s v="ord_10823"/>
        <s v="ord_10824"/>
        <s v="ord_10825"/>
        <s v="ord_10826"/>
        <s v="ord_10827"/>
        <s v="ord_10828"/>
        <s v="ord_10829"/>
        <s v="ord_30830"/>
        <s v="ord_30831"/>
        <s v="ord_30832"/>
        <s v="ord_30833"/>
        <s v="ord_30834"/>
        <s v="ord_30835"/>
        <s v="ord_30836"/>
        <s v="ord_30837"/>
        <s v="ord_30838"/>
        <s v="ord_30839"/>
        <s v="ord_30840"/>
        <s v="ord_30841"/>
        <s v="ord_30842"/>
        <s v="ord_30843"/>
        <s v="ord_30844"/>
        <s v="ord_30845"/>
        <s v="ord_30846"/>
        <s v="ord_30847"/>
        <s v="ord_30848"/>
        <s v="ord_30849"/>
        <s v="ord_30850"/>
        <s v="ord_30851"/>
        <s v="ord_30852"/>
        <s v="ord_30853"/>
        <s v="ord_30854"/>
        <s v="ord_30855"/>
        <s v="ord_30856"/>
        <s v="ord_30857"/>
        <s v="ord_30858"/>
        <s v="ord_30859"/>
        <s v="ord_30860"/>
        <s v="ord_30861"/>
        <s v="ord_30862"/>
        <s v="ord_30863"/>
        <s v="ord_30864"/>
        <s v="ord_30865"/>
        <s v="ord_30866"/>
        <s v="ord_30867"/>
        <s v="ord_30868"/>
        <s v="ord_30869"/>
        <s v="ord_30870"/>
        <s v="ord_30871"/>
        <s v="ord_30872"/>
        <s v="ord_30873"/>
        <s v="ord_30874"/>
        <s v="ord_30875"/>
        <s v="ord_30876"/>
        <s v="ord_30877"/>
        <s v="ord_30878"/>
        <s v="ord_30879"/>
        <s v="ord_30880"/>
        <s v="ord_30881"/>
        <s v="ord_30882"/>
        <s v="ord_30883"/>
        <s v="ord_30884"/>
        <s v="ord_30885"/>
        <s v="ord_30886"/>
        <s v="ord_30887"/>
        <s v="ord_30888"/>
        <s v="ord_30889"/>
        <s v="ord_30890"/>
        <s v="ord_30891"/>
        <s v="ord_30892"/>
        <s v="ord_30893"/>
        <s v="ord_30894"/>
        <s v="ord_30895"/>
        <s v="ord_30896"/>
        <s v="ord_30897"/>
        <s v="ord_30898"/>
        <s v="ord_30899"/>
        <s v="ord_30900"/>
        <s v="ord_30901"/>
        <s v="ord_30902"/>
        <s v="ord_30903"/>
        <s v="ord_30904"/>
        <s v="ord_30905"/>
        <s v="ord_30906"/>
        <s v="ord_30907"/>
        <s v="ord_30908"/>
        <s v="ord_30909"/>
        <s v="ord_30910"/>
        <s v="ord_96334"/>
        <s v="ord_96428"/>
        <s v="ord_96522"/>
        <s v="ord_96616"/>
        <s v="ord_96710"/>
        <s v="ord_96804"/>
        <s v="ord_96898"/>
        <s v="ord_96992"/>
        <s v="ord_97086"/>
        <s v="ord_97180"/>
        <s v="ord_30911"/>
        <s v="ord_30912"/>
        <s v="ord_30913"/>
        <s v="ord_30914"/>
        <s v="ord_30915"/>
        <s v="ord_30916"/>
        <s v="ord_30917"/>
        <s v="ord_30918"/>
        <s v="ord_30919"/>
        <s v="ord_30920"/>
        <s v="ord_30921"/>
        <s v="ord_30922"/>
        <s v="ord_30923"/>
        <s v="ord_30924"/>
        <s v="ord_30925"/>
        <s v="ord_30926"/>
        <s v="ord_30927"/>
        <s v="ord_30928"/>
        <s v="ord_30929"/>
        <s v="ord_30930"/>
        <s v="ord_30931"/>
        <s v="ord_30932"/>
        <s v="ord_30933"/>
        <s v="ord_30934"/>
        <s v="ord_30935"/>
        <s v="ord_30936"/>
        <s v="ord_30937"/>
        <s v="ord_30938"/>
        <s v="ord_30939"/>
        <s v="ord_30940"/>
        <s v="ord_30941"/>
        <s v="ord_30942"/>
        <s v="ord_30943"/>
        <s v="ord_30944"/>
        <s v="ord_30945"/>
        <s v="ord_30946"/>
        <s v="ord_30947"/>
        <s v="ord_30948"/>
        <s v="ord_30949"/>
        <s v="ord_30950"/>
        <s v="ord_30951"/>
        <s v="ord_30952"/>
        <s v="ord_30953"/>
        <s v="ord_30954"/>
        <s v="ord_30955"/>
        <s v="ord_40956"/>
        <s v="ord_40957"/>
        <s v="ord_40958"/>
        <s v="ord_40959"/>
        <s v="ord_40960"/>
        <s v="ord_40961"/>
        <s v="ord_40962"/>
        <s v="ord_40963"/>
        <s v="ord_40964"/>
        <s v="ord_40965"/>
        <s v="ord_40966"/>
        <s v="ord_40967"/>
        <s v="ord_40968"/>
        <s v="ord_40969"/>
        <s v="ord_40970"/>
        <s v="ord_40971"/>
        <s v="ord_40972"/>
        <s v="ord_40973"/>
        <s v="ord_40974"/>
        <s v="ord_40975"/>
        <s v="ord_40976"/>
        <s v="ord_40977"/>
        <s v="ord_40978"/>
        <s v="ord_40979"/>
        <s v="ord_40980"/>
        <s v="ord_40981"/>
        <s v="ord_40982"/>
        <s v="ord_40983"/>
        <s v="ord_40984"/>
        <s v="ord_40985"/>
        <s v="ord_40986"/>
        <s v="ord_40987"/>
        <s v="ord_10090"/>
        <s v="ord_10099"/>
        <s v="ord_10108"/>
        <s v="ord_40988"/>
        <s v="ord_40989"/>
        <s v="ord_40990"/>
        <s v="ord_40991"/>
        <s v="ord_40992"/>
        <s v="ord_40993"/>
        <s v="ord_40994"/>
        <s v="ord_40995"/>
        <s v="ord_40996"/>
        <s v="ord_40997"/>
        <s v="ord_40998"/>
        <s v="ord_40999"/>
        <s v="ord_41000"/>
        <s v="ord_41001"/>
        <s v="ord_41002"/>
        <s v="ord_41003"/>
        <s v="ord_41004"/>
        <s v="ord_41005"/>
        <s v="ord_41006"/>
        <s v="ord_41007"/>
        <s v="ord_41008"/>
        <s v="ord_41009"/>
        <s v="ord_41010"/>
        <s v="ord_41011"/>
        <s v="ord_41012"/>
        <s v="ord_41013"/>
        <s v="ord_41014"/>
        <s v="ord_41015"/>
        <s v="ord_41016"/>
        <s v="ord_41017"/>
        <s v="ord_41018"/>
        <s v="ord_41019"/>
        <s v="ord_41020"/>
        <s v="ord_41021"/>
        <s v="ord_41022"/>
        <s v="ord_41023"/>
        <s v="ord_41024"/>
        <s v="ord_41025"/>
        <s v="ord_41026"/>
        <s v="ord_41027"/>
        <s v="ord_41028"/>
        <s v="ord_41029"/>
        <s v="ord_41030"/>
        <s v="ord_41031"/>
        <s v="ord_41032"/>
        <s v="ord_41033"/>
        <s v="ord_41034"/>
        <s v="ord_41035"/>
        <s v="ord_41036"/>
        <s v="ord_41037"/>
        <s v="ord_41038"/>
        <s v="ord_41039"/>
        <s v="ord_41040"/>
        <s v="ord_41041"/>
        <s v="ord_41042"/>
        <s v="ord_41043"/>
        <s v="ord_41044"/>
        <s v="ord_41045"/>
        <s v="ord_41046"/>
        <s v="ord_41047"/>
        <s v="ord_41048"/>
        <s v="ord_41049"/>
        <s v="ord_41050"/>
        <s v="ord_41051"/>
        <s v="ord_41052"/>
        <s v="ord_41053"/>
        <s v="ord_41054"/>
        <s v="ord_41055"/>
        <s v="ord_41056"/>
        <s v="ord_41057"/>
        <s v="ord_41058"/>
        <s v="ord_41059"/>
        <s v="ord_41060"/>
        <s v="ord_41061"/>
        <s v="ord_41062"/>
        <s v="ord_41063"/>
        <s v="ord_41064"/>
        <s v="ord_41065"/>
        <s v="ord_41066"/>
        <s v="ord_41067"/>
        <s v="ord_41068"/>
        <s v="ord_41069"/>
        <s v="ord_41070"/>
        <s v="ord_41071"/>
        <s v="ord_41072"/>
        <s v="ord_41073"/>
        <s v="ord_41074"/>
        <s v="ord_41075"/>
        <s v="ord_41076"/>
        <s v="ord_41077"/>
        <s v="ord_41078"/>
        <s v="ord_41079"/>
        <s v="ord_41080"/>
        <s v="ord_41081"/>
        <s v="ord_41082"/>
        <s v="ord_41083"/>
        <s v="ord_41084"/>
        <s v="ord_41085"/>
        <s v="ord_41086"/>
        <s v="ord_41087"/>
        <s v="ord_41088"/>
        <s v="ord_41089"/>
        <s v="ord_41090"/>
        <s v="ord_41091"/>
        <s v="ord_41092"/>
        <s v="ord_41093"/>
        <s v="ord_41094"/>
        <s v="ord_41095"/>
        <s v="ord_41096"/>
        <s v="ord_41097"/>
        <s v="ord_41098"/>
        <s v="ord_41099"/>
        <s v="ord_41100"/>
        <s v="ord_41101"/>
        <s v="ord_41102"/>
        <s v="ord_41103"/>
        <s v="ord_41104"/>
        <s v="ord_41105"/>
        <s v="ord_41106"/>
        <s v="ord_41107"/>
        <s v="ord_41108"/>
        <s v="ord_41109"/>
        <s v="ord_41110"/>
        <s v="ord_41111"/>
        <s v="ord_41112"/>
        <s v="ord_41113"/>
        <s v="ord_41114"/>
        <s v="ord_41115"/>
        <s v="ord_41116"/>
        <s v="ord_41117"/>
        <s v="ord_41118"/>
        <s v="ord_41119"/>
        <s v="ord_41120"/>
        <s v="ord_41121"/>
        <s v="ord_41122"/>
        <s v="ord_41123"/>
        <s v="ord_41124"/>
        <s v="ord_41125"/>
        <s v="ord_41126"/>
        <s v="ord_41127"/>
        <s v="ord_41128"/>
        <s v="ord_41129"/>
        <s v="ord_41130"/>
        <s v="ord_41131"/>
        <s v="ord_41132"/>
        <s v="ord_41133"/>
        <s v="ord_41134"/>
        <s v="ord_41135"/>
        <s v="ord_41136"/>
        <s v="ord_41137"/>
        <s v="ord_41138"/>
        <s v="ord_41139"/>
        <s v="ord_41140"/>
        <s v="ord_41141"/>
        <s v="ord_41142"/>
        <s v="ord_41143"/>
        <s v="ord_41144"/>
        <s v="ord_41145"/>
        <s v="ord_41146"/>
        <s v="ord_41147"/>
        <s v="ord_41148"/>
        <s v="ord_41149"/>
        <s v="ord_41150"/>
        <s v="ord_41151"/>
        <s v="ord_41152"/>
        <s v="ord_41153"/>
        <s v="ord_41154"/>
        <s v="ord_41155"/>
        <s v="ord_41156"/>
        <s v="ord_41157"/>
        <s v="ord_41158"/>
        <s v="ord_41159"/>
        <s v="ord_41160"/>
        <s v="ord_41161"/>
        <s v="ord_41162"/>
        <s v="ord_41163"/>
        <s v="ord_41164"/>
        <s v="ord_41165"/>
        <s v="ord_41166"/>
        <s v="ord_41167"/>
        <s v="ord_41168"/>
        <s v="ord_41169"/>
        <s v="ord_41170"/>
        <s v="ord_41171"/>
        <s v="ord_41172"/>
        <s v="ord_41173"/>
        <s v="ord_41174"/>
        <s v="ord_41175"/>
        <s v="ord_41176"/>
        <s v="ord_41177"/>
        <s v="ord_41178"/>
        <s v="ord_41179"/>
        <s v="ord_41180"/>
        <s v="ord_41181"/>
        <s v="ord_41182"/>
        <s v="ord_41183"/>
        <s v="ord_41184"/>
        <s v="ord_41185"/>
        <s v="ord_61186"/>
        <s v="ord_61187"/>
        <s v="ord_61188"/>
        <s v="ord_61189"/>
        <s v="ord_61190"/>
        <s v="ord_61191"/>
        <s v="ord_61192"/>
        <s v="ord_61193"/>
        <s v="ord_61194"/>
        <s v="ord_61195"/>
        <s v="ord_61196"/>
        <s v="ord_61197"/>
        <s v="ord_61198"/>
        <s v="ord_61199"/>
        <s v="ord_61200"/>
        <s v="ord_61201"/>
        <s v="ord_61202"/>
        <s v="ord_61203"/>
        <s v="ord_61204"/>
        <s v="ord_61205"/>
        <s v="ord_61206"/>
        <s v="ord_61207"/>
        <s v="ord_61208"/>
        <s v="ord_61209"/>
        <s v="ord_61210"/>
        <s v="ord_61211"/>
        <s v="ord_61212"/>
        <s v="ord_61213"/>
        <s v="ord_61214"/>
        <s v="ord_61215"/>
        <s v="ord_61216"/>
        <s v="ord_61217"/>
        <s v="ord_61218"/>
        <s v="ord_61219"/>
        <s v="ord_61220"/>
        <s v="ord_61221"/>
        <s v="ord_61222"/>
        <s v="ord_61223"/>
        <s v="ord_61224"/>
        <s v="ord_61225"/>
        <s v="ord_61226"/>
        <s v="ord_61227"/>
        <s v="ord_61228"/>
        <s v="ord_61229"/>
        <s v="ord_61230"/>
        <s v="ord_61231"/>
        <s v="ord_61232"/>
        <s v="ord_61233"/>
        <s v="ord_61234"/>
        <s v="ord_61235"/>
        <s v="ord_61236"/>
        <s v="ord_61237"/>
        <s v="ord_61238"/>
        <s v="ord_61239"/>
        <s v="ord_61240"/>
        <s v="ord_61241"/>
        <s v="ord_61242"/>
        <s v="ord_61243"/>
        <s v="ord_61244"/>
        <s v="ord_61245"/>
        <s v="ord_61246"/>
        <s v="ord_61247"/>
        <s v="ord_61248"/>
        <s v="ord_61249"/>
        <s v="ord_61250"/>
        <s v="ord_61251"/>
        <s v="ord_61252"/>
        <s v="ord_61253"/>
        <s v="ord_61254"/>
        <s v="ord_61255"/>
        <s v="ord_61256"/>
        <s v="ord_61257"/>
        <s v="ord_61258"/>
        <s v="ord_61259"/>
        <s v="ord_61260"/>
        <s v="ord_61261"/>
        <s v="ord_61262"/>
        <s v="ord_61263"/>
        <s v="ord_61264"/>
        <s v="ord_61265"/>
        <s v="ord_61266"/>
        <s v="ord_61267"/>
        <s v="ord_61268"/>
        <s v="ord_61269"/>
        <s v="ord_61270"/>
        <s v="ord_61271"/>
        <s v="ord_61272"/>
        <s v="ord_61273"/>
        <s v="ord_61274"/>
        <s v="ord_61275"/>
        <s v="ord_61276"/>
        <s v="ord_61277"/>
        <s v="ord_61278"/>
        <s v="ord_61279"/>
        <s v="ord_61280"/>
        <s v="ord_61281"/>
        <s v="ord_61282"/>
        <s v="ord_61283"/>
        <s v="ord_61284"/>
        <s v="ord_61285"/>
        <s v="ord_61286"/>
        <s v="ord_61287"/>
        <s v="ord_61288"/>
        <s v="ord_61289"/>
        <s v="ord_61290"/>
        <s v="ord_61291"/>
        <s v="ord_61292"/>
        <s v="ord_61293"/>
        <s v="ord_61294"/>
        <s v="ord_61295"/>
        <s v="ord_61296"/>
        <s v="ord_61297"/>
        <s v="ord_61298"/>
        <s v="ord_61299"/>
        <s v="ord_61300"/>
        <s v="ord_61301"/>
        <s v="ord_61302"/>
        <s v="ord_61303"/>
        <s v="ord_61304"/>
        <s v="ord_61305"/>
        <s v="ord_61306"/>
        <s v="ord_61307"/>
        <s v="ord_61308"/>
        <s v="ord_61309"/>
        <s v="ord_61310"/>
        <s v="ord_61311"/>
        <s v="ord_61312"/>
        <s v="ord_61313"/>
        <s v="ord_61314"/>
        <s v="ord_61315"/>
        <s v="ord_61316"/>
        <s v="ord_61317"/>
        <s v="ord_61318"/>
        <s v="ord_61319"/>
        <s v="ord_61320"/>
        <s v="ord_61321"/>
        <s v="ord_61322"/>
        <s v="ord_61323"/>
        <s v="ord_61324"/>
        <s v="ord_61325"/>
        <s v="ord_61326"/>
        <s v="ord_61327"/>
        <s v="ord_61328"/>
        <s v="ord_61329"/>
        <s v="ord_61330"/>
        <s v="ord_61331"/>
        <s v="ord_61332"/>
        <s v="ord_61333"/>
        <s v="ord_61334"/>
        <s v="ord_61335"/>
        <s v="ord_61336"/>
        <s v="ord_61337"/>
        <s v="ord_61338"/>
        <s v="ord_61339"/>
        <s v="ord_61340"/>
        <s v="ord_61341"/>
        <s v="ord_71342"/>
        <s v="ord_71343"/>
        <s v="ord_71344"/>
        <s v="ord_71345"/>
        <s v="ord_71346"/>
        <s v="ord_71347"/>
        <s v="ord_71348"/>
        <s v="ord_71349"/>
        <s v="ord_71350"/>
        <s v="ord_71351"/>
        <s v="ord_71352"/>
        <s v="ord_71353"/>
        <s v="ord_71354"/>
        <s v="ord_71355"/>
        <s v="ord_71356"/>
        <s v="ord_71357"/>
        <s v="ord_71358"/>
        <s v="ord_71359"/>
        <s v="ord_71360"/>
        <s v="ord_71361"/>
        <s v="ord_71362"/>
        <s v="ord_71363"/>
        <s v="ord_71364"/>
        <s v="ord_71365"/>
        <s v="ord_71366"/>
        <s v="ord_71367"/>
        <s v="ord_71368"/>
        <s v="ord_71369"/>
        <s v="ord_71370"/>
        <s v="ord_71371"/>
        <s v="ord_71372"/>
        <s v="ord_71373"/>
        <s v="ord_71374"/>
        <s v="ord_71375"/>
        <s v="ord_71376"/>
        <s v="ord_71377"/>
        <s v="ord_71378"/>
        <s v="ord_71379"/>
        <s v="ord_71380"/>
        <s v="ord_71381"/>
        <s v="ord_71382"/>
        <s v="ord_71383"/>
        <s v="ord_71384"/>
        <s v="ord_71385"/>
        <s v="ord_71386"/>
        <s v="ord_71387"/>
        <s v="ord_71388"/>
        <s v="ord_71389"/>
        <s v="ord_71390"/>
        <s v="ord_71391"/>
        <s v="ord_71392"/>
        <s v="ord_71393"/>
        <s v="ord_71394"/>
        <s v="ord_71395"/>
        <s v="ord_71396"/>
        <s v="ord_71397"/>
        <s v="ord_71398"/>
        <s v="ord_71399"/>
        <s v="ord_71400"/>
        <s v="ord_71401"/>
        <s v="ord_71402"/>
        <s v="ord_71403"/>
        <s v="ord_71404"/>
        <s v="ord_71405"/>
        <s v="ord_71406"/>
        <s v="ord_71407"/>
        <s v="ord_71408"/>
        <s v="ord_71409"/>
        <s v="ord_71410"/>
        <s v="ord_71411"/>
        <s v="ord_71412"/>
        <s v="ord_71413"/>
        <s v="ord_71414"/>
        <s v="ord_71415"/>
        <s v="ord_71416"/>
        <s v="ord_71417"/>
        <s v="ord_71418"/>
        <s v="ord_71419"/>
        <s v="ord_71420"/>
        <s v="ord_71421"/>
        <s v="ord_71422"/>
        <s v="ord_71423"/>
        <s v="ord_71424"/>
        <s v="ord_71425"/>
        <s v="ord_71426"/>
        <s v="ord_71427"/>
        <s v="ord_71428"/>
        <s v="ord_71429"/>
        <s v="ord_71430"/>
        <s v="ord_71431"/>
        <s v="ord_71432"/>
        <s v="ord_71433"/>
        <s v="ord_71434"/>
        <s v="ord_71435"/>
        <s v="ord_71436"/>
        <s v="ord_71437"/>
        <s v="ord_71438"/>
        <s v="ord_71439"/>
        <s v="ord_71440"/>
        <s v="ord_71441"/>
        <s v="ord_71442"/>
        <s v="ord_71443"/>
        <s v="ord_71444"/>
        <s v="ord_71445"/>
        <s v="ord_71446"/>
        <s v="ord_71447"/>
        <s v="ord_71448"/>
        <s v="ord_71449"/>
        <s v="ord_71450"/>
        <s v="ord_71451"/>
        <s v="ord_71452"/>
        <s v="ord_71453"/>
        <s v="ord_71454"/>
        <s v="ord_71455"/>
        <s v="ord_71456"/>
        <s v="ord_71457"/>
        <s v="ord_71458"/>
        <s v="ord_71459"/>
        <s v="ord_71460"/>
        <s v="ord_71461"/>
        <s v="ord_71462"/>
        <s v="ord_71463"/>
        <s v="ord_71464"/>
        <s v="ord_71465"/>
        <s v="ord_71466"/>
        <s v="ord_71467"/>
        <s v="ord_71468"/>
        <s v="ord_71469"/>
        <s v="ord_71470"/>
        <s v="ord_71471"/>
        <s v="ord_71472"/>
        <s v="ord_71473"/>
        <s v="ord_71474"/>
        <s v="ord_71475"/>
        <s v="ord_71476"/>
        <s v="ord_71477"/>
        <s v="ord_71478"/>
        <s v="ord_71479"/>
        <s v="ord_71480"/>
        <s v="ord_71481"/>
        <s v="ord_71482"/>
        <s v="ord_71483"/>
        <s v="ord_71484"/>
        <s v="ord_71485"/>
        <s v="ord_71486"/>
        <s v="ord_71487"/>
        <s v="ord_71488"/>
        <s v="ord_71489"/>
        <s v="ord_71490"/>
        <s v="ord_71491"/>
        <s v="ord_71492"/>
        <s v="ord_71493"/>
        <s v="ord_71494"/>
        <s v="ord_71495"/>
        <s v="ord_71496"/>
        <s v="ord_71497"/>
        <s v="ord_71498"/>
        <s v="ord_71499"/>
        <s v="ord_71500"/>
        <s v="ord_71501"/>
        <s v="ord_71502"/>
        <s v="ord_71503"/>
        <s v="ord_71504"/>
        <s v="ord_71505"/>
        <s v="ord_71506"/>
        <s v="ord_71507"/>
        <s v="ord_71508"/>
        <s v="ord_71509"/>
        <s v="ord_71510"/>
        <s v="ord_71511"/>
        <s v="ord_71512"/>
        <s v="ord_71513"/>
        <s v="ord_71514"/>
        <s v="ord_71515"/>
        <s v="ord_71516"/>
        <s v="ord_71517"/>
        <s v="ord_71518"/>
        <s v="ord_71519"/>
        <s v="ord_71520"/>
        <s v="ord_71521"/>
        <s v="ord_71522"/>
        <s v="ord_71523"/>
        <s v="ord_71524"/>
        <s v="ord_71525"/>
        <s v="ord_71526"/>
        <s v="ord_71527"/>
        <s v="ord_71528"/>
        <s v="ord_71529"/>
        <s v="ord_71530"/>
        <s v="ord_71531"/>
        <s v="ord_71532"/>
        <s v="ord_71533"/>
        <s v="ord_71534"/>
        <s v="ord_71535"/>
        <s v="ord_71536"/>
        <s v="ord_71537"/>
        <s v="ord_71538"/>
        <s v="ord_71539"/>
        <s v="ord_71540"/>
        <s v="ord_71541"/>
        <s v="ord_71542"/>
        <s v="ord_71543"/>
        <s v="ord_71544"/>
        <s v="ord_71545"/>
        <s v="ord_71546"/>
        <s v="ord_71547"/>
        <s v="ord_71548"/>
        <s v="ord_71549"/>
        <s v="ord_71550"/>
        <s v="ord_71551"/>
        <s v="ord_71552"/>
        <s v="ord_71553"/>
        <s v="ord_71554"/>
        <s v="ord_71555"/>
        <s v="ord_71556"/>
        <s v="ord_71557"/>
        <s v="ord_71558"/>
        <s v="ord_71559"/>
        <s v="ord_71560"/>
        <s v="ord_71561"/>
        <s v="ord_71562"/>
        <s v="ord_71563"/>
        <s v="ord_71564"/>
        <s v="ord_71565"/>
        <s v="ord_71566"/>
        <s v="ord_71567"/>
        <s v="ord_71568"/>
        <s v="ord_71569"/>
        <s v="ord_71570"/>
        <s v="ord_71571"/>
        <s v="ord_71572"/>
        <s v="ord_71573"/>
        <s v="ord_71574"/>
        <s v="ord_71575"/>
        <s v="ord_71576"/>
        <s v="ord_71577"/>
        <s v="ord_71578"/>
        <s v="ord_71579"/>
        <s v="ord_71580"/>
        <s v="ord_71581"/>
        <s v="ord_71582"/>
        <s v="ord_71583"/>
        <s v="ord_71584"/>
        <s v="ord_71585"/>
        <s v="ord_71586"/>
        <s v="ord_71587"/>
        <s v="ord_71588"/>
        <s v="ord_71589"/>
        <s v="ord_71590"/>
        <s v="ord_71591"/>
        <s v="ord_71592"/>
        <s v="ord_71593"/>
        <s v="ord_71594"/>
        <s v="ord_71595"/>
        <s v="ord_71596"/>
        <s v="ord_71597"/>
        <s v="ord_71598"/>
        <s v="ord_71599"/>
        <s v="ord_71600"/>
        <s v="ord_71601"/>
        <s v="ord_71602"/>
        <s v="ord_71603"/>
        <s v="ord_71604"/>
        <s v="ord_71605"/>
        <s v="ord_71606"/>
        <s v="ord_71607"/>
        <s v="ord_71608"/>
        <s v="ord_71609"/>
        <s v="ord_71610"/>
        <s v="ord_71611"/>
        <s v="ord_71612"/>
        <s v="ord_71613"/>
        <s v="ord_71614"/>
        <s v="ord_71615"/>
        <s v="ord_71616"/>
        <s v="ord_71617"/>
        <s v="ord_71618"/>
        <s v="ord_71619"/>
        <s v="ord_71620"/>
        <s v="ord_71621"/>
        <s v="ord_71622"/>
        <s v="ord_71623"/>
        <s v="ord_71624"/>
        <s v="ord_71625"/>
        <s v="ord_71626"/>
        <s v="ord_71627"/>
        <s v="ord_71628"/>
        <s v="ord_71629"/>
        <s v="ord_71630"/>
        <s v="ord_71631"/>
        <s v="ord_71632"/>
        <s v="ord_71633"/>
        <s v="ord_71634"/>
        <s v="ord_71635"/>
        <s v="ord_71636"/>
        <s v="ord_71637"/>
        <s v="ord_71638"/>
        <s v="ord_71639"/>
        <s v="ord_71640"/>
        <s v="ord_71641"/>
        <s v="ord_71642"/>
        <s v="ord_71643"/>
        <s v="ord_71644"/>
        <s v="ord_71645"/>
        <s v="ord_71646"/>
        <s v="ord_71647"/>
        <s v="ord_71648"/>
        <s v="ord_71649"/>
        <s v="ord_71650"/>
        <s v="ord_71651"/>
        <s v="ord_71652"/>
        <s v="ord_71653"/>
        <s v="ord_71654"/>
        <s v="ord_71655"/>
        <s v="ord_71656"/>
        <s v="ord_71657"/>
        <s v="ord_71658"/>
        <s v="ord_71659"/>
        <s v="ord_71660"/>
        <s v="ord_71661"/>
        <s v="ord_71662"/>
        <s v="ord_71663"/>
        <s v="ord_71664"/>
        <s v="ord_71665"/>
        <s v="ord_71666"/>
        <s v="ord_71667"/>
        <s v="ord_71668"/>
        <s v="ord_71669"/>
        <s v="ord_71670"/>
        <s v="ord_71671"/>
        <s v="ord_71672"/>
        <s v="ord_71673"/>
        <s v="ord_71674"/>
        <s v="ord_71675"/>
        <s v="ord_71676"/>
        <s v="ord_71677"/>
        <s v="ord_71678"/>
        <s v="ord_71679"/>
        <s v="ord_71680"/>
        <s v="ord_71681"/>
        <s v="ord_71682"/>
        <s v="ord_71683"/>
        <s v="ord_71684"/>
        <s v="ord_71685"/>
        <s v="ord_71686"/>
        <s v="ord_71687"/>
        <s v="ord_71688"/>
        <s v="ord_71689"/>
        <s v="ord_71690"/>
        <s v="ord_71691"/>
        <s v="ord_71692"/>
        <s v="ord_71693"/>
        <s v="ord_71694"/>
        <s v="ord_71695"/>
        <s v="ord_71696"/>
        <s v="ord_71697"/>
        <s v="ord_71698"/>
        <s v="ord_71699"/>
        <s v="ord_71700"/>
        <s v="ord_71701"/>
        <s v="ord_71702"/>
        <s v="ord_71703"/>
        <s v="ord_71704"/>
        <s v="ord_71705"/>
        <s v="ord_71706"/>
        <s v="ord_71707"/>
        <s v="ord_71708"/>
        <s v="ord_71709"/>
        <s v="ord_71710"/>
        <s v="ord_71711"/>
        <s v="ord_71712"/>
        <s v="ord_71713"/>
        <s v="ord_71714"/>
        <s v="ord_71715"/>
        <s v="ord_71716"/>
        <s v="ord_71717"/>
        <s v="ord_71718"/>
        <s v="ord_71719"/>
        <s v="ord_71720"/>
        <s v="ord_71721"/>
        <s v="ord_71722"/>
        <s v="ord_71723"/>
        <s v="ord_71724"/>
        <s v="ord_71725"/>
        <s v="ord_71726"/>
        <s v="ord_71727"/>
        <s v="ord_71728"/>
        <s v="ord_71729"/>
        <s v="ord_71730"/>
        <s v="ord_71731"/>
        <s v="ord_71732"/>
        <s v="ord_71733"/>
        <s v="ord_71734"/>
        <s v="ord_71735"/>
        <s v="ord_71736"/>
        <s v="ord_71737"/>
        <s v="ord_71738"/>
        <s v="ord_71739"/>
        <s v="ord_71740"/>
        <s v="ord_71741"/>
        <s v="ord_71742"/>
        <s v="ord_71743"/>
        <s v="ord_71744"/>
        <s v="ord_71745"/>
        <s v="ord_71746"/>
        <s v="ord_71747"/>
        <s v="ord_71748"/>
        <s v="ord_71749"/>
        <s v="ord_71750"/>
        <s v="ord_71751"/>
        <s v="ord_71752"/>
        <s v="ord_71753"/>
        <s v="ord_71754"/>
        <s v="ord_71755"/>
        <s v="ord_71756"/>
        <s v="ord_71757"/>
        <s v="ord_71758"/>
        <s v="ord_71759"/>
        <s v="ord_71760"/>
        <s v="ord_71761"/>
        <s v="ord_71762"/>
        <s v="ord_71763"/>
        <s v="ord_71764"/>
        <s v="ord_71765"/>
        <s v="ord_71766"/>
        <s v="ord_71767"/>
        <s v="ord_71768"/>
        <s v="ord_71769"/>
        <s v="ord_71770"/>
        <s v="ord_71771"/>
        <s v="ord_71772"/>
        <s v="ord_71773"/>
        <s v="ord_71774"/>
        <s v="ord_71775"/>
        <s v="ord_71776"/>
        <s v="ord_71777"/>
        <s v="ord_71778"/>
        <s v="ord_71779"/>
        <s v="ord_71780"/>
        <s v="ord_71781"/>
        <s v="ord_71782"/>
        <s v="ord_71783"/>
        <s v="ord_71784"/>
        <s v="ord_71785"/>
        <s v="ord_71786"/>
        <s v="ord_71787"/>
        <s v="ord_71788"/>
        <s v="ord_71789"/>
        <s v="ord_71790"/>
        <s v="ord_71791"/>
        <s v="ord_71792"/>
        <s v="ord_71793"/>
        <s v="ord_71794"/>
        <s v="ord_71795"/>
        <s v="ord_71796"/>
        <s v="ord_71797"/>
        <s v="ord_71798"/>
        <s v="ord_71799"/>
        <s v="ord_71800"/>
        <s v="ord_71801"/>
        <s v="ord_71802"/>
        <s v="ord_71803"/>
        <s v="ord_71804"/>
        <s v="ord_71805"/>
        <s v="ord_71806"/>
        <s v="ord_71807"/>
        <s v="ord_71808"/>
        <s v="ord_71809"/>
        <s v="ord_71810"/>
        <s v="ord_71811"/>
        <s v="ord_71812"/>
        <s v="ord_71813"/>
        <s v="ord_71814"/>
        <s v="ord_71815"/>
        <s v="ord_71816"/>
        <s v="ord_71817"/>
        <s v="ord_71818"/>
        <s v="ord_71819"/>
        <s v="ord_71820"/>
        <s v="ord_71821"/>
        <s v="ord_71822"/>
        <s v="ord_71823"/>
        <s v="ord_71824"/>
        <s v="ord_71825"/>
        <s v="ord_71826"/>
        <s v="ord_71827"/>
        <s v="ord_71828"/>
        <s v="ord_71829"/>
        <s v="ord_71830"/>
        <s v="ord_71831"/>
        <s v="ord_71832"/>
        <s v="ord_71833"/>
        <s v="ord_71834"/>
        <s v="ord_71835"/>
        <s v="ord_71836"/>
        <s v="ord_71837"/>
        <s v="ord_71838"/>
        <s v="ord_71839"/>
        <s v="ord_71840"/>
        <s v="ord_71841"/>
        <s v="ord_71842"/>
        <s v="ord_71843"/>
        <s v="ord_71844"/>
        <s v="ord_71845"/>
        <s v="ord_71846"/>
        <s v="ord_71847"/>
        <s v="ord_71848"/>
        <s v="ord_71849"/>
        <s v="ord_71850"/>
        <s v="ord_71851"/>
        <s v="ord_71852"/>
        <s v="ord_71853"/>
        <s v="ord_71854"/>
        <s v="ord_81855"/>
        <s v="ord_81856"/>
        <s v="ord_81857"/>
        <s v="ord_81858"/>
        <s v="ord_81859"/>
        <s v="ord_81860"/>
        <s v="ord_81861"/>
        <s v="ord_81862"/>
        <s v="ord_81863"/>
        <s v="ord_81864"/>
        <s v="ord_81865"/>
        <s v="ord_81866"/>
        <s v="ord_81867"/>
        <s v="ord_81868"/>
        <s v="ord_81869"/>
        <s v="ord_81870"/>
        <s v="ord_81871"/>
        <s v="ord_81872"/>
        <s v="ord_81873"/>
        <s v="ord_81874"/>
        <s v="ord_81875"/>
        <s v="ord_81876"/>
        <s v="ord_81877"/>
        <s v="ord_81878"/>
        <s v="ord_81879"/>
        <s v="ord_81880"/>
        <s v="ord_81881"/>
        <s v="ord_81882"/>
        <s v="ord_81883"/>
        <s v="ord_81884"/>
        <s v="ord_81885"/>
        <s v="ord_81886"/>
        <s v="ord_81887"/>
        <s v="ord_81888"/>
        <s v="ord_81889"/>
        <s v="ord_81890"/>
        <s v="ord_81891"/>
        <s v="ord_81892"/>
        <s v="ord_81893"/>
        <s v="ord_81894"/>
        <s v="ord_81895"/>
        <s v="ord_81896"/>
        <s v="ord_81897"/>
        <s v="ord_81898"/>
        <s v="ord_81899"/>
        <s v="ord_81900"/>
        <s v="ord_81901"/>
        <s v="ord_81902"/>
        <s v="ord_81903"/>
        <s v="ord_81904"/>
        <s v="ord_81905"/>
        <s v="ord_81906"/>
        <s v="ord_81907"/>
        <s v="ord_81908"/>
        <s v="ord_81909"/>
        <s v="ord_81910"/>
        <s v="ord_81911"/>
        <s v="ord_10135"/>
        <s v="ord_10144"/>
        <s v="ord_81912"/>
        <s v="ord_81913"/>
        <s v="ord_81914"/>
        <s v="ord_81915"/>
        <s v="ord_81916"/>
        <s v="ord_81917"/>
        <s v="ord_81918"/>
        <s v="ord_81919"/>
        <s v="ord_81920"/>
        <s v="ord_81921"/>
        <s v="ord_81922"/>
        <s v="ord_81923"/>
        <s v="ord_81924"/>
        <s v="ord_81925"/>
        <s v="ord_81926"/>
        <s v="ord_81927"/>
        <s v="ord_81928"/>
        <s v="ord_81929"/>
        <s v="ord_81930"/>
        <s v="ord_81931"/>
        <s v="ord_81932"/>
        <s v="ord_81933"/>
        <s v="ord_81934"/>
        <s v="ord_81935"/>
        <s v="ord_81936"/>
        <s v="ord_81937"/>
        <s v="ord_81938"/>
        <s v="ord_81939"/>
        <s v="ord_81940"/>
        <s v="ord_81941"/>
        <s v="ord_81942"/>
        <s v="ord_81943"/>
        <s v="ord_81944"/>
        <s v="ord_81945"/>
        <s v="ord_81946"/>
        <s v="ord_81947"/>
        <s v="ord_81948"/>
        <s v="ord_81949"/>
        <s v="ord_81950"/>
        <s v="ord_81951"/>
        <s v="ord_81952"/>
        <s v="ord_81953"/>
        <s v="ord_81954"/>
        <s v="ord_81955"/>
        <s v="ord_81956"/>
        <s v="ord_81957"/>
        <s v="ord_81958"/>
        <s v="ord_81959"/>
        <s v="ord_81960"/>
        <s v="ord_81961"/>
        <s v="ord_81962"/>
        <s v="ord_81963"/>
        <s v="ord_81964"/>
        <s v="ord_81965"/>
        <s v="ord_81966"/>
        <s v="ord_81967"/>
        <s v="ord_81968"/>
        <s v="ord_81969"/>
        <s v="ord_81970"/>
        <s v="ord_81971"/>
        <s v="ord_81972"/>
        <s v="ord_81973"/>
        <s v="ord_81974"/>
        <s v="ord_81975"/>
        <s v="ord_81976"/>
        <s v="ord_81977"/>
        <s v="ord_81978"/>
        <s v="ord_81979"/>
        <s v="ord_81980"/>
        <s v="ord_81981"/>
        <s v="ord_81982"/>
        <s v="ord_81983"/>
        <s v="ord_81984"/>
        <s v="ord_81985"/>
        <s v="ord_81986"/>
        <s v="ord_81987"/>
        <s v="ord_81988"/>
        <s v="ord_81989"/>
        <s v="ord_81990"/>
        <s v="ord_81991"/>
        <s v="ord_81992"/>
        <s v="ord_81993"/>
        <s v="ord_81994"/>
        <s v="ord_81995"/>
        <s v="ord_81996"/>
        <s v="ord_81997"/>
        <s v="ord_81998"/>
        <s v="ord_81999"/>
        <s v="ord_82000"/>
        <s v="ord_82001"/>
        <s v="ord_82002"/>
        <s v="ord_82003"/>
        <s v="ord_82004"/>
        <s v="ord_82005"/>
        <s v="ord_82006"/>
        <s v="ord_82007"/>
        <s v="ord_82008"/>
        <s v="ord_82009"/>
        <s v="ord_82010"/>
        <s v="ord_82011"/>
        <s v="ord_82012"/>
        <s v="ord_82013"/>
        <s v="ord_82014"/>
        <s v="ord_82015"/>
        <s v="ord_82016"/>
        <s v="ord_82017"/>
        <s v="ord_82018"/>
        <s v="ord_82019"/>
        <s v="ord_82020"/>
        <s v="ord_82021"/>
        <s v="ord_82022"/>
        <s v="ord_82023"/>
        <s v="ord_82024"/>
        <s v="ord_82025"/>
        <s v="ord_82026"/>
        <s v="ord_82027"/>
        <s v="ord_82028"/>
        <s v="ord_82029"/>
        <s v="ord_82030"/>
        <s v="ord_82031"/>
        <s v="ord_82032"/>
        <s v="ord_82033"/>
        <s v="ord_82034"/>
        <s v="ord_82035"/>
        <s v="ord_82036"/>
        <s v="ord_82037"/>
        <s v="ord_82038"/>
        <s v="ord_82039"/>
        <s v="ord_82040"/>
        <s v="ord_82041"/>
        <s v="ord_82042"/>
        <s v="ord_82043"/>
        <s v="ord_82044"/>
        <s v="ord_82045"/>
        <s v="ord_82046"/>
        <s v="ord_82047"/>
        <s v="ord_82048"/>
        <s v="ord_82049"/>
        <s v="ord_82050"/>
        <s v="ord_82051"/>
        <s v="ord_82052"/>
        <s v="ord_82053"/>
        <s v="ord_82054"/>
        <s v="ord_82055"/>
        <s v="ord_82056"/>
        <s v="ord_82057"/>
        <s v="ord_82058"/>
        <s v="ord_10117"/>
        <s v="ord_10126"/>
        <s v="ord_82059"/>
        <s v="ord_82060"/>
        <s v="ord_82061"/>
        <s v="ord_82062"/>
        <s v="ord_82063"/>
        <s v="ord_82064"/>
        <s v="ord_82065"/>
        <s v="ord_82066"/>
        <s v="ord_82067"/>
        <s v="ord_82068"/>
        <s v="ord_82069"/>
        <s v="ord_82070"/>
        <s v="ord_82071"/>
        <s v="ord_82072"/>
        <s v="ord_82073"/>
        <s v="ord_82074"/>
        <s v="ord_82075"/>
        <s v="ord_82076"/>
        <s v="ord_82077"/>
        <s v="ord_82078"/>
        <s v="ord_82079"/>
        <s v="ord_82080"/>
        <s v="ord_82081"/>
        <s v="ord_82082"/>
        <s v="ord_82083"/>
        <s v="ord_82084"/>
        <s v="ord_82085"/>
        <s v="ord_82086"/>
        <s v="ord_82087"/>
        <s v="ord_82088"/>
        <s v="ord_82089"/>
        <s v="ord_82090"/>
        <s v="ord_82091"/>
        <s v="ord_82092"/>
        <s v="ord_82093"/>
        <s v="ord_82094"/>
        <s v="ord_82095"/>
        <s v="ord_82096"/>
        <s v="ord_82097"/>
        <s v="ord_82098"/>
        <s v="ord_82099"/>
        <s v="ord_82100"/>
        <s v="ord_82101"/>
        <s v="ord_82102"/>
        <s v="ord_82103"/>
        <s v="ord_82104"/>
        <s v="ord_82105"/>
        <s v="ord_82106"/>
        <s v="ord_82107"/>
        <s v="ord_82108"/>
        <s v="ord_82109"/>
        <s v="ord_82110"/>
        <s v="ord_82111"/>
        <s v="ord_82112"/>
        <s v="ord_82113"/>
        <s v="ord_82114"/>
        <s v="ord_82115"/>
        <s v="ord_82116"/>
        <s v="ord_82117"/>
        <s v="ord_82118"/>
        <s v="ord_82119"/>
        <s v="ord_82120"/>
        <s v="ord_82121"/>
        <s v="ord_82122"/>
        <s v="ord_82123"/>
        <s v="ord_82124"/>
        <s v="ord_82125"/>
        <s v="ord_82126"/>
        <s v="ord_82127"/>
        <s v="ord_82128"/>
        <s v="ord_82129"/>
        <s v="ord_82130"/>
        <s v="ord_82131"/>
        <s v="ord_82132"/>
        <s v="ord_82133"/>
        <s v="ord_82134"/>
        <s v="ord_82135"/>
        <s v="ord_82136"/>
        <s v="ord_82137"/>
        <s v="ord_82138"/>
        <s v="ord_82139"/>
        <s v="ord_82140"/>
        <s v="ord_82141"/>
        <s v="ord_82142"/>
        <s v="ord_82143"/>
        <s v="ord_82144"/>
        <s v="ord_82145"/>
        <s v="ord_82146"/>
        <s v="ord_82147"/>
        <s v="ord_82148"/>
        <s v="ord_82149"/>
        <s v="ord_82150"/>
        <s v="ord_82151"/>
        <s v="ord_82152"/>
        <s v="ord_82153"/>
        <s v="ord_82154"/>
        <s v="ord_82155"/>
        <s v="ord_82156"/>
        <s v="ord_82157"/>
        <s v="ord_82158"/>
        <s v="ord_82159"/>
        <s v="ord_82160"/>
        <s v="ord_82161"/>
        <s v="ord_82162"/>
        <s v="ord_82163"/>
        <s v="ord_82164"/>
        <s v="ord_82165"/>
        <s v="ord_82166"/>
        <s v="ord_82167"/>
        <s v="ord_82168"/>
        <s v="ord_82169"/>
        <s v="ord_82170"/>
        <s v="ord_82171"/>
        <s v="ord_82172"/>
        <s v="ord_82173"/>
        <s v="ord_82174"/>
        <s v="ord_82175"/>
        <s v="ord_82176"/>
        <s v="ord_82177"/>
        <s v="ord_82178"/>
        <s v="ord_82179"/>
        <s v="ord_82180"/>
        <s v="ord_82181"/>
        <s v="ord_82182"/>
        <s v="ord_82183"/>
        <s v="ord_82184"/>
        <s v="ord_82185"/>
        <s v="ord_82186"/>
        <s v="ord_82187"/>
        <s v="ord_82188"/>
        <s v="ord_82189"/>
        <s v="ord_82190"/>
        <s v="ord_82191"/>
        <s v="ord_82192"/>
        <s v="ord_82193"/>
        <s v="ord_82194"/>
        <s v="ord_82195"/>
        <s v="ord_82196"/>
        <s v="ord_82197"/>
        <s v="ord_82198"/>
        <s v="ord_82199"/>
        <s v="ord_82200"/>
        <s v="ord_82201"/>
        <s v="ord_82202"/>
        <s v="ord_82203"/>
        <s v="ord_82204"/>
        <s v="ord_82205"/>
        <s v="ord_82206"/>
        <s v="ord_82207"/>
        <s v="ord_82208"/>
        <s v="ord_82209"/>
        <s v="ord_82210"/>
        <s v="ord_82211"/>
        <s v="ord_82212"/>
        <s v="ord_82213"/>
        <s v="ord_82214"/>
        <s v="ord_82215"/>
        <s v="ord_82216"/>
        <s v="ord_82217"/>
        <s v="ord_82218"/>
        <s v="ord_92219"/>
        <s v="ord_92220"/>
        <s v="ord_92221"/>
        <s v="ord_92222"/>
        <s v="ord_92223"/>
        <s v="ord_92224"/>
        <s v="ord_92225"/>
        <s v="ord_92226"/>
        <s v="ord_92227"/>
        <s v="ord_92228"/>
        <s v="ord_92229"/>
        <s v="ord_92230"/>
        <s v="ord_92231"/>
        <s v="ord_92232"/>
        <s v="ord_92233"/>
        <s v="ord_92234"/>
        <s v="ord_92235"/>
        <s v="ord_92236"/>
        <s v="ord_92237"/>
        <s v="ord_82238"/>
        <s v="ord_92238"/>
        <s v="ord_92239"/>
        <s v="ord_92240"/>
        <s v="ord_92241"/>
        <s v="ord_92242"/>
        <s v="ord_92243"/>
        <s v="ord_92244"/>
        <s v="ord_92245"/>
        <s v="ord_92246"/>
        <s v="ord_92247"/>
        <s v="ord_92248"/>
        <s v="ord_92249"/>
        <s v="ord_92250"/>
        <s v="ord_92251"/>
        <s v="ord_92252"/>
        <s v="ord_92253"/>
        <s v="ord_92254"/>
        <s v="ord_92255"/>
        <s v="ord_92256"/>
        <s v="ord_92257"/>
        <s v="ord_92258"/>
        <s v="ord_92259"/>
        <s v="ord_92260"/>
        <s v="ord_92261"/>
        <s v="ord_92262"/>
        <s v="ord_92263"/>
        <s v="ord_92264"/>
        <s v="ord_92265"/>
        <s v="ord_92266"/>
        <s v="ord_92267"/>
        <s v="ord_92268"/>
        <s v="ord_92269"/>
        <s v="ord_92270"/>
        <s v="ord_92271"/>
        <s v="ord_92272"/>
        <s v="ord_92273"/>
        <s v="ord_92274"/>
        <s v="ord_92275"/>
        <s v="ord_92276"/>
        <s v="ord_92277"/>
        <s v="ord_92278"/>
        <s v="ord_92279"/>
        <s v="ord_92280"/>
        <s v="ord_92281"/>
        <s v="ord_92282"/>
        <s v="ord_92283"/>
        <s v="ord_92295"/>
        <s v="ord_92296"/>
        <s v="ord_92297"/>
        <s v="ord_92298"/>
        <s v="ord_92299"/>
        <s v="ord_92300"/>
        <s v="ord_92301"/>
        <s v="ord_92302"/>
        <s v="ord_92303"/>
        <s v="ord_92304"/>
        <s v="ord_92322"/>
        <s v="ord_92323"/>
        <s v="ord_92324"/>
        <s v="ord_92325"/>
        <s v="ord_92326"/>
        <s v="ord_92327"/>
        <s v="ord_92328"/>
        <s v="ord_92329"/>
        <s v="ord_92293"/>
        <s v="ord_92294"/>
        <s v="ord_92184"/>
        <s v="ord_91285"/>
        <s v="ord_92186"/>
        <s v="ord_92187"/>
        <s v="ord_91288"/>
        <s v="ord_92189"/>
        <s v="ord_91290"/>
        <s v="ord_92191"/>
        <s v="ord_91292"/>
        <s v="ord_91386"/>
        <s v="ord_92305"/>
        <s v="ord_92306"/>
        <s v="ord_92307"/>
        <s v="ord_92308"/>
        <s v="ord_92309"/>
        <s v="ord_92310"/>
        <s v="ord_92311"/>
        <s v="ord_92312"/>
        <s v="ord_92313"/>
        <s v="ord_92314"/>
        <s v="ord_92315"/>
        <s v="ord_92316"/>
        <s v="ord_92317"/>
        <s v="ord_92318"/>
        <s v="ord_92319"/>
        <s v="ord_92320"/>
        <s v="ord_92348"/>
        <s v="ord_92349"/>
        <s v="ord_92350"/>
        <s v="ord_92351"/>
        <s v="ord_92352"/>
        <s v="ord_92353"/>
        <s v="ord_92354"/>
        <s v="ord_92355"/>
        <s v="ord_92356"/>
        <s v="ord_92330"/>
        <s v="ord_92331"/>
        <s v="ord_92332"/>
        <s v="ord_92333"/>
        <s v="ord_92334"/>
        <s v="ord_92335"/>
        <s v="ord_92336"/>
        <s v="ord_92337"/>
        <s v="ord_92338"/>
        <s v="ord_92339"/>
        <s v="ord_92340"/>
        <s v="ord_92341"/>
        <s v="ord_92342"/>
        <s v="ord_92343"/>
        <s v="ord_92344"/>
        <s v="ord_92345"/>
        <s v="ord_92346"/>
        <s v="ord_92347"/>
        <s v="ord_92376"/>
        <s v="ord_92377"/>
        <s v="ord_92378"/>
        <s v="ord_92379"/>
        <s v="ord_92380"/>
        <s v="ord_92381"/>
        <s v="ord_92382"/>
        <s v="ord_92383"/>
        <s v="ord_92384"/>
        <s v="ord_92385"/>
        <s v="ord_92358"/>
        <s v="ord_92359"/>
        <s v="ord_92360"/>
        <s v="ord_92361"/>
        <s v="ord_92362"/>
        <s v="ord_92363"/>
        <s v="ord_92364"/>
        <s v="ord_92365"/>
        <s v="ord_92366"/>
        <s v="ord_92367"/>
        <s v="ord_92368"/>
        <s v="ord_92369"/>
        <s v="ord_92370"/>
        <s v="ord_92371"/>
        <s v="ord_92372"/>
        <s v="ord_92373"/>
        <s v="ord_92374"/>
        <s v="ord_92375"/>
        <s v="ord_92284"/>
        <s v="ord_92285"/>
        <s v="ord_92286"/>
        <s v="ord_92287"/>
        <s v="ord_92288"/>
        <s v="ord_92289"/>
        <s v="ord_92290"/>
        <s v="ord_92291"/>
        <s v="ord_92292"/>
        <s v="ord_92386"/>
        <s v="ord_92480"/>
        <s v="ord_92574"/>
        <s v="ord_92668"/>
        <s v="ord_92762"/>
        <s v="ord_92856"/>
        <s v="ord_92950"/>
        <s v="ord_93044"/>
        <s v="ord_93138"/>
        <s v="ord_93232"/>
        <s v="ord_93326"/>
        <s v="ord_93420"/>
        <s v="ord_93514"/>
        <s v="ord_93608"/>
        <s v="ord_93702"/>
        <s v="ord_93796"/>
        <s v="ord_93890"/>
        <s v="ord_93984"/>
        <s v="ord_94078"/>
        <s v="ord_94172"/>
        <s v="ord_94266"/>
        <s v="ord_94360"/>
        <s v="ord_94454"/>
        <s v="ord_94548"/>
        <s v="ord_94642"/>
        <s v="ord_94736"/>
        <s v="ord_94830"/>
        <s v="ord_94924"/>
        <s v="ord_95018"/>
        <s v="ord_95112"/>
        <s v="ord_95206"/>
        <s v="ord_95300"/>
        <s v="ord_95394"/>
        <s v="ord_95488"/>
        <s v="ord_95582"/>
        <s v="ord_95676"/>
        <s v="ord_95770"/>
        <s v="ord_95864"/>
        <s v="ord_95958"/>
        <s v="ord_96052"/>
        <s v="ord_96146"/>
        <s v="ord_96240"/>
        <s v="ord_97274"/>
        <s v="ord_97368"/>
        <s v="ord_97462"/>
        <s v="ord_97556"/>
        <s v="ord_97650"/>
        <s v="ord_97744"/>
        <s v="ord_97838"/>
        <s v="ord_97932"/>
        <s v="ord_98026"/>
        <s v="ord_98120"/>
        <s v="ord_98214"/>
        <s v="ord_98308"/>
        <s v="ord_98402"/>
        <s v="ord_98496"/>
        <s v="ord_98590"/>
        <s v="ord_98684"/>
        <s v="ord_98778"/>
        <s v="ord_98872"/>
        <s v="ord_98966"/>
        <s v="ord_99060"/>
        <s v="ord_99154"/>
        <s v="ord_99248"/>
        <s v="ord_99342"/>
        <s v="ord_99436"/>
        <s v="ord_99530"/>
        <s v="ord_99624"/>
        <s v="ord_99718"/>
        <s v="ord_99812"/>
        <s v="ord_99906"/>
        <s v="ord_10000"/>
        <s v="ord_10009"/>
      </sharedItems>
    </cacheField>
    <cacheField name="Customer_Name" numFmtId="0">
      <sharedItems>
        <s v="Anaya Rao"/>
        <s v="Aarav Mehta"/>
        <s v="Ishaan Chaturvedi"/>
        <s v="Mohit Malhotra"/>
        <s v="Tanishq Bansal"/>
        <s v="Mehul Thakkar"/>
        <s v="Aditi Iyer"/>
        <s v="Sahil Desai"/>
        <s v="Diya Arora"/>
        <s v="Parth Goel"/>
        <s v="Simran Bhatt"/>
        <s v="Aarohi Kapoor"/>
        <s v="Kunal Sharma"/>
        <s v="Sana Malik"/>
        <s v="Yash Verma"/>
        <s v="Ritika Dutta"/>
        <s v="Aditya Basu"/>
        <s v="Siya Reddy"/>
        <s v="Dev Chauhan"/>
        <s v="Kritika Shetty"/>
        <s v="Riya Chakraborty"/>
        <s v="Omkar Mishra"/>
        <s v="Sanjay Nair"/>
        <s v="Ishita Banerjee"/>
        <s v="Arvind Kulkarni"/>
        <s v="Pallavi Ghosh"/>
        <s v="Nitin Sehgal"/>
        <s v="Sakshi Tandon"/>
        <s v="Pranav Joshi"/>
        <s v="Shruti Aggarwal"/>
        <s v="Harsh Vardhan"/>
        <s v="Leena Das"/>
        <s v="Aditya Rao"/>
        <s v="Kavya Menon"/>
      </sharedItems>
    </cacheField>
    <cacheField name="Dark_Store" numFmtId="0">
      <sharedItems>
        <s v="Colaba"/>
        <s v="Andheri"/>
        <s v="Bandra"/>
        <s v="Lower Parel"/>
        <s v="Powai"/>
        <s v="Malad"/>
        <s v="Dadar"/>
        <s v="Juhu"/>
      </sharedItems>
    </cacheField>
    <cacheField name="Item" numFmtId="0">
      <sharedItems>
        <s v="Banana"/>
        <s v="Potato"/>
        <s v="Onion"/>
        <s v="Tomato"/>
        <s v="Apple"/>
        <s v="Orange"/>
        <s v="Cucumber"/>
        <s v="Papaya"/>
        <s v="Guava"/>
        <s v="Sweet Corn"/>
        <s v="Icecream"/>
        <s v="Chilli Cheese Toast"/>
        <s v="Juice"/>
        <s v="Cold Coffee"/>
        <s v="Veg Puff"/>
        <s v="Chicken Puff"/>
        <s v="Popcorn"/>
        <s v="Tiramisu"/>
        <s v="Rasmalai"/>
        <s v="Chocolate Mousse"/>
      </sharedItems>
    </cacheField>
    <cacheField name="Quantity" numFmtId="0">
      <sharedItems containsSemiMixedTypes="0" containsString="0" containsNumber="1" containsInteger="1">
        <n v="2.0"/>
        <n v="1.0"/>
        <n v="4.0"/>
        <n v="6.0"/>
        <n v="3.0"/>
        <n v="5.0"/>
        <n v="8.0"/>
        <n v="9.0"/>
        <n v="7.0"/>
      </sharedItems>
    </cacheField>
    <cacheField name="Delievery_Agents" numFmtId="0">
      <sharedItems>
        <s v="Nikhil Deshmukh"/>
        <s v="Sita T"/>
        <s v="Kiran Mehta"/>
        <s v="Ram Gopal"/>
        <s v="Vivek Kumar"/>
        <s v="Venu R"/>
        <s v="Shine Thomas"/>
        <s v="Ramesh S"/>
        <s v="Manju Ajay"/>
        <s v="Sandeep Kumar"/>
        <s v="Nithin Lal"/>
        <s v="Rohan Yadav"/>
        <s v="Priya Joshi"/>
        <s v="Not Assigned"/>
        <s v="Tanvi Jain"/>
        <s v="Neha Shah"/>
        <s v="Aman Kumar"/>
      </sharedItems>
    </cacheField>
    <cacheField name="Order_Date" numFmtId="14">
      <sharedItems containsSemiMixedTypes="0" containsNonDate="0" containsDate="1" containsString="0" minDate="2023-01-01T00:00:00Z" maxDate="2024-01-01T00:00:00Z">
        <d v="2023-02-11T00:00:00Z"/>
        <d v="2023-07-22T00:00:00Z"/>
        <d v="2023-01-08T00:00:00Z"/>
        <d v="2023-07-27T00:00:00Z"/>
        <d v="2023-04-26T00:00:00Z"/>
        <d v="2023-05-24T00:00:00Z"/>
        <d v="2023-06-19T00:00:00Z"/>
        <d v="2023-02-24T00:00:00Z"/>
        <d v="2023-07-08T00:00:00Z"/>
        <d v="2023-12-27T00:00:00Z"/>
        <d v="2023-12-04T00:00:00Z"/>
        <d v="2023-08-20T00:00:00Z"/>
        <d v="2023-08-07T00:00:00Z"/>
        <d v="2023-10-30T00:00:00Z"/>
        <d v="2023-03-20T00:00:00Z"/>
        <d v="2023-10-09T00:00:00Z"/>
        <d v="2023-10-19T00:00:00Z"/>
        <d v="2023-01-16T00:00:00Z"/>
        <d v="2023-03-12T00:00:00Z"/>
        <d v="2023-06-06T00:00:00Z"/>
        <d v="2023-02-14T00:00:00Z"/>
        <d v="2023-12-20T00:00:00Z"/>
        <d v="2023-12-26T00:00:00Z"/>
        <d v="2023-09-24T00:00:00Z"/>
        <d v="2023-09-28T00:00:00Z"/>
        <d v="2023-02-15T00:00:00Z"/>
        <d v="2023-11-15T00:00:00Z"/>
        <d v="2023-06-07T00:00:00Z"/>
        <d v="2023-01-18T00:00:00Z"/>
        <d v="2023-04-01T00:00:00Z"/>
        <d v="2023-01-05T00:00:00Z"/>
        <d v="2023-10-23T00:00:00Z"/>
        <d v="2023-10-27T00:00:00Z"/>
        <d v="2023-05-07T00:00:00Z"/>
        <d v="2023-10-25T00:00:00Z"/>
        <d v="2023-12-14T00:00:00Z"/>
        <d v="2023-08-13T00:00:00Z"/>
        <d v="2023-07-13T00:00:00Z"/>
        <d v="2023-01-07T00:00:00Z"/>
        <d v="2023-09-06T00:00:00Z"/>
        <d v="2023-02-05T00:00:00Z"/>
        <d v="2023-01-14T00:00:00Z"/>
        <d v="2023-08-30T00:00:00Z"/>
        <d v="2023-02-22T00:00:00Z"/>
        <d v="2023-09-27T00:00:00Z"/>
        <d v="2023-05-14T00:00:00Z"/>
        <d v="2023-06-20T00:00:00Z"/>
        <d v="2023-12-30T00:00:00Z"/>
        <d v="2023-11-25T00:00:00Z"/>
        <d v="2023-03-06T00:00:00Z"/>
        <d v="2023-10-17T00:00:00Z"/>
        <d v="2023-03-10T00:00:00Z"/>
        <d v="2023-10-26T00:00:00Z"/>
        <d v="2023-07-20T00:00:00Z"/>
        <d v="2023-06-17T00:00:00Z"/>
        <d v="2023-06-22T00:00:00Z"/>
        <d v="2023-06-28T00:00:00Z"/>
        <d v="2023-01-22T00:00:00Z"/>
        <d v="2023-05-03T00:00:00Z"/>
        <d v="2023-09-05T00:00:00Z"/>
        <d v="2023-09-30T00:00:00Z"/>
        <d v="2023-09-20T00:00:00Z"/>
        <d v="2023-09-09T00:00:00Z"/>
        <d v="2023-10-18T00:00:00Z"/>
        <d v="2023-07-29T00:00:00Z"/>
        <d v="2023-06-21T00:00:00Z"/>
        <d v="2023-12-28T00:00:00Z"/>
        <d v="2023-10-05T00:00:00Z"/>
        <d v="2023-05-09T00:00:00Z"/>
        <d v="2023-03-02T00:00:00Z"/>
        <d v="2023-05-20T00:00:00Z"/>
        <d v="2023-09-13T00:00:00Z"/>
        <d v="2023-09-07T00:00:00Z"/>
        <d v="2023-02-01T00:00:00Z"/>
        <d v="2023-11-24T00:00:00Z"/>
        <d v="2023-08-23T00:00:00Z"/>
        <d v="2023-01-03T00:00:00Z"/>
        <d v="2023-11-04T00:00:00Z"/>
        <d v="2023-08-12T00:00:00Z"/>
        <d v="2023-07-16T00:00:00Z"/>
        <d v="2023-12-11T00:00:00Z"/>
        <d v="2023-08-21T00:00:00Z"/>
        <d v="2023-08-22T00:00:00Z"/>
        <d v="2023-09-17T00:00:00Z"/>
        <d v="2023-09-04T00:00:00Z"/>
        <d v="2023-09-02T00:00:00Z"/>
        <d v="2023-11-20T00:00:00Z"/>
        <d v="2023-07-03T00:00:00Z"/>
        <d v="2023-07-11T00:00:00Z"/>
        <d v="2023-02-13T00:00:00Z"/>
        <d v="2023-01-17T00:00:00Z"/>
        <d v="2023-07-26T00:00:00Z"/>
        <d v="2023-05-23T00:00:00Z"/>
        <d v="2023-11-27T00:00:00Z"/>
        <d v="2023-10-10T00:00:00Z"/>
        <d v="2023-10-28T00:00:00Z"/>
        <d v="2023-05-21T00:00:00Z"/>
        <d v="2023-09-25T00:00:00Z"/>
        <d v="2023-01-10T00:00:00Z"/>
        <d v="2023-02-21T00:00:00Z"/>
        <d v="2023-07-14T00:00:00Z"/>
        <d v="2023-08-19T00:00:00Z"/>
        <d v="2023-01-27T00:00:00Z"/>
        <d v="2023-10-29T00:00:00Z"/>
        <d v="2023-08-01T00:00:00Z"/>
        <d v="2023-01-20T00:00:00Z"/>
        <d v="2023-11-10T00:00:00Z"/>
        <d v="2023-05-28T00:00:00Z"/>
        <d v="2023-12-17T00:00:00Z"/>
        <d v="2023-07-12T00:00:00Z"/>
        <d v="2023-05-11T00:00:00Z"/>
        <d v="2023-10-11T00:00:00Z"/>
        <d v="2023-07-10T00:00:00Z"/>
        <d v="2023-12-21T00:00:00Z"/>
        <d v="2023-02-17T00:00:00Z"/>
        <d v="2023-12-01T00:00:00Z"/>
        <d v="2023-07-30T00:00:00Z"/>
        <d v="2023-02-03T00:00:00Z"/>
        <d v="2023-10-15T00:00:00Z"/>
        <d v="2023-07-09T00:00:00Z"/>
        <d v="2023-08-16T00:00:00Z"/>
        <d v="2023-09-12T00:00:00Z"/>
        <d v="2023-05-19T00:00:00Z"/>
        <d v="2023-10-06T00:00:00Z"/>
        <d v="2023-11-03T00:00:00Z"/>
        <d v="2023-11-14T00:00:00Z"/>
        <d v="2023-04-19T00:00:00Z"/>
        <d v="2023-07-04T00:00:00Z"/>
        <d v="2023-12-19T00:00:00Z"/>
        <d v="2023-06-03T00:00:00Z"/>
        <d v="2023-06-18T00:00:00Z"/>
        <d v="2023-08-28T00:00:00Z"/>
        <d v="2023-11-17T00:00:00Z"/>
        <d v="2023-12-08T00:00:00Z"/>
        <d v="2023-06-09T00:00:00Z"/>
        <d v="2023-05-17T00:00:00Z"/>
        <d v="2023-11-28T00:00:00Z"/>
        <d v="2023-11-11T00:00:00Z"/>
        <d v="2023-04-16T00:00:00Z"/>
        <d v="2023-08-06T00:00:00Z"/>
        <d v="2023-07-18T00:00:00Z"/>
        <d v="2023-05-22T00:00:00Z"/>
        <d v="2023-11-05T00:00:00Z"/>
        <d v="2023-04-29T00:00:00Z"/>
        <d v="2023-07-24T00:00:00Z"/>
        <d v="2023-09-15T00:00:00Z"/>
        <d v="2023-05-30T00:00:00Z"/>
        <d v="2023-05-26T00:00:00Z"/>
        <d v="2023-06-08T00:00:00Z"/>
        <d v="2023-04-13T00:00:00Z"/>
        <d v="2023-12-24T00:00:00Z"/>
        <d v="2023-06-11T00:00:00Z"/>
        <d v="2023-12-15T00:00:00Z"/>
        <d v="2023-09-21T00:00:00Z"/>
        <d v="2023-12-29T00:00:00Z"/>
        <d v="2023-10-08T00:00:00Z"/>
        <d v="2023-10-22T00:00:00Z"/>
        <d v="2023-02-19T00:00:00Z"/>
        <d v="2023-10-12T00:00:00Z"/>
        <d v="2023-03-30T00:00:00Z"/>
        <d v="2023-03-21T00:00:00Z"/>
        <d v="2023-04-24T00:00:00Z"/>
        <d v="2023-11-12T00:00:00Z"/>
        <d v="2023-11-07T00:00:00Z"/>
        <d v="2023-08-26T00:00:00Z"/>
        <d v="2023-09-18T00:00:00Z"/>
        <d v="2023-04-17T00:00:00Z"/>
        <d v="2023-03-27T00:00:00Z"/>
        <d v="2023-04-08T00:00:00Z"/>
        <d v="2023-11-26T00:00:00Z"/>
        <d v="2023-06-25T00:00:00Z"/>
        <d v="2023-11-22T00:00:00Z"/>
        <d v="2023-12-25T00:00:00Z"/>
        <d v="2023-03-23T00:00:00Z"/>
        <d v="2023-12-13T00:00:00Z"/>
        <d v="2023-07-15T00:00:00Z"/>
        <d v="2023-02-18T00:00:00Z"/>
        <d v="2023-01-12T00:00:00Z"/>
        <d v="2023-02-23T00:00:00Z"/>
        <d v="2023-03-25T00:00:00Z"/>
        <d v="2023-03-18T00:00:00Z"/>
        <d v="2023-06-15T00:00:00Z"/>
        <d v="2023-08-15T00:00:00Z"/>
        <d v="2023-12-06T00:00:00Z"/>
        <d v="2023-11-16T00:00:00Z"/>
        <d v="2023-02-28T00:00:00Z"/>
        <d v="2023-03-22T00:00:00Z"/>
        <d v="2023-04-21T00:00:00Z"/>
        <d v="2023-01-04T00:00:00Z"/>
        <d v="2023-11-01T00:00:00Z"/>
        <d v="2023-10-02T00:00:00Z"/>
        <d v="2023-10-01T00:00:00Z"/>
        <d v="2023-02-27T00:00:00Z"/>
        <d v="2023-04-27T00:00:00Z"/>
        <d v="2023-11-21T00:00:00Z"/>
        <d v="2023-07-25T00:00:00Z"/>
        <d v="2023-06-13T00:00:00Z"/>
        <d v="2023-05-27T00:00:00Z"/>
        <d v="2023-08-14T00:00:00Z"/>
        <d v="2023-02-04T00:00:00Z"/>
        <d v="2023-09-16T00:00:00Z"/>
        <d v="2023-02-20T00:00:00Z"/>
        <d v="2023-09-22T00:00:00Z"/>
        <d v="2023-04-02T00:00:00Z"/>
        <d v="2023-08-08T00:00:00Z"/>
        <d v="2023-07-01T00:00:00Z"/>
        <d v="2023-07-21T00:00:00Z"/>
        <d v="2023-06-04T00:00:00Z"/>
        <d v="2023-07-07T00:00:00Z"/>
        <d v="2023-04-07T00:00:00Z"/>
        <d v="2023-08-05T00:00:00Z"/>
        <d v="2023-06-23T00:00:00Z"/>
        <d v="2023-11-23T00:00:00Z"/>
        <d v="2023-10-24T00:00:00Z"/>
        <d v="2023-04-03T00:00:00Z"/>
        <d v="2023-02-09T00:00:00Z"/>
        <d v="2023-11-09T00:00:00Z"/>
        <d v="2023-07-28T00:00:00Z"/>
        <d v="2023-01-23T00:00:00Z"/>
        <d v="2023-05-16T00:00:00Z"/>
        <d v="2023-11-02T00:00:00Z"/>
        <d v="2023-12-10T00:00:00Z"/>
        <d v="2023-08-27T00:00:00Z"/>
        <d v="2023-04-09T00:00:00Z"/>
        <d v="2023-06-26T00:00:00Z"/>
        <d v="2023-11-06T00:00:00Z"/>
        <d v="2023-05-05T00:00:00Z"/>
        <d v="2023-04-05T00:00:00Z"/>
        <d v="2023-12-09T00:00:00Z"/>
        <d v="2023-04-04T00:00:00Z"/>
        <d v="2023-08-18T00:00:00Z"/>
        <d v="2023-05-10T00:00:00Z"/>
        <d v="2023-09-01T00:00:00Z"/>
        <d v="2023-03-14T00:00:00Z"/>
        <d v="2023-03-24T00:00:00Z"/>
        <d v="2023-06-05T00:00:00Z"/>
        <d v="2023-01-13T00:00:00Z"/>
        <d v="2023-12-16T00:00:00Z"/>
        <d v="2023-12-02T00:00:00Z"/>
        <d v="2023-10-07T00:00:00Z"/>
        <d v="2023-01-09T00:00:00Z"/>
        <d v="2023-06-14T00:00:00Z"/>
        <d v="2023-11-18T00:00:00Z"/>
        <d v="2023-02-10T00:00:00Z"/>
        <d v="2023-01-26T00:00:00Z"/>
        <d v="2023-03-15T00:00:00Z"/>
        <d v="2023-08-03T00:00:00Z"/>
        <d v="2023-08-17T00:00:00Z"/>
        <d v="2023-05-29T00:00:00Z"/>
        <d v="2023-06-30T00:00:00Z"/>
        <d v="2023-01-01T00:00:00Z"/>
        <d v="2023-03-28T00:00:00Z"/>
        <d v="2023-06-10T00:00:00Z"/>
        <d v="2023-04-28T00:00:00Z"/>
        <d v="2023-05-12T00:00:00Z"/>
        <d v="2023-10-14T00:00:00Z"/>
        <d v="2023-07-06T00:00:00Z"/>
        <d v="2023-11-13T00:00:00Z"/>
        <d v="2023-01-11T00:00:00Z"/>
        <d v="2023-01-25T00:00:00Z"/>
        <d v="2023-05-13T00:00:00Z"/>
        <d v="2023-10-21T00:00:00Z"/>
        <d v="2023-01-29T00:00:00Z"/>
        <d v="2023-08-04T00:00:00Z"/>
        <d v="2023-04-12T00:00:00Z"/>
        <d v="2023-04-10T00:00:00Z"/>
        <d v="2023-12-18T00:00:00Z"/>
        <d v="2023-02-12T00:00:00Z"/>
        <d v="2023-09-08T00:00:00Z"/>
        <d v="2023-02-02T00:00:00Z"/>
        <d v="2023-09-14T00:00:00Z"/>
        <d v="2023-05-18T00:00:00Z"/>
        <d v="2023-07-17T00:00:00Z"/>
        <d v="2023-10-20T00:00:00Z"/>
        <d v="2023-07-02T00:00:00Z"/>
        <d v="2023-01-06T00:00:00Z"/>
        <d v="2023-06-27T00:00:00Z"/>
        <d v="2023-05-04T00:00:00Z"/>
        <d v="2023-12-03T00:00:00Z"/>
        <d v="2023-09-29T00:00:00Z"/>
        <d v="2023-08-10T00:00:00Z"/>
        <d v="2023-12-23T00:00:00Z"/>
        <d v="2023-01-24T00:00:00Z"/>
        <d v="2023-06-01T00:00:00Z"/>
        <d v="2023-12-07T00:00:00Z"/>
        <d v="2023-02-07T00:00:00Z"/>
        <d v="2023-03-19T00:00:00Z"/>
        <d v="2023-11-29T00:00:00Z"/>
        <d v="2023-01-30T00:00:00Z"/>
        <d v="2023-05-15T00:00:00Z"/>
        <d v="2023-06-12T00:00:00Z"/>
        <d v="2023-07-23T00:00:00Z"/>
        <d v="2023-07-05T00:00:00Z"/>
        <d v="2023-03-04T00:00:00Z"/>
        <d v="2023-11-30T00:00:00Z"/>
        <d v="2023-03-13T00:00:00Z"/>
        <d v="2023-09-23T00:00:00Z"/>
        <d v="2023-09-26T00:00:00Z"/>
        <d v="2023-06-24T00:00:00Z"/>
        <d v="2023-12-22T00:00:00Z"/>
        <d v="2023-08-02T00:00:00Z"/>
        <d v="2023-01-02T00:00:00Z"/>
        <d v="2023-09-11T00:00:00Z"/>
        <d v="2023-08-09T00:00:00Z"/>
        <d v="2023-03-26T00:00:00Z"/>
        <d v="2023-07-19T00:00:00Z"/>
        <d v="2023-12-12T00:00:00Z"/>
        <d v="2023-08-11T00:00:00Z"/>
        <d v="2023-03-29T00:00:00Z"/>
        <d v="2023-03-16T00:00:00Z"/>
        <d v="2023-10-16T00:00:00Z"/>
        <d v="2023-06-16T00:00:00Z"/>
        <d v="2023-10-04T00:00:00Z"/>
        <d v="2023-03-08T00:00:00Z"/>
        <d v="2023-02-06T00:00:00Z"/>
        <d v="2023-08-24T00:00:00Z"/>
        <d v="2023-09-03T00:00:00Z"/>
        <d v="2023-05-25T00:00:00Z"/>
        <d v="2023-03-07T00:00:00Z"/>
        <d v="2023-12-05T00:00:00Z"/>
        <d v="2023-04-18T00:00:00Z"/>
        <d v="2023-02-26T00:00:00Z"/>
        <d v="2023-01-28T00:00:00Z"/>
        <d v="2023-10-03T00:00:00Z"/>
        <d v="2023-04-30T00:00:00Z"/>
        <d v="2023-11-19T00:00:00Z"/>
        <d v="2023-06-02T00:00:00Z"/>
        <d v="2023-01-15T00:00:00Z"/>
        <d v="2023-03-05T00:00:00Z"/>
        <d v="2023-05-08T00:00:00Z"/>
        <d v="2023-03-09T00:00:00Z"/>
        <d v="2023-05-02T00:00:00Z"/>
        <d v="2023-08-29T00:00:00Z"/>
        <d v="2023-04-20T00:00:00Z"/>
        <d v="2023-02-25T00:00:00Z"/>
        <d v="2023-03-03T00:00:00Z"/>
        <d v="2023-03-01T00:00:00Z"/>
        <d v="2023-04-11T00:00:00Z"/>
        <d v="2023-04-15T00:00:00Z"/>
        <d v="2023-04-23T00:00:00Z"/>
        <d v="2023-01-21T00:00:00Z"/>
        <d v="2023-01-19T00:00:00Z"/>
        <d v="2023-04-25T00:00:00Z"/>
        <d v="2023-05-06T00:00:00Z"/>
        <d v="2023-11-08T00:00:00Z"/>
        <d v="2023-02-16T00:00:00Z"/>
        <d v="2023-08-25T00:00:00Z"/>
        <d v="2023-04-06T00:00:00Z"/>
        <d v="2023-02-08T00:00:00Z"/>
        <d v="2023-06-29T00:00:00Z"/>
        <d v="2023-09-10T00:00:00Z"/>
        <d v="2023-03-11T00:00:00Z"/>
        <d v="2023-03-17T00:00:00Z"/>
        <d v="2023-12-31T00:00:00Z"/>
        <d v="2023-10-13T00:00:00Z"/>
        <d v="2023-04-14T00:00:00Z"/>
        <d v="2023-05-01T00:00:00Z"/>
        <d v="2023-09-19T00:00:00Z"/>
        <d v="2023-04-22T00:00:00Z"/>
      </sharedItems>
      <fieldGroup base="6">
        <rangePr autoStart="0" autoEnd="0" groupBy="months" startDate="2023-01-01T00:00:00Z" endDate="2024-01-01T00:00:00Z"/>
        <groupItems>
          <s v="&lt;01/01/23"/>
          <s v="Jan"/>
          <s v="Feb"/>
          <s v="Mar"/>
          <s v="Apr"/>
          <s v="May"/>
          <s v="Jun"/>
          <s v="Jul"/>
          <s v="Aug"/>
          <s v="Sep"/>
          <s v="Oct"/>
          <s v="Nov"/>
          <s v="Dec"/>
          <s v="&gt;01/01/24"/>
        </groupItems>
      </fieldGroup>
    </cacheField>
    <cacheField name="Payment_Method" numFmtId="0">
      <sharedItems>
        <s v="Online Payment"/>
        <s v="UPI"/>
        <s v="Credit Card"/>
        <s v="COD"/>
      </sharedItems>
    </cacheField>
    <cacheField name="Order_Status" numFmtId="0">
      <sharedItems>
        <s v="Delivered"/>
        <s v="Cancelled"/>
      </sharedItems>
    </cacheField>
    <cacheField name="Feedback" numFmtId="0">
      <sharedItems>
        <s v="Satisfied with the Delivery"/>
        <s v="On-time Delivery"/>
        <s v="Quality of Items"/>
        <s v="Packaging"/>
        <s v="Customer Service"/>
        <s v="Delivery Experience"/>
        <s v="Convenience"/>
        <s v="Overall Satisfaction"/>
        <s v="Delayed Delivery"/>
        <s v="High Delivery Fees"/>
        <s v="Payment Issues"/>
        <s v="Out of Stock"/>
        <s v="App Glitches"/>
      </sharedItems>
    </cacheField>
    <cacheField name="Reason" numFmtId="0">
      <sharedItems containsBlank="1">
        <s v="Timely and quality"/>
        <s v="Delivered on time"/>
        <s v="Perfect condition"/>
        <s v="Secure and intact"/>
        <s v="Seamless and easy"/>
        <s v="Quick and professional"/>
        <s v="Easy tracking"/>
        <s v="Great service will order again"/>
        <s v="Heavy Traffic"/>
        <s v="Bad Weather Conditions"/>
        <m/>
        <s v="Traffic Accidents or Road Closures"/>
        <s v="Vehicle Breakdown"/>
        <s v="Incorrect Address or Location"/>
        <s v="High Order Volume"/>
        <s v="Slow Loading Time"/>
        <s v="Payment Button Malfunction"/>
        <s v="Inconsistent Data Display"/>
        <s v="App Freezes"/>
        <s v="Error Messages"/>
        <s v="Missing Content"/>
      </sharedItems>
    </cacheField>
    <cacheField name="Item_Price" numFmtId="0">
      <sharedItems containsSemiMixedTypes="0" containsString="0" containsNumber="1" containsInteger="1">
        <n v="80.0"/>
        <n v="55.0"/>
        <n v="84.0"/>
        <n v="25.0"/>
        <n v="230.0"/>
        <n v="180.0"/>
        <n v="30.0"/>
        <n v="75.0"/>
        <n v="70.0"/>
        <n v="60.0"/>
        <n v="90.0"/>
        <n v="270.0"/>
        <n v="150.0"/>
        <n v="110.0"/>
        <n v="145.0"/>
      </sharedItems>
    </cacheField>
    <cacheField name="Item_Category" numFmtId="0">
      <sharedItems>
        <s v="Fruits and Vegetables"/>
        <s v="Snacks and Drinks"/>
      </sharedItems>
    </cacheField>
    <cacheField name="Total_Order_Amount" numFmtId="0">
      <sharedItems containsSemiMixedTypes="0" containsString="0" containsNumber="1" containsInteger="1">
        <n v="160.0"/>
        <n v="110.0"/>
        <n v="84.0"/>
        <n v="50.0"/>
        <n v="168.0"/>
        <n v="460.0"/>
        <n v="25.0"/>
        <n v="360.0"/>
        <n v="60.0"/>
        <n v="75.0"/>
        <n v="150.0"/>
        <n v="140.0"/>
        <n v="480.0"/>
        <n v="120.0"/>
        <n v="270.0"/>
        <n v="450.0"/>
        <n v="400.0"/>
        <n v="240.0"/>
        <n v="750.0"/>
        <n v="600.0"/>
        <n v="230.0"/>
        <n v="180.0"/>
        <n v="320.0"/>
        <n v="440.0"/>
        <n v="725.0"/>
        <n v="80.0"/>
        <n v="70.0"/>
        <n v="1080.0"/>
        <n v="810.0"/>
        <n v="55.0"/>
        <n v="220.0"/>
        <n v="435.0"/>
        <n v="300.0"/>
        <n v="1350.0"/>
        <n v="540.0"/>
        <n v="30.0"/>
        <n v="252.0"/>
        <n v="720.0"/>
        <n v="900.0"/>
        <n v="330.0"/>
        <n v="90.0"/>
        <n v="580.0"/>
        <n v="690.0"/>
        <n v="660.0"/>
        <n v="550.0"/>
        <n v="145.0"/>
        <n v="2160.0"/>
        <n v="275.0"/>
        <n v="870.0"/>
        <n v="210.0"/>
        <n v="290.0"/>
        <n v="640.0"/>
        <n v="1305.0"/>
        <n v="880.0"/>
        <n v="336.0"/>
        <n v="165.0"/>
        <n v="920.0"/>
        <n v="225.0"/>
        <n v="630.0"/>
        <n v="1620.0"/>
        <n v="1015.0"/>
        <n v="105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ales Dashboard" cacheId="0" dataCaption="" compact="0" compactData="0">
  <location ref="A54:A55" firstHeaderRow="0" firstDataRow="0"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pageFields>
    <pageField fld="8"/>
  </pageFields>
  <dataFields>
    <dataField name="Total Sales" fld="13" baseField="0"/>
  </dataFields>
</pivotTableDefinition>
</file>

<file path=xl/pivotTables/pivotTable2.xml><?xml version="1.0" encoding="utf-8"?>
<pivotTableDefinition xmlns="http://schemas.openxmlformats.org/spreadsheetml/2006/main" name="Sales Dashboard 2" cacheId="0" dataCaption="" compact="0" compactData="0">
  <location ref="C54:C55" firstHeaderRow="0" firstDataRow="0"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pageFields>
    <pageField fld="8"/>
  </pageFields>
  <dataFields>
    <dataField name="Delieverd Orders" fld="0" subtotal="count" baseField="0"/>
  </dataFields>
</pivotTableDefinition>
</file>

<file path=xl/pivotTables/pivotTable3.xml><?xml version="1.0" encoding="utf-8"?>
<pivotTableDefinition xmlns="http://schemas.openxmlformats.org/spreadsheetml/2006/main" name="Sales Dashboard 3" cacheId="0" dataCaption="" compact="0" compactData="0">
  <location ref="E54:E55" firstHeaderRow="0" firstDataRow="0"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h="1" x="0"/>
        <item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pageFields>
    <pageField fld="8"/>
  </pageFields>
  <dataFields>
    <dataField name="Cancelled Orders" fld="0" subtotal="count" baseField="0"/>
  </dataFields>
</pivotTableDefinition>
</file>

<file path=xl/pivotTables/pivotTable4.xml><?xml version="1.0" encoding="utf-8"?>
<pivotTableDefinition xmlns="http://schemas.openxmlformats.org/spreadsheetml/2006/main" name="Sales Dashboard 4" cacheId="0" dataCaption="" compact="0" compactData="0">
  <location ref="K54:K55" firstHeaderRow="0" firstDataRow="0" firstDataCol="0"/>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compact="0" outline="0" multipleItemSelectionAllowed="1" showAll="0">
      <items>
        <item x="0"/>
        <item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compact="0" outline="0" subtotalTop="0" dragToRow="0" dragToCol="0" dragToPage="0" showAll="0" includeNewItemsInFilter="1" defaultSubtotal="0"/>
  </pivotFields>
  <dataFields>
    <dataField name="SUM of Cancellation Rate" fld="14" baseField="0"/>
  </dataFields>
</pivotTableDefinition>
</file>

<file path=xl/pivotTables/pivotTable5.xml><?xml version="1.0" encoding="utf-8"?>
<pivotTableDefinition xmlns="http://schemas.openxmlformats.org/spreadsheetml/2006/main" name="Sales Dashboard 5" cacheId="0" dataCaption="" rowGrandTotals="0" compact="0" compactData="0">
  <location ref="D59:E61"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axis="axisRow" compact="0" outline="0" multipleItemSelectionAllowed="1" showAll="0" sortType="ascending">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rowFields>
    <field x="12"/>
  </rowFields>
  <pageFields>
    <pageField fld="8"/>
  </pageFields>
  <dataFields>
    <dataField name="Total Sales" fld="13" baseField="0"/>
  </dataFields>
</pivotTableDefinition>
</file>

<file path=xl/pivotTables/pivotTable6.xml><?xml version="1.0" encoding="utf-8"?>
<pivotTableDefinition xmlns="http://schemas.openxmlformats.org/spreadsheetml/2006/main" name="Sales Dashboard 6" cacheId="0" dataCaption="" rowGrandTotals="0" compact="0" compactData="0">
  <location ref="G59:H61"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axis="axisRow" compact="0" outline="0" multipleItemSelectionAllowed="1" showAll="0" sortType="descending">
      <items>
        <item x="1"/>
        <item x="0"/>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rowFields>
    <field x="12"/>
  </rowFields>
  <pageFields>
    <pageField fld="8"/>
  </pageFields>
  <dataFields>
    <dataField name="Total Sales" fld="13" subtotal="average" baseField="0"/>
  </dataFields>
</pivotTableDefinition>
</file>

<file path=xl/pivotTables/pivotTable7.xml><?xml version="1.0" encoding="utf-8"?>
<pivotTableDefinition xmlns="http://schemas.openxmlformats.org/spreadsheetml/2006/main" name="Sales Dashboard 7" cacheId="0" dataCaption="" rowGrandTotals="0" compact="0" compactData="0">
  <location ref="J59:K64"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h="1" x="0"/>
        <item x="1"/>
        <item t="default"/>
      </items>
    </pivotField>
    <pivotField name="Feedback" axis="axisRow" compact="0" outline="0" multipleItemSelectionAllowed="1" showAll="0" sortType="descending">
      <items>
        <item x="0"/>
        <item x="1"/>
        <item x="2"/>
        <item x="3"/>
        <item x="4"/>
        <item x="5"/>
        <item x="6"/>
        <item x="7"/>
        <item x="8"/>
        <item x="9"/>
        <item x="10"/>
        <item x="11"/>
        <item x="12"/>
        <item t="default"/>
      </items>
      <autoSortScope>
        <pivotArea>
          <references>
            <reference field="4294967294">
              <x v="0"/>
            </reference>
          </references>
        </pivotArea>
      </autoSortScope>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rowFields>
    <field x="9"/>
  </rowFields>
  <pageFields>
    <pageField fld="8"/>
  </pageFields>
  <dataFields>
    <dataField name="SUM of Total_Order_Amount" fld="13" baseField="0"/>
  </dataFields>
</pivotTableDefinition>
</file>

<file path=xl/pivotTables/pivotTable8.xml><?xml version="1.0" encoding="utf-8"?>
<pivotTableDefinition xmlns="http://schemas.openxmlformats.org/spreadsheetml/2006/main" name="Sales Dashboard 8" cacheId="1" dataCaption="" rowGrandTotals="0" compact="0" compactData="0">
  <location ref="A69:C81" firstHeaderRow="0" firstDataRow="2"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axis="axisRow" compact="0" numFmtId="14" outline="0" multipleItemSelectionAllowed="1" showAll="0" sortType="ascending">
      <items>
        <item x="0"/>
        <item x="1"/>
        <item x="2"/>
        <item x="3"/>
        <item x="4"/>
        <item x="5"/>
        <item x="6"/>
        <item x="7"/>
        <item x="8"/>
        <item x="9"/>
        <item x="10"/>
        <item x="11"/>
        <item x="12"/>
        <item x="13"/>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s>
  <rowFields>
    <field x="6"/>
  </rowFields>
  <colFields>
    <field x="-2"/>
  </colFields>
  <pageFields>
    <pageField fld="8"/>
  </pageFields>
  <dataFields>
    <dataField name="Total Sales" fld="13" baseField="0"/>
    <dataField name="COUNTA of Order_ID" fld="0" subtotal="count" baseField="0"/>
  </dataFields>
</pivotTableDefinition>
</file>

<file path=xl/tables/table1.xml><?xml version="1.0" encoding="utf-8"?>
<table xmlns="http://schemas.openxmlformats.org/spreadsheetml/2006/main" headerRowCount="0" ref="C16:C20" displayName="Table_1" name="Table_1" id="1">
  <tableColumns count="1">
    <tableColumn name="Column1" id="1"/>
  </tableColumns>
  <tableStyleInfo name="Cancellation Report-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B35:B40" displayName="Table_2" name="Table_2" id="2">
  <tableColumns count="1">
    <tableColumn name="Column1" id="1"/>
  </tableColumns>
  <tableStyleInfo name="Cancellation Report-style 2"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drawing" Target="../drawings/drawing6.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4" Type="http://schemas.openxmlformats.org/officeDocument/2006/relationships/table" Target="../tables/table1.xml"/><Relationship Id="rId5"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A1" s="1" t="s">
        <v>0</v>
      </c>
      <c r="H1" s="2"/>
      <c r="I1" s="2"/>
      <c r="J1" s="2"/>
      <c r="K1" s="2"/>
      <c r="L1" s="2"/>
      <c r="M1" s="2"/>
      <c r="N1" s="2"/>
      <c r="O1" s="2"/>
      <c r="P1" s="2"/>
      <c r="Q1" s="2"/>
      <c r="R1" s="2"/>
      <c r="S1" s="2"/>
      <c r="T1" s="2"/>
      <c r="U1" s="2"/>
      <c r="V1" s="2"/>
      <c r="W1" s="2"/>
      <c r="X1" s="2"/>
      <c r="Y1" s="2"/>
      <c r="Z1" s="2"/>
    </row>
    <row r="2">
      <c r="A2" s="3" t="s">
        <v>1</v>
      </c>
      <c r="H2" s="2"/>
      <c r="I2" s="2"/>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1" t="s">
        <v>2</v>
      </c>
      <c r="H4" s="2"/>
      <c r="I4" s="2"/>
      <c r="J4" s="2"/>
      <c r="K4" s="2"/>
      <c r="L4" s="2"/>
      <c r="M4" s="2"/>
      <c r="N4" s="2"/>
      <c r="O4" s="2"/>
      <c r="P4" s="2"/>
      <c r="Q4" s="2"/>
      <c r="R4" s="2"/>
      <c r="S4" s="2"/>
      <c r="T4" s="2"/>
      <c r="U4" s="2"/>
      <c r="V4" s="2"/>
      <c r="W4" s="2"/>
      <c r="X4" s="2"/>
      <c r="Y4" s="2"/>
      <c r="Z4" s="2"/>
    </row>
    <row r="5">
      <c r="A5" s="3" t="s">
        <v>3</v>
      </c>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3" t="s">
        <v>4</v>
      </c>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1" t="s">
        <v>5</v>
      </c>
      <c r="H9" s="2"/>
      <c r="I9" s="2"/>
      <c r="J9" s="2"/>
      <c r="K9" s="2"/>
      <c r="L9" s="2"/>
      <c r="M9" s="2"/>
      <c r="N9" s="2"/>
      <c r="O9" s="2"/>
      <c r="P9" s="2"/>
      <c r="Q9" s="2"/>
      <c r="R9" s="2"/>
      <c r="S9" s="2"/>
      <c r="T9" s="2"/>
      <c r="U9" s="2"/>
      <c r="V9" s="2"/>
      <c r="W9" s="2"/>
      <c r="X9" s="2"/>
      <c r="Y9" s="2"/>
      <c r="Z9" s="2"/>
    </row>
    <row r="10">
      <c r="A10" s="4" t="s">
        <v>6</v>
      </c>
      <c r="H10" s="2"/>
      <c r="I10" s="2"/>
      <c r="J10" s="2"/>
      <c r="K10" s="2"/>
      <c r="L10" s="2"/>
      <c r="M10" s="2"/>
      <c r="N10" s="2"/>
      <c r="O10" s="2"/>
      <c r="P10" s="2"/>
      <c r="Q10" s="2"/>
      <c r="R10" s="2"/>
      <c r="S10" s="2"/>
      <c r="T10" s="2"/>
      <c r="U10" s="2"/>
      <c r="V10" s="2"/>
      <c r="W10" s="2"/>
      <c r="X10" s="2"/>
      <c r="Y10" s="2"/>
      <c r="Z10" s="2"/>
    </row>
    <row r="11">
      <c r="A11" s="5" t="s">
        <v>7</v>
      </c>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3" t="s">
        <v>8</v>
      </c>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sheetData>
  <mergeCells count="9">
    <mergeCell ref="A11:G11"/>
    <mergeCell ref="A13:G13"/>
    <mergeCell ref="A1:G1"/>
    <mergeCell ref="A2:G2"/>
    <mergeCell ref="A4:G4"/>
    <mergeCell ref="A5:G5"/>
    <mergeCell ref="A7:G7"/>
    <mergeCell ref="A9:G9"/>
    <mergeCell ref="A10:G1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5.43"/>
  </cols>
  <sheetData>
    <row r="1">
      <c r="A1" s="6" t="s">
        <v>9</v>
      </c>
      <c r="B1" s="7"/>
      <c r="C1" s="7"/>
      <c r="D1" s="7"/>
      <c r="E1" s="7"/>
      <c r="F1" s="7"/>
      <c r="G1" s="7"/>
      <c r="H1" s="7"/>
      <c r="I1" s="8"/>
      <c r="J1" s="8"/>
      <c r="K1" s="8"/>
    </row>
    <row r="2">
      <c r="A2" s="8" t="s">
        <v>10</v>
      </c>
      <c r="B2" s="8"/>
      <c r="C2" s="8"/>
      <c r="D2" s="8"/>
      <c r="E2" s="8"/>
      <c r="F2" s="8"/>
      <c r="G2" s="8"/>
      <c r="H2" s="8"/>
      <c r="I2" s="8"/>
      <c r="J2" s="8"/>
      <c r="K2" s="8"/>
    </row>
    <row r="3">
      <c r="A3" s="8" t="s">
        <v>11</v>
      </c>
      <c r="B3" s="8"/>
      <c r="C3" s="8"/>
      <c r="D3" s="8"/>
      <c r="E3" s="8"/>
      <c r="F3" s="8"/>
      <c r="G3" s="8"/>
      <c r="H3" s="8"/>
      <c r="I3" s="8"/>
      <c r="J3" s="8"/>
      <c r="K3" s="8"/>
    </row>
    <row r="4">
      <c r="A4" s="8" t="s">
        <v>12</v>
      </c>
      <c r="B4" s="8"/>
      <c r="C4" s="8"/>
      <c r="D4" s="8"/>
      <c r="E4" s="8"/>
      <c r="F4" s="8"/>
      <c r="G4" s="8"/>
      <c r="H4" s="8"/>
      <c r="I4" s="8"/>
      <c r="J4" s="8"/>
      <c r="K4" s="8"/>
    </row>
    <row r="5">
      <c r="A5" s="8" t="s">
        <v>13</v>
      </c>
      <c r="B5" s="8"/>
      <c r="C5" s="8"/>
      <c r="D5" s="8"/>
      <c r="E5" s="8"/>
      <c r="F5" s="8"/>
      <c r="G5" s="8"/>
      <c r="H5" s="8"/>
      <c r="I5" s="8"/>
      <c r="J5" s="8"/>
      <c r="K5" s="8"/>
    </row>
    <row r="6">
      <c r="A6" s="8" t="s">
        <v>14</v>
      </c>
      <c r="B6" s="8"/>
      <c r="C6" s="8"/>
      <c r="D6" s="8"/>
      <c r="E6" s="8"/>
      <c r="F6" s="8"/>
      <c r="G6" s="8"/>
      <c r="H6" s="8"/>
      <c r="I6" s="8"/>
      <c r="J6" s="8"/>
      <c r="K6" s="8"/>
    </row>
    <row r="7">
      <c r="A7" s="8" t="s">
        <v>15</v>
      </c>
      <c r="B7" s="8"/>
      <c r="C7" s="8"/>
      <c r="D7" s="8"/>
      <c r="E7" s="8"/>
      <c r="F7" s="8"/>
      <c r="G7" s="8"/>
      <c r="H7" s="8"/>
      <c r="I7" s="8"/>
      <c r="J7" s="8"/>
      <c r="K7" s="8"/>
    </row>
    <row r="8">
      <c r="A8" s="8" t="s">
        <v>16</v>
      </c>
      <c r="B8" s="8"/>
      <c r="C8" s="8"/>
      <c r="D8" s="8"/>
      <c r="E8" s="8"/>
      <c r="F8" s="8"/>
      <c r="G8" s="8"/>
      <c r="H8" s="8"/>
      <c r="I8" s="8"/>
      <c r="J8" s="8"/>
      <c r="K8" s="8"/>
    </row>
    <row r="9">
      <c r="A9" s="8" t="s">
        <v>17</v>
      </c>
      <c r="B9" s="8"/>
      <c r="C9" s="8"/>
      <c r="D9" s="8"/>
      <c r="E9" s="8"/>
      <c r="F9" s="8"/>
      <c r="G9" s="8"/>
      <c r="H9" s="8"/>
      <c r="I9" s="8"/>
      <c r="J9" s="8"/>
      <c r="K9" s="8"/>
    </row>
    <row r="10">
      <c r="A10" s="8" t="s">
        <v>18</v>
      </c>
      <c r="B10" s="8"/>
      <c r="C10" s="8"/>
      <c r="D10" s="8"/>
      <c r="E10" s="8"/>
      <c r="F10" s="8"/>
      <c r="G10" s="8"/>
      <c r="H10" s="8"/>
      <c r="I10" s="8"/>
      <c r="J10" s="8"/>
      <c r="K10" s="8"/>
    </row>
    <row r="11">
      <c r="A11" s="8" t="s">
        <v>19</v>
      </c>
      <c r="B11" s="8"/>
      <c r="C11" s="8"/>
      <c r="D11" s="8"/>
      <c r="E11" s="8"/>
      <c r="F11" s="8"/>
      <c r="G11" s="8"/>
      <c r="H11" s="8"/>
      <c r="I11" s="8"/>
      <c r="J11" s="8"/>
      <c r="K11" s="8"/>
    </row>
    <row r="12">
      <c r="A12" s="8" t="s">
        <v>20</v>
      </c>
      <c r="B12" s="8"/>
      <c r="C12" s="8"/>
      <c r="D12" s="8"/>
      <c r="E12" s="8"/>
      <c r="F12" s="8"/>
      <c r="G12" s="8"/>
      <c r="H12" s="8"/>
      <c r="I12" s="8"/>
      <c r="J12" s="8"/>
      <c r="K12" s="8"/>
    </row>
    <row r="13">
      <c r="A13" s="8" t="s">
        <v>21</v>
      </c>
      <c r="B13" s="8"/>
      <c r="C13" s="8"/>
      <c r="D13" s="8"/>
      <c r="E13" s="8"/>
      <c r="F13" s="8"/>
      <c r="G13" s="8"/>
      <c r="H13" s="8"/>
      <c r="I13" s="8"/>
      <c r="J13" s="8"/>
      <c r="K13" s="8"/>
    </row>
    <row r="14">
      <c r="A14" s="8" t="s">
        <v>22</v>
      </c>
      <c r="B14" s="8"/>
      <c r="C14" s="8"/>
      <c r="D14" s="8"/>
      <c r="E14" s="8"/>
      <c r="F14" s="8"/>
      <c r="G14" s="8"/>
      <c r="H14" s="8"/>
      <c r="I14" s="8"/>
      <c r="J14" s="8"/>
      <c r="K14" s="8"/>
    </row>
    <row r="15">
      <c r="A15" s="8" t="s">
        <v>23</v>
      </c>
      <c r="B15" s="8"/>
      <c r="C15" s="8"/>
      <c r="D15" s="8"/>
      <c r="E15" s="8"/>
      <c r="F15" s="8"/>
      <c r="G15" s="8"/>
      <c r="H15" s="8"/>
      <c r="I15" s="8"/>
      <c r="J15" s="8"/>
      <c r="K15" s="8"/>
    </row>
    <row r="16">
      <c r="A16" s="8" t="s">
        <v>24</v>
      </c>
      <c r="B16" s="8"/>
      <c r="C16" s="8"/>
      <c r="D16" s="8"/>
      <c r="E16" s="8"/>
      <c r="F16" s="8"/>
      <c r="G16" s="8"/>
      <c r="H16" s="8"/>
      <c r="I16" s="8"/>
      <c r="J16" s="8"/>
      <c r="K16" s="8"/>
    </row>
    <row r="17">
      <c r="A17" s="8" t="s">
        <v>25</v>
      </c>
      <c r="B17" s="8"/>
      <c r="C17" s="8"/>
      <c r="D17" s="8"/>
      <c r="E17" s="8"/>
      <c r="F17" s="8"/>
      <c r="G17" s="8"/>
      <c r="H17" s="8"/>
      <c r="I17" s="8"/>
      <c r="J17" s="8"/>
      <c r="K17" s="8"/>
    </row>
    <row r="18">
      <c r="A18" s="8" t="s">
        <v>26</v>
      </c>
      <c r="B18" s="8"/>
      <c r="C18" s="8"/>
      <c r="D18" s="8"/>
      <c r="E18" s="8"/>
      <c r="F18" s="8"/>
      <c r="G18" s="8"/>
      <c r="H18" s="8"/>
      <c r="I18" s="8"/>
      <c r="J18" s="8"/>
      <c r="K18" s="8"/>
    </row>
    <row r="19">
      <c r="A19" s="8" t="s">
        <v>27</v>
      </c>
      <c r="B19" s="8"/>
      <c r="C19" s="8"/>
      <c r="D19" s="8"/>
      <c r="E19" s="8"/>
      <c r="F19" s="8"/>
      <c r="G19" s="8"/>
      <c r="H19" s="8"/>
      <c r="I19" s="8"/>
      <c r="J19" s="8"/>
      <c r="K19" s="8"/>
    </row>
    <row r="20">
      <c r="A20" s="8" t="s">
        <v>28</v>
      </c>
      <c r="B20" s="8"/>
      <c r="C20" s="8"/>
      <c r="D20" s="8"/>
      <c r="E20" s="8"/>
      <c r="F20" s="8"/>
      <c r="G20" s="8"/>
      <c r="H20" s="8"/>
      <c r="I20" s="8"/>
      <c r="J20" s="8"/>
      <c r="K20" s="8"/>
    </row>
    <row r="21">
      <c r="A21" s="8" t="s">
        <v>29</v>
      </c>
      <c r="B21" s="8"/>
      <c r="C21" s="8"/>
      <c r="D21" s="8"/>
      <c r="E21" s="8"/>
      <c r="F21" s="8"/>
      <c r="G21" s="8"/>
      <c r="H21" s="8"/>
      <c r="I21" s="8"/>
      <c r="J21" s="8"/>
      <c r="K21" s="8"/>
    </row>
    <row r="22">
      <c r="A22" s="8" t="s">
        <v>30</v>
      </c>
      <c r="B22" s="8"/>
      <c r="C22" s="8"/>
      <c r="D22" s="8"/>
      <c r="E22" s="8"/>
      <c r="F22" s="8"/>
      <c r="G22" s="8"/>
      <c r="H22" s="8"/>
      <c r="I22" s="8"/>
      <c r="J22" s="8"/>
      <c r="K22" s="8"/>
    </row>
    <row r="23">
      <c r="A23" s="8" t="s">
        <v>31</v>
      </c>
      <c r="B23" s="8"/>
      <c r="C23" s="8"/>
      <c r="D23" s="8"/>
      <c r="E23" s="8"/>
      <c r="F23" s="8"/>
      <c r="G23" s="8"/>
      <c r="H23" s="8"/>
      <c r="I23" s="8"/>
      <c r="J23" s="8"/>
      <c r="K23" s="8"/>
    </row>
    <row r="24">
      <c r="A24" s="8" t="s">
        <v>32</v>
      </c>
      <c r="B24" s="8"/>
      <c r="C24" s="8"/>
      <c r="D24" s="8"/>
      <c r="E24" s="8"/>
      <c r="F24" s="8"/>
      <c r="G24" s="8"/>
      <c r="H24" s="8"/>
      <c r="I24" s="8"/>
      <c r="J24" s="8"/>
      <c r="K24" s="8"/>
    </row>
    <row r="25">
      <c r="A25" s="8" t="s">
        <v>33</v>
      </c>
      <c r="B25" s="8"/>
      <c r="C25" s="8"/>
      <c r="D25" s="8"/>
      <c r="E25" s="8"/>
      <c r="F25" s="8"/>
      <c r="G25" s="8"/>
      <c r="H25" s="8"/>
      <c r="I25" s="8"/>
      <c r="J25" s="8"/>
      <c r="K25" s="8"/>
    </row>
    <row r="26">
      <c r="A26" s="8" t="s">
        <v>34</v>
      </c>
      <c r="B26" s="8"/>
      <c r="C26" s="8"/>
      <c r="D26" s="8"/>
      <c r="E26" s="8"/>
      <c r="F26" s="8"/>
      <c r="G26" s="8"/>
      <c r="H26" s="8"/>
      <c r="I26" s="8"/>
      <c r="J26" s="8"/>
      <c r="K26" s="8"/>
    </row>
    <row r="27">
      <c r="A27" s="8" t="s">
        <v>35</v>
      </c>
      <c r="B27" s="8"/>
      <c r="C27" s="8"/>
      <c r="D27" s="8"/>
      <c r="E27" s="8"/>
      <c r="F27" s="8"/>
      <c r="G27" s="8"/>
      <c r="H27" s="8"/>
      <c r="I27" s="8"/>
      <c r="J27" s="8"/>
      <c r="K27" s="8"/>
    </row>
    <row r="28">
      <c r="A28" s="8" t="s">
        <v>36</v>
      </c>
      <c r="B28" s="8"/>
      <c r="C28" s="8"/>
      <c r="D28" s="8"/>
      <c r="E28" s="8"/>
      <c r="F28" s="8"/>
      <c r="G28" s="8"/>
      <c r="H28" s="8"/>
      <c r="I28" s="8"/>
      <c r="J28" s="8"/>
      <c r="K28" s="8"/>
    </row>
    <row r="29">
      <c r="A29" s="8" t="s">
        <v>37</v>
      </c>
      <c r="B29" s="8"/>
      <c r="C29" s="8"/>
      <c r="D29" s="8"/>
      <c r="E29" s="8"/>
      <c r="F29" s="8"/>
      <c r="G29" s="8"/>
      <c r="H29" s="8"/>
      <c r="I29" s="8"/>
      <c r="J29" s="8"/>
      <c r="K29" s="8"/>
    </row>
    <row r="30">
      <c r="A30" s="8" t="s">
        <v>38</v>
      </c>
      <c r="B30" s="8"/>
      <c r="C30" s="8"/>
      <c r="D30" s="8"/>
      <c r="E30" s="8"/>
      <c r="F30" s="8"/>
      <c r="G30" s="8"/>
      <c r="H30" s="8"/>
      <c r="I30" s="8"/>
      <c r="J30" s="8"/>
      <c r="K30" s="8"/>
    </row>
    <row r="31">
      <c r="A31" s="8" t="s">
        <v>39</v>
      </c>
      <c r="B31" s="8"/>
      <c r="C31" s="8"/>
      <c r="D31" s="8"/>
      <c r="E31" s="8"/>
      <c r="F31" s="8"/>
      <c r="G31" s="8"/>
      <c r="H31" s="8"/>
      <c r="I31" s="8"/>
      <c r="J31" s="8"/>
      <c r="K31" s="8"/>
    </row>
    <row r="32">
      <c r="A32" s="8" t="s">
        <v>40</v>
      </c>
      <c r="B32" s="8"/>
      <c r="C32" s="8"/>
      <c r="D32" s="8"/>
      <c r="E32" s="8"/>
      <c r="F32" s="8"/>
      <c r="G32" s="8"/>
      <c r="H32" s="8"/>
      <c r="I32" s="8"/>
      <c r="J32" s="8"/>
      <c r="K32" s="8"/>
    </row>
    <row r="33">
      <c r="A33" s="8" t="s">
        <v>41</v>
      </c>
      <c r="B33" s="8"/>
      <c r="C33" s="8"/>
      <c r="D33" s="8"/>
      <c r="E33" s="8"/>
      <c r="F33" s="8"/>
      <c r="G33" s="8"/>
      <c r="H33" s="8"/>
      <c r="I33" s="8"/>
      <c r="J33" s="8"/>
      <c r="K33" s="8"/>
    </row>
    <row r="34">
      <c r="A34" s="8" t="s">
        <v>42</v>
      </c>
      <c r="B34" s="8"/>
      <c r="C34" s="8"/>
      <c r="D34" s="8"/>
      <c r="E34" s="8"/>
      <c r="F34" s="8"/>
      <c r="G34" s="8"/>
      <c r="H34" s="8"/>
      <c r="I34" s="8"/>
      <c r="J34" s="8"/>
      <c r="K34" s="8"/>
    </row>
    <row r="35">
      <c r="A35" s="8" t="s">
        <v>43</v>
      </c>
      <c r="B35" s="8"/>
      <c r="C35" s="8"/>
      <c r="D35" s="8"/>
      <c r="E35" s="8"/>
      <c r="F35" s="8"/>
      <c r="G35" s="8"/>
      <c r="H35" s="8"/>
      <c r="I35" s="8"/>
      <c r="J35" s="8"/>
      <c r="K35" s="8"/>
    </row>
    <row r="36">
      <c r="A36" s="8" t="s">
        <v>44</v>
      </c>
      <c r="B36" s="8"/>
      <c r="C36" s="8"/>
      <c r="D36" s="8"/>
      <c r="E36" s="8"/>
      <c r="F36" s="8"/>
      <c r="G36" s="8"/>
      <c r="H36" s="8"/>
      <c r="I36" s="8"/>
      <c r="J36" s="8"/>
      <c r="K36" s="8"/>
    </row>
    <row r="37">
      <c r="A37" s="8" t="s">
        <v>45</v>
      </c>
      <c r="B37" s="8"/>
      <c r="C37" s="8"/>
      <c r="D37" s="8"/>
      <c r="E37" s="8"/>
      <c r="F37" s="8"/>
      <c r="G37" s="8"/>
      <c r="H37" s="8"/>
      <c r="I37" s="8"/>
      <c r="J37" s="8"/>
      <c r="K37" s="8"/>
    </row>
    <row r="38">
      <c r="A38" s="8" t="s">
        <v>46</v>
      </c>
      <c r="B38" s="8"/>
      <c r="C38" s="8"/>
      <c r="D38" s="8"/>
      <c r="E38" s="8"/>
      <c r="F38" s="8"/>
      <c r="G38" s="8"/>
      <c r="H38" s="8"/>
      <c r="I38" s="8"/>
      <c r="J38" s="8"/>
      <c r="K38" s="8"/>
    </row>
    <row r="39">
      <c r="A39" s="8" t="s">
        <v>47</v>
      </c>
      <c r="B39" s="8"/>
      <c r="C39" s="8"/>
      <c r="D39" s="8"/>
      <c r="E39" s="8"/>
      <c r="F39" s="8"/>
      <c r="G39" s="8"/>
      <c r="H39" s="8"/>
      <c r="I39" s="8"/>
      <c r="J39" s="8"/>
      <c r="K39" s="8"/>
    </row>
    <row r="40">
      <c r="A40" s="8" t="s">
        <v>48</v>
      </c>
      <c r="B40" s="8"/>
      <c r="C40" s="8"/>
      <c r="D40" s="8"/>
      <c r="E40" s="8"/>
      <c r="F40" s="8"/>
      <c r="G40" s="8"/>
      <c r="H40" s="8"/>
      <c r="I40" s="8"/>
      <c r="J40" s="8"/>
      <c r="K40" s="8"/>
    </row>
    <row r="41">
      <c r="A41" s="8" t="s">
        <v>49</v>
      </c>
      <c r="B41" s="8"/>
      <c r="C41" s="8"/>
      <c r="D41" s="8"/>
      <c r="E41" s="8"/>
      <c r="F41" s="8"/>
      <c r="G41" s="8"/>
      <c r="H41" s="8"/>
      <c r="I41" s="8"/>
      <c r="J41" s="8"/>
      <c r="K41" s="8"/>
    </row>
    <row r="42">
      <c r="A42" s="8" t="s">
        <v>50</v>
      </c>
      <c r="B42" s="8"/>
      <c r="C42" s="8"/>
      <c r="D42" s="8"/>
      <c r="E42" s="8"/>
      <c r="F42" s="8"/>
      <c r="G42" s="8"/>
      <c r="H42" s="8"/>
      <c r="I42" s="8"/>
      <c r="J42" s="8"/>
      <c r="K42" s="8"/>
    </row>
    <row r="43">
      <c r="A43" s="8" t="s">
        <v>51</v>
      </c>
      <c r="B43" s="8"/>
      <c r="C43" s="8"/>
      <c r="D43" s="8"/>
      <c r="E43" s="8"/>
      <c r="F43" s="8"/>
      <c r="G43" s="8"/>
      <c r="H43" s="8"/>
      <c r="I43" s="8"/>
      <c r="J43" s="8"/>
      <c r="K43" s="8"/>
    </row>
    <row r="44">
      <c r="A44" s="8" t="s">
        <v>52</v>
      </c>
      <c r="B44" s="8"/>
      <c r="C44" s="8"/>
      <c r="D44" s="8"/>
      <c r="E44" s="8"/>
      <c r="F44" s="8"/>
      <c r="G44" s="8"/>
      <c r="H44" s="8"/>
      <c r="I44" s="8"/>
      <c r="J44" s="8"/>
      <c r="K44" s="8"/>
    </row>
    <row r="45">
      <c r="A45" s="8" t="s">
        <v>53</v>
      </c>
      <c r="B45" s="8"/>
      <c r="C45" s="8"/>
      <c r="D45" s="8"/>
      <c r="E45" s="8"/>
      <c r="F45" s="8"/>
      <c r="G45" s="8"/>
      <c r="H45" s="8"/>
      <c r="I45" s="8"/>
      <c r="J45" s="8"/>
      <c r="K45" s="8"/>
    </row>
    <row r="46">
      <c r="A46" s="8" t="s">
        <v>54</v>
      </c>
      <c r="B46" s="8"/>
      <c r="C46" s="8"/>
      <c r="D46" s="8"/>
      <c r="E46" s="8"/>
      <c r="F46" s="8"/>
      <c r="G46" s="8"/>
      <c r="H46" s="8"/>
      <c r="I46" s="8"/>
      <c r="J46" s="8"/>
      <c r="K46" s="8"/>
    </row>
    <row r="47">
      <c r="A47" s="8" t="s">
        <v>55</v>
      </c>
      <c r="B47" s="8"/>
      <c r="C47" s="8"/>
      <c r="D47" s="8"/>
      <c r="E47" s="8"/>
      <c r="F47" s="8"/>
      <c r="G47" s="8"/>
      <c r="H47" s="8"/>
      <c r="I47" s="8"/>
      <c r="J47" s="8"/>
      <c r="K47" s="8"/>
    </row>
    <row r="48">
      <c r="A48" s="8" t="s">
        <v>56</v>
      </c>
      <c r="B48" s="8"/>
      <c r="C48" s="8"/>
      <c r="D48" s="8"/>
      <c r="E48" s="8"/>
      <c r="F48" s="8"/>
      <c r="G48" s="8"/>
      <c r="H48" s="8"/>
      <c r="I48" s="8"/>
      <c r="J48" s="8"/>
      <c r="K48" s="8"/>
    </row>
    <row r="49">
      <c r="A49" s="8" t="s">
        <v>57</v>
      </c>
      <c r="B49" s="8"/>
      <c r="C49" s="8"/>
      <c r="D49" s="8"/>
      <c r="E49" s="8"/>
      <c r="F49" s="8"/>
      <c r="G49" s="8"/>
      <c r="H49" s="8"/>
      <c r="I49" s="8"/>
      <c r="J49" s="8"/>
      <c r="K49" s="8"/>
    </row>
    <row r="50">
      <c r="A50" s="8" t="s">
        <v>58</v>
      </c>
      <c r="B50" s="8"/>
      <c r="C50" s="8"/>
      <c r="D50" s="8"/>
      <c r="E50" s="8"/>
      <c r="F50" s="8"/>
      <c r="G50" s="8"/>
      <c r="H50" s="8"/>
      <c r="I50" s="8"/>
      <c r="J50" s="8"/>
      <c r="K50" s="8"/>
    </row>
    <row r="51">
      <c r="A51" s="8" t="s">
        <v>59</v>
      </c>
      <c r="B51" s="8"/>
      <c r="C51" s="8"/>
      <c r="D51" s="8"/>
      <c r="E51" s="8"/>
      <c r="F51" s="8"/>
      <c r="G51" s="8"/>
      <c r="H51" s="8"/>
      <c r="I51" s="8"/>
      <c r="J51" s="8"/>
      <c r="K51" s="8"/>
    </row>
    <row r="52">
      <c r="A52" s="8" t="s">
        <v>60</v>
      </c>
      <c r="B52" s="8"/>
      <c r="C52" s="8"/>
      <c r="D52" s="8"/>
      <c r="E52" s="8"/>
      <c r="F52" s="8"/>
      <c r="G52" s="8"/>
      <c r="H52" s="8"/>
      <c r="I52" s="8"/>
      <c r="J52" s="8"/>
      <c r="K52" s="8"/>
    </row>
    <row r="53">
      <c r="A53" s="8" t="s">
        <v>61</v>
      </c>
      <c r="B53" s="8"/>
      <c r="C53" s="8"/>
      <c r="D53" s="8"/>
      <c r="E53" s="8"/>
      <c r="F53" s="8"/>
      <c r="G53" s="8"/>
      <c r="H53" s="8"/>
      <c r="I53" s="8"/>
      <c r="J53" s="8"/>
      <c r="K53" s="8"/>
    </row>
    <row r="54">
      <c r="A54" s="8" t="s">
        <v>62</v>
      </c>
      <c r="B54" s="8"/>
      <c r="C54" s="8"/>
      <c r="D54" s="8"/>
      <c r="E54" s="8"/>
      <c r="F54" s="8"/>
      <c r="G54" s="8"/>
      <c r="H54" s="8"/>
      <c r="I54" s="8"/>
      <c r="J54" s="8"/>
      <c r="K54" s="8"/>
    </row>
    <row r="55">
      <c r="A55" s="8" t="s">
        <v>63</v>
      </c>
      <c r="B55" s="8"/>
      <c r="C55" s="8"/>
      <c r="D55" s="8"/>
      <c r="E55" s="8"/>
      <c r="F55" s="8"/>
      <c r="G55" s="8"/>
      <c r="H55" s="8"/>
      <c r="I55" s="8"/>
      <c r="J55" s="8"/>
      <c r="K55" s="8"/>
    </row>
    <row r="56">
      <c r="A56" s="8" t="s">
        <v>64</v>
      </c>
      <c r="B56" s="8"/>
      <c r="C56" s="8"/>
      <c r="D56" s="8"/>
      <c r="E56" s="8"/>
      <c r="F56" s="8"/>
      <c r="G56" s="8"/>
      <c r="H56" s="8"/>
      <c r="I56" s="8"/>
      <c r="J56" s="8"/>
      <c r="K56" s="8"/>
    </row>
    <row r="57">
      <c r="A57" s="8" t="s">
        <v>65</v>
      </c>
      <c r="B57" s="8"/>
      <c r="C57" s="8"/>
      <c r="D57" s="8"/>
      <c r="E57" s="8"/>
      <c r="F57" s="8"/>
      <c r="G57" s="8"/>
      <c r="H57" s="8"/>
      <c r="I57" s="8"/>
      <c r="J57" s="8"/>
      <c r="K57" s="8"/>
    </row>
    <row r="58">
      <c r="A58" s="8" t="s">
        <v>66</v>
      </c>
      <c r="B58" s="8"/>
      <c r="C58" s="8"/>
      <c r="D58" s="8"/>
      <c r="E58" s="8"/>
      <c r="F58" s="8"/>
      <c r="G58" s="8"/>
      <c r="H58" s="8"/>
      <c r="I58" s="8"/>
      <c r="J58" s="8"/>
      <c r="K58" s="8"/>
    </row>
    <row r="59">
      <c r="A59" s="8" t="s">
        <v>67</v>
      </c>
      <c r="B59" s="8"/>
      <c r="C59" s="8"/>
      <c r="D59" s="8"/>
      <c r="E59" s="8"/>
      <c r="F59" s="8"/>
      <c r="G59" s="8"/>
      <c r="H59" s="8"/>
      <c r="I59" s="8"/>
      <c r="J59" s="8"/>
      <c r="K59" s="8"/>
    </row>
    <row r="60">
      <c r="A60" s="8" t="s">
        <v>68</v>
      </c>
      <c r="B60" s="8"/>
      <c r="C60" s="8"/>
      <c r="D60" s="8"/>
      <c r="E60" s="8"/>
      <c r="F60" s="8"/>
      <c r="G60" s="8"/>
      <c r="H60" s="8"/>
      <c r="I60" s="8"/>
      <c r="J60" s="8"/>
      <c r="K60" s="8"/>
    </row>
    <row r="61">
      <c r="A61" s="8" t="s">
        <v>69</v>
      </c>
      <c r="B61" s="8"/>
      <c r="C61" s="8"/>
      <c r="D61" s="8"/>
      <c r="E61" s="8"/>
      <c r="F61" s="8"/>
      <c r="G61" s="8"/>
      <c r="H61" s="8"/>
      <c r="I61" s="8"/>
      <c r="J61" s="8"/>
      <c r="K61" s="8"/>
    </row>
    <row r="62">
      <c r="A62" s="8" t="s">
        <v>70</v>
      </c>
      <c r="B62" s="8"/>
      <c r="C62" s="8"/>
      <c r="D62" s="8"/>
      <c r="E62" s="8"/>
      <c r="F62" s="8"/>
      <c r="G62" s="8"/>
      <c r="H62" s="8"/>
      <c r="I62" s="8"/>
      <c r="J62" s="8"/>
      <c r="K62" s="8"/>
    </row>
    <row r="63">
      <c r="A63" s="8" t="s">
        <v>71</v>
      </c>
      <c r="B63" s="8"/>
      <c r="C63" s="8"/>
      <c r="D63" s="8"/>
      <c r="E63" s="8"/>
      <c r="F63" s="8"/>
      <c r="G63" s="8"/>
      <c r="H63" s="8"/>
      <c r="I63" s="8"/>
      <c r="J63" s="8"/>
      <c r="K63" s="8"/>
    </row>
    <row r="64">
      <c r="A64" s="8" t="s">
        <v>72</v>
      </c>
      <c r="B64" s="8"/>
      <c r="C64" s="8"/>
      <c r="D64" s="8"/>
      <c r="E64" s="8"/>
      <c r="F64" s="8"/>
      <c r="G64" s="8"/>
      <c r="H64" s="8"/>
      <c r="I64" s="8"/>
      <c r="J64" s="8"/>
      <c r="K64" s="8"/>
    </row>
    <row r="65">
      <c r="A65" s="8" t="s">
        <v>73</v>
      </c>
      <c r="B65" s="8"/>
      <c r="C65" s="8"/>
      <c r="D65" s="8"/>
      <c r="E65" s="8"/>
      <c r="F65" s="8"/>
      <c r="G65" s="8"/>
      <c r="H65" s="8"/>
      <c r="I65" s="8"/>
      <c r="J65" s="8"/>
      <c r="K65" s="8"/>
    </row>
    <row r="66">
      <c r="A66" s="8" t="s">
        <v>74</v>
      </c>
      <c r="B66" s="8"/>
      <c r="C66" s="8"/>
      <c r="D66" s="8"/>
      <c r="E66" s="8"/>
      <c r="F66" s="8"/>
      <c r="G66" s="8"/>
      <c r="H66" s="8"/>
      <c r="I66" s="8"/>
      <c r="J66" s="8"/>
      <c r="K66" s="8"/>
    </row>
    <row r="67">
      <c r="A67" s="8" t="s">
        <v>75</v>
      </c>
      <c r="B67" s="8"/>
      <c r="C67" s="8"/>
      <c r="D67" s="8"/>
      <c r="E67" s="8"/>
      <c r="F67" s="8"/>
      <c r="G67" s="8"/>
      <c r="H67" s="8"/>
      <c r="I67" s="8"/>
      <c r="J67" s="8"/>
      <c r="K67" s="8"/>
    </row>
    <row r="68">
      <c r="A68" s="8" t="s">
        <v>76</v>
      </c>
      <c r="B68" s="8"/>
      <c r="C68" s="8"/>
      <c r="D68" s="8"/>
      <c r="E68" s="8"/>
      <c r="F68" s="8"/>
      <c r="G68" s="8"/>
      <c r="H68" s="8"/>
      <c r="I68" s="8"/>
      <c r="J68" s="8"/>
      <c r="K68" s="8"/>
    </row>
    <row r="69">
      <c r="A69" s="8" t="s">
        <v>77</v>
      </c>
      <c r="B69" s="8"/>
      <c r="C69" s="8"/>
      <c r="D69" s="8"/>
      <c r="E69" s="8"/>
      <c r="F69" s="8"/>
      <c r="G69" s="8"/>
      <c r="H69" s="8"/>
      <c r="I69" s="8"/>
      <c r="J69" s="8"/>
      <c r="K69" s="8"/>
    </row>
    <row r="70">
      <c r="A70" s="8" t="s">
        <v>78</v>
      </c>
      <c r="B70" s="8"/>
      <c r="C70" s="8"/>
      <c r="D70" s="8"/>
      <c r="E70" s="8"/>
      <c r="F70" s="8"/>
      <c r="G70" s="8"/>
      <c r="H70" s="8"/>
      <c r="I70" s="8"/>
      <c r="J70" s="8"/>
      <c r="K70" s="8"/>
    </row>
    <row r="71">
      <c r="A71" s="8" t="s">
        <v>79</v>
      </c>
      <c r="B71" s="8"/>
      <c r="C71" s="8"/>
      <c r="D71" s="8"/>
      <c r="E71" s="8"/>
      <c r="F71" s="8"/>
      <c r="G71" s="8"/>
      <c r="H71" s="8"/>
      <c r="I71" s="8"/>
      <c r="J71" s="8"/>
      <c r="K71" s="8"/>
    </row>
    <row r="72">
      <c r="A72" s="8" t="s">
        <v>80</v>
      </c>
      <c r="B72" s="8"/>
      <c r="C72" s="8"/>
      <c r="D72" s="8"/>
      <c r="E72" s="8"/>
      <c r="F72" s="8"/>
      <c r="G72" s="8"/>
      <c r="H72" s="8"/>
      <c r="I72" s="8"/>
      <c r="J72" s="8"/>
      <c r="K72" s="8"/>
    </row>
    <row r="73">
      <c r="A73" s="8" t="s">
        <v>81</v>
      </c>
      <c r="B73" s="8"/>
      <c r="C73" s="8"/>
      <c r="D73" s="8"/>
      <c r="E73" s="8"/>
      <c r="F73" s="8"/>
      <c r="G73" s="8"/>
      <c r="H73" s="8"/>
      <c r="I73" s="8"/>
      <c r="J73" s="8"/>
      <c r="K73" s="8"/>
    </row>
    <row r="74">
      <c r="A74" s="8" t="s">
        <v>82</v>
      </c>
      <c r="B74" s="8"/>
      <c r="C74" s="8"/>
      <c r="D74" s="8"/>
      <c r="E74" s="8"/>
      <c r="F74" s="8"/>
      <c r="G74" s="8"/>
      <c r="H74" s="8"/>
      <c r="I74" s="8"/>
      <c r="J74" s="8"/>
      <c r="K74" s="8"/>
    </row>
    <row r="75">
      <c r="A75" s="8" t="s">
        <v>83</v>
      </c>
      <c r="B75" s="8"/>
      <c r="C75" s="8"/>
      <c r="D75" s="8"/>
      <c r="E75" s="8"/>
      <c r="F75" s="8"/>
      <c r="G75" s="8"/>
      <c r="H75" s="8"/>
      <c r="I75" s="8"/>
      <c r="J75" s="8"/>
      <c r="K75" s="8"/>
    </row>
    <row r="76">
      <c r="A76" s="8" t="s">
        <v>84</v>
      </c>
      <c r="B76" s="8"/>
      <c r="C76" s="8"/>
      <c r="D76" s="8"/>
      <c r="E76" s="8"/>
      <c r="F76" s="8"/>
      <c r="G76" s="8"/>
      <c r="H76" s="8"/>
      <c r="I76" s="8"/>
      <c r="J76" s="8"/>
      <c r="K76" s="8"/>
    </row>
    <row r="77">
      <c r="A77" s="8" t="s">
        <v>85</v>
      </c>
      <c r="B77" s="8"/>
      <c r="C77" s="8"/>
      <c r="D77" s="8"/>
      <c r="E77" s="8"/>
      <c r="F77" s="8"/>
      <c r="G77" s="8"/>
      <c r="H77" s="8"/>
      <c r="I77" s="8"/>
      <c r="J77" s="8"/>
      <c r="K77" s="8"/>
    </row>
    <row r="78">
      <c r="A78" s="8" t="s">
        <v>86</v>
      </c>
      <c r="B78" s="8"/>
      <c r="C78" s="8"/>
      <c r="D78" s="8"/>
      <c r="E78" s="8"/>
      <c r="F78" s="8"/>
      <c r="G78" s="8"/>
      <c r="H78" s="8"/>
      <c r="I78" s="8"/>
      <c r="J78" s="8"/>
      <c r="K78" s="8"/>
    </row>
    <row r="79">
      <c r="A79" s="8" t="s">
        <v>87</v>
      </c>
      <c r="B79" s="8"/>
      <c r="C79" s="8"/>
      <c r="D79" s="8"/>
      <c r="E79" s="8"/>
      <c r="F79" s="8"/>
      <c r="G79" s="8"/>
      <c r="H79" s="8"/>
      <c r="I79" s="8"/>
      <c r="J79" s="8"/>
      <c r="K79" s="8"/>
    </row>
    <row r="80">
      <c r="A80" s="8" t="s">
        <v>88</v>
      </c>
      <c r="B80" s="8"/>
      <c r="C80" s="8"/>
      <c r="D80" s="8"/>
      <c r="E80" s="8"/>
      <c r="F80" s="8"/>
      <c r="G80" s="8"/>
      <c r="H80" s="8"/>
      <c r="I80" s="8"/>
      <c r="J80" s="8"/>
      <c r="K80" s="8"/>
    </row>
    <row r="81">
      <c r="A81" s="8" t="s">
        <v>89</v>
      </c>
      <c r="B81" s="8"/>
      <c r="C81" s="8"/>
      <c r="D81" s="8"/>
      <c r="E81" s="8"/>
      <c r="F81" s="8"/>
      <c r="G81" s="8"/>
      <c r="H81" s="8"/>
      <c r="I81" s="8"/>
      <c r="J81" s="8"/>
      <c r="K81" s="8"/>
    </row>
    <row r="82">
      <c r="A82" s="8" t="s">
        <v>90</v>
      </c>
      <c r="B82" s="8"/>
      <c r="C82" s="8"/>
      <c r="D82" s="8"/>
      <c r="E82" s="8"/>
      <c r="F82" s="8"/>
      <c r="G82" s="8"/>
      <c r="H82" s="8"/>
      <c r="I82" s="8"/>
      <c r="J82" s="8"/>
      <c r="K82" s="8"/>
    </row>
    <row r="83">
      <c r="A83" s="8" t="s">
        <v>91</v>
      </c>
      <c r="B83" s="8"/>
      <c r="C83" s="8"/>
      <c r="D83" s="8"/>
      <c r="E83" s="8"/>
      <c r="F83" s="8"/>
      <c r="G83" s="8"/>
      <c r="H83" s="8"/>
      <c r="I83" s="8"/>
      <c r="J83" s="8"/>
      <c r="K83" s="8"/>
    </row>
    <row r="84">
      <c r="A84" s="8" t="s">
        <v>92</v>
      </c>
      <c r="B84" s="8"/>
      <c r="C84" s="8"/>
      <c r="D84" s="8"/>
      <c r="E84" s="8"/>
      <c r="F84" s="8"/>
      <c r="G84" s="8"/>
      <c r="H84" s="8"/>
      <c r="I84" s="8"/>
      <c r="J84" s="8"/>
      <c r="K84" s="8"/>
    </row>
    <row r="85">
      <c r="A85" s="8" t="s">
        <v>93</v>
      </c>
      <c r="B85" s="8"/>
      <c r="C85" s="8"/>
      <c r="D85" s="8"/>
      <c r="E85" s="8"/>
      <c r="F85" s="8"/>
      <c r="G85" s="8"/>
      <c r="H85" s="8"/>
      <c r="I85" s="8"/>
      <c r="J85" s="8"/>
      <c r="K85" s="8"/>
    </row>
    <row r="86">
      <c r="A86" s="8" t="s">
        <v>94</v>
      </c>
      <c r="B86" s="8"/>
      <c r="C86" s="8"/>
      <c r="D86" s="8"/>
      <c r="E86" s="8"/>
      <c r="F86" s="8"/>
      <c r="G86" s="8"/>
      <c r="H86" s="8"/>
      <c r="I86" s="8"/>
      <c r="J86" s="8"/>
      <c r="K86" s="8"/>
    </row>
    <row r="87">
      <c r="A87" s="8" t="s">
        <v>95</v>
      </c>
      <c r="B87" s="8"/>
      <c r="C87" s="8"/>
      <c r="D87" s="8"/>
      <c r="E87" s="8"/>
      <c r="F87" s="8"/>
      <c r="G87" s="8"/>
      <c r="H87" s="8"/>
      <c r="I87" s="8"/>
      <c r="J87" s="8"/>
      <c r="K87" s="8"/>
    </row>
    <row r="88">
      <c r="A88" s="8" t="s">
        <v>96</v>
      </c>
      <c r="B88" s="8"/>
      <c r="C88" s="8"/>
      <c r="D88" s="8"/>
      <c r="E88" s="8"/>
      <c r="F88" s="8"/>
      <c r="G88" s="8"/>
      <c r="H88" s="8"/>
      <c r="I88" s="8"/>
      <c r="J88" s="8"/>
      <c r="K88" s="8"/>
    </row>
    <row r="89">
      <c r="A89" s="8" t="s">
        <v>97</v>
      </c>
      <c r="B89" s="8"/>
      <c r="C89" s="8"/>
      <c r="D89" s="8"/>
      <c r="E89" s="8"/>
      <c r="F89" s="8"/>
      <c r="G89" s="8"/>
      <c r="H89" s="8"/>
      <c r="I89" s="8"/>
      <c r="J89" s="8"/>
      <c r="K89" s="8"/>
    </row>
    <row r="90">
      <c r="A90" s="8" t="s">
        <v>98</v>
      </c>
      <c r="B90" s="8"/>
      <c r="C90" s="8"/>
      <c r="D90" s="8"/>
      <c r="E90" s="8"/>
      <c r="F90" s="8"/>
      <c r="G90" s="8"/>
      <c r="H90" s="8"/>
      <c r="I90" s="8"/>
      <c r="J90" s="8"/>
      <c r="K90" s="8"/>
    </row>
    <row r="91">
      <c r="A91" s="8" t="s">
        <v>99</v>
      </c>
      <c r="B91" s="8"/>
      <c r="C91" s="8"/>
      <c r="D91" s="8"/>
      <c r="E91" s="8"/>
      <c r="F91" s="8"/>
      <c r="G91" s="8"/>
      <c r="H91" s="8"/>
      <c r="I91" s="8"/>
      <c r="J91" s="8"/>
      <c r="K91" s="8"/>
    </row>
    <row r="92">
      <c r="A92" s="8" t="s">
        <v>100</v>
      </c>
      <c r="B92" s="8"/>
      <c r="C92" s="8"/>
      <c r="D92" s="8"/>
      <c r="E92" s="8"/>
      <c r="F92" s="8"/>
      <c r="G92" s="8"/>
      <c r="H92" s="8"/>
      <c r="I92" s="8"/>
      <c r="J92" s="8"/>
      <c r="K92" s="8"/>
    </row>
    <row r="93">
      <c r="A93" s="8" t="s">
        <v>101</v>
      </c>
      <c r="B93" s="8"/>
      <c r="C93" s="8"/>
      <c r="D93" s="8"/>
      <c r="E93" s="8"/>
      <c r="F93" s="8"/>
      <c r="G93" s="8"/>
      <c r="H93" s="8"/>
      <c r="I93" s="8"/>
      <c r="J93" s="8"/>
      <c r="K93" s="8"/>
    </row>
    <row r="94">
      <c r="A94" s="8" t="s">
        <v>102</v>
      </c>
      <c r="B94" s="8"/>
      <c r="C94" s="8"/>
      <c r="D94" s="8"/>
      <c r="E94" s="8"/>
      <c r="F94" s="8"/>
      <c r="G94" s="8"/>
      <c r="H94" s="8"/>
      <c r="I94" s="8"/>
      <c r="J94" s="8"/>
      <c r="K94" s="8"/>
    </row>
    <row r="95">
      <c r="A95" s="8" t="s">
        <v>103</v>
      </c>
      <c r="B95" s="8"/>
      <c r="C95" s="8"/>
      <c r="D95" s="8"/>
      <c r="E95" s="8"/>
      <c r="F95" s="8"/>
      <c r="G95" s="8"/>
      <c r="H95" s="8"/>
      <c r="I95" s="8"/>
      <c r="J95" s="8"/>
      <c r="K95" s="8"/>
    </row>
    <row r="96">
      <c r="A96" s="8" t="s">
        <v>104</v>
      </c>
      <c r="B96" s="8"/>
      <c r="C96" s="8"/>
      <c r="D96" s="8"/>
      <c r="E96" s="8"/>
      <c r="F96" s="8"/>
      <c r="G96" s="8"/>
      <c r="H96" s="8"/>
      <c r="I96" s="8"/>
      <c r="J96" s="8"/>
      <c r="K96" s="8"/>
    </row>
    <row r="97">
      <c r="A97" s="8" t="s">
        <v>105</v>
      </c>
      <c r="B97" s="8"/>
      <c r="C97" s="8"/>
      <c r="D97" s="8"/>
      <c r="E97" s="8"/>
      <c r="F97" s="8"/>
      <c r="G97" s="8"/>
      <c r="H97" s="8"/>
      <c r="I97" s="8"/>
      <c r="J97" s="8"/>
      <c r="K97" s="8"/>
    </row>
    <row r="98">
      <c r="A98" s="8" t="s">
        <v>106</v>
      </c>
      <c r="B98" s="8"/>
      <c r="C98" s="8"/>
      <c r="D98" s="8"/>
      <c r="E98" s="8"/>
      <c r="F98" s="8"/>
      <c r="G98" s="8"/>
      <c r="H98" s="8"/>
      <c r="I98" s="8"/>
      <c r="J98" s="8"/>
      <c r="K98" s="8"/>
    </row>
    <row r="99">
      <c r="A99" s="8" t="s">
        <v>107</v>
      </c>
      <c r="B99" s="8"/>
      <c r="C99" s="8"/>
      <c r="D99" s="8"/>
      <c r="E99" s="8"/>
      <c r="F99" s="8"/>
      <c r="G99" s="8"/>
      <c r="H99" s="8"/>
      <c r="I99" s="8"/>
      <c r="J99" s="8"/>
      <c r="K99" s="8"/>
    </row>
    <row r="100">
      <c r="A100" s="8" t="s">
        <v>108</v>
      </c>
      <c r="B100" s="8"/>
      <c r="C100" s="8"/>
      <c r="D100" s="8"/>
      <c r="E100" s="8"/>
      <c r="F100" s="8"/>
      <c r="G100" s="8"/>
      <c r="H100" s="8"/>
      <c r="I100" s="8"/>
      <c r="J100" s="8"/>
      <c r="K100" s="8"/>
    </row>
    <row r="101">
      <c r="A101" s="8" t="s">
        <v>109</v>
      </c>
      <c r="B101" s="8"/>
      <c r="C101" s="8"/>
      <c r="D101" s="8"/>
      <c r="E101" s="8"/>
      <c r="F101" s="8"/>
      <c r="G101" s="8"/>
      <c r="H101" s="8"/>
      <c r="I101" s="8"/>
      <c r="J101" s="8"/>
      <c r="K101" s="8"/>
    </row>
    <row r="102">
      <c r="A102" s="8" t="s">
        <v>110</v>
      </c>
      <c r="B102" s="8"/>
      <c r="C102" s="8"/>
      <c r="D102" s="8"/>
      <c r="E102" s="8"/>
      <c r="F102" s="8"/>
      <c r="G102" s="8"/>
      <c r="H102" s="8"/>
      <c r="I102" s="8"/>
      <c r="J102" s="8"/>
      <c r="K102" s="8"/>
    </row>
    <row r="103">
      <c r="A103" s="8" t="s">
        <v>111</v>
      </c>
      <c r="B103" s="8"/>
      <c r="C103" s="8"/>
      <c r="D103" s="8"/>
      <c r="E103" s="8"/>
      <c r="F103" s="8"/>
      <c r="G103" s="8"/>
      <c r="H103" s="8"/>
      <c r="I103" s="8"/>
      <c r="J103" s="8"/>
      <c r="K103" s="8"/>
    </row>
    <row r="104">
      <c r="A104" s="8" t="s">
        <v>112</v>
      </c>
      <c r="B104" s="8"/>
      <c r="C104" s="8"/>
      <c r="D104" s="8"/>
      <c r="E104" s="8"/>
      <c r="F104" s="8"/>
      <c r="G104" s="8"/>
      <c r="H104" s="8"/>
      <c r="I104" s="8"/>
      <c r="J104" s="8"/>
      <c r="K104" s="8"/>
    </row>
    <row r="105">
      <c r="A105" s="8" t="s">
        <v>113</v>
      </c>
      <c r="B105" s="8"/>
      <c r="C105" s="8"/>
      <c r="D105" s="8"/>
      <c r="E105" s="8"/>
      <c r="F105" s="8"/>
      <c r="G105" s="8"/>
      <c r="H105" s="8"/>
      <c r="I105" s="8"/>
      <c r="J105" s="8"/>
      <c r="K105" s="8"/>
    </row>
    <row r="106">
      <c r="A106" s="8" t="s">
        <v>114</v>
      </c>
      <c r="B106" s="8"/>
      <c r="C106" s="8"/>
      <c r="D106" s="8"/>
      <c r="E106" s="8"/>
      <c r="F106" s="8"/>
      <c r="G106" s="8"/>
      <c r="H106" s="8"/>
      <c r="I106" s="8"/>
      <c r="J106" s="8"/>
      <c r="K106" s="8"/>
    </row>
    <row r="107">
      <c r="A107" s="8" t="s">
        <v>115</v>
      </c>
      <c r="B107" s="8"/>
      <c r="C107" s="8"/>
      <c r="D107" s="8"/>
      <c r="E107" s="8"/>
      <c r="F107" s="8"/>
      <c r="G107" s="8"/>
      <c r="H107" s="8"/>
      <c r="I107" s="8"/>
      <c r="J107" s="8"/>
      <c r="K107" s="8"/>
    </row>
    <row r="108">
      <c r="A108" s="8" t="s">
        <v>116</v>
      </c>
      <c r="B108" s="8"/>
      <c r="C108" s="8"/>
      <c r="D108" s="8"/>
      <c r="E108" s="8"/>
      <c r="F108" s="8"/>
      <c r="G108" s="8"/>
      <c r="H108" s="8"/>
      <c r="I108" s="8"/>
      <c r="J108" s="8"/>
      <c r="K108" s="8"/>
    </row>
    <row r="109">
      <c r="A109" s="8" t="s">
        <v>117</v>
      </c>
      <c r="B109" s="8"/>
      <c r="C109" s="8"/>
      <c r="D109" s="8"/>
      <c r="E109" s="8"/>
      <c r="F109" s="8"/>
      <c r="G109" s="8"/>
      <c r="H109" s="8"/>
      <c r="I109" s="8"/>
      <c r="J109" s="8"/>
      <c r="K109" s="8"/>
    </row>
    <row r="110">
      <c r="A110" s="8" t="s">
        <v>118</v>
      </c>
      <c r="B110" s="8"/>
      <c r="C110" s="8"/>
      <c r="D110" s="8"/>
      <c r="E110" s="8"/>
      <c r="F110" s="8"/>
      <c r="G110" s="8"/>
      <c r="H110" s="8"/>
      <c r="I110" s="8"/>
      <c r="J110" s="8"/>
      <c r="K110" s="8"/>
    </row>
    <row r="111">
      <c r="A111" s="8" t="s">
        <v>119</v>
      </c>
      <c r="B111" s="8"/>
      <c r="C111" s="8"/>
      <c r="D111" s="8"/>
      <c r="E111" s="8"/>
      <c r="F111" s="8"/>
      <c r="G111" s="8"/>
      <c r="H111" s="8"/>
      <c r="I111" s="8"/>
      <c r="J111" s="8"/>
      <c r="K111" s="8"/>
    </row>
    <row r="112">
      <c r="A112" s="8" t="s">
        <v>120</v>
      </c>
      <c r="B112" s="8"/>
      <c r="C112" s="8"/>
      <c r="D112" s="8"/>
      <c r="E112" s="8"/>
      <c r="F112" s="8"/>
      <c r="G112" s="8"/>
      <c r="H112" s="8"/>
      <c r="I112" s="8"/>
      <c r="J112" s="8"/>
      <c r="K112" s="8"/>
    </row>
    <row r="113">
      <c r="A113" s="8" t="s">
        <v>121</v>
      </c>
      <c r="B113" s="8"/>
      <c r="C113" s="8"/>
      <c r="D113" s="8"/>
      <c r="E113" s="8"/>
      <c r="F113" s="8"/>
      <c r="G113" s="8"/>
      <c r="H113" s="8"/>
      <c r="I113" s="8"/>
      <c r="J113" s="8"/>
      <c r="K113" s="8"/>
    </row>
    <row r="114">
      <c r="A114" s="8" t="s">
        <v>122</v>
      </c>
      <c r="B114" s="8"/>
      <c r="C114" s="8"/>
      <c r="D114" s="8"/>
      <c r="E114" s="8"/>
      <c r="F114" s="8"/>
      <c r="G114" s="8"/>
      <c r="H114" s="8"/>
      <c r="I114" s="8"/>
      <c r="J114" s="8"/>
      <c r="K114" s="8"/>
    </row>
    <row r="115">
      <c r="A115" s="8" t="s">
        <v>123</v>
      </c>
      <c r="B115" s="8"/>
      <c r="C115" s="8"/>
      <c r="D115" s="8"/>
      <c r="E115" s="8"/>
      <c r="F115" s="8"/>
      <c r="G115" s="8"/>
      <c r="H115" s="8"/>
      <c r="I115" s="8"/>
      <c r="J115" s="8"/>
      <c r="K115" s="8"/>
    </row>
    <row r="116">
      <c r="A116" s="8" t="s">
        <v>124</v>
      </c>
      <c r="B116" s="8"/>
      <c r="C116" s="8"/>
      <c r="D116" s="8"/>
      <c r="E116" s="8"/>
      <c r="F116" s="8"/>
      <c r="G116" s="8"/>
      <c r="H116" s="8"/>
      <c r="I116" s="8"/>
      <c r="J116" s="8"/>
      <c r="K116" s="8"/>
    </row>
    <row r="117">
      <c r="A117" s="8" t="s">
        <v>125</v>
      </c>
      <c r="B117" s="8"/>
      <c r="C117" s="8"/>
      <c r="D117" s="8"/>
      <c r="E117" s="8"/>
      <c r="F117" s="8"/>
      <c r="G117" s="8"/>
      <c r="H117" s="8"/>
      <c r="I117" s="8"/>
      <c r="J117" s="8"/>
      <c r="K117" s="8"/>
    </row>
    <row r="118">
      <c r="A118" s="8" t="s">
        <v>126</v>
      </c>
      <c r="B118" s="8"/>
      <c r="C118" s="8"/>
      <c r="D118" s="8"/>
      <c r="E118" s="8"/>
      <c r="F118" s="8"/>
      <c r="G118" s="8"/>
      <c r="H118" s="8"/>
      <c r="I118" s="8"/>
      <c r="J118" s="8"/>
      <c r="K118" s="8"/>
    </row>
    <row r="119">
      <c r="A119" s="8" t="s">
        <v>127</v>
      </c>
      <c r="B119" s="8"/>
      <c r="C119" s="8"/>
      <c r="D119" s="8"/>
      <c r="E119" s="8"/>
      <c r="F119" s="8"/>
      <c r="G119" s="8"/>
      <c r="H119" s="8"/>
      <c r="I119" s="8"/>
      <c r="J119" s="8"/>
      <c r="K119" s="8"/>
    </row>
    <row r="120">
      <c r="A120" s="8" t="s">
        <v>128</v>
      </c>
      <c r="B120" s="8"/>
      <c r="C120" s="8"/>
      <c r="D120" s="8"/>
      <c r="E120" s="8"/>
      <c r="F120" s="8"/>
      <c r="G120" s="8"/>
      <c r="H120" s="8"/>
      <c r="I120" s="8"/>
      <c r="J120" s="8"/>
      <c r="K120" s="8"/>
    </row>
    <row r="121">
      <c r="A121" s="8" t="s">
        <v>129</v>
      </c>
      <c r="B121" s="8"/>
      <c r="C121" s="8"/>
      <c r="D121" s="8"/>
      <c r="E121" s="8"/>
      <c r="F121" s="8"/>
      <c r="G121" s="8"/>
      <c r="H121" s="8"/>
      <c r="I121" s="8"/>
      <c r="J121" s="8"/>
      <c r="K121" s="8"/>
    </row>
    <row r="122">
      <c r="A122" s="8" t="s">
        <v>130</v>
      </c>
      <c r="B122" s="8"/>
      <c r="C122" s="8"/>
      <c r="D122" s="8"/>
      <c r="E122" s="8"/>
      <c r="F122" s="8"/>
      <c r="G122" s="8"/>
      <c r="H122" s="8"/>
      <c r="I122" s="8"/>
      <c r="J122" s="8"/>
      <c r="K122" s="8"/>
    </row>
    <row r="123">
      <c r="A123" s="8" t="s">
        <v>131</v>
      </c>
      <c r="B123" s="8"/>
      <c r="C123" s="8"/>
      <c r="D123" s="8"/>
      <c r="E123" s="8"/>
      <c r="F123" s="8"/>
      <c r="G123" s="8"/>
      <c r="H123" s="8"/>
      <c r="I123" s="8"/>
      <c r="J123" s="8"/>
      <c r="K123" s="8"/>
    </row>
    <row r="124">
      <c r="A124" s="8" t="s">
        <v>132</v>
      </c>
      <c r="B124" s="8"/>
      <c r="C124" s="8"/>
      <c r="D124" s="8"/>
      <c r="E124" s="8"/>
      <c r="F124" s="8"/>
      <c r="G124" s="8"/>
      <c r="H124" s="8"/>
      <c r="I124" s="8"/>
      <c r="J124" s="8"/>
      <c r="K124" s="8"/>
    </row>
    <row r="125">
      <c r="A125" s="8" t="s">
        <v>133</v>
      </c>
      <c r="B125" s="8"/>
      <c r="C125" s="8"/>
      <c r="D125" s="8"/>
      <c r="E125" s="8"/>
      <c r="F125" s="8"/>
      <c r="G125" s="8"/>
      <c r="H125" s="8"/>
      <c r="I125" s="8"/>
      <c r="J125" s="8"/>
      <c r="K125" s="8"/>
    </row>
    <row r="126">
      <c r="A126" s="8" t="s">
        <v>134</v>
      </c>
      <c r="B126" s="8"/>
      <c r="C126" s="8"/>
      <c r="D126" s="8"/>
      <c r="E126" s="8"/>
      <c r="F126" s="8"/>
      <c r="G126" s="8"/>
      <c r="H126" s="8"/>
      <c r="I126" s="8"/>
      <c r="J126" s="8"/>
      <c r="K126" s="8"/>
    </row>
    <row r="127">
      <c r="A127" s="8" t="s">
        <v>135</v>
      </c>
      <c r="B127" s="8"/>
      <c r="C127" s="8"/>
      <c r="D127" s="8"/>
      <c r="E127" s="8"/>
      <c r="F127" s="8"/>
      <c r="G127" s="8"/>
      <c r="H127" s="8"/>
      <c r="I127" s="8"/>
      <c r="J127" s="8"/>
      <c r="K127" s="8"/>
    </row>
    <row r="128">
      <c r="A128" s="8" t="s">
        <v>136</v>
      </c>
      <c r="B128" s="8"/>
      <c r="C128" s="8"/>
      <c r="D128" s="8"/>
      <c r="E128" s="8"/>
      <c r="F128" s="8"/>
      <c r="G128" s="8"/>
      <c r="H128" s="8"/>
      <c r="I128" s="8"/>
      <c r="J128" s="8"/>
      <c r="K128" s="8"/>
    </row>
    <row r="129">
      <c r="A129" s="8" t="s">
        <v>137</v>
      </c>
      <c r="B129" s="8"/>
      <c r="C129" s="8"/>
      <c r="D129" s="8"/>
      <c r="E129" s="8"/>
      <c r="F129" s="8"/>
      <c r="G129" s="8"/>
      <c r="H129" s="8"/>
      <c r="I129" s="8"/>
      <c r="J129" s="8"/>
      <c r="K129" s="8"/>
    </row>
    <row r="130">
      <c r="A130" s="8" t="s">
        <v>138</v>
      </c>
      <c r="B130" s="8"/>
      <c r="C130" s="8"/>
      <c r="D130" s="8"/>
      <c r="E130" s="8"/>
      <c r="F130" s="8"/>
      <c r="G130" s="8"/>
      <c r="H130" s="8"/>
      <c r="I130" s="8"/>
      <c r="J130" s="8"/>
      <c r="K130" s="8"/>
    </row>
    <row r="131">
      <c r="A131" s="8" t="s">
        <v>139</v>
      </c>
      <c r="B131" s="8"/>
      <c r="C131" s="8"/>
      <c r="D131" s="8"/>
      <c r="E131" s="8"/>
      <c r="F131" s="8"/>
      <c r="G131" s="8"/>
      <c r="H131" s="8"/>
      <c r="I131" s="8"/>
      <c r="J131" s="8"/>
      <c r="K131" s="8"/>
    </row>
    <row r="132">
      <c r="A132" s="8" t="s">
        <v>140</v>
      </c>
      <c r="B132" s="8"/>
      <c r="C132" s="8"/>
      <c r="D132" s="8"/>
      <c r="E132" s="8"/>
      <c r="F132" s="8"/>
      <c r="G132" s="8"/>
      <c r="H132" s="8"/>
      <c r="I132" s="8"/>
      <c r="J132" s="8"/>
      <c r="K132" s="8"/>
    </row>
    <row r="133">
      <c r="A133" s="8" t="s">
        <v>141</v>
      </c>
      <c r="B133" s="8"/>
      <c r="C133" s="8"/>
      <c r="D133" s="8"/>
      <c r="E133" s="8"/>
      <c r="F133" s="8"/>
      <c r="G133" s="8"/>
      <c r="H133" s="8"/>
      <c r="I133" s="8"/>
      <c r="J133" s="8"/>
      <c r="K133" s="8"/>
    </row>
    <row r="134">
      <c r="A134" s="8" t="s">
        <v>142</v>
      </c>
      <c r="B134" s="8"/>
      <c r="C134" s="8"/>
      <c r="D134" s="8"/>
      <c r="E134" s="8"/>
      <c r="F134" s="8"/>
      <c r="G134" s="8"/>
      <c r="H134" s="8"/>
      <c r="I134" s="8"/>
      <c r="J134" s="8"/>
      <c r="K134" s="8"/>
    </row>
    <row r="135">
      <c r="A135" s="8" t="s">
        <v>143</v>
      </c>
      <c r="B135" s="8"/>
      <c r="C135" s="8"/>
      <c r="D135" s="8"/>
      <c r="E135" s="8"/>
      <c r="F135" s="8"/>
      <c r="G135" s="8"/>
      <c r="H135" s="8"/>
      <c r="I135" s="8"/>
      <c r="J135" s="8"/>
      <c r="K135" s="8"/>
    </row>
    <row r="136">
      <c r="A136" s="8" t="s">
        <v>144</v>
      </c>
      <c r="B136" s="8"/>
      <c r="C136" s="8"/>
      <c r="D136" s="8"/>
      <c r="E136" s="8"/>
      <c r="F136" s="8"/>
      <c r="G136" s="8"/>
      <c r="H136" s="8"/>
      <c r="I136" s="8"/>
      <c r="J136" s="8"/>
      <c r="K136" s="8"/>
    </row>
    <row r="137">
      <c r="A137" s="8" t="s">
        <v>145</v>
      </c>
      <c r="B137" s="8"/>
      <c r="C137" s="8"/>
      <c r="D137" s="8"/>
      <c r="E137" s="8"/>
      <c r="F137" s="8"/>
      <c r="G137" s="8"/>
      <c r="H137" s="8"/>
      <c r="I137" s="8"/>
      <c r="J137" s="8"/>
      <c r="K137" s="8"/>
    </row>
    <row r="138">
      <c r="A138" s="8" t="s">
        <v>146</v>
      </c>
      <c r="B138" s="8"/>
      <c r="C138" s="8"/>
      <c r="D138" s="8"/>
      <c r="E138" s="8"/>
      <c r="F138" s="8"/>
      <c r="G138" s="8"/>
      <c r="H138" s="8"/>
      <c r="I138" s="8"/>
      <c r="J138" s="8"/>
      <c r="K138" s="8"/>
    </row>
    <row r="139">
      <c r="A139" s="8" t="s">
        <v>147</v>
      </c>
      <c r="B139" s="8"/>
      <c r="C139" s="8"/>
      <c r="D139" s="8"/>
      <c r="E139" s="8"/>
      <c r="F139" s="8"/>
      <c r="G139" s="8"/>
      <c r="H139" s="8"/>
      <c r="I139" s="8"/>
      <c r="J139" s="8"/>
      <c r="K139" s="8"/>
    </row>
    <row r="140">
      <c r="A140" s="8" t="s">
        <v>148</v>
      </c>
      <c r="B140" s="8"/>
      <c r="C140" s="8"/>
      <c r="D140" s="8"/>
      <c r="E140" s="8"/>
      <c r="F140" s="8"/>
      <c r="G140" s="8"/>
      <c r="H140" s="8"/>
      <c r="I140" s="8"/>
      <c r="J140" s="8"/>
      <c r="K140" s="8"/>
    </row>
    <row r="141">
      <c r="A141" s="8" t="s">
        <v>149</v>
      </c>
      <c r="B141" s="8"/>
      <c r="C141" s="8"/>
      <c r="D141" s="8"/>
      <c r="E141" s="8"/>
      <c r="F141" s="8"/>
      <c r="G141" s="8"/>
      <c r="H141" s="8"/>
      <c r="I141" s="8"/>
      <c r="J141" s="8"/>
      <c r="K141" s="8"/>
    </row>
    <row r="142">
      <c r="A142" s="8" t="s">
        <v>150</v>
      </c>
      <c r="B142" s="8"/>
      <c r="C142" s="8"/>
      <c r="D142" s="8"/>
      <c r="E142" s="8"/>
      <c r="F142" s="8"/>
      <c r="G142" s="8"/>
      <c r="H142" s="8"/>
      <c r="I142" s="8"/>
      <c r="J142" s="8"/>
      <c r="K142" s="8"/>
    </row>
    <row r="143">
      <c r="A143" s="8" t="s">
        <v>151</v>
      </c>
      <c r="B143" s="8"/>
      <c r="C143" s="8"/>
      <c r="D143" s="8"/>
      <c r="E143" s="8"/>
      <c r="F143" s="8"/>
      <c r="G143" s="8"/>
      <c r="H143" s="8"/>
      <c r="I143" s="8"/>
      <c r="J143" s="8"/>
      <c r="K143" s="8"/>
    </row>
    <row r="144">
      <c r="A144" s="8" t="s">
        <v>152</v>
      </c>
      <c r="B144" s="8"/>
      <c r="C144" s="8"/>
      <c r="D144" s="8"/>
      <c r="E144" s="8"/>
      <c r="F144" s="8"/>
      <c r="G144" s="8"/>
      <c r="H144" s="8"/>
      <c r="I144" s="8"/>
      <c r="J144" s="8"/>
      <c r="K144" s="8"/>
    </row>
    <row r="145">
      <c r="A145" s="8" t="s">
        <v>153</v>
      </c>
      <c r="B145" s="8"/>
      <c r="C145" s="8"/>
      <c r="D145" s="8"/>
      <c r="E145" s="8"/>
      <c r="F145" s="8"/>
      <c r="G145" s="8"/>
      <c r="H145" s="8"/>
      <c r="I145" s="8"/>
      <c r="J145" s="8"/>
      <c r="K145" s="8"/>
    </row>
    <row r="146">
      <c r="A146" s="8" t="s">
        <v>154</v>
      </c>
      <c r="B146" s="8"/>
      <c r="C146" s="8"/>
      <c r="D146" s="8"/>
      <c r="E146" s="8"/>
      <c r="F146" s="8"/>
      <c r="G146" s="8"/>
      <c r="H146" s="8"/>
      <c r="I146" s="8"/>
      <c r="J146" s="8"/>
      <c r="K146" s="8"/>
    </row>
    <row r="147">
      <c r="A147" s="8" t="s">
        <v>155</v>
      </c>
      <c r="B147" s="8"/>
      <c r="C147" s="8"/>
      <c r="D147" s="8"/>
      <c r="E147" s="8"/>
      <c r="F147" s="8"/>
      <c r="G147" s="8"/>
      <c r="H147" s="8"/>
      <c r="I147" s="8"/>
      <c r="J147" s="8"/>
      <c r="K147" s="8"/>
    </row>
    <row r="148">
      <c r="A148" s="8" t="s">
        <v>156</v>
      </c>
      <c r="B148" s="8"/>
      <c r="C148" s="8"/>
      <c r="D148" s="8"/>
      <c r="E148" s="8"/>
      <c r="F148" s="8"/>
      <c r="G148" s="8"/>
      <c r="H148" s="8"/>
      <c r="I148" s="8"/>
      <c r="J148" s="8"/>
      <c r="K148" s="8"/>
    </row>
    <row r="149">
      <c r="A149" s="8" t="s">
        <v>157</v>
      </c>
      <c r="B149" s="8"/>
      <c r="C149" s="8"/>
      <c r="D149" s="8"/>
      <c r="E149" s="8"/>
      <c r="F149" s="8"/>
      <c r="G149" s="8"/>
      <c r="H149" s="8"/>
      <c r="I149" s="8"/>
      <c r="J149" s="8"/>
      <c r="K149" s="8"/>
    </row>
    <row r="150">
      <c r="A150" s="8" t="s">
        <v>158</v>
      </c>
      <c r="B150" s="8"/>
      <c r="C150" s="8"/>
      <c r="D150" s="8"/>
      <c r="E150" s="8"/>
      <c r="F150" s="8"/>
      <c r="G150" s="8"/>
      <c r="H150" s="8"/>
      <c r="I150" s="8"/>
      <c r="J150" s="8"/>
      <c r="K150" s="8"/>
    </row>
    <row r="151">
      <c r="A151" s="8" t="s">
        <v>159</v>
      </c>
      <c r="B151" s="8"/>
      <c r="C151" s="8"/>
      <c r="D151" s="8"/>
      <c r="E151" s="8"/>
      <c r="F151" s="8"/>
      <c r="G151" s="8"/>
      <c r="H151" s="8"/>
      <c r="I151" s="8"/>
      <c r="J151" s="8"/>
      <c r="K151" s="8"/>
    </row>
    <row r="152">
      <c r="A152" s="8" t="s">
        <v>160</v>
      </c>
      <c r="B152" s="8"/>
      <c r="C152" s="8"/>
      <c r="D152" s="8"/>
      <c r="E152" s="8"/>
      <c r="F152" s="8"/>
      <c r="G152" s="8"/>
      <c r="H152" s="8"/>
      <c r="I152" s="8"/>
      <c r="J152" s="8"/>
      <c r="K152" s="8"/>
    </row>
    <row r="153">
      <c r="A153" s="8" t="s">
        <v>161</v>
      </c>
      <c r="B153" s="8"/>
      <c r="C153" s="8"/>
      <c r="D153" s="8"/>
      <c r="E153" s="8"/>
      <c r="F153" s="8"/>
      <c r="G153" s="8"/>
      <c r="H153" s="8"/>
      <c r="I153" s="8"/>
      <c r="J153" s="8"/>
      <c r="K153" s="8"/>
    </row>
    <row r="154">
      <c r="A154" s="8" t="s">
        <v>162</v>
      </c>
      <c r="B154" s="8"/>
      <c r="C154" s="8"/>
      <c r="D154" s="8"/>
      <c r="E154" s="8"/>
      <c r="F154" s="8"/>
      <c r="G154" s="8"/>
      <c r="H154" s="8"/>
      <c r="I154" s="8"/>
      <c r="J154" s="8"/>
      <c r="K154" s="8"/>
    </row>
    <row r="155">
      <c r="A155" s="8" t="s">
        <v>163</v>
      </c>
      <c r="B155" s="8"/>
      <c r="C155" s="8"/>
      <c r="D155" s="8"/>
      <c r="E155" s="8"/>
      <c r="F155" s="8"/>
      <c r="G155" s="8"/>
      <c r="H155" s="8"/>
      <c r="I155" s="8"/>
      <c r="J155" s="8"/>
      <c r="K155" s="8"/>
    </row>
    <row r="156">
      <c r="A156" s="8" t="s">
        <v>164</v>
      </c>
      <c r="B156" s="8"/>
      <c r="C156" s="8"/>
      <c r="D156" s="8"/>
      <c r="E156" s="8"/>
      <c r="F156" s="8"/>
      <c r="G156" s="8"/>
      <c r="H156" s="8"/>
      <c r="I156" s="8"/>
      <c r="J156" s="8"/>
      <c r="K156" s="8"/>
    </row>
    <row r="157">
      <c r="A157" s="8" t="s">
        <v>165</v>
      </c>
      <c r="B157" s="8"/>
      <c r="C157" s="8"/>
      <c r="D157" s="8"/>
      <c r="E157" s="8"/>
      <c r="F157" s="8"/>
      <c r="G157" s="8"/>
      <c r="H157" s="8"/>
      <c r="I157" s="8"/>
      <c r="J157" s="8"/>
      <c r="K157" s="8"/>
    </row>
    <row r="158">
      <c r="A158" s="8" t="s">
        <v>166</v>
      </c>
      <c r="B158" s="8"/>
      <c r="C158" s="8"/>
      <c r="D158" s="8"/>
      <c r="E158" s="8"/>
      <c r="F158" s="8"/>
      <c r="G158" s="8"/>
      <c r="H158" s="8"/>
      <c r="I158" s="8"/>
      <c r="J158" s="8"/>
      <c r="K158" s="8"/>
    </row>
    <row r="159">
      <c r="A159" s="8" t="s">
        <v>167</v>
      </c>
      <c r="B159" s="8"/>
      <c r="C159" s="8"/>
      <c r="D159" s="8"/>
      <c r="E159" s="8"/>
      <c r="F159" s="8"/>
      <c r="G159" s="8"/>
      <c r="H159" s="8"/>
      <c r="I159" s="8"/>
      <c r="J159" s="8"/>
      <c r="K159" s="8"/>
    </row>
    <row r="160">
      <c r="A160" s="8" t="s">
        <v>168</v>
      </c>
      <c r="B160" s="8"/>
      <c r="C160" s="8"/>
      <c r="D160" s="8"/>
      <c r="E160" s="8"/>
      <c r="F160" s="8"/>
      <c r="G160" s="8"/>
      <c r="H160" s="8"/>
      <c r="I160" s="8"/>
      <c r="J160" s="8"/>
      <c r="K160" s="8"/>
    </row>
    <row r="161">
      <c r="A161" s="8" t="s">
        <v>169</v>
      </c>
      <c r="B161" s="8"/>
      <c r="C161" s="8"/>
      <c r="D161" s="8"/>
      <c r="E161" s="8"/>
      <c r="F161" s="8"/>
      <c r="G161" s="8"/>
      <c r="H161" s="8"/>
      <c r="I161" s="8"/>
      <c r="J161" s="8"/>
      <c r="K161" s="8"/>
    </row>
    <row r="162">
      <c r="A162" s="8" t="s">
        <v>170</v>
      </c>
      <c r="B162" s="8"/>
      <c r="C162" s="8"/>
      <c r="D162" s="8"/>
      <c r="E162" s="8"/>
      <c r="F162" s="8"/>
      <c r="G162" s="8"/>
      <c r="H162" s="8"/>
      <c r="I162" s="8"/>
      <c r="J162" s="8"/>
      <c r="K162" s="8"/>
    </row>
    <row r="163">
      <c r="A163" s="8" t="s">
        <v>171</v>
      </c>
      <c r="B163" s="8"/>
      <c r="C163" s="8"/>
      <c r="D163" s="8"/>
      <c r="E163" s="8"/>
      <c r="F163" s="8"/>
      <c r="G163" s="8"/>
      <c r="H163" s="8"/>
      <c r="I163" s="8"/>
      <c r="J163" s="8"/>
      <c r="K163" s="8"/>
    </row>
    <row r="164">
      <c r="A164" s="8" t="s">
        <v>172</v>
      </c>
      <c r="B164" s="8"/>
      <c r="C164" s="8"/>
      <c r="D164" s="8"/>
      <c r="E164" s="8"/>
      <c r="F164" s="8"/>
      <c r="G164" s="8"/>
      <c r="H164" s="8"/>
      <c r="I164" s="8"/>
      <c r="J164" s="8"/>
      <c r="K164" s="8"/>
    </row>
    <row r="165">
      <c r="A165" s="8" t="s">
        <v>173</v>
      </c>
      <c r="B165" s="8"/>
      <c r="C165" s="8"/>
      <c r="D165" s="8"/>
      <c r="E165" s="8"/>
      <c r="F165" s="8"/>
      <c r="G165" s="8"/>
      <c r="H165" s="8"/>
      <c r="I165" s="8"/>
      <c r="J165" s="8"/>
      <c r="K165" s="8"/>
    </row>
    <row r="166">
      <c r="A166" s="8" t="s">
        <v>174</v>
      </c>
      <c r="B166" s="8"/>
      <c r="C166" s="8"/>
      <c r="D166" s="8"/>
      <c r="E166" s="8"/>
      <c r="F166" s="8"/>
      <c r="G166" s="8"/>
      <c r="H166" s="8"/>
      <c r="I166" s="8"/>
      <c r="J166" s="8"/>
      <c r="K166" s="8"/>
    </row>
    <row r="167">
      <c r="A167" s="8" t="s">
        <v>175</v>
      </c>
      <c r="B167" s="8"/>
      <c r="C167" s="8"/>
      <c r="D167" s="8"/>
      <c r="E167" s="8"/>
      <c r="F167" s="8"/>
      <c r="G167" s="8"/>
      <c r="H167" s="8"/>
      <c r="I167" s="8"/>
      <c r="J167" s="8"/>
      <c r="K167" s="8"/>
    </row>
    <row r="168">
      <c r="A168" s="8" t="s">
        <v>176</v>
      </c>
      <c r="B168" s="8"/>
      <c r="C168" s="8"/>
      <c r="D168" s="8"/>
      <c r="E168" s="8"/>
      <c r="F168" s="8"/>
      <c r="G168" s="8"/>
      <c r="H168" s="8"/>
      <c r="I168" s="8"/>
      <c r="J168" s="8"/>
      <c r="K168" s="8"/>
    </row>
    <row r="169">
      <c r="A169" s="8" t="s">
        <v>177</v>
      </c>
      <c r="B169" s="8"/>
      <c r="C169" s="8"/>
      <c r="D169" s="8"/>
      <c r="E169" s="8"/>
      <c r="F169" s="8"/>
      <c r="G169" s="8"/>
      <c r="H169" s="8"/>
      <c r="I169" s="8"/>
      <c r="J169" s="8"/>
      <c r="K169" s="8"/>
    </row>
    <row r="170">
      <c r="A170" s="8" t="s">
        <v>178</v>
      </c>
      <c r="B170" s="8"/>
      <c r="C170" s="8"/>
      <c r="D170" s="8"/>
      <c r="E170" s="8"/>
      <c r="F170" s="8"/>
      <c r="G170" s="8"/>
      <c r="H170" s="8"/>
      <c r="I170" s="8"/>
      <c r="J170" s="8"/>
      <c r="K170" s="8"/>
    </row>
    <row r="171">
      <c r="A171" s="8" t="s">
        <v>179</v>
      </c>
      <c r="B171" s="8"/>
      <c r="C171" s="8"/>
      <c r="D171" s="8"/>
      <c r="E171" s="8"/>
      <c r="F171" s="8"/>
      <c r="G171" s="8"/>
      <c r="H171" s="8"/>
      <c r="I171" s="8"/>
      <c r="J171" s="8"/>
      <c r="K171" s="8"/>
    </row>
    <row r="172">
      <c r="A172" s="8" t="s">
        <v>180</v>
      </c>
      <c r="B172" s="8"/>
      <c r="C172" s="8"/>
      <c r="D172" s="8"/>
      <c r="E172" s="8"/>
      <c r="F172" s="8"/>
      <c r="G172" s="8"/>
      <c r="H172" s="8"/>
      <c r="I172" s="8"/>
      <c r="J172" s="8"/>
      <c r="K172" s="8"/>
    </row>
    <row r="173">
      <c r="A173" s="8" t="s">
        <v>181</v>
      </c>
      <c r="B173" s="8"/>
      <c r="C173" s="8"/>
      <c r="D173" s="8"/>
      <c r="E173" s="8"/>
      <c r="F173" s="8"/>
      <c r="G173" s="8"/>
      <c r="H173" s="8"/>
      <c r="I173" s="8"/>
      <c r="J173" s="8"/>
      <c r="K173" s="8"/>
    </row>
    <row r="174">
      <c r="A174" s="8" t="s">
        <v>182</v>
      </c>
      <c r="B174" s="8"/>
      <c r="C174" s="8"/>
      <c r="D174" s="8"/>
      <c r="E174" s="8"/>
      <c r="F174" s="8"/>
      <c r="G174" s="8"/>
      <c r="H174" s="8"/>
      <c r="I174" s="8"/>
      <c r="J174" s="8"/>
      <c r="K174" s="8"/>
    </row>
    <row r="175">
      <c r="A175" s="8" t="s">
        <v>183</v>
      </c>
      <c r="B175" s="8"/>
      <c r="C175" s="8"/>
      <c r="D175" s="8"/>
      <c r="E175" s="8"/>
      <c r="F175" s="8"/>
      <c r="G175" s="8"/>
      <c r="H175" s="8"/>
      <c r="I175" s="8"/>
      <c r="J175" s="8"/>
      <c r="K175" s="8"/>
    </row>
    <row r="176">
      <c r="A176" s="8" t="s">
        <v>184</v>
      </c>
      <c r="B176" s="8"/>
      <c r="C176" s="8"/>
      <c r="D176" s="8"/>
      <c r="E176" s="8"/>
      <c r="F176" s="8"/>
      <c r="G176" s="8"/>
      <c r="H176" s="8"/>
      <c r="I176" s="8"/>
      <c r="J176" s="8"/>
      <c r="K176" s="8"/>
    </row>
    <row r="177">
      <c r="A177" s="8" t="s">
        <v>185</v>
      </c>
      <c r="B177" s="8"/>
      <c r="C177" s="8"/>
      <c r="D177" s="8"/>
      <c r="E177" s="8"/>
      <c r="F177" s="8"/>
      <c r="G177" s="8"/>
      <c r="H177" s="8"/>
      <c r="I177" s="8"/>
      <c r="J177" s="8"/>
      <c r="K177" s="8"/>
    </row>
    <row r="178">
      <c r="A178" s="8" t="s">
        <v>186</v>
      </c>
      <c r="B178" s="8"/>
      <c r="C178" s="8"/>
      <c r="D178" s="8"/>
      <c r="E178" s="8"/>
      <c r="F178" s="8"/>
      <c r="G178" s="8"/>
      <c r="H178" s="8"/>
      <c r="I178" s="8"/>
      <c r="J178" s="8"/>
      <c r="K178" s="8"/>
    </row>
    <row r="179">
      <c r="A179" s="8" t="s">
        <v>187</v>
      </c>
      <c r="B179" s="8"/>
      <c r="C179" s="8"/>
      <c r="D179" s="8"/>
      <c r="E179" s="8"/>
      <c r="F179" s="8"/>
      <c r="G179" s="8"/>
      <c r="H179" s="8"/>
      <c r="I179" s="8"/>
      <c r="J179" s="8"/>
      <c r="K179" s="8"/>
    </row>
    <row r="180">
      <c r="A180" s="8" t="s">
        <v>188</v>
      </c>
      <c r="B180" s="8"/>
      <c r="C180" s="8"/>
      <c r="D180" s="8"/>
      <c r="E180" s="8"/>
      <c r="F180" s="8"/>
      <c r="G180" s="8"/>
      <c r="H180" s="8"/>
      <c r="I180" s="8"/>
      <c r="J180" s="8"/>
      <c r="K180" s="8"/>
    </row>
    <row r="181">
      <c r="A181" s="8" t="s">
        <v>189</v>
      </c>
      <c r="B181" s="8"/>
      <c r="C181" s="8"/>
      <c r="D181" s="8"/>
      <c r="E181" s="8"/>
      <c r="F181" s="8"/>
      <c r="G181" s="8"/>
      <c r="H181" s="8"/>
      <c r="I181" s="8"/>
      <c r="J181" s="8"/>
      <c r="K181" s="8"/>
    </row>
    <row r="182">
      <c r="A182" s="8" t="s">
        <v>190</v>
      </c>
      <c r="B182" s="8"/>
      <c r="C182" s="8"/>
      <c r="D182" s="8"/>
      <c r="E182" s="8"/>
      <c r="F182" s="8"/>
      <c r="G182" s="8"/>
      <c r="H182" s="8"/>
      <c r="I182" s="8"/>
      <c r="J182" s="8"/>
      <c r="K182" s="8"/>
    </row>
    <row r="183">
      <c r="A183" s="8" t="s">
        <v>191</v>
      </c>
      <c r="B183" s="8"/>
      <c r="C183" s="8"/>
      <c r="D183" s="8"/>
      <c r="E183" s="8"/>
      <c r="F183" s="8"/>
      <c r="G183" s="8"/>
      <c r="H183" s="8"/>
      <c r="I183" s="8"/>
      <c r="J183" s="8"/>
      <c r="K183" s="8"/>
    </row>
    <row r="184">
      <c r="A184" s="8" t="s">
        <v>192</v>
      </c>
      <c r="B184" s="8"/>
      <c r="C184" s="8"/>
      <c r="D184" s="8"/>
      <c r="E184" s="8"/>
      <c r="F184" s="8"/>
      <c r="G184" s="8"/>
      <c r="H184" s="8"/>
      <c r="I184" s="8"/>
      <c r="J184" s="8"/>
      <c r="K184" s="8"/>
    </row>
    <row r="185">
      <c r="A185" s="8" t="s">
        <v>193</v>
      </c>
      <c r="B185" s="8"/>
      <c r="C185" s="8"/>
      <c r="D185" s="8"/>
      <c r="E185" s="8"/>
      <c r="F185" s="8"/>
      <c r="G185" s="8"/>
      <c r="H185" s="8"/>
      <c r="I185" s="8"/>
      <c r="J185" s="8"/>
      <c r="K185" s="8"/>
    </row>
    <row r="186">
      <c r="A186" s="8" t="s">
        <v>194</v>
      </c>
      <c r="B186" s="8"/>
      <c r="C186" s="8"/>
      <c r="D186" s="8"/>
      <c r="E186" s="8"/>
      <c r="F186" s="8"/>
      <c r="G186" s="8"/>
      <c r="H186" s="8"/>
      <c r="I186" s="8"/>
      <c r="J186" s="8"/>
      <c r="K186" s="8"/>
    </row>
    <row r="187">
      <c r="A187" s="8" t="s">
        <v>195</v>
      </c>
      <c r="B187" s="8"/>
      <c r="C187" s="8"/>
      <c r="D187" s="8"/>
      <c r="E187" s="8"/>
      <c r="F187" s="8"/>
      <c r="G187" s="8"/>
      <c r="H187" s="8"/>
      <c r="I187" s="8"/>
      <c r="J187" s="8"/>
      <c r="K187" s="8"/>
    </row>
    <row r="188">
      <c r="A188" s="8" t="s">
        <v>196</v>
      </c>
      <c r="B188" s="8"/>
      <c r="C188" s="8"/>
      <c r="D188" s="8"/>
      <c r="E188" s="8"/>
      <c r="F188" s="8"/>
      <c r="G188" s="8"/>
      <c r="H188" s="8"/>
      <c r="I188" s="8"/>
      <c r="J188" s="8"/>
      <c r="K188" s="8"/>
    </row>
    <row r="189">
      <c r="A189" s="8" t="s">
        <v>197</v>
      </c>
      <c r="B189" s="8"/>
      <c r="C189" s="8"/>
      <c r="D189" s="8"/>
      <c r="E189" s="8"/>
      <c r="F189" s="8"/>
      <c r="G189" s="8"/>
      <c r="H189" s="8"/>
      <c r="I189" s="8"/>
      <c r="J189" s="8"/>
      <c r="K189" s="8"/>
    </row>
    <row r="190">
      <c r="A190" s="8" t="s">
        <v>198</v>
      </c>
      <c r="B190" s="8"/>
      <c r="C190" s="8"/>
      <c r="D190" s="8"/>
      <c r="E190" s="8"/>
      <c r="F190" s="8"/>
      <c r="G190" s="8"/>
      <c r="H190" s="8"/>
      <c r="I190" s="8"/>
      <c r="J190" s="8"/>
      <c r="K190" s="8"/>
    </row>
    <row r="191">
      <c r="A191" s="8" t="s">
        <v>199</v>
      </c>
      <c r="B191" s="8"/>
      <c r="C191" s="8"/>
      <c r="D191" s="8"/>
      <c r="E191" s="8"/>
      <c r="F191" s="8"/>
      <c r="G191" s="8"/>
      <c r="H191" s="8"/>
      <c r="I191" s="8"/>
      <c r="J191" s="8"/>
      <c r="K191" s="8"/>
    </row>
    <row r="192">
      <c r="A192" s="8" t="s">
        <v>200</v>
      </c>
      <c r="B192" s="8"/>
      <c r="C192" s="8"/>
      <c r="D192" s="8"/>
      <c r="E192" s="8"/>
      <c r="F192" s="8"/>
      <c r="G192" s="8"/>
      <c r="H192" s="8"/>
      <c r="I192" s="8"/>
      <c r="J192" s="8"/>
      <c r="K192" s="8"/>
    </row>
    <row r="193">
      <c r="A193" s="8" t="s">
        <v>201</v>
      </c>
      <c r="B193" s="8"/>
      <c r="C193" s="8"/>
      <c r="D193" s="8"/>
      <c r="E193" s="8"/>
      <c r="F193" s="8"/>
      <c r="G193" s="8"/>
      <c r="H193" s="8"/>
      <c r="I193" s="8"/>
      <c r="J193" s="8"/>
      <c r="K193" s="8"/>
    </row>
    <row r="194">
      <c r="A194" s="8" t="s">
        <v>202</v>
      </c>
      <c r="B194" s="8"/>
      <c r="C194" s="8"/>
      <c r="D194" s="8"/>
      <c r="E194" s="8"/>
      <c r="F194" s="8"/>
      <c r="G194" s="8"/>
      <c r="H194" s="8"/>
      <c r="I194" s="8"/>
      <c r="J194" s="8"/>
      <c r="K194" s="8"/>
    </row>
    <row r="195">
      <c r="A195" s="8" t="s">
        <v>203</v>
      </c>
      <c r="B195" s="8"/>
      <c r="C195" s="8"/>
      <c r="D195" s="8"/>
      <c r="E195" s="8"/>
      <c r="F195" s="8"/>
      <c r="G195" s="8"/>
      <c r="H195" s="8"/>
      <c r="I195" s="8"/>
      <c r="J195" s="8"/>
      <c r="K195" s="8"/>
    </row>
    <row r="196">
      <c r="A196" s="8" t="s">
        <v>204</v>
      </c>
      <c r="B196" s="8"/>
      <c r="C196" s="8"/>
      <c r="D196" s="8"/>
      <c r="E196" s="8"/>
      <c r="F196" s="8"/>
      <c r="G196" s="8"/>
      <c r="H196" s="8"/>
      <c r="I196" s="8"/>
      <c r="J196" s="8"/>
      <c r="K196" s="8"/>
    </row>
    <row r="197">
      <c r="A197" s="8" t="s">
        <v>205</v>
      </c>
      <c r="B197" s="8"/>
      <c r="C197" s="8"/>
      <c r="D197" s="8"/>
      <c r="E197" s="8"/>
      <c r="F197" s="8"/>
      <c r="G197" s="8"/>
      <c r="H197" s="8"/>
      <c r="I197" s="8"/>
      <c r="J197" s="8"/>
      <c r="K197" s="8"/>
    </row>
    <row r="198">
      <c r="A198" s="8" t="s">
        <v>206</v>
      </c>
      <c r="B198" s="8"/>
      <c r="C198" s="8"/>
      <c r="D198" s="8"/>
      <c r="E198" s="8"/>
      <c r="F198" s="8"/>
      <c r="G198" s="8"/>
      <c r="H198" s="8"/>
      <c r="I198" s="8"/>
      <c r="J198" s="8"/>
      <c r="K198" s="8"/>
    </row>
    <row r="199">
      <c r="A199" s="8" t="s">
        <v>207</v>
      </c>
      <c r="B199" s="8"/>
      <c r="C199" s="8"/>
      <c r="D199" s="8"/>
      <c r="E199" s="8"/>
      <c r="F199" s="8"/>
      <c r="G199" s="8"/>
      <c r="H199" s="8"/>
      <c r="I199" s="8"/>
      <c r="J199" s="8"/>
      <c r="K199" s="8"/>
    </row>
    <row r="200">
      <c r="A200" s="8" t="s">
        <v>208</v>
      </c>
      <c r="B200" s="8"/>
      <c r="C200" s="8"/>
      <c r="D200" s="8"/>
      <c r="E200" s="8"/>
      <c r="F200" s="8"/>
      <c r="G200" s="8"/>
      <c r="H200" s="8"/>
      <c r="I200" s="8"/>
      <c r="J200" s="8"/>
      <c r="K200" s="8"/>
    </row>
    <row r="201">
      <c r="A201" s="8" t="s">
        <v>209</v>
      </c>
      <c r="B201" s="8"/>
      <c r="C201" s="8"/>
      <c r="D201" s="8"/>
      <c r="E201" s="8"/>
      <c r="F201" s="8"/>
      <c r="G201" s="8"/>
      <c r="H201" s="8"/>
      <c r="I201" s="8"/>
      <c r="J201" s="8"/>
      <c r="K201" s="8"/>
    </row>
    <row r="202">
      <c r="A202" s="8" t="s">
        <v>210</v>
      </c>
      <c r="B202" s="8"/>
      <c r="C202" s="8"/>
      <c r="D202" s="8"/>
      <c r="E202" s="8"/>
      <c r="F202" s="8"/>
      <c r="G202" s="8"/>
      <c r="H202" s="8"/>
      <c r="I202" s="8"/>
      <c r="J202" s="8"/>
      <c r="K202" s="8"/>
    </row>
    <row r="203">
      <c r="A203" s="8" t="s">
        <v>211</v>
      </c>
      <c r="B203" s="8"/>
      <c r="C203" s="8"/>
      <c r="D203" s="8"/>
      <c r="E203" s="8"/>
      <c r="F203" s="8"/>
      <c r="G203" s="8"/>
      <c r="H203" s="8"/>
      <c r="I203" s="8"/>
      <c r="J203" s="8"/>
      <c r="K203" s="8"/>
    </row>
    <row r="204">
      <c r="A204" s="8" t="s">
        <v>212</v>
      </c>
      <c r="B204" s="8"/>
      <c r="C204" s="8"/>
      <c r="D204" s="8"/>
      <c r="E204" s="8"/>
      <c r="F204" s="8"/>
      <c r="G204" s="8"/>
      <c r="H204" s="8"/>
      <c r="I204" s="8"/>
      <c r="J204" s="8"/>
      <c r="K204" s="8"/>
    </row>
    <row r="205">
      <c r="A205" s="8" t="s">
        <v>213</v>
      </c>
      <c r="B205" s="8"/>
      <c r="C205" s="8"/>
      <c r="D205" s="8"/>
      <c r="E205" s="8"/>
      <c r="F205" s="8"/>
      <c r="G205" s="8"/>
      <c r="H205" s="8"/>
      <c r="I205" s="8"/>
      <c r="J205" s="8"/>
      <c r="K205" s="8"/>
    </row>
    <row r="206">
      <c r="A206" s="8" t="s">
        <v>214</v>
      </c>
      <c r="B206" s="8"/>
      <c r="C206" s="8"/>
      <c r="D206" s="8"/>
      <c r="E206" s="8"/>
      <c r="F206" s="8"/>
      <c r="G206" s="8"/>
      <c r="H206" s="8"/>
      <c r="I206" s="8"/>
      <c r="J206" s="8"/>
      <c r="K206" s="8"/>
    </row>
    <row r="207">
      <c r="A207" s="8" t="s">
        <v>215</v>
      </c>
      <c r="B207" s="8"/>
      <c r="C207" s="8"/>
      <c r="D207" s="8"/>
      <c r="E207" s="8"/>
      <c r="F207" s="8"/>
      <c r="G207" s="8"/>
      <c r="H207" s="8"/>
      <c r="I207" s="8"/>
      <c r="J207" s="8"/>
      <c r="K207" s="8"/>
    </row>
    <row r="208">
      <c r="A208" s="8" t="s">
        <v>216</v>
      </c>
      <c r="B208" s="8"/>
      <c r="C208" s="8"/>
      <c r="D208" s="8"/>
      <c r="E208" s="8"/>
      <c r="F208" s="8"/>
      <c r="G208" s="8"/>
      <c r="H208" s="8"/>
      <c r="I208" s="8"/>
      <c r="J208" s="8"/>
      <c r="K208" s="8"/>
    </row>
    <row r="209">
      <c r="A209" s="8" t="s">
        <v>217</v>
      </c>
      <c r="B209" s="8"/>
      <c r="C209" s="8"/>
      <c r="D209" s="8"/>
      <c r="E209" s="8"/>
      <c r="F209" s="8"/>
      <c r="G209" s="8"/>
      <c r="H209" s="8"/>
      <c r="I209" s="8"/>
      <c r="J209" s="8"/>
      <c r="K209" s="8"/>
    </row>
    <row r="210">
      <c r="A210" s="8" t="s">
        <v>218</v>
      </c>
      <c r="B210" s="8"/>
      <c r="C210" s="8"/>
      <c r="D210" s="8"/>
      <c r="E210" s="8"/>
      <c r="F210" s="8"/>
      <c r="G210" s="8"/>
      <c r="H210" s="8"/>
      <c r="I210" s="8"/>
      <c r="J210" s="8"/>
      <c r="K210" s="8"/>
    </row>
    <row r="211">
      <c r="A211" s="8" t="s">
        <v>219</v>
      </c>
      <c r="B211" s="8"/>
      <c r="C211" s="8"/>
      <c r="D211" s="8"/>
      <c r="E211" s="8"/>
      <c r="F211" s="8"/>
      <c r="G211" s="8"/>
      <c r="H211" s="8"/>
      <c r="I211" s="8"/>
      <c r="J211" s="8"/>
      <c r="K211" s="8"/>
    </row>
    <row r="212">
      <c r="A212" s="8" t="s">
        <v>220</v>
      </c>
      <c r="B212" s="8"/>
      <c r="C212" s="8"/>
      <c r="D212" s="8"/>
      <c r="E212" s="8"/>
      <c r="F212" s="8"/>
      <c r="G212" s="8"/>
      <c r="H212" s="8"/>
      <c r="I212" s="8"/>
      <c r="J212" s="8"/>
      <c r="K212" s="8"/>
    </row>
    <row r="213">
      <c r="A213" s="8" t="s">
        <v>221</v>
      </c>
      <c r="B213" s="8"/>
      <c r="C213" s="8"/>
      <c r="D213" s="8"/>
      <c r="E213" s="8"/>
      <c r="F213" s="8"/>
      <c r="G213" s="8"/>
      <c r="H213" s="8"/>
      <c r="I213" s="8"/>
      <c r="J213" s="8"/>
      <c r="K213" s="8"/>
    </row>
    <row r="214">
      <c r="A214" s="8" t="s">
        <v>222</v>
      </c>
      <c r="B214" s="8"/>
      <c r="C214" s="8"/>
      <c r="D214" s="8"/>
      <c r="E214" s="8"/>
      <c r="F214" s="8"/>
      <c r="G214" s="8"/>
      <c r="H214" s="8"/>
      <c r="I214" s="8"/>
      <c r="J214" s="8"/>
      <c r="K214" s="8"/>
    </row>
    <row r="215">
      <c r="A215" s="8" t="s">
        <v>223</v>
      </c>
      <c r="B215" s="8"/>
      <c r="C215" s="8"/>
      <c r="D215" s="8"/>
      <c r="E215" s="8"/>
      <c r="F215" s="8"/>
      <c r="G215" s="8"/>
      <c r="H215" s="8"/>
      <c r="I215" s="8"/>
      <c r="J215" s="8"/>
      <c r="K215" s="8"/>
    </row>
    <row r="216">
      <c r="A216" s="8" t="s">
        <v>224</v>
      </c>
      <c r="B216" s="8"/>
      <c r="C216" s="8"/>
      <c r="D216" s="8"/>
      <c r="E216" s="8"/>
      <c r="F216" s="8"/>
      <c r="G216" s="8"/>
      <c r="H216" s="8"/>
      <c r="I216" s="8"/>
      <c r="J216" s="8"/>
      <c r="K216" s="8"/>
    </row>
    <row r="217">
      <c r="A217" s="8" t="s">
        <v>225</v>
      </c>
      <c r="B217" s="8"/>
      <c r="C217" s="8"/>
      <c r="D217" s="8"/>
      <c r="E217" s="8"/>
      <c r="F217" s="8"/>
      <c r="G217" s="8"/>
      <c r="H217" s="8"/>
      <c r="I217" s="8"/>
      <c r="J217" s="8"/>
      <c r="K217" s="8"/>
    </row>
    <row r="218">
      <c r="A218" s="8" t="s">
        <v>226</v>
      </c>
      <c r="B218" s="8"/>
      <c r="C218" s="8"/>
      <c r="D218" s="8"/>
      <c r="E218" s="8"/>
      <c r="F218" s="8"/>
      <c r="G218" s="8"/>
      <c r="H218" s="8"/>
      <c r="I218" s="8"/>
      <c r="J218" s="8"/>
      <c r="K218" s="8"/>
    </row>
    <row r="219">
      <c r="A219" s="8" t="s">
        <v>227</v>
      </c>
      <c r="B219" s="8"/>
      <c r="C219" s="8"/>
      <c r="D219" s="8"/>
      <c r="E219" s="8"/>
      <c r="F219" s="8"/>
      <c r="G219" s="8"/>
      <c r="H219" s="8"/>
      <c r="I219" s="8"/>
      <c r="J219" s="8"/>
      <c r="K219" s="8"/>
    </row>
    <row r="220">
      <c r="A220" s="8" t="s">
        <v>228</v>
      </c>
      <c r="B220" s="8"/>
      <c r="C220" s="8"/>
      <c r="D220" s="8"/>
      <c r="E220" s="8"/>
      <c r="F220" s="8"/>
      <c r="G220" s="8"/>
      <c r="H220" s="8"/>
      <c r="I220" s="8"/>
      <c r="J220" s="8"/>
      <c r="K220" s="8"/>
    </row>
    <row r="221">
      <c r="A221" s="8" t="s">
        <v>229</v>
      </c>
      <c r="B221" s="8"/>
      <c r="C221" s="8"/>
      <c r="D221" s="8"/>
      <c r="E221" s="8"/>
      <c r="F221" s="8"/>
      <c r="G221" s="8"/>
      <c r="H221" s="8"/>
      <c r="I221" s="8"/>
      <c r="J221" s="8"/>
      <c r="K221" s="8"/>
    </row>
    <row r="222">
      <c r="A222" s="8" t="s">
        <v>230</v>
      </c>
      <c r="B222" s="8"/>
      <c r="C222" s="8"/>
      <c r="D222" s="8"/>
      <c r="E222" s="8"/>
      <c r="F222" s="8"/>
      <c r="G222" s="8"/>
      <c r="H222" s="8"/>
      <c r="I222" s="8"/>
      <c r="J222" s="8"/>
      <c r="K222" s="8"/>
    </row>
    <row r="223">
      <c r="A223" s="8" t="s">
        <v>231</v>
      </c>
      <c r="B223" s="8"/>
      <c r="C223" s="8"/>
      <c r="D223" s="8"/>
      <c r="E223" s="8"/>
      <c r="F223" s="8"/>
      <c r="G223" s="8"/>
      <c r="H223" s="8"/>
      <c r="I223" s="8"/>
      <c r="J223" s="8"/>
      <c r="K223" s="8"/>
    </row>
    <row r="224">
      <c r="A224" s="8" t="s">
        <v>232</v>
      </c>
      <c r="B224" s="8"/>
      <c r="C224" s="8"/>
      <c r="D224" s="8"/>
      <c r="E224" s="8"/>
      <c r="F224" s="8"/>
      <c r="G224" s="8"/>
      <c r="H224" s="8"/>
      <c r="I224" s="8"/>
      <c r="J224" s="8"/>
      <c r="K224" s="8"/>
    </row>
    <row r="225">
      <c r="A225" s="8" t="s">
        <v>233</v>
      </c>
      <c r="B225" s="8"/>
      <c r="C225" s="8"/>
      <c r="D225" s="8"/>
      <c r="E225" s="8"/>
      <c r="F225" s="8"/>
      <c r="G225" s="8"/>
      <c r="H225" s="8"/>
      <c r="I225" s="8"/>
      <c r="J225" s="8"/>
      <c r="K225" s="8"/>
    </row>
    <row r="226">
      <c r="A226" s="8" t="s">
        <v>234</v>
      </c>
      <c r="B226" s="8"/>
      <c r="C226" s="8"/>
      <c r="D226" s="8"/>
      <c r="E226" s="8"/>
      <c r="F226" s="8"/>
      <c r="G226" s="8"/>
      <c r="H226" s="8"/>
      <c r="I226" s="8"/>
      <c r="J226" s="8"/>
      <c r="K226" s="8"/>
    </row>
    <row r="227">
      <c r="A227" s="8" t="s">
        <v>235</v>
      </c>
      <c r="B227" s="8"/>
      <c r="C227" s="8"/>
      <c r="D227" s="8"/>
      <c r="E227" s="8"/>
      <c r="F227" s="8"/>
      <c r="G227" s="8"/>
      <c r="H227" s="8"/>
      <c r="I227" s="8"/>
      <c r="J227" s="8"/>
      <c r="K227" s="8"/>
    </row>
    <row r="228">
      <c r="A228" s="8" t="s">
        <v>236</v>
      </c>
      <c r="B228" s="8"/>
      <c r="C228" s="8"/>
      <c r="D228" s="8"/>
      <c r="E228" s="8"/>
      <c r="F228" s="8"/>
      <c r="G228" s="8"/>
      <c r="H228" s="8"/>
      <c r="I228" s="8"/>
      <c r="J228" s="8"/>
      <c r="K228" s="8"/>
    </row>
    <row r="229">
      <c r="A229" s="8" t="s">
        <v>237</v>
      </c>
      <c r="B229" s="8"/>
      <c r="C229" s="8"/>
      <c r="D229" s="8"/>
      <c r="E229" s="8"/>
      <c r="F229" s="8"/>
      <c r="G229" s="8"/>
      <c r="H229" s="8"/>
      <c r="I229" s="8"/>
      <c r="J229" s="8"/>
      <c r="K229" s="8"/>
    </row>
    <row r="230">
      <c r="A230" s="8" t="s">
        <v>238</v>
      </c>
      <c r="B230" s="8"/>
      <c r="C230" s="8"/>
      <c r="D230" s="8"/>
      <c r="E230" s="8"/>
      <c r="F230" s="8"/>
      <c r="G230" s="8"/>
      <c r="H230" s="8"/>
      <c r="I230" s="8"/>
      <c r="J230" s="8"/>
      <c r="K230" s="8"/>
    </row>
    <row r="231">
      <c r="A231" s="8" t="s">
        <v>239</v>
      </c>
      <c r="B231" s="8"/>
      <c r="C231" s="8"/>
      <c r="D231" s="8"/>
      <c r="E231" s="8"/>
      <c r="F231" s="8"/>
      <c r="G231" s="8"/>
      <c r="H231" s="8"/>
      <c r="I231" s="8"/>
      <c r="J231" s="8"/>
      <c r="K231" s="8"/>
    </row>
    <row r="232">
      <c r="A232" s="8" t="s">
        <v>240</v>
      </c>
      <c r="B232" s="8"/>
      <c r="C232" s="8"/>
      <c r="D232" s="8"/>
      <c r="E232" s="8"/>
      <c r="F232" s="8"/>
      <c r="G232" s="8"/>
      <c r="H232" s="8"/>
      <c r="I232" s="8"/>
      <c r="J232" s="8"/>
      <c r="K232" s="8"/>
    </row>
    <row r="233">
      <c r="A233" s="8" t="s">
        <v>241</v>
      </c>
      <c r="B233" s="8"/>
      <c r="C233" s="8"/>
      <c r="D233" s="8"/>
      <c r="E233" s="8"/>
      <c r="F233" s="8"/>
      <c r="G233" s="8"/>
      <c r="H233" s="8"/>
      <c r="I233" s="8"/>
      <c r="J233" s="8"/>
      <c r="K233" s="8"/>
    </row>
    <row r="234">
      <c r="A234" s="8" t="s">
        <v>242</v>
      </c>
      <c r="B234" s="8"/>
      <c r="C234" s="8"/>
      <c r="D234" s="8"/>
      <c r="E234" s="8"/>
      <c r="F234" s="8"/>
      <c r="G234" s="8"/>
      <c r="H234" s="8"/>
      <c r="I234" s="8"/>
      <c r="J234" s="8"/>
      <c r="K234" s="8"/>
    </row>
    <row r="235">
      <c r="A235" s="8" t="s">
        <v>243</v>
      </c>
      <c r="B235" s="8"/>
      <c r="C235" s="8"/>
      <c r="D235" s="8"/>
      <c r="E235" s="8"/>
      <c r="F235" s="8"/>
      <c r="G235" s="8"/>
      <c r="H235" s="8"/>
      <c r="I235" s="8"/>
      <c r="J235" s="8"/>
      <c r="K235" s="8"/>
    </row>
    <row r="236">
      <c r="A236" s="8" t="s">
        <v>244</v>
      </c>
      <c r="B236" s="8"/>
      <c r="C236" s="8"/>
      <c r="D236" s="8"/>
      <c r="E236" s="8"/>
      <c r="F236" s="8"/>
      <c r="G236" s="8"/>
      <c r="H236" s="8"/>
      <c r="I236" s="8"/>
      <c r="J236" s="8"/>
      <c r="K236" s="8"/>
    </row>
    <row r="237">
      <c r="A237" s="8" t="s">
        <v>245</v>
      </c>
      <c r="B237" s="8"/>
      <c r="C237" s="8"/>
      <c r="D237" s="8"/>
      <c r="E237" s="8"/>
      <c r="F237" s="8"/>
      <c r="G237" s="8"/>
      <c r="H237" s="8"/>
      <c r="I237" s="8"/>
      <c r="J237" s="8"/>
      <c r="K237" s="8"/>
    </row>
    <row r="238">
      <c r="A238" s="8" t="s">
        <v>246</v>
      </c>
      <c r="B238" s="8"/>
      <c r="C238" s="8"/>
      <c r="D238" s="8"/>
      <c r="E238" s="8"/>
      <c r="F238" s="8"/>
      <c r="G238" s="8"/>
      <c r="H238" s="8"/>
      <c r="I238" s="8"/>
      <c r="J238" s="8"/>
      <c r="K238" s="8"/>
    </row>
    <row r="239">
      <c r="A239" s="8" t="s">
        <v>247</v>
      </c>
      <c r="B239" s="8"/>
      <c r="C239" s="8"/>
      <c r="D239" s="8"/>
      <c r="E239" s="8"/>
      <c r="F239" s="8"/>
      <c r="G239" s="8"/>
      <c r="H239" s="8"/>
      <c r="I239" s="8"/>
      <c r="J239" s="8"/>
      <c r="K239" s="8"/>
    </row>
    <row r="240">
      <c r="A240" s="8" t="s">
        <v>248</v>
      </c>
      <c r="B240" s="8"/>
      <c r="C240" s="8"/>
      <c r="D240" s="8"/>
      <c r="E240" s="8"/>
      <c r="F240" s="8"/>
      <c r="G240" s="8"/>
      <c r="H240" s="8"/>
      <c r="I240" s="8"/>
      <c r="J240" s="8"/>
      <c r="K240" s="8"/>
    </row>
    <row r="241">
      <c r="A241" s="8" t="s">
        <v>249</v>
      </c>
      <c r="B241" s="8"/>
      <c r="C241" s="8"/>
      <c r="D241" s="8"/>
      <c r="E241" s="8"/>
      <c r="F241" s="8"/>
      <c r="G241" s="8"/>
      <c r="H241" s="8"/>
      <c r="I241" s="8"/>
      <c r="J241" s="8"/>
      <c r="K241" s="8"/>
    </row>
    <row r="242">
      <c r="A242" s="8" t="s">
        <v>250</v>
      </c>
      <c r="B242" s="8"/>
      <c r="C242" s="8"/>
      <c r="D242" s="8"/>
      <c r="E242" s="8"/>
      <c r="F242" s="8"/>
      <c r="G242" s="8"/>
      <c r="H242" s="8"/>
      <c r="I242" s="8"/>
      <c r="J242" s="8"/>
      <c r="K242" s="8"/>
    </row>
    <row r="243">
      <c r="A243" s="8" t="s">
        <v>251</v>
      </c>
      <c r="B243" s="8"/>
      <c r="C243" s="8"/>
      <c r="D243" s="8"/>
      <c r="E243" s="8"/>
      <c r="F243" s="8"/>
      <c r="G243" s="8"/>
      <c r="H243" s="8"/>
      <c r="I243" s="8"/>
      <c r="J243" s="8"/>
      <c r="K243" s="8"/>
    </row>
    <row r="244">
      <c r="A244" s="8" t="s">
        <v>252</v>
      </c>
      <c r="B244" s="8"/>
      <c r="C244" s="8"/>
      <c r="D244" s="8"/>
      <c r="E244" s="8"/>
      <c r="F244" s="8"/>
      <c r="G244" s="8"/>
      <c r="H244" s="8"/>
      <c r="I244" s="8"/>
      <c r="J244" s="8"/>
      <c r="K244" s="8"/>
    </row>
    <row r="245">
      <c r="A245" s="8" t="s">
        <v>253</v>
      </c>
      <c r="B245" s="8"/>
      <c r="C245" s="8"/>
      <c r="D245" s="8"/>
      <c r="E245" s="8"/>
      <c r="F245" s="8"/>
      <c r="G245" s="8"/>
      <c r="H245" s="8"/>
      <c r="I245" s="8"/>
      <c r="J245" s="8"/>
      <c r="K245" s="8"/>
    </row>
    <row r="246">
      <c r="A246" s="8" t="s">
        <v>254</v>
      </c>
      <c r="B246" s="8"/>
      <c r="C246" s="8"/>
      <c r="D246" s="8"/>
      <c r="E246" s="8"/>
      <c r="F246" s="8"/>
      <c r="G246" s="8"/>
      <c r="H246" s="8"/>
      <c r="I246" s="8"/>
      <c r="J246" s="8"/>
      <c r="K246" s="8"/>
    </row>
    <row r="247">
      <c r="A247" s="8" t="s">
        <v>255</v>
      </c>
      <c r="B247" s="8"/>
      <c r="C247" s="8"/>
      <c r="D247" s="8"/>
      <c r="E247" s="8"/>
      <c r="F247" s="8"/>
      <c r="G247" s="8"/>
      <c r="H247" s="8"/>
      <c r="I247" s="8"/>
      <c r="J247" s="8"/>
      <c r="K247" s="8"/>
    </row>
    <row r="248">
      <c r="A248" s="8" t="s">
        <v>256</v>
      </c>
      <c r="B248" s="8"/>
      <c r="C248" s="8"/>
      <c r="D248" s="8"/>
      <c r="E248" s="8"/>
      <c r="F248" s="8"/>
      <c r="G248" s="8"/>
      <c r="H248" s="8"/>
      <c r="I248" s="8"/>
      <c r="J248" s="8"/>
      <c r="K248" s="8"/>
    </row>
    <row r="249">
      <c r="A249" s="8" t="s">
        <v>257</v>
      </c>
      <c r="B249" s="8"/>
      <c r="C249" s="8"/>
      <c r="D249" s="8"/>
      <c r="E249" s="8"/>
      <c r="F249" s="8"/>
      <c r="G249" s="8"/>
      <c r="H249" s="8"/>
      <c r="I249" s="8"/>
      <c r="J249" s="8"/>
      <c r="K249" s="8"/>
    </row>
    <row r="250">
      <c r="A250" s="8" t="s">
        <v>258</v>
      </c>
      <c r="B250" s="8"/>
      <c r="C250" s="8"/>
      <c r="D250" s="8"/>
      <c r="E250" s="8"/>
      <c r="F250" s="8"/>
      <c r="G250" s="8"/>
      <c r="H250" s="8"/>
      <c r="I250" s="8"/>
      <c r="J250" s="8"/>
      <c r="K250" s="8"/>
    </row>
    <row r="251">
      <c r="A251" s="8" t="s">
        <v>259</v>
      </c>
      <c r="B251" s="8"/>
      <c r="C251" s="8"/>
      <c r="D251" s="8"/>
      <c r="E251" s="8"/>
      <c r="F251" s="8"/>
      <c r="G251" s="8"/>
      <c r="H251" s="8"/>
      <c r="I251" s="8"/>
      <c r="J251" s="8"/>
      <c r="K251" s="8"/>
    </row>
    <row r="252">
      <c r="A252" s="8" t="s">
        <v>260</v>
      </c>
      <c r="B252" s="8"/>
      <c r="C252" s="8"/>
      <c r="D252" s="8"/>
      <c r="E252" s="8"/>
      <c r="F252" s="8"/>
      <c r="G252" s="8"/>
      <c r="H252" s="8"/>
      <c r="I252" s="8"/>
      <c r="J252" s="8"/>
      <c r="K252" s="8"/>
    </row>
    <row r="253">
      <c r="A253" s="8" t="s">
        <v>261</v>
      </c>
      <c r="B253" s="8"/>
      <c r="C253" s="8"/>
      <c r="D253" s="8"/>
      <c r="E253" s="8"/>
      <c r="F253" s="8"/>
      <c r="G253" s="8"/>
      <c r="H253" s="8"/>
      <c r="I253" s="8"/>
      <c r="J253" s="8"/>
      <c r="K253" s="8"/>
    </row>
    <row r="254">
      <c r="A254" s="8" t="s">
        <v>262</v>
      </c>
      <c r="B254" s="8"/>
      <c r="C254" s="8"/>
      <c r="D254" s="8"/>
      <c r="E254" s="8"/>
      <c r="F254" s="8"/>
      <c r="G254" s="8"/>
      <c r="H254" s="8"/>
      <c r="I254" s="8"/>
      <c r="J254" s="8"/>
      <c r="K254" s="8"/>
    </row>
    <row r="255">
      <c r="A255" s="8" t="s">
        <v>263</v>
      </c>
      <c r="B255" s="8"/>
      <c r="C255" s="8"/>
      <c r="D255" s="8"/>
      <c r="E255" s="8"/>
      <c r="F255" s="8"/>
      <c r="G255" s="8"/>
      <c r="H255" s="8"/>
      <c r="I255" s="8"/>
      <c r="J255" s="8"/>
      <c r="K255" s="8"/>
    </row>
    <row r="256">
      <c r="A256" s="8" t="s">
        <v>264</v>
      </c>
      <c r="B256" s="8"/>
      <c r="C256" s="8"/>
      <c r="D256" s="8"/>
      <c r="E256" s="8"/>
      <c r="F256" s="8"/>
      <c r="G256" s="8"/>
      <c r="H256" s="8"/>
      <c r="I256" s="8"/>
      <c r="J256" s="8"/>
      <c r="K256" s="8"/>
    </row>
    <row r="257">
      <c r="A257" s="8" t="s">
        <v>265</v>
      </c>
      <c r="B257" s="8"/>
      <c r="C257" s="8"/>
      <c r="D257" s="8"/>
      <c r="E257" s="8"/>
      <c r="F257" s="8"/>
      <c r="G257" s="8"/>
      <c r="H257" s="8"/>
      <c r="I257" s="8"/>
      <c r="J257" s="8"/>
      <c r="K257" s="8"/>
    </row>
    <row r="258">
      <c r="A258" s="8" t="s">
        <v>266</v>
      </c>
      <c r="B258" s="8"/>
      <c r="C258" s="8"/>
      <c r="D258" s="8"/>
      <c r="E258" s="8"/>
      <c r="F258" s="8"/>
      <c r="G258" s="8"/>
      <c r="H258" s="8"/>
      <c r="I258" s="8"/>
      <c r="J258" s="8"/>
      <c r="K258" s="8"/>
    </row>
    <row r="259">
      <c r="A259" s="8" t="s">
        <v>267</v>
      </c>
      <c r="B259" s="8"/>
      <c r="C259" s="8"/>
      <c r="D259" s="8"/>
      <c r="E259" s="8"/>
      <c r="F259" s="8"/>
      <c r="G259" s="8"/>
      <c r="H259" s="8"/>
      <c r="I259" s="8"/>
      <c r="J259" s="8"/>
      <c r="K259" s="8"/>
    </row>
    <row r="260">
      <c r="A260" s="8" t="s">
        <v>268</v>
      </c>
      <c r="B260" s="8"/>
      <c r="C260" s="8"/>
      <c r="D260" s="8"/>
      <c r="E260" s="8"/>
      <c r="F260" s="8"/>
      <c r="G260" s="8"/>
      <c r="H260" s="8"/>
      <c r="I260" s="8"/>
      <c r="J260" s="8"/>
      <c r="K260" s="8"/>
    </row>
    <row r="261">
      <c r="A261" s="8" t="s">
        <v>269</v>
      </c>
      <c r="B261" s="8"/>
      <c r="C261" s="8"/>
      <c r="D261" s="8"/>
      <c r="E261" s="8"/>
      <c r="F261" s="8"/>
      <c r="G261" s="8"/>
      <c r="H261" s="8"/>
      <c r="I261" s="8"/>
      <c r="J261" s="8"/>
      <c r="K261" s="8"/>
    </row>
    <row r="262">
      <c r="A262" s="8" t="s">
        <v>270</v>
      </c>
      <c r="B262" s="8"/>
      <c r="C262" s="8"/>
      <c r="D262" s="8"/>
      <c r="E262" s="8"/>
      <c r="F262" s="8"/>
      <c r="G262" s="8"/>
      <c r="H262" s="8"/>
      <c r="I262" s="8"/>
      <c r="J262" s="8"/>
      <c r="K262" s="8"/>
    </row>
    <row r="263">
      <c r="A263" s="8" t="s">
        <v>271</v>
      </c>
      <c r="B263" s="8"/>
      <c r="C263" s="8"/>
      <c r="D263" s="8"/>
      <c r="E263" s="8"/>
      <c r="F263" s="8"/>
      <c r="G263" s="8"/>
      <c r="H263" s="8"/>
      <c r="I263" s="8"/>
      <c r="J263" s="8"/>
      <c r="K263" s="8"/>
    </row>
    <row r="264">
      <c r="A264" s="8" t="s">
        <v>272</v>
      </c>
      <c r="B264" s="8"/>
      <c r="C264" s="8"/>
      <c r="D264" s="8"/>
      <c r="E264" s="8"/>
      <c r="F264" s="8"/>
      <c r="G264" s="8"/>
      <c r="H264" s="8"/>
      <c r="I264" s="8"/>
      <c r="J264" s="8"/>
      <c r="K264" s="8"/>
    </row>
    <row r="265">
      <c r="A265" s="8" t="s">
        <v>273</v>
      </c>
      <c r="B265" s="8"/>
      <c r="C265" s="8"/>
      <c r="D265" s="8"/>
      <c r="E265" s="8"/>
      <c r="F265" s="8"/>
      <c r="G265" s="8"/>
      <c r="H265" s="8"/>
      <c r="I265" s="8"/>
      <c r="J265" s="8"/>
      <c r="K265" s="8"/>
    </row>
    <row r="266">
      <c r="A266" s="8" t="s">
        <v>274</v>
      </c>
      <c r="B266" s="8"/>
      <c r="C266" s="8"/>
      <c r="D266" s="8"/>
      <c r="E266" s="8"/>
      <c r="F266" s="8"/>
      <c r="G266" s="8"/>
      <c r="H266" s="8"/>
      <c r="I266" s="8"/>
      <c r="J266" s="8"/>
      <c r="K266" s="8"/>
    </row>
    <row r="267">
      <c r="A267" s="8" t="s">
        <v>275</v>
      </c>
      <c r="B267" s="8"/>
      <c r="C267" s="8"/>
      <c r="D267" s="8"/>
      <c r="E267" s="8"/>
      <c r="F267" s="8"/>
      <c r="G267" s="8"/>
      <c r="H267" s="8"/>
      <c r="I267" s="8"/>
      <c r="J267" s="8"/>
      <c r="K267" s="8"/>
    </row>
    <row r="268">
      <c r="A268" s="8" t="s">
        <v>276</v>
      </c>
      <c r="B268" s="8"/>
      <c r="C268" s="8"/>
      <c r="D268" s="8"/>
      <c r="E268" s="8"/>
      <c r="F268" s="8"/>
      <c r="G268" s="8"/>
      <c r="H268" s="8"/>
      <c r="I268" s="8"/>
      <c r="J268" s="8"/>
      <c r="K268" s="8"/>
    </row>
    <row r="269">
      <c r="A269" s="8" t="s">
        <v>277</v>
      </c>
      <c r="B269" s="8"/>
      <c r="C269" s="8"/>
      <c r="D269" s="8"/>
      <c r="E269" s="8"/>
      <c r="F269" s="8"/>
      <c r="G269" s="8"/>
      <c r="H269" s="8"/>
      <c r="I269" s="8"/>
      <c r="J269" s="8"/>
      <c r="K269" s="8"/>
    </row>
    <row r="270">
      <c r="A270" s="8" t="s">
        <v>278</v>
      </c>
      <c r="B270" s="8"/>
      <c r="C270" s="8"/>
      <c r="D270" s="8"/>
      <c r="E270" s="8"/>
      <c r="F270" s="8"/>
      <c r="G270" s="8"/>
      <c r="H270" s="8"/>
      <c r="I270" s="8"/>
      <c r="J270" s="8"/>
      <c r="K270" s="8"/>
    </row>
    <row r="271">
      <c r="A271" s="8" t="s">
        <v>279</v>
      </c>
      <c r="B271" s="8"/>
      <c r="C271" s="8"/>
      <c r="D271" s="8"/>
      <c r="E271" s="8"/>
      <c r="F271" s="8"/>
      <c r="G271" s="8"/>
      <c r="H271" s="8"/>
      <c r="I271" s="8"/>
      <c r="J271" s="8"/>
      <c r="K271" s="8"/>
    </row>
    <row r="272">
      <c r="A272" s="8" t="s">
        <v>280</v>
      </c>
      <c r="B272" s="8"/>
      <c r="C272" s="8"/>
      <c r="D272" s="8"/>
      <c r="E272" s="8"/>
      <c r="F272" s="8"/>
      <c r="G272" s="8"/>
      <c r="H272" s="8"/>
      <c r="I272" s="8"/>
      <c r="J272" s="8"/>
      <c r="K272" s="8"/>
    </row>
    <row r="273">
      <c r="A273" s="8" t="s">
        <v>281</v>
      </c>
      <c r="B273" s="8"/>
      <c r="C273" s="8"/>
      <c r="D273" s="8"/>
      <c r="E273" s="8"/>
      <c r="F273" s="8"/>
      <c r="G273" s="8"/>
      <c r="H273" s="8"/>
      <c r="I273" s="8"/>
      <c r="J273" s="8"/>
      <c r="K273" s="8"/>
    </row>
    <row r="274">
      <c r="A274" s="8" t="s">
        <v>282</v>
      </c>
      <c r="B274" s="8"/>
      <c r="C274" s="8"/>
      <c r="D274" s="8"/>
      <c r="E274" s="8"/>
      <c r="F274" s="8"/>
      <c r="G274" s="8"/>
      <c r="H274" s="8"/>
      <c r="I274" s="8"/>
      <c r="J274" s="8"/>
      <c r="K274" s="8"/>
    </row>
    <row r="275">
      <c r="A275" s="8" t="s">
        <v>283</v>
      </c>
      <c r="B275" s="8"/>
      <c r="C275" s="8"/>
      <c r="D275" s="8"/>
      <c r="E275" s="8"/>
      <c r="F275" s="8"/>
      <c r="G275" s="8"/>
      <c r="H275" s="8"/>
      <c r="I275" s="8"/>
      <c r="J275" s="8"/>
      <c r="K275" s="8"/>
    </row>
    <row r="276">
      <c r="A276" s="8" t="s">
        <v>284</v>
      </c>
      <c r="B276" s="8"/>
      <c r="C276" s="8"/>
      <c r="D276" s="8"/>
      <c r="E276" s="8"/>
      <c r="F276" s="8"/>
      <c r="G276" s="8"/>
      <c r="H276" s="8"/>
      <c r="I276" s="8"/>
      <c r="J276" s="8"/>
      <c r="K276" s="8"/>
    </row>
    <row r="277">
      <c r="A277" s="8" t="s">
        <v>285</v>
      </c>
      <c r="B277" s="8"/>
      <c r="C277" s="8"/>
      <c r="D277" s="8"/>
      <c r="E277" s="8"/>
      <c r="F277" s="8"/>
      <c r="G277" s="8"/>
      <c r="H277" s="8"/>
      <c r="I277" s="8"/>
      <c r="J277" s="8"/>
      <c r="K277" s="8"/>
    </row>
    <row r="278">
      <c r="A278" s="8" t="s">
        <v>286</v>
      </c>
      <c r="B278" s="8"/>
      <c r="C278" s="8"/>
      <c r="D278" s="8"/>
      <c r="E278" s="8"/>
      <c r="F278" s="8"/>
      <c r="G278" s="8"/>
      <c r="H278" s="8"/>
      <c r="I278" s="8"/>
      <c r="J278" s="8"/>
      <c r="K278" s="8"/>
    </row>
    <row r="279">
      <c r="A279" s="8" t="s">
        <v>287</v>
      </c>
      <c r="B279" s="8"/>
      <c r="C279" s="8"/>
      <c r="D279" s="8"/>
      <c r="E279" s="8"/>
      <c r="F279" s="8"/>
      <c r="G279" s="8"/>
      <c r="H279" s="8"/>
      <c r="I279" s="8"/>
      <c r="J279" s="8"/>
      <c r="K279" s="8"/>
    </row>
    <row r="280">
      <c r="A280" s="8" t="s">
        <v>288</v>
      </c>
      <c r="B280" s="8"/>
      <c r="C280" s="8"/>
      <c r="D280" s="8"/>
      <c r="E280" s="8"/>
      <c r="F280" s="8"/>
      <c r="G280" s="8"/>
      <c r="H280" s="8"/>
      <c r="I280" s="8"/>
      <c r="J280" s="8"/>
      <c r="K280" s="8"/>
    </row>
    <row r="281">
      <c r="A281" s="8" t="s">
        <v>289</v>
      </c>
      <c r="B281" s="8"/>
      <c r="C281" s="8"/>
      <c r="D281" s="8"/>
      <c r="E281" s="8"/>
      <c r="F281" s="8"/>
      <c r="G281" s="8"/>
      <c r="H281" s="8"/>
      <c r="I281" s="8"/>
      <c r="J281" s="8"/>
      <c r="K281" s="8"/>
    </row>
    <row r="282">
      <c r="A282" s="8" t="s">
        <v>290</v>
      </c>
      <c r="B282" s="8"/>
      <c r="C282" s="8"/>
      <c r="D282" s="8"/>
      <c r="E282" s="8"/>
      <c r="F282" s="8"/>
      <c r="G282" s="8"/>
      <c r="H282" s="8"/>
      <c r="I282" s="8"/>
      <c r="J282" s="8"/>
      <c r="K282" s="8"/>
    </row>
    <row r="283">
      <c r="A283" s="8" t="s">
        <v>291</v>
      </c>
      <c r="B283" s="8"/>
      <c r="C283" s="8"/>
      <c r="D283" s="8"/>
      <c r="E283" s="8"/>
      <c r="F283" s="8"/>
      <c r="G283" s="8"/>
      <c r="H283" s="8"/>
      <c r="I283" s="8"/>
      <c r="J283" s="8"/>
      <c r="K283" s="8"/>
    </row>
    <row r="284">
      <c r="A284" s="8" t="s">
        <v>292</v>
      </c>
      <c r="B284" s="8"/>
      <c r="C284" s="8"/>
      <c r="D284" s="8"/>
      <c r="E284" s="8"/>
      <c r="F284" s="8"/>
      <c r="G284" s="8"/>
      <c r="H284" s="8"/>
      <c r="I284" s="8"/>
      <c r="J284" s="8"/>
      <c r="K284" s="8"/>
    </row>
    <row r="285">
      <c r="A285" s="8" t="s">
        <v>293</v>
      </c>
      <c r="B285" s="8"/>
      <c r="C285" s="8"/>
      <c r="D285" s="8"/>
      <c r="E285" s="8"/>
      <c r="F285" s="8"/>
      <c r="G285" s="8"/>
      <c r="H285" s="8"/>
      <c r="I285" s="8"/>
      <c r="J285" s="8"/>
      <c r="K285" s="8"/>
    </row>
    <row r="286">
      <c r="A286" s="8" t="s">
        <v>294</v>
      </c>
      <c r="B286" s="8"/>
      <c r="C286" s="8"/>
      <c r="D286" s="8"/>
      <c r="E286" s="8"/>
      <c r="F286" s="8"/>
      <c r="G286" s="8"/>
      <c r="H286" s="8"/>
      <c r="I286" s="8"/>
      <c r="J286" s="8"/>
      <c r="K286" s="8"/>
    </row>
    <row r="287">
      <c r="A287" s="8" t="s">
        <v>295</v>
      </c>
      <c r="B287" s="8"/>
      <c r="C287" s="8"/>
      <c r="D287" s="8"/>
      <c r="E287" s="8"/>
      <c r="F287" s="8"/>
      <c r="G287" s="8"/>
      <c r="H287" s="8"/>
      <c r="I287" s="8"/>
      <c r="J287" s="8"/>
      <c r="K287" s="8"/>
    </row>
    <row r="288">
      <c r="A288" s="8" t="s">
        <v>296</v>
      </c>
      <c r="B288" s="8"/>
      <c r="C288" s="8"/>
      <c r="D288" s="8"/>
      <c r="E288" s="8"/>
      <c r="F288" s="8"/>
      <c r="G288" s="8"/>
      <c r="H288" s="8"/>
      <c r="I288" s="8"/>
      <c r="J288" s="8"/>
      <c r="K288" s="8"/>
    </row>
    <row r="289">
      <c r="A289" s="8" t="s">
        <v>297</v>
      </c>
      <c r="B289" s="8"/>
      <c r="C289" s="8"/>
      <c r="D289" s="8"/>
      <c r="E289" s="8"/>
      <c r="F289" s="8"/>
      <c r="G289" s="8"/>
      <c r="H289" s="8"/>
      <c r="I289" s="8"/>
      <c r="J289" s="8"/>
      <c r="K289" s="8"/>
    </row>
    <row r="290">
      <c r="A290" s="8" t="s">
        <v>298</v>
      </c>
      <c r="B290" s="8"/>
      <c r="C290" s="8"/>
      <c r="D290" s="8"/>
      <c r="E290" s="8"/>
      <c r="F290" s="8"/>
      <c r="G290" s="8"/>
      <c r="H290" s="8"/>
      <c r="I290" s="8"/>
      <c r="J290" s="8"/>
      <c r="K290" s="8"/>
    </row>
    <row r="291">
      <c r="A291" s="8" t="s">
        <v>299</v>
      </c>
      <c r="B291" s="8"/>
      <c r="C291" s="8"/>
      <c r="D291" s="8"/>
      <c r="E291" s="8"/>
      <c r="F291" s="8"/>
      <c r="G291" s="8"/>
      <c r="H291" s="8"/>
      <c r="I291" s="8"/>
      <c r="J291" s="8"/>
      <c r="K291" s="8"/>
    </row>
    <row r="292">
      <c r="A292" s="8" t="s">
        <v>300</v>
      </c>
      <c r="B292" s="8"/>
      <c r="C292" s="8"/>
      <c r="D292" s="8"/>
      <c r="E292" s="8"/>
      <c r="F292" s="8"/>
      <c r="G292" s="8"/>
      <c r="H292" s="8"/>
      <c r="I292" s="8"/>
      <c r="J292" s="8"/>
      <c r="K292" s="8"/>
    </row>
    <row r="293">
      <c r="A293" s="8" t="s">
        <v>301</v>
      </c>
      <c r="B293" s="8"/>
      <c r="C293" s="8"/>
      <c r="D293" s="8"/>
      <c r="E293" s="8"/>
      <c r="F293" s="8"/>
      <c r="G293" s="8"/>
      <c r="H293" s="8"/>
      <c r="I293" s="8"/>
      <c r="J293" s="8"/>
      <c r="K293" s="8"/>
    </row>
    <row r="294">
      <c r="A294" s="8" t="s">
        <v>302</v>
      </c>
      <c r="B294" s="8"/>
      <c r="C294" s="8"/>
      <c r="D294" s="8"/>
      <c r="E294" s="8"/>
      <c r="F294" s="8"/>
      <c r="G294" s="8"/>
      <c r="H294" s="8"/>
      <c r="I294" s="8"/>
      <c r="J294" s="8"/>
      <c r="K294" s="8"/>
    </row>
    <row r="295">
      <c r="A295" s="8" t="s">
        <v>303</v>
      </c>
      <c r="B295" s="8"/>
      <c r="C295" s="8"/>
      <c r="D295" s="8"/>
      <c r="E295" s="8"/>
      <c r="F295" s="8"/>
      <c r="G295" s="8"/>
      <c r="H295" s="8"/>
      <c r="I295" s="8"/>
      <c r="J295" s="8"/>
      <c r="K295" s="8"/>
    </row>
    <row r="296">
      <c r="A296" s="8" t="s">
        <v>304</v>
      </c>
      <c r="B296" s="8"/>
      <c r="C296" s="8"/>
      <c r="D296" s="8"/>
      <c r="E296" s="8"/>
      <c r="F296" s="8"/>
      <c r="G296" s="8"/>
      <c r="H296" s="8"/>
      <c r="I296" s="8"/>
      <c r="J296" s="8"/>
      <c r="K296" s="8"/>
    </row>
    <row r="297">
      <c r="A297" s="8" t="s">
        <v>305</v>
      </c>
      <c r="B297" s="8"/>
      <c r="C297" s="8"/>
      <c r="D297" s="8"/>
      <c r="E297" s="8"/>
      <c r="F297" s="8"/>
      <c r="G297" s="8"/>
      <c r="H297" s="8"/>
      <c r="I297" s="8"/>
      <c r="J297" s="8"/>
      <c r="K297" s="8"/>
    </row>
    <row r="298">
      <c r="A298" s="8" t="s">
        <v>306</v>
      </c>
      <c r="B298" s="8"/>
      <c r="C298" s="8"/>
      <c r="D298" s="8"/>
      <c r="E298" s="8"/>
      <c r="F298" s="8"/>
      <c r="G298" s="8"/>
      <c r="H298" s="8"/>
      <c r="I298" s="8"/>
      <c r="J298" s="8"/>
      <c r="K298" s="8"/>
    </row>
    <row r="299">
      <c r="A299" s="8" t="s">
        <v>307</v>
      </c>
      <c r="B299" s="8"/>
      <c r="C299" s="8"/>
      <c r="D299" s="8"/>
      <c r="E299" s="8"/>
      <c r="F299" s="8"/>
      <c r="G299" s="8"/>
      <c r="H299" s="8"/>
      <c r="I299" s="8"/>
      <c r="J299" s="8"/>
      <c r="K299" s="8"/>
    </row>
    <row r="300">
      <c r="A300" s="8" t="s">
        <v>308</v>
      </c>
      <c r="B300" s="8"/>
      <c r="C300" s="8"/>
      <c r="D300" s="8"/>
      <c r="E300" s="8"/>
      <c r="F300" s="8"/>
      <c r="G300" s="8"/>
      <c r="H300" s="8"/>
      <c r="I300" s="8"/>
      <c r="J300" s="8"/>
      <c r="K300" s="8"/>
    </row>
    <row r="301">
      <c r="A301" s="8" t="s">
        <v>309</v>
      </c>
      <c r="B301" s="8"/>
      <c r="C301" s="8"/>
      <c r="D301" s="8"/>
      <c r="E301" s="8"/>
      <c r="F301" s="8"/>
      <c r="G301" s="8"/>
      <c r="H301" s="8"/>
      <c r="I301" s="8"/>
      <c r="J301" s="8"/>
      <c r="K301" s="8"/>
    </row>
    <row r="302">
      <c r="A302" s="8" t="s">
        <v>310</v>
      </c>
      <c r="B302" s="8"/>
      <c r="C302" s="8"/>
      <c r="D302" s="8"/>
      <c r="E302" s="8"/>
      <c r="F302" s="8"/>
      <c r="G302" s="8"/>
      <c r="H302" s="8"/>
      <c r="I302" s="8"/>
      <c r="J302" s="8"/>
      <c r="K302" s="8"/>
    </row>
    <row r="303">
      <c r="A303" s="8" t="s">
        <v>311</v>
      </c>
      <c r="B303" s="8"/>
      <c r="C303" s="8"/>
      <c r="D303" s="8"/>
      <c r="E303" s="8"/>
      <c r="F303" s="8"/>
      <c r="G303" s="8"/>
      <c r="H303" s="8"/>
      <c r="I303" s="8"/>
      <c r="J303" s="8"/>
      <c r="K303" s="8"/>
    </row>
    <row r="304">
      <c r="A304" s="8" t="s">
        <v>312</v>
      </c>
      <c r="B304" s="8"/>
      <c r="C304" s="8"/>
      <c r="D304" s="8"/>
      <c r="E304" s="8"/>
      <c r="F304" s="8"/>
      <c r="G304" s="8"/>
      <c r="H304" s="8"/>
      <c r="I304" s="8"/>
      <c r="J304" s="8"/>
      <c r="K304" s="8"/>
    </row>
    <row r="305">
      <c r="A305" s="8" t="s">
        <v>313</v>
      </c>
      <c r="B305" s="8"/>
      <c r="C305" s="8"/>
      <c r="D305" s="8"/>
      <c r="E305" s="8"/>
      <c r="F305" s="8"/>
      <c r="G305" s="8"/>
      <c r="H305" s="8"/>
      <c r="I305" s="8"/>
      <c r="J305" s="8"/>
      <c r="K305" s="8"/>
    </row>
    <row r="306">
      <c r="A306" s="8" t="s">
        <v>314</v>
      </c>
      <c r="B306" s="8"/>
      <c r="C306" s="8"/>
      <c r="D306" s="8"/>
      <c r="E306" s="8"/>
      <c r="F306" s="8"/>
      <c r="G306" s="8"/>
      <c r="H306" s="8"/>
      <c r="I306" s="8"/>
      <c r="J306" s="8"/>
      <c r="K306" s="8"/>
    </row>
    <row r="307">
      <c r="A307" s="8" t="s">
        <v>315</v>
      </c>
      <c r="B307" s="8"/>
      <c r="C307" s="8"/>
      <c r="D307" s="8"/>
      <c r="E307" s="8"/>
      <c r="F307" s="8"/>
      <c r="G307" s="8"/>
      <c r="H307" s="8"/>
      <c r="I307" s="8"/>
      <c r="J307" s="8"/>
      <c r="K307" s="8"/>
    </row>
    <row r="308">
      <c r="A308" s="8" t="s">
        <v>316</v>
      </c>
      <c r="B308" s="8"/>
      <c r="C308" s="8"/>
      <c r="D308" s="8"/>
      <c r="E308" s="8"/>
      <c r="F308" s="8"/>
      <c r="G308" s="8"/>
      <c r="H308" s="8"/>
      <c r="I308" s="8"/>
      <c r="J308" s="8"/>
      <c r="K308" s="8"/>
    </row>
    <row r="309">
      <c r="A309" s="8" t="s">
        <v>317</v>
      </c>
      <c r="B309" s="8"/>
      <c r="C309" s="8"/>
      <c r="D309" s="8"/>
      <c r="E309" s="8"/>
      <c r="F309" s="8"/>
      <c r="G309" s="8"/>
      <c r="H309" s="8"/>
      <c r="I309" s="8"/>
      <c r="J309" s="8"/>
      <c r="K309" s="8"/>
    </row>
    <row r="310">
      <c r="A310" s="8" t="s">
        <v>318</v>
      </c>
      <c r="B310" s="8"/>
      <c r="C310" s="8"/>
      <c r="D310" s="8"/>
      <c r="E310" s="8"/>
      <c r="F310" s="8"/>
      <c r="G310" s="8"/>
      <c r="H310" s="8"/>
      <c r="I310" s="8"/>
      <c r="J310" s="8"/>
      <c r="K310" s="8"/>
    </row>
    <row r="311">
      <c r="A311" s="8" t="s">
        <v>319</v>
      </c>
      <c r="B311" s="8"/>
      <c r="C311" s="8"/>
      <c r="D311" s="8"/>
      <c r="E311" s="8"/>
      <c r="F311" s="8"/>
      <c r="G311" s="8"/>
      <c r="H311" s="8"/>
      <c r="I311" s="8"/>
      <c r="J311" s="8"/>
      <c r="K311" s="8"/>
    </row>
    <row r="312">
      <c r="A312" s="8" t="s">
        <v>320</v>
      </c>
      <c r="B312" s="8"/>
      <c r="C312" s="8"/>
      <c r="D312" s="8"/>
      <c r="E312" s="8"/>
      <c r="F312" s="8"/>
      <c r="G312" s="8"/>
      <c r="H312" s="8"/>
      <c r="I312" s="8"/>
      <c r="J312" s="8"/>
      <c r="K312" s="8"/>
    </row>
    <row r="313">
      <c r="A313" s="8" t="s">
        <v>321</v>
      </c>
      <c r="B313" s="8"/>
      <c r="C313" s="8"/>
      <c r="D313" s="8"/>
      <c r="E313" s="8"/>
      <c r="F313" s="8"/>
      <c r="G313" s="8"/>
      <c r="H313" s="8"/>
      <c r="I313" s="8"/>
      <c r="J313" s="8"/>
      <c r="K313" s="8"/>
    </row>
    <row r="314">
      <c r="A314" s="8" t="s">
        <v>322</v>
      </c>
      <c r="B314" s="8"/>
      <c r="C314" s="8"/>
      <c r="D314" s="8"/>
      <c r="E314" s="8"/>
      <c r="F314" s="8"/>
      <c r="G314" s="8"/>
      <c r="H314" s="8"/>
      <c r="I314" s="8"/>
      <c r="J314" s="8"/>
      <c r="K314" s="8"/>
    </row>
    <row r="315">
      <c r="A315" s="8" t="s">
        <v>323</v>
      </c>
      <c r="B315" s="8"/>
      <c r="C315" s="8"/>
      <c r="D315" s="8"/>
      <c r="E315" s="8"/>
      <c r="F315" s="8"/>
      <c r="G315" s="8"/>
      <c r="H315" s="8"/>
      <c r="I315" s="8"/>
      <c r="J315" s="8"/>
      <c r="K315" s="8"/>
    </row>
    <row r="316">
      <c r="A316" s="8" t="s">
        <v>324</v>
      </c>
      <c r="B316" s="8"/>
      <c r="C316" s="8"/>
      <c r="D316" s="8"/>
      <c r="E316" s="8"/>
      <c r="F316" s="8"/>
      <c r="G316" s="8"/>
      <c r="H316" s="8"/>
      <c r="I316" s="8"/>
      <c r="J316" s="8"/>
      <c r="K316" s="8"/>
    </row>
    <row r="317">
      <c r="A317" s="8" t="s">
        <v>325</v>
      </c>
      <c r="B317" s="8"/>
      <c r="C317" s="8"/>
      <c r="D317" s="8"/>
      <c r="E317" s="8"/>
      <c r="F317" s="8"/>
      <c r="G317" s="8"/>
      <c r="H317" s="8"/>
      <c r="I317" s="8"/>
      <c r="J317" s="8"/>
      <c r="K317" s="8"/>
    </row>
    <row r="318">
      <c r="A318" s="8" t="s">
        <v>326</v>
      </c>
      <c r="B318" s="8"/>
      <c r="C318" s="8"/>
      <c r="D318" s="8"/>
      <c r="E318" s="8"/>
      <c r="F318" s="8"/>
      <c r="G318" s="8"/>
      <c r="H318" s="8"/>
      <c r="I318" s="8"/>
      <c r="J318" s="8"/>
      <c r="K318" s="8"/>
    </row>
    <row r="319">
      <c r="A319" s="8" t="s">
        <v>327</v>
      </c>
      <c r="B319" s="8"/>
      <c r="C319" s="8"/>
      <c r="D319" s="8"/>
      <c r="E319" s="8"/>
      <c r="F319" s="8"/>
      <c r="G319" s="8"/>
      <c r="H319" s="8"/>
      <c r="I319" s="8"/>
      <c r="J319" s="8"/>
      <c r="K319" s="8"/>
    </row>
    <row r="320">
      <c r="A320" s="8" t="s">
        <v>328</v>
      </c>
      <c r="B320" s="8"/>
      <c r="C320" s="8"/>
      <c r="D320" s="8"/>
      <c r="E320" s="8"/>
      <c r="F320" s="8"/>
      <c r="G320" s="8"/>
      <c r="H320" s="8"/>
      <c r="I320" s="8"/>
      <c r="J320" s="8"/>
      <c r="K320" s="8"/>
    </row>
    <row r="321">
      <c r="A321" s="8" t="s">
        <v>329</v>
      </c>
      <c r="B321" s="8"/>
      <c r="C321" s="8"/>
      <c r="D321" s="8"/>
      <c r="E321" s="8"/>
      <c r="F321" s="8"/>
      <c r="G321" s="8"/>
      <c r="H321" s="8"/>
      <c r="I321" s="8"/>
      <c r="J321" s="8"/>
      <c r="K321" s="8"/>
    </row>
    <row r="322">
      <c r="A322" s="8" t="s">
        <v>330</v>
      </c>
      <c r="B322" s="8"/>
      <c r="C322" s="8"/>
      <c r="D322" s="8"/>
      <c r="E322" s="8"/>
      <c r="F322" s="8"/>
      <c r="G322" s="8"/>
      <c r="H322" s="8"/>
      <c r="I322" s="8"/>
      <c r="J322" s="8"/>
      <c r="K322" s="8"/>
    </row>
    <row r="323">
      <c r="A323" s="8" t="s">
        <v>331</v>
      </c>
      <c r="B323" s="8"/>
      <c r="C323" s="8"/>
      <c r="D323" s="8"/>
      <c r="E323" s="8"/>
      <c r="F323" s="8"/>
      <c r="G323" s="8"/>
      <c r="H323" s="8"/>
      <c r="I323" s="8"/>
      <c r="J323" s="8"/>
      <c r="K323" s="8"/>
    </row>
    <row r="324">
      <c r="A324" s="8" t="s">
        <v>332</v>
      </c>
      <c r="B324" s="8"/>
      <c r="C324" s="8"/>
      <c r="D324" s="8"/>
      <c r="E324" s="8"/>
      <c r="F324" s="8"/>
      <c r="G324" s="8"/>
      <c r="H324" s="8"/>
      <c r="I324" s="8"/>
      <c r="J324" s="8"/>
      <c r="K324" s="8"/>
    </row>
    <row r="325">
      <c r="A325" s="8" t="s">
        <v>333</v>
      </c>
      <c r="B325" s="8"/>
      <c r="C325" s="8"/>
      <c r="D325" s="8"/>
      <c r="E325" s="8"/>
      <c r="F325" s="8"/>
      <c r="G325" s="8"/>
      <c r="H325" s="8"/>
      <c r="I325" s="8"/>
      <c r="J325" s="8"/>
      <c r="K325" s="8"/>
    </row>
    <row r="326">
      <c r="A326" s="8" t="s">
        <v>334</v>
      </c>
      <c r="B326" s="8"/>
      <c r="C326" s="8"/>
      <c r="D326" s="8"/>
      <c r="E326" s="8"/>
      <c r="F326" s="8"/>
      <c r="G326" s="8"/>
      <c r="H326" s="8"/>
      <c r="I326" s="8"/>
      <c r="J326" s="8"/>
      <c r="K326" s="8"/>
    </row>
    <row r="327">
      <c r="A327" s="8" t="s">
        <v>335</v>
      </c>
      <c r="B327" s="8"/>
      <c r="C327" s="8"/>
      <c r="D327" s="8"/>
      <c r="E327" s="8"/>
      <c r="F327" s="8"/>
      <c r="G327" s="8"/>
      <c r="H327" s="8"/>
      <c r="I327" s="8"/>
      <c r="J327" s="8"/>
      <c r="K327" s="8"/>
    </row>
    <row r="328">
      <c r="A328" s="8" t="s">
        <v>336</v>
      </c>
      <c r="B328" s="8"/>
      <c r="C328" s="8"/>
      <c r="D328" s="8"/>
      <c r="E328" s="8"/>
      <c r="F328" s="8"/>
      <c r="G328" s="8"/>
      <c r="H328" s="8"/>
      <c r="I328" s="8"/>
      <c r="J328" s="8"/>
      <c r="K328" s="8"/>
    </row>
    <row r="329">
      <c r="A329" s="8" t="s">
        <v>337</v>
      </c>
      <c r="B329" s="8"/>
      <c r="C329" s="8"/>
      <c r="D329" s="8"/>
      <c r="E329" s="8"/>
      <c r="F329" s="8"/>
      <c r="G329" s="8"/>
      <c r="H329" s="8"/>
      <c r="I329" s="8"/>
      <c r="J329" s="8"/>
      <c r="K329" s="8"/>
    </row>
    <row r="330">
      <c r="A330" s="8" t="s">
        <v>338</v>
      </c>
      <c r="B330" s="8"/>
      <c r="C330" s="8"/>
      <c r="D330" s="8"/>
      <c r="E330" s="8"/>
      <c r="F330" s="8"/>
      <c r="G330" s="8"/>
      <c r="H330" s="8"/>
      <c r="I330" s="8"/>
      <c r="J330" s="8"/>
      <c r="K330" s="8"/>
    </row>
    <row r="331">
      <c r="A331" s="8" t="s">
        <v>339</v>
      </c>
      <c r="B331" s="8"/>
      <c r="C331" s="8"/>
      <c r="D331" s="8"/>
      <c r="E331" s="8"/>
      <c r="F331" s="8"/>
      <c r="G331" s="8"/>
      <c r="H331" s="8"/>
      <c r="I331" s="8"/>
      <c r="J331" s="8"/>
      <c r="K331" s="8"/>
    </row>
    <row r="332">
      <c r="A332" s="8" t="s">
        <v>340</v>
      </c>
      <c r="B332" s="8"/>
      <c r="C332" s="8"/>
      <c r="D332" s="8"/>
      <c r="E332" s="8"/>
      <c r="F332" s="8"/>
      <c r="G332" s="8"/>
      <c r="H332" s="8"/>
      <c r="I332" s="8"/>
      <c r="J332" s="8"/>
      <c r="K332" s="8"/>
    </row>
    <row r="333">
      <c r="A333" s="8" t="s">
        <v>341</v>
      </c>
      <c r="B333" s="8"/>
      <c r="C333" s="8"/>
      <c r="D333" s="8"/>
      <c r="E333" s="8"/>
      <c r="F333" s="8"/>
      <c r="G333" s="8"/>
      <c r="H333" s="8"/>
      <c r="I333" s="8"/>
      <c r="J333" s="8"/>
      <c r="K333" s="8"/>
    </row>
    <row r="334">
      <c r="A334" s="8" t="s">
        <v>342</v>
      </c>
      <c r="B334" s="8"/>
      <c r="C334" s="8"/>
      <c r="D334" s="8"/>
      <c r="E334" s="8"/>
      <c r="F334" s="8"/>
      <c r="G334" s="8"/>
      <c r="H334" s="8"/>
      <c r="I334" s="8"/>
      <c r="J334" s="8"/>
      <c r="K334" s="8"/>
    </row>
    <row r="335">
      <c r="A335" s="8" t="s">
        <v>343</v>
      </c>
      <c r="B335" s="8"/>
      <c r="C335" s="8"/>
      <c r="D335" s="8"/>
      <c r="E335" s="8"/>
      <c r="F335" s="8"/>
      <c r="G335" s="8"/>
      <c r="H335" s="8"/>
      <c r="I335" s="8"/>
      <c r="J335" s="8"/>
      <c r="K335" s="8"/>
    </row>
    <row r="336">
      <c r="A336" s="8" t="s">
        <v>344</v>
      </c>
      <c r="B336" s="8"/>
      <c r="C336" s="8"/>
      <c r="D336" s="8"/>
      <c r="E336" s="8"/>
      <c r="F336" s="8"/>
      <c r="G336" s="8"/>
      <c r="H336" s="8"/>
      <c r="I336" s="8"/>
      <c r="J336" s="8"/>
      <c r="K336" s="8"/>
    </row>
    <row r="337">
      <c r="A337" s="8" t="s">
        <v>345</v>
      </c>
      <c r="B337" s="8"/>
      <c r="C337" s="8"/>
      <c r="D337" s="8"/>
      <c r="E337" s="8"/>
      <c r="F337" s="8"/>
      <c r="G337" s="8"/>
      <c r="H337" s="8"/>
      <c r="I337" s="8"/>
      <c r="J337" s="8"/>
      <c r="K337" s="8"/>
    </row>
    <row r="338">
      <c r="A338" s="8" t="s">
        <v>346</v>
      </c>
      <c r="B338" s="8"/>
      <c r="C338" s="8"/>
      <c r="D338" s="8"/>
      <c r="E338" s="8"/>
      <c r="F338" s="8"/>
      <c r="G338" s="8"/>
      <c r="H338" s="8"/>
      <c r="I338" s="8"/>
      <c r="J338" s="8"/>
      <c r="K338" s="8"/>
    </row>
    <row r="339">
      <c r="A339" s="8" t="s">
        <v>347</v>
      </c>
      <c r="B339" s="8"/>
      <c r="C339" s="8"/>
      <c r="D339" s="8"/>
      <c r="E339" s="8"/>
      <c r="F339" s="8"/>
      <c r="G339" s="8"/>
      <c r="H339" s="8"/>
      <c r="I339" s="8"/>
      <c r="J339" s="8"/>
      <c r="K339" s="8"/>
    </row>
    <row r="340">
      <c r="A340" s="8" t="s">
        <v>348</v>
      </c>
      <c r="B340" s="8"/>
      <c r="C340" s="8"/>
      <c r="D340" s="8"/>
      <c r="E340" s="8"/>
      <c r="F340" s="8"/>
      <c r="G340" s="8"/>
      <c r="H340" s="8"/>
      <c r="I340" s="8"/>
      <c r="J340" s="8"/>
      <c r="K340" s="8"/>
    </row>
    <row r="341">
      <c r="A341" s="8" t="s">
        <v>349</v>
      </c>
      <c r="B341" s="8"/>
      <c r="C341" s="8"/>
      <c r="D341" s="8"/>
      <c r="E341" s="8"/>
      <c r="F341" s="8"/>
      <c r="G341" s="8"/>
      <c r="H341" s="8"/>
      <c r="I341" s="8"/>
      <c r="J341" s="8"/>
      <c r="K341" s="8"/>
    </row>
    <row r="342">
      <c r="A342" s="8" t="s">
        <v>350</v>
      </c>
      <c r="B342" s="8"/>
      <c r="C342" s="8"/>
      <c r="D342" s="8"/>
      <c r="E342" s="8"/>
      <c r="F342" s="8"/>
      <c r="G342" s="8"/>
      <c r="H342" s="8"/>
      <c r="I342" s="8"/>
      <c r="J342" s="8"/>
      <c r="K342" s="8"/>
    </row>
    <row r="343">
      <c r="A343" s="8" t="s">
        <v>351</v>
      </c>
      <c r="B343" s="8"/>
      <c r="C343" s="8"/>
      <c r="D343" s="8"/>
      <c r="E343" s="8"/>
      <c r="F343" s="8"/>
      <c r="G343" s="8"/>
      <c r="H343" s="8"/>
      <c r="I343" s="8"/>
      <c r="J343" s="8"/>
      <c r="K343" s="8"/>
    </row>
    <row r="344">
      <c r="A344" s="8" t="s">
        <v>352</v>
      </c>
      <c r="B344" s="8"/>
      <c r="C344" s="8"/>
      <c r="D344" s="8"/>
      <c r="E344" s="8"/>
      <c r="F344" s="8"/>
      <c r="G344" s="8"/>
      <c r="H344" s="8"/>
      <c r="I344" s="8"/>
      <c r="J344" s="8"/>
      <c r="K344" s="8"/>
    </row>
    <row r="345">
      <c r="A345" s="8" t="s">
        <v>353</v>
      </c>
      <c r="B345" s="8"/>
      <c r="C345" s="8"/>
      <c r="D345" s="8"/>
      <c r="E345" s="8"/>
      <c r="F345" s="8"/>
      <c r="G345" s="8"/>
      <c r="H345" s="8"/>
      <c r="I345" s="8"/>
      <c r="J345" s="8"/>
      <c r="K345" s="8"/>
    </row>
    <row r="346">
      <c r="A346" s="8" t="s">
        <v>354</v>
      </c>
      <c r="B346" s="8"/>
      <c r="C346" s="8"/>
      <c r="D346" s="8"/>
      <c r="E346" s="8"/>
      <c r="F346" s="8"/>
      <c r="G346" s="8"/>
      <c r="H346" s="8"/>
      <c r="I346" s="8"/>
      <c r="J346" s="8"/>
      <c r="K346" s="8"/>
    </row>
    <row r="347">
      <c r="A347" s="8" t="s">
        <v>355</v>
      </c>
      <c r="B347" s="8"/>
      <c r="C347" s="8"/>
      <c r="D347" s="8"/>
      <c r="E347" s="8"/>
      <c r="F347" s="8"/>
      <c r="G347" s="8"/>
      <c r="H347" s="8"/>
      <c r="I347" s="8"/>
      <c r="J347" s="8"/>
      <c r="K347" s="8"/>
    </row>
    <row r="348">
      <c r="A348" s="8" t="s">
        <v>356</v>
      </c>
      <c r="B348" s="8"/>
      <c r="C348" s="8"/>
      <c r="D348" s="8"/>
      <c r="E348" s="8"/>
      <c r="F348" s="8"/>
      <c r="G348" s="8"/>
      <c r="H348" s="8"/>
      <c r="I348" s="8"/>
      <c r="J348" s="8"/>
      <c r="K348" s="8"/>
    </row>
    <row r="349">
      <c r="A349" s="8" t="s">
        <v>357</v>
      </c>
      <c r="B349" s="8"/>
      <c r="C349" s="8"/>
      <c r="D349" s="8"/>
      <c r="E349" s="8"/>
      <c r="F349" s="8"/>
      <c r="G349" s="8"/>
      <c r="H349" s="8"/>
      <c r="I349" s="8"/>
      <c r="J349" s="8"/>
      <c r="K349" s="8"/>
    </row>
    <row r="350">
      <c r="A350" s="8" t="s">
        <v>358</v>
      </c>
      <c r="B350" s="8"/>
      <c r="C350" s="8"/>
      <c r="D350" s="8"/>
      <c r="E350" s="8"/>
      <c r="F350" s="8"/>
      <c r="G350" s="8"/>
      <c r="H350" s="8"/>
      <c r="I350" s="8"/>
      <c r="J350" s="8"/>
      <c r="K350" s="8"/>
    </row>
    <row r="351">
      <c r="A351" s="8" t="s">
        <v>359</v>
      </c>
      <c r="B351" s="8"/>
      <c r="C351" s="8"/>
      <c r="D351" s="8"/>
      <c r="E351" s="8"/>
      <c r="F351" s="8"/>
      <c r="G351" s="8"/>
      <c r="H351" s="8"/>
      <c r="I351" s="8"/>
      <c r="J351" s="8"/>
      <c r="K351" s="8"/>
    </row>
    <row r="352">
      <c r="A352" s="8" t="s">
        <v>360</v>
      </c>
      <c r="B352" s="8"/>
      <c r="C352" s="8"/>
      <c r="D352" s="8"/>
      <c r="E352" s="8"/>
      <c r="F352" s="8"/>
      <c r="G352" s="8"/>
      <c r="H352" s="8"/>
      <c r="I352" s="8"/>
      <c r="J352" s="8"/>
      <c r="K352" s="8"/>
    </row>
    <row r="353">
      <c r="A353" s="8" t="s">
        <v>361</v>
      </c>
      <c r="B353" s="8"/>
      <c r="C353" s="8"/>
      <c r="D353" s="8"/>
      <c r="E353" s="8"/>
      <c r="F353" s="8"/>
      <c r="G353" s="8"/>
      <c r="H353" s="8"/>
      <c r="I353" s="8"/>
      <c r="J353" s="8"/>
      <c r="K353" s="8"/>
    </row>
    <row r="354">
      <c r="A354" s="8" t="s">
        <v>362</v>
      </c>
      <c r="B354" s="8"/>
      <c r="C354" s="8"/>
      <c r="D354" s="8"/>
      <c r="E354" s="8"/>
      <c r="F354" s="8"/>
      <c r="G354" s="8"/>
      <c r="H354" s="8"/>
      <c r="I354" s="8"/>
      <c r="J354" s="8"/>
      <c r="K354" s="8"/>
    </row>
    <row r="355">
      <c r="A355" s="8" t="s">
        <v>363</v>
      </c>
      <c r="B355" s="8"/>
      <c r="C355" s="8"/>
      <c r="D355" s="8"/>
      <c r="E355" s="8"/>
      <c r="F355" s="8"/>
      <c r="G355" s="8"/>
      <c r="H355" s="8"/>
      <c r="I355" s="8"/>
      <c r="J355" s="8"/>
      <c r="K355" s="8"/>
    </row>
    <row r="356">
      <c r="A356" s="8" t="s">
        <v>364</v>
      </c>
      <c r="B356" s="8"/>
      <c r="C356" s="8"/>
      <c r="D356" s="8"/>
      <c r="E356" s="8"/>
      <c r="F356" s="8"/>
      <c r="G356" s="8"/>
      <c r="H356" s="8"/>
      <c r="I356" s="8"/>
      <c r="J356" s="8"/>
      <c r="K356" s="8"/>
    </row>
    <row r="357">
      <c r="A357" s="8" t="s">
        <v>365</v>
      </c>
      <c r="B357" s="8"/>
      <c r="C357" s="8"/>
      <c r="D357" s="8"/>
      <c r="E357" s="8"/>
      <c r="F357" s="8"/>
      <c r="G357" s="8"/>
      <c r="H357" s="8"/>
      <c r="I357" s="8"/>
      <c r="J357" s="8"/>
      <c r="K357" s="8"/>
    </row>
    <row r="358">
      <c r="A358" s="8" t="s">
        <v>366</v>
      </c>
      <c r="B358" s="8"/>
      <c r="C358" s="8"/>
      <c r="D358" s="8"/>
      <c r="E358" s="8"/>
      <c r="F358" s="8"/>
      <c r="G358" s="8"/>
      <c r="H358" s="8"/>
      <c r="I358" s="8"/>
      <c r="J358" s="8"/>
      <c r="K358" s="8"/>
    </row>
    <row r="359">
      <c r="A359" s="8" t="s">
        <v>367</v>
      </c>
      <c r="B359" s="8"/>
      <c r="C359" s="8"/>
      <c r="D359" s="8"/>
      <c r="E359" s="8"/>
      <c r="F359" s="8"/>
      <c r="G359" s="8"/>
      <c r="H359" s="8"/>
      <c r="I359" s="8"/>
      <c r="J359" s="8"/>
      <c r="K359" s="8"/>
    </row>
    <row r="360">
      <c r="A360" s="8" t="s">
        <v>368</v>
      </c>
      <c r="B360" s="8"/>
      <c r="C360" s="8"/>
      <c r="D360" s="8"/>
      <c r="E360" s="8"/>
      <c r="F360" s="8"/>
      <c r="G360" s="8"/>
      <c r="H360" s="8"/>
      <c r="I360" s="8"/>
      <c r="J360" s="8"/>
      <c r="K360" s="8"/>
    </row>
    <row r="361">
      <c r="A361" s="8" t="s">
        <v>369</v>
      </c>
      <c r="B361" s="8"/>
      <c r="C361" s="8"/>
      <c r="D361" s="8"/>
      <c r="E361" s="8"/>
      <c r="F361" s="8"/>
      <c r="G361" s="8"/>
      <c r="H361" s="8"/>
      <c r="I361" s="8"/>
      <c r="J361" s="8"/>
      <c r="K361" s="8"/>
    </row>
    <row r="362">
      <c r="A362" s="8" t="s">
        <v>370</v>
      </c>
      <c r="B362" s="8"/>
      <c r="C362" s="8"/>
      <c r="D362" s="8"/>
      <c r="E362" s="8"/>
      <c r="F362" s="8"/>
      <c r="G362" s="8"/>
      <c r="H362" s="8"/>
      <c r="I362" s="8"/>
      <c r="J362" s="8"/>
      <c r="K362" s="8"/>
    </row>
    <row r="363">
      <c r="A363" s="8" t="s">
        <v>371</v>
      </c>
      <c r="B363" s="8"/>
      <c r="C363" s="8"/>
      <c r="D363" s="8"/>
      <c r="E363" s="8"/>
      <c r="F363" s="8"/>
      <c r="G363" s="8"/>
      <c r="H363" s="8"/>
      <c r="I363" s="8"/>
      <c r="J363" s="8"/>
      <c r="K363" s="8"/>
    </row>
    <row r="364">
      <c r="A364" s="8" t="s">
        <v>372</v>
      </c>
      <c r="B364" s="8"/>
      <c r="C364" s="8"/>
      <c r="D364" s="8"/>
      <c r="E364" s="8"/>
      <c r="F364" s="8"/>
      <c r="G364" s="8"/>
      <c r="H364" s="8"/>
      <c r="I364" s="8"/>
      <c r="J364" s="8"/>
      <c r="K364" s="8"/>
    </row>
    <row r="365">
      <c r="A365" s="8" t="s">
        <v>373</v>
      </c>
      <c r="B365" s="8"/>
      <c r="C365" s="8"/>
      <c r="D365" s="8"/>
      <c r="E365" s="8"/>
      <c r="F365" s="8"/>
      <c r="G365" s="8"/>
      <c r="H365" s="8"/>
      <c r="I365" s="8"/>
      <c r="J365" s="8"/>
      <c r="K365" s="8"/>
    </row>
    <row r="366">
      <c r="A366" s="8" t="s">
        <v>374</v>
      </c>
      <c r="B366" s="8"/>
      <c r="C366" s="8"/>
      <c r="D366" s="8"/>
      <c r="E366" s="8"/>
      <c r="F366" s="8"/>
      <c r="G366" s="8"/>
      <c r="H366" s="8"/>
      <c r="I366" s="8"/>
      <c r="J366" s="8"/>
      <c r="K366" s="8"/>
    </row>
    <row r="367">
      <c r="A367" s="8" t="s">
        <v>375</v>
      </c>
      <c r="B367" s="8"/>
      <c r="C367" s="8"/>
      <c r="D367" s="8"/>
      <c r="E367" s="8"/>
      <c r="F367" s="8"/>
      <c r="G367" s="8"/>
      <c r="H367" s="8"/>
      <c r="I367" s="8"/>
      <c r="J367" s="8"/>
      <c r="K367" s="8"/>
    </row>
    <row r="368">
      <c r="A368" s="8" t="s">
        <v>376</v>
      </c>
      <c r="B368" s="8"/>
      <c r="C368" s="8"/>
      <c r="D368" s="8"/>
      <c r="E368" s="8"/>
      <c r="F368" s="8"/>
      <c r="G368" s="8"/>
      <c r="H368" s="8"/>
      <c r="I368" s="8"/>
      <c r="J368" s="8"/>
      <c r="K368" s="8"/>
    </row>
    <row r="369">
      <c r="A369" s="8" t="s">
        <v>377</v>
      </c>
      <c r="B369" s="8"/>
      <c r="C369" s="8"/>
      <c r="D369" s="8"/>
      <c r="E369" s="8"/>
      <c r="F369" s="8"/>
      <c r="G369" s="8"/>
      <c r="H369" s="8"/>
      <c r="I369" s="8"/>
      <c r="J369" s="8"/>
      <c r="K369" s="8"/>
    </row>
    <row r="370">
      <c r="A370" s="8" t="s">
        <v>378</v>
      </c>
      <c r="B370" s="8"/>
      <c r="C370" s="8"/>
      <c r="D370" s="8"/>
      <c r="E370" s="8"/>
      <c r="F370" s="8"/>
      <c r="G370" s="8"/>
      <c r="H370" s="8"/>
      <c r="I370" s="8"/>
      <c r="J370" s="8"/>
      <c r="K370" s="8"/>
    </row>
    <row r="371">
      <c r="A371" s="8" t="s">
        <v>379</v>
      </c>
      <c r="B371" s="8"/>
      <c r="C371" s="8"/>
      <c r="D371" s="8"/>
      <c r="E371" s="8"/>
      <c r="F371" s="8"/>
      <c r="G371" s="8"/>
      <c r="H371" s="8"/>
      <c r="I371" s="8"/>
      <c r="J371" s="8"/>
      <c r="K371" s="8"/>
    </row>
    <row r="372">
      <c r="A372" s="8" t="s">
        <v>380</v>
      </c>
      <c r="B372" s="8"/>
      <c r="C372" s="8"/>
      <c r="D372" s="8"/>
      <c r="E372" s="8"/>
      <c r="F372" s="8"/>
      <c r="G372" s="8"/>
      <c r="H372" s="8"/>
      <c r="I372" s="8"/>
      <c r="J372" s="8"/>
      <c r="K372" s="8"/>
    </row>
    <row r="373">
      <c r="A373" s="8" t="s">
        <v>381</v>
      </c>
      <c r="B373" s="8"/>
      <c r="C373" s="8"/>
      <c r="D373" s="8"/>
      <c r="E373" s="8"/>
      <c r="F373" s="8"/>
      <c r="G373" s="8"/>
      <c r="H373" s="8"/>
      <c r="I373" s="8"/>
      <c r="J373" s="8"/>
      <c r="K373" s="8"/>
    </row>
    <row r="374">
      <c r="A374" s="8" t="s">
        <v>382</v>
      </c>
      <c r="B374" s="8"/>
      <c r="C374" s="8"/>
      <c r="D374" s="8"/>
      <c r="E374" s="8"/>
      <c r="F374" s="8"/>
      <c r="G374" s="8"/>
      <c r="H374" s="8"/>
      <c r="I374" s="8"/>
      <c r="J374" s="8"/>
      <c r="K374" s="8"/>
    </row>
    <row r="375">
      <c r="A375" s="8" t="s">
        <v>383</v>
      </c>
      <c r="B375" s="8"/>
      <c r="C375" s="8"/>
      <c r="D375" s="8"/>
      <c r="E375" s="8"/>
      <c r="F375" s="8"/>
      <c r="G375" s="8"/>
      <c r="H375" s="8"/>
      <c r="I375" s="8"/>
      <c r="J375" s="8"/>
      <c r="K375" s="8"/>
    </row>
    <row r="376">
      <c r="A376" s="8" t="s">
        <v>384</v>
      </c>
      <c r="B376" s="8"/>
      <c r="C376" s="8"/>
      <c r="D376" s="8"/>
      <c r="E376" s="8"/>
      <c r="F376" s="8"/>
      <c r="G376" s="8"/>
      <c r="H376" s="8"/>
      <c r="I376" s="8"/>
      <c r="J376" s="8"/>
      <c r="K376" s="8"/>
    </row>
    <row r="377">
      <c r="A377" s="8" t="s">
        <v>385</v>
      </c>
      <c r="B377" s="8"/>
      <c r="C377" s="8"/>
      <c r="D377" s="8"/>
      <c r="E377" s="8"/>
      <c r="F377" s="8"/>
      <c r="G377" s="8"/>
      <c r="H377" s="8"/>
      <c r="I377" s="8"/>
      <c r="J377" s="8"/>
      <c r="K377" s="8"/>
    </row>
    <row r="378">
      <c r="A378" s="8" t="s">
        <v>386</v>
      </c>
      <c r="B378" s="8"/>
      <c r="C378" s="8"/>
      <c r="D378" s="8"/>
      <c r="E378" s="8"/>
      <c r="F378" s="8"/>
      <c r="G378" s="8"/>
      <c r="H378" s="8"/>
      <c r="I378" s="8"/>
      <c r="J378" s="8"/>
      <c r="K378" s="8"/>
    </row>
    <row r="379">
      <c r="A379" s="8" t="s">
        <v>387</v>
      </c>
      <c r="B379" s="8"/>
      <c r="C379" s="8"/>
      <c r="D379" s="8"/>
      <c r="E379" s="8"/>
      <c r="F379" s="8"/>
      <c r="G379" s="8"/>
      <c r="H379" s="8"/>
      <c r="I379" s="8"/>
      <c r="J379" s="8"/>
      <c r="K379" s="8"/>
    </row>
    <row r="380">
      <c r="A380" s="8" t="s">
        <v>388</v>
      </c>
      <c r="B380" s="8"/>
      <c r="C380" s="8"/>
      <c r="D380" s="8"/>
      <c r="E380" s="8"/>
      <c r="F380" s="8"/>
      <c r="G380" s="8"/>
      <c r="H380" s="8"/>
      <c r="I380" s="8"/>
      <c r="J380" s="8"/>
      <c r="K380" s="8"/>
    </row>
    <row r="381">
      <c r="A381" s="8" t="s">
        <v>389</v>
      </c>
      <c r="B381" s="8"/>
      <c r="C381" s="8"/>
      <c r="D381" s="8"/>
      <c r="E381" s="8"/>
      <c r="F381" s="8"/>
      <c r="G381" s="8"/>
      <c r="H381" s="8"/>
      <c r="I381" s="8"/>
      <c r="J381" s="8"/>
      <c r="K381" s="8"/>
    </row>
    <row r="382">
      <c r="A382" s="8" t="s">
        <v>390</v>
      </c>
      <c r="B382" s="8"/>
      <c r="C382" s="8"/>
      <c r="D382" s="8"/>
      <c r="E382" s="8"/>
      <c r="F382" s="8"/>
      <c r="G382" s="8"/>
      <c r="H382" s="8"/>
      <c r="I382" s="8"/>
      <c r="J382" s="8"/>
      <c r="K382" s="8"/>
    </row>
    <row r="383">
      <c r="A383" s="8" t="s">
        <v>391</v>
      </c>
      <c r="B383" s="8"/>
      <c r="C383" s="8"/>
      <c r="D383" s="8"/>
      <c r="E383" s="8"/>
      <c r="F383" s="8"/>
      <c r="G383" s="8"/>
      <c r="H383" s="8"/>
      <c r="I383" s="8"/>
      <c r="J383" s="8"/>
      <c r="K383" s="8"/>
    </row>
    <row r="384">
      <c r="A384" s="8" t="s">
        <v>392</v>
      </c>
      <c r="B384" s="8"/>
      <c r="C384" s="8"/>
      <c r="D384" s="8"/>
      <c r="E384" s="8"/>
      <c r="F384" s="8"/>
      <c r="G384" s="8"/>
      <c r="H384" s="8"/>
      <c r="I384" s="8"/>
      <c r="J384" s="8"/>
      <c r="K384" s="8"/>
    </row>
    <row r="385">
      <c r="A385" s="8" t="s">
        <v>393</v>
      </c>
      <c r="B385" s="8"/>
      <c r="C385" s="8"/>
      <c r="D385" s="8"/>
      <c r="E385" s="8"/>
      <c r="F385" s="8"/>
      <c r="G385" s="8"/>
      <c r="H385" s="8"/>
      <c r="I385" s="8"/>
      <c r="J385" s="8"/>
      <c r="K385" s="8"/>
    </row>
    <row r="386">
      <c r="A386" s="8" t="s">
        <v>394</v>
      </c>
      <c r="B386" s="8"/>
      <c r="C386" s="8"/>
      <c r="D386" s="8"/>
      <c r="E386" s="8"/>
      <c r="F386" s="8"/>
      <c r="G386" s="8"/>
      <c r="H386" s="8"/>
      <c r="I386" s="8"/>
      <c r="J386" s="8"/>
      <c r="K386" s="8"/>
    </row>
    <row r="387">
      <c r="A387" s="8" t="s">
        <v>395</v>
      </c>
      <c r="B387" s="8"/>
      <c r="C387" s="8"/>
      <c r="D387" s="8"/>
      <c r="E387" s="8"/>
      <c r="F387" s="8"/>
      <c r="G387" s="8"/>
      <c r="H387" s="8"/>
      <c r="I387" s="8"/>
      <c r="J387" s="8"/>
      <c r="K387" s="8"/>
    </row>
    <row r="388">
      <c r="A388" s="8" t="s">
        <v>396</v>
      </c>
      <c r="B388" s="8"/>
      <c r="C388" s="8"/>
      <c r="D388" s="8"/>
      <c r="E388" s="8"/>
      <c r="F388" s="8"/>
      <c r="G388" s="8"/>
      <c r="H388" s="8"/>
      <c r="I388" s="8"/>
      <c r="J388" s="8"/>
      <c r="K388" s="8"/>
    </row>
    <row r="389">
      <c r="A389" s="8" t="s">
        <v>397</v>
      </c>
      <c r="B389" s="8"/>
      <c r="C389" s="8"/>
      <c r="D389" s="8"/>
      <c r="E389" s="8"/>
      <c r="F389" s="8"/>
      <c r="G389" s="8"/>
      <c r="H389" s="8"/>
      <c r="I389" s="8"/>
      <c r="J389" s="8"/>
      <c r="K389" s="8"/>
    </row>
    <row r="390">
      <c r="A390" s="8" t="s">
        <v>398</v>
      </c>
      <c r="B390" s="8"/>
      <c r="C390" s="8"/>
      <c r="D390" s="8"/>
      <c r="E390" s="8"/>
      <c r="F390" s="8"/>
      <c r="G390" s="8"/>
      <c r="H390" s="8"/>
      <c r="I390" s="8"/>
      <c r="J390" s="8"/>
      <c r="K390" s="8"/>
    </row>
    <row r="391">
      <c r="A391" s="8" t="s">
        <v>399</v>
      </c>
      <c r="B391" s="8"/>
      <c r="C391" s="8"/>
      <c r="D391" s="8"/>
      <c r="E391" s="8"/>
      <c r="F391" s="8"/>
      <c r="G391" s="8"/>
      <c r="H391" s="8"/>
      <c r="I391" s="8"/>
      <c r="J391" s="8"/>
      <c r="K391" s="8"/>
    </row>
    <row r="392">
      <c r="A392" s="8" t="s">
        <v>400</v>
      </c>
      <c r="B392" s="8"/>
      <c r="C392" s="8"/>
      <c r="D392" s="8"/>
      <c r="E392" s="8"/>
      <c r="F392" s="8"/>
      <c r="G392" s="8"/>
      <c r="H392" s="8"/>
      <c r="I392" s="8"/>
      <c r="J392" s="8"/>
      <c r="K392" s="8"/>
    </row>
    <row r="393">
      <c r="A393" s="8" t="s">
        <v>401</v>
      </c>
      <c r="B393" s="8"/>
      <c r="C393" s="8"/>
      <c r="D393" s="8"/>
      <c r="E393" s="8"/>
      <c r="F393" s="8"/>
      <c r="G393" s="8"/>
      <c r="H393" s="8"/>
      <c r="I393" s="8"/>
      <c r="J393" s="8"/>
      <c r="K393" s="8"/>
    </row>
    <row r="394">
      <c r="A394" s="8" t="s">
        <v>402</v>
      </c>
      <c r="B394" s="8"/>
      <c r="C394" s="8"/>
      <c r="D394" s="8"/>
      <c r="E394" s="8"/>
      <c r="F394" s="8"/>
      <c r="G394" s="8"/>
      <c r="H394" s="8"/>
      <c r="I394" s="8"/>
      <c r="J394" s="8"/>
      <c r="K394" s="8"/>
    </row>
    <row r="395">
      <c r="A395" s="8" t="s">
        <v>403</v>
      </c>
      <c r="B395" s="8"/>
      <c r="C395" s="8"/>
      <c r="D395" s="8"/>
      <c r="E395" s="8"/>
      <c r="F395" s="8"/>
      <c r="G395" s="8"/>
      <c r="H395" s="8"/>
      <c r="I395" s="8"/>
      <c r="J395" s="8"/>
      <c r="K395" s="8"/>
    </row>
    <row r="396">
      <c r="A396" s="8" t="s">
        <v>404</v>
      </c>
      <c r="B396" s="8"/>
      <c r="C396" s="8"/>
      <c r="D396" s="8"/>
      <c r="E396" s="8"/>
      <c r="F396" s="8"/>
      <c r="G396" s="8"/>
      <c r="H396" s="8"/>
      <c r="I396" s="8"/>
      <c r="J396" s="8"/>
      <c r="K396" s="8"/>
    </row>
    <row r="397">
      <c r="A397" s="8" t="s">
        <v>405</v>
      </c>
      <c r="B397" s="8"/>
      <c r="C397" s="8"/>
      <c r="D397" s="8"/>
      <c r="E397" s="8"/>
      <c r="F397" s="8"/>
      <c r="G397" s="8"/>
      <c r="H397" s="8"/>
      <c r="I397" s="8"/>
      <c r="J397" s="8"/>
      <c r="K397" s="8"/>
    </row>
    <row r="398">
      <c r="A398" s="8" t="s">
        <v>406</v>
      </c>
      <c r="B398" s="8"/>
      <c r="C398" s="8"/>
      <c r="D398" s="8"/>
      <c r="E398" s="8"/>
      <c r="F398" s="8"/>
      <c r="G398" s="8"/>
      <c r="H398" s="8"/>
      <c r="I398" s="8"/>
      <c r="J398" s="8"/>
      <c r="K398" s="8"/>
    </row>
    <row r="399">
      <c r="A399" s="8" t="s">
        <v>407</v>
      </c>
      <c r="B399" s="8"/>
      <c r="C399" s="8"/>
      <c r="D399" s="8"/>
      <c r="E399" s="8"/>
      <c r="F399" s="8"/>
      <c r="G399" s="8"/>
      <c r="H399" s="8"/>
      <c r="I399" s="8"/>
      <c r="J399" s="8"/>
      <c r="K399" s="8"/>
    </row>
    <row r="400">
      <c r="A400" s="8" t="s">
        <v>408</v>
      </c>
      <c r="B400" s="8"/>
      <c r="C400" s="8"/>
      <c r="D400" s="8"/>
      <c r="E400" s="8"/>
      <c r="F400" s="8"/>
      <c r="G400" s="8"/>
      <c r="H400" s="8"/>
      <c r="I400" s="8"/>
      <c r="J400" s="8"/>
      <c r="K400" s="8"/>
    </row>
    <row r="401">
      <c r="A401" s="8" t="s">
        <v>409</v>
      </c>
      <c r="B401" s="8"/>
      <c r="C401" s="8"/>
      <c r="D401" s="8"/>
      <c r="E401" s="8"/>
      <c r="F401" s="8"/>
      <c r="G401" s="8"/>
      <c r="H401" s="8"/>
      <c r="I401" s="8"/>
      <c r="J401" s="8"/>
      <c r="K401" s="8"/>
    </row>
    <row r="402">
      <c r="A402" s="8" t="s">
        <v>410</v>
      </c>
      <c r="B402" s="8"/>
      <c r="C402" s="8"/>
      <c r="D402" s="8"/>
      <c r="E402" s="8"/>
      <c r="F402" s="8"/>
      <c r="G402" s="8"/>
      <c r="H402" s="8"/>
      <c r="I402" s="8"/>
      <c r="J402" s="8"/>
      <c r="K402" s="8"/>
    </row>
    <row r="403">
      <c r="A403" s="8" t="s">
        <v>411</v>
      </c>
      <c r="B403" s="8"/>
      <c r="C403" s="8"/>
      <c r="D403" s="8"/>
      <c r="E403" s="8"/>
      <c r="F403" s="8"/>
      <c r="G403" s="8"/>
      <c r="H403" s="8"/>
      <c r="I403" s="8"/>
      <c r="J403" s="8"/>
      <c r="K403" s="8"/>
    </row>
    <row r="404">
      <c r="A404" s="8" t="s">
        <v>412</v>
      </c>
      <c r="B404" s="8"/>
      <c r="C404" s="8"/>
      <c r="D404" s="8"/>
      <c r="E404" s="8"/>
      <c r="F404" s="8"/>
      <c r="G404" s="8"/>
      <c r="H404" s="8"/>
      <c r="I404" s="8"/>
      <c r="J404" s="8"/>
      <c r="K404" s="8"/>
    </row>
    <row r="405">
      <c r="A405" s="8" t="s">
        <v>413</v>
      </c>
      <c r="B405" s="8"/>
      <c r="C405" s="8"/>
      <c r="D405" s="8"/>
      <c r="E405" s="8"/>
      <c r="F405" s="8"/>
      <c r="G405" s="8"/>
      <c r="H405" s="8"/>
      <c r="I405" s="8"/>
      <c r="J405" s="8"/>
      <c r="K405" s="8"/>
    </row>
    <row r="406">
      <c r="A406" s="8" t="s">
        <v>414</v>
      </c>
      <c r="B406" s="8"/>
      <c r="C406" s="8"/>
      <c r="D406" s="8"/>
      <c r="E406" s="8"/>
      <c r="F406" s="8"/>
      <c r="G406" s="8"/>
      <c r="H406" s="8"/>
      <c r="I406" s="8"/>
      <c r="J406" s="8"/>
      <c r="K406" s="8"/>
    </row>
    <row r="407">
      <c r="A407" s="8" t="s">
        <v>415</v>
      </c>
      <c r="B407" s="8"/>
      <c r="C407" s="8"/>
      <c r="D407" s="8"/>
      <c r="E407" s="8"/>
      <c r="F407" s="8"/>
      <c r="G407" s="8"/>
      <c r="H407" s="8"/>
      <c r="I407" s="8"/>
      <c r="J407" s="8"/>
      <c r="K407" s="8"/>
    </row>
    <row r="408">
      <c r="A408" s="8" t="s">
        <v>416</v>
      </c>
      <c r="B408" s="8"/>
      <c r="C408" s="8"/>
      <c r="D408" s="8"/>
      <c r="E408" s="8"/>
      <c r="F408" s="8"/>
      <c r="G408" s="8"/>
      <c r="H408" s="8"/>
      <c r="I408" s="8"/>
      <c r="J408" s="8"/>
      <c r="K408" s="8"/>
    </row>
    <row r="409">
      <c r="A409" s="8" t="s">
        <v>417</v>
      </c>
      <c r="B409" s="8"/>
      <c r="C409" s="8"/>
      <c r="D409" s="8"/>
      <c r="E409" s="8"/>
      <c r="F409" s="8"/>
      <c r="G409" s="8"/>
      <c r="H409" s="8"/>
      <c r="I409" s="8"/>
      <c r="J409" s="8"/>
      <c r="K409" s="8"/>
    </row>
    <row r="410">
      <c r="A410" s="8" t="s">
        <v>418</v>
      </c>
      <c r="B410" s="8"/>
      <c r="C410" s="8"/>
      <c r="D410" s="8"/>
      <c r="E410" s="8"/>
      <c r="F410" s="8"/>
      <c r="G410" s="8"/>
      <c r="H410" s="8"/>
      <c r="I410" s="8"/>
      <c r="J410" s="8"/>
      <c r="K410" s="8"/>
    </row>
    <row r="411">
      <c r="A411" s="8" t="s">
        <v>419</v>
      </c>
      <c r="B411" s="8"/>
      <c r="C411" s="8"/>
      <c r="D411" s="8"/>
      <c r="E411" s="8"/>
      <c r="F411" s="8"/>
      <c r="G411" s="8"/>
      <c r="H411" s="8"/>
      <c r="I411" s="8"/>
      <c r="J411" s="8"/>
      <c r="K411" s="8"/>
    </row>
    <row r="412">
      <c r="A412" s="8" t="s">
        <v>420</v>
      </c>
      <c r="B412" s="8"/>
      <c r="C412" s="8"/>
      <c r="D412" s="8"/>
      <c r="E412" s="8"/>
      <c r="F412" s="8"/>
      <c r="G412" s="8"/>
      <c r="H412" s="8"/>
      <c r="I412" s="8"/>
      <c r="J412" s="8"/>
      <c r="K412" s="8"/>
    </row>
    <row r="413">
      <c r="A413" s="8" t="s">
        <v>421</v>
      </c>
      <c r="B413" s="8"/>
      <c r="C413" s="8"/>
      <c r="D413" s="8"/>
      <c r="E413" s="8"/>
      <c r="F413" s="8"/>
      <c r="G413" s="8"/>
      <c r="H413" s="8"/>
      <c r="I413" s="8"/>
      <c r="J413" s="8"/>
      <c r="K413" s="8"/>
    </row>
    <row r="414">
      <c r="A414" s="8" t="s">
        <v>422</v>
      </c>
      <c r="B414" s="8"/>
      <c r="C414" s="8"/>
      <c r="D414" s="8"/>
      <c r="E414" s="8"/>
      <c r="F414" s="8"/>
      <c r="G414" s="8"/>
      <c r="H414" s="8"/>
      <c r="I414" s="8"/>
      <c r="J414" s="8"/>
      <c r="K414" s="8"/>
    </row>
    <row r="415">
      <c r="A415" s="8" t="s">
        <v>423</v>
      </c>
      <c r="B415" s="8"/>
      <c r="C415" s="8"/>
      <c r="D415" s="8"/>
      <c r="E415" s="8"/>
      <c r="F415" s="8"/>
      <c r="G415" s="8"/>
      <c r="H415" s="8"/>
      <c r="I415" s="8"/>
      <c r="J415" s="8"/>
      <c r="K415" s="8"/>
    </row>
    <row r="416">
      <c r="A416" s="8" t="s">
        <v>424</v>
      </c>
      <c r="B416" s="8"/>
      <c r="C416" s="8"/>
      <c r="D416" s="8"/>
      <c r="E416" s="8"/>
      <c r="F416" s="8"/>
      <c r="G416" s="8"/>
      <c r="H416" s="8"/>
      <c r="I416" s="8"/>
      <c r="J416" s="8"/>
      <c r="K416" s="8"/>
    </row>
    <row r="417">
      <c r="A417" s="8" t="s">
        <v>425</v>
      </c>
      <c r="B417" s="8"/>
      <c r="C417" s="8"/>
      <c r="D417" s="8"/>
      <c r="E417" s="8"/>
      <c r="F417" s="8"/>
      <c r="G417" s="8"/>
      <c r="H417" s="8"/>
      <c r="I417" s="8"/>
      <c r="J417" s="8"/>
      <c r="K417" s="8"/>
    </row>
    <row r="418">
      <c r="A418" s="8" t="s">
        <v>426</v>
      </c>
      <c r="B418" s="8"/>
      <c r="C418" s="8"/>
      <c r="D418" s="8"/>
      <c r="E418" s="8"/>
      <c r="F418" s="8"/>
      <c r="G418" s="8"/>
      <c r="H418" s="8"/>
      <c r="I418" s="8"/>
      <c r="J418" s="8"/>
      <c r="K418" s="8"/>
    </row>
    <row r="419">
      <c r="A419" s="8" t="s">
        <v>427</v>
      </c>
      <c r="B419" s="8"/>
      <c r="C419" s="8"/>
      <c r="D419" s="8"/>
      <c r="E419" s="8"/>
      <c r="F419" s="8"/>
      <c r="G419" s="8"/>
      <c r="H419" s="8"/>
      <c r="I419" s="8"/>
      <c r="J419" s="8"/>
      <c r="K419" s="8"/>
    </row>
    <row r="420">
      <c r="A420" s="8" t="s">
        <v>428</v>
      </c>
      <c r="B420" s="8"/>
      <c r="C420" s="8"/>
      <c r="D420" s="8"/>
      <c r="E420" s="8"/>
      <c r="F420" s="8"/>
      <c r="G420" s="8"/>
      <c r="H420" s="8"/>
      <c r="I420" s="8"/>
      <c r="J420" s="8"/>
      <c r="K420" s="8"/>
    </row>
    <row r="421">
      <c r="A421" s="8" t="s">
        <v>429</v>
      </c>
      <c r="B421" s="8"/>
      <c r="C421" s="8"/>
      <c r="D421" s="8"/>
      <c r="E421" s="8"/>
      <c r="F421" s="8"/>
      <c r="G421" s="8"/>
      <c r="H421" s="8"/>
      <c r="I421" s="8"/>
      <c r="J421" s="8"/>
      <c r="K421" s="8"/>
    </row>
    <row r="422">
      <c r="A422" s="8" t="s">
        <v>430</v>
      </c>
      <c r="B422" s="8"/>
      <c r="C422" s="8"/>
      <c r="D422" s="8"/>
      <c r="E422" s="8"/>
      <c r="F422" s="8"/>
      <c r="G422" s="8"/>
      <c r="H422" s="8"/>
      <c r="I422" s="8"/>
      <c r="J422" s="8"/>
      <c r="K422" s="8"/>
    </row>
    <row r="423">
      <c r="A423" s="8" t="s">
        <v>431</v>
      </c>
      <c r="B423" s="8"/>
      <c r="C423" s="8"/>
      <c r="D423" s="8"/>
      <c r="E423" s="8"/>
      <c r="F423" s="8"/>
      <c r="G423" s="8"/>
      <c r="H423" s="8"/>
      <c r="I423" s="8"/>
      <c r="J423" s="8"/>
      <c r="K423" s="8"/>
    </row>
    <row r="424">
      <c r="A424" s="8" t="s">
        <v>432</v>
      </c>
      <c r="B424" s="8"/>
      <c r="C424" s="8"/>
      <c r="D424" s="8"/>
      <c r="E424" s="8"/>
      <c r="F424" s="8"/>
      <c r="G424" s="8"/>
      <c r="H424" s="8"/>
      <c r="I424" s="8"/>
      <c r="J424" s="8"/>
      <c r="K424" s="8"/>
    </row>
    <row r="425">
      <c r="A425" s="8" t="s">
        <v>433</v>
      </c>
      <c r="B425" s="8"/>
      <c r="C425" s="8"/>
      <c r="D425" s="8"/>
      <c r="E425" s="8"/>
      <c r="F425" s="8"/>
      <c r="G425" s="8"/>
      <c r="H425" s="8"/>
      <c r="I425" s="8"/>
      <c r="J425" s="8"/>
      <c r="K425" s="8"/>
    </row>
    <row r="426">
      <c r="A426" s="8" t="s">
        <v>434</v>
      </c>
      <c r="B426" s="8"/>
      <c r="C426" s="8"/>
      <c r="D426" s="8"/>
      <c r="E426" s="8"/>
      <c r="F426" s="8"/>
      <c r="G426" s="8"/>
      <c r="H426" s="8"/>
      <c r="I426" s="8"/>
      <c r="J426" s="8"/>
      <c r="K426" s="8"/>
    </row>
    <row r="427">
      <c r="A427" s="8" t="s">
        <v>435</v>
      </c>
      <c r="B427" s="8"/>
      <c r="C427" s="8"/>
      <c r="D427" s="8"/>
      <c r="E427" s="8"/>
      <c r="F427" s="8"/>
      <c r="G427" s="8"/>
      <c r="H427" s="8"/>
      <c r="I427" s="8"/>
      <c r="J427" s="8"/>
      <c r="K427" s="8"/>
    </row>
    <row r="428">
      <c r="A428" s="8" t="s">
        <v>436</v>
      </c>
      <c r="B428" s="8"/>
      <c r="C428" s="8"/>
      <c r="D428" s="8"/>
      <c r="E428" s="8"/>
      <c r="F428" s="8"/>
      <c r="G428" s="8"/>
      <c r="H428" s="8"/>
      <c r="I428" s="8"/>
      <c r="J428" s="8"/>
      <c r="K428" s="8"/>
    </row>
    <row r="429">
      <c r="A429" s="8" t="s">
        <v>437</v>
      </c>
      <c r="B429" s="8"/>
      <c r="C429" s="8"/>
      <c r="D429" s="8"/>
      <c r="E429" s="8"/>
      <c r="F429" s="8"/>
      <c r="G429" s="8"/>
      <c r="H429" s="8"/>
      <c r="I429" s="8"/>
      <c r="J429" s="8"/>
      <c r="K429" s="8"/>
    </row>
    <row r="430">
      <c r="A430" s="8" t="s">
        <v>438</v>
      </c>
      <c r="B430" s="8"/>
      <c r="C430" s="8"/>
      <c r="D430" s="8"/>
      <c r="E430" s="8"/>
      <c r="F430" s="8"/>
      <c r="G430" s="8"/>
      <c r="H430" s="8"/>
      <c r="I430" s="8"/>
      <c r="J430" s="8"/>
      <c r="K430" s="8"/>
    </row>
    <row r="431">
      <c r="A431" s="8" t="s">
        <v>439</v>
      </c>
      <c r="B431" s="8"/>
      <c r="C431" s="8"/>
      <c r="D431" s="8"/>
      <c r="E431" s="8"/>
      <c r="F431" s="8"/>
      <c r="G431" s="8"/>
      <c r="H431" s="8"/>
      <c r="I431" s="8"/>
      <c r="J431" s="8"/>
      <c r="K431" s="8"/>
    </row>
    <row r="432">
      <c r="A432" s="8" t="s">
        <v>440</v>
      </c>
      <c r="B432" s="8"/>
      <c r="C432" s="8"/>
      <c r="D432" s="8"/>
      <c r="E432" s="8"/>
      <c r="F432" s="8"/>
      <c r="G432" s="8"/>
      <c r="H432" s="8"/>
      <c r="I432" s="8"/>
      <c r="J432" s="8"/>
      <c r="K432" s="8"/>
    </row>
    <row r="433">
      <c r="A433" s="8" t="s">
        <v>441</v>
      </c>
      <c r="B433" s="8"/>
      <c r="C433" s="8"/>
      <c r="D433" s="8"/>
      <c r="E433" s="8"/>
      <c r="F433" s="8"/>
      <c r="G433" s="8"/>
      <c r="H433" s="8"/>
      <c r="I433" s="8"/>
      <c r="J433" s="8"/>
      <c r="K433" s="8"/>
    </row>
    <row r="434">
      <c r="A434" s="8" t="s">
        <v>442</v>
      </c>
      <c r="B434" s="8"/>
      <c r="C434" s="8"/>
      <c r="D434" s="8"/>
      <c r="E434" s="8"/>
      <c r="F434" s="8"/>
      <c r="G434" s="8"/>
      <c r="H434" s="8"/>
      <c r="I434" s="8"/>
      <c r="J434" s="8"/>
      <c r="K434" s="8"/>
    </row>
    <row r="435">
      <c r="A435" s="8" t="s">
        <v>443</v>
      </c>
      <c r="B435" s="8"/>
      <c r="C435" s="8"/>
      <c r="D435" s="8"/>
      <c r="E435" s="8"/>
      <c r="F435" s="8"/>
      <c r="G435" s="8"/>
      <c r="H435" s="8"/>
      <c r="I435" s="8"/>
      <c r="J435" s="8"/>
      <c r="K435" s="8"/>
    </row>
    <row r="436">
      <c r="A436" s="8" t="s">
        <v>444</v>
      </c>
      <c r="B436" s="8"/>
      <c r="C436" s="8"/>
      <c r="D436" s="8"/>
      <c r="E436" s="8"/>
      <c r="F436" s="8"/>
      <c r="G436" s="8"/>
      <c r="H436" s="8"/>
      <c r="I436" s="8"/>
      <c r="J436" s="8"/>
      <c r="K436" s="8"/>
    </row>
    <row r="437">
      <c r="A437" s="8" t="s">
        <v>445</v>
      </c>
      <c r="B437" s="8"/>
      <c r="C437" s="8"/>
      <c r="D437" s="8"/>
      <c r="E437" s="8"/>
      <c r="F437" s="8"/>
      <c r="G437" s="8"/>
      <c r="H437" s="8"/>
      <c r="I437" s="8"/>
      <c r="J437" s="8"/>
      <c r="K437" s="8"/>
    </row>
    <row r="438">
      <c r="A438" s="8" t="s">
        <v>446</v>
      </c>
      <c r="B438" s="8"/>
      <c r="C438" s="8"/>
      <c r="D438" s="8"/>
      <c r="E438" s="8"/>
      <c r="F438" s="8"/>
      <c r="G438" s="8"/>
      <c r="H438" s="8"/>
      <c r="I438" s="8"/>
      <c r="J438" s="8"/>
      <c r="K438" s="8"/>
    </row>
    <row r="439">
      <c r="A439" s="8" t="s">
        <v>447</v>
      </c>
      <c r="B439" s="8"/>
      <c r="C439" s="8"/>
      <c r="D439" s="8"/>
      <c r="E439" s="8"/>
      <c r="F439" s="8"/>
      <c r="G439" s="8"/>
      <c r="H439" s="8"/>
      <c r="I439" s="8"/>
      <c r="J439" s="8"/>
      <c r="K439" s="8"/>
    </row>
    <row r="440">
      <c r="A440" s="8" t="s">
        <v>448</v>
      </c>
      <c r="B440" s="8"/>
      <c r="C440" s="8"/>
      <c r="D440" s="8"/>
      <c r="E440" s="8"/>
      <c r="F440" s="8"/>
      <c r="G440" s="8"/>
      <c r="H440" s="8"/>
      <c r="I440" s="8"/>
      <c r="J440" s="8"/>
      <c r="K440" s="8"/>
    </row>
    <row r="441">
      <c r="A441" s="8" t="s">
        <v>449</v>
      </c>
      <c r="B441" s="8"/>
      <c r="C441" s="8"/>
      <c r="D441" s="8"/>
      <c r="E441" s="8"/>
      <c r="F441" s="8"/>
      <c r="G441" s="8"/>
      <c r="H441" s="8"/>
      <c r="I441" s="8"/>
      <c r="J441" s="8"/>
      <c r="K441" s="8"/>
    </row>
    <row r="442">
      <c r="A442" s="8" t="s">
        <v>450</v>
      </c>
      <c r="B442" s="8"/>
      <c r="C442" s="8"/>
      <c r="D442" s="8"/>
      <c r="E442" s="8"/>
      <c r="F442" s="8"/>
      <c r="G442" s="8"/>
      <c r="H442" s="8"/>
      <c r="I442" s="8"/>
      <c r="J442" s="8"/>
      <c r="K442" s="8"/>
    </row>
    <row r="443">
      <c r="A443" s="8" t="s">
        <v>451</v>
      </c>
      <c r="B443" s="8"/>
      <c r="C443" s="8"/>
      <c r="D443" s="8"/>
      <c r="E443" s="8"/>
      <c r="F443" s="8"/>
      <c r="G443" s="8"/>
      <c r="H443" s="8"/>
      <c r="I443" s="8"/>
      <c r="J443" s="8"/>
      <c r="K443" s="8"/>
    </row>
    <row r="444">
      <c r="A444" s="8" t="s">
        <v>452</v>
      </c>
      <c r="B444" s="8"/>
      <c r="C444" s="8"/>
      <c r="D444" s="8"/>
      <c r="E444" s="8"/>
      <c r="F444" s="8"/>
      <c r="G444" s="8"/>
      <c r="H444" s="8"/>
      <c r="I444" s="8"/>
      <c r="J444" s="8"/>
      <c r="K444" s="8"/>
    </row>
    <row r="445">
      <c r="A445" s="8" t="s">
        <v>453</v>
      </c>
      <c r="B445" s="8"/>
      <c r="C445" s="8"/>
      <c r="D445" s="8"/>
      <c r="E445" s="8"/>
      <c r="F445" s="8"/>
      <c r="G445" s="8"/>
      <c r="H445" s="8"/>
      <c r="I445" s="8"/>
      <c r="J445" s="8"/>
      <c r="K445" s="8"/>
    </row>
    <row r="446">
      <c r="A446" s="8" t="s">
        <v>454</v>
      </c>
      <c r="B446" s="8"/>
      <c r="C446" s="8"/>
      <c r="D446" s="8"/>
      <c r="E446" s="8"/>
      <c r="F446" s="8"/>
      <c r="G446" s="8"/>
      <c r="H446" s="8"/>
      <c r="I446" s="8"/>
      <c r="J446" s="8"/>
      <c r="K446" s="8"/>
    </row>
    <row r="447">
      <c r="A447" s="8" t="s">
        <v>455</v>
      </c>
      <c r="B447" s="8"/>
      <c r="C447" s="8"/>
      <c r="D447" s="8"/>
      <c r="E447" s="8"/>
      <c r="F447" s="8"/>
      <c r="G447" s="8"/>
      <c r="H447" s="8"/>
      <c r="I447" s="8"/>
      <c r="J447" s="8"/>
      <c r="K447" s="8"/>
    </row>
    <row r="448">
      <c r="A448" s="8" t="s">
        <v>456</v>
      </c>
      <c r="B448" s="8"/>
      <c r="C448" s="8"/>
      <c r="D448" s="8"/>
      <c r="E448" s="8"/>
      <c r="F448" s="8"/>
      <c r="G448" s="8"/>
      <c r="H448" s="8"/>
      <c r="I448" s="8"/>
      <c r="J448" s="8"/>
      <c r="K448" s="8"/>
    </row>
    <row r="449">
      <c r="A449" s="8" t="s">
        <v>457</v>
      </c>
      <c r="B449" s="8"/>
      <c r="C449" s="8"/>
      <c r="D449" s="8"/>
      <c r="E449" s="8"/>
      <c r="F449" s="8"/>
      <c r="G449" s="8"/>
      <c r="H449" s="8"/>
      <c r="I449" s="8"/>
      <c r="J449" s="8"/>
      <c r="K449" s="8"/>
    </row>
    <row r="450">
      <c r="A450" s="8" t="s">
        <v>458</v>
      </c>
      <c r="B450" s="8"/>
      <c r="C450" s="8"/>
      <c r="D450" s="8"/>
      <c r="E450" s="8"/>
      <c r="F450" s="8"/>
      <c r="G450" s="8"/>
      <c r="H450" s="8"/>
      <c r="I450" s="8"/>
      <c r="J450" s="8"/>
      <c r="K450" s="8"/>
    </row>
    <row r="451">
      <c r="A451" s="8" t="s">
        <v>459</v>
      </c>
      <c r="B451" s="8"/>
      <c r="C451" s="8"/>
      <c r="D451" s="8"/>
      <c r="E451" s="8"/>
      <c r="F451" s="8"/>
      <c r="G451" s="8"/>
      <c r="H451" s="8"/>
      <c r="I451" s="8"/>
      <c r="J451" s="8"/>
      <c r="K451" s="8"/>
    </row>
    <row r="452">
      <c r="A452" s="8" t="s">
        <v>460</v>
      </c>
      <c r="B452" s="8"/>
      <c r="C452" s="8"/>
      <c r="D452" s="8"/>
      <c r="E452" s="8"/>
      <c r="F452" s="8"/>
      <c r="G452" s="8"/>
      <c r="H452" s="8"/>
      <c r="I452" s="8"/>
      <c r="J452" s="8"/>
      <c r="K452" s="8"/>
    </row>
    <row r="453">
      <c r="A453" s="8" t="s">
        <v>461</v>
      </c>
      <c r="B453" s="8"/>
      <c r="C453" s="8"/>
      <c r="D453" s="8"/>
      <c r="E453" s="8"/>
      <c r="F453" s="8"/>
      <c r="G453" s="8"/>
      <c r="H453" s="8"/>
      <c r="I453" s="8"/>
      <c r="J453" s="8"/>
      <c r="K453" s="8"/>
    </row>
    <row r="454">
      <c r="A454" s="8" t="s">
        <v>462</v>
      </c>
      <c r="B454" s="8"/>
      <c r="C454" s="8"/>
      <c r="D454" s="8"/>
      <c r="E454" s="8"/>
      <c r="F454" s="8"/>
      <c r="G454" s="8"/>
      <c r="H454" s="8"/>
      <c r="I454" s="8"/>
      <c r="J454" s="8"/>
      <c r="K454" s="8"/>
    </row>
    <row r="455">
      <c r="A455" s="8" t="s">
        <v>463</v>
      </c>
      <c r="B455" s="8"/>
      <c r="C455" s="8"/>
      <c r="D455" s="8"/>
      <c r="E455" s="8"/>
      <c r="F455" s="8"/>
      <c r="G455" s="8"/>
      <c r="H455" s="8"/>
      <c r="I455" s="8"/>
      <c r="J455" s="8"/>
      <c r="K455" s="8"/>
    </row>
    <row r="456">
      <c r="A456" s="8" t="s">
        <v>464</v>
      </c>
      <c r="B456" s="8"/>
      <c r="C456" s="8"/>
      <c r="D456" s="8"/>
      <c r="E456" s="8"/>
      <c r="F456" s="8"/>
      <c r="G456" s="8"/>
      <c r="H456" s="8"/>
      <c r="I456" s="8"/>
      <c r="J456" s="8"/>
      <c r="K456" s="8"/>
    </row>
    <row r="457">
      <c r="A457" s="8" t="s">
        <v>465</v>
      </c>
      <c r="B457" s="8"/>
      <c r="C457" s="8"/>
      <c r="D457" s="8"/>
      <c r="E457" s="8"/>
      <c r="F457" s="8"/>
      <c r="G457" s="8"/>
      <c r="H457" s="8"/>
      <c r="I457" s="8"/>
      <c r="J457" s="8"/>
      <c r="K457" s="8"/>
    </row>
    <row r="458">
      <c r="A458" s="8" t="s">
        <v>466</v>
      </c>
      <c r="B458" s="8"/>
      <c r="C458" s="8"/>
      <c r="D458" s="8"/>
      <c r="E458" s="8"/>
      <c r="F458" s="8"/>
      <c r="G458" s="8"/>
      <c r="H458" s="8"/>
      <c r="I458" s="8"/>
      <c r="J458" s="8"/>
      <c r="K458" s="8"/>
    </row>
    <row r="459">
      <c r="A459" s="8" t="s">
        <v>467</v>
      </c>
      <c r="B459" s="8"/>
      <c r="C459" s="8"/>
      <c r="D459" s="8"/>
      <c r="E459" s="8"/>
      <c r="F459" s="8"/>
      <c r="G459" s="8"/>
      <c r="H459" s="8"/>
      <c r="I459" s="8"/>
      <c r="J459" s="8"/>
      <c r="K459" s="8"/>
    </row>
    <row r="460">
      <c r="A460" s="8" t="s">
        <v>468</v>
      </c>
      <c r="B460" s="8"/>
      <c r="C460" s="8"/>
      <c r="D460" s="8"/>
      <c r="E460" s="8"/>
      <c r="F460" s="8"/>
      <c r="G460" s="8"/>
      <c r="H460" s="8"/>
      <c r="I460" s="8"/>
      <c r="J460" s="8"/>
      <c r="K460" s="8"/>
    </row>
    <row r="461">
      <c r="A461" s="8" t="s">
        <v>469</v>
      </c>
      <c r="B461" s="8"/>
      <c r="C461" s="8"/>
      <c r="D461" s="8"/>
      <c r="E461" s="8"/>
      <c r="F461" s="8"/>
      <c r="G461" s="8"/>
      <c r="H461" s="8"/>
      <c r="I461" s="8"/>
      <c r="J461" s="8"/>
      <c r="K461" s="8"/>
    </row>
    <row r="462">
      <c r="A462" s="8" t="s">
        <v>470</v>
      </c>
      <c r="B462" s="8"/>
      <c r="C462" s="8"/>
      <c r="D462" s="8"/>
      <c r="E462" s="8"/>
      <c r="F462" s="8"/>
      <c r="G462" s="8"/>
      <c r="H462" s="8"/>
      <c r="I462" s="8"/>
      <c r="J462" s="8"/>
      <c r="K462" s="8"/>
    </row>
    <row r="463">
      <c r="A463" s="8" t="s">
        <v>471</v>
      </c>
      <c r="B463" s="8"/>
      <c r="C463" s="8"/>
      <c r="D463" s="8"/>
      <c r="E463" s="8"/>
      <c r="F463" s="8"/>
      <c r="G463" s="8"/>
      <c r="H463" s="8"/>
      <c r="I463" s="8"/>
      <c r="J463" s="8"/>
      <c r="K463" s="8"/>
    </row>
    <row r="464">
      <c r="A464" s="8" t="s">
        <v>472</v>
      </c>
      <c r="B464" s="8"/>
      <c r="C464" s="8"/>
      <c r="D464" s="8"/>
      <c r="E464" s="8"/>
      <c r="F464" s="8"/>
      <c r="G464" s="8"/>
      <c r="H464" s="8"/>
      <c r="I464" s="8"/>
      <c r="J464" s="8"/>
      <c r="K464" s="8"/>
    </row>
    <row r="465">
      <c r="A465" s="8" t="s">
        <v>473</v>
      </c>
      <c r="B465" s="8"/>
      <c r="C465" s="8"/>
      <c r="D465" s="8"/>
      <c r="E465" s="8"/>
      <c r="F465" s="8"/>
      <c r="G465" s="8"/>
      <c r="H465" s="8"/>
      <c r="I465" s="8"/>
      <c r="J465" s="8"/>
      <c r="K465" s="8"/>
    </row>
    <row r="466">
      <c r="A466" s="8" t="s">
        <v>474</v>
      </c>
      <c r="B466" s="8"/>
      <c r="C466" s="8"/>
      <c r="D466" s="8"/>
      <c r="E466" s="8"/>
      <c r="F466" s="8"/>
      <c r="G466" s="8"/>
      <c r="H466" s="8"/>
      <c r="I466" s="8"/>
      <c r="J466" s="8"/>
      <c r="K466" s="8"/>
    </row>
    <row r="467">
      <c r="A467" s="8" t="s">
        <v>475</v>
      </c>
      <c r="B467" s="8"/>
      <c r="C467" s="8"/>
      <c r="D467" s="8"/>
      <c r="E467" s="8"/>
      <c r="F467" s="8"/>
      <c r="G467" s="8"/>
      <c r="H467" s="8"/>
      <c r="I467" s="8"/>
      <c r="J467" s="8"/>
      <c r="K467" s="8"/>
    </row>
    <row r="468">
      <c r="A468" s="8" t="s">
        <v>476</v>
      </c>
      <c r="B468" s="8"/>
      <c r="C468" s="8"/>
      <c r="D468" s="8"/>
      <c r="E468" s="8"/>
      <c r="F468" s="8"/>
      <c r="G468" s="8"/>
      <c r="H468" s="8"/>
      <c r="I468" s="8"/>
      <c r="J468" s="8"/>
      <c r="K468" s="8"/>
    </row>
    <row r="469">
      <c r="A469" s="8" t="s">
        <v>477</v>
      </c>
      <c r="B469" s="8"/>
      <c r="C469" s="8"/>
      <c r="D469" s="8"/>
      <c r="E469" s="8"/>
      <c r="F469" s="8"/>
      <c r="G469" s="8"/>
      <c r="H469" s="8"/>
      <c r="I469" s="8"/>
      <c r="J469" s="8"/>
      <c r="K469" s="8"/>
    </row>
    <row r="470">
      <c r="A470" s="8" t="s">
        <v>478</v>
      </c>
      <c r="B470" s="8"/>
      <c r="C470" s="8"/>
      <c r="D470" s="8"/>
      <c r="E470" s="8"/>
      <c r="F470" s="8"/>
      <c r="G470" s="8"/>
      <c r="H470" s="8"/>
      <c r="I470" s="8"/>
      <c r="J470" s="8"/>
      <c r="K470" s="8"/>
    </row>
    <row r="471">
      <c r="A471" s="8" t="s">
        <v>479</v>
      </c>
      <c r="B471" s="8"/>
      <c r="C471" s="8"/>
      <c r="D471" s="8"/>
      <c r="E471" s="8"/>
      <c r="F471" s="8"/>
      <c r="G471" s="8"/>
      <c r="H471" s="8"/>
      <c r="I471" s="8"/>
      <c r="J471" s="8"/>
      <c r="K471" s="8"/>
    </row>
    <row r="472">
      <c r="A472" s="8" t="s">
        <v>480</v>
      </c>
      <c r="B472" s="8"/>
      <c r="C472" s="8"/>
      <c r="D472" s="8"/>
      <c r="E472" s="8"/>
      <c r="F472" s="8"/>
      <c r="G472" s="8"/>
      <c r="H472" s="8"/>
      <c r="I472" s="8"/>
      <c r="J472" s="8"/>
      <c r="K472" s="8"/>
    </row>
    <row r="473">
      <c r="A473" s="8" t="s">
        <v>481</v>
      </c>
      <c r="B473" s="8"/>
      <c r="C473" s="8"/>
      <c r="D473" s="8"/>
      <c r="E473" s="8"/>
      <c r="F473" s="8"/>
      <c r="G473" s="8"/>
      <c r="H473" s="8"/>
      <c r="I473" s="8"/>
      <c r="J473" s="8"/>
      <c r="K473" s="8"/>
    </row>
    <row r="474">
      <c r="A474" s="8" t="s">
        <v>482</v>
      </c>
      <c r="B474" s="8"/>
      <c r="C474" s="8"/>
      <c r="D474" s="8"/>
      <c r="E474" s="8"/>
      <c r="F474" s="8"/>
      <c r="G474" s="8"/>
      <c r="H474" s="8"/>
      <c r="I474" s="8"/>
      <c r="J474" s="8"/>
      <c r="K474" s="8"/>
    </row>
    <row r="475">
      <c r="A475" s="8" t="s">
        <v>483</v>
      </c>
      <c r="B475" s="8"/>
      <c r="C475" s="8"/>
      <c r="D475" s="8"/>
      <c r="E475" s="8"/>
      <c r="F475" s="8"/>
      <c r="G475" s="8"/>
      <c r="H475" s="8"/>
      <c r="I475" s="8"/>
      <c r="J475" s="8"/>
      <c r="K475" s="8"/>
    </row>
    <row r="476">
      <c r="A476" s="8" t="s">
        <v>484</v>
      </c>
      <c r="B476" s="8"/>
      <c r="C476" s="8"/>
      <c r="D476" s="8"/>
      <c r="E476" s="8"/>
      <c r="F476" s="8"/>
      <c r="G476" s="8"/>
      <c r="H476" s="8"/>
      <c r="I476" s="8"/>
      <c r="J476" s="8"/>
      <c r="K476" s="8"/>
    </row>
    <row r="477">
      <c r="A477" s="8" t="s">
        <v>485</v>
      </c>
      <c r="B477" s="8"/>
      <c r="C477" s="8"/>
      <c r="D477" s="8"/>
      <c r="E477" s="8"/>
      <c r="F477" s="8"/>
      <c r="G477" s="8"/>
      <c r="H477" s="8"/>
      <c r="I477" s="8"/>
      <c r="J477" s="8"/>
      <c r="K477" s="8"/>
    </row>
    <row r="478">
      <c r="A478" s="8" t="s">
        <v>486</v>
      </c>
      <c r="B478" s="8"/>
      <c r="C478" s="8"/>
      <c r="D478" s="8"/>
      <c r="E478" s="8"/>
      <c r="F478" s="8"/>
      <c r="G478" s="8"/>
      <c r="H478" s="8"/>
      <c r="I478" s="8"/>
      <c r="J478" s="8"/>
      <c r="K478" s="8"/>
    </row>
    <row r="479">
      <c r="A479" s="8" t="s">
        <v>487</v>
      </c>
      <c r="B479" s="8"/>
      <c r="C479" s="8"/>
      <c r="D479" s="8"/>
      <c r="E479" s="8"/>
      <c r="F479" s="8"/>
      <c r="G479" s="8"/>
      <c r="H479" s="8"/>
      <c r="I479" s="8"/>
      <c r="J479" s="8"/>
      <c r="K479" s="8"/>
    </row>
    <row r="480">
      <c r="A480" s="8" t="s">
        <v>488</v>
      </c>
      <c r="B480" s="8"/>
      <c r="C480" s="8"/>
      <c r="D480" s="8"/>
      <c r="E480" s="8"/>
      <c r="F480" s="8"/>
      <c r="G480" s="8"/>
      <c r="H480" s="8"/>
      <c r="I480" s="8"/>
      <c r="J480" s="8"/>
      <c r="K480" s="8"/>
    </row>
    <row r="481">
      <c r="A481" s="8" t="s">
        <v>489</v>
      </c>
      <c r="B481" s="8"/>
      <c r="C481" s="8"/>
      <c r="D481" s="8"/>
      <c r="E481" s="8"/>
      <c r="F481" s="8"/>
      <c r="G481" s="8"/>
      <c r="H481" s="8"/>
      <c r="I481" s="8"/>
      <c r="J481" s="8"/>
      <c r="K481" s="8"/>
    </row>
    <row r="482">
      <c r="A482" s="8" t="s">
        <v>490</v>
      </c>
      <c r="B482" s="8"/>
      <c r="C482" s="8"/>
      <c r="D482" s="8"/>
      <c r="E482" s="8"/>
      <c r="F482" s="8"/>
      <c r="G482" s="8"/>
      <c r="H482" s="8"/>
      <c r="I482" s="8"/>
      <c r="J482" s="8"/>
      <c r="K482" s="8"/>
    </row>
    <row r="483">
      <c r="A483" s="8" t="s">
        <v>491</v>
      </c>
      <c r="B483" s="8"/>
      <c r="C483" s="8"/>
      <c r="D483" s="8"/>
      <c r="E483" s="8"/>
      <c r="F483" s="8"/>
      <c r="G483" s="8"/>
      <c r="H483" s="8"/>
      <c r="I483" s="8"/>
      <c r="J483" s="8"/>
      <c r="K483" s="8"/>
    </row>
    <row r="484">
      <c r="A484" s="8" t="s">
        <v>492</v>
      </c>
      <c r="B484" s="8"/>
      <c r="C484" s="8"/>
      <c r="D484" s="8"/>
      <c r="E484" s="8"/>
      <c r="F484" s="8"/>
      <c r="G484" s="8"/>
      <c r="H484" s="8"/>
      <c r="I484" s="8"/>
      <c r="J484" s="8"/>
      <c r="K484" s="8"/>
    </row>
    <row r="485">
      <c r="A485" s="8" t="s">
        <v>493</v>
      </c>
      <c r="B485" s="8"/>
      <c r="C485" s="8"/>
      <c r="D485" s="8"/>
      <c r="E485" s="8"/>
      <c r="F485" s="8"/>
      <c r="G485" s="8"/>
      <c r="H485" s="8"/>
      <c r="I485" s="8"/>
      <c r="J485" s="8"/>
      <c r="K485" s="8"/>
    </row>
    <row r="486">
      <c r="A486" s="8" t="s">
        <v>494</v>
      </c>
      <c r="B486" s="8"/>
      <c r="C486" s="8"/>
      <c r="D486" s="8"/>
      <c r="E486" s="8"/>
      <c r="F486" s="8"/>
      <c r="G486" s="8"/>
      <c r="H486" s="8"/>
      <c r="I486" s="8"/>
      <c r="J486" s="8"/>
      <c r="K486" s="8"/>
    </row>
    <row r="487">
      <c r="A487" s="8" t="s">
        <v>495</v>
      </c>
      <c r="B487" s="8"/>
      <c r="C487" s="8"/>
      <c r="D487" s="8"/>
      <c r="E487" s="8"/>
      <c r="F487" s="8"/>
      <c r="G487" s="8"/>
      <c r="H487" s="8"/>
      <c r="I487" s="8"/>
      <c r="J487" s="8"/>
      <c r="K487" s="8"/>
    </row>
    <row r="488">
      <c r="A488" s="8" t="s">
        <v>496</v>
      </c>
      <c r="B488" s="8"/>
      <c r="C488" s="8"/>
      <c r="D488" s="8"/>
      <c r="E488" s="8"/>
      <c r="F488" s="8"/>
      <c r="G488" s="8"/>
      <c r="H488" s="8"/>
      <c r="I488" s="8"/>
      <c r="J488" s="8"/>
      <c r="K488" s="8"/>
    </row>
    <row r="489">
      <c r="A489" s="8" t="s">
        <v>497</v>
      </c>
      <c r="B489" s="8"/>
      <c r="C489" s="8"/>
      <c r="D489" s="8"/>
      <c r="E489" s="8"/>
      <c r="F489" s="8"/>
      <c r="G489" s="8"/>
      <c r="H489" s="8"/>
      <c r="I489" s="8"/>
      <c r="J489" s="8"/>
      <c r="K489" s="8"/>
    </row>
    <row r="490">
      <c r="A490" s="8" t="s">
        <v>498</v>
      </c>
      <c r="B490" s="8"/>
      <c r="C490" s="8"/>
      <c r="D490" s="8"/>
      <c r="E490" s="8"/>
      <c r="F490" s="8"/>
      <c r="G490" s="8"/>
      <c r="H490" s="8"/>
      <c r="I490" s="8"/>
      <c r="J490" s="8"/>
      <c r="K490" s="8"/>
    </row>
    <row r="491">
      <c r="A491" s="8" t="s">
        <v>499</v>
      </c>
      <c r="B491" s="8"/>
      <c r="C491" s="8"/>
      <c r="D491" s="8"/>
      <c r="E491" s="8"/>
      <c r="F491" s="8"/>
      <c r="G491" s="8"/>
      <c r="H491" s="8"/>
      <c r="I491" s="8"/>
      <c r="J491" s="8"/>
      <c r="K491" s="8"/>
    </row>
    <row r="492">
      <c r="A492" s="8" t="s">
        <v>500</v>
      </c>
      <c r="B492" s="8"/>
      <c r="C492" s="8"/>
      <c r="D492" s="8"/>
      <c r="E492" s="8"/>
      <c r="F492" s="8"/>
      <c r="G492" s="8"/>
      <c r="H492" s="8"/>
      <c r="I492" s="8"/>
      <c r="J492" s="8"/>
      <c r="K492" s="8"/>
    </row>
    <row r="493">
      <c r="A493" s="8" t="s">
        <v>501</v>
      </c>
      <c r="B493" s="8"/>
      <c r="C493" s="8"/>
      <c r="D493" s="8"/>
      <c r="E493" s="8"/>
      <c r="F493" s="8"/>
      <c r="G493" s="8"/>
      <c r="H493" s="8"/>
      <c r="I493" s="8"/>
      <c r="J493" s="8"/>
      <c r="K493" s="8"/>
    </row>
    <row r="494">
      <c r="A494" s="8" t="s">
        <v>502</v>
      </c>
      <c r="B494" s="8"/>
      <c r="C494" s="8"/>
      <c r="D494" s="8"/>
      <c r="E494" s="8"/>
      <c r="F494" s="8"/>
      <c r="G494" s="8"/>
      <c r="H494" s="8"/>
      <c r="I494" s="8"/>
      <c r="J494" s="8"/>
      <c r="K494" s="8"/>
    </row>
    <row r="495">
      <c r="A495" s="8" t="s">
        <v>503</v>
      </c>
      <c r="B495" s="8"/>
      <c r="C495" s="8"/>
      <c r="D495" s="8"/>
      <c r="E495" s="8"/>
      <c r="F495" s="8"/>
      <c r="G495" s="8"/>
      <c r="H495" s="8"/>
      <c r="I495" s="8"/>
      <c r="J495" s="8"/>
      <c r="K495" s="8"/>
    </row>
    <row r="496">
      <c r="A496" s="8" t="s">
        <v>504</v>
      </c>
      <c r="B496" s="8"/>
      <c r="C496" s="8"/>
      <c r="D496" s="8"/>
      <c r="E496" s="8"/>
      <c r="F496" s="8"/>
      <c r="G496" s="8"/>
      <c r="H496" s="8"/>
      <c r="I496" s="8"/>
      <c r="J496" s="8"/>
      <c r="K496" s="8"/>
    </row>
    <row r="497">
      <c r="A497" s="8" t="s">
        <v>505</v>
      </c>
      <c r="B497" s="8"/>
      <c r="C497" s="8"/>
      <c r="D497" s="8"/>
      <c r="E497" s="8"/>
      <c r="F497" s="8"/>
      <c r="G497" s="8"/>
      <c r="H497" s="8"/>
      <c r="I497" s="8"/>
      <c r="J497" s="8"/>
      <c r="K497" s="8"/>
    </row>
    <row r="498">
      <c r="A498" s="8" t="s">
        <v>506</v>
      </c>
      <c r="B498" s="8"/>
      <c r="C498" s="8"/>
      <c r="D498" s="8"/>
      <c r="E498" s="8"/>
      <c r="F498" s="8"/>
      <c r="G498" s="8"/>
      <c r="H498" s="8"/>
      <c r="I498" s="8"/>
      <c r="J498" s="8"/>
      <c r="K498" s="8"/>
    </row>
    <row r="499">
      <c r="A499" s="8" t="s">
        <v>507</v>
      </c>
      <c r="B499" s="8"/>
      <c r="C499" s="8"/>
      <c r="D499" s="8"/>
      <c r="E499" s="8"/>
      <c r="F499" s="8"/>
      <c r="G499" s="8"/>
      <c r="H499" s="8"/>
      <c r="I499" s="8"/>
      <c r="J499" s="8"/>
      <c r="K499" s="8"/>
    </row>
    <row r="500">
      <c r="A500" s="8" t="s">
        <v>508</v>
      </c>
      <c r="B500" s="8"/>
      <c r="C500" s="8"/>
      <c r="D500" s="8"/>
      <c r="E500" s="8"/>
      <c r="F500" s="8"/>
      <c r="G500" s="8"/>
      <c r="H500" s="8"/>
      <c r="I500" s="8"/>
      <c r="J500" s="8"/>
      <c r="K500" s="8"/>
    </row>
    <row r="501">
      <c r="A501" s="8" t="s">
        <v>509</v>
      </c>
      <c r="B501" s="8"/>
      <c r="C501" s="8"/>
      <c r="D501" s="8"/>
      <c r="E501" s="8"/>
      <c r="F501" s="8"/>
      <c r="G501" s="8"/>
      <c r="H501" s="8"/>
      <c r="I501" s="8"/>
      <c r="J501" s="8"/>
      <c r="K501" s="8"/>
    </row>
    <row r="502">
      <c r="A502" s="8" t="s">
        <v>510</v>
      </c>
      <c r="B502" s="8"/>
      <c r="C502" s="8"/>
      <c r="D502" s="8"/>
      <c r="E502" s="8"/>
      <c r="F502" s="8"/>
      <c r="G502" s="8"/>
      <c r="H502" s="8"/>
      <c r="I502" s="8"/>
      <c r="J502" s="8"/>
      <c r="K502" s="8"/>
    </row>
    <row r="503">
      <c r="A503" s="8" t="s">
        <v>511</v>
      </c>
      <c r="B503" s="8"/>
      <c r="C503" s="8"/>
      <c r="D503" s="8"/>
      <c r="E503" s="8"/>
      <c r="F503" s="8"/>
      <c r="G503" s="8"/>
      <c r="H503" s="8"/>
      <c r="I503" s="8"/>
      <c r="J503" s="8"/>
      <c r="K503" s="8"/>
    </row>
    <row r="504">
      <c r="A504" s="8" t="s">
        <v>512</v>
      </c>
      <c r="B504" s="8"/>
      <c r="C504" s="8"/>
      <c r="D504" s="8"/>
      <c r="E504" s="8"/>
      <c r="F504" s="8"/>
      <c r="G504" s="8"/>
      <c r="H504" s="8"/>
      <c r="I504" s="8"/>
      <c r="J504" s="8"/>
      <c r="K504" s="8"/>
    </row>
    <row r="505">
      <c r="A505" s="8" t="s">
        <v>513</v>
      </c>
      <c r="B505" s="8"/>
      <c r="C505" s="8"/>
      <c r="D505" s="8"/>
      <c r="E505" s="8"/>
      <c r="F505" s="8"/>
      <c r="G505" s="8"/>
      <c r="H505" s="8"/>
      <c r="I505" s="8"/>
      <c r="J505" s="8"/>
      <c r="K505" s="8"/>
    </row>
    <row r="506">
      <c r="A506" s="8" t="s">
        <v>514</v>
      </c>
      <c r="B506" s="8"/>
      <c r="C506" s="8"/>
      <c r="D506" s="8"/>
      <c r="E506" s="8"/>
      <c r="F506" s="8"/>
      <c r="G506" s="8"/>
      <c r="H506" s="8"/>
      <c r="I506" s="8"/>
      <c r="J506" s="8"/>
      <c r="K506" s="8"/>
    </row>
    <row r="507">
      <c r="A507" s="8" t="s">
        <v>515</v>
      </c>
      <c r="B507" s="8"/>
      <c r="C507" s="8"/>
      <c r="D507" s="8"/>
      <c r="E507" s="8"/>
      <c r="F507" s="8"/>
      <c r="G507" s="8"/>
      <c r="H507" s="8"/>
      <c r="I507" s="8"/>
      <c r="J507" s="8"/>
      <c r="K507" s="8"/>
    </row>
    <row r="508">
      <c r="A508" s="8" t="s">
        <v>516</v>
      </c>
      <c r="B508" s="8"/>
      <c r="C508" s="8"/>
      <c r="D508" s="8"/>
      <c r="E508" s="8"/>
      <c r="F508" s="8"/>
      <c r="G508" s="8"/>
      <c r="H508" s="8"/>
      <c r="I508" s="8"/>
      <c r="J508" s="8"/>
      <c r="K508" s="8"/>
    </row>
    <row r="509">
      <c r="A509" s="8" t="s">
        <v>517</v>
      </c>
      <c r="B509" s="8"/>
      <c r="C509" s="8"/>
      <c r="D509" s="8"/>
      <c r="E509" s="8"/>
      <c r="F509" s="8"/>
      <c r="G509" s="8"/>
      <c r="H509" s="8"/>
      <c r="I509" s="8"/>
      <c r="J509" s="8"/>
      <c r="K509" s="8"/>
    </row>
    <row r="510">
      <c r="A510" s="8" t="s">
        <v>518</v>
      </c>
      <c r="B510" s="8"/>
      <c r="C510" s="8"/>
      <c r="D510" s="8"/>
      <c r="E510" s="8"/>
      <c r="F510" s="8"/>
      <c r="G510" s="8"/>
      <c r="H510" s="8"/>
      <c r="I510" s="8"/>
      <c r="J510" s="8"/>
      <c r="K510" s="8"/>
    </row>
    <row r="511">
      <c r="A511" s="8" t="s">
        <v>519</v>
      </c>
      <c r="B511" s="8"/>
      <c r="C511" s="8"/>
      <c r="D511" s="8"/>
      <c r="E511" s="8"/>
      <c r="F511" s="8"/>
      <c r="G511" s="8"/>
      <c r="H511" s="8"/>
      <c r="I511" s="8"/>
      <c r="J511" s="8"/>
      <c r="K511" s="8"/>
    </row>
    <row r="512">
      <c r="A512" s="8" t="s">
        <v>520</v>
      </c>
      <c r="B512" s="8"/>
      <c r="C512" s="8"/>
      <c r="D512" s="8"/>
      <c r="E512" s="8"/>
      <c r="F512" s="8"/>
      <c r="G512" s="8"/>
      <c r="H512" s="8"/>
      <c r="I512" s="8"/>
      <c r="J512" s="8"/>
      <c r="K512" s="8"/>
    </row>
    <row r="513">
      <c r="A513" s="8" t="s">
        <v>521</v>
      </c>
      <c r="B513" s="8"/>
      <c r="C513" s="8"/>
      <c r="D513" s="8"/>
      <c r="E513" s="8"/>
      <c r="F513" s="8"/>
      <c r="G513" s="8"/>
      <c r="H513" s="8"/>
      <c r="I513" s="8"/>
      <c r="J513" s="8"/>
      <c r="K513" s="8"/>
    </row>
    <row r="514">
      <c r="A514" s="8" t="s">
        <v>522</v>
      </c>
      <c r="B514" s="8"/>
      <c r="C514" s="8"/>
      <c r="D514" s="8"/>
      <c r="E514" s="8"/>
      <c r="F514" s="8"/>
      <c r="G514" s="8"/>
      <c r="H514" s="8"/>
      <c r="I514" s="8"/>
      <c r="J514" s="8"/>
      <c r="K514" s="8"/>
    </row>
    <row r="515">
      <c r="A515" s="8" t="s">
        <v>523</v>
      </c>
      <c r="B515" s="8"/>
      <c r="C515" s="8"/>
      <c r="D515" s="8"/>
      <c r="E515" s="8"/>
      <c r="F515" s="8"/>
      <c r="G515" s="8"/>
      <c r="H515" s="8"/>
      <c r="I515" s="8"/>
      <c r="J515" s="8"/>
      <c r="K515" s="8"/>
    </row>
    <row r="516">
      <c r="A516" s="8" t="s">
        <v>524</v>
      </c>
      <c r="B516" s="8"/>
      <c r="C516" s="8"/>
      <c r="D516" s="8"/>
      <c r="E516" s="8"/>
      <c r="F516" s="8"/>
      <c r="G516" s="8"/>
      <c r="H516" s="8"/>
      <c r="I516" s="8"/>
      <c r="J516" s="8"/>
      <c r="K516" s="8"/>
    </row>
    <row r="517">
      <c r="A517" s="8" t="s">
        <v>525</v>
      </c>
      <c r="B517" s="8"/>
      <c r="C517" s="8"/>
      <c r="D517" s="8"/>
      <c r="E517" s="8"/>
      <c r="F517" s="8"/>
      <c r="G517" s="8"/>
      <c r="H517" s="8"/>
      <c r="I517" s="8"/>
      <c r="J517" s="8"/>
      <c r="K517" s="8"/>
    </row>
    <row r="518">
      <c r="A518" s="8" t="s">
        <v>526</v>
      </c>
      <c r="B518" s="8"/>
      <c r="C518" s="8"/>
      <c r="D518" s="8"/>
      <c r="E518" s="8"/>
      <c r="F518" s="8"/>
      <c r="G518" s="8"/>
      <c r="H518" s="8"/>
      <c r="I518" s="8"/>
      <c r="J518" s="8"/>
      <c r="K518" s="8"/>
    </row>
    <row r="519">
      <c r="A519" s="8" t="s">
        <v>527</v>
      </c>
      <c r="B519" s="8"/>
      <c r="C519" s="8"/>
      <c r="D519" s="8"/>
      <c r="E519" s="8"/>
      <c r="F519" s="8"/>
      <c r="G519" s="8"/>
      <c r="H519" s="8"/>
      <c r="I519" s="8"/>
      <c r="J519" s="8"/>
      <c r="K519" s="8"/>
    </row>
    <row r="520">
      <c r="A520" s="8" t="s">
        <v>528</v>
      </c>
      <c r="B520" s="8"/>
      <c r="C520" s="8"/>
      <c r="D520" s="8"/>
      <c r="E520" s="8"/>
      <c r="F520" s="8"/>
      <c r="G520" s="8"/>
      <c r="H520" s="8"/>
      <c r="I520" s="8"/>
      <c r="J520" s="8"/>
      <c r="K520" s="8"/>
    </row>
    <row r="521">
      <c r="A521" s="8" t="s">
        <v>529</v>
      </c>
      <c r="B521" s="8"/>
      <c r="C521" s="8"/>
      <c r="D521" s="8"/>
      <c r="E521" s="8"/>
      <c r="F521" s="8"/>
      <c r="G521" s="8"/>
      <c r="H521" s="8"/>
      <c r="I521" s="8"/>
      <c r="J521" s="8"/>
      <c r="K521" s="8"/>
    </row>
    <row r="522">
      <c r="A522" s="8" t="s">
        <v>530</v>
      </c>
      <c r="B522" s="8"/>
      <c r="C522" s="8"/>
      <c r="D522" s="8"/>
      <c r="E522" s="8"/>
      <c r="F522" s="8"/>
      <c r="G522" s="8"/>
      <c r="H522" s="8"/>
      <c r="I522" s="8"/>
      <c r="J522" s="8"/>
      <c r="K522" s="8"/>
    </row>
    <row r="523">
      <c r="A523" s="8" t="s">
        <v>531</v>
      </c>
      <c r="B523" s="8"/>
      <c r="C523" s="8"/>
      <c r="D523" s="8"/>
      <c r="E523" s="8"/>
      <c r="F523" s="8"/>
      <c r="G523" s="8"/>
      <c r="H523" s="8"/>
      <c r="I523" s="8"/>
      <c r="J523" s="8"/>
      <c r="K523" s="8"/>
    </row>
    <row r="524">
      <c r="A524" s="8" t="s">
        <v>532</v>
      </c>
      <c r="B524" s="8"/>
      <c r="C524" s="8"/>
      <c r="D524" s="8"/>
      <c r="E524" s="8"/>
      <c r="F524" s="8"/>
      <c r="G524" s="8"/>
      <c r="H524" s="8"/>
      <c r="I524" s="8"/>
      <c r="J524" s="8"/>
      <c r="K524" s="8"/>
    </row>
    <row r="525">
      <c r="A525" s="8" t="s">
        <v>533</v>
      </c>
      <c r="B525" s="8"/>
      <c r="C525" s="8"/>
      <c r="D525" s="8"/>
      <c r="E525" s="8"/>
      <c r="F525" s="8"/>
      <c r="G525" s="8"/>
      <c r="H525" s="8"/>
      <c r="I525" s="8"/>
      <c r="J525" s="8"/>
      <c r="K525" s="8"/>
    </row>
    <row r="526">
      <c r="A526" s="8" t="s">
        <v>534</v>
      </c>
      <c r="B526" s="8"/>
      <c r="C526" s="8"/>
      <c r="D526" s="8"/>
      <c r="E526" s="8"/>
      <c r="F526" s="8"/>
      <c r="G526" s="8"/>
      <c r="H526" s="8"/>
      <c r="I526" s="8"/>
      <c r="J526" s="8"/>
      <c r="K526" s="8"/>
    </row>
    <row r="527">
      <c r="A527" s="8" t="s">
        <v>535</v>
      </c>
      <c r="B527" s="8"/>
      <c r="C527" s="8"/>
      <c r="D527" s="8"/>
      <c r="E527" s="8"/>
      <c r="F527" s="8"/>
      <c r="G527" s="8"/>
      <c r="H527" s="8"/>
      <c r="I527" s="8"/>
      <c r="J527" s="8"/>
      <c r="K527" s="8"/>
    </row>
    <row r="528">
      <c r="A528" s="8" t="s">
        <v>536</v>
      </c>
      <c r="B528" s="8"/>
      <c r="C528" s="8"/>
      <c r="D528" s="8"/>
      <c r="E528" s="8"/>
      <c r="F528" s="8"/>
      <c r="G528" s="8"/>
      <c r="H528" s="8"/>
      <c r="I528" s="8"/>
      <c r="J528" s="8"/>
      <c r="K528" s="8"/>
    </row>
    <row r="529">
      <c r="A529" s="8" t="s">
        <v>537</v>
      </c>
      <c r="B529" s="8"/>
      <c r="C529" s="8"/>
      <c r="D529" s="8"/>
      <c r="E529" s="8"/>
      <c r="F529" s="8"/>
      <c r="G529" s="8"/>
      <c r="H529" s="8"/>
      <c r="I529" s="8"/>
      <c r="J529" s="8"/>
      <c r="K529" s="8"/>
    </row>
    <row r="530">
      <c r="A530" s="8" t="s">
        <v>538</v>
      </c>
      <c r="B530" s="8"/>
      <c r="C530" s="8"/>
      <c r="D530" s="8"/>
      <c r="E530" s="8"/>
      <c r="F530" s="8"/>
      <c r="G530" s="8"/>
      <c r="H530" s="8"/>
      <c r="I530" s="8"/>
      <c r="J530" s="8"/>
      <c r="K530" s="8"/>
    </row>
    <row r="531">
      <c r="A531" s="8" t="s">
        <v>539</v>
      </c>
      <c r="B531" s="8"/>
      <c r="C531" s="8"/>
      <c r="D531" s="8"/>
      <c r="E531" s="8"/>
      <c r="F531" s="8"/>
      <c r="G531" s="8"/>
      <c r="H531" s="8"/>
      <c r="I531" s="8"/>
      <c r="J531" s="8"/>
      <c r="K531" s="8"/>
    </row>
    <row r="532">
      <c r="A532" s="8" t="s">
        <v>540</v>
      </c>
      <c r="B532" s="8"/>
      <c r="C532" s="8"/>
      <c r="D532" s="8"/>
      <c r="E532" s="8"/>
      <c r="F532" s="8"/>
      <c r="G532" s="8"/>
      <c r="H532" s="8"/>
      <c r="I532" s="8"/>
      <c r="J532" s="8"/>
      <c r="K532" s="8"/>
    </row>
    <row r="533">
      <c r="A533" s="8" t="s">
        <v>541</v>
      </c>
      <c r="B533" s="8"/>
      <c r="C533" s="8"/>
      <c r="D533" s="8"/>
      <c r="E533" s="8"/>
      <c r="F533" s="8"/>
      <c r="G533" s="8"/>
      <c r="H533" s="8"/>
      <c r="I533" s="8"/>
      <c r="J533" s="8"/>
      <c r="K533" s="8"/>
    </row>
    <row r="534">
      <c r="A534" s="8" t="s">
        <v>542</v>
      </c>
      <c r="B534" s="8"/>
      <c r="C534" s="8"/>
      <c r="D534" s="8"/>
      <c r="E534" s="8"/>
      <c r="F534" s="8"/>
      <c r="G534" s="8"/>
      <c r="H534" s="8"/>
      <c r="I534" s="8"/>
      <c r="J534" s="8"/>
      <c r="K534" s="8"/>
    </row>
    <row r="535">
      <c r="A535" s="8" t="s">
        <v>543</v>
      </c>
      <c r="B535" s="8"/>
      <c r="C535" s="8"/>
      <c r="D535" s="8"/>
      <c r="E535" s="8"/>
      <c r="F535" s="8"/>
      <c r="G535" s="8"/>
      <c r="H535" s="8"/>
      <c r="I535" s="8"/>
      <c r="J535" s="8"/>
      <c r="K535" s="8"/>
    </row>
    <row r="536">
      <c r="A536" s="8" t="s">
        <v>544</v>
      </c>
      <c r="B536" s="8"/>
      <c r="C536" s="8"/>
      <c r="D536" s="8"/>
      <c r="E536" s="8"/>
      <c r="F536" s="8"/>
      <c r="G536" s="8"/>
      <c r="H536" s="8"/>
      <c r="I536" s="8"/>
      <c r="J536" s="8"/>
      <c r="K536" s="8"/>
    </row>
    <row r="537">
      <c r="A537" s="8" t="s">
        <v>545</v>
      </c>
      <c r="B537" s="8"/>
      <c r="C537" s="8"/>
      <c r="D537" s="8"/>
      <c r="E537" s="8"/>
      <c r="F537" s="8"/>
      <c r="G537" s="8"/>
      <c r="H537" s="8"/>
      <c r="I537" s="8"/>
      <c r="J537" s="8"/>
      <c r="K537" s="8"/>
    </row>
    <row r="538">
      <c r="A538" s="8" t="s">
        <v>546</v>
      </c>
      <c r="B538" s="8"/>
      <c r="C538" s="8"/>
      <c r="D538" s="8"/>
      <c r="E538" s="8"/>
      <c r="F538" s="8"/>
      <c r="G538" s="8"/>
      <c r="H538" s="8"/>
      <c r="I538" s="8"/>
      <c r="J538" s="8"/>
      <c r="K538" s="8"/>
    </row>
    <row r="539">
      <c r="A539" s="8" t="s">
        <v>547</v>
      </c>
      <c r="B539" s="8"/>
      <c r="C539" s="8"/>
      <c r="D539" s="8"/>
      <c r="E539" s="8"/>
      <c r="F539" s="8"/>
      <c r="G539" s="8"/>
      <c r="H539" s="8"/>
      <c r="I539" s="8"/>
      <c r="J539" s="8"/>
      <c r="K539" s="8"/>
    </row>
    <row r="540">
      <c r="A540" s="8" t="s">
        <v>548</v>
      </c>
      <c r="B540" s="8"/>
      <c r="C540" s="8"/>
      <c r="D540" s="8"/>
      <c r="E540" s="8"/>
      <c r="F540" s="8"/>
      <c r="G540" s="8"/>
      <c r="H540" s="8"/>
      <c r="I540" s="8"/>
      <c r="J540" s="8"/>
      <c r="K540" s="8"/>
    </row>
    <row r="541">
      <c r="A541" s="8" t="s">
        <v>549</v>
      </c>
      <c r="B541" s="8"/>
      <c r="C541" s="8"/>
      <c r="D541" s="8"/>
      <c r="E541" s="8"/>
      <c r="F541" s="8"/>
      <c r="G541" s="8"/>
      <c r="H541" s="8"/>
      <c r="I541" s="8"/>
      <c r="J541" s="8"/>
      <c r="K541" s="8"/>
    </row>
    <row r="542">
      <c r="A542" s="8" t="s">
        <v>550</v>
      </c>
      <c r="B542" s="8"/>
      <c r="C542" s="8"/>
      <c r="D542" s="8"/>
      <c r="E542" s="8"/>
      <c r="F542" s="8"/>
      <c r="G542" s="8"/>
      <c r="H542" s="8"/>
      <c r="I542" s="8"/>
      <c r="J542" s="8"/>
      <c r="K542" s="8"/>
    </row>
    <row r="543">
      <c r="A543" s="8" t="s">
        <v>551</v>
      </c>
      <c r="B543" s="8"/>
      <c r="C543" s="8"/>
      <c r="D543" s="8"/>
      <c r="E543" s="8"/>
      <c r="F543" s="8"/>
      <c r="G543" s="8"/>
      <c r="H543" s="8"/>
      <c r="I543" s="8"/>
      <c r="J543" s="8"/>
      <c r="K543" s="8"/>
    </row>
    <row r="544">
      <c r="A544" s="8" t="s">
        <v>552</v>
      </c>
      <c r="B544" s="8"/>
      <c r="C544" s="8"/>
      <c r="D544" s="8"/>
      <c r="E544" s="8"/>
      <c r="F544" s="8"/>
      <c r="G544" s="8"/>
      <c r="H544" s="8"/>
      <c r="I544" s="8"/>
      <c r="J544" s="8"/>
      <c r="K544" s="8"/>
    </row>
    <row r="545">
      <c r="A545" s="8" t="s">
        <v>553</v>
      </c>
      <c r="B545" s="8"/>
      <c r="C545" s="8"/>
      <c r="D545" s="8"/>
      <c r="E545" s="8"/>
      <c r="F545" s="8"/>
      <c r="G545" s="8"/>
      <c r="H545" s="8"/>
      <c r="I545" s="8"/>
      <c r="J545" s="8"/>
      <c r="K545" s="8"/>
    </row>
    <row r="546">
      <c r="A546" s="8" t="s">
        <v>554</v>
      </c>
      <c r="B546" s="8"/>
      <c r="C546" s="8"/>
      <c r="D546" s="8"/>
      <c r="E546" s="8"/>
      <c r="F546" s="8"/>
      <c r="G546" s="8"/>
      <c r="H546" s="8"/>
      <c r="I546" s="8"/>
      <c r="J546" s="8"/>
      <c r="K546" s="8"/>
    </row>
    <row r="547">
      <c r="A547" s="8" t="s">
        <v>555</v>
      </c>
      <c r="B547" s="8"/>
      <c r="C547" s="8"/>
      <c r="D547" s="8"/>
      <c r="E547" s="8"/>
      <c r="F547" s="8"/>
      <c r="G547" s="8"/>
      <c r="H547" s="8"/>
      <c r="I547" s="8"/>
      <c r="J547" s="8"/>
      <c r="K547" s="8"/>
    </row>
    <row r="548">
      <c r="A548" s="8" t="s">
        <v>556</v>
      </c>
      <c r="B548" s="8"/>
      <c r="C548" s="8"/>
      <c r="D548" s="8"/>
      <c r="E548" s="8"/>
      <c r="F548" s="8"/>
      <c r="G548" s="8"/>
      <c r="H548" s="8"/>
      <c r="I548" s="8"/>
      <c r="J548" s="8"/>
      <c r="K548" s="8"/>
    </row>
    <row r="549">
      <c r="A549" s="8" t="s">
        <v>557</v>
      </c>
      <c r="B549" s="8"/>
      <c r="C549" s="8"/>
      <c r="D549" s="8"/>
      <c r="E549" s="8"/>
      <c r="F549" s="8"/>
      <c r="G549" s="8"/>
      <c r="H549" s="8"/>
      <c r="I549" s="8"/>
      <c r="J549" s="8"/>
      <c r="K549" s="8"/>
    </row>
    <row r="550">
      <c r="A550" s="8" t="s">
        <v>558</v>
      </c>
      <c r="B550" s="8"/>
      <c r="C550" s="8"/>
      <c r="D550" s="8"/>
      <c r="E550" s="8"/>
      <c r="F550" s="8"/>
      <c r="G550" s="8"/>
      <c r="H550" s="8"/>
      <c r="I550" s="8"/>
      <c r="J550" s="8"/>
      <c r="K550" s="8"/>
    </row>
    <row r="551">
      <c r="A551" s="8" t="s">
        <v>559</v>
      </c>
      <c r="B551" s="8"/>
      <c r="C551" s="8"/>
      <c r="D551" s="8"/>
      <c r="E551" s="8"/>
      <c r="F551" s="8"/>
      <c r="G551" s="8"/>
      <c r="H551" s="8"/>
      <c r="I551" s="8"/>
      <c r="J551" s="8"/>
      <c r="K551" s="8"/>
    </row>
    <row r="552">
      <c r="A552" s="8" t="s">
        <v>560</v>
      </c>
      <c r="B552" s="8"/>
      <c r="C552" s="8"/>
      <c r="D552" s="8"/>
      <c r="E552" s="8"/>
      <c r="F552" s="8"/>
      <c r="G552" s="8"/>
      <c r="H552" s="8"/>
      <c r="I552" s="8"/>
      <c r="J552" s="8"/>
      <c r="K552" s="8"/>
    </row>
    <row r="553">
      <c r="A553" s="8" t="s">
        <v>561</v>
      </c>
      <c r="B553" s="8"/>
      <c r="C553" s="8"/>
      <c r="D553" s="8"/>
      <c r="E553" s="8"/>
      <c r="F553" s="8"/>
      <c r="G553" s="8"/>
      <c r="H553" s="8"/>
      <c r="I553" s="8"/>
      <c r="J553" s="8"/>
      <c r="K553" s="8"/>
    </row>
    <row r="554">
      <c r="A554" s="8" t="s">
        <v>562</v>
      </c>
      <c r="B554" s="8"/>
      <c r="C554" s="8"/>
      <c r="D554" s="8"/>
      <c r="E554" s="8"/>
      <c r="F554" s="8"/>
      <c r="G554" s="8"/>
      <c r="H554" s="8"/>
      <c r="I554" s="8"/>
      <c r="J554" s="8"/>
      <c r="K554" s="8"/>
    </row>
    <row r="555">
      <c r="A555" s="8" t="s">
        <v>563</v>
      </c>
      <c r="B555" s="8"/>
      <c r="C555" s="8"/>
      <c r="D555" s="8"/>
      <c r="E555" s="8"/>
      <c r="F555" s="8"/>
      <c r="G555" s="8"/>
      <c r="H555" s="8"/>
      <c r="I555" s="8"/>
      <c r="J555" s="8"/>
      <c r="K555" s="8"/>
    </row>
    <row r="556">
      <c r="A556" s="8" t="s">
        <v>564</v>
      </c>
      <c r="B556" s="8"/>
      <c r="C556" s="8"/>
      <c r="D556" s="8"/>
      <c r="E556" s="8"/>
      <c r="F556" s="8"/>
      <c r="G556" s="8"/>
      <c r="H556" s="8"/>
      <c r="I556" s="8"/>
      <c r="J556" s="8"/>
      <c r="K556" s="8"/>
    </row>
    <row r="557">
      <c r="A557" s="8" t="s">
        <v>565</v>
      </c>
      <c r="B557" s="8"/>
      <c r="C557" s="8"/>
      <c r="D557" s="8"/>
      <c r="E557" s="8"/>
      <c r="F557" s="8"/>
      <c r="G557" s="8"/>
      <c r="H557" s="8"/>
      <c r="I557" s="8"/>
      <c r="J557" s="8"/>
      <c r="K557" s="8"/>
    </row>
    <row r="558">
      <c r="A558" s="8" t="s">
        <v>566</v>
      </c>
      <c r="B558" s="8"/>
      <c r="C558" s="8"/>
      <c r="D558" s="8"/>
      <c r="E558" s="8"/>
      <c r="F558" s="8"/>
      <c r="G558" s="8"/>
      <c r="H558" s="8"/>
      <c r="I558" s="8"/>
      <c r="J558" s="8"/>
      <c r="K558" s="8"/>
    </row>
    <row r="559">
      <c r="A559" s="8" t="s">
        <v>567</v>
      </c>
      <c r="B559" s="8"/>
      <c r="C559" s="8"/>
      <c r="D559" s="8"/>
      <c r="E559" s="8"/>
      <c r="F559" s="8"/>
      <c r="G559" s="8"/>
      <c r="H559" s="8"/>
      <c r="I559" s="8"/>
      <c r="J559" s="8"/>
      <c r="K559" s="8"/>
    </row>
    <row r="560">
      <c r="A560" s="8" t="s">
        <v>568</v>
      </c>
      <c r="B560" s="8"/>
      <c r="C560" s="8"/>
      <c r="D560" s="8"/>
      <c r="E560" s="8"/>
      <c r="F560" s="8"/>
      <c r="G560" s="8"/>
      <c r="H560" s="8"/>
      <c r="I560" s="8"/>
      <c r="J560" s="8"/>
      <c r="K560" s="8"/>
    </row>
    <row r="561">
      <c r="A561" s="8" t="s">
        <v>569</v>
      </c>
      <c r="B561" s="8"/>
      <c r="C561" s="8"/>
      <c r="D561" s="8"/>
      <c r="E561" s="8"/>
      <c r="F561" s="8"/>
      <c r="G561" s="8"/>
      <c r="H561" s="8"/>
      <c r="I561" s="8"/>
      <c r="J561" s="8"/>
      <c r="K561" s="8"/>
    </row>
    <row r="562">
      <c r="A562" s="8" t="s">
        <v>570</v>
      </c>
      <c r="B562" s="8"/>
      <c r="C562" s="8"/>
      <c r="D562" s="8"/>
      <c r="E562" s="8"/>
      <c r="F562" s="8"/>
      <c r="G562" s="8"/>
      <c r="H562" s="8"/>
      <c r="I562" s="8"/>
      <c r="J562" s="8"/>
      <c r="K562" s="8"/>
    </row>
    <row r="563">
      <c r="A563" s="8" t="s">
        <v>571</v>
      </c>
      <c r="B563" s="8"/>
      <c r="C563" s="8"/>
      <c r="D563" s="8"/>
      <c r="E563" s="8"/>
      <c r="F563" s="8"/>
      <c r="G563" s="8"/>
      <c r="H563" s="8"/>
      <c r="I563" s="8"/>
      <c r="J563" s="8"/>
      <c r="K563" s="8"/>
    </row>
    <row r="564">
      <c r="A564" s="8" t="s">
        <v>572</v>
      </c>
      <c r="B564" s="8"/>
      <c r="C564" s="8"/>
      <c r="D564" s="8"/>
      <c r="E564" s="8"/>
      <c r="F564" s="8"/>
      <c r="G564" s="8"/>
      <c r="H564" s="8"/>
      <c r="I564" s="8"/>
      <c r="J564" s="8"/>
      <c r="K564" s="8"/>
    </row>
    <row r="565">
      <c r="A565" s="8" t="s">
        <v>573</v>
      </c>
      <c r="B565" s="8"/>
      <c r="C565" s="8"/>
      <c r="D565" s="8"/>
      <c r="E565" s="8"/>
      <c r="F565" s="8"/>
      <c r="G565" s="8"/>
      <c r="H565" s="8"/>
      <c r="I565" s="8"/>
      <c r="J565" s="8"/>
      <c r="K565" s="8"/>
    </row>
    <row r="566">
      <c r="A566" s="8" t="s">
        <v>574</v>
      </c>
      <c r="B566" s="8"/>
      <c r="C566" s="8"/>
      <c r="D566" s="8"/>
      <c r="E566" s="8"/>
      <c r="F566" s="8"/>
      <c r="G566" s="8"/>
      <c r="H566" s="8"/>
      <c r="I566" s="8"/>
      <c r="J566" s="8"/>
      <c r="K566" s="8"/>
    </row>
    <row r="567">
      <c r="A567" s="8" t="s">
        <v>575</v>
      </c>
      <c r="B567" s="8"/>
      <c r="C567" s="8"/>
      <c r="D567" s="8"/>
      <c r="E567" s="8"/>
      <c r="F567" s="8"/>
      <c r="G567" s="8"/>
      <c r="H567" s="8"/>
      <c r="I567" s="8"/>
      <c r="J567" s="8"/>
      <c r="K567" s="8"/>
    </row>
    <row r="568">
      <c r="A568" s="8" t="s">
        <v>576</v>
      </c>
      <c r="B568" s="8"/>
      <c r="C568" s="8"/>
      <c r="D568" s="8"/>
      <c r="E568" s="8"/>
      <c r="F568" s="8"/>
      <c r="G568" s="8"/>
      <c r="H568" s="8"/>
      <c r="I568" s="8"/>
      <c r="J568" s="8"/>
      <c r="K568" s="8"/>
    </row>
    <row r="569">
      <c r="A569" s="8" t="s">
        <v>577</v>
      </c>
      <c r="B569" s="8"/>
      <c r="C569" s="8"/>
      <c r="D569" s="8"/>
      <c r="E569" s="8"/>
      <c r="F569" s="8"/>
      <c r="G569" s="8"/>
      <c r="H569" s="8"/>
      <c r="I569" s="8"/>
      <c r="J569" s="8"/>
      <c r="K569" s="8"/>
    </row>
    <row r="570">
      <c r="A570" s="8" t="s">
        <v>578</v>
      </c>
      <c r="B570" s="8"/>
      <c r="C570" s="8"/>
      <c r="D570" s="8"/>
      <c r="E570" s="8"/>
      <c r="F570" s="8"/>
      <c r="G570" s="8"/>
      <c r="H570" s="8"/>
      <c r="I570" s="8"/>
      <c r="J570" s="8"/>
      <c r="K570" s="8"/>
    </row>
    <row r="571">
      <c r="A571" s="8" t="s">
        <v>579</v>
      </c>
      <c r="B571" s="8"/>
      <c r="C571" s="8"/>
      <c r="D571" s="8"/>
      <c r="E571" s="8"/>
      <c r="F571" s="8"/>
      <c r="G571" s="8"/>
      <c r="H571" s="8"/>
      <c r="I571" s="8"/>
      <c r="J571" s="8"/>
      <c r="K571" s="8"/>
    </row>
    <row r="572">
      <c r="A572" s="8" t="s">
        <v>580</v>
      </c>
      <c r="B572" s="8"/>
      <c r="C572" s="8"/>
      <c r="D572" s="8"/>
      <c r="E572" s="8"/>
      <c r="F572" s="8"/>
      <c r="G572" s="8"/>
      <c r="H572" s="8"/>
      <c r="I572" s="8"/>
      <c r="J572" s="8"/>
      <c r="K572" s="8"/>
    </row>
    <row r="573">
      <c r="A573" s="8" t="s">
        <v>581</v>
      </c>
      <c r="B573" s="8"/>
      <c r="C573" s="8"/>
      <c r="D573" s="8"/>
      <c r="E573" s="8"/>
      <c r="F573" s="8"/>
      <c r="G573" s="8"/>
      <c r="H573" s="8"/>
      <c r="I573" s="8"/>
      <c r="J573" s="8"/>
      <c r="K573" s="8"/>
    </row>
    <row r="574">
      <c r="A574" s="8" t="s">
        <v>582</v>
      </c>
      <c r="B574" s="8"/>
      <c r="C574" s="8"/>
      <c r="D574" s="8"/>
      <c r="E574" s="8"/>
      <c r="F574" s="8"/>
      <c r="G574" s="8"/>
      <c r="H574" s="8"/>
      <c r="I574" s="8"/>
      <c r="J574" s="8"/>
      <c r="K574" s="8"/>
    </row>
    <row r="575">
      <c r="A575" s="8" t="s">
        <v>583</v>
      </c>
      <c r="B575" s="8"/>
      <c r="C575" s="8"/>
      <c r="D575" s="8"/>
      <c r="E575" s="8"/>
      <c r="F575" s="8"/>
      <c r="G575" s="8"/>
      <c r="H575" s="8"/>
      <c r="I575" s="8"/>
      <c r="J575" s="8"/>
      <c r="K575" s="8"/>
    </row>
    <row r="576">
      <c r="A576" s="8" t="s">
        <v>584</v>
      </c>
      <c r="B576" s="8"/>
      <c r="C576" s="8"/>
      <c r="D576" s="8"/>
      <c r="E576" s="8"/>
      <c r="F576" s="8"/>
      <c r="G576" s="8"/>
      <c r="H576" s="8"/>
      <c r="I576" s="8"/>
      <c r="J576" s="8"/>
      <c r="K576" s="8"/>
    </row>
    <row r="577">
      <c r="A577" s="8" t="s">
        <v>585</v>
      </c>
      <c r="B577" s="8"/>
      <c r="C577" s="8"/>
      <c r="D577" s="8"/>
      <c r="E577" s="8"/>
      <c r="F577" s="8"/>
      <c r="G577" s="8"/>
      <c r="H577" s="8"/>
      <c r="I577" s="8"/>
      <c r="J577" s="8"/>
      <c r="K577" s="8"/>
    </row>
    <row r="578">
      <c r="A578" s="8" t="s">
        <v>586</v>
      </c>
      <c r="B578" s="8"/>
      <c r="C578" s="8"/>
      <c r="D578" s="8"/>
      <c r="E578" s="8"/>
      <c r="F578" s="8"/>
      <c r="G578" s="8"/>
      <c r="H578" s="8"/>
      <c r="I578" s="8"/>
      <c r="J578" s="8"/>
      <c r="K578" s="8"/>
    </row>
    <row r="579">
      <c r="A579" s="8" t="s">
        <v>587</v>
      </c>
      <c r="B579" s="8"/>
      <c r="C579" s="8"/>
      <c r="D579" s="8"/>
      <c r="E579" s="8"/>
      <c r="F579" s="8"/>
      <c r="G579" s="8"/>
      <c r="H579" s="8"/>
      <c r="I579" s="8"/>
      <c r="J579" s="8"/>
      <c r="K579" s="8"/>
    </row>
    <row r="580">
      <c r="A580" s="8" t="s">
        <v>588</v>
      </c>
      <c r="B580" s="8"/>
      <c r="C580" s="8"/>
      <c r="D580" s="8"/>
      <c r="E580" s="8"/>
      <c r="F580" s="8"/>
      <c r="G580" s="8"/>
      <c r="H580" s="8"/>
      <c r="I580" s="8"/>
      <c r="J580" s="8"/>
      <c r="K580" s="8"/>
    </row>
    <row r="581">
      <c r="A581" s="8" t="s">
        <v>589</v>
      </c>
      <c r="B581" s="8"/>
      <c r="C581" s="8"/>
      <c r="D581" s="8"/>
      <c r="E581" s="8"/>
      <c r="F581" s="8"/>
      <c r="G581" s="8"/>
      <c r="H581" s="8"/>
      <c r="I581" s="8"/>
      <c r="J581" s="8"/>
      <c r="K581" s="8"/>
    </row>
    <row r="582">
      <c r="A582" s="8" t="s">
        <v>590</v>
      </c>
      <c r="B582" s="8"/>
      <c r="C582" s="8"/>
      <c r="D582" s="8"/>
      <c r="E582" s="8"/>
      <c r="F582" s="8"/>
      <c r="G582" s="8"/>
      <c r="H582" s="8"/>
      <c r="I582" s="8"/>
      <c r="J582" s="8"/>
      <c r="K582" s="8"/>
    </row>
    <row r="583">
      <c r="A583" s="8" t="s">
        <v>591</v>
      </c>
      <c r="B583" s="8"/>
      <c r="C583" s="8"/>
      <c r="D583" s="8"/>
      <c r="E583" s="8"/>
      <c r="F583" s="8"/>
      <c r="G583" s="8"/>
      <c r="H583" s="8"/>
      <c r="I583" s="8"/>
      <c r="J583" s="8"/>
      <c r="K583" s="8"/>
    </row>
    <row r="584">
      <c r="A584" s="8" t="s">
        <v>592</v>
      </c>
      <c r="B584" s="8"/>
      <c r="C584" s="8"/>
      <c r="D584" s="8"/>
      <c r="E584" s="8"/>
      <c r="F584" s="8"/>
      <c r="G584" s="8"/>
      <c r="H584" s="8"/>
      <c r="I584" s="8"/>
      <c r="J584" s="8"/>
      <c r="K584" s="8"/>
    </row>
    <row r="585">
      <c r="A585" s="8" t="s">
        <v>593</v>
      </c>
      <c r="B585" s="8"/>
      <c r="C585" s="8"/>
      <c r="D585" s="8"/>
      <c r="E585" s="8"/>
      <c r="F585" s="8"/>
      <c r="G585" s="8"/>
      <c r="H585" s="8"/>
      <c r="I585" s="8"/>
      <c r="J585" s="8"/>
      <c r="K585" s="8"/>
    </row>
    <row r="586">
      <c r="A586" s="8" t="s">
        <v>594</v>
      </c>
      <c r="B586" s="8"/>
      <c r="C586" s="8"/>
      <c r="D586" s="8"/>
      <c r="E586" s="8"/>
      <c r="F586" s="8"/>
      <c r="G586" s="8"/>
      <c r="H586" s="8"/>
      <c r="I586" s="8"/>
      <c r="J586" s="8"/>
      <c r="K586" s="8"/>
    </row>
    <row r="587">
      <c r="A587" s="8" t="s">
        <v>595</v>
      </c>
      <c r="B587" s="8"/>
      <c r="C587" s="8"/>
      <c r="D587" s="8"/>
      <c r="E587" s="8"/>
      <c r="F587" s="8"/>
      <c r="G587" s="8"/>
      <c r="H587" s="8"/>
      <c r="I587" s="8"/>
      <c r="J587" s="8"/>
      <c r="K587" s="8"/>
    </row>
    <row r="588">
      <c r="A588" s="8" t="s">
        <v>596</v>
      </c>
      <c r="B588" s="8"/>
      <c r="C588" s="8"/>
      <c r="D588" s="8"/>
      <c r="E588" s="8"/>
      <c r="F588" s="8"/>
      <c r="G588" s="8"/>
      <c r="H588" s="8"/>
      <c r="I588" s="8"/>
      <c r="J588" s="8"/>
      <c r="K588" s="8"/>
    </row>
    <row r="589">
      <c r="A589" s="8" t="s">
        <v>597</v>
      </c>
      <c r="B589" s="8"/>
      <c r="C589" s="8"/>
      <c r="D589" s="8"/>
      <c r="E589" s="8"/>
      <c r="F589" s="8"/>
      <c r="G589" s="8"/>
      <c r="H589" s="8"/>
      <c r="I589" s="8"/>
      <c r="J589" s="8"/>
      <c r="K589" s="8"/>
    </row>
    <row r="590">
      <c r="A590" s="8" t="s">
        <v>598</v>
      </c>
      <c r="B590" s="8"/>
      <c r="C590" s="8"/>
      <c r="D590" s="8"/>
      <c r="E590" s="8"/>
      <c r="F590" s="8"/>
      <c r="G590" s="8"/>
      <c r="H590" s="8"/>
      <c r="I590" s="8"/>
      <c r="J590" s="8"/>
      <c r="K590" s="8"/>
    </row>
    <row r="591">
      <c r="A591" s="8" t="s">
        <v>599</v>
      </c>
      <c r="B591" s="8"/>
      <c r="C591" s="8"/>
      <c r="D591" s="8"/>
      <c r="E591" s="8"/>
      <c r="F591" s="8"/>
      <c r="G591" s="8"/>
      <c r="H591" s="8"/>
      <c r="I591" s="8"/>
      <c r="J591" s="8"/>
      <c r="K591" s="8"/>
    </row>
    <row r="592">
      <c r="A592" s="8" t="s">
        <v>600</v>
      </c>
      <c r="B592" s="8"/>
      <c r="C592" s="8"/>
      <c r="D592" s="8"/>
      <c r="E592" s="8"/>
      <c r="F592" s="8"/>
      <c r="G592" s="8"/>
      <c r="H592" s="8"/>
      <c r="I592" s="8"/>
      <c r="J592" s="8"/>
      <c r="K592" s="8"/>
    </row>
    <row r="593">
      <c r="A593" s="8" t="s">
        <v>601</v>
      </c>
      <c r="B593" s="8"/>
      <c r="C593" s="8"/>
      <c r="D593" s="8"/>
      <c r="E593" s="8"/>
      <c r="F593" s="8"/>
      <c r="G593" s="8"/>
      <c r="H593" s="8"/>
      <c r="I593" s="8"/>
      <c r="J593" s="8"/>
      <c r="K593" s="8"/>
    </row>
    <row r="594">
      <c r="A594" s="8" t="s">
        <v>602</v>
      </c>
      <c r="B594" s="8"/>
      <c r="C594" s="8"/>
      <c r="D594" s="8"/>
      <c r="E594" s="8"/>
      <c r="F594" s="8"/>
      <c r="G594" s="8"/>
      <c r="H594" s="8"/>
      <c r="I594" s="8"/>
      <c r="J594" s="8"/>
      <c r="K594" s="8"/>
    </row>
    <row r="595">
      <c r="A595" s="8" t="s">
        <v>603</v>
      </c>
      <c r="B595" s="8"/>
      <c r="C595" s="8"/>
      <c r="D595" s="8"/>
      <c r="E595" s="8"/>
      <c r="F595" s="8"/>
      <c r="G595" s="8"/>
      <c r="H595" s="8"/>
      <c r="I595" s="8"/>
      <c r="J595" s="8"/>
      <c r="K595" s="8"/>
    </row>
    <row r="596">
      <c r="A596" s="8" t="s">
        <v>604</v>
      </c>
      <c r="B596" s="8"/>
      <c r="C596" s="8"/>
      <c r="D596" s="8"/>
      <c r="E596" s="8"/>
      <c r="F596" s="8"/>
      <c r="G596" s="8"/>
      <c r="H596" s="8"/>
      <c r="I596" s="8"/>
      <c r="J596" s="8"/>
      <c r="K596" s="8"/>
    </row>
    <row r="597">
      <c r="A597" s="8" t="s">
        <v>605</v>
      </c>
      <c r="B597" s="8"/>
      <c r="C597" s="8"/>
      <c r="D597" s="8"/>
      <c r="E597" s="8"/>
      <c r="F597" s="8"/>
      <c r="G597" s="8"/>
      <c r="H597" s="8"/>
      <c r="I597" s="8"/>
      <c r="J597" s="8"/>
      <c r="K597" s="8"/>
    </row>
    <row r="598">
      <c r="A598" s="8" t="s">
        <v>606</v>
      </c>
      <c r="B598" s="8"/>
      <c r="C598" s="8"/>
      <c r="D598" s="8"/>
      <c r="E598" s="8"/>
      <c r="F598" s="8"/>
      <c r="G598" s="8"/>
      <c r="H598" s="8"/>
      <c r="I598" s="8"/>
      <c r="J598" s="8"/>
      <c r="K598" s="8"/>
    </row>
    <row r="599">
      <c r="A599" s="8" t="s">
        <v>607</v>
      </c>
      <c r="B599" s="8"/>
      <c r="C599" s="8"/>
      <c r="D599" s="8"/>
      <c r="E599" s="8"/>
      <c r="F599" s="8"/>
      <c r="G599" s="8"/>
      <c r="H599" s="8"/>
      <c r="I599" s="8"/>
      <c r="J599" s="8"/>
      <c r="K599" s="8"/>
    </row>
    <row r="600">
      <c r="A600" s="8" t="s">
        <v>608</v>
      </c>
      <c r="B600" s="8"/>
      <c r="C600" s="8"/>
      <c r="D600" s="8"/>
      <c r="E600" s="8"/>
      <c r="F600" s="8"/>
      <c r="G600" s="8"/>
      <c r="H600" s="8"/>
      <c r="I600" s="8"/>
      <c r="J600" s="8"/>
      <c r="K600" s="8"/>
    </row>
    <row r="601">
      <c r="A601" s="8" t="s">
        <v>609</v>
      </c>
      <c r="B601" s="8"/>
      <c r="C601" s="8"/>
      <c r="D601" s="8"/>
      <c r="E601" s="8"/>
      <c r="F601" s="8"/>
      <c r="G601" s="8"/>
      <c r="H601" s="8"/>
      <c r="I601" s="8"/>
      <c r="J601" s="8"/>
      <c r="K601" s="8"/>
    </row>
    <row r="602">
      <c r="A602" s="8" t="s">
        <v>610</v>
      </c>
      <c r="B602" s="8"/>
      <c r="C602" s="8"/>
      <c r="D602" s="8"/>
      <c r="E602" s="8"/>
      <c r="F602" s="8"/>
      <c r="G602" s="8"/>
      <c r="H602" s="8"/>
      <c r="I602" s="8"/>
      <c r="J602" s="8"/>
      <c r="K602" s="8"/>
    </row>
    <row r="603">
      <c r="A603" s="8" t="s">
        <v>611</v>
      </c>
      <c r="B603" s="8"/>
      <c r="C603" s="8"/>
      <c r="D603" s="8"/>
      <c r="E603" s="8"/>
      <c r="F603" s="8"/>
      <c r="G603" s="8"/>
      <c r="H603" s="8"/>
      <c r="I603" s="8"/>
      <c r="J603" s="8"/>
      <c r="K603" s="8"/>
    </row>
    <row r="604">
      <c r="A604" s="8" t="s">
        <v>612</v>
      </c>
      <c r="B604" s="8"/>
      <c r="C604" s="8"/>
      <c r="D604" s="8"/>
      <c r="E604" s="8"/>
      <c r="F604" s="8"/>
      <c r="G604" s="8"/>
      <c r="H604" s="8"/>
      <c r="I604" s="8"/>
      <c r="J604" s="8"/>
      <c r="K604" s="8"/>
    </row>
    <row r="605">
      <c r="A605" s="8" t="s">
        <v>613</v>
      </c>
      <c r="B605" s="8"/>
      <c r="C605" s="8"/>
      <c r="D605" s="8"/>
      <c r="E605" s="8"/>
      <c r="F605" s="8"/>
      <c r="G605" s="8"/>
      <c r="H605" s="8"/>
      <c r="I605" s="8"/>
      <c r="J605" s="8"/>
      <c r="K605" s="8"/>
    </row>
    <row r="606">
      <c r="A606" s="8" t="s">
        <v>614</v>
      </c>
      <c r="B606" s="8"/>
      <c r="C606" s="8"/>
      <c r="D606" s="8"/>
      <c r="E606" s="8"/>
      <c r="F606" s="8"/>
      <c r="G606" s="8"/>
      <c r="H606" s="8"/>
      <c r="I606" s="8"/>
      <c r="J606" s="8"/>
      <c r="K606" s="8"/>
    </row>
    <row r="607">
      <c r="A607" s="8" t="s">
        <v>615</v>
      </c>
      <c r="B607" s="8"/>
      <c r="C607" s="8"/>
      <c r="D607" s="8"/>
      <c r="E607" s="8"/>
      <c r="F607" s="8"/>
      <c r="G607" s="8"/>
      <c r="H607" s="8"/>
      <c r="I607" s="8"/>
      <c r="J607" s="8"/>
      <c r="K607" s="8"/>
    </row>
    <row r="608">
      <c r="A608" s="8" t="s">
        <v>616</v>
      </c>
      <c r="B608" s="8"/>
      <c r="C608" s="8"/>
      <c r="D608" s="8"/>
      <c r="E608" s="8"/>
      <c r="F608" s="8"/>
      <c r="G608" s="8"/>
      <c r="H608" s="8"/>
      <c r="I608" s="8"/>
      <c r="J608" s="8"/>
      <c r="K608" s="8"/>
    </row>
    <row r="609">
      <c r="A609" s="8" t="s">
        <v>617</v>
      </c>
      <c r="B609" s="8"/>
      <c r="C609" s="8"/>
      <c r="D609" s="8"/>
      <c r="E609" s="8"/>
      <c r="F609" s="8"/>
      <c r="G609" s="8"/>
      <c r="H609" s="8"/>
      <c r="I609" s="8"/>
      <c r="J609" s="8"/>
      <c r="K609" s="8"/>
    </row>
    <row r="610">
      <c r="A610" s="8" t="s">
        <v>618</v>
      </c>
      <c r="B610" s="8"/>
      <c r="C610" s="8"/>
      <c r="D610" s="8"/>
      <c r="E610" s="8"/>
      <c r="F610" s="8"/>
      <c r="G610" s="8"/>
      <c r="H610" s="8"/>
      <c r="I610" s="8"/>
      <c r="J610" s="8"/>
      <c r="K610" s="8"/>
    </row>
    <row r="611">
      <c r="A611" s="8" t="s">
        <v>619</v>
      </c>
      <c r="B611" s="8"/>
      <c r="C611" s="8"/>
      <c r="D611" s="8"/>
      <c r="E611" s="8"/>
      <c r="F611" s="8"/>
      <c r="G611" s="8"/>
      <c r="H611" s="8"/>
      <c r="I611" s="8"/>
      <c r="J611" s="8"/>
      <c r="K611" s="8"/>
    </row>
    <row r="612">
      <c r="A612" s="8" t="s">
        <v>620</v>
      </c>
      <c r="B612" s="8"/>
      <c r="C612" s="8"/>
      <c r="D612" s="8"/>
      <c r="E612" s="8"/>
      <c r="F612" s="8"/>
      <c r="G612" s="8"/>
      <c r="H612" s="8"/>
      <c r="I612" s="8"/>
      <c r="J612" s="8"/>
      <c r="K612" s="8"/>
    </row>
    <row r="613">
      <c r="A613" s="8" t="s">
        <v>621</v>
      </c>
      <c r="B613" s="8"/>
      <c r="C613" s="8"/>
      <c r="D613" s="8"/>
      <c r="E613" s="8"/>
      <c r="F613" s="8"/>
      <c r="G613" s="8"/>
      <c r="H613" s="8"/>
      <c r="I613" s="8"/>
      <c r="J613" s="8"/>
      <c r="K613" s="8"/>
    </row>
    <row r="614">
      <c r="A614" s="8" t="s">
        <v>622</v>
      </c>
      <c r="B614" s="8"/>
      <c r="C614" s="8"/>
      <c r="D614" s="8"/>
      <c r="E614" s="8"/>
      <c r="F614" s="8"/>
      <c r="G614" s="8"/>
      <c r="H614" s="8"/>
      <c r="I614" s="8"/>
      <c r="J614" s="8"/>
      <c r="K614" s="8"/>
    </row>
    <row r="615">
      <c r="A615" s="8" t="s">
        <v>623</v>
      </c>
      <c r="B615" s="8"/>
      <c r="C615" s="8"/>
      <c r="D615" s="8"/>
      <c r="E615" s="8"/>
      <c r="F615" s="8"/>
      <c r="G615" s="8"/>
      <c r="H615" s="8"/>
      <c r="I615" s="8"/>
      <c r="J615" s="8"/>
      <c r="K615" s="8"/>
    </row>
    <row r="616">
      <c r="A616" s="8" t="s">
        <v>624</v>
      </c>
      <c r="B616" s="8"/>
      <c r="C616" s="8"/>
      <c r="D616" s="8"/>
      <c r="E616" s="8"/>
      <c r="F616" s="8"/>
      <c r="G616" s="8"/>
      <c r="H616" s="8"/>
      <c r="I616" s="8"/>
      <c r="J616" s="8"/>
      <c r="K616" s="8"/>
    </row>
    <row r="617">
      <c r="A617" s="8" t="s">
        <v>625</v>
      </c>
      <c r="B617" s="8"/>
      <c r="C617" s="8"/>
      <c r="D617" s="8"/>
      <c r="E617" s="8"/>
      <c r="F617" s="8"/>
      <c r="G617" s="8"/>
      <c r="H617" s="8"/>
      <c r="I617" s="8"/>
      <c r="J617" s="8"/>
      <c r="K617" s="8"/>
    </row>
    <row r="618">
      <c r="A618" s="8" t="s">
        <v>626</v>
      </c>
      <c r="B618" s="8"/>
      <c r="C618" s="8"/>
      <c r="D618" s="8"/>
      <c r="E618" s="8"/>
      <c r="F618" s="8"/>
      <c r="G618" s="8"/>
      <c r="H618" s="8"/>
      <c r="I618" s="8"/>
      <c r="J618" s="8"/>
      <c r="K618" s="8"/>
    </row>
    <row r="619">
      <c r="A619" s="8" t="s">
        <v>627</v>
      </c>
      <c r="B619" s="8"/>
      <c r="C619" s="8"/>
      <c r="D619" s="8"/>
      <c r="E619" s="8"/>
      <c r="F619" s="8"/>
      <c r="G619" s="8"/>
      <c r="H619" s="8"/>
      <c r="I619" s="8"/>
      <c r="J619" s="8"/>
      <c r="K619" s="8"/>
    </row>
    <row r="620">
      <c r="A620" s="8" t="s">
        <v>628</v>
      </c>
      <c r="B620" s="8"/>
      <c r="C620" s="8"/>
      <c r="D620" s="8"/>
      <c r="E620" s="8"/>
      <c r="F620" s="8"/>
      <c r="G620" s="8"/>
      <c r="H620" s="8"/>
      <c r="I620" s="8"/>
      <c r="J620" s="8"/>
      <c r="K620" s="8"/>
    </row>
    <row r="621">
      <c r="A621" s="8" t="s">
        <v>629</v>
      </c>
      <c r="B621" s="8"/>
      <c r="C621" s="8"/>
      <c r="D621" s="8"/>
      <c r="E621" s="8"/>
      <c r="F621" s="8"/>
      <c r="G621" s="8"/>
      <c r="H621" s="8"/>
      <c r="I621" s="8"/>
      <c r="J621" s="8"/>
      <c r="K621" s="8"/>
    </row>
    <row r="622">
      <c r="A622" s="8" t="s">
        <v>630</v>
      </c>
      <c r="B622" s="8"/>
      <c r="C622" s="8"/>
      <c r="D622" s="8"/>
      <c r="E622" s="8"/>
      <c r="F622" s="8"/>
      <c r="G622" s="8"/>
      <c r="H622" s="8"/>
      <c r="I622" s="8"/>
      <c r="J622" s="8"/>
      <c r="K622" s="8"/>
    </row>
    <row r="623">
      <c r="A623" s="8" t="s">
        <v>631</v>
      </c>
      <c r="B623" s="8"/>
      <c r="C623" s="8"/>
      <c r="D623" s="8"/>
      <c r="E623" s="8"/>
      <c r="F623" s="8"/>
      <c r="G623" s="8"/>
      <c r="H623" s="8"/>
      <c r="I623" s="8"/>
      <c r="J623" s="8"/>
      <c r="K623" s="8"/>
    </row>
    <row r="624">
      <c r="A624" s="8" t="s">
        <v>632</v>
      </c>
      <c r="B624" s="8"/>
      <c r="C624" s="8"/>
      <c r="D624" s="8"/>
      <c r="E624" s="8"/>
      <c r="F624" s="8"/>
      <c r="G624" s="8"/>
      <c r="H624" s="8"/>
      <c r="I624" s="8"/>
      <c r="J624" s="8"/>
      <c r="K624" s="8"/>
    </row>
    <row r="625">
      <c r="A625" s="8" t="s">
        <v>633</v>
      </c>
      <c r="B625" s="8"/>
      <c r="C625" s="8"/>
      <c r="D625" s="8"/>
      <c r="E625" s="8"/>
      <c r="F625" s="8"/>
      <c r="G625" s="8"/>
      <c r="H625" s="8"/>
      <c r="I625" s="8"/>
      <c r="J625" s="8"/>
      <c r="K625" s="8"/>
    </row>
    <row r="626">
      <c r="A626" s="8" t="s">
        <v>634</v>
      </c>
      <c r="B626" s="8"/>
      <c r="C626" s="8"/>
      <c r="D626" s="8"/>
      <c r="E626" s="8"/>
      <c r="F626" s="8"/>
      <c r="G626" s="8"/>
      <c r="H626" s="8"/>
      <c r="I626" s="8"/>
      <c r="J626" s="8"/>
      <c r="K626" s="8"/>
    </row>
    <row r="627">
      <c r="A627" s="8" t="s">
        <v>635</v>
      </c>
      <c r="B627" s="8"/>
      <c r="C627" s="8"/>
      <c r="D627" s="8"/>
      <c r="E627" s="8"/>
      <c r="F627" s="8"/>
      <c r="G627" s="8"/>
      <c r="H627" s="8"/>
      <c r="I627" s="8"/>
      <c r="J627" s="8"/>
      <c r="K627" s="8"/>
    </row>
    <row r="628">
      <c r="A628" s="8" t="s">
        <v>636</v>
      </c>
      <c r="B628" s="8"/>
      <c r="C628" s="8"/>
      <c r="D628" s="8"/>
      <c r="E628" s="8"/>
      <c r="F628" s="8"/>
      <c r="G628" s="8"/>
      <c r="H628" s="8"/>
      <c r="I628" s="8"/>
      <c r="J628" s="8"/>
      <c r="K628" s="8"/>
    </row>
    <row r="629">
      <c r="A629" s="8" t="s">
        <v>637</v>
      </c>
      <c r="B629" s="8"/>
      <c r="C629" s="8"/>
      <c r="D629" s="8"/>
      <c r="E629" s="8"/>
      <c r="F629" s="8"/>
      <c r="G629" s="8"/>
      <c r="H629" s="8"/>
      <c r="I629" s="8"/>
      <c r="J629" s="8"/>
      <c r="K629" s="8"/>
    </row>
    <row r="630">
      <c r="A630" s="8" t="s">
        <v>638</v>
      </c>
      <c r="B630" s="8"/>
      <c r="C630" s="8"/>
      <c r="D630" s="8"/>
      <c r="E630" s="8"/>
      <c r="F630" s="8"/>
      <c r="G630" s="8"/>
      <c r="H630" s="8"/>
      <c r="I630" s="8"/>
      <c r="J630" s="8"/>
      <c r="K630" s="8"/>
    </row>
    <row r="631">
      <c r="A631" s="8" t="s">
        <v>639</v>
      </c>
      <c r="B631" s="8"/>
      <c r="C631" s="8"/>
      <c r="D631" s="8"/>
      <c r="E631" s="8"/>
      <c r="F631" s="8"/>
      <c r="G631" s="8"/>
      <c r="H631" s="8"/>
      <c r="I631" s="8"/>
      <c r="J631" s="8"/>
      <c r="K631" s="8"/>
    </row>
    <row r="632">
      <c r="A632" s="8" t="s">
        <v>640</v>
      </c>
      <c r="B632" s="8"/>
      <c r="C632" s="8"/>
      <c r="D632" s="8"/>
      <c r="E632" s="8"/>
      <c r="F632" s="8"/>
      <c r="G632" s="8"/>
      <c r="H632" s="8"/>
      <c r="I632" s="8"/>
      <c r="J632" s="8"/>
      <c r="K632" s="8"/>
    </row>
    <row r="633">
      <c r="A633" s="8" t="s">
        <v>641</v>
      </c>
      <c r="B633" s="8"/>
      <c r="C633" s="8"/>
      <c r="D633" s="8"/>
      <c r="E633" s="8"/>
      <c r="F633" s="8"/>
      <c r="G633" s="8"/>
      <c r="H633" s="8"/>
      <c r="I633" s="8"/>
      <c r="J633" s="8"/>
      <c r="K633" s="8"/>
    </row>
    <row r="634">
      <c r="A634" s="8" t="s">
        <v>642</v>
      </c>
      <c r="B634" s="8"/>
      <c r="C634" s="8"/>
      <c r="D634" s="8"/>
      <c r="E634" s="8"/>
      <c r="F634" s="8"/>
      <c r="G634" s="8"/>
      <c r="H634" s="8"/>
      <c r="I634" s="8"/>
      <c r="J634" s="8"/>
      <c r="K634" s="8"/>
    </row>
    <row r="635">
      <c r="A635" s="8" t="s">
        <v>643</v>
      </c>
      <c r="B635" s="8"/>
      <c r="C635" s="8"/>
      <c r="D635" s="8"/>
      <c r="E635" s="8"/>
      <c r="F635" s="8"/>
      <c r="G635" s="8"/>
      <c r="H635" s="8"/>
      <c r="I635" s="8"/>
      <c r="J635" s="8"/>
      <c r="K635" s="8"/>
    </row>
    <row r="636">
      <c r="A636" s="8" t="s">
        <v>644</v>
      </c>
      <c r="B636" s="8"/>
      <c r="C636" s="8"/>
      <c r="D636" s="8"/>
      <c r="E636" s="8"/>
      <c r="F636" s="8"/>
      <c r="G636" s="8"/>
      <c r="H636" s="8"/>
      <c r="I636" s="8"/>
      <c r="J636" s="8"/>
      <c r="K636" s="8"/>
    </row>
    <row r="637">
      <c r="A637" s="8" t="s">
        <v>645</v>
      </c>
      <c r="B637" s="8"/>
      <c r="C637" s="8"/>
      <c r="D637" s="8"/>
      <c r="E637" s="8"/>
      <c r="F637" s="8"/>
      <c r="G637" s="8"/>
      <c r="H637" s="8"/>
      <c r="I637" s="8"/>
      <c r="J637" s="8"/>
      <c r="K637" s="8"/>
    </row>
    <row r="638">
      <c r="A638" s="8" t="s">
        <v>646</v>
      </c>
      <c r="B638" s="8"/>
      <c r="C638" s="8"/>
      <c r="D638" s="8"/>
      <c r="E638" s="8"/>
      <c r="F638" s="8"/>
      <c r="G638" s="8"/>
      <c r="H638" s="8"/>
      <c r="I638" s="8"/>
      <c r="J638" s="8"/>
      <c r="K638" s="8"/>
    </row>
    <row r="639">
      <c r="A639" s="8" t="s">
        <v>647</v>
      </c>
      <c r="B639" s="8"/>
      <c r="C639" s="8"/>
      <c r="D639" s="8"/>
      <c r="E639" s="8"/>
      <c r="F639" s="8"/>
      <c r="G639" s="8"/>
      <c r="H639" s="8"/>
      <c r="I639" s="8"/>
      <c r="J639" s="8"/>
      <c r="K639" s="8"/>
    </row>
    <row r="640">
      <c r="A640" s="8" t="s">
        <v>648</v>
      </c>
      <c r="B640" s="8"/>
      <c r="C640" s="8"/>
      <c r="D640" s="8"/>
      <c r="E640" s="8"/>
      <c r="F640" s="8"/>
      <c r="G640" s="8"/>
      <c r="H640" s="8"/>
      <c r="I640" s="8"/>
      <c r="J640" s="8"/>
      <c r="K640" s="8"/>
    </row>
    <row r="641">
      <c r="A641" s="8" t="s">
        <v>649</v>
      </c>
      <c r="B641" s="8"/>
      <c r="C641" s="8"/>
      <c r="D641" s="8"/>
      <c r="E641" s="8"/>
      <c r="F641" s="8"/>
      <c r="G641" s="8"/>
      <c r="H641" s="8"/>
      <c r="I641" s="8"/>
      <c r="J641" s="8"/>
      <c r="K641" s="8"/>
    </row>
    <row r="642">
      <c r="A642" s="8" t="s">
        <v>650</v>
      </c>
      <c r="B642" s="8"/>
      <c r="C642" s="8"/>
      <c r="D642" s="8"/>
      <c r="E642" s="8"/>
      <c r="F642" s="8"/>
      <c r="G642" s="8"/>
      <c r="H642" s="8"/>
      <c r="I642" s="8"/>
      <c r="J642" s="8"/>
      <c r="K642" s="8"/>
    </row>
    <row r="643">
      <c r="A643" s="8" t="s">
        <v>651</v>
      </c>
      <c r="B643" s="8"/>
      <c r="C643" s="8"/>
      <c r="D643" s="8"/>
      <c r="E643" s="8"/>
      <c r="F643" s="8"/>
      <c r="G643" s="8"/>
      <c r="H643" s="8"/>
      <c r="I643" s="8"/>
      <c r="J643" s="8"/>
      <c r="K643" s="8"/>
    </row>
    <row r="644">
      <c r="A644" s="8" t="s">
        <v>652</v>
      </c>
      <c r="B644" s="8"/>
      <c r="C644" s="8"/>
      <c r="D644" s="8"/>
      <c r="E644" s="8"/>
      <c r="F644" s="8"/>
      <c r="G644" s="8"/>
      <c r="H644" s="8"/>
      <c r="I644" s="8"/>
      <c r="J644" s="8"/>
      <c r="K644" s="8"/>
    </row>
    <row r="645">
      <c r="A645" s="8" t="s">
        <v>653</v>
      </c>
      <c r="B645" s="8"/>
      <c r="C645" s="8"/>
      <c r="D645" s="8"/>
      <c r="E645" s="8"/>
      <c r="F645" s="8"/>
      <c r="G645" s="8"/>
      <c r="H645" s="8"/>
      <c r="I645" s="8"/>
      <c r="J645" s="8"/>
      <c r="K645" s="8"/>
    </row>
    <row r="646">
      <c r="A646" s="8" t="s">
        <v>654</v>
      </c>
      <c r="B646" s="8"/>
      <c r="C646" s="8"/>
      <c r="D646" s="8"/>
      <c r="E646" s="8"/>
      <c r="F646" s="8"/>
      <c r="G646" s="8"/>
      <c r="H646" s="8"/>
      <c r="I646" s="8"/>
      <c r="J646" s="8"/>
      <c r="K646" s="8"/>
    </row>
    <row r="647">
      <c r="A647" s="8" t="s">
        <v>655</v>
      </c>
      <c r="B647" s="8"/>
      <c r="C647" s="8"/>
      <c r="D647" s="8"/>
      <c r="E647" s="8"/>
      <c r="F647" s="8"/>
      <c r="G647" s="8"/>
      <c r="H647" s="8"/>
      <c r="I647" s="8"/>
      <c r="J647" s="8"/>
      <c r="K647" s="8"/>
    </row>
    <row r="648">
      <c r="A648" s="8" t="s">
        <v>656</v>
      </c>
      <c r="B648" s="8"/>
      <c r="C648" s="8"/>
      <c r="D648" s="8"/>
      <c r="E648" s="8"/>
      <c r="F648" s="8"/>
      <c r="G648" s="8"/>
      <c r="H648" s="8"/>
      <c r="I648" s="8"/>
      <c r="J648" s="8"/>
      <c r="K648" s="8"/>
    </row>
    <row r="649">
      <c r="A649" s="8" t="s">
        <v>657</v>
      </c>
      <c r="B649" s="8"/>
      <c r="C649" s="8"/>
      <c r="D649" s="8"/>
      <c r="E649" s="8"/>
      <c r="F649" s="8"/>
      <c r="G649" s="8"/>
      <c r="H649" s="8"/>
      <c r="I649" s="8"/>
      <c r="J649" s="8"/>
      <c r="K649" s="8"/>
    </row>
    <row r="650">
      <c r="A650" s="8" t="s">
        <v>658</v>
      </c>
      <c r="B650" s="8"/>
      <c r="C650" s="8"/>
      <c r="D650" s="8"/>
      <c r="E650" s="8"/>
      <c r="F650" s="8"/>
      <c r="G650" s="8"/>
      <c r="H650" s="8"/>
      <c r="I650" s="8"/>
      <c r="J650" s="8"/>
      <c r="K650" s="8"/>
    </row>
    <row r="651">
      <c r="A651" s="8" t="s">
        <v>659</v>
      </c>
      <c r="B651" s="8"/>
      <c r="C651" s="8"/>
      <c r="D651" s="8"/>
      <c r="E651" s="8"/>
      <c r="F651" s="8"/>
      <c r="G651" s="8"/>
      <c r="H651" s="8"/>
      <c r="I651" s="8"/>
      <c r="J651" s="8"/>
      <c r="K651" s="8"/>
    </row>
    <row r="652">
      <c r="A652" s="8" t="s">
        <v>660</v>
      </c>
      <c r="B652" s="8"/>
      <c r="C652" s="8"/>
      <c r="D652" s="8"/>
      <c r="E652" s="8"/>
      <c r="F652" s="8"/>
      <c r="G652" s="8"/>
      <c r="H652" s="8"/>
      <c r="I652" s="8"/>
      <c r="J652" s="8"/>
      <c r="K652" s="8"/>
    </row>
    <row r="653">
      <c r="A653" s="8" t="s">
        <v>661</v>
      </c>
      <c r="B653" s="8"/>
      <c r="C653" s="8"/>
      <c r="D653" s="8"/>
      <c r="E653" s="8"/>
      <c r="F653" s="8"/>
      <c r="G653" s="8"/>
      <c r="H653" s="8"/>
      <c r="I653" s="8"/>
      <c r="J653" s="8"/>
      <c r="K653" s="8"/>
    </row>
    <row r="654">
      <c r="A654" s="8" t="s">
        <v>662</v>
      </c>
      <c r="B654" s="8"/>
      <c r="C654" s="8"/>
      <c r="D654" s="8"/>
      <c r="E654" s="8"/>
      <c r="F654" s="8"/>
      <c r="G654" s="8"/>
      <c r="H654" s="8"/>
      <c r="I654" s="8"/>
      <c r="J654" s="8"/>
      <c r="K654" s="8"/>
    </row>
    <row r="655">
      <c r="A655" s="8" t="s">
        <v>663</v>
      </c>
      <c r="B655" s="8"/>
      <c r="C655" s="8"/>
      <c r="D655" s="8"/>
      <c r="E655" s="8"/>
      <c r="F655" s="8"/>
      <c r="G655" s="8"/>
      <c r="H655" s="8"/>
      <c r="I655" s="8"/>
      <c r="J655" s="8"/>
      <c r="K655" s="8"/>
    </row>
    <row r="656">
      <c r="A656" s="8" t="s">
        <v>664</v>
      </c>
      <c r="B656" s="8"/>
      <c r="C656" s="8"/>
      <c r="D656" s="8"/>
      <c r="E656" s="8"/>
      <c r="F656" s="8"/>
      <c r="G656" s="8"/>
      <c r="H656" s="8"/>
      <c r="I656" s="8"/>
      <c r="J656" s="8"/>
      <c r="K656" s="8"/>
    </row>
    <row r="657">
      <c r="A657" s="8" t="s">
        <v>665</v>
      </c>
      <c r="B657" s="8"/>
      <c r="C657" s="8"/>
      <c r="D657" s="8"/>
      <c r="E657" s="8"/>
      <c r="F657" s="8"/>
      <c r="G657" s="8"/>
      <c r="H657" s="8"/>
      <c r="I657" s="8"/>
      <c r="J657" s="8"/>
      <c r="K657" s="8"/>
    </row>
    <row r="658">
      <c r="A658" s="8" t="s">
        <v>666</v>
      </c>
      <c r="B658" s="8"/>
      <c r="C658" s="8"/>
      <c r="D658" s="8"/>
      <c r="E658" s="8"/>
      <c r="F658" s="8"/>
      <c r="G658" s="8"/>
      <c r="H658" s="8"/>
      <c r="I658" s="8"/>
      <c r="J658" s="8"/>
      <c r="K658" s="8"/>
    </row>
    <row r="659">
      <c r="A659" s="8" t="s">
        <v>667</v>
      </c>
      <c r="B659" s="8"/>
      <c r="C659" s="8"/>
      <c r="D659" s="8"/>
      <c r="E659" s="8"/>
      <c r="F659" s="8"/>
      <c r="G659" s="8"/>
      <c r="H659" s="8"/>
      <c r="I659" s="8"/>
      <c r="J659" s="8"/>
      <c r="K659" s="8"/>
    </row>
    <row r="660">
      <c r="A660" s="8" t="s">
        <v>668</v>
      </c>
      <c r="B660" s="8"/>
      <c r="C660" s="8"/>
      <c r="D660" s="8"/>
      <c r="E660" s="8"/>
      <c r="F660" s="8"/>
      <c r="G660" s="8"/>
      <c r="H660" s="8"/>
      <c r="I660" s="8"/>
      <c r="J660" s="8"/>
      <c r="K660" s="8"/>
    </row>
    <row r="661">
      <c r="A661" s="8" t="s">
        <v>669</v>
      </c>
      <c r="B661" s="8"/>
      <c r="C661" s="8"/>
      <c r="D661" s="8"/>
      <c r="E661" s="8"/>
      <c r="F661" s="8"/>
      <c r="G661" s="8"/>
      <c r="H661" s="8"/>
      <c r="I661" s="8"/>
      <c r="J661" s="8"/>
      <c r="K661" s="8"/>
    </row>
    <row r="662">
      <c r="A662" s="8" t="s">
        <v>670</v>
      </c>
      <c r="B662" s="8"/>
      <c r="C662" s="8"/>
      <c r="D662" s="8"/>
      <c r="E662" s="8"/>
      <c r="F662" s="8"/>
      <c r="G662" s="8"/>
      <c r="H662" s="8"/>
      <c r="I662" s="8"/>
      <c r="J662" s="8"/>
      <c r="K662" s="8"/>
    </row>
    <row r="663">
      <c r="A663" s="8" t="s">
        <v>671</v>
      </c>
      <c r="B663" s="8"/>
      <c r="C663" s="8"/>
      <c r="D663" s="8"/>
      <c r="E663" s="8"/>
      <c r="F663" s="8"/>
      <c r="G663" s="8"/>
      <c r="H663" s="8"/>
      <c r="I663" s="8"/>
      <c r="J663" s="8"/>
      <c r="K663" s="8"/>
    </row>
    <row r="664">
      <c r="A664" s="8" t="s">
        <v>672</v>
      </c>
      <c r="B664" s="8"/>
      <c r="C664" s="8"/>
      <c r="D664" s="8"/>
      <c r="E664" s="8"/>
      <c r="F664" s="8"/>
      <c r="G664" s="8"/>
      <c r="H664" s="8"/>
      <c r="I664" s="8"/>
      <c r="J664" s="8"/>
      <c r="K664" s="8"/>
    </row>
    <row r="665">
      <c r="A665" s="8" t="s">
        <v>673</v>
      </c>
      <c r="B665" s="8"/>
      <c r="C665" s="8"/>
      <c r="D665" s="8"/>
      <c r="E665" s="8"/>
      <c r="F665" s="8"/>
      <c r="G665" s="8"/>
      <c r="H665" s="8"/>
      <c r="I665" s="8"/>
      <c r="J665" s="8"/>
      <c r="K665" s="8"/>
    </row>
    <row r="666">
      <c r="A666" s="8" t="s">
        <v>674</v>
      </c>
      <c r="B666" s="8"/>
      <c r="C666" s="8"/>
      <c r="D666" s="8"/>
      <c r="E666" s="8"/>
      <c r="F666" s="8"/>
      <c r="G666" s="8"/>
      <c r="H666" s="8"/>
      <c r="I666" s="8"/>
      <c r="J666" s="8"/>
      <c r="K666" s="8"/>
    </row>
    <row r="667">
      <c r="A667" s="8" t="s">
        <v>675</v>
      </c>
      <c r="B667" s="8"/>
      <c r="C667" s="8"/>
      <c r="D667" s="8"/>
      <c r="E667" s="8"/>
      <c r="F667" s="8"/>
      <c r="G667" s="8"/>
      <c r="H667" s="8"/>
      <c r="I667" s="8"/>
      <c r="J667" s="8"/>
      <c r="K667" s="8"/>
    </row>
    <row r="668">
      <c r="A668" s="8" t="s">
        <v>676</v>
      </c>
      <c r="B668" s="8"/>
      <c r="C668" s="8"/>
      <c r="D668" s="8"/>
      <c r="E668" s="8"/>
      <c r="F668" s="8"/>
      <c r="G668" s="8"/>
      <c r="H668" s="8"/>
      <c r="I668" s="8"/>
      <c r="J668" s="8"/>
      <c r="K668" s="8"/>
    </row>
    <row r="669">
      <c r="A669" s="8" t="s">
        <v>677</v>
      </c>
      <c r="B669" s="8"/>
      <c r="C669" s="8"/>
      <c r="D669" s="8"/>
      <c r="E669" s="8"/>
      <c r="F669" s="8"/>
      <c r="G669" s="8"/>
      <c r="H669" s="8"/>
      <c r="I669" s="8"/>
      <c r="J669" s="8"/>
      <c r="K669" s="8"/>
    </row>
    <row r="670">
      <c r="A670" s="8" t="s">
        <v>678</v>
      </c>
      <c r="B670" s="8"/>
      <c r="C670" s="8"/>
      <c r="D670" s="8"/>
      <c r="E670" s="8"/>
      <c r="F670" s="8"/>
      <c r="G670" s="8"/>
      <c r="H670" s="8"/>
      <c r="I670" s="8"/>
      <c r="J670" s="8"/>
      <c r="K670" s="8"/>
    </row>
    <row r="671">
      <c r="A671" s="8" t="s">
        <v>679</v>
      </c>
      <c r="B671" s="8"/>
      <c r="C671" s="8"/>
      <c r="D671" s="8"/>
      <c r="E671" s="8"/>
      <c r="F671" s="8"/>
      <c r="G671" s="8"/>
      <c r="H671" s="8"/>
      <c r="I671" s="8"/>
      <c r="J671" s="8"/>
      <c r="K671" s="8"/>
    </row>
    <row r="672">
      <c r="A672" s="8" t="s">
        <v>680</v>
      </c>
      <c r="B672" s="8"/>
      <c r="C672" s="8"/>
      <c r="D672" s="8"/>
      <c r="E672" s="8"/>
      <c r="F672" s="8"/>
      <c r="G672" s="8"/>
      <c r="H672" s="8"/>
      <c r="I672" s="8"/>
      <c r="J672" s="8"/>
      <c r="K672" s="8"/>
    </row>
    <row r="673">
      <c r="A673" s="8" t="s">
        <v>681</v>
      </c>
      <c r="B673" s="8"/>
      <c r="C673" s="8"/>
      <c r="D673" s="8"/>
      <c r="E673" s="8"/>
      <c r="F673" s="8"/>
      <c r="G673" s="8"/>
      <c r="H673" s="8"/>
      <c r="I673" s="8"/>
      <c r="J673" s="8"/>
      <c r="K673" s="8"/>
    </row>
    <row r="674">
      <c r="A674" s="8" t="s">
        <v>682</v>
      </c>
      <c r="B674" s="8"/>
      <c r="C674" s="8"/>
      <c r="D674" s="8"/>
      <c r="E674" s="8"/>
      <c r="F674" s="8"/>
      <c r="G674" s="8"/>
      <c r="H674" s="8"/>
      <c r="I674" s="8"/>
      <c r="J674" s="8"/>
      <c r="K674" s="8"/>
    </row>
    <row r="675">
      <c r="A675" s="8" t="s">
        <v>683</v>
      </c>
      <c r="B675" s="8"/>
      <c r="C675" s="8"/>
      <c r="D675" s="8"/>
      <c r="E675" s="8"/>
      <c r="F675" s="8"/>
      <c r="G675" s="8"/>
      <c r="H675" s="8"/>
      <c r="I675" s="8"/>
      <c r="J675" s="8"/>
      <c r="K675" s="8"/>
    </row>
    <row r="676">
      <c r="A676" s="8" t="s">
        <v>684</v>
      </c>
      <c r="B676" s="8"/>
      <c r="C676" s="8"/>
      <c r="D676" s="8"/>
      <c r="E676" s="8"/>
      <c r="F676" s="8"/>
      <c r="G676" s="8"/>
      <c r="H676" s="8"/>
      <c r="I676" s="8"/>
      <c r="J676" s="8"/>
      <c r="K676" s="8"/>
    </row>
    <row r="677">
      <c r="A677" s="8" t="s">
        <v>685</v>
      </c>
      <c r="B677" s="8"/>
      <c r="C677" s="8"/>
      <c r="D677" s="8"/>
      <c r="E677" s="8"/>
      <c r="F677" s="8"/>
      <c r="G677" s="8"/>
      <c r="H677" s="8"/>
      <c r="I677" s="8"/>
      <c r="J677" s="8"/>
      <c r="K677" s="8"/>
    </row>
    <row r="678">
      <c r="A678" s="8" t="s">
        <v>686</v>
      </c>
      <c r="B678" s="8"/>
      <c r="C678" s="8"/>
      <c r="D678" s="8"/>
      <c r="E678" s="8"/>
      <c r="F678" s="8"/>
      <c r="G678" s="8"/>
      <c r="H678" s="8"/>
      <c r="I678" s="8"/>
      <c r="J678" s="8"/>
      <c r="K678" s="8"/>
    </row>
    <row r="679">
      <c r="A679" s="8" t="s">
        <v>687</v>
      </c>
      <c r="B679" s="8"/>
      <c r="C679" s="8"/>
      <c r="D679" s="8"/>
      <c r="E679" s="8"/>
      <c r="F679" s="8"/>
      <c r="G679" s="8"/>
      <c r="H679" s="8"/>
      <c r="I679" s="8"/>
      <c r="J679" s="8"/>
      <c r="K679" s="8"/>
    </row>
    <row r="680">
      <c r="A680" s="8" t="s">
        <v>688</v>
      </c>
      <c r="B680" s="8"/>
      <c r="C680" s="8"/>
      <c r="D680" s="8"/>
      <c r="E680" s="8"/>
      <c r="F680" s="8"/>
      <c r="G680" s="8"/>
      <c r="H680" s="8"/>
      <c r="I680" s="8"/>
      <c r="J680" s="8"/>
      <c r="K680" s="8"/>
    </row>
    <row r="681">
      <c r="A681" s="8" t="s">
        <v>689</v>
      </c>
      <c r="B681" s="8"/>
      <c r="C681" s="8"/>
      <c r="D681" s="8"/>
      <c r="E681" s="8"/>
      <c r="F681" s="8"/>
      <c r="G681" s="8"/>
      <c r="H681" s="8"/>
      <c r="I681" s="8"/>
      <c r="J681" s="8"/>
      <c r="K681" s="8"/>
    </row>
    <row r="682">
      <c r="A682" s="8" t="s">
        <v>690</v>
      </c>
      <c r="B682" s="8"/>
      <c r="C682" s="8"/>
      <c r="D682" s="8"/>
      <c r="E682" s="8"/>
      <c r="F682" s="8"/>
      <c r="G682" s="8"/>
      <c r="H682" s="8"/>
      <c r="I682" s="8"/>
      <c r="J682" s="8"/>
      <c r="K682" s="8"/>
    </row>
    <row r="683">
      <c r="A683" s="8" t="s">
        <v>691</v>
      </c>
      <c r="B683" s="8"/>
      <c r="C683" s="8"/>
      <c r="D683" s="8"/>
      <c r="E683" s="8"/>
      <c r="F683" s="8"/>
      <c r="G683" s="8"/>
      <c r="H683" s="8"/>
      <c r="I683" s="8"/>
      <c r="J683" s="8"/>
      <c r="K683" s="8"/>
    </row>
    <row r="684">
      <c r="A684" s="8" t="s">
        <v>692</v>
      </c>
      <c r="B684" s="8"/>
      <c r="C684" s="8"/>
      <c r="D684" s="8"/>
      <c r="E684" s="8"/>
      <c r="F684" s="8"/>
      <c r="G684" s="8"/>
      <c r="H684" s="8"/>
      <c r="I684" s="8"/>
      <c r="J684" s="8"/>
      <c r="K684" s="8"/>
    </row>
    <row r="685">
      <c r="A685" s="8" t="s">
        <v>693</v>
      </c>
      <c r="B685" s="8"/>
      <c r="C685" s="8"/>
      <c r="D685" s="8"/>
      <c r="E685" s="8"/>
      <c r="F685" s="8"/>
      <c r="G685" s="8"/>
      <c r="H685" s="8"/>
      <c r="I685" s="8"/>
      <c r="J685" s="8"/>
      <c r="K685" s="8"/>
    </row>
    <row r="686">
      <c r="A686" s="8" t="s">
        <v>694</v>
      </c>
      <c r="B686" s="8"/>
      <c r="C686" s="8"/>
      <c r="D686" s="8"/>
      <c r="E686" s="8"/>
      <c r="F686" s="8"/>
      <c r="G686" s="8"/>
      <c r="H686" s="8"/>
      <c r="I686" s="8"/>
      <c r="J686" s="8"/>
      <c r="K686" s="8"/>
    </row>
    <row r="687">
      <c r="A687" s="8" t="s">
        <v>695</v>
      </c>
      <c r="B687" s="8"/>
      <c r="C687" s="8"/>
      <c r="D687" s="8"/>
      <c r="E687" s="8"/>
      <c r="F687" s="8"/>
      <c r="G687" s="8"/>
      <c r="H687" s="8"/>
      <c r="I687" s="8"/>
      <c r="J687" s="8"/>
      <c r="K687" s="8"/>
    </row>
    <row r="688">
      <c r="A688" s="8" t="s">
        <v>696</v>
      </c>
      <c r="B688" s="8"/>
      <c r="C688" s="8"/>
      <c r="D688" s="8"/>
      <c r="E688" s="8"/>
      <c r="F688" s="8"/>
      <c r="G688" s="8"/>
      <c r="H688" s="8"/>
      <c r="I688" s="8"/>
      <c r="J688" s="8"/>
      <c r="K688" s="8"/>
    </row>
    <row r="689">
      <c r="A689" s="8" t="s">
        <v>697</v>
      </c>
      <c r="B689" s="8"/>
      <c r="C689" s="8"/>
      <c r="D689" s="8"/>
      <c r="E689" s="8"/>
      <c r="F689" s="8"/>
      <c r="G689" s="8"/>
      <c r="H689" s="8"/>
      <c r="I689" s="8"/>
      <c r="J689" s="8"/>
      <c r="K689" s="8"/>
    </row>
    <row r="690">
      <c r="A690" s="8" t="s">
        <v>698</v>
      </c>
      <c r="B690" s="8"/>
      <c r="C690" s="8"/>
      <c r="D690" s="8"/>
      <c r="E690" s="8"/>
      <c r="F690" s="8"/>
      <c r="G690" s="8"/>
      <c r="H690" s="8"/>
      <c r="I690" s="8"/>
      <c r="J690" s="8"/>
      <c r="K690" s="8"/>
    </row>
    <row r="691">
      <c r="A691" s="8" t="s">
        <v>699</v>
      </c>
      <c r="B691" s="8"/>
      <c r="C691" s="8"/>
      <c r="D691" s="8"/>
      <c r="E691" s="8"/>
      <c r="F691" s="8"/>
      <c r="G691" s="8"/>
      <c r="H691" s="8"/>
      <c r="I691" s="8"/>
      <c r="J691" s="8"/>
      <c r="K691" s="8"/>
    </row>
    <row r="692">
      <c r="A692" s="8" t="s">
        <v>700</v>
      </c>
      <c r="B692" s="8"/>
      <c r="C692" s="8"/>
      <c r="D692" s="8"/>
      <c r="E692" s="8"/>
      <c r="F692" s="8"/>
      <c r="G692" s="8"/>
      <c r="H692" s="8"/>
      <c r="I692" s="8"/>
      <c r="J692" s="8"/>
      <c r="K692" s="8"/>
    </row>
    <row r="693">
      <c r="A693" s="8" t="s">
        <v>701</v>
      </c>
      <c r="B693" s="8"/>
      <c r="C693" s="8"/>
      <c r="D693" s="8"/>
      <c r="E693" s="8"/>
      <c r="F693" s="8"/>
      <c r="G693" s="8"/>
      <c r="H693" s="8"/>
      <c r="I693" s="8"/>
      <c r="J693" s="8"/>
      <c r="K693" s="8"/>
    </row>
    <row r="694">
      <c r="A694" s="8" t="s">
        <v>702</v>
      </c>
      <c r="B694" s="8"/>
      <c r="C694" s="8"/>
      <c r="D694" s="8"/>
      <c r="E694" s="8"/>
      <c r="F694" s="8"/>
      <c r="G694" s="8"/>
      <c r="H694" s="8"/>
      <c r="I694" s="8"/>
      <c r="J694" s="8"/>
      <c r="K694" s="8"/>
    </row>
    <row r="695">
      <c r="A695" s="8" t="s">
        <v>703</v>
      </c>
      <c r="B695" s="8"/>
      <c r="C695" s="8"/>
      <c r="D695" s="8"/>
      <c r="E695" s="8"/>
      <c r="F695" s="8"/>
      <c r="G695" s="8"/>
      <c r="H695" s="8"/>
      <c r="I695" s="8"/>
      <c r="J695" s="8"/>
      <c r="K695" s="8"/>
    </row>
    <row r="696">
      <c r="A696" s="8" t="s">
        <v>704</v>
      </c>
      <c r="B696" s="8"/>
      <c r="C696" s="8"/>
      <c r="D696" s="8"/>
      <c r="E696" s="8"/>
      <c r="F696" s="8"/>
      <c r="G696" s="8"/>
      <c r="H696" s="8"/>
      <c r="I696" s="8"/>
      <c r="J696" s="8"/>
      <c r="K696" s="8"/>
    </row>
    <row r="697">
      <c r="A697" s="8" t="s">
        <v>705</v>
      </c>
      <c r="B697" s="8"/>
      <c r="C697" s="8"/>
      <c r="D697" s="8"/>
      <c r="E697" s="8"/>
      <c r="F697" s="8"/>
      <c r="G697" s="8"/>
      <c r="H697" s="8"/>
      <c r="I697" s="8"/>
      <c r="J697" s="8"/>
      <c r="K697" s="8"/>
    </row>
    <row r="698">
      <c r="A698" s="8" t="s">
        <v>706</v>
      </c>
      <c r="B698" s="8"/>
      <c r="C698" s="8"/>
      <c r="D698" s="8"/>
      <c r="E698" s="8"/>
      <c r="F698" s="8"/>
      <c r="G698" s="8"/>
      <c r="H698" s="8"/>
      <c r="I698" s="8"/>
      <c r="J698" s="8"/>
      <c r="K698" s="8"/>
    </row>
    <row r="699">
      <c r="A699" s="8" t="s">
        <v>707</v>
      </c>
      <c r="B699" s="8"/>
      <c r="C699" s="8"/>
      <c r="D699" s="8"/>
      <c r="E699" s="8"/>
      <c r="F699" s="8"/>
      <c r="G699" s="8"/>
      <c r="H699" s="8"/>
      <c r="I699" s="8"/>
      <c r="J699" s="8"/>
      <c r="K699" s="8"/>
    </row>
    <row r="700">
      <c r="A700" s="8" t="s">
        <v>708</v>
      </c>
      <c r="B700" s="8"/>
      <c r="C700" s="8"/>
      <c r="D700" s="8"/>
      <c r="E700" s="8"/>
      <c r="F700" s="8"/>
      <c r="G700" s="8"/>
      <c r="H700" s="8"/>
      <c r="I700" s="8"/>
      <c r="J700" s="8"/>
      <c r="K700" s="8"/>
    </row>
    <row r="701">
      <c r="A701" s="8" t="s">
        <v>709</v>
      </c>
      <c r="B701" s="8"/>
      <c r="C701" s="8"/>
      <c r="D701" s="8"/>
      <c r="E701" s="8"/>
      <c r="F701" s="8"/>
      <c r="G701" s="8"/>
      <c r="H701" s="8"/>
      <c r="I701" s="8"/>
      <c r="J701" s="8"/>
      <c r="K701" s="8"/>
    </row>
    <row r="702">
      <c r="A702" s="8" t="s">
        <v>710</v>
      </c>
      <c r="B702" s="8"/>
      <c r="C702" s="8"/>
      <c r="D702" s="8"/>
      <c r="E702" s="8"/>
      <c r="F702" s="8"/>
      <c r="G702" s="8"/>
      <c r="H702" s="8"/>
      <c r="I702" s="8"/>
      <c r="J702" s="8"/>
      <c r="K702" s="8"/>
    </row>
    <row r="703">
      <c r="A703" s="8" t="s">
        <v>711</v>
      </c>
      <c r="B703" s="8"/>
      <c r="C703" s="8"/>
      <c r="D703" s="8"/>
      <c r="E703" s="8"/>
      <c r="F703" s="8"/>
      <c r="G703" s="8"/>
      <c r="H703" s="8"/>
      <c r="I703" s="8"/>
      <c r="J703" s="8"/>
      <c r="K703" s="8"/>
    </row>
    <row r="704">
      <c r="A704" s="8" t="s">
        <v>712</v>
      </c>
      <c r="B704" s="8"/>
      <c r="C704" s="8"/>
      <c r="D704" s="8"/>
      <c r="E704" s="8"/>
      <c r="F704" s="8"/>
      <c r="G704" s="8"/>
      <c r="H704" s="8"/>
      <c r="I704" s="8"/>
      <c r="J704" s="8"/>
      <c r="K704" s="8"/>
    </row>
    <row r="705">
      <c r="A705" s="8" t="s">
        <v>713</v>
      </c>
      <c r="B705" s="8"/>
      <c r="C705" s="8"/>
      <c r="D705" s="8"/>
      <c r="E705" s="8"/>
      <c r="F705" s="8"/>
      <c r="G705" s="8"/>
      <c r="H705" s="8"/>
      <c r="I705" s="8"/>
      <c r="J705" s="8"/>
      <c r="K705" s="8"/>
    </row>
    <row r="706">
      <c r="A706" s="8" t="s">
        <v>714</v>
      </c>
      <c r="B706" s="8"/>
      <c r="C706" s="8"/>
      <c r="D706" s="8"/>
      <c r="E706" s="8"/>
      <c r="F706" s="8"/>
      <c r="G706" s="8"/>
      <c r="H706" s="8"/>
      <c r="I706" s="8"/>
      <c r="J706" s="8"/>
      <c r="K706" s="8"/>
    </row>
    <row r="707">
      <c r="A707" s="8" t="s">
        <v>715</v>
      </c>
      <c r="B707" s="8"/>
      <c r="C707" s="8"/>
      <c r="D707" s="8"/>
      <c r="E707" s="8"/>
      <c r="F707" s="8"/>
      <c r="G707" s="8"/>
      <c r="H707" s="8"/>
      <c r="I707" s="8"/>
      <c r="J707" s="8"/>
      <c r="K707" s="8"/>
    </row>
    <row r="708">
      <c r="A708" s="8" t="s">
        <v>716</v>
      </c>
      <c r="B708" s="8"/>
      <c r="C708" s="8"/>
      <c r="D708" s="8"/>
      <c r="E708" s="8"/>
      <c r="F708" s="8"/>
      <c r="G708" s="8"/>
      <c r="H708" s="8"/>
      <c r="I708" s="8"/>
      <c r="J708" s="8"/>
      <c r="K708" s="8"/>
    </row>
    <row r="709">
      <c r="A709" s="8" t="s">
        <v>717</v>
      </c>
      <c r="B709" s="8"/>
      <c r="C709" s="8"/>
      <c r="D709" s="8"/>
      <c r="E709" s="8"/>
      <c r="F709" s="8"/>
      <c r="G709" s="8"/>
      <c r="H709" s="8"/>
      <c r="I709" s="8"/>
      <c r="J709" s="8"/>
      <c r="K709" s="8"/>
    </row>
    <row r="710">
      <c r="A710" s="8" t="s">
        <v>718</v>
      </c>
      <c r="B710" s="8"/>
      <c r="C710" s="8"/>
      <c r="D710" s="8"/>
      <c r="E710" s="8"/>
      <c r="F710" s="8"/>
      <c r="G710" s="8"/>
      <c r="H710" s="8"/>
      <c r="I710" s="8"/>
      <c r="J710" s="8"/>
      <c r="K710" s="8"/>
    </row>
    <row r="711">
      <c r="A711" s="8" t="s">
        <v>719</v>
      </c>
      <c r="B711" s="8"/>
      <c r="C711" s="8"/>
      <c r="D711" s="8"/>
      <c r="E711" s="8"/>
      <c r="F711" s="8"/>
      <c r="G711" s="8"/>
      <c r="H711" s="8"/>
      <c r="I711" s="8"/>
      <c r="J711" s="8"/>
      <c r="K711" s="8"/>
    </row>
    <row r="712">
      <c r="A712" s="8" t="s">
        <v>720</v>
      </c>
      <c r="B712" s="8"/>
      <c r="C712" s="8"/>
      <c r="D712" s="8"/>
      <c r="E712" s="8"/>
      <c r="F712" s="8"/>
      <c r="G712" s="8"/>
      <c r="H712" s="8"/>
      <c r="I712" s="8"/>
      <c r="J712" s="8"/>
      <c r="K712" s="8"/>
    </row>
    <row r="713">
      <c r="A713" s="8" t="s">
        <v>721</v>
      </c>
      <c r="B713" s="8"/>
      <c r="C713" s="8"/>
      <c r="D713" s="8"/>
      <c r="E713" s="8"/>
      <c r="F713" s="8"/>
      <c r="G713" s="8"/>
      <c r="H713" s="8"/>
      <c r="I713" s="8"/>
      <c r="J713" s="8"/>
      <c r="K713" s="8"/>
    </row>
    <row r="714">
      <c r="A714" s="8" t="s">
        <v>722</v>
      </c>
      <c r="B714" s="8"/>
      <c r="C714" s="8"/>
      <c r="D714" s="8"/>
      <c r="E714" s="8"/>
      <c r="F714" s="8"/>
      <c r="G714" s="8"/>
      <c r="H714" s="8"/>
      <c r="I714" s="8"/>
      <c r="J714" s="8"/>
      <c r="K714" s="8"/>
    </row>
    <row r="715">
      <c r="A715" s="8" t="s">
        <v>723</v>
      </c>
      <c r="B715" s="8"/>
      <c r="C715" s="8"/>
      <c r="D715" s="8"/>
      <c r="E715" s="8"/>
      <c r="F715" s="8"/>
      <c r="G715" s="8"/>
      <c r="H715" s="8"/>
      <c r="I715" s="8"/>
      <c r="J715" s="8"/>
      <c r="K715" s="8"/>
    </row>
    <row r="716">
      <c r="A716" s="8" t="s">
        <v>724</v>
      </c>
      <c r="B716" s="8"/>
      <c r="C716" s="8"/>
      <c r="D716" s="8"/>
      <c r="E716" s="8"/>
      <c r="F716" s="8"/>
      <c r="G716" s="8"/>
      <c r="H716" s="8"/>
      <c r="I716" s="8"/>
      <c r="J716" s="8"/>
      <c r="K716" s="8"/>
    </row>
    <row r="717">
      <c r="A717" s="8" t="s">
        <v>725</v>
      </c>
      <c r="B717" s="8"/>
      <c r="C717" s="8"/>
      <c r="D717" s="8"/>
      <c r="E717" s="8"/>
      <c r="F717" s="8"/>
      <c r="G717" s="8"/>
      <c r="H717" s="8"/>
      <c r="I717" s="8"/>
      <c r="J717" s="8"/>
      <c r="K717" s="8"/>
    </row>
    <row r="718">
      <c r="A718" s="8" t="s">
        <v>726</v>
      </c>
      <c r="B718" s="8"/>
      <c r="C718" s="8"/>
      <c r="D718" s="8"/>
      <c r="E718" s="8"/>
      <c r="F718" s="8"/>
      <c r="G718" s="8"/>
      <c r="H718" s="8"/>
      <c r="I718" s="8"/>
      <c r="J718" s="8"/>
      <c r="K718" s="8"/>
    </row>
    <row r="719">
      <c r="A719" s="8" t="s">
        <v>727</v>
      </c>
      <c r="B719" s="8"/>
      <c r="C719" s="8"/>
      <c r="D719" s="8"/>
      <c r="E719" s="8"/>
      <c r="F719" s="8"/>
      <c r="G719" s="8"/>
      <c r="H719" s="8"/>
      <c r="I719" s="8"/>
      <c r="J719" s="8"/>
      <c r="K719" s="8"/>
    </row>
    <row r="720">
      <c r="A720" s="8" t="s">
        <v>728</v>
      </c>
      <c r="B720" s="8"/>
      <c r="C720" s="8"/>
      <c r="D720" s="8"/>
      <c r="E720" s="8"/>
      <c r="F720" s="8"/>
      <c r="G720" s="8"/>
      <c r="H720" s="8"/>
      <c r="I720" s="8"/>
      <c r="J720" s="8"/>
      <c r="K720" s="8"/>
    </row>
    <row r="721">
      <c r="A721" s="8" t="s">
        <v>729</v>
      </c>
      <c r="B721" s="8"/>
      <c r="C721" s="8"/>
      <c r="D721" s="8"/>
      <c r="E721" s="8"/>
      <c r="F721" s="8"/>
      <c r="G721" s="8"/>
      <c r="H721" s="8"/>
      <c r="I721" s="8"/>
      <c r="J721" s="8"/>
      <c r="K721" s="8"/>
    </row>
    <row r="722">
      <c r="A722" s="8" t="s">
        <v>730</v>
      </c>
      <c r="B722" s="8"/>
      <c r="C722" s="8"/>
      <c r="D722" s="8"/>
      <c r="E722" s="8"/>
      <c r="F722" s="8"/>
      <c r="G722" s="8"/>
      <c r="H722" s="8"/>
      <c r="I722" s="8"/>
      <c r="J722" s="8"/>
      <c r="K722" s="8"/>
    </row>
    <row r="723">
      <c r="A723" s="8" t="s">
        <v>731</v>
      </c>
      <c r="B723" s="8"/>
      <c r="C723" s="8"/>
      <c r="D723" s="8"/>
      <c r="E723" s="8"/>
      <c r="F723" s="8"/>
      <c r="G723" s="8"/>
      <c r="H723" s="8"/>
      <c r="I723" s="8"/>
      <c r="J723" s="8"/>
      <c r="K723" s="8"/>
    </row>
    <row r="724">
      <c r="A724" s="8" t="s">
        <v>732</v>
      </c>
      <c r="B724" s="8"/>
      <c r="C724" s="8"/>
      <c r="D724" s="8"/>
      <c r="E724" s="8"/>
      <c r="F724" s="8"/>
      <c r="G724" s="8"/>
      <c r="H724" s="8"/>
      <c r="I724" s="8"/>
      <c r="J724" s="8"/>
      <c r="K724" s="8"/>
    </row>
    <row r="725">
      <c r="A725" s="8" t="s">
        <v>733</v>
      </c>
      <c r="B725" s="8"/>
      <c r="C725" s="8"/>
      <c r="D725" s="8"/>
      <c r="E725" s="8"/>
      <c r="F725" s="8"/>
      <c r="G725" s="8"/>
      <c r="H725" s="8"/>
      <c r="I725" s="8"/>
      <c r="J725" s="8"/>
      <c r="K725" s="8"/>
    </row>
    <row r="726">
      <c r="A726" s="8" t="s">
        <v>734</v>
      </c>
      <c r="B726" s="8"/>
      <c r="C726" s="8"/>
      <c r="D726" s="8"/>
      <c r="E726" s="8"/>
      <c r="F726" s="8"/>
      <c r="G726" s="8"/>
      <c r="H726" s="8"/>
      <c r="I726" s="8"/>
      <c r="J726" s="8"/>
      <c r="K726" s="8"/>
    </row>
    <row r="727">
      <c r="A727" s="8" t="s">
        <v>735</v>
      </c>
      <c r="B727" s="8"/>
      <c r="C727" s="8"/>
      <c r="D727" s="8"/>
      <c r="E727" s="8"/>
      <c r="F727" s="8"/>
      <c r="G727" s="8"/>
      <c r="H727" s="8"/>
      <c r="I727" s="8"/>
      <c r="J727" s="8"/>
      <c r="K727" s="8"/>
    </row>
    <row r="728">
      <c r="A728" s="8" t="s">
        <v>736</v>
      </c>
      <c r="B728" s="8"/>
      <c r="C728" s="8"/>
      <c r="D728" s="8"/>
      <c r="E728" s="8"/>
      <c r="F728" s="8"/>
      <c r="G728" s="8"/>
      <c r="H728" s="8"/>
      <c r="I728" s="8"/>
      <c r="J728" s="8"/>
      <c r="K728" s="8"/>
    </row>
    <row r="729">
      <c r="A729" s="8" t="s">
        <v>737</v>
      </c>
      <c r="B729" s="8"/>
      <c r="C729" s="8"/>
      <c r="D729" s="8"/>
      <c r="E729" s="8"/>
      <c r="F729" s="8"/>
      <c r="G729" s="8"/>
      <c r="H729" s="8"/>
      <c r="I729" s="8"/>
      <c r="J729" s="8"/>
      <c r="K729" s="8"/>
    </row>
    <row r="730">
      <c r="A730" s="8" t="s">
        <v>738</v>
      </c>
      <c r="B730" s="8"/>
      <c r="C730" s="8"/>
      <c r="D730" s="8"/>
      <c r="E730" s="8"/>
      <c r="F730" s="8"/>
      <c r="G730" s="8"/>
      <c r="H730" s="8"/>
      <c r="I730" s="8"/>
      <c r="J730" s="8"/>
      <c r="K730" s="8"/>
    </row>
    <row r="731">
      <c r="A731" s="8" t="s">
        <v>739</v>
      </c>
      <c r="B731" s="8"/>
      <c r="C731" s="8"/>
      <c r="D731" s="8"/>
      <c r="E731" s="8"/>
      <c r="F731" s="8"/>
      <c r="G731" s="8"/>
      <c r="H731" s="8"/>
      <c r="I731" s="8"/>
      <c r="J731" s="8"/>
      <c r="K731" s="8"/>
    </row>
    <row r="732">
      <c r="A732" s="8" t="s">
        <v>740</v>
      </c>
      <c r="B732" s="8"/>
      <c r="C732" s="8"/>
      <c r="D732" s="8"/>
      <c r="E732" s="8"/>
      <c r="F732" s="8"/>
      <c r="G732" s="8"/>
      <c r="H732" s="8"/>
      <c r="I732" s="8"/>
      <c r="J732" s="8"/>
      <c r="K732" s="8"/>
    </row>
    <row r="733">
      <c r="A733" s="8" t="s">
        <v>741</v>
      </c>
      <c r="B733" s="8"/>
      <c r="C733" s="8"/>
      <c r="D733" s="8"/>
      <c r="E733" s="8"/>
      <c r="F733" s="8"/>
      <c r="G733" s="8"/>
      <c r="H733" s="8"/>
      <c r="I733" s="8"/>
      <c r="J733" s="8"/>
      <c r="K733" s="8"/>
    </row>
    <row r="734">
      <c r="A734" s="8" t="s">
        <v>742</v>
      </c>
      <c r="B734" s="8"/>
      <c r="C734" s="8"/>
      <c r="D734" s="8"/>
      <c r="E734" s="8"/>
      <c r="F734" s="8"/>
      <c r="G734" s="8"/>
      <c r="H734" s="8"/>
      <c r="I734" s="8"/>
      <c r="J734" s="8"/>
      <c r="K734" s="8"/>
    </row>
    <row r="735">
      <c r="A735" s="8" t="s">
        <v>743</v>
      </c>
      <c r="B735" s="8"/>
      <c r="C735" s="8"/>
      <c r="D735" s="8"/>
      <c r="E735" s="8"/>
      <c r="F735" s="8"/>
      <c r="G735" s="8"/>
      <c r="H735" s="8"/>
      <c r="I735" s="8"/>
      <c r="J735" s="8"/>
      <c r="K735" s="8"/>
    </row>
    <row r="736">
      <c r="A736" s="8" t="s">
        <v>744</v>
      </c>
      <c r="B736" s="8"/>
      <c r="C736" s="8"/>
      <c r="D736" s="8"/>
      <c r="E736" s="8"/>
      <c r="F736" s="8"/>
      <c r="G736" s="8"/>
      <c r="H736" s="8"/>
      <c r="I736" s="8"/>
      <c r="J736" s="8"/>
      <c r="K736" s="8"/>
    </row>
    <row r="737">
      <c r="A737" s="8" t="s">
        <v>745</v>
      </c>
      <c r="B737" s="8"/>
      <c r="C737" s="8"/>
      <c r="D737" s="8"/>
      <c r="E737" s="8"/>
      <c r="F737" s="8"/>
      <c r="G737" s="8"/>
      <c r="H737" s="8"/>
      <c r="I737" s="8"/>
      <c r="J737" s="8"/>
      <c r="K737" s="8"/>
    </row>
    <row r="738">
      <c r="A738" s="8" t="s">
        <v>746</v>
      </c>
      <c r="B738" s="8"/>
      <c r="C738" s="8"/>
      <c r="D738" s="8"/>
      <c r="E738" s="8"/>
      <c r="F738" s="8"/>
      <c r="G738" s="8"/>
      <c r="H738" s="8"/>
      <c r="I738" s="8"/>
      <c r="J738" s="8"/>
      <c r="K738" s="8"/>
    </row>
    <row r="739">
      <c r="A739" s="8" t="s">
        <v>747</v>
      </c>
      <c r="B739" s="8"/>
      <c r="C739" s="8"/>
      <c r="D739" s="8"/>
      <c r="E739" s="8"/>
      <c r="F739" s="8"/>
      <c r="G739" s="8"/>
      <c r="H739" s="8"/>
      <c r="I739" s="8"/>
      <c r="J739" s="8"/>
      <c r="K739" s="8"/>
    </row>
    <row r="740">
      <c r="A740" s="8" t="s">
        <v>748</v>
      </c>
      <c r="B740" s="8"/>
      <c r="C740" s="8"/>
      <c r="D740" s="8"/>
      <c r="E740" s="8"/>
      <c r="F740" s="8"/>
      <c r="G740" s="8"/>
      <c r="H740" s="8"/>
      <c r="I740" s="8"/>
      <c r="J740" s="8"/>
      <c r="K740" s="8"/>
    </row>
    <row r="741">
      <c r="A741" s="8" t="s">
        <v>749</v>
      </c>
      <c r="B741" s="8"/>
      <c r="C741" s="8"/>
      <c r="D741" s="8"/>
      <c r="E741" s="8"/>
      <c r="F741" s="8"/>
      <c r="G741" s="8"/>
      <c r="H741" s="8"/>
      <c r="I741" s="8"/>
      <c r="J741" s="8"/>
      <c r="K741" s="8"/>
    </row>
    <row r="742">
      <c r="A742" s="8" t="s">
        <v>750</v>
      </c>
      <c r="B742" s="8"/>
      <c r="C742" s="8"/>
      <c r="D742" s="8"/>
      <c r="E742" s="8"/>
      <c r="F742" s="8"/>
      <c r="G742" s="8"/>
      <c r="H742" s="8"/>
      <c r="I742" s="8"/>
      <c r="J742" s="8"/>
      <c r="K742" s="8"/>
    </row>
    <row r="743">
      <c r="A743" s="8" t="s">
        <v>751</v>
      </c>
      <c r="B743" s="8"/>
      <c r="C743" s="8"/>
      <c r="D743" s="8"/>
      <c r="E743" s="8"/>
      <c r="F743" s="8"/>
      <c r="G743" s="8"/>
      <c r="H743" s="8"/>
      <c r="I743" s="8"/>
      <c r="J743" s="8"/>
      <c r="K743" s="8"/>
    </row>
    <row r="744">
      <c r="A744" s="8" t="s">
        <v>752</v>
      </c>
      <c r="B744" s="8"/>
      <c r="C744" s="8"/>
      <c r="D744" s="8"/>
      <c r="E744" s="8"/>
      <c r="F744" s="8"/>
      <c r="G744" s="8"/>
      <c r="H744" s="8"/>
      <c r="I744" s="8"/>
      <c r="J744" s="8"/>
      <c r="K744" s="8"/>
    </row>
    <row r="745">
      <c r="A745" s="8" t="s">
        <v>753</v>
      </c>
      <c r="B745" s="8"/>
      <c r="C745" s="8"/>
      <c r="D745" s="8"/>
      <c r="E745" s="8"/>
      <c r="F745" s="8"/>
      <c r="G745" s="8"/>
      <c r="H745" s="8"/>
      <c r="I745" s="8"/>
      <c r="J745" s="8"/>
      <c r="K745" s="8"/>
    </row>
    <row r="746">
      <c r="A746" s="8" t="s">
        <v>754</v>
      </c>
      <c r="B746" s="8"/>
      <c r="C746" s="8"/>
      <c r="D746" s="8"/>
      <c r="E746" s="8"/>
      <c r="F746" s="8"/>
      <c r="G746" s="8"/>
      <c r="H746" s="8"/>
      <c r="I746" s="8"/>
      <c r="J746" s="8"/>
      <c r="K746" s="8"/>
    </row>
    <row r="747">
      <c r="A747" s="8" t="s">
        <v>755</v>
      </c>
      <c r="B747" s="8"/>
      <c r="C747" s="8"/>
      <c r="D747" s="8"/>
      <c r="E747" s="8"/>
      <c r="F747" s="8"/>
      <c r="G747" s="8"/>
      <c r="H747" s="8"/>
      <c r="I747" s="8"/>
      <c r="J747" s="8"/>
      <c r="K747" s="8"/>
    </row>
    <row r="748">
      <c r="A748" s="8" t="s">
        <v>756</v>
      </c>
      <c r="B748" s="8"/>
      <c r="C748" s="8"/>
      <c r="D748" s="8"/>
      <c r="E748" s="8"/>
      <c r="F748" s="8"/>
      <c r="G748" s="8"/>
      <c r="H748" s="8"/>
      <c r="I748" s="8"/>
      <c r="J748" s="8"/>
      <c r="K748" s="8"/>
    </row>
    <row r="749">
      <c r="A749" s="8" t="s">
        <v>757</v>
      </c>
      <c r="B749" s="8"/>
      <c r="C749" s="8"/>
      <c r="D749" s="8"/>
      <c r="E749" s="8"/>
      <c r="F749" s="8"/>
      <c r="G749" s="8"/>
      <c r="H749" s="8"/>
      <c r="I749" s="8"/>
      <c r="J749" s="8"/>
      <c r="K749" s="8"/>
    </row>
    <row r="750">
      <c r="A750" s="8" t="s">
        <v>758</v>
      </c>
      <c r="B750" s="8"/>
      <c r="C750" s="8"/>
      <c r="D750" s="8"/>
      <c r="E750" s="8"/>
      <c r="F750" s="8"/>
      <c r="G750" s="8"/>
      <c r="H750" s="8"/>
      <c r="I750" s="8"/>
      <c r="J750" s="8"/>
      <c r="K750" s="8"/>
    </row>
    <row r="751">
      <c r="A751" s="8" t="s">
        <v>759</v>
      </c>
      <c r="B751" s="8"/>
      <c r="C751" s="8"/>
      <c r="D751" s="8"/>
      <c r="E751" s="8"/>
      <c r="F751" s="8"/>
      <c r="G751" s="8"/>
      <c r="H751" s="8"/>
      <c r="I751" s="8"/>
      <c r="J751" s="8"/>
      <c r="K751" s="8"/>
    </row>
    <row r="752">
      <c r="A752" s="8" t="s">
        <v>760</v>
      </c>
      <c r="B752" s="8"/>
      <c r="C752" s="8"/>
      <c r="D752" s="8"/>
      <c r="E752" s="8"/>
      <c r="F752" s="8"/>
      <c r="G752" s="8"/>
      <c r="H752" s="8"/>
      <c r="I752" s="8"/>
      <c r="J752" s="8"/>
      <c r="K752" s="8"/>
    </row>
    <row r="753">
      <c r="A753" s="8" t="s">
        <v>761</v>
      </c>
      <c r="B753" s="8"/>
      <c r="C753" s="8"/>
      <c r="D753" s="8"/>
      <c r="E753" s="8"/>
      <c r="F753" s="8"/>
      <c r="G753" s="8"/>
      <c r="H753" s="8"/>
      <c r="I753" s="8"/>
      <c r="J753" s="8"/>
      <c r="K753" s="8"/>
    </row>
    <row r="754">
      <c r="A754" s="8" t="s">
        <v>762</v>
      </c>
      <c r="B754" s="8"/>
      <c r="C754" s="8"/>
      <c r="D754" s="8"/>
      <c r="E754" s="8"/>
      <c r="F754" s="8"/>
      <c r="G754" s="8"/>
      <c r="H754" s="8"/>
      <c r="I754" s="8"/>
      <c r="J754" s="8"/>
      <c r="K754" s="8"/>
    </row>
    <row r="755">
      <c r="A755" s="8" t="s">
        <v>763</v>
      </c>
      <c r="B755" s="8"/>
      <c r="C755" s="8"/>
      <c r="D755" s="8"/>
      <c r="E755" s="8"/>
      <c r="F755" s="8"/>
      <c r="G755" s="8"/>
      <c r="H755" s="8"/>
      <c r="I755" s="8"/>
      <c r="J755" s="8"/>
      <c r="K755" s="8"/>
    </row>
    <row r="756">
      <c r="A756" s="8" t="s">
        <v>764</v>
      </c>
      <c r="B756" s="8"/>
      <c r="C756" s="8"/>
      <c r="D756" s="8"/>
      <c r="E756" s="8"/>
      <c r="F756" s="8"/>
      <c r="G756" s="8"/>
      <c r="H756" s="8"/>
      <c r="I756" s="8"/>
      <c r="J756" s="8"/>
      <c r="K756" s="8"/>
    </row>
    <row r="757">
      <c r="A757" s="8" t="s">
        <v>765</v>
      </c>
      <c r="B757" s="8"/>
      <c r="C757" s="8"/>
      <c r="D757" s="8"/>
      <c r="E757" s="8"/>
      <c r="F757" s="8"/>
      <c r="G757" s="8"/>
      <c r="H757" s="8"/>
      <c r="I757" s="8"/>
      <c r="J757" s="8"/>
      <c r="K757" s="8"/>
    </row>
    <row r="758">
      <c r="A758" s="8" t="s">
        <v>766</v>
      </c>
      <c r="B758" s="8"/>
      <c r="C758" s="8"/>
      <c r="D758" s="8"/>
      <c r="E758" s="8"/>
      <c r="F758" s="8"/>
      <c r="G758" s="8"/>
      <c r="H758" s="8"/>
      <c r="I758" s="8"/>
      <c r="J758" s="8"/>
      <c r="K758" s="8"/>
    </row>
    <row r="759">
      <c r="A759" s="8" t="s">
        <v>767</v>
      </c>
      <c r="B759" s="8"/>
      <c r="C759" s="8"/>
      <c r="D759" s="8"/>
      <c r="E759" s="8"/>
      <c r="F759" s="8"/>
      <c r="G759" s="8"/>
      <c r="H759" s="8"/>
      <c r="I759" s="8"/>
      <c r="J759" s="8"/>
      <c r="K759" s="8"/>
    </row>
    <row r="760">
      <c r="A760" s="8" t="s">
        <v>768</v>
      </c>
      <c r="B760" s="8"/>
      <c r="C760" s="8"/>
      <c r="D760" s="8"/>
      <c r="E760" s="8"/>
      <c r="F760" s="8"/>
      <c r="G760" s="8"/>
      <c r="H760" s="8"/>
      <c r="I760" s="8"/>
      <c r="J760" s="8"/>
      <c r="K760" s="8"/>
    </row>
    <row r="761">
      <c r="A761" s="8" t="s">
        <v>769</v>
      </c>
      <c r="B761" s="8"/>
      <c r="C761" s="8"/>
      <c r="D761" s="8"/>
      <c r="E761" s="8"/>
      <c r="F761" s="8"/>
      <c r="G761" s="8"/>
      <c r="H761" s="8"/>
      <c r="I761" s="8"/>
      <c r="J761" s="8"/>
      <c r="K761" s="8"/>
    </row>
    <row r="762">
      <c r="A762" s="8" t="s">
        <v>770</v>
      </c>
      <c r="B762" s="8"/>
      <c r="C762" s="8"/>
      <c r="D762" s="8"/>
      <c r="E762" s="8"/>
      <c r="F762" s="8"/>
      <c r="G762" s="8"/>
      <c r="H762" s="8"/>
      <c r="I762" s="8"/>
      <c r="J762" s="8"/>
      <c r="K762" s="8"/>
    </row>
    <row r="763">
      <c r="A763" s="8" t="s">
        <v>771</v>
      </c>
      <c r="B763" s="8"/>
      <c r="C763" s="8"/>
      <c r="D763" s="8"/>
      <c r="E763" s="8"/>
      <c r="F763" s="8"/>
      <c r="G763" s="8"/>
      <c r="H763" s="8"/>
      <c r="I763" s="8"/>
      <c r="J763" s="8"/>
      <c r="K763" s="8"/>
    </row>
    <row r="764">
      <c r="A764" s="8" t="s">
        <v>772</v>
      </c>
      <c r="B764" s="8"/>
      <c r="C764" s="8"/>
      <c r="D764" s="8"/>
      <c r="E764" s="8"/>
      <c r="F764" s="8"/>
      <c r="G764" s="8"/>
      <c r="H764" s="8"/>
      <c r="I764" s="8"/>
      <c r="J764" s="8"/>
      <c r="K764" s="8"/>
    </row>
    <row r="765">
      <c r="A765" s="8" t="s">
        <v>773</v>
      </c>
      <c r="B765" s="8"/>
      <c r="C765" s="8"/>
      <c r="D765" s="8"/>
      <c r="E765" s="8"/>
      <c r="F765" s="8"/>
      <c r="G765" s="8"/>
      <c r="H765" s="8"/>
      <c r="I765" s="8"/>
      <c r="J765" s="8"/>
      <c r="K765" s="8"/>
    </row>
    <row r="766">
      <c r="A766" s="8" t="s">
        <v>774</v>
      </c>
      <c r="B766" s="8"/>
      <c r="C766" s="8"/>
      <c r="D766" s="8"/>
      <c r="E766" s="8"/>
      <c r="F766" s="8"/>
      <c r="G766" s="8"/>
      <c r="H766" s="8"/>
      <c r="I766" s="8"/>
      <c r="J766" s="8"/>
      <c r="K766" s="8"/>
    </row>
    <row r="767">
      <c r="A767" s="8" t="s">
        <v>775</v>
      </c>
      <c r="B767" s="8"/>
      <c r="C767" s="8"/>
      <c r="D767" s="8"/>
      <c r="E767" s="8"/>
      <c r="F767" s="8"/>
      <c r="G767" s="8"/>
      <c r="H767" s="8"/>
      <c r="I767" s="8"/>
      <c r="J767" s="8"/>
      <c r="K767" s="8"/>
    </row>
    <row r="768">
      <c r="A768" s="8" t="s">
        <v>776</v>
      </c>
      <c r="B768" s="8"/>
      <c r="C768" s="8"/>
      <c r="D768" s="8"/>
      <c r="E768" s="8"/>
      <c r="F768" s="8"/>
      <c r="G768" s="8"/>
      <c r="H768" s="8"/>
      <c r="I768" s="8"/>
      <c r="J768" s="8"/>
      <c r="K768" s="8"/>
    </row>
    <row r="769">
      <c r="A769" s="8" t="s">
        <v>777</v>
      </c>
      <c r="B769" s="8"/>
      <c r="C769" s="8"/>
      <c r="D769" s="8"/>
      <c r="E769" s="8"/>
      <c r="F769" s="8"/>
      <c r="G769" s="8"/>
      <c r="H769" s="8"/>
      <c r="I769" s="8"/>
      <c r="J769" s="8"/>
      <c r="K769" s="8"/>
    </row>
    <row r="770">
      <c r="A770" s="8" t="s">
        <v>778</v>
      </c>
      <c r="B770" s="8"/>
      <c r="C770" s="8"/>
      <c r="D770" s="8"/>
      <c r="E770" s="8"/>
      <c r="F770" s="8"/>
      <c r="G770" s="8"/>
      <c r="H770" s="8"/>
      <c r="I770" s="8"/>
      <c r="J770" s="8"/>
      <c r="K770" s="8"/>
    </row>
    <row r="771">
      <c r="A771" s="8" t="s">
        <v>779</v>
      </c>
      <c r="B771" s="8"/>
      <c r="C771" s="8"/>
      <c r="D771" s="8"/>
      <c r="E771" s="8"/>
      <c r="F771" s="8"/>
      <c r="G771" s="8"/>
      <c r="H771" s="8"/>
      <c r="I771" s="8"/>
      <c r="J771" s="8"/>
      <c r="K771" s="8"/>
    </row>
    <row r="772">
      <c r="A772" s="8" t="s">
        <v>780</v>
      </c>
      <c r="B772" s="8"/>
      <c r="C772" s="8"/>
      <c r="D772" s="8"/>
      <c r="E772" s="8"/>
      <c r="F772" s="8"/>
      <c r="G772" s="8"/>
      <c r="H772" s="8"/>
      <c r="I772" s="8"/>
      <c r="J772" s="8"/>
      <c r="K772" s="8"/>
    </row>
    <row r="773">
      <c r="A773" s="8" t="s">
        <v>781</v>
      </c>
      <c r="B773" s="8"/>
      <c r="C773" s="8"/>
      <c r="D773" s="8"/>
      <c r="E773" s="8"/>
      <c r="F773" s="8"/>
      <c r="G773" s="8"/>
      <c r="H773" s="8"/>
      <c r="I773" s="8"/>
      <c r="J773" s="8"/>
      <c r="K773" s="8"/>
    </row>
    <row r="774">
      <c r="A774" s="8" t="s">
        <v>782</v>
      </c>
      <c r="B774" s="8"/>
      <c r="C774" s="8"/>
      <c r="D774" s="8"/>
      <c r="E774" s="8"/>
      <c r="F774" s="8"/>
      <c r="G774" s="8"/>
      <c r="H774" s="8"/>
      <c r="I774" s="8"/>
      <c r="J774" s="8"/>
      <c r="K774" s="8"/>
    </row>
    <row r="775">
      <c r="A775" s="8" t="s">
        <v>783</v>
      </c>
      <c r="B775" s="8"/>
      <c r="C775" s="8"/>
      <c r="D775" s="8"/>
      <c r="E775" s="8"/>
      <c r="F775" s="8"/>
      <c r="G775" s="8"/>
      <c r="H775" s="8"/>
      <c r="I775" s="8"/>
      <c r="J775" s="8"/>
      <c r="K775" s="8"/>
    </row>
    <row r="776">
      <c r="A776" s="8" t="s">
        <v>784</v>
      </c>
      <c r="B776" s="8"/>
      <c r="C776" s="8"/>
      <c r="D776" s="8"/>
      <c r="E776" s="8"/>
      <c r="F776" s="8"/>
      <c r="G776" s="8"/>
      <c r="H776" s="8"/>
      <c r="I776" s="8"/>
      <c r="J776" s="8"/>
      <c r="K776" s="8"/>
    </row>
    <row r="777">
      <c r="A777" s="8" t="s">
        <v>785</v>
      </c>
      <c r="B777" s="8"/>
      <c r="C777" s="8"/>
      <c r="D777" s="8"/>
      <c r="E777" s="8"/>
      <c r="F777" s="8"/>
      <c r="G777" s="8"/>
      <c r="H777" s="8"/>
      <c r="I777" s="8"/>
      <c r="J777" s="8"/>
      <c r="K777" s="8"/>
    </row>
    <row r="778">
      <c r="A778" s="8" t="s">
        <v>786</v>
      </c>
      <c r="B778" s="8"/>
      <c r="C778" s="8"/>
      <c r="D778" s="8"/>
      <c r="E778" s="8"/>
      <c r="F778" s="8"/>
      <c r="G778" s="8"/>
      <c r="H778" s="8"/>
      <c r="I778" s="8"/>
      <c r="J778" s="8"/>
      <c r="K778" s="8"/>
    </row>
    <row r="779">
      <c r="A779" s="8" t="s">
        <v>787</v>
      </c>
      <c r="B779" s="8"/>
      <c r="C779" s="8"/>
      <c r="D779" s="8"/>
      <c r="E779" s="8"/>
      <c r="F779" s="8"/>
      <c r="G779" s="8"/>
      <c r="H779" s="8"/>
      <c r="I779" s="8"/>
      <c r="J779" s="8"/>
      <c r="K779" s="8"/>
    </row>
    <row r="780">
      <c r="A780" s="8" t="s">
        <v>788</v>
      </c>
      <c r="B780" s="8"/>
      <c r="C780" s="8"/>
      <c r="D780" s="8"/>
      <c r="E780" s="8"/>
      <c r="F780" s="8"/>
      <c r="G780" s="8"/>
      <c r="H780" s="8"/>
      <c r="I780" s="8"/>
      <c r="J780" s="8"/>
      <c r="K780" s="8"/>
    </row>
    <row r="781">
      <c r="A781" s="8" t="s">
        <v>789</v>
      </c>
      <c r="B781" s="8"/>
      <c r="C781" s="8"/>
      <c r="D781" s="8"/>
      <c r="E781" s="8"/>
      <c r="F781" s="8"/>
      <c r="G781" s="8"/>
      <c r="H781" s="8"/>
      <c r="I781" s="8"/>
      <c r="J781" s="8"/>
      <c r="K781" s="8"/>
    </row>
    <row r="782">
      <c r="A782" s="8" t="s">
        <v>790</v>
      </c>
      <c r="B782" s="8"/>
      <c r="C782" s="8"/>
      <c r="D782" s="8"/>
      <c r="E782" s="8"/>
      <c r="F782" s="8"/>
      <c r="G782" s="8"/>
      <c r="H782" s="8"/>
      <c r="I782" s="8"/>
      <c r="J782" s="8"/>
      <c r="K782" s="8"/>
    </row>
    <row r="783">
      <c r="A783" s="8" t="s">
        <v>791</v>
      </c>
      <c r="B783" s="8"/>
      <c r="C783" s="8"/>
      <c r="D783" s="8"/>
      <c r="E783" s="8"/>
      <c r="F783" s="8"/>
      <c r="G783" s="8"/>
      <c r="H783" s="8"/>
      <c r="I783" s="8"/>
      <c r="J783" s="8"/>
      <c r="K783" s="8"/>
    </row>
    <row r="784">
      <c r="A784" s="8" t="s">
        <v>792</v>
      </c>
      <c r="B784" s="8"/>
      <c r="C784" s="8"/>
      <c r="D784" s="8"/>
      <c r="E784" s="8"/>
      <c r="F784" s="8"/>
      <c r="G784" s="8"/>
      <c r="H784" s="8"/>
      <c r="I784" s="8"/>
      <c r="J784" s="8"/>
      <c r="K784" s="8"/>
    </row>
    <row r="785">
      <c r="A785" s="8" t="s">
        <v>793</v>
      </c>
      <c r="B785" s="8"/>
      <c r="C785" s="8"/>
      <c r="D785" s="8"/>
      <c r="E785" s="8"/>
      <c r="F785" s="8"/>
      <c r="G785" s="8"/>
      <c r="H785" s="8"/>
      <c r="I785" s="8"/>
      <c r="J785" s="8"/>
      <c r="K785" s="8"/>
    </row>
    <row r="786">
      <c r="A786" s="8" t="s">
        <v>794</v>
      </c>
      <c r="B786" s="8"/>
      <c r="C786" s="8"/>
      <c r="D786" s="8"/>
      <c r="E786" s="8"/>
      <c r="F786" s="8"/>
      <c r="G786" s="8"/>
      <c r="H786" s="8"/>
      <c r="I786" s="8"/>
      <c r="J786" s="8"/>
      <c r="K786" s="8"/>
    </row>
    <row r="787">
      <c r="A787" s="8" t="s">
        <v>795</v>
      </c>
      <c r="B787" s="8"/>
      <c r="C787" s="8"/>
      <c r="D787" s="8"/>
      <c r="E787" s="8"/>
      <c r="F787" s="8"/>
      <c r="G787" s="8"/>
      <c r="H787" s="8"/>
      <c r="I787" s="8"/>
      <c r="J787" s="8"/>
      <c r="K787" s="8"/>
    </row>
    <row r="788">
      <c r="A788" s="8" t="s">
        <v>796</v>
      </c>
      <c r="B788" s="8"/>
      <c r="C788" s="8"/>
      <c r="D788" s="8"/>
      <c r="E788" s="8"/>
      <c r="F788" s="8"/>
      <c r="G788" s="8"/>
      <c r="H788" s="8"/>
      <c r="I788" s="8"/>
      <c r="J788" s="8"/>
      <c r="K788" s="8"/>
    </row>
    <row r="789">
      <c r="A789" s="8" t="s">
        <v>797</v>
      </c>
      <c r="B789" s="8"/>
      <c r="C789" s="8"/>
      <c r="D789" s="8"/>
      <c r="E789" s="8"/>
      <c r="F789" s="8"/>
      <c r="G789" s="8"/>
      <c r="H789" s="8"/>
      <c r="I789" s="8"/>
      <c r="J789" s="8"/>
      <c r="K789" s="8"/>
    </row>
    <row r="790">
      <c r="A790" s="8" t="s">
        <v>798</v>
      </c>
      <c r="B790" s="8"/>
      <c r="C790" s="8"/>
      <c r="D790" s="8"/>
      <c r="E790" s="8"/>
      <c r="F790" s="8"/>
      <c r="G790" s="8"/>
      <c r="H790" s="8"/>
      <c r="I790" s="8"/>
      <c r="J790" s="8"/>
      <c r="K790" s="8"/>
    </row>
    <row r="791">
      <c r="A791" s="8" t="s">
        <v>799</v>
      </c>
      <c r="B791" s="8"/>
      <c r="C791" s="8"/>
      <c r="D791" s="8"/>
      <c r="E791" s="8"/>
      <c r="F791" s="8"/>
      <c r="G791" s="8"/>
      <c r="H791" s="8"/>
      <c r="I791" s="8"/>
      <c r="J791" s="8"/>
      <c r="K791" s="8"/>
    </row>
    <row r="792">
      <c r="A792" s="8" t="s">
        <v>800</v>
      </c>
      <c r="B792" s="8"/>
      <c r="C792" s="8"/>
      <c r="D792" s="8"/>
      <c r="E792" s="8"/>
      <c r="F792" s="8"/>
      <c r="G792" s="8"/>
      <c r="H792" s="8"/>
      <c r="I792" s="8"/>
      <c r="J792" s="8"/>
      <c r="K792" s="8"/>
    </row>
    <row r="793">
      <c r="A793" s="8" t="s">
        <v>801</v>
      </c>
      <c r="B793" s="8"/>
      <c r="C793" s="8"/>
      <c r="D793" s="8"/>
      <c r="E793" s="8"/>
      <c r="F793" s="8"/>
      <c r="G793" s="8"/>
      <c r="H793" s="8"/>
      <c r="I793" s="8"/>
      <c r="J793" s="8"/>
      <c r="K793" s="8"/>
    </row>
    <row r="794">
      <c r="A794" s="8" t="s">
        <v>802</v>
      </c>
      <c r="B794" s="8"/>
      <c r="C794" s="8"/>
      <c r="D794" s="8"/>
      <c r="E794" s="8"/>
      <c r="F794" s="8"/>
      <c r="G794" s="8"/>
      <c r="H794" s="8"/>
      <c r="I794" s="8"/>
      <c r="J794" s="8"/>
      <c r="K794" s="8"/>
    </row>
    <row r="795">
      <c r="A795" s="8" t="s">
        <v>803</v>
      </c>
      <c r="B795" s="8"/>
      <c r="C795" s="8"/>
      <c r="D795" s="8"/>
      <c r="E795" s="8"/>
      <c r="F795" s="8"/>
      <c r="G795" s="8"/>
      <c r="H795" s="8"/>
      <c r="I795" s="8"/>
      <c r="J795" s="8"/>
      <c r="K795" s="8"/>
    </row>
    <row r="796">
      <c r="A796" s="8" t="s">
        <v>804</v>
      </c>
      <c r="B796" s="8"/>
      <c r="C796" s="8"/>
      <c r="D796" s="8"/>
      <c r="E796" s="8"/>
      <c r="F796" s="8"/>
      <c r="G796" s="8"/>
      <c r="H796" s="8"/>
      <c r="I796" s="8"/>
      <c r="J796" s="8"/>
      <c r="K796" s="8"/>
    </row>
    <row r="797">
      <c r="A797" s="8" t="s">
        <v>805</v>
      </c>
      <c r="B797" s="8"/>
      <c r="C797" s="8"/>
      <c r="D797" s="8"/>
      <c r="E797" s="8"/>
      <c r="F797" s="8"/>
      <c r="G797" s="8"/>
      <c r="H797" s="8"/>
      <c r="I797" s="8"/>
      <c r="J797" s="8"/>
      <c r="K797" s="8"/>
    </row>
    <row r="798">
      <c r="A798" s="8" t="s">
        <v>806</v>
      </c>
      <c r="B798" s="8"/>
      <c r="C798" s="8"/>
      <c r="D798" s="8"/>
      <c r="E798" s="8"/>
      <c r="F798" s="8"/>
      <c r="G798" s="8"/>
      <c r="H798" s="8"/>
      <c r="I798" s="8"/>
      <c r="J798" s="8"/>
      <c r="K798" s="8"/>
    </row>
    <row r="799">
      <c r="A799" s="8" t="s">
        <v>807</v>
      </c>
      <c r="B799" s="8"/>
      <c r="C799" s="8"/>
      <c r="D799" s="8"/>
      <c r="E799" s="8"/>
      <c r="F799" s="8"/>
      <c r="G799" s="8"/>
      <c r="H799" s="8"/>
      <c r="I799" s="8"/>
      <c r="J799" s="8"/>
      <c r="K799" s="8"/>
    </row>
    <row r="800">
      <c r="A800" s="8" t="s">
        <v>808</v>
      </c>
      <c r="B800" s="8"/>
      <c r="C800" s="8"/>
      <c r="D800" s="8"/>
      <c r="E800" s="8"/>
      <c r="F800" s="8"/>
      <c r="G800" s="8"/>
      <c r="H800" s="8"/>
      <c r="I800" s="8"/>
      <c r="J800" s="8"/>
      <c r="K800" s="8"/>
    </row>
    <row r="801">
      <c r="A801" s="8" t="s">
        <v>809</v>
      </c>
      <c r="B801" s="8"/>
      <c r="C801" s="8"/>
      <c r="D801" s="8"/>
      <c r="E801" s="8"/>
      <c r="F801" s="8"/>
      <c r="G801" s="8"/>
      <c r="H801" s="8"/>
      <c r="I801" s="8"/>
      <c r="J801" s="8"/>
      <c r="K801" s="8"/>
    </row>
    <row r="802">
      <c r="A802" s="8" t="s">
        <v>810</v>
      </c>
      <c r="B802" s="8"/>
      <c r="C802" s="8"/>
      <c r="D802" s="8"/>
      <c r="E802" s="8"/>
      <c r="F802" s="8"/>
      <c r="G802" s="8"/>
      <c r="H802" s="8"/>
      <c r="I802" s="8"/>
      <c r="J802" s="8"/>
      <c r="K802" s="8"/>
    </row>
    <row r="803">
      <c r="A803" s="8" t="s">
        <v>811</v>
      </c>
      <c r="B803" s="8"/>
      <c r="C803" s="8"/>
      <c r="D803" s="8"/>
      <c r="E803" s="8"/>
      <c r="F803" s="8"/>
      <c r="G803" s="8"/>
      <c r="H803" s="8"/>
      <c r="I803" s="8"/>
      <c r="J803" s="8"/>
      <c r="K803" s="8"/>
    </row>
    <row r="804">
      <c r="A804" s="8" t="s">
        <v>812</v>
      </c>
      <c r="B804" s="8"/>
      <c r="C804" s="8"/>
      <c r="D804" s="8"/>
      <c r="E804" s="8"/>
      <c r="F804" s="8"/>
      <c r="G804" s="8"/>
      <c r="H804" s="8"/>
      <c r="I804" s="8"/>
      <c r="J804" s="8"/>
      <c r="K804" s="8"/>
    </row>
    <row r="805">
      <c r="A805" s="8" t="s">
        <v>813</v>
      </c>
      <c r="B805" s="8"/>
      <c r="C805" s="8"/>
      <c r="D805" s="8"/>
      <c r="E805" s="8"/>
      <c r="F805" s="8"/>
      <c r="G805" s="8"/>
      <c r="H805" s="8"/>
      <c r="I805" s="8"/>
      <c r="J805" s="8"/>
      <c r="K805" s="8"/>
    </row>
    <row r="806">
      <c r="A806" s="8" t="s">
        <v>814</v>
      </c>
      <c r="B806" s="8"/>
      <c r="C806" s="8"/>
      <c r="D806" s="8"/>
      <c r="E806" s="8"/>
      <c r="F806" s="8"/>
      <c r="G806" s="8"/>
      <c r="H806" s="8"/>
      <c r="I806" s="8"/>
      <c r="J806" s="8"/>
      <c r="K806" s="8"/>
    </row>
    <row r="807">
      <c r="A807" s="8" t="s">
        <v>815</v>
      </c>
      <c r="B807" s="8"/>
      <c r="C807" s="8"/>
      <c r="D807" s="8"/>
      <c r="E807" s="8"/>
      <c r="F807" s="8"/>
      <c r="G807" s="8"/>
      <c r="H807" s="8"/>
      <c r="I807" s="8"/>
      <c r="J807" s="8"/>
      <c r="K807" s="8"/>
    </row>
    <row r="808">
      <c r="A808" s="8" t="s">
        <v>816</v>
      </c>
      <c r="B808" s="8"/>
      <c r="C808" s="8"/>
      <c r="D808" s="8"/>
      <c r="E808" s="8"/>
      <c r="F808" s="8"/>
      <c r="G808" s="8"/>
      <c r="H808" s="8"/>
      <c r="I808" s="8"/>
      <c r="J808" s="8"/>
      <c r="K808" s="8"/>
    </row>
    <row r="809">
      <c r="A809" s="8" t="s">
        <v>817</v>
      </c>
      <c r="B809" s="8"/>
      <c r="C809" s="8"/>
      <c r="D809" s="8"/>
      <c r="E809" s="8"/>
      <c r="F809" s="8"/>
      <c r="G809" s="8"/>
      <c r="H809" s="8"/>
      <c r="I809" s="8"/>
      <c r="J809" s="8"/>
      <c r="K809" s="8"/>
    </row>
    <row r="810">
      <c r="A810" s="8" t="s">
        <v>818</v>
      </c>
      <c r="B810" s="8"/>
      <c r="C810" s="8"/>
      <c r="D810" s="8"/>
      <c r="E810" s="8"/>
      <c r="F810" s="8"/>
      <c r="G810" s="8"/>
      <c r="H810" s="8"/>
      <c r="I810" s="8"/>
      <c r="J810" s="8"/>
      <c r="K810" s="8"/>
    </row>
    <row r="811">
      <c r="A811" s="8" t="s">
        <v>819</v>
      </c>
      <c r="B811" s="8"/>
      <c r="C811" s="8"/>
      <c r="D811" s="8"/>
      <c r="E811" s="8"/>
      <c r="F811" s="8"/>
      <c r="G811" s="8"/>
      <c r="H811" s="8"/>
      <c r="I811" s="8"/>
      <c r="J811" s="8"/>
      <c r="K811" s="8"/>
    </row>
    <row r="812">
      <c r="A812" s="8" t="s">
        <v>820</v>
      </c>
      <c r="B812" s="8"/>
      <c r="C812" s="8"/>
      <c r="D812" s="8"/>
      <c r="E812" s="8"/>
      <c r="F812" s="8"/>
      <c r="G812" s="8"/>
      <c r="H812" s="8"/>
      <c r="I812" s="8"/>
      <c r="J812" s="8"/>
      <c r="K812" s="8"/>
    </row>
    <row r="813">
      <c r="A813" s="8" t="s">
        <v>821</v>
      </c>
      <c r="B813" s="8"/>
      <c r="C813" s="8"/>
      <c r="D813" s="8"/>
      <c r="E813" s="8"/>
      <c r="F813" s="8"/>
      <c r="G813" s="8"/>
      <c r="H813" s="8"/>
      <c r="I813" s="8"/>
      <c r="J813" s="8"/>
      <c r="K813" s="8"/>
    </row>
    <row r="814">
      <c r="A814" s="8" t="s">
        <v>822</v>
      </c>
      <c r="B814" s="8"/>
      <c r="C814" s="8"/>
      <c r="D814" s="8"/>
      <c r="E814" s="8"/>
      <c r="F814" s="8"/>
      <c r="G814" s="8"/>
      <c r="H814" s="8"/>
      <c r="I814" s="8"/>
      <c r="J814" s="8"/>
      <c r="K814" s="8"/>
    </row>
    <row r="815">
      <c r="A815" s="8" t="s">
        <v>823</v>
      </c>
      <c r="B815" s="8"/>
      <c r="C815" s="8"/>
      <c r="D815" s="8"/>
      <c r="E815" s="8"/>
      <c r="F815" s="8"/>
      <c r="G815" s="8"/>
      <c r="H815" s="8"/>
      <c r="I815" s="8"/>
      <c r="J815" s="8"/>
      <c r="K815" s="8"/>
    </row>
    <row r="816">
      <c r="A816" s="8" t="s">
        <v>824</v>
      </c>
      <c r="B816" s="8"/>
      <c r="C816" s="8"/>
      <c r="D816" s="8"/>
      <c r="E816" s="8"/>
      <c r="F816" s="8"/>
      <c r="G816" s="8"/>
      <c r="H816" s="8"/>
      <c r="I816" s="8"/>
      <c r="J816" s="8"/>
      <c r="K816" s="8"/>
    </row>
    <row r="817">
      <c r="A817" s="8" t="s">
        <v>825</v>
      </c>
      <c r="B817" s="8"/>
      <c r="C817" s="8"/>
      <c r="D817" s="8"/>
      <c r="E817" s="8"/>
      <c r="F817" s="8"/>
      <c r="G817" s="8"/>
      <c r="H817" s="8"/>
      <c r="I817" s="8"/>
      <c r="J817" s="8"/>
      <c r="K817" s="8"/>
    </row>
    <row r="818">
      <c r="A818" s="8" t="s">
        <v>826</v>
      </c>
      <c r="B818" s="8"/>
      <c r="C818" s="8"/>
      <c r="D818" s="8"/>
      <c r="E818" s="8"/>
      <c r="F818" s="8"/>
      <c r="G818" s="8"/>
      <c r="H818" s="8"/>
      <c r="I818" s="8"/>
      <c r="J818" s="8"/>
      <c r="K818" s="8"/>
    </row>
    <row r="819">
      <c r="A819" s="8" t="s">
        <v>827</v>
      </c>
      <c r="B819" s="8"/>
      <c r="C819" s="8"/>
      <c r="D819" s="8"/>
      <c r="E819" s="8"/>
      <c r="F819" s="8"/>
      <c r="G819" s="8"/>
      <c r="H819" s="8"/>
      <c r="I819" s="8"/>
      <c r="J819" s="8"/>
      <c r="K819" s="8"/>
    </row>
    <row r="820">
      <c r="A820" s="8" t="s">
        <v>828</v>
      </c>
      <c r="B820" s="8"/>
      <c r="C820" s="8"/>
      <c r="D820" s="8"/>
      <c r="E820" s="8"/>
      <c r="F820" s="8"/>
      <c r="G820" s="8"/>
      <c r="H820" s="8"/>
      <c r="I820" s="8"/>
      <c r="J820" s="8"/>
      <c r="K820" s="8"/>
    </row>
    <row r="821">
      <c r="A821" s="8" t="s">
        <v>829</v>
      </c>
      <c r="B821" s="8"/>
      <c r="C821" s="8"/>
      <c r="D821" s="8"/>
      <c r="E821" s="8"/>
      <c r="F821" s="8"/>
      <c r="G821" s="8"/>
      <c r="H821" s="8"/>
      <c r="I821" s="8"/>
      <c r="J821" s="8"/>
      <c r="K821" s="8"/>
    </row>
    <row r="822">
      <c r="A822" s="8" t="s">
        <v>830</v>
      </c>
      <c r="B822" s="8"/>
      <c r="C822" s="8"/>
      <c r="D822" s="8"/>
      <c r="E822" s="8"/>
      <c r="F822" s="8"/>
      <c r="G822" s="8"/>
      <c r="H822" s="8"/>
      <c r="I822" s="8"/>
      <c r="J822" s="8"/>
      <c r="K822" s="8"/>
    </row>
    <row r="823">
      <c r="A823" s="8" t="s">
        <v>831</v>
      </c>
      <c r="B823" s="8"/>
      <c r="C823" s="8"/>
      <c r="D823" s="8"/>
      <c r="E823" s="8"/>
      <c r="F823" s="8"/>
      <c r="G823" s="8"/>
      <c r="H823" s="8"/>
      <c r="I823" s="8"/>
      <c r="J823" s="8"/>
      <c r="K823" s="8"/>
    </row>
    <row r="824">
      <c r="A824" s="8" t="s">
        <v>832</v>
      </c>
      <c r="B824" s="8"/>
      <c r="C824" s="8"/>
      <c r="D824" s="8"/>
      <c r="E824" s="8"/>
      <c r="F824" s="8"/>
      <c r="G824" s="8"/>
      <c r="H824" s="8"/>
      <c r="I824" s="8"/>
      <c r="J824" s="8"/>
      <c r="K824" s="8"/>
    </row>
    <row r="825">
      <c r="A825" s="8" t="s">
        <v>833</v>
      </c>
      <c r="B825" s="8"/>
      <c r="C825" s="8"/>
      <c r="D825" s="8"/>
      <c r="E825" s="8"/>
      <c r="F825" s="8"/>
      <c r="G825" s="8"/>
      <c r="H825" s="8"/>
      <c r="I825" s="8"/>
      <c r="J825" s="8"/>
      <c r="K825" s="8"/>
    </row>
    <row r="826">
      <c r="A826" s="8" t="s">
        <v>834</v>
      </c>
      <c r="B826" s="8"/>
      <c r="C826" s="8"/>
      <c r="D826" s="8"/>
      <c r="E826" s="8"/>
      <c r="F826" s="8"/>
      <c r="G826" s="8"/>
      <c r="H826" s="8"/>
      <c r="I826" s="8"/>
      <c r="J826" s="8"/>
      <c r="K826" s="8"/>
    </row>
    <row r="827">
      <c r="A827" s="8" t="s">
        <v>835</v>
      </c>
      <c r="B827" s="8"/>
      <c r="C827" s="8"/>
      <c r="D827" s="8"/>
      <c r="E827" s="8"/>
      <c r="F827" s="8"/>
      <c r="G827" s="8"/>
      <c r="H827" s="8"/>
      <c r="I827" s="8"/>
      <c r="J827" s="8"/>
      <c r="K827" s="8"/>
    </row>
    <row r="828">
      <c r="A828" s="8" t="s">
        <v>836</v>
      </c>
      <c r="B828" s="8"/>
      <c r="C828" s="8"/>
      <c r="D828" s="8"/>
      <c r="E828" s="8"/>
      <c r="F828" s="8"/>
      <c r="G828" s="8"/>
      <c r="H828" s="8"/>
      <c r="I828" s="8"/>
      <c r="J828" s="8"/>
      <c r="K828" s="8"/>
    </row>
    <row r="829">
      <c r="A829" s="8" t="s">
        <v>837</v>
      </c>
      <c r="B829" s="8"/>
      <c r="C829" s="8"/>
      <c r="D829" s="8"/>
      <c r="E829" s="8"/>
      <c r="F829" s="8"/>
      <c r="G829" s="8"/>
      <c r="H829" s="8"/>
      <c r="I829" s="8"/>
      <c r="J829" s="8"/>
      <c r="K829" s="8"/>
    </row>
    <row r="830">
      <c r="A830" s="8" t="s">
        <v>838</v>
      </c>
      <c r="B830" s="8"/>
      <c r="C830" s="8"/>
      <c r="D830" s="8"/>
      <c r="E830" s="8"/>
      <c r="F830" s="8"/>
      <c r="G830" s="8"/>
      <c r="H830" s="8"/>
      <c r="I830" s="8"/>
      <c r="J830" s="8"/>
      <c r="K830" s="8"/>
    </row>
    <row r="831">
      <c r="A831" s="8" t="s">
        <v>839</v>
      </c>
      <c r="B831" s="8"/>
      <c r="C831" s="8"/>
      <c r="D831" s="8"/>
      <c r="E831" s="8"/>
      <c r="F831" s="8"/>
      <c r="G831" s="8"/>
      <c r="H831" s="8"/>
      <c r="I831" s="8"/>
      <c r="J831" s="8"/>
      <c r="K831" s="8"/>
    </row>
    <row r="832">
      <c r="A832" s="8" t="s">
        <v>840</v>
      </c>
      <c r="B832" s="8"/>
      <c r="C832" s="8"/>
      <c r="D832" s="8"/>
      <c r="E832" s="8"/>
      <c r="F832" s="8"/>
      <c r="G832" s="8"/>
      <c r="H832" s="8"/>
      <c r="I832" s="8"/>
      <c r="J832" s="8"/>
      <c r="K832" s="8"/>
    </row>
    <row r="833">
      <c r="A833" s="8" t="s">
        <v>841</v>
      </c>
      <c r="B833" s="8"/>
      <c r="C833" s="8"/>
      <c r="D833" s="8"/>
      <c r="E833" s="8"/>
      <c r="F833" s="8"/>
      <c r="G833" s="8"/>
      <c r="H833" s="8"/>
      <c r="I833" s="8"/>
      <c r="J833" s="8"/>
      <c r="K833" s="8"/>
    </row>
    <row r="834">
      <c r="A834" s="8" t="s">
        <v>842</v>
      </c>
      <c r="B834" s="8"/>
      <c r="C834" s="8"/>
      <c r="D834" s="8"/>
      <c r="E834" s="8"/>
      <c r="F834" s="8"/>
      <c r="G834" s="8"/>
      <c r="H834" s="8"/>
      <c r="I834" s="8"/>
      <c r="J834" s="8"/>
      <c r="K834" s="8"/>
    </row>
    <row r="835">
      <c r="A835" s="8" t="s">
        <v>843</v>
      </c>
      <c r="B835" s="8"/>
      <c r="C835" s="8"/>
      <c r="D835" s="8"/>
      <c r="E835" s="8"/>
      <c r="F835" s="8"/>
      <c r="G835" s="8"/>
      <c r="H835" s="8"/>
      <c r="I835" s="8"/>
      <c r="J835" s="8"/>
      <c r="K835" s="8"/>
    </row>
    <row r="836">
      <c r="A836" s="8" t="s">
        <v>844</v>
      </c>
      <c r="B836" s="8"/>
      <c r="C836" s="8"/>
      <c r="D836" s="8"/>
      <c r="E836" s="8"/>
      <c r="F836" s="8"/>
      <c r="G836" s="8"/>
      <c r="H836" s="8"/>
      <c r="I836" s="8"/>
      <c r="J836" s="8"/>
      <c r="K836" s="8"/>
    </row>
    <row r="837">
      <c r="A837" s="8" t="s">
        <v>845</v>
      </c>
      <c r="B837" s="8"/>
      <c r="C837" s="8"/>
      <c r="D837" s="8"/>
      <c r="E837" s="8"/>
      <c r="F837" s="8"/>
      <c r="G837" s="8"/>
      <c r="H837" s="8"/>
      <c r="I837" s="8"/>
      <c r="J837" s="8"/>
      <c r="K837" s="8"/>
    </row>
    <row r="838">
      <c r="A838" s="8" t="s">
        <v>846</v>
      </c>
      <c r="B838" s="8"/>
      <c r="C838" s="8"/>
      <c r="D838" s="8"/>
      <c r="E838" s="8"/>
      <c r="F838" s="8"/>
      <c r="G838" s="8"/>
      <c r="H838" s="8"/>
      <c r="I838" s="8"/>
      <c r="J838" s="8"/>
      <c r="K838" s="8"/>
    </row>
    <row r="839">
      <c r="A839" s="8" t="s">
        <v>847</v>
      </c>
      <c r="B839" s="8"/>
      <c r="C839" s="8"/>
      <c r="D839" s="8"/>
      <c r="E839" s="8"/>
      <c r="F839" s="8"/>
      <c r="G839" s="8"/>
      <c r="H839" s="8"/>
      <c r="I839" s="8"/>
      <c r="J839" s="8"/>
      <c r="K839" s="8"/>
    </row>
    <row r="840">
      <c r="A840" s="8" t="s">
        <v>848</v>
      </c>
      <c r="B840" s="8"/>
      <c r="C840" s="8"/>
      <c r="D840" s="8"/>
      <c r="E840" s="8"/>
      <c r="F840" s="8"/>
      <c r="G840" s="8"/>
      <c r="H840" s="8"/>
      <c r="I840" s="8"/>
      <c r="J840" s="8"/>
      <c r="K840" s="8"/>
    </row>
    <row r="841">
      <c r="A841" s="8" t="s">
        <v>849</v>
      </c>
      <c r="B841" s="8"/>
      <c r="C841" s="8"/>
      <c r="D841" s="8"/>
      <c r="E841" s="8"/>
      <c r="F841" s="8"/>
      <c r="G841" s="8"/>
      <c r="H841" s="8"/>
      <c r="I841" s="8"/>
      <c r="J841" s="8"/>
      <c r="K841" s="8"/>
    </row>
    <row r="842">
      <c r="A842" s="8" t="s">
        <v>850</v>
      </c>
      <c r="B842" s="8"/>
      <c r="C842" s="8"/>
      <c r="D842" s="8"/>
      <c r="E842" s="8"/>
      <c r="F842" s="8"/>
      <c r="G842" s="8"/>
      <c r="H842" s="8"/>
      <c r="I842" s="8"/>
      <c r="J842" s="8"/>
      <c r="K842" s="8"/>
    </row>
    <row r="843">
      <c r="A843" s="8" t="s">
        <v>851</v>
      </c>
      <c r="B843" s="8"/>
      <c r="C843" s="8"/>
      <c r="D843" s="8"/>
      <c r="E843" s="8"/>
      <c r="F843" s="8"/>
      <c r="G843" s="8"/>
      <c r="H843" s="8"/>
      <c r="I843" s="8"/>
      <c r="J843" s="8"/>
      <c r="K843" s="8"/>
    </row>
    <row r="844">
      <c r="A844" s="8" t="s">
        <v>852</v>
      </c>
      <c r="B844" s="8"/>
      <c r="C844" s="8"/>
      <c r="D844" s="8"/>
      <c r="E844" s="8"/>
      <c r="F844" s="8"/>
      <c r="G844" s="8"/>
      <c r="H844" s="8"/>
      <c r="I844" s="8"/>
      <c r="J844" s="8"/>
      <c r="K844" s="8"/>
    </row>
    <row r="845">
      <c r="A845" s="8" t="s">
        <v>853</v>
      </c>
      <c r="B845" s="8"/>
      <c r="C845" s="8"/>
      <c r="D845" s="8"/>
      <c r="E845" s="8"/>
      <c r="F845" s="8"/>
      <c r="G845" s="8"/>
      <c r="H845" s="8"/>
      <c r="I845" s="8"/>
      <c r="J845" s="8"/>
      <c r="K845" s="8"/>
    </row>
    <row r="846">
      <c r="A846" s="8" t="s">
        <v>854</v>
      </c>
      <c r="B846" s="8"/>
      <c r="C846" s="8"/>
      <c r="D846" s="8"/>
      <c r="E846" s="8"/>
      <c r="F846" s="8"/>
      <c r="G846" s="8"/>
      <c r="H846" s="8"/>
      <c r="I846" s="8"/>
      <c r="J846" s="8"/>
      <c r="K846" s="8"/>
    </row>
    <row r="847">
      <c r="A847" s="8" t="s">
        <v>855</v>
      </c>
      <c r="B847" s="8"/>
      <c r="C847" s="8"/>
      <c r="D847" s="8"/>
      <c r="E847" s="8"/>
      <c r="F847" s="8"/>
      <c r="G847" s="8"/>
      <c r="H847" s="8"/>
      <c r="I847" s="8"/>
      <c r="J847" s="8"/>
      <c r="K847" s="8"/>
    </row>
    <row r="848">
      <c r="A848" s="8" t="s">
        <v>856</v>
      </c>
      <c r="B848" s="8"/>
      <c r="C848" s="8"/>
      <c r="D848" s="8"/>
      <c r="E848" s="8"/>
      <c r="F848" s="8"/>
      <c r="G848" s="8"/>
      <c r="H848" s="8"/>
      <c r="I848" s="8"/>
      <c r="J848" s="8"/>
      <c r="K848" s="8"/>
    </row>
    <row r="849">
      <c r="A849" s="8" t="s">
        <v>857</v>
      </c>
      <c r="B849" s="8"/>
      <c r="C849" s="8"/>
      <c r="D849" s="8"/>
      <c r="E849" s="8"/>
      <c r="F849" s="8"/>
      <c r="G849" s="8"/>
      <c r="H849" s="8"/>
      <c r="I849" s="8"/>
      <c r="J849" s="8"/>
      <c r="K849" s="8"/>
    </row>
    <row r="850">
      <c r="A850" s="8" t="s">
        <v>858</v>
      </c>
      <c r="B850" s="8"/>
      <c r="C850" s="8"/>
      <c r="D850" s="8"/>
      <c r="E850" s="8"/>
      <c r="F850" s="8"/>
      <c r="G850" s="8"/>
      <c r="H850" s="8"/>
      <c r="I850" s="8"/>
      <c r="J850" s="8"/>
      <c r="K850" s="8"/>
    </row>
    <row r="851">
      <c r="A851" s="8" t="s">
        <v>859</v>
      </c>
      <c r="B851" s="8"/>
      <c r="C851" s="8"/>
      <c r="D851" s="8"/>
      <c r="E851" s="8"/>
      <c r="F851" s="8"/>
      <c r="G851" s="8"/>
      <c r="H851" s="8"/>
      <c r="I851" s="8"/>
      <c r="J851" s="8"/>
      <c r="K851" s="8"/>
    </row>
    <row r="852">
      <c r="A852" s="8" t="s">
        <v>860</v>
      </c>
      <c r="B852" s="8"/>
      <c r="C852" s="8"/>
      <c r="D852" s="8"/>
      <c r="E852" s="8"/>
      <c r="F852" s="8"/>
      <c r="G852" s="8"/>
      <c r="H852" s="8"/>
      <c r="I852" s="8"/>
      <c r="J852" s="8"/>
      <c r="K852" s="8"/>
    </row>
    <row r="853">
      <c r="A853" s="8" t="s">
        <v>861</v>
      </c>
      <c r="B853" s="8"/>
      <c r="C853" s="8"/>
      <c r="D853" s="8"/>
      <c r="E853" s="8"/>
      <c r="F853" s="8"/>
      <c r="G853" s="8"/>
      <c r="H853" s="8"/>
      <c r="I853" s="8"/>
      <c r="J853" s="8"/>
      <c r="K853" s="8"/>
    </row>
    <row r="854">
      <c r="A854" s="8" t="s">
        <v>862</v>
      </c>
      <c r="B854" s="8"/>
      <c r="C854" s="8"/>
      <c r="D854" s="8"/>
      <c r="E854" s="8"/>
      <c r="F854" s="8"/>
      <c r="G854" s="8"/>
      <c r="H854" s="8"/>
      <c r="I854" s="8"/>
      <c r="J854" s="8"/>
      <c r="K854" s="8"/>
    </row>
    <row r="855">
      <c r="A855" s="8" t="s">
        <v>863</v>
      </c>
      <c r="B855" s="8"/>
      <c r="C855" s="8"/>
      <c r="D855" s="8"/>
      <c r="E855" s="8"/>
      <c r="F855" s="8"/>
      <c r="G855" s="8"/>
      <c r="H855" s="8"/>
      <c r="I855" s="8"/>
      <c r="J855" s="8"/>
      <c r="K855" s="8"/>
    </row>
    <row r="856">
      <c r="A856" s="8" t="s">
        <v>864</v>
      </c>
      <c r="B856" s="8"/>
      <c r="C856" s="8"/>
      <c r="D856" s="8"/>
      <c r="E856" s="8"/>
      <c r="F856" s="8"/>
      <c r="G856" s="8"/>
      <c r="H856" s="8"/>
      <c r="I856" s="8"/>
      <c r="J856" s="8"/>
      <c r="K856" s="8"/>
    </row>
    <row r="857">
      <c r="A857" s="8" t="s">
        <v>865</v>
      </c>
      <c r="B857" s="8"/>
      <c r="C857" s="8"/>
      <c r="D857" s="8"/>
      <c r="E857" s="8"/>
      <c r="F857" s="8"/>
      <c r="G857" s="8"/>
      <c r="H857" s="8"/>
      <c r="I857" s="8"/>
      <c r="J857" s="8"/>
      <c r="K857" s="8"/>
    </row>
    <row r="858">
      <c r="A858" s="8" t="s">
        <v>866</v>
      </c>
      <c r="B858" s="8"/>
      <c r="C858" s="8"/>
      <c r="D858" s="8"/>
      <c r="E858" s="8"/>
      <c r="F858" s="8"/>
      <c r="G858" s="8"/>
      <c r="H858" s="8"/>
      <c r="I858" s="8"/>
      <c r="J858" s="8"/>
      <c r="K858" s="8"/>
    </row>
    <row r="859">
      <c r="A859" s="8" t="s">
        <v>867</v>
      </c>
      <c r="B859" s="8"/>
      <c r="C859" s="8"/>
      <c r="D859" s="8"/>
      <c r="E859" s="8"/>
      <c r="F859" s="8"/>
      <c r="G859" s="8"/>
      <c r="H859" s="8"/>
      <c r="I859" s="8"/>
      <c r="J859" s="8"/>
      <c r="K859" s="8"/>
    </row>
    <row r="860">
      <c r="A860" s="8" t="s">
        <v>868</v>
      </c>
      <c r="B860" s="8"/>
      <c r="C860" s="8"/>
      <c r="D860" s="8"/>
      <c r="E860" s="8"/>
      <c r="F860" s="8"/>
      <c r="G860" s="8"/>
      <c r="H860" s="8"/>
      <c r="I860" s="8"/>
      <c r="J860" s="8"/>
      <c r="K860" s="8"/>
    </row>
    <row r="861">
      <c r="A861" s="8" t="s">
        <v>869</v>
      </c>
      <c r="B861" s="8"/>
      <c r="C861" s="8"/>
      <c r="D861" s="8"/>
      <c r="E861" s="8"/>
      <c r="F861" s="8"/>
      <c r="G861" s="8"/>
      <c r="H861" s="8"/>
      <c r="I861" s="8"/>
      <c r="J861" s="8"/>
      <c r="K861" s="8"/>
    </row>
    <row r="862">
      <c r="A862" s="8" t="s">
        <v>870</v>
      </c>
      <c r="B862" s="8"/>
      <c r="C862" s="8"/>
      <c r="D862" s="8"/>
      <c r="E862" s="8"/>
      <c r="F862" s="8"/>
      <c r="G862" s="8"/>
      <c r="H862" s="8"/>
      <c r="I862" s="8"/>
      <c r="J862" s="8"/>
      <c r="K862" s="8"/>
    </row>
    <row r="863">
      <c r="A863" s="8" t="s">
        <v>871</v>
      </c>
      <c r="B863" s="8"/>
      <c r="C863" s="8"/>
      <c r="D863" s="8"/>
      <c r="E863" s="8"/>
      <c r="F863" s="8"/>
      <c r="G863" s="8"/>
      <c r="H863" s="8"/>
      <c r="I863" s="8"/>
      <c r="J863" s="8"/>
      <c r="K863" s="8"/>
    </row>
    <row r="864">
      <c r="A864" s="8" t="s">
        <v>872</v>
      </c>
      <c r="B864" s="8"/>
      <c r="C864" s="8"/>
      <c r="D864" s="8"/>
      <c r="E864" s="8"/>
      <c r="F864" s="8"/>
      <c r="G864" s="8"/>
      <c r="H864" s="8"/>
      <c r="I864" s="8"/>
      <c r="J864" s="8"/>
      <c r="K864" s="8"/>
    </row>
    <row r="865">
      <c r="A865" s="8" t="s">
        <v>873</v>
      </c>
      <c r="B865" s="8"/>
      <c r="C865" s="8"/>
      <c r="D865" s="8"/>
      <c r="E865" s="8"/>
      <c r="F865" s="8"/>
      <c r="G865" s="8"/>
      <c r="H865" s="8"/>
      <c r="I865" s="8"/>
      <c r="J865" s="8"/>
      <c r="K865" s="8"/>
    </row>
    <row r="866">
      <c r="A866" s="8" t="s">
        <v>874</v>
      </c>
      <c r="B866" s="8"/>
      <c r="C866" s="8"/>
      <c r="D866" s="8"/>
      <c r="E866" s="8"/>
      <c r="F866" s="8"/>
      <c r="G866" s="8"/>
      <c r="H866" s="8"/>
      <c r="I866" s="8"/>
      <c r="J866" s="8"/>
      <c r="K866" s="8"/>
    </row>
    <row r="867">
      <c r="A867" s="8" t="s">
        <v>875</v>
      </c>
      <c r="B867" s="8"/>
      <c r="C867" s="8"/>
      <c r="D867" s="8"/>
      <c r="E867" s="8"/>
      <c r="F867" s="8"/>
      <c r="G867" s="8"/>
      <c r="H867" s="8"/>
      <c r="I867" s="8"/>
      <c r="J867" s="8"/>
      <c r="K867" s="8"/>
    </row>
    <row r="868">
      <c r="A868" s="8" t="s">
        <v>876</v>
      </c>
      <c r="B868" s="8"/>
      <c r="C868" s="8"/>
      <c r="D868" s="8"/>
      <c r="E868" s="8"/>
      <c r="F868" s="8"/>
      <c r="G868" s="8"/>
      <c r="H868" s="8"/>
      <c r="I868" s="8"/>
      <c r="J868" s="8"/>
      <c r="K868" s="8"/>
    </row>
    <row r="869">
      <c r="A869" s="8" t="s">
        <v>877</v>
      </c>
      <c r="B869" s="8"/>
      <c r="C869" s="8"/>
      <c r="D869" s="8"/>
      <c r="E869" s="8"/>
      <c r="F869" s="8"/>
      <c r="G869" s="8"/>
      <c r="H869" s="8"/>
      <c r="I869" s="8"/>
      <c r="J869" s="8"/>
      <c r="K869" s="8"/>
    </row>
    <row r="870">
      <c r="A870" s="8" t="s">
        <v>878</v>
      </c>
      <c r="B870" s="8"/>
      <c r="C870" s="8"/>
      <c r="D870" s="8"/>
      <c r="E870" s="8"/>
      <c r="F870" s="8"/>
      <c r="G870" s="8"/>
      <c r="H870" s="8"/>
      <c r="I870" s="8"/>
      <c r="J870" s="8"/>
      <c r="K870" s="8"/>
    </row>
    <row r="871">
      <c r="A871" s="8" t="s">
        <v>879</v>
      </c>
      <c r="B871" s="8"/>
      <c r="C871" s="8"/>
      <c r="D871" s="8"/>
      <c r="E871" s="8"/>
      <c r="F871" s="8"/>
      <c r="G871" s="8"/>
      <c r="H871" s="8"/>
      <c r="I871" s="8"/>
      <c r="J871" s="8"/>
      <c r="K871" s="8"/>
    </row>
    <row r="872">
      <c r="A872" s="8" t="s">
        <v>880</v>
      </c>
      <c r="B872" s="8"/>
      <c r="C872" s="8"/>
      <c r="D872" s="8"/>
      <c r="E872" s="8"/>
      <c r="F872" s="8"/>
      <c r="G872" s="8"/>
      <c r="H872" s="8"/>
      <c r="I872" s="8"/>
      <c r="J872" s="8"/>
      <c r="K872" s="8"/>
    </row>
    <row r="873">
      <c r="A873" s="8" t="s">
        <v>881</v>
      </c>
      <c r="B873" s="8"/>
      <c r="C873" s="8"/>
      <c r="D873" s="8"/>
      <c r="E873" s="8"/>
      <c r="F873" s="8"/>
      <c r="G873" s="8"/>
      <c r="H873" s="8"/>
      <c r="I873" s="8"/>
      <c r="J873" s="8"/>
      <c r="K873" s="8"/>
    </row>
    <row r="874">
      <c r="A874" s="8" t="s">
        <v>882</v>
      </c>
      <c r="B874" s="8"/>
      <c r="C874" s="8"/>
      <c r="D874" s="8"/>
      <c r="E874" s="8"/>
      <c r="F874" s="8"/>
      <c r="G874" s="8"/>
      <c r="H874" s="8"/>
      <c r="I874" s="8"/>
      <c r="J874" s="8"/>
      <c r="K874" s="8"/>
    </row>
    <row r="875">
      <c r="A875" s="8" t="s">
        <v>883</v>
      </c>
      <c r="B875" s="8"/>
      <c r="C875" s="8"/>
      <c r="D875" s="8"/>
      <c r="E875" s="8"/>
      <c r="F875" s="8"/>
      <c r="G875" s="8"/>
      <c r="H875" s="8"/>
      <c r="I875" s="8"/>
      <c r="J875" s="8"/>
      <c r="K875" s="8"/>
    </row>
    <row r="876">
      <c r="A876" s="8" t="s">
        <v>884</v>
      </c>
      <c r="B876" s="8"/>
      <c r="C876" s="8"/>
      <c r="D876" s="8"/>
      <c r="E876" s="8"/>
      <c r="F876" s="8"/>
      <c r="G876" s="8"/>
      <c r="H876" s="8"/>
      <c r="I876" s="8"/>
      <c r="J876" s="8"/>
      <c r="K876" s="8"/>
    </row>
    <row r="877">
      <c r="A877" s="8" t="s">
        <v>885</v>
      </c>
      <c r="B877" s="8"/>
      <c r="C877" s="8"/>
      <c r="D877" s="8"/>
      <c r="E877" s="8"/>
      <c r="F877" s="8"/>
      <c r="G877" s="8"/>
      <c r="H877" s="8"/>
      <c r="I877" s="8"/>
      <c r="J877" s="8"/>
      <c r="K877" s="8"/>
    </row>
    <row r="878">
      <c r="A878" s="8" t="s">
        <v>886</v>
      </c>
      <c r="B878" s="8"/>
      <c r="C878" s="8"/>
      <c r="D878" s="8"/>
      <c r="E878" s="8"/>
      <c r="F878" s="8"/>
      <c r="G878" s="8"/>
      <c r="H878" s="8"/>
      <c r="I878" s="8"/>
      <c r="J878" s="8"/>
      <c r="K878" s="8"/>
    </row>
    <row r="879">
      <c r="A879" s="8" t="s">
        <v>887</v>
      </c>
      <c r="B879" s="8"/>
      <c r="C879" s="8"/>
      <c r="D879" s="8"/>
      <c r="E879" s="8"/>
      <c r="F879" s="8"/>
      <c r="G879" s="8"/>
      <c r="H879" s="8"/>
      <c r="I879" s="8"/>
      <c r="J879" s="8"/>
      <c r="K879" s="8"/>
    </row>
    <row r="880">
      <c r="A880" s="8" t="s">
        <v>888</v>
      </c>
      <c r="B880" s="8"/>
      <c r="C880" s="8"/>
      <c r="D880" s="8"/>
      <c r="E880" s="8"/>
      <c r="F880" s="8"/>
      <c r="G880" s="8"/>
      <c r="H880" s="8"/>
      <c r="I880" s="8"/>
      <c r="J880" s="8"/>
      <c r="K880" s="8"/>
    </row>
    <row r="881">
      <c r="A881" s="8" t="s">
        <v>889</v>
      </c>
      <c r="B881" s="8"/>
      <c r="C881" s="8"/>
      <c r="D881" s="8"/>
      <c r="E881" s="8"/>
      <c r="F881" s="8"/>
      <c r="G881" s="8"/>
      <c r="H881" s="8"/>
      <c r="I881" s="8"/>
      <c r="J881" s="8"/>
      <c r="K881" s="8"/>
    </row>
    <row r="882">
      <c r="A882" s="8" t="s">
        <v>890</v>
      </c>
      <c r="B882" s="8"/>
      <c r="C882" s="8"/>
      <c r="D882" s="8"/>
      <c r="E882" s="8"/>
      <c r="F882" s="8"/>
      <c r="G882" s="8"/>
      <c r="H882" s="8"/>
      <c r="I882" s="8"/>
      <c r="J882" s="8"/>
      <c r="K882" s="8"/>
    </row>
    <row r="883">
      <c r="A883" s="8" t="s">
        <v>891</v>
      </c>
      <c r="B883" s="8"/>
      <c r="C883" s="8"/>
      <c r="D883" s="8"/>
      <c r="E883" s="8"/>
      <c r="F883" s="8"/>
      <c r="G883" s="8"/>
      <c r="H883" s="8"/>
      <c r="I883" s="8"/>
      <c r="J883" s="8"/>
      <c r="K883" s="8"/>
    </row>
    <row r="884">
      <c r="A884" s="8" t="s">
        <v>892</v>
      </c>
      <c r="B884" s="8"/>
      <c r="C884" s="8"/>
      <c r="D884" s="8"/>
      <c r="E884" s="8"/>
      <c r="F884" s="8"/>
      <c r="G884" s="8"/>
      <c r="H884" s="8"/>
      <c r="I884" s="8"/>
      <c r="J884" s="8"/>
      <c r="K884" s="8"/>
    </row>
    <row r="885">
      <c r="A885" s="8" t="s">
        <v>893</v>
      </c>
      <c r="B885" s="8"/>
      <c r="C885" s="8"/>
      <c r="D885" s="8"/>
      <c r="E885" s="8"/>
      <c r="F885" s="8"/>
      <c r="G885" s="8"/>
      <c r="H885" s="8"/>
      <c r="I885" s="8"/>
      <c r="J885" s="8"/>
      <c r="K885" s="8"/>
    </row>
    <row r="886">
      <c r="A886" s="8" t="s">
        <v>894</v>
      </c>
      <c r="B886" s="8"/>
      <c r="C886" s="8"/>
      <c r="D886" s="8"/>
      <c r="E886" s="8"/>
      <c r="F886" s="8"/>
      <c r="G886" s="8"/>
      <c r="H886" s="8"/>
      <c r="I886" s="8"/>
      <c r="J886" s="8"/>
      <c r="K886" s="8"/>
    </row>
    <row r="887">
      <c r="A887" s="8" t="s">
        <v>895</v>
      </c>
      <c r="B887" s="8"/>
      <c r="C887" s="8"/>
      <c r="D887" s="8"/>
      <c r="E887" s="8"/>
      <c r="F887" s="8"/>
      <c r="G887" s="8"/>
      <c r="H887" s="8"/>
      <c r="I887" s="8"/>
      <c r="J887" s="8"/>
      <c r="K887" s="8"/>
    </row>
    <row r="888">
      <c r="A888" s="8" t="s">
        <v>896</v>
      </c>
      <c r="B888" s="8"/>
      <c r="C888" s="8"/>
      <c r="D888" s="8"/>
      <c r="E888" s="8"/>
      <c r="F888" s="8"/>
      <c r="G888" s="8"/>
      <c r="H888" s="8"/>
      <c r="I888" s="8"/>
      <c r="J888" s="8"/>
      <c r="K888" s="8"/>
    </row>
    <row r="889">
      <c r="A889" s="8" t="s">
        <v>897</v>
      </c>
      <c r="B889" s="8"/>
      <c r="C889" s="8"/>
      <c r="D889" s="8"/>
      <c r="E889" s="8"/>
      <c r="F889" s="8"/>
      <c r="G889" s="8"/>
      <c r="H889" s="8"/>
      <c r="I889" s="8"/>
      <c r="J889" s="8"/>
      <c r="K889" s="8"/>
    </row>
    <row r="890">
      <c r="A890" s="8" t="s">
        <v>898</v>
      </c>
      <c r="B890" s="8"/>
      <c r="C890" s="8"/>
      <c r="D890" s="8"/>
      <c r="E890" s="8"/>
      <c r="F890" s="8"/>
      <c r="G890" s="8"/>
      <c r="H890" s="8"/>
      <c r="I890" s="8"/>
      <c r="J890" s="8"/>
      <c r="K890" s="8"/>
    </row>
    <row r="891">
      <c r="A891" s="8" t="s">
        <v>899</v>
      </c>
      <c r="B891" s="8"/>
      <c r="C891" s="8"/>
      <c r="D891" s="8"/>
      <c r="E891" s="8"/>
      <c r="F891" s="8"/>
      <c r="G891" s="8"/>
      <c r="H891" s="8"/>
      <c r="I891" s="8"/>
      <c r="J891" s="8"/>
      <c r="K891" s="8"/>
    </row>
    <row r="892">
      <c r="A892" s="8" t="s">
        <v>900</v>
      </c>
      <c r="B892" s="8"/>
      <c r="C892" s="8"/>
      <c r="D892" s="8"/>
      <c r="E892" s="8"/>
      <c r="F892" s="8"/>
      <c r="G892" s="8"/>
      <c r="H892" s="8"/>
      <c r="I892" s="8"/>
      <c r="J892" s="8"/>
      <c r="K892" s="8"/>
    </row>
    <row r="893">
      <c r="A893" s="8" t="s">
        <v>901</v>
      </c>
      <c r="B893" s="8"/>
      <c r="C893" s="8"/>
      <c r="D893" s="8"/>
      <c r="E893" s="8"/>
      <c r="F893" s="8"/>
      <c r="G893" s="8"/>
      <c r="H893" s="8"/>
      <c r="I893" s="8"/>
      <c r="J893" s="8"/>
      <c r="K893" s="8"/>
    </row>
    <row r="894">
      <c r="A894" s="8" t="s">
        <v>902</v>
      </c>
      <c r="B894" s="8"/>
      <c r="C894" s="8"/>
      <c r="D894" s="8"/>
      <c r="E894" s="8"/>
      <c r="F894" s="8"/>
      <c r="G894" s="8"/>
      <c r="H894" s="8"/>
      <c r="I894" s="8"/>
      <c r="J894" s="8"/>
      <c r="K894" s="8"/>
    </row>
    <row r="895">
      <c r="A895" s="8" t="s">
        <v>903</v>
      </c>
      <c r="B895" s="8"/>
      <c r="C895" s="8"/>
      <c r="D895" s="8"/>
      <c r="E895" s="8"/>
      <c r="F895" s="8"/>
      <c r="G895" s="8"/>
      <c r="H895" s="8"/>
      <c r="I895" s="8"/>
      <c r="J895" s="8"/>
      <c r="K895" s="8"/>
    </row>
    <row r="896">
      <c r="A896" s="8" t="s">
        <v>904</v>
      </c>
      <c r="B896" s="8"/>
      <c r="C896" s="8"/>
      <c r="D896" s="8"/>
      <c r="E896" s="8"/>
      <c r="F896" s="8"/>
      <c r="G896" s="8"/>
      <c r="H896" s="8"/>
      <c r="I896" s="8"/>
      <c r="J896" s="8"/>
      <c r="K896" s="8"/>
    </row>
    <row r="897">
      <c r="A897" s="8" t="s">
        <v>905</v>
      </c>
      <c r="B897" s="8"/>
      <c r="C897" s="8"/>
      <c r="D897" s="8"/>
      <c r="E897" s="8"/>
      <c r="F897" s="8"/>
      <c r="G897" s="8"/>
      <c r="H897" s="8"/>
      <c r="I897" s="8"/>
      <c r="J897" s="8"/>
      <c r="K897" s="8"/>
    </row>
    <row r="898">
      <c r="A898" s="8" t="s">
        <v>906</v>
      </c>
      <c r="B898" s="8"/>
      <c r="C898" s="8"/>
      <c r="D898" s="8"/>
      <c r="E898" s="8"/>
      <c r="F898" s="8"/>
      <c r="G898" s="8"/>
      <c r="H898" s="8"/>
      <c r="I898" s="8"/>
      <c r="J898" s="8"/>
      <c r="K898" s="8"/>
    </row>
    <row r="899">
      <c r="A899" s="8" t="s">
        <v>907</v>
      </c>
      <c r="B899" s="8"/>
      <c r="C899" s="8"/>
      <c r="D899" s="8"/>
      <c r="E899" s="8"/>
      <c r="F899" s="8"/>
      <c r="G899" s="8"/>
      <c r="H899" s="8"/>
      <c r="I899" s="8"/>
      <c r="J899" s="8"/>
      <c r="K899" s="8"/>
    </row>
    <row r="900">
      <c r="A900" s="8" t="s">
        <v>908</v>
      </c>
      <c r="B900" s="8"/>
      <c r="C900" s="8"/>
      <c r="D900" s="8"/>
      <c r="E900" s="8"/>
      <c r="F900" s="8"/>
      <c r="G900" s="8"/>
      <c r="H900" s="8"/>
      <c r="I900" s="8"/>
      <c r="J900" s="8"/>
      <c r="K900" s="8"/>
    </row>
    <row r="901">
      <c r="A901" s="8" t="s">
        <v>909</v>
      </c>
      <c r="B901" s="8"/>
      <c r="C901" s="8"/>
      <c r="D901" s="8"/>
      <c r="E901" s="8"/>
      <c r="F901" s="8"/>
      <c r="G901" s="8"/>
      <c r="H901" s="8"/>
      <c r="I901" s="8"/>
      <c r="J901" s="8"/>
      <c r="K901" s="8"/>
    </row>
    <row r="902">
      <c r="A902" s="8" t="s">
        <v>910</v>
      </c>
      <c r="B902" s="8"/>
      <c r="C902" s="8"/>
      <c r="D902" s="8"/>
      <c r="E902" s="8"/>
      <c r="F902" s="8"/>
      <c r="G902" s="8"/>
      <c r="H902" s="8"/>
      <c r="I902" s="8"/>
      <c r="J902" s="8"/>
      <c r="K902" s="8"/>
    </row>
    <row r="903">
      <c r="A903" s="8" t="s">
        <v>911</v>
      </c>
      <c r="B903" s="8"/>
      <c r="C903" s="8"/>
      <c r="D903" s="8"/>
      <c r="E903" s="8"/>
      <c r="F903" s="8"/>
      <c r="G903" s="8"/>
      <c r="H903" s="8"/>
      <c r="I903" s="8"/>
      <c r="J903" s="8"/>
      <c r="K903" s="8"/>
    </row>
    <row r="904">
      <c r="A904" s="8" t="s">
        <v>912</v>
      </c>
      <c r="B904" s="8"/>
      <c r="C904" s="8"/>
      <c r="D904" s="8"/>
      <c r="E904" s="8"/>
      <c r="F904" s="8"/>
      <c r="G904" s="8"/>
      <c r="H904" s="8"/>
      <c r="I904" s="8"/>
      <c r="J904" s="8"/>
      <c r="K904" s="8"/>
    </row>
    <row r="905">
      <c r="A905" s="8" t="s">
        <v>913</v>
      </c>
      <c r="B905" s="8"/>
      <c r="C905" s="8"/>
      <c r="D905" s="8"/>
      <c r="E905" s="8"/>
      <c r="F905" s="8"/>
      <c r="G905" s="8"/>
      <c r="H905" s="8"/>
      <c r="I905" s="8"/>
      <c r="J905" s="8"/>
      <c r="K905" s="8"/>
    </row>
    <row r="906">
      <c r="A906" s="8" t="s">
        <v>914</v>
      </c>
      <c r="B906" s="8"/>
      <c r="C906" s="8"/>
      <c r="D906" s="8"/>
      <c r="E906" s="8"/>
      <c r="F906" s="8"/>
      <c r="G906" s="8"/>
      <c r="H906" s="8"/>
      <c r="I906" s="8"/>
      <c r="J906" s="8"/>
      <c r="K906" s="8"/>
    </row>
    <row r="907">
      <c r="A907" s="8" t="s">
        <v>915</v>
      </c>
      <c r="B907" s="8"/>
      <c r="C907" s="8"/>
      <c r="D907" s="8"/>
      <c r="E907" s="8"/>
      <c r="F907" s="8"/>
      <c r="G907" s="8"/>
      <c r="H907" s="8"/>
      <c r="I907" s="8"/>
      <c r="J907" s="8"/>
      <c r="K907" s="8"/>
    </row>
    <row r="908">
      <c r="A908" s="8" t="s">
        <v>916</v>
      </c>
      <c r="B908" s="8"/>
      <c r="C908" s="8"/>
      <c r="D908" s="8"/>
      <c r="E908" s="8"/>
      <c r="F908" s="8"/>
      <c r="G908" s="8"/>
      <c r="H908" s="8"/>
      <c r="I908" s="8"/>
      <c r="J908" s="8"/>
      <c r="K908" s="8"/>
    </row>
    <row r="909">
      <c r="A909" s="8" t="s">
        <v>917</v>
      </c>
      <c r="B909" s="8"/>
      <c r="C909" s="8"/>
      <c r="D909" s="8"/>
      <c r="E909" s="8"/>
      <c r="F909" s="8"/>
      <c r="G909" s="8"/>
      <c r="H909" s="8"/>
      <c r="I909" s="8"/>
      <c r="J909" s="8"/>
      <c r="K909" s="8"/>
    </row>
    <row r="910">
      <c r="A910" s="8" t="s">
        <v>918</v>
      </c>
      <c r="B910" s="8"/>
      <c r="C910" s="8"/>
      <c r="D910" s="8"/>
      <c r="E910" s="8"/>
      <c r="F910" s="8"/>
      <c r="G910" s="8"/>
      <c r="H910" s="8"/>
      <c r="I910" s="8"/>
      <c r="J910" s="8"/>
      <c r="K910" s="8"/>
    </row>
    <row r="911">
      <c r="A911" s="8" t="s">
        <v>919</v>
      </c>
      <c r="B911" s="8"/>
      <c r="C911" s="8"/>
      <c r="D911" s="8"/>
      <c r="E911" s="8"/>
      <c r="F911" s="8"/>
      <c r="G911" s="8"/>
      <c r="H911" s="8"/>
      <c r="I911" s="8"/>
      <c r="J911" s="8"/>
      <c r="K911" s="8"/>
    </row>
    <row r="912">
      <c r="A912" s="8" t="s">
        <v>920</v>
      </c>
      <c r="B912" s="8"/>
      <c r="C912" s="8"/>
      <c r="D912" s="8"/>
      <c r="E912" s="8"/>
      <c r="F912" s="8"/>
      <c r="G912" s="8"/>
      <c r="H912" s="8"/>
      <c r="I912" s="8"/>
      <c r="J912" s="8"/>
      <c r="K912" s="8"/>
    </row>
    <row r="913">
      <c r="A913" s="8" t="s">
        <v>921</v>
      </c>
      <c r="B913" s="8"/>
      <c r="C913" s="8"/>
      <c r="D913" s="8"/>
      <c r="E913" s="8"/>
      <c r="F913" s="8"/>
      <c r="G913" s="8"/>
      <c r="H913" s="8"/>
      <c r="I913" s="8"/>
      <c r="J913" s="8"/>
      <c r="K913" s="8"/>
    </row>
    <row r="914">
      <c r="A914" s="8" t="s">
        <v>922</v>
      </c>
      <c r="B914" s="8"/>
      <c r="C914" s="8"/>
      <c r="D914" s="8"/>
      <c r="E914" s="8"/>
      <c r="F914" s="8"/>
      <c r="G914" s="8"/>
      <c r="H914" s="8"/>
      <c r="I914" s="8"/>
      <c r="J914" s="8"/>
      <c r="K914" s="8"/>
    </row>
    <row r="915">
      <c r="A915" s="8" t="s">
        <v>923</v>
      </c>
      <c r="B915" s="8"/>
      <c r="C915" s="8"/>
      <c r="D915" s="8"/>
      <c r="E915" s="8"/>
      <c r="F915" s="8"/>
      <c r="G915" s="8"/>
      <c r="H915" s="8"/>
      <c r="I915" s="8"/>
      <c r="J915" s="8"/>
      <c r="K915" s="8"/>
    </row>
    <row r="916">
      <c r="A916" s="8" t="s">
        <v>924</v>
      </c>
      <c r="B916" s="8"/>
      <c r="C916" s="8"/>
      <c r="D916" s="8"/>
      <c r="E916" s="8"/>
      <c r="F916" s="8"/>
      <c r="G916" s="8"/>
      <c r="H916" s="8"/>
      <c r="I916" s="8"/>
      <c r="J916" s="8"/>
      <c r="K916" s="8"/>
    </row>
    <row r="917">
      <c r="A917" s="8" t="s">
        <v>925</v>
      </c>
      <c r="B917" s="8"/>
      <c r="C917" s="8"/>
      <c r="D917" s="8"/>
      <c r="E917" s="8"/>
      <c r="F917" s="8"/>
      <c r="G917" s="8"/>
      <c r="H917" s="8"/>
      <c r="I917" s="8"/>
      <c r="J917" s="8"/>
      <c r="K917" s="8"/>
    </row>
    <row r="918">
      <c r="A918" s="8" t="s">
        <v>926</v>
      </c>
      <c r="B918" s="8"/>
      <c r="C918" s="8"/>
      <c r="D918" s="8"/>
      <c r="E918" s="8"/>
      <c r="F918" s="8"/>
      <c r="G918" s="8"/>
      <c r="H918" s="8"/>
      <c r="I918" s="8"/>
      <c r="J918" s="8"/>
      <c r="K918" s="8"/>
    </row>
    <row r="919">
      <c r="A919" s="8" t="s">
        <v>927</v>
      </c>
      <c r="B919" s="8"/>
      <c r="C919" s="8"/>
      <c r="D919" s="8"/>
      <c r="E919" s="8"/>
      <c r="F919" s="8"/>
      <c r="G919" s="8"/>
      <c r="H919" s="8"/>
      <c r="I919" s="8"/>
      <c r="J919" s="8"/>
      <c r="K919" s="8"/>
    </row>
    <row r="920">
      <c r="A920" s="8" t="s">
        <v>928</v>
      </c>
      <c r="B920" s="8"/>
      <c r="C920" s="8"/>
      <c r="D920" s="8"/>
      <c r="E920" s="8"/>
      <c r="F920" s="8"/>
      <c r="G920" s="8"/>
      <c r="H920" s="8"/>
      <c r="I920" s="8"/>
      <c r="J920" s="8"/>
      <c r="K920" s="8"/>
    </row>
    <row r="921">
      <c r="A921" s="8" t="s">
        <v>929</v>
      </c>
      <c r="B921" s="8"/>
      <c r="C921" s="8"/>
      <c r="D921" s="8"/>
      <c r="E921" s="8"/>
      <c r="F921" s="8"/>
      <c r="G921" s="8"/>
      <c r="H921" s="8"/>
      <c r="I921" s="8"/>
      <c r="J921" s="8"/>
      <c r="K921" s="8"/>
    </row>
    <row r="922">
      <c r="A922" s="8" t="s">
        <v>930</v>
      </c>
      <c r="B922" s="8"/>
      <c r="C922" s="8"/>
      <c r="D922" s="8"/>
      <c r="E922" s="8"/>
      <c r="F922" s="8"/>
      <c r="G922" s="8"/>
      <c r="H922" s="8"/>
      <c r="I922" s="8"/>
      <c r="J922" s="8"/>
      <c r="K922" s="8"/>
    </row>
    <row r="923">
      <c r="A923" s="8" t="s">
        <v>931</v>
      </c>
      <c r="B923" s="8"/>
      <c r="C923" s="8"/>
      <c r="D923" s="8"/>
      <c r="E923" s="8"/>
      <c r="F923" s="8"/>
      <c r="G923" s="8"/>
      <c r="H923" s="8"/>
      <c r="I923" s="8"/>
      <c r="J923" s="8"/>
      <c r="K923" s="8"/>
    </row>
    <row r="924">
      <c r="A924" s="8" t="s">
        <v>932</v>
      </c>
      <c r="B924" s="8"/>
      <c r="C924" s="8"/>
      <c r="D924" s="8"/>
      <c r="E924" s="8"/>
      <c r="F924" s="8"/>
      <c r="G924" s="8"/>
      <c r="H924" s="8"/>
      <c r="I924" s="8"/>
      <c r="J924" s="8"/>
      <c r="K924" s="8"/>
    </row>
    <row r="925">
      <c r="A925" s="8" t="s">
        <v>933</v>
      </c>
      <c r="B925" s="8"/>
      <c r="C925" s="8"/>
      <c r="D925" s="8"/>
      <c r="E925" s="8"/>
      <c r="F925" s="8"/>
      <c r="G925" s="8"/>
      <c r="H925" s="8"/>
      <c r="I925" s="8"/>
      <c r="J925" s="8"/>
      <c r="K925" s="8"/>
    </row>
    <row r="926">
      <c r="A926" s="8" t="s">
        <v>934</v>
      </c>
      <c r="B926" s="8"/>
      <c r="C926" s="8"/>
      <c r="D926" s="8"/>
      <c r="E926" s="8"/>
      <c r="F926" s="8"/>
      <c r="G926" s="8"/>
      <c r="H926" s="8"/>
      <c r="I926" s="8"/>
      <c r="J926" s="8"/>
      <c r="K926" s="8"/>
    </row>
    <row r="927">
      <c r="A927" s="8" t="s">
        <v>935</v>
      </c>
      <c r="B927" s="8"/>
      <c r="C927" s="8"/>
      <c r="D927" s="8"/>
      <c r="E927" s="8"/>
      <c r="F927" s="8"/>
      <c r="G927" s="8"/>
      <c r="H927" s="8"/>
      <c r="I927" s="8"/>
      <c r="J927" s="8"/>
      <c r="K927" s="8"/>
    </row>
    <row r="928">
      <c r="A928" s="8" t="s">
        <v>936</v>
      </c>
      <c r="B928" s="8"/>
      <c r="C928" s="8"/>
      <c r="D928" s="8"/>
      <c r="E928" s="8"/>
      <c r="F928" s="8"/>
      <c r="G928" s="8"/>
      <c r="H928" s="8"/>
      <c r="I928" s="8"/>
      <c r="J928" s="8"/>
      <c r="K928" s="8"/>
    </row>
    <row r="929">
      <c r="A929" s="8" t="s">
        <v>937</v>
      </c>
      <c r="B929" s="8"/>
      <c r="C929" s="8"/>
      <c r="D929" s="8"/>
      <c r="E929" s="8"/>
      <c r="F929" s="8"/>
      <c r="G929" s="8"/>
      <c r="H929" s="8"/>
      <c r="I929" s="8"/>
      <c r="J929" s="8"/>
      <c r="K929" s="8"/>
    </row>
    <row r="930">
      <c r="A930" s="8" t="s">
        <v>938</v>
      </c>
      <c r="B930" s="8"/>
      <c r="C930" s="8"/>
      <c r="D930" s="8"/>
      <c r="E930" s="8"/>
      <c r="F930" s="8"/>
      <c r="G930" s="8"/>
      <c r="H930" s="8"/>
      <c r="I930" s="8"/>
      <c r="J930" s="8"/>
      <c r="K930" s="8"/>
    </row>
    <row r="931">
      <c r="A931" s="8" t="s">
        <v>939</v>
      </c>
      <c r="B931" s="8"/>
      <c r="C931" s="8"/>
      <c r="D931" s="8"/>
      <c r="E931" s="8"/>
      <c r="F931" s="8"/>
      <c r="G931" s="8"/>
      <c r="H931" s="8"/>
      <c r="I931" s="8"/>
      <c r="J931" s="8"/>
      <c r="K931" s="8"/>
    </row>
    <row r="932">
      <c r="A932" s="8" t="s">
        <v>940</v>
      </c>
      <c r="B932" s="8"/>
      <c r="C932" s="8"/>
      <c r="D932" s="8"/>
      <c r="E932" s="8"/>
      <c r="F932" s="8"/>
      <c r="G932" s="8"/>
      <c r="H932" s="8"/>
      <c r="I932" s="8"/>
      <c r="J932" s="8"/>
      <c r="K932" s="8"/>
    </row>
    <row r="933">
      <c r="A933" s="8" t="s">
        <v>941</v>
      </c>
      <c r="B933" s="8"/>
      <c r="C933" s="8"/>
      <c r="D933" s="8"/>
      <c r="E933" s="8"/>
      <c r="F933" s="8"/>
      <c r="G933" s="8"/>
      <c r="H933" s="8"/>
      <c r="I933" s="8"/>
      <c r="J933" s="8"/>
      <c r="K933" s="8"/>
    </row>
    <row r="934">
      <c r="A934" s="8" t="s">
        <v>942</v>
      </c>
      <c r="B934" s="8"/>
      <c r="C934" s="8"/>
      <c r="D934" s="8"/>
      <c r="E934" s="8"/>
      <c r="F934" s="8"/>
      <c r="G934" s="8"/>
      <c r="H934" s="8"/>
      <c r="I934" s="8"/>
      <c r="J934" s="8"/>
      <c r="K934" s="8"/>
    </row>
    <row r="935">
      <c r="A935" s="8" t="s">
        <v>943</v>
      </c>
      <c r="B935" s="8"/>
      <c r="C935" s="8"/>
      <c r="D935" s="8"/>
      <c r="E935" s="8"/>
      <c r="F935" s="8"/>
      <c r="G935" s="8"/>
      <c r="H935" s="8"/>
      <c r="I935" s="8"/>
      <c r="J935" s="8"/>
      <c r="K935" s="8"/>
    </row>
    <row r="936">
      <c r="A936" s="8" t="s">
        <v>944</v>
      </c>
      <c r="B936" s="8"/>
      <c r="C936" s="8"/>
      <c r="D936" s="8"/>
      <c r="E936" s="8"/>
      <c r="F936" s="8"/>
      <c r="G936" s="8"/>
      <c r="H936" s="8"/>
      <c r="I936" s="8"/>
      <c r="J936" s="8"/>
      <c r="K936" s="8"/>
    </row>
    <row r="937">
      <c r="A937" s="8" t="s">
        <v>945</v>
      </c>
      <c r="B937" s="8"/>
      <c r="C937" s="8"/>
      <c r="D937" s="8"/>
      <c r="E937" s="8"/>
      <c r="F937" s="8"/>
      <c r="G937" s="8"/>
      <c r="H937" s="8"/>
      <c r="I937" s="8"/>
      <c r="J937" s="8"/>
      <c r="K937" s="8"/>
    </row>
    <row r="938">
      <c r="A938" s="8" t="s">
        <v>946</v>
      </c>
      <c r="B938" s="8"/>
      <c r="C938" s="8"/>
      <c r="D938" s="8"/>
      <c r="E938" s="8"/>
      <c r="F938" s="8"/>
      <c r="G938" s="8"/>
      <c r="H938" s="8"/>
      <c r="I938" s="8"/>
      <c r="J938" s="8"/>
      <c r="K938" s="8"/>
    </row>
    <row r="939">
      <c r="A939" s="8" t="s">
        <v>947</v>
      </c>
      <c r="B939" s="8"/>
      <c r="C939" s="8"/>
      <c r="D939" s="8"/>
      <c r="E939" s="8"/>
      <c r="F939" s="8"/>
      <c r="G939" s="8"/>
      <c r="H939" s="8"/>
      <c r="I939" s="8"/>
      <c r="J939" s="8"/>
      <c r="K939" s="8"/>
    </row>
    <row r="940">
      <c r="A940" s="8" t="s">
        <v>948</v>
      </c>
      <c r="B940" s="8"/>
      <c r="C940" s="8"/>
      <c r="D940" s="8"/>
      <c r="E940" s="8"/>
      <c r="F940" s="8"/>
      <c r="G940" s="8"/>
      <c r="H940" s="8"/>
      <c r="I940" s="8"/>
      <c r="J940" s="8"/>
      <c r="K940" s="8"/>
    </row>
    <row r="941">
      <c r="A941" s="8" t="s">
        <v>949</v>
      </c>
      <c r="B941" s="8"/>
      <c r="C941" s="8"/>
      <c r="D941" s="8"/>
      <c r="E941" s="8"/>
      <c r="F941" s="8"/>
      <c r="G941" s="8"/>
      <c r="H941" s="8"/>
      <c r="I941" s="8"/>
      <c r="J941" s="8"/>
      <c r="K941" s="8"/>
    </row>
    <row r="942">
      <c r="A942" s="8" t="s">
        <v>950</v>
      </c>
      <c r="B942" s="8"/>
      <c r="C942" s="8"/>
      <c r="D942" s="8"/>
      <c r="E942" s="8"/>
      <c r="F942" s="8"/>
      <c r="G942" s="8"/>
      <c r="H942" s="8"/>
      <c r="I942" s="8"/>
      <c r="J942" s="8"/>
      <c r="K942" s="8"/>
    </row>
    <row r="943">
      <c r="A943" s="8" t="s">
        <v>951</v>
      </c>
      <c r="B943" s="8"/>
      <c r="C943" s="8"/>
      <c r="D943" s="8"/>
      <c r="E943" s="8"/>
      <c r="F943" s="8"/>
      <c r="G943" s="8"/>
      <c r="H943" s="8"/>
      <c r="I943" s="8"/>
      <c r="J943" s="8"/>
      <c r="K943" s="8"/>
    </row>
    <row r="944">
      <c r="A944" s="8" t="s">
        <v>952</v>
      </c>
      <c r="B944" s="8"/>
      <c r="C944" s="8"/>
      <c r="D944" s="8"/>
      <c r="E944" s="8"/>
      <c r="F944" s="8"/>
      <c r="G944" s="8"/>
      <c r="H944" s="8"/>
      <c r="I944" s="8"/>
      <c r="J944" s="8"/>
      <c r="K944" s="8"/>
    </row>
    <row r="945">
      <c r="A945" s="8" t="s">
        <v>953</v>
      </c>
      <c r="B945" s="8"/>
      <c r="C945" s="8"/>
      <c r="D945" s="8"/>
      <c r="E945" s="8"/>
      <c r="F945" s="8"/>
      <c r="G945" s="8"/>
      <c r="H945" s="8"/>
      <c r="I945" s="8"/>
      <c r="J945" s="8"/>
      <c r="K945" s="8"/>
    </row>
    <row r="946">
      <c r="A946" s="8" t="s">
        <v>954</v>
      </c>
      <c r="B946" s="8"/>
      <c r="C946" s="8"/>
      <c r="D946" s="8"/>
      <c r="E946" s="8"/>
      <c r="F946" s="8"/>
      <c r="G946" s="8"/>
      <c r="H946" s="8"/>
      <c r="I946" s="8"/>
      <c r="J946" s="8"/>
      <c r="K946" s="8"/>
    </row>
    <row r="947">
      <c r="A947" s="8" t="s">
        <v>955</v>
      </c>
      <c r="B947" s="8"/>
      <c r="C947" s="8"/>
      <c r="D947" s="8"/>
      <c r="E947" s="8"/>
      <c r="F947" s="8"/>
      <c r="G947" s="8"/>
      <c r="H947" s="8"/>
      <c r="I947" s="8"/>
      <c r="J947" s="8"/>
      <c r="K947" s="8"/>
    </row>
    <row r="948">
      <c r="A948" s="8" t="s">
        <v>956</v>
      </c>
      <c r="B948" s="8"/>
      <c r="C948" s="8"/>
      <c r="D948" s="8"/>
      <c r="E948" s="8"/>
      <c r="F948" s="8"/>
      <c r="G948" s="8"/>
      <c r="H948" s="8"/>
      <c r="I948" s="8"/>
      <c r="J948" s="8"/>
      <c r="K948" s="8"/>
    </row>
    <row r="949">
      <c r="A949" s="8" t="s">
        <v>957</v>
      </c>
      <c r="B949" s="8"/>
      <c r="C949" s="8"/>
      <c r="D949" s="8"/>
      <c r="E949" s="8"/>
      <c r="F949" s="8"/>
      <c r="G949" s="8"/>
      <c r="H949" s="8"/>
      <c r="I949" s="8"/>
      <c r="J949" s="8"/>
      <c r="K949" s="8"/>
    </row>
    <row r="950">
      <c r="A950" s="8" t="s">
        <v>958</v>
      </c>
      <c r="B950" s="8"/>
      <c r="C950" s="8"/>
      <c r="D950" s="8"/>
      <c r="E950" s="8"/>
      <c r="F950" s="8"/>
      <c r="G950" s="8"/>
      <c r="H950" s="8"/>
      <c r="I950" s="8"/>
      <c r="J950" s="8"/>
      <c r="K950" s="8"/>
    </row>
    <row r="951">
      <c r="A951" s="8" t="s">
        <v>959</v>
      </c>
      <c r="B951" s="8"/>
      <c r="C951" s="8"/>
      <c r="D951" s="8"/>
      <c r="E951" s="8"/>
      <c r="F951" s="8"/>
      <c r="G951" s="8"/>
      <c r="H951" s="8"/>
      <c r="I951" s="8"/>
      <c r="J951" s="8"/>
      <c r="K951" s="8"/>
    </row>
    <row r="952">
      <c r="A952" s="8" t="s">
        <v>960</v>
      </c>
      <c r="B952" s="8"/>
      <c r="C952" s="8"/>
      <c r="D952" s="8"/>
      <c r="E952" s="8"/>
      <c r="F952" s="8"/>
      <c r="G952" s="8"/>
      <c r="H952" s="8"/>
      <c r="I952" s="8"/>
      <c r="J952" s="8"/>
      <c r="K952" s="8"/>
    </row>
    <row r="953">
      <c r="A953" s="8" t="s">
        <v>961</v>
      </c>
      <c r="B953" s="8"/>
      <c r="C953" s="8"/>
      <c r="D953" s="8"/>
      <c r="E953" s="8"/>
      <c r="F953" s="8"/>
      <c r="G953" s="8"/>
      <c r="H953" s="8"/>
      <c r="I953" s="8"/>
      <c r="J953" s="8"/>
      <c r="K953" s="8"/>
    </row>
    <row r="954">
      <c r="A954" s="8" t="s">
        <v>962</v>
      </c>
      <c r="B954" s="8"/>
      <c r="C954" s="8"/>
      <c r="D954" s="8"/>
      <c r="E954" s="8"/>
      <c r="F954" s="8"/>
      <c r="G954" s="8"/>
      <c r="H954" s="8"/>
      <c r="I954" s="8"/>
      <c r="J954" s="8"/>
      <c r="K954" s="8"/>
    </row>
    <row r="955">
      <c r="A955" s="8" t="s">
        <v>963</v>
      </c>
      <c r="B955" s="8"/>
      <c r="C955" s="8"/>
      <c r="D955" s="8"/>
      <c r="E955" s="8"/>
      <c r="F955" s="8"/>
      <c r="G955" s="8"/>
      <c r="H955" s="8"/>
      <c r="I955" s="8"/>
      <c r="J955" s="8"/>
      <c r="K955" s="8"/>
    </row>
    <row r="956">
      <c r="A956" s="8" t="s">
        <v>964</v>
      </c>
      <c r="B956" s="8"/>
      <c r="C956" s="8"/>
      <c r="D956" s="8"/>
      <c r="E956" s="8"/>
      <c r="F956" s="8"/>
      <c r="G956" s="8"/>
      <c r="H956" s="8"/>
      <c r="I956" s="8"/>
      <c r="J956" s="8"/>
      <c r="K956" s="8"/>
    </row>
    <row r="957">
      <c r="A957" s="8" t="s">
        <v>965</v>
      </c>
      <c r="B957" s="8"/>
      <c r="C957" s="8"/>
      <c r="D957" s="8"/>
      <c r="E957" s="8"/>
      <c r="F957" s="8"/>
      <c r="G957" s="8"/>
      <c r="H957" s="8"/>
      <c r="I957" s="8"/>
      <c r="J957" s="8"/>
      <c r="K957" s="8"/>
    </row>
    <row r="958">
      <c r="A958" s="8" t="s">
        <v>966</v>
      </c>
      <c r="B958" s="8"/>
      <c r="C958" s="8"/>
      <c r="D958" s="8"/>
      <c r="E958" s="8"/>
      <c r="F958" s="8"/>
      <c r="G958" s="8"/>
      <c r="H958" s="8"/>
      <c r="I958" s="8"/>
      <c r="J958" s="8"/>
      <c r="K958" s="8"/>
    </row>
    <row r="959">
      <c r="A959" s="8" t="s">
        <v>967</v>
      </c>
      <c r="B959" s="8"/>
      <c r="C959" s="8"/>
      <c r="D959" s="8"/>
      <c r="E959" s="8"/>
      <c r="F959" s="8"/>
      <c r="G959" s="8"/>
      <c r="H959" s="8"/>
      <c r="I959" s="8"/>
      <c r="J959" s="8"/>
      <c r="K959" s="8"/>
    </row>
    <row r="960">
      <c r="A960" s="8" t="s">
        <v>968</v>
      </c>
      <c r="B960" s="8"/>
      <c r="C960" s="8"/>
      <c r="D960" s="8"/>
      <c r="E960" s="8"/>
      <c r="F960" s="8"/>
      <c r="G960" s="8"/>
      <c r="H960" s="8"/>
      <c r="I960" s="8"/>
      <c r="J960" s="8"/>
      <c r="K960" s="8"/>
    </row>
    <row r="961">
      <c r="A961" s="8" t="s">
        <v>969</v>
      </c>
      <c r="B961" s="8"/>
      <c r="C961" s="8"/>
      <c r="D961" s="8"/>
      <c r="E961" s="8"/>
      <c r="F961" s="8"/>
      <c r="G961" s="8"/>
      <c r="H961" s="8"/>
      <c r="I961" s="8"/>
      <c r="J961" s="8"/>
      <c r="K961" s="8"/>
    </row>
    <row r="962">
      <c r="A962" s="8" t="s">
        <v>970</v>
      </c>
      <c r="B962" s="8"/>
      <c r="C962" s="8"/>
      <c r="D962" s="8"/>
      <c r="E962" s="8"/>
      <c r="F962" s="8"/>
      <c r="G962" s="8"/>
      <c r="H962" s="8"/>
      <c r="I962" s="8"/>
      <c r="J962" s="8"/>
      <c r="K962" s="8"/>
    </row>
    <row r="963">
      <c r="A963" s="8" t="s">
        <v>971</v>
      </c>
      <c r="B963" s="8"/>
      <c r="C963" s="8"/>
      <c r="D963" s="8"/>
      <c r="E963" s="8"/>
      <c r="F963" s="8"/>
      <c r="G963" s="8"/>
      <c r="H963" s="8"/>
      <c r="I963" s="8"/>
      <c r="J963" s="8"/>
      <c r="K963" s="8"/>
    </row>
    <row r="964">
      <c r="A964" s="8" t="s">
        <v>972</v>
      </c>
      <c r="B964" s="8"/>
      <c r="C964" s="8"/>
      <c r="D964" s="8"/>
      <c r="E964" s="8"/>
      <c r="F964" s="8"/>
      <c r="G964" s="8"/>
      <c r="H964" s="8"/>
      <c r="I964" s="8"/>
      <c r="J964" s="8"/>
      <c r="K964" s="8"/>
    </row>
    <row r="965">
      <c r="A965" s="8" t="s">
        <v>973</v>
      </c>
      <c r="B965" s="8"/>
      <c r="C965" s="8"/>
      <c r="D965" s="8"/>
      <c r="E965" s="8"/>
      <c r="F965" s="8"/>
      <c r="G965" s="8"/>
      <c r="H965" s="8"/>
      <c r="I965" s="8"/>
      <c r="J965" s="8"/>
      <c r="K965" s="8"/>
    </row>
    <row r="966">
      <c r="A966" s="8" t="s">
        <v>974</v>
      </c>
      <c r="B966" s="8"/>
      <c r="C966" s="8"/>
      <c r="D966" s="8"/>
      <c r="E966" s="8"/>
      <c r="F966" s="8"/>
      <c r="G966" s="8"/>
      <c r="H966" s="8"/>
      <c r="I966" s="8"/>
      <c r="J966" s="8"/>
      <c r="K966" s="8"/>
    </row>
    <row r="967">
      <c r="A967" s="8" t="s">
        <v>975</v>
      </c>
      <c r="B967" s="8"/>
      <c r="C967" s="8"/>
      <c r="D967" s="8"/>
      <c r="E967" s="8"/>
      <c r="F967" s="8"/>
      <c r="G967" s="8"/>
      <c r="H967" s="8"/>
      <c r="I967" s="8"/>
      <c r="J967" s="8"/>
      <c r="K967" s="8"/>
    </row>
    <row r="968">
      <c r="A968" s="8" t="s">
        <v>976</v>
      </c>
      <c r="B968" s="8"/>
      <c r="C968" s="8"/>
      <c r="D968" s="8"/>
      <c r="E968" s="8"/>
      <c r="F968" s="8"/>
      <c r="G968" s="8"/>
      <c r="H968" s="8"/>
      <c r="I968" s="8"/>
      <c r="J968" s="8"/>
      <c r="K968" s="8"/>
    </row>
    <row r="969">
      <c r="A969" s="8" t="s">
        <v>977</v>
      </c>
      <c r="B969" s="8"/>
      <c r="C969" s="8"/>
      <c r="D969" s="8"/>
      <c r="E969" s="8"/>
      <c r="F969" s="8"/>
      <c r="G969" s="8"/>
      <c r="H969" s="8"/>
      <c r="I969" s="8"/>
      <c r="J969" s="8"/>
      <c r="K969" s="8"/>
    </row>
    <row r="970">
      <c r="A970" s="8" t="s">
        <v>978</v>
      </c>
      <c r="B970" s="8"/>
      <c r="C970" s="8"/>
      <c r="D970" s="8"/>
      <c r="E970" s="8"/>
      <c r="F970" s="8"/>
      <c r="G970" s="8"/>
      <c r="H970" s="8"/>
      <c r="I970" s="8"/>
      <c r="J970" s="8"/>
      <c r="K970" s="8"/>
    </row>
    <row r="971">
      <c r="A971" s="8" t="s">
        <v>979</v>
      </c>
      <c r="B971" s="8"/>
      <c r="C971" s="8"/>
      <c r="D971" s="8"/>
      <c r="E971" s="8"/>
      <c r="F971" s="8"/>
      <c r="G971" s="8"/>
      <c r="H971" s="8"/>
      <c r="I971" s="8"/>
      <c r="J971" s="8"/>
      <c r="K971" s="8"/>
    </row>
    <row r="972">
      <c r="A972" s="8" t="s">
        <v>980</v>
      </c>
      <c r="B972" s="8"/>
      <c r="C972" s="8"/>
      <c r="D972" s="8"/>
      <c r="E972" s="8"/>
      <c r="F972" s="8"/>
      <c r="G972" s="8"/>
      <c r="H972" s="8"/>
      <c r="I972" s="8"/>
      <c r="J972" s="8"/>
      <c r="K972" s="8"/>
    </row>
    <row r="973">
      <c r="A973" s="8" t="s">
        <v>981</v>
      </c>
      <c r="B973" s="8"/>
      <c r="C973" s="8"/>
      <c r="D973" s="8"/>
      <c r="E973" s="8"/>
      <c r="F973" s="8"/>
      <c r="G973" s="8"/>
      <c r="H973" s="8"/>
      <c r="I973" s="8"/>
      <c r="J973" s="8"/>
      <c r="K973" s="8"/>
    </row>
    <row r="974">
      <c r="A974" s="8" t="s">
        <v>982</v>
      </c>
      <c r="B974" s="8"/>
      <c r="C974" s="8"/>
      <c r="D974" s="8"/>
      <c r="E974" s="8"/>
      <c r="F974" s="8"/>
      <c r="G974" s="8"/>
      <c r="H974" s="8"/>
      <c r="I974" s="8"/>
      <c r="J974" s="8"/>
      <c r="K974" s="8"/>
    </row>
    <row r="975">
      <c r="A975" s="8" t="s">
        <v>983</v>
      </c>
      <c r="B975" s="8"/>
      <c r="C975" s="8"/>
      <c r="D975" s="8"/>
      <c r="E975" s="8"/>
      <c r="F975" s="8"/>
      <c r="G975" s="8"/>
      <c r="H975" s="8"/>
      <c r="I975" s="8"/>
      <c r="J975" s="8"/>
      <c r="K975" s="8"/>
    </row>
    <row r="976">
      <c r="A976" s="8" t="s">
        <v>984</v>
      </c>
      <c r="B976" s="8"/>
      <c r="C976" s="8"/>
      <c r="D976" s="8"/>
      <c r="E976" s="8"/>
      <c r="F976" s="8"/>
      <c r="G976" s="8"/>
      <c r="H976" s="8"/>
      <c r="I976" s="8"/>
      <c r="J976" s="8"/>
      <c r="K976" s="8"/>
    </row>
    <row r="977">
      <c r="A977" s="8" t="s">
        <v>985</v>
      </c>
      <c r="B977" s="8"/>
      <c r="C977" s="8"/>
      <c r="D977" s="8"/>
      <c r="E977" s="8"/>
      <c r="F977" s="8"/>
      <c r="G977" s="8"/>
      <c r="H977" s="8"/>
      <c r="I977" s="8"/>
      <c r="J977" s="8"/>
      <c r="K977" s="8"/>
    </row>
    <row r="978">
      <c r="A978" s="8" t="s">
        <v>986</v>
      </c>
      <c r="B978" s="8"/>
      <c r="C978" s="8"/>
      <c r="D978" s="8"/>
      <c r="E978" s="8"/>
      <c r="F978" s="8"/>
      <c r="G978" s="8"/>
      <c r="H978" s="8"/>
      <c r="I978" s="8"/>
      <c r="J978" s="8"/>
      <c r="K978" s="8"/>
    </row>
    <row r="979">
      <c r="A979" s="8" t="s">
        <v>987</v>
      </c>
      <c r="B979" s="8"/>
      <c r="C979" s="8"/>
      <c r="D979" s="8"/>
      <c r="E979" s="8"/>
      <c r="F979" s="8"/>
      <c r="G979" s="8"/>
      <c r="H979" s="8"/>
      <c r="I979" s="8"/>
      <c r="J979" s="8"/>
      <c r="K979" s="8"/>
    </row>
    <row r="980">
      <c r="A980" s="8" t="s">
        <v>988</v>
      </c>
      <c r="B980" s="8"/>
      <c r="C980" s="8"/>
      <c r="D980" s="8"/>
      <c r="E980" s="8"/>
      <c r="F980" s="8"/>
      <c r="G980" s="8"/>
      <c r="H980" s="8"/>
      <c r="I980" s="8"/>
      <c r="J980" s="8"/>
      <c r="K980" s="8"/>
    </row>
    <row r="981">
      <c r="A981" s="8" t="s">
        <v>989</v>
      </c>
      <c r="B981" s="8"/>
      <c r="C981" s="8"/>
      <c r="D981" s="8"/>
      <c r="E981" s="8"/>
      <c r="F981" s="8"/>
      <c r="G981" s="8"/>
      <c r="H981" s="8"/>
      <c r="I981" s="8"/>
      <c r="J981" s="8"/>
      <c r="K981" s="8"/>
    </row>
    <row r="982">
      <c r="A982" s="8" t="s">
        <v>990</v>
      </c>
      <c r="B982" s="8"/>
      <c r="C982" s="8"/>
      <c r="D982" s="8"/>
      <c r="E982" s="8"/>
      <c r="F982" s="8"/>
      <c r="G982" s="8"/>
      <c r="H982" s="8"/>
      <c r="I982" s="8"/>
      <c r="J982" s="8"/>
      <c r="K982" s="8"/>
    </row>
    <row r="983">
      <c r="A983" s="8" t="s">
        <v>991</v>
      </c>
      <c r="B983" s="8"/>
      <c r="C983" s="8"/>
      <c r="D983" s="8"/>
      <c r="E983" s="8"/>
      <c r="F983" s="8"/>
      <c r="G983" s="8"/>
      <c r="H983" s="8"/>
      <c r="I983" s="8"/>
      <c r="J983" s="8"/>
      <c r="K983" s="8"/>
    </row>
    <row r="984">
      <c r="A984" s="8" t="s">
        <v>992</v>
      </c>
      <c r="B984" s="8"/>
      <c r="C984" s="8"/>
      <c r="D984" s="8"/>
      <c r="E984" s="8"/>
      <c r="F984" s="8"/>
      <c r="G984" s="8"/>
      <c r="H984" s="8"/>
      <c r="I984" s="8"/>
      <c r="J984" s="8"/>
      <c r="K984" s="8"/>
    </row>
    <row r="985">
      <c r="A985" s="8" t="s">
        <v>993</v>
      </c>
      <c r="B985" s="8"/>
      <c r="C985" s="8"/>
      <c r="D985" s="8"/>
      <c r="E985" s="8"/>
      <c r="F985" s="8"/>
      <c r="G985" s="8"/>
      <c r="H985" s="8"/>
      <c r="I985" s="8"/>
      <c r="J985" s="8"/>
      <c r="K985" s="8"/>
    </row>
    <row r="986">
      <c r="A986" s="8" t="s">
        <v>994</v>
      </c>
      <c r="B986" s="8"/>
      <c r="C986" s="8"/>
      <c r="D986" s="8"/>
      <c r="E986" s="8"/>
      <c r="F986" s="8"/>
      <c r="G986" s="8"/>
      <c r="H986" s="8"/>
      <c r="I986" s="8"/>
      <c r="J986" s="8"/>
      <c r="K986" s="8"/>
    </row>
    <row r="987">
      <c r="A987" s="8" t="s">
        <v>995</v>
      </c>
      <c r="B987" s="8"/>
      <c r="C987" s="8"/>
      <c r="D987" s="8"/>
      <c r="E987" s="8"/>
      <c r="F987" s="8"/>
      <c r="G987" s="8"/>
      <c r="H987" s="8"/>
      <c r="I987" s="8"/>
      <c r="J987" s="8"/>
      <c r="K987" s="8"/>
    </row>
    <row r="988">
      <c r="A988" s="8" t="s">
        <v>996</v>
      </c>
      <c r="B988" s="8"/>
      <c r="C988" s="8"/>
      <c r="D988" s="8"/>
      <c r="E988" s="8"/>
      <c r="F988" s="8"/>
      <c r="G988" s="8"/>
      <c r="H988" s="8"/>
      <c r="I988" s="8"/>
      <c r="J988" s="8"/>
      <c r="K988" s="8"/>
    </row>
    <row r="989">
      <c r="A989" s="8" t="s">
        <v>997</v>
      </c>
      <c r="B989" s="8"/>
      <c r="C989" s="8"/>
      <c r="D989" s="8"/>
      <c r="E989" s="8"/>
      <c r="F989" s="8"/>
      <c r="G989" s="8"/>
      <c r="H989" s="8"/>
      <c r="I989" s="8"/>
      <c r="J989" s="8"/>
      <c r="K989" s="8"/>
    </row>
    <row r="990">
      <c r="A990" s="8" t="s">
        <v>998</v>
      </c>
      <c r="B990" s="8"/>
      <c r="C990" s="8"/>
      <c r="D990" s="8"/>
      <c r="E990" s="8"/>
      <c r="F990" s="8"/>
      <c r="G990" s="8"/>
      <c r="H990" s="8"/>
      <c r="I990" s="8"/>
      <c r="J990" s="8"/>
      <c r="K990" s="8"/>
    </row>
    <row r="991">
      <c r="A991" s="8" t="s">
        <v>999</v>
      </c>
      <c r="B991" s="8"/>
      <c r="C991" s="8"/>
      <c r="D991" s="8"/>
      <c r="E991" s="8"/>
      <c r="F991" s="8"/>
      <c r="G991" s="8"/>
      <c r="H991" s="8"/>
      <c r="I991" s="8"/>
      <c r="J991" s="8"/>
      <c r="K991" s="8"/>
    </row>
    <row r="992">
      <c r="A992" s="8" t="s">
        <v>1000</v>
      </c>
      <c r="B992" s="8"/>
      <c r="C992" s="8"/>
      <c r="D992" s="8"/>
      <c r="E992" s="8"/>
      <c r="F992" s="8"/>
      <c r="G992" s="8"/>
      <c r="H992" s="8"/>
      <c r="I992" s="8"/>
      <c r="J992" s="8"/>
      <c r="K992" s="8"/>
    </row>
    <row r="993">
      <c r="A993" s="8" t="s">
        <v>1001</v>
      </c>
      <c r="B993" s="8"/>
      <c r="C993" s="8"/>
      <c r="D993" s="8"/>
      <c r="E993" s="8"/>
      <c r="F993" s="8"/>
      <c r="G993" s="8"/>
      <c r="H993" s="8"/>
      <c r="I993" s="8"/>
      <c r="J993" s="8"/>
      <c r="K993" s="8"/>
    </row>
    <row r="994">
      <c r="A994" s="8" t="s">
        <v>1002</v>
      </c>
      <c r="B994" s="8"/>
      <c r="C994" s="8"/>
      <c r="D994" s="8"/>
      <c r="E994" s="8"/>
      <c r="F994" s="8"/>
      <c r="G994" s="8"/>
      <c r="H994" s="8"/>
      <c r="I994" s="8"/>
      <c r="J994" s="8"/>
      <c r="K994" s="8"/>
    </row>
    <row r="995">
      <c r="A995" s="8" t="s">
        <v>1003</v>
      </c>
      <c r="B995" s="8"/>
      <c r="C995" s="8"/>
      <c r="D995" s="8"/>
      <c r="E995" s="8"/>
      <c r="F995" s="8"/>
      <c r="G995" s="8"/>
      <c r="H995" s="8"/>
      <c r="I995" s="8"/>
      <c r="J995" s="8"/>
      <c r="K995" s="8"/>
    </row>
    <row r="996">
      <c r="A996" s="8" t="s">
        <v>1004</v>
      </c>
      <c r="B996" s="8"/>
      <c r="C996" s="8"/>
      <c r="D996" s="8"/>
      <c r="E996" s="8"/>
      <c r="F996" s="8"/>
      <c r="G996" s="8"/>
      <c r="H996" s="8"/>
      <c r="I996" s="8"/>
      <c r="J996" s="8"/>
      <c r="K996" s="8"/>
    </row>
    <row r="997">
      <c r="A997" s="8" t="s">
        <v>1005</v>
      </c>
      <c r="B997" s="8"/>
      <c r="C997" s="8"/>
      <c r="D997" s="8"/>
      <c r="E997" s="8"/>
      <c r="F997" s="8"/>
      <c r="G997" s="8"/>
      <c r="H997" s="8"/>
      <c r="I997" s="8"/>
      <c r="J997" s="8"/>
      <c r="K997" s="8"/>
    </row>
    <row r="998">
      <c r="A998" s="8" t="s">
        <v>1006</v>
      </c>
      <c r="B998" s="8"/>
      <c r="C998" s="8"/>
      <c r="D998" s="8"/>
      <c r="E998" s="8"/>
      <c r="F998" s="8"/>
      <c r="G998" s="8"/>
      <c r="H998" s="8"/>
      <c r="I998" s="8"/>
      <c r="J998" s="8"/>
      <c r="K998" s="8"/>
    </row>
    <row r="999">
      <c r="A999" s="8" t="s">
        <v>1007</v>
      </c>
      <c r="B999" s="8"/>
      <c r="C999" s="8"/>
      <c r="D999" s="8"/>
      <c r="E999" s="8"/>
      <c r="F999" s="8"/>
      <c r="G999" s="8"/>
      <c r="H999" s="8"/>
      <c r="I999" s="8"/>
      <c r="J999" s="8"/>
      <c r="K999" s="8"/>
    </row>
    <row r="1000">
      <c r="A1000" s="8" t="s">
        <v>1008</v>
      </c>
      <c r="B1000" s="8"/>
      <c r="C1000" s="8"/>
      <c r="D1000" s="8"/>
      <c r="E1000" s="8"/>
      <c r="F1000" s="8"/>
      <c r="G1000" s="8"/>
      <c r="H1000" s="8"/>
      <c r="I1000" s="8"/>
      <c r="J1000" s="8"/>
      <c r="K1000" s="8"/>
    </row>
    <row r="1001">
      <c r="A1001" s="8" t="s">
        <v>1009</v>
      </c>
      <c r="B1001" s="8"/>
      <c r="C1001" s="8"/>
      <c r="D1001" s="8"/>
      <c r="E1001" s="8"/>
      <c r="F1001" s="8"/>
      <c r="G1001" s="8"/>
      <c r="H1001" s="8"/>
      <c r="I1001" s="8"/>
      <c r="J1001" s="8"/>
      <c r="K1001" s="8"/>
    </row>
    <row r="1002">
      <c r="A1002" s="8" t="s">
        <v>1010</v>
      </c>
      <c r="B1002" s="8"/>
      <c r="C1002" s="8"/>
      <c r="D1002" s="8"/>
      <c r="E1002" s="8"/>
      <c r="F1002" s="8"/>
      <c r="G1002" s="8"/>
      <c r="H1002" s="8"/>
      <c r="I1002" s="8"/>
      <c r="J1002" s="8"/>
      <c r="K1002" s="8"/>
    </row>
    <row r="1003">
      <c r="A1003" s="8" t="s">
        <v>1011</v>
      </c>
      <c r="B1003" s="8"/>
      <c r="C1003" s="8"/>
      <c r="D1003" s="8"/>
      <c r="E1003" s="8"/>
      <c r="F1003" s="8"/>
      <c r="G1003" s="8"/>
      <c r="H1003" s="8"/>
      <c r="I1003" s="8"/>
      <c r="J1003" s="8"/>
      <c r="K1003" s="8"/>
    </row>
    <row r="1004">
      <c r="A1004" s="8" t="s">
        <v>1012</v>
      </c>
      <c r="B1004" s="8"/>
      <c r="C1004" s="8"/>
      <c r="D1004" s="8"/>
      <c r="E1004" s="8"/>
      <c r="F1004" s="8"/>
      <c r="G1004" s="8"/>
      <c r="H1004" s="8"/>
      <c r="I1004" s="8"/>
      <c r="J1004" s="8"/>
      <c r="K1004" s="8"/>
    </row>
    <row r="1005">
      <c r="A1005" s="8" t="s">
        <v>1013</v>
      </c>
      <c r="B1005" s="8"/>
      <c r="C1005" s="8"/>
      <c r="D1005" s="8"/>
      <c r="E1005" s="8"/>
      <c r="F1005" s="8"/>
      <c r="G1005" s="8"/>
      <c r="H1005" s="8"/>
      <c r="I1005" s="8"/>
      <c r="J1005" s="8"/>
      <c r="K1005" s="8"/>
    </row>
    <row r="1006">
      <c r="A1006" s="8" t="s">
        <v>1014</v>
      </c>
      <c r="B1006" s="8"/>
      <c r="C1006" s="8"/>
      <c r="D1006" s="8"/>
      <c r="E1006" s="8"/>
      <c r="F1006" s="8"/>
      <c r="G1006" s="8"/>
      <c r="H1006" s="8"/>
      <c r="I1006" s="8"/>
      <c r="J1006" s="8"/>
      <c r="K1006" s="8"/>
    </row>
    <row r="1007">
      <c r="A1007" s="8" t="s">
        <v>1015</v>
      </c>
      <c r="B1007" s="8"/>
      <c r="C1007" s="8"/>
      <c r="D1007" s="8"/>
      <c r="E1007" s="8"/>
      <c r="F1007" s="8"/>
      <c r="G1007" s="8"/>
      <c r="H1007" s="8"/>
      <c r="I1007" s="8"/>
      <c r="J1007" s="8"/>
      <c r="K1007" s="8"/>
    </row>
    <row r="1008">
      <c r="A1008" s="8" t="s">
        <v>1016</v>
      </c>
      <c r="B1008" s="8"/>
      <c r="C1008" s="8"/>
      <c r="D1008" s="8"/>
      <c r="E1008" s="8"/>
      <c r="F1008" s="8"/>
      <c r="G1008" s="8"/>
      <c r="H1008" s="8"/>
      <c r="I1008" s="8"/>
      <c r="J1008" s="8"/>
      <c r="K1008" s="8"/>
    </row>
    <row r="1009">
      <c r="A1009" s="8" t="s">
        <v>1017</v>
      </c>
      <c r="B1009" s="8"/>
      <c r="C1009" s="8"/>
      <c r="D1009" s="8"/>
      <c r="E1009" s="8"/>
      <c r="F1009" s="8"/>
      <c r="G1009" s="8"/>
      <c r="H1009" s="8"/>
      <c r="I1009" s="8"/>
      <c r="J1009" s="8"/>
      <c r="K1009" s="8"/>
    </row>
    <row r="1010">
      <c r="A1010" s="8" t="s">
        <v>1018</v>
      </c>
      <c r="B1010" s="8"/>
      <c r="C1010" s="8"/>
      <c r="D1010" s="8"/>
      <c r="E1010" s="8"/>
      <c r="F1010" s="8"/>
      <c r="G1010" s="8"/>
      <c r="H1010" s="8"/>
      <c r="I1010" s="8"/>
      <c r="J1010" s="8"/>
      <c r="K1010" s="8"/>
    </row>
    <row r="1011">
      <c r="A1011" s="8" t="s">
        <v>1019</v>
      </c>
      <c r="B1011" s="8"/>
      <c r="C1011" s="8"/>
      <c r="D1011" s="8"/>
      <c r="E1011" s="8"/>
      <c r="F1011" s="8"/>
      <c r="G1011" s="8"/>
      <c r="H1011" s="8"/>
      <c r="I1011" s="8"/>
      <c r="J1011" s="8"/>
      <c r="K1011" s="8"/>
    </row>
    <row r="1012">
      <c r="A1012" s="8" t="s">
        <v>1020</v>
      </c>
      <c r="B1012" s="8"/>
      <c r="C1012" s="8"/>
      <c r="D1012" s="8"/>
      <c r="E1012" s="8"/>
      <c r="F1012" s="8"/>
      <c r="G1012" s="8"/>
      <c r="H1012" s="8"/>
      <c r="I1012" s="8"/>
      <c r="J1012" s="8"/>
      <c r="K1012" s="8"/>
    </row>
    <row r="1013">
      <c r="A1013" s="8" t="s">
        <v>1021</v>
      </c>
      <c r="B1013" s="8"/>
      <c r="C1013" s="8"/>
      <c r="D1013" s="8"/>
      <c r="E1013" s="8"/>
      <c r="F1013" s="8"/>
      <c r="G1013" s="8"/>
      <c r="H1013" s="8"/>
      <c r="I1013" s="8"/>
      <c r="J1013" s="8"/>
      <c r="K1013" s="8"/>
    </row>
    <row r="1014">
      <c r="A1014" s="8" t="s">
        <v>1022</v>
      </c>
      <c r="B1014" s="8"/>
      <c r="C1014" s="8"/>
      <c r="D1014" s="8"/>
      <c r="E1014" s="8"/>
      <c r="F1014" s="8"/>
      <c r="G1014" s="8"/>
      <c r="H1014" s="8"/>
      <c r="I1014" s="8"/>
      <c r="J1014" s="8"/>
      <c r="K1014" s="8"/>
    </row>
    <row r="1015">
      <c r="A1015" s="8" t="s">
        <v>1023</v>
      </c>
      <c r="B1015" s="8"/>
      <c r="C1015" s="8"/>
      <c r="D1015" s="8"/>
      <c r="E1015" s="8"/>
      <c r="F1015" s="8"/>
      <c r="G1015" s="8"/>
      <c r="H1015" s="8"/>
      <c r="I1015" s="8"/>
      <c r="J1015" s="8"/>
      <c r="K1015" s="8"/>
    </row>
    <row r="1016">
      <c r="A1016" s="8" t="s">
        <v>1024</v>
      </c>
      <c r="B1016" s="8"/>
      <c r="C1016" s="8"/>
      <c r="D1016" s="8"/>
      <c r="E1016" s="8"/>
      <c r="F1016" s="8"/>
      <c r="G1016" s="8"/>
      <c r="H1016" s="8"/>
      <c r="I1016" s="8"/>
      <c r="J1016" s="8"/>
      <c r="K1016" s="8"/>
    </row>
    <row r="1017">
      <c r="A1017" s="8" t="s">
        <v>1025</v>
      </c>
      <c r="B1017" s="8"/>
      <c r="C1017" s="8"/>
      <c r="D1017" s="8"/>
      <c r="E1017" s="8"/>
      <c r="F1017" s="8"/>
      <c r="G1017" s="8"/>
      <c r="H1017" s="8"/>
      <c r="I1017" s="8"/>
      <c r="J1017" s="8"/>
      <c r="K1017" s="8"/>
    </row>
    <row r="1018">
      <c r="A1018" s="8" t="s">
        <v>1026</v>
      </c>
      <c r="B1018" s="8"/>
      <c r="C1018" s="8"/>
      <c r="D1018" s="8"/>
      <c r="E1018" s="8"/>
      <c r="F1018" s="8"/>
      <c r="G1018" s="8"/>
      <c r="H1018" s="8"/>
      <c r="I1018" s="8"/>
      <c r="J1018" s="8"/>
      <c r="K1018" s="8"/>
    </row>
    <row r="1019">
      <c r="A1019" s="8" t="s">
        <v>1027</v>
      </c>
      <c r="B1019" s="8"/>
      <c r="C1019" s="8"/>
      <c r="D1019" s="8"/>
      <c r="E1019" s="8"/>
      <c r="F1019" s="8"/>
      <c r="G1019" s="8"/>
      <c r="H1019" s="8"/>
      <c r="I1019" s="8"/>
      <c r="J1019" s="8"/>
      <c r="K1019" s="8"/>
    </row>
    <row r="1020">
      <c r="A1020" s="8" t="s">
        <v>1028</v>
      </c>
      <c r="B1020" s="8"/>
      <c r="C1020" s="8"/>
      <c r="D1020" s="8"/>
      <c r="E1020" s="8"/>
      <c r="F1020" s="8"/>
      <c r="G1020" s="8"/>
      <c r="H1020" s="8"/>
      <c r="I1020" s="8"/>
      <c r="J1020" s="8"/>
      <c r="K1020" s="8"/>
    </row>
    <row r="1021">
      <c r="A1021" s="8" t="s">
        <v>1029</v>
      </c>
      <c r="B1021" s="8"/>
      <c r="C1021" s="8"/>
      <c r="D1021" s="8"/>
      <c r="E1021" s="8"/>
      <c r="F1021" s="8"/>
      <c r="G1021" s="8"/>
      <c r="H1021" s="8"/>
      <c r="I1021" s="8"/>
      <c r="J1021" s="8"/>
      <c r="K1021" s="8"/>
    </row>
    <row r="1022">
      <c r="A1022" s="8" t="s">
        <v>1030</v>
      </c>
      <c r="B1022" s="8"/>
      <c r="C1022" s="8"/>
      <c r="D1022" s="8"/>
      <c r="E1022" s="8"/>
      <c r="F1022" s="8"/>
      <c r="G1022" s="8"/>
      <c r="H1022" s="8"/>
      <c r="I1022" s="8"/>
      <c r="J1022" s="8"/>
      <c r="K1022" s="8"/>
    </row>
    <row r="1023">
      <c r="A1023" s="8" t="s">
        <v>1031</v>
      </c>
      <c r="B1023" s="8"/>
      <c r="C1023" s="8"/>
      <c r="D1023" s="8"/>
      <c r="E1023" s="8"/>
      <c r="F1023" s="8"/>
      <c r="G1023" s="8"/>
      <c r="H1023" s="8"/>
      <c r="I1023" s="8"/>
      <c r="J1023" s="8"/>
      <c r="K1023" s="8"/>
    </row>
    <row r="1024">
      <c r="A1024" s="8" t="s">
        <v>1032</v>
      </c>
      <c r="B1024" s="8"/>
      <c r="C1024" s="8"/>
      <c r="D1024" s="8"/>
      <c r="E1024" s="8"/>
      <c r="F1024" s="8"/>
      <c r="G1024" s="8"/>
      <c r="H1024" s="8"/>
      <c r="I1024" s="8"/>
      <c r="J1024" s="8"/>
      <c r="K1024" s="8"/>
    </row>
    <row r="1025">
      <c r="A1025" s="8" t="s">
        <v>1033</v>
      </c>
      <c r="B1025" s="8"/>
      <c r="C1025" s="8"/>
      <c r="D1025" s="8"/>
      <c r="E1025" s="8"/>
      <c r="F1025" s="8"/>
      <c r="G1025" s="8"/>
      <c r="H1025" s="8"/>
      <c r="I1025" s="8"/>
      <c r="J1025" s="8"/>
      <c r="K1025" s="8"/>
    </row>
    <row r="1026">
      <c r="A1026" s="8" t="s">
        <v>1034</v>
      </c>
      <c r="B1026" s="8"/>
      <c r="C1026" s="8"/>
      <c r="D1026" s="8"/>
      <c r="E1026" s="8"/>
      <c r="F1026" s="8"/>
      <c r="G1026" s="8"/>
      <c r="H1026" s="8"/>
      <c r="I1026" s="8"/>
      <c r="J1026" s="8"/>
      <c r="K1026" s="8"/>
    </row>
    <row r="1027">
      <c r="A1027" s="8" t="s">
        <v>1035</v>
      </c>
      <c r="B1027" s="8"/>
      <c r="C1027" s="8"/>
      <c r="D1027" s="8"/>
      <c r="E1027" s="8"/>
      <c r="F1027" s="8"/>
      <c r="G1027" s="8"/>
      <c r="H1027" s="8"/>
      <c r="I1027" s="8"/>
      <c r="J1027" s="8"/>
      <c r="K1027" s="8"/>
    </row>
    <row r="1028">
      <c r="A1028" s="8" t="s">
        <v>1036</v>
      </c>
      <c r="B1028" s="8"/>
      <c r="C1028" s="8"/>
      <c r="D1028" s="8"/>
      <c r="E1028" s="8"/>
      <c r="F1028" s="8"/>
      <c r="G1028" s="8"/>
      <c r="H1028" s="8"/>
      <c r="I1028" s="8"/>
      <c r="J1028" s="8"/>
      <c r="K1028" s="8"/>
    </row>
    <row r="1029">
      <c r="A1029" s="8" t="s">
        <v>1037</v>
      </c>
      <c r="B1029" s="8"/>
      <c r="C1029" s="8"/>
      <c r="D1029" s="8"/>
      <c r="E1029" s="8"/>
      <c r="F1029" s="8"/>
      <c r="G1029" s="8"/>
      <c r="H1029" s="8"/>
      <c r="I1029" s="8"/>
      <c r="J1029" s="8"/>
      <c r="K1029" s="8"/>
    </row>
    <row r="1030">
      <c r="A1030" s="8" t="s">
        <v>1038</v>
      </c>
      <c r="B1030" s="8"/>
      <c r="C1030" s="8"/>
      <c r="D1030" s="8"/>
      <c r="E1030" s="8"/>
      <c r="F1030" s="8"/>
      <c r="G1030" s="8"/>
      <c r="H1030" s="8"/>
      <c r="I1030" s="8"/>
      <c r="J1030" s="8"/>
      <c r="K1030" s="8"/>
    </row>
    <row r="1031">
      <c r="A1031" s="8" t="s">
        <v>1039</v>
      </c>
      <c r="B1031" s="8"/>
      <c r="C1031" s="8"/>
      <c r="D1031" s="8"/>
      <c r="E1031" s="8"/>
      <c r="F1031" s="8"/>
      <c r="G1031" s="8"/>
      <c r="H1031" s="8"/>
      <c r="I1031" s="8"/>
      <c r="J1031" s="8"/>
      <c r="K1031" s="8"/>
    </row>
    <row r="1032">
      <c r="A1032" s="8" t="s">
        <v>1040</v>
      </c>
      <c r="B1032" s="8"/>
      <c r="C1032" s="8"/>
      <c r="D1032" s="8"/>
      <c r="E1032" s="8"/>
      <c r="F1032" s="8"/>
      <c r="G1032" s="8"/>
      <c r="H1032" s="8"/>
      <c r="I1032" s="8"/>
      <c r="J1032" s="8"/>
      <c r="K1032" s="8"/>
    </row>
    <row r="1033">
      <c r="A1033" s="8" t="s">
        <v>1041</v>
      </c>
      <c r="B1033" s="8"/>
      <c r="C1033" s="8"/>
      <c r="D1033" s="8"/>
      <c r="E1033" s="8"/>
      <c r="F1033" s="8"/>
      <c r="G1033" s="8"/>
      <c r="H1033" s="8"/>
      <c r="I1033" s="8"/>
      <c r="J1033" s="8"/>
      <c r="K1033" s="8"/>
    </row>
    <row r="1034">
      <c r="A1034" s="8" t="s">
        <v>1042</v>
      </c>
      <c r="B1034" s="8"/>
      <c r="C1034" s="8"/>
      <c r="D1034" s="8"/>
      <c r="E1034" s="8"/>
      <c r="F1034" s="8"/>
      <c r="G1034" s="8"/>
      <c r="H1034" s="8"/>
      <c r="I1034" s="8"/>
      <c r="J1034" s="8"/>
      <c r="K1034" s="8"/>
    </row>
    <row r="1035">
      <c r="A1035" s="8" t="s">
        <v>1043</v>
      </c>
      <c r="B1035" s="8"/>
      <c r="C1035" s="8"/>
      <c r="D1035" s="8"/>
      <c r="E1035" s="8"/>
      <c r="F1035" s="8"/>
      <c r="G1035" s="8"/>
      <c r="H1035" s="8"/>
      <c r="I1035" s="8"/>
      <c r="J1035" s="8"/>
      <c r="K1035" s="8"/>
    </row>
    <row r="1036">
      <c r="A1036" s="8" t="s">
        <v>1044</v>
      </c>
      <c r="B1036" s="8"/>
      <c r="C1036" s="8"/>
      <c r="D1036" s="8"/>
      <c r="E1036" s="8"/>
      <c r="F1036" s="8"/>
      <c r="G1036" s="8"/>
      <c r="H1036" s="8"/>
      <c r="I1036" s="8"/>
      <c r="J1036" s="8"/>
      <c r="K1036" s="8"/>
    </row>
    <row r="1037">
      <c r="A1037" s="8" t="s">
        <v>1045</v>
      </c>
      <c r="B1037" s="8"/>
      <c r="C1037" s="8"/>
      <c r="D1037" s="8"/>
      <c r="E1037" s="8"/>
      <c r="F1037" s="8"/>
      <c r="G1037" s="8"/>
      <c r="H1037" s="8"/>
      <c r="I1037" s="8"/>
      <c r="J1037" s="8"/>
      <c r="K1037" s="8"/>
    </row>
    <row r="1038">
      <c r="A1038" s="8" t="s">
        <v>1046</v>
      </c>
      <c r="B1038" s="8"/>
      <c r="C1038" s="8"/>
      <c r="D1038" s="8"/>
      <c r="E1038" s="8"/>
      <c r="F1038" s="8"/>
      <c r="G1038" s="8"/>
      <c r="H1038" s="8"/>
      <c r="I1038" s="8"/>
      <c r="J1038" s="8"/>
      <c r="K1038" s="8"/>
    </row>
    <row r="1039">
      <c r="A1039" s="8" t="s">
        <v>1047</v>
      </c>
      <c r="B1039" s="8"/>
      <c r="C1039" s="8"/>
      <c r="D1039" s="8"/>
      <c r="E1039" s="8"/>
      <c r="F1039" s="8"/>
      <c r="G1039" s="8"/>
      <c r="H1039" s="8"/>
      <c r="I1039" s="8"/>
      <c r="J1039" s="8"/>
      <c r="K1039" s="8"/>
    </row>
    <row r="1040">
      <c r="A1040" s="8" t="s">
        <v>1048</v>
      </c>
      <c r="B1040" s="8"/>
      <c r="C1040" s="8"/>
      <c r="D1040" s="8"/>
      <c r="E1040" s="8"/>
      <c r="F1040" s="8"/>
      <c r="G1040" s="8"/>
      <c r="H1040" s="8"/>
      <c r="I1040" s="8"/>
      <c r="J1040" s="8"/>
      <c r="K1040" s="8"/>
    </row>
    <row r="1041">
      <c r="A1041" s="8" t="s">
        <v>1049</v>
      </c>
      <c r="B1041" s="8"/>
      <c r="C1041" s="8"/>
      <c r="D1041" s="8"/>
      <c r="E1041" s="8"/>
      <c r="F1041" s="8"/>
      <c r="G1041" s="8"/>
      <c r="H1041" s="8"/>
      <c r="I1041" s="8"/>
      <c r="J1041" s="8"/>
      <c r="K1041" s="8"/>
    </row>
    <row r="1042">
      <c r="A1042" s="8" t="s">
        <v>1050</v>
      </c>
      <c r="B1042" s="8"/>
      <c r="C1042" s="8"/>
      <c r="D1042" s="8"/>
      <c r="E1042" s="8"/>
      <c r="F1042" s="8"/>
      <c r="G1042" s="8"/>
      <c r="H1042" s="8"/>
      <c r="I1042" s="8"/>
      <c r="J1042" s="8"/>
      <c r="K1042" s="8"/>
    </row>
    <row r="1043">
      <c r="A1043" s="8" t="s">
        <v>1051</v>
      </c>
      <c r="B1043" s="8"/>
      <c r="C1043" s="8"/>
      <c r="D1043" s="8"/>
      <c r="E1043" s="8"/>
      <c r="F1043" s="8"/>
      <c r="G1043" s="8"/>
      <c r="H1043" s="8"/>
      <c r="I1043" s="8"/>
      <c r="J1043" s="8"/>
      <c r="K1043" s="8"/>
    </row>
    <row r="1044">
      <c r="A1044" s="8" t="s">
        <v>1052</v>
      </c>
      <c r="B1044" s="8"/>
      <c r="C1044" s="8"/>
      <c r="D1044" s="8"/>
      <c r="E1044" s="8"/>
      <c r="F1044" s="8"/>
      <c r="G1044" s="8"/>
      <c r="H1044" s="8"/>
      <c r="I1044" s="8"/>
      <c r="J1044" s="8"/>
      <c r="K1044" s="8"/>
    </row>
    <row r="1045">
      <c r="A1045" s="8" t="s">
        <v>1053</v>
      </c>
      <c r="B1045" s="8"/>
      <c r="C1045" s="8"/>
      <c r="D1045" s="8"/>
      <c r="E1045" s="8"/>
      <c r="F1045" s="8"/>
      <c r="G1045" s="8"/>
      <c r="H1045" s="8"/>
      <c r="I1045" s="8"/>
      <c r="J1045" s="8"/>
      <c r="K1045" s="8"/>
    </row>
    <row r="1046">
      <c r="A1046" s="8" t="s">
        <v>1054</v>
      </c>
      <c r="B1046" s="8"/>
      <c r="C1046" s="8"/>
      <c r="D1046" s="8"/>
      <c r="E1046" s="8"/>
      <c r="F1046" s="8"/>
      <c r="G1046" s="8"/>
      <c r="H1046" s="8"/>
      <c r="I1046" s="8"/>
      <c r="J1046" s="8"/>
      <c r="K1046" s="8"/>
    </row>
    <row r="1047">
      <c r="A1047" s="8" t="s">
        <v>1055</v>
      </c>
      <c r="B1047" s="8"/>
      <c r="C1047" s="8"/>
      <c r="D1047" s="8"/>
      <c r="E1047" s="8"/>
      <c r="F1047" s="8"/>
      <c r="G1047" s="8"/>
      <c r="H1047" s="8"/>
      <c r="I1047" s="8"/>
      <c r="J1047" s="8"/>
      <c r="K1047" s="8"/>
    </row>
    <row r="1048">
      <c r="A1048" s="8" t="s">
        <v>1056</v>
      </c>
      <c r="B1048" s="8"/>
      <c r="C1048" s="8"/>
      <c r="D1048" s="8"/>
      <c r="E1048" s="8"/>
      <c r="F1048" s="8"/>
      <c r="G1048" s="8"/>
      <c r="H1048" s="8"/>
      <c r="I1048" s="8"/>
      <c r="J1048" s="8"/>
      <c r="K1048" s="8"/>
    </row>
    <row r="1049">
      <c r="A1049" s="8" t="s">
        <v>1057</v>
      </c>
      <c r="B1049" s="8"/>
      <c r="C1049" s="8"/>
      <c r="D1049" s="8"/>
      <c r="E1049" s="8"/>
      <c r="F1049" s="8"/>
      <c r="G1049" s="8"/>
      <c r="H1049" s="8"/>
      <c r="I1049" s="8"/>
      <c r="J1049" s="8"/>
      <c r="K1049" s="8"/>
    </row>
    <row r="1050">
      <c r="A1050" s="8" t="s">
        <v>1058</v>
      </c>
      <c r="B1050" s="8"/>
      <c r="C1050" s="8"/>
      <c r="D1050" s="8"/>
      <c r="E1050" s="8"/>
      <c r="F1050" s="8"/>
      <c r="G1050" s="8"/>
      <c r="H1050" s="8"/>
      <c r="I1050" s="8"/>
      <c r="J1050" s="8"/>
      <c r="K1050" s="8"/>
    </row>
    <row r="1051">
      <c r="A1051" s="8" t="s">
        <v>1059</v>
      </c>
      <c r="B1051" s="8"/>
      <c r="C1051" s="8"/>
      <c r="D1051" s="8"/>
      <c r="E1051" s="8"/>
      <c r="F1051" s="8"/>
      <c r="G1051" s="8"/>
      <c r="H1051" s="8"/>
      <c r="I1051" s="8"/>
      <c r="J1051" s="8"/>
      <c r="K1051" s="8"/>
    </row>
    <row r="1052">
      <c r="A1052" s="8" t="s">
        <v>1060</v>
      </c>
      <c r="B1052" s="8"/>
      <c r="C1052" s="8"/>
      <c r="D1052" s="8"/>
      <c r="E1052" s="8"/>
      <c r="F1052" s="8"/>
      <c r="G1052" s="8"/>
      <c r="H1052" s="8"/>
      <c r="I1052" s="8"/>
      <c r="J1052" s="8"/>
      <c r="K1052" s="8"/>
    </row>
    <row r="1053">
      <c r="A1053" s="8" t="s">
        <v>1061</v>
      </c>
      <c r="B1053" s="8"/>
      <c r="C1053" s="8"/>
      <c r="D1053" s="8"/>
      <c r="E1053" s="8"/>
      <c r="F1053" s="8"/>
      <c r="G1053" s="8"/>
      <c r="H1053" s="8"/>
      <c r="I1053" s="8"/>
      <c r="J1053" s="8"/>
      <c r="K1053" s="8"/>
    </row>
    <row r="1054">
      <c r="A1054" s="8" t="s">
        <v>1062</v>
      </c>
      <c r="B1054" s="8"/>
      <c r="C1054" s="8"/>
      <c r="D1054" s="8"/>
      <c r="E1054" s="8"/>
      <c r="F1054" s="8"/>
      <c r="G1054" s="8"/>
      <c r="H1054" s="8"/>
      <c r="I1054" s="8"/>
      <c r="J1054" s="8"/>
      <c r="K1054" s="8"/>
    </row>
    <row r="1055">
      <c r="A1055" s="8" t="s">
        <v>1063</v>
      </c>
      <c r="B1055" s="8"/>
      <c r="C1055" s="8"/>
      <c r="D1055" s="8"/>
      <c r="E1055" s="8"/>
      <c r="F1055" s="8"/>
      <c r="G1055" s="8"/>
      <c r="H1055" s="8"/>
      <c r="I1055" s="8"/>
      <c r="J1055" s="8"/>
      <c r="K1055" s="8"/>
    </row>
    <row r="1056">
      <c r="A1056" s="8" t="s">
        <v>1064</v>
      </c>
      <c r="B1056" s="8"/>
      <c r="C1056" s="8"/>
      <c r="D1056" s="8"/>
      <c r="E1056" s="8"/>
      <c r="F1056" s="8"/>
      <c r="G1056" s="8"/>
      <c r="H1056" s="8"/>
      <c r="I1056" s="8"/>
      <c r="J1056" s="8"/>
      <c r="K1056" s="8"/>
    </row>
    <row r="1057">
      <c r="A1057" s="8" t="s">
        <v>1065</v>
      </c>
      <c r="B1057" s="8"/>
      <c r="C1057" s="8"/>
      <c r="D1057" s="8"/>
      <c r="E1057" s="8"/>
      <c r="F1057" s="8"/>
      <c r="G1057" s="8"/>
      <c r="H1057" s="8"/>
      <c r="I1057" s="8"/>
      <c r="J1057" s="8"/>
      <c r="K1057" s="8"/>
    </row>
    <row r="1058">
      <c r="A1058" s="8" t="s">
        <v>1066</v>
      </c>
      <c r="B1058" s="8"/>
      <c r="C1058" s="8"/>
      <c r="D1058" s="8"/>
      <c r="E1058" s="8"/>
      <c r="F1058" s="8"/>
      <c r="G1058" s="8"/>
      <c r="H1058" s="8"/>
      <c r="I1058" s="8"/>
      <c r="J1058" s="8"/>
      <c r="K1058" s="8"/>
    </row>
    <row r="1059">
      <c r="A1059" s="8" t="s">
        <v>1067</v>
      </c>
      <c r="B1059" s="8"/>
      <c r="C1059" s="8"/>
      <c r="D1059" s="8"/>
      <c r="E1059" s="8"/>
      <c r="F1059" s="8"/>
      <c r="G1059" s="8"/>
      <c r="H1059" s="8"/>
      <c r="I1059" s="8"/>
      <c r="J1059" s="8"/>
      <c r="K1059" s="8"/>
    </row>
    <row r="1060">
      <c r="A1060" s="8" t="s">
        <v>1068</v>
      </c>
      <c r="B1060" s="8"/>
      <c r="C1060" s="8"/>
      <c r="D1060" s="8"/>
      <c r="E1060" s="8"/>
      <c r="F1060" s="8"/>
      <c r="G1060" s="8"/>
      <c r="H1060" s="8"/>
      <c r="I1060" s="8"/>
      <c r="J1060" s="8"/>
      <c r="K1060" s="8"/>
    </row>
    <row r="1061">
      <c r="A1061" s="8" t="s">
        <v>1069</v>
      </c>
      <c r="B1061" s="8"/>
      <c r="C1061" s="8"/>
      <c r="D1061" s="8"/>
      <c r="E1061" s="8"/>
      <c r="F1061" s="8"/>
      <c r="G1061" s="8"/>
      <c r="H1061" s="8"/>
      <c r="I1061" s="8"/>
      <c r="J1061" s="8"/>
      <c r="K1061" s="8"/>
    </row>
    <row r="1062">
      <c r="A1062" s="8" t="s">
        <v>1070</v>
      </c>
      <c r="B1062" s="8"/>
      <c r="C1062" s="8"/>
      <c r="D1062" s="8"/>
      <c r="E1062" s="8"/>
      <c r="F1062" s="8"/>
      <c r="G1062" s="8"/>
      <c r="H1062" s="8"/>
      <c r="I1062" s="8"/>
      <c r="J1062" s="8"/>
      <c r="K1062" s="8"/>
    </row>
    <row r="1063">
      <c r="A1063" s="8" t="s">
        <v>1071</v>
      </c>
      <c r="B1063" s="8"/>
      <c r="C1063" s="8"/>
      <c r="D1063" s="8"/>
      <c r="E1063" s="8"/>
      <c r="F1063" s="8"/>
      <c r="G1063" s="8"/>
      <c r="H1063" s="8"/>
      <c r="I1063" s="8"/>
      <c r="J1063" s="8"/>
      <c r="K1063" s="8"/>
    </row>
    <row r="1064">
      <c r="A1064" s="8" t="s">
        <v>1072</v>
      </c>
      <c r="B1064" s="8"/>
      <c r="C1064" s="8"/>
      <c r="D1064" s="8"/>
      <c r="E1064" s="8"/>
      <c r="F1064" s="8"/>
      <c r="G1064" s="8"/>
      <c r="H1064" s="8"/>
      <c r="I1064" s="8"/>
      <c r="J1064" s="8"/>
      <c r="K1064" s="8"/>
    </row>
    <row r="1065">
      <c r="A1065" s="8" t="s">
        <v>1073</v>
      </c>
      <c r="B1065" s="8"/>
      <c r="C1065" s="8"/>
      <c r="D1065" s="8"/>
      <c r="E1065" s="8"/>
      <c r="F1065" s="8"/>
      <c r="G1065" s="8"/>
      <c r="H1065" s="8"/>
      <c r="I1065" s="8"/>
      <c r="J1065" s="8"/>
      <c r="K1065" s="8"/>
    </row>
    <row r="1066">
      <c r="A1066" s="8" t="s">
        <v>1074</v>
      </c>
      <c r="B1066" s="8"/>
      <c r="C1066" s="8"/>
      <c r="D1066" s="8"/>
      <c r="E1066" s="8"/>
      <c r="F1066" s="8"/>
      <c r="G1066" s="8"/>
      <c r="H1066" s="8"/>
      <c r="I1066" s="8"/>
      <c r="J1066" s="8"/>
      <c r="K1066" s="8"/>
    </row>
    <row r="1067">
      <c r="A1067" s="8" t="s">
        <v>1075</v>
      </c>
      <c r="B1067" s="8"/>
      <c r="C1067" s="8"/>
      <c r="D1067" s="8"/>
      <c r="E1067" s="8"/>
      <c r="F1067" s="8"/>
      <c r="G1067" s="8"/>
      <c r="H1067" s="8"/>
      <c r="I1067" s="8"/>
      <c r="J1067" s="8"/>
      <c r="K1067" s="8"/>
    </row>
    <row r="1068">
      <c r="A1068" s="8" t="s">
        <v>1076</v>
      </c>
      <c r="B1068" s="8"/>
      <c r="C1068" s="8"/>
      <c r="D1068" s="8"/>
      <c r="E1068" s="8"/>
      <c r="F1068" s="8"/>
      <c r="G1068" s="8"/>
      <c r="H1068" s="8"/>
      <c r="I1068" s="8"/>
      <c r="J1068" s="8"/>
      <c r="K1068" s="8"/>
    </row>
    <row r="1069">
      <c r="A1069" s="8" t="s">
        <v>1077</v>
      </c>
      <c r="B1069" s="8"/>
      <c r="C1069" s="8"/>
      <c r="D1069" s="8"/>
      <c r="E1069" s="8"/>
      <c r="F1069" s="8"/>
      <c r="G1069" s="8"/>
      <c r="H1069" s="8"/>
      <c r="I1069" s="8"/>
      <c r="J1069" s="8"/>
      <c r="K1069" s="8"/>
    </row>
    <row r="1070">
      <c r="A1070" s="8" t="s">
        <v>1078</v>
      </c>
      <c r="B1070" s="8"/>
      <c r="C1070" s="8"/>
      <c r="D1070" s="8"/>
      <c r="E1070" s="8"/>
      <c r="F1070" s="8"/>
      <c r="G1070" s="8"/>
      <c r="H1070" s="8"/>
      <c r="I1070" s="8"/>
      <c r="J1070" s="8"/>
      <c r="K1070" s="8"/>
    </row>
    <row r="1071">
      <c r="A1071" s="8" t="s">
        <v>1079</v>
      </c>
      <c r="B1071" s="8"/>
      <c r="C1071" s="8"/>
      <c r="D1071" s="8"/>
      <c r="E1071" s="8"/>
      <c r="F1071" s="8"/>
      <c r="G1071" s="8"/>
      <c r="H1071" s="8"/>
      <c r="I1071" s="8"/>
      <c r="J1071" s="8"/>
      <c r="K1071" s="8"/>
    </row>
    <row r="1072">
      <c r="A1072" s="8" t="s">
        <v>1080</v>
      </c>
      <c r="B1072" s="8"/>
      <c r="C1072" s="8"/>
      <c r="D1072" s="8"/>
      <c r="E1072" s="8"/>
      <c r="F1072" s="8"/>
      <c r="G1072" s="8"/>
      <c r="H1072" s="8"/>
      <c r="I1072" s="8"/>
      <c r="J1072" s="8"/>
      <c r="K1072" s="8"/>
    </row>
    <row r="1073">
      <c r="A1073" s="8" t="s">
        <v>1081</v>
      </c>
      <c r="B1073" s="8"/>
      <c r="C1073" s="8"/>
      <c r="D1073" s="8"/>
      <c r="E1073" s="8"/>
      <c r="F1073" s="8"/>
      <c r="G1073" s="8"/>
      <c r="H1073" s="8"/>
      <c r="I1073" s="8"/>
      <c r="J1073" s="8"/>
      <c r="K1073" s="8"/>
    </row>
    <row r="1074">
      <c r="A1074" s="8" t="s">
        <v>1082</v>
      </c>
      <c r="B1074" s="8"/>
      <c r="C1074" s="8"/>
      <c r="D1074" s="8"/>
      <c r="E1074" s="8"/>
      <c r="F1074" s="8"/>
      <c r="G1074" s="8"/>
      <c r="H1074" s="8"/>
      <c r="I1074" s="8"/>
      <c r="J1074" s="8"/>
      <c r="K1074" s="8"/>
    </row>
    <row r="1075">
      <c r="A1075" s="8" t="s">
        <v>1083</v>
      </c>
      <c r="B1075" s="8"/>
      <c r="C1075" s="8"/>
      <c r="D1075" s="8"/>
      <c r="E1075" s="8"/>
      <c r="F1075" s="8"/>
      <c r="G1075" s="8"/>
      <c r="H1075" s="8"/>
      <c r="I1075" s="8"/>
      <c r="J1075" s="8"/>
      <c r="K1075" s="8"/>
    </row>
    <row r="1076">
      <c r="A1076" s="8" t="s">
        <v>1084</v>
      </c>
      <c r="B1076" s="8"/>
      <c r="C1076" s="8"/>
      <c r="D1076" s="8"/>
      <c r="E1076" s="8"/>
      <c r="F1076" s="8"/>
      <c r="G1076" s="8"/>
      <c r="H1076" s="8"/>
      <c r="I1076" s="8"/>
      <c r="J1076" s="8"/>
      <c r="K1076" s="8"/>
    </row>
    <row r="1077">
      <c r="A1077" s="8" t="s">
        <v>1085</v>
      </c>
      <c r="B1077" s="8"/>
      <c r="C1077" s="8"/>
      <c r="D1077" s="8"/>
      <c r="E1077" s="8"/>
      <c r="F1077" s="8"/>
      <c r="G1077" s="8"/>
      <c r="H1077" s="8"/>
      <c r="I1077" s="8"/>
      <c r="J1077" s="8"/>
      <c r="K1077" s="8"/>
    </row>
    <row r="1078">
      <c r="A1078" s="8" t="s">
        <v>1086</v>
      </c>
      <c r="B1078" s="8"/>
      <c r="C1078" s="8"/>
      <c r="D1078" s="8"/>
      <c r="E1078" s="8"/>
      <c r="F1078" s="8"/>
      <c r="G1078" s="8"/>
      <c r="H1078" s="8"/>
      <c r="I1078" s="8"/>
      <c r="J1078" s="8"/>
      <c r="K1078" s="8"/>
    </row>
    <row r="1079">
      <c r="A1079" s="8" t="s">
        <v>1087</v>
      </c>
      <c r="B1079" s="8"/>
      <c r="C1079" s="8"/>
      <c r="D1079" s="8"/>
      <c r="E1079" s="8"/>
      <c r="F1079" s="8"/>
      <c r="G1079" s="8"/>
      <c r="H1079" s="8"/>
      <c r="I1079" s="8"/>
      <c r="J1079" s="8"/>
      <c r="K1079" s="8"/>
    </row>
    <row r="1080">
      <c r="A1080" s="8" t="s">
        <v>1088</v>
      </c>
      <c r="B1080" s="8"/>
      <c r="C1080" s="8"/>
      <c r="D1080" s="8"/>
      <c r="E1080" s="8"/>
      <c r="F1080" s="8"/>
      <c r="G1080" s="8"/>
      <c r="H1080" s="8"/>
      <c r="I1080" s="8"/>
      <c r="J1080" s="8"/>
      <c r="K1080" s="8"/>
    </row>
    <row r="1081">
      <c r="A1081" s="8" t="s">
        <v>1089</v>
      </c>
      <c r="B1081" s="8"/>
      <c r="C1081" s="8"/>
      <c r="D1081" s="8"/>
      <c r="E1081" s="8"/>
      <c r="F1081" s="8"/>
      <c r="G1081" s="8"/>
      <c r="H1081" s="8"/>
      <c r="I1081" s="8"/>
      <c r="J1081" s="8"/>
      <c r="K1081" s="8"/>
    </row>
    <row r="1082">
      <c r="A1082" s="8" t="s">
        <v>1090</v>
      </c>
      <c r="B1082" s="8"/>
      <c r="C1082" s="8"/>
      <c r="D1082" s="8"/>
      <c r="E1082" s="8"/>
      <c r="F1082" s="8"/>
      <c r="G1082" s="8"/>
      <c r="H1082" s="8"/>
      <c r="I1082" s="8"/>
      <c r="J1082" s="8"/>
      <c r="K1082" s="8"/>
    </row>
    <row r="1083">
      <c r="A1083" s="8" t="s">
        <v>1091</v>
      </c>
      <c r="B1083" s="8"/>
      <c r="C1083" s="8"/>
      <c r="D1083" s="8"/>
      <c r="E1083" s="8"/>
      <c r="F1083" s="8"/>
      <c r="G1083" s="8"/>
      <c r="H1083" s="8"/>
      <c r="I1083" s="8"/>
      <c r="J1083" s="8"/>
      <c r="K1083" s="8"/>
    </row>
    <row r="1084">
      <c r="A1084" s="8" t="s">
        <v>1092</v>
      </c>
      <c r="B1084" s="8"/>
      <c r="C1084" s="8"/>
      <c r="D1084" s="8"/>
      <c r="E1084" s="8"/>
      <c r="F1084" s="8"/>
      <c r="G1084" s="8"/>
      <c r="H1084" s="8"/>
      <c r="I1084" s="8"/>
      <c r="J1084" s="8"/>
      <c r="K1084" s="8"/>
    </row>
    <row r="1085">
      <c r="A1085" s="8" t="s">
        <v>1093</v>
      </c>
      <c r="B1085" s="8"/>
      <c r="C1085" s="8"/>
      <c r="D1085" s="8"/>
      <c r="E1085" s="8"/>
      <c r="F1085" s="8"/>
      <c r="G1085" s="8"/>
      <c r="H1085" s="8"/>
      <c r="I1085" s="8"/>
      <c r="J1085" s="8"/>
      <c r="K1085" s="8"/>
    </row>
    <row r="1086">
      <c r="A1086" s="8" t="s">
        <v>1094</v>
      </c>
      <c r="B1086" s="8"/>
      <c r="C1086" s="8"/>
      <c r="D1086" s="8"/>
      <c r="E1086" s="8"/>
      <c r="F1086" s="8"/>
      <c r="G1086" s="8"/>
      <c r="H1086" s="8"/>
      <c r="I1086" s="8"/>
      <c r="J1086" s="8"/>
      <c r="K1086" s="8"/>
    </row>
    <row r="1087">
      <c r="A1087" s="8" t="s">
        <v>1095</v>
      </c>
      <c r="B1087" s="8"/>
      <c r="C1087" s="8"/>
      <c r="D1087" s="8"/>
      <c r="E1087" s="8"/>
      <c r="F1087" s="8"/>
      <c r="G1087" s="8"/>
      <c r="H1087" s="8"/>
      <c r="I1087" s="8"/>
      <c r="J1087" s="8"/>
      <c r="K1087" s="8"/>
    </row>
    <row r="1088">
      <c r="A1088" s="8" t="s">
        <v>1096</v>
      </c>
      <c r="B1088" s="8"/>
      <c r="C1088" s="8"/>
      <c r="D1088" s="8"/>
      <c r="E1088" s="8"/>
      <c r="F1088" s="8"/>
      <c r="G1088" s="8"/>
      <c r="H1088" s="8"/>
      <c r="I1088" s="8"/>
      <c r="J1088" s="8"/>
      <c r="K1088" s="8"/>
    </row>
    <row r="1089">
      <c r="A1089" s="8" t="s">
        <v>1097</v>
      </c>
      <c r="B1089" s="8"/>
      <c r="C1089" s="8"/>
      <c r="D1089" s="8"/>
      <c r="E1089" s="8"/>
      <c r="F1089" s="8"/>
      <c r="G1089" s="8"/>
      <c r="H1089" s="8"/>
      <c r="I1089" s="8"/>
      <c r="J1089" s="8"/>
      <c r="K1089" s="8"/>
    </row>
    <row r="1090">
      <c r="A1090" s="8" t="s">
        <v>1098</v>
      </c>
      <c r="B1090" s="8"/>
      <c r="C1090" s="8"/>
      <c r="D1090" s="8"/>
      <c r="E1090" s="8"/>
      <c r="F1090" s="8"/>
      <c r="G1090" s="8"/>
      <c r="H1090" s="8"/>
      <c r="I1090" s="8"/>
      <c r="J1090" s="8"/>
      <c r="K1090" s="8"/>
    </row>
    <row r="1091">
      <c r="A1091" s="8" t="s">
        <v>1099</v>
      </c>
      <c r="B1091" s="8"/>
      <c r="C1091" s="8"/>
      <c r="D1091" s="8"/>
      <c r="E1091" s="8"/>
      <c r="F1091" s="8"/>
      <c r="G1091" s="8"/>
      <c r="H1091" s="8"/>
      <c r="I1091" s="8"/>
      <c r="J1091" s="8"/>
      <c r="K1091" s="8"/>
    </row>
    <row r="1092">
      <c r="A1092" s="8" t="s">
        <v>1100</v>
      </c>
      <c r="B1092" s="8"/>
      <c r="C1092" s="8"/>
      <c r="D1092" s="8"/>
      <c r="E1092" s="8"/>
      <c r="F1092" s="8"/>
      <c r="G1092" s="8"/>
      <c r="H1092" s="8"/>
      <c r="I1092" s="8"/>
      <c r="J1092" s="8"/>
      <c r="K1092" s="8"/>
    </row>
    <row r="1093">
      <c r="A1093" s="8" t="s">
        <v>1101</v>
      </c>
      <c r="B1093" s="8"/>
      <c r="C1093" s="8"/>
      <c r="D1093" s="8"/>
      <c r="E1093" s="8"/>
      <c r="F1093" s="8"/>
      <c r="G1093" s="8"/>
      <c r="H1093" s="8"/>
      <c r="I1093" s="8"/>
      <c r="J1093" s="8"/>
      <c r="K1093" s="8"/>
    </row>
    <row r="1094">
      <c r="A1094" s="8" t="s">
        <v>1102</v>
      </c>
      <c r="B1094" s="8"/>
      <c r="C1094" s="8"/>
      <c r="D1094" s="8"/>
      <c r="E1094" s="8"/>
      <c r="F1094" s="8"/>
      <c r="G1094" s="8"/>
      <c r="H1094" s="8"/>
      <c r="I1094" s="8"/>
      <c r="J1094" s="8"/>
      <c r="K1094" s="8"/>
    </row>
    <row r="1095">
      <c r="A1095" s="8" t="s">
        <v>1103</v>
      </c>
      <c r="B1095" s="8"/>
      <c r="C1095" s="8"/>
      <c r="D1095" s="8"/>
      <c r="E1095" s="8"/>
      <c r="F1095" s="8"/>
      <c r="G1095" s="8"/>
      <c r="H1095" s="8"/>
      <c r="I1095" s="8"/>
      <c r="J1095" s="8"/>
      <c r="K1095" s="8"/>
    </row>
    <row r="1096">
      <c r="A1096" s="8" t="s">
        <v>1104</v>
      </c>
      <c r="B1096" s="8"/>
      <c r="C1096" s="8"/>
      <c r="D1096" s="8"/>
      <c r="E1096" s="8"/>
      <c r="F1096" s="8"/>
      <c r="G1096" s="8"/>
      <c r="H1096" s="8"/>
      <c r="I1096" s="8"/>
      <c r="J1096" s="8"/>
      <c r="K1096" s="8"/>
    </row>
    <row r="1097">
      <c r="A1097" s="8" t="s">
        <v>1105</v>
      </c>
      <c r="B1097" s="8"/>
      <c r="C1097" s="8"/>
      <c r="D1097" s="8"/>
      <c r="E1097" s="8"/>
      <c r="F1097" s="8"/>
      <c r="G1097" s="8"/>
      <c r="H1097" s="8"/>
      <c r="I1097" s="8"/>
      <c r="J1097" s="8"/>
      <c r="K1097" s="8"/>
    </row>
    <row r="1098">
      <c r="A1098" s="8" t="s">
        <v>1106</v>
      </c>
      <c r="B1098" s="8"/>
      <c r="C1098" s="8"/>
      <c r="D1098" s="8"/>
      <c r="E1098" s="8"/>
      <c r="F1098" s="8"/>
      <c r="G1098" s="8"/>
      <c r="H1098" s="8"/>
      <c r="I1098" s="8"/>
      <c r="J1098" s="8"/>
      <c r="K1098" s="8"/>
    </row>
    <row r="1099">
      <c r="A1099" s="8" t="s">
        <v>1107</v>
      </c>
      <c r="B1099" s="8"/>
      <c r="C1099" s="8"/>
      <c r="D1099" s="8"/>
      <c r="E1099" s="8"/>
      <c r="F1099" s="8"/>
      <c r="G1099" s="8"/>
      <c r="H1099" s="8"/>
      <c r="I1099" s="8"/>
      <c r="J1099" s="8"/>
      <c r="K1099" s="8"/>
    </row>
    <row r="1100">
      <c r="A1100" s="8" t="s">
        <v>1108</v>
      </c>
      <c r="B1100" s="8"/>
      <c r="C1100" s="8"/>
      <c r="D1100" s="8"/>
      <c r="E1100" s="8"/>
      <c r="F1100" s="8"/>
      <c r="G1100" s="8"/>
      <c r="H1100" s="8"/>
      <c r="I1100" s="8"/>
      <c r="J1100" s="8"/>
      <c r="K1100" s="8"/>
    </row>
    <row r="1101">
      <c r="A1101" s="8" t="s">
        <v>1109</v>
      </c>
      <c r="B1101" s="8"/>
      <c r="C1101" s="8"/>
      <c r="D1101" s="8"/>
      <c r="E1101" s="8"/>
      <c r="F1101" s="8"/>
      <c r="G1101" s="8"/>
      <c r="H1101" s="8"/>
      <c r="I1101" s="8"/>
      <c r="J1101" s="8"/>
      <c r="K1101" s="8"/>
    </row>
    <row r="1102">
      <c r="A1102" s="8" t="s">
        <v>1110</v>
      </c>
      <c r="B1102" s="8"/>
      <c r="C1102" s="8"/>
      <c r="D1102" s="8"/>
      <c r="E1102" s="8"/>
      <c r="F1102" s="8"/>
      <c r="G1102" s="8"/>
      <c r="H1102" s="8"/>
      <c r="I1102" s="8"/>
      <c r="J1102" s="8"/>
      <c r="K1102" s="8"/>
    </row>
    <row r="1103">
      <c r="A1103" s="8" t="s">
        <v>1111</v>
      </c>
      <c r="B1103" s="8"/>
      <c r="C1103" s="8"/>
      <c r="D1103" s="8"/>
      <c r="E1103" s="8"/>
      <c r="F1103" s="8"/>
      <c r="G1103" s="8"/>
      <c r="H1103" s="8"/>
      <c r="I1103" s="8"/>
      <c r="J1103" s="8"/>
      <c r="K1103" s="8"/>
    </row>
    <row r="1104">
      <c r="A1104" s="8" t="s">
        <v>1112</v>
      </c>
      <c r="B1104" s="8"/>
      <c r="C1104" s="8"/>
      <c r="D1104" s="8"/>
      <c r="E1104" s="8"/>
      <c r="F1104" s="8"/>
      <c r="G1104" s="8"/>
      <c r="H1104" s="8"/>
      <c r="I1104" s="8"/>
      <c r="J1104" s="8"/>
      <c r="K1104" s="8"/>
    </row>
    <row r="1105">
      <c r="A1105" s="8" t="s">
        <v>1113</v>
      </c>
      <c r="B1105" s="8"/>
      <c r="C1105" s="8"/>
      <c r="D1105" s="8"/>
      <c r="E1105" s="8"/>
      <c r="F1105" s="8"/>
      <c r="G1105" s="8"/>
      <c r="H1105" s="8"/>
      <c r="I1105" s="8"/>
      <c r="J1105" s="8"/>
      <c r="K1105" s="8"/>
    </row>
    <row r="1106">
      <c r="A1106" s="8" t="s">
        <v>1114</v>
      </c>
      <c r="B1106" s="8"/>
      <c r="C1106" s="8"/>
      <c r="D1106" s="8"/>
      <c r="E1106" s="8"/>
      <c r="F1106" s="8"/>
      <c r="G1106" s="8"/>
      <c r="H1106" s="8"/>
      <c r="I1106" s="8"/>
      <c r="J1106" s="8"/>
      <c r="K1106" s="8"/>
    </row>
    <row r="1107">
      <c r="A1107" s="8" t="s">
        <v>1115</v>
      </c>
      <c r="B1107" s="8"/>
      <c r="C1107" s="8"/>
      <c r="D1107" s="8"/>
      <c r="E1107" s="8"/>
      <c r="F1107" s="8"/>
      <c r="G1107" s="8"/>
      <c r="H1107" s="8"/>
      <c r="I1107" s="8"/>
      <c r="J1107" s="8"/>
      <c r="K1107" s="8"/>
    </row>
    <row r="1108">
      <c r="A1108" s="8" t="s">
        <v>1116</v>
      </c>
      <c r="B1108" s="8"/>
      <c r="C1108" s="8"/>
      <c r="D1108" s="8"/>
      <c r="E1108" s="8"/>
      <c r="F1108" s="8"/>
      <c r="G1108" s="8"/>
      <c r="H1108" s="8"/>
      <c r="I1108" s="8"/>
      <c r="J1108" s="8"/>
      <c r="K1108" s="8"/>
    </row>
    <row r="1109">
      <c r="A1109" s="8" t="s">
        <v>1117</v>
      </c>
      <c r="B1109" s="8"/>
      <c r="C1109" s="8"/>
      <c r="D1109" s="8"/>
      <c r="E1109" s="8"/>
      <c r="F1109" s="8"/>
      <c r="G1109" s="8"/>
      <c r="H1109" s="8"/>
      <c r="I1109" s="8"/>
      <c r="J1109" s="8"/>
      <c r="K1109" s="8"/>
    </row>
    <row r="1110">
      <c r="A1110" s="8" t="s">
        <v>1118</v>
      </c>
      <c r="B1110" s="8"/>
      <c r="C1110" s="8"/>
      <c r="D1110" s="8"/>
      <c r="E1110" s="8"/>
      <c r="F1110" s="8"/>
      <c r="G1110" s="8"/>
      <c r="H1110" s="8"/>
      <c r="I1110" s="8"/>
      <c r="J1110" s="8"/>
      <c r="K1110" s="8"/>
    </row>
    <row r="1111">
      <c r="A1111" s="8" t="s">
        <v>1119</v>
      </c>
      <c r="B1111" s="8"/>
      <c r="C1111" s="8"/>
      <c r="D1111" s="8"/>
      <c r="E1111" s="8"/>
      <c r="F1111" s="8"/>
      <c r="G1111" s="8"/>
      <c r="H1111" s="8"/>
      <c r="I1111" s="8"/>
      <c r="J1111" s="8"/>
      <c r="K1111" s="8"/>
    </row>
    <row r="1112">
      <c r="A1112" s="8" t="s">
        <v>1120</v>
      </c>
      <c r="B1112" s="8"/>
      <c r="C1112" s="8"/>
      <c r="D1112" s="8"/>
      <c r="E1112" s="8"/>
      <c r="F1112" s="8"/>
      <c r="G1112" s="8"/>
      <c r="H1112" s="8"/>
      <c r="I1112" s="8"/>
      <c r="J1112" s="8"/>
      <c r="K1112" s="8"/>
    </row>
    <row r="1113">
      <c r="A1113" s="8" t="s">
        <v>1121</v>
      </c>
      <c r="B1113" s="8"/>
      <c r="C1113" s="8"/>
      <c r="D1113" s="8"/>
      <c r="E1113" s="8"/>
      <c r="F1113" s="8"/>
      <c r="G1113" s="8"/>
      <c r="H1113" s="8"/>
      <c r="I1113" s="8"/>
      <c r="J1113" s="8"/>
      <c r="K1113" s="8"/>
    </row>
    <row r="1114">
      <c r="A1114" s="8" t="s">
        <v>1122</v>
      </c>
      <c r="B1114" s="8"/>
      <c r="C1114" s="8"/>
      <c r="D1114" s="8"/>
      <c r="E1114" s="8"/>
      <c r="F1114" s="8"/>
      <c r="G1114" s="8"/>
      <c r="H1114" s="8"/>
      <c r="I1114" s="8"/>
      <c r="J1114" s="8"/>
      <c r="K1114" s="8"/>
    </row>
    <row r="1115">
      <c r="A1115" s="8" t="s">
        <v>1123</v>
      </c>
      <c r="B1115" s="8"/>
      <c r="C1115" s="8"/>
      <c r="D1115" s="8"/>
      <c r="E1115" s="8"/>
      <c r="F1115" s="8"/>
      <c r="G1115" s="8"/>
      <c r="H1115" s="8"/>
      <c r="I1115" s="8"/>
      <c r="J1115" s="8"/>
      <c r="K1115" s="8"/>
    </row>
    <row r="1116">
      <c r="A1116" s="8" t="s">
        <v>1124</v>
      </c>
      <c r="B1116" s="8"/>
      <c r="C1116" s="8"/>
      <c r="D1116" s="8"/>
      <c r="E1116" s="8"/>
      <c r="F1116" s="8"/>
      <c r="G1116" s="8"/>
      <c r="H1116" s="8"/>
      <c r="I1116" s="8"/>
      <c r="J1116" s="8"/>
      <c r="K1116" s="8"/>
    </row>
    <row r="1117">
      <c r="A1117" s="8" t="s">
        <v>1125</v>
      </c>
      <c r="B1117" s="8"/>
      <c r="C1117" s="8"/>
      <c r="D1117" s="8"/>
      <c r="E1117" s="8"/>
      <c r="F1117" s="8"/>
      <c r="G1117" s="8"/>
      <c r="H1117" s="8"/>
      <c r="I1117" s="8"/>
      <c r="J1117" s="8"/>
      <c r="K1117" s="8"/>
    </row>
    <row r="1118">
      <c r="A1118" s="8" t="s">
        <v>1126</v>
      </c>
      <c r="B1118" s="8"/>
      <c r="C1118" s="8"/>
      <c r="D1118" s="8"/>
      <c r="E1118" s="8"/>
      <c r="F1118" s="8"/>
      <c r="G1118" s="8"/>
      <c r="H1118" s="8"/>
      <c r="I1118" s="8"/>
      <c r="J1118" s="8"/>
      <c r="K1118" s="8"/>
    </row>
    <row r="1119">
      <c r="A1119" s="8" t="s">
        <v>1127</v>
      </c>
      <c r="B1119" s="8"/>
      <c r="C1119" s="8"/>
      <c r="D1119" s="8"/>
      <c r="E1119" s="8"/>
      <c r="F1119" s="8"/>
      <c r="G1119" s="8"/>
      <c r="H1119" s="8"/>
      <c r="I1119" s="8"/>
      <c r="J1119" s="8"/>
      <c r="K1119" s="8"/>
    </row>
    <row r="1120">
      <c r="A1120" s="8" t="s">
        <v>1128</v>
      </c>
      <c r="B1120" s="8"/>
      <c r="C1120" s="8"/>
      <c r="D1120" s="8"/>
      <c r="E1120" s="8"/>
      <c r="F1120" s="8"/>
      <c r="G1120" s="8"/>
      <c r="H1120" s="8"/>
      <c r="I1120" s="8"/>
      <c r="J1120" s="8"/>
      <c r="K1120" s="8"/>
    </row>
    <row r="1121">
      <c r="A1121" s="8" t="s">
        <v>1129</v>
      </c>
      <c r="B1121" s="8"/>
      <c r="C1121" s="8"/>
      <c r="D1121" s="8"/>
      <c r="E1121" s="8"/>
      <c r="F1121" s="8"/>
      <c r="G1121" s="8"/>
      <c r="H1121" s="8"/>
      <c r="I1121" s="8"/>
      <c r="J1121" s="8"/>
      <c r="K1121" s="8"/>
    </row>
    <row r="1122">
      <c r="A1122" s="8" t="s">
        <v>1130</v>
      </c>
      <c r="B1122" s="8"/>
      <c r="C1122" s="8"/>
      <c r="D1122" s="8"/>
      <c r="E1122" s="8"/>
      <c r="F1122" s="8"/>
      <c r="G1122" s="8"/>
      <c r="H1122" s="8"/>
      <c r="I1122" s="8"/>
      <c r="J1122" s="8"/>
      <c r="K1122" s="8"/>
    </row>
    <row r="1123">
      <c r="A1123" s="8" t="s">
        <v>1131</v>
      </c>
      <c r="B1123" s="8"/>
      <c r="C1123" s="8"/>
      <c r="D1123" s="8"/>
      <c r="E1123" s="8"/>
      <c r="F1123" s="8"/>
      <c r="G1123" s="8"/>
      <c r="H1123" s="8"/>
      <c r="I1123" s="8"/>
      <c r="J1123" s="8"/>
      <c r="K1123" s="8"/>
    </row>
    <row r="1124">
      <c r="A1124" s="8" t="s">
        <v>1132</v>
      </c>
      <c r="B1124" s="8"/>
      <c r="C1124" s="8"/>
      <c r="D1124" s="8"/>
      <c r="E1124" s="8"/>
      <c r="F1124" s="8"/>
      <c r="G1124" s="8"/>
      <c r="H1124" s="8"/>
      <c r="I1124" s="8"/>
      <c r="J1124" s="8"/>
      <c r="K1124" s="8"/>
    </row>
    <row r="1125">
      <c r="A1125" s="8" t="s">
        <v>1133</v>
      </c>
      <c r="B1125" s="8"/>
      <c r="C1125" s="8"/>
      <c r="D1125" s="8"/>
      <c r="E1125" s="8"/>
      <c r="F1125" s="8"/>
      <c r="G1125" s="8"/>
      <c r="H1125" s="8"/>
      <c r="I1125" s="8"/>
      <c r="J1125" s="8"/>
      <c r="K1125" s="8"/>
    </row>
    <row r="1126">
      <c r="A1126" s="8" t="s">
        <v>1134</v>
      </c>
      <c r="B1126" s="8"/>
      <c r="C1126" s="8"/>
      <c r="D1126" s="8"/>
      <c r="E1126" s="8"/>
      <c r="F1126" s="8"/>
      <c r="G1126" s="8"/>
      <c r="H1126" s="8"/>
      <c r="I1126" s="8"/>
      <c r="J1126" s="8"/>
      <c r="K1126" s="8"/>
    </row>
    <row r="1127">
      <c r="A1127" s="8" t="s">
        <v>1135</v>
      </c>
      <c r="B1127" s="8"/>
      <c r="C1127" s="8"/>
      <c r="D1127" s="8"/>
      <c r="E1127" s="8"/>
      <c r="F1127" s="8"/>
      <c r="G1127" s="8"/>
      <c r="H1127" s="8"/>
      <c r="I1127" s="8"/>
      <c r="J1127" s="8"/>
      <c r="K1127" s="8"/>
    </row>
    <row r="1128">
      <c r="A1128" s="8" t="s">
        <v>1136</v>
      </c>
      <c r="B1128" s="8"/>
      <c r="C1128" s="8"/>
      <c r="D1128" s="8"/>
      <c r="E1128" s="8"/>
      <c r="F1128" s="8"/>
      <c r="G1128" s="8"/>
      <c r="H1128" s="8"/>
      <c r="I1128" s="8"/>
      <c r="J1128" s="8"/>
      <c r="K1128" s="8"/>
    </row>
    <row r="1129">
      <c r="A1129" s="8" t="s">
        <v>1137</v>
      </c>
      <c r="B1129" s="8"/>
      <c r="C1129" s="8"/>
      <c r="D1129" s="8"/>
      <c r="E1129" s="8"/>
      <c r="F1129" s="8"/>
      <c r="G1129" s="8"/>
      <c r="H1129" s="8"/>
      <c r="I1129" s="8"/>
      <c r="J1129" s="8"/>
      <c r="K1129" s="8"/>
    </row>
    <row r="1130">
      <c r="A1130" s="8" t="s">
        <v>1138</v>
      </c>
      <c r="B1130" s="8"/>
      <c r="C1130" s="8"/>
      <c r="D1130" s="8"/>
      <c r="E1130" s="8"/>
      <c r="F1130" s="8"/>
      <c r="G1130" s="8"/>
      <c r="H1130" s="8"/>
      <c r="I1130" s="8"/>
      <c r="J1130" s="8"/>
      <c r="K1130" s="8"/>
    </row>
    <row r="1131">
      <c r="A1131" s="8" t="s">
        <v>1139</v>
      </c>
      <c r="B1131" s="8"/>
      <c r="C1131" s="8"/>
      <c r="D1131" s="8"/>
      <c r="E1131" s="8"/>
      <c r="F1131" s="8"/>
      <c r="G1131" s="8"/>
      <c r="H1131" s="8"/>
      <c r="I1131" s="8"/>
      <c r="J1131" s="8"/>
      <c r="K1131" s="8"/>
    </row>
    <row r="1132">
      <c r="A1132" s="8" t="s">
        <v>1140</v>
      </c>
      <c r="B1132" s="8"/>
      <c r="C1132" s="8"/>
      <c r="D1132" s="8"/>
      <c r="E1132" s="8"/>
      <c r="F1132" s="8"/>
      <c r="G1132" s="8"/>
      <c r="H1132" s="8"/>
      <c r="I1132" s="8"/>
      <c r="J1132" s="8"/>
      <c r="K1132" s="8"/>
    </row>
    <row r="1133">
      <c r="A1133" s="8" t="s">
        <v>1141</v>
      </c>
      <c r="B1133" s="8"/>
      <c r="C1133" s="8"/>
      <c r="D1133" s="8"/>
      <c r="E1133" s="8"/>
      <c r="F1133" s="8"/>
      <c r="G1133" s="8"/>
      <c r="H1133" s="8"/>
      <c r="I1133" s="8"/>
      <c r="J1133" s="8"/>
      <c r="K1133" s="8"/>
    </row>
    <row r="1134">
      <c r="A1134" s="8" t="s">
        <v>1142</v>
      </c>
      <c r="B1134" s="8"/>
      <c r="C1134" s="8"/>
      <c r="D1134" s="8"/>
      <c r="E1134" s="8"/>
      <c r="F1134" s="8"/>
      <c r="G1134" s="8"/>
      <c r="H1134" s="8"/>
      <c r="I1134" s="8"/>
      <c r="J1134" s="8"/>
      <c r="K1134" s="8"/>
    </row>
    <row r="1135">
      <c r="A1135" s="8" t="s">
        <v>1143</v>
      </c>
      <c r="B1135" s="8"/>
      <c r="C1135" s="8"/>
      <c r="D1135" s="8"/>
      <c r="E1135" s="8"/>
      <c r="F1135" s="8"/>
      <c r="G1135" s="8"/>
      <c r="H1135" s="8"/>
      <c r="I1135" s="8"/>
      <c r="J1135" s="8"/>
      <c r="K1135" s="8"/>
    </row>
    <row r="1136">
      <c r="A1136" s="8" t="s">
        <v>1144</v>
      </c>
      <c r="B1136" s="8"/>
      <c r="C1136" s="8"/>
      <c r="D1136" s="8"/>
      <c r="E1136" s="8"/>
      <c r="F1136" s="8"/>
      <c r="G1136" s="8"/>
      <c r="H1136" s="8"/>
      <c r="I1136" s="8"/>
      <c r="J1136" s="8"/>
      <c r="K1136" s="8"/>
    </row>
    <row r="1137">
      <c r="A1137" s="8" t="s">
        <v>1145</v>
      </c>
      <c r="B1137" s="8"/>
      <c r="C1137" s="8"/>
      <c r="D1137" s="8"/>
      <c r="E1137" s="8"/>
      <c r="F1137" s="8"/>
      <c r="G1137" s="8"/>
      <c r="H1137" s="8"/>
      <c r="I1137" s="8"/>
      <c r="J1137" s="8"/>
      <c r="K1137" s="8"/>
    </row>
    <row r="1138">
      <c r="A1138" s="8" t="s">
        <v>1146</v>
      </c>
      <c r="B1138" s="8"/>
      <c r="C1138" s="8"/>
      <c r="D1138" s="8"/>
      <c r="E1138" s="8"/>
      <c r="F1138" s="8"/>
      <c r="G1138" s="8"/>
      <c r="H1138" s="8"/>
      <c r="I1138" s="8"/>
      <c r="J1138" s="8"/>
      <c r="K1138" s="8"/>
    </row>
    <row r="1139">
      <c r="A1139" s="8" t="s">
        <v>1147</v>
      </c>
      <c r="B1139" s="8"/>
      <c r="C1139" s="8"/>
      <c r="D1139" s="8"/>
      <c r="E1139" s="8"/>
      <c r="F1139" s="8"/>
      <c r="G1139" s="8"/>
      <c r="H1139" s="8"/>
      <c r="I1139" s="8"/>
      <c r="J1139" s="8"/>
      <c r="K1139" s="8"/>
    </row>
    <row r="1140">
      <c r="A1140" s="8" t="s">
        <v>1148</v>
      </c>
      <c r="B1140" s="8"/>
      <c r="C1140" s="8"/>
      <c r="D1140" s="8"/>
      <c r="E1140" s="8"/>
      <c r="F1140" s="8"/>
      <c r="G1140" s="8"/>
      <c r="H1140" s="8"/>
      <c r="I1140" s="8"/>
      <c r="J1140" s="8"/>
      <c r="K1140" s="8"/>
    </row>
    <row r="1141">
      <c r="A1141" s="8" t="s">
        <v>1149</v>
      </c>
      <c r="B1141" s="8"/>
      <c r="C1141" s="8"/>
      <c r="D1141" s="8"/>
      <c r="E1141" s="8"/>
      <c r="F1141" s="8"/>
      <c r="G1141" s="8"/>
      <c r="H1141" s="8"/>
      <c r="I1141" s="8"/>
      <c r="J1141" s="8"/>
      <c r="K1141" s="8"/>
    </row>
    <row r="1142">
      <c r="A1142" s="8" t="s">
        <v>1150</v>
      </c>
      <c r="B1142" s="8"/>
      <c r="C1142" s="8"/>
      <c r="D1142" s="8"/>
      <c r="E1142" s="8"/>
      <c r="F1142" s="8"/>
      <c r="G1142" s="8"/>
      <c r="H1142" s="8"/>
      <c r="I1142" s="8"/>
      <c r="J1142" s="8"/>
      <c r="K1142" s="8"/>
    </row>
    <row r="1143">
      <c r="A1143" s="8" t="s">
        <v>1151</v>
      </c>
      <c r="B1143" s="8"/>
      <c r="C1143" s="8"/>
      <c r="D1143" s="8"/>
      <c r="E1143" s="8"/>
      <c r="F1143" s="8"/>
      <c r="G1143" s="8"/>
      <c r="H1143" s="8"/>
      <c r="I1143" s="8"/>
      <c r="J1143" s="8"/>
      <c r="K1143" s="8"/>
    </row>
    <row r="1144">
      <c r="A1144" s="8" t="s">
        <v>1152</v>
      </c>
      <c r="B1144" s="8"/>
      <c r="C1144" s="8"/>
      <c r="D1144" s="8"/>
      <c r="E1144" s="8"/>
      <c r="F1144" s="8"/>
      <c r="G1144" s="8"/>
      <c r="H1144" s="8"/>
      <c r="I1144" s="8"/>
      <c r="J1144" s="8"/>
      <c r="K1144" s="8"/>
    </row>
    <row r="1145">
      <c r="A1145" s="8" t="s">
        <v>1153</v>
      </c>
      <c r="B1145" s="8"/>
      <c r="C1145" s="8"/>
      <c r="D1145" s="8"/>
      <c r="E1145" s="8"/>
      <c r="F1145" s="8"/>
      <c r="G1145" s="8"/>
      <c r="H1145" s="8"/>
      <c r="I1145" s="8"/>
      <c r="J1145" s="8"/>
      <c r="K1145" s="8"/>
    </row>
    <row r="1146">
      <c r="A1146" s="8" t="s">
        <v>1154</v>
      </c>
      <c r="B1146" s="8"/>
      <c r="C1146" s="8"/>
      <c r="D1146" s="8"/>
      <c r="E1146" s="8"/>
      <c r="F1146" s="8"/>
      <c r="G1146" s="8"/>
      <c r="H1146" s="8"/>
      <c r="I1146" s="8"/>
      <c r="J1146" s="8"/>
      <c r="K1146" s="8"/>
    </row>
    <row r="1147">
      <c r="A1147" s="8" t="s">
        <v>1155</v>
      </c>
      <c r="B1147" s="8"/>
      <c r="C1147" s="8"/>
      <c r="D1147" s="8"/>
      <c r="E1147" s="8"/>
      <c r="F1147" s="8"/>
      <c r="G1147" s="8"/>
      <c r="H1147" s="8"/>
      <c r="I1147" s="8"/>
      <c r="J1147" s="8"/>
      <c r="K1147" s="8"/>
    </row>
    <row r="1148">
      <c r="A1148" s="8" t="s">
        <v>1156</v>
      </c>
      <c r="B1148" s="8"/>
      <c r="C1148" s="8"/>
      <c r="D1148" s="8"/>
      <c r="E1148" s="8"/>
      <c r="F1148" s="8"/>
      <c r="G1148" s="8"/>
      <c r="H1148" s="8"/>
      <c r="I1148" s="8"/>
      <c r="J1148" s="8"/>
      <c r="K1148" s="8"/>
    </row>
    <row r="1149">
      <c r="A1149" s="8" t="s">
        <v>1157</v>
      </c>
      <c r="B1149" s="8"/>
      <c r="C1149" s="8"/>
      <c r="D1149" s="8"/>
      <c r="E1149" s="8"/>
      <c r="F1149" s="8"/>
      <c r="G1149" s="8"/>
      <c r="H1149" s="8"/>
      <c r="I1149" s="8"/>
      <c r="J1149" s="8"/>
      <c r="K1149" s="8"/>
    </row>
    <row r="1150">
      <c r="A1150" s="8" t="s">
        <v>1158</v>
      </c>
      <c r="B1150" s="8"/>
      <c r="C1150" s="8"/>
      <c r="D1150" s="8"/>
      <c r="E1150" s="8"/>
      <c r="F1150" s="8"/>
      <c r="G1150" s="8"/>
      <c r="H1150" s="8"/>
      <c r="I1150" s="8"/>
      <c r="J1150" s="8"/>
      <c r="K1150" s="8"/>
    </row>
    <row r="1151">
      <c r="A1151" s="8" t="s">
        <v>1159</v>
      </c>
      <c r="B1151" s="8"/>
      <c r="C1151" s="8"/>
      <c r="D1151" s="8"/>
      <c r="E1151" s="8"/>
      <c r="F1151" s="8"/>
      <c r="G1151" s="8"/>
      <c r="H1151" s="8"/>
      <c r="I1151" s="8"/>
      <c r="J1151" s="8"/>
      <c r="K1151" s="8"/>
    </row>
    <row r="1152">
      <c r="A1152" s="8" t="s">
        <v>1160</v>
      </c>
      <c r="B1152" s="8"/>
      <c r="C1152" s="8"/>
      <c r="D1152" s="8"/>
      <c r="E1152" s="8"/>
      <c r="F1152" s="8"/>
      <c r="G1152" s="8"/>
      <c r="H1152" s="8"/>
      <c r="I1152" s="8"/>
      <c r="J1152" s="8"/>
      <c r="K1152" s="8"/>
    </row>
    <row r="1153">
      <c r="A1153" s="8" t="s">
        <v>1161</v>
      </c>
      <c r="B1153" s="8"/>
      <c r="C1153" s="8"/>
      <c r="D1153" s="8"/>
      <c r="E1153" s="8"/>
      <c r="F1153" s="8"/>
      <c r="G1153" s="8"/>
      <c r="H1153" s="8"/>
      <c r="I1153" s="8"/>
      <c r="J1153" s="8"/>
      <c r="K1153" s="8"/>
    </row>
    <row r="1154">
      <c r="A1154" s="8" t="s">
        <v>1162</v>
      </c>
      <c r="B1154" s="8"/>
      <c r="C1154" s="8"/>
      <c r="D1154" s="8"/>
      <c r="E1154" s="8"/>
      <c r="F1154" s="8"/>
      <c r="G1154" s="8"/>
      <c r="H1154" s="8"/>
      <c r="I1154" s="8"/>
      <c r="J1154" s="8"/>
      <c r="K1154" s="8"/>
    </row>
    <row r="1155">
      <c r="A1155" s="8" t="s">
        <v>1163</v>
      </c>
      <c r="B1155" s="8"/>
      <c r="C1155" s="8"/>
      <c r="D1155" s="8"/>
      <c r="E1155" s="8"/>
      <c r="F1155" s="8"/>
      <c r="G1155" s="8"/>
      <c r="H1155" s="8"/>
      <c r="I1155" s="8"/>
      <c r="J1155" s="8"/>
      <c r="K1155" s="8"/>
    </row>
    <row r="1156">
      <c r="A1156" s="8" t="s">
        <v>1164</v>
      </c>
      <c r="B1156" s="8"/>
      <c r="C1156" s="8"/>
      <c r="D1156" s="8"/>
      <c r="E1156" s="8"/>
      <c r="F1156" s="8"/>
      <c r="G1156" s="8"/>
      <c r="H1156" s="8"/>
      <c r="I1156" s="8"/>
      <c r="J1156" s="8"/>
      <c r="K1156" s="8"/>
    </row>
    <row r="1157">
      <c r="A1157" s="8" t="s">
        <v>1165</v>
      </c>
      <c r="B1157" s="8"/>
      <c r="C1157" s="8"/>
      <c r="D1157" s="8"/>
      <c r="E1157" s="8"/>
      <c r="F1157" s="8"/>
      <c r="G1157" s="8"/>
      <c r="H1157" s="8"/>
      <c r="I1157" s="8"/>
      <c r="J1157" s="8"/>
      <c r="K1157" s="8"/>
    </row>
    <row r="1158">
      <c r="A1158" s="8" t="s">
        <v>1166</v>
      </c>
      <c r="B1158" s="8"/>
      <c r="C1158" s="8"/>
      <c r="D1158" s="8"/>
      <c r="E1158" s="8"/>
      <c r="F1158" s="8"/>
      <c r="G1158" s="8"/>
      <c r="H1158" s="8"/>
      <c r="I1158" s="8"/>
      <c r="J1158" s="8"/>
      <c r="K1158" s="8"/>
    </row>
    <row r="1159">
      <c r="A1159" s="8" t="s">
        <v>1167</v>
      </c>
      <c r="B1159" s="8"/>
      <c r="C1159" s="8"/>
      <c r="D1159" s="8"/>
      <c r="E1159" s="8"/>
      <c r="F1159" s="8"/>
      <c r="G1159" s="8"/>
      <c r="H1159" s="8"/>
      <c r="I1159" s="8"/>
      <c r="J1159" s="8"/>
      <c r="K1159" s="8"/>
    </row>
    <row r="1160">
      <c r="A1160" s="8" t="s">
        <v>1168</v>
      </c>
      <c r="B1160" s="8"/>
      <c r="C1160" s="8"/>
      <c r="D1160" s="8"/>
      <c r="E1160" s="8"/>
      <c r="F1160" s="8"/>
      <c r="G1160" s="8"/>
      <c r="H1160" s="8"/>
      <c r="I1160" s="8"/>
      <c r="J1160" s="8"/>
      <c r="K1160" s="8"/>
    </row>
    <row r="1161">
      <c r="A1161" s="8" t="s">
        <v>1169</v>
      </c>
      <c r="B1161" s="8"/>
      <c r="C1161" s="8"/>
      <c r="D1161" s="8"/>
      <c r="E1161" s="8"/>
      <c r="F1161" s="8"/>
      <c r="G1161" s="8"/>
      <c r="H1161" s="8"/>
      <c r="I1161" s="8"/>
      <c r="J1161" s="8"/>
      <c r="K1161" s="8"/>
    </row>
    <row r="1162">
      <c r="A1162" s="8" t="s">
        <v>1170</v>
      </c>
      <c r="B1162" s="8"/>
      <c r="C1162" s="8"/>
      <c r="D1162" s="8"/>
      <c r="E1162" s="8"/>
      <c r="F1162" s="8"/>
      <c r="G1162" s="8"/>
      <c r="H1162" s="8"/>
      <c r="I1162" s="8"/>
      <c r="J1162" s="8"/>
      <c r="K1162" s="8"/>
    </row>
    <row r="1163">
      <c r="A1163" s="8" t="s">
        <v>1171</v>
      </c>
      <c r="B1163" s="8"/>
      <c r="C1163" s="8"/>
      <c r="D1163" s="8"/>
      <c r="E1163" s="8"/>
      <c r="F1163" s="8"/>
      <c r="G1163" s="8"/>
      <c r="H1163" s="8"/>
      <c r="I1163" s="8"/>
      <c r="J1163" s="8"/>
      <c r="K1163" s="8"/>
    </row>
    <row r="1164">
      <c r="A1164" s="8" t="s">
        <v>1172</v>
      </c>
      <c r="B1164" s="8"/>
      <c r="C1164" s="8"/>
      <c r="D1164" s="8"/>
      <c r="E1164" s="8"/>
      <c r="F1164" s="8"/>
      <c r="G1164" s="8"/>
      <c r="H1164" s="8"/>
      <c r="I1164" s="8"/>
      <c r="J1164" s="8"/>
      <c r="K1164" s="8"/>
    </row>
    <row r="1165">
      <c r="A1165" s="8" t="s">
        <v>1173</v>
      </c>
      <c r="B1165" s="8"/>
      <c r="C1165" s="8"/>
      <c r="D1165" s="8"/>
      <c r="E1165" s="8"/>
      <c r="F1165" s="8"/>
      <c r="G1165" s="8"/>
      <c r="H1165" s="8"/>
      <c r="I1165" s="8"/>
      <c r="J1165" s="8"/>
      <c r="K1165" s="8"/>
    </row>
    <row r="1166">
      <c r="A1166" s="8" t="s">
        <v>1174</v>
      </c>
      <c r="B1166" s="8"/>
      <c r="C1166" s="8"/>
      <c r="D1166" s="8"/>
      <c r="E1166" s="8"/>
      <c r="F1166" s="8"/>
      <c r="G1166" s="8"/>
      <c r="H1166" s="8"/>
      <c r="I1166" s="8"/>
      <c r="J1166" s="8"/>
      <c r="K1166" s="8"/>
    </row>
    <row r="1167">
      <c r="A1167" s="8" t="s">
        <v>1175</v>
      </c>
      <c r="B1167" s="8"/>
      <c r="C1167" s="8"/>
      <c r="D1167" s="8"/>
      <c r="E1167" s="8"/>
      <c r="F1167" s="8"/>
      <c r="G1167" s="8"/>
      <c r="H1167" s="8"/>
      <c r="I1167" s="8"/>
      <c r="J1167" s="8"/>
      <c r="K1167" s="8"/>
    </row>
    <row r="1168">
      <c r="A1168" s="8" t="s">
        <v>1176</v>
      </c>
      <c r="B1168" s="8"/>
      <c r="C1168" s="8"/>
      <c r="D1168" s="8"/>
      <c r="E1168" s="8"/>
      <c r="F1168" s="8"/>
      <c r="G1168" s="8"/>
      <c r="H1168" s="8"/>
      <c r="I1168" s="8"/>
      <c r="J1168" s="8"/>
      <c r="K1168" s="8"/>
    </row>
    <row r="1169">
      <c r="A1169" s="8" t="s">
        <v>1177</v>
      </c>
      <c r="B1169" s="8"/>
      <c r="C1169" s="8"/>
      <c r="D1169" s="8"/>
      <c r="E1169" s="8"/>
      <c r="F1169" s="8"/>
      <c r="G1169" s="8"/>
      <c r="H1169" s="8"/>
      <c r="I1169" s="8"/>
      <c r="J1169" s="8"/>
      <c r="K1169" s="8"/>
    </row>
    <row r="1170">
      <c r="A1170" s="8" t="s">
        <v>1178</v>
      </c>
      <c r="B1170" s="8"/>
      <c r="C1170" s="8"/>
      <c r="D1170" s="8"/>
      <c r="E1170" s="8"/>
      <c r="F1170" s="8"/>
      <c r="G1170" s="8"/>
      <c r="H1170" s="8"/>
      <c r="I1170" s="8"/>
      <c r="J1170" s="8"/>
      <c r="K1170" s="8"/>
    </row>
    <row r="1171">
      <c r="A1171" s="8" t="s">
        <v>1179</v>
      </c>
      <c r="B1171" s="8"/>
      <c r="C1171" s="8"/>
      <c r="D1171" s="8"/>
      <c r="E1171" s="8"/>
      <c r="F1171" s="8"/>
      <c r="G1171" s="8"/>
      <c r="H1171" s="8"/>
      <c r="I1171" s="8"/>
      <c r="J1171" s="8"/>
      <c r="K1171" s="8"/>
    </row>
    <row r="1172">
      <c r="A1172" s="8" t="s">
        <v>1180</v>
      </c>
      <c r="B1172" s="8"/>
      <c r="C1172" s="8"/>
      <c r="D1172" s="8"/>
      <c r="E1172" s="8"/>
      <c r="F1172" s="8"/>
      <c r="G1172" s="8"/>
      <c r="H1172" s="8"/>
      <c r="I1172" s="8"/>
      <c r="J1172" s="8"/>
      <c r="K1172" s="8"/>
    </row>
    <row r="1173">
      <c r="A1173" s="8" t="s">
        <v>1181</v>
      </c>
      <c r="B1173" s="8"/>
      <c r="C1173" s="8"/>
      <c r="D1173" s="8"/>
      <c r="E1173" s="8"/>
      <c r="F1173" s="8"/>
      <c r="G1173" s="8"/>
      <c r="H1173" s="8"/>
      <c r="I1173" s="8"/>
      <c r="J1173" s="8"/>
      <c r="K1173" s="8"/>
    </row>
    <row r="1174">
      <c r="A1174" s="8" t="s">
        <v>1182</v>
      </c>
      <c r="B1174" s="8"/>
      <c r="C1174" s="8"/>
      <c r="D1174" s="8"/>
      <c r="E1174" s="8"/>
      <c r="F1174" s="8"/>
      <c r="G1174" s="8"/>
      <c r="H1174" s="8"/>
      <c r="I1174" s="8"/>
      <c r="J1174" s="8"/>
      <c r="K1174" s="8"/>
    </row>
    <row r="1175">
      <c r="A1175" s="8" t="s">
        <v>1183</v>
      </c>
      <c r="B1175" s="8"/>
      <c r="C1175" s="8"/>
      <c r="D1175" s="8"/>
      <c r="E1175" s="8"/>
      <c r="F1175" s="8"/>
      <c r="G1175" s="8"/>
      <c r="H1175" s="8"/>
      <c r="I1175" s="8"/>
      <c r="J1175" s="8"/>
      <c r="K1175" s="8"/>
    </row>
    <row r="1176">
      <c r="A1176" s="8" t="s">
        <v>1184</v>
      </c>
      <c r="B1176" s="8"/>
      <c r="C1176" s="8"/>
      <c r="D1176" s="8"/>
      <c r="E1176" s="8"/>
      <c r="F1176" s="8"/>
      <c r="G1176" s="8"/>
      <c r="H1176" s="8"/>
      <c r="I1176" s="8"/>
      <c r="J1176" s="8"/>
      <c r="K1176" s="8"/>
    </row>
    <row r="1177">
      <c r="A1177" s="8" t="s">
        <v>1185</v>
      </c>
      <c r="B1177" s="8"/>
      <c r="C1177" s="8"/>
      <c r="D1177" s="8"/>
      <c r="E1177" s="8"/>
      <c r="F1177" s="8"/>
      <c r="G1177" s="8"/>
      <c r="H1177" s="8"/>
      <c r="I1177" s="8"/>
      <c r="J1177" s="8"/>
      <c r="K1177" s="8"/>
    </row>
    <row r="1178">
      <c r="A1178" s="8" t="s">
        <v>1186</v>
      </c>
      <c r="B1178" s="8"/>
      <c r="C1178" s="8"/>
      <c r="D1178" s="8"/>
      <c r="E1178" s="8"/>
      <c r="F1178" s="8"/>
      <c r="G1178" s="8"/>
      <c r="H1178" s="8"/>
      <c r="I1178" s="8"/>
      <c r="J1178" s="8"/>
      <c r="K1178" s="8"/>
    </row>
    <row r="1179">
      <c r="A1179" s="8" t="s">
        <v>1187</v>
      </c>
      <c r="B1179" s="8"/>
      <c r="C1179" s="8"/>
      <c r="D1179" s="8"/>
      <c r="E1179" s="8"/>
      <c r="F1179" s="8"/>
      <c r="G1179" s="8"/>
      <c r="H1179" s="8"/>
      <c r="I1179" s="8"/>
      <c r="J1179" s="8"/>
      <c r="K1179" s="8"/>
    </row>
    <row r="1180">
      <c r="A1180" s="8" t="s">
        <v>1188</v>
      </c>
      <c r="B1180" s="8"/>
      <c r="C1180" s="8"/>
      <c r="D1180" s="8"/>
      <c r="E1180" s="8"/>
      <c r="F1180" s="8"/>
      <c r="G1180" s="8"/>
      <c r="H1180" s="8"/>
      <c r="I1180" s="8"/>
      <c r="J1180" s="8"/>
      <c r="K1180" s="8"/>
    </row>
    <row r="1181">
      <c r="A1181" s="8" t="s">
        <v>1189</v>
      </c>
      <c r="B1181" s="8"/>
      <c r="C1181" s="8"/>
      <c r="D1181" s="8"/>
      <c r="E1181" s="8"/>
      <c r="F1181" s="8"/>
      <c r="G1181" s="8"/>
      <c r="H1181" s="8"/>
      <c r="I1181" s="8"/>
      <c r="J1181" s="8"/>
      <c r="K1181" s="8"/>
    </row>
    <row r="1182">
      <c r="A1182" s="8" t="s">
        <v>1190</v>
      </c>
      <c r="B1182" s="8"/>
      <c r="C1182" s="8"/>
      <c r="D1182" s="8"/>
      <c r="E1182" s="8"/>
      <c r="F1182" s="8"/>
      <c r="G1182" s="8"/>
      <c r="H1182" s="8"/>
      <c r="I1182" s="8"/>
      <c r="J1182" s="8"/>
      <c r="K1182" s="8"/>
    </row>
    <row r="1183">
      <c r="A1183" s="8" t="s">
        <v>1191</v>
      </c>
      <c r="B1183" s="8"/>
      <c r="C1183" s="8"/>
      <c r="D1183" s="8"/>
      <c r="E1183" s="8"/>
      <c r="F1183" s="8"/>
      <c r="G1183" s="8"/>
      <c r="H1183" s="8"/>
      <c r="I1183" s="8"/>
      <c r="J1183" s="8"/>
      <c r="K1183" s="8"/>
    </row>
    <row r="1184">
      <c r="A1184" s="8" t="s">
        <v>1192</v>
      </c>
      <c r="B1184" s="8"/>
      <c r="C1184" s="8"/>
      <c r="D1184" s="8"/>
      <c r="E1184" s="8"/>
      <c r="F1184" s="8"/>
      <c r="G1184" s="8"/>
      <c r="H1184" s="8"/>
      <c r="I1184" s="8"/>
      <c r="J1184" s="8"/>
      <c r="K1184" s="8"/>
    </row>
    <row r="1185">
      <c r="A1185" s="8" t="s">
        <v>1193</v>
      </c>
      <c r="B1185" s="8"/>
      <c r="C1185" s="8"/>
      <c r="D1185" s="8"/>
      <c r="E1185" s="8"/>
      <c r="F1185" s="8"/>
      <c r="G1185" s="8"/>
      <c r="H1185" s="8"/>
      <c r="I1185" s="8"/>
      <c r="J1185" s="8"/>
      <c r="K1185" s="8"/>
    </row>
    <row r="1186">
      <c r="A1186" s="8" t="s">
        <v>1194</v>
      </c>
      <c r="B1186" s="8"/>
      <c r="C1186" s="8"/>
      <c r="D1186" s="8"/>
      <c r="E1186" s="8"/>
      <c r="F1186" s="8"/>
      <c r="G1186" s="8"/>
      <c r="H1186" s="8"/>
      <c r="I1186" s="8"/>
      <c r="J1186" s="8"/>
      <c r="K1186" s="8"/>
    </row>
    <row r="1187">
      <c r="A1187" s="8" t="s">
        <v>1195</v>
      </c>
      <c r="B1187" s="8"/>
      <c r="C1187" s="8"/>
      <c r="D1187" s="8"/>
      <c r="E1187" s="8"/>
      <c r="F1187" s="8"/>
      <c r="G1187" s="8"/>
      <c r="H1187" s="8"/>
      <c r="I1187" s="8"/>
      <c r="J1187" s="8"/>
      <c r="K1187" s="8"/>
    </row>
    <row r="1188">
      <c r="A1188" s="8" t="s">
        <v>1196</v>
      </c>
      <c r="B1188" s="8"/>
      <c r="C1188" s="8"/>
      <c r="D1188" s="8"/>
      <c r="E1188" s="8"/>
      <c r="F1188" s="8"/>
      <c r="G1188" s="8"/>
      <c r="H1188" s="8"/>
      <c r="I1188" s="8"/>
      <c r="J1188" s="8"/>
      <c r="K1188" s="8"/>
    </row>
    <row r="1189">
      <c r="A1189" s="8" t="s">
        <v>1197</v>
      </c>
      <c r="B1189" s="8"/>
      <c r="C1189" s="8"/>
      <c r="D1189" s="8"/>
      <c r="E1189" s="8"/>
      <c r="F1189" s="8"/>
      <c r="G1189" s="8"/>
      <c r="H1189" s="8"/>
      <c r="I1189" s="8"/>
      <c r="J1189" s="8"/>
      <c r="K1189" s="8"/>
    </row>
    <row r="1190">
      <c r="A1190" s="8" t="s">
        <v>1198</v>
      </c>
      <c r="B1190" s="8"/>
      <c r="C1190" s="8"/>
      <c r="D1190" s="8"/>
      <c r="E1190" s="8"/>
      <c r="F1190" s="8"/>
      <c r="G1190" s="8"/>
      <c r="H1190" s="8"/>
      <c r="I1190" s="8"/>
      <c r="J1190" s="8"/>
      <c r="K1190" s="8"/>
    </row>
    <row r="1191">
      <c r="A1191" s="8" t="s">
        <v>1199</v>
      </c>
      <c r="B1191" s="8"/>
      <c r="C1191" s="8"/>
      <c r="D1191" s="8"/>
      <c r="E1191" s="8"/>
      <c r="F1191" s="8"/>
      <c r="G1191" s="8"/>
      <c r="H1191" s="8"/>
      <c r="I1191" s="8"/>
      <c r="J1191" s="8"/>
      <c r="K1191" s="8"/>
    </row>
    <row r="1192">
      <c r="A1192" s="8" t="s">
        <v>1200</v>
      </c>
      <c r="B1192" s="8"/>
      <c r="C1192" s="8"/>
      <c r="D1192" s="8"/>
      <c r="E1192" s="8"/>
      <c r="F1192" s="8"/>
      <c r="G1192" s="8"/>
      <c r="H1192" s="8"/>
      <c r="I1192" s="8"/>
      <c r="J1192" s="8"/>
      <c r="K1192" s="8"/>
    </row>
    <row r="1193">
      <c r="A1193" s="8" t="s">
        <v>1201</v>
      </c>
      <c r="B1193" s="8"/>
      <c r="C1193" s="8"/>
      <c r="D1193" s="8"/>
      <c r="E1193" s="8"/>
      <c r="F1193" s="8"/>
      <c r="G1193" s="8"/>
      <c r="H1193" s="8"/>
      <c r="I1193" s="8"/>
      <c r="J1193" s="8"/>
      <c r="K1193" s="8"/>
    </row>
    <row r="1194">
      <c r="A1194" s="8" t="s">
        <v>1202</v>
      </c>
      <c r="B1194" s="8"/>
      <c r="C1194" s="8"/>
      <c r="D1194" s="8"/>
      <c r="E1194" s="8"/>
      <c r="F1194" s="8"/>
      <c r="G1194" s="8"/>
      <c r="H1194" s="8"/>
      <c r="I1194" s="8"/>
      <c r="J1194" s="8"/>
      <c r="K1194" s="8"/>
    </row>
    <row r="1195">
      <c r="A1195" s="8" t="s">
        <v>1203</v>
      </c>
      <c r="B1195" s="8"/>
      <c r="C1195" s="8"/>
      <c r="D1195" s="8"/>
      <c r="E1195" s="8"/>
      <c r="F1195" s="8"/>
      <c r="G1195" s="8"/>
      <c r="H1195" s="8"/>
      <c r="I1195" s="8"/>
      <c r="J1195" s="8"/>
      <c r="K1195" s="8"/>
    </row>
    <row r="1196">
      <c r="A1196" s="8" t="s">
        <v>1204</v>
      </c>
      <c r="B1196" s="8"/>
      <c r="C1196" s="8"/>
      <c r="D1196" s="8"/>
      <c r="E1196" s="8"/>
      <c r="F1196" s="8"/>
      <c r="G1196" s="8"/>
      <c r="H1196" s="8"/>
      <c r="I1196" s="8"/>
      <c r="J1196" s="8"/>
      <c r="K1196" s="8"/>
    </row>
    <row r="1197">
      <c r="A1197" s="8" t="s">
        <v>1205</v>
      </c>
      <c r="B1197" s="8"/>
      <c r="C1197" s="8"/>
      <c r="D1197" s="8"/>
      <c r="E1197" s="8"/>
      <c r="F1197" s="8"/>
      <c r="G1197" s="8"/>
      <c r="H1197" s="8"/>
      <c r="I1197" s="8"/>
      <c r="J1197" s="8"/>
      <c r="K1197" s="8"/>
    </row>
    <row r="1198">
      <c r="A1198" s="8" t="s">
        <v>1206</v>
      </c>
      <c r="B1198" s="8"/>
      <c r="C1198" s="8"/>
      <c r="D1198" s="8"/>
      <c r="E1198" s="8"/>
      <c r="F1198" s="8"/>
      <c r="G1198" s="8"/>
      <c r="H1198" s="8"/>
      <c r="I1198" s="8"/>
      <c r="J1198" s="8"/>
      <c r="K1198" s="8"/>
    </row>
    <row r="1199">
      <c r="A1199" s="8" t="s">
        <v>1207</v>
      </c>
      <c r="B1199" s="8"/>
      <c r="C1199" s="8"/>
      <c r="D1199" s="8"/>
      <c r="E1199" s="8"/>
      <c r="F1199" s="8"/>
      <c r="G1199" s="8"/>
      <c r="H1199" s="8"/>
      <c r="I1199" s="8"/>
      <c r="J1199" s="8"/>
      <c r="K1199" s="8"/>
    </row>
    <row r="1200">
      <c r="A1200" s="8" t="s">
        <v>1208</v>
      </c>
      <c r="B1200" s="8"/>
      <c r="C1200" s="8"/>
      <c r="D1200" s="8"/>
      <c r="E1200" s="8"/>
      <c r="F1200" s="8"/>
      <c r="G1200" s="8"/>
      <c r="H1200" s="8"/>
      <c r="I1200" s="8"/>
      <c r="J1200" s="8"/>
      <c r="K1200" s="8"/>
    </row>
    <row r="1201">
      <c r="A1201" s="8" t="s">
        <v>1209</v>
      </c>
      <c r="B1201" s="8"/>
      <c r="C1201" s="8"/>
      <c r="D1201" s="8"/>
      <c r="E1201" s="8"/>
      <c r="F1201" s="8"/>
      <c r="G1201" s="8"/>
      <c r="H1201" s="8"/>
      <c r="I1201" s="8"/>
      <c r="J1201" s="8"/>
      <c r="K1201" s="8"/>
    </row>
    <row r="1202">
      <c r="A1202" s="8" t="s">
        <v>1210</v>
      </c>
      <c r="B1202" s="8"/>
      <c r="C1202" s="8"/>
      <c r="D1202" s="8"/>
      <c r="E1202" s="8"/>
      <c r="F1202" s="8"/>
      <c r="G1202" s="8"/>
      <c r="H1202" s="8"/>
      <c r="I1202" s="8"/>
      <c r="J1202" s="8"/>
      <c r="K1202" s="8"/>
    </row>
    <row r="1203">
      <c r="A1203" s="8" t="s">
        <v>1211</v>
      </c>
      <c r="B1203" s="8"/>
      <c r="C1203" s="8"/>
      <c r="D1203" s="8"/>
      <c r="E1203" s="8"/>
      <c r="F1203" s="8"/>
      <c r="G1203" s="8"/>
      <c r="H1203" s="8"/>
      <c r="I1203" s="8"/>
      <c r="J1203" s="8"/>
      <c r="K1203" s="8"/>
    </row>
    <row r="1204">
      <c r="A1204" s="8" t="s">
        <v>1212</v>
      </c>
      <c r="B1204" s="8"/>
      <c r="C1204" s="8"/>
      <c r="D1204" s="8"/>
      <c r="E1204" s="8"/>
      <c r="F1204" s="8"/>
      <c r="G1204" s="8"/>
      <c r="H1204" s="8"/>
      <c r="I1204" s="8"/>
      <c r="J1204" s="8"/>
      <c r="K1204" s="8"/>
    </row>
    <row r="1205">
      <c r="A1205" s="8" t="s">
        <v>1213</v>
      </c>
      <c r="B1205" s="8"/>
      <c r="C1205" s="8"/>
      <c r="D1205" s="8"/>
      <c r="E1205" s="8"/>
      <c r="F1205" s="8"/>
      <c r="G1205" s="8"/>
      <c r="H1205" s="8"/>
      <c r="I1205" s="8"/>
      <c r="J1205" s="8"/>
      <c r="K1205" s="8"/>
    </row>
    <row r="1206">
      <c r="A1206" s="8" t="s">
        <v>1214</v>
      </c>
      <c r="B1206" s="8"/>
      <c r="C1206" s="8"/>
      <c r="D1206" s="8"/>
      <c r="E1206" s="8"/>
      <c r="F1206" s="8"/>
      <c r="G1206" s="8"/>
      <c r="H1206" s="8"/>
      <c r="I1206" s="8"/>
      <c r="J1206" s="8"/>
      <c r="K1206" s="8"/>
    </row>
    <row r="1207">
      <c r="A1207" s="8" t="s">
        <v>1215</v>
      </c>
      <c r="B1207" s="8"/>
      <c r="C1207" s="8"/>
      <c r="D1207" s="8"/>
      <c r="E1207" s="8"/>
      <c r="F1207" s="8"/>
      <c r="G1207" s="8"/>
      <c r="H1207" s="8"/>
      <c r="I1207" s="8"/>
      <c r="J1207" s="8"/>
      <c r="K1207" s="8"/>
    </row>
    <row r="1208">
      <c r="A1208" s="8" t="s">
        <v>1216</v>
      </c>
      <c r="B1208" s="8"/>
      <c r="C1208" s="8"/>
      <c r="D1208" s="8"/>
      <c r="E1208" s="8"/>
      <c r="F1208" s="8"/>
      <c r="G1208" s="8"/>
      <c r="H1208" s="8"/>
      <c r="I1208" s="8"/>
      <c r="J1208" s="8"/>
      <c r="K1208" s="8"/>
    </row>
    <row r="1209">
      <c r="A1209" s="8" t="s">
        <v>1217</v>
      </c>
      <c r="B1209" s="8"/>
      <c r="C1209" s="8"/>
      <c r="D1209" s="8"/>
      <c r="E1209" s="8"/>
      <c r="F1209" s="8"/>
      <c r="G1209" s="8"/>
      <c r="H1209" s="8"/>
      <c r="I1209" s="8"/>
      <c r="J1209" s="8"/>
      <c r="K1209" s="8"/>
    </row>
    <row r="1210">
      <c r="A1210" s="8" t="s">
        <v>1218</v>
      </c>
      <c r="B1210" s="8"/>
      <c r="C1210" s="8"/>
      <c r="D1210" s="8"/>
      <c r="E1210" s="8"/>
      <c r="F1210" s="8"/>
      <c r="G1210" s="8"/>
      <c r="H1210" s="8"/>
      <c r="I1210" s="8"/>
      <c r="J1210" s="8"/>
      <c r="K1210" s="8"/>
    </row>
    <row r="1211">
      <c r="A1211" s="8" t="s">
        <v>1219</v>
      </c>
      <c r="B1211" s="8"/>
      <c r="C1211" s="8"/>
      <c r="D1211" s="8"/>
      <c r="E1211" s="8"/>
      <c r="F1211" s="8"/>
      <c r="G1211" s="8"/>
      <c r="H1211" s="8"/>
      <c r="I1211" s="8"/>
      <c r="J1211" s="8"/>
      <c r="K1211" s="8"/>
    </row>
    <row r="1212">
      <c r="A1212" s="8" t="s">
        <v>1220</v>
      </c>
      <c r="B1212" s="8"/>
      <c r="C1212" s="8"/>
      <c r="D1212" s="8"/>
      <c r="E1212" s="8"/>
      <c r="F1212" s="8"/>
      <c r="G1212" s="8"/>
      <c r="H1212" s="8"/>
      <c r="I1212" s="8"/>
      <c r="J1212" s="8"/>
      <c r="K1212" s="8"/>
    </row>
    <row r="1213">
      <c r="A1213" s="8" t="s">
        <v>1221</v>
      </c>
      <c r="B1213" s="8"/>
      <c r="C1213" s="8"/>
      <c r="D1213" s="8"/>
      <c r="E1213" s="8"/>
      <c r="F1213" s="8"/>
      <c r="G1213" s="8"/>
      <c r="H1213" s="8"/>
      <c r="I1213" s="8"/>
      <c r="J1213" s="8"/>
      <c r="K1213" s="8"/>
    </row>
    <row r="1214">
      <c r="A1214" s="8" t="s">
        <v>1222</v>
      </c>
      <c r="B1214" s="8"/>
      <c r="C1214" s="8"/>
      <c r="D1214" s="8"/>
      <c r="E1214" s="8"/>
      <c r="F1214" s="8"/>
      <c r="G1214" s="8"/>
      <c r="H1214" s="8"/>
      <c r="I1214" s="8"/>
      <c r="J1214" s="8"/>
      <c r="K1214" s="8"/>
    </row>
    <row r="1215">
      <c r="A1215" s="8" t="s">
        <v>1223</v>
      </c>
      <c r="B1215" s="8"/>
      <c r="C1215" s="8"/>
      <c r="D1215" s="8"/>
      <c r="E1215" s="8"/>
      <c r="F1215" s="8"/>
      <c r="G1215" s="8"/>
      <c r="H1215" s="8"/>
      <c r="I1215" s="8"/>
      <c r="J1215" s="8"/>
      <c r="K1215" s="8"/>
    </row>
    <row r="1216">
      <c r="A1216" s="8" t="s">
        <v>1224</v>
      </c>
      <c r="B1216" s="8"/>
      <c r="C1216" s="8"/>
      <c r="D1216" s="8"/>
      <c r="E1216" s="8"/>
      <c r="F1216" s="8"/>
      <c r="G1216" s="8"/>
      <c r="H1216" s="8"/>
      <c r="I1216" s="8"/>
      <c r="J1216" s="8"/>
      <c r="K1216" s="8"/>
    </row>
    <row r="1217">
      <c r="A1217" s="8" t="s">
        <v>1225</v>
      </c>
      <c r="B1217" s="8"/>
      <c r="C1217" s="8"/>
      <c r="D1217" s="8"/>
      <c r="E1217" s="8"/>
      <c r="F1217" s="8"/>
      <c r="G1217" s="8"/>
      <c r="H1217" s="8"/>
      <c r="I1217" s="8"/>
      <c r="J1217" s="8"/>
      <c r="K1217" s="8"/>
    </row>
    <row r="1218">
      <c r="A1218" s="8" t="s">
        <v>1226</v>
      </c>
      <c r="B1218" s="8"/>
      <c r="C1218" s="8"/>
      <c r="D1218" s="8"/>
      <c r="E1218" s="8"/>
      <c r="F1218" s="8"/>
      <c r="G1218" s="8"/>
      <c r="H1218" s="8"/>
      <c r="I1218" s="8"/>
      <c r="J1218" s="8"/>
      <c r="K1218" s="8"/>
    </row>
    <row r="1219">
      <c r="A1219" s="8" t="s">
        <v>1227</v>
      </c>
      <c r="B1219" s="8"/>
      <c r="C1219" s="8"/>
      <c r="D1219" s="8"/>
      <c r="E1219" s="8"/>
      <c r="F1219" s="8"/>
      <c r="G1219" s="8"/>
      <c r="H1219" s="8"/>
      <c r="I1219" s="8"/>
      <c r="J1219" s="8"/>
      <c r="K1219" s="8"/>
    </row>
    <row r="1220">
      <c r="A1220" s="8" t="s">
        <v>1228</v>
      </c>
      <c r="B1220" s="8"/>
      <c r="C1220" s="8"/>
      <c r="D1220" s="8"/>
      <c r="E1220" s="8"/>
      <c r="F1220" s="8"/>
      <c r="G1220" s="8"/>
      <c r="H1220" s="8"/>
      <c r="I1220" s="8"/>
      <c r="J1220" s="8"/>
      <c r="K1220" s="8"/>
    </row>
    <row r="1221">
      <c r="A1221" s="8" t="s">
        <v>1229</v>
      </c>
      <c r="B1221" s="8"/>
      <c r="C1221" s="8"/>
      <c r="D1221" s="8"/>
      <c r="E1221" s="8"/>
      <c r="F1221" s="8"/>
      <c r="G1221" s="8"/>
      <c r="H1221" s="8"/>
      <c r="I1221" s="8"/>
      <c r="J1221" s="8"/>
      <c r="K1221" s="8"/>
    </row>
    <row r="1222">
      <c r="A1222" s="8" t="s">
        <v>1230</v>
      </c>
      <c r="B1222" s="8"/>
      <c r="C1222" s="8"/>
      <c r="D1222" s="8"/>
      <c r="E1222" s="8"/>
      <c r="F1222" s="8"/>
      <c r="G1222" s="8"/>
      <c r="H1222" s="8"/>
      <c r="I1222" s="8"/>
      <c r="J1222" s="8"/>
      <c r="K1222" s="8"/>
    </row>
    <row r="1223">
      <c r="A1223" s="8" t="s">
        <v>1231</v>
      </c>
      <c r="B1223" s="8"/>
      <c r="C1223" s="8"/>
      <c r="D1223" s="8"/>
      <c r="E1223" s="8"/>
      <c r="F1223" s="8"/>
      <c r="G1223" s="8"/>
      <c r="H1223" s="8"/>
      <c r="I1223" s="8"/>
      <c r="J1223" s="8"/>
      <c r="K1223" s="8"/>
    </row>
    <row r="1224">
      <c r="A1224" s="8" t="s">
        <v>1232</v>
      </c>
      <c r="B1224" s="8"/>
      <c r="C1224" s="8"/>
      <c r="D1224" s="8"/>
      <c r="E1224" s="8"/>
      <c r="F1224" s="8"/>
      <c r="G1224" s="8"/>
      <c r="H1224" s="8"/>
      <c r="I1224" s="8"/>
      <c r="J1224" s="8"/>
      <c r="K1224" s="8"/>
    </row>
    <row r="1225">
      <c r="A1225" s="8" t="s">
        <v>1233</v>
      </c>
      <c r="B1225" s="8"/>
      <c r="C1225" s="8"/>
      <c r="D1225" s="8"/>
      <c r="E1225" s="8"/>
      <c r="F1225" s="8"/>
      <c r="G1225" s="8"/>
      <c r="H1225" s="8"/>
      <c r="I1225" s="8"/>
      <c r="J1225" s="8"/>
      <c r="K1225" s="8"/>
    </row>
    <row r="1226">
      <c r="A1226" s="8" t="s">
        <v>1234</v>
      </c>
      <c r="B1226" s="8"/>
      <c r="C1226" s="8"/>
      <c r="D1226" s="8"/>
      <c r="E1226" s="8"/>
      <c r="F1226" s="8"/>
      <c r="G1226" s="8"/>
      <c r="H1226" s="8"/>
      <c r="I1226" s="8"/>
      <c r="J1226" s="8"/>
      <c r="K1226" s="8"/>
    </row>
    <row r="1227">
      <c r="A1227" s="8" t="s">
        <v>1235</v>
      </c>
      <c r="B1227" s="8"/>
      <c r="C1227" s="8"/>
      <c r="D1227" s="8"/>
      <c r="E1227" s="8"/>
      <c r="F1227" s="8"/>
      <c r="G1227" s="8"/>
      <c r="H1227" s="8"/>
      <c r="I1227" s="8"/>
      <c r="J1227" s="8"/>
      <c r="K1227" s="8"/>
    </row>
    <row r="1228">
      <c r="A1228" s="8" t="s">
        <v>1236</v>
      </c>
      <c r="B1228" s="8"/>
      <c r="C1228" s="8"/>
      <c r="D1228" s="8"/>
      <c r="E1228" s="8"/>
      <c r="F1228" s="8"/>
      <c r="G1228" s="8"/>
      <c r="H1228" s="8"/>
      <c r="I1228" s="8"/>
      <c r="J1228" s="8"/>
      <c r="K1228" s="8"/>
    </row>
    <row r="1229">
      <c r="A1229" s="8" t="s">
        <v>1237</v>
      </c>
      <c r="B1229" s="8"/>
      <c r="C1229" s="8"/>
      <c r="D1229" s="8"/>
      <c r="E1229" s="8"/>
      <c r="F1229" s="8"/>
      <c r="G1229" s="8"/>
      <c r="H1229" s="8"/>
      <c r="I1229" s="8"/>
      <c r="J1229" s="8"/>
      <c r="K1229" s="8"/>
    </row>
    <row r="1230">
      <c r="A1230" s="8" t="s">
        <v>1238</v>
      </c>
      <c r="B1230" s="8"/>
      <c r="C1230" s="8"/>
      <c r="D1230" s="8"/>
      <c r="E1230" s="8"/>
      <c r="F1230" s="8"/>
      <c r="G1230" s="8"/>
      <c r="H1230" s="8"/>
      <c r="I1230" s="8"/>
      <c r="J1230" s="8"/>
      <c r="K1230" s="8"/>
    </row>
    <row r="1231">
      <c r="A1231" s="8" t="s">
        <v>1239</v>
      </c>
      <c r="B1231" s="8"/>
      <c r="C1231" s="8"/>
      <c r="D1231" s="8"/>
      <c r="E1231" s="8"/>
      <c r="F1231" s="8"/>
      <c r="G1231" s="8"/>
      <c r="H1231" s="8"/>
      <c r="I1231" s="8"/>
      <c r="J1231" s="8"/>
      <c r="K1231" s="8"/>
    </row>
    <row r="1232">
      <c r="A1232" s="8" t="s">
        <v>1240</v>
      </c>
      <c r="B1232" s="8"/>
      <c r="C1232" s="8"/>
      <c r="D1232" s="8"/>
      <c r="E1232" s="8"/>
      <c r="F1232" s="8"/>
      <c r="G1232" s="8"/>
      <c r="H1232" s="8"/>
      <c r="I1232" s="8"/>
      <c r="J1232" s="8"/>
      <c r="K1232" s="8"/>
    </row>
    <row r="1233">
      <c r="A1233" s="8" t="s">
        <v>1241</v>
      </c>
      <c r="B1233" s="8"/>
      <c r="C1233" s="8"/>
      <c r="D1233" s="8"/>
      <c r="E1233" s="8"/>
      <c r="F1233" s="8"/>
      <c r="G1233" s="8"/>
      <c r="H1233" s="8"/>
      <c r="I1233" s="8"/>
      <c r="J1233" s="8"/>
      <c r="K1233" s="8"/>
    </row>
    <row r="1234">
      <c r="A1234" s="8" t="s">
        <v>1242</v>
      </c>
      <c r="B1234" s="8"/>
      <c r="C1234" s="8"/>
      <c r="D1234" s="8"/>
      <c r="E1234" s="8"/>
      <c r="F1234" s="8"/>
      <c r="G1234" s="8"/>
      <c r="H1234" s="8"/>
      <c r="I1234" s="8"/>
      <c r="J1234" s="8"/>
      <c r="K1234" s="8"/>
    </row>
    <row r="1235">
      <c r="A1235" s="8" t="s">
        <v>1243</v>
      </c>
      <c r="B1235" s="8"/>
      <c r="C1235" s="8"/>
      <c r="D1235" s="8"/>
      <c r="E1235" s="8"/>
      <c r="F1235" s="8"/>
      <c r="G1235" s="8"/>
      <c r="H1235" s="8"/>
      <c r="I1235" s="8"/>
      <c r="J1235" s="8"/>
      <c r="K1235" s="8"/>
    </row>
    <row r="1236">
      <c r="A1236" s="8" t="s">
        <v>1244</v>
      </c>
      <c r="B1236" s="8"/>
      <c r="C1236" s="8"/>
      <c r="D1236" s="8"/>
      <c r="E1236" s="8"/>
      <c r="F1236" s="8"/>
      <c r="G1236" s="8"/>
      <c r="H1236" s="8"/>
      <c r="I1236" s="8"/>
      <c r="J1236" s="8"/>
      <c r="K1236" s="8"/>
    </row>
    <row r="1237">
      <c r="A1237" s="8" t="s">
        <v>1245</v>
      </c>
      <c r="B1237" s="8"/>
      <c r="C1237" s="8"/>
      <c r="D1237" s="8"/>
      <c r="E1237" s="8"/>
      <c r="F1237" s="8"/>
      <c r="G1237" s="8"/>
      <c r="H1237" s="8"/>
      <c r="I1237" s="8"/>
      <c r="J1237" s="8"/>
      <c r="K1237" s="8"/>
    </row>
    <row r="1238">
      <c r="A1238" s="8" t="s">
        <v>1246</v>
      </c>
      <c r="B1238" s="8"/>
      <c r="C1238" s="8"/>
      <c r="D1238" s="8"/>
      <c r="E1238" s="8"/>
      <c r="F1238" s="8"/>
      <c r="G1238" s="8"/>
      <c r="H1238" s="8"/>
      <c r="I1238" s="8"/>
      <c r="J1238" s="8"/>
      <c r="K1238" s="8"/>
    </row>
    <row r="1239">
      <c r="A1239" s="8" t="s">
        <v>1247</v>
      </c>
      <c r="B1239" s="8"/>
      <c r="C1239" s="8"/>
      <c r="D1239" s="8"/>
      <c r="E1239" s="8"/>
      <c r="F1239" s="8"/>
      <c r="G1239" s="8"/>
      <c r="H1239" s="8"/>
      <c r="I1239" s="8"/>
      <c r="J1239" s="8"/>
      <c r="K1239" s="8"/>
    </row>
    <row r="1240">
      <c r="A1240" s="8" t="s">
        <v>1248</v>
      </c>
      <c r="B1240" s="8"/>
      <c r="C1240" s="8"/>
      <c r="D1240" s="8"/>
      <c r="E1240" s="8"/>
      <c r="F1240" s="8"/>
      <c r="G1240" s="8"/>
      <c r="H1240" s="8"/>
      <c r="I1240" s="8"/>
      <c r="J1240" s="8"/>
      <c r="K1240" s="8"/>
    </row>
    <row r="1241">
      <c r="A1241" s="8" t="s">
        <v>1249</v>
      </c>
      <c r="B1241" s="8"/>
      <c r="C1241" s="8"/>
      <c r="D1241" s="8"/>
      <c r="E1241" s="8"/>
      <c r="F1241" s="8"/>
      <c r="G1241" s="8"/>
      <c r="H1241" s="8"/>
      <c r="I1241" s="8"/>
      <c r="J1241" s="8"/>
      <c r="K1241" s="8"/>
    </row>
    <row r="1242">
      <c r="A1242" s="8" t="s">
        <v>1250</v>
      </c>
      <c r="B1242" s="8"/>
      <c r="C1242" s="8"/>
      <c r="D1242" s="8"/>
      <c r="E1242" s="8"/>
      <c r="F1242" s="8"/>
      <c r="G1242" s="8"/>
      <c r="H1242" s="8"/>
      <c r="I1242" s="8"/>
      <c r="J1242" s="8"/>
      <c r="K1242" s="8"/>
    </row>
    <row r="1243">
      <c r="A1243" s="8" t="s">
        <v>1251</v>
      </c>
      <c r="B1243" s="8"/>
      <c r="C1243" s="8"/>
      <c r="D1243" s="8"/>
      <c r="E1243" s="8"/>
      <c r="F1243" s="8"/>
      <c r="G1243" s="8"/>
      <c r="H1243" s="8"/>
      <c r="I1243" s="8"/>
      <c r="J1243" s="8"/>
      <c r="K1243" s="8"/>
    </row>
    <row r="1244">
      <c r="A1244" s="8" t="s">
        <v>1252</v>
      </c>
      <c r="B1244" s="8"/>
      <c r="C1244" s="8"/>
      <c r="D1244" s="8"/>
      <c r="E1244" s="8"/>
      <c r="F1244" s="8"/>
      <c r="G1244" s="8"/>
      <c r="H1244" s="8"/>
      <c r="I1244" s="8"/>
      <c r="J1244" s="8"/>
      <c r="K1244" s="8"/>
    </row>
    <row r="1245">
      <c r="A1245" s="8" t="s">
        <v>1253</v>
      </c>
      <c r="B1245" s="8"/>
      <c r="C1245" s="8"/>
      <c r="D1245" s="8"/>
      <c r="E1245" s="8"/>
      <c r="F1245" s="8"/>
      <c r="G1245" s="8"/>
      <c r="H1245" s="8"/>
      <c r="I1245" s="8"/>
      <c r="J1245" s="8"/>
      <c r="K1245" s="8"/>
    </row>
    <row r="1246">
      <c r="A1246" s="8" t="s">
        <v>1254</v>
      </c>
      <c r="B1246" s="8"/>
      <c r="C1246" s="8"/>
      <c r="D1246" s="8"/>
      <c r="E1246" s="8"/>
      <c r="F1246" s="8"/>
      <c r="G1246" s="8"/>
      <c r="H1246" s="8"/>
      <c r="I1246" s="8"/>
      <c r="J1246" s="8"/>
      <c r="K1246" s="8"/>
    </row>
    <row r="1247">
      <c r="A1247" s="8" t="s">
        <v>1255</v>
      </c>
      <c r="B1247" s="8"/>
      <c r="C1247" s="8"/>
      <c r="D1247" s="8"/>
      <c r="E1247" s="8"/>
      <c r="F1247" s="8"/>
      <c r="G1247" s="8"/>
      <c r="H1247" s="8"/>
      <c r="I1247" s="8"/>
      <c r="J1247" s="8"/>
      <c r="K1247" s="8"/>
    </row>
    <row r="1248">
      <c r="A1248" s="8" t="s">
        <v>1256</v>
      </c>
      <c r="B1248" s="8"/>
      <c r="C1248" s="8"/>
      <c r="D1248" s="8"/>
      <c r="E1248" s="8"/>
      <c r="F1248" s="8"/>
      <c r="G1248" s="8"/>
      <c r="H1248" s="8"/>
      <c r="I1248" s="8"/>
      <c r="J1248" s="8"/>
      <c r="K1248" s="8"/>
    </row>
    <row r="1249">
      <c r="A1249" s="8" t="s">
        <v>1257</v>
      </c>
      <c r="B1249" s="8"/>
      <c r="C1249" s="8"/>
      <c r="D1249" s="8"/>
      <c r="E1249" s="8"/>
      <c r="F1249" s="8"/>
      <c r="G1249" s="8"/>
      <c r="H1249" s="8"/>
      <c r="I1249" s="8"/>
      <c r="J1249" s="8"/>
      <c r="K1249" s="8"/>
    </row>
    <row r="1250">
      <c r="A1250" s="8" t="s">
        <v>1258</v>
      </c>
      <c r="B1250" s="8"/>
      <c r="C1250" s="8"/>
      <c r="D1250" s="8"/>
      <c r="E1250" s="8"/>
      <c r="F1250" s="8"/>
      <c r="G1250" s="8"/>
      <c r="H1250" s="8"/>
      <c r="I1250" s="8"/>
      <c r="J1250" s="8"/>
      <c r="K1250" s="8"/>
    </row>
    <row r="1251">
      <c r="A1251" s="8" t="s">
        <v>1259</v>
      </c>
      <c r="B1251" s="8"/>
      <c r="C1251" s="8"/>
      <c r="D1251" s="8"/>
      <c r="E1251" s="8"/>
      <c r="F1251" s="8"/>
      <c r="G1251" s="8"/>
      <c r="H1251" s="8"/>
      <c r="I1251" s="8"/>
      <c r="J1251" s="8"/>
      <c r="K1251" s="8"/>
    </row>
    <row r="1252">
      <c r="A1252" s="8" t="s">
        <v>1260</v>
      </c>
      <c r="B1252" s="8"/>
      <c r="C1252" s="8"/>
      <c r="D1252" s="8"/>
      <c r="E1252" s="8"/>
      <c r="F1252" s="8"/>
      <c r="G1252" s="8"/>
      <c r="H1252" s="8"/>
      <c r="I1252" s="8"/>
      <c r="J1252" s="8"/>
      <c r="K1252" s="8"/>
    </row>
    <row r="1253">
      <c r="A1253" s="8" t="s">
        <v>1261</v>
      </c>
      <c r="B1253" s="8"/>
      <c r="C1253" s="8"/>
      <c r="D1253" s="8"/>
      <c r="E1253" s="8"/>
      <c r="F1253" s="8"/>
      <c r="G1253" s="8"/>
      <c r="H1253" s="8"/>
      <c r="I1253" s="8"/>
      <c r="J1253" s="8"/>
      <c r="K1253" s="8"/>
    </row>
    <row r="1254">
      <c r="A1254" s="8" t="s">
        <v>1262</v>
      </c>
      <c r="B1254" s="8"/>
      <c r="C1254" s="8"/>
      <c r="D1254" s="8"/>
      <c r="E1254" s="8"/>
      <c r="F1254" s="8"/>
      <c r="G1254" s="8"/>
      <c r="H1254" s="8"/>
      <c r="I1254" s="8"/>
      <c r="J1254" s="8"/>
      <c r="K1254" s="8"/>
    </row>
    <row r="1255">
      <c r="A1255" s="8" t="s">
        <v>1263</v>
      </c>
      <c r="B1255" s="8"/>
      <c r="C1255" s="8"/>
      <c r="D1255" s="8"/>
      <c r="E1255" s="8"/>
      <c r="F1255" s="8"/>
      <c r="G1255" s="8"/>
      <c r="H1255" s="8"/>
      <c r="I1255" s="8"/>
      <c r="J1255" s="8"/>
      <c r="K1255" s="8"/>
    </row>
    <row r="1256">
      <c r="A1256" s="8" t="s">
        <v>1264</v>
      </c>
      <c r="B1256" s="8"/>
      <c r="C1256" s="8"/>
      <c r="D1256" s="8"/>
      <c r="E1256" s="8"/>
      <c r="F1256" s="8"/>
      <c r="G1256" s="8"/>
      <c r="H1256" s="8"/>
      <c r="I1256" s="8"/>
      <c r="J1256" s="8"/>
      <c r="K1256" s="8"/>
    </row>
    <row r="1257">
      <c r="A1257" s="8" t="s">
        <v>1265</v>
      </c>
      <c r="B1257" s="8"/>
      <c r="C1257" s="8"/>
      <c r="D1257" s="8"/>
      <c r="E1257" s="8"/>
      <c r="F1257" s="8"/>
      <c r="G1257" s="8"/>
      <c r="H1257" s="8"/>
      <c r="I1257" s="8"/>
      <c r="J1257" s="8"/>
      <c r="K1257" s="8"/>
    </row>
    <row r="1258">
      <c r="A1258" s="8" t="s">
        <v>1266</v>
      </c>
      <c r="B1258" s="8"/>
      <c r="C1258" s="8"/>
      <c r="D1258" s="8"/>
      <c r="E1258" s="8"/>
      <c r="F1258" s="8"/>
      <c r="G1258" s="8"/>
      <c r="H1258" s="8"/>
      <c r="I1258" s="8"/>
      <c r="J1258" s="8"/>
      <c r="K1258" s="8"/>
    </row>
    <row r="1259">
      <c r="A1259" s="8" t="s">
        <v>1267</v>
      </c>
      <c r="B1259" s="8"/>
      <c r="C1259" s="8"/>
      <c r="D1259" s="8"/>
      <c r="E1259" s="8"/>
      <c r="F1259" s="8"/>
      <c r="G1259" s="8"/>
      <c r="H1259" s="8"/>
      <c r="I1259" s="8"/>
      <c r="J1259" s="8"/>
      <c r="K1259" s="8"/>
    </row>
    <row r="1260">
      <c r="A1260" s="8" t="s">
        <v>1268</v>
      </c>
      <c r="B1260" s="8"/>
      <c r="C1260" s="8"/>
      <c r="D1260" s="8"/>
      <c r="E1260" s="8"/>
      <c r="F1260" s="8"/>
      <c r="G1260" s="8"/>
      <c r="H1260" s="8"/>
      <c r="I1260" s="8"/>
      <c r="J1260" s="8"/>
      <c r="K1260" s="8"/>
    </row>
    <row r="1261">
      <c r="A1261" s="8" t="s">
        <v>1269</v>
      </c>
      <c r="B1261" s="8"/>
      <c r="C1261" s="8"/>
      <c r="D1261" s="8"/>
      <c r="E1261" s="8"/>
      <c r="F1261" s="8"/>
      <c r="G1261" s="8"/>
      <c r="H1261" s="8"/>
      <c r="I1261" s="8"/>
      <c r="J1261" s="8"/>
      <c r="K1261" s="8"/>
    </row>
    <row r="1262">
      <c r="A1262" s="8" t="s">
        <v>1270</v>
      </c>
      <c r="B1262" s="8"/>
      <c r="C1262" s="8"/>
      <c r="D1262" s="8"/>
      <c r="E1262" s="8"/>
      <c r="F1262" s="8"/>
      <c r="G1262" s="8"/>
      <c r="H1262" s="8"/>
      <c r="I1262" s="8"/>
      <c r="J1262" s="8"/>
      <c r="K1262" s="8"/>
    </row>
    <row r="1263">
      <c r="A1263" s="8" t="s">
        <v>1271</v>
      </c>
      <c r="B1263" s="8"/>
      <c r="C1263" s="8"/>
      <c r="D1263" s="8"/>
      <c r="E1263" s="8"/>
      <c r="F1263" s="8"/>
      <c r="G1263" s="8"/>
      <c r="H1263" s="8"/>
      <c r="I1263" s="8"/>
      <c r="J1263" s="8"/>
      <c r="K1263" s="8"/>
    </row>
    <row r="1264">
      <c r="A1264" s="8" t="s">
        <v>1272</v>
      </c>
      <c r="B1264" s="8"/>
      <c r="C1264" s="8"/>
      <c r="D1264" s="8"/>
      <c r="E1264" s="8"/>
      <c r="F1264" s="8"/>
      <c r="G1264" s="8"/>
      <c r="H1264" s="8"/>
      <c r="I1264" s="8"/>
      <c r="J1264" s="8"/>
      <c r="K1264" s="8"/>
    </row>
    <row r="1265">
      <c r="A1265" s="8" t="s">
        <v>1273</v>
      </c>
      <c r="B1265" s="8"/>
      <c r="C1265" s="8"/>
      <c r="D1265" s="8"/>
      <c r="E1265" s="8"/>
      <c r="F1265" s="8"/>
      <c r="G1265" s="8"/>
      <c r="H1265" s="8"/>
      <c r="I1265" s="8"/>
      <c r="J1265" s="8"/>
      <c r="K1265" s="8"/>
    </row>
    <row r="1266">
      <c r="A1266" s="8" t="s">
        <v>1274</v>
      </c>
      <c r="B1266" s="8"/>
      <c r="C1266" s="8"/>
      <c r="D1266" s="8"/>
      <c r="E1266" s="8"/>
      <c r="F1266" s="8"/>
      <c r="G1266" s="8"/>
      <c r="H1266" s="8"/>
      <c r="I1266" s="8"/>
      <c r="J1266" s="8"/>
      <c r="K1266" s="8"/>
    </row>
    <row r="1267">
      <c r="A1267" s="8" t="s">
        <v>1275</v>
      </c>
      <c r="B1267" s="8"/>
      <c r="C1267" s="8"/>
      <c r="D1267" s="8"/>
      <c r="E1267" s="8"/>
      <c r="F1267" s="8"/>
      <c r="G1267" s="8"/>
      <c r="H1267" s="8"/>
      <c r="I1267" s="8"/>
      <c r="J1267" s="8"/>
      <c r="K1267" s="8"/>
    </row>
    <row r="1268">
      <c r="A1268" s="8" t="s">
        <v>1276</v>
      </c>
      <c r="B1268" s="8"/>
      <c r="C1268" s="8"/>
      <c r="D1268" s="8"/>
      <c r="E1268" s="8"/>
      <c r="F1268" s="8"/>
      <c r="G1268" s="8"/>
      <c r="H1268" s="8"/>
      <c r="I1268" s="8"/>
      <c r="J1268" s="8"/>
      <c r="K1268" s="8"/>
    </row>
    <row r="1269">
      <c r="A1269" s="8" t="s">
        <v>1277</v>
      </c>
      <c r="B1269" s="8"/>
      <c r="C1269" s="8"/>
      <c r="D1269" s="8"/>
      <c r="E1269" s="8"/>
      <c r="F1269" s="8"/>
      <c r="G1269" s="8"/>
      <c r="H1269" s="8"/>
      <c r="I1269" s="8"/>
      <c r="J1269" s="8"/>
      <c r="K1269" s="8"/>
    </row>
    <row r="1270">
      <c r="A1270" s="8" t="s">
        <v>1278</v>
      </c>
      <c r="B1270" s="8"/>
      <c r="C1270" s="8"/>
      <c r="D1270" s="8"/>
      <c r="E1270" s="8"/>
      <c r="F1270" s="8"/>
      <c r="G1270" s="8"/>
      <c r="H1270" s="8"/>
      <c r="I1270" s="8"/>
      <c r="J1270" s="8"/>
      <c r="K1270" s="8"/>
    </row>
    <row r="1271">
      <c r="A1271" s="8" t="s">
        <v>1279</v>
      </c>
      <c r="B1271" s="8"/>
      <c r="C1271" s="8"/>
      <c r="D1271" s="8"/>
      <c r="E1271" s="8"/>
      <c r="F1271" s="8"/>
      <c r="G1271" s="8"/>
      <c r="H1271" s="8"/>
      <c r="I1271" s="8"/>
      <c r="J1271" s="8"/>
      <c r="K1271" s="8"/>
    </row>
    <row r="1272">
      <c r="A1272" s="8" t="s">
        <v>1280</v>
      </c>
      <c r="B1272" s="8"/>
      <c r="C1272" s="8"/>
      <c r="D1272" s="8"/>
      <c r="E1272" s="8"/>
      <c r="F1272" s="8"/>
      <c r="G1272" s="8"/>
      <c r="H1272" s="8"/>
      <c r="I1272" s="8"/>
      <c r="J1272" s="8"/>
      <c r="K1272" s="8"/>
    </row>
    <row r="1273">
      <c r="A1273" s="8" t="s">
        <v>1281</v>
      </c>
      <c r="B1273" s="8"/>
      <c r="C1273" s="8"/>
      <c r="D1273" s="8"/>
      <c r="E1273" s="8"/>
      <c r="F1273" s="8"/>
      <c r="G1273" s="8"/>
      <c r="H1273" s="8"/>
      <c r="I1273" s="8"/>
      <c r="J1273" s="8"/>
      <c r="K1273" s="8"/>
    </row>
    <row r="1274">
      <c r="A1274" s="8" t="s">
        <v>1282</v>
      </c>
      <c r="B1274" s="8"/>
      <c r="C1274" s="8"/>
      <c r="D1274" s="8"/>
      <c r="E1274" s="8"/>
      <c r="F1274" s="8"/>
      <c r="G1274" s="8"/>
      <c r="H1274" s="8"/>
      <c r="I1274" s="8"/>
      <c r="J1274" s="8"/>
      <c r="K1274" s="8"/>
    </row>
    <row r="1275">
      <c r="A1275" s="8" t="s">
        <v>1283</v>
      </c>
      <c r="B1275" s="8"/>
      <c r="C1275" s="8"/>
      <c r="D1275" s="8"/>
      <c r="E1275" s="8"/>
      <c r="F1275" s="8"/>
      <c r="G1275" s="8"/>
      <c r="H1275" s="8"/>
      <c r="I1275" s="8"/>
      <c r="J1275" s="8"/>
      <c r="K1275" s="8"/>
    </row>
    <row r="1276">
      <c r="A1276" s="8" t="s">
        <v>1284</v>
      </c>
      <c r="B1276" s="8"/>
      <c r="C1276" s="8"/>
      <c r="D1276" s="8"/>
      <c r="E1276" s="8"/>
      <c r="F1276" s="8"/>
      <c r="G1276" s="8"/>
      <c r="H1276" s="8"/>
      <c r="I1276" s="8"/>
      <c r="J1276" s="8"/>
      <c r="K1276" s="8"/>
    </row>
    <row r="1277">
      <c r="A1277" s="8" t="s">
        <v>1285</v>
      </c>
      <c r="B1277" s="8"/>
      <c r="C1277" s="8"/>
      <c r="D1277" s="8"/>
      <c r="E1277" s="8"/>
      <c r="F1277" s="8"/>
      <c r="G1277" s="8"/>
      <c r="H1277" s="8"/>
      <c r="I1277" s="8"/>
      <c r="J1277" s="8"/>
      <c r="K1277" s="8"/>
    </row>
    <row r="1278">
      <c r="A1278" s="8" t="s">
        <v>1286</v>
      </c>
      <c r="B1278" s="8"/>
      <c r="C1278" s="8"/>
      <c r="D1278" s="8"/>
      <c r="E1278" s="8"/>
      <c r="F1278" s="8"/>
      <c r="G1278" s="8"/>
      <c r="H1278" s="8"/>
      <c r="I1278" s="8"/>
      <c r="J1278" s="8"/>
      <c r="K1278" s="8"/>
    </row>
    <row r="1279">
      <c r="A1279" s="8" t="s">
        <v>1287</v>
      </c>
      <c r="B1279" s="8"/>
      <c r="C1279" s="8"/>
      <c r="D1279" s="8"/>
      <c r="E1279" s="8"/>
      <c r="F1279" s="8"/>
      <c r="G1279" s="8"/>
      <c r="H1279" s="8"/>
      <c r="I1279" s="8"/>
      <c r="J1279" s="8"/>
      <c r="K1279" s="8"/>
    </row>
    <row r="1280">
      <c r="A1280" s="8" t="s">
        <v>1288</v>
      </c>
      <c r="B1280" s="8"/>
      <c r="C1280" s="8"/>
      <c r="D1280" s="8"/>
      <c r="E1280" s="8"/>
      <c r="F1280" s="8"/>
      <c r="G1280" s="8"/>
      <c r="H1280" s="8"/>
      <c r="I1280" s="8"/>
      <c r="J1280" s="8"/>
      <c r="K1280" s="8"/>
    </row>
    <row r="1281">
      <c r="A1281" s="8" t="s">
        <v>1289</v>
      </c>
      <c r="B1281" s="8"/>
      <c r="C1281" s="8"/>
      <c r="D1281" s="8"/>
      <c r="E1281" s="8"/>
      <c r="F1281" s="8"/>
      <c r="G1281" s="8"/>
      <c r="H1281" s="8"/>
      <c r="I1281" s="8"/>
      <c r="J1281" s="8"/>
      <c r="K1281" s="8"/>
    </row>
    <row r="1282">
      <c r="A1282" s="8" t="s">
        <v>1290</v>
      </c>
      <c r="B1282" s="8"/>
      <c r="C1282" s="8"/>
      <c r="D1282" s="8"/>
      <c r="E1282" s="8"/>
      <c r="F1282" s="8"/>
      <c r="G1282" s="8"/>
      <c r="H1282" s="8"/>
      <c r="I1282" s="8"/>
      <c r="J1282" s="8"/>
      <c r="K1282" s="8"/>
    </row>
    <row r="1283">
      <c r="A1283" s="8" t="s">
        <v>1291</v>
      </c>
      <c r="B1283" s="8"/>
      <c r="C1283" s="8"/>
      <c r="D1283" s="8"/>
      <c r="E1283" s="8"/>
      <c r="F1283" s="8"/>
      <c r="G1283" s="8"/>
      <c r="H1283" s="8"/>
      <c r="I1283" s="8"/>
      <c r="J1283" s="8"/>
      <c r="K1283" s="8"/>
    </row>
    <row r="1284">
      <c r="A1284" s="8" t="s">
        <v>1292</v>
      </c>
      <c r="B1284" s="8"/>
      <c r="C1284" s="8"/>
      <c r="D1284" s="8"/>
      <c r="E1284" s="8"/>
      <c r="F1284" s="8"/>
      <c r="G1284" s="8"/>
      <c r="H1284" s="8"/>
      <c r="I1284" s="8"/>
      <c r="J1284" s="8"/>
      <c r="K1284" s="8"/>
    </row>
    <row r="1285">
      <c r="A1285" s="8" t="s">
        <v>1293</v>
      </c>
      <c r="B1285" s="8"/>
      <c r="C1285" s="8"/>
      <c r="D1285" s="8"/>
      <c r="E1285" s="8"/>
      <c r="F1285" s="8"/>
      <c r="G1285" s="8"/>
      <c r="H1285" s="8"/>
      <c r="I1285" s="8"/>
      <c r="J1285" s="8"/>
      <c r="K1285" s="8"/>
    </row>
    <row r="1286">
      <c r="A1286" s="8" t="s">
        <v>1294</v>
      </c>
      <c r="B1286" s="8"/>
      <c r="C1286" s="8"/>
      <c r="D1286" s="8"/>
      <c r="E1286" s="8"/>
      <c r="F1286" s="8"/>
      <c r="G1286" s="8"/>
      <c r="H1286" s="8"/>
      <c r="I1286" s="8"/>
      <c r="J1286" s="8"/>
      <c r="K1286" s="8"/>
    </row>
    <row r="1287">
      <c r="A1287" s="8" t="s">
        <v>1295</v>
      </c>
      <c r="B1287" s="8"/>
      <c r="C1287" s="8"/>
      <c r="D1287" s="8"/>
      <c r="E1287" s="8"/>
      <c r="F1287" s="8"/>
      <c r="G1287" s="8"/>
      <c r="H1287" s="8"/>
      <c r="I1287" s="8"/>
      <c r="J1287" s="8"/>
      <c r="K1287" s="8"/>
    </row>
    <row r="1288">
      <c r="A1288" s="8" t="s">
        <v>1296</v>
      </c>
      <c r="B1288" s="8"/>
      <c r="C1288" s="8"/>
      <c r="D1288" s="8"/>
      <c r="E1288" s="8"/>
      <c r="F1288" s="8"/>
      <c r="G1288" s="8"/>
      <c r="H1288" s="8"/>
      <c r="I1288" s="8"/>
      <c r="J1288" s="8"/>
      <c r="K1288" s="8"/>
    </row>
    <row r="1289">
      <c r="A1289" s="8" t="s">
        <v>1297</v>
      </c>
      <c r="B1289" s="8"/>
      <c r="C1289" s="8"/>
      <c r="D1289" s="8"/>
      <c r="E1289" s="8"/>
      <c r="F1289" s="8"/>
      <c r="G1289" s="8"/>
      <c r="H1289" s="8"/>
      <c r="I1289" s="8"/>
      <c r="J1289" s="8"/>
      <c r="K1289" s="8"/>
    </row>
    <row r="1290">
      <c r="A1290" s="8" t="s">
        <v>1298</v>
      </c>
      <c r="B1290" s="8"/>
      <c r="C1290" s="8"/>
      <c r="D1290" s="8"/>
      <c r="E1290" s="8"/>
      <c r="F1290" s="8"/>
      <c r="G1290" s="8"/>
      <c r="H1290" s="8"/>
      <c r="I1290" s="8"/>
      <c r="J1290" s="8"/>
      <c r="K1290" s="8"/>
    </row>
    <row r="1291">
      <c r="A1291" s="8" t="s">
        <v>1299</v>
      </c>
      <c r="B1291" s="8"/>
      <c r="C1291" s="8"/>
      <c r="D1291" s="8"/>
      <c r="E1291" s="8"/>
      <c r="F1291" s="8"/>
      <c r="G1291" s="8"/>
      <c r="H1291" s="8"/>
      <c r="I1291" s="8"/>
      <c r="J1291" s="8"/>
      <c r="K1291" s="8"/>
    </row>
    <row r="1292">
      <c r="A1292" s="8" t="s">
        <v>1300</v>
      </c>
      <c r="B1292" s="8"/>
      <c r="C1292" s="8"/>
      <c r="D1292" s="8"/>
      <c r="E1292" s="8"/>
      <c r="F1292" s="8"/>
      <c r="G1292" s="8"/>
      <c r="H1292" s="8"/>
      <c r="I1292" s="8"/>
      <c r="J1292" s="8"/>
      <c r="K1292" s="8"/>
    </row>
    <row r="1293">
      <c r="A1293" s="8" t="s">
        <v>1301</v>
      </c>
      <c r="B1293" s="8"/>
      <c r="C1293" s="8"/>
      <c r="D1293" s="8"/>
      <c r="E1293" s="8"/>
      <c r="F1293" s="8"/>
      <c r="G1293" s="8"/>
      <c r="H1293" s="8"/>
      <c r="I1293" s="8"/>
      <c r="J1293" s="8"/>
      <c r="K1293" s="8"/>
    </row>
    <row r="1294">
      <c r="A1294" s="8" t="s">
        <v>1302</v>
      </c>
      <c r="B1294" s="8"/>
      <c r="C1294" s="8"/>
      <c r="D1294" s="8"/>
      <c r="E1294" s="8"/>
      <c r="F1294" s="8"/>
      <c r="G1294" s="8"/>
      <c r="H1294" s="8"/>
      <c r="I1294" s="8"/>
      <c r="J1294" s="8"/>
      <c r="K1294" s="8"/>
    </row>
    <row r="1295">
      <c r="A1295" s="8" t="s">
        <v>1303</v>
      </c>
      <c r="B1295" s="8"/>
      <c r="C1295" s="8"/>
      <c r="D1295" s="8"/>
      <c r="E1295" s="8"/>
      <c r="F1295" s="8"/>
      <c r="G1295" s="8"/>
      <c r="H1295" s="8"/>
      <c r="I1295" s="8"/>
      <c r="J1295" s="8"/>
      <c r="K1295" s="8"/>
    </row>
    <row r="1296">
      <c r="A1296" s="8" t="s">
        <v>1304</v>
      </c>
      <c r="B1296" s="8"/>
      <c r="C1296" s="8"/>
      <c r="D1296" s="8"/>
      <c r="E1296" s="8"/>
      <c r="F1296" s="8"/>
      <c r="G1296" s="8"/>
      <c r="H1296" s="8"/>
      <c r="I1296" s="8"/>
      <c r="J1296" s="8"/>
      <c r="K1296" s="8"/>
    </row>
    <row r="1297">
      <c r="A1297" s="8" t="s">
        <v>1305</v>
      </c>
      <c r="B1297" s="8"/>
      <c r="C1297" s="8"/>
      <c r="D1297" s="8"/>
      <c r="E1297" s="8"/>
      <c r="F1297" s="8"/>
      <c r="G1297" s="8"/>
      <c r="H1297" s="8"/>
      <c r="I1297" s="8"/>
      <c r="J1297" s="8"/>
      <c r="K1297" s="8"/>
    </row>
    <row r="1298">
      <c r="A1298" s="8" t="s">
        <v>1306</v>
      </c>
      <c r="B1298" s="8"/>
      <c r="C1298" s="8"/>
      <c r="D1298" s="8"/>
      <c r="E1298" s="8"/>
      <c r="F1298" s="8"/>
      <c r="G1298" s="8"/>
      <c r="H1298" s="8"/>
      <c r="I1298" s="8"/>
      <c r="J1298" s="8"/>
      <c r="K1298" s="8"/>
    </row>
    <row r="1299">
      <c r="A1299" s="8" t="s">
        <v>1307</v>
      </c>
      <c r="B1299" s="8"/>
      <c r="C1299" s="8"/>
      <c r="D1299" s="8"/>
      <c r="E1299" s="8"/>
      <c r="F1299" s="8"/>
      <c r="G1299" s="8"/>
      <c r="H1299" s="8"/>
      <c r="I1299" s="8"/>
      <c r="J1299" s="8"/>
      <c r="K1299" s="8"/>
    </row>
    <row r="1300">
      <c r="A1300" s="8" t="s">
        <v>1308</v>
      </c>
      <c r="B1300" s="8"/>
      <c r="C1300" s="8"/>
      <c r="D1300" s="8"/>
      <c r="E1300" s="8"/>
      <c r="F1300" s="8"/>
      <c r="G1300" s="8"/>
      <c r="H1300" s="8"/>
      <c r="I1300" s="8"/>
      <c r="J1300" s="8"/>
      <c r="K1300" s="8"/>
    </row>
    <row r="1301">
      <c r="A1301" s="8" t="s">
        <v>1309</v>
      </c>
      <c r="B1301" s="8"/>
      <c r="C1301" s="8"/>
      <c r="D1301" s="8"/>
      <c r="E1301" s="8"/>
      <c r="F1301" s="8"/>
      <c r="G1301" s="8"/>
      <c r="H1301" s="8"/>
      <c r="I1301" s="8"/>
      <c r="J1301" s="8"/>
      <c r="K1301" s="8"/>
    </row>
    <row r="1302">
      <c r="A1302" s="8" t="s">
        <v>1310</v>
      </c>
      <c r="B1302" s="8"/>
      <c r="C1302" s="8"/>
      <c r="D1302" s="8"/>
      <c r="E1302" s="8"/>
      <c r="F1302" s="8"/>
      <c r="G1302" s="8"/>
      <c r="H1302" s="8"/>
      <c r="I1302" s="8"/>
      <c r="J1302" s="8"/>
      <c r="K1302" s="8"/>
    </row>
    <row r="1303">
      <c r="A1303" s="8" t="s">
        <v>1311</v>
      </c>
      <c r="B1303" s="8"/>
      <c r="C1303" s="8"/>
      <c r="D1303" s="8"/>
      <c r="E1303" s="8"/>
      <c r="F1303" s="8"/>
      <c r="G1303" s="8"/>
      <c r="H1303" s="8"/>
      <c r="I1303" s="8"/>
      <c r="J1303" s="8"/>
      <c r="K1303" s="8"/>
    </row>
    <row r="1304">
      <c r="A1304" s="8" t="s">
        <v>1312</v>
      </c>
      <c r="B1304" s="8"/>
      <c r="C1304" s="8"/>
      <c r="D1304" s="8"/>
      <c r="E1304" s="8"/>
      <c r="F1304" s="8"/>
      <c r="G1304" s="8"/>
      <c r="H1304" s="8"/>
      <c r="I1304" s="8"/>
      <c r="J1304" s="8"/>
      <c r="K1304" s="8"/>
    </row>
    <row r="1305">
      <c r="A1305" s="8" t="s">
        <v>1313</v>
      </c>
      <c r="B1305" s="8"/>
      <c r="C1305" s="8"/>
      <c r="D1305" s="8"/>
      <c r="E1305" s="8"/>
      <c r="F1305" s="8"/>
      <c r="G1305" s="8"/>
      <c r="H1305" s="8"/>
      <c r="I1305" s="8"/>
      <c r="J1305" s="8"/>
      <c r="K1305" s="8"/>
    </row>
    <row r="1306">
      <c r="A1306" s="8" t="s">
        <v>1314</v>
      </c>
      <c r="B1306" s="8"/>
      <c r="C1306" s="8"/>
      <c r="D1306" s="8"/>
      <c r="E1306" s="8"/>
      <c r="F1306" s="8"/>
      <c r="G1306" s="8"/>
      <c r="H1306" s="8"/>
      <c r="I1306" s="8"/>
      <c r="J1306" s="8"/>
      <c r="K1306" s="8"/>
    </row>
    <row r="1307">
      <c r="A1307" s="8" t="s">
        <v>1315</v>
      </c>
      <c r="B1307" s="8"/>
      <c r="C1307" s="8"/>
      <c r="D1307" s="8"/>
      <c r="E1307" s="8"/>
      <c r="F1307" s="8"/>
      <c r="G1307" s="8"/>
      <c r="H1307" s="8"/>
      <c r="I1307" s="8"/>
      <c r="J1307" s="8"/>
      <c r="K1307" s="8"/>
    </row>
    <row r="1308">
      <c r="A1308" s="8" t="s">
        <v>1316</v>
      </c>
      <c r="B1308" s="8"/>
      <c r="C1308" s="8"/>
      <c r="D1308" s="8"/>
      <c r="E1308" s="8"/>
      <c r="F1308" s="8"/>
      <c r="G1308" s="8"/>
      <c r="H1308" s="8"/>
      <c r="I1308" s="8"/>
      <c r="J1308" s="8"/>
      <c r="K1308" s="8"/>
    </row>
    <row r="1309">
      <c r="A1309" s="8" t="s">
        <v>1317</v>
      </c>
      <c r="B1309" s="8"/>
      <c r="C1309" s="8"/>
      <c r="D1309" s="8"/>
      <c r="E1309" s="8"/>
      <c r="F1309" s="8"/>
      <c r="G1309" s="8"/>
      <c r="H1309" s="8"/>
      <c r="I1309" s="8"/>
      <c r="J1309" s="8"/>
      <c r="K1309" s="8"/>
    </row>
    <row r="1310">
      <c r="A1310" s="8" t="s">
        <v>1318</v>
      </c>
      <c r="B1310" s="8"/>
      <c r="C1310" s="8"/>
      <c r="D1310" s="8"/>
      <c r="E1310" s="8"/>
      <c r="F1310" s="8"/>
      <c r="G1310" s="8"/>
      <c r="H1310" s="8"/>
      <c r="I1310" s="8"/>
      <c r="J1310" s="8"/>
      <c r="K1310" s="8"/>
    </row>
    <row r="1311">
      <c r="A1311" s="8" t="s">
        <v>1319</v>
      </c>
      <c r="B1311" s="8"/>
      <c r="C1311" s="8"/>
      <c r="D1311" s="8"/>
      <c r="E1311" s="8"/>
      <c r="F1311" s="8"/>
      <c r="G1311" s="8"/>
      <c r="H1311" s="8"/>
      <c r="I1311" s="8"/>
      <c r="J1311" s="8"/>
      <c r="K1311" s="8"/>
    </row>
    <row r="1312">
      <c r="A1312" s="8" t="s">
        <v>1320</v>
      </c>
      <c r="B1312" s="8"/>
      <c r="C1312" s="8"/>
      <c r="D1312" s="8"/>
      <c r="E1312" s="8"/>
      <c r="F1312" s="8"/>
      <c r="G1312" s="8"/>
      <c r="H1312" s="8"/>
      <c r="I1312" s="8"/>
      <c r="J1312" s="8"/>
      <c r="K1312" s="8"/>
    </row>
    <row r="1313">
      <c r="A1313" s="8" t="s">
        <v>1321</v>
      </c>
      <c r="B1313" s="8"/>
      <c r="C1313" s="8"/>
      <c r="D1313" s="8"/>
      <c r="E1313" s="8"/>
      <c r="F1313" s="8"/>
      <c r="G1313" s="8"/>
      <c r="H1313" s="8"/>
      <c r="I1313" s="8"/>
      <c r="J1313" s="8"/>
      <c r="K1313" s="8"/>
    </row>
    <row r="1314">
      <c r="A1314" s="8" t="s">
        <v>1322</v>
      </c>
      <c r="B1314" s="8"/>
      <c r="C1314" s="8"/>
      <c r="D1314" s="8"/>
      <c r="E1314" s="8"/>
      <c r="F1314" s="8"/>
      <c r="G1314" s="8"/>
      <c r="H1314" s="8"/>
      <c r="I1314" s="8"/>
      <c r="J1314" s="8"/>
      <c r="K1314" s="8"/>
    </row>
    <row r="1315">
      <c r="A1315" s="8" t="s">
        <v>1323</v>
      </c>
      <c r="B1315" s="8"/>
      <c r="C1315" s="8"/>
      <c r="D1315" s="8"/>
      <c r="E1315" s="8"/>
      <c r="F1315" s="8"/>
      <c r="G1315" s="8"/>
      <c r="H1315" s="8"/>
      <c r="I1315" s="8"/>
      <c r="J1315" s="8"/>
      <c r="K1315" s="8"/>
    </row>
    <row r="1316">
      <c r="A1316" s="8" t="s">
        <v>1324</v>
      </c>
      <c r="B1316" s="8"/>
      <c r="C1316" s="8"/>
      <c r="D1316" s="8"/>
      <c r="E1316" s="8"/>
      <c r="F1316" s="8"/>
      <c r="G1316" s="8"/>
      <c r="H1316" s="8"/>
      <c r="I1316" s="8"/>
      <c r="J1316" s="8"/>
      <c r="K1316" s="8"/>
    </row>
    <row r="1317">
      <c r="A1317" s="8" t="s">
        <v>1325</v>
      </c>
      <c r="B1317" s="8"/>
      <c r="C1317" s="8"/>
      <c r="D1317" s="8"/>
      <c r="E1317" s="8"/>
      <c r="F1317" s="8"/>
      <c r="G1317" s="8"/>
      <c r="H1317" s="8"/>
      <c r="I1317" s="8"/>
      <c r="J1317" s="8"/>
      <c r="K1317" s="8"/>
    </row>
    <row r="1318">
      <c r="A1318" s="8" t="s">
        <v>1326</v>
      </c>
      <c r="B1318" s="8"/>
      <c r="C1318" s="8"/>
      <c r="D1318" s="8"/>
      <c r="E1318" s="8"/>
      <c r="F1318" s="8"/>
      <c r="G1318" s="8"/>
      <c r="H1318" s="8"/>
      <c r="I1318" s="8"/>
      <c r="J1318" s="8"/>
      <c r="K1318" s="8"/>
    </row>
    <row r="1319">
      <c r="A1319" s="8" t="s">
        <v>1327</v>
      </c>
      <c r="B1319" s="8"/>
      <c r="C1319" s="8"/>
      <c r="D1319" s="8"/>
      <c r="E1319" s="8"/>
      <c r="F1319" s="8"/>
      <c r="G1319" s="8"/>
      <c r="H1319" s="8"/>
      <c r="I1319" s="8"/>
      <c r="J1319" s="8"/>
      <c r="K1319" s="8"/>
    </row>
    <row r="1320">
      <c r="A1320" s="8" t="s">
        <v>1328</v>
      </c>
      <c r="B1320" s="8"/>
      <c r="C1320" s="8"/>
      <c r="D1320" s="8"/>
      <c r="E1320" s="8"/>
      <c r="F1320" s="8"/>
      <c r="G1320" s="8"/>
      <c r="H1320" s="8"/>
      <c r="I1320" s="8"/>
      <c r="J1320" s="8"/>
      <c r="K1320" s="8"/>
    </row>
    <row r="1321">
      <c r="A1321" s="8" t="s">
        <v>1329</v>
      </c>
      <c r="B1321" s="8"/>
      <c r="C1321" s="8"/>
      <c r="D1321" s="8"/>
      <c r="E1321" s="8"/>
      <c r="F1321" s="8"/>
      <c r="G1321" s="8"/>
      <c r="H1321" s="8"/>
      <c r="I1321" s="8"/>
      <c r="J1321" s="8"/>
      <c r="K1321" s="8"/>
    </row>
    <row r="1322">
      <c r="A1322" s="8" t="s">
        <v>1330</v>
      </c>
      <c r="B1322" s="8"/>
      <c r="C1322" s="8"/>
      <c r="D1322" s="8"/>
      <c r="E1322" s="8"/>
      <c r="F1322" s="8"/>
      <c r="G1322" s="8"/>
      <c r="H1322" s="8"/>
      <c r="I1322" s="8"/>
      <c r="J1322" s="8"/>
      <c r="K1322" s="8"/>
    </row>
    <row r="1323">
      <c r="A1323" s="8" t="s">
        <v>1331</v>
      </c>
      <c r="B1323" s="8"/>
      <c r="C1323" s="8"/>
      <c r="D1323" s="8"/>
      <c r="E1323" s="8"/>
      <c r="F1323" s="8"/>
      <c r="G1323" s="8"/>
      <c r="H1323" s="8"/>
      <c r="I1323" s="8"/>
      <c r="J1323" s="8"/>
      <c r="K1323" s="8"/>
    </row>
    <row r="1324">
      <c r="A1324" s="8" t="s">
        <v>1332</v>
      </c>
      <c r="B1324" s="8"/>
      <c r="C1324" s="8"/>
      <c r="D1324" s="8"/>
      <c r="E1324" s="8"/>
      <c r="F1324" s="8"/>
      <c r="G1324" s="8"/>
      <c r="H1324" s="8"/>
      <c r="I1324" s="8"/>
      <c r="J1324" s="8"/>
      <c r="K1324" s="8"/>
    </row>
    <row r="1325">
      <c r="A1325" s="8" t="s">
        <v>1333</v>
      </c>
      <c r="B1325" s="8"/>
      <c r="C1325" s="8"/>
      <c r="D1325" s="8"/>
      <c r="E1325" s="8"/>
      <c r="F1325" s="8"/>
      <c r="G1325" s="8"/>
      <c r="H1325" s="8"/>
      <c r="I1325" s="8"/>
      <c r="J1325" s="8"/>
      <c r="K1325" s="8"/>
    </row>
    <row r="1326">
      <c r="A1326" s="8" t="s">
        <v>1334</v>
      </c>
      <c r="B1326" s="8"/>
      <c r="C1326" s="8"/>
      <c r="D1326" s="8"/>
      <c r="E1326" s="8"/>
      <c r="F1326" s="8"/>
      <c r="G1326" s="8"/>
      <c r="H1326" s="8"/>
      <c r="I1326" s="8"/>
      <c r="J1326" s="8"/>
      <c r="K1326" s="8"/>
    </row>
    <row r="1327">
      <c r="A1327" s="8" t="s">
        <v>1335</v>
      </c>
      <c r="B1327" s="8"/>
      <c r="C1327" s="8"/>
      <c r="D1327" s="8"/>
      <c r="E1327" s="8"/>
      <c r="F1327" s="8"/>
      <c r="G1327" s="8"/>
      <c r="H1327" s="8"/>
      <c r="I1327" s="8"/>
      <c r="J1327" s="8"/>
      <c r="K1327" s="8"/>
    </row>
    <row r="1328">
      <c r="A1328" s="8" t="s">
        <v>1336</v>
      </c>
      <c r="B1328" s="8"/>
      <c r="C1328" s="8"/>
      <c r="D1328" s="8"/>
      <c r="E1328" s="8"/>
      <c r="F1328" s="8"/>
      <c r="G1328" s="8"/>
      <c r="H1328" s="8"/>
      <c r="I1328" s="8"/>
      <c r="J1328" s="8"/>
      <c r="K1328" s="8"/>
    </row>
    <row r="1329">
      <c r="A1329" s="8" t="s">
        <v>1337</v>
      </c>
      <c r="B1329" s="8"/>
      <c r="C1329" s="8"/>
      <c r="D1329" s="8"/>
      <c r="E1329" s="8"/>
      <c r="F1329" s="8"/>
      <c r="G1329" s="8"/>
      <c r="H1329" s="8"/>
      <c r="I1329" s="8"/>
      <c r="J1329" s="8"/>
      <c r="K1329" s="8"/>
    </row>
    <row r="1330">
      <c r="A1330" s="8" t="s">
        <v>1338</v>
      </c>
      <c r="B1330" s="8"/>
      <c r="C1330" s="8"/>
      <c r="D1330" s="8"/>
      <c r="E1330" s="8"/>
      <c r="F1330" s="8"/>
      <c r="G1330" s="8"/>
      <c r="H1330" s="8"/>
      <c r="I1330" s="8"/>
      <c r="J1330" s="8"/>
      <c r="K1330" s="8"/>
    </row>
    <row r="1331">
      <c r="A1331" s="8" t="s">
        <v>1339</v>
      </c>
      <c r="B1331" s="8"/>
      <c r="C1331" s="8"/>
      <c r="D1331" s="8"/>
      <c r="E1331" s="8"/>
      <c r="F1331" s="8"/>
      <c r="G1331" s="8"/>
      <c r="H1331" s="8"/>
      <c r="I1331" s="8"/>
      <c r="J1331" s="8"/>
      <c r="K1331" s="8"/>
    </row>
    <row r="1332">
      <c r="A1332" s="8" t="s">
        <v>1340</v>
      </c>
      <c r="B1332" s="8"/>
      <c r="C1332" s="8"/>
      <c r="D1332" s="8"/>
      <c r="E1332" s="8"/>
      <c r="F1332" s="8"/>
      <c r="G1332" s="8"/>
      <c r="H1332" s="8"/>
      <c r="I1332" s="8"/>
      <c r="J1332" s="8"/>
      <c r="K1332" s="8"/>
    </row>
    <row r="1333">
      <c r="A1333" s="8" t="s">
        <v>1341</v>
      </c>
      <c r="B1333" s="8"/>
      <c r="C1333" s="8"/>
      <c r="D1333" s="8"/>
      <c r="E1333" s="8"/>
      <c r="F1333" s="8"/>
      <c r="G1333" s="8"/>
      <c r="H1333" s="8"/>
      <c r="I1333" s="8"/>
      <c r="J1333" s="8"/>
      <c r="K1333" s="8"/>
    </row>
    <row r="1334">
      <c r="A1334" s="8" t="s">
        <v>1342</v>
      </c>
      <c r="B1334" s="8"/>
      <c r="C1334" s="8"/>
      <c r="D1334" s="8"/>
      <c r="E1334" s="8"/>
      <c r="F1334" s="8"/>
      <c r="G1334" s="8"/>
      <c r="H1334" s="8"/>
      <c r="I1334" s="8"/>
      <c r="J1334" s="8"/>
      <c r="K1334" s="8"/>
    </row>
    <row r="1335">
      <c r="A1335" s="8" t="s">
        <v>1343</v>
      </c>
      <c r="B1335" s="8"/>
      <c r="C1335" s="8"/>
      <c r="D1335" s="8"/>
      <c r="E1335" s="8"/>
      <c r="F1335" s="8"/>
      <c r="G1335" s="8"/>
      <c r="H1335" s="8"/>
      <c r="I1335" s="8"/>
      <c r="J1335" s="8"/>
      <c r="K1335" s="8"/>
    </row>
    <row r="1336">
      <c r="A1336" s="8" t="s">
        <v>1344</v>
      </c>
      <c r="B1336" s="8"/>
      <c r="C1336" s="8"/>
      <c r="D1336" s="8"/>
      <c r="E1336" s="8"/>
      <c r="F1336" s="8"/>
      <c r="G1336" s="8"/>
      <c r="H1336" s="8"/>
      <c r="I1336" s="8"/>
      <c r="J1336" s="8"/>
      <c r="K1336" s="8"/>
    </row>
    <row r="1337">
      <c r="A1337" s="8" t="s">
        <v>1345</v>
      </c>
      <c r="B1337" s="8"/>
      <c r="C1337" s="8"/>
      <c r="D1337" s="8"/>
      <c r="E1337" s="8"/>
      <c r="F1337" s="8"/>
      <c r="G1337" s="8"/>
      <c r="H1337" s="8"/>
      <c r="I1337" s="8"/>
      <c r="J1337" s="8"/>
      <c r="K1337" s="8"/>
    </row>
    <row r="1338">
      <c r="A1338" s="8" t="s">
        <v>1346</v>
      </c>
      <c r="B1338" s="8"/>
      <c r="C1338" s="8"/>
      <c r="D1338" s="8"/>
      <c r="E1338" s="8"/>
      <c r="F1338" s="8"/>
      <c r="G1338" s="8"/>
      <c r="H1338" s="8"/>
      <c r="I1338" s="8"/>
      <c r="J1338" s="8"/>
      <c r="K1338" s="8"/>
    </row>
    <row r="1339">
      <c r="A1339" s="8" t="s">
        <v>1347</v>
      </c>
      <c r="B1339" s="8"/>
      <c r="C1339" s="8"/>
      <c r="D1339" s="8"/>
      <c r="E1339" s="8"/>
      <c r="F1339" s="8"/>
      <c r="G1339" s="8"/>
      <c r="H1339" s="8"/>
      <c r="I1339" s="8"/>
      <c r="J1339" s="8"/>
      <c r="K1339" s="8"/>
    </row>
    <row r="1340">
      <c r="A1340" s="8" t="s">
        <v>1348</v>
      </c>
      <c r="B1340" s="8"/>
      <c r="C1340" s="8"/>
      <c r="D1340" s="8"/>
      <c r="E1340" s="8"/>
      <c r="F1340" s="8"/>
      <c r="G1340" s="8"/>
      <c r="H1340" s="8"/>
      <c r="I1340" s="8"/>
      <c r="J1340" s="8"/>
      <c r="K1340" s="8"/>
    </row>
    <row r="1341">
      <c r="A1341" s="8" t="s">
        <v>1349</v>
      </c>
      <c r="B1341" s="8"/>
      <c r="C1341" s="8"/>
      <c r="D1341" s="8"/>
      <c r="E1341" s="8"/>
      <c r="F1341" s="8"/>
      <c r="G1341" s="8"/>
      <c r="H1341" s="8"/>
      <c r="I1341" s="8"/>
      <c r="J1341" s="8"/>
      <c r="K1341" s="8"/>
    </row>
    <row r="1342">
      <c r="A1342" s="8" t="s">
        <v>1350</v>
      </c>
      <c r="B1342" s="8"/>
      <c r="C1342" s="8"/>
      <c r="D1342" s="8"/>
      <c r="E1342" s="8"/>
      <c r="F1342" s="8"/>
      <c r="G1342" s="8"/>
      <c r="H1342" s="8"/>
      <c r="I1342" s="8"/>
      <c r="J1342" s="8"/>
      <c r="K1342" s="8"/>
    </row>
    <row r="1343">
      <c r="A1343" s="8" t="s">
        <v>1351</v>
      </c>
      <c r="B1343" s="8"/>
      <c r="C1343" s="8"/>
      <c r="D1343" s="8"/>
      <c r="E1343" s="8"/>
      <c r="F1343" s="8"/>
      <c r="G1343" s="8"/>
      <c r="H1343" s="8"/>
      <c r="I1343" s="8"/>
      <c r="J1343" s="8"/>
      <c r="K1343" s="8"/>
    </row>
    <row r="1344">
      <c r="A1344" s="8" t="s">
        <v>1352</v>
      </c>
      <c r="B1344" s="8"/>
      <c r="C1344" s="8"/>
      <c r="D1344" s="8"/>
      <c r="E1344" s="8"/>
      <c r="F1344" s="8"/>
      <c r="G1344" s="8"/>
      <c r="H1344" s="8"/>
      <c r="I1344" s="8"/>
      <c r="J1344" s="8"/>
      <c r="K1344" s="8"/>
    </row>
    <row r="1345">
      <c r="A1345" s="8" t="s">
        <v>1353</v>
      </c>
      <c r="B1345" s="8"/>
      <c r="C1345" s="8"/>
      <c r="D1345" s="8"/>
      <c r="E1345" s="8"/>
      <c r="F1345" s="8"/>
      <c r="G1345" s="8"/>
      <c r="H1345" s="8"/>
      <c r="I1345" s="8"/>
      <c r="J1345" s="8"/>
      <c r="K1345" s="8"/>
    </row>
    <row r="1346">
      <c r="A1346" s="8" t="s">
        <v>1354</v>
      </c>
      <c r="B1346" s="8"/>
      <c r="C1346" s="8"/>
      <c r="D1346" s="8"/>
      <c r="E1346" s="8"/>
      <c r="F1346" s="8"/>
      <c r="G1346" s="8"/>
      <c r="H1346" s="8"/>
      <c r="I1346" s="8"/>
      <c r="J1346" s="8"/>
      <c r="K1346" s="8"/>
    </row>
    <row r="1347">
      <c r="A1347" s="8" t="s">
        <v>1355</v>
      </c>
      <c r="B1347" s="8"/>
      <c r="C1347" s="8"/>
      <c r="D1347" s="8"/>
      <c r="E1347" s="8"/>
      <c r="F1347" s="8"/>
      <c r="G1347" s="8"/>
      <c r="H1347" s="8"/>
      <c r="I1347" s="8"/>
      <c r="J1347" s="8"/>
      <c r="K1347" s="8"/>
    </row>
    <row r="1348">
      <c r="A1348" s="8" t="s">
        <v>1356</v>
      </c>
      <c r="B1348" s="8"/>
      <c r="C1348" s="8"/>
      <c r="D1348" s="8"/>
      <c r="E1348" s="8"/>
      <c r="F1348" s="8"/>
      <c r="G1348" s="8"/>
      <c r="H1348" s="8"/>
      <c r="I1348" s="8"/>
      <c r="J1348" s="8"/>
      <c r="K1348" s="8"/>
    </row>
    <row r="1349">
      <c r="A1349" s="8" t="s">
        <v>1357</v>
      </c>
      <c r="B1349" s="8"/>
      <c r="C1349" s="8"/>
      <c r="D1349" s="8"/>
      <c r="E1349" s="8"/>
      <c r="F1349" s="8"/>
      <c r="G1349" s="8"/>
      <c r="H1349" s="8"/>
      <c r="I1349" s="8"/>
      <c r="J1349" s="8"/>
      <c r="K1349" s="8"/>
    </row>
    <row r="1350">
      <c r="A1350" s="8" t="s">
        <v>1358</v>
      </c>
      <c r="B1350" s="8"/>
      <c r="C1350" s="8"/>
      <c r="D1350" s="8"/>
      <c r="E1350" s="8"/>
      <c r="F1350" s="8"/>
      <c r="G1350" s="8"/>
      <c r="H1350" s="8"/>
      <c r="I1350" s="8"/>
      <c r="J1350" s="8"/>
      <c r="K1350" s="8"/>
    </row>
    <row r="1351">
      <c r="A1351" s="8" t="s">
        <v>1359</v>
      </c>
      <c r="B1351" s="8"/>
      <c r="C1351" s="8"/>
      <c r="D1351" s="8"/>
      <c r="E1351" s="8"/>
      <c r="F1351" s="8"/>
      <c r="G1351" s="8"/>
      <c r="H1351" s="8"/>
      <c r="I1351" s="8"/>
      <c r="J1351" s="8"/>
      <c r="K1351" s="8"/>
    </row>
    <row r="1352">
      <c r="A1352" s="8" t="s">
        <v>1360</v>
      </c>
      <c r="B1352" s="8"/>
      <c r="C1352" s="8"/>
      <c r="D1352" s="8"/>
      <c r="E1352" s="8"/>
      <c r="F1352" s="8"/>
      <c r="G1352" s="8"/>
      <c r="H1352" s="8"/>
      <c r="I1352" s="8"/>
      <c r="J1352" s="8"/>
      <c r="K1352" s="8"/>
    </row>
    <row r="1353">
      <c r="A1353" s="8" t="s">
        <v>1361</v>
      </c>
      <c r="B1353" s="8"/>
      <c r="C1353" s="8"/>
      <c r="D1353" s="8"/>
      <c r="E1353" s="8"/>
      <c r="F1353" s="8"/>
      <c r="G1353" s="8"/>
      <c r="H1353" s="8"/>
      <c r="I1353" s="8"/>
      <c r="J1353" s="8"/>
      <c r="K1353" s="8"/>
    </row>
    <row r="1354">
      <c r="A1354" s="8" t="s">
        <v>1362</v>
      </c>
      <c r="B1354" s="8"/>
      <c r="C1354" s="8"/>
      <c r="D1354" s="8"/>
      <c r="E1354" s="8"/>
      <c r="F1354" s="8"/>
      <c r="G1354" s="8"/>
      <c r="H1354" s="8"/>
      <c r="I1354" s="8"/>
      <c r="J1354" s="8"/>
      <c r="K1354" s="8"/>
    </row>
    <row r="1355">
      <c r="A1355" s="8" t="s">
        <v>1363</v>
      </c>
      <c r="B1355" s="8"/>
      <c r="C1355" s="8"/>
      <c r="D1355" s="8"/>
      <c r="E1355" s="8"/>
      <c r="F1355" s="8"/>
      <c r="G1355" s="8"/>
      <c r="H1355" s="8"/>
      <c r="I1355" s="8"/>
      <c r="J1355" s="8"/>
      <c r="K1355" s="8"/>
    </row>
    <row r="1356">
      <c r="A1356" s="8" t="s">
        <v>1364</v>
      </c>
      <c r="B1356" s="8"/>
      <c r="C1356" s="8"/>
      <c r="D1356" s="8"/>
      <c r="E1356" s="8"/>
      <c r="F1356" s="8"/>
      <c r="G1356" s="8"/>
      <c r="H1356" s="8"/>
      <c r="I1356" s="8"/>
      <c r="J1356" s="8"/>
      <c r="K1356" s="8"/>
    </row>
    <row r="1357">
      <c r="A1357" s="8" t="s">
        <v>1365</v>
      </c>
      <c r="B1357" s="8"/>
      <c r="C1357" s="8"/>
      <c r="D1357" s="8"/>
      <c r="E1357" s="8"/>
      <c r="F1357" s="8"/>
      <c r="G1357" s="8"/>
      <c r="H1357" s="8"/>
      <c r="I1357" s="8"/>
      <c r="J1357" s="8"/>
      <c r="K1357" s="8"/>
    </row>
    <row r="1358">
      <c r="A1358" s="8" t="s">
        <v>1366</v>
      </c>
      <c r="B1358" s="8"/>
      <c r="C1358" s="8"/>
      <c r="D1358" s="8"/>
      <c r="E1358" s="8"/>
      <c r="F1358" s="8"/>
      <c r="G1358" s="8"/>
      <c r="H1358" s="8"/>
      <c r="I1358" s="8"/>
      <c r="J1358" s="8"/>
      <c r="K1358" s="8"/>
    </row>
    <row r="1359">
      <c r="A1359" s="8" t="s">
        <v>1367</v>
      </c>
      <c r="B1359" s="8"/>
      <c r="C1359" s="8"/>
      <c r="D1359" s="8"/>
      <c r="E1359" s="8"/>
      <c r="F1359" s="8"/>
      <c r="G1359" s="8"/>
      <c r="H1359" s="8"/>
      <c r="I1359" s="8"/>
      <c r="J1359" s="8"/>
      <c r="K1359" s="8"/>
    </row>
    <row r="1360">
      <c r="A1360" s="8" t="s">
        <v>1368</v>
      </c>
      <c r="B1360" s="8"/>
      <c r="C1360" s="8"/>
      <c r="D1360" s="8"/>
      <c r="E1360" s="8"/>
      <c r="F1360" s="8"/>
      <c r="G1360" s="8"/>
      <c r="H1360" s="8"/>
      <c r="I1360" s="8"/>
      <c r="J1360" s="8"/>
      <c r="K1360" s="8"/>
    </row>
    <row r="1361">
      <c r="A1361" s="8" t="s">
        <v>1369</v>
      </c>
      <c r="B1361" s="8"/>
      <c r="C1361" s="8"/>
      <c r="D1361" s="8"/>
      <c r="E1361" s="8"/>
      <c r="F1361" s="8"/>
      <c r="G1361" s="8"/>
      <c r="H1361" s="8"/>
      <c r="I1361" s="8"/>
      <c r="J1361" s="8"/>
      <c r="K1361" s="8"/>
    </row>
    <row r="1362">
      <c r="A1362" s="8" t="s">
        <v>1370</v>
      </c>
      <c r="B1362" s="8"/>
      <c r="C1362" s="8"/>
      <c r="D1362" s="8"/>
      <c r="E1362" s="8"/>
      <c r="F1362" s="8"/>
      <c r="G1362" s="8"/>
      <c r="H1362" s="8"/>
      <c r="I1362" s="8"/>
      <c r="J1362" s="8"/>
      <c r="K1362" s="8"/>
    </row>
    <row r="1363">
      <c r="A1363" s="8" t="s">
        <v>1371</v>
      </c>
      <c r="B1363" s="8"/>
      <c r="C1363" s="8"/>
      <c r="D1363" s="8"/>
      <c r="E1363" s="8"/>
      <c r="F1363" s="8"/>
      <c r="G1363" s="8"/>
      <c r="H1363" s="8"/>
      <c r="I1363" s="8"/>
      <c r="J1363" s="8"/>
      <c r="K1363" s="8"/>
    </row>
    <row r="1364">
      <c r="A1364" s="8" t="s">
        <v>1372</v>
      </c>
      <c r="B1364" s="8"/>
      <c r="C1364" s="8"/>
      <c r="D1364" s="8"/>
      <c r="E1364" s="8"/>
      <c r="F1364" s="8"/>
      <c r="G1364" s="8"/>
      <c r="H1364" s="8"/>
      <c r="I1364" s="8"/>
      <c r="J1364" s="8"/>
      <c r="K1364" s="8"/>
    </row>
    <row r="1365">
      <c r="A1365" s="8" t="s">
        <v>1373</v>
      </c>
      <c r="B1365" s="8"/>
      <c r="C1365" s="8"/>
      <c r="D1365" s="8"/>
      <c r="E1365" s="8"/>
      <c r="F1365" s="8"/>
      <c r="G1365" s="8"/>
      <c r="H1365" s="8"/>
      <c r="I1365" s="8"/>
      <c r="J1365" s="8"/>
      <c r="K1365" s="8"/>
    </row>
    <row r="1366">
      <c r="A1366" s="8" t="s">
        <v>1374</v>
      </c>
      <c r="B1366" s="8"/>
      <c r="C1366" s="8"/>
      <c r="D1366" s="8"/>
      <c r="E1366" s="8"/>
      <c r="F1366" s="8"/>
      <c r="G1366" s="8"/>
      <c r="H1366" s="8"/>
      <c r="I1366" s="8"/>
      <c r="J1366" s="8"/>
      <c r="K1366" s="8"/>
    </row>
    <row r="1367">
      <c r="A1367" s="8" t="s">
        <v>1375</v>
      </c>
      <c r="B1367" s="8"/>
      <c r="C1367" s="8"/>
      <c r="D1367" s="8"/>
      <c r="E1367" s="8"/>
      <c r="F1367" s="8"/>
      <c r="G1367" s="8"/>
      <c r="H1367" s="8"/>
      <c r="I1367" s="8"/>
      <c r="J1367" s="8"/>
      <c r="K1367" s="8"/>
    </row>
    <row r="1368">
      <c r="A1368" s="8" t="s">
        <v>1376</v>
      </c>
      <c r="B1368" s="8"/>
      <c r="C1368" s="8"/>
      <c r="D1368" s="8"/>
      <c r="E1368" s="8"/>
      <c r="F1368" s="8"/>
      <c r="G1368" s="8"/>
      <c r="H1368" s="8"/>
      <c r="I1368" s="8"/>
      <c r="J1368" s="8"/>
      <c r="K1368" s="8"/>
    </row>
    <row r="1369">
      <c r="A1369" s="8" t="s">
        <v>1377</v>
      </c>
      <c r="B1369" s="8"/>
      <c r="C1369" s="8"/>
      <c r="D1369" s="8"/>
      <c r="E1369" s="8"/>
      <c r="F1369" s="8"/>
      <c r="G1369" s="8"/>
      <c r="H1369" s="8"/>
      <c r="I1369" s="8"/>
      <c r="J1369" s="8"/>
      <c r="K1369" s="8"/>
    </row>
    <row r="1370">
      <c r="A1370" s="8" t="s">
        <v>1378</v>
      </c>
      <c r="B1370" s="8"/>
      <c r="C1370" s="8"/>
      <c r="D1370" s="8"/>
      <c r="E1370" s="8"/>
      <c r="F1370" s="8"/>
      <c r="G1370" s="8"/>
      <c r="H1370" s="8"/>
      <c r="I1370" s="8"/>
      <c r="J1370" s="8"/>
      <c r="K1370" s="8"/>
    </row>
    <row r="1371">
      <c r="A1371" s="8" t="s">
        <v>1379</v>
      </c>
      <c r="B1371" s="8"/>
      <c r="C1371" s="8"/>
      <c r="D1371" s="8"/>
      <c r="E1371" s="8"/>
      <c r="F1371" s="8"/>
      <c r="G1371" s="8"/>
      <c r="H1371" s="8"/>
      <c r="I1371" s="8"/>
      <c r="J1371" s="8"/>
      <c r="K1371" s="8"/>
    </row>
    <row r="1372">
      <c r="A1372" s="8" t="s">
        <v>1380</v>
      </c>
      <c r="B1372" s="8"/>
      <c r="C1372" s="8"/>
      <c r="D1372" s="8"/>
      <c r="E1372" s="8"/>
      <c r="F1372" s="8"/>
      <c r="G1372" s="8"/>
      <c r="H1372" s="8"/>
      <c r="I1372" s="8"/>
      <c r="J1372" s="8"/>
      <c r="K1372" s="8"/>
    </row>
    <row r="1373">
      <c r="A1373" s="8" t="s">
        <v>1381</v>
      </c>
      <c r="B1373" s="8"/>
      <c r="C1373" s="8"/>
      <c r="D1373" s="8"/>
      <c r="E1373" s="8"/>
      <c r="F1373" s="8"/>
      <c r="G1373" s="8"/>
      <c r="H1373" s="8"/>
      <c r="I1373" s="8"/>
      <c r="J1373" s="8"/>
      <c r="K1373" s="8"/>
    </row>
    <row r="1374">
      <c r="A1374" s="8" t="s">
        <v>1382</v>
      </c>
      <c r="B1374" s="8"/>
      <c r="C1374" s="8"/>
      <c r="D1374" s="8"/>
      <c r="E1374" s="8"/>
      <c r="F1374" s="8"/>
      <c r="G1374" s="8"/>
      <c r="H1374" s="8"/>
      <c r="I1374" s="8"/>
      <c r="J1374" s="8"/>
      <c r="K1374" s="8"/>
    </row>
    <row r="1375">
      <c r="A1375" s="8" t="s">
        <v>1383</v>
      </c>
      <c r="B1375" s="8"/>
      <c r="C1375" s="8"/>
      <c r="D1375" s="8"/>
      <c r="E1375" s="8"/>
      <c r="F1375" s="8"/>
      <c r="G1375" s="8"/>
      <c r="H1375" s="8"/>
      <c r="I1375" s="8"/>
      <c r="J1375" s="8"/>
      <c r="K1375" s="8"/>
    </row>
    <row r="1376">
      <c r="A1376" s="8" t="s">
        <v>1384</v>
      </c>
      <c r="B1376" s="8"/>
      <c r="C1376" s="8"/>
      <c r="D1376" s="8"/>
      <c r="E1376" s="8"/>
      <c r="F1376" s="8"/>
      <c r="G1376" s="8"/>
      <c r="H1376" s="8"/>
      <c r="I1376" s="8"/>
      <c r="J1376" s="8"/>
      <c r="K1376" s="8"/>
    </row>
    <row r="1377">
      <c r="A1377" s="8" t="s">
        <v>1385</v>
      </c>
      <c r="B1377" s="8"/>
      <c r="C1377" s="8"/>
      <c r="D1377" s="8"/>
      <c r="E1377" s="8"/>
      <c r="F1377" s="8"/>
      <c r="G1377" s="8"/>
      <c r="H1377" s="8"/>
      <c r="I1377" s="8"/>
      <c r="J1377" s="8"/>
      <c r="K1377" s="8"/>
    </row>
    <row r="1378">
      <c r="A1378" s="8" t="s">
        <v>1386</v>
      </c>
      <c r="B1378" s="8"/>
      <c r="C1378" s="8"/>
      <c r="D1378" s="8"/>
      <c r="E1378" s="8"/>
      <c r="F1378" s="8"/>
      <c r="G1378" s="8"/>
      <c r="H1378" s="8"/>
      <c r="I1378" s="8"/>
      <c r="J1378" s="8"/>
      <c r="K1378" s="8"/>
    </row>
    <row r="1379">
      <c r="A1379" s="8" t="s">
        <v>1387</v>
      </c>
      <c r="B1379" s="8"/>
      <c r="C1379" s="8"/>
      <c r="D1379" s="8"/>
      <c r="E1379" s="8"/>
      <c r="F1379" s="8"/>
      <c r="G1379" s="8"/>
      <c r="H1379" s="8"/>
      <c r="I1379" s="8"/>
      <c r="J1379" s="8"/>
      <c r="K1379" s="8"/>
    </row>
    <row r="1380">
      <c r="A1380" s="8" t="s">
        <v>1388</v>
      </c>
      <c r="B1380" s="8"/>
      <c r="C1380" s="8"/>
      <c r="D1380" s="8"/>
      <c r="E1380" s="8"/>
      <c r="F1380" s="8"/>
      <c r="G1380" s="8"/>
      <c r="H1380" s="8"/>
      <c r="I1380" s="8"/>
      <c r="J1380" s="8"/>
      <c r="K1380" s="8"/>
    </row>
    <row r="1381">
      <c r="A1381" s="8" t="s">
        <v>1389</v>
      </c>
      <c r="B1381" s="8"/>
      <c r="C1381" s="8"/>
      <c r="D1381" s="8"/>
      <c r="E1381" s="8"/>
      <c r="F1381" s="8"/>
      <c r="G1381" s="8"/>
      <c r="H1381" s="8"/>
      <c r="I1381" s="8"/>
      <c r="J1381" s="8"/>
      <c r="K1381" s="8"/>
    </row>
    <row r="1382">
      <c r="A1382" s="8" t="s">
        <v>1390</v>
      </c>
      <c r="B1382" s="8"/>
      <c r="C1382" s="8"/>
      <c r="D1382" s="8"/>
      <c r="E1382" s="8"/>
      <c r="F1382" s="8"/>
      <c r="G1382" s="8"/>
      <c r="H1382" s="8"/>
      <c r="I1382" s="8"/>
      <c r="J1382" s="8"/>
      <c r="K1382" s="8"/>
    </row>
    <row r="1383">
      <c r="A1383" s="8" t="s">
        <v>1391</v>
      </c>
      <c r="B1383" s="8"/>
      <c r="C1383" s="8"/>
      <c r="D1383" s="8"/>
      <c r="E1383" s="8"/>
      <c r="F1383" s="8"/>
      <c r="G1383" s="8"/>
      <c r="H1383" s="8"/>
      <c r="I1383" s="8"/>
      <c r="J1383" s="8"/>
      <c r="K1383" s="8"/>
    </row>
    <row r="1384">
      <c r="A1384" s="8" t="s">
        <v>1392</v>
      </c>
      <c r="B1384" s="8"/>
      <c r="C1384" s="8"/>
      <c r="D1384" s="8"/>
      <c r="E1384" s="8"/>
      <c r="F1384" s="8"/>
      <c r="G1384" s="8"/>
      <c r="H1384" s="8"/>
      <c r="I1384" s="8"/>
      <c r="J1384" s="8"/>
      <c r="K1384" s="8"/>
    </row>
    <row r="1385">
      <c r="A1385" s="8" t="s">
        <v>1393</v>
      </c>
      <c r="B1385" s="8"/>
      <c r="C1385" s="8"/>
      <c r="D1385" s="8"/>
      <c r="E1385" s="8"/>
      <c r="F1385" s="8"/>
      <c r="G1385" s="8"/>
      <c r="H1385" s="8"/>
      <c r="I1385" s="8"/>
      <c r="J1385" s="8"/>
      <c r="K1385" s="8"/>
    </row>
    <row r="1386">
      <c r="A1386" s="8" t="s">
        <v>1394</v>
      </c>
      <c r="B1386" s="8"/>
      <c r="C1386" s="8"/>
      <c r="D1386" s="8"/>
      <c r="E1386" s="8"/>
      <c r="F1386" s="8"/>
      <c r="G1386" s="8"/>
      <c r="H1386" s="8"/>
      <c r="I1386" s="8"/>
      <c r="J1386" s="8"/>
      <c r="K1386" s="8"/>
    </row>
    <row r="1387">
      <c r="A1387" s="8" t="s">
        <v>1395</v>
      </c>
      <c r="B1387" s="8"/>
      <c r="C1387" s="8"/>
      <c r="D1387" s="8"/>
      <c r="E1387" s="8"/>
      <c r="F1387" s="8"/>
      <c r="G1387" s="8"/>
      <c r="H1387" s="8"/>
      <c r="I1387" s="8"/>
      <c r="J1387" s="8"/>
      <c r="K1387" s="8"/>
    </row>
    <row r="1388">
      <c r="A1388" s="8" t="s">
        <v>1396</v>
      </c>
      <c r="B1388" s="8"/>
      <c r="C1388" s="8"/>
      <c r="D1388" s="8"/>
      <c r="E1388" s="8"/>
      <c r="F1388" s="8"/>
      <c r="G1388" s="8"/>
      <c r="H1388" s="8"/>
      <c r="I1388" s="8"/>
      <c r="J1388" s="8"/>
      <c r="K1388" s="8"/>
    </row>
    <row r="1389">
      <c r="A1389" s="8" t="s">
        <v>1397</v>
      </c>
      <c r="B1389" s="8"/>
      <c r="C1389" s="8"/>
      <c r="D1389" s="8"/>
      <c r="E1389" s="8"/>
      <c r="F1389" s="8"/>
      <c r="G1389" s="8"/>
      <c r="H1389" s="8"/>
      <c r="I1389" s="8"/>
      <c r="J1389" s="8"/>
      <c r="K1389" s="8"/>
    </row>
    <row r="1390">
      <c r="A1390" s="8" t="s">
        <v>1398</v>
      </c>
      <c r="B1390" s="8"/>
      <c r="C1390" s="8"/>
      <c r="D1390" s="8"/>
      <c r="E1390" s="8"/>
      <c r="F1390" s="8"/>
      <c r="G1390" s="8"/>
      <c r="H1390" s="8"/>
      <c r="I1390" s="8"/>
      <c r="J1390" s="8"/>
      <c r="K1390" s="8"/>
    </row>
    <row r="1391">
      <c r="A1391" s="8" t="s">
        <v>1399</v>
      </c>
      <c r="B1391" s="8"/>
      <c r="C1391" s="8"/>
      <c r="D1391" s="8"/>
      <c r="E1391" s="8"/>
      <c r="F1391" s="8"/>
      <c r="G1391" s="8"/>
      <c r="H1391" s="8"/>
      <c r="I1391" s="8"/>
      <c r="J1391" s="8"/>
      <c r="K1391" s="8"/>
    </row>
    <row r="1392">
      <c r="A1392" s="8" t="s">
        <v>1400</v>
      </c>
      <c r="B1392" s="8"/>
      <c r="C1392" s="8"/>
      <c r="D1392" s="8"/>
      <c r="E1392" s="8"/>
      <c r="F1392" s="8"/>
      <c r="G1392" s="8"/>
      <c r="H1392" s="8"/>
      <c r="I1392" s="8"/>
      <c r="J1392" s="8"/>
      <c r="K1392" s="8"/>
    </row>
    <row r="1393">
      <c r="A1393" s="8" t="s">
        <v>1401</v>
      </c>
      <c r="B1393" s="8"/>
      <c r="C1393" s="8"/>
      <c r="D1393" s="8"/>
      <c r="E1393" s="8"/>
      <c r="F1393" s="8"/>
      <c r="G1393" s="8"/>
      <c r="H1393" s="8"/>
      <c r="I1393" s="8"/>
      <c r="J1393" s="8"/>
      <c r="K1393" s="8"/>
    </row>
    <row r="1394">
      <c r="A1394" s="8" t="s">
        <v>1402</v>
      </c>
      <c r="B1394" s="8"/>
      <c r="C1394" s="8"/>
      <c r="D1394" s="8"/>
      <c r="E1394" s="8"/>
      <c r="F1394" s="8"/>
      <c r="G1394" s="8"/>
      <c r="H1394" s="8"/>
      <c r="I1394" s="8"/>
      <c r="J1394" s="8"/>
      <c r="K1394" s="8"/>
    </row>
    <row r="1395">
      <c r="A1395" s="8" t="s">
        <v>1403</v>
      </c>
      <c r="B1395" s="8"/>
      <c r="C1395" s="8"/>
      <c r="D1395" s="8"/>
      <c r="E1395" s="8"/>
      <c r="F1395" s="8"/>
      <c r="G1395" s="8"/>
      <c r="H1395" s="8"/>
      <c r="I1395" s="8"/>
      <c r="J1395" s="8"/>
      <c r="K1395" s="8"/>
    </row>
    <row r="1396">
      <c r="A1396" s="8" t="s">
        <v>1404</v>
      </c>
      <c r="B1396" s="8"/>
      <c r="C1396" s="8"/>
      <c r="D1396" s="8"/>
      <c r="E1396" s="8"/>
      <c r="F1396" s="8"/>
      <c r="G1396" s="8"/>
      <c r="H1396" s="8"/>
      <c r="I1396" s="8"/>
      <c r="J1396" s="8"/>
      <c r="K1396" s="8"/>
    </row>
    <row r="1397">
      <c r="A1397" s="8" t="s">
        <v>1405</v>
      </c>
      <c r="B1397" s="8"/>
      <c r="C1397" s="8"/>
      <c r="D1397" s="8"/>
      <c r="E1397" s="8"/>
      <c r="F1397" s="8"/>
      <c r="G1397" s="8"/>
      <c r="H1397" s="8"/>
      <c r="I1397" s="8"/>
      <c r="J1397" s="8"/>
      <c r="K1397" s="8"/>
    </row>
    <row r="1398">
      <c r="A1398" s="8" t="s">
        <v>1406</v>
      </c>
      <c r="B1398" s="8"/>
      <c r="C1398" s="8"/>
      <c r="D1398" s="8"/>
      <c r="E1398" s="8"/>
      <c r="F1398" s="8"/>
      <c r="G1398" s="8"/>
      <c r="H1398" s="8"/>
      <c r="I1398" s="8"/>
      <c r="J1398" s="8"/>
      <c r="K1398" s="8"/>
    </row>
    <row r="1399">
      <c r="A1399" s="8" t="s">
        <v>1407</v>
      </c>
      <c r="B1399" s="8"/>
      <c r="C1399" s="8"/>
      <c r="D1399" s="8"/>
      <c r="E1399" s="8"/>
      <c r="F1399" s="8"/>
      <c r="G1399" s="8"/>
      <c r="H1399" s="8"/>
      <c r="I1399" s="8"/>
      <c r="J1399" s="8"/>
      <c r="K1399" s="8"/>
    </row>
    <row r="1400">
      <c r="A1400" s="8" t="s">
        <v>1408</v>
      </c>
      <c r="B1400" s="8"/>
      <c r="C1400" s="8"/>
      <c r="D1400" s="8"/>
      <c r="E1400" s="8"/>
      <c r="F1400" s="8"/>
      <c r="G1400" s="8"/>
      <c r="H1400" s="8"/>
      <c r="I1400" s="8"/>
      <c r="J1400" s="8"/>
      <c r="K1400" s="8"/>
    </row>
    <row r="1401">
      <c r="A1401" s="8" t="s">
        <v>1409</v>
      </c>
      <c r="B1401" s="8"/>
      <c r="C1401" s="8"/>
      <c r="D1401" s="8"/>
      <c r="E1401" s="8"/>
      <c r="F1401" s="8"/>
      <c r="G1401" s="8"/>
      <c r="H1401" s="8"/>
      <c r="I1401" s="8"/>
      <c r="J1401" s="8"/>
      <c r="K1401" s="8"/>
    </row>
    <row r="1402">
      <c r="A1402" s="8" t="s">
        <v>1410</v>
      </c>
      <c r="B1402" s="8"/>
      <c r="C1402" s="8"/>
      <c r="D1402" s="8"/>
      <c r="E1402" s="8"/>
      <c r="F1402" s="8"/>
      <c r="G1402" s="8"/>
      <c r="H1402" s="8"/>
      <c r="I1402" s="8"/>
      <c r="J1402" s="8"/>
      <c r="K1402" s="8"/>
    </row>
    <row r="1403">
      <c r="A1403" s="8" t="s">
        <v>1411</v>
      </c>
      <c r="B1403" s="8"/>
      <c r="C1403" s="8"/>
      <c r="D1403" s="8"/>
      <c r="E1403" s="8"/>
      <c r="F1403" s="8"/>
      <c r="G1403" s="8"/>
      <c r="H1403" s="8"/>
      <c r="I1403" s="8"/>
      <c r="J1403" s="8"/>
      <c r="K1403" s="8"/>
    </row>
    <row r="1404">
      <c r="A1404" s="8" t="s">
        <v>1412</v>
      </c>
      <c r="B1404" s="8"/>
      <c r="C1404" s="8"/>
      <c r="D1404" s="8"/>
      <c r="E1404" s="8"/>
      <c r="F1404" s="8"/>
      <c r="G1404" s="8"/>
      <c r="H1404" s="8"/>
      <c r="I1404" s="8"/>
      <c r="J1404" s="8"/>
      <c r="K1404" s="8"/>
    </row>
    <row r="1405">
      <c r="A1405" s="8" t="s">
        <v>1413</v>
      </c>
      <c r="B1405" s="8"/>
      <c r="C1405" s="8"/>
      <c r="D1405" s="8"/>
      <c r="E1405" s="8"/>
      <c r="F1405" s="8"/>
      <c r="G1405" s="8"/>
      <c r="H1405" s="8"/>
      <c r="I1405" s="8"/>
      <c r="J1405" s="8"/>
      <c r="K1405" s="8"/>
    </row>
    <row r="1406">
      <c r="A1406" s="8" t="s">
        <v>1414</v>
      </c>
      <c r="B1406" s="8"/>
      <c r="C1406" s="8"/>
      <c r="D1406" s="8"/>
      <c r="E1406" s="8"/>
      <c r="F1406" s="8"/>
      <c r="G1406" s="8"/>
      <c r="H1406" s="8"/>
      <c r="I1406" s="8"/>
      <c r="J1406" s="8"/>
      <c r="K1406" s="8"/>
    </row>
    <row r="1407">
      <c r="A1407" s="8" t="s">
        <v>1415</v>
      </c>
      <c r="B1407" s="8"/>
      <c r="C1407" s="8"/>
      <c r="D1407" s="8"/>
      <c r="E1407" s="8"/>
      <c r="F1407" s="8"/>
      <c r="G1407" s="8"/>
      <c r="H1407" s="8"/>
      <c r="I1407" s="8"/>
      <c r="J1407" s="8"/>
      <c r="K1407" s="8"/>
    </row>
    <row r="1408">
      <c r="A1408" s="8" t="s">
        <v>1416</v>
      </c>
      <c r="B1408" s="8"/>
      <c r="C1408" s="8"/>
      <c r="D1408" s="8"/>
      <c r="E1408" s="8"/>
      <c r="F1408" s="8"/>
      <c r="G1408" s="8"/>
      <c r="H1408" s="8"/>
      <c r="I1408" s="8"/>
      <c r="J1408" s="8"/>
      <c r="K1408" s="8"/>
    </row>
    <row r="1409">
      <c r="A1409" s="8" t="s">
        <v>1417</v>
      </c>
      <c r="B1409" s="8"/>
      <c r="C1409" s="8"/>
      <c r="D1409" s="8"/>
      <c r="E1409" s="8"/>
      <c r="F1409" s="8"/>
      <c r="G1409" s="8"/>
      <c r="H1409" s="8"/>
      <c r="I1409" s="8"/>
      <c r="J1409" s="8"/>
      <c r="K1409" s="8"/>
    </row>
    <row r="1410">
      <c r="A1410" s="8" t="s">
        <v>1418</v>
      </c>
      <c r="B1410" s="8"/>
      <c r="C1410" s="8"/>
      <c r="D1410" s="8"/>
      <c r="E1410" s="8"/>
      <c r="F1410" s="8"/>
      <c r="G1410" s="8"/>
      <c r="H1410" s="8"/>
      <c r="I1410" s="8"/>
      <c r="J1410" s="8"/>
      <c r="K1410" s="8"/>
    </row>
    <row r="1411">
      <c r="A1411" s="8" t="s">
        <v>1419</v>
      </c>
      <c r="B1411" s="8"/>
      <c r="C1411" s="8"/>
      <c r="D1411" s="8"/>
      <c r="E1411" s="8"/>
      <c r="F1411" s="8"/>
      <c r="G1411" s="8"/>
      <c r="H1411" s="8"/>
      <c r="I1411" s="8"/>
      <c r="J1411" s="8"/>
      <c r="K1411" s="8"/>
    </row>
    <row r="1412">
      <c r="A1412" s="8" t="s">
        <v>1420</v>
      </c>
      <c r="B1412" s="8"/>
      <c r="C1412" s="8"/>
      <c r="D1412" s="8"/>
      <c r="E1412" s="8"/>
      <c r="F1412" s="8"/>
      <c r="G1412" s="8"/>
      <c r="H1412" s="8"/>
      <c r="I1412" s="8"/>
      <c r="J1412" s="8"/>
      <c r="K1412" s="8"/>
    </row>
    <row r="1413">
      <c r="A1413" s="8" t="s">
        <v>1421</v>
      </c>
      <c r="B1413" s="8"/>
      <c r="C1413" s="8"/>
      <c r="D1413" s="8"/>
      <c r="E1413" s="8"/>
      <c r="F1413" s="8"/>
      <c r="G1413" s="8"/>
      <c r="H1413" s="8"/>
      <c r="I1413" s="8"/>
      <c r="J1413" s="8"/>
      <c r="K1413" s="8"/>
    </row>
    <row r="1414">
      <c r="A1414" s="8" t="s">
        <v>1422</v>
      </c>
      <c r="B1414" s="8"/>
      <c r="C1414" s="8"/>
      <c r="D1414" s="8"/>
      <c r="E1414" s="8"/>
      <c r="F1414" s="8"/>
      <c r="G1414" s="8"/>
      <c r="H1414" s="8"/>
      <c r="I1414" s="8"/>
      <c r="J1414" s="8"/>
      <c r="K1414" s="8"/>
    </row>
    <row r="1415">
      <c r="A1415" s="8" t="s">
        <v>1423</v>
      </c>
      <c r="B1415" s="8"/>
      <c r="C1415" s="8"/>
      <c r="D1415" s="8"/>
      <c r="E1415" s="8"/>
      <c r="F1415" s="8"/>
      <c r="G1415" s="8"/>
      <c r="H1415" s="8"/>
      <c r="I1415" s="8"/>
      <c r="J1415" s="8"/>
      <c r="K1415" s="8"/>
    </row>
    <row r="1416">
      <c r="A1416" s="8" t="s">
        <v>1424</v>
      </c>
      <c r="B1416" s="8"/>
      <c r="C1416" s="8"/>
      <c r="D1416" s="8"/>
      <c r="E1416" s="8"/>
      <c r="F1416" s="8"/>
      <c r="G1416" s="8"/>
      <c r="H1416" s="8"/>
      <c r="I1416" s="8"/>
      <c r="J1416" s="8"/>
      <c r="K1416" s="8"/>
    </row>
    <row r="1417">
      <c r="A1417" s="8" t="s">
        <v>1425</v>
      </c>
      <c r="B1417" s="8"/>
      <c r="C1417" s="8"/>
      <c r="D1417" s="8"/>
      <c r="E1417" s="8"/>
      <c r="F1417" s="8"/>
      <c r="G1417" s="8"/>
      <c r="H1417" s="8"/>
      <c r="I1417" s="8"/>
      <c r="J1417" s="8"/>
      <c r="K1417" s="8"/>
    </row>
    <row r="1418">
      <c r="A1418" s="8" t="s">
        <v>1426</v>
      </c>
      <c r="B1418" s="8"/>
      <c r="C1418" s="8"/>
      <c r="D1418" s="8"/>
      <c r="E1418" s="8"/>
      <c r="F1418" s="8"/>
      <c r="G1418" s="8"/>
      <c r="H1418" s="8"/>
      <c r="I1418" s="8"/>
      <c r="J1418" s="8"/>
      <c r="K1418" s="8"/>
    </row>
    <row r="1419">
      <c r="A1419" s="8" t="s">
        <v>1427</v>
      </c>
      <c r="B1419" s="8"/>
      <c r="C1419" s="8"/>
      <c r="D1419" s="8"/>
      <c r="E1419" s="8"/>
      <c r="F1419" s="8"/>
      <c r="G1419" s="8"/>
      <c r="H1419" s="8"/>
      <c r="I1419" s="8"/>
      <c r="J1419" s="8"/>
      <c r="K1419" s="8"/>
    </row>
    <row r="1420">
      <c r="A1420" s="8" t="s">
        <v>1428</v>
      </c>
      <c r="B1420" s="8"/>
      <c r="C1420" s="8"/>
      <c r="D1420" s="8"/>
      <c r="E1420" s="8"/>
      <c r="F1420" s="8"/>
      <c r="G1420" s="8"/>
      <c r="H1420" s="8"/>
      <c r="I1420" s="8"/>
      <c r="J1420" s="8"/>
      <c r="K1420" s="8"/>
    </row>
    <row r="1421">
      <c r="A1421" s="8" t="s">
        <v>1429</v>
      </c>
      <c r="B1421" s="8"/>
      <c r="C1421" s="8"/>
      <c r="D1421" s="8"/>
      <c r="E1421" s="8"/>
      <c r="F1421" s="8"/>
      <c r="G1421" s="8"/>
      <c r="H1421" s="8"/>
      <c r="I1421" s="8"/>
      <c r="J1421" s="8"/>
      <c r="K1421" s="8"/>
    </row>
    <row r="1422">
      <c r="A1422" s="8" t="s">
        <v>1430</v>
      </c>
      <c r="B1422" s="8"/>
      <c r="C1422" s="8"/>
      <c r="D1422" s="8"/>
      <c r="E1422" s="8"/>
      <c r="F1422" s="8"/>
      <c r="G1422" s="8"/>
      <c r="H1422" s="8"/>
      <c r="I1422" s="8"/>
      <c r="J1422" s="8"/>
      <c r="K1422" s="8"/>
    </row>
    <row r="1423">
      <c r="A1423" s="8" t="s">
        <v>1431</v>
      </c>
      <c r="B1423" s="8"/>
      <c r="C1423" s="8"/>
      <c r="D1423" s="8"/>
      <c r="E1423" s="8"/>
      <c r="F1423" s="8"/>
      <c r="G1423" s="8"/>
      <c r="H1423" s="8"/>
      <c r="I1423" s="8"/>
      <c r="J1423" s="8"/>
      <c r="K1423" s="8"/>
    </row>
    <row r="1424">
      <c r="A1424" s="8" t="s">
        <v>1432</v>
      </c>
      <c r="B1424" s="8"/>
      <c r="C1424" s="8"/>
      <c r="D1424" s="8"/>
      <c r="E1424" s="8"/>
      <c r="F1424" s="8"/>
      <c r="G1424" s="8"/>
      <c r="H1424" s="8"/>
      <c r="I1424" s="8"/>
      <c r="J1424" s="8"/>
      <c r="K1424" s="8"/>
    </row>
    <row r="1425">
      <c r="A1425" s="8" t="s">
        <v>1433</v>
      </c>
      <c r="B1425" s="8"/>
      <c r="C1425" s="8"/>
      <c r="D1425" s="8"/>
      <c r="E1425" s="8"/>
      <c r="F1425" s="8"/>
      <c r="G1425" s="8"/>
      <c r="H1425" s="8"/>
      <c r="I1425" s="8"/>
      <c r="J1425" s="8"/>
      <c r="K1425" s="8"/>
    </row>
    <row r="1426">
      <c r="A1426" s="8" t="s">
        <v>1434</v>
      </c>
      <c r="B1426" s="8"/>
      <c r="C1426" s="8"/>
      <c r="D1426" s="8"/>
      <c r="E1426" s="8"/>
      <c r="F1426" s="8"/>
      <c r="G1426" s="8"/>
      <c r="H1426" s="8"/>
      <c r="I1426" s="8"/>
      <c r="J1426" s="8"/>
      <c r="K1426" s="8"/>
    </row>
    <row r="1427">
      <c r="A1427" s="8" t="s">
        <v>1435</v>
      </c>
      <c r="B1427" s="8"/>
      <c r="C1427" s="8"/>
      <c r="D1427" s="8"/>
      <c r="E1427" s="8"/>
      <c r="F1427" s="8"/>
      <c r="G1427" s="8"/>
      <c r="H1427" s="8"/>
      <c r="I1427" s="8"/>
      <c r="J1427" s="8"/>
      <c r="K1427" s="8"/>
    </row>
    <row r="1428">
      <c r="A1428" s="8" t="s">
        <v>1436</v>
      </c>
      <c r="B1428" s="8"/>
      <c r="C1428" s="8"/>
      <c r="D1428" s="8"/>
      <c r="E1428" s="8"/>
      <c r="F1428" s="8"/>
      <c r="G1428" s="8"/>
      <c r="H1428" s="8"/>
      <c r="I1428" s="8"/>
      <c r="J1428" s="8"/>
      <c r="K1428" s="8"/>
    </row>
    <row r="1429">
      <c r="A1429" s="8" t="s">
        <v>1437</v>
      </c>
      <c r="B1429" s="8"/>
      <c r="C1429" s="8"/>
      <c r="D1429" s="8"/>
      <c r="E1429" s="8"/>
      <c r="F1429" s="8"/>
      <c r="G1429" s="8"/>
      <c r="H1429" s="8"/>
      <c r="I1429" s="8"/>
      <c r="J1429" s="8"/>
      <c r="K1429" s="8"/>
    </row>
    <row r="1430">
      <c r="A1430" s="8" t="s">
        <v>1438</v>
      </c>
      <c r="B1430" s="8"/>
      <c r="C1430" s="8"/>
      <c r="D1430" s="8"/>
      <c r="E1430" s="8"/>
      <c r="F1430" s="8"/>
      <c r="G1430" s="8"/>
      <c r="H1430" s="8"/>
      <c r="I1430" s="8"/>
      <c r="J1430" s="8"/>
      <c r="K1430" s="8"/>
    </row>
    <row r="1431">
      <c r="A1431" s="8" t="s">
        <v>1439</v>
      </c>
      <c r="B1431" s="8"/>
      <c r="C1431" s="8"/>
      <c r="D1431" s="8"/>
      <c r="E1431" s="8"/>
      <c r="F1431" s="8"/>
      <c r="G1431" s="8"/>
      <c r="H1431" s="8"/>
      <c r="I1431" s="8"/>
      <c r="J1431" s="8"/>
      <c r="K1431" s="8"/>
    </row>
    <row r="1432">
      <c r="A1432" s="8" t="s">
        <v>1440</v>
      </c>
      <c r="B1432" s="8"/>
      <c r="C1432" s="8"/>
      <c r="D1432" s="8"/>
      <c r="E1432" s="8"/>
      <c r="F1432" s="8"/>
      <c r="G1432" s="8"/>
      <c r="H1432" s="8"/>
      <c r="I1432" s="8"/>
      <c r="J1432" s="8"/>
      <c r="K1432" s="8"/>
    </row>
    <row r="1433">
      <c r="A1433" s="8" t="s">
        <v>1441</v>
      </c>
      <c r="B1433" s="8"/>
      <c r="C1433" s="8"/>
      <c r="D1433" s="8"/>
      <c r="E1433" s="8"/>
      <c r="F1433" s="8"/>
      <c r="G1433" s="8"/>
      <c r="H1433" s="8"/>
      <c r="I1433" s="8"/>
      <c r="J1433" s="8"/>
      <c r="K1433" s="8"/>
    </row>
    <row r="1434">
      <c r="A1434" s="8" t="s">
        <v>1442</v>
      </c>
      <c r="B1434" s="8"/>
      <c r="C1434" s="8"/>
      <c r="D1434" s="8"/>
      <c r="E1434" s="8"/>
      <c r="F1434" s="8"/>
      <c r="G1434" s="8"/>
      <c r="H1434" s="8"/>
      <c r="I1434" s="8"/>
      <c r="J1434" s="8"/>
      <c r="K1434" s="8"/>
    </row>
    <row r="1435">
      <c r="A1435" s="8" t="s">
        <v>1443</v>
      </c>
      <c r="B1435" s="8"/>
      <c r="C1435" s="8"/>
      <c r="D1435" s="8"/>
      <c r="E1435" s="8"/>
      <c r="F1435" s="8"/>
      <c r="G1435" s="8"/>
      <c r="H1435" s="8"/>
      <c r="I1435" s="8"/>
      <c r="J1435" s="8"/>
      <c r="K1435" s="8"/>
    </row>
    <row r="1436">
      <c r="A1436" s="8" t="s">
        <v>1444</v>
      </c>
      <c r="B1436" s="8"/>
      <c r="C1436" s="8"/>
      <c r="D1436" s="8"/>
      <c r="E1436" s="8"/>
      <c r="F1436" s="8"/>
      <c r="G1436" s="8"/>
      <c r="H1436" s="8"/>
      <c r="I1436" s="8"/>
      <c r="J1436" s="8"/>
      <c r="K1436" s="8"/>
    </row>
    <row r="1437">
      <c r="A1437" s="8" t="s">
        <v>1445</v>
      </c>
      <c r="B1437" s="8"/>
      <c r="C1437" s="8"/>
      <c r="D1437" s="8"/>
      <c r="E1437" s="8"/>
      <c r="F1437" s="8"/>
      <c r="G1437" s="8"/>
      <c r="H1437" s="8"/>
      <c r="I1437" s="8"/>
      <c r="J1437" s="8"/>
      <c r="K1437" s="8"/>
    </row>
    <row r="1438">
      <c r="A1438" s="8" t="s">
        <v>1446</v>
      </c>
      <c r="B1438" s="8"/>
      <c r="C1438" s="8"/>
      <c r="D1438" s="8"/>
      <c r="E1438" s="8"/>
      <c r="F1438" s="8"/>
      <c r="G1438" s="8"/>
      <c r="H1438" s="8"/>
      <c r="I1438" s="8"/>
      <c r="J1438" s="8"/>
      <c r="K1438" s="8"/>
    </row>
    <row r="1439">
      <c r="A1439" s="8" t="s">
        <v>1447</v>
      </c>
      <c r="B1439" s="8"/>
      <c r="C1439" s="8"/>
      <c r="D1439" s="8"/>
      <c r="E1439" s="8"/>
      <c r="F1439" s="8"/>
      <c r="G1439" s="8"/>
      <c r="H1439" s="8"/>
      <c r="I1439" s="8"/>
      <c r="J1439" s="8"/>
      <c r="K1439" s="8"/>
    </row>
    <row r="1440">
      <c r="A1440" s="8" t="s">
        <v>1448</v>
      </c>
      <c r="B1440" s="8"/>
      <c r="C1440" s="8"/>
      <c r="D1440" s="8"/>
      <c r="E1440" s="8"/>
      <c r="F1440" s="8"/>
      <c r="G1440" s="8"/>
      <c r="H1440" s="8"/>
      <c r="I1440" s="8"/>
      <c r="J1440" s="8"/>
      <c r="K1440" s="8"/>
    </row>
    <row r="1441">
      <c r="A1441" s="8" t="s">
        <v>1449</v>
      </c>
      <c r="B1441" s="8"/>
      <c r="C1441" s="8"/>
      <c r="D1441" s="8"/>
      <c r="E1441" s="8"/>
      <c r="F1441" s="8"/>
      <c r="G1441" s="8"/>
      <c r="H1441" s="8"/>
      <c r="I1441" s="8"/>
      <c r="J1441" s="8"/>
      <c r="K1441" s="8"/>
    </row>
    <row r="1442">
      <c r="A1442" s="8" t="s">
        <v>1450</v>
      </c>
      <c r="B1442" s="8"/>
      <c r="C1442" s="8"/>
      <c r="D1442" s="8"/>
      <c r="E1442" s="8"/>
      <c r="F1442" s="8"/>
      <c r="G1442" s="8"/>
      <c r="H1442" s="8"/>
      <c r="I1442" s="8"/>
      <c r="J1442" s="8"/>
      <c r="K1442" s="8"/>
    </row>
    <row r="1443">
      <c r="A1443" s="8" t="s">
        <v>1451</v>
      </c>
      <c r="B1443" s="8"/>
      <c r="C1443" s="8"/>
      <c r="D1443" s="8"/>
      <c r="E1443" s="8"/>
      <c r="F1443" s="8"/>
      <c r="G1443" s="8"/>
      <c r="H1443" s="8"/>
      <c r="I1443" s="8"/>
      <c r="J1443" s="8"/>
      <c r="K1443" s="8"/>
    </row>
    <row r="1444">
      <c r="A1444" s="8" t="s">
        <v>1452</v>
      </c>
      <c r="B1444" s="8"/>
      <c r="C1444" s="8"/>
      <c r="D1444" s="8"/>
      <c r="E1444" s="8"/>
      <c r="F1444" s="8"/>
      <c r="G1444" s="8"/>
      <c r="H1444" s="8"/>
      <c r="I1444" s="8"/>
      <c r="J1444" s="8"/>
      <c r="K1444" s="8"/>
    </row>
    <row r="1445">
      <c r="A1445" s="8" t="s">
        <v>1453</v>
      </c>
      <c r="B1445" s="8"/>
      <c r="C1445" s="8"/>
      <c r="D1445" s="8"/>
      <c r="E1445" s="8"/>
      <c r="F1445" s="8"/>
      <c r="G1445" s="8"/>
      <c r="H1445" s="8"/>
      <c r="I1445" s="8"/>
      <c r="J1445" s="8"/>
      <c r="K1445" s="8"/>
    </row>
    <row r="1446">
      <c r="A1446" s="8" t="s">
        <v>1454</v>
      </c>
      <c r="B1446" s="8"/>
      <c r="C1446" s="8"/>
      <c r="D1446" s="8"/>
      <c r="E1446" s="8"/>
      <c r="F1446" s="8"/>
      <c r="G1446" s="8"/>
      <c r="H1446" s="8"/>
      <c r="I1446" s="8"/>
      <c r="J1446" s="8"/>
      <c r="K1446" s="8"/>
    </row>
    <row r="1447">
      <c r="A1447" s="8" t="s">
        <v>1455</v>
      </c>
      <c r="B1447" s="8"/>
      <c r="C1447" s="8"/>
      <c r="D1447" s="8"/>
      <c r="E1447" s="8"/>
      <c r="F1447" s="8"/>
      <c r="G1447" s="8"/>
      <c r="H1447" s="8"/>
      <c r="I1447" s="8"/>
      <c r="J1447" s="8"/>
      <c r="K1447" s="8"/>
    </row>
    <row r="1448">
      <c r="A1448" s="8" t="s">
        <v>1456</v>
      </c>
      <c r="B1448" s="8"/>
      <c r="C1448" s="8"/>
      <c r="D1448" s="8"/>
      <c r="E1448" s="8"/>
      <c r="F1448" s="8"/>
      <c r="G1448" s="8"/>
      <c r="H1448" s="8"/>
      <c r="I1448" s="8"/>
      <c r="J1448" s="8"/>
      <c r="K1448" s="8"/>
    </row>
    <row r="1449">
      <c r="A1449" s="8" t="s">
        <v>1457</v>
      </c>
      <c r="B1449" s="8"/>
      <c r="C1449" s="8"/>
      <c r="D1449" s="8"/>
      <c r="E1449" s="8"/>
      <c r="F1449" s="8"/>
      <c r="G1449" s="8"/>
      <c r="H1449" s="8"/>
      <c r="I1449" s="8"/>
      <c r="J1449" s="8"/>
      <c r="K1449" s="8"/>
    </row>
    <row r="1450">
      <c r="A1450" s="8" t="s">
        <v>1458</v>
      </c>
      <c r="B1450" s="8"/>
      <c r="C1450" s="8"/>
      <c r="D1450" s="8"/>
      <c r="E1450" s="8"/>
      <c r="F1450" s="8"/>
      <c r="G1450" s="8"/>
      <c r="H1450" s="8"/>
      <c r="I1450" s="8"/>
      <c r="J1450" s="8"/>
      <c r="K1450" s="8"/>
    </row>
    <row r="1451">
      <c r="A1451" s="8" t="s">
        <v>1459</v>
      </c>
      <c r="B1451" s="8"/>
      <c r="C1451" s="8"/>
      <c r="D1451" s="8"/>
      <c r="E1451" s="8"/>
      <c r="F1451" s="8"/>
      <c r="G1451" s="8"/>
      <c r="H1451" s="8"/>
      <c r="I1451" s="8"/>
      <c r="J1451" s="8"/>
      <c r="K1451" s="8"/>
    </row>
    <row r="1452">
      <c r="A1452" s="8" t="s">
        <v>1460</v>
      </c>
      <c r="B1452" s="8"/>
      <c r="C1452" s="8"/>
      <c r="D1452" s="8"/>
      <c r="E1452" s="8"/>
      <c r="F1452" s="8"/>
      <c r="G1452" s="8"/>
      <c r="H1452" s="8"/>
      <c r="I1452" s="8"/>
      <c r="J1452" s="8"/>
      <c r="K1452" s="8"/>
    </row>
    <row r="1453">
      <c r="A1453" s="8" t="s">
        <v>1461</v>
      </c>
      <c r="B1453" s="8"/>
      <c r="C1453" s="8"/>
      <c r="D1453" s="8"/>
      <c r="E1453" s="8"/>
      <c r="F1453" s="8"/>
      <c r="G1453" s="8"/>
      <c r="H1453" s="8"/>
      <c r="I1453" s="8"/>
      <c r="J1453" s="8"/>
      <c r="K1453" s="8"/>
    </row>
    <row r="1454">
      <c r="A1454" s="8" t="s">
        <v>1462</v>
      </c>
      <c r="B1454" s="8"/>
      <c r="C1454" s="8"/>
      <c r="D1454" s="8"/>
      <c r="E1454" s="8"/>
      <c r="F1454" s="8"/>
      <c r="G1454" s="8"/>
      <c r="H1454" s="8"/>
      <c r="I1454" s="8"/>
      <c r="J1454" s="8"/>
      <c r="K1454" s="8"/>
    </row>
    <row r="1455">
      <c r="A1455" s="8" t="s">
        <v>1463</v>
      </c>
      <c r="B1455" s="8"/>
      <c r="C1455" s="8"/>
      <c r="D1455" s="8"/>
      <c r="E1455" s="8"/>
      <c r="F1455" s="8"/>
      <c r="G1455" s="8"/>
      <c r="H1455" s="8"/>
      <c r="I1455" s="8"/>
      <c r="J1455" s="8"/>
      <c r="K1455" s="8"/>
    </row>
    <row r="1456">
      <c r="A1456" s="8" t="s">
        <v>1464</v>
      </c>
      <c r="B1456" s="8"/>
      <c r="C1456" s="8"/>
      <c r="D1456" s="8"/>
      <c r="E1456" s="8"/>
      <c r="F1456" s="8"/>
      <c r="G1456" s="8"/>
      <c r="H1456" s="8"/>
      <c r="I1456" s="8"/>
      <c r="J1456" s="8"/>
      <c r="K1456" s="8"/>
    </row>
    <row r="1457">
      <c r="A1457" s="8" t="s">
        <v>1465</v>
      </c>
      <c r="B1457" s="8"/>
      <c r="C1457" s="8"/>
      <c r="D1457" s="8"/>
      <c r="E1457" s="8"/>
      <c r="F1457" s="8"/>
      <c r="G1457" s="8"/>
      <c r="H1457" s="8"/>
      <c r="I1457" s="8"/>
      <c r="J1457" s="8"/>
      <c r="K1457" s="8"/>
    </row>
    <row r="1458">
      <c r="A1458" s="8" t="s">
        <v>1466</v>
      </c>
      <c r="B1458" s="8"/>
      <c r="C1458" s="8"/>
      <c r="D1458" s="8"/>
      <c r="E1458" s="8"/>
      <c r="F1458" s="8"/>
      <c r="G1458" s="8"/>
      <c r="H1458" s="8"/>
      <c r="I1458" s="8"/>
      <c r="J1458" s="8"/>
      <c r="K1458" s="8"/>
    </row>
    <row r="1459">
      <c r="A1459" s="8" t="s">
        <v>1467</v>
      </c>
      <c r="B1459" s="8"/>
      <c r="C1459" s="8"/>
      <c r="D1459" s="8"/>
      <c r="E1459" s="8"/>
      <c r="F1459" s="8"/>
      <c r="G1459" s="8"/>
      <c r="H1459" s="8"/>
      <c r="I1459" s="8"/>
      <c r="J1459" s="8"/>
      <c r="K1459" s="8"/>
    </row>
    <row r="1460">
      <c r="A1460" s="8" t="s">
        <v>1468</v>
      </c>
      <c r="B1460" s="8"/>
      <c r="C1460" s="8"/>
      <c r="D1460" s="8"/>
      <c r="E1460" s="8"/>
      <c r="F1460" s="8"/>
      <c r="G1460" s="8"/>
      <c r="H1460" s="8"/>
      <c r="I1460" s="8"/>
      <c r="J1460" s="8"/>
      <c r="K1460" s="8"/>
    </row>
    <row r="1461">
      <c r="A1461" s="8" t="s">
        <v>1469</v>
      </c>
      <c r="B1461" s="8"/>
      <c r="C1461" s="8"/>
      <c r="D1461" s="8"/>
      <c r="E1461" s="8"/>
      <c r="F1461" s="8"/>
      <c r="G1461" s="8"/>
      <c r="H1461" s="8"/>
      <c r="I1461" s="8"/>
      <c r="J1461" s="8"/>
      <c r="K1461" s="8"/>
    </row>
    <row r="1462">
      <c r="A1462" s="8" t="s">
        <v>1470</v>
      </c>
      <c r="B1462" s="8"/>
      <c r="C1462" s="8"/>
      <c r="D1462" s="8"/>
      <c r="E1462" s="8"/>
      <c r="F1462" s="8"/>
      <c r="G1462" s="8"/>
      <c r="H1462" s="8"/>
      <c r="I1462" s="8"/>
      <c r="J1462" s="8"/>
      <c r="K1462" s="8"/>
    </row>
    <row r="1463">
      <c r="A1463" s="8" t="s">
        <v>1471</v>
      </c>
      <c r="B1463" s="8"/>
      <c r="C1463" s="8"/>
      <c r="D1463" s="8"/>
      <c r="E1463" s="8"/>
      <c r="F1463" s="8"/>
      <c r="G1463" s="8"/>
      <c r="H1463" s="8"/>
      <c r="I1463" s="8"/>
      <c r="J1463" s="8"/>
      <c r="K1463" s="8"/>
    </row>
    <row r="1464">
      <c r="A1464" s="8" t="s">
        <v>1472</v>
      </c>
      <c r="B1464" s="8"/>
      <c r="C1464" s="8"/>
      <c r="D1464" s="8"/>
      <c r="E1464" s="8"/>
      <c r="F1464" s="8"/>
      <c r="G1464" s="8"/>
      <c r="H1464" s="8"/>
      <c r="I1464" s="8"/>
      <c r="J1464" s="8"/>
      <c r="K1464" s="8"/>
    </row>
    <row r="1465">
      <c r="A1465" s="8" t="s">
        <v>1473</v>
      </c>
      <c r="B1465" s="8"/>
      <c r="C1465" s="8"/>
      <c r="D1465" s="8"/>
      <c r="E1465" s="8"/>
      <c r="F1465" s="8"/>
      <c r="G1465" s="8"/>
      <c r="H1465" s="8"/>
      <c r="I1465" s="8"/>
      <c r="J1465" s="8"/>
      <c r="K1465" s="8"/>
    </row>
    <row r="1466">
      <c r="A1466" s="8" t="s">
        <v>1474</v>
      </c>
      <c r="B1466" s="8"/>
      <c r="C1466" s="8"/>
      <c r="D1466" s="8"/>
      <c r="E1466" s="8"/>
      <c r="F1466" s="8"/>
      <c r="G1466" s="8"/>
      <c r="H1466" s="8"/>
      <c r="I1466" s="8"/>
      <c r="J1466" s="8"/>
      <c r="K1466" s="8"/>
    </row>
    <row r="1467">
      <c r="A1467" s="8" t="s">
        <v>1475</v>
      </c>
      <c r="B1467" s="8"/>
      <c r="C1467" s="8"/>
      <c r="D1467" s="8"/>
      <c r="E1467" s="8"/>
      <c r="F1467" s="8"/>
      <c r="G1467" s="8"/>
      <c r="H1467" s="8"/>
      <c r="I1467" s="8"/>
      <c r="J1467" s="8"/>
      <c r="K1467" s="8"/>
    </row>
    <row r="1468">
      <c r="A1468" s="8" t="s">
        <v>1476</v>
      </c>
      <c r="B1468" s="8"/>
      <c r="C1468" s="8"/>
      <c r="D1468" s="8"/>
      <c r="E1468" s="8"/>
      <c r="F1468" s="8"/>
      <c r="G1468" s="8"/>
      <c r="H1468" s="8"/>
      <c r="I1468" s="8"/>
      <c r="J1468" s="8"/>
      <c r="K1468" s="8"/>
    </row>
    <row r="1469">
      <c r="A1469" s="8" t="s">
        <v>1477</v>
      </c>
      <c r="B1469" s="8"/>
      <c r="C1469" s="8"/>
      <c r="D1469" s="8"/>
      <c r="E1469" s="8"/>
      <c r="F1469" s="8"/>
      <c r="G1469" s="8"/>
      <c r="H1469" s="8"/>
      <c r="I1469" s="8"/>
      <c r="J1469" s="8"/>
      <c r="K1469" s="8"/>
    </row>
    <row r="1470">
      <c r="A1470" s="8" t="s">
        <v>1478</v>
      </c>
      <c r="B1470" s="8"/>
      <c r="C1470" s="8"/>
      <c r="D1470" s="8"/>
      <c r="E1470" s="8"/>
      <c r="F1470" s="8"/>
      <c r="G1470" s="8"/>
      <c r="H1470" s="8"/>
      <c r="I1470" s="8"/>
      <c r="J1470" s="8"/>
      <c r="K1470" s="8"/>
    </row>
    <row r="1471">
      <c r="A1471" s="8" t="s">
        <v>1479</v>
      </c>
      <c r="B1471" s="8"/>
      <c r="C1471" s="8"/>
      <c r="D1471" s="8"/>
      <c r="E1471" s="8"/>
      <c r="F1471" s="8"/>
      <c r="G1471" s="8"/>
      <c r="H1471" s="8"/>
      <c r="I1471" s="8"/>
      <c r="J1471" s="8"/>
      <c r="K1471" s="8"/>
    </row>
    <row r="1472">
      <c r="A1472" s="8" t="s">
        <v>1480</v>
      </c>
      <c r="B1472" s="8"/>
      <c r="C1472" s="8"/>
      <c r="D1472" s="8"/>
      <c r="E1472" s="8"/>
      <c r="F1472" s="8"/>
      <c r="G1472" s="8"/>
      <c r="H1472" s="8"/>
      <c r="I1472" s="8"/>
      <c r="J1472" s="8"/>
      <c r="K1472" s="8"/>
    </row>
    <row r="1473">
      <c r="A1473" s="8" t="s">
        <v>1481</v>
      </c>
      <c r="B1473" s="8"/>
      <c r="C1473" s="8"/>
      <c r="D1473" s="8"/>
      <c r="E1473" s="8"/>
      <c r="F1473" s="8"/>
      <c r="G1473" s="8"/>
      <c r="H1473" s="8"/>
      <c r="I1473" s="8"/>
      <c r="J1473" s="8"/>
      <c r="K1473" s="8"/>
    </row>
    <row r="1474">
      <c r="A1474" s="8" t="s">
        <v>1482</v>
      </c>
      <c r="B1474" s="8"/>
      <c r="C1474" s="8"/>
      <c r="D1474" s="8"/>
      <c r="E1474" s="8"/>
      <c r="F1474" s="8"/>
      <c r="G1474" s="8"/>
      <c r="H1474" s="8"/>
      <c r="I1474" s="8"/>
      <c r="J1474" s="8"/>
      <c r="K1474" s="8"/>
    </row>
    <row r="1475">
      <c r="A1475" s="8" t="s">
        <v>1483</v>
      </c>
      <c r="B1475" s="8"/>
      <c r="C1475" s="8"/>
      <c r="D1475" s="8"/>
      <c r="E1475" s="8"/>
      <c r="F1475" s="8"/>
      <c r="G1475" s="8"/>
      <c r="H1475" s="8"/>
      <c r="I1475" s="8"/>
      <c r="J1475" s="8"/>
      <c r="K1475" s="8"/>
    </row>
    <row r="1476">
      <c r="A1476" s="8" t="s">
        <v>1484</v>
      </c>
      <c r="B1476" s="8"/>
      <c r="C1476" s="8"/>
      <c r="D1476" s="8"/>
      <c r="E1476" s="8"/>
      <c r="F1476" s="8"/>
      <c r="G1476" s="8"/>
      <c r="H1476" s="8"/>
      <c r="I1476" s="8"/>
      <c r="J1476" s="8"/>
      <c r="K1476" s="8"/>
    </row>
    <row r="1477">
      <c r="A1477" s="8" t="s">
        <v>1485</v>
      </c>
      <c r="B1477" s="8"/>
      <c r="C1477" s="8"/>
      <c r="D1477" s="8"/>
      <c r="E1477" s="8"/>
      <c r="F1477" s="8"/>
      <c r="G1477" s="8"/>
      <c r="H1477" s="8"/>
      <c r="I1477" s="8"/>
      <c r="J1477" s="8"/>
      <c r="K1477" s="8"/>
    </row>
    <row r="1478">
      <c r="A1478" s="8" t="s">
        <v>1486</v>
      </c>
      <c r="B1478" s="8"/>
      <c r="C1478" s="8"/>
      <c r="D1478" s="8"/>
      <c r="E1478" s="8"/>
      <c r="F1478" s="8"/>
      <c r="G1478" s="8"/>
      <c r="H1478" s="8"/>
      <c r="I1478" s="8"/>
      <c r="J1478" s="8"/>
      <c r="K1478" s="8"/>
    </row>
    <row r="1479">
      <c r="A1479" s="8" t="s">
        <v>1487</v>
      </c>
      <c r="B1479" s="8"/>
      <c r="C1479" s="8"/>
      <c r="D1479" s="8"/>
      <c r="E1479" s="8"/>
      <c r="F1479" s="8"/>
      <c r="G1479" s="8"/>
      <c r="H1479" s="8"/>
      <c r="I1479" s="8"/>
      <c r="J1479" s="8"/>
      <c r="K1479" s="8"/>
    </row>
    <row r="1480">
      <c r="A1480" s="8" t="s">
        <v>1488</v>
      </c>
      <c r="B1480" s="8"/>
      <c r="C1480" s="8"/>
      <c r="D1480" s="8"/>
      <c r="E1480" s="8"/>
      <c r="F1480" s="8"/>
      <c r="G1480" s="8"/>
      <c r="H1480" s="8"/>
      <c r="I1480" s="8"/>
      <c r="J1480" s="8"/>
      <c r="K1480" s="8"/>
    </row>
    <row r="1481">
      <c r="A1481" s="8" t="s">
        <v>1489</v>
      </c>
      <c r="B1481" s="8"/>
      <c r="C1481" s="8"/>
      <c r="D1481" s="8"/>
      <c r="E1481" s="8"/>
      <c r="F1481" s="8"/>
      <c r="G1481" s="8"/>
      <c r="H1481" s="8"/>
      <c r="I1481" s="8"/>
      <c r="J1481" s="8"/>
      <c r="K1481" s="8"/>
    </row>
    <row r="1482">
      <c r="A1482" s="8" t="s">
        <v>1490</v>
      </c>
      <c r="B1482" s="8"/>
      <c r="C1482" s="8"/>
      <c r="D1482" s="8"/>
      <c r="E1482" s="8"/>
      <c r="F1482" s="8"/>
      <c r="G1482" s="8"/>
      <c r="H1482" s="8"/>
      <c r="I1482" s="8"/>
      <c r="J1482" s="8"/>
      <c r="K1482" s="8"/>
    </row>
    <row r="1483">
      <c r="A1483" s="8" t="s">
        <v>1491</v>
      </c>
      <c r="B1483" s="8"/>
      <c r="C1483" s="8"/>
      <c r="D1483" s="8"/>
      <c r="E1483" s="8"/>
      <c r="F1483" s="8"/>
      <c r="G1483" s="8"/>
      <c r="H1483" s="8"/>
      <c r="I1483" s="8"/>
      <c r="J1483" s="8"/>
      <c r="K1483" s="8"/>
    </row>
    <row r="1484">
      <c r="A1484" s="8" t="s">
        <v>1492</v>
      </c>
      <c r="B1484" s="8"/>
      <c r="C1484" s="8"/>
      <c r="D1484" s="8"/>
      <c r="E1484" s="8"/>
      <c r="F1484" s="8"/>
      <c r="G1484" s="8"/>
      <c r="H1484" s="8"/>
      <c r="I1484" s="8"/>
      <c r="J1484" s="8"/>
      <c r="K1484" s="8"/>
    </row>
    <row r="1485">
      <c r="A1485" s="8" t="s">
        <v>1493</v>
      </c>
      <c r="B1485" s="8"/>
      <c r="C1485" s="8"/>
      <c r="D1485" s="8"/>
      <c r="E1485" s="8"/>
      <c r="F1485" s="8"/>
      <c r="G1485" s="8"/>
      <c r="H1485" s="8"/>
      <c r="I1485" s="8"/>
      <c r="J1485" s="8"/>
      <c r="K1485" s="8"/>
    </row>
    <row r="1486">
      <c r="A1486" s="8" t="s">
        <v>1494</v>
      </c>
      <c r="B1486" s="8"/>
      <c r="C1486" s="8"/>
      <c r="D1486" s="8"/>
      <c r="E1486" s="8"/>
      <c r="F1486" s="8"/>
      <c r="G1486" s="8"/>
      <c r="H1486" s="8"/>
      <c r="I1486" s="8"/>
      <c r="J1486" s="8"/>
      <c r="K1486" s="8"/>
    </row>
    <row r="1487">
      <c r="A1487" s="8" t="s">
        <v>1495</v>
      </c>
      <c r="B1487" s="8"/>
      <c r="C1487" s="8"/>
      <c r="D1487" s="8"/>
      <c r="E1487" s="8"/>
      <c r="F1487" s="8"/>
      <c r="G1487" s="8"/>
      <c r="H1487" s="8"/>
      <c r="I1487" s="8"/>
      <c r="J1487" s="8"/>
      <c r="K1487" s="8"/>
    </row>
    <row r="1488">
      <c r="A1488" s="8" t="s">
        <v>1496</v>
      </c>
      <c r="B1488" s="8"/>
      <c r="C1488" s="8"/>
      <c r="D1488" s="8"/>
      <c r="E1488" s="8"/>
      <c r="F1488" s="8"/>
      <c r="G1488" s="8"/>
      <c r="H1488" s="8"/>
      <c r="I1488" s="8"/>
      <c r="J1488" s="8"/>
      <c r="K1488" s="8"/>
    </row>
    <row r="1489">
      <c r="A1489" s="8" t="s">
        <v>1497</v>
      </c>
      <c r="B1489" s="8"/>
      <c r="C1489" s="8"/>
      <c r="D1489" s="8"/>
      <c r="E1489" s="8"/>
      <c r="F1489" s="8"/>
      <c r="G1489" s="8"/>
      <c r="H1489" s="8"/>
      <c r="I1489" s="8"/>
      <c r="J1489" s="8"/>
      <c r="K1489" s="8"/>
    </row>
    <row r="1490">
      <c r="A1490" s="8" t="s">
        <v>1498</v>
      </c>
      <c r="B1490" s="8"/>
      <c r="C1490" s="8"/>
      <c r="D1490" s="8"/>
      <c r="E1490" s="8"/>
      <c r="F1490" s="8"/>
      <c r="G1490" s="8"/>
      <c r="H1490" s="8"/>
      <c r="I1490" s="8"/>
      <c r="J1490" s="8"/>
      <c r="K1490" s="8"/>
    </row>
    <row r="1491">
      <c r="A1491" s="8" t="s">
        <v>1499</v>
      </c>
      <c r="B1491" s="8"/>
      <c r="C1491" s="8"/>
      <c r="D1491" s="8"/>
      <c r="E1491" s="8"/>
      <c r="F1491" s="8"/>
      <c r="G1491" s="8"/>
      <c r="H1491" s="8"/>
      <c r="I1491" s="8"/>
      <c r="J1491" s="8"/>
      <c r="K1491" s="8"/>
    </row>
    <row r="1492">
      <c r="A1492" s="8" t="s">
        <v>1500</v>
      </c>
      <c r="B1492" s="8"/>
      <c r="C1492" s="8"/>
      <c r="D1492" s="8"/>
      <c r="E1492" s="8"/>
      <c r="F1492" s="8"/>
      <c r="G1492" s="8"/>
      <c r="H1492" s="8"/>
      <c r="I1492" s="8"/>
      <c r="J1492" s="8"/>
      <c r="K1492" s="8"/>
    </row>
    <row r="1493">
      <c r="A1493" s="8" t="s">
        <v>1501</v>
      </c>
      <c r="B1493" s="8"/>
      <c r="C1493" s="8"/>
      <c r="D1493" s="8"/>
      <c r="E1493" s="8"/>
      <c r="F1493" s="8"/>
      <c r="G1493" s="8"/>
      <c r="H1493" s="8"/>
      <c r="I1493" s="8"/>
      <c r="J1493" s="8"/>
      <c r="K1493" s="8"/>
    </row>
    <row r="1494">
      <c r="A1494" s="8" t="s">
        <v>1502</v>
      </c>
      <c r="B1494" s="8"/>
      <c r="C1494" s="8"/>
      <c r="D1494" s="8"/>
      <c r="E1494" s="8"/>
      <c r="F1494" s="8"/>
      <c r="G1494" s="8"/>
      <c r="H1494" s="8"/>
      <c r="I1494" s="8"/>
      <c r="J1494" s="8"/>
      <c r="K1494" s="8"/>
    </row>
    <row r="1495">
      <c r="A1495" s="8" t="s">
        <v>1503</v>
      </c>
      <c r="B1495" s="8"/>
      <c r="C1495" s="8"/>
      <c r="D1495" s="8"/>
      <c r="E1495" s="8"/>
      <c r="F1495" s="8"/>
      <c r="G1495" s="8"/>
      <c r="H1495" s="8"/>
      <c r="I1495" s="8"/>
      <c r="J1495" s="8"/>
      <c r="K1495" s="8"/>
    </row>
    <row r="1496">
      <c r="A1496" s="8" t="s">
        <v>1504</v>
      </c>
      <c r="B1496" s="8"/>
      <c r="C1496" s="8"/>
      <c r="D1496" s="8"/>
      <c r="E1496" s="8"/>
      <c r="F1496" s="8"/>
      <c r="G1496" s="8"/>
      <c r="H1496" s="8"/>
      <c r="I1496" s="8"/>
      <c r="J1496" s="8"/>
      <c r="K1496" s="8"/>
    </row>
    <row r="1497">
      <c r="A1497" s="8" t="s">
        <v>1505</v>
      </c>
      <c r="B1497" s="8"/>
      <c r="C1497" s="8"/>
      <c r="D1497" s="8"/>
      <c r="E1497" s="8"/>
      <c r="F1497" s="8"/>
      <c r="G1497" s="8"/>
      <c r="H1497" s="8"/>
      <c r="I1497" s="8"/>
      <c r="J1497" s="8"/>
      <c r="K1497" s="8"/>
    </row>
    <row r="1498">
      <c r="A1498" s="8" t="s">
        <v>1506</v>
      </c>
      <c r="B1498" s="8"/>
      <c r="C1498" s="8"/>
      <c r="D1498" s="8"/>
      <c r="E1498" s="8"/>
      <c r="F1498" s="8"/>
      <c r="G1498" s="8"/>
      <c r="H1498" s="8"/>
      <c r="I1498" s="8"/>
      <c r="J1498" s="8"/>
      <c r="K1498" s="8"/>
    </row>
    <row r="1499">
      <c r="A1499" s="8" t="s">
        <v>1507</v>
      </c>
      <c r="B1499" s="8"/>
      <c r="C1499" s="8"/>
      <c r="D1499" s="8"/>
      <c r="E1499" s="8"/>
      <c r="F1499" s="8"/>
      <c r="G1499" s="8"/>
      <c r="H1499" s="8"/>
      <c r="I1499" s="8"/>
      <c r="J1499" s="8"/>
      <c r="K1499" s="8"/>
    </row>
    <row r="1500">
      <c r="A1500" s="8" t="s">
        <v>1508</v>
      </c>
      <c r="B1500" s="8"/>
      <c r="C1500" s="8"/>
      <c r="D1500" s="8"/>
      <c r="E1500" s="8"/>
      <c r="F1500" s="8"/>
      <c r="G1500" s="8"/>
      <c r="H1500" s="8"/>
      <c r="I1500" s="8"/>
      <c r="J1500" s="8"/>
      <c r="K1500" s="8"/>
    </row>
    <row r="1501">
      <c r="A1501" s="8" t="s">
        <v>1509</v>
      </c>
      <c r="B1501" s="8"/>
      <c r="C1501" s="8"/>
      <c r="D1501" s="8"/>
      <c r="E1501" s="8"/>
      <c r="F1501" s="8"/>
      <c r="G1501" s="8"/>
      <c r="H1501" s="8"/>
      <c r="I1501" s="8"/>
      <c r="J1501" s="8"/>
      <c r="K1501" s="8"/>
    </row>
    <row r="1502">
      <c r="A1502" s="8" t="s">
        <v>1510</v>
      </c>
      <c r="B1502" s="8"/>
      <c r="C1502" s="8"/>
      <c r="D1502" s="8"/>
      <c r="E1502" s="8"/>
      <c r="F1502" s="8"/>
      <c r="G1502" s="8"/>
      <c r="H1502" s="8"/>
      <c r="I1502" s="8"/>
      <c r="J1502" s="8"/>
      <c r="K1502" s="8"/>
    </row>
    <row r="1503">
      <c r="A1503" s="8" t="s">
        <v>1511</v>
      </c>
      <c r="B1503" s="8"/>
      <c r="C1503" s="8"/>
      <c r="D1503" s="8"/>
      <c r="E1503" s="8"/>
      <c r="F1503" s="8"/>
      <c r="G1503" s="8"/>
      <c r="H1503" s="8"/>
      <c r="I1503" s="8"/>
      <c r="J1503" s="8"/>
      <c r="K1503" s="8"/>
    </row>
    <row r="1504">
      <c r="A1504" s="8" t="s">
        <v>1512</v>
      </c>
      <c r="B1504" s="8"/>
      <c r="C1504" s="8"/>
      <c r="D1504" s="8"/>
      <c r="E1504" s="8"/>
      <c r="F1504" s="8"/>
      <c r="G1504" s="8"/>
      <c r="H1504" s="8"/>
      <c r="I1504" s="8"/>
      <c r="J1504" s="8"/>
      <c r="K1504" s="8"/>
    </row>
    <row r="1505">
      <c r="A1505" s="8" t="s">
        <v>1513</v>
      </c>
      <c r="B1505" s="8"/>
      <c r="C1505" s="8"/>
      <c r="D1505" s="8"/>
      <c r="E1505" s="8"/>
      <c r="F1505" s="8"/>
      <c r="G1505" s="8"/>
      <c r="H1505" s="8"/>
      <c r="I1505" s="8"/>
      <c r="J1505" s="8"/>
      <c r="K1505" s="8"/>
    </row>
    <row r="1506">
      <c r="A1506" s="8" t="s">
        <v>1514</v>
      </c>
      <c r="B1506" s="8"/>
      <c r="C1506" s="8"/>
      <c r="D1506" s="8"/>
      <c r="E1506" s="8"/>
      <c r="F1506" s="8"/>
      <c r="G1506" s="8"/>
      <c r="H1506" s="8"/>
      <c r="I1506" s="8"/>
      <c r="J1506" s="8"/>
      <c r="K1506" s="8"/>
    </row>
    <row r="1507">
      <c r="A1507" s="8" t="s">
        <v>1515</v>
      </c>
      <c r="B1507" s="8"/>
      <c r="C1507" s="8"/>
      <c r="D1507" s="8"/>
      <c r="E1507" s="8"/>
      <c r="F1507" s="8"/>
      <c r="G1507" s="8"/>
      <c r="H1507" s="8"/>
      <c r="I1507" s="8"/>
      <c r="J1507" s="8"/>
      <c r="K1507" s="8"/>
    </row>
    <row r="1508">
      <c r="A1508" s="8" t="s">
        <v>1516</v>
      </c>
      <c r="B1508" s="8"/>
      <c r="C1508" s="8"/>
      <c r="D1508" s="8"/>
      <c r="E1508" s="8"/>
      <c r="F1508" s="8"/>
      <c r="G1508" s="8"/>
      <c r="H1508" s="8"/>
      <c r="I1508" s="8"/>
      <c r="J1508" s="8"/>
      <c r="K1508" s="8"/>
    </row>
    <row r="1509">
      <c r="A1509" s="8" t="s">
        <v>1517</v>
      </c>
      <c r="B1509" s="8"/>
      <c r="C1509" s="8"/>
      <c r="D1509" s="8"/>
      <c r="E1509" s="8"/>
      <c r="F1509" s="8"/>
      <c r="G1509" s="8"/>
      <c r="H1509" s="8"/>
      <c r="I1509" s="8"/>
      <c r="J1509" s="8"/>
      <c r="K1509" s="8"/>
    </row>
    <row r="1510">
      <c r="A1510" s="8" t="s">
        <v>1518</v>
      </c>
      <c r="B1510" s="8"/>
      <c r="C1510" s="8"/>
      <c r="D1510" s="8"/>
      <c r="E1510" s="8"/>
      <c r="F1510" s="8"/>
      <c r="G1510" s="8"/>
      <c r="H1510" s="8"/>
      <c r="I1510" s="8"/>
      <c r="J1510" s="8"/>
      <c r="K1510" s="8"/>
    </row>
    <row r="1511">
      <c r="A1511" s="8" t="s">
        <v>1519</v>
      </c>
      <c r="B1511" s="8"/>
      <c r="C1511" s="8"/>
      <c r="D1511" s="8"/>
      <c r="E1511" s="8"/>
      <c r="F1511" s="8"/>
      <c r="G1511" s="8"/>
      <c r="H1511" s="8"/>
      <c r="I1511" s="8"/>
      <c r="J1511" s="8"/>
      <c r="K1511" s="8"/>
    </row>
    <row r="1512">
      <c r="A1512" s="8" t="s">
        <v>1520</v>
      </c>
      <c r="B1512" s="8"/>
      <c r="C1512" s="8"/>
      <c r="D1512" s="8"/>
      <c r="E1512" s="8"/>
      <c r="F1512" s="8"/>
      <c r="G1512" s="8"/>
      <c r="H1512" s="8"/>
      <c r="I1512" s="8"/>
      <c r="J1512" s="8"/>
      <c r="K1512" s="8"/>
    </row>
    <row r="1513">
      <c r="A1513" s="8" t="s">
        <v>1521</v>
      </c>
      <c r="B1513" s="8"/>
      <c r="C1513" s="8"/>
      <c r="D1513" s="8"/>
      <c r="E1513" s="8"/>
      <c r="F1513" s="8"/>
      <c r="G1513" s="8"/>
      <c r="H1513" s="8"/>
      <c r="I1513" s="8"/>
      <c r="J1513" s="8"/>
      <c r="K1513" s="8"/>
    </row>
    <row r="1514">
      <c r="A1514" s="8" t="s">
        <v>1522</v>
      </c>
      <c r="B1514" s="8"/>
      <c r="C1514" s="8"/>
      <c r="D1514" s="8"/>
      <c r="E1514" s="8"/>
      <c r="F1514" s="8"/>
      <c r="G1514" s="8"/>
      <c r="H1514" s="8"/>
      <c r="I1514" s="8"/>
      <c r="J1514" s="8"/>
      <c r="K1514" s="8"/>
    </row>
    <row r="1515">
      <c r="A1515" s="8" t="s">
        <v>1523</v>
      </c>
      <c r="B1515" s="8"/>
      <c r="C1515" s="8"/>
      <c r="D1515" s="8"/>
      <c r="E1515" s="8"/>
      <c r="F1515" s="8"/>
      <c r="G1515" s="8"/>
      <c r="H1515" s="8"/>
      <c r="I1515" s="8"/>
      <c r="J1515" s="8"/>
      <c r="K1515" s="8"/>
    </row>
    <row r="1516">
      <c r="A1516" s="8" t="s">
        <v>1524</v>
      </c>
      <c r="B1516" s="8"/>
      <c r="C1516" s="8"/>
      <c r="D1516" s="8"/>
      <c r="E1516" s="8"/>
      <c r="F1516" s="8"/>
      <c r="G1516" s="8"/>
      <c r="H1516" s="8"/>
      <c r="I1516" s="8"/>
      <c r="J1516" s="8"/>
      <c r="K1516" s="8"/>
    </row>
    <row r="1517">
      <c r="A1517" s="8" t="s">
        <v>1525</v>
      </c>
      <c r="B1517" s="8"/>
      <c r="C1517" s="8"/>
      <c r="D1517" s="8"/>
      <c r="E1517" s="8"/>
      <c r="F1517" s="8"/>
      <c r="G1517" s="8"/>
      <c r="H1517" s="8"/>
      <c r="I1517" s="8"/>
      <c r="J1517" s="8"/>
      <c r="K1517" s="8"/>
    </row>
    <row r="1518">
      <c r="A1518" s="8" t="s">
        <v>1526</v>
      </c>
      <c r="B1518" s="8"/>
      <c r="C1518" s="8"/>
      <c r="D1518" s="8"/>
      <c r="E1518" s="8"/>
      <c r="F1518" s="8"/>
      <c r="G1518" s="8"/>
      <c r="H1518" s="8"/>
      <c r="I1518" s="8"/>
      <c r="J1518" s="8"/>
      <c r="K1518" s="8"/>
    </row>
    <row r="1519">
      <c r="A1519" s="8" t="s">
        <v>1527</v>
      </c>
      <c r="B1519" s="8"/>
      <c r="C1519" s="8"/>
      <c r="D1519" s="8"/>
      <c r="E1519" s="8"/>
      <c r="F1519" s="8"/>
      <c r="G1519" s="8"/>
      <c r="H1519" s="8"/>
      <c r="I1519" s="8"/>
      <c r="J1519" s="8"/>
      <c r="K1519" s="8"/>
    </row>
    <row r="1520">
      <c r="A1520" s="8" t="s">
        <v>1528</v>
      </c>
      <c r="B1520" s="8"/>
      <c r="C1520" s="8"/>
      <c r="D1520" s="8"/>
      <c r="E1520" s="8"/>
      <c r="F1520" s="8"/>
      <c r="G1520" s="8"/>
      <c r="H1520" s="8"/>
      <c r="I1520" s="8"/>
      <c r="J1520" s="8"/>
      <c r="K1520" s="8"/>
    </row>
    <row r="1521">
      <c r="A1521" s="8" t="s">
        <v>1529</v>
      </c>
      <c r="B1521" s="8"/>
      <c r="C1521" s="8"/>
      <c r="D1521" s="8"/>
      <c r="E1521" s="8"/>
      <c r="F1521" s="8"/>
      <c r="G1521" s="8"/>
      <c r="H1521" s="8"/>
      <c r="I1521" s="8"/>
      <c r="J1521" s="8"/>
      <c r="K1521" s="8"/>
    </row>
    <row r="1522">
      <c r="A1522" s="8" t="s">
        <v>1530</v>
      </c>
      <c r="B1522" s="8"/>
      <c r="C1522" s="8"/>
      <c r="D1522" s="8"/>
      <c r="E1522" s="8"/>
      <c r="F1522" s="8"/>
      <c r="G1522" s="8"/>
      <c r="H1522" s="8"/>
      <c r="I1522" s="8"/>
      <c r="J1522" s="8"/>
      <c r="K1522" s="8"/>
    </row>
    <row r="1523">
      <c r="A1523" s="8" t="s">
        <v>1531</v>
      </c>
      <c r="B1523" s="8"/>
      <c r="C1523" s="8"/>
      <c r="D1523" s="8"/>
      <c r="E1523" s="8"/>
      <c r="F1523" s="8"/>
      <c r="G1523" s="8"/>
      <c r="H1523" s="8"/>
      <c r="I1523" s="8"/>
      <c r="J1523" s="8"/>
      <c r="K1523" s="8"/>
    </row>
    <row r="1524">
      <c r="A1524" s="8" t="s">
        <v>1532</v>
      </c>
      <c r="B1524" s="8"/>
      <c r="C1524" s="8"/>
      <c r="D1524" s="8"/>
      <c r="E1524" s="8"/>
      <c r="F1524" s="8"/>
      <c r="G1524" s="8"/>
      <c r="H1524" s="8"/>
      <c r="I1524" s="8"/>
      <c r="J1524" s="8"/>
      <c r="K1524" s="8"/>
    </row>
    <row r="1525">
      <c r="A1525" s="8" t="s">
        <v>1533</v>
      </c>
      <c r="B1525" s="8"/>
      <c r="C1525" s="8"/>
      <c r="D1525" s="8"/>
      <c r="E1525" s="8"/>
      <c r="F1525" s="8"/>
      <c r="G1525" s="8"/>
      <c r="H1525" s="8"/>
      <c r="I1525" s="8"/>
      <c r="J1525" s="8"/>
      <c r="K1525" s="8"/>
    </row>
    <row r="1526">
      <c r="A1526" s="8" t="s">
        <v>1534</v>
      </c>
      <c r="B1526" s="8"/>
      <c r="C1526" s="8"/>
      <c r="D1526" s="8"/>
      <c r="E1526" s="8"/>
      <c r="F1526" s="8"/>
      <c r="G1526" s="8"/>
      <c r="H1526" s="8"/>
      <c r="I1526" s="8"/>
      <c r="J1526" s="8"/>
      <c r="K1526" s="8"/>
    </row>
    <row r="1527">
      <c r="A1527" s="8" t="s">
        <v>1535</v>
      </c>
      <c r="B1527" s="8"/>
      <c r="C1527" s="8"/>
      <c r="D1527" s="8"/>
      <c r="E1527" s="8"/>
      <c r="F1527" s="8"/>
      <c r="G1527" s="8"/>
      <c r="H1527" s="8"/>
      <c r="I1527" s="8"/>
      <c r="J1527" s="8"/>
      <c r="K1527" s="8"/>
    </row>
    <row r="1528">
      <c r="A1528" s="8" t="s">
        <v>1536</v>
      </c>
      <c r="B1528" s="8"/>
      <c r="C1528" s="8"/>
      <c r="D1528" s="8"/>
      <c r="E1528" s="8"/>
      <c r="F1528" s="8"/>
      <c r="G1528" s="8"/>
      <c r="H1528" s="8"/>
      <c r="I1528" s="8"/>
      <c r="J1528" s="8"/>
      <c r="K1528" s="8"/>
    </row>
    <row r="1529">
      <c r="A1529" s="8" t="s">
        <v>1537</v>
      </c>
      <c r="B1529" s="8"/>
      <c r="C1529" s="8"/>
      <c r="D1529" s="8"/>
      <c r="E1529" s="8"/>
      <c r="F1529" s="8"/>
      <c r="G1529" s="8"/>
      <c r="H1529" s="8"/>
      <c r="I1529" s="8"/>
      <c r="J1529" s="8"/>
      <c r="K1529" s="8"/>
    </row>
    <row r="1530">
      <c r="A1530" s="8" t="s">
        <v>1538</v>
      </c>
      <c r="B1530" s="8"/>
      <c r="C1530" s="8"/>
      <c r="D1530" s="8"/>
      <c r="E1530" s="8"/>
      <c r="F1530" s="8"/>
      <c r="G1530" s="8"/>
      <c r="H1530" s="8"/>
      <c r="I1530" s="8"/>
      <c r="J1530" s="8"/>
      <c r="K1530" s="8"/>
    </row>
    <row r="1531">
      <c r="A1531" s="8" t="s">
        <v>1539</v>
      </c>
      <c r="B1531" s="8"/>
      <c r="C1531" s="8"/>
      <c r="D1531" s="8"/>
      <c r="E1531" s="8"/>
      <c r="F1531" s="8"/>
      <c r="G1531" s="8"/>
      <c r="H1531" s="8"/>
      <c r="I1531" s="8"/>
      <c r="J1531" s="8"/>
      <c r="K1531" s="8"/>
    </row>
    <row r="1532">
      <c r="A1532" s="8" t="s">
        <v>1540</v>
      </c>
      <c r="B1532" s="8"/>
      <c r="C1532" s="8"/>
      <c r="D1532" s="8"/>
      <c r="E1532" s="8"/>
      <c r="F1532" s="8"/>
      <c r="G1532" s="8"/>
      <c r="H1532" s="8"/>
      <c r="I1532" s="8"/>
      <c r="J1532" s="8"/>
      <c r="K1532" s="8"/>
    </row>
    <row r="1533">
      <c r="A1533" s="8" t="s">
        <v>1541</v>
      </c>
      <c r="B1533" s="8"/>
      <c r="C1533" s="8"/>
      <c r="D1533" s="8"/>
      <c r="E1533" s="8"/>
      <c r="F1533" s="8"/>
      <c r="G1533" s="8"/>
      <c r="H1533" s="8"/>
      <c r="I1533" s="8"/>
      <c r="J1533" s="8"/>
      <c r="K1533" s="8"/>
    </row>
    <row r="1534">
      <c r="A1534" s="8" t="s">
        <v>1542</v>
      </c>
      <c r="B1534" s="8"/>
      <c r="C1534" s="8"/>
      <c r="D1534" s="8"/>
      <c r="E1534" s="8"/>
      <c r="F1534" s="8"/>
      <c r="G1534" s="8"/>
      <c r="H1534" s="8"/>
      <c r="I1534" s="8"/>
      <c r="J1534" s="8"/>
      <c r="K1534" s="8"/>
    </row>
    <row r="1535">
      <c r="A1535" s="8" t="s">
        <v>1543</v>
      </c>
      <c r="B1535" s="8"/>
      <c r="C1535" s="8"/>
      <c r="D1535" s="8"/>
      <c r="E1535" s="8"/>
      <c r="F1535" s="8"/>
      <c r="G1535" s="8"/>
      <c r="H1535" s="8"/>
      <c r="I1535" s="8"/>
      <c r="J1535" s="8"/>
      <c r="K1535" s="8"/>
    </row>
    <row r="1536">
      <c r="A1536" s="8" t="s">
        <v>1544</v>
      </c>
      <c r="B1536" s="8"/>
      <c r="C1536" s="8"/>
      <c r="D1536" s="8"/>
      <c r="E1536" s="8"/>
      <c r="F1536" s="8"/>
      <c r="G1536" s="8"/>
      <c r="H1536" s="8"/>
      <c r="I1536" s="8"/>
      <c r="J1536" s="8"/>
      <c r="K1536" s="8"/>
    </row>
    <row r="1537">
      <c r="A1537" s="8" t="s">
        <v>1545</v>
      </c>
      <c r="B1537" s="8"/>
      <c r="C1537" s="8"/>
      <c r="D1537" s="8"/>
      <c r="E1537" s="8"/>
      <c r="F1537" s="8"/>
      <c r="G1537" s="8"/>
      <c r="H1537" s="8"/>
      <c r="I1537" s="8"/>
      <c r="J1537" s="8"/>
      <c r="K1537" s="8"/>
    </row>
    <row r="1538">
      <c r="A1538" s="8" t="s">
        <v>1546</v>
      </c>
      <c r="B1538" s="8"/>
      <c r="C1538" s="8"/>
      <c r="D1538" s="8"/>
      <c r="E1538" s="8"/>
      <c r="F1538" s="8"/>
      <c r="G1538" s="8"/>
      <c r="H1538" s="8"/>
      <c r="I1538" s="8"/>
      <c r="J1538" s="8"/>
      <c r="K1538" s="8"/>
    </row>
    <row r="1539">
      <c r="A1539" s="8" t="s">
        <v>1547</v>
      </c>
      <c r="B1539" s="8"/>
      <c r="C1539" s="8"/>
      <c r="D1539" s="8"/>
      <c r="E1539" s="8"/>
      <c r="F1539" s="8"/>
      <c r="G1539" s="8"/>
      <c r="H1539" s="8"/>
      <c r="I1539" s="8"/>
      <c r="J1539" s="8"/>
      <c r="K1539" s="8"/>
    </row>
    <row r="1540">
      <c r="A1540" s="8" t="s">
        <v>1548</v>
      </c>
      <c r="B1540" s="8"/>
      <c r="C1540" s="8"/>
      <c r="D1540" s="8"/>
      <c r="E1540" s="8"/>
      <c r="F1540" s="8"/>
      <c r="G1540" s="8"/>
      <c r="H1540" s="8"/>
      <c r="I1540" s="8"/>
      <c r="J1540" s="8"/>
      <c r="K1540" s="8"/>
    </row>
    <row r="1541">
      <c r="A1541" s="8" t="s">
        <v>1549</v>
      </c>
      <c r="B1541" s="8"/>
      <c r="C1541" s="8"/>
      <c r="D1541" s="8"/>
      <c r="E1541" s="8"/>
      <c r="F1541" s="8"/>
      <c r="G1541" s="8"/>
      <c r="H1541" s="8"/>
      <c r="I1541" s="8"/>
      <c r="J1541" s="8"/>
      <c r="K1541" s="8"/>
    </row>
    <row r="1542">
      <c r="A1542" s="8" t="s">
        <v>1550</v>
      </c>
      <c r="B1542" s="8"/>
      <c r="C1542" s="8"/>
      <c r="D1542" s="8"/>
      <c r="E1542" s="8"/>
      <c r="F1542" s="8"/>
      <c r="G1542" s="8"/>
      <c r="H1542" s="8"/>
      <c r="I1542" s="8"/>
      <c r="J1542" s="8"/>
      <c r="K1542" s="8"/>
    </row>
    <row r="1543">
      <c r="A1543" s="8" t="s">
        <v>1551</v>
      </c>
      <c r="B1543" s="8"/>
      <c r="C1543" s="8"/>
      <c r="D1543" s="8"/>
      <c r="E1543" s="8"/>
      <c r="F1543" s="8"/>
      <c r="G1543" s="8"/>
      <c r="H1543" s="8"/>
      <c r="I1543" s="8"/>
      <c r="J1543" s="8"/>
      <c r="K1543" s="8"/>
    </row>
    <row r="1544">
      <c r="A1544" s="8" t="s">
        <v>1552</v>
      </c>
      <c r="B1544" s="8"/>
      <c r="C1544" s="8"/>
      <c r="D1544" s="8"/>
      <c r="E1544" s="8"/>
      <c r="F1544" s="8"/>
      <c r="G1544" s="8"/>
      <c r="H1544" s="8"/>
      <c r="I1544" s="8"/>
      <c r="J1544" s="8"/>
      <c r="K1544" s="8"/>
    </row>
    <row r="1545">
      <c r="A1545" s="8" t="s">
        <v>1553</v>
      </c>
      <c r="B1545" s="8"/>
      <c r="C1545" s="8"/>
      <c r="D1545" s="8"/>
      <c r="E1545" s="8"/>
      <c r="F1545" s="8"/>
      <c r="G1545" s="8"/>
      <c r="H1545" s="8"/>
      <c r="I1545" s="8"/>
      <c r="J1545" s="8"/>
      <c r="K1545" s="8"/>
    </row>
    <row r="1546">
      <c r="A1546" s="8" t="s">
        <v>1554</v>
      </c>
      <c r="B1546" s="8"/>
      <c r="C1546" s="8"/>
      <c r="D1546" s="8"/>
      <c r="E1546" s="8"/>
      <c r="F1546" s="8"/>
      <c r="G1546" s="8"/>
      <c r="H1546" s="8"/>
      <c r="I1546" s="8"/>
      <c r="J1546" s="8"/>
      <c r="K1546" s="8"/>
    </row>
    <row r="1547">
      <c r="A1547" s="8" t="s">
        <v>1555</v>
      </c>
      <c r="B1547" s="8"/>
      <c r="C1547" s="8"/>
      <c r="D1547" s="8"/>
      <c r="E1547" s="8"/>
      <c r="F1547" s="8"/>
      <c r="G1547" s="8"/>
      <c r="H1547" s="8"/>
      <c r="I1547" s="8"/>
      <c r="J1547" s="8"/>
      <c r="K1547" s="8"/>
    </row>
    <row r="1548">
      <c r="A1548" s="8" t="s">
        <v>1556</v>
      </c>
      <c r="B1548" s="8"/>
      <c r="C1548" s="8"/>
      <c r="D1548" s="8"/>
      <c r="E1548" s="8"/>
      <c r="F1548" s="8"/>
      <c r="G1548" s="8"/>
      <c r="H1548" s="8"/>
      <c r="I1548" s="8"/>
      <c r="J1548" s="8"/>
      <c r="K1548" s="8"/>
    </row>
    <row r="1549">
      <c r="A1549" s="8" t="s">
        <v>1557</v>
      </c>
      <c r="B1549" s="8"/>
      <c r="C1549" s="8"/>
      <c r="D1549" s="8"/>
      <c r="E1549" s="8"/>
      <c r="F1549" s="8"/>
      <c r="G1549" s="8"/>
      <c r="H1549" s="8"/>
      <c r="I1549" s="8"/>
      <c r="J1549" s="8"/>
      <c r="K1549" s="8"/>
    </row>
    <row r="1550">
      <c r="A1550" s="8" t="s">
        <v>1558</v>
      </c>
      <c r="B1550" s="8"/>
      <c r="C1550" s="8"/>
      <c r="D1550" s="8"/>
      <c r="E1550" s="8"/>
      <c r="F1550" s="8"/>
      <c r="G1550" s="8"/>
      <c r="H1550" s="8"/>
      <c r="I1550" s="8"/>
      <c r="J1550" s="8"/>
      <c r="K1550" s="8"/>
    </row>
    <row r="1551">
      <c r="A1551" s="8" t="s">
        <v>1559</v>
      </c>
      <c r="B1551" s="8"/>
      <c r="C1551" s="8"/>
      <c r="D1551" s="8"/>
      <c r="E1551" s="8"/>
      <c r="F1551" s="8"/>
      <c r="G1551" s="8"/>
      <c r="H1551" s="8"/>
      <c r="I1551" s="8"/>
      <c r="J1551" s="8"/>
      <c r="K1551" s="8"/>
    </row>
    <row r="1552">
      <c r="A1552" s="8" t="s">
        <v>1560</v>
      </c>
      <c r="B1552" s="8"/>
      <c r="C1552" s="8"/>
      <c r="D1552" s="8"/>
      <c r="E1552" s="8"/>
      <c r="F1552" s="8"/>
      <c r="G1552" s="8"/>
      <c r="H1552" s="8"/>
      <c r="I1552" s="8"/>
      <c r="J1552" s="8"/>
      <c r="K1552" s="8"/>
    </row>
    <row r="1553">
      <c r="A1553" s="8" t="s">
        <v>1561</v>
      </c>
      <c r="B1553" s="8"/>
      <c r="C1553" s="8"/>
      <c r="D1553" s="8"/>
      <c r="E1553" s="8"/>
      <c r="F1553" s="8"/>
      <c r="G1553" s="8"/>
      <c r="H1553" s="8"/>
      <c r="I1553" s="8"/>
      <c r="J1553" s="8"/>
      <c r="K1553" s="8"/>
    </row>
    <row r="1554">
      <c r="A1554" s="8" t="s">
        <v>1562</v>
      </c>
      <c r="B1554" s="8"/>
      <c r="C1554" s="8"/>
      <c r="D1554" s="8"/>
      <c r="E1554" s="8"/>
      <c r="F1554" s="8"/>
      <c r="G1554" s="8"/>
      <c r="H1554" s="8"/>
      <c r="I1554" s="8"/>
      <c r="J1554" s="8"/>
      <c r="K1554" s="8"/>
    </row>
    <row r="1555">
      <c r="A1555" s="8" t="s">
        <v>1563</v>
      </c>
      <c r="B1555" s="8"/>
      <c r="C1555" s="8"/>
      <c r="D1555" s="8"/>
      <c r="E1555" s="8"/>
      <c r="F1555" s="8"/>
      <c r="G1555" s="8"/>
      <c r="H1555" s="8"/>
      <c r="I1555" s="8"/>
      <c r="J1555" s="8"/>
      <c r="K1555" s="8"/>
    </row>
    <row r="1556">
      <c r="A1556" s="8" t="s">
        <v>1564</v>
      </c>
      <c r="B1556" s="8"/>
      <c r="C1556" s="8"/>
      <c r="D1556" s="8"/>
      <c r="E1556" s="8"/>
      <c r="F1556" s="8"/>
      <c r="G1556" s="8"/>
      <c r="H1556" s="8"/>
      <c r="I1556" s="8"/>
      <c r="J1556" s="8"/>
      <c r="K1556" s="8"/>
    </row>
    <row r="1557">
      <c r="A1557" s="8" t="s">
        <v>1565</v>
      </c>
      <c r="B1557" s="8"/>
      <c r="C1557" s="8"/>
      <c r="D1557" s="8"/>
      <c r="E1557" s="8"/>
      <c r="F1557" s="8"/>
      <c r="G1557" s="8"/>
      <c r="H1557" s="8"/>
      <c r="I1557" s="8"/>
      <c r="J1557" s="8"/>
      <c r="K1557" s="8"/>
    </row>
    <row r="1558">
      <c r="A1558" s="8" t="s">
        <v>1566</v>
      </c>
      <c r="B1558" s="8"/>
      <c r="C1558" s="8"/>
      <c r="D1558" s="8"/>
      <c r="E1558" s="8"/>
      <c r="F1558" s="8"/>
      <c r="G1558" s="8"/>
      <c r="H1558" s="8"/>
      <c r="I1558" s="8"/>
      <c r="J1558" s="8"/>
      <c r="K1558" s="8"/>
    </row>
    <row r="1559">
      <c r="A1559" s="8" t="s">
        <v>1567</v>
      </c>
      <c r="B1559" s="8"/>
      <c r="C1559" s="8"/>
      <c r="D1559" s="8"/>
      <c r="E1559" s="8"/>
      <c r="F1559" s="8"/>
      <c r="G1559" s="8"/>
      <c r="H1559" s="8"/>
      <c r="I1559" s="8"/>
      <c r="J1559" s="8"/>
      <c r="K1559" s="8"/>
    </row>
    <row r="1560">
      <c r="A1560" s="8" t="s">
        <v>1568</v>
      </c>
      <c r="B1560" s="8"/>
      <c r="C1560" s="8"/>
      <c r="D1560" s="8"/>
      <c r="E1560" s="8"/>
      <c r="F1560" s="8"/>
      <c r="G1560" s="8"/>
      <c r="H1560" s="8"/>
      <c r="I1560" s="8"/>
      <c r="J1560" s="8"/>
      <c r="K1560" s="8"/>
    </row>
    <row r="1561">
      <c r="A1561" s="8" t="s">
        <v>1569</v>
      </c>
      <c r="B1561" s="8"/>
      <c r="C1561" s="8"/>
      <c r="D1561" s="8"/>
      <c r="E1561" s="8"/>
      <c r="F1561" s="8"/>
      <c r="G1561" s="8"/>
      <c r="H1561" s="8"/>
      <c r="I1561" s="8"/>
      <c r="J1561" s="8"/>
      <c r="K1561" s="8"/>
    </row>
    <row r="1562">
      <c r="A1562" s="8" t="s">
        <v>1570</v>
      </c>
      <c r="B1562" s="8"/>
      <c r="C1562" s="8"/>
      <c r="D1562" s="8"/>
      <c r="E1562" s="8"/>
      <c r="F1562" s="8"/>
      <c r="G1562" s="8"/>
      <c r="H1562" s="8"/>
      <c r="I1562" s="8"/>
      <c r="J1562" s="8"/>
      <c r="K1562" s="8"/>
    </row>
    <row r="1563">
      <c r="A1563" s="8" t="s">
        <v>1571</v>
      </c>
      <c r="B1563" s="8"/>
      <c r="C1563" s="8"/>
      <c r="D1563" s="8"/>
      <c r="E1563" s="8"/>
      <c r="F1563" s="8"/>
      <c r="G1563" s="8"/>
      <c r="H1563" s="8"/>
      <c r="I1563" s="8"/>
      <c r="J1563" s="8"/>
      <c r="K1563" s="8"/>
    </row>
    <row r="1564">
      <c r="A1564" s="8" t="s">
        <v>1572</v>
      </c>
      <c r="B1564" s="8"/>
      <c r="C1564" s="8"/>
      <c r="D1564" s="8"/>
      <c r="E1564" s="8"/>
      <c r="F1564" s="8"/>
      <c r="G1564" s="8"/>
      <c r="H1564" s="8"/>
      <c r="I1564" s="8"/>
      <c r="J1564" s="8"/>
      <c r="K1564" s="8"/>
    </row>
    <row r="1565">
      <c r="A1565" s="8" t="s">
        <v>1573</v>
      </c>
      <c r="B1565" s="8"/>
      <c r="C1565" s="8"/>
      <c r="D1565" s="8"/>
      <c r="E1565" s="8"/>
      <c r="F1565" s="8"/>
      <c r="G1565" s="8"/>
      <c r="H1565" s="8"/>
      <c r="I1565" s="8"/>
      <c r="J1565" s="8"/>
      <c r="K1565" s="8"/>
    </row>
    <row r="1566">
      <c r="A1566" s="8" t="s">
        <v>1574</v>
      </c>
      <c r="B1566" s="8"/>
      <c r="C1566" s="8"/>
      <c r="D1566" s="8"/>
      <c r="E1566" s="8"/>
      <c r="F1566" s="8"/>
      <c r="G1566" s="8"/>
      <c r="H1566" s="8"/>
      <c r="I1566" s="8"/>
      <c r="J1566" s="8"/>
      <c r="K1566" s="8"/>
    </row>
    <row r="1567">
      <c r="A1567" s="8" t="s">
        <v>1575</v>
      </c>
      <c r="B1567" s="8"/>
      <c r="C1567" s="8"/>
      <c r="D1567" s="8"/>
      <c r="E1567" s="8"/>
      <c r="F1567" s="8"/>
      <c r="G1567" s="8"/>
      <c r="H1567" s="8"/>
      <c r="I1567" s="8"/>
      <c r="J1567" s="8"/>
      <c r="K1567" s="8"/>
    </row>
    <row r="1568">
      <c r="A1568" s="8" t="s">
        <v>1576</v>
      </c>
      <c r="B1568" s="8"/>
      <c r="C1568" s="8"/>
      <c r="D1568" s="8"/>
      <c r="E1568" s="8"/>
      <c r="F1568" s="8"/>
      <c r="G1568" s="8"/>
      <c r="H1568" s="8"/>
      <c r="I1568" s="8"/>
      <c r="J1568" s="8"/>
      <c r="K1568" s="8"/>
    </row>
    <row r="1569">
      <c r="A1569" s="8" t="s">
        <v>1577</v>
      </c>
      <c r="B1569" s="8"/>
      <c r="C1569" s="8"/>
      <c r="D1569" s="8"/>
      <c r="E1569" s="8"/>
      <c r="F1569" s="8"/>
      <c r="G1569" s="8"/>
      <c r="H1569" s="8"/>
      <c r="I1569" s="8"/>
      <c r="J1569" s="8"/>
      <c r="K1569" s="8"/>
    </row>
    <row r="1570">
      <c r="A1570" s="8" t="s">
        <v>1578</v>
      </c>
      <c r="B1570" s="8"/>
      <c r="C1570" s="8"/>
      <c r="D1570" s="8"/>
      <c r="E1570" s="8"/>
      <c r="F1570" s="8"/>
      <c r="G1570" s="8"/>
      <c r="H1570" s="8"/>
      <c r="I1570" s="8"/>
      <c r="J1570" s="8"/>
      <c r="K1570" s="8"/>
    </row>
    <row r="1571">
      <c r="A1571" s="8" t="s">
        <v>1579</v>
      </c>
      <c r="B1571" s="8"/>
      <c r="C1571" s="8"/>
      <c r="D1571" s="8"/>
      <c r="E1571" s="8"/>
      <c r="F1571" s="8"/>
      <c r="G1571" s="8"/>
      <c r="H1571" s="8"/>
      <c r="I1571" s="8"/>
      <c r="J1571" s="8"/>
      <c r="K1571" s="8"/>
    </row>
    <row r="1572">
      <c r="A1572" s="8" t="s">
        <v>1580</v>
      </c>
      <c r="B1572" s="8"/>
      <c r="C1572" s="8"/>
      <c r="D1572" s="8"/>
      <c r="E1572" s="8"/>
      <c r="F1572" s="8"/>
      <c r="G1572" s="8"/>
      <c r="H1572" s="8"/>
      <c r="I1572" s="8"/>
      <c r="J1572" s="8"/>
      <c r="K1572" s="8"/>
    </row>
    <row r="1573">
      <c r="A1573" s="8" t="s">
        <v>1581</v>
      </c>
      <c r="B1573" s="8"/>
      <c r="C1573" s="8"/>
      <c r="D1573" s="8"/>
      <c r="E1573" s="8"/>
      <c r="F1573" s="8"/>
      <c r="G1573" s="8"/>
      <c r="H1573" s="8"/>
      <c r="I1573" s="8"/>
      <c r="J1573" s="8"/>
      <c r="K1573" s="8"/>
    </row>
    <row r="1574">
      <c r="A1574" s="8" t="s">
        <v>1582</v>
      </c>
      <c r="B1574" s="8"/>
      <c r="C1574" s="8"/>
      <c r="D1574" s="8"/>
      <c r="E1574" s="8"/>
      <c r="F1574" s="8"/>
      <c r="G1574" s="8"/>
      <c r="H1574" s="8"/>
      <c r="I1574" s="8"/>
      <c r="J1574" s="8"/>
      <c r="K1574" s="8"/>
    </row>
    <row r="1575">
      <c r="A1575" s="8" t="s">
        <v>1583</v>
      </c>
      <c r="B1575" s="8"/>
      <c r="C1575" s="8"/>
      <c r="D1575" s="8"/>
      <c r="E1575" s="8"/>
      <c r="F1575" s="8"/>
      <c r="G1575" s="8"/>
      <c r="H1575" s="8"/>
      <c r="I1575" s="8"/>
      <c r="J1575" s="8"/>
      <c r="K1575" s="8"/>
    </row>
    <row r="1576">
      <c r="A1576" s="8" t="s">
        <v>1584</v>
      </c>
      <c r="B1576" s="8"/>
      <c r="C1576" s="8"/>
      <c r="D1576" s="8"/>
      <c r="E1576" s="8"/>
      <c r="F1576" s="8"/>
      <c r="G1576" s="8"/>
      <c r="H1576" s="8"/>
      <c r="I1576" s="8"/>
      <c r="J1576" s="8"/>
      <c r="K1576" s="8"/>
    </row>
    <row r="1577">
      <c r="A1577" s="8" t="s">
        <v>1585</v>
      </c>
      <c r="B1577" s="8"/>
      <c r="C1577" s="8"/>
      <c r="D1577" s="8"/>
      <c r="E1577" s="8"/>
      <c r="F1577" s="8"/>
      <c r="G1577" s="8"/>
      <c r="H1577" s="8"/>
      <c r="I1577" s="8"/>
      <c r="J1577" s="8"/>
      <c r="K1577" s="8"/>
    </row>
    <row r="1578">
      <c r="A1578" s="8" t="s">
        <v>1586</v>
      </c>
      <c r="B1578" s="8"/>
      <c r="C1578" s="8"/>
      <c r="D1578" s="8"/>
      <c r="E1578" s="8"/>
      <c r="F1578" s="8"/>
      <c r="G1578" s="8"/>
      <c r="H1578" s="8"/>
      <c r="I1578" s="8"/>
      <c r="J1578" s="8"/>
      <c r="K1578" s="8"/>
    </row>
    <row r="1579">
      <c r="A1579" s="8" t="s">
        <v>1587</v>
      </c>
      <c r="B1579" s="8"/>
      <c r="C1579" s="8"/>
      <c r="D1579" s="8"/>
      <c r="E1579" s="8"/>
      <c r="F1579" s="8"/>
      <c r="G1579" s="8"/>
      <c r="H1579" s="8"/>
      <c r="I1579" s="8"/>
      <c r="J1579" s="8"/>
      <c r="K1579" s="8"/>
    </row>
    <row r="1580">
      <c r="A1580" s="8" t="s">
        <v>1588</v>
      </c>
      <c r="B1580" s="8"/>
      <c r="C1580" s="8"/>
      <c r="D1580" s="8"/>
      <c r="E1580" s="8"/>
      <c r="F1580" s="8"/>
      <c r="G1580" s="8"/>
      <c r="H1580" s="8"/>
      <c r="I1580" s="8"/>
      <c r="J1580" s="8"/>
      <c r="K1580" s="8"/>
    </row>
    <row r="1581">
      <c r="A1581" s="8" t="s">
        <v>1589</v>
      </c>
      <c r="B1581" s="8"/>
      <c r="C1581" s="8"/>
      <c r="D1581" s="8"/>
      <c r="E1581" s="8"/>
      <c r="F1581" s="8"/>
      <c r="G1581" s="8"/>
      <c r="H1581" s="8"/>
      <c r="I1581" s="8"/>
      <c r="J1581" s="8"/>
      <c r="K1581" s="8"/>
    </row>
    <row r="1582">
      <c r="A1582" s="8" t="s">
        <v>1590</v>
      </c>
      <c r="B1582" s="8"/>
      <c r="C1582" s="8"/>
      <c r="D1582" s="8"/>
      <c r="E1582" s="8"/>
      <c r="F1582" s="8"/>
      <c r="G1582" s="8"/>
      <c r="H1582" s="8"/>
      <c r="I1582" s="8"/>
      <c r="J1582" s="8"/>
      <c r="K1582" s="8"/>
    </row>
    <row r="1583">
      <c r="A1583" s="8" t="s">
        <v>1591</v>
      </c>
      <c r="B1583" s="8"/>
      <c r="C1583" s="8"/>
      <c r="D1583" s="8"/>
      <c r="E1583" s="8"/>
      <c r="F1583" s="8"/>
      <c r="G1583" s="8"/>
      <c r="H1583" s="8"/>
      <c r="I1583" s="8"/>
      <c r="J1583" s="8"/>
      <c r="K1583" s="8"/>
    </row>
    <row r="1584">
      <c r="A1584" s="8" t="s">
        <v>1592</v>
      </c>
      <c r="B1584" s="8"/>
      <c r="C1584" s="8"/>
      <c r="D1584" s="8"/>
      <c r="E1584" s="8"/>
      <c r="F1584" s="8"/>
      <c r="G1584" s="8"/>
      <c r="H1584" s="8"/>
      <c r="I1584" s="8"/>
      <c r="J1584" s="8"/>
      <c r="K1584" s="8"/>
    </row>
    <row r="1585">
      <c r="A1585" s="8" t="s">
        <v>1593</v>
      </c>
      <c r="B1585" s="8"/>
      <c r="C1585" s="8"/>
      <c r="D1585" s="8"/>
      <c r="E1585" s="8"/>
      <c r="F1585" s="8"/>
      <c r="G1585" s="8"/>
      <c r="H1585" s="8"/>
      <c r="I1585" s="8"/>
      <c r="J1585" s="8"/>
      <c r="K1585" s="8"/>
    </row>
    <row r="1586">
      <c r="A1586" s="8" t="s">
        <v>1594</v>
      </c>
      <c r="B1586" s="8"/>
      <c r="C1586" s="8"/>
      <c r="D1586" s="8"/>
      <c r="E1586" s="8"/>
      <c r="F1586" s="8"/>
      <c r="G1586" s="8"/>
      <c r="H1586" s="8"/>
      <c r="I1586" s="8"/>
      <c r="J1586" s="8"/>
      <c r="K1586" s="8"/>
    </row>
    <row r="1587">
      <c r="A1587" s="8" t="s">
        <v>1595</v>
      </c>
      <c r="B1587" s="8"/>
      <c r="C1587" s="8"/>
      <c r="D1587" s="8"/>
      <c r="E1587" s="8"/>
      <c r="F1587" s="8"/>
      <c r="G1587" s="8"/>
      <c r="H1587" s="8"/>
      <c r="I1587" s="8"/>
      <c r="J1587" s="8"/>
      <c r="K1587" s="8"/>
    </row>
    <row r="1588">
      <c r="A1588" s="8" t="s">
        <v>1596</v>
      </c>
      <c r="B1588" s="8"/>
      <c r="C1588" s="8"/>
      <c r="D1588" s="8"/>
      <c r="E1588" s="8"/>
      <c r="F1588" s="8"/>
      <c r="G1588" s="8"/>
      <c r="H1588" s="8"/>
      <c r="I1588" s="8"/>
      <c r="J1588" s="8"/>
      <c r="K1588" s="8"/>
    </row>
    <row r="1589">
      <c r="A1589" s="8" t="s">
        <v>1597</v>
      </c>
      <c r="B1589" s="8"/>
      <c r="C1589" s="8"/>
      <c r="D1589" s="8"/>
      <c r="E1589" s="8"/>
      <c r="F1589" s="8"/>
      <c r="G1589" s="8"/>
      <c r="H1589" s="8"/>
      <c r="I1589" s="8"/>
      <c r="J1589" s="8"/>
      <c r="K1589" s="8"/>
    </row>
    <row r="1590">
      <c r="A1590" s="8" t="s">
        <v>1598</v>
      </c>
      <c r="B1590" s="8"/>
      <c r="C1590" s="8"/>
      <c r="D1590" s="8"/>
      <c r="E1590" s="8"/>
      <c r="F1590" s="8"/>
      <c r="G1590" s="8"/>
      <c r="H1590" s="8"/>
      <c r="I1590" s="8"/>
      <c r="J1590" s="8"/>
      <c r="K1590" s="8"/>
    </row>
    <row r="1591">
      <c r="A1591" s="8" t="s">
        <v>1599</v>
      </c>
      <c r="B1591" s="8"/>
      <c r="C1591" s="8"/>
      <c r="D1591" s="8"/>
      <c r="E1591" s="8"/>
      <c r="F1591" s="8"/>
      <c r="G1591" s="8"/>
      <c r="H1591" s="8"/>
      <c r="I1591" s="8"/>
      <c r="J1591" s="8"/>
      <c r="K1591" s="8"/>
    </row>
    <row r="1592">
      <c r="A1592" s="8" t="s">
        <v>1600</v>
      </c>
      <c r="B1592" s="8"/>
      <c r="C1592" s="8"/>
      <c r="D1592" s="8"/>
      <c r="E1592" s="8"/>
      <c r="F1592" s="8"/>
      <c r="G1592" s="8"/>
      <c r="H1592" s="8"/>
      <c r="I1592" s="8"/>
      <c r="J1592" s="8"/>
      <c r="K1592" s="8"/>
    </row>
    <row r="1593">
      <c r="A1593" s="8" t="s">
        <v>1601</v>
      </c>
      <c r="B1593" s="8"/>
      <c r="C1593" s="8"/>
      <c r="D1593" s="8"/>
      <c r="E1593" s="8"/>
      <c r="F1593" s="8"/>
      <c r="G1593" s="8"/>
      <c r="H1593" s="8"/>
      <c r="I1593" s="8"/>
      <c r="J1593" s="8"/>
      <c r="K1593" s="8"/>
    </row>
    <row r="1594">
      <c r="A1594" s="8" t="s">
        <v>1602</v>
      </c>
      <c r="B1594" s="8"/>
      <c r="C1594" s="8"/>
      <c r="D1594" s="8"/>
      <c r="E1594" s="8"/>
      <c r="F1594" s="8"/>
      <c r="G1594" s="8"/>
      <c r="H1594" s="8"/>
      <c r="I1594" s="8"/>
      <c r="J1594" s="8"/>
      <c r="K1594" s="8"/>
    </row>
    <row r="1595">
      <c r="A1595" s="8" t="s">
        <v>1603</v>
      </c>
      <c r="B1595" s="8"/>
      <c r="C1595" s="8"/>
      <c r="D1595" s="8"/>
      <c r="E1595" s="8"/>
      <c r="F1595" s="8"/>
      <c r="G1595" s="8"/>
      <c r="H1595" s="8"/>
      <c r="I1595" s="8"/>
      <c r="J1595" s="8"/>
      <c r="K1595" s="8"/>
    </row>
    <row r="1596">
      <c r="A1596" s="8" t="s">
        <v>1604</v>
      </c>
      <c r="B1596" s="8"/>
      <c r="C1596" s="8"/>
      <c r="D1596" s="8"/>
      <c r="E1596" s="8"/>
      <c r="F1596" s="8"/>
      <c r="G1596" s="8"/>
      <c r="H1596" s="8"/>
      <c r="I1596" s="8"/>
      <c r="J1596" s="8"/>
      <c r="K1596" s="8"/>
    </row>
    <row r="1597">
      <c r="A1597" s="8" t="s">
        <v>1605</v>
      </c>
      <c r="B1597" s="8"/>
      <c r="C1597" s="8"/>
      <c r="D1597" s="8"/>
      <c r="E1597" s="8"/>
      <c r="F1597" s="8"/>
      <c r="G1597" s="8"/>
      <c r="H1597" s="8"/>
      <c r="I1597" s="8"/>
      <c r="J1597" s="8"/>
      <c r="K1597" s="8"/>
    </row>
    <row r="1598">
      <c r="A1598" s="8" t="s">
        <v>1606</v>
      </c>
      <c r="B1598" s="8"/>
      <c r="C1598" s="8"/>
      <c r="D1598" s="8"/>
      <c r="E1598" s="8"/>
      <c r="F1598" s="8"/>
      <c r="G1598" s="8"/>
      <c r="H1598" s="8"/>
      <c r="I1598" s="8"/>
      <c r="J1598" s="8"/>
      <c r="K1598" s="8"/>
    </row>
    <row r="1599">
      <c r="A1599" s="8" t="s">
        <v>1607</v>
      </c>
      <c r="B1599" s="8"/>
      <c r="C1599" s="8"/>
      <c r="D1599" s="8"/>
      <c r="E1599" s="8"/>
      <c r="F1599" s="8"/>
      <c r="G1599" s="8"/>
      <c r="H1599" s="8"/>
      <c r="I1599" s="8"/>
      <c r="J1599" s="8"/>
      <c r="K1599" s="8"/>
    </row>
    <row r="1600">
      <c r="A1600" s="8" t="s">
        <v>1608</v>
      </c>
      <c r="B1600" s="8"/>
      <c r="C1600" s="8"/>
      <c r="D1600" s="8"/>
      <c r="E1600" s="8"/>
      <c r="F1600" s="8"/>
      <c r="G1600" s="8"/>
      <c r="H1600" s="8"/>
      <c r="I1600" s="8"/>
      <c r="J1600" s="8"/>
      <c r="K1600" s="8"/>
    </row>
    <row r="1601">
      <c r="A1601" s="8" t="s">
        <v>1609</v>
      </c>
      <c r="B1601" s="8"/>
      <c r="C1601" s="8"/>
      <c r="D1601" s="8"/>
      <c r="E1601" s="8"/>
      <c r="F1601" s="8"/>
      <c r="G1601" s="8"/>
      <c r="H1601" s="8"/>
      <c r="I1601" s="8"/>
      <c r="J1601" s="8"/>
      <c r="K1601" s="8"/>
    </row>
    <row r="1602">
      <c r="A1602" s="8" t="s">
        <v>1610</v>
      </c>
      <c r="B1602" s="8"/>
      <c r="C1602" s="8"/>
      <c r="D1602" s="8"/>
      <c r="E1602" s="8"/>
      <c r="F1602" s="8"/>
      <c r="G1602" s="8"/>
      <c r="H1602" s="8"/>
      <c r="I1602" s="8"/>
      <c r="J1602" s="8"/>
      <c r="K1602" s="8"/>
    </row>
    <row r="1603">
      <c r="A1603" s="8" t="s">
        <v>1611</v>
      </c>
      <c r="B1603" s="8"/>
      <c r="C1603" s="8"/>
      <c r="D1603" s="8"/>
      <c r="E1603" s="8"/>
      <c r="F1603" s="8"/>
      <c r="G1603" s="8"/>
      <c r="H1603" s="8"/>
      <c r="I1603" s="8"/>
      <c r="J1603" s="8"/>
      <c r="K1603" s="8"/>
    </row>
    <row r="1604">
      <c r="A1604" s="8" t="s">
        <v>1612</v>
      </c>
      <c r="B1604" s="8"/>
      <c r="C1604" s="8"/>
      <c r="D1604" s="8"/>
      <c r="E1604" s="8"/>
      <c r="F1604" s="8"/>
      <c r="G1604" s="8"/>
      <c r="H1604" s="8"/>
      <c r="I1604" s="8"/>
      <c r="J1604" s="8"/>
      <c r="K1604" s="8"/>
    </row>
    <row r="1605">
      <c r="A1605" s="8" t="s">
        <v>1613</v>
      </c>
      <c r="B1605" s="8"/>
      <c r="C1605" s="8"/>
      <c r="D1605" s="8"/>
      <c r="E1605" s="8"/>
      <c r="F1605" s="8"/>
      <c r="G1605" s="8"/>
      <c r="H1605" s="8"/>
      <c r="I1605" s="8"/>
      <c r="J1605" s="8"/>
      <c r="K1605" s="8"/>
    </row>
    <row r="1606">
      <c r="A1606" s="8" t="s">
        <v>1614</v>
      </c>
      <c r="B1606" s="8"/>
      <c r="C1606" s="8"/>
      <c r="D1606" s="8"/>
      <c r="E1606" s="8"/>
      <c r="F1606" s="8"/>
      <c r="G1606" s="8"/>
      <c r="H1606" s="8"/>
      <c r="I1606" s="8"/>
      <c r="J1606" s="8"/>
      <c r="K1606" s="8"/>
    </row>
    <row r="1607">
      <c r="A1607" s="8" t="s">
        <v>1615</v>
      </c>
      <c r="B1607" s="8"/>
      <c r="C1607" s="8"/>
      <c r="D1607" s="8"/>
      <c r="E1607" s="8"/>
      <c r="F1607" s="8"/>
      <c r="G1607" s="8"/>
      <c r="H1607" s="8"/>
      <c r="I1607" s="8"/>
      <c r="J1607" s="8"/>
      <c r="K1607" s="8"/>
    </row>
    <row r="1608">
      <c r="A1608" s="8" t="s">
        <v>1616</v>
      </c>
      <c r="B1608" s="8"/>
      <c r="C1608" s="8"/>
      <c r="D1608" s="8"/>
      <c r="E1608" s="8"/>
      <c r="F1608" s="8"/>
      <c r="G1608" s="8"/>
      <c r="H1608" s="8"/>
      <c r="I1608" s="8"/>
      <c r="J1608" s="8"/>
      <c r="K1608" s="8"/>
    </row>
    <row r="1609">
      <c r="A1609" s="8" t="s">
        <v>1617</v>
      </c>
      <c r="B1609" s="8"/>
      <c r="C1609" s="8"/>
      <c r="D1609" s="8"/>
      <c r="E1609" s="8"/>
      <c r="F1609" s="8"/>
      <c r="G1609" s="8"/>
      <c r="H1609" s="8"/>
      <c r="I1609" s="8"/>
      <c r="J1609" s="8"/>
      <c r="K1609" s="8"/>
    </row>
    <row r="1610">
      <c r="A1610" s="8" t="s">
        <v>1618</v>
      </c>
      <c r="B1610" s="8"/>
      <c r="C1610" s="8"/>
      <c r="D1610" s="8"/>
      <c r="E1610" s="8"/>
      <c r="F1610" s="8"/>
      <c r="G1610" s="8"/>
      <c r="H1610" s="8"/>
      <c r="I1610" s="8"/>
      <c r="J1610" s="8"/>
      <c r="K1610" s="8"/>
    </row>
    <row r="1611">
      <c r="A1611" s="8" t="s">
        <v>1619</v>
      </c>
      <c r="B1611" s="8"/>
      <c r="C1611" s="8"/>
      <c r="D1611" s="8"/>
      <c r="E1611" s="8"/>
      <c r="F1611" s="8"/>
      <c r="G1611" s="8"/>
      <c r="H1611" s="8"/>
      <c r="I1611" s="8"/>
      <c r="J1611" s="8"/>
      <c r="K1611" s="8"/>
    </row>
    <row r="1612">
      <c r="A1612" s="8" t="s">
        <v>1620</v>
      </c>
      <c r="B1612" s="8"/>
      <c r="C1612" s="8"/>
      <c r="D1612" s="8"/>
      <c r="E1612" s="8"/>
      <c r="F1612" s="8"/>
      <c r="G1612" s="8"/>
      <c r="H1612" s="8"/>
      <c r="I1612" s="8"/>
      <c r="J1612" s="8"/>
      <c r="K1612" s="8"/>
    </row>
    <row r="1613">
      <c r="A1613" s="8" t="s">
        <v>1621</v>
      </c>
      <c r="B1613" s="8"/>
      <c r="C1613" s="8"/>
      <c r="D1613" s="8"/>
      <c r="E1613" s="8"/>
      <c r="F1613" s="8"/>
      <c r="G1613" s="8"/>
      <c r="H1613" s="8"/>
      <c r="I1613" s="8"/>
      <c r="J1613" s="8"/>
      <c r="K1613" s="8"/>
    </row>
    <row r="1614">
      <c r="A1614" s="8" t="s">
        <v>1622</v>
      </c>
      <c r="B1614" s="8"/>
      <c r="C1614" s="8"/>
      <c r="D1614" s="8"/>
      <c r="E1614" s="8"/>
      <c r="F1614" s="8"/>
      <c r="G1614" s="8"/>
      <c r="H1614" s="8"/>
      <c r="I1614" s="8"/>
      <c r="J1614" s="8"/>
      <c r="K1614" s="8"/>
    </row>
    <row r="1615">
      <c r="A1615" s="8" t="s">
        <v>1623</v>
      </c>
      <c r="B1615" s="8"/>
      <c r="C1615" s="8"/>
      <c r="D1615" s="8"/>
      <c r="E1615" s="8"/>
      <c r="F1615" s="8"/>
      <c r="G1615" s="8"/>
      <c r="H1615" s="8"/>
      <c r="I1615" s="8"/>
      <c r="J1615" s="8"/>
      <c r="K1615" s="8"/>
    </row>
    <row r="1616">
      <c r="A1616" s="8" t="s">
        <v>1624</v>
      </c>
      <c r="B1616" s="8"/>
      <c r="C1616" s="8"/>
      <c r="D1616" s="8"/>
      <c r="E1616" s="8"/>
      <c r="F1616" s="8"/>
      <c r="G1616" s="8"/>
      <c r="H1616" s="8"/>
      <c r="I1616" s="8"/>
      <c r="J1616" s="8"/>
      <c r="K1616" s="8"/>
    </row>
    <row r="1617">
      <c r="A1617" s="8" t="s">
        <v>1625</v>
      </c>
      <c r="B1617" s="8"/>
      <c r="C1617" s="8"/>
      <c r="D1617" s="8"/>
      <c r="E1617" s="8"/>
      <c r="F1617" s="8"/>
      <c r="G1617" s="8"/>
      <c r="H1617" s="8"/>
      <c r="I1617" s="8"/>
      <c r="J1617" s="8"/>
      <c r="K1617" s="8"/>
    </row>
    <row r="1618">
      <c r="A1618" s="8" t="s">
        <v>1626</v>
      </c>
      <c r="B1618" s="8"/>
      <c r="C1618" s="8"/>
      <c r="D1618" s="8"/>
      <c r="E1618" s="8"/>
      <c r="F1618" s="8"/>
      <c r="G1618" s="8"/>
      <c r="H1618" s="8"/>
      <c r="I1618" s="8"/>
      <c r="J1618" s="8"/>
      <c r="K1618" s="8"/>
    </row>
    <row r="1619">
      <c r="A1619" s="8" t="s">
        <v>1627</v>
      </c>
      <c r="B1619" s="8"/>
      <c r="C1619" s="8"/>
      <c r="D1619" s="8"/>
      <c r="E1619" s="8"/>
      <c r="F1619" s="8"/>
      <c r="G1619" s="8"/>
      <c r="H1619" s="8"/>
      <c r="I1619" s="8"/>
      <c r="J1619" s="8"/>
      <c r="K1619" s="8"/>
    </row>
    <row r="1620">
      <c r="A1620" s="8" t="s">
        <v>1628</v>
      </c>
      <c r="B1620" s="8"/>
      <c r="C1620" s="8"/>
      <c r="D1620" s="8"/>
      <c r="E1620" s="8"/>
      <c r="F1620" s="8"/>
      <c r="G1620" s="8"/>
      <c r="H1620" s="8"/>
      <c r="I1620" s="8"/>
      <c r="J1620" s="8"/>
      <c r="K1620" s="8"/>
    </row>
    <row r="1621">
      <c r="A1621" s="8" t="s">
        <v>1629</v>
      </c>
      <c r="B1621" s="8"/>
      <c r="C1621" s="8"/>
      <c r="D1621" s="8"/>
      <c r="E1621" s="8"/>
      <c r="F1621" s="8"/>
      <c r="G1621" s="8"/>
      <c r="H1621" s="8"/>
      <c r="I1621" s="8"/>
      <c r="J1621" s="8"/>
      <c r="K1621" s="8"/>
    </row>
    <row r="1622">
      <c r="A1622" s="8" t="s">
        <v>1630</v>
      </c>
      <c r="B1622" s="8"/>
      <c r="C1622" s="8"/>
      <c r="D1622" s="8"/>
      <c r="E1622" s="8"/>
      <c r="F1622" s="8"/>
      <c r="G1622" s="8"/>
      <c r="H1622" s="8"/>
      <c r="I1622" s="8"/>
      <c r="J1622" s="8"/>
      <c r="K1622" s="8"/>
    </row>
    <row r="1623">
      <c r="A1623" s="8" t="s">
        <v>1631</v>
      </c>
      <c r="B1623" s="8"/>
      <c r="C1623" s="8"/>
      <c r="D1623" s="8"/>
      <c r="E1623" s="8"/>
      <c r="F1623" s="8"/>
      <c r="G1623" s="8"/>
      <c r="H1623" s="8"/>
      <c r="I1623" s="8"/>
      <c r="J1623" s="8"/>
      <c r="K1623" s="8"/>
    </row>
    <row r="1624">
      <c r="A1624" s="8" t="s">
        <v>1632</v>
      </c>
      <c r="B1624" s="8"/>
      <c r="C1624" s="8"/>
      <c r="D1624" s="8"/>
      <c r="E1624" s="8"/>
      <c r="F1624" s="8"/>
      <c r="G1624" s="8"/>
      <c r="H1624" s="8"/>
      <c r="I1624" s="8"/>
      <c r="J1624" s="8"/>
      <c r="K1624" s="8"/>
    </row>
    <row r="1625">
      <c r="A1625" s="8" t="s">
        <v>1633</v>
      </c>
      <c r="B1625" s="8"/>
      <c r="C1625" s="8"/>
      <c r="D1625" s="8"/>
      <c r="E1625" s="8"/>
      <c r="F1625" s="8"/>
      <c r="G1625" s="8"/>
      <c r="H1625" s="8"/>
      <c r="I1625" s="8"/>
      <c r="J1625" s="8"/>
      <c r="K1625" s="8"/>
    </row>
    <row r="1626">
      <c r="A1626" s="8" t="s">
        <v>1634</v>
      </c>
      <c r="B1626" s="8"/>
      <c r="C1626" s="8"/>
      <c r="D1626" s="8"/>
      <c r="E1626" s="8"/>
      <c r="F1626" s="8"/>
      <c r="G1626" s="8"/>
      <c r="H1626" s="8"/>
      <c r="I1626" s="8"/>
      <c r="J1626" s="8"/>
      <c r="K1626" s="8"/>
    </row>
    <row r="1627">
      <c r="A1627" s="8" t="s">
        <v>1635</v>
      </c>
      <c r="B1627" s="8"/>
      <c r="C1627" s="8"/>
      <c r="D1627" s="8"/>
      <c r="E1627" s="8"/>
      <c r="F1627" s="8"/>
      <c r="G1627" s="8"/>
      <c r="H1627" s="8"/>
      <c r="I1627" s="8"/>
      <c r="J1627" s="8"/>
      <c r="K1627" s="8"/>
    </row>
    <row r="1628">
      <c r="A1628" s="8" t="s">
        <v>1636</v>
      </c>
      <c r="B1628" s="8"/>
      <c r="C1628" s="8"/>
      <c r="D1628" s="8"/>
      <c r="E1628" s="8"/>
      <c r="F1628" s="8"/>
      <c r="G1628" s="8"/>
      <c r="H1628" s="8"/>
      <c r="I1628" s="8"/>
      <c r="J1628" s="8"/>
      <c r="K1628" s="8"/>
    </row>
    <row r="1629">
      <c r="A1629" s="8" t="s">
        <v>1637</v>
      </c>
      <c r="B1629" s="8"/>
      <c r="C1629" s="8"/>
      <c r="D1629" s="8"/>
      <c r="E1629" s="8"/>
      <c r="F1629" s="8"/>
      <c r="G1629" s="8"/>
      <c r="H1629" s="8"/>
      <c r="I1629" s="8"/>
      <c r="J1629" s="8"/>
      <c r="K1629" s="8"/>
    </row>
    <row r="1630">
      <c r="A1630" s="8" t="s">
        <v>1638</v>
      </c>
      <c r="B1630" s="8"/>
      <c r="C1630" s="8"/>
      <c r="D1630" s="8"/>
      <c r="E1630" s="8"/>
      <c r="F1630" s="8"/>
      <c r="G1630" s="8"/>
      <c r="H1630" s="8"/>
      <c r="I1630" s="8"/>
      <c r="J1630" s="8"/>
      <c r="K1630" s="8"/>
    </row>
    <row r="1631">
      <c r="A1631" s="8" t="s">
        <v>1639</v>
      </c>
      <c r="B1631" s="8"/>
      <c r="C1631" s="8"/>
      <c r="D1631" s="8"/>
      <c r="E1631" s="8"/>
      <c r="F1631" s="8"/>
      <c r="G1631" s="8"/>
      <c r="H1631" s="8"/>
      <c r="I1631" s="8"/>
      <c r="J1631" s="8"/>
      <c r="K1631" s="8"/>
    </row>
    <row r="1632">
      <c r="A1632" s="8" t="s">
        <v>1640</v>
      </c>
      <c r="B1632" s="8"/>
      <c r="C1632" s="8"/>
      <c r="D1632" s="8"/>
      <c r="E1632" s="8"/>
      <c r="F1632" s="8"/>
      <c r="G1632" s="8"/>
      <c r="H1632" s="8"/>
      <c r="I1632" s="8"/>
      <c r="J1632" s="8"/>
      <c r="K1632" s="8"/>
    </row>
    <row r="1633">
      <c r="A1633" s="8" t="s">
        <v>1641</v>
      </c>
      <c r="B1633" s="8"/>
      <c r="C1633" s="8"/>
      <c r="D1633" s="8"/>
      <c r="E1633" s="8"/>
      <c r="F1633" s="8"/>
      <c r="G1633" s="8"/>
      <c r="H1633" s="8"/>
      <c r="I1633" s="8"/>
      <c r="J1633" s="8"/>
      <c r="K1633" s="8"/>
    </row>
    <row r="1634">
      <c r="A1634" s="8" t="s">
        <v>1642</v>
      </c>
      <c r="B1634" s="8"/>
      <c r="C1634" s="8"/>
      <c r="D1634" s="8"/>
      <c r="E1634" s="8"/>
      <c r="F1634" s="8"/>
      <c r="G1634" s="8"/>
      <c r="H1634" s="8"/>
      <c r="I1634" s="8"/>
      <c r="J1634" s="8"/>
      <c r="K1634" s="8"/>
    </row>
    <row r="1635">
      <c r="A1635" s="8" t="s">
        <v>1643</v>
      </c>
      <c r="B1635" s="8"/>
      <c r="C1635" s="8"/>
      <c r="D1635" s="8"/>
      <c r="E1635" s="8"/>
      <c r="F1635" s="8"/>
      <c r="G1635" s="8"/>
      <c r="H1635" s="8"/>
      <c r="I1635" s="8"/>
      <c r="J1635" s="8"/>
      <c r="K1635" s="8"/>
    </row>
    <row r="1636">
      <c r="A1636" s="8" t="s">
        <v>1644</v>
      </c>
      <c r="B1636" s="8"/>
      <c r="C1636" s="8"/>
      <c r="D1636" s="8"/>
      <c r="E1636" s="8"/>
      <c r="F1636" s="8"/>
      <c r="G1636" s="8"/>
      <c r="H1636" s="8"/>
      <c r="I1636" s="8"/>
      <c r="J1636" s="8"/>
      <c r="K1636" s="8"/>
    </row>
    <row r="1637">
      <c r="A1637" s="8" t="s">
        <v>1645</v>
      </c>
      <c r="B1637" s="8"/>
      <c r="C1637" s="8"/>
      <c r="D1637" s="8"/>
      <c r="E1637" s="8"/>
      <c r="F1637" s="8"/>
      <c r="G1637" s="8"/>
      <c r="H1637" s="8"/>
      <c r="I1637" s="8"/>
      <c r="J1637" s="8"/>
      <c r="K1637" s="8"/>
    </row>
    <row r="1638">
      <c r="A1638" s="8" t="s">
        <v>1646</v>
      </c>
      <c r="B1638" s="8"/>
      <c r="C1638" s="8"/>
      <c r="D1638" s="8"/>
      <c r="E1638" s="8"/>
      <c r="F1638" s="8"/>
      <c r="G1638" s="8"/>
      <c r="H1638" s="8"/>
      <c r="I1638" s="8"/>
      <c r="J1638" s="8"/>
      <c r="K1638" s="8"/>
    </row>
    <row r="1639">
      <c r="A1639" s="8" t="s">
        <v>1647</v>
      </c>
      <c r="B1639" s="8"/>
      <c r="C1639" s="8"/>
      <c r="D1639" s="8"/>
      <c r="E1639" s="8"/>
      <c r="F1639" s="8"/>
      <c r="G1639" s="8"/>
      <c r="H1639" s="8"/>
      <c r="I1639" s="8"/>
      <c r="J1639" s="8"/>
      <c r="K1639" s="8"/>
    </row>
    <row r="1640">
      <c r="A1640" s="8" t="s">
        <v>1648</v>
      </c>
      <c r="B1640" s="8"/>
      <c r="C1640" s="8"/>
      <c r="D1640" s="8"/>
      <c r="E1640" s="8"/>
      <c r="F1640" s="8"/>
      <c r="G1640" s="8"/>
      <c r="H1640" s="8"/>
      <c r="I1640" s="8"/>
      <c r="J1640" s="8"/>
      <c r="K1640" s="8"/>
    </row>
    <row r="1641">
      <c r="A1641" s="8" t="s">
        <v>1649</v>
      </c>
      <c r="B1641" s="8"/>
      <c r="C1641" s="8"/>
      <c r="D1641" s="8"/>
      <c r="E1641" s="8"/>
      <c r="F1641" s="8"/>
      <c r="G1641" s="8"/>
      <c r="H1641" s="8"/>
      <c r="I1641" s="8"/>
      <c r="J1641" s="8"/>
      <c r="K1641" s="8"/>
    </row>
    <row r="1642">
      <c r="A1642" s="8" t="s">
        <v>1650</v>
      </c>
      <c r="B1642" s="8"/>
      <c r="C1642" s="8"/>
      <c r="D1642" s="8"/>
      <c r="E1642" s="8"/>
      <c r="F1642" s="8"/>
      <c r="G1642" s="8"/>
      <c r="H1642" s="8"/>
      <c r="I1642" s="8"/>
      <c r="J1642" s="8"/>
      <c r="K1642" s="8"/>
    </row>
    <row r="1643">
      <c r="A1643" s="8" t="s">
        <v>1651</v>
      </c>
      <c r="B1643" s="8"/>
      <c r="C1643" s="8"/>
      <c r="D1643" s="8"/>
      <c r="E1643" s="8"/>
      <c r="F1643" s="8"/>
      <c r="G1643" s="8"/>
      <c r="H1643" s="8"/>
      <c r="I1643" s="8"/>
      <c r="J1643" s="8"/>
      <c r="K1643" s="8"/>
    </row>
    <row r="1644">
      <c r="A1644" s="8" t="s">
        <v>1652</v>
      </c>
      <c r="B1644" s="8"/>
      <c r="C1644" s="8"/>
      <c r="D1644" s="8"/>
      <c r="E1644" s="8"/>
      <c r="F1644" s="8"/>
      <c r="G1644" s="8"/>
      <c r="H1644" s="8"/>
      <c r="I1644" s="8"/>
      <c r="J1644" s="8"/>
      <c r="K1644" s="8"/>
    </row>
    <row r="1645">
      <c r="A1645" s="8" t="s">
        <v>1653</v>
      </c>
      <c r="B1645" s="8"/>
      <c r="C1645" s="8"/>
      <c r="D1645" s="8"/>
      <c r="E1645" s="8"/>
      <c r="F1645" s="8"/>
      <c r="G1645" s="8"/>
      <c r="H1645" s="8"/>
      <c r="I1645" s="8"/>
      <c r="J1645" s="8"/>
      <c r="K1645" s="8"/>
    </row>
    <row r="1646">
      <c r="A1646" s="8" t="s">
        <v>1654</v>
      </c>
      <c r="B1646" s="8"/>
      <c r="C1646" s="8"/>
      <c r="D1646" s="8"/>
      <c r="E1646" s="8"/>
      <c r="F1646" s="8"/>
      <c r="G1646" s="8"/>
      <c r="H1646" s="8"/>
      <c r="I1646" s="8"/>
      <c r="J1646" s="8"/>
      <c r="K1646" s="8"/>
    </row>
    <row r="1647">
      <c r="A1647" s="8" t="s">
        <v>1655</v>
      </c>
      <c r="B1647" s="8"/>
      <c r="C1647" s="8"/>
      <c r="D1647" s="8"/>
      <c r="E1647" s="8"/>
      <c r="F1647" s="8"/>
      <c r="G1647" s="8"/>
      <c r="H1647" s="8"/>
      <c r="I1647" s="8"/>
      <c r="J1647" s="8"/>
      <c r="K1647" s="8"/>
    </row>
    <row r="1648">
      <c r="A1648" s="8" t="s">
        <v>1656</v>
      </c>
      <c r="B1648" s="8"/>
      <c r="C1648" s="8"/>
      <c r="D1648" s="8"/>
      <c r="E1648" s="8"/>
      <c r="F1648" s="8"/>
      <c r="G1648" s="8"/>
      <c r="H1648" s="8"/>
      <c r="I1648" s="8"/>
      <c r="J1648" s="8"/>
      <c r="K1648" s="8"/>
    </row>
    <row r="1649">
      <c r="A1649" s="8" t="s">
        <v>1657</v>
      </c>
      <c r="B1649" s="8"/>
      <c r="C1649" s="8"/>
      <c r="D1649" s="8"/>
      <c r="E1649" s="8"/>
      <c r="F1649" s="8"/>
      <c r="G1649" s="8"/>
      <c r="H1649" s="8"/>
      <c r="I1649" s="8"/>
      <c r="J1649" s="8"/>
      <c r="K1649" s="8"/>
    </row>
    <row r="1650">
      <c r="A1650" s="8" t="s">
        <v>1658</v>
      </c>
      <c r="B1650" s="8"/>
      <c r="C1650" s="8"/>
      <c r="D1650" s="8"/>
      <c r="E1650" s="8"/>
      <c r="F1650" s="8"/>
      <c r="G1650" s="8"/>
      <c r="H1650" s="8"/>
      <c r="I1650" s="8"/>
      <c r="J1650" s="8"/>
      <c r="K1650" s="8"/>
    </row>
    <row r="1651">
      <c r="A1651" s="8" t="s">
        <v>1659</v>
      </c>
      <c r="B1651" s="8"/>
      <c r="C1651" s="8"/>
      <c r="D1651" s="8"/>
      <c r="E1651" s="8"/>
      <c r="F1651" s="8"/>
      <c r="G1651" s="8"/>
      <c r="H1651" s="8"/>
      <c r="I1651" s="8"/>
      <c r="J1651" s="8"/>
      <c r="K1651" s="8"/>
    </row>
    <row r="1652">
      <c r="A1652" s="8" t="s">
        <v>1660</v>
      </c>
      <c r="B1652" s="8"/>
      <c r="C1652" s="8"/>
      <c r="D1652" s="8"/>
      <c r="E1652" s="8"/>
      <c r="F1652" s="8"/>
      <c r="G1652" s="8"/>
      <c r="H1652" s="8"/>
      <c r="I1652" s="8"/>
      <c r="J1652" s="8"/>
      <c r="K1652" s="8"/>
    </row>
    <row r="1653">
      <c r="A1653" s="8" t="s">
        <v>1661</v>
      </c>
      <c r="B1653" s="8"/>
      <c r="C1653" s="8"/>
      <c r="D1653" s="8"/>
      <c r="E1653" s="8"/>
      <c r="F1653" s="8"/>
      <c r="G1653" s="8"/>
      <c r="H1653" s="8"/>
      <c r="I1653" s="8"/>
      <c r="J1653" s="8"/>
      <c r="K1653" s="8"/>
    </row>
    <row r="1654">
      <c r="A1654" s="8" t="s">
        <v>1662</v>
      </c>
      <c r="B1654" s="8"/>
      <c r="C1654" s="8"/>
      <c r="D1654" s="8"/>
      <c r="E1654" s="8"/>
      <c r="F1654" s="8"/>
      <c r="G1654" s="8"/>
      <c r="H1654" s="8"/>
      <c r="I1654" s="8"/>
      <c r="J1654" s="8"/>
      <c r="K1654" s="8"/>
    </row>
    <row r="1655">
      <c r="A1655" s="8" t="s">
        <v>1663</v>
      </c>
      <c r="B1655" s="8"/>
      <c r="C1655" s="8"/>
      <c r="D1655" s="8"/>
      <c r="E1655" s="8"/>
      <c r="F1655" s="8"/>
      <c r="G1655" s="8"/>
      <c r="H1655" s="8"/>
      <c r="I1655" s="8"/>
      <c r="J1655" s="8"/>
      <c r="K1655" s="8"/>
    </row>
    <row r="1656">
      <c r="A1656" s="8" t="s">
        <v>1664</v>
      </c>
      <c r="B1656" s="8"/>
      <c r="C1656" s="8"/>
      <c r="D1656" s="8"/>
      <c r="E1656" s="8"/>
      <c r="F1656" s="8"/>
      <c r="G1656" s="8"/>
      <c r="H1656" s="8"/>
      <c r="I1656" s="8"/>
      <c r="J1656" s="8"/>
      <c r="K1656" s="8"/>
    </row>
    <row r="1657">
      <c r="A1657" s="8" t="s">
        <v>1665</v>
      </c>
      <c r="B1657" s="8"/>
      <c r="C1657" s="8"/>
      <c r="D1657" s="8"/>
      <c r="E1657" s="8"/>
      <c r="F1657" s="8"/>
      <c r="G1657" s="8"/>
      <c r="H1657" s="8"/>
      <c r="I1657" s="8"/>
      <c r="J1657" s="8"/>
      <c r="K1657" s="8"/>
    </row>
    <row r="1658">
      <c r="A1658" s="8" t="s">
        <v>1666</v>
      </c>
      <c r="B1658" s="8"/>
      <c r="C1658" s="8"/>
      <c r="D1658" s="8"/>
      <c r="E1658" s="8"/>
      <c r="F1658" s="8"/>
      <c r="G1658" s="8"/>
      <c r="H1658" s="8"/>
      <c r="I1658" s="8"/>
      <c r="J1658" s="8"/>
      <c r="K1658" s="8"/>
    </row>
    <row r="1659">
      <c r="A1659" s="8" t="s">
        <v>1667</v>
      </c>
      <c r="B1659" s="8"/>
      <c r="C1659" s="8"/>
      <c r="D1659" s="8"/>
      <c r="E1659" s="8"/>
      <c r="F1659" s="8"/>
      <c r="G1659" s="8"/>
      <c r="H1659" s="8"/>
      <c r="I1659" s="8"/>
      <c r="J1659" s="8"/>
      <c r="K1659" s="8"/>
    </row>
    <row r="1660">
      <c r="A1660" s="8" t="s">
        <v>1668</v>
      </c>
      <c r="B1660" s="8"/>
      <c r="C1660" s="8"/>
      <c r="D1660" s="8"/>
      <c r="E1660" s="8"/>
      <c r="F1660" s="8"/>
      <c r="G1660" s="8"/>
      <c r="H1660" s="8"/>
      <c r="I1660" s="8"/>
      <c r="J1660" s="8"/>
      <c r="K1660" s="8"/>
    </row>
    <row r="1661">
      <c r="A1661" s="8" t="s">
        <v>1669</v>
      </c>
      <c r="B1661" s="8"/>
      <c r="C1661" s="8"/>
      <c r="D1661" s="8"/>
      <c r="E1661" s="8"/>
      <c r="F1661" s="8"/>
      <c r="G1661" s="8"/>
      <c r="H1661" s="8"/>
      <c r="I1661" s="8"/>
      <c r="J1661" s="8"/>
      <c r="K1661" s="8"/>
    </row>
    <row r="1662">
      <c r="A1662" s="8" t="s">
        <v>1670</v>
      </c>
      <c r="B1662" s="8"/>
      <c r="C1662" s="8"/>
      <c r="D1662" s="8"/>
      <c r="E1662" s="8"/>
      <c r="F1662" s="8"/>
      <c r="G1662" s="8"/>
      <c r="H1662" s="8"/>
      <c r="I1662" s="8"/>
      <c r="J1662" s="8"/>
      <c r="K1662" s="8"/>
    </row>
    <row r="1663">
      <c r="A1663" s="8" t="s">
        <v>1671</v>
      </c>
      <c r="B1663" s="8"/>
      <c r="C1663" s="8"/>
      <c r="D1663" s="8"/>
      <c r="E1663" s="8"/>
      <c r="F1663" s="8"/>
      <c r="G1663" s="8"/>
      <c r="H1663" s="8"/>
      <c r="I1663" s="8"/>
      <c r="J1663" s="8"/>
      <c r="K1663" s="8"/>
    </row>
    <row r="1664">
      <c r="A1664" s="8" t="s">
        <v>1672</v>
      </c>
      <c r="B1664" s="8"/>
      <c r="C1664" s="8"/>
      <c r="D1664" s="8"/>
      <c r="E1664" s="8"/>
      <c r="F1664" s="8"/>
      <c r="G1664" s="8"/>
      <c r="H1664" s="8"/>
      <c r="I1664" s="8"/>
      <c r="J1664" s="8"/>
      <c r="K1664" s="8"/>
    </row>
    <row r="1665">
      <c r="A1665" s="8" t="s">
        <v>1673</v>
      </c>
      <c r="B1665" s="8"/>
      <c r="C1665" s="8"/>
      <c r="D1665" s="8"/>
      <c r="E1665" s="8"/>
      <c r="F1665" s="8"/>
      <c r="G1665" s="8"/>
      <c r="H1665" s="8"/>
      <c r="I1665" s="8"/>
      <c r="J1665" s="8"/>
      <c r="K1665" s="8"/>
    </row>
    <row r="1666">
      <c r="A1666" s="8" t="s">
        <v>1674</v>
      </c>
      <c r="B1666" s="8"/>
      <c r="C1666" s="8"/>
      <c r="D1666" s="8"/>
      <c r="E1666" s="8"/>
      <c r="F1666" s="8"/>
      <c r="G1666" s="8"/>
      <c r="H1666" s="8"/>
      <c r="I1666" s="8"/>
      <c r="J1666" s="8"/>
      <c r="K1666" s="8"/>
    </row>
    <row r="1667">
      <c r="A1667" s="8" t="s">
        <v>1675</v>
      </c>
      <c r="B1667" s="8"/>
      <c r="C1667" s="8"/>
      <c r="D1667" s="8"/>
      <c r="E1667" s="8"/>
      <c r="F1667" s="8"/>
      <c r="G1667" s="8"/>
      <c r="H1667" s="8"/>
      <c r="I1667" s="8"/>
      <c r="J1667" s="8"/>
      <c r="K1667" s="8"/>
    </row>
    <row r="1668">
      <c r="A1668" s="8" t="s">
        <v>1676</v>
      </c>
      <c r="B1668" s="8"/>
      <c r="C1668" s="8"/>
      <c r="D1668" s="8"/>
      <c r="E1668" s="8"/>
      <c r="F1668" s="8"/>
      <c r="G1668" s="8"/>
      <c r="H1668" s="8"/>
      <c r="I1668" s="8"/>
      <c r="J1668" s="8"/>
      <c r="K1668" s="8"/>
    </row>
    <row r="1669">
      <c r="A1669" s="8" t="s">
        <v>1677</v>
      </c>
      <c r="B1669" s="8"/>
      <c r="C1669" s="8"/>
      <c r="D1669" s="8"/>
      <c r="E1669" s="8"/>
      <c r="F1669" s="8"/>
      <c r="G1669" s="8"/>
      <c r="H1669" s="8"/>
      <c r="I1669" s="8"/>
      <c r="J1669" s="8"/>
      <c r="K1669" s="8"/>
    </row>
    <row r="1670">
      <c r="A1670" s="8" t="s">
        <v>1678</v>
      </c>
      <c r="B1670" s="8"/>
      <c r="C1670" s="8"/>
      <c r="D1670" s="8"/>
      <c r="E1670" s="8"/>
      <c r="F1670" s="8"/>
      <c r="G1670" s="8"/>
      <c r="H1670" s="8"/>
      <c r="I1670" s="8"/>
      <c r="J1670" s="8"/>
      <c r="K1670" s="8"/>
    </row>
    <row r="1671">
      <c r="A1671" s="8" t="s">
        <v>1679</v>
      </c>
      <c r="B1671" s="8"/>
      <c r="C1671" s="8"/>
      <c r="D1671" s="8"/>
      <c r="E1671" s="8"/>
      <c r="F1671" s="8"/>
      <c r="G1671" s="8"/>
      <c r="H1671" s="8"/>
      <c r="I1671" s="8"/>
      <c r="J1671" s="8"/>
      <c r="K1671" s="8"/>
    </row>
    <row r="1672">
      <c r="A1672" s="8" t="s">
        <v>1680</v>
      </c>
      <c r="B1672" s="8"/>
      <c r="C1672" s="8"/>
      <c r="D1672" s="8"/>
      <c r="E1672" s="8"/>
      <c r="F1672" s="8"/>
      <c r="G1672" s="8"/>
      <c r="H1672" s="8"/>
      <c r="I1672" s="8"/>
      <c r="J1672" s="8"/>
      <c r="K1672" s="8"/>
    </row>
    <row r="1673">
      <c r="A1673" s="8" t="s">
        <v>1681</v>
      </c>
      <c r="B1673" s="8"/>
      <c r="C1673" s="8"/>
      <c r="D1673" s="8"/>
      <c r="E1673" s="8"/>
      <c r="F1673" s="8"/>
      <c r="G1673" s="8"/>
      <c r="H1673" s="8"/>
      <c r="I1673" s="8"/>
      <c r="J1673" s="8"/>
      <c r="K1673" s="8"/>
    </row>
    <row r="1674">
      <c r="A1674" s="8" t="s">
        <v>1682</v>
      </c>
      <c r="B1674" s="8"/>
      <c r="C1674" s="8"/>
      <c r="D1674" s="8"/>
      <c r="E1674" s="8"/>
      <c r="F1674" s="8"/>
      <c r="G1674" s="8"/>
      <c r="H1674" s="8"/>
      <c r="I1674" s="8"/>
      <c r="J1674" s="8"/>
      <c r="K1674" s="8"/>
    </row>
    <row r="1675">
      <c r="A1675" s="8" t="s">
        <v>1683</v>
      </c>
      <c r="B1675" s="8"/>
      <c r="C1675" s="8"/>
      <c r="D1675" s="8"/>
      <c r="E1675" s="8"/>
      <c r="F1675" s="8"/>
      <c r="G1675" s="8"/>
      <c r="H1675" s="8"/>
      <c r="I1675" s="8"/>
      <c r="J1675" s="8"/>
      <c r="K1675" s="8"/>
    </row>
    <row r="1676">
      <c r="A1676" s="8" t="s">
        <v>1684</v>
      </c>
      <c r="B1676" s="8"/>
      <c r="C1676" s="8"/>
      <c r="D1676" s="8"/>
      <c r="E1676" s="8"/>
      <c r="F1676" s="8"/>
      <c r="G1676" s="8"/>
      <c r="H1676" s="8"/>
      <c r="I1676" s="8"/>
      <c r="J1676" s="8"/>
      <c r="K1676" s="8"/>
    </row>
    <row r="1677">
      <c r="A1677" s="8" t="s">
        <v>1685</v>
      </c>
      <c r="B1677" s="8"/>
      <c r="C1677" s="8"/>
      <c r="D1677" s="8"/>
      <c r="E1677" s="8"/>
      <c r="F1677" s="8"/>
      <c r="G1677" s="8"/>
      <c r="H1677" s="8"/>
      <c r="I1677" s="8"/>
      <c r="J1677" s="8"/>
      <c r="K1677" s="8"/>
    </row>
    <row r="1678">
      <c r="A1678" s="8" t="s">
        <v>1686</v>
      </c>
      <c r="B1678" s="8"/>
      <c r="C1678" s="8"/>
      <c r="D1678" s="8"/>
      <c r="E1678" s="8"/>
      <c r="F1678" s="8"/>
      <c r="G1678" s="8"/>
      <c r="H1678" s="8"/>
      <c r="I1678" s="8"/>
      <c r="J1678" s="8"/>
      <c r="K1678" s="8"/>
    </row>
    <row r="1679">
      <c r="A1679" s="8" t="s">
        <v>1687</v>
      </c>
      <c r="B1679" s="8"/>
      <c r="C1679" s="8"/>
      <c r="D1679" s="8"/>
      <c r="E1679" s="8"/>
      <c r="F1679" s="8"/>
      <c r="G1679" s="8"/>
      <c r="H1679" s="8"/>
      <c r="I1679" s="8"/>
      <c r="J1679" s="8"/>
      <c r="K1679" s="8"/>
    </row>
    <row r="1680">
      <c r="A1680" s="8" t="s">
        <v>1688</v>
      </c>
      <c r="B1680" s="8"/>
      <c r="C1680" s="8"/>
      <c r="D1680" s="8"/>
      <c r="E1680" s="8"/>
      <c r="F1680" s="8"/>
      <c r="G1680" s="8"/>
      <c r="H1680" s="8"/>
      <c r="I1680" s="8"/>
      <c r="J1680" s="8"/>
      <c r="K1680" s="8"/>
    </row>
    <row r="1681">
      <c r="A1681" s="8" t="s">
        <v>1689</v>
      </c>
      <c r="B1681" s="8"/>
      <c r="C1681" s="8"/>
      <c r="D1681" s="8"/>
      <c r="E1681" s="8"/>
      <c r="F1681" s="8"/>
      <c r="G1681" s="8"/>
      <c r="H1681" s="8"/>
      <c r="I1681" s="8"/>
      <c r="J1681" s="8"/>
      <c r="K1681" s="8"/>
    </row>
    <row r="1682">
      <c r="A1682" s="8" t="s">
        <v>1690</v>
      </c>
      <c r="B1682" s="8"/>
      <c r="C1682" s="8"/>
      <c r="D1682" s="8"/>
      <c r="E1682" s="8"/>
      <c r="F1682" s="8"/>
      <c r="G1682" s="8"/>
      <c r="H1682" s="8"/>
      <c r="I1682" s="8"/>
      <c r="J1682" s="8"/>
      <c r="K1682" s="8"/>
    </row>
    <row r="1683">
      <c r="A1683" s="8" t="s">
        <v>1691</v>
      </c>
      <c r="B1683" s="8"/>
      <c r="C1683" s="8"/>
      <c r="D1683" s="8"/>
      <c r="E1683" s="8"/>
      <c r="F1683" s="8"/>
      <c r="G1683" s="8"/>
      <c r="H1683" s="8"/>
      <c r="I1683" s="8"/>
      <c r="J1683" s="8"/>
      <c r="K1683" s="8"/>
    </row>
    <row r="1684">
      <c r="A1684" s="8" t="s">
        <v>1692</v>
      </c>
      <c r="B1684" s="8"/>
      <c r="C1684" s="8"/>
      <c r="D1684" s="8"/>
      <c r="E1684" s="8"/>
      <c r="F1684" s="8"/>
      <c r="G1684" s="8"/>
      <c r="H1684" s="8"/>
      <c r="I1684" s="8"/>
      <c r="J1684" s="8"/>
      <c r="K1684" s="8"/>
    </row>
    <row r="1685">
      <c r="A1685" s="8" t="s">
        <v>1693</v>
      </c>
      <c r="B1685" s="8"/>
      <c r="C1685" s="8"/>
      <c r="D1685" s="8"/>
      <c r="E1685" s="8"/>
      <c r="F1685" s="8"/>
      <c r="G1685" s="8"/>
      <c r="H1685" s="8"/>
      <c r="I1685" s="8"/>
      <c r="J1685" s="8"/>
      <c r="K1685" s="8"/>
    </row>
    <row r="1686">
      <c r="A1686" s="8" t="s">
        <v>1694</v>
      </c>
      <c r="B1686" s="8"/>
      <c r="C1686" s="8"/>
      <c r="D1686" s="8"/>
      <c r="E1686" s="8"/>
      <c r="F1686" s="8"/>
      <c r="G1686" s="8"/>
      <c r="H1686" s="8"/>
      <c r="I1686" s="8"/>
      <c r="J1686" s="8"/>
      <c r="K1686" s="8"/>
    </row>
    <row r="1687">
      <c r="A1687" s="8" t="s">
        <v>1695</v>
      </c>
      <c r="B1687" s="8"/>
      <c r="C1687" s="8"/>
      <c r="D1687" s="8"/>
      <c r="E1687" s="8"/>
      <c r="F1687" s="8"/>
      <c r="G1687" s="8"/>
      <c r="H1687" s="8"/>
      <c r="I1687" s="8"/>
      <c r="J1687" s="8"/>
      <c r="K1687" s="8"/>
    </row>
    <row r="1688">
      <c r="A1688" s="8" t="s">
        <v>1696</v>
      </c>
      <c r="B1688" s="8"/>
      <c r="C1688" s="8"/>
      <c r="D1688" s="8"/>
      <c r="E1688" s="8"/>
      <c r="F1688" s="8"/>
      <c r="G1688" s="8"/>
      <c r="H1688" s="8"/>
      <c r="I1688" s="8"/>
      <c r="J1688" s="8"/>
      <c r="K1688" s="8"/>
    </row>
    <row r="1689">
      <c r="A1689" s="8" t="s">
        <v>1697</v>
      </c>
      <c r="B1689" s="8"/>
      <c r="C1689" s="8"/>
      <c r="D1689" s="8"/>
      <c r="E1689" s="8"/>
      <c r="F1689" s="8"/>
      <c r="G1689" s="8"/>
      <c r="H1689" s="8"/>
      <c r="I1689" s="8"/>
      <c r="J1689" s="8"/>
      <c r="K1689" s="8"/>
    </row>
    <row r="1690">
      <c r="A1690" s="8" t="s">
        <v>1698</v>
      </c>
      <c r="B1690" s="8"/>
      <c r="C1690" s="8"/>
      <c r="D1690" s="8"/>
      <c r="E1690" s="8"/>
      <c r="F1690" s="8"/>
      <c r="G1690" s="8"/>
      <c r="H1690" s="8"/>
      <c r="I1690" s="8"/>
      <c r="J1690" s="8"/>
      <c r="K1690" s="8"/>
    </row>
    <row r="1691">
      <c r="A1691" s="8" t="s">
        <v>1699</v>
      </c>
      <c r="B1691" s="8"/>
      <c r="C1691" s="8"/>
      <c r="D1691" s="8"/>
      <c r="E1691" s="8"/>
      <c r="F1691" s="8"/>
      <c r="G1691" s="8"/>
      <c r="H1691" s="8"/>
      <c r="I1691" s="8"/>
      <c r="J1691" s="8"/>
      <c r="K1691" s="8"/>
    </row>
    <row r="1692">
      <c r="A1692" s="8" t="s">
        <v>1700</v>
      </c>
      <c r="B1692" s="8"/>
      <c r="C1692" s="8"/>
      <c r="D1692" s="8"/>
      <c r="E1692" s="8"/>
      <c r="F1692" s="8"/>
      <c r="G1692" s="8"/>
      <c r="H1692" s="8"/>
      <c r="I1692" s="8"/>
      <c r="J1692" s="8"/>
      <c r="K1692" s="8"/>
    </row>
    <row r="1693">
      <c r="A1693" s="8" t="s">
        <v>1701</v>
      </c>
      <c r="B1693" s="8"/>
      <c r="C1693" s="8"/>
      <c r="D1693" s="8"/>
      <c r="E1693" s="8"/>
      <c r="F1693" s="8"/>
      <c r="G1693" s="8"/>
      <c r="H1693" s="8"/>
      <c r="I1693" s="8"/>
      <c r="J1693" s="8"/>
      <c r="K1693" s="8"/>
    </row>
    <row r="1694">
      <c r="A1694" s="8" t="s">
        <v>1702</v>
      </c>
      <c r="B1694" s="8"/>
      <c r="C1694" s="8"/>
      <c r="D1694" s="8"/>
      <c r="E1694" s="8"/>
      <c r="F1694" s="8"/>
      <c r="G1694" s="8"/>
      <c r="H1694" s="8"/>
      <c r="I1694" s="8"/>
      <c r="J1694" s="8"/>
      <c r="K1694" s="8"/>
    </row>
    <row r="1695">
      <c r="A1695" s="8" t="s">
        <v>1703</v>
      </c>
      <c r="B1695" s="8"/>
      <c r="C1695" s="8"/>
      <c r="D1695" s="8"/>
      <c r="E1695" s="8"/>
      <c r="F1695" s="8"/>
      <c r="G1695" s="8"/>
      <c r="H1695" s="8"/>
      <c r="I1695" s="8"/>
      <c r="J1695" s="8"/>
      <c r="K1695" s="8"/>
    </row>
    <row r="1696">
      <c r="A1696" s="8" t="s">
        <v>1704</v>
      </c>
      <c r="B1696" s="8"/>
      <c r="C1696" s="8"/>
      <c r="D1696" s="8"/>
      <c r="E1696" s="8"/>
      <c r="F1696" s="8"/>
      <c r="G1696" s="8"/>
      <c r="H1696" s="8"/>
      <c r="I1696" s="8"/>
      <c r="J1696" s="8"/>
      <c r="K1696" s="8"/>
    </row>
    <row r="1697">
      <c r="A1697" s="8" t="s">
        <v>1705</v>
      </c>
      <c r="B1697" s="8"/>
      <c r="C1697" s="8"/>
      <c r="D1697" s="8"/>
      <c r="E1697" s="8"/>
      <c r="F1697" s="8"/>
      <c r="G1697" s="8"/>
      <c r="H1697" s="8"/>
      <c r="I1697" s="8"/>
      <c r="J1697" s="8"/>
      <c r="K1697" s="8"/>
    </row>
    <row r="1698">
      <c r="A1698" s="8" t="s">
        <v>1706</v>
      </c>
      <c r="B1698" s="8"/>
      <c r="C1698" s="8"/>
      <c r="D1698" s="8"/>
      <c r="E1698" s="8"/>
      <c r="F1698" s="8"/>
      <c r="G1698" s="8"/>
      <c r="H1698" s="8"/>
      <c r="I1698" s="8"/>
      <c r="J1698" s="8"/>
      <c r="K1698" s="8"/>
    </row>
    <row r="1699">
      <c r="A1699" s="8" t="s">
        <v>1707</v>
      </c>
      <c r="B1699" s="8"/>
      <c r="C1699" s="8"/>
      <c r="D1699" s="8"/>
      <c r="E1699" s="8"/>
      <c r="F1699" s="8"/>
      <c r="G1699" s="8"/>
      <c r="H1699" s="8"/>
      <c r="I1699" s="8"/>
      <c r="J1699" s="8"/>
      <c r="K1699" s="8"/>
    </row>
    <row r="1700">
      <c r="A1700" s="8" t="s">
        <v>1708</v>
      </c>
      <c r="B1700" s="8"/>
      <c r="C1700" s="8"/>
      <c r="D1700" s="8"/>
      <c r="E1700" s="8"/>
      <c r="F1700" s="8"/>
      <c r="G1700" s="8"/>
      <c r="H1700" s="8"/>
      <c r="I1700" s="8"/>
      <c r="J1700" s="8"/>
      <c r="K1700" s="8"/>
    </row>
    <row r="1701">
      <c r="A1701" s="8" t="s">
        <v>1709</v>
      </c>
      <c r="B1701" s="8"/>
      <c r="C1701" s="8"/>
      <c r="D1701" s="8"/>
      <c r="E1701" s="8"/>
      <c r="F1701" s="8"/>
      <c r="G1701" s="8"/>
      <c r="H1701" s="8"/>
      <c r="I1701" s="8"/>
      <c r="J1701" s="8"/>
      <c r="K1701" s="8"/>
    </row>
    <row r="1702">
      <c r="A1702" s="8" t="s">
        <v>1710</v>
      </c>
      <c r="B1702" s="8"/>
      <c r="C1702" s="8"/>
      <c r="D1702" s="8"/>
      <c r="E1702" s="8"/>
      <c r="F1702" s="8"/>
      <c r="G1702" s="8"/>
      <c r="H1702" s="8"/>
      <c r="I1702" s="8"/>
      <c r="J1702" s="8"/>
      <c r="K1702" s="8"/>
    </row>
    <row r="1703">
      <c r="A1703" s="8" t="s">
        <v>1711</v>
      </c>
      <c r="B1703" s="8"/>
      <c r="C1703" s="8"/>
      <c r="D1703" s="8"/>
      <c r="E1703" s="8"/>
      <c r="F1703" s="8"/>
      <c r="G1703" s="8"/>
      <c r="H1703" s="8"/>
      <c r="I1703" s="8"/>
      <c r="J1703" s="8"/>
      <c r="K1703" s="8"/>
    </row>
    <row r="1704">
      <c r="A1704" s="8" t="s">
        <v>1712</v>
      </c>
      <c r="B1704" s="8"/>
      <c r="C1704" s="8"/>
      <c r="D1704" s="8"/>
      <c r="E1704" s="8"/>
      <c r="F1704" s="8"/>
      <c r="G1704" s="8"/>
      <c r="H1704" s="8"/>
      <c r="I1704" s="8"/>
      <c r="J1704" s="8"/>
      <c r="K1704" s="8"/>
    </row>
    <row r="1705">
      <c r="A1705" s="8" t="s">
        <v>1713</v>
      </c>
      <c r="B1705" s="8"/>
      <c r="C1705" s="8"/>
      <c r="D1705" s="8"/>
      <c r="E1705" s="8"/>
      <c r="F1705" s="8"/>
      <c r="G1705" s="8"/>
      <c r="H1705" s="8"/>
      <c r="I1705" s="8"/>
      <c r="J1705" s="8"/>
      <c r="K1705" s="8"/>
    </row>
    <row r="1706">
      <c r="A1706" s="8" t="s">
        <v>1714</v>
      </c>
      <c r="B1706" s="8"/>
      <c r="C1706" s="8"/>
      <c r="D1706" s="8"/>
      <c r="E1706" s="8"/>
      <c r="F1706" s="8"/>
      <c r="G1706" s="8"/>
      <c r="H1706" s="8"/>
      <c r="I1706" s="8"/>
      <c r="J1706" s="8"/>
      <c r="K1706" s="8"/>
    </row>
    <row r="1707">
      <c r="A1707" s="8" t="s">
        <v>1715</v>
      </c>
      <c r="B1707" s="8"/>
      <c r="C1707" s="8"/>
      <c r="D1707" s="8"/>
      <c r="E1707" s="8"/>
      <c r="F1707" s="8"/>
      <c r="G1707" s="8"/>
      <c r="H1707" s="8"/>
      <c r="I1707" s="8"/>
      <c r="J1707" s="8"/>
      <c r="K1707" s="8"/>
    </row>
    <row r="1708">
      <c r="A1708" s="8" t="s">
        <v>1716</v>
      </c>
      <c r="B1708" s="8"/>
      <c r="C1708" s="8"/>
      <c r="D1708" s="8"/>
      <c r="E1708" s="8"/>
      <c r="F1708" s="8"/>
      <c r="G1708" s="8"/>
      <c r="H1708" s="8"/>
      <c r="I1708" s="8"/>
      <c r="J1708" s="8"/>
      <c r="K1708" s="8"/>
    </row>
    <row r="1709">
      <c r="A1709" s="8" t="s">
        <v>1717</v>
      </c>
      <c r="B1709" s="8"/>
      <c r="C1709" s="8"/>
      <c r="D1709" s="8"/>
      <c r="E1709" s="8"/>
      <c r="F1709" s="8"/>
      <c r="G1709" s="8"/>
      <c r="H1709" s="8"/>
      <c r="I1709" s="8"/>
      <c r="J1709" s="8"/>
      <c r="K1709" s="8"/>
    </row>
    <row r="1710">
      <c r="A1710" s="8" t="s">
        <v>1718</v>
      </c>
      <c r="B1710" s="8"/>
      <c r="C1710" s="8"/>
      <c r="D1710" s="8"/>
      <c r="E1710" s="8"/>
      <c r="F1710" s="8"/>
      <c r="G1710" s="8"/>
      <c r="H1710" s="8"/>
      <c r="I1710" s="8"/>
      <c r="J1710" s="8"/>
      <c r="K1710" s="8"/>
    </row>
    <row r="1711">
      <c r="A1711" s="8" t="s">
        <v>1719</v>
      </c>
      <c r="B1711" s="8"/>
      <c r="C1711" s="8"/>
      <c r="D1711" s="8"/>
      <c r="E1711" s="8"/>
      <c r="F1711" s="8"/>
      <c r="G1711" s="8"/>
      <c r="H1711" s="8"/>
      <c r="I1711" s="8"/>
      <c r="J1711" s="8"/>
      <c r="K1711" s="8"/>
    </row>
    <row r="1712">
      <c r="A1712" s="8" t="s">
        <v>1720</v>
      </c>
      <c r="B1712" s="8"/>
      <c r="C1712" s="8"/>
      <c r="D1712" s="8"/>
      <c r="E1712" s="8"/>
      <c r="F1712" s="8"/>
      <c r="G1712" s="8"/>
      <c r="H1712" s="8"/>
      <c r="I1712" s="8"/>
      <c r="J1712" s="8"/>
      <c r="K1712" s="8"/>
    </row>
    <row r="1713">
      <c r="A1713" s="8" t="s">
        <v>1721</v>
      </c>
      <c r="B1713" s="8"/>
      <c r="C1713" s="8"/>
      <c r="D1713" s="8"/>
      <c r="E1713" s="8"/>
      <c r="F1713" s="8"/>
      <c r="G1713" s="8"/>
      <c r="H1713" s="8"/>
      <c r="I1713" s="8"/>
      <c r="J1713" s="8"/>
      <c r="K1713" s="8"/>
    </row>
    <row r="1714">
      <c r="A1714" s="8" t="s">
        <v>1722</v>
      </c>
      <c r="B1714" s="8"/>
      <c r="C1714" s="8"/>
      <c r="D1714" s="8"/>
      <c r="E1714" s="8"/>
      <c r="F1714" s="8"/>
      <c r="G1714" s="8"/>
      <c r="H1714" s="8"/>
      <c r="I1714" s="8"/>
      <c r="J1714" s="8"/>
      <c r="K1714" s="8"/>
    </row>
    <row r="1715">
      <c r="A1715" s="8" t="s">
        <v>1723</v>
      </c>
      <c r="B1715" s="8"/>
      <c r="C1715" s="8"/>
      <c r="D1715" s="8"/>
      <c r="E1715" s="8"/>
      <c r="F1715" s="8"/>
      <c r="G1715" s="8"/>
      <c r="H1715" s="8"/>
      <c r="I1715" s="8"/>
      <c r="J1715" s="8"/>
      <c r="K1715" s="8"/>
    </row>
    <row r="1716">
      <c r="A1716" s="8" t="s">
        <v>1724</v>
      </c>
      <c r="B1716" s="8"/>
      <c r="C1716" s="8"/>
      <c r="D1716" s="8"/>
      <c r="E1716" s="8"/>
      <c r="F1716" s="8"/>
      <c r="G1716" s="8"/>
      <c r="H1716" s="8"/>
      <c r="I1716" s="8"/>
      <c r="J1716" s="8"/>
      <c r="K1716" s="8"/>
    </row>
    <row r="1717">
      <c r="A1717" s="8" t="s">
        <v>1725</v>
      </c>
      <c r="B1717" s="8"/>
      <c r="C1717" s="8"/>
      <c r="D1717" s="8"/>
      <c r="E1717" s="8"/>
      <c r="F1717" s="8"/>
      <c r="G1717" s="8"/>
      <c r="H1717" s="8"/>
      <c r="I1717" s="8"/>
      <c r="J1717" s="8"/>
      <c r="K1717" s="8"/>
    </row>
    <row r="1718">
      <c r="A1718" s="8" t="s">
        <v>1726</v>
      </c>
      <c r="B1718" s="8"/>
      <c r="C1718" s="8"/>
      <c r="D1718" s="8"/>
      <c r="E1718" s="8"/>
      <c r="F1718" s="8"/>
      <c r="G1718" s="8"/>
      <c r="H1718" s="8"/>
      <c r="I1718" s="8"/>
      <c r="J1718" s="8"/>
      <c r="K1718" s="8"/>
    </row>
    <row r="1719">
      <c r="A1719" s="8" t="s">
        <v>1727</v>
      </c>
      <c r="B1719" s="8"/>
      <c r="C1719" s="8"/>
      <c r="D1719" s="8"/>
      <c r="E1719" s="8"/>
      <c r="F1719" s="8"/>
      <c r="G1719" s="8"/>
      <c r="H1719" s="8"/>
      <c r="I1719" s="8"/>
      <c r="J1719" s="8"/>
      <c r="K1719" s="8"/>
    </row>
    <row r="1720">
      <c r="A1720" s="8" t="s">
        <v>1728</v>
      </c>
      <c r="B1720" s="8"/>
      <c r="C1720" s="8"/>
      <c r="D1720" s="8"/>
      <c r="E1720" s="8"/>
      <c r="F1720" s="8"/>
      <c r="G1720" s="8"/>
      <c r="H1720" s="8"/>
      <c r="I1720" s="8"/>
      <c r="J1720" s="8"/>
      <c r="K1720" s="8"/>
    </row>
    <row r="1721">
      <c r="A1721" s="8" t="s">
        <v>1729</v>
      </c>
      <c r="B1721" s="8"/>
      <c r="C1721" s="8"/>
      <c r="D1721" s="8"/>
      <c r="E1721" s="8"/>
      <c r="F1721" s="8"/>
      <c r="G1721" s="8"/>
      <c r="H1721" s="8"/>
      <c r="I1721" s="8"/>
      <c r="J1721" s="8"/>
      <c r="K1721" s="8"/>
    </row>
    <row r="1722">
      <c r="A1722" s="8" t="s">
        <v>1730</v>
      </c>
      <c r="B1722" s="8"/>
      <c r="C1722" s="8"/>
      <c r="D1722" s="8"/>
      <c r="E1722" s="8"/>
      <c r="F1722" s="8"/>
      <c r="G1722" s="8"/>
      <c r="H1722" s="8"/>
      <c r="I1722" s="8"/>
      <c r="J1722" s="8"/>
      <c r="K1722" s="8"/>
    </row>
    <row r="1723">
      <c r="A1723" s="8" t="s">
        <v>1731</v>
      </c>
      <c r="B1723" s="8"/>
      <c r="C1723" s="8"/>
      <c r="D1723" s="8"/>
      <c r="E1723" s="8"/>
      <c r="F1723" s="8"/>
      <c r="G1723" s="8"/>
      <c r="H1723" s="8"/>
      <c r="I1723" s="8"/>
      <c r="J1723" s="8"/>
      <c r="K1723" s="8"/>
    </row>
    <row r="1724">
      <c r="A1724" s="8" t="s">
        <v>1732</v>
      </c>
      <c r="B1724" s="8"/>
      <c r="C1724" s="8"/>
      <c r="D1724" s="8"/>
      <c r="E1724" s="8"/>
      <c r="F1724" s="8"/>
      <c r="G1724" s="8"/>
      <c r="H1724" s="8"/>
      <c r="I1724" s="8"/>
      <c r="J1724" s="8"/>
      <c r="K1724" s="8"/>
    </row>
    <row r="1725">
      <c r="A1725" s="8" t="s">
        <v>1733</v>
      </c>
      <c r="B1725" s="8"/>
      <c r="C1725" s="8"/>
      <c r="D1725" s="8"/>
      <c r="E1725" s="8"/>
      <c r="F1725" s="8"/>
      <c r="G1725" s="8"/>
      <c r="H1725" s="8"/>
      <c r="I1725" s="8"/>
      <c r="J1725" s="8"/>
      <c r="K1725" s="8"/>
    </row>
    <row r="1726">
      <c r="A1726" s="8" t="s">
        <v>1734</v>
      </c>
      <c r="B1726" s="8"/>
      <c r="C1726" s="8"/>
      <c r="D1726" s="8"/>
      <c r="E1726" s="8"/>
      <c r="F1726" s="8"/>
      <c r="G1726" s="8"/>
      <c r="H1726" s="8"/>
      <c r="I1726" s="8"/>
      <c r="J1726" s="8"/>
      <c r="K1726" s="8"/>
    </row>
    <row r="1727">
      <c r="A1727" s="8" t="s">
        <v>1735</v>
      </c>
      <c r="B1727" s="8"/>
      <c r="C1727" s="8"/>
      <c r="D1727" s="8"/>
      <c r="E1727" s="8"/>
      <c r="F1727" s="8"/>
      <c r="G1727" s="8"/>
      <c r="H1727" s="8"/>
      <c r="I1727" s="8"/>
      <c r="J1727" s="8"/>
      <c r="K1727" s="8"/>
    </row>
    <row r="1728">
      <c r="A1728" s="8" t="s">
        <v>1736</v>
      </c>
      <c r="B1728" s="8"/>
      <c r="C1728" s="8"/>
      <c r="D1728" s="8"/>
      <c r="E1728" s="8"/>
      <c r="F1728" s="8"/>
      <c r="G1728" s="8"/>
      <c r="H1728" s="8"/>
      <c r="I1728" s="8"/>
      <c r="J1728" s="8"/>
      <c r="K1728" s="8"/>
    </row>
    <row r="1729">
      <c r="A1729" s="8" t="s">
        <v>1737</v>
      </c>
      <c r="B1729" s="8"/>
      <c r="C1729" s="8"/>
      <c r="D1729" s="8"/>
      <c r="E1729" s="8"/>
      <c r="F1729" s="8"/>
      <c r="G1729" s="8"/>
      <c r="H1729" s="8"/>
      <c r="I1729" s="8"/>
      <c r="J1729" s="8"/>
      <c r="K1729" s="8"/>
    </row>
    <row r="1730">
      <c r="A1730" s="8" t="s">
        <v>1738</v>
      </c>
      <c r="B1730" s="8"/>
      <c r="C1730" s="8"/>
      <c r="D1730" s="8"/>
      <c r="E1730" s="8"/>
      <c r="F1730" s="8"/>
      <c r="G1730" s="8"/>
      <c r="H1730" s="8"/>
      <c r="I1730" s="8"/>
      <c r="J1730" s="8"/>
      <c r="K1730" s="8"/>
    </row>
    <row r="1731">
      <c r="A1731" s="8" t="s">
        <v>1739</v>
      </c>
      <c r="B1731" s="8"/>
      <c r="C1731" s="8"/>
      <c r="D1731" s="8"/>
      <c r="E1731" s="8"/>
      <c r="F1731" s="8"/>
      <c r="G1731" s="8"/>
      <c r="H1731" s="8"/>
      <c r="I1731" s="8"/>
      <c r="J1731" s="8"/>
      <c r="K1731" s="8"/>
    </row>
    <row r="1732">
      <c r="A1732" s="8" t="s">
        <v>1740</v>
      </c>
      <c r="B1732" s="8"/>
      <c r="C1732" s="8"/>
      <c r="D1732" s="8"/>
      <c r="E1732" s="8"/>
      <c r="F1732" s="8"/>
      <c r="G1732" s="8"/>
      <c r="H1732" s="8"/>
      <c r="I1732" s="8"/>
      <c r="J1732" s="8"/>
      <c r="K1732" s="8"/>
    </row>
    <row r="1733">
      <c r="A1733" s="8" t="s">
        <v>1741</v>
      </c>
      <c r="B1733" s="8"/>
      <c r="C1733" s="8"/>
      <c r="D1733" s="8"/>
      <c r="E1733" s="8"/>
      <c r="F1733" s="8"/>
      <c r="G1733" s="8"/>
      <c r="H1733" s="8"/>
      <c r="I1733" s="8"/>
      <c r="J1733" s="8"/>
      <c r="K1733" s="8"/>
    </row>
    <row r="1734">
      <c r="A1734" s="8" t="s">
        <v>1742</v>
      </c>
      <c r="B1734" s="8"/>
      <c r="C1734" s="8"/>
      <c r="D1734" s="8"/>
      <c r="E1734" s="8"/>
      <c r="F1734" s="8"/>
      <c r="G1734" s="8"/>
      <c r="H1734" s="8"/>
      <c r="I1734" s="8"/>
      <c r="J1734" s="8"/>
      <c r="K1734" s="8"/>
    </row>
    <row r="1735">
      <c r="A1735" s="8" t="s">
        <v>1743</v>
      </c>
      <c r="B1735" s="8"/>
      <c r="C1735" s="8"/>
      <c r="D1735" s="8"/>
      <c r="E1735" s="8"/>
      <c r="F1735" s="8"/>
      <c r="G1735" s="8"/>
      <c r="H1735" s="8"/>
      <c r="I1735" s="8"/>
      <c r="J1735" s="8"/>
      <c r="K1735" s="8"/>
    </row>
    <row r="1736">
      <c r="A1736" s="8" t="s">
        <v>1744</v>
      </c>
      <c r="B1736" s="8"/>
      <c r="C1736" s="8"/>
      <c r="D1736" s="8"/>
      <c r="E1736" s="8"/>
      <c r="F1736" s="8"/>
      <c r="G1736" s="8"/>
      <c r="H1736" s="8"/>
      <c r="I1736" s="8"/>
      <c r="J1736" s="8"/>
      <c r="K1736" s="8"/>
    </row>
    <row r="1737">
      <c r="A1737" s="8" t="s">
        <v>1745</v>
      </c>
      <c r="B1737" s="8"/>
      <c r="C1737" s="8"/>
      <c r="D1737" s="8"/>
      <c r="E1737" s="8"/>
      <c r="F1737" s="8"/>
      <c r="G1737" s="8"/>
      <c r="H1737" s="8"/>
      <c r="I1737" s="8"/>
      <c r="J1737" s="8"/>
      <c r="K1737" s="8"/>
    </row>
    <row r="1738">
      <c r="A1738" s="8" t="s">
        <v>1746</v>
      </c>
      <c r="B1738" s="8"/>
      <c r="C1738" s="8"/>
      <c r="D1738" s="8"/>
      <c r="E1738" s="8"/>
      <c r="F1738" s="8"/>
      <c r="G1738" s="8"/>
      <c r="H1738" s="8"/>
      <c r="I1738" s="8"/>
      <c r="J1738" s="8"/>
      <c r="K1738" s="8"/>
    </row>
    <row r="1739">
      <c r="A1739" s="8" t="s">
        <v>1747</v>
      </c>
      <c r="B1739" s="8"/>
      <c r="C1739" s="8"/>
      <c r="D1739" s="8"/>
      <c r="E1739" s="8"/>
      <c r="F1739" s="8"/>
      <c r="G1739" s="8"/>
      <c r="H1739" s="8"/>
      <c r="I1739" s="8"/>
      <c r="J1739" s="8"/>
      <c r="K1739" s="8"/>
    </row>
    <row r="1740">
      <c r="A1740" s="8" t="s">
        <v>1748</v>
      </c>
      <c r="B1740" s="8"/>
      <c r="C1740" s="8"/>
      <c r="D1740" s="8"/>
      <c r="E1740" s="8"/>
      <c r="F1740" s="8"/>
      <c r="G1740" s="8"/>
      <c r="H1740" s="8"/>
      <c r="I1740" s="8"/>
      <c r="J1740" s="8"/>
      <c r="K1740" s="8"/>
    </row>
    <row r="1741">
      <c r="A1741" s="8" t="s">
        <v>1749</v>
      </c>
      <c r="B1741" s="8"/>
      <c r="C1741" s="8"/>
      <c r="D1741" s="8"/>
      <c r="E1741" s="8"/>
      <c r="F1741" s="8"/>
      <c r="G1741" s="8"/>
      <c r="H1741" s="8"/>
      <c r="I1741" s="8"/>
      <c r="J1741" s="8"/>
      <c r="K1741" s="8"/>
    </row>
    <row r="1742">
      <c r="A1742" s="8" t="s">
        <v>1750</v>
      </c>
      <c r="B1742" s="8"/>
      <c r="C1742" s="8"/>
      <c r="D1742" s="8"/>
      <c r="E1742" s="8"/>
      <c r="F1742" s="8"/>
      <c r="G1742" s="8"/>
      <c r="H1742" s="8"/>
      <c r="I1742" s="8"/>
      <c r="J1742" s="8"/>
      <c r="K1742" s="8"/>
    </row>
    <row r="1743">
      <c r="A1743" s="8" t="s">
        <v>1751</v>
      </c>
      <c r="B1743" s="8"/>
      <c r="C1743" s="8"/>
      <c r="D1743" s="8"/>
      <c r="E1743" s="8"/>
      <c r="F1743" s="8"/>
      <c r="G1743" s="8"/>
      <c r="H1743" s="8"/>
      <c r="I1743" s="8"/>
      <c r="J1743" s="8"/>
      <c r="K1743" s="8"/>
    </row>
    <row r="1744">
      <c r="A1744" s="8" t="s">
        <v>1752</v>
      </c>
      <c r="B1744" s="8"/>
      <c r="C1744" s="8"/>
      <c r="D1744" s="8"/>
      <c r="E1744" s="8"/>
      <c r="F1744" s="8"/>
      <c r="G1744" s="8"/>
      <c r="H1744" s="8"/>
      <c r="I1744" s="8"/>
      <c r="J1744" s="8"/>
      <c r="K1744" s="8"/>
    </row>
    <row r="1745">
      <c r="A1745" s="8" t="s">
        <v>1753</v>
      </c>
      <c r="B1745" s="8"/>
      <c r="C1745" s="8"/>
      <c r="D1745" s="8"/>
      <c r="E1745" s="8"/>
      <c r="F1745" s="8"/>
      <c r="G1745" s="8"/>
      <c r="H1745" s="8"/>
      <c r="I1745" s="8"/>
      <c r="J1745" s="8"/>
      <c r="K1745" s="8"/>
    </row>
    <row r="1746">
      <c r="A1746" s="8" t="s">
        <v>1754</v>
      </c>
      <c r="B1746" s="8"/>
      <c r="C1746" s="8"/>
      <c r="D1746" s="8"/>
      <c r="E1746" s="8"/>
      <c r="F1746" s="8"/>
      <c r="G1746" s="8"/>
      <c r="H1746" s="8"/>
      <c r="I1746" s="8"/>
      <c r="J1746" s="8"/>
      <c r="K1746" s="8"/>
    </row>
    <row r="1747">
      <c r="A1747" s="8" t="s">
        <v>1755</v>
      </c>
      <c r="B1747" s="8"/>
      <c r="C1747" s="8"/>
      <c r="D1747" s="8"/>
      <c r="E1747" s="8"/>
      <c r="F1747" s="8"/>
      <c r="G1747" s="8"/>
      <c r="H1747" s="8"/>
      <c r="I1747" s="8"/>
      <c r="J1747" s="8"/>
      <c r="K1747" s="8"/>
    </row>
    <row r="1748">
      <c r="A1748" s="8" t="s">
        <v>1756</v>
      </c>
      <c r="B1748" s="8"/>
      <c r="C1748" s="8"/>
      <c r="D1748" s="8"/>
      <c r="E1748" s="8"/>
      <c r="F1748" s="8"/>
      <c r="G1748" s="8"/>
      <c r="H1748" s="8"/>
      <c r="I1748" s="8"/>
      <c r="J1748" s="8"/>
      <c r="K1748" s="8"/>
    </row>
    <row r="1749">
      <c r="A1749" s="8" t="s">
        <v>1757</v>
      </c>
      <c r="B1749" s="8"/>
      <c r="C1749" s="8"/>
      <c r="D1749" s="8"/>
      <c r="E1749" s="8"/>
      <c r="F1749" s="8"/>
      <c r="G1749" s="8"/>
      <c r="H1749" s="8"/>
      <c r="I1749" s="8"/>
      <c r="J1749" s="8"/>
      <c r="K1749" s="8"/>
    </row>
    <row r="1750">
      <c r="A1750" s="8" t="s">
        <v>1758</v>
      </c>
      <c r="B1750" s="8"/>
      <c r="C1750" s="8"/>
      <c r="D1750" s="8"/>
      <c r="E1750" s="8"/>
      <c r="F1750" s="8"/>
      <c r="G1750" s="8"/>
      <c r="H1750" s="8"/>
      <c r="I1750" s="8"/>
      <c r="J1750" s="8"/>
      <c r="K1750" s="8"/>
    </row>
    <row r="1751">
      <c r="A1751" s="8" t="s">
        <v>1759</v>
      </c>
      <c r="B1751" s="8"/>
      <c r="C1751" s="8"/>
      <c r="D1751" s="8"/>
      <c r="E1751" s="8"/>
      <c r="F1751" s="8"/>
      <c r="G1751" s="8"/>
      <c r="H1751" s="8"/>
      <c r="I1751" s="8"/>
      <c r="J1751" s="8"/>
      <c r="K1751" s="8"/>
    </row>
    <row r="1752">
      <c r="A1752" s="8" t="s">
        <v>1760</v>
      </c>
      <c r="B1752" s="8"/>
      <c r="C1752" s="8"/>
      <c r="D1752" s="8"/>
      <c r="E1752" s="8"/>
      <c r="F1752" s="8"/>
      <c r="G1752" s="8"/>
      <c r="H1752" s="8"/>
      <c r="I1752" s="8"/>
      <c r="J1752" s="8"/>
      <c r="K1752" s="8"/>
    </row>
    <row r="1753">
      <c r="A1753" s="8" t="s">
        <v>1761</v>
      </c>
      <c r="B1753" s="8"/>
      <c r="C1753" s="8"/>
      <c r="D1753" s="8"/>
      <c r="E1753" s="8"/>
      <c r="F1753" s="8"/>
      <c r="G1753" s="8"/>
      <c r="H1753" s="8"/>
      <c r="I1753" s="8"/>
      <c r="J1753" s="8"/>
      <c r="K1753" s="8"/>
    </row>
    <row r="1754">
      <c r="A1754" s="8" t="s">
        <v>1762</v>
      </c>
      <c r="B1754" s="8"/>
      <c r="C1754" s="8"/>
      <c r="D1754" s="8"/>
      <c r="E1754" s="8"/>
      <c r="F1754" s="8"/>
      <c r="G1754" s="8"/>
      <c r="H1754" s="8"/>
      <c r="I1754" s="8"/>
      <c r="J1754" s="8"/>
      <c r="K1754" s="8"/>
    </row>
    <row r="1755">
      <c r="A1755" s="8" t="s">
        <v>1763</v>
      </c>
      <c r="B1755" s="8"/>
      <c r="C1755" s="8"/>
      <c r="D1755" s="8"/>
      <c r="E1755" s="8"/>
      <c r="F1755" s="8"/>
      <c r="G1755" s="8"/>
      <c r="H1755" s="8"/>
      <c r="I1755" s="8"/>
      <c r="J1755" s="8"/>
      <c r="K1755" s="8"/>
    </row>
    <row r="1756">
      <c r="A1756" s="8" t="s">
        <v>1764</v>
      </c>
      <c r="B1756" s="8"/>
      <c r="C1756" s="8"/>
      <c r="D1756" s="8"/>
      <c r="E1756" s="8"/>
      <c r="F1756" s="8"/>
      <c r="G1756" s="8"/>
      <c r="H1756" s="8"/>
      <c r="I1756" s="8"/>
      <c r="J1756" s="8"/>
      <c r="K1756" s="8"/>
    </row>
    <row r="1757">
      <c r="A1757" s="8" t="s">
        <v>1765</v>
      </c>
      <c r="B1757" s="8"/>
      <c r="C1757" s="8"/>
      <c r="D1757" s="8"/>
      <c r="E1757" s="8"/>
      <c r="F1757" s="8"/>
      <c r="G1757" s="8"/>
      <c r="H1757" s="8"/>
      <c r="I1757" s="8"/>
      <c r="J1757" s="8"/>
      <c r="K1757" s="8"/>
    </row>
    <row r="1758">
      <c r="A1758" s="8" t="s">
        <v>1766</v>
      </c>
      <c r="B1758" s="8"/>
      <c r="C1758" s="8"/>
      <c r="D1758" s="8"/>
      <c r="E1758" s="8"/>
      <c r="F1758" s="8"/>
      <c r="G1758" s="8"/>
      <c r="H1758" s="8"/>
      <c r="I1758" s="8"/>
      <c r="J1758" s="8"/>
      <c r="K1758" s="8"/>
    </row>
    <row r="1759">
      <c r="A1759" s="8" t="s">
        <v>1767</v>
      </c>
      <c r="B1759" s="8"/>
      <c r="C1759" s="8"/>
      <c r="D1759" s="8"/>
      <c r="E1759" s="8"/>
      <c r="F1759" s="8"/>
      <c r="G1759" s="8"/>
      <c r="H1759" s="8"/>
      <c r="I1759" s="8"/>
      <c r="J1759" s="8"/>
      <c r="K1759" s="8"/>
    </row>
    <row r="1760">
      <c r="A1760" s="8" t="s">
        <v>1768</v>
      </c>
      <c r="B1760" s="8"/>
      <c r="C1760" s="8"/>
      <c r="D1760" s="8"/>
      <c r="E1760" s="8"/>
      <c r="F1760" s="8"/>
      <c r="G1760" s="8"/>
      <c r="H1760" s="8"/>
      <c r="I1760" s="8"/>
      <c r="J1760" s="8"/>
      <c r="K1760" s="8"/>
    </row>
    <row r="1761">
      <c r="A1761" s="8" t="s">
        <v>1769</v>
      </c>
      <c r="B1761" s="8"/>
      <c r="C1761" s="8"/>
      <c r="D1761" s="8"/>
      <c r="E1761" s="8"/>
      <c r="F1761" s="8"/>
      <c r="G1761" s="8"/>
      <c r="H1761" s="8"/>
      <c r="I1761" s="8"/>
      <c r="J1761" s="8"/>
      <c r="K1761" s="8"/>
    </row>
    <row r="1762">
      <c r="A1762" s="8" t="s">
        <v>1770</v>
      </c>
      <c r="B1762" s="8"/>
      <c r="C1762" s="8"/>
      <c r="D1762" s="8"/>
      <c r="E1762" s="8"/>
      <c r="F1762" s="8"/>
      <c r="G1762" s="8"/>
      <c r="H1762" s="8"/>
      <c r="I1762" s="8"/>
      <c r="J1762" s="8"/>
      <c r="K1762" s="8"/>
    </row>
    <row r="1763">
      <c r="A1763" s="8" t="s">
        <v>1771</v>
      </c>
      <c r="B1763" s="8"/>
      <c r="C1763" s="8"/>
      <c r="D1763" s="8"/>
      <c r="E1763" s="8"/>
      <c r="F1763" s="8"/>
      <c r="G1763" s="8"/>
      <c r="H1763" s="8"/>
      <c r="I1763" s="8"/>
      <c r="J1763" s="8"/>
      <c r="K1763" s="8"/>
    </row>
    <row r="1764">
      <c r="A1764" s="8" t="s">
        <v>1772</v>
      </c>
      <c r="B1764" s="8"/>
      <c r="C1764" s="8"/>
      <c r="D1764" s="8"/>
      <c r="E1764" s="8"/>
      <c r="F1764" s="8"/>
      <c r="G1764" s="8"/>
      <c r="H1764" s="8"/>
      <c r="I1764" s="8"/>
      <c r="J1764" s="8"/>
      <c r="K1764" s="8"/>
    </row>
    <row r="1765">
      <c r="A1765" s="8" t="s">
        <v>1773</v>
      </c>
      <c r="B1765" s="8"/>
      <c r="C1765" s="8"/>
      <c r="D1765" s="8"/>
      <c r="E1765" s="8"/>
      <c r="F1765" s="8"/>
      <c r="G1765" s="8"/>
      <c r="H1765" s="8"/>
      <c r="I1765" s="8"/>
      <c r="J1765" s="8"/>
      <c r="K1765" s="8"/>
    </row>
    <row r="1766">
      <c r="A1766" s="8" t="s">
        <v>1774</v>
      </c>
      <c r="B1766" s="8"/>
      <c r="C1766" s="8"/>
      <c r="D1766" s="8"/>
      <c r="E1766" s="8"/>
      <c r="F1766" s="8"/>
      <c r="G1766" s="8"/>
      <c r="H1766" s="8"/>
      <c r="I1766" s="8"/>
      <c r="J1766" s="8"/>
      <c r="K1766" s="8"/>
    </row>
    <row r="1767">
      <c r="A1767" s="8" t="s">
        <v>1775</v>
      </c>
      <c r="B1767" s="8"/>
      <c r="C1767" s="8"/>
      <c r="D1767" s="8"/>
      <c r="E1767" s="8"/>
      <c r="F1767" s="8"/>
      <c r="G1767" s="8"/>
      <c r="H1767" s="8"/>
      <c r="I1767" s="8"/>
      <c r="J1767" s="8"/>
      <c r="K1767" s="8"/>
    </row>
    <row r="1768">
      <c r="A1768" s="8" t="s">
        <v>1776</v>
      </c>
      <c r="B1768" s="8"/>
      <c r="C1768" s="8"/>
      <c r="D1768" s="8"/>
      <c r="E1768" s="8"/>
      <c r="F1768" s="8"/>
      <c r="G1768" s="8"/>
      <c r="H1768" s="8"/>
      <c r="I1768" s="8"/>
      <c r="J1768" s="8"/>
      <c r="K1768" s="8"/>
    </row>
    <row r="1769">
      <c r="A1769" s="8" t="s">
        <v>1777</v>
      </c>
      <c r="B1769" s="8"/>
      <c r="C1769" s="8"/>
      <c r="D1769" s="8"/>
      <c r="E1769" s="8"/>
      <c r="F1769" s="8"/>
      <c r="G1769" s="8"/>
      <c r="H1769" s="8"/>
      <c r="I1769" s="8"/>
      <c r="J1769" s="8"/>
      <c r="K1769" s="8"/>
    </row>
    <row r="1770">
      <c r="A1770" s="8" t="s">
        <v>1778</v>
      </c>
      <c r="B1770" s="8"/>
      <c r="C1770" s="8"/>
      <c r="D1770" s="8"/>
      <c r="E1770" s="8"/>
      <c r="F1770" s="8"/>
      <c r="G1770" s="8"/>
      <c r="H1770" s="8"/>
      <c r="I1770" s="8"/>
      <c r="J1770" s="8"/>
      <c r="K1770" s="8"/>
    </row>
    <row r="1771">
      <c r="A1771" s="8" t="s">
        <v>1779</v>
      </c>
      <c r="B1771" s="8"/>
      <c r="C1771" s="8"/>
      <c r="D1771" s="8"/>
      <c r="E1771" s="8"/>
      <c r="F1771" s="8"/>
      <c r="G1771" s="8"/>
      <c r="H1771" s="8"/>
      <c r="I1771" s="8"/>
      <c r="J1771" s="8"/>
      <c r="K1771" s="8"/>
    </row>
    <row r="1772">
      <c r="A1772" s="8" t="s">
        <v>1780</v>
      </c>
      <c r="B1772" s="8"/>
      <c r="C1772" s="8"/>
      <c r="D1772" s="8"/>
      <c r="E1772" s="8"/>
      <c r="F1772" s="8"/>
      <c r="G1772" s="8"/>
      <c r="H1772" s="8"/>
      <c r="I1772" s="8"/>
      <c r="J1772" s="8"/>
      <c r="K1772" s="8"/>
    </row>
    <row r="1773">
      <c r="A1773" s="8" t="s">
        <v>1781</v>
      </c>
      <c r="B1773" s="8"/>
      <c r="C1773" s="8"/>
      <c r="D1773" s="8"/>
      <c r="E1773" s="8"/>
      <c r="F1773" s="8"/>
      <c r="G1773" s="8"/>
      <c r="H1773" s="8"/>
      <c r="I1773" s="8"/>
      <c r="J1773" s="8"/>
      <c r="K1773" s="8"/>
    </row>
    <row r="1774">
      <c r="A1774" s="8" t="s">
        <v>1782</v>
      </c>
      <c r="B1774" s="8"/>
      <c r="C1774" s="8"/>
      <c r="D1774" s="8"/>
      <c r="E1774" s="8"/>
      <c r="F1774" s="8"/>
      <c r="G1774" s="8"/>
      <c r="H1774" s="8"/>
      <c r="I1774" s="8"/>
      <c r="J1774" s="8"/>
      <c r="K1774" s="8"/>
    </row>
    <row r="1775">
      <c r="A1775" s="8" t="s">
        <v>1783</v>
      </c>
      <c r="B1775" s="8"/>
      <c r="C1775" s="8"/>
      <c r="D1775" s="8"/>
      <c r="E1775" s="8"/>
      <c r="F1775" s="8"/>
      <c r="G1775" s="8"/>
      <c r="H1775" s="8"/>
      <c r="I1775" s="8"/>
      <c r="J1775" s="8"/>
      <c r="K1775" s="8"/>
    </row>
    <row r="1776">
      <c r="A1776" s="8" t="s">
        <v>1784</v>
      </c>
      <c r="B1776" s="8"/>
      <c r="C1776" s="8"/>
      <c r="D1776" s="8"/>
      <c r="E1776" s="8"/>
      <c r="F1776" s="8"/>
      <c r="G1776" s="8"/>
      <c r="H1776" s="8"/>
      <c r="I1776" s="8"/>
      <c r="J1776" s="8"/>
      <c r="K1776" s="8"/>
    </row>
    <row r="1777">
      <c r="A1777" s="8" t="s">
        <v>1785</v>
      </c>
      <c r="B1777" s="8"/>
      <c r="C1777" s="8"/>
      <c r="D1777" s="8"/>
      <c r="E1777" s="8"/>
      <c r="F1777" s="8"/>
      <c r="G1777" s="8"/>
      <c r="H1777" s="8"/>
      <c r="I1777" s="8"/>
      <c r="J1777" s="8"/>
      <c r="K1777" s="8"/>
    </row>
    <row r="1778">
      <c r="A1778" s="8" t="s">
        <v>1786</v>
      </c>
      <c r="B1778" s="8"/>
      <c r="C1778" s="8"/>
      <c r="D1778" s="8"/>
      <c r="E1778" s="8"/>
      <c r="F1778" s="8"/>
      <c r="G1778" s="8"/>
      <c r="H1778" s="8"/>
      <c r="I1778" s="8"/>
      <c r="J1778" s="8"/>
      <c r="K1778" s="8"/>
    </row>
    <row r="1779">
      <c r="A1779" s="8" t="s">
        <v>1787</v>
      </c>
      <c r="B1779" s="8"/>
      <c r="C1779" s="8"/>
      <c r="D1779" s="8"/>
      <c r="E1779" s="8"/>
      <c r="F1779" s="8"/>
      <c r="G1779" s="8"/>
      <c r="H1779" s="8"/>
      <c r="I1779" s="8"/>
      <c r="J1779" s="8"/>
      <c r="K1779" s="8"/>
    </row>
    <row r="1780">
      <c r="A1780" s="8" t="s">
        <v>1788</v>
      </c>
      <c r="B1780" s="8"/>
      <c r="C1780" s="8"/>
      <c r="D1780" s="8"/>
      <c r="E1780" s="8"/>
      <c r="F1780" s="8"/>
      <c r="G1780" s="8"/>
      <c r="H1780" s="8"/>
      <c r="I1780" s="8"/>
      <c r="J1780" s="8"/>
      <c r="K1780" s="8"/>
    </row>
    <row r="1781">
      <c r="A1781" s="8" t="s">
        <v>1789</v>
      </c>
      <c r="B1781" s="8"/>
      <c r="C1781" s="8"/>
      <c r="D1781" s="8"/>
      <c r="E1781" s="8"/>
      <c r="F1781" s="8"/>
      <c r="G1781" s="8"/>
      <c r="H1781" s="8"/>
      <c r="I1781" s="8"/>
      <c r="J1781" s="8"/>
      <c r="K1781" s="8"/>
    </row>
    <row r="1782">
      <c r="A1782" s="8" t="s">
        <v>1790</v>
      </c>
      <c r="B1782" s="8"/>
      <c r="C1782" s="8"/>
      <c r="D1782" s="8"/>
      <c r="E1782" s="8"/>
      <c r="F1782" s="8"/>
      <c r="G1782" s="8"/>
      <c r="H1782" s="8"/>
      <c r="I1782" s="8"/>
      <c r="J1782" s="8"/>
      <c r="K1782" s="8"/>
    </row>
    <row r="1783">
      <c r="A1783" s="8" t="s">
        <v>1791</v>
      </c>
      <c r="B1783" s="8"/>
      <c r="C1783" s="8"/>
      <c r="D1783" s="8"/>
      <c r="E1783" s="8"/>
      <c r="F1783" s="8"/>
      <c r="G1783" s="8"/>
      <c r="H1783" s="8"/>
      <c r="I1783" s="8"/>
      <c r="J1783" s="8"/>
      <c r="K1783" s="8"/>
    </row>
    <row r="1784">
      <c r="A1784" s="8" t="s">
        <v>1792</v>
      </c>
      <c r="B1784" s="8"/>
      <c r="C1784" s="8"/>
      <c r="D1784" s="8"/>
      <c r="E1784" s="8"/>
      <c r="F1784" s="8"/>
      <c r="G1784" s="8"/>
      <c r="H1784" s="8"/>
      <c r="I1784" s="8"/>
      <c r="J1784" s="8"/>
      <c r="K1784" s="8"/>
    </row>
    <row r="1785">
      <c r="A1785" s="8" t="s">
        <v>1793</v>
      </c>
      <c r="B1785" s="8"/>
      <c r="C1785" s="8"/>
      <c r="D1785" s="8"/>
      <c r="E1785" s="8"/>
      <c r="F1785" s="8"/>
      <c r="G1785" s="8"/>
      <c r="H1785" s="8"/>
      <c r="I1785" s="8"/>
      <c r="J1785" s="8"/>
      <c r="K1785" s="8"/>
    </row>
    <row r="1786">
      <c r="A1786" s="8" t="s">
        <v>1794</v>
      </c>
      <c r="B1786" s="8"/>
      <c r="C1786" s="8"/>
      <c r="D1786" s="8"/>
      <c r="E1786" s="8"/>
      <c r="F1786" s="8"/>
      <c r="G1786" s="8"/>
      <c r="H1786" s="8"/>
      <c r="I1786" s="8"/>
      <c r="J1786" s="8"/>
      <c r="K1786" s="8"/>
    </row>
    <row r="1787">
      <c r="A1787" s="8" t="s">
        <v>1795</v>
      </c>
      <c r="B1787" s="8"/>
      <c r="C1787" s="8"/>
      <c r="D1787" s="8"/>
      <c r="E1787" s="8"/>
      <c r="F1787" s="8"/>
      <c r="G1787" s="8"/>
      <c r="H1787" s="8"/>
      <c r="I1787" s="8"/>
      <c r="J1787" s="8"/>
      <c r="K1787" s="8"/>
    </row>
    <row r="1788">
      <c r="A1788" s="8" t="s">
        <v>1796</v>
      </c>
      <c r="B1788" s="8"/>
      <c r="C1788" s="8"/>
      <c r="D1788" s="8"/>
      <c r="E1788" s="8"/>
      <c r="F1788" s="8"/>
      <c r="G1788" s="8"/>
      <c r="H1788" s="8"/>
      <c r="I1788" s="8"/>
      <c r="J1788" s="8"/>
      <c r="K1788" s="8"/>
    </row>
    <row r="1789">
      <c r="A1789" s="8" t="s">
        <v>1797</v>
      </c>
      <c r="B1789" s="8"/>
      <c r="C1789" s="8"/>
      <c r="D1789" s="8"/>
      <c r="E1789" s="8"/>
      <c r="F1789" s="8"/>
      <c r="G1789" s="8"/>
      <c r="H1789" s="8"/>
      <c r="I1789" s="8"/>
      <c r="J1789" s="8"/>
      <c r="K1789" s="8"/>
    </row>
    <row r="1790">
      <c r="A1790" s="8" t="s">
        <v>1798</v>
      </c>
      <c r="B1790" s="8"/>
      <c r="C1790" s="8"/>
      <c r="D1790" s="8"/>
      <c r="E1790" s="8"/>
      <c r="F1790" s="8"/>
      <c r="G1790" s="8"/>
      <c r="H1790" s="8"/>
      <c r="I1790" s="8"/>
      <c r="J1790" s="8"/>
      <c r="K1790" s="8"/>
    </row>
    <row r="1791">
      <c r="A1791" s="8" t="s">
        <v>1799</v>
      </c>
      <c r="B1791" s="8"/>
      <c r="C1791" s="8"/>
      <c r="D1791" s="8"/>
      <c r="E1791" s="8"/>
      <c r="F1791" s="8"/>
      <c r="G1791" s="8"/>
      <c r="H1791" s="8"/>
      <c r="I1791" s="8"/>
      <c r="J1791" s="8"/>
      <c r="K1791" s="8"/>
    </row>
    <row r="1792">
      <c r="A1792" s="8" t="s">
        <v>1800</v>
      </c>
      <c r="B1792" s="8"/>
      <c r="C1792" s="8"/>
      <c r="D1792" s="8"/>
      <c r="E1792" s="8"/>
      <c r="F1792" s="8"/>
      <c r="G1792" s="8"/>
      <c r="H1792" s="8"/>
      <c r="I1792" s="8"/>
      <c r="J1792" s="8"/>
      <c r="K1792" s="8"/>
    </row>
    <row r="1793">
      <c r="A1793" s="8" t="s">
        <v>1801</v>
      </c>
      <c r="B1793" s="8"/>
      <c r="C1793" s="8"/>
      <c r="D1793" s="8"/>
      <c r="E1793" s="8"/>
      <c r="F1793" s="8"/>
      <c r="G1793" s="8"/>
      <c r="H1793" s="8"/>
      <c r="I1793" s="8"/>
      <c r="J1793" s="8"/>
      <c r="K1793" s="8"/>
    </row>
    <row r="1794">
      <c r="A1794" s="8" t="s">
        <v>1802</v>
      </c>
      <c r="B1794" s="8"/>
      <c r="C1794" s="8"/>
      <c r="D1794" s="8"/>
      <c r="E1794" s="8"/>
      <c r="F1794" s="8"/>
      <c r="G1794" s="8"/>
      <c r="H1794" s="8"/>
      <c r="I1794" s="8"/>
      <c r="J1794" s="8"/>
      <c r="K1794" s="8"/>
    </row>
    <row r="1795">
      <c r="A1795" s="8" t="s">
        <v>1803</v>
      </c>
      <c r="B1795" s="8"/>
      <c r="C1795" s="8"/>
      <c r="D1795" s="8"/>
      <c r="E1795" s="8"/>
      <c r="F1795" s="8"/>
      <c r="G1795" s="8"/>
      <c r="H1795" s="8"/>
      <c r="I1795" s="8"/>
      <c r="J1795" s="8"/>
      <c r="K1795" s="8"/>
    </row>
    <row r="1796">
      <c r="A1796" s="8" t="s">
        <v>1804</v>
      </c>
      <c r="B1796" s="8"/>
      <c r="C1796" s="8"/>
      <c r="D1796" s="8"/>
      <c r="E1796" s="8"/>
      <c r="F1796" s="8"/>
      <c r="G1796" s="8"/>
      <c r="H1796" s="8"/>
      <c r="I1796" s="8"/>
      <c r="J1796" s="8"/>
      <c r="K1796" s="8"/>
    </row>
    <row r="1797">
      <c r="A1797" s="8" t="s">
        <v>1805</v>
      </c>
      <c r="B1797" s="8"/>
      <c r="C1797" s="8"/>
      <c r="D1797" s="8"/>
      <c r="E1797" s="8"/>
      <c r="F1797" s="8"/>
      <c r="G1797" s="8"/>
      <c r="H1797" s="8"/>
      <c r="I1797" s="8"/>
      <c r="J1797" s="8"/>
      <c r="K1797" s="8"/>
    </row>
    <row r="1798">
      <c r="A1798" s="8" t="s">
        <v>1806</v>
      </c>
      <c r="B1798" s="8"/>
      <c r="C1798" s="8"/>
      <c r="D1798" s="8"/>
      <c r="E1798" s="8"/>
      <c r="F1798" s="8"/>
      <c r="G1798" s="8"/>
      <c r="H1798" s="8"/>
      <c r="I1798" s="8"/>
      <c r="J1798" s="8"/>
      <c r="K1798" s="8"/>
    </row>
    <row r="1799">
      <c r="A1799" s="8" t="s">
        <v>1807</v>
      </c>
      <c r="B1799" s="8"/>
      <c r="C1799" s="8"/>
      <c r="D1799" s="8"/>
      <c r="E1799" s="8"/>
      <c r="F1799" s="8"/>
      <c r="G1799" s="8"/>
      <c r="H1799" s="8"/>
      <c r="I1799" s="8"/>
      <c r="J1799" s="8"/>
      <c r="K1799" s="8"/>
    </row>
    <row r="1800">
      <c r="A1800" s="8" t="s">
        <v>1808</v>
      </c>
      <c r="B1800" s="8"/>
      <c r="C1800" s="8"/>
      <c r="D1800" s="8"/>
      <c r="E1800" s="8"/>
      <c r="F1800" s="8"/>
      <c r="G1800" s="8"/>
      <c r="H1800" s="8"/>
      <c r="I1800" s="8"/>
      <c r="J1800" s="8"/>
      <c r="K1800" s="8"/>
    </row>
    <row r="1801">
      <c r="A1801" s="8" t="s">
        <v>1809</v>
      </c>
      <c r="B1801" s="8"/>
      <c r="C1801" s="8"/>
      <c r="D1801" s="8"/>
      <c r="E1801" s="8"/>
      <c r="F1801" s="8"/>
      <c r="G1801" s="8"/>
      <c r="H1801" s="8"/>
      <c r="I1801" s="8"/>
      <c r="J1801" s="8"/>
      <c r="K1801" s="8"/>
    </row>
    <row r="1802">
      <c r="A1802" s="8" t="s">
        <v>1810</v>
      </c>
      <c r="B1802" s="8"/>
      <c r="C1802" s="8"/>
      <c r="D1802" s="8"/>
      <c r="E1802" s="8"/>
      <c r="F1802" s="8"/>
      <c r="G1802" s="8"/>
      <c r="H1802" s="8"/>
      <c r="I1802" s="8"/>
      <c r="J1802" s="8"/>
      <c r="K1802" s="8"/>
    </row>
    <row r="1803">
      <c r="A1803" s="8" t="s">
        <v>1811</v>
      </c>
      <c r="B1803" s="8"/>
      <c r="C1803" s="8"/>
      <c r="D1803" s="8"/>
      <c r="E1803" s="8"/>
      <c r="F1803" s="8"/>
      <c r="G1803" s="8"/>
      <c r="H1803" s="8"/>
      <c r="I1803" s="8"/>
      <c r="J1803" s="8"/>
      <c r="K1803" s="8"/>
    </row>
    <row r="1804">
      <c r="A1804" s="8" t="s">
        <v>1812</v>
      </c>
      <c r="B1804" s="8"/>
      <c r="C1804" s="8"/>
      <c r="D1804" s="8"/>
      <c r="E1804" s="8"/>
      <c r="F1804" s="8"/>
      <c r="G1804" s="8"/>
      <c r="H1804" s="8"/>
      <c r="I1804" s="8"/>
      <c r="J1804" s="8"/>
      <c r="K1804" s="8"/>
    </row>
    <row r="1805">
      <c r="A1805" s="8" t="s">
        <v>1813</v>
      </c>
      <c r="B1805" s="8"/>
      <c r="C1805" s="8"/>
      <c r="D1805" s="8"/>
      <c r="E1805" s="8"/>
      <c r="F1805" s="8"/>
      <c r="G1805" s="8"/>
      <c r="H1805" s="8"/>
      <c r="I1805" s="8"/>
      <c r="J1805" s="8"/>
      <c r="K1805" s="8"/>
    </row>
    <row r="1806">
      <c r="A1806" s="8" t="s">
        <v>1814</v>
      </c>
      <c r="B1806" s="8"/>
      <c r="C1806" s="8"/>
      <c r="D1806" s="8"/>
      <c r="E1806" s="8"/>
      <c r="F1806" s="8"/>
      <c r="G1806" s="8"/>
      <c r="H1806" s="8"/>
      <c r="I1806" s="8"/>
      <c r="J1806" s="8"/>
      <c r="K1806" s="8"/>
    </row>
    <row r="1807">
      <c r="A1807" s="8" t="s">
        <v>1815</v>
      </c>
      <c r="B1807" s="8"/>
      <c r="C1807" s="8"/>
      <c r="D1807" s="8"/>
      <c r="E1807" s="8"/>
      <c r="F1807" s="8"/>
      <c r="G1807" s="8"/>
      <c r="H1807" s="8"/>
      <c r="I1807" s="8"/>
      <c r="J1807" s="8"/>
      <c r="K1807" s="8"/>
    </row>
    <row r="1808">
      <c r="A1808" s="8" t="s">
        <v>1816</v>
      </c>
      <c r="B1808" s="8"/>
      <c r="C1808" s="8"/>
      <c r="D1808" s="8"/>
      <c r="E1808" s="8"/>
      <c r="F1808" s="8"/>
      <c r="G1808" s="8"/>
      <c r="H1808" s="8"/>
      <c r="I1808" s="8"/>
      <c r="J1808" s="8"/>
      <c r="K1808" s="8"/>
    </row>
    <row r="1809">
      <c r="A1809" s="8" t="s">
        <v>1817</v>
      </c>
      <c r="B1809" s="8"/>
      <c r="C1809" s="8"/>
      <c r="D1809" s="8"/>
      <c r="E1809" s="8"/>
      <c r="F1809" s="8"/>
      <c r="G1809" s="8"/>
      <c r="H1809" s="8"/>
      <c r="I1809" s="8"/>
      <c r="J1809" s="8"/>
      <c r="K1809" s="8"/>
    </row>
    <row r="1810">
      <c r="A1810" s="8" t="s">
        <v>1818</v>
      </c>
      <c r="B1810" s="8"/>
      <c r="C1810" s="8"/>
      <c r="D1810" s="8"/>
      <c r="E1810" s="8"/>
      <c r="F1810" s="8"/>
      <c r="G1810" s="8"/>
      <c r="H1810" s="8"/>
      <c r="I1810" s="8"/>
      <c r="J1810" s="8"/>
      <c r="K1810" s="8"/>
    </row>
    <row r="1811">
      <c r="A1811" s="8" t="s">
        <v>1819</v>
      </c>
      <c r="B1811" s="8"/>
      <c r="C1811" s="8"/>
      <c r="D1811" s="8"/>
      <c r="E1811" s="8"/>
      <c r="F1811" s="8"/>
      <c r="G1811" s="8"/>
      <c r="H1811" s="8"/>
      <c r="I1811" s="8"/>
      <c r="J1811" s="8"/>
      <c r="K1811" s="8"/>
    </row>
    <row r="1812">
      <c r="A1812" s="8" t="s">
        <v>1820</v>
      </c>
      <c r="B1812" s="8"/>
      <c r="C1812" s="8"/>
      <c r="D1812" s="8"/>
      <c r="E1812" s="8"/>
      <c r="F1812" s="8"/>
      <c r="G1812" s="8"/>
      <c r="H1812" s="8"/>
      <c r="I1812" s="8"/>
      <c r="J1812" s="8"/>
      <c r="K1812" s="8"/>
    </row>
    <row r="1813">
      <c r="A1813" s="8" t="s">
        <v>1821</v>
      </c>
      <c r="B1813" s="8"/>
      <c r="C1813" s="8"/>
      <c r="D1813" s="8"/>
      <c r="E1813" s="8"/>
      <c r="F1813" s="8"/>
      <c r="G1813" s="8"/>
      <c r="H1813" s="8"/>
      <c r="I1813" s="8"/>
      <c r="J1813" s="8"/>
      <c r="K1813" s="8"/>
    </row>
    <row r="1814">
      <c r="A1814" s="8" t="s">
        <v>1822</v>
      </c>
      <c r="B1814" s="8"/>
      <c r="C1814" s="8"/>
      <c r="D1814" s="8"/>
      <c r="E1814" s="8"/>
      <c r="F1814" s="8"/>
      <c r="G1814" s="8"/>
      <c r="H1814" s="8"/>
      <c r="I1814" s="8"/>
      <c r="J1814" s="8"/>
      <c r="K1814" s="8"/>
    </row>
    <row r="1815">
      <c r="A1815" s="8" t="s">
        <v>1823</v>
      </c>
      <c r="B1815" s="8"/>
      <c r="C1815" s="8"/>
      <c r="D1815" s="8"/>
      <c r="E1815" s="8"/>
      <c r="F1815" s="8"/>
      <c r="G1815" s="8"/>
      <c r="H1815" s="8"/>
      <c r="I1815" s="8"/>
      <c r="J1815" s="8"/>
      <c r="K1815" s="8"/>
    </row>
    <row r="1816">
      <c r="A1816" s="8" t="s">
        <v>1824</v>
      </c>
      <c r="B1816" s="8"/>
      <c r="C1816" s="8"/>
      <c r="D1816" s="8"/>
      <c r="E1816" s="8"/>
      <c r="F1816" s="8"/>
      <c r="G1816" s="8"/>
      <c r="H1816" s="8"/>
      <c r="I1816" s="8"/>
      <c r="J1816" s="8"/>
      <c r="K1816" s="8"/>
    </row>
    <row r="1817">
      <c r="A1817" s="8" t="s">
        <v>1825</v>
      </c>
      <c r="B1817" s="8"/>
      <c r="C1817" s="8"/>
      <c r="D1817" s="8"/>
      <c r="E1817" s="8"/>
      <c r="F1817" s="8"/>
      <c r="G1817" s="8"/>
      <c r="H1817" s="8"/>
      <c r="I1817" s="8"/>
      <c r="J1817" s="8"/>
      <c r="K1817" s="8"/>
    </row>
    <row r="1818">
      <c r="A1818" s="8" t="s">
        <v>1826</v>
      </c>
      <c r="B1818" s="8"/>
      <c r="C1818" s="8"/>
      <c r="D1818" s="8"/>
      <c r="E1818" s="8"/>
      <c r="F1818" s="8"/>
      <c r="G1818" s="8"/>
      <c r="H1818" s="8"/>
      <c r="I1818" s="8"/>
      <c r="J1818" s="8"/>
      <c r="K1818" s="8"/>
    </row>
    <row r="1819">
      <c r="A1819" s="8" t="s">
        <v>1827</v>
      </c>
      <c r="B1819" s="8"/>
      <c r="C1819" s="8"/>
      <c r="D1819" s="8"/>
      <c r="E1819" s="8"/>
      <c r="F1819" s="8"/>
      <c r="G1819" s="8"/>
      <c r="H1819" s="8"/>
      <c r="I1819" s="8"/>
      <c r="J1819" s="8"/>
      <c r="K1819" s="8"/>
    </row>
    <row r="1820">
      <c r="A1820" s="8" t="s">
        <v>1828</v>
      </c>
      <c r="B1820" s="8"/>
      <c r="C1820" s="8"/>
      <c r="D1820" s="8"/>
      <c r="E1820" s="8"/>
      <c r="F1820" s="8"/>
      <c r="G1820" s="8"/>
      <c r="H1820" s="8"/>
      <c r="I1820" s="8"/>
      <c r="J1820" s="8"/>
      <c r="K1820" s="8"/>
    </row>
    <row r="1821">
      <c r="A1821" s="8" t="s">
        <v>1829</v>
      </c>
      <c r="B1821" s="8"/>
      <c r="C1821" s="8"/>
      <c r="D1821" s="8"/>
      <c r="E1821" s="8"/>
      <c r="F1821" s="8"/>
      <c r="G1821" s="8"/>
      <c r="H1821" s="8"/>
      <c r="I1821" s="8"/>
      <c r="J1821" s="8"/>
      <c r="K1821" s="8"/>
    </row>
    <row r="1822">
      <c r="A1822" s="8" t="s">
        <v>1830</v>
      </c>
      <c r="B1822" s="8"/>
      <c r="C1822" s="8"/>
      <c r="D1822" s="8"/>
      <c r="E1822" s="8"/>
      <c r="F1822" s="8"/>
      <c r="G1822" s="8"/>
      <c r="H1822" s="8"/>
      <c r="I1822" s="8"/>
      <c r="J1822" s="8"/>
      <c r="K1822" s="8"/>
    </row>
    <row r="1823">
      <c r="A1823" s="8" t="s">
        <v>1831</v>
      </c>
      <c r="B1823" s="8"/>
      <c r="C1823" s="8"/>
      <c r="D1823" s="8"/>
      <c r="E1823" s="8"/>
      <c r="F1823" s="8"/>
      <c r="G1823" s="8"/>
      <c r="H1823" s="8"/>
      <c r="I1823" s="8"/>
      <c r="J1823" s="8"/>
      <c r="K1823" s="8"/>
    </row>
    <row r="1824">
      <c r="A1824" s="8" t="s">
        <v>1832</v>
      </c>
      <c r="B1824" s="8"/>
      <c r="C1824" s="8"/>
      <c r="D1824" s="8"/>
      <c r="E1824" s="8"/>
      <c r="F1824" s="8"/>
      <c r="G1824" s="8"/>
      <c r="H1824" s="8"/>
      <c r="I1824" s="8"/>
      <c r="J1824" s="8"/>
      <c r="K1824" s="8"/>
    </row>
    <row r="1825">
      <c r="A1825" s="8" t="s">
        <v>1833</v>
      </c>
      <c r="B1825" s="8"/>
      <c r="C1825" s="8"/>
      <c r="D1825" s="8"/>
      <c r="E1825" s="8"/>
      <c r="F1825" s="8"/>
      <c r="G1825" s="8"/>
      <c r="H1825" s="8"/>
      <c r="I1825" s="8"/>
      <c r="J1825" s="8"/>
      <c r="K1825" s="8"/>
    </row>
    <row r="1826">
      <c r="A1826" s="8" t="s">
        <v>1834</v>
      </c>
      <c r="B1826" s="8"/>
      <c r="C1826" s="8"/>
      <c r="D1826" s="8"/>
      <c r="E1826" s="8"/>
      <c r="F1826" s="8"/>
      <c r="G1826" s="8"/>
      <c r="H1826" s="8"/>
      <c r="I1826" s="8"/>
      <c r="J1826" s="8"/>
      <c r="K1826" s="8"/>
    </row>
    <row r="1827">
      <c r="A1827" s="8" t="s">
        <v>1835</v>
      </c>
      <c r="B1827" s="8"/>
      <c r="C1827" s="8"/>
      <c r="D1827" s="8"/>
      <c r="E1827" s="8"/>
      <c r="F1827" s="8"/>
      <c r="G1827" s="8"/>
      <c r="H1827" s="8"/>
      <c r="I1827" s="8"/>
      <c r="J1827" s="8"/>
      <c r="K1827" s="8"/>
    </row>
    <row r="1828">
      <c r="A1828" s="8" t="s">
        <v>1836</v>
      </c>
      <c r="B1828" s="8"/>
      <c r="C1828" s="8"/>
      <c r="D1828" s="8"/>
      <c r="E1828" s="8"/>
      <c r="F1828" s="8"/>
      <c r="G1828" s="8"/>
      <c r="H1828" s="8"/>
      <c r="I1828" s="8"/>
      <c r="J1828" s="8"/>
      <c r="K1828" s="8"/>
    </row>
    <row r="1829">
      <c r="A1829" s="8" t="s">
        <v>1837</v>
      </c>
      <c r="B1829" s="8"/>
      <c r="C1829" s="8"/>
      <c r="D1829" s="8"/>
      <c r="E1829" s="8"/>
      <c r="F1829" s="8"/>
      <c r="G1829" s="8"/>
      <c r="H1829" s="8"/>
      <c r="I1829" s="8"/>
      <c r="J1829" s="8"/>
      <c r="K1829" s="8"/>
    </row>
    <row r="1830">
      <c r="A1830" s="8" t="s">
        <v>1838</v>
      </c>
      <c r="B1830" s="8"/>
      <c r="C1830" s="8"/>
      <c r="D1830" s="8"/>
      <c r="E1830" s="8"/>
      <c r="F1830" s="8"/>
      <c r="G1830" s="8"/>
      <c r="H1830" s="8"/>
      <c r="I1830" s="8"/>
      <c r="J1830" s="8"/>
      <c r="K1830" s="8"/>
    </row>
    <row r="1831">
      <c r="A1831" s="8" t="s">
        <v>1839</v>
      </c>
      <c r="B1831" s="8"/>
      <c r="C1831" s="8"/>
      <c r="D1831" s="8"/>
      <c r="E1831" s="8"/>
      <c r="F1831" s="8"/>
      <c r="G1831" s="8"/>
      <c r="H1831" s="8"/>
      <c r="I1831" s="8"/>
      <c r="J1831" s="8"/>
      <c r="K1831" s="8"/>
    </row>
    <row r="1832">
      <c r="A1832" s="8" t="s">
        <v>1840</v>
      </c>
      <c r="B1832" s="8"/>
      <c r="C1832" s="8"/>
      <c r="D1832" s="8"/>
      <c r="E1832" s="8"/>
      <c r="F1832" s="8"/>
      <c r="G1832" s="8"/>
      <c r="H1832" s="8"/>
      <c r="I1832" s="8"/>
      <c r="J1832" s="8"/>
      <c r="K1832" s="8"/>
    </row>
    <row r="1833">
      <c r="A1833" s="8" t="s">
        <v>1841</v>
      </c>
      <c r="B1833" s="8"/>
      <c r="C1833" s="8"/>
      <c r="D1833" s="8"/>
      <c r="E1833" s="8"/>
      <c r="F1833" s="8"/>
      <c r="G1833" s="8"/>
      <c r="H1833" s="8"/>
      <c r="I1833" s="8"/>
      <c r="J1833" s="8"/>
      <c r="K1833" s="8"/>
    </row>
    <row r="1834">
      <c r="A1834" s="8" t="s">
        <v>1842</v>
      </c>
      <c r="B1834" s="8"/>
      <c r="C1834" s="8"/>
      <c r="D1834" s="8"/>
      <c r="E1834" s="8"/>
      <c r="F1834" s="8"/>
      <c r="G1834" s="8"/>
      <c r="H1834" s="8"/>
      <c r="I1834" s="8"/>
      <c r="J1834" s="8"/>
      <c r="K1834" s="8"/>
    </row>
    <row r="1835">
      <c r="A1835" s="8" t="s">
        <v>1843</v>
      </c>
      <c r="B1835" s="8"/>
      <c r="C1835" s="8"/>
      <c r="D1835" s="8"/>
      <c r="E1835" s="8"/>
      <c r="F1835" s="8"/>
      <c r="G1835" s="8"/>
      <c r="H1835" s="8"/>
      <c r="I1835" s="8"/>
      <c r="J1835" s="8"/>
      <c r="K1835" s="8"/>
    </row>
    <row r="1836">
      <c r="A1836" s="8" t="s">
        <v>1844</v>
      </c>
      <c r="B1836" s="8"/>
      <c r="C1836" s="8"/>
      <c r="D1836" s="8"/>
      <c r="E1836" s="8"/>
      <c r="F1836" s="8"/>
      <c r="G1836" s="8"/>
      <c r="H1836" s="8"/>
      <c r="I1836" s="8"/>
      <c r="J1836" s="8"/>
      <c r="K1836" s="8"/>
    </row>
    <row r="1837">
      <c r="A1837" s="8" t="s">
        <v>1845</v>
      </c>
      <c r="B1837" s="8"/>
      <c r="C1837" s="8"/>
      <c r="D1837" s="8"/>
      <c r="E1837" s="8"/>
      <c r="F1837" s="8"/>
      <c r="G1837" s="8"/>
      <c r="H1837" s="8"/>
      <c r="I1837" s="8"/>
      <c r="J1837" s="8"/>
      <c r="K1837" s="8"/>
    </row>
    <row r="1838">
      <c r="A1838" s="8" t="s">
        <v>1846</v>
      </c>
      <c r="B1838" s="8"/>
      <c r="C1838" s="8"/>
      <c r="D1838" s="8"/>
      <c r="E1838" s="8"/>
      <c r="F1838" s="8"/>
      <c r="G1838" s="8"/>
      <c r="H1838" s="8"/>
      <c r="I1838" s="8"/>
      <c r="J1838" s="8"/>
      <c r="K1838" s="8"/>
    </row>
    <row r="1839">
      <c r="A1839" s="8" t="s">
        <v>1847</v>
      </c>
      <c r="B1839" s="8"/>
      <c r="C1839" s="8"/>
      <c r="D1839" s="8"/>
      <c r="E1839" s="8"/>
      <c r="F1839" s="8"/>
      <c r="G1839" s="8"/>
      <c r="H1839" s="8"/>
      <c r="I1839" s="8"/>
      <c r="J1839" s="8"/>
      <c r="K1839" s="8"/>
    </row>
    <row r="1840">
      <c r="A1840" s="8" t="s">
        <v>1848</v>
      </c>
      <c r="B1840" s="8"/>
      <c r="C1840" s="8"/>
      <c r="D1840" s="8"/>
      <c r="E1840" s="8"/>
      <c r="F1840" s="8"/>
      <c r="G1840" s="8"/>
      <c r="H1840" s="8"/>
      <c r="I1840" s="8"/>
      <c r="J1840" s="8"/>
      <c r="K1840" s="8"/>
    </row>
    <row r="1841">
      <c r="A1841" s="8" t="s">
        <v>1849</v>
      </c>
      <c r="B1841" s="8"/>
      <c r="C1841" s="8"/>
      <c r="D1841" s="8"/>
      <c r="E1841" s="8"/>
      <c r="F1841" s="8"/>
      <c r="G1841" s="8"/>
      <c r="H1841" s="8"/>
      <c r="I1841" s="8"/>
      <c r="J1841" s="8"/>
      <c r="K1841" s="8"/>
    </row>
    <row r="1842">
      <c r="A1842" s="8" t="s">
        <v>1850</v>
      </c>
      <c r="B1842" s="8"/>
      <c r="C1842" s="8"/>
      <c r="D1842" s="8"/>
      <c r="E1842" s="8"/>
      <c r="F1842" s="8"/>
      <c r="G1842" s="8"/>
      <c r="H1842" s="8"/>
      <c r="I1842" s="8"/>
      <c r="J1842" s="8"/>
      <c r="K1842" s="8"/>
    </row>
    <row r="1843">
      <c r="A1843" s="8" t="s">
        <v>1851</v>
      </c>
      <c r="B1843" s="8"/>
      <c r="C1843" s="8"/>
      <c r="D1843" s="8"/>
      <c r="E1843" s="8"/>
      <c r="F1843" s="8"/>
      <c r="G1843" s="8"/>
      <c r="H1843" s="8"/>
      <c r="I1843" s="8"/>
      <c r="J1843" s="8"/>
      <c r="K1843" s="8"/>
    </row>
    <row r="1844">
      <c r="A1844" s="8" t="s">
        <v>1852</v>
      </c>
      <c r="B1844" s="8"/>
      <c r="C1844" s="8"/>
      <c r="D1844" s="8"/>
      <c r="E1844" s="8"/>
      <c r="F1844" s="8"/>
      <c r="G1844" s="8"/>
      <c r="H1844" s="8"/>
      <c r="I1844" s="8"/>
      <c r="J1844" s="8"/>
      <c r="K1844" s="8"/>
    </row>
    <row r="1845">
      <c r="A1845" s="8" t="s">
        <v>1853</v>
      </c>
      <c r="B1845" s="8"/>
      <c r="C1845" s="8"/>
      <c r="D1845" s="8"/>
      <c r="E1845" s="8"/>
      <c r="F1845" s="8"/>
      <c r="G1845" s="8"/>
      <c r="H1845" s="8"/>
      <c r="I1845" s="8"/>
      <c r="J1845" s="8"/>
      <c r="K1845" s="8"/>
    </row>
    <row r="1846">
      <c r="A1846" s="8" t="s">
        <v>1854</v>
      </c>
      <c r="B1846" s="8"/>
      <c r="C1846" s="8"/>
      <c r="D1846" s="8"/>
      <c r="E1846" s="8"/>
      <c r="F1846" s="8"/>
      <c r="G1846" s="8"/>
      <c r="H1846" s="8"/>
      <c r="I1846" s="8"/>
      <c r="J1846" s="8"/>
      <c r="K1846" s="8"/>
    </row>
    <row r="1847">
      <c r="A1847" s="8" t="s">
        <v>1855</v>
      </c>
      <c r="B1847" s="8"/>
      <c r="C1847" s="8"/>
      <c r="D1847" s="8"/>
      <c r="E1847" s="8"/>
      <c r="F1847" s="8"/>
      <c r="G1847" s="8"/>
      <c r="H1847" s="8"/>
      <c r="I1847" s="8"/>
      <c r="J1847" s="8"/>
      <c r="K1847" s="8"/>
    </row>
    <row r="1848">
      <c r="A1848" s="8" t="s">
        <v>1856</v>
      </c>
      <c r="B1848" s="8"/>
      <c r="C1848" s="8"/>
      <c r="D1848" s="8"/>
      <c r="E1848" s="8"/>
      <c r="F1848" s="8"/>
      <c r="G1848" s="8"/>
      <c r="H1848" s="8"/>
      <c r="I1848" s="8"/>
      <c r="J1848" s="8"/>
      <c r="K1848" s="8"/>
    </row>
    <row r="1849">
      <c r="A1849" s="8" t="s">
        <v>1857</v>
      </c>
      <c r="B1849" s="8"/>
      <c r="C1849" s="8"/>
      <c r="D1849" s="8"/>
      <c r="E1849" s="8"/>
      <c r="F1849" s="8"/>
      <c r="G1849" s="8"/>
      <c r="H1849" s="8"/>
      <c r="I1849" s="8"/>
      <c r="J1849" s="8"/>
      <c r="K1849" s="8"/>
    </row>
    <row r="1850">
      <c r="A1850" s="8" t="s">
        <v>1858</v>
      </c>
      <c r="B1850" s="8"/>
      <c r="C1850" s="8"/>
      <c r="D1850" s="8"/>
      <c r="E1850" s="8"/>
      <c r="F1850" s="8"/>
      <c r="G1850" s="8"/>
      <c r="H1850" s="8"/>
      <c r="I1850" s="8"/>
      <c r="J1850" s="8"/>
      <c r="K1850" s="8"/>
    </row>
    <row r="1851">
      <c r="A1851" s="8" t="s">
        <v>1859</v>
      </c>
      <c r="B1851" s="8"/>
      <c r="C1851" s="8"/>
      <c r="D1851" s="8"/>
      <c r="E1851" s="8"/>
      <c r="F1851" s="8"/>
      <c r="G1851" s="8"/>
      <c r="H1851" s="8"/>
      <c r="I1851" s="8"/>
      <c r="J1851" s="8"/>
      <c r="K1851" s="8"/>
    </row>
    <row r="1852">
      <c r="A1852" s="8" t="s">
        <v>1860</v>
      </c>
      <c r="B1852" s="8"/>
      <c r="C1852" s="8"/>
      <c r="D1852" s="8"/>
      <c r="E1852" s="8"/>
      <c r="F1852" s="8"/>
      <c r="G1852" s="8"/>
      <c r="H1852" s="8"/>
      <c r="I1852" s="8"/>
      <c r="J1852" s="8"/>
      <c r="K1852" s="8"/>
    </row>
    <row r="1853">
      <c r="A1853" s="8" t="s">
        <v>1861</v>
      </c>
      <c r="B1853" s="8"/>
      <c r="C1853" s="8"/>
      <c r="D1853" s="8"/>
      <c r="E1853" s="8"/>
      <c r="F1853" s="8"/>
      <c r="G1853" s="8"/>
      <c r="H1853" s="8"/>
      <c r="I1853" s="8"/>
      <c r="J1853" s="8"/>
      <c r="K1853" s="8"/>
    </row>
    <row r="1854">
      <c r="A1854" s="8" t="s">
        <v>1862</v>
      </c>
      <c r="B1854" s="8"/>
      <c r="C1854" s="8"/>
      <c r="D1854" s="8"/>
      <c r="E1854" s="8"/>
      <c r="F1854" s="8"/>
      <c r="G1854" s="8"/>
      <c r="H1854" s="8"/>
      <c r="I1854" s="8"/>
      <c r="J1854" s="8"/>
      <c r="K1854" s="8"/>
    </row>
    <row r="1855">
      <c r="A1855" s="8" t="s">
        <v>1863</v>
      </c>
      <c r="B1855" s="8"/>
      <c r="C1855" s="8"/>
      <c r="D1855" s="8"/>
      <c r="E1855" s="8"/>
      <c r="F1855" s="8"/>
      <c r="G1855" s="8"/>
      <c r="H1855" s="8"/>
      <c r="I1855" s="8"/>
      <c r="J1855" s="8"/>
      <c r="K1855" s="8"/>
    </row>
    <row r="1856">
      <c r="A1856" s="8" t="s">
        <v>1864</v>
      </c>
      <c r="B1856" s="8"/>
      <c r="C1856" s="8"/>
      <c r="D1856" s="8"/>
      <c r="E1856" s="8"/>
      <c r="F1856" s="8"/>
      <c r="G1856" s="8"/>
      <c r="H1856" s="8"/>
      <c r="I1856" s="8"/>
      <c r="J1856" s="8"/>
      <c r="K1856" s="8"/>
    </row>
    <row r="1857">
      <c r="A1857" s="8" t="s">
        <v>1865</v>
      </c>
      <c r="B1857" s="8"/>
      <c r="C1857" s="8"/>
      <c r="D1857" s="8"/>
      <c r="E1857" s="8"/>
      <c r="F1857" s="8"/>
      <c r="G1857" s="8"/>
      <c r="H1857" s="8"/>
      <c r="I1857" s="8"/>
      <c r="J1857" s="8"/>
      <c r="K1857" s="8"/>
    </row>
    <row r="1858">
      <c r="A1858" s="8" t="s">
        <v>1866</v>
      </c>
      <c r="B1858" s="8"/>
      <c r="C1858" s="8"/>
      <c r="D1858" s="8"/>
      <c r="E1858" s="8"/>
      <c r="F1858" s="8"/>
      <c r="G1858" s="8"/>
      <c r="H1858" s="8"/>
      <c r="I1858" s="8"/>
      <c r="J1858" s="8"/>
      <c r="K1858" s="8"/>
    </row>
    <row r="1859">
      <c r="A1859" s="8" t="s">
        <v>1867</v>
      </c>
      <c r="B1859" s="8"/>
      <c r="C1859" s="8"/>
      <c r="D1859" s="8"/>
      <c r="E1859" s="8"/>
      <c r="F1859" s="8"/>
      <c r="G1859" s="8"/>
      <c r="H1859" s="8"/>
      <c r="I1859" s="8"/>
      <c r="J1859" s="8"/>
      <c r="K1859" s="8"/>
    </row>
    <row r="1860">
      <c r="A1860" s="8" t="s">
        <v>1868</v>
      </c>
      <c r="B1860" s="8"/>
      <c r="C1860" s="8"/>
      <c r="D1860" s="8"/>
      <c r="E1860" s="8"/>
      <c r="F1860" s="8"/>
      <c r="G1860" s="8"/>
      <c r="H1860" s="8"/>
      <c r="I1860" s="8"/>
      <c r="J1860" s="8"/>
      <c r="K1860" s="8"/>
    </row>
    <row r="1861">
      <c r="A1861" s="8" t="s">
        <v>1869</v>
      </c>
      <c r="B1861" s="8"/>
      <c r="C1861" s="8"/>
      <c r="D1861" s="8"/>
      <c r="E1861" s="8"/>
      <c r="F1861" s="8"/>
      <c r="G1861" s="8"/>
      <c r="H1861" s="8"/>
      <c r="I1861" s="8"/>
      <c r="J1861" s="8"/>
      <c r="K1861" s="8"/>
    </row>
    <row r="1862">
      <c r="A1862" s="8" t="s">
        <v>1870</v>
      </c>
      <c r="B1862" s="8"/>
      <c r="C1862" s="8"/>
      <c r="D1862" s="8"/>
      <c r="E1862" s="8"/>
      <c r="F1862" s="8"/>
      <c r="G1862" s="8"/>
      <c r="H1862" s="8"/>
      <c r="I1862" s="8"/>
      <c r="J1862" s="8"/>
      <c r="K1862" s="8"/>
    </row>
    <row r="1863">
      <c r="A1863" s="8" t="s">
        <v>1871</v>
      </c>
      <c r="B1863" s="8"/>
      <c r="C1863" s="8"/>
      <c r="D1863" s="8"/>
      <c r="E1863" s="8"/>
      <c r="F1863" s="8"/>
      <c r="G1863" s="8"/>
      <c r="H1863" s="8"/>
      <c r="I1863" s="8"/>
      <c r="J1863" s="8"/>
      <c r="K1863" s="8"/>
    </row>
    <row r="1864">
      <c r="A1864" s="8" t="s">
        <v>1872</v>
      </c>
      <c r="B1864" s="8"/>
      <c r="C1864" s="8"/>
      <c r="D1864" s="8"/>
      <c r="E1864" s="8"/>
      <c r="F1864" s="8"/>
      <c r="G1864" s="8"/>
      <c r="H1864" s="8"/>
      <c r="I1864" s="8"/>
      <c r="J1864" s="8"/>
      <c r="K1864" s="8"/>
    </row>
    <row r="1865">
      <c r="A1865" s="8" t="s">
        <v>1873</v>
      </c>
      <c r="B1865" s="8"/>
      <c r="C1865" s="8"/>
      <c r="D1865" s="8"/>
      <c r="E1865" s="8"/>
      <c r="F1865" s="8"/>
      <c r="G1865" s="8"/>
      <c r="H1865" s="8"/>
      <c r="I1865" s="8"/>
      <c r="J1865" s="8"/>
      <c r="K1865" s="8"/>
    </row>
    <row r="1866">
      <c r="A1866" s="8" t="s">
        <v>1874</v>
      </c>
      <c r="B1866" s="8"/>
      <c r="C1866" s="8"/>
      <c r="D1866" s="8"/>
      <c r="E1866" s="8"/>
      <c r="F1866" s="8"/>
      <c r="G1866" s="8"/>
      <c r="H1866" s="8"/>
      <c r="I1866" s="8"/>
      <c r="J1866" s="8"/>
      <c r="K1866" s="8"/>
    </row>
    <row r="1867">
      <c r="A1867" s="8" t="s">
        <v>1875</v>
      </c>
      <c r="B1867" s="8"/>
      <c r="C1867" s="8"/>
      <c r="D1867" s="8"/>
      <c r="E1867" s="8"/>
      <c r="F1867" s="8"/>
      <c r="G1867" s="8"/>
      <c r="H1867" s="8"/>
      <c r="I1867" s="8"/>
      <c r="J1867" s="8"/>
      <c r="K1867" s="8"/>
    </row>
    <row r="1868">
      <c r="A1868" s="8" t="s">
        <v>1876</v>
      </c>
      <c r="B1868" s="8"/>
      <c r="C1868" s="8"/>
      <c r="D1868" s="8"/>
      <c r="E1868" s="8"/>
      <c r="F1868" s="8"/>
      <c r="G1868" s="8"/>
      <c r="H1868" s="8"/>
      <c r="I1868" s="8"/>
      <c r="J1868" s="8"/>
      <c r="K1868" s="8"/>
    </row>
    <row r="1869">
      <c r="A1869" s="8" t="s">
        <v>1877</v>
      </c>
      <c r="B1869" s="8"/>
      <c r="C1869" s="8"/>
      <c r="D1869" s="8"/>
      <c r="E1869" s="8"/>
      <c r="F1869" s="8"/>
      <c r="G1869" s="8"/>
      <c r="H1869" s="8"/>
      <c r="I1869" s="8"/>
      <c r="J1869" s="8"/>
      <c r="K1869" s="8"/>
    </row>
    <row r="1870">
      <c r="A1870" s="8" t="s">
        <v>1878</v>
      </c>
      <c r="B1870" s="8"/>
      <c r="C1870" s="8"/>
      <c r="D1870" s="8"/>
      <c r="E1870" s="8"/>
      <c r="F1870" s="8"/>
      <c r="G1870" s="8"/>
      <c r="H1870" s="8"/>
      <c r="I1870" s="8"/>
      <c r="J1870" s="8"/>
      <c r="K1870" s="8"/>
    </row>
    <row r="1871">
      <c r="A1871" s="8" t="s">
        <v>1879</v>
      </c>
      <c r="B1871" s="8"/>
      <c r="C1871" s="8"/>
      <c r="D1871" s="8"/>
      <c r="E1871" s="8"/>
      <c r="F1871" s="8"/>
      <c r="G1871" s="8"/>
      <c r="H1871" s="8"/>
      <c r="I1871" s="8"/>
      <c r="J1871" s="8"/>
      <c r="K1871" s="8"/>
    </row>
    <row r="1872">
      <c r="A1872" s="8" t="s">
        <v>1880</v>
      </c>
      <c r="B1872" s="8"/>
      <c r="C1872" s="8"/>
      <c r="D1872" s="8"/>
      <c r="E1872" s="8"/>
      <c r="F1872" s="8"/>
      <c r="G1872" s="8"/>
      <c r="H1872" s="8"/>
      <c r="I1872" s="8"/>
      <c r="J1872" s="8"/>
      <c r="K1872" s="8"/>
    </row>
    <row r="1873">
      <c r="A1873" s="8" t="s">
        <v>1881</v>
      </c>
      <c r="B1873" s="8"/>
      <c r="C1873" s="8"/>
      <c r="D1873" s="8"/>
      <c r="E1873" s="8"/>
      <c r="F1873" s="8"/>
      <c r="G1873" s="8"/>
      <c r="H1873" s="8"/>
      <c r="I1873" s="8"/>
      <c r="J1873" s="8"/>
      <c r="K1873" s="8"/>
    </row>
    <row r="1874">
      <c r="A1874" s="8" t="s">
        <v>1882</v>
      </c>
      <c r="B1874" s="8"/>
      <c r="C1874" s="8"/>
      <c r="D1874" s="8"/>
      <c r="E1874" s="8"/>
      <c r="F1874" s="8"/>
      <c r="G1874" s="8"/>
      <c r="H1874" s="8"/>
      <c r="I1874" s="8"/>
      <c r="J1874" s="8"/>
      <c r="K1874" s="8"/>
    </row>
    <row r="1875">
      <c r="A1875" s="8" t="s">
        <v>1883</v>
      </c>
      <c r="B1875" s="8"/>
      <c r="C1875" s="8"/>
      <c r="D1875" s="8"/>
      <c r="E1875" s="8"/>
      <c r="F1875" s="8"/>
      <c r="G1875" s="8"/>
      <c r="H1875" s="8"/>
      <c r="I1875" s="8"/>
      <c r="J1875" s="8"/>
      <c r="K1875" s="8"/>
    </row>
    <row r="1876">
      <c r="A1876" s="8" t="s">
        <v>1884</v>
      </c>
      <c r="B1876" s="8"/>
      <c r="C1876" s="8"/>
      <c r="D1876" s="8"/>
      <c r="E1876" s="8"/>
      <c r="F1876" s="8"/>
      <c r="G1876" s="8"/>
      <c r="H1876" s="8"/>
      <c r="I1876" s="8"/>
      <c r="J1876" s="8"/>
      <c r="K1876" s="8"/>
    </row>
    <row r="1877">
      <c r="A1877" s="8" t="s">
        <v>1885</v>
      </c>
      <c r="B1877" s="8"/>
      <c r="C1877" s="8"/>
      <c r="D1877" s="8"/>
      <c r="E1877" s="8"/>
      <c r="F1877" s="8"/>
      <c r="G1877" s="8"/>
      <c r="H1877" s="8"/>
      <c r="I1877" s="8"/>
      <c r="J1877" s="8"/>
      <c r="K1877" s="8"/>
    </row>
    <row r="1878">
      <c r="A1878" s="8" t="s">
        <v>1886</v>
      </c>
      <c r="B1878" s="8"/>
      <c r="C1878" s="8"/>
      <c r="D1878" s="8"/>
      <c r="E1878" s="8"/>
      <c r="F1878" s="8"/>
      <c r="G1878" s="8"/>
      <c r="H1878" s="8"/>
      <c r="I1878" s="8"/>
      <c r="J1878" s="8"/>
      <c r="K1878" s="8"/>
    </row>
    <row r="1879">
      <c r="A1879" s="8" t="s">
        <v>1887</v>
      </c>
      <c r="B1879" s="8"/>
      <c r="C1879" s="8"/>
      <c r="D1879" s="8"/>
      <c r="E1879" s="8"/>
      <c r="F1879" s="8"/>
      <c r="G1879" s="8"/>
      <c r="H1879" s="8"/>
      <c r="I1879" s="8"/>
      <c r="J1879" s="8"/>
      <c r="K1879" s="8"/>
    </row>
    <row r="1880">
      <c r="A1880" s="8" t="s">
        <v>1888</v>
      </c>
      <c r="B1880" s="8"/>
      <c r="C1880" s="8"/>
      <c r="D1880" s="8"/>
      <c r="E1880" s="8"/>
      <c r="F1880" s="8"/>
      <c r="G1880" s="8"/>
      <c r="H1880" s="8"/>
      <c r="I1880" s="8"/>
      <c r="J1880" s="8"/>
      <c r="K1880" s="8"/>
    </row>
    <row r="1881">
      <c r="A1881" s="8" t="s">
        <v>1889</v>
      </c>
      <c r="B1881" s="8"/>
      <c r="C1881" s="8"/>
      <c r="D1881" s="8"/>
      <c r="E1881" s="8"/>
      <c r="F1881" s="8"/>
      <c r="G1881" s="8"/>
      <c r="H1881" s="8"/>
      <c r="I1881" s="8"/>
      <c r="J1881" s="8"/>
      <c r="K1881" s="8"/>
    </row>
    <row r="1882">
      <c r="A1882" s="8" t="s">
        <v>1890</v>
      </c>
      <c r="B1882" s="8"/>
      <c r="C1882" s="8"/>
      <c r="D1882" s="8"/>
      <c r="E1882" s="8"/>
      <c r="F1882" s="8"/>
      <c r="G1882" s="8"/>
      <c r="H1882" s="8"/>
      <c r="I1882" s="8"/>
      <c r="J1882" s="8"/>
      <c r="K1882" s="8"/>
    </row>
    <row r="1883">
      <c r="A1883" s="8" t="s">
        <v>1891</v>
      </c>
      <c r="B1883" s="8"/>
      <c r="C1883" s="8"/>
      <c r="D1883" s="8"/>
      <c r="E1883" s="8"/>
      <c r="F1883" s="8"/>
      <c r="G1883" s="8"/>
      <c r="H1883" s="8"/>
      <c r="I1883" s="8"/>
      <c r="J1883" s="8"/>
      <c r="K1883" s="8"/>
    </row>
    <row r="1884">
      <c r="A1884" s="8" t="s">
        <v>1892</v>
      </c>
      <c r="B1884" s="8"/>
      <c r="C1884" s="8"/>
      <c r="D1884" s="8"/>
      <c r="E1884" s="8"/>
      <c r="F1884" s="8"/>
      <c r="G1884" s="8"/>
      <c r="H1884" s="8"/>
      <c r="I1884" s="8"/>
      <c r="J1884" s="8"/>
      <c r="K1884" s="8"/>
    </row>
    <row r="1885">
      <c r="A1885" s="8" t="s">
        <v>1893</v>
      </c>
      <c r="B1885" s="8"/>
      <c r="C1885" s="8"/>
      <c r="D1885" s="8"/>
      <c r="E1885" s="8"/>
      <c r="F1885" s="8"/>
      <c r="G1885" s="8"/>
      <c r="H1885" s="8"/>
      <c r="I1885" s="8"/>
      <c r="J1885" s="8"/>
      <c r="K1885" s="8"/>
    </row>
    <row r="1886">
      <c r="A1886" s="8" t="s">
        <v>1894</v>
      </c>
      <c r="B1886" s="8"/>
      <c r="C1886" s="8"/>
      <c r="D1886" s="8"/>
      <c r="E1886" s="8"/>
      <c r="F1886" s="8"/>
      <c r="G1886" s="8"/>
      <c r="H1886" s="8"/>
      <c r="I1886" s="8"/>
      <c r="J1886" s="8"/>
      <c r="K1886" s="8"/>
    </row>
    <row r="1887">
      <c r="A1887" s="8" t="s">
        <v>1895</v>
      </c>
      <c r="B1887" s="8"/>
      <c r="C1887" s="8"/>
      <c r="D1887" s="8"/>
      <c r="E1887" s="8"/>
      <c r="F1887" s="8"/>
      <c r="G1887" s="8"/>
      <c r="H1887" s="8"/>
      <c r="I1887" s="8"/>
      <c r="J1887" s="8"/>
      <c r="K1887" s="8"/>
    </row>
    <row r="1888">
      <c r="A1888" s="8" t="s">
        <v>1896</v>
      </c>
      <c r="B1888" s="8"/>
      <c r="C1888" s="8"/>
      <c r="D1888" s="8"/>
      <c r="E1888" s="8"/>
      <c r="F1888" s="8"/>
      <c r="G1888" s="8"/>
      <c r="H1888" s="8"/>
      <c r="I1888" s="8"/>
      <c r="J1888" s="8"/>
      <c r="K1888" s="8"/>
    </row>
    <row r="1889">
      <c r="A1889" s="8" t="s">
        <v>1897</v>
      </c>
      <c r="B1889" s="8"/>
      <c r="C1889" s="8"/>
      <c r="D1889" s="8"/>
      <c r="E1889" s="8"/>
      <c r="F1889" s="8"/>
      <c r="G1889" s="8"/>
      <c r="H1889" s="8"/>
      <c r="I1889" s="8"/>
      <c r="J1889" s="8"/>
      <c r="K1889" s="8"/>
    </row>
    <row r="1890">
      <c r="A1890" s="8" t="s">
        <v>1898</v>
      </c>
      <c r="B1890" s="8"/>
      <c r="C1890" s="8"/>
      <c r="D1890" s="8"/>
      <c r="E1890" s="8"/>
      <c r="F1890" s="8"/>
      <c r="G1890" s="8"/>
      <c r="H1890" s="8"/>
      <c r="I1890" s="8"/>
      <c r="J1890" s="8"/>
      <c r="K1890" s="8"/>
    </row>
    <row r="1891">
      <c r="A1891" s="8" t="s">
        <v>1899</v>
      </c>
      <c r="B1891" s="8"/>
      <c r="C1891" s="8"/>
      <c r="D1891" s="8"/>
      <c r="E1891" s="8"/>
      <c r="F1891" s="8"/>
      <c r="G1891" s="8"/>
      <c r="H1891" s="8"/>
      <c r="I1891" s="8"/>
      <c r="J1891" s="8"/>
      <c r="K1891" s="8"/>
    </row>
    <row r="1892">
      <c r="A1892" s="8" t="s">
        <v>1900</v>
      </c>
      <c r="B1892" s="8"/>
      <c r="C1892" s="8"/>
      <c r="D1892" s="8"/>
      <c r="E1892" s="8"/>
      <c r="F1892" s="8"/>
      <c r="G1892" s="8"/>
      <c r="H1892" s="8"/>
      <c r="I1892" s="8"/>
      <c r="J1892" s="8"/>
      <c r="K1892" s="8"/>
    </row>
    <row r="1893">
      <c r="A1893" s="8" t="s">
        <v>1901</v>
      </c>
      <c r="B1893" s="8"/>
      <c r="C1893" s="8"/>
      <c r="D1893" s="8"/>
      <c r="E1893" s="8"/>
      <c r="F1893" s="8"/>
      <c r="G1893" s="8"/>
      <c r="H1893" s="8"/>
      <c r="I1893" s="8"/>
      <c r="J1893" s="8"/>
      <c r="K1893" s="8"/>
    </row>
    <row r="1894">
      <c r="A1894" s="8" t="s">
        <v>1902</v>
      </c>
      <c r="B1894" s="8"/>
      <c r="C1894" s="8"/>
      <c r="D1894" s="8"/>
      <c r="E1894" s="8"/>
      <c r="F1894" s="8"/>
      <c r="G1894" s="8"/>
      <c r="H1894" s="8"/>
      <c r="I1894" s="8"/>
      <c r="J1894" s="8"/>
      <c r="K1894" s="8"/>
    </row>
    <row r="1895">
      <c r="A1895" s="8" t="s">
        <v>1903</v>
      </c>
      <c r="B1895" s="8"/>
      <c r="C1895" s="8"/>
      <c r="D1895" s="8"/>
      <c r="E1895" s="8"/>
      <c r="F1895" s="8"/>
      <c r="G1895" s="8"/>
      <c r="H1895" s="8"/>
      <c r="I1895" s="8"/>
      <c r="J1895" s="8"/>
      <c r="K1895" s="8"/>
    </row>
    <row r="1896">
      <c r="A1896" s="8" t="s">
        <v>1904</v>
      </c>
      <c r="B1896" s="8"/>
      <c r="C1896" s="8"/>
      <c r="D1896" s="8"/>
      <c r="E1896" s="8"/>
      <c r="F1896" s="8"/>
      <c r="G1896" s="8"/>
      <c r="H1896" s="8"/>
      <c r="I1896" s="8"/>
      <c r="J1896" s="8"/>
      <c r="K1896" s="8"/>
    </row>
    <row r="1897">
      <c r="A1897" s="8" t="s">
        <v>1905</v>
      </c>
      <c r="B1897" s="8"/>
      <c r="C1897" s="8"/>
      <c r="D1897" s="8"/>
      <c r="E1897" s="8"/>
      <c r="F1897" s="8"/>
      <c r="G1897" s="8"/>
      <c r="H1897" s="8"/>
      <c r="I1897" s="8"/>
      <c r="J1897" s="8"/>
      <c r="K1897" s="8"/>
    </row>
    <row r="1898">
      <c r="A1898" s="8" t="s">
        <v>1906</v>
      </c>
      <c r="B1898" s="8"/>
      <c r="C1898" s="8"/>
      <c r="D1898" s="8"/>
      <c r="E1898" s="8"/>
      <c r="F1898" s="8"/>
      <c r="G1898" s="8"/>
      <c r="H1898" s="8"/>
      <c r="I1898" s="8"/>
      <c r="J1898" s="8"/>
      <c r="K1898" s="8"/>
    </row>
    <row r="1899">
      <c r="A1899" s="8" t="s">
        <v>1907</v>
      </c>
      <c r="B1899" s="8"/>
      <c r="C1899" s="8"/>
      <c r="D1899" s="8"/>
      <c r="E1899" s="8"/>
      <c r="F1899" s="8"/>
      <c r="G1899" s="8"/>
      <c r="H1899" s="8"/>
      <c r="I1899" s="8"/>
      <c r="J1899" s="8"/>
      <c r="K1899" s="8"/>
    </row>
    <row r="1900">
      <c r="A1900" s="8" t="s">
        <v>1908</v>
      </c>
      <c r="B1900" s="8"/>
      <c r="C1900" s="8"/>
      <c r="D1900" s="8"/>
      <c r="E1900" s="8"/>
      <c r="F1900" s="8"/>
      <c r="G1900" s="8"/>
      <c r="H1900" s="8"/>
      <c r="I1900" s="8"/>
      <c r="J1900" s="8"/>
      <c r="K1900" s="8"/>
    </row>
    <row r="1901">
      <c r="A1901" s="8" t="s">
        <v>1909</v>
      </c>
      <c r="B1901" s="8"/>
      <c r="C1901" s="8"/>
      <c r="D1901" s="8"/>
      <c r="E1901" s="8"/>
      <c r="F1901" s="8"/>
      <c r="G1901" s="8"/>
      <c r="H1901" s="8"/>
      <c r="I1901" s="8"/>
      <c r="J1901" s="8"/>
      <c r="K1901" s="8"/>
    </row>
    <row r="1902">
      <c r="A1902" s="8" t="s">
        <v>1910</v>
      </c>
      <c r="B1902" s="8"/>
      <c r="C1902" s="8"/>
      <c r="D1902" s="8"/>
      <c r="E1902" s="8"/>
      <c r="F1902" s="8"/>
      <c r="G1902" s="8"/>
      <c r="H1902" s="8"/>
      <c r="I1902" s="8"/>
      <c r="J1902" s="8"/>
      <c r="K1902" s="8"/>
    </row>
    <row r="1903">
      <c r="A1903" s="8" t="s">
        <v>1911</v>
      </c>
      <c r="B1903" s="8"/>
      <c r="C1903" s="8"/>
      <c r="D1903" s="8"/>
      <c r="E1903" s="8"/>
      <c r="F1903" s="8"/>
      <c r="G1903" s="8"/>
      <c r="H1903" s="8"/>
      <c r="I1903" s="8"/>
      <c r="J1903" s="8"/>
      <c r="K1903" s="8"/>
    </row>
    <row r="1904">
      <c r="A1904" s="8" t="s">
        <v>1912</v>
      </c>
      <c r="B1904" s="8"/>
      <c r="C1904" s="8"/>
      <c r="D1904" s="8"/>
      <c r="E1904" s="8"/>
      <c r="F1904" s="8"/>
      <c r="G1904" s="8"/>
      <c r="H1904" s="8"/>
      <c r="I1904" s="8"/>
      <c r="J1904" s="8"/>
      <c r="K1904" s="8"/>
    </row>
    <row r="1905">
      <c r="A1905" s="8" t="s">
        <v>1913</v>
      </c>
      <c r="B1905" s="8"/>
      <c r="C1905" s="8"/>
      <c r="D1905" s="8"/>
      <c r="E1905" s="8"/>
      <c r="F1905" s="8"/>
      <c r="G1905" s="8"/>
      <c r="H1905" s="8"/>
      <c r="I1905" s="8"/>
      <c r="J1905" s="8"/>
      <c r="K1905" s="8"/>
    </row>
    <row r="1906">
      <c r="A1906" s="8" t="s">
        <v>1914</v>
      </c>
      <c r="B1906" s="8"/>
      <c r="C1906" s="8"/>
      <c r="D1906" s="8"/>
      <c r="E1906" s="8"/>
      <c r="F1906" s="8"/>
      <c r="G1906" s="8"/>
      <c r="H1906" s="8"/>
      <c r="I1906" s="8"/>
      <c r="J1906" s="8"/>
      <c r="K1906" s="8"/>
    </row>
    <row r="1907">
      <c r="A1907" s="8" t="s">
        <v>1915</v>
      </c>
      <c r="B1907" s="8"/>
      <c r="C1907" s="8"/>
      <c r="D1907" s="8"/>
      <c r="E1907" s="8"/>
      <c r="F1907" s="8"/>
      <c r="G1907" s="8"/>
      <c r="H1907" s="8"/>
      <c r="I1907" s="8"/>
      <c r="J1907" s="8"/>
      <c r="K1907" s="8"/>
    </row>
    <row r="1908">
      <c r="A1908" s="8" t="s">
        <v>1916</v>
      </c>
      <c r="B1908" s="8"/>
      <c r="C1908" s="8"/>
      <c r="D1908" s="8"/>
      <c r="E1908" s="8"/>
      <c r="F1908" s="8"/>
      <c r="G1908" s="8"/>
      <c r="H1908" s="8"/>
      <c r="I1908" s="8"/>
      <c r="J1908" s="8"/>
      <c r="K1908" s="8"/>
    </row>
    <row r="1909">
      <c r="A1909" s="8" t="s">
        <v>1917</v>
      </c>
      <c r="B1909" s="8"/>
      <c r="C1909" s="8"/>
      <c r="D1909" s="8"/>
      <c r="E1909" s="8"/>
      <c r="F1909" s="8"/>
      <c r="G1909" s="8"/>
      <c r="H1909" s="8"/>
      <c r="I1909" s="8"/>
      <c r="J1909" s="8"/>
      <c r="K1909" s="8"/>
    </row>
    <row r="1910">
      <c r="A1910" s="8" t="s">
        <v>1918</v>
      </c>
      <c r="B1910" s="8"/>
      <c r="C1910" s="8"/>
      <c r="D1910" s="8"/>
      <c r="E1910" s="8"/>
      <c r="F1910" s="8"/>
      <c r="G1910" s="8"/>
      <c r="H1910" s="8"/>
      <c r="I1910" s="8"/>
      <c r="J1910" s="8"/>
      <c r="K1910" s="8"/>
    </row>
    <row r="1911">
      <c r="A1911" s="8" t="s">
        <v>1919</v>
      </c>
      <c r="B1911" s="8"/>
      <c r="C1911" s="8"/>
      <c r="D1911" s="8"/>
      <c r="E1911" s="8"/>
      <c r="F1911" s="8"/>
      <c r="G1911" s="8"/>
      <c r="H1911" s="8"/>
      <c r="I1911" s="8"/>
      <c r="J1911" s="8"/>
      <c r="K1911" s="8"/>
    </row>
    <row r="1912">
      <c r="A1912" s="8" t="s">
        <v>1920</v>
      </c>
      <c r="B1912" s="8"/>
      <c r="C1912" s="8"/>
      <c r="D1912" s="8"/>
      <c r="E1912" s="8"/>
      <c r="F1912" s="8"/>
      <c r="G1912" s="8"/>
      <c r="H1912" s="8"/>
      <c r="I1912" s="8"/>
      <c r="J1912" s="8"/>
      <c r="K1912" s="8"/>
    </row>
    <row r="1913">
      <c r="A1913" s="8" t="s">
        <v>1921</v>
      </c>
      <c r="B1913" s="8"/>
      <c r="C1913" s="8"/>
      <c r="D1913" s="8"/>
      <c r="E1913" s="8"/>
      <c r="F1913" s="8"/>
      <c r="G1913" s="8"/>
      <c r="H1913" s="8"/>
      <c r="I1913" s="8"/>
      <c r="J1913" s="8"/>
      <c r="K1913" s="8"/>
    </row>
    <row r="1914">
      <c r="A1914" s="8" t="s">
        <v>1922</v>
      </c>
      <c r="B1914" s="8"/>
      <c r="C1914" s="8"/>
      <c r="D1914" s="8"/>
      <c r="E1914" s="8"/>
      <c r="F1914" s="8"/>
      <c r="G1914" s="8"/>
      <c r="H1914" s="8"/>
      <c r="I1914" s="8"/>
      <c r="J1914" s="8"/>
      <c r="K1914" s="8"/>
    </row>
    <row r="1915">
      <c r="A1915" s="8" t="s">
        <v>1923</v>
      </c>
      <c r="B1915" s="8"/>
      <c r="C1915" s="8"/>
      <c r="D1915" s="8"/>
      <c r="E1915" s="8"/>
      <c r="F1915" s="8"/>
      <c r="G1915" s="8"/>
      <c r="H1915" s="8"/>
      <c r="I1915" s="8"/>
      <c r="J1915" s="8"/>
      <c r="K1915" s="8"/>
    </row>
    <row r="1916">
      <c r="A1916" s="8" t="s">
        <v>1924</v>
      </c>
      <c r="B1916" s="8"/>
      <c r="C1916" s="8"/>
      <c r="D1916" s="8"/>
      <c r="E1916" s="8"/>
      <c r="F1916" s="8"/>
      <c r="G1916" s="8"/>
      <c r="H1916" s="8"/>
      <c r="I1916" s="8"/>
      <c r="J1916" s="8"/>
      <c r="K1916" s="8"/>
    </row>
    <row r="1917">
      <c r="A1917" s="8" t="s">
        <v>1925</v>
      </c>
      <c r="B1917" s="8"/>
      <c r="C1917" s="8"/>
      <c r="D1917" s="8"/>
      <c r="E1917" s="8"/>
      <c r="F1917" s="8"/>
      <c r="G1917" s="8"/>
      <c r="H1917" s="8"/>
      <c r="I1917" s="8"/>
      <c r="J1917" s="8"/>
      <c r="K1917" s="8"/>
    </row>
    <row r="1918">
      <c r="A1918" s="8" t="s">
        <v>1926</v>
      </c>
      <c r="B1918" s="8"/>
      <c r="C1918" s="8"/>
      <c r="D1918" s="8"/>
      <c r="E1918" s="8"/>
      <c r="F1918" s="8"/>
      <c r="G1918" s="8"/>
      <c r="H1918" s="8"/>
      <c r="I1918" s="8"/>
      <c r="J1918" s="8"/>
      <c r="K1918" s="8"/>
    </row>
    <row r="1919">
      <c r="A1919" s="8" t="s">
        <v>1927</v>
      </c>
      <c r="B1919" s="8"/>
      <c r="C1919" s="8"/>
      <c r="D1919" s="8"/>
      <c r="E1919" s="8"/>
      <c r="F1919" s="8"/>
      <c r="G1919" s="8"/>
      <c r="H1919" s="8"/>
      <c r="I1919" s="8"/>
      <c r="J1919" s="8"/>
      <c r="K1919" s="8"/>
    </row>
    <row r="1920">
      <c r="A1920" s="8" t="s">
        <v>1928</v>
      </c>
      <c r="B1920" s="8"/>
      <c r="C1920" s="8"/>
      <c r="D1920" s="8"/>
      <c r="E1920" s="8"/>
      <c r="F1920" s="8"/>
      <c r="G1920" s="8"/>
      <c r="H1920" s="8"/>
      <c r="I1920" s="8"/>
      <c r="J1920" s="8"/>
      <c r="K1920" s="8"/>
    </row>
    <row r="1921">
      <c r="A1921" s="8" t="s">
        <v>1929</v>
      </c>
      <c r="B1921" s="8"/>
      <c r="C1921" s="8"/>
      <c r="D1921" s="8"/>
      <c r="E1921" s="8"/>
      <c r="F1921" s="8"/>
      <c r="G1921" s="8"/>
      <c r="H1921" s="8"/>
      <c r="I1921" s="8"/>
      <c r="J1921" s="8"/>
      <c r="K1921" s="8"/>
    </row>
    <row r="1922">
      <c r="A1922" s="8" t="s">
        <v>1930</v>
      </c>
      <c r="B1922" s="8"/>
      <c r="C1922" s="8"/>
      <c r="D1922" s="8"/>
      <c r="E1922" s="8"/>
      <c r="F1922" s="8"/>
      <c r="G1922" s="8"/>
      <c r="H1922" s="8"/>
      <c r="I1922" s="8"/>
      <c r="J1922" s="8"/>
      <c r="K1922" s="8"/>
    </row>
    <row r="1923">
      <c r="A1923" s="8" t="s">
        <v>1931</v>
      </c>
      <c r="B1923" s="8"/>
      <c r="C1923" s="8"/>
      <c r="D1923" s="8"/>
      <c r="E1923" s="8"/>
      <c r="F1923" s="8"/>
      <c r="G1923" s="8"/>
      <c r="H1923" s="8"/>
      <c r="I1923" s="8"/>
      <c r="J1923" s="8"/>
      <c r="K1923" s="8"/>
    </row>
    <row r="1924">
      <c r="A1924" s="8" t="s">
        <v>1932</v>
      </c>
      <c r="B1924" s="8"/>
      <c r="C1924" s="8"/>
      <c r="D1924" s="8"/>
      <c r="E1924" s="8"/>
      <c r="F1924" s="8"/>
      <c r="G1924" s="8"/>
      <c r="H1924" s="8"/>
      <c r="I1924" s="8"/>
      <c r="J1924" s="8"/>
      <c r="K1924" s="8"/>
    </row>
    <row r="1925">
      <c r="A1925" s="8" t="s">
        <v>1933</v>
      </c>
      <c r="B1925" s="8"/>
      <c r="C1925" s="8"/>
      <c r="D1925" s="8"/>
      <c r="E1925" s="8"/>
      <c r="F1925" s="8"/>
      <c r="G1925" s="8"/>
      <c r="H1925" s="8"/>
      <c r="I1925" s="8"/>
      <c r="J1925" s="8"/>
      <c r="K1925" s="8"/>
    </row>
    <row r="1926">
      <c r="A1926" s="8" t="s">
        <v>1934</v>
      </c>
      <c r="B1926" s="8"/>
      <c r="C1926" s="8"/>
      <c r="D1926" s="8"/>
      <c r="E1926" s="8"/>
      <c r="F1926" s="8"/>
      <c r="G1926" s="8"/>
      <c r="H1926" s="8"/>
      <c r="I1926" s="8"/>
      <c r="J1926" s="8"/>
      <c r="K1926" s="8"/>
    </row>
    <row r="1927">
      <c r="A1927" s="8" t="s">
        <v>1935</v>
      </c>
      <c r="B1927" s="8"/>
      <c r="C1927" s="8"/>
      <c r="D1927" s="8"/>
      <c r="E1927" s="8"/>
      <c r="F1927" s="8"/>
      <c r="G1927" s="8"/>
      <c r="H1927" s="8"/>
      <c r="I1927" s="8"/>
      <c r="J1927" s="8"/>
      <c r="K1927" s="8"/>
    </row>
    <row r="1928">
      <c r="A1928" s="8" t="s">
        <v>1936</v>
      </c>
      <c r="B1928" s="8"/>
      <c r="C1928" s="8"/>
      <c r="D1928" s="8"/>
      <c r="E1928" s="8"/>
      <c r="F1928" s="8"/>
      <c r="G1928" s="8"/>
      <c r="H1928" s="8"/>
      <c r="I1928" s="8"/>
      <c r="J1928" s="8"/>
      <c r="K1928" s="8"/>
    </row>
    <row r="1929">
      <c r="A1929" s="8" t="s">
        <v>1937</v>
      </c>
      <c r="B1929" s="8"/>
      <c r="C1929" s="8"/>
      <c r="D1929" s="8"/>
      <c r="E1929" s="8"/>
      <c r="F1929" s="8"/>
      <c r="G1929" s="8"/>
      <c r="H1929" s="8"/>
      <c r="I1929" s="8"/>
      <c r="J1929" s="8"/>
      <c r="K1929" s="8"/>
    </row>
    <row r="1930">
      <c r="A1930" s="8" t="s">
        <v>1938</v>
      </c>
      <c r="B1930" s="8"/>
      <c r="C1930" s="8"/>
      <c r="D1930" s="8"/>
      <c r="E1930" s="8"/>
      <c r="F1930" s="8"/>
      <c r="G1930" s="8"/>
      <c r="H1930" s="8"/>
      <c r="I1930" s="8"/>
      <c r="J1930" s="8"/>
      <c r="K1930" s="8"/>
    </row>
    <row r="1931">
      <c r="A1931" s="8" t="s">
        <v>1939</v>
      </c>
      <c r="B1931" s="8"/>
      <c r="C1931" s="8"/>
      <c r="D1931" s="8"/>
      <c r="E1931" s="8"/>
      <c r="F1931" s="8"/>
      <c r="G1931" s="8"/>
      <c r="H1931" s="8"/>
      <c r="I1931" s="8"/>
      <c r="J1931" s="8"/>
      <c r="K1931" s="8"/>
    </row>
    <row r="1932">
      <c r="A1932" s="8" t="s">
        <v>1940</v>
      </c>
      <c r="B1932" s="8"/>
      <c r="C1932" s="8"/>
      <c r="D1932" s="8"/>
      <c r="E1932" s="8"/>
      <c r="F1932" s="8"/>
      <c r="G1932" s="8"/>
      <c r="H1932" s="8"/>
      <c r="I1932" s="8"/>
      <c r="J1932" s="8"/>
      <c r="K1932" s="8"/>
    </row>
    <row r="1933">
      <c r="A1933" s="8" t="s">
        <v>1941</v>
      </c>
      <c r="B1933" s="8"/>
      <c r="C1933" s="8"/>
      <c r="D1933" s="8"/>
      <c r="E1933" s="8"/>
      <c r="F1933" s="8"/>
      <c r="G1933" s="8"/>
      <c r="H1933" s="8"/>
      <c r="I1933" s="8"/>
      <c r="J1933" s="8"/>
      <c r="K1933" s="8"/>
    </row>
    <row r="1934">
      <c r="A1934" s="8" t="s">
        <v>1942</v>
      </c>
      <c r="B1934" s="8"/>
      <c r="C1934" s="8"/>
      <c r="D1934" s="8"/>
      <c r="E1934" s="8"/>
      <c r="F1934" s="8"/>
      <c r="G1934" s="8"/>
      <c r="H1934" s="8"/>
      <c r="I1934" s="8"/>
      <c r="J1934" s="8"/>
      <c r="K1934" s="8"/>
    </row>
    <row r="1935">
      <c r="A1935" s="8" t="s">
        <v>1943</v>
      </c>
      <c r="B1935" s="8"/>
      <c r="C1935" s="8"/>
      <c r="D1935" s="8"/>
      <c r="E1935" s="8"/>
      <c r="F1935" s="8"/>
      <c r="G1935" s="8"/>
      <c r="H1935" s="8"/>
      <c r="I1935" s="8"/>
      <c r="J1935" s="8"/>
      <c r="K1935" s="8"/>
    </row>
    <row r="1936">
      <c r="A1936" s="8" t="s">
        <v>1944</v>
      </c>
      <c r="B1936" s="8"/>
      <c r="C1936" s="8"/>
      <c r="D1936" s="8"/>
      <c r="E1936" s="8"/>
      <c r="F1936" s="8"/>
      <c r="G1936" s="8"/>
      <c r="H1936" s="8"/>
      <c r="I1936" s="8"/>
      <c r="J1936" s="8"/>
      <c r="K1936" s="8"/>
    </row>
    <row r="1937">
      <c r="A1937" s="8" t="s">
        <v>1945</v>
      </c>
      <c r="B1937" s="8"/>
      <c r="C1937" s="8"/>
      <c r="D1937" s="8"/>
      <c r="E1937" s="8"/>
      <c r="F1937" s="8"/>
      <c r="G1937" s="8"/>
      <c r="H1937" s="8"/>
      <c r="I1937" s="8"/>
      <c r="J1937" s="8"/>
      <c r="K1937" s="8"/>
    </row>
    <row r="1938">
      <c r="A1938" s="8" t="s">
        <v>1946</v>
      </c>
      <c r="B1938" s="8"/>
      <c r="C1938" s="8"/>
      <c r="D1938" s="8"/>
      <c r="E1938" s="8"/>
      <c r="F1938" s="8"/>
      <c r="G1938" s="8"/>
      <c r="H1938" s="8"/>
      <c r="I1938" s="8"/>
      <c r="J1938" s="8"/>
      <c r="K1938" s="8"/>
    </row>
    <row r="1939">
      <c r="A1939" s="8" t="s">
        <v>1947</v>
      </c>
      <c r="B1939" s="8"/>
      <c r="C1939" s="8"/>
      <c r="D1939" s="8"/>
      <c r="E1939" s="8"/>
      <c r="F1939" s="8"/>
      <c r="G1939" s="8"/>
      <c r="H1939" s="8"/>
      <c r="I1939" s="8"/>
      <c r="J1939" s="8"/>
      <c r="K1939" s="8"/>
    </row>
    <row r="1940">
      <c r="A1940" s="8" t="s">
        <v>1948</v>
      </c>
      <c r="B1940" s="8"/>
      <c r="C1940" s="8"/>
      <c r="D1940" s="8"/>
      <c r="E1940" s="8"/>
      <c r="F1940" s="8"/>
      <c r="G1940" s="8"/>
      <c r="H1940" s="8"/>
      <c r="I1940" s="8"/>
      <c r="J1940" s="8"/>
      <c r="K1940" s="8"/>
    </row>
    <row r="1941">
      <c r="A1941" s="8" t="s">
        <v>1949</v>
      </c>
      <c r="B1941" s="8"/>
      <c r="C1941" s="8"/>
      <c r="D1941" s="8"/>
      <c r="E1941" s="8"/>
      <c r="F1941" s="8"/>
      <c r="G1941" s="8"/>
      <c r="H1941" s="8"/>
      <c r="I1941" s="8"/>
      <c r="J1941" s="8"/>
      <c r="K1941" s="8"/>
    </row>
    <row r="1942">
      <c r="A1942" s="8" t="s">
        <v>1950</v>
      </c>
      <c r="B1942" s="8"/>
      <c r="C1942" s="8"/>
      <c r="D1942" s="8"/>
      <c r="E1942" s="8"/>
      <c r="F1942" s="8"/>
      <c r="G1942" s="8"/>
      <c r="H1942" s="8"/>
      <c r="I1942" s="8"/>
      <c r="J1942" s="8"/>
      <c r="K1942" s="8"/>
    </row>
    <row r="1943">
      <c r="A1943" s="8" t="s">
        <v>1951</v>
      </c>
      <c r="B1943" s="8"/>
      <c r="C1943" s="8"/>
      <c r="D1943" s="8"/>
      <c r="E1943" s="8"/>
      <c r="F1943" s="8"/>
      <c r="G1943" s="8"/>
      <c r="H1943" s="8"/>
      <c r="I1943" s="8"/>
      <c r="J1943" s="8"/>
      <c r="K1943" s="8"/>
    </row>
    <row r="1944">
      <c r="A1944" s="8" t="s">
        <v>1952</v>
      </c>
      <c r="B1944" s="8"/>
      <c r="C1944" s="8"/>
      <c r="D1944" s="8"/>
      <c r="E1944" s="8"/>
      <c r="F1944" s="8"/>
      <c r="G1944" s="8"/>
      <c r="H1944" s="8"/>
      <c r="I1944" s="8"/>
      <c r="J1944" s="8"/>
      <c r="K1944" s="8"/>
    </row>
    <row r="1945">
      <c r="A1945" s="8" t="s">
        <v>1953</v>
      </c>
      <c r="B1945" s="8"/>
      <c r="C1945" s="8"/>
      <c r="D1945" s="8"/>
      <c r="E1945" s="8"/>
      <c r="F1945" s="8"/>
      <c r="G1945" s="8"/>
      <c r="H1945" s="8"/>
      <c r="I1945" s="8"/>
      <c r="J1945" s="8"/>
      <c r="K1945" s="8"/>
    </row>
    <row r="1946">
      <c r="A1946" s="8" t="s">
        <v>1954</v>
      </c>
      <c r="B1946" s="8"/>
      <c r="C1946" s="8"/>
      <c r="D1946" s="8"/>
      <c r="E1946" s="8"/>
      <c r="F1946" s="8"/>
      <c r="G1946" s="8"/>
      <c r="H1946" s="8"/>
      <c r="I1946" s="8"/>
      <c r="J1946" s="8"/>
      <c r="K1946" s="8"/>
    </row>
    <row r="1947">
      <c r="A1947" s="8" t="s">
        <v>1955</v>
      </c>
      <c r="B1947" s="8"/>
      <c r="C1947" s="8"/>
      <c r="D1947" s="8"/>
      <c r="E1947" s="8"/>
      <c r="F1947" s="8"/>
      <c r="G1947" s="8"/>
      <c r="H1947" s="8"/>
      <c r="I1947" s="8"/>
      <c r="J1947" s="8"/>
      <c r="K1947" s="8"/>
    </row>
    <row r="1948">
      <c r="A1948" s="8" t="s">
        <v>1956</v>
      </c>
      <c r="B1948" s="8"/>
      <c r="C1948" s="8"/>
      <c r="D1948" s="8"/>
      <c r="E1948" s="8"/>
      <c r="F1948" s="8"/>
      <c r="G1948" s="8"/>
      <c r="H1948" s="8"/>
      <c r="I1948" s="8"/>
      <c r="J1948" s="8"/>
      <c r="K1948" s="8"/>
    </row>
    <row r="1949">
      <c r="A1949" s="8" t="s">
        <v>1957</v>
      </c>
      <c r="B1949" s="8"/>
      <c r="C1949" s="8"/>
      <c r="D1949" s="8"/>
      <c r="E1949" s="8"/>
      <c r="F1949" s="8"/>
      <c r="G1949" s="8"/>
      <c r="H1949" s="8"/>
      <c r="I1949" s="8"/>
      <c r="J1949" s="8"/>
      <c r="K1949" s="8"/>
    </row>
    <row r="1950">
      <c r="A1950" s="8" t="s">
        <v>1958</v>
      </c>
      <c r="B1950" s="8"/>
      <c r="C1950" s="8"/>
      <c r="D1950" s="8"/>
      <c r="E1950" s="8"/>
      <c r="F1950" s="8"/>
      <c r="G1950" s="8"/>
      <c r="H1950" s="8"/>
      <c r="I1950" s="8"/>
      <c r="J1950" s="8"/>
      <c r="K1950" s="8"/>
    </row>
    <row r="1951">
      <c r="A1951" s="8" t="s">
        <v>1959</v>
      </c>
      <c r="B1951" s="8"/>
      <c r="C1951" s="8"/>
      <c r="D1951" s="8"/>
      <c r="E1951" s="8"/>
      <c r="F1951" s="8"/>
      <c r="G1951" s="8"/>
      <c r="H1951" s="8"/>
      <c r="I1951" s="8"/>
      <c r="J1951" s="8"/>
      <c r="K1951" s="8"/>
    </row>
    <row r="1952">
      <c r="A1952" s="8" t="s">
        <v>1960</v>
      </c>
      <c r="B1952" s="8"/>
      <c r="C1952" s="8"/>
      <c r="D1952" s="8"/>
      <c r="E1952" s="8"/>
      <c r="F1952" s="8"/>
      <c r="G1952" s="8"/>
      <c r="H1952" s="8"/>
      <c r="I1952" s="8"/>
      <c r="J1952" s="8"/>
      <c r="K1952" s="8"/>
    </row>
    <row r="1953">
      <c r="A1953" s="8" t="s">
        <v>1961</v>
      </c>
      <c r="B1953" s="8"/>
      <c r="C1953" s="8"/>
      <c r="D1953" s="8"/>
      <c r="E1953" s="8"/>
      <c r="F1953" s="8"/>
      <c r="G1953" s="8"/>
      <c r="H1953" s="8"/>
      <c r="I1953" s="8"/>
      <c r="J1953" s="8"/>
      <c r="K1953" s="8"/>
    </row>
    <row r="1954">
      <c r="A1954" s="8" t="s">
        <v>1962</v>
      </c>
      <c r="B1954" s="8"/>
      <c r="C1954" s="8"/>
      <c r="D1954" s="8"/>
      <c r="E1954" s="8"/>
      <c r="F1954" s="8"/>
      <c r="G1954" s="8"/>
      <c r="H1954" s="8"/>
      <c r="I1954" s="8"/>
      <c r="J1954" s="8"/>
      <c r="K1954" s="8"/>
    </row>
    <row r="1955">
      <c r="A1955" s="8" t="s">
        <v>1963</v>
      </c>
      <c r="B1955" s="8"/>
      <c r="C1955" s="8"/>
      <c r="D1955" s="8"/>
      <c r="E1955" s="8"/>
      <c r="F1955" s="8"/>
      <c r="G1955" s="8"/>
      <c r="H1955" s="8"/>
      <c r="I1955" s="8"/>
      <c r="J1955" s="8"/>
      <c r="K1955" s="8"/>
    </row>
    <row r="1956">
      <c r="A1956" s="8" t="s">
        <v>1964</v>
      </c>
      <c r="B1956" s="8"/>
      <c r="C1956" s="8"/>
      <c r="D1956" s="8"/>
      <c r="E1956" s="8"/>
      <c r="F1956" s="8"/>
      <c r="G1956" s="8"/>
      <c r="H1956" s="8"/>
      <c r="I1956" s="8"/>
      <c r="J1956" s="8"/>
      <c r="K1956" s="8"/>
    </row>
    <row r="1957">
      <c r="A1957" s="8" t="s">
        <v>1965</v>
      </c>
      <c r="B1957" s="8"/>
      <c r="C1957" s="8"/>
      <c r="D1957" s="8"/>
      <c r="E1957" s="8"/>
      <c r="F1957" s="8"/>
      <c r="G1957" s="8"/>
      <c r="H1957" s="8"/>
      <c r="I1957" s="8"/>
      <c r="J1957" s="8"/>
      <c r="K1957" s="8"/>
    </row>
    <row r="1958">
      <c r="A1958" s="8" t="s">
        <v>1966</v>
      </c>
      <c r="B1958" s="8"/>
      <c r="C1958" s="8"/>
      <c r="D1958" s="8"/>
      <c r="E1958" s="8"/>
      <c r="F1958" s="8"/>
      <c r="G1958" s="8"/>
      <c r="H1958" s="8"/>
      <c r="I1958" s="8"/>
      <c r="J1958" s="8"/>
      <c r="K1958" s="8"/>
    </row>
    <row r="1959">
      <c r="A1959" s="8" t="s">
        <v>1967</v>
      </c>
      <c r="B1959" s="8"/>
      <c r="C1959" s="8"/>
      <c r="D1959" s="8"/>
      <c r="E1959" s="8"/>
      <c r="F1959" s="8"/>
      <c r="G1959" s="8"/>
      <c r="H1959" s="8"/>
      <c r="I1959" s="8"/>
      <c r="J1959" s="8"/>
      <c r="K1959" s="8"/>
    </row>
    <row r="1960">
      <c r="A1960" s="8" t="s">
        <v>1968</v>
      </c>
      <c r="B1960" s="8"/>
      <c r="C1960" s="8"/>
      <c r="D1960" s="8"/>
      <c r="E1960" s="8"/>
      <c r="F1960" s="8"/>
      <c r="G1960" s="8"/>
      <c r="H1960" s="8"/>
      <c r="I1960" s="8"/>
      <c r="J1960" s="8"/>
      <c r="K1960" s="8"/>
    </row>
    <row r="1961">
      <c r="A1961" s="8" t="s">
        <v>1969</v>
      </c>
      <c r="B1961" s="8"/>
      <c r="C1961" s="8"/>
      <c r="D1961" s="8"/>
      <c r="E1961" s="8"/>
      <c r="F1961" s="8"/>
      <c r="G1961" s="8"/>
      <c r="H1961" s="8"/>
      <c r="I1961" s="8"/>
      <c r="J1961" s="8"/>
      <c r="K1961" s="8"/>
    </row>
    <row r="1962">
      <c r="A1962" s="8" t="s">
        <v>1970</v>
      </c>
      <c r="B1962" s="8"/>
      <c r="C1962" s="8"/>
      <c r="D1962" s="8"/>
      <c r="E1962" s="8"/>
      <c r="F1962" s="8"/>
      <c r="G1962" s="8"/>
      <c r="H1962" s="8"/>
      <c r="I1962" s="8"/>
      <c r="J1962" s="8"/>
      <c r="K1962" s="8"/>
    </row>
    <row r="1963">
      <c r="A1963" s="8" t="s">
        <v>1971</v>
      </c>
      <c r="B1963" s="8"/>
      <c r="C1963" s="8"/>
      <c r="D1963" s="8"/>
      <c r="E1963" s="8"/>
      <c r="F1963" s="8"/>
      <c r="G1963" s="8"/>
      <c r="H1963" s="8"/>
      <c r="I1963" s="8"/>
      <c r="J1963" s="8"/>
      <c r="K1963" s="8"/>
    </row>
    <row r="1964">
      <c r="A1964" s="8" t="s">
        <v>1972</v>
      </c>
      <c r="B1964" s="8"/>
      <c r="C1964" s="8"/>
      <c r="D1964" s="8"/>
      <c r="E1964" s="8"/>
      <c r="F1964" s="8"/>
      <c r="G1964" s="8"/>
      <c r="H1964" s="8"/>
      <c r="I1964" s="8"/>
      <c r="J1964" s="8"/>
      <c r="K1964" s="8"/>
    </row>
    <row r="1965">
      <c r="A1965" s="8" t="s">
        <v>1973</v>
      </c>
      <c r="B1965" s="8"/>
      <c r="C1965" s="8"/>
      <c r="D1965" s="8"/>
      <c r="E1965" s="8"/>
      <c r="F1965" s="8"/>
      <c r="G1965" s="8"/>
      <c r="H1965" s="8"/>
      <c r="I1965" s="8"/>
      <c r="J1965" s="8"/>
      <c r="K1965" s="8"/>
    </row>
    <row r="1966">
      <c r="A1966" s="8" t="s">
        <v>1974</v>
      </c>
      <c r="B1966" s="8"/>
      <c r="C1966" s="8"/>
      <c r="D1966" s="8"/>
      <c r="E1966" s="8"/>
      <c r="F1966" s="8"/>
      <c r="G1966" s="8"/>
      <c r="H1966" s="8"/>
      <c r="I1966" s="8"/>
      <c r="J1966" s="8"/>
      <c r="K1966" s="8"/>
    </row>
    <row r="1967">
      <c r="A1967" s="8" t="s">
        <v>1975</v>
      </c>
      <c r="B1967" s="8"/>
      <c r="C1967" s="8"/>
      <c r="D1967" s="8"/>
      <c r="E1967" s="8"/>
      <c r="F1967" s="8"/>
      <c r="G1967" s="8"/>
      <c r="H1967" s="8"/>
      <c r="I1967" s="8"/>
      <c r="J1967" s="8"/>
      <c r="K1967" s="8"/>
    </row>
    <row r="1968">
      <c r="A1968" s="8" t="s">
        <v>1976</v>
      </c>
      <c r="B1968" s="8"/>
      <c r="C1968" s="8"/>
      <c r="D1968" s="8"/>
      <c r="E1968" s="8"/>
      <c r="F1968" s="8"/>
      <c r="G1968" s="8"/>
      <c r="H1968" s="8"/>
      <c r="I1968" s="8"/>
      <c r="J1968" s="8"/>
      <c r="K1968" s="8"/>
    </row>
    <row r="1969">
      <c r="A1969" s="8" t="s">
        <v>1977</v>
      </c>
      <c r="B1969" s="8"/>
      <c r="C1969" s="8"/>
      <c r="D1969" s="8"/>
      <c r="E1969" s="8"/>
      <c r="F1969" s="8"/>
      <c r="G1969" s="8"/>
      <c r="H1969" s="8"/>
      <c r="I1969" s="8"/>
      <c r="J1969" s="8"/>
      <c r="K1969" s="8"/>
    </row>
    <row r="1970">
      <c r="A1970" s="8" t="s">
        <v>1978</v>
      </c>
      <c r="B1970" s="8"/>
      <c r="C1970" s="8"/>
      <c r="D1970" s="8"/>
      <c r="E1970" s="8"/>
      <c r="F1970" s="8"/>
      <c r="G1970" s="8"/>
      <c r="H1970" s="8"/>
      <c r="I1970" s="8"/>
      <c r="J1970" s="8"/>
      <c r="K1970" s="8"/>
    </row>
    <row r="1971">
      <c r="A1971" s="8" t="s">
        <v>1979</v>
      </c>
      <c r="B1971" s="8"/>
      <c r="C1971" s="8"/>
      <c r="D1971" s="8"/>
      <c r="E1971" s="8"/>
      <c r="F1971" s="8"/>
      <c r="G1971" s="8"/>
      <c r="H1971" s="8"/>
      <c r="I1971" s="8"/>
      <c r="J1971" s="8"/>
      <c r="K1971" s="8"/>
    </row>
    <row r="1972">
      <c r="A1972" s="8" t="s">
        <v>1980</v>
      </c>
      <c r="B1972" s="8"/>
      <c r="C1972" s="8"/>
      <c r="D1972" s="8"/>
      <c r="E1972" s="8"/>
      <c r="F1972" s="8"/>
      <c r="G1972" s="8"/>
      <c r="H1972" s="8"/>
      <c r="I1972" s="8"/>
      <c r="J1972" s="8"/>
      <c r="K1972" s="8"/>
    </row>
    <row r="1973">
      <c r="A1973" s="8" t="s">
        <v>1981</v>
      </c>
      <c r="B1973" s="8"/>
      <c r="C1973" s="8"/>
      <c r="D1973" s="8"/>
      <c r="E1973" s="8"/>
      <c r="F1973" s="8"/>
      <c r="G1973" s="8"/>
      <c r="H1973" s="8"/>
      <c r="I1973" s="8"/>
      <c r="J1973" s="8"/>
      <c r="K1973" s="8"/>
    </row>
    <row r="1974">
      <c r="A1974" s="8" t="s">
        <v>1982</v>
      </c>
      <c r="B1974" s="8"/>
      <c r="C1974" s="8"/>
      <c r="D1974" s="8"/>
      <c r="E1974" s="8"/>
      <c r="F1974" s="8"/>
      <c r="G1974" s="8"/>
      <c r="H1974" s="8"/>
      <c r="I1974" s="8"/>
      <c r="J1974" s="8"/>
      <c r="K1974" s="8"/>
    </row>
    <row r="1975">
      <c r="A1975" s="8" t="s">
        <v>1983</v>
      </c>
      <c r="B1975" s="8"/>
      <c r="C1975" s="8"/>
      <c r="D1975" s="8"/>
      <c r="E1975" s="8"/>
      <c r="F1975" s="8"/>
      <c r="G1975" s="8"/>
      <c r="H1975" s="8"/>
      <c r="I1975" s="8"/>
      <c r="J1975" s="8"/>
      <c r="K1975" s="8"/>
    </row>
    <row r="1976">
      <c r="A1976" s="8" t="s">
        <v>1984</v>
      </c>
      <c r="B1976" s="8"/>
      <c r="C1976" s="8"/>
      <c r="D1976" s="8"/>
      <c r="E1976" s="8"/>
      <c r="F1976" s="8"/>
      <c r="G1976" s="8"/>
      <c r="H1976" s="8"/>
      <c r="I1976" s="8"/>
      <c r="J1976" s="8"/>
      <c r="K1976" s="8"/>
    </row>
    <row r="1977">
      <c r="A1977" s="8" t="s">
        <v>1985</v>
      </c>
      <c r="B1977" s="8"/>
      <c r="C1977" s="8"/>
      <c r="D1977" s="8"/>
      <c r="E1977" s="8"/>
      <c r="F1977" s="8"/>
      <c r="G1977" s="8"/>
      <c r="H1977" s="8"/>
      <c r="I1977" s="8"/>
      <c r="J1977" s="8"/>
      <c r="K1977" s="8"/>
    </row>
    <row r="1978">
      <c r="A1978" s="8" t="s">
        <v>1986</v>
      </c>
      <c r="B1978" s="8"/>
      <c r="C1978" s="8"/>
      <c r="D1978" s="8"/>
      <c r="E1978" s="8"/>
      <c r="F1978" s="8"/>
      <c r="G1978" s="8"/>
      <c r="H1978" s="8"/>
      <c r="I1978" s="8"/>
      <c r="J1978" s="8"/>
      <c r="K1978" s="8"/>
    </row>
    <row r="1979">
      <c r="A1979" s="8" t="s">
        <v>1987</v>
      </c>
      <c r="B1979" s="8"/>
      <c r="C1979" s="8"/>
      <c r="D1979" s="8"/>
      <c r="E1979" s="8"/>
      <c r="F1979" s="8"/>
      <c r="G1979" s="8"/>
      <c r="H1979" s="8"/>
      <c r="I1979" s="8"/>
      <c r="J1979" s="8"/>
      <c r="K1979" s="8"/>
    </row>
    <row r="1980">
      <c r="A1980" s="8" t="s">
        <v>1988</v>
      </c>
      <c r="B1980" s="8"/>
      <c r="C1980" s="8"/>
      <c r="D1980" s="8"/>
      <c r="E1980" s="8"/>
      <c r="F1980" s="8"/>
      <c r="G1980" s="8"/>
      <c r="H1980" s="8"/>
      <c r="I1980" s="8"/>
      <c r="J1980" s="8"/>
      <c r="K1980" s="8"/>
    </row>
    <row r="1981">
      <c r="A1981" s="8" t="s">
        <v>1989</v>
      </c>
      <c r="B1981" s="8"/>
      <c r="C1981" s="8"/>
      <c r="D1981" s="8"/>
      <c r="E1981" s="8"/>
      <c r="F1981" s="8"/>
      <c r="G1981" s="8"/>
      <c r="H1981" s="8"/>
      <c r="I1981" s="8"/>
      <c r="J1981" s="8"/>
      <c r="K1981" s="8"/>
    </row>
    <row r="1982">
      <c r="A1982" s="8" t="s">
        <v>1990</v>
      </c>
      <c r="B1982" s="8"/>
      <c r="C1982" s="8"/>
      <c r="D1982" s="8"/>
      <c r="E1982" s="8"/>
      <c r="F1982" s="8"/>
      <c r="G1982" s="8"/>
      <c r="H1982" s="8"/>
      <c r="I1982" s="8"/>
      <c r="J1982" s="8"/>
      <c r="K1982" s="8"/>
    </row>
    <row r="1983">
      <c r="A1983" s="8" t="s">
        <v>1991</v>
      </c>
      <c r="B1983" s="8"/>
      <c r="C1983" s="8"/>
      <c r="D1983" s="8"/>
      <c r="E1983" s="8"/>
      <c r="F1983" s="8"/>
      <c r="G1983" s="8"/>
      <c r="H1983" s="8"/>
      <c r="I1983" s="8"/>
      <c r="J1983" s="8"/>
      <c r="K1983" s="8"/>
    </row>
    <row r="1984">
      <c r="A1984" s="8" t="s">
        <v>1992</v>
      </c>
      <c r="B1984" s="8"/>
      <c r="C1984" s="8"/>
      <c r="D1984" s="8"/>
      <c r="E1984" s="8"/>
      <c r="F1984" s="8"/>
      <c r="G1984" s="8"/>
      <c r="H1984" s="8"/>
      <c r="I1984" s="8"/>
      <c r="J1984" s="8"/>
      <c r="K1984" s="8"/>
    </row>
    <row r="1985">
      <c r="A1985" s="8" t="s">
        <v>1993</v>
      </c>
      <c r="B1985" s="8"/>
      <c r="C1985" s="8"/>
      <c r="D1985" s="8"/>
      <c r="E1985" s="8"/>
      <c r="F1985" s="8"/>
      <c r="G1985" s="8"/>
      <c r="H1985" s="8"/>
      <c r="I1985" s="8"/>
      <c r="J1985" s="8"/>
      <c r="K1985" s="8"/>
    </row>
    <row r="1986">
      <c r="A1986" s="8" t="s">
        <v>1994</v>
      </c>
      <c r="B1986" s="8"/>
      <c r="C1986" s="8"/>
      <c r="D1986" s="8"/>
      <c r="E1986" s="8"/>
      <c r="F1986" s="8"/>
      <c r="G1986" s="8"/>
      <c r="H1986" s="8"/>
      <c r="I1986" s="8"/>
      <c r="J1986" s="8"/>
      <c r="K1986" s="8"/>
    </row>
    <row r="1987">
      <c r="A1987" s="8" t="s">
        <v>1995</v>
      </c>
      <c r="B1987" s="8"/>
      <c r="C1987" s="8"/>
      <c r="D1987" s="8"/>
      <c r="E1987" s="8"/>
      <c r="F1987" s="8"/>
      <c r="G1987" s="8"/>
      <c r="H1987" s="8"/>
      <c r="I1987" s="8"/>
      <c r="J1987" s="8"/>
      <c r="K1987" s="8"/>
    </row>
    <row r="1988">
      <c r="A1988" s="8" t="s">
        <v>1996</v>
      </c>
      <c r="B1988" s="8"/>
      <c r="C1988" s="8"/>
      <c r="D1988" s="8"/>
      <c r="E1988" s="8"/>
      <c r="F1988" s="8"/>
      <c r="G1988" s="8"/>
      <c r="H1988" s="8"/>
      <c r="I1988" s="8"/>
      <c r="J1988" s="8"/>
      <c r="K1988" s="8"/>
    </row>
    <row r="1989">
      <c r="A1989" s="8" t="s">
        <v>1997</v>
      </c>
      <c r="B1989" s="8"/>
      <c r="C1989" s="8"/>
      <c r="D1989" s="8"/>
      <c r="E1989" s="8"/>
      <c r="F1989" s="8"/>
      <c r="G1989" s="8"/>
      <c r="H1989" s="8"/>
      <c r="I1989" s="8"/>
      <c r="J1989" s="8"/>
      <c r="K1989" s="8"/>
    </row>
    <row r="1990">
      <c r="A1990" s="8" t="s">
        <v>1998</v>
      </c>
      <c r="B1990" s="8"/>
      <c r="C1990" s="8"/>
      <c r="D1990" s="8"/>
      <c r="E1990" s="8"/>
      <c r="F1990" s="8"/>
      <c r="G1990" s="8"/>
      <c r="H1990" s="8"/>
      <c r="I1990" s="8"/>
      <c r="J1990" s="8"/>
      <c r="K1990" s="8"/>
    </row>
    <row r="1991">
      <c r="A1991" s="8" t="s">
        <v>1999</v>
      </c>
      <c r="B1991" s="8"/>
      <c r="C1991" s="8"/>
      <c r="D1991" s="8"/>
      <c r="E1991" s="8"/>
      <c r="F1991" s="8"/>
      <c r="G1991" s="8"/>
      <c r="H1991" s="8"/>
      <c r="I1991" s="8"/>
      <c r="J1991" s="8"/>
      <c r="K1991" s="8"/>
    </row>
    <row r="1992">
      <c r="A1992" s="8" t="s">
        <v>2000</v>
      </c>
      <c r="B1992" s="8"/>
      <c r="C1992" s="8"/>
      <c r="D1992" s="8"/>
      <c r="E1992" s="8"/>
      <c r="F1992" s="8"/>
      <c r="G1992" s="8"/>
      <c r="H1992" s="8"/>
      <c r="I1992" s="8"/>
      <c r="J1992" s="8"/>
      <c r="K1992" s="8"/>
    </row>
    <row r="1993">
      <c r="A1993" s="8" t="s">
        <v>2001</v>
      </c>
      <c r="B1993" s="8"/>
      <c r="C1993" s="8"/>
      <c r="D1993" s="8"/>
      <c r="E1993" s="8"/>
      <c r="F1993" s="8"/>
      <c r="G1993" s="8"/>
      <c r="H1993" s="8"/>
      <c r="I1993" s="8"/>
      <c r="J1993" s="8"/>
      <c r="K1993" s="8"/>
    </row>
    <row r="1994">
      <c r="A1994" s="8" t="s">
        <v>2002</v>
      </c>
      <c r="B1994" s="8"/>
      <c r="C1994" s="8"/>
      <c r="D1994" s="8"/>
      <c r="E1994" s="8"/>
      <c r="F1994" s="8"/>
      <c r="G1994" s="8"/>
      <c r="H1994" s="8"/>
      <c r="I1994" s="8"/>
      <c r="J1994" s="8"/>
      <c r="K1994" s="8"/>
    </row>
    <row r="1995">
      <c r="A1995" s="8" t="s">
        <v>2003</v>
      </c>
      <c r="B1995" s="8"/>
      <c r="C1995" s="8"/>
      <c r="D1995" s="8"/>
      <c r="E1995" s="8"/>
      <c r="F1995" s="8"/>
      <c r="G1995" s="8"/>
      <c r="H1995" s="8"/>
      <c r="I1995" s="8"/>
      <c r="J1995" s="8"/>
      <c r="K1995" s="8"/>
    </row>
    <row r="1996">
      <c r="A1996" s="8" t="s">
        <v>2004</v>
      </c>
      <c r="B1996" s="8"/>
      <c r="C1996" s="8"/>
      <c r="D1996" s="8"/>
      <c r="E1996" s="8"/>
      <c r="F1996" s="8"/>
      <c r="G1996" s="8"/>
      <c r="H1996" s="8"/>
      <c r="I1996" s="8"/>
      <c r="J1996" s="8"/>
      <c r="K1996" s="8"/>
    </row>
    <row r="1997">
      <c r="A1997" s="8" t="s">
        <v>2005</v>
      </c>
      <c r="B1997" s="8"/>
      <c r="C1997" s="8"/>
      <c r="D1997" s="8"/>
      <c r="E1997" s="8"/>
      <c r="F1997" s="8"/>
      <c r="G1997" s="8"/>
      <c r="H1997" s="8"/>
      <c r="I1997" s="8"/>
      <c r="J1997" s="8"/>
      <c r="K1997" s="8"/>
    </row>
    <row r="1998">
      <c r="A1998" s="8" t="s">
        <v>2006</v>
      </c>
      <c r="B1998" s="8"/>
      <c r="C1998" s="8"/>
      <c r="D1998" s="8"/>
      <c r="E1998" s="8"/>
      <c r="F1998" s="8"/>
      <c r="G1998" s="8"/>
      <c r="H1998" s="8"/>
      <c r="I1998" s="8"/>
      <c r="J1998" s="8"/>
      <c r="K1998" s="8"/>
    </row>
    <row r="1999">
      <c r="A1999" s="8" t="s">
        <v>2007</v>
      </c>
      <c r="B1999" s="8"/>
      <c r="C1999" s="8"/>
      <c r="D1999" s="8"/>
      <c r="E1999" s="8"/>
      <c r="F1999" s="8"/>
      <c r="G1999" s="8"/>
      <c r="H1999" s="8"/>
      <c r="I1999" s="8"/>
      <c r="J1999" s="8"/>
      <c r="K1999" s="8"/>
    </row>
    <row r="2000">
      <c r="A2000" s="8" t="s">
        <v>2008</v>
      </c>
      <c r="B2000" s="8"/>
      <c r="C2000" s="8"/>
      <c r="D2000" s="8"/>
      <c r="E2000" s="8"/>
      <c r="F2000" s="8"/>
      <c r="G2000" s="8"/>
      <c r="H2000" s="8"/>
      <c r="I2000" s="8"/>
      <c r="J2000" s="8"/>
      <c r="K2000" s="8"/>
    </row>
    <row r="2001">
      <c r="A2001" s="8" t="s">
        <v>2009</v>
      </c>
      <c r="B2001" s="8"/>
      <c r="C2001" s="8"/>
      <c r="D2001" s="8"/>
      <c r="E2001" s="8"/>
      <c r="F2001" s="8"/>
      <c r="G2001" s="8"/>
      <c r="H2001" s="8"/>
      <c r="I2001" s="8"/>
      <c r="J2001" s="8"/>
      <c r="K2001" s="8"/>
    </row>
    <row r="2002">
      <c r="A2002" s="8" t="s">
        <v>2010</v>
      </c>
      <c r="B2002" s="8"/>
      <c r="C2002" s="8"/>
      <c r="D2002" s="8"/>
      <c r="E2002" s="8"/>
      <c r="F2002" s="8"/>
      <c r="G2002" s="8"/>
      <c r="H2002" s="8"/>
      <c r="I2002" s="8"/>
      <c r="J2002" s="8"/>
      <c r="K2002" s="8"/>
    </row>
    <row r="2003">
      <c r="A2003" s="8" t="s">
        <v>2011</v>
      </c>
      <c r="B2003" s="8"/>
      <c r="C2003" s="8"/>
      <c r="D2003" s="8"/>
      <c r="E2003" s="8"/>
      <c r="F2003" s="8"/>
      <c r="G2003" s="8"/>
      <c r="H2003" s="8"/>
      <c r="I2003" s="8"/>
      <c r="J2003" s="8"/>
      <c r="K2003" s="8"/>
    </row>
    <row r="2004">
      <c r="A2004" s="8" t="s">
        <v>2012</v>
      </c>
      <c r="B2004" s="8"/>
      <c r="C2004" s="8"/>
      <c r="D2004" s="8"/>
      <c r="E2004" s="8"/>
      <c r="F2004" s="8"/>
      <c r="G2004" s="8"/>
      <c r="H2004" s="8"/>
      <c r="I2004" s="8"/>
      <c r="J2004" s="8"/>
      <c r="K2004" s="8"/>
    </row>
    <row r="2005">
      <c r="A2005" s="8" t="s">
        <v>2013</v>
      </c>
      <c r="B2005" s="8"/>
      <c r="C2005" s="8"/>
      <c r="D2005" s="8"/>
      <c r="E2005" s="8"/>
      <c r="F2005" s="8"/>
      <c r="G2005" s="8"/>
      <c r="H2005" s="8"/>
      <c r="I2005" s="8"/>
      <c r="J2005" s="8"/>
      <c r="K2005" s="8"/>
    </row>
    <row r="2006">
      <c r="A2006" s="8" t="s">
        <v>2014</v>
      </c>
      <c r="B2006" s="8"/>
      <c r="C2006" s="8"/>
      <c r="D2006" s="8"/>
      <c r="E2006" s="8"/>
      <c r="F2006" s="8"/>
      <c r="G2006" s="8"/>
      <c r="H2006" s="8"/>
      <c r="I2006" s="8"/>
      <c r="J2006" s="8"/>
      <c r="K2006" s="8"/>
    </row>
    <row r="2007">
      <c r="A2007" s="8" t="s">
        <v>2015</v>
      </c>
      <c r="B2007" s="8"/>
      <c r="C2007" s="8"/>
      <c r="D2007" s="8"/>
      <c r="E2007" s="8"/>
      <c r="F2007" s="8"/>
      <c r="G2007" s="8"/>
      <c r="H2007" s="8"/>
      <c r="I2007" s="8"/>
      <c r="J2007" s="8"/>
      <c r="K2007" s="8"/>
    </row>
    <row r="2008">
      <c r="A2008" s="8" t="s">
        <v>2016</v>
      </c>
      <c r="B2008" s="8"/>
      <c r="C2008" s="8"/>
      <c r="D2008" s="8"/>
      <c r="E2008" s="8"/>
      <c r="F2008" s="8"/>
      <c r="G2008" s="8"/>
      <c r="H2008" s="8"/>
      <c r="I2008" s="8"/>
      <c r="J2008" s="8"/>
      <c r="K2008" s="8"/>
    </row>
    <row r="2009">
      <c r="A2009" s="8" t="s">
        <v>2017</v>
      </c>
      <c r="B2009" s="8"/>
      <c r="C2009" s="8"/>
      <c r="D2009" s="8"/>
      <c r="E2009" s="8"/>
      <c r="F2009" s="8"/>
      <c r="G2009" s="8"/>
      <c r="H2009" s="8"/>
      <c r="I2009" s="8"/>
      <c r="J2009" s="8"/>
      <c r="K2009" s="8"/>
    </row>
    <row r="2010">
      <c r="A2010" s="8" t="s">
        <v>2018</v>
      </c>
      <c r="B2010" s="8"/>
      <c r="C2010" s="8"/>
      <c r="D2010" s="8"/>
      <c r="E2010" s="8"/>
      <c r="F2010" s="8"/>
      <c r="G2010" s="8"/>
      <c r="H2010" s="8"/>
      <c r="I2010" s="8"/>
      <c r="J2010" s="8"/>
      <c r="K2010" s="8"/>
    </row>
    <row r="2011">
      <c r="A2011" s="8" t="s">
        <v>2019</v>
      </c>
      <c r="B2011" s="8"/>
      <c r="C2011" s="8"/>
      <c r="D2011" s="8"/>
      <c r="E2011" s="8"/>
      <c r="F2011" s="8"/>
      <c r="G2011" s="8"/>
      <c r="H2011" s="8"/>
      <c r="I2011" s="8"/>
      <c r="J2011" s="8"/>
      <c r="K2011" s="8"/>
    </row>
    <row r="2012">
      <c r="A2012" s="8" t="s">
        <v>2020</v>
      </c>
      <c r="B2012" s="8"/>
      <c r="C2012" s="8"/>
      <c r="D2012" s="8"/>
      <c r="E2012" s="8"/>
      <c r="F2012" s="8"/>
      <c r="G2012" s="8"/>
      <c r="H2012" s="8"/>
      <c r="I2012" s="8"/>
      <c r="J2012" s="8"/>
      <c r="K2012" s="8"/>
    </row>
    <row r="2013">
      <c r="A2013" s="8" t="s">
        <v>2021</v>
      </c>
      <c r="B2013" s="8"/>
      <c r="C2013" s="8"/>
      <c r="D2013" s="8"/>
      <c r="E2013" s="8"/>
      <c r="F2013" s="8"/>
      <c r="G2013" s="8"/>
      <c r="H2013" s="8"/>
      <c r="I2013" s="8"/>
      <c r="J2013" s="8"/>
      <c r="K2013" s="8"/>
    </row>
    <row r="2014">
      <c r="A2014" s="8" t="s">
        <v>2022</v>
      </c>
      <c r="B2014" s="8"/>
      <c r="C2014" s="8"/>
      <c r="D2014" s="8"/>
      <c r="E2014" s="8"/>
      <c r="F2014" s="8"/>
      <c r="G2014" s="8"/>
      <c r="H2014" s="8"/>
      <c r="I2014" s="8"/>
      <c r="J2014" s="8"/>
      <c r="K2014" s="8"/>
    </row>
    <row r="2015">
      <c r="A2015" s="8" t="s">
        <v>2023</v>
      </c>
      <c r="B2015" s="8"/>
      <c r="C2015" s="8"/>
      <c r="D2015" s="8"/>
      <c r="E2015" s="8"/>
      <c r="F2015" s="8"/>
      <c r="G2015" s="8"/>
      <c r="H2015" s="8"/>
      <c r="I2015" s="8"/>
      <c r="J2015" s="8"/>
      <c r="K2015" s="8"/>
    </row>
    <row r="2016">
      <c r="A2016" s="8" t="s">
        <v>2024</v>
      </c>
      <c r="B2016" s="8"/>
      <c r="C2016" s="8"/>
      <c r="D2016" s="8"/>
      <c r="E2016" s="8"/>
      <c r="F2016" s="8"/>
      <c r="G2016" s="8"/>
      <c r="H2016" s="8"/>
      <c r="I2016" s="8"/>
      <c r="J2016" s="8"/>
      <c r="K2016" s="8"/>
    </row>
    <row r="2017">
      <c r="A2017" s="8" t="s">
        <v>2025</v>
      </c>
      <c r="B2017" s="8"/>
      <c r="C2017" s="8"/>
      <c r="D2017" s="8"/>
      <c r="E2017" s="8"/>
      <c r="F2017" s="8"/>
      <c r="G2017" s="8"/>
      <c r="H2017" s="8"/>
      <c r="I2017" s="8"/>
      <c r="J2017" s="8"/>
      <c r="K2017" s="8"/>
    </row>
    <row r="2018">
      <c r="A2018" s="8" t="s">
        <v>2026</v>
      </c>
      <c r="B2018" s="8"/>
      <c r="C2018" s="8"/>
      <c r="D2018" s="8"/>
      <c r="E2018" s="8"/>
      <c r="F2018" s="8"/>
      <c r="G2018" s="8"/>
      <c r="H2018" s="8"/>
      <c r="I2018" s="8"/>
      <c r="J2018" s="8"/>
      <c r="K2018" s="8"/>
    </row>
    <row r="2019">
      <c r="A2019" s="8" t="s">
        <v>2027</v>
      </c>
      <c r="B2019" s="8"/>
      <c r="C2019" s="8"/>
      <c r="D2019" s="8"/>
      <c r="E2019" s="8"/>
      <c r="F2019" s="8"/>
      <c r="G2019" s="8"/>
      <c r="H2019" s="8"/>
      <c r="I2019" s="8"/>
      <c r="J2019" s="8"/>
      <c r="K2019" s="8"/>
    </row>
    <row r="2020">
      <c r="A2020" s="8" t="s">
        <v>2028</v>
      </c>
      <c r="B2020" s="8"/>
      <c r="C2020" s="8"/>
      <c r="D2020" s="8"/>
      <c r="E2020" s="8"/>
      <c r="F2020" s="8"/>
      <c r="G2020" s="8"/>
      <c r="H2020" s="8"/>
      <c r="I2020" s="8"/>
      <c r="J2020" s="8"/>
      <c r="K2020" s="8"/>
    </row>
    <row r="2021">
      <c r="A2021" s="8" t="s">
        <v>2029</v>
      </c>
      <c r="B2021" s="8"/>
      <c r="C2021" s="8"/>
      <c r="D2021" s="8"/>
      <c r="E2021" s="8"/>
      <c r="F2021" s="8"/>
      <c r="G2021" s="8"/>
      <c r="H2021" s="8"/>
      <c r="I2021" s="8"/>
      <c r="J2021" s="8"/>
      <c r="K2021" s="8"/>
    </row>
    <row r="2022">
      <c r="A2022" s="8" t="s">
        <v>2030</v>
      </c>
      <c r="B2022" s="8"/>
      <c r="C2022" s="8"/>
      <c r="D2022" s="8"/>
      <c r="E2022" s="8"/>
      <c r="F2022" s="8"/>
      <c r="G2022" s="8"/>
      <c r="H2022" s="8"/>
      <c r="I2022" s="8"/>
      <c r="J2022" s="8"/>
      <c r="K2022" s="8"/>
    </row>
    <row r="2023">
      <c r="A2023" s="8" t="s">
        <v>2031</v>
      </c>
      <c r="B2023" s="8"/>
      <c r="C2023" s="8"/>
      <c r="D2023" s="8"/>
      <c r="E2023" s="8"/>
      <c r="F2023" s="8"/>
      <c r="G2023" s="8"/>
      <c r="H2023" s="8"/>
      <c r="I2023" s="8"/>
      <c r="J2023" s="8"/>
      <c r="K2023" s="8"/>
    </row>
    <row r="2024">
      <c r="A2024" s="8" t="s">
        <v>2032</v>
      </c>
      <c r="B2024" s="8"/>
      <c r="C2024" s="8"/>
      <c r="D2024" s="8"/>
      <c r="E2024" s="8"/>
      <c r="F2024" s="8"/>
      <c r="G2024" s="8"/>
      <c r="H2024" s="8"/>
      <c r="I2024" s="8"/>
      <c r="J2024" s="8"/>
      <c r="K2024" s="8"/>
    </row>
    <row r="2025">
      <c r="A2025" s="8" t="s">
        <v>2033</v>
      </c>
      <c r="B2025" s="8"/>
      <c r="C2025" s="8"/>
      <c r="D2025" s="8"/>
      <c r="E2025" s="8"/>
      <c r="F2025" s="8"/>
      <c r="G2025" s="8"/>
      <c r="H2025" s="8"/>
      <c r="I2025" s="8"/>
      <c r="J2025" s="8"/>
      <c r="K2025" s="8"/>
    </row>
    <row r="2026">
      <c r="A2026" s="8" t="s">
        <v>2034</v>
      </c>
      <c r="B2026" s="8"/>
      <c r="C2026" s="8"/>
      <c r="D2026" s="8"/>
      <c r="E2026" s="8"/>
      <c r="F2026" s="8"/>
      <c r="G2026" s="8"/>
      <c r="H2026" s="8"/>
      <c r="I2026" s="8"/>
      <c r="J2026" s="8"/>
      <c r="K2026" s="8"/>
    </row>
    <row r="2027">
      <c r="A2027" s="8" t="s">
        <v>2035</v>
      </c>
      <c r="B2027" s="8"/>
      <c r="C2027" s="8"/>
      <c r="D2027" s="8"/>
      <c r="E2027" s="8"/>
      <c r="F2027" s="8"/>
      <c r="G2027" s="8"/>
      <c r="H2027" s="8"/>
      <c r="I2027" s="8"/>
      <c r="J2027" s="8"/>
      <c r="K2027" s="8"/>
    </row>
    <row r="2028">
      <c r="A2028" s="8" t="s">
        <v>2036</v>
      </c>
      <c r="B2028" s="8"/>
      <c r="C2028" s="8"/>
      <c r="D2028" s="8"/>
      <c r="E2028" s="8"/>
      <c r="F2028" s="8"/>
      <c r="G2028" s="8"/>
      <c r="H2028" s="8"/>
      <c r="I2028" s="8"/>
      <c r="J2028" s="8"/>
      <c r="K2028" s="8"/>
    </row>
    <row r="2029">
      <c r="A2029" s="8" t="s">
        <v>2037</v>
      </c>
      <c r="B2029" s="8"/>
      <c r="C2029" s="8"/>
      <c r="D2029" s="8"/>
      <c r="E2029" s="8"/>
      <c r="F2029" s="8"/>
      <c r="G2029" s="8"/>
      <c r="H2029" s="8"/>
      <c r="I2029" s="8"/>
      <c r="J2029" s="8"/>
      <c r="K2029" s="8"/>
    </row>
    <row r="2030">
      <c r="A2030" s="8" t="s">
        <v>2038</v>
      </c>
      <c r="B2030" s="8"/>
      <c r="C2030" s="8"/>
      <c r="D2030" s="8"/>
      <c r="E2030" s="8"/>
      <c r="F2030" s="8"/>
      <c r="G2030" s="8"/>
      <c r="H2030" s="8"/>
      <c r="I2030" s="8"/>
      <c r="J2030" s="8"/>
      <c r="K2030" s="8"/>
    </row>
    <row r="2031">
      <c r="A2031" s="8" t="s">
        <v>2039</v>
      </c>
      <c r="B2031" s="8"/>
      <c r="C2031" s="8"/>
      <c r="D2031" s="8"/>
      <c r="E2031" s="8"/>
      <c r="F2031" s="8"/>
      <c r="G2031" s="8"/>
      <c r="H2031" s="8"/>
      <c r="I2031" s="8"/>
      <c r="J2031" s="8"/>
      <c r="K2031" s="8"/>
    </row>
    <row r="2032">
      <c r="A2032" s="8" t="s">
        <v>2040</v>
      </c>
      <c r="B2032" s="8"/>
      <c r="C2032" s="8"/>
      <c r="D2032" s="8"/>
      <c r="E2032" s="8"/>
      <c r="F2032" s="8"/>
      <c r="G2032" s="8"/>
      <c r="H2032" s="8"/>
      <c r="I2032" s="8"/>
      <c r="J2032" s="8"/>
      <c r="K2032" s="8"/>
    </row>
    <row r="2033">
      <c r="A2033" s="8" t="s">
        <v>2041</v>
      </c>
      <c r="B2033" s="8"/>
      <c r="C2033" s="8"/>
      <c r="D2033" s="8"/>
      <c r="E2033" s="8"/>
      <c r="F2033" s="8"/>
      <c r="G2033" s="8"/>
      <c r="H2033" s="8"/>
      <c r="I2033" s="8"/>
      <c r="J2033" s="8"/>
      <c r="K2033" s="8"/>
    </row>
    <row r="2034">
      <c r="A2034" s="8" t="s">
        <v>2042</v>
      </c>
      <c r="B2034" s="8"/>
      <c r="C2034" s="8"/>
      <c r="D2034" s="8"/>
      <c r="E2034" s="8"/>
      <c r="F2034" s="8"/>
      <c r="G2034" s="8"/>
      <c r="H2034" s="8"/>
      <c r="I2034" s="8"/>
      <c r="J2034" s="8"/>
      <c r="K2034" s="8"/>
    </row>
    <row r="2035">
      <c r="A2035" s="8" t="s">
        <v>2043</v>
      </c>
      <c r="B2035" s="8"/>
      <c r="C2035" s="8"/>
      <c r="D2035" s="8"/>
      <c r="E2035" s="8"/>
      <c r="F2035" s="8"/>
      <c r="G2035" s="8"/>
      <c r="H2035" s="8"/>
      <c r="I2035" s="8"/>
      <c r="J2035" s="8"/>
      <c r="K2035" s="8"/>
    </row>
    <row r="2036">
      <c r="A2036" s="8" t="s">
        <v>2044</v>
      </c>
      <c r="B2036" s="8"/>
      <c r="C2036" s="8"/>
      <c r="D2036" s="8"/>
      <c r="E2036" s="8"/>
      <c r="F2036" s="8"/>
      <c r="G2036" s="8"/>
      <c r="H2036" s="8"/>
      <c r="I2036" s="8"/>
      <c r="J2036" s="8"/>
      <c r="K2036" s="8"/>
    </row>
    <row r="2037">
      <c r="A2037" s="8" t="s">
        <v>2045</v>
      </c>
      <c r="B2037" s="8"/>
      <c r="C2037" s="8"/>
      <c r="D2037" s="8"/>
      <c r="E2037" s="8"/>
      <c r="F2037" s="8"/>
      <c r="G2037" s="8"/>
      <c r="H2037" s="8"/>
      <c r="I2037" s="8"/>
      <c r="J2037" s="8"/>
      <c r="K2037" s="8"/>
    </row>
    <row r="2038">
      <c r="A2038" s="8" t="s">
        <v>2046</v>
      </c>
      <c r="B2038" s="8"/>
      <c r="C2038" s="8"/>
      <c r="D2038" s="8"/>
      <c r="E2038" s="8"/>
      <c r="F2038" s="8"/>
      <c r="G2038" s="8"/>
      <c r="H2038" s="8"/>
      <c r="I2038" s="8"/>
      <c r="J2038" s="8"/>
      <c r="K2038" s="8"/>
    </row>
    <row r="2039">
      <c r="A2039" s="8" t="s">
        <v>2047</v>
      </c>
      <c r="B2039" s="8"/>
      <c r="C2039" s="8"/>
      <c r="D2039" s="8"/>
      <c r="E2039" s="8"/>
      <c r="F2039" s="8"/>
      <c r="G2039" s="8"/>
      <c r="H2039" s="8"/>
      <c r="I2039" s="8"/>
      <c r="J2039" s="8"/>
      <c r="K2039" s="8"/>
    </row>
    <row r="2040">
      <c r="A2040" s="8" t="s">
        <v>2048</v>
      </c>
      <c r="B2040" s="8"/>
      <c r="C2040" s="8"/>
      <c r="D2040" s="8"/>
      <c r="E2040" s="8"/>
      <c r="F2040" s="8"/>
      <c r="G2040" s="8"/>
      <c r="H2040" s="8"/>
      <c r="I2040" s="8"/>
      <c r="J2040" s="8"/>
      <c r="K2040" s="8"/>
    </row>
    <row r="2041">
      <c r="A2041" s="8" t="s">
        <v>2049</v>
      </c>
      <c r="B2041" s="8"/>
      <c r="C2041" s="8"/>
      <c r="D2041" s="8"/>
      <c r="E2041" s="8"/>
      <c r="F2041" s="8"/>
      <c r="G2041" s="8"/>
      <c r="H2041" s="8"/>
      <c r="I2041" s="8"/>
      <c r="J2041" s="8"/>
      <c r="K2041" s="8"/>
    </row>
    <row r="2042">
      <c r="A2042" s="8" t="s">
        <v>2050</v>
      </c>
      <c r="B2042" s="8"/>
      <c r="C2042" s="8"/>
      <c r="D2042" s="8"/>
      <c r="E2042" s="8"/>
      <c r="F2042" s="8"/>
      <c r="G2042" s="8"/>
      <c r="H2042" s="8"/>
      <c r="I2042" s="8"/>
      <c r="J2042" s="8"/>
      <c r="K2042" s="8"/>
    </row>
    <row r="2043">
      <c r="A2043" s="8" t="s">
        <v>2051</v>
      </c>
      <c r="B2043" s="8"/>
      <c r="C2043" s="8"/>
      <c r="D2043" s="8"/>
      <c r="E2043" s="8"/>
      <c r="F2043" s="8"/>
      <c r="G2043" s="8"/>
      <c r="H2043" s="8"/>
      <c r="I2043" s="8"/>
      <c r="J2043" s="8"/>
      <c r="K2043" s="8"/>
    </row>
    <row r="2044">
      <c r="A2044" s="8" t="s">
        <v>2052</v>
      </c>
      <c r="B2044" s="8"/>
      <c r="C2044" s="8"/>
      <c r="D2044" s="8"/>
      <c r="E2044" s="8"/>
      <c r="F2044" s="8"/>
      <c r="G2044" s="8"/>
      <c r="H2044" s="8"/>
      <c r="I2044" s="8"/>
      <c r="J2044" s="8"/>
      <c r="K2044" s="8"/>
    </row>
    <row r="2045">
      <c r="A2045" s="8" t="s">
        <v>2053</v>
      </c>
      <c r="B2045" s="8"/>
      <c r="C2045" s="8"/>
      <c r="D2045" s="8"/>
      <c r="E2045" s="8"/>
      <c r="F2045" s="8"/>
      <c r="G2045" s="8"/>
      <c r="H2045" s="8"/>
      <c r="I2045" s="8"/>
      <c r="J2045" s="8"/>
      <c r="K2045" s="8"/>
    </row>
    <row r="2046">
      <c r="A2046" s="8" t="s">
        <v>2054</v>
      </c>
      <c r="B2046" s="8"/>
      <c r="C2046" s="8"/>
      <c r="D2046" s="8"/>
      <c r="E2046" s="8"/>
      <c r="F2046" s="8"/>
      <c r="G2046" s="8"/>
      <c r="H2046" s="8"/>
      <c r="I2046" s="8"/>
      <c r="J2046" s="8"/>
      <c r="K2046" s="8"/>
    </row>
    <row r="2047">
      <c r="A2047" s="8" t="s">
        <v>2055</v>
      </c>
      <c r="B2047" s="8"/>
      <c r="C2047" s="8"/>
      <c r="D2047" s="8"/>
      <c r="E2047" s="8"/>
      <c r="F2047" s="8"/>
      <c r="G2047" s="8"/>
      <c r="H2047" s="8"/>
      <c r="I2047" s="8"/>
      <c r="J2047" s="8"/>
      <c r="K2047" s="8"/>
    </row>
    <row r="2048">
      <c r="A2048" s="8" t="s">
        <v>2056</v>
      </c>
      <c r="B2048" s="8"/>
      <c r="C2048" s="8"/>
      <c r="D2048" s="8"/>
      <c r="E2048" s="8"/>
      <c r="F2048" s="8"/>
      <c r="G2048" s="8"/>
      <c r="H2048" s="8"/>
      <c r="I2048" s="8"/>
      <c r="J2048" s="8"/>
      <c r="K2048" s="8"/>
    </row>
    <row r="2049">
      <c r="A2049" s="8" t="s">
        <v>2057</v>
      </c>
      <c r="B2049" s="8"/>
      <c r="C2049" s="8"/>
      <c r="D2049" s="8"/>
      <c r="E2049" s="8"/>
      <c r="F2049" s="8"/>
      <c r="G2049" s="8"/>
      <c r="H2049" s="8"/>
      <c r="I2049" s="8"/>
      <c r="J2049" s="8"/>
      <c r="K2049" s="8"/>
    </row>
    <row r="2050">
      <c r="A2050" s="8" t="s">
        <v>2058</v>
      </c>
      <c r="B2050" s="8"/>
      <c r="C2050" s="8"/>
      <c r="D2050" s="8"/>
      <c r="E2050" s="8"/>
      <c r="F2050" s="8"/>
      <c r="G2050" s="8"/>
      <c r="H2050" s="8"/>
      <c r="I2050" s="8"/>
      <c r="J2050" s="8"/>
      <c r="K2050" s="8"/>
    </row>
    <row r="2051">
      <c r="A2051" s="8" t="s">
        <v>2059</v>
      </c>
      <c r="B2051" s="8"/>
      <c r="C2051" s="8"/>
      <c r="D2051" s="8"/>
      <c r="E2051" s="8"/>
      <c r="F2051" s="8"/>
      <c r="G2051" s="8"/>
      <c r="H2051" s="8"/>
      <c r="I2051" s="8"/>
      <c r="J2051" s="8"/>
      <c r="K2051" s="8"/>
    </row>
    <row r="2052">
      <c r="A2052" s="8" t="s">
        <v>2060</v>
      </c>
      <c r="B2052" s="8"/>
      <c r="C2052" s="8"/>
      <c r="D2052" s="8"/>
      <c r="E2052" s="8"/>
      <c r="F2052" s="8"/>
      <c r="G2052" s="8"/>
      <c r="H2052" s="8"/>
      <c r="I2052" s="8"/>
      <c r="J2052" s="8"/>
      <c r="K2052" s="8"/>
    </row>
    <row r="2053">
      <c r="A2053" s="8" t="s">
        <v>2061</v>
      </c>
      <c r="B2053" s="8"/>
      <c r="C2053" s="8"/>
      <c r="D2053" s="8"/>
      <c r="E2053" s="8"/>
      <c r="F2053" s="8"/>
      <c r="G2053" s="8"/>
      <c r="H2053" s="8"/>
      <c r="I2053" s="8"/>
      <c r="J2053" s="8"/>
      <c r="K2053" s="8"/>
    </row>
    <row r="2054">
      <c r="A2054" s="8" t="s">
        <v>2062</v>
      </c>
      <c r="B2054" s="8"/>
      <c r="C2054" s="8"/>
      <c r="D2054" s="8"/>
      <c r="E2054" s="8"/>
      <c r="F2054" s="8"/>
      <c r="G2054" s="8"/>
      <c r="H2054" s="8"/>
      <c r="I2054" s="8"/>
      <c r="J2054" s="8"/>
      <c r="K2054" s="8"/>
    </row>
    <row r="2055">
      <c r="A2055" s="8" t="s">
        <v>2063</v>
      </c>
      <c r="B2055" s="8"/>
      <c r="C2055" s="8"/>
      <c r="D2055" s="8"/>
      <c r="E2055" s="8"/>
      <c r="F2055" s="8"/>
      <c r="G2055" s="8"/>
      <c r="H2055" s="8"/>
      <c r="I2055" s="8"/>
      <c r="J2055" s="8"/>
      <c r="K2055" s="8"/>
    </row>
    <row r="2056">
      <c r="A2056" s="8" t="s">
        <v>2064</v>
      </c>
      <c r="B2056" s="8"/>
      <c r="C2056" s="8"/>
      <c r="D2056" s="8"/>
      <c r="E2056" s="8"/>
      <c r="F2056" s="8"/>
      <c r="G2056" s="8"/>
      <c r="H2056" s="8"/>
      <c r="I2056" s="8"/>
      <c r="J2056" s="8"/>
      <c r="K2056" s="8"/>
    </row>
    <row r="2057">
      <c r="A2057" s="8" t="s">
        <v>2065</v>
      </c>
      <c r="B2057" s="8"/>
      <c r="C2057" s="8"/>
      <c r="D2057" s="8"/>
      <c r="E2057" s="8"/>
      <c r="F2057" s="8"/>
      <c r="G2057" s="8"/>
      <c r="H2057" s="8"/>
      <c r="I2057" s="8"/>
      <c r="J2057" s="8"/>
      <c r="K2057" s="8"/>
    </row>
    <row r="2058">
      <c r="A2058" s="8" t="s">
        <v>2066</v>
      </c>
      <c r="B2058" s="8"/>
      <c r="C2058" s="8"/>
      <c r="D2058" s="8"/>
      <c r="E2058" s="8"/>
      <c r="F2058" s="8"/>
      <c r="G2058" s="8"/>
      <c r="H2058" s="8"/>
      <c r="I2058" s="8"/>
      <c r="J2058" s="8"/>
      <c r="K2058" s="8"/>
    </row>
    <row r="2059">
      <c r="A2059" s="8" t="s">
        <v>2067</v>
      </c>
      <c r="B2059" s="8"/>
      <c r="C2059" s="8"/>
      <c r="D2059" s="8"/>
      <c r="E2059" s="8"/>
      <c r="F2059" s="8"/>
      <c r="G2059" s="8"/>
      <c r="H2059" s="8"/>
      <c r="I2059" s="8"/>
      <c r="J2059" s="8"/>
      <c r="K2059" s="8"/>
    </row>
    <row r="2060">
      <c r="A2060" s="8" t="s">
        <v>2068</v>
      </c>
      <c r="B2060" s="8"/>
      <c r="C2060" s="8"/>
      <c r="D2060" s="8"/>
      <c r="E2060" s="8"/>
      <c r="F2060" s="8"/>
      <c r="G2060" s="8"/>
      <c r="H2060" s="8"/>
      <c r="I2060" s="8"/>
      <c r="J2060" s="8"/>
      <c r="K2060" s="8"/>
    </row>
    <row r="2061">
      <c r="A2061" s="8" t="s">
        <v>2069</v>
      </c>
      <c r="B2061" s="8"/>
      <c r="C2061" s="8"/>
      <c r="D2061" s="8"/>
      <c r="E2061" s="8"/>
      <c r="F2061" s="8"/>
      <c r="G2061" s="8"/>
      <c r="H2061" s="8"/>
      <c r="I2061" s="8"/>
      <c r="J2061" s="8"/>
      <c r="K2061" s="8"/>
    </row>
    <row r="2062">
      <c r="A2062" s="8" t="s">
        <v>2070</v>
      </c>
      <c r="B2062" s="8"/>
      <c r="C2062" s="8"/>
      <c r="D2062" s="8"/>
      <c r="E2062" s="8"/>
      <c r="F2062" s="8"/>
      <c r="G2062" s="8"/>
      <c r="H2062" s="8"/>
      <c r="I2062" s="8"/>
      <c r="J2062" s="8"/>
      <c r="K2062" s="8"/>
    </row>
    <row r="2063">
      <c r="A2063" s="8" t="s">
        <v>2071</v>
      </c>
      <c r="B2063" s="8"/>
      <c r="C2063" s="8"/>
      <c r="D2063" s="8"/>
      <c r="E2063" s="8"/>
      <c r="F2063" s="8"/>
      <c r="G2063" s="8"/>
      <c r="H2063" s="8"/>
      <c r="I2063" s="8"/>
      <c r="J2063" s="8"/>
      <c r="K2063" s="8"/>
    </row>
    <row r="2064">
      <c r="A2064" s="8" t="s">
        <v>2072</v>
      </c>
      <c r="B2064" s="8"/>
      <c r="C2064" s="8"/>
      <c r="D2064" s="8"/>
      <c r="E2064" s="8"/>
      <c r="F2064" s="8"/>
      <c r="G2064" s="8"/>
      <c r="H2064" s="8"/>
      <c r="I2064" s="8"/>
      <c r="J2064" s="8"/>
      <c r="K2064" s="8"/>
    </row>
    <row r="2065">
      <c r="A2065" s="8" t="s">
        <v>2073</v>
      </c>
      <c r="B2065" s="8"/>
      <c r="C2065" s="8"/>
      <c r="D2065" s="8"/>
      <c r="E2065" s="8"/>
      <c r="F2065" s="8"/>
      <c r="G2065" s="8"/>
      <c r="H2065" s="8"/>
      <c r="I2065" s="8"/>
      <c r="J2065" s="8"/>
      <c r="K2065" s="8"/>
    </row>
    <row r="2066">
      <c r="A2066" s="8" t="s">
        <v>2074</v>
      </c>
      <c r="B2066" s="8"/>
      <c r="C2066" s="8"/>
      <c r="D2066" s="8"/>
      <c r="E2066" s="8"/>
      <c r="F2066" s="8"/>
      <c r="G2066" s="8"/>
      <c r="H2066" s="8"/>
      <c r="I2066" s="8"/>
      <c r="J2066" s="8"/>
      <c r="K2066" s="8"/>
    </row>
    <row r="2067">
      <c r="A2067" s="8" t="s">
        <v>2075</v>
      </c>
      <c r="B2067" s="8"/>
      <c r="C2067" s="8"/>
      <c r="D2067" s="8"/>
      <c r="E2067" s="8"/>
      <c r="F2067" s="8"/>
      <c r="G2067" s="8"/>
      <c r="H2067" s="8"/>
      <c r="I2067" s="8"/>
      <c r="J2067" s="8"/>
      <c r="K2067" s="8"/>
    </row>
    <row r="2068">
      <c r="A2068" s="8" t="s">
        <v>2076</v>
      </c>
      <c r="B2068" s="8"/>
      <c r="C2068" s="8"/>
      <c r="D2068" s="8"/>
      <c r="E2068" s="8"/>
      <c r="F2068" s="8"/>
      <c r="G2068" s="8"/>
      <c r="H2068" s="8"/>
      <c r="I2068" s="8"/>
      <c r="J2068" s="8"/>
      <c r="K2068" s="8"/>
    </row>
    <row r="2069">
      <c r="A2069" s="8" t="s">
        <v>2077</v>
      </c>
      <c r="B2069" s="8"/>
      <c r="C2069" s="8"/>
      <c r="D2069" s="8"/>
      <c r="E2069" s="8"/>
      <c r="F2069" s="8"/>
      <c r="G2069" s="8"/>
      <c r="H2069" s="8"/>
      <c r="I2069" s="8"/>
      <c r="J2069" s="8"/>
      <c r="K2069" s="8"/>
    </row>
    <row r="2070">
      <c r="A2070" s="8" t="s">
        <v>2078</v>
      </c>
      <c r="B2070" s="8"/>
      <c r="C2070" s="8"/>
      <c r="D2070" s="8"/>
      <c r="E2070" s="8"/>
      <c r="F2070" s="8"/>
      <c r="G2070" s="8"/>
      <c r="H2070" s="8"/>
      <c r="I2070" s="8"/>
      <c r="J2070" s="8"/>
      <c r="K2070" s="8"/>
    </row>
    <row r="2071">
      <c r="A2071" s="8" t="s">
        <v>2079</v>
      </c>
      <c r="B2071" s="8"/>
      <c r="C2071" s="8"/>
      <c r="D2071" s="8"/>
      <c r="E2071" s="8"/>
      <c r="F2071" s="8"/>
      <c r="G2071" s="8"/>
      <c r="H2071" s="8"/>
      <c r="I2071" s="8"/>
      <c r="J2071" s="8"/>
      <c r="K2071" s="8"/>
    </row>
    <row r="2072">
      <c r="A2072" s="8" t="s">
        <v>2080</v>
      </c>
      <c r="B2072" s="8"/>
      <c r="C2072" s="8"/>
      <c r="D2072" s="8"/>
      <c r="E2072" s="8"/>
      <c r="F2072" s="8"/>
      <c r="G2072" s="8"/>
      <c r="H2072" s="8"/>
      <c r="I2072" s="8"/>
      <c r="J2072" s="8"/>
      <c r="K2072" s="8"/>
    </row>
    <row r="2073">
      <c r="A2073" s="8" t="s">
        <v>2081</v>
      </c>
      <c r="B2073" s="8"/>
      <c r="C2073" s="8"/>
      <c r="D2073" s="8"/>
      <c r="E2073" s="8"/>
      <c r="F2073" s="8"/>
      <c r="G2073" s="8"/>
      <c r="H2073" s="8"/>
      <c r="I2073" s="8"/>
      <c r="J2073" s="8"/>
      <c r="K2073" s="8"/>
    </row>
    <row r="2074">
      <c r="A2074" s="8" t="s">
        <v>2082</v>
      </c>
      <c r="B2074" s="8"/>
      <c r="C2074" s="8"/>
      <c r="D2074" s="8"/>
      <c r="E2074" s="8"/>
      <c r="F2074" s="8"/>
      <c r="G2074" s="8"/>
      <c r="H2074" s="8"/>
      <c r="I2074" s="8"/>
      <c r="J2074" s="8"/>
      <c r="K2074" s="8"/>
    </row>
    <row r="2075">
      <c r="A2075" s="8" t="s">
        <v>2083</v>
      </c>
      <c r="B2075" s="8"/>
      <c r="C2075" s="8"/>
      <c r="D2075" s="8"/>
      <c r="E2075" s="8"/>
      <c r="F2075" s="8"/>
      <c r="G2075" s="8"/>
      <c r="H2075" s="8"/>
      <c r="I2075" s="8"/>
      <c r="J2075" s="8"/>
      <c r="K2075" s="8"/>
    </row>
    <row r="2076">
      <c r="A2076" s="8" t="s">
        <v>2084</v>
      </c>
      <c r="B2076" s="8"/>
      <c r="C2076" s="8"/>
      <c r="D2076" s="8"/>
      <c r="E2076" s="8"/>
      <c r="F2076" s="8"/>
      <c r="G2076" s="8"/>
      <c r="H2076" s="8"/>
      <c r="I2076" s="8"/>
      <c r="J2076" s="8"/>
      <c r="K2076" s="8"/>
    </row>
    <row r="2077">
      <c r="A2077" s="8" t="s">
        <v>2085</v>
      </c>
      <c r="B2077" s="8"/>
      <c r="C2077" s="8"/>
      <c r="D2077" s="8"/>
      <c r="E2077" s="8"/>
      <c r="F2077" s="8"/>
      <c r="G2077" s="8"/>
      <c r="H2077" s="8"/>
      <c r="I2077" s="8"/>
      <c r="J2077" s="8"/>
      <c r="K2077" s="8"/>
    </row>
    <row r="2078">
      <c r="A2078" s="8" t="s">
        <v>2086</v>
      </c>
      <c r="B2078" s="8"/>
      <c r="C2078" s="8"/>
      <c r="D2078" s="8"/>
      <c r="E2078" s="8"/>
      <c r="F2078" s="8"/>
      <c r="G2078" s="8"/>
      <c r="H2078" s="8"/>
      <c r="I2078" s="8"/>
      <c r="J2078" s="8"/>
      <c r="K2078" s="8"/>
    </row>
    <row r="2079">
      <c r="A2079" s="8" t="s">
        <v>2087</v>
      </c>
      <c r="B2079" s="8"/>
      <c r="C2079" s="8"/>
      <c r="D2079" s="8"/>
      <c r="E2079" s="8"/>
      <c r="F2079" s="8"/>
      <c r="G2079" s="8"/>
      <c r="H2079" s="8"/>
      <c r="I2079" s="8"/>
      <c r="J2079" s="8"/>
      <c r="K2079" s="8"/>
    </row>
    <row r="2080">
      <c r="A2080" s="8" t="s">
        <v>2088</v>
      </c>
      <c r="B2080" s="8"/>
      <c r="C2080" s="8"/>
      <c r="D2080" s="8"/>
      <c r="E2080" s="8"/>
      <c r="F2080" s="8"/>
      <c r="G2080" s="8"/>
      <c r="H2080" s="8"/>
      <c r="I2080" s="8"/>
      <c r="J2080" s="8"/>
      <c r="K2080" s="8"/>
    </row>
    <row r="2081">
      <c r="A2081" s="8" t="s">
        <v>2089</v>
      </c>
      <c r="B2081" s="8"/>
      <c r="C2081" s="8"/>
      <c r="D2081" s="8"/>
      <c r="E2081" s="8"/>
      <c r="F2081" s="8"/>
      <c r="G2081" s="8"/>
      <c r="H2081" s="8"/>
      <c r="I2081" s="8"/>
      <c r="J2081" s="8"/>
      <c r="K2081" s="8"/>
    </row>
    <row r="2082">
      <c r="A2082" s="8" t="s">
        <v>2090</v>
      </c>
      <c r="B2082" s="8"/>
      <c r="C2082" s="8"/>
      <c r="D2082" s="8"/>
      <c r="E2082" s="8"/>
      <c r="F2082" s="8"/>
      <c r="G2082" s="8"/>
      <c r="H2082" s="8"/>
      <c r="I2082" s="8"/>
      <c r="J2082" s="8"/>
      <c r="K2082" s="8"/>
    </row>
    <row r="2083">
      <c r="A2083" s="8" t="s">
        <v>2091</v>
      </c>
      <c r="B2083" s="8"/>
      <c r="C2083" s="8"/>
      <c r="D2083" s="8"/>
      <c r="E2083" s="8"/>
      <c r="F2083" s="8"/>
      <c r="G2083" s="8"/>
      <c r="H2083" s="8"/>
      <c r="I2083" s="8"/>
      <c r="J2083" s="8"/>
      <c r="K2083" s="8"/>
    </row>
    <row r="2084">
      <c r="A2084" s="8" t="s">
        <v>2092</v>
      </c>
      <c r="B2084" s="8"/>
      <c r="C2084" s="8"/>
      <c r="D2084" s="8"/>
      <c r="E2084" s="8"/>
      <c r="F2084" s="8"/>
      <c r="G2084" s="8"/>
      <c r="H2084" s="8"/>
      <c r="I2084" s="8"/>
      <c r="J2084" s="8"/>
      <c r="K2084" s="8"/>
    </row>
    <row r="2085">
      <c r="A2085" s="8" t="s">
        <v>2093</v>
      </c>
      <c r="B2085" s="8"/>
      <c r="C2085" s="8"/>
      <c r="D2085" s="8"/>
      <c r="E2085" s="8"/>
      <c r="F2085" s="8"/>
      <c r="G2085" s="8"/>
      <c r="H2085" s="8"/>
      <c r="I2085" s="8"/>
      <c r="J2085" s="8"/>
      <c r="K2085" s="8"/>
    </row>
    <row r="2086">
      <c r="A2086" s="8" t="s">
        <v>2094</v>
      </c>
      <c r="B2086" s="8"/>
      <c r="C2086" s="8"/>
      <c r="D2086" s="8"/>
      <c r="E2086" s="8"/>
      <c r="F2086" s="8"/>
      <c r="G2086" s="8"/>
      <c r="H2086" s="8"/>
      <c r="I2086" s="8"/>
      <c r="J2086" s="8"/>
      <c r="K2086" s="8"/>
    </row>
    <row r="2087">
      <c r="A2087" s="8" t="s">
        <v>2095</v>
      </c>
      <c r="B2087" s="8"/>
      <c r="C2087" s="8"/>
      <c r="D2087" s="8"/>
      <c r="E2087" s="8"/>
      <c r="F2087" s="8"/>
      <c r="G2087" s="8"/>
      <c r="H2087" s="8"/>
      <c r="I2087" s="8"/>
      <c r="J2087" s="8"/>
      <c r="K2087" s="8"/>
    </row>
    <row r="2088">
      <c r="A2088" s="8" t="s">
        <v>2096</v>
      </c>
      <c r="B2088" s="8"/>
      <c r="C2088" s="8"/>
      <c r="D2088" s="8"/>
      <c r="E2088" s="8"/>
      <c r="F2088" s="8"/>
      <c r="G2088" s="8"/>
      <c r="H2088" s="8"/>
      <c r="I2088" s="8"/>
      <c r="J2088" s="8"/>
      <c r="K2088" s="8"/>
    </row>
    <row r="2089">
      <c r="A2089" s="8" t="s">
        <v>2097</v>
      </c>
      <c r="B2089" s="8"/>
      <c r="C2089" s="8"/>
      <c r="D2089" s="8"/>
      <c r="E2089" s="8"/>
      <c r="F2089" s="8"/>
      <c r="G2089" s="8"/>
      <c r="H2089" s="8"/>
      <c r="I2089" s="8"/>
      <c r="J2089" s="8"/>
      <c r="K2089" s="8"/>
    </row>
    <row r="2090">
      <c r="A2090" s="8" t="s">
        <v>2098</v>
      </c>
      <c r="B2090" s="8"/>
      <c r="C2090" s="8"/>
      <c r="D2090" s="8"/>
      <c r="E2090" s="8"/>
      <c r="F2090" s="8"/>
      <c r="G2090" s="8"/>
      <c r="H2090" s="8"/>
      <c r="I2090" s="8"/>
      <c r="J2090" s="8"/>
      <c r="K2090" s="8"/>
    </row>
    <row r="2091">
      <c r="A2091" s="8" t="s">
        <v>2099</v>
      </c>
      <c r="B2091" s="8"/>
      <c r="C2091" s="8"/>
      <c r="D2091" s="8"/>
      <c r="E2091" s="8"/>
      <c r="F2091" s="8"/>
      <c r="G2091" s="8"/>
      <c r="H2091" s="8"/>
      <c r="I2091" s="8"/>
      <c r="J2091" s="8"/>
      <c r="K2091" s="8"/>
    </row>
    <row r="2092">
      <c r="A2092" s="8" t="s">
        <v>2100</v>
      </c>
      <c r="B2092" s="8"/>
      <c r="C2092" s="8"/>
      <c r="D2092" s="8"/>
      <c r="E2092" s="8"/>
      <c r="F2092" s="8"/>
      <c r="G2092" s="8"/>
      <c r="H2092" s="8"/>
      <c r="I2092" s="8"/>
      <c r="J2092" s="8"/>
      <c r="K2092" s="8"/>
    </row>
    <row r="2093">
      <c r="A2093" s="8" t="s">
        <v>2101</v>
      </c>
      <c r="B2093" s="8"/>
      <c r="C2093" s="8"/>
      <c r="D2093" s="8"/>
      <c r="E2093" s="8"/>
      <c r="F2093" s="8"/>
      <c r="G2093" s="8"/>
      <c r="H2093" s="8"/>
      <c r="I2093" s="8"/>
      <c r="J2093" s="8"/>
      <c r="K2093" s="8"/>
    </row>
    <row r="2094">
      <c r="A2094" s="8" t="s">
        <v>2102</v>
      </c>
      <c r="B2094" s="8"/>
      <c r="C2094" s="8"/>
      <c r="D2094" s="8"/>
      <c r="E2094" s="8"/>
      <c r="F2094" s="8"/>
      <c r="G2094" s="8"/>
      <c r="H2094" s="8"/>
      <c r="I2094" s="8"/>
      <c r="J2094" s="8"/>
      <c r="K2094" s="8"/>
    </row>
    <row r="2095">
      <c r="A2095" s="8" t="s">
        <v>2103</v>
      </c>
      <c r="B2095" s="8"/>
      <c r="C2095" s="8"/>
      <c r="D2095" s="8"/>
      <c r="E2095" s="8"/>
      <c r="F2095" s="8"/>
      <c r="G2095" s="8"/>
      <c r="H2095" s="8"/>
      <c r="I2095" s="8"/>
      <c r="J2095" s="8"/>
      <c r="K2095" s="8"/>
    </row>
    <row r="2096">
      <c r="A2096" s="8" t="s">
        <v>2104</v>
      </c>
      <c r="B2096" s="8"/>
      <c r="C2096" s="8"/>
      <c r="D2096" s="8"/>
      <c r="E2096" s="8"/>
      <c r="F2096" s="8"/>
      <c r="G2096" s="8"/>
      <c r="H2096" s="8"/>
      <c r="I2096" s="8"/>
      <c r="J2096" s="8"/>
      <c r="K2096" s="8"/>
    </row>
    <row r="2097">
      <c r="A2097" s="8" t="s">
        <v>2105</v>
      </c>
      <c r="B2097" s="8"/>
      <c r="C2097" s="8"/>
      <c r="D2097" s="8"/>
      <c r="E2097" s="8"/>
      <c r="F2097" s="8"/>
      <c r="G2097" s="8"/>
      <c r="H2097" s="8"/>
      <c r="I2097" s="8"/>
      <c r="J2097" s="8"/>
      <c r="K2097" s="8"/>
    </row>
    <row r="2098">
      <c r="A2098" s="8" t="s">
        <v>2106</v>
      </c>
      <c r="B2098" s="8"/>
      <c r="C2098" s="8"/>
      <c r="D2098" s="8"/>
      <c r="E2098" s="8"/>
      <c r="F2098" s="8"/>
      <c r="G2098" s="8"/>
      <c r="H2098" s="8"/>
      <c r="I2098" s="8"/>
      <c r="J2098" s="8"/>
      <c r="K2098" s="8"/>
    </row>
    <row r="2099">
      <c r="A2099" s="8" t="s">
        <v>2107</v>
      </c>
      <c r="B2099" s="8"/>
      <c r="C2099" s="8"/>
      <c r="D2099" s="8"/>
      <c r="E2099" s="8"/>
      <c r="F2099" s="8"/>
      <c r="G2099" s="8"/>
      <c r="H2099" s="8"/>
      <c r="I2099" s="8"/>
      <c r="J2099" s="8"/>
      <c r="K2099" s="8"/>
    </row>
    <row r="2100">
      <c r="A2100" s="8" t="s">
        <v>2108</v>
      </c>
      <c r="B2100" s="8"/>
      <c r="C2100" s="8"/>
      <c r="D2100" s="8"/>
      <c r="E2100" s="8"/>
      <c r="F2100" s="8"/>
      <c r="G2100" s="8"/>
      <c r="H2100" s="8"/>
      <c r="I2100" s="8"/>
      <c r="J2100" s="8"/>
      <c r="K2100" s="8"/>
    </row>
    <row r="2101">
      <c r="A2101" s="8" t="s">
        <v>2109</v>
      </c>
      <c r="B2101" s="8"/>
      <c r="C2101" s="8"/>
      <c r="D2101" s="8"/>
      <c r="E2101" s="8"/>
      <c r="F2101" s="8"/>
      <c r="G2101" s="8"/>
      <c r="H2101" s="8"/>
      <c r="I2101" s="8"/>
      <c r="J2101" s="8"/>
      <c r="K2101" s="8"/>
    </row>
    <row r="2102">
      <c r="A2102" s="8" t="s">
        <v>2110</v>
      </c>
      <c r="B2102" s="8"/>
      <c r="C2102" s="8"/>
      <c r="D2102" s="8"/>
      <c r="E2102" s="8"/>
      <c r="F2102" s="8"/>
      <c r="G2102" s="8"/>
      <c r="H2102" s="8"/>
      <c r="I2102" s="8"/>
      <c r="J2102" s="8"/>
      <c r="K2102" s="8"/>
    </row>
    <row r="2103">
      <c r="A2103" s="8" t="s">
        <v>2111</v>
      </c>
      <c r="B2103" s="8"/>
      <c r="C2103" s="8"/>
      <c r="D2103" s="8"/>
      <c r="E2103" s="8"/>
      <c r="F2103" s="8"/>
      <c r="G2103" s="8"/>
      <c r="H2103" s="8"/>
      <c r="I2103" s="8"/>
      <c r="J2103" s="8"/>
      <c r="K2103" s="8"/>
    </row>
    <row r="2104">
      <c r="A2104" s="8" t="s">
        <v>2112</v>
      </c>
      <c r="B2104" s="8"/>
      <c r="C2104" s="8"/>
      <c r="D2104" s="8"/>
      <c r="E2104" s="8"/>
      <c r="F2104" s="8"/>
      <c r="G2104" s="8"/>
      <c r="H2104" s="8"/>
      <c r="I2104" s="8"/>
      <c r="J2104" s="8"/>
      <c r="K2104" s="8"/>
    </row>
    <row r="2105">
      <c r="A2105" s="8" t="s">
        <v>2113</v>
      </c>
      <c r="B2105" s="8"/>
      <c r="C2105" s="8"/>
      <c r="D2105" s="8"/>
      <c r="E2105" s="8"/>
      <c r="F2105" s="8"/>
      <c r="G2105" s="8"/>
      <c r="H2105" s="8"/>
      <c r="I2105" s="8"/>
      <c r="J2105" s="8"/>
      <c r="K2105" s="8"/>
    </row>
    <row r="2106">
      <c r="A2106" s="8" t="s">
        <v>2114</v>
      </c>
      <c r="B2106" s="8"/>
      <c r="C2106" s="8"/>
      <c r="D2106" s="8"/>
      <c r="E2106" s="8"/>
      <c r="F2106" s="8"/>
      <c r="G2106" s="8"/>
      <c r="H2106" s="8"/>
      <c r="I2106" s="8"/>
      <c r="J2106" s="8"/>
      <c r="K2106" s="8"/>
    </row>
    <row r="2107">
      <c r="A2107" s="8" t="s">
        <v>2115</v>
      </c>
      <c r="B2107" s="8"/>
      <c r="C2107" s="8"/>
      <c r="D2107" s="8"/>
      <c r="E2107" s="8"/>
      <c r="F2107" s="8"/>
      <c r="G2107" s="8"/>
      <c r="H2107" s="8"/>
      <c r="I2107" s="8"/>
      <c r="J2107" s="8"/>
      <c r="K2107" s="8"/>
    </row>
    <row r="2108">
      <c r="A2108" s="8" t="s">
        <v>2116</v>
      </c>
      <c r="B2108" s="8"/>
      <c r="C2108" s="8"/>
      <c r="D2108" s="8"/>
      <c r="E2108" s="8"/>
      <c r="F2108" s="8"/>
      <c r="G2108" s="8"/>
      <c r="H2108" s="8"/>
      <c r="I2108" s="8"/>
      <c r="J2108" s="8"/>
      <c r="K2108" s="8"/>
    </row>
    <row r="2109">
      <c r="A2109" s="8" t="s">
        <v>2117</v>
      </c>
      <c r="B2109" s="8"/>
      <c r="C2109" s="8"/>
      <c r="D2109" s="8"/>
      <c r="E2109" s="8"/>
      <c r="F2109" s="8"/>
      <c r="G2109" s="8"/>
      <c r="H2109" s="8"/>
      <c r="I2109" s="8"/>
      <c r="J2109" s="8"/>
      <c r="K2109" s="8"/>
    </row>
    <row r="2110">
      <c r="A2110" s="8" t="s">
        <v>2118</v>
      </c>
      <c r="B2110" s="8"/>
      <c r="C2110" s="8"/>
      <c r="D2110" s="8"/>
      <c r="E2110" s="8"/>
      <c r="F2110" s="8"/>
      <c r="G2110" s="8"/>
      <c r="H2110" s="8"/>
      <c r="I2110" s="8"/>
      <c r="J2110" s="8"/>
      <c r="K2110" s="8"/>
    </row>
    <row r="2111">
      <c r="A2111" s="8" t="s">
        <v>2119</v>
      </c>
      <c r="B2111" s="8"/>
      <c r="C2111" s="8"/>
      <c r="D2111" s="8"/>
      <c r="E2111" s="8"/>
      <c r="F2111" s="8"/>
      <c r="G2111" s="8"/>
      <c r="H2111" s="8"/>
      <c r="I2111" s="8"/>
      <c r="J2111" s="8"/>
      <c r="K2111" s="8"/>
    </row>
    <row r="2112">
      <c r="A2112" s="8" t="s">
        <v>2120</v>
      </c>
      <c r="B2112" s="8"/>
      <c r="C2112" s="8"/>
      <c r="D2112" s="8"/>
      <c r="E2112" s="8"/>
      <c r="F2112" s="8"/>
      <c r="G2112" s="8"/>
      <c r="H2112" s="8"/>
      <c r="I2112" s="8"/>
      <c r="J2112" s="8"/>
      <c r="K2112" s="8"/>
    </row>
    <row r="2113">
      <c r="A2113" s="8" t="s">
        <v>2121</v>
      </c>
      <c r="B2113" s="8"/>
      <c r="C2113" s="8"/>
      <c r="D2113" s="8"/>
      <c r="E2113" s="8"/>
      <c r="F2113" s="8"/>
      <c r="G2113" s="8"/>
      <c r="H2113" s="8"/>
      <c r="I2113" s="8"/>
      <c r="J2113" s="8"/>
      <c r="K2113" s="8"/>
    </row>
    <row r="2114">
      <c r="A2114" s="8" t="s">
        <v>2122</v>
      </c>
      <c r="B2114" s="8"/>
      <c r="C2114" s="8"/>
      <c r="D2114" s="8"/>
      <c r="E2114" s="8"/>
      <c r="F2114" s="8"/>
      <c r="G2114" s="8"/>
      <c r="H2114" s="8"/>
      <c r="I2114" s="8"/>
      <c r="J2114" s="8"/>
      <c r="K2114" s="8"/>
    </row>
    <row r="2115">
      <c r="A2115" s="8" t="s">
        <v>2123</v>
      </c>
      <c r="B2115" s="8"/>
      <c r="C2115" s="8"/>
      <c r="D2115" s="8"/>
      <c r="E2115" s="8"/>
      <c r="F2115" s="8"/>
      <c r="G2115" s="8"/>
      <c r="H2115" s="8"/>
      <c r="I2115" s="8"/>
      <c r="J2115" s="8"/>
      <c r="K2115" s="8"/>
    </row>
    <row r="2116">
      <c r="A2116" s="8" t="s">
        <v>2124</v>
      </c>
      <c r="B2116" s="8"/>
      <c r="C2116" s="8"/>
      <c r="D2116" s="8"/>
      <c r="E2116" s="8"/>
      <c r="F2116" s="8"/>
      <c r="G2116" s="8"/>
      <c r="H2116" s="8"/>
      <c r="I2116" s="8"/>
      <c r="J2116" s="8"/>
      <c r="K2116" s="8"/>
    </row>
    <row r="2117">
      <c r="A2117" s="8" t="s">
        <v>2125</v>
      </c>
      <c r="B2117" s="8"/>
      <c r="C2117" s="8"/>
      <c r="D2117" s="8"/>
      <c r="E2117" s="8"/>
      <c r="F2117" s="8"/>
      <c r="G2117" s="8"/>
      <c r="H2117" s="8"/>
      <c r="I2117" s="8"/>
      <c r="J2117" s="8"/>
      <c r="K2117" s="8"/>
    </row>
    <row r="2118">
      <c r="A2118" s="8" t="s">
        <v>2126</v>
      </c>
      <c r="B2118" s="8"/>
      <c r="C2118" s="8"/>
      <c r="D2118" s="8"/>
      <c r="E2118" s="8"/>
      <c r="F2118" s="8"/>
      <c r="G2118" s="8"/>
      <c r="H2118" s="8"/>
      <c r="I2118" s="8"/>
      <c r="J2118" s="8"/>
      <c r="K2118" s="8"/>
    </row>
    <row r="2119">
      <c r="A2119" s="8" t="s">
        <v>2127</v>
      </c>
      <c r="B2119" s="8"/>
      <c r="C2119" s="8"/>
      <c r="D2119" s="8"/>
      <c r="E2119" s="8"/>
      <c r="F2119" s="8"/>
      <c r="G2119" s="8"/>
      <c r="H2119" s="8"/>
      <c r="I2119" s="8"/>
      <c r="J2119" s="8"/>
      <c r="K2119" s="8"/>
    </row>
    <row r="2120">
      <c r="A2120" s="8" t="s">
        <v>2128</v>
      </c>
      <c r="B2120" s="8"/>
      <c r="C2120" s="8"/>
      <c r="D2120" s="8"/>
      <c r="E2120" s="8"/>
      <c r="F2120" s="8"/>
      <c r="G2120" s="8"/>
      <c r="H2120" s="8"/>
      <c r="I2120" s="8"/>
      <c r="J2120" s="8"/>
      <c r="K2120" s="8"/>
    </row>
    <row r="2121">
      <c r="A2121" s="8" t="s">
        <v>2129</v>
      </c>
      <c r="B2121" s="8"/>
      <c r="C2121" s="8"/>
      <c r="D2121" s="8"/>
      <c r="E2121" s="8"/>
      <c r="F2121" s="8"/>
      <c r="G2121" s="8"/>
      <c r="H2121" s="8"/>
      <c r="I2121" s="8"/>
      <c r="J2121" s="8"/>
      <c r="K2121" s="8"/>
    </row>
    <row r="2122">
      <c r="A2122" s="8" t="s">
        <v>2130</v>
      </c>
      <c r="B2122" s="8"/>
      <c r="C2122" s="8"/>
      <c r="D2122" s="8"/>
      <c r="E2122" s="8"/>
      <c r="F2122" s="8"/>
      <c r="G2122" s="8"/>
      <c r="H2122" s="8"/>
      <c r="I2122" s="8"/>
      <c r="J2122" s="8"/>
      <c r="K2122" s="8"/>
    </row>
    <row r="2123">
      <c r="A2123" s="8" t="s">
        <v>2131</v>
      </c>
      <c r="B2123" s="8"/>
      <c r="C2123" s="8"/>
      <c r="D2123" s="8"/>
      <c r="E2123" s="8"/>
      <c r="F2123" s="8"/>
      <c r="G2123" s="8"/>
      <c r="H2123" s="8"/>
      <c r="I2123" s="8"/>
      <c r="J2123" s="8"/>
      <c r="K2123" s="8"/>
    </row>
    <row r="2124">
      <c r="A2124" s="8" t="s">
        <v>2132</v>
      </c>
      <c r="B2124" s="8"/>
      <c r="C2124" s="8"/>
      <c r="D2124" s="8"/>
      <c r="E2124" s="8"/>
      <c r="F2124" s="8"/>
      <c r="G2124" s="8"/>
      <c r="H2124" s="8"/>
      <c r="I2124" s="8"/>
      <c r="J2124" s="8"/>
      <c r="K2124" s="8"/>
    </row>
    <row r="2125">
      <c r="A2125" s="8" t="s">
        <v>2133</v>
      </c>
      <c r="B2125" s="8"/>
      <c r="C2125" s="8"/>
      <c r="D2125" s="8"/>
      <c r="E2125" s="8"/>
      <c r="F2125" s="8"/>
      <c r="G2125" s="8"/>
      <c r="H2125" s="8"/>
      <c r="I2125" s="8"/>
      <c r="J2125" s="8"/>
      <c r="K2125" s="8"/>
    </row>
    <row r="2126">
      <c r="A2126" s="8" t="s">
        <v>2134</v>
      </c>
      <c r="B2126" s="8"/>
      <c r="C2126" s="8"/>
      <c r="D2126" s="8"/>
      <c r="E2126" s="8"/>
      <c r="F2126" s="8"/>
      <c r="G2126" s="8"/>
      <c r="H2126" s="8"/>
      <c r="I2126" s="8"/>
      <c r="J2126" s="8"/>
      <c r="K2126" s="8"/>
    </row>
    <row r="2127">
      <c r="A2127" s="8" t="s">
        <v>2135</v>
      </c>
      <c r="B2127" s="8"/>
      <c r="C2127" s="8"/>
      <c r="D2127" s="8"/>
      <c r="E2127" s="8"/>
      <c r="F2127" s="8"/>
      <c r="G2127" s="8"/>
      <c r="H2127" s="8"/>
      <c r="I2127" s="8"/>
      <c r="J2127" s="8"/>
      <c r="K2127" s="8"/>
    </row>
    <row r="2128">
      <c r="A2128" s="8" t="s">
        <v>2136</v>
      </c>
      <c r="B2128" s="8"/>
      <c r="C2128" s="8"/>
      <c r="D2128" s="8"/>
      <c r="E2128" s="8"/>
      <c r="F2128" s="8"/>
      <c r="G2128" s="8"/>
      <c r="H2128" s="8"/>
      <c r="I2128" s="8"/>
      <c r="J2128" s="8"/>
      <c r="K2128" s="8"/>
    </row>
    <row r="2129">
      <c r="A2129" s="8" t="s">
        <v>2137</v>
      </c>
      <c r="B2129" s="8"/>
      <c r="C2129" s="8"/>
      <c r="D2129" s="8"/>
      <c r="E2129" s="8"/>
      <c r="F2129" s="8"/>
      <c r="G2129" s="8"/>
      <c r="H2129" s="8"/>
      <c r="I2129" s="8"/>
      <c r="J2129" s="8"/>
      <c r="K2129" s="8"/>
    </row>
    <row r="2130">
      <c r="A2130" s="8" t="s">
        <v>2138</v>
      </c>
      <c r="B2130" s="8"/>
      <c r="C2130" s="8"/>
      <c r="D2130" s="8"/>
      <c r="E2130" s="8"/>
      <c r="F2130" s="8"/>
      <c r="G2130" s="8"/>
      <c r="H2130" s="8"/>
      <c r="I2130" s="8"/>
      <c r="J2130" s="8"/>
      <c r="K2130" s="8"/>
    </row>
    <row r="2131">
      <c r="A2131" s="8" t="s">
        <v>2139</v>
      </c>
      <c r="B2131" s="8"/>
      <c r="C2131" s="8"/>
      <c r="D2131" s="8"/>
      <c r="E2131" s="8"/>
      <c r="F2131" s="8"/>
      <c r="G2131" s="8"/>
      <c r="H2131" s="8"/>
      <c r="I2131" s="8"/>
      <c r="J2131" s="8"/>
      <c r="K2131" s="8"/>
    </row>
    <row r="2132">
      <c r="A2132" s="8" t="s">
        <v>2140</v>
      </c>
      <c r="B2132" s="8"/>
      <c r="C2132" s="8"/>
      <c r="D2132" s="8"/>
      <c r="E2132" s="8"/>
      <c r="F2132" s="8"/>
      <c r="G2132" s="8"/>
      <c r="H2132" s="8"/>
      <c r="I2132" s="8"/>
      <c r="J2132" s="8"/>
      <c r="K2132" s="8"/>
    </row>
    <row r="2133">
      <c r="A2133" s="8" t="s">
        <v>2141</v>
      </c>
      <c r="B2133" s="8"/>
      <c r="C2133" s="8"/>
      <c r="D2133" s="8"/>
      <c r="E2133" s="8"/>
      <c r="F2133" s="8"/>
      <c r="G2133" s="8"/>
      <c r="H2133" s="8"/>
      <c r="I2133" s="8"/>
      <c r="J2133" s="8"/>
      <c r="K2133" s="8"/>
    </row>
    <row r="2134">
      <c r="A2134" s="8" t="s">
        <v>2142</v>
      </c>
      <c r="B2134" s="8"/>
      <c r="C2134" s="8"/>
      <c r="D2134" s="8"/>
      <c r="E2134" s="8"/>
      <c r="F2134" s="8"/>
      <c r="G2134" s="8"/>
      <c r="H2134" s="8"/>
      <c r="I2134" s="8"/>
      <c r="J2134" s="8"/>
      <c r="K2134" s="8"/>
    </row>
    <row r="2135">
      <c r="A2135" s="8" t="s">
        <v>2143</v>
      </c>
      <c r="B2135" s="8"/>
      <c r="C2135" s="8"/>
      <c r="D2135" s="8"/>
      <c r="E2135" s="8"/>
      <c r="F2135" s="8"/>
      <c r="G2135" s="8"/>
      <c r="H2135" s="8"/>
      <c r="I2135" s="8"/>
      <c r="J2135" s="8"/>
      <c r="K2135" s="8"/>
    </row>
    <row r="2136">
      <c r="A2136" s="8" t="s">
        <v>2144</v>
      </c>
      <c r="B2136" s="8"/>
      <c r="C2136" s="8"/>
      <c r="D2136" s="8"/>
      <c r="E2136" s="8"/>
      <c r="F2136" s="8"/>
      <c r="G2136" s="8"/>
      <c r="H2136" s="8"/>
      <c r="I2136" s="8"/>
      <c r="J2136" s="8"/>
      <c r="K2136" s="8"/>
    </row>
    <row r="2137">
      <c r="A2137" s="8" t="s">
        <v>2145</v>
      </c>
      <c r="B2137" s="8"/>
      <c r="C2137" s="8"/>
      <c r="D2137" s="8"/>
      <c r="E2137" s="8"/>
      <c r="F2137" s="8"/>
      <c r="G2137" s="8"/>
      <c r="H2137" s="8"/>
      <c r="I2137" s="8"/>
      <c r="J2137" s="8"/>
      <c r="K2137" s="8"/>
    </row>
    <row r="2138">
      <c r="A2138" s="8" t="s">
        <v>2146</v>
      </c>
      <c r="B2138" s="8"/>
      <c r="C2138" s="8"/>
      <c r="D2138" s="8"/>
      <c r="E2138" s="8"/>
      <c r="F2138" s="8"/>
      <c r="G2138" s="8"/>
      <c r="H2138" s="8"/>
      <c r="I2138" s="8"/>
      <c r="J2138" s="8"/>
      <c r="K2138" s="8"/>
    </row>
    <row r="2139">
      <c r="A2139" s="8" t="s">
        <v>2147</v>
      </c>
      <c r="B2139" s="8"/>
      <c r="C2139" s="8"/>
      <c r="D2139" s="8"/>
      <c r="E2139" s="8"/>
      <c r="F2139" s="8"/>
      <c r="G2139" s="8"/>
      <c r="H2139" s="8"/>
      <c r="I2139" s="8"/>
      <c r="J2139" s="8"/>
      <c r="K2139" s="8"/>
    </row>
    <row r="2140">
      <c r="A2140" s="8" t="s">
        <v>2148</v>
      </c>
      <c r="B2140" s="8"/>
      <c r="C2140" s="8"/>
      <c r="D2140" s="8"/>
      <c r="E2140" s="8"/>
      <c r="F2140" s="8"/>
      <c r="G2140" s="8"/>
      <c r="H2140" s="8"/>
      <c r="I2140" s="8"/>
      <c r="J2140" s="8"/>
      <c r="K2140" s="8"/>
    </row>
    <row r="2141">
      <c r="A2141" s="8" t="s">
        <v>2149</v>
      </c>
      <c r="B2141" s="8"/>
      <c r="C2141" s="8"/>
      <c r="D2141" s="8"/>
      <c r="E2141" s="8"/>
      <c r="F2141" s="8"/>
      <c r="G2141" s="8"/>
      <c r="H2141" s="8"/>
      <c r="I2141" s="8"/>
      <c r="J2141" s="8"/>
      <c r="K2141" s="8"/>
    </row>
    <row r="2142">
      <c r="A2142" s="8" t="s">
        <v>2150</v>
      </c>
      <c r="B2142" s="8"/>
      <c r="C2142" s="8"/>
      <c r="D2142" s="8"/>
      <c r="E2142" s="8"/>
      <c r="F2142" s="8"/>
      <c r="G2142" s="8"/>
      <c r="H2142" s="8"/>
      <c r="I2142" s="8"/>
      <c r="J2142" s="8"/>
      <c r="K2142" s="8"/>
    </row>
    <row r="2143">
      <c r="A2143" s="8" t="s">
        <v>2151</v>
      </c>
      <c r="B2143" s="8"/>
      <c r="C2143" s="8"/>
      <c r="D2143" s="8"/>
      <c r="E2143" s="8"/>
      <c r="F2143" s="8"/>
      <c r="G2143" s="8"/>
      <c r="H2143" s="8"/>
      <c r="I2143" s="8"/>
      <c r="J2143" s="8"/>
      <c r="K2143" s="8"/>
    </row>
    <row r="2144">
      <c r="A2144" s="8" t="s">
        <v>2152</v>
      </c>
      <c r="B2144" s="8"/>
      <c r="C2144" s="8"/>
      <c r="D2144" s="8"/>
      <c r="E2144" s="8"/>
      <c r="F2144" s="8"/>
      <c r="G2144" s="8"/>
      <c r="H2144" s="8"/>
      <c r="I2144" s="8"/>
      <c r="J2144" s="8"/>
      <c r="K2144" s="8"/>
    </row>
    <row r="2145">
      <c r="A2145" s="8" t="s">
        <v>2153</v>
      </c>
      <c r="B2145" s="8"/>
      <c r="C2145" s="8"/>
      <c r="D2145" s="8"/>
      <c r="E2145" s="8"/>
      <c r="F2145" s="8"/>
      <c r="G2145" s="8"/>
      <c r="H2145" s="8"/>
      <c r="I2145" s="8"/>
      <c r="J2145" s="8"/>
      <c r="K2145" s="8"/>
    </row>
    <row r="2146">
      <c r="A2146" s="8" t="s">
        <v>2154</v>
      </c>
      <c r="B2146" s="8"/>
      <c r="C2146" s="8"/>
      <c r="D2146" s="8"/>
      <c r="E2146" s="8"/>
      <c r="F2146" s="8"/>
      <c r="G2146" s="8"/>
      <c r="H2146" s="8"/>
      <c r="I2146" s="8"/>
      <c r="J2146" s="8"/>
      <c r="K2146" s="8"/>
    </row>
    <row r="2147">
      <c r="A2147" s="8" t="s">
        <v>2155</v>
      </c>
      <c r="B2147" s="8"/>
      <c r="C2147" s="8"/>
      <c r="D2147" s="8"/>
      <c r="E2147" s="8"/>
      <c r="F2147" s="8"/>
      <c r="G2147" s="8"/>
      <c r="H2147" s="8"/>
      <c r="I2147" s="8"/>
      <c r="J2147" s="8"/>
      <c r="K2147" s="8"/>
    </row>
    <row r="2148">
      <c r="A2148" s="8" t="s">
        <v>2156</v>
      </c>
      <c r="B2148" s="8"/>
      <c r="C2148" s="8"/>
      <c r="D2148" s="8"/>
      <c r="E2148" s="8"/>
      <c r="F2148" s="8"/>
      <c r="G2148" s="8"/>
      <c r="H2148" s="8"/>
      <c r="I2148" s="8"/>
      <c r="J2148" s="8"/>
      <c r="K2148" s="8"/>
    </row>
    <row r="2149">
      <c r="A2149" s="8" t="s">
        <v>2157</v>
      </c>
      <c r="B2149" s="8"/>
      <c r="C2149" s="8"/>
      <c r="D2149" s="8"/>
      <c r="E2149" s="8"/>
      <c r="F2149" s="8"/>
      <c r="G2149" s="8"/>
      <c r="H2149" s="8"/>
      <c r="I2149" s="8"/>
      <c r="J2149" s="8"/>
      <c r="K2149" s="8"/>
    </row>
    <row r="2150">
      <c r="A2150" s="8" t="s">
        <v>2158</v>
      </c>
      <c r="B2150" s="8"/>
      <c r="C2150" s="8"/>
      <c r="D2150" s="8"/>
      <c r="E2150" s="8"/>
      <c r="F2150" s="8"/>
      <c r="G2150" s="8"/>
      <c r="H2150" s="8"/>
      <c r="I2150" s="8"/>
      <c r="J2150" s="8"/>
      <c r="K2150" s="8"/>
    </row>
    <row r="2151">
      <c r="A2151" s="8" t="s">
        <v>2159</v>
      </c>
      <c r="B2151" s="8"/>
      <c r="C2151" s="8"/>
      <c r="D2151" s="8"/>
      <c r="E2151" s="8"/>
      <c r="F2151" s="8"/>
      <c r="G2151" s="8"/>
      <c r="H2151" s="8"/>
      <c r="I2151" s="8"/>
      <c r="J2151" s="8"/>
      <c r="K2151" s="8"/>
    </row>
    <row r="2152">
      <c r="A2152" s="8" t="s">
        <v>2160</v>
      </c>
      <c r="B2152" s="8"/>
      <c r="C2152" s="8"/>
      <c r="D2152" s="8"/>
      <c r="E2152" s="8"/>
      <c r="F2152" s="8"/>
      <c r="G2152" s="8"/>
      <c r="H2152" s="8"/>
      <c r="I2152" s="8"/>
      <c r="J2152" s="8"/>
      <c r="K2152" s="8"/>
    </row>
    <row r="2153">
      <c r="A2153" s="8" t="s">
        <v>2161</v>
      </c>
      <c r="B2153" s="8"/>
      <c r="C2153" s="8"/>
      <c r="D2153" s="8"/>
      <c r="E2153" s="8"/>
      <c r="F2153" s="8"/>
      <c r="G2153" s="8"/>
      <c r="H2153" s="8"/>
      <c r="I2153" s="8"/>
      <c r="J2153" s="8"/>
      <c r="K2153" s="8"/>
    </row>
    <row r="2154">
      <c r="A2154" s="8" t="s">
        <v>2162</v>
      </c>
      <c r="B2154" s="8"/>
      <c r="C2154" s="8"/>
      <c r="D2154" s="8"/>
      <c r="E2154" s="8"/>
      <c r="F2154" s="8"/>
      <c r="G2154" s="8"/>
      <c r="H2154" s="8"/>
      <c r="I2154" s="8"/>
      <c r="J2154" s="8"/>
      <c r="K2154" s="8"/>
    </row>
    <row r="2155">
      <c r="A2155" s="8" t="s">
        <v>2163</v>
      </c>
      <c r="B2155" s="8"/>
      <c r="C2155" s="8"/>
      <c r="D2155" s="8"/>
      <c r="E2155" s="8"/>
      <c r="F2155" s="8"/>
      <c r="G2155" s="8"/>
      <c r="H2155" s="8"/>
      <c r="I2155" s="8"/>
      <c r="J2155" s="8"/>
      <c r="K2155" s="8"/>
    </row>
    <row r="2156">
      <c r="A2156" s="8" t="s">
        <v>2164</v>
      </c>
      <c r="B2156" s="8"/>
      <c r="C2156" s="8"/>
      <c r="D2156" s="8"/>
      <c r="E2156" s="8"/>
      <c r="F2156" s="8"/>
      <c r="G2156" s="8"/>
      <c r="H2156" s="8"/>
      <c r="I2156" s="8"/>
      <c r="J2156" s="8"/>
      <c r="K2156" s="8"/>
    </row>
    <row r="2157">
      <c r="A2157" s="8" t="s">
        <v>2165</v>
      </c>
      <c r="B2157" s="8"/>
      <c r="C2157" s="8"/>
      <c r="D2157" s="8"/>
      <c r="E2157" s="8"/>
      <c r="F2157" s="8"/>
      <c r="G2157" s="8"/>
      <c r="H2157" s="8"/>
      <c r="I2157" s="8"/>
      <c r="J2157" s="8"/>
      <c r="K2157" s="8"/>
    </row>
    <row r="2158">
      <c r="A2158" s="8" t="s">
        <v>2166</v>
      </c>
      <c r="B2158" s="8"/>
      <c r="C2158" s="8"/>
      <c r="D2158" s="8"/>
      <c r="E2158" s="8"/>
      <c r="F2158" s="8"/>
      <c r="G2158" s="8"/>
      <c r="H2158" s="8"/>
      <c r="I2158" s="8"/>
      <c r="J2158" s="8"/>
      <c r="K2158" s="8"/>
    </row>
    <row r="2159">
      <c r="A2159" s="8" t="s">
        <v>2167</v>
      </c>
      <c r="B2159" s="8"/>
      <c r="C2159" s="8"/>
      <c r="D2159" s="8"/>
      <c r="E2159" s="8"/>
      <c r="F2159" s="8"/>
      <c r="G2159" s="8"/>
      <c r="H2159" s="8"/>
      <c r="I2159" s="8"/>
      <c r="J2159" s="8"/>
      <c r="K2159" s="8"/>
    </row>
    <row r="2160">
      <c r="A2160" s="8" t="s">
        <v>2168</v>
      </c>
      <c r="B2160" s="8"/>
      <c r="C2160" s="8"/>
      <c r="D2160" s="8"/>
      <c r="E2160" s="8"/>
      <c r="F2160" s="8"/>
      <c r="G2160" s="8"/>
      <c r="H2160" s="8"/>
      <c r="I2160" s="8"/>
      <c r="J2160" s="8"/>
      <c r="K2160" s="8"/>
    </row>
    <row r="2161">
      <c r="A2161" s="8" t="s">
        <v>2169</v>
      </c>
      <c r="B2161" s="8"/>
      <c r="C2161" s="8"/>
      <c r="D2161" s="8"/>
      <c r="E2161" s="8"/>
      <c r="F2161" s="8"/>
      <c r="G2161" s="8"/>
      <c r="H2161" s="8"/>
      <c r="I2161" s="8"/>
      <c r="J2161" s="8"/>
      <c r="K2161" s="8"/>
    </row>
    <row r="2162">
      <c r="A2162" s="8" t="s">
        <v>2170</v>
      </c>
      <c r="B2162" s="8"/>
      <c r="C2162" s="8"/>
      <c r="D2162" s="8"/>
      <c r="E2162" s="8"/>
      <c r="F2162" s="8"/>
      <c r="G2162" s="8"/>
      <c r="H2162" s="8"/>
      <c r="I2162" s="8"/>
      <c r="J2162" s="8"/>
      <c r="K2162" s="8"/>
    </row>
    <row r="2163">
      <c r="A2163" s="8" t="s">
        <v>2171</v>
      </c>
      <c r="B2163" s="8"/>
      <c r="C2163" s="8"/>
      <c r="D2163" s="8"/>
      <c r="E2163" s="8"/>
      <c r="F2163" s="8"/>
      <c r="G2163" s="8"/>
      <c r="H2163" s="8"/>
      <c r="I2163" s="8"/>
      <c r="J2163" s="8"/>
      <c r="K2163" s="8"/>
    </row>
    <row r="2164">
      <c r="A2164" s="8" t="s">
        <v>2172</v>
      </c>
      <c r="B2164" s="8"/>
      <c r="C2164" s="8"/>
      <c r="D2164" s="8"/>
      <c r="E2164" s="8"/>
      <c r="F2164" s="8"/>
      <c r="G2164" s="8"/>
      <c r="H2164" s="8"/>
      <c r="I2164" s="8"/>
      <c r="J2164" s="8"/>
      <c r="K2164" s="8"/>
    </row>
    <row r="2165">
      <c r="A2165" s="8" t="s">
        <v>2173</v>
      </c>
      <c r="B2165" s="8"/>
      <c r="C2165" s="8"/>
      <c r="D2165" s="8"/>
      <c r="E2165" s="8"/>
      <c r="F2165" s="8"/>
      <c r="G2165" s="8"/>
      <c r="H2165" s="8"/>
      <c r="I2165" s="8"/>
      <c r="J2165" s="8"/>
      <c r="K2165" s="8"/>
    </row>
    <row r="2166">
      <c r="A2166" s="8" t="s">
        <v>2174</v>
      </c>
      <c r="B2166" s="8"/>
      <c r="C2166" s="8"/>
      <c r="D2166" s="8"/>
      <c r="E2166" s="8"/>
      <c r="F2166" s="8"/>
      <c r="G2166" s="8"/>
      <c r="H2166" s="8"/>
      <c r="I2166" s="8"/>
      <c r="J2166" s="8"/>
      <c r="K2166" s="8"/>
    </row>
    <row r="2167">
      <c r="A2167" s="8" t="s">
        <v>2175</v>
      </c>
      <c r="B2167" s="8"/>
      <c r="C2167" s="8"/>
      <c r="D2167" s="8"/>
      <c r="E2167" s="8"/>
      <c r="F2167" s="8"/>
      <c r="G2167" s="8"/>
      <c r="H2167" s="8"/>
      <c r="I2167" s="8"/>
      <c r="J2167" s="8"/>
      <c r="K2167" s="8"/>
    </row>
    <row r="2168">
      <c r="A2168" s="8" t="s">
        <v>2176</v>
      </c>
      <c r="B2168" s="8"/>
      <c r="C2168" s="8"/>
      <c r="D2168" s="8"/>
      <c r="E2168" s="8"/>
      <c r="F2168" s="8"/>
      <c r="G2168" s="8"/>
      <c r="H2168" s="8"/>
      <c r="I2168" s="8"/>
      <c r="J2168" s="8"/>
      <c r="K2168" s="8"/>
    </row>
    <row r="2169">
      <c r="A2169" s="8" t="s">
        <v>2177</v>
      </c>
      <c r="B2169" s="8"/>
      <c r="C2169" s="8"/>
      <c r="D2169" s="8"/>
      <c r="E2169" s="8"/>
      <c r="F2169" s="8"/>
      <c r="G2169" s="8"/>
      <c r="H2169" s="8"/>
      <c r="I2169" s="8"/>
      <c r="J2169" s="8"/>
      <c r="K2169" s="8"/>
    </row>
    <row r="2170">
      <c r="A2170" s="8" t="s">
        <v>2178</v>
      </c>
      <c r="B2170" s="8"/>
      <c r="C2170" s="8"/>
      <c r="D2170" s="8"/>
      <c r="E2170" s="8"/>
      <c r="F2170" s="8"/>
      <c r="G2170" s="8"/>
      <c r="H2170" s="8"/>
      <c r="I2170" s="8"/>
      <c r="J2170" s="8"/>
      <c r="K2170" s="8"/>
    </row>
    <row r="2171">
      <c r="A2171" s="8" t="s">
        <v>2179</v>
      </c>
      <c r="B2171" s="8"/>
      <c r="C2171" s="8"/>
      <c r="D2171" s="8"/>
      <c r="E2171" s="8"/>
      <c r="F2171" s="8"/>
      <c r="G2171" s="8"/>
      <c r="H2171" s="8"/>
      <c r="I2171" s="8"/>
      <c r="J2171" s="8"/>
      <c r="K2171" s="8"/>
    </row>
    <row r="2172">
      <c r="A2172" s="8" t="s">
        <v>2180</v>
      </c>
      <c r="B2172" s="8"/>
      <c r="C2172" s="8"/>
      <c r="D2172" s="8"/>
      <c r="E2172" s="8"/>
      <c r="F2172" s="8"/>
      <c r="G2172" s="8"/>
      <c r="H2172" s="8"/>
      <c r="I2172" s="8"/>
      <c r="J2172" s="8"/>
      <c r="K2172" s="8"/>
    </row>
    <row r="2173">
      <c r="A2173" s="8" t="s">
        <v>2181</v>
      </c>
      <c r="B2173" s="8"/>
      <c r="C2173" s="8"/>
      <c r="D2173" s="8"/>
      <c r="E2173" s="8"/>
      <c r="F2173" s="8"/>
      <c r="G2173" s="8"/>
      <c r="H2173" s="8"/>
      <c r="I2173" s="8"/>
      <c r="J2173" s="8"/>
      <c r="K2173" s="8"/>
    </row>
    <row r="2174">
      <c r="A2174" s="8" t="s">
        <v>2182</v>
      </c>
      <c r="B2174" s="8"/>
      <c r="C2174" s="8"/>
      <c r="D2174" s="8"/>
      <c r="E2174" s="8"/>
      <c r="F2174" s="8"/>
      <c r="G2174" s="8"/>
      <c r="H2174" s="8"/>
      <c r="I2174" s="8"/>
      <c r="J2174" s="8"/>
      <c r="K2174" s="8"/>
    </row>
    <row r="2175">
      <c r="A2175" s="8" t="s">
        <v>2183</v>
      </c>
      <c r="B2175" s="8"/>
      <c r="C2175" s="8"/>
      <c r="D2175" s="8"/>
      <c r="E2175" s="8"/>
      <c r="F2175" s="8"/>
      <c r="G2175" s="8"/>
      <c r="H2175" s="8"/>
      <c r="I2175" s="8"/>
      <c r="J2175" s="8"/>
      <c r="K2175" s="8"/>
    </row>
    <row r="2176">
      <c r="A2176" s="8" t="s">
        <v>2184</v>
      </c>
      <c r="B2176" s="8"/>
      <c r="C2176" s="8"/>
      <c r="D2176" s="8"/>
      <c r="E2176" s="8"/>
      <c r="F2176" s="8"/>
      <c r="G2176" s="8"/>
      <c r="H2176" s="8"/>
      <c r="I2176" s="8"/>
      <c r="J2176" s="8"/>
      <c r="K2176" s="8"/>
    </row>
    <row r="2177">
      <c r="A2177" s="8" t="s">
        <v>2185</v>
      </c>
      <c r="B2177" s="8"/>
      <c r="C2177" s="8"/>
      <c r="D2177" s="8"/>
      <c r="E2177" s="8"/>
      <c r="F2177" s="8"/>
      <c r="G2177" s="8"/>
      <c r="H2177" s="8"/>
      <c r="I2177" s="8"/>
      <c r="J2177" s="8"/>
      <c r="K2177" s="8"/>
    </row>
    <row r="2178">
      <c r="A2178" s="8" t="s">
        <v>2186</v>
      </c>
      <c r="B2178" s="8"/>
      <c r="C2178" s="8"/>
      <c r="D2178" s="8"/>
      <c r="E2178" s="8"/>
      <c r="F2178" s="8"/>
      <c r="G2178" s="8"/>
      <c r="H2178" s="8"/>
      <c r="I2178" s="8"/>
      <c r="J2178" s="8"/>
      <c r="K2178" s="8"/>
    </row>
    <row r="2179">
      <c r="A2179" s="8" t="s">
        <v>2187</v>
      </c>
      <c r="B2179" s="8"/>
      <c r="C2179" s="8"/>
      <c r="D2179" s="8"/>
      <c r="E2179" s="8"/>
      <c r="F2179" s="8"/>
      <c r="G2179" s="8"/>
      <c r="H2179" s="8"/>
      <c r="I2179" s="8"/>
      <c r="J2179" s="8"/>
      <c r="K2179" s="8"/>
    </row>
    <row r="2180">
      <c r="A2180" s="8" t="s">
        <v>2188</v>
      </c>
      <c r="B2180" s="8"/>
      <c r="C2180" s="8"/>
      <c r="D2180" s="8"/>
      <c r="E2180" s="8"/>
      <c r="F2180" s="8"/>
      <c r="G2180" s="8"/>
      <c r="H2180" s="8"/>
      <c r="I2180" s="8"/>
      <c r="J2180" s="8"/>
      <c r="K2180" s="8"/>
    </row>
    <row r="2181">
      <c r="A2181" s="8" t="s">
        <v>2189</v>
      </c>
      <c r="B2181" s="8"/>
      <c r="C2181" s="8"/>
      <c r="D2181" s="8"/>
      <c r="E2181" s="8"/>
      <c r="F2181" s="8"/>
      <c r="G2181" s="8"/>
      <c r="H2181" s="8"/>
      <c r="I2181" s="8"/>
      <c r="J2181" s="8"/>
      <c r="K2181" s="8"/>
    </row>
    <row r="2182">
      <c r="A2182" s="8" t="s">
        <v>2190</v>
      </c>
      <c r="B2182" s="8"/>
      <c r="C2182" s="8"/>
      <c r="D2182" s="8"/>
      <c r="E2182" s="8"/>
      <c r="F2182" s="8"/>
      <c r="G2182" s="8"/>
      <c r="H2182" s="8"/>
      <c r="I2182" s="8"/>
      <c r="J2182" s="8"/>
      <c r="K2182" s="8"/>
    </row>
    <row r="2183">
      <c r="A2183" s="8" t="s">
        <v>2191</v>
      </c>
      <c r="B2183" s="8"/>
      <c r="C2183" s="8"/>
      <c r="D2183" s="8"/>
      <c r="E2183" s="8"/>
      <c r="F2183" s="8"/>
      <c r="G2183" s="8"/>
      <c r="H2183" s="8"/>
      <c r="I2183" s="8"/>
      <c r="J2183" s="8"/>
      <c r="K2183" s="8"/>
    </row>
    <row r="2184">
      <c r="A2184" s="8" t="s">
        <v>2192</v>
      </c>
      <c r="B2184" s="8"/>
      <c r="C2184" s="8"/>
      <c r="D2184" s="8"/>
      <c r="E2184" s="8"/>
      <c r="F2184" s="8"/>
      <c r="G2184" s="8"/>
      <c r="H2184" s="8"/>
      <c r="I2184" s="8"/>
      <c r="J2184" s="8"/>
      <c r="K2184" s="8"/>
    </row>
    <row r="2185">
      <c r="A2185" s="8" t="s">
        <v>2193</v>
      </c>
      <c r="B2185" s="8"/>
      <c r="C2185" s="8"/>
      <c r="D2185" s="8"/>
      <c r="E2185" s="8"/>
      <c r="F2185" s="8"/>
      <c r="G2185" s="8"/>
      <c r="H2185" s="8"/>
      <c r="I2185" s="8"/>
      <c r="J2185" s="8"/>
      <c r="K2185" s="8"/>
    </row>
    <row r="2186">
      <c r="A2186" s="8" t="s">
        <v>2194</v>
      </c>
      <c r="B2186" s="8"/>
      <c r="C2186" s="8"/>
      <c r="D2186" s="8"/>
      <c r="E2186" s="8"/>
      <c r="F2186" s="8"/>
      <c r="G2186" s="8"/>
      <c r="H2186" s="8"/>
      <c r="I2186" s="8"/>
      <c r="J2186" s="8"/>
      <c r="K2186" s="8"/>
    </row>
    <row r="2187">
      <c r="A2187" s="8" t="s">
        <v>2195</v>
      </c>
      <c r="B2187" s="8"/>
      <c r="C2187" s="8"/>
      <c r="D2187" s="8"/>
      <c r="E2187" s="8"/>
      <c r="F2187" s="8"/>
      <c r="G2187" s="8"/>
      <c r="H2187" s="8"/>
      <c r="I2187" s="8"/>
      <c r="J2187" s="8"/>
      <c r="K2187" s="8"/>
    </row>
    <row r="2188">
      <c r="A2188" s="8" t="s">
        <v>2196</v>
      </c>
      <c r="B2188" s="8"/>
      <c r="C2188" s="8"/>
      <c r="D2188" s="8"/>
      <c r="E2188" s="8"/>
      <c r="F2188" s="8"/>
      <c r="G2188" s="8"/>
      <c r="H2188" s="8"/>
      <c r="I2188" s="8"/>
      <c r="J2188" s="8"/>
      <c r="K2188" s="8"/>
    </row>
    <row r="2189">
      <c r="A2189" s="8" t="s">
        <v>2197</v>
      </c>
      <c r="B2189" s="8"/>
      <c r="C2189" s="8"/>
      <c r="D2189" s="8"/>
      <c r="E2189" s="8"/>
      <c r="F2189" s="8"/>
      <c r="G2189" s="8"/>
      <c r="H2189" s="8"/>
      <c r="I2189" s="8"/>
      <c r="J2189" s="8"/>
      <c r="K2189" s="8"/>
    </row>
    <row r="2190">
      <c r="A2190" s="8" t="s">
        <v>2198</v>
      </c>
      <c r="B2190" s="8"/>
      <c r="C2190" s="8"/>
      <c r="D2190" s="8"/>
      <c r="E2190" s="8"/>
      <c r="F2190" s="8"/>
      <c r="G2190" s="8"/>
      <c r="H2190" s="8"/>
      <c r="I2190" s="8"/>
      <c r="J2190" s="8"/>
      <c r="K2190" s="8"/>
    </row>
    <row r="2191">
      <c r="A2191" s="8" t="s">
        <v>2199</v>
      </c>
      <c r="B2191" s="8"/>
      <c r="C2191" s="8"/>
      <c r="D2191" s="8"/>
      <c r="E2191" s="8"/>
      <c r="F2191" s="8"/>
      <c r="G2191" s="8"/>
      <c r="H2191" s="8"/>
      <c r="I2191" s="8"/>
      <c r="J2191" s="8"/>
      <c r="K2191" s="8"/>
    </row>
    <row r="2192">
      <c r="A2192" s="8" t="s">
        <v>2200</v>
      </c>
      <c r="B2192" s="8"/>
      <c r="C2192" s="8"/>
      <c r="D2192" s="8"/>
      <c r="E2192" s="8"/>
      <c r="F2192" s="8"/>
      <c r="G2192" s="8"/>
      <c r="H2192" s="8"/>
      <c r="I2192" s="8"/>
      <c r="J2192" s="8"/>
      <c r="K2192" s="8"/>
    </row>
    <row r="2193">
      <c r="A2193" s="8" t="s">
        <v>2201</v>
      </c>
      <c r="B2193" s="8"/>
      <c r="C2193" s="8"/>
      <c r="D2193" s="8"/>
      <c r="E2193" s="8"/>
      <c r="F2193" s="8"/>
      <c r="G2193" s="8"/>
      <c r="H2193" s="8"/>
      <c r="I2193" s="8"/>
      <c r="J2193" s="8"/>
      <c r="K2193" s="8"/>
    </row>
    <row r="2194">
      <c r="A2194" s="8" t="s">
        <v>2202</v>
      </c>
      <c r="B2194" s="8"/>
      <c r="C2194" s="8"/>
      <c r="D2194" s="8"/>
      <c r="E2194" s="8"/>
      <c r="F2194" s="8"/>
      <c r="G2194" s="8"/>
      <c r="H2194" s="8"/>
      <c r="I2194" s="8"/>
      <c r="J2194" s="8"/>
      <c r="K2194" s="8"/>
    </row>
    <row r="2195">
      <c r="A2195" s="8" t="s">
        <v>2203</v>
      </c>
      <c r="B2195" s="8"/>
      <c r="C2195" s="8"/>
      <c r="D2195" s="8"/>
      <c r="E2195" s="8"/>
      <c r="F2195" s="8"/>
      <c r="G2195" s="8"/>
      <c r="H2195" s="8"/>
      <c r="I2195" s="8"/>
      <c r="J2195" s="8"/>
      <c r="K2195" s="8"/>
    </row>
    <row r="2196">
      <c r="A2196" s="8" t="s">
        <v>2204</v>
      </c>
      <c r="B2196" s="8"/>
      <c r="C2196" s="8"/>
      <c r="D2196" s="8"/>
      <c r="E2196" s="8"/>
      <c r="F2196" s="8"/>
      <c r="G2196" s="8"/>
      <c r="H2196" s="8"/>
      <c r="I2196" s="8"/>
      <c r="J2196" s="8"/>
      <c r="K2196" s="8"/>
    </row>
    <row r="2197">
      <c r="A2197" s="8" t="s">
        <v>2205</v>
      </c>
      <c r="B2197" s="8"/>
      <c r="C2197" s="8"/>
      <c r="D2197" s="8"/>
      <c r="E2197" s="8"/>
      <c r="F2197" s="8"/>
      <c r="G2197" s="8"/>
      <c r="H2197" s="8"/>
      <c r="I2197" s="8"/>
      <c r="J2197" s="8"/>
      <c r="K2197" s="8"/>
    </row>
    <row r="2198">
      <c r="A2198" s="8" t="s">
        <v>2206</v>
      </c>
      <c r="B2198" s="8"/>
      <c r="C2198" s="8"/>
      <c r="D2198" s="8"/>
      <c r="E2198" s="8"/>
      <c r="F2198" s="8"/>
      <c r="G2198" s="8"/>
      <c r="H2198" s="8"/>
      <c r="I2198" s="8"/>
      <c r="J2198" s="8"/>
      <c r="K2198" s="8"/>
    </row>
    <row r="2199">
      <c r="A2199" s="8" t="s">
        <v>2207</v>
      </c>
      <c r="B2199" s="8"/>
      <c r="C2199" s="8"/>
      <c r="D2199" s="8"/>
      <c r="E2199" s="8"/>
      <c r="F2199" s="8"/>
      <c r="G2199" s="8"/>
      <c r="H2199" s="8"/>
      <c r="I2199" s="8"/>
      <c r="J2199" s="8"/>
      <c r="K2199" s="8"/>
    </row>
    <row r="2200">
      <c r="A2200" s="8" t="s">
        <v>2208</v>
      </c>
      <c r="B2200" s="8"/>
      <c r="C2200" s="8"/>
      <c r="D2200" s="8"/>
      <c r="E2200" s="8"/>
      <c r="F2200" s="8"/>
      <c r="G2200" s="8"/>
      <c r="H2200" s="8"/>
      <c r="I2200" s="8"/>
      <c r="J2200" s="8"/>
      <c r="K2200" s="8"/>
    </row>
    <row r="2201">
      <c r="A2201" s="8" t="s">
        <v>2209</v>
      </c>
      <c r="B2201" s="8"/>
      <c r="C2201" s="8"/>
      <c r="D2201" s="8"/>
      <c r="E2201" s="8"/>
      <c r="F2201" s="8"/>
      <c r="G2201" s="8"/>
      <c r="H2201" s="8"/>
      <c r="I2201" s="8"/>
      <c r="J2201" s="8"/>
      <c r="K2201" s="8"/>
    </row>
    <row r="2202">
      <c r="A2202" s="8" t="s">
        <v>2210</v>
      </c>
      <c r="B2202" s="8"/>
      <c r="C2202" s="8"/>
      <c r="D2202" s="8"/>
      <c r="E2202" s="8"/>
      <c r="F2202" s="8"/>
      <c r="G2202" s="8"/>
      <c r="H2202" s="8"/>
      <c r="I2202" s="8"/>
      <c r="J2202" s="8"/>
      <c r="K2202" s="8"/>
    </row>
    <row r="2203">
      <c r="A2203" s="8" t="s">
        <v>2211</v>
      </c>
      <c r="B2203" s="8"/>
      <c r="C2203" s="8"/>
      <c r="D2203" s="8"/>
      <c r="E2203" s="8"/>
      <c r="F2203" s="8"/>
      <c r="G2203" s="8"/>
      <c r="H2203" s="8"/>
      <c r="I2203" s="8"/>
      <c r="J2203" s="8"/>
      <c r="K2203" s="8"/>
    </row>
    <row r="2204">
      <c r="A2204" s="8" t="s">
        <v>2212</v>
      </c>
      <c r="B2204" s="8"/>
      <c r="C2204" s="8"/>
      <c r="D2204" s="8"/>
      <c r="E2204" s="8"/>
      <c r="F2204" s="8"/>
      <c r="G2204" s="8"/>
      <c r="H2204" s="8"/>
      <c r="I2204" s="8"/>
      <c r="J2204" s="8"/>
      <c r="K2204" s="8"/>
    </row>
    <row r="2205">
      <c r="A2205" s="8" t="s">
        <v>2213</v>
      </c>
      <c r="B2205" s="8"/>
      <c r="C2205" s="8"/>
      <c r="D2205" s="8"/>
      <c r="E2205" s="8"/>
      <c r="F2205" s="8"/>
      <c r="G2205" s="8"/>
      <c r="H2205" s="8"/>
      <c r="I2205" s="8"/>
      <c r="J2205" s="8"/>
      <c r="K2205" s="8"/>
    </row>
    <row r="2206">
      <c r="A2206" s="8" t="s">
        <v>2214</v>
      </c>
      <c r="B2206" s="8"/>
      <c r="C2206" s="8"/>
      <c r="D2206" s="8"/>
      <c r="E2206" s="8"/>
      <c r="F2206" s="8"/>
      <c r="G2206" s="8"/>
      <c r="H2206" s="8"/>
      <c r="I2206" s="8"/>
      <c r="J2206" s="8"/>
      <c r="K2206" s="8"/>
    </row>
    <row r="2207">
      <c r="A2207" s="8" t="s">
        <v>2215</v>
      </c>
      <c r="B2207" s="8"/>
      <c r="C2207" s="8"/>
      <c r="D2207" s="8"/>
      <c r="E2207" s="8"/>
      <c r="F2207" s="8"/>
      <c r="G2207" s="8"/>
      <c r="H2207" s="8"/>
      <c r="I2207" s="8"/>
      <c r="J2207" s="8"/>
      <c r="K2207" s="8"/>
    </row>
    <row r="2208">
      <c r="A2208" s="8" t="s">
        <v>2216</v>
      </c>
      <c r="B2208" s="8"/>
      <c r="C2208" s="8"/>
      <c r="D2208" s="8"/>
      <c r="E2208" s="8"/>
      <c r="F2208" s="8"/>
      <c r="G2208" s="8"/>
      <c r="H2208" s="8"/>
      <c r="I2208" s="8"/>
      <c r="J2208" s="8"/>
      <c r="K2208" s="8"/>
    </row>
    <row r="2209">
      <c r="A2209" s="8" t="s">
        <v>2217</v>
      </c>
      <c r="B2209" s="8"/>
      <c r="C2209" s="8"/>
      <c r="D2209" s="8"/>
      <c r="E2209" s="8"/>
      <c r="F2209" s="8"/>
      <c r="G2209" s="8"/>
      <c r="H2209" s="8"/>
      <c r="I2209" s="8"/>
      <c r="J2209" s="8"/>
      <c r="K2209" s="8"/>
    </row>
    <row r="2210">
      <c r="A2210" s="8" t="s">
        <v>2218</v>
      </c>
      <c r="B2210" s="8"/>
      <c r="C2210" s="8"/>
      <c r="D2210" s="8"/>
      <c r="E2210" s="8"/>
      <c r="F2210" s="8"/>
      <c r="G2210" s="8"/>
      <c r="H2210" s="8"/>
      <c r="I2210" s="8"/>
      <c r="J2210" s="8"/>
      <c r="K2210" s="8"/>
    </row>
    <row r="2211">
      <c r="A2211" s="8" t="s">
        <v>2219</v>
      </c>
      <c r="B2211" s="8"/>
      <c r="C2211" s="8"/>
      <c r="D2211" s="8"/>
      <c r="E2211" s="8"/>
      <c r="F2211" s="8"/>
      <c r="G2211" s="8"/>
      <c r="H2211" s="8"/>
      <c r="I2211" s="8"/>
      <c r="J2211" s="8"/>
      <c r="K2211" s="8"/>
    </row>
    <row r="2212">
      <c r="A2212" s="8" t="s">
        <v>2220</v>
      </c>
      <c r="B2212" s="8"/>
      <c r="C2212" s="8"/>
      <c r="D2212" s="8"/>
      <c r="E2212" s="8"/>
      <c r="F2212" s="8"/>
      <c r="G2212" s="8"/>
      <c r="H2212" s="8"/>
      <c r="I2212" s="8"/>
      <c r="J2212" s="8"/>
      <c r="K2212" s="8"/>
    </row>
    <row r="2213">
      <c r="A2213" s="8" t="s">
        <v>2221</v>
      </c>
      <c r="B2213" s="8"/>
      <c r="C2213" s="8"/>
      <c r="D2213" s="8"/>
      <c r="E2213" s="8"/>
      <c r="F2213" s="8"/>
      <c r="G2213" s="8"/>
      <c r="H2213" s="8"/>
      <c r="I2213" s="8"/>
      <c r="J2213" s="8"/>
      <c r="K2213" s="8"/>
    </row>
    <row r="2214">
      <c r="A2214" s="8" t="s">
        <v>2222</v>
      </c>
      <c r="B2214" s="8"/>
      <c r="C2214" s="8"/>
      <c r="D2214" s="8"/>
      <c r="E2214" s="8"/>
      <c r="F2214" s="8"/>
      <c r="G2214" s="8"/>
      <c r="H2214" s="8"/>
      <c r="I2214" s="8"/>
      <c r="J2214" s="8"/>
      <c r="K2214" s="8"/>
    </row>
    <row r="2215">
      <c r="A2215" s="8" t="s">
        <v>2223</v>
      </c>
      <c r="B2215" s="8"/>
      <c r="C2215" s="8"/>
      <c r="D2215" s="8"/>
      <c r="E2215" s="8"/>
      <c r="F2215" s="8"/>
      <c r="G2215" s="8"/>
      <c r="H2215" s="8"/>
      <c r="I2215" s="8"/>
      <c r="J2215" s="8"/>
      <c r="K2215" s="8"/>
    </row>
    <row r="2216">
      <c r="A2216" s="8" t="s">
        <v>2224</v>
      </c>
      <c r="B2216" s="8"/>
      <c r="C2216" s="8"/>
      <c r="D2216" s="8"/>
      <c r="E2216" s="8"/>
      <c r="F2216" s="8"/>
      <c r="G2216" s="8"/>
      <c r="H2216" s="8"/>
      <c r="I2216" s="8"/>
      <c r="J2216" s="8"/>
      <c r="K2216" s="8"/>
    </row>
    <row r="2217">
      <c r="A2217" s="8" t="s">
        <v>2225</v>
      </c>
      <c r="B2217" s="8"/>
      <c r="C2217" s="8"/>
      <c r="D2217" s="8"/>
      <c r="E2217" s="8"/>
      <c r="F2217" s="8"/>
      <c r="G2217" s="8"/>
      <c r="H2217" s="8"/>
      <c r="I2217" s="8"/>
      <c r="J2217" s="8"/>
      <c r="K2217" s="8"/>
    </row>
    <row r="2218">
      <c r="A2218" s="8" t="s">
        <v>2226</v>
      </c>
      <c r="B2218" s="8"/>
      <c r="C2218" s="8"/>
      <c r="D2218" s="8"/>
      <c r="E2218" s="8"/>
      <c r="F2218" s="8"/>
      <c r="G2218" s="8"/>
      <c r="H2218" s="8"/>
      <c r="I2218" s="8"/>
      <c r="J2218" s="8"/>
      <c r="K2218" s="8"/>
    </row>
    <row r="2219">
      <c r="A2219" s="8" t="s">
        <v>2227</v>
      </c>
      <c r="B2219" s="8"/>
      <c r="C2219" s="8"/>
      <c r="D2219" s="8"/>
      <c r="E2219" s="8"/>
      <c r="F2219" s="8"/>
      <c r="G2219" s="8"/>
      <c r="H2219" s="8"/>
      <c r="I2219" s="8"/>
      <c r="J2219" s="8"/>
      <c r="K2219" s="8"/>
    </row>
    <row r="2220">
      <c r="A2220" s="8" t="s">
        <v>2228</v>
      </c>
      <c r="B2220" s="8"/>
      <c r="C2220" s="8"/>
      <c r="D2220" s="8"/>
      <c r="E2220" s="8"/>
      <c r="F2220" s="8"/>
      <c r="G2220" s="8"/>
      <c r="H2220" s="8"/>
      <c r="I2220" s="8"/>
      <c r="J2220" s="8"/>
      <c r="K2220" s="8"/>
    </row>
    <row r="2221">
      <c r="A2221" s="8" t="s">
        <v>2229</v>
      </c>
      <c r="B2221" s="8"/>
      <c r="C2221" s="8"/>
      <c r="D2221" s="8"/>
      <c r="E2221" s="8"/>
      <c r="F2221" s="8"/>
      <c r="G2221" s="8"/>
      <c r="H2221" s="8"/>
      <c r="I2221" s="8"/>
      <c r="J2221" s="8"/>
      <c r="K2221" s="8"/>
    </row>
    <row r="2222">
      <c r="A2222" s="8" t="s">
        <v>2230</v>
      </c>
      <c r="B2222" s="8"/>
      <c r="C2222" s="8"/>
      <c r="D2222" s="8"/>
      <c r="E2222" s="8"/>
      <c r="F2222" s="8"/>
      <c r="G2222" s="8"/>
      <c r="H2222" s="8"/>
      <c r="I2222" s="8"/>
      <c r="J2222" s="8"/>
      <c r="K2222" s="8"/>
    </row>
    <row r="2223">
      <c r="A2223" s="8" t="s">
        <v>2231</v>
      </c>
      <c r="B2223" s="8"/>
      <c r="C2223" s="8"/>
      <c r="D2223" s="8"/>
      <c r="E2223" s="8"/>
      <c r="F2223" s="8"/>
      <c r="G2223" s="8"/>
      <c r="H2223" s="8"/>
      <c r="I2223" s="8"/>
      <c r="J2223" s="8"/>
      <c r="K2223" s="8"/>
    </row>
    <row r="2224">
      <c r="A2224" s="8" t="s">
        <v>2232</v>
      </c>
      <c r="B2224" s="8"/>
      <c r="C2224" s="8"/>
      <c r="D2224" s="8"/>
      <c r="E2224" s="8"/>
      <c r="F2224" s="8"/>
      <c r="G2224" s="8"/>
      <c r="H2224" s="8"/>
      <c r="I2224" s="8"/>
      <c r="J2224" s="8"/>
      <c r="K2224" s="8"/>
    </row>
    <row r="2225">
      <c r="A2225" s="8" t="s">
        <v>2233</v>
      </c>
      <c r="B2225" s="8"/>
      <c r="C2225" s="8"/>
      <c r="D2225" s="8"/>
      <c r="E2225" s="8"/>
      <c r="F2225" s="8"/>
      <c r="G2225" s="8"/>
      <c r="H2225" s="8"/>
      <c r="I2225" s="8"/>
      <c r="J2225" s="8"/>
      <c r="K2225" s="8"/>
    </row>
    <row r="2226">
      <c r="A2226" s="8" t="s">
        <v>2234</v>
      </c>
      <c r="B2226" s="8"/>
      <c r="C2226" s="8"/>
      <c r="D2226" s="8"/>
      <c r="E2226" s="8"/>
      <c r="F2226" s="8"/>
      <c r="G2226" s="8"/>
      <c r="H2226" s="8"/>
      <c r="I2226" s="8"/>
      <c r="J2226" s="8"/>
      <c r="K2226" s="8"/>
    </row>
    <row r="2227">
      <c r="A2227" s="8" t="s">
        <v>2235</v>
      </c>
      <c r="B2227" s="8"/>
      <c r="C2227" s="8"/>
      <c r="D2227" s="8"/>
      <c r="E2227" s="8"/>
      <c r="F2227" s="8"/>
      <c r="G2227" s="8"/>
      <c r="H2227" s="8"/>
      <c r="I2227" s="8"/>
      <c r="J2227" s="8"/>
      <c r="K2227" s="8"/>
    </row>
    <row r="2228">
      <c r="A2228" s="8" t="s">
        <v>2236</v>
      </c>
      <c r="B2228" s="8"/>
      <c r="C2228" s="8"/>
      <c r="D2228" s="8"/>
      <c r="E2228" s="8"/>
      <c r="F2228" s="8"/>
      <c r="G2228" s="8"/>
      <c r="H2228" s="8"/>
      <c r="I2228" s="8"/>
      <c r="J2228" s="8"/>
      <c r="K2228" s="8"/>
    </row>
    <row r="2229">
      <c r="A2229" s="8" t="s">
        <v>2237</v>
      </c>
      <c r="B2229" s="8"/>
      <c r="C2229" s="8"/>
      <c r="D2229" s="8"/>
      <c r="E2229" s="8"/>
      <c r="F2229" s="8"/>
      <c r="G2229" s="8"/>
      <c r="H2229" s="8"/>
      <c r="I2229" s="8"/>
      <c r="J2229" s="8"/>
      <c r="K2229" s="8"/>
    </row>
    <row r="2230">
      <c r="A2230" s="8" t="s">
        <v>2238</v>
      </c>
      <c r="B2230" s="8"/>
      <c r="C2230" s="8"/>
      <c r="D2230" s="8"/>
      <c r="E2230" s="8"/>
      <c r="F2230" s="8"/>
      <c r="G2230" s="8"/>
      <c r="H2230" s="8"/>
      <c r="I2230" s="8"/>
      <c r="J2230" s="8"/>
      <c r="K2230" s="8"/>
    </row>
    <row r="2231">
      <c r="A2231" s="8" t="s">
        <v>2239</v>
      </c>
      <c r="B2231" s="8"/>
      <c r="C2231" s="8"/>
      <c r="D2231" s="8"/>
      <c r="E2231" s="8"/>
      <c r="F2231" s="8"/>
      <c r="G2231" s="8"/>
      <c r="H2231" s="8"/>
      <c r="I2231" s="8"/>
      <c r="J2231" s="8"/>
      <c r="K2231" s="8"/>
    </row>
    <row r="2232">
      <c r="A2232" s="8" t="s">
        <v>2240</v>
      </c>
      <c r="B2232" s="8"/>
      <c r="C2232" s="8"/>
      <c r="D2232" s="8"/>
      <c r="E2232" s="8"/>
      <c r="F2232" s="8"/>
      <c r="G2232" s="8"/>
      <c r="H2232" s="8"/>
      <c r="I2232" s="8"/>
      <c r="J2232" s="8"/>
      <c r="K2232" s="8"/>
    </row>
    <row r="2233">
      <c r="A2233" s="8" t="s">
        <v>2241</v>
      </c>
      <c r="B2233" s="8"/>
      <c r="C2233" s="8"/>
      <c r="D2233" s="8"/>
      <c r="E2233" s="8"/>
      <c r="F2233" s="8"/>
      <c r="G2233" s="8"/>
      <c r="H2233" s="8"/>
      <c r="I2233" s="8"/>
      <c r="J2233" s="8"/>
      <c r="K2233" s="8"/>
    </row>
    <row r="2234">
      <c r="A2234" s="8" t="s">
        <v>2242</v>
      </c>
      <c r="B2234" s="8"/>
      <c r="C2234" s="8"/>
      <c r="D2234" s="8"/>
      <c r="E2234" s="8"/>
      <c r="F2234" s="8"/>
      <c r="G2234" s="8"/>
      <c r="H2234" s="8"/>
      <c r="I2234" s="8"/>
      <c r="J2234" s="8"/>
      <c r="K2234" s="8"/>
    </row>
    <row r="2235">
      <c r="A2235" s="8" t="s">
        <v>2243</v>
      </c>
      <c r="B2235" s="8"/>
      <c r="C2235" s="8"/>
      <c r="D2235" s="8"/>
      <c r="E2235" s="8"/>
      <c r="F2235" s="8"/>
      <c r="G2235" s="8"/>
      <c r="H2235" s="8"/>
      <c r="I2235" s="8"/>
      <c r="J2235" s="8"/>
      <c r="K2235" s="8"/>
    </row>
    <row r="2236">
      <c r="A2236" s="8" t="s">
        <v>2244</v>
      </c>
      <c r="B2236" s="8"/>
      <c r="C2236" s="8"/>
      <c r="D2236" s="8"/>
      <c r="E2236" s="8"/>
      <c r="F2236" s="8"/>
      <c r="G2236" s="8"/>
      <c r="H2236" s="8"/>
      <c r="I2236" s="8"/>
      <c r="J2236" s="8"/>
      <c r="K2236" s="8"/>
    </row>
    <row r="2237">
      <c r="A2237" s="8" t="s">
        <v>2245</v>
      </c>
      <c r="B2237" s="8"/>
      <c r="C2237" s="8"/>
      <c r="D2237" s="8"/>
      <c r="E2237" s="8"/>
      <c r="F2237" s="8"/>
      <c r="G2237" s="8"/>
      <c r="H2237" s="8"/>
      <c r="I2237" s="8"/>
      <c r="J2237" s="8"/>
      <c r="K2237" s="8"/>
    </row>
    <row r="2238">
      <c r="A2238" s="8" t="s">
        <v>2246</v>
      </c>
      <c r="B2238" s="8"/>
      <c r="C2238" s="8"/>
      <c r="D2238" s="8"/>
      <c r="E2238" s="8"/>
      <c r="F2238" s="8"/>
      <c r="G2238" s="8"/>
      <c r="H2238" s="8"/>
      <c r="I2238" s="8"/>
      <c r="J2238" s="8"/>
      <c r="K2238" s="8"/>
    </row>
    <row r="2239">
      <c r="A2239" s="8" t="s">
        <v>2247</v>
      </c>
      <c r="B2239" s="8"/>
      <c r="C2239" s="8"/>
      <c r="D2239" s="8"/>
      <c r="E2239" s="8"/>
      <c r="F2239" s="8"/>
      <c r="G2239" s="8"/>
      <c r="H2239" s="8"/>
      <c r="I2239" s="8"/>
      <c r="J2239" s="8"/>
      <c r="K2239" s="8"/>
    </row>
    <row r="2240">
      <c r="A2240" s="8" t="s">
        <v>2248</v>
      </c>
      <c r="B2240" s="8"/>
      <c r="C2240" s="8"/>
      <c r="D2240" s="8"/>
      <c r="E2240" s="8"/>
      <c r="F2240" s="8"/>
      <c r="G2240" s="8"/>
      <c r="H2240" s="8"/>
      <c r="I2240" s="8"/>
      <c r="J2240" s="8"/>
      <c r="K2240" s="8"/>
    </row>
    <row r="2241">
      <c r="A2241" s="8" t="s">
        <v>2249</v>
      </c>
      <c r="B2241" s="8"/>
      <c r="C2241" s="8"/>
      <c r="D2241" s="8"/>
      <c r="E2241" s="8"/>
      <c r="F2241" s="8"/>
      <c r="G2241" s="8"/>
      <c r="H2241" s="8"/>
      <c r="I2241" s="8"/>
      <c r="J2241" s="8"/>
      <c r="K2241" s="8"/>
    </row>
    <row r="2242">
      <c r="A2242" s="8" t="s">
        <v>2250</v>
      </c>
      <c r="B2242" s="8"/>
      <c r="C2242" s="8"/>
      <c r="D2242" s="8"/>
      <c r="E2242" s="8"/>
      <c r="F2242" s="8"/>
      <c r="G2242" s="8"/>
      <c r="H2242" s="8"/>
      <c r="I2242" s="8"/>
      <c r="J2242" s="8"/>
      <c r="K2242" s="8"/>
    </row>
    <row r="2243">
      <c r="A2243" s="8" t="s">
        <v>2251</v>
      </c>
      <c r="B2243" s="8"/>
      <c r="C2243" s="8"/>
      <c r="D2243" s="8"/>
      <c r="E2243" s="8"/>
      <c r="F2243" s="8"/>
      <c r="G2243" s="8"/>
      <c r="H2243" s="8"/>
      <c r="I2243" s="8"/>
      <c r="J2243" s="8"/>
      <c r="K2243" s="8"/>
    </row>
    <row r="2244">
      <c r="A2244" s="8" t="s">
        <v>2252</v>
      </c>
      <c r="B2244" s="8"/>
      <c r="C2244" s="8"/>
      <c r="D2244" s="8"/>
      <c r="E2244" s="8"/>
      <c r="F2244" s="8"/>
      <c r="G2244" s="8"/>
      <c r="H2244" s="8"/>
      <c r="I2244" s="8"/>
      <c r="J2244" s="8"/>
      <c r="K2244" s="8"/>
    </row>
    <row r="2245">
      <c r="A2245" s="8" t="s">
        <v>2253</v>
      </c>
      <c r="B2245" s="8"/>
      <c r="C2245" s="8"/>
      <c r="D2245" s="8"/>
      <c r="E2245" s="8"/>
      <c r="F2245" s="8"/>
      <c r="G2245" s="8"/>
      <c r="H2245" s="8"/>
      <c r="I2245" s="8"/>
      <c r="J2245" s="8"/>
      <c r="K2245" s="8"/>
    </row>
    <row r="2246">
      <c r="A2246" s="8" t="s">
        <v>2254</v>
      </c>
      <c r="B2246" s="8"/>
      <c r="C2246" s="8"/>
      <c r="D2246" s="8"/>
      <c r="E2246" s="8"/>
      <c r="F2246" s="8"/>
      <c r="G2246" s="8"/>
      <c r="H2246" s="8"/>
      <c r="I2246" s="8"/>
      <c r="J2246" s="8"/>
      <c r="K2246" s="8"/>
    </row>
    <row r="2247">
      <c r="A2247" s="8" t="s">
        <v>2255</v>
      </c>
      <c r="B2247" s="8"/>
      <c r="C2247" s="8"/>
      <c r="D2247" s="8"/>
      <c r="E2247" s="8"/>
      <c r="F2247" s="8"/>
      <c r="G2247" s="8"/>
      <c r="H2247" s="8"/>
      <c r="I2247" s="8"/>
      <c r="J2247" s="8"/>
      <c r="K2247" s="8"/>
    </row>
    <row r="2248">
      <c r="A2248" s="8" t="s">
        <v>2256</v>
      </c>
      <c r="B2248" s="8"/>
      <c r="C2248" s="8"/>
      <c r="D2248" s="8"/>
      <c r="E2248" s="8"/>
      <c r="F2248" s="8"/>
      <c r="G2248" s="8"/>
      <c r="H2248" s="8"/>
      <c r="I2248" s="8"/>
      <c r="J2248" s="8"/>
      <c r="K2248" s="8"/>
    </row>
    <row r="2249">
      <c r="A2249" s="8" t="s">
        <v>2257</v>
      </c>
      <c r="B2249" s="8"/>
      <c r="C2249" s="8"/>
      <c r="D2249" s="8"/>
      <c r="E2249" s="8"/>
      <c r="F2249" s="8"/>
      <c r="G2249" s="8"/>
      <c r="H2249" s="8"/>
      <c r="I2249" s="8"/>
      <c r="J2249" s="8"/>
      <c r="K2249" s="8"/>
    </row>
    <row r="2250">
      <c r="A2250" s="8" t="s">
        <v>2258</v>
      </c>
      <c r="B2250" s="8"/>
      <c r="C2250" s="8"/>
      <c r="D2250" s="8"/>
      <c r="E2250" s="8"/>
      <c r="F2250" s="8"/>
      <c r="G2250" s="8"/>
      <c r="H2250" s="8"/>
      <c r="I2250" s="8"/>
      <c r="J2250" s="8"/>
      <c r="K2250" s="8"/>
    </row>
    <row r="2251">
      <c r="A2251" s="8" t="s">
        <v>2259</v>
      </c>
      <c r="B2251" s="8"/>
      <c r="C2251" s="8"/>
      <c r="D2251" s="8"/>
      <c r="E2251" s="8"/>
      <c r="F2251" s="8"/>
      <c r="G2251" s="8"/>
      <c r="H2251" s="8"/>
      <c r="I2251" s="8"/>
      <c r="J2251" s="8"/>
      <c r="K2251" s="8"/>
    </row>
    <row r="2252">
      <c r="A2252" s="8" t="s">
        <v>2260</v>
      </c>
      <c r="B2252" s="8"/>
      <c r="C2252" s="8"/>
      <c r="D2252" s="8"/>
      <c r="E2252" s="8"/>
      <c r="F2252" s="8"/>
      <c r="G2252" s="8"/>
      <c r="H2252" s="8"/>
      <c r="I2252" s="8"/>
      <c r="J2252" s="8"/>
      <c r="K2252" s="8"/>
    </row>
    <row r="2253">
      <c r="A2253" s="8" t="s">
        <v>2261</v>
      </c>
      <c r="B2253" s="8"/>
      <c r="C2253" s="8"/>
      <c r="D2253" s="8"/>
      <c r="E2253" s="8"/>
      <c r="F2253" s="8"/>
      <c r="G2253" s="8"/>
      <c r="H2253" s="8"/>
      <c r="I2253" s="8"/>
      <c r="J2253" s="8"/>
      <c r="K2253" s="8"/>
    </row>
    <row r="2254">
      <c r="A2254" s="8" t="s">
        <v>2262</v>
      </c>
      <c r="B2254" s="8"/>
      <c r="C2254" s="8"/>
      <c r="D2254" s="8"/>
      <c r="E2254" s="8"/>
      <c r="F2254" s="8"/>
      <c r="G2254" s="8"/>
      <c r="H2254" s="8"/>
      <c r="I2254" s="8"/>
      <c r="J2254" s="8"/>
      <c r="K2254" s="8"/>
    </row>
    <row r="2255">
      <c r="A2255" s="8" t="s">
        <v>2263</v>
      </c>
      <c r="B2255" s="8"/>
      <c r="C2255" s="8"/>
      <c r="D2255" s="8"/>
      <c r="E2255" s="8"/>
      <c r="F2255" s="8"/>
      <c r="G2255" s="8"/>
      <c r="H2255" s="8"/>
      <c r="I2255" s="8"/>
      <c r="J2255" s="8"/>
      <c r="K2255" s="8"/>
    </row>
    <row r="2256">
      <c r="A2256" s="8" t="s">
        <v>2264</v>
      </c>
      <c r="B2256" s="8"/>
      <c r="C2256" s="8"/>
      <c r="D2256" s="8"/>
      <c r="E2256" s="8"/>
      <c r="F2256" s="8"/>
      <c r="G2256" s="8"/>
      <c r="H2256" s="8"/>
      <c r="I2256" s="8"/>
      <c r="J2256" s="8"/>
      <c r="K2256" s="8"/>
    </row>
    <row r="2257">
      <c r="A2257" s="8" t="s">
        <v>2265</v>
      </c>
      <c r="B2257" s="8"/>
      <c r="C2257" s="8"/>
      <c r="D2257" s="8"/>
      <c r="E2257" s="8"/>
      <c r="F2257" s="8"/>
      <c r="G2257" s="8"/>
      <c r="H2257" s="8"/>
      <c r="I2257" s="8"/>
      <c r="J2257" s="8"/>
      <c r="K2257" s="8"/>
    </row>
    <row r="2258">
      <c r="A2258" s="8" t="s">
        <v>2266</v>
      </c>
      <c r="B2258" s="8"/>
      <c r="C2258" s="8"/>
      <c r="D2258" s="8"/>
      <c r="E2258" s="8"/>
      <c r="F2258" s="8"/>
      <c r="G2258" s="8"/>
      <c r="H2258" s="8"/>
      <c r="I2258" s="8"/>
      <c r="J2258" s="8"/>
      <c r="K2258" s="8"/>
    </row>
    <row r="2259">
      <c r="A2259" s="8" t="s">
        <v>2267</v>
      </c>
      <c r="B2259" s="8"/>
      <c r="C2259" s="8"/>
      <c r="D2259" s="8"/>
      <c r="E2259" s="8"/>
      <c r="F2259" s="8"/>
      <c r="G2259" s="8"/>
      <c r="H2259" s="8"/>
      <c r="I2259" s="8"/>
      <c r="J2259" s="8"/>
      <c r="K2259" s="8"/>
    </row>
    <row r="2260">
      <c r="A2260" s="8" t="s">
        <v>2268</v>
      </c>
      <c r="B2260" s="8"/>
      <c r="C2260" s="8"/>
      <c r="D2260" s="8"/>
      <c r="E2260" s="8"/>
      <c r="F2260" s="8"/>
      <c r="G2260" s="8"/>
      <c r="H2260" s="8"/>
      <c r="I2260" s="8"/>
      <c r="J2260" s="8"/>
      <c r="K2260" s="8"/>
    </row>
    <row r="2261">
      <c r="A2261" s="8" t="s">
        <v>2269</v>
      </c>
      <c r="B2261" s="8"/>
      <c r="C2261" s="8"/>
      <c r="D2261" s="8"/>
      <c r="E2261" s="8"/>
      <c r="F2261" s="8"/>
      <c r="G2261" s="8"/>
      <c r="H2261" s="8"/>
      <c r="I2261" s="8"/>
      <c r="J2261" s="8"/>
      <c r="K2261" s="8"/>
    </row>
    <row r="2262">
      <c r="A2262" s="8" t="s">
        <v>2270</v>
      </c>
      <c r="B2262" s="8"/>
      <c r="C2262" s="8"/>
      <c r="D2262" s="8"/>
      <c r="E2262" s="8"/>
      <c r="F2262" s="8"/>
      <c r="G2262" s="8"/>
      <c r="H2262" s="8"/>
      <c r="I2262" s="8"/>
      <c r="J2262" s="8"/>
      <c r="K2262" s="8"/>
    </row>
    <row r="2263">
      <c r="A2263" s="8" t="s">
        <v>2271</v>
      </c>
      <c r="B2263" s="8"/>
      <c r="C2263" s="8"/>
      <c r="D2263" s="8"/>
      <c r="E2263" s="8"/>
      <c r="F2263" s="8"/>
      <c r="G2263" s="8"/>
      <c r="H2263" s="8"/>
      <c r="I2263" s="8"/>
      <c r="J2263" s="8"/>
      <c r="K2263" s="8"/>
    </row>
    <row r="2264">
      <c r="A2264" s="8" t="s">
        <v>2272</v>
      </c>
      <c r="B2264" s="8"/>
      <c r="C2264" s="8"/>
      <c r="D2264" s="8"/>
      <c r="E2264" s="8"/>
      <c r="F2264" s="8"/>
      <c r="G2264" s="8"/>
      <c r="H2264" s="8"/>
      <c r="I2264" s="8"/>
      <c r="J2264" s="8"/>
      <c r="K2264" s="8"/>
    </row>
    <row r="2265">
      <c r="A2265" s="8" t="s">
        <v>2273</v>
      </c>
      <c r="B2265" s="8"/>
      <c r="C2265" s="8"/>
      <c r="D2265" s="8"/>
      <c r="E2265" s="8"/>
      <c r="F2265" s="8"/>
      <c r="G2265" s="8"/>
      <c r="H2265" s="8"/>
      <c r="I2265" s="8"/>
      <c r="J2265" s="8"/>
      <c r="K2265" s="8"/>
    </row>
    <row r="2266">
      <c r="A2266" s="8" t="s">
        <v>2274</v>
      </c>
      <c r="B2266" s="8"/>
      <c r="C2266" s="8"/>
      <c r="D2266" s="8"/>
      <c r="E2266" s="8"/>
      <c r="F2266" s="8"/>
      <c r="G2266" s="8"/>
      <c r="H2266" s="8"/>
      <c r="I2266" s="8"/>
      <c r="J2266" s="8"/>
      <c r="K2266" s="8"/>
    </row>
    <row r="2267">
      <c r="A2267" s="8" t="s">
        <v>2275</v>
      </c>
      <c r="B2267" s="8"/>
      <c r="C2267" s="8"/>
      <c r="D2267" s="8"/>
      <c r="E2267" s="8"/>
      <c r="F2267" s="8"/>
      <c r="G2267" s="8"/>
      <c r="H2267" s="8"/>
      <c r="I2267" s="8"/>
      <c r="J2267" s="8"/>
      <c r="K2267" s="8"/>
    </row>
    <row r="2268">
      <c r="A2268" s="8" t="s">
        <v>2276</v>
      </c>
      <c r="B2268" s="8"/>
      <c r="C2268" s="8"/>
      <c r="D2268" s="8"/>
      <c r="E2268" s="8"/>
      <c r="F2268" s="8"/>
      <c r="G2268" s="8"/>
      <c r="H2268" s="8"/>
      <c r="I2268" s="8"/>
      <c r="J2268" s="8"/>
      <c r="K2268" s="8"/>
    </row>
    <row r="2269">
      <c r="A2269" s="8" t="s">
        <v>2277</v>
      </c>
      <c r="B2269" s="8"/>
      <c r="C2269" s="8"/>
      <c r="D2269" s="8"/>
      <c r="E2269" s="8"/>
      <c r="F2269" s="8"/>
      <c r="G2269" s="8"/>
      <c r="H2269" s="8"/>
      <c r="I2269" s="8"/>
      <c r="J2269" s="8"/>
      <c r="K2269" s="8"/>
    </row>
    <row r="2270">
      <c r="A2270" s="8" t="s">
        <v>2278</v>
      </c>
      <c r="B2270" s="8"/>
      <c r="C2270" s="8"/>
      <c r="D2270" s="8"/>
      <c r="E2270" s="8"/>
      <c r="F2270" s="8"/>
      <c r="G2270" s="8"/>
      <c r="H2270" s="8"/>
      <c r="I2270" s="8"/>
      <c r="J2270" s="8"/>
      <c r="K2270" s="8"/>
    </row>
    <row r="2271">
      <c r="A2271" s="8" t="s">
        <v>2279</v>
      </c>
      <c r="B2271" s="8"/>
      <c r="C2271" s="8"/>
      <c r="D2271" s="8"/>
      <c r="E2271" s="8"/>
      <c r="F2271" s="8"/>
      <c r="G2271" s="8"/>
      <c r="H2271" s="8"/>
      <c r="I2271" s="8"/>
      <c r="J2271" s="8"/>
      <c r="K2271" s="8"/>
    </row>
    <row r="2272">
      <c r="A2272" s="8" t="s">
        <v>2280</v>
      </c>
      <c r="B2272" s="8"/>
      <c r="C2272" s="8"/>
      <c r="D2272" s="8"/>
      <c r="E2272" s="8"/>
      <c r="F2272" s="8"/>
      <c r="G2272" s="8"/>
      <c r="H2272" s="8"/>
      <c r="I2272" s="8"/>
      <c r="J2272" s="8"/>
      <c r="K2272" s="8"/>
    </row>
    <row r="2273">
      <c r="A2273" s="8" t="s">
        <v>2281</v>
      </c>
      <c r="B2273" s="8"/>
      <c r="C2273" s="8"/>
      <c r="D2273" s="8"/>
      <c r="E2273" s="8"/>
      <c r="F2273" s="8"/>
      <c r="G2273" s="8"/>
      <c r="H2273" s="8"/>
      <c r="I2273" s="8"/>
      <c r="J2273" s="8"/>
      <c r="K2273" s="8"/>
    </row>
    <row r="2274">
      <c r="A2274" s="8" t="s">
        <v>2282</v>
      </c>
      <c r="B2274" s="8"/>
      <c r="C2274" s="8"/>
      <c r="D2274" s="8"/>
      <c r="E2274" s="8"/>
      <c r="F2274" s="8"/>
      <c r="G2274" s="8"/>
      <c r="H2274" s="8"/>
      <c r="I2274" s="8"/>
      <c r="J2274" s="8"/>
      <c r="K2274" s="8"/>
    </row>
    <row r="2275">
      <c r="A2275" s="8" t="s">
        <v>2283</v>
      </c>
      <c r="B2275" s="8"/>
      <c r="C2275" s="8"/>
      <c r="D2275" s="8"/>
      <c r="E2275" s="8"/>
      <c r="F2275" s="8"/>
      <c r="G2275" s="8"/>
      <c r="H2275" s="8"/>
      <c r="I2275" s="8"/>
      <c r="J2275" s="8"/>
      <c r="K2275" s="8"/>
    </row>
    <row r="2276">
      <c r="A2276" s="8" t="s">
        <v>2284</v>
      </c>
      <c r="B2276" s="8"/>
      <c r="C2276" s="8"/>
      <c r="D2276" s="8"/>
      <c r="E2276" s="8"/>
      <c r="F2276" s="8"/>
      <c r="G2276" s="8"/>
      <c r="H2276" s="8"/>
      <c r="I2276" s="8"/>
      <c r="J2276" s="8"/>
      <c r="K2276" s="8"/>
    </row>
    <row r="2277">
      <c r="A2277" s="8" t="s">
        <v>2285</v>
      </c>
      <c r="B2277" s="8"/>
      <c r="C2277" s="8"/>
      <c r="D2277" s="8"/>
      <c r="E2277" s="8"/>
      <c r="F2277" s="8"/>
      <c r="G2277" s="8"/>
      <c r="H2277" s="8"/>
      <c r="I2277" s="8"/>
      <c r="J2277" s="8"/>
      <c r="K2277" s="8"/>
    </row>
    <row r="2278">
      <c r="A2278" s="8" t="s">
        <v>2286</v>
      </c>
      <c r="B2278" s="8"/>
      <c r="C2278" s="8"/>
      <c r="D2278" s="8"/>
      <c r="E2278" s="8"/>
      <c r="F2278" s="8"/>
      <c r="G2278" s="8"/>
      <c r="H2278" s="8"/>
      <c r="I2278" s="8"/>
      <c r="J2278" s="8"/>
      <c r="K2278" s="8"/>
    </row>
    <row r="2279">
      <c r="A2279" s="8" t="s">
        <v>2287</v>
      </c>
      <c r="B2279" s="8"/>
      <c r="C2279" s="8"/>
      <c r="D2279" s="8"/>
      <c r="E2279" s="8"/>
      <c r="F2279" s="8"/>
      <c r="G2279" s="8"/>
      <c r="H2279" s="8"/>
      <c r="I2279" s="8"/>
      <c r="J2279" s="8"/>
      <c r="K2279" s="8"/>
    </row>
    <row r="2280">
      <c r="A2280" s="8" t="s">
        <v>2288</v>
      </c>
      <c r="B2280" s="8"/>
      <c r="C2280" s="8"/>
      <c r="D2280" s="8"/>
      <c r="E2280" s="8"/>
      <c r="F2280" s="8"/>
      <c r="G2280" s="8"/>
      <c r="H2280" s="8"/>
      <c r="I2280" s="8"/>
      <c r="J2280" s="8"/>
      <c r="K2280" s="8"/>
    </row>
    <row r="2281">
      <c r="A2281" s="8" t="s">
        <v>2289</v>
      </c>
      <c r="B2281" s="8"/>
      <c r="C2281" s="8"/>
      <c r="D2281" s="8"/>
      <c r="E2281" s="8"/>
      <c r="F2281" s="8"/>
      <c r="G2281" s="8"/>
      <c r="H2281" s="8"/>
      <c r="I2281" s="8"/>
      <c r="J2281" s="8"/>
      <c r="K2281" s="8"/>
    </row>
    <row r="2282">
      <c r="A2282" s="8" t="s">
        <v>2290</v>
      </c>
      <c r="B2282" s="8"/>
      <c r="C2282" s="8"/>
      <c r="D2282" s="8"/>
      <c r="E2282" s="8"/>
      <c r="F2282" s="8"/>
      <c r="G2282" s="8"/>
      <c r="H2282" s="8"/>
      <c r="I2282" s="8"/>
      <c r="J2282" s="8"/>
      <c r="K2282" s="8"/>
    </row>
    <row r="2283">
      <c r="A2283" s="8" t="s">
        <v>2291</v>
      </c>
      <c r="B2283" s="8"/>
      <c r="C2283" s="8"/>
      <c r="D2283" s="8"/>
      <c r="E2283" s="8"/>
      <c r="F2283" s="8"/>
      <c r="G2283" s="8"/>
      <c r="H2283" s="8"/>
      <c r="I2283" s="8"/>
      <c r="J2283" s="8"/>
      <c r="K2283" s="8"/>
    </row>
    <row r="2284">
      <c r="A2284" s="8" t="s">
        <v>2292</v>
      </c>
      <c r="B2284" s="8"/>
      <c r="C2284" s="8"/>
      <c r="D2284" s="8"/>
      <c r="E2284" s="8"/>
      <c r="F2284" s="8"/>
      <c r="G2284" s="8"/>
      <c r="H2284" s="8"/>
      <c r="I2284" s="8"/>
      <c r="J2284" s="8"/>
      <c r="K2284" s="8"/>
    </row>
    <row r="2285">
      <c r="A2285" s="8" t="s">
        <v>2293</v>
      </c>
      <c r="B2285" s="8"/>
      <c r="C2285" s="8"/>
      <c r="D2285" s="8"/>
      <c r="E2285" s="8"/>
      <c r="F2285" s="8"/>
      <c r="G2285" s="8"/>
      <c r="H2285" s="8"/>
      <c r="I2285" s="8"/>
      <c r="J2285" s="8"/>
      <c r="K2285" s="8"/>
    </row>
    <row r="2286">
      <c r="A2286" s="8" t="s">
        <v>2294</v>
      </c>
      <c r="B2286" s="8"/>
      <c r="C2286" s="8"/>
      <c r="D2286" s="8"/>
      <c r="E2286" s="8"/>
      <c r="F2286" s="8"/>
      <c r="G2286" s="8"/>
      <c r="H2286" s="8"/>
      <c r="I2286" s="8"/>
      <c r="J2286" s="8"/>
      <c r="K2286" s="8"/>
    </row>
    <row r="2287">
      <c r="A2287" s="8" t="s">
        <v>2295</v>
      </c>
      <c r="B2287" s="8"/>
      <c r="C2287" s="8"/>
      <c r="D2287" s="8"/>
      <c r="E2287" s="8"/>
      <c r="F2287" s="8"/>
      <c r="G2287" s="8"/>
      <c r="H2287" s="8"/>
      <c r="I2287" s="8"/>
      <c r="J2287" s="8"/>
      <c r="K2287" s="8"/>
    </row>
    <row r="2288">
      <c r="A2288" s="8" t="s">
        <v>2296</v>
      </c>
      <c r="B2288" s="8"/>
      <c r="C2288" s="8"/>
      <c r="D2288" s="8"/>
      <c r="E2288" s="8"/>
      <c r="F2288" s="8"/>
      <c r="G2288" s="8"/>
      <c r="H2288" s="8"/>
      <c r="I2288" s="8"/>
      <c r="J2288" s="8"/>
      <c r="K2288" s="8"/>
    </row>
    <row r="2289">
      <c r="A2289" s="8" t="s">
        <v>2297</v>
      </c>
      <c r="B2289" s="8"/>
      <c r="C2289" s="8"/>
      <c r="D2289" s="8"/>
      <c r="E2289" s="8"/>
      <c r="F2289" s="8"/>
      <c r="G2289" s="8"/>
      <c r="H2289" s="8"/>
      <c r="I2289" s="8"/>
      <c r="J2289" s="8"/>
      <c r="K2289" s="8"/>
    </row>
    <row r="2290">
      <c r="A2290" s="8" t="s">
        <v>2298</v>
      </c>
      <c r="B2290" s="8"/>
      <c r="C2290" s="8"/>
      <c r="D2290" s="8"/>
      <c r="E2290" s="8"/>
      <c r="F2290" s="8"/>
      <c r="G2290" s="8"/>
      <c r="H2290" s="8"/>
      <c r="I2290" s="8"/>
      <c r="J2290" s="8"/>
      <c r="K2290" s="8"/>
    </row>
    <row r="2291">
      <c r="A2291" s="8" t="s">
        <v>2299</v>
      </c>
      <c r="B2291" s="8"/>
      <c r="C2291" s="8"/>
      <c r="D2291" s="8"/>
      <c r="E2291" s="8"/>
      <c r="F2291" s="8"/>
      <c r="G2291" s="8"/>
      <c r="H2291" s="8"/>
      <c r="I2291" s="8"/>
      <c r="J2291" s="8"/>
      <c r="K2291" s="8"/>
    </row>
    <row r="2292">
      <c r="A2292" s="8" t="s">
        <v>2300</v>
      </c>
      <c r="B2292" s="8"/>
      <c r="C2292" s="8"/>
      <c r="D2292" s="8"/>
      <c r="E2292" s="8"/>
      <c r="F2292" s="8"/>
      <c r="G2292" s="8"/>
      <c r="H2292" s="8"/>
      <c r="I2292" s="8"/>
      <c r="J2292" s="8"/>
      <c r="K2292" s="8"/>
    </row>
    <row r="2293">
      <c r="A2293" s="8" t="s">
        <v>2301</v>
      </c>
      <c r="B2293" s="8"/>
      <c r="C2293" s="8"/>
      <c r="D2293" s="8"/>
      <c r="E2293" s="8"/>
      <c r="F2293" s="8"/>
      <c r="G2293" s="8"/>
      <c r="H2293" s="8"/>
      <c r="I2293" s="8"/>
      <c r="J2293" s="8"/>
      <c r="K2293" s="8"/>
    </row>
    <row r="2294">
      <c r="A2294" s="8" t="s">
        <v>2302</v>
      </c>
      <c r="B2294" s="8"/>
      <c r="C2294" s="8"/>
      <c r="D2294" s="8"/>
      <c r="E2294" s="8"/>
      <c r="F2294" s="8"/>
      <c r="G2294" s="8"/>
      <c r="H2294" s="8"/>
      <c r="I2294" s="8"/>
      <c r="J2294" s="8"/>
      <c r="K2294" s="8"/>
    </row>
    <row r="2295">
      <c r="A2295" s="8" t="s">
        <v>2303</v>
      </c>
      <c r="B2295" s="8"/>
      <c r="C2295" s="8"/>
      <c r="D2295" s="8"/>
      <c r="E2295" s="8"/>
      <c r="F2295" s="8"/>
      <c r="G2295" s="8"/>
      <c r="H2295" s="8"/>
      <c r="I2295" s="8"/>
      <c r="J2295" s="8"/>
      <c r="K2295" s="8"/>
    </row>
    <row r="2296">
      <c r="A2296" s="8" t="s">
        <v>2304</v>
      </c>
      <c r="B2296" s="8"/>
      <c r="C2296" s="8"/>
      <c r="D2296" s="8"/>
      <c r="E2296" s="8"/>
      <c r="F2296" s="8"/>
      <c r="G2296" s="8"/>
      <c r="H2296" s="8"/>
      <c r="I2296" s="8"/>
      <c r="J2296" s="8"/>
      <c r="K2296" s="8"/>
    </row>
    <row r="2297">
      <c r="A2297" s="8" t="s">
        <v>2305</v>
      </c>
      <c r="B2297" s="8"/>
      <c r="C2297" s="8"/>
      <c r="D2297" s="8"/>
      <c r="E2297" s="8"/>
      <c r="F2297" s="8"/>
      <c r="G2297" s="8"/>
      <c r="H2297" s="8"/>
      <c r="I2297" s="8"/>
      <c r="J2297" s="8"/>
      <c r="K2297" s="8"/>
    </row>
    <row r="2298">
      <c r="A2298" s="8" t="s">
        <v>2306</v>
      </c>
      <c r="B2298" s="8"/>
      <c r="C2298" s="8"/>
      <c r="D2298" s="8"/>
      <c r="E2298" s="8"/>
      <c r="F2298" s="8"/>
      <c r="G2298" s="8"/>
      <c r="H2298" s="8"/>
      <c r="I2298" s="8"/>
      <c r="J2298" s="8"/>
      <c r="K2298" s="8"/>
    </row>
    <row r="2299">
      <c r="A2299" s="8" t="s">
        <v>2307</v>
      </c>
      <c r="B2299" s="8"/>
      <c r="C2299" s="8"/>
      <c r="D2299" s="8"/>
      <c r="E2299" s="8"/>
      <c r="F2299" s="8"/>
      <c r="G2299" s="8"/>
      <c r="H2299" s="8"/>
      <c r="I2299" s="8"/>
      <c r="J2299" s="8"/>
      <c r="K2299" s="8"/>
    </row>
    <row r="2300">
      <c r="A2300" s="8" t="s">
        <v>2308</v>
      </c>
      <c r="B2300" s="8"/>
      <c r="C2300" s="8"/>
      <c r="D2300" s="8"/>
      <c r="E2300" s="8"/>
      <c r="F2300" s="8"/>
      <c r="G2300" s="8"/>
      <c r="H2300" s="8"/>
      <c r="I2300" s="8"/>
      <c r="J2300" s="8"/>
      <c r="K2300" s="8"/>
    </row>
    <row r="2301">
      <c r="A2301" s="8" t="s">
        <v>2309</v>
      </c>
      <c r="B2301" s="8"/>
      <c r="C2301" s="8"/>
      <c r="D2301" s="8"/>
      <c r="E2301" s="8"/>
      <c r="F2301" s="8"/>
      <c r="G2301" s="8"/>
      <c r="H2301" s="8"/>
      <c r="I2301" s="8"/>
      <c r="J2301" s="8"/>
      <c r="K2301" s="8"/>
    </row>
    <row r="2302">
      <c r="A2302" s="8" t="s">
        <v>2310</v>
      </c>
      <c r="B2302" s="8"/>
      <c r="C2302" s="8"/>
      <c r="D2302" s="8"/>
      <c r="E2302" s="8"/>
      <c r="F2302" s="8"/>
      <c r="G2302" s="8"/>
      <c r="H2302" s="8"/>
      <c r="I2302" s="8"/>
      <c r="J2302" s="8"/>
      <c r="K2302" s="8"/>
    </row>
    <row r="2303">
      <c r="A2303" s="8" t="s">
        <v>2311</v>
      </c>
      <c r="B2303" s="8"/>
      <c r="C2303" s="8"/>
      <c r="D2303" s="8"/>
      <c r="E2303" s="8"/>
      <c r="F2303" s="8"/>
      <c r="G2303" s="8"/>
      <c r="H2303" s="8"/>
      <c r="I2303" s="8"/>
      <c r="J2303" s="8"/>
      <c r="K2303" s="8"/>
    </row>
    <row r="2304">
      <c r="A2304" s="8" t="s">
        <v>2312</v>
      </c>
      <c r="B2304" s="8"/>
      <c r="C2304" s="8"/>
      <c r="D2304" s="8"/>
      <c r="E2304" s="8"/>
      <c r="F2304" s="8"/>
      <c r="G2304" s="8"/>
      <c r="H2304" s="8"/>
      <c r="I2304" s="8"/>
      <c r="J2304" s="8"/>
      <c r="K2304" s="8"/>
    </row>
    <row r="2305">
      <c r="A2305" s="8" t="s">
        <v>2313</v>
      </c>
      <c r="B2305" s="8"/>
      <c r="C2305" s="8"/>
      <c r="D2305" s="8"/>
      <c r="E2305" s="8"/>
      <c r="F2305" s="8"/>
      <c r="G2305" s="8"/>
      <c r="H2305" s="8"/>
      <c r="I2305" s="8"/>
      <c r="J2305" s="8"/>
      <c r="K2305" s="8"/>
    </row>
    <row r="2306">
      <c r="A2306" s="8" t="s">
        <v>2314</v>
      </c>
      <c r="B2306" s="8"/>
      <c r="C2306" s="8"/>
      <c r="D2306" s="8"/>
      <c r="E2306" s="8"/>
      <c r="F2306" s="8"/>
      <c r="G2306" s="8"/>
      <c r="H2306" s="8"/>
      <c r="I2306" s="8"/>
      <c r="J2306" s="8"/>
      <c r="K2306" s="8"/>
    </row>
    <row r="2307">
      <c r="A2307" s="8" t="s">
        <v>2315</v>
      </c>
      <c r="B2307" s="8"/>
      <c r="C2307" s="8"/>
      <c r="D2307" s="8"/>
      <c r="E2307" s="8"/>
      <c r="F2307" s="8"/>
      <c r="G2307" s="8"/>
      <c r="H2307" s="8"/>
      <c r="I2307" s="8"/>
      <c r="J2307" s="8"/>
      <c r="K2307" s="8"/>
    </row>
    <row r="2308">
      <c r="A2308" s="8" t="s">
        <v>2316</v>
      </c>
      <c r="B2308" s="8"/>
      <c r="C2308" s="8"/>
      <c r="D2308" s="8"/>
      <c r="E2308" s="8"/>
      <c r="F2308" s="8"/>
      <c r="G2308" s="8"/>
      <c r="H2308" s="8"/>
      <c r="I2308" s="8"/>
      <c r="J2308" s="8"/>
      <c r="K2308" s="8"/>
    </row>
    <row r="2309">
      <c r="A2309" s="8" t="s">
        <v>2317</v>
      </c>
      <c r="B2309" s="8"/>
      <c r="C2309" s="8"/>
      <c r="D2309" s="8"/>
      <c r="E2309" s="8"/>
      <c r="F2309" s="8"/>
      <c r="G2309" s="8"/>
      <c r="H2309" s="8"/>
      <c r="I2309" s="8"/>
      <c r="J2309" s="8"/>
      <c r="K2309" s="8"/>
    </row>
    <row r="2310">
      <c r="A2310" s="8" t="s">
        <v>2318</v>
      </c>
      <c r="B2310" s="8"/>
      <c r="C2310" s="8"/>
      <c r="D2310" s="8"/>
      <c r="E2310" s="8"/>
      <c r="F2310" s="8"/>
      <c r="G2310" s="8"/>
      <c r="H2310" s="8"/>
      <c r="I2310" s="8"/>
      <c r="J2310" s="8"/>
      <c r="K2310" s="8"/>
    </row>
    <row r="2311">
      <c r="A2311" s="8" t="s">
        <v>2319</v>
      </c>
      <c r="B2311" s="8"/>
      <c r="C2311" s="8"/>
      <c r="D2311" s="8"/>
      <c r="E2311" s="8"/>
      <c r="F2311" s="8"/>
      <c r="G2311" s="8"/>
      <c r="H2311" s="8"/>
      <c r="I2311" s="8"/>
      <c r="J2311" s="8"/>
      <c r="K2311" s="8"/>
    </row>
    <row r="2312">
      <c r="A2312" s="8" t="s">
        <v>2320</v>
      </c>
      <c r="B2312" s="8"/>
      <c r="C2312" s="8"/>
      <c r="D2312" s="8"/>
      <c r="E2312" s="8"/>
      <c r="F2312" s="8"/>
      <c r="G2312" s="8"/>
      <c r="H2312" s="8"/>
      <c r="I2312" s="8"/>
      <c r="J2312" s="8"/>
      <c r="K2312" s="8"/>
    </row>
    <row r="2313">
      <c r="A2313" s="8" t="s">
        <v>2321</v>
      </c>
      <c r="B2313" s="8"/>
      <c r="C2313" s="8"/>
      <c r="D2313" s="8"/>
      <c r="E2313" s="8"/>
      <c r="F2313" s="8"/>
      <c r="G2313" s="8"/>
      <c r="H2313" s="8"/>
      <c r="I2313" s="8"/>
      <c r="J2313" s="8"/>
      <c r="K2313" s="8"/>
    </row>
    <row r="2314">
      <c r="A2314" s="8" t="s">
        <v>2322</v>
      </c>
      <c r="B2314" s="8"/>
      <c r="C2314" s="8"/>
      <c r="D2314" s="8"/>
      <c r="E2314" s="8"/>
      <c r="F2314" s="8"/>
      <c r="G2314" s="8"/>
      <c r="H2314" s="8"/>
      <c r="I2314" s="8"/>
      <c r="J2314" s="8"/>
      <c r="K2314" s="8"/>
    </row>
    <row r="2315">
      <c r="A2315" s="8" t="s">
        <v>2323</v>
      </c>
      <c r="B2315" s="8"/>
      <c r="C2315" s="8"/>
      <c r="D2315" s="8"/>
      <c r="E2315" s="8"/>
      <c r="F2315" s="8"/>
      <c r="G2315" s="8"/>
      <c r="H2315" s="8"/>
      <c r="I2315" s="8"/>
      <c r="J2315" s="8"/>
      <c r="K2315" s="8"/>
    </row>
    <row r="2316">
      <c r="A2316" s="8" t="s">
        <v>2324</v>
      </c>
      <c r="B2316" s="8"/>
      <c r="C2316" s="8"/>
      <c r="D2316" s="8"/>
      <c r="E2316" s="8"/>
      <c r="F2316" s="8"/>
      <c r="G2316" s="8"/>
      <c r="H2316" s="8"/>
      <c r="I2316" s="8"/>
      <c r="J2316" s="8"/>
      <c r="K2316" s="8"/>
    </row>
    <row r="2317">
      <c r="A2317" s="8" t="s">
        <v>2325</v>
      </c>
      <c r="B2317" s="8"/>
      <c r="C2317" s="8"/>
      <c r="D2317" s="8"/>
      <c r="E2317" s="8"/>
      <c r="F2317" s="8"/>
      <c r="G2317" s="8"/>
      <c r="H2317" s="8"/>
      <c r="I2317" s="8"/>
      <c r="J2317" s="8"/>
      <c r="K2317" s="8"/>
    </row>
    <row r="2318">
      <c r="A2318" s="8" t="s">
        <v>2326</v>
      </c>
      <c r="B2318" s="8"/>
      <c r="C2318" s="8"/>
      <c r="D2318" s="8"/>
      <c r="E2318" s="8"/>
      <c r="F2318" s="8"/>
      <c r="G2318" s="8"/>
      <c r="H2318" s="8"/>
      <c r="I2318" s="8"/>
      <c r="J2318" s="8"/>
      <c r="K2318" s="8"/>
    </row>
    <row r="2319">
      <c r="A2319" s="8" t="s">
        <v>2327</v>
      </c>
      <c r="B2319" s="8"/>
      <c r="C2319" s="8"/>
      <c r="D2319" s="8"/>
      <c r="E2319" s="8"/>
      <c r="F2319" s="8"/>
      <c r="G2319" s="8"/>
      <c r="H2319" s="8"/>
      <c r="I2319" s="8"/>
      <c r="J2319" s="8"/>
      <c r="K2319" s="8"/>
    </row>
    <row r="2320">
      <c r="A2320" s="8" t="s">
        <v>2328</v>
      </c>
      <c r="B2320" s="8"/>
      <c r="C2320" s="8"/>
      <c r="D2320" s="8"/>
      <c r="E2320" s="8"/>
      <c r="F2320" s="8"/>
      <c r="G2320" s="8"/>
      <c r="H2320" s="8"/>
      <c r="I2320" s="8"/>
      <c r="J2320" s="8"/>
      <c r="K2320" s="8"/>
    </row>
    <row r="2321">
      <c r="A2321" s="8" t="s">
        <v>2329</v>
      </c>
      <c r="B2321" s="8"/>
      <c r="C2321" s="8"/>
      <c r="D2321" s="8"/>
      <c r="E2321" s="8"/>
      <c r="F2321" s="8"/>
      <c r="G2321" s="8"/>
      <c r="H2321" s="8"/>
      <c r="I2321" s="8"/>
      <c r="J2321" s="8"/>
      <c r="K2321" s="8"/>
    </row>
    <row r="2322">
      <c r="A2322" s="8" t="s">
        <v>2330</v>
      </c>
      <c r="B2322" s="8"/>
      <c r="C2322" s="8"/>
      <c r="D2322" s="8"/>
      <c r="E2322" s="8"/>
      <c r="F2322" s="8"/>
      <c r="G2322" s="8"/>
      <c r="H2322" s="8"/>
      <c r="I2322" s="8"/>
      <c r="J2322" s="8"/>
      <c r="K2322" s="8"/>
    </row>
    <row r="2323">
      <c r="A2323" s="8" t="s">
        <v>2331</v>
      </c>
      <c r="B2323" s="8"/>
      <c r="C2323" s="8"/>
      <c r="D2323" s="8"/>
      <c r="E2323" s="8"/>
      <c r="F2323" s="8"/>
      <c r="G2323" s="8"/>
      <c r="H2323" s="8"/>
      <c r="I2323" s="8"/>
      <c r="J2323" s="8"/>
      <c r="K2323" s="8"/>
    </row>
    <row r="2324">
      <c r="A2324" s="8" t="s">
        <v>2332</v>
      </c>
      <c r="B2324" s="8"/>
      <c r="C2324" s="8"/>
      <c r="D2324" s="8"/>
      <c r="E2324" s="8"/>
      <c r="F2324" s="8"/>
      <c r="G2324" s="8"/>
      <c r="H2324" s="8"/>
      <c r="I2324" s="8"/>
      <c r="J2324" s="8"/>
      <c r="K2324" s="8"/>
    </row>
    <row r="2325">
      <c r="A2325" s="8" t="s">
        <v>2333</v>
      </c>
      <c r="B2325" s="8"/>
      <c r="C2325" s="8"/>
      <c r="D2325" s="8"/>
      <c r="E2325" s="8"/>
      <c r="F2325" s="8"/>
      <c r="G2325" s="8"/>
      <c r="H2325" s="8"/>
      <c r="I2325" s="8"/>
      <c r="J2325" s="8"/>
      <c r="K2325" s="8"/>
    </row>
    <row r="2326">
      <c r="A2326" s="8" t="s">
        <v>2334</v>
      </c>
      <c r="B2326" s="8"/>
      <c r="C2326" s="8"/>
      <c r="D2326" s="8"/>
      <c r="E2326" s="8"/>
      <c r="F2326" s="8"/>
      <c r="G2326" s="8"/>
      <c r="H2326" s="8"/>
      <c r="I2326" s="8"/>
      <c r="J2326" s="8"/>
      <c r="K2326" s="8"/>
    </row>
    <row r="2327">
      <c r="A2327" s="8" t="s">
        <v>2335</v>
      </c>
      <c r="B2327" s="8"/>
      <c r="C2327" s="8"/>
      <c r="D2327" s="8"/>
      <c r="E2327" s="8"/>
      <c r="F2327" s="8"/>
      <c r="G2327" s="8"/>
      <c r="H2327" s="8"/>
      <c r="I2327" s="8"/>
      <c r="J2327" s="8"/>
      <c r="K2327" s="8"/>
    </row>
    <row r="2328">
      <c r="A2328" s="8" t="s">
        <v>2336</v>
      </c>
      <c r="B2328" s="8"/>
      <c r="C2328" s="8"/>
      <c r="D2328" s="8"/>
      <c r="E2328" s="8"/>
      <c r="F2328" s="8"/>
      <c r="G2328" s="8"/>
      <c r="H2328" s="8"/>
      <c r="I2328" s="8"/>
      <c r="J2328" s="8"/>
      <c r="K2328" s="8"/>
    </row>
    <row r="2329">
      <c r="A2329" s="8" t="s">
        <v>2337</v>
      </c>
      <c r="B2329" s="8"/>
      <c r="C2329" s="8"/>
      <c r="D2329" s="8"/>
      <c r="E2329" s="8"/>
      <c r="F2329" s="8"/>
      <c r="G2329" s="8"/>
      <c r="H2329" s="8"/>
      <c r="I2329" s="8"/>
      <c r="J2329" s="8"/>
      <c r="K2329" s="8"/>
    </row>
    <row r="2330">
      <c r="A2330" s="8" t="s">
        <v>2338</v>
      </c>
      <c r="B2330" s="8"/>
      <c r="C2330" s="8"/>
      <c r="D2330" s="8"/>
      <c r="E2330" s="8"/>
      <c r="F2330" s="8"/>
      <c r="G2330" s="8"/>
      <c r="H2330" s="8"/>
      <c r="I2330" s="8"/>
      <c r="J2330" s="8"/>
      <c r="K2330" s="8"/>
    </row>
    <row r="2331">
      <c r="A2331" s="8" t="s">
        <v>2339</v>
      </c>
      <c r="B2331" s="8"/>
      <c r="C2331" s="8"/>
      <c r="D2331" s="8"/>
      <c r="E2331" s="8"/>
      <c r="F2331" s="8"/>
      <c r="G2331" s="8"/>
      <c r="H2331" s="8"/>
      <c r="I2331" s="8"/>
      <c r="J2331" s="8"/>
      <c r="K2331" s="8"/>
    </row>
    <row r="2332">
      <c r="A2332" s="8" t="s">
        <v>2340</v>
      </c>
      <c r="B2332" s="8"/>
      <c r="C2332" s="8"/>
      <c r="D2332" s="8"/>
      <c r="E2332" s="8"/>
      <c r="F2332" s="8"/>
      <c r="G2332" s="8"/>
      <c r="H2332" s="8"/>
      <c r="I2332" s="8"/>
      <c r="J2332" s="8"/>
      <c r="K2332" s="8"/>
    </row>
    <row r="2333">
      <c r="A2333" s="8" t="s">
        <v>2341</v>
      </c>
      <c r="B2333" s="8"/>
      <c r="C2333" s="8"/>
      <c r="D2333" s="8"/>
      <c r="E2333" s="8"/>
      <c r="F2333" s="8"/>
      <c r="G2333" s="8"/>
      <c r="H2333" s="8"/>
      <c r="I2333" s="8"/>
      <c r="J2333" s="8"/>
      <c r="K2333" s="8"/>
    </row>
    <row r="2334">
      <c r="A2334" s="8" t="s">
        <v>2342</v>
      </c>
      <c r="B2334" s="8"/>
      <c r="C2334" s="8"/>
      <c r="D2334" s="8"/>
      <c r="E2334" s="8"/>
      <c r="F2334" s="8"/>
      <c r="G2334" s="8"/>
      <c r="H2334" s="8"/>
      <c r="I2334" s="8"/>
      <c r="J2334" s="8"/>
      <c r="K2334" s="8"/>
    </row>
    <row r="2335">
      <c r="A2335" s="8" t="s">
        <v>2343</v>
      </c>
      <c r="B2335" s="8"/>
      <c r="C2335" s="8"/>
      <c r="D2335" s="8"/>
      <c r="E2335" s="8"/>
      <c r="F2335" s="8"/>
      <c r="G2335" s="8"/>
      <c r="H2335" s="8"/>
      <c r="I2335" s="8"/>
      <c r="J2335" s="8"/>
      <c r="K2335" s="8"/>
    </row>
    <row r="2336">
      <c r="A2336" s="8" t="s">
        <v>2344</v>
      </c>
      <c r="B2336" s="8"/>
      <c r="C2336" s="8"/>
      <c r="D2336" s="8"/>
      <c r="E2336" s="8"/>
      <c r="F2336" s="8"/>
      <c r="G2336" s="8"/>
      <c r="H2336" s="8"/>
      <c r="I2336" s="8"/>
      <c r="J2336" s="8"/>
      <c r="K2336" s="8"/>
    </row>
    <row r="2337">
      <c r="A2337" s="8" t="s">
        <v>2345</v>
      </c>
      <c r="B2337" s="8"/>
      <c r="C2337" s="8"/>
      <c r="D2337" s="8"/>
      <c r="E2337" s="8"/>
      <c r="F2337" s="8"/>
      <c r="G2337" s="8"/>
      <c r="H2337" s="8"/>
      <c r="I2337" s="8"/>
      <c r="J2337" s="8"/>
      <c r="K2337" s="8"/>
    </row>
    <row r="2338">
      <c r="A2338" s="8" t="s">
        <v>2346</v>
      </c>
      <c r="B2338" s="8"/>
      <c r="C2338" s="8"/>
      <c r="D2338" s="8"/>
      <c r="E2338" s="8"/>
      <c r="F2338" s="8"/>
      <c r="G2338" s="8"/>
      <c r="H2338" s="8"/>
      <c r="I2338" s="8"/>
      <c r="J2338" s="8"/>
      <c r="K2338" s="8"/>
    </row>
    <row r="2339">
      <c r="A2339" s="8" t="s">
        <v>2347</v>
      </c>
      <c r="B2339" s="8"/>
      <c r="C2339" s="8"/>
      <c r="D2339" s="8"/>
      <c r="E2339" s="8"/>
      <c r="F2339" s="8"/>
      <c r="G2339" s="8"/>
      <c r="H2339" s="8"/>
      <c r="I2339" s="8"/>
      <c r="J2339" s="8"/>
      <c r="K2339" s="8"/>
    </row>
    <row r="2340">
      <c r="A2340" s="8" t="s">
        <v>2348</v>
      </c>
      <c r="B2340" s="8"/>
      <c r="C2340" s="8"/>
      <c r="D2340" s="8"/>
      <c r="E2340" s="8"/>
      <c r="F2340" s="8"/>
      <c r="G2340" s="8"/>
      <c r="H2340" s="8"/>
      <c r="I2340" s="8"/>
      <c r="J2340" s="8"/>
      <c r="K2340" s="8"/>
    </row>
    <row r="2341">
      <c r="A2341" s="8" t="s">
        <v>2349</v>
      </c>
      <c r="B2341" s="8"/>
      <c r="C2341" s="8"/>
      <c r="D2341" s="8"/>
      <c r="E2341" s="8"/>
      <c r="F2341" s="8"/>
      <c r="G2341" s="8"/>
      <c r="H2341" s="8"/>
      <c r="I2341" s="8"/>
      <c r="J2341" s="8"/>
      <c r="K2341" s="8"/>
    </row>
    <row r="2342">
      <c r="A2342" s="8" t="s">
        <v>2350</v>
      </c>
      <c r="B2342" s="8"/>
      <c r="C2342" s="8"/>
      <c r="D2342" s="8"/>
      <c r="E2342" s="8"/>
      <c r="F2342" s="8"/>
      <c r="G2342" s="8"/>
      <c r="H2342" s="8"/>
      <c r="I2342" s="8"/>
      <c r="J2342" s="8"/>
      <c r="K2342" s="8"/>
    </row>
    <row r="2343">
      <c r="A2343" s="8" t="s">
        <v>2351</v>
      </c>
      <c r="B2343" s="8"/>
      <c r="C2343" s="8"/>
      <c r="D2343" s="8"/>
      <c r="E2343" s="8"/>
      <c r="F2343" s="8"/>
      <c r="G2343" s="8"/>
      <c r="H2343" s="8"/>
      <c r="I2343" s="8"/>
      <c r="J2343" s="8"/>
      <c r="K2343" s="8"/>
    </row>
    <row r="2344">
      <c r="A2344" s="8" t="s">
        <v>2352</v>
      </c>
      <c r="B2344" s="8"/>
      <c r="C2344" s="8"/>
      <c r="D2344" s="8"/>
      <c r="E2344" s="8"/>
      <c r="F2344" s="8"/>
      <c r="G2344" s="8"/>
      <c r="H2344" s="8"/>
      <c r="I2344" s="8"/>
      <c r="J2344" s="8"/>
      <c r="K2344" s="8"/>
    </row>
    <row r="2345">
      <c r="A2345" s="8" t="s">
        <v>2353</v>
      </c>
      <c r="B2345" s="8"/>
      <c r="C2345" s="8"/>
      <c r="D2345" s="8"/>
      <c r="E2345" s="8"/>
      <c r="F2345" s="8"/>
      <c r="G2345" s="8"/>
      <c r="H2345" s="8"/>
      <c r="I2345" s="8"/>
      <c r="J2345" s="8"/>
      <c r="K2345" s="8"/>
    </row>
    <row r="2346">
      <c r="A2346" s="8" t="s">
        <v>2354</v>
      </c>
      <c r="B2346" s="8"/>
      <c r="C2346" s="8"/>
      <c r="D2346" s="8"/>
      <c r="E2346" s="8"/>
      <c r="F2346" s="8"/>
      <c r="G2346" s="8"/>
      <c r="H2346" s="8"/>
      <c r="I2346" s="8"/>
      <c r="J2346" s="8"/>
      <c r="K2346" s="8"/>
    </row>
    <row r="2347">
      <c r="A2347" s="8" t="s">
        <v>2355</v>
      </c>
      <c r="B2347" s="8"/>
      <c r="C2347" s="8"/>
      <c r="D2347" s="8"/>
      <c r="E2347" s="8"/>
      <c r="F2347" s="8"/>
      <c r="G2347" s="8"/>
      <c r="H2347" s="8"/>
      <c r="I2347" s="8"/>
      <c r="J2347" s="8"/>
      <c r="K2347" s="8"/>
    </row>
    <row r="2348">
      <c r="A2348" s="8" t="s">
        <v>2356</v>
      </c>
      <c r="B2348" s="8"/>
      <c r="C2348" s="8"/>
      <c r="D2348" s="8"/>
      <c r="E2348" s="8"/>
      <c r="F2348" s="8"/>
      <c r="G2348" s="8"/>
      <c r="H2348" s="8"/>
      <c r="I2348" s="8"/>
      <c r="J2348" s="8"/>
      <c r="K2348" s="8"/>
    </row>
    <row r="2349">
      <c r="A2349" s="8" t="s">
        <v>2357</v>
      </c>
      <c r="B2349" s="8"/>
      <c r="C2349" s="8"/>
      <c r="D2349" s="8"/>
      <c r="E2349" s="8"/>
      <c r="F2349" s="8"/>
      <c r="G2349" s="8"/>
      <c r="H2349" s="8"/>
      <c r="I2349" s="8"/>
      <c r="J2349" s="8"/>
      <c r="K2349" s="8"/>
    </row>
    <row r="2350">
      <c r="A2350" s="8" t="s">
        <v>2358</v>
      </c>
      <c r="B2350" s="8"/>
      <c r="C2350" s="8"/>
      <c r="D2350" s="8"/>
      <c r="E2350" s="8"/>
      <c r="F2350" s="8"/>
      <c r="G2350" s="8"/>
      <c r="H2350" s="8"/>
      <c r="I2350" s="8"/>
      <c r="J2350" s="8"/>
      <c r="K2350" s="8"/>
    </row>
    <row r="2351">
      <c r="A2351" s="8" t="s">
        <v>2359</v>
      </c>
      <c r="B2351" s="8"/>
      <c r="C2351" s="8"/>
      <c r="D2351" s="8"/>
      <c r="E2351" s="8"/>
      <c r="F2351" s="8"/>
      <c r="G2351" s="8"/>
      <c r="H2351" s="8"/>
      <c r="I2351" s="8"/>
      <c r="J2351" s="8"/>
      <c r="K2351" s="8"/>
    </row>
    <row r="2352">
      <c r="A2352" s="8" t="s">
        <v>2360</v>
      </c>
      <c r="B2352" s="8"/>
      <c r="C2352" s="8"/>
      <c r="D2352" s="8"/>
      <c r="E2352" s="8"/>
      <c r="F2352" s="8"/>
      <c r="G2352" s="8"/>
      <c r="H2352" s="8"/>
      <c r="I2352" s="8"/>
      <c r="J2352" s="8"/>
      <c r="K2352" s="8"/>
    </row>
    <row r="2353">
      <c r="A2353" s="8" t="s">
        <v>2361</v>
      </c>
      <c r="B2353" s="8"/>
      <c r="C2353" s="8"/>
      <c r="D2353" s="8"/>
      <c r="E2353" s="8"/>
      <c r="F2353" s="8"/>
      <c r="G2353" s="8"/>
      <c r="H2353" s="8"/>
      <c r="I2353" s="8"/>
      <c r="J2353" s="8"/>
      <c r="K2353" s="8"/>
    </row>
    <row r="2354">
      <c r="A2354" s="8" t="s">
        <v>2362</v>
      </c>
      <c r="B2354" s="8"/>
      <c r="C2354" s="8"/>
      <c r="D2354" s="8"/>
      <c r="E2354" s="8"/>
      <c r="F2354" s="8"/>
      <c r="G2354" s="8"/>
      <c r="H2354" s="8"/>
      <c r="I2354" s="8"/>
      <c r="J2354" s="8"/>
      <c r="K2354" s="8"/>
    </row>
    <row r="2355">
      <c r="A2355" s="8" t="s">
        <v>2363</v>
      </c>
      <c r="B2355" s="8"/>
      <c r="C2355" s="8"/>
      <c r="D2355" s="8"/>
      <c r="E2355" s="8"/>
      <c r="F2355" s="8"/>
      <c r="G2355" s="8"/>
      <c r="H2355" s="8"/>
      <c r="I2355" s="8"/>
      <c r="J2355" s="8"/>
      <c r="K2355" s="8"/>
    </row>
    <row r="2356">
      <c r="A2356" s="8" t="s">
        <v>2364</v>
      </c>
      <c r="B2356" s="8"/>
      <c r="C2356" s="8"/>
      <c r="D2356" s="8"/>
      <c r="E2356" s="8"/>
      <c r="F2356" s="8"/>
      <c r="G2356" s="8"/>
      <c r="H2356" s="8"/>
      <c r="I2356" s="8"/>
      <c r="J2356" s="8"/>
      <c r="K2356" s="8"/>
    </row>
    <row r="2357">
      <c r="A2357" s="8" t="s">
        <v>2365</v>
      </c>
      <c r="B2357" s="8"/>
      <c r="C2357" s="8"/>
      <c r="D2357" s="8"/>
      <c r="E2357" s="8"/>
      <c r="F2357" s="8"/>
      <c r="G2357" s="8"/>
      <c r="H2357" s="8"/>
      <c r="I2357" s="8"/>
      <c r="J2357" s="8"/>
      <c r="K2357" s="8"/>
    </row>
    <row r="2358">
      <c r="A2358" s="8" t="s">
        <v>2366</v>
      </c>
      <c r="B2358" s="8"/>
      <c r="C2358" s="8"/>
      <c r="D2358" s="8"/>
      <c r="E2358" s="8"/>
      <c r="F2358" s="8"/>
      <c r="G2358" s="8"/>
      <c r="H2358" s="8"/>
      <c r="I2358" s="8"/>
      <c r="J2358" s="8"/>
      <c r="K2358" s="8"/>
    </row>
    <row r="2359">
      <c r="A2359" s="8" t="s">
        <v>2367</v>
      </c>
      <c r="B2359" s="8"/>
      <c r="C2359" s="8"/>
      <c r="D2359" s="8"/>
      <c r="E2359" s="8"/>
      <c r="F2359" s="8"/>
      <c r="G2359" s="8"/>
      <c r="H2359" s="8"/>
      <c r="I2359" s="8"/>
      <c r="J2359" s="8"/>
      <c r="K2359" s="8"/>
    </row>
    <row r="2360">
      <c r="A2360" s="8" t="s">
        <v>2368</v>
      </c>
      <c r="B2360" s="8"/>
      <c r="C2360" s="8"/>
      <c r="D2360" s="8"/>
      <c r="E2360" s="8"/>
      <c r="F2360" s="8"/>
      <c r="G2360" s="8"/>
      <c r="H2360" s="8"/>
      <c r="I2360" s="8"/>
      <c r="J2360" s="8"/>
      <c r="K2360" s="8"/>
    </row>
    <row r="2361">
      <c r="A2361" s="8" t="s">
        <v>2369</v>
      </c>
      <c r="B2361" s="8"/>
      <c r="C2361" s="8"/>
      <c r="D2361" s="8"/>
      <c r="E2361" s="8"/>
      <c r="F2361" s="8"/>
      <c r="G2361" s="8"/>
      <c r="H2361" s="8"/>
      <c r="I2361" s="8"/>
      <c r="J2361" s="8"/>
      <c r="K2361" s="8"/>
    </row>
    <row r="2362">
      <c r="A2362" s="8" t="s">
        <v>2370</v>
      </c>
      <c r="B2362" s="8"/>
      <c r="C2362" s="8"/>
      <c r="D2362" s="8"/>
      <c r="E2362" s="8"/>
      <c r="F2362" s="8"/>
      <c r="G2362" s="8"/>
      <c r="H2362" s="8"/>
      <c r="I2362" s="8"/>
      <c r="J2362" s="8"/>
      <c r="K2362" s="8"/>
    </row>
    <row r="2363">
      <c r="A2363" s="8" t="s">
        <v>2371</v>
      </c>
      <c r="B2363" s="8"/>
      <c r="C2363" s="8"/>
      <c r="D2363" s="8"/>
      <c r="E2363" s="8"/>
      <c r="F2363" s="8"/>
      <c r="G2363" s="8"/>
      <c r="H2363" s="8"/>
      <c r="I2363" s="8"/>
      <c r="J2363" s="8"/>
      <c r="K2363" s="8"/>
    </row>
    <row r="2364">
      <c r="A2364" s="8" t="s">
        <v>2372</v>
      </c>
      <c r="B2364" s="8"/>
      <c r="C2364" s="8"/>
      <c r="D2364" s="8"/>
      <c r="E2364" s="8"/>
      <c r="F2364" s="8"/>
      <c r="G2364" s="8"/>
      <c r="H2364" s="8"/>
      <c r="I2364" s="8"/>
      <c r="J2364" s="8"/>
      <c r="K2364" s="8"/>
    </row>
    <row r="2365">
      <c r="A2365" s="8" t="s">
        <v>2373</v>
      </c>
      <c r="B2365" s="8"/>
      <c r="C2365" s="8"/>
      <c r="D2365" s="8"/>
      <c r="E2365" s="8"/>
      <c r="F2365" s="8"/>
      <c r="G2365" s="8"/>
      <c r="H2365" s="8"/>
      <c r="I2365" s="8"/>
      <c r="J2365" s="8"/>
      <c r="K2365" s="8"/>
    </row>
    <row r="2366">
      <c r="A2366" s="8" t="s">
        <v>2374</v>
      </c>
      <c r="B2366" s="8"/>
      <c r="C2366" s="8"/>
      <c r="D2366" s="8"/>
      <c r="E2366" s="8"/>
      <c r="F2366" s="8"/>
      <c r="G2366" s="8"/>
      <c r="H2366" s="8"/>
      <c r="I2366" s="8"/>
      <c r="J2366" s="8"/>
      <c r="K2366" s="8"/>
    </row>
    <row r="2367">
      <c r="A2367" s="8" t="s">
        <v>2375</v>
      </c>
      <c r="B2367" s="8"/>
      <c r="C2367" s="8"/>
      <c r="D2367" s="8"/>
      <c r="E2367" s="8"/>
      <c r="F2367" s="8"/>
      <c r="G2367" s="8"/>
      <c r="H2367" s="8"/>
      <c r="I2367" s="8"/>
      <c r="J2367" s="8"/>
      <c r="K2367" s="8"/>
    </row>
    <row r="2368">
      <c r="A2368" s="8" t="s">
        <v>2376</v>
      </c>
      <c r="B2368" s="8"/>
      <c r="C2368" s="8"/>
      <c r="D2368" s="8"/>
      <c r="E2368" s="8"/>
      <c r="F2368" s="8"/>
      <c r="G2368" s="8"/>
      <c r="H2368" s="8"/>
      <c r="I2368" s="8"/>
      <c r="J2368" s="8"/>
      <c r="K2368" s="8"/>
    </row>
    <row r="2369">
      <c r="A2369" s="8" t="s">
        <v>2377</v>
      </c>
      <c r="B2369" s="8"/>
      <c r="C2369" s="8"/>
      <c r="D2369" s="8"/>
      <c r="E2369" s="8"/>
      <c r="F2369" s="8"/>
      <c r="G2369" s="8"/>
      <c r="H2369" s="8"/>
      <c r="I2369" s="8"/>
      <c r="J2369" s="8"/>
      <c r="K2369" s="8"/>
    </row>
    <row r="2370">
      <c r="A2370" s="8" t="s">
        <v>2378</v>
      </c>
      <c r="B2370" s="8"/>
      <c r="C2370" s="8"/>
      <c r="D2370" s="8"/>
      <c r="E2370" s="8"/>
      <c r="F2370" s="8"/>
      <c r="G2370" s="8"/>
      <c r="H2370" s="8"/>
      <c r="I2370" s="8"/>
      <c r="J2370" s="8"/>
      <c r="K2370" s="8"/>
    </row>
    <row r="2371">
      <c r="A2371" s="8" t="s">
        <v>2379</v>
      </c>
      <c r="B2371" s="8"/>
      <c r="C2371" s="8"/>
      <c r="D2371" s="8"/>
      <c r="E2371" s="8"/>
      <c r="F2371" s="8"/>
      <c r="G2371" s="8"/>
      <c r="H2371" s="8"/>
      <c r="I2371" s="8"/>
      <c r="J2371" s="8"/>
      <c r="K2371" s="8"/>
    </row>
    <row r="2372">
      <c r="A2372" s="8" t="s">
        <v>2380</v>
      </c>
      <c r="B2372" s="8"/>
      <c r="C2372" s="8"/>
      <c r="D2372" s="8"/>
      <c r="E2372" s="8"/>
      <c r="F2372" s="8"/>
      <c r="G2372" s="8"/>
      <c r="H2372" s="8"/>
      <c r="I2372" s="8"/>
      <c r="J2372" s="8"/>
      <c r="K2372" s="8"/>
    </row>
    <row r="2373">
      <c r="A2373" s="8" t="s">
        <v>2381</v>
      </c>
      <c r="B2373" s="8"/>
      <c r="C2373" s="8"/>
      <c r="D2373" s="8"/>
      <c r="E2373" s="8"/>
      <c r="F2373" s="8"/>
      <c r="G2373" s="8"/>
      <c r="H2373" s="8"/>
      <c r="I2373" s="8"/>
      <c r="J2373" s="8"/>
      <c r="K2373" s="8"/>
    </row>
    <row r="2374">
      <c r="A2374" s="8" t="s">
        <v>2382</v>
      </c>
      <c r="B2374" s="8"/>
      <c r="C2374" s="8"/>
      <c r="D2374" s="8"/>
      <c r="E2374" s="8"/>
      <c r="F2374" s="8"/>
      <c r="G2374" s="8"/>
      <c r="H2374" s="8"/>
      <c r="I2374" s="8"/>
      <c r="J2374" s="8"/>
      <c r="K2374" s="8"/>
    </row>
    <row r="2375">
      <c r="A2375" s="8" t="s">
        <v>2383</v>
      </c>
      <c r="B2375" s="8"/>
      <c r="C2375" s="8"/>
      <c r="D2375" s="8"/>
      <c r="E2375" s="8"/>
      <c r="F2375" s="8"/>
      <c r="G2375" s="8"/>
      <c r="H2375" s="8"/>
      <c r="I2375" s="8"/>
      <c r="J2375" s="8"/>
      <c r="K2375" s="8"/>
    </row>
    <row r="2376">
      <c r="A2376" s="8" t="s">
        <v>2384</v>
      </c>
      <c r="B2376" s="8"/>
      <c r="C2376" s="8"/>
      <c r="D2376" s="8"/>
      <c r="E2376" s="8"/>
      <c r="F2376" s="8"/>
      <c r="G2376" s="8"/>
      <c r="H2376" s="8"/>
      <c r="I2376" s="8"/>
      <c r="J2376" s="8"/>
      <c r="K2376" s="8"/>
    </row>
    <row r="2377">
      <c r="A2377" s="8" t="s">
        <v>2385</v>
      </c>
      <c r="B2377" s="8"/>
      <c r="C2377" s="8"/>
      <c r="D2377" s="8"/>
      <c r="E2377" s="8"/>
      <c r="F2377" s="8"/>
      <c r="G2377" s="8"/>
      <c r="H2377" s="8"/>
      <c r="I2377" s="8"/>
      <c r="J2377" s="8"/>
      <c r="K2377" s="8"/>
    </row>
    <row r="2378">
      <c r="A2378" s="8" t="s">
        <v>2386</v>
      </c>
      <c r="B2378" s="8"/>
      <c r="C2378" s="8"/>
      <c r="D2378" s="8"/>
      <c r="E2378" s="8"/>
      <c r="F2378" s="8"/>
      <c r="G2378" s="8"/>
      <c r="H2378" s="8"/>
      <c r="I2378" s="8"/>
      <c r="J2378" s="8"/>
      <c r="K2378" s="8"/>
    </row>
    <row r="2379">
      <c r="A2379" s="8" t="s">
        <v>2387</v>
      </c>
      <c r="B2379" s="8"/>
      <c r="C2379" s="8"/>
      <c r="D2379" s="8"/>
      <c r="E2379" s="8"/>
      <c r="F2379" s="8"/>
      <c r="G2379" s="8"/>
      <c r="H2379" s="8"/>
      <c r="I2379" s="8"/>
      <c r="J2379" s="8"/>
      <c r="K2379" s="8"/>
    </row>
    <row r="2380">
      <c r="A2380" s="8" t="s">
        <v>2388</v>
      </c>
      <c r="B2380" s="8"/>
      <c r="C2380" s="8"/>
      <c r="D2380" s="8"/>
      <c r="E2380" s="8"/>
      <c r="F2380" s="8"/>
      <c r="G2380" s="8"/>
      <c r="H2380" s="8"/>
      <c r="I2380" s="8"/>
      <c r="J2380" s="8"/>
      <c r="K2380" s="8"/>
    </row>
    <row r="2381">
      <c r="A2381" s="8" t="s">
        <v>2389</v>
      </c>
      <c r="B2381" s="8"/>
      <c r="C2381" s="8"/>
      <c r="D2381" s="8"/>
      <c r="E2381" s="8"/>
      <c r="F2381" s="8"/>
      <c r="G2381" s="8"/>
      <c r="H2381" s="8"/>
      <c r="I2381" s="8"/>
      <c r="J2381" s="8"/>
      <c r="K2381" s="8"/>
    </row>
    <row r="2382">
      <c r="A2382" s="8" t="s">
        <v>2390</v>
      </c>
      <c r="B2382" s="8"/>
      <c r="C2382" s="8"/>
      <c r="D2382" s="8"/>
      <c r="E2382" s="8"/>
      <c r="F2382" s="8"/>
      <c r="G2382" s="8"/>
      <c r="H2382" s="8"/>
      <c r="I2382" s="8"/>
      <c r="J2382" s="8"/>
      <c r="K2382" s="8"/>
    </row>
    <row r="2383">
      <c r="A2383" s="8" t="s">
        <v>2391</v>
      </c>
      <c r="B2383" s="8"/>
      <c r="C2383" s="8"/>
      <c r="D2383" s="8"/>
      <c r="E2383" s="8"/>
      <c r="F2383" s="8"/>
      <c r="G2383" s="8"/>
      <c r="H2383" s="8"/>
      <c r="I2383" s="8"/>
      <c r="J2383" s="8"/>
      <c r="K2383" s="8"/>
    </row>
    <row r="2384">
      <c r="A2384" s="8" t="s">
        <v>2392</v>
      </c>
      <c r="B2384" s="8"/>
      <c r="C2384" s="8"/>
      <c r="D2384" s="8"/>
      <c r="E2384" s="8"/>
      <c r="F2384" s="8"/>
      <c r="G2384" s="8"/>
      <c r="H2384" s="8"/>
      <c r="I2384" s="8"/>
      <c r="J2384" s="8"/>
      <c r="K2384" s="8"/>
    </row>
    <row r="2385">
      <c r="A2385" s="8" t="s">
        <v>2393</v>
      </c>
      <c r="B2385" s="8"/>
      <c r="C2385" s="8"/>
      <c r="D2385" s="8"/>
      <c r="E2385" s="8"/>
      <c r="F2385" s="8"/>
      <c r="G2385" s="8"/>
      <c r="H2385" s="8"/>
      <c r="I2385" s="8"/>
      <c r="J2385" s="8"/>
      <c r="K2385" s="8"/>
    </row>
    <row r="2386">
      <c r="A2386" s="8" t="s">
        <v>2394</v>
      </c>
      <c r="B2386" s="8"/>
      <c r="C2386" s="8"/>
      <c r="D2386" s="8"/>
      <c r="E2386" s="8"/>
      <c r="F2386" s="8"/>
      <c r="G2386" s="8"/>
      <c r="H2386" s="8"/>
      <c r="I2386" s="8"/>
      <c r="J2386" s="8"/>
      <c r="K2386" s="8"/>
    </row>
    <row r="2387">
      <c r="A2387" s="8" t="s">
        <v>2395</v>
      </c>
      <c r="B2387" s="8"/>
      <c r="C2387" s="8"/>
      <c r="D2387" s="8"/>
      <c r="E2387" s="8"/>
      <c r="F2387" s="8"/>
      <c r="G2387" s="8"/>
      <c r="H2387" s="8"/>
      <c r="I2387" s="8"/>
      <c r="J2387" s="8"/>
      <c r="K2387" s="8"/>
    </row>
    <row r="2388">
      <c r="A2388" s="8" t="s">
        <v>2396</v>
      </c>
      <c r="B2388" s="8"/>
      <c r="C2388" s="8"/>
      <c r="D2388" s="8"/>
      <c r="E2388" s="8"/>
      <c r="F2388" s="8"/>
      <c r="G2388" s="8"/>
      <c r="H2388" s="8"/>
      <c r="I2388" s="8"/>
      <c r="J2388" s="8"/>
      <c r="K2388" s="8"/>
    </row>
    <row r="2389">
      <c r="A2389" s="8" t="s">
        <v>2397</v>
      </c>
      <c r="B2389" s="8"/>
      <c r="C2389" s="8"/>
      <c r="D2389" s="8"/>
      <c r="E2389" s="8"/>
      <c r="F2389" s="8"/>
      <c r="G2389" s="8"/>
      <c r="H2389" s="8"/>
      <c r="I2389" s="8"/>
      <c r="J2389" s="8"/>
      <c r="K2389" s="8"/>
    </row>
    <row r="2390">
      <c r="A2390" s="8" t="s">
        <v>2398</v>
      </c>
      <c r="B2390" s="8"/>
      <c r="C2390" s="8"/>
      <c r="D2390" s="8"/>
      <c r="E2390" s="8"/>
      <c r="F2390" s="8"/>
      <c r="G2390" s="8"/>
      <c r="H2390" s="8"/>
      <c r="I2390" s="8"/>
      <c r="J2390" s="8"/>
      <c r="K2390" s="8"/>
    </row>
    <row r="2391">
      <c r="A2391" s="8" t="s">
        <v>2399</v>
      </c>
      <c r="B2391" s="8"/>
      <c r="C2391" s="8"/>
      <c r="D2391" s="8"/>
      <c r="E2391" s="8"/>
      <c r="F2391" s="8"/>
      <c r="G2391" s="8"/>
      <c r="H2391" s="8"/>
      <c r="I2391" s="8"/>
      <c r="J2391" s="8"/>
      <c r="K2391" s="8"/>
    </row>
    <row r="2392">
      <c r="A2392" s="8" t="s">
        <v>2400</v>
      </c>
      <c r="B2392" s="8"/>
      <c r="C2392" s="8"/>
      <c r="D2392" s="8"/>
      <c r="E2392" s="8"/>
      <c r="F2392" s="8"/>
      <c r="G2392" s="8"/>
      <c r="H2392" s="8"/>
      <c r="I2392" s="8"/>
      <c r="J2392" s="8"/>
      <c r="K2392" s="8"/>
    </row>
    <row r="2393">
      <c r="A2393" s="8" t="s">
        <v>2401</v>
      </c>
      <c r="B2393" s="8"/>
      <c r="C2393" s="8"/>
      <c r="D2393" s="8"/>
      <c r="E2393" s="8"/>
      <c r="F2393" s="8"/>
      <c r="G2393" s="8"/>
      <c r="H2393" s="8"/>
      <c r="I2393" s="8"/>
      <c r="J2393" s="8"/>
      <c r="K2393" s="8"/>
    </row>
    <row r="2394">
      <c r="A2394" s="8" t="s">
        <v>2402</v>
      </c>
      <c r="B2394" s="8"/>
      <c r="C2394" s="8"/>
      <c r="D2394" s="8"/>
      <c r="E2394" s="8"/>
      <c r="F2394" s="8"/>
      <c r="G2394" s="8"/>
      <c r="H2394" s="8"/>
      <c r="I2394" s="8"/>
      <c r="J2394" s="8"/>
      <c r="K2394" s="8"/>
    </row>
    <row r="2395">
      <c r="A2395" s="8" t="s">
        <v>2403</v>
      </c>
      <c r="B2395" s="8"/>
      <c r="C2395" s="8"/>
      <c r="D2395" s="8"/>
      <c r="E2395" s="8"/>
      <c r="F2395" s="8"/>
      <c r="G2395" s="8"/>
      <c r="H2395" s="8"/>
      <c r="I2395" s="8"/>
      <c r="J2395" s="8"/>
      <c r="K2395" s="8"/>
    </row>
    <row r="2396">
      <c r="A2396" s="8" t="s">
        <v>2404</v>
      </c>
      <c r="B2396" s="8"/>
      <c r="C2396" s="8"/>
      <c r="D2396" s="8"/>
      <c r="E2396" s="8"/>
      <c r="F2396" s="8"/>
      <c r="G2396" s="8"/>
      <c r="H2396" s="8"/>
      <c r="I2396" s="8"/>
      <c r="J2396" s="8"/>
      <c r="K2396" s="8"/>
    </row>
    <row r="2397">
      <c r="A2397" s="8" t="s">
        <v>2405</v>
      </c>
      <c r="B2397" s="8"/>
      <c r="C2397" s="8"/>
      <c r="D2397" s="8"/>
      <c r="E2397" s="8"/>
      <c r="F2397" s="8"/>
      <c r="G2397" s="8"/>
      <c r="H2397" s="8"/>
      <c r="I2397" s="8"/>
      <c r="J2397" s="8"/>
      <c r="K2397" s="8"/>
    </row>
    <row r="2398">
      <c r="A2398" s="8" t="s">
        <v>2406</v>
      </c>
      <c r="B2398" s="8"/>
      <c r="C2398" s="8"/>
      <c r="D2398" s="8"/>
      <c r="E2398" s="8"/>
      <c r="F2398" s="8"/>
      <c r="G2398" s="8"/>
      <c r="H2398" s="8"/>
      <c r="I2398" s="8"/>
      <c r="J2398" s="8"/>
      <c r="K2398" s="8"/>
    </row>
    <row r="2399">
      <c r="A2399" s="8" t="s">
        <v>2407</v>
      </c>
      <c r="B2399" s="8"/>
      <c r="C2399" s="8"/>
      <c r="D2399" s="8"/>
      <c r="E2399" s="8"/>
      <c r="F2399" s="8"/>
      <c r="G2399" s="8"/>
      <c r="H2399" s="8"/>
      <c r="I2399" s="8"/>
      <c r="J2399" s="8"/>
      <c r="K2399" s="8"/>
    </row>
    <row r="2400">
      <c r="A2400" s="8" t="s">
        <v>2408</v>
      </c>
      <c r="B2400" s="8"/>
      <c r="C2400" s="8"/>
      <c r="D2400" s="8"/>
      <c r="E2400" s="8"/>
      <c r="F2400" s="8"/>
      <c r="G2400" s="8"/>
      <c r="H2400" s="8"/>
      <c r="I2400" s="8"/>
      <c r="J2400" s="8"/>
      <c r="K2400" s="8"/>
    </row>
    <row r="2401">
      <c r="A2401" s="8" t="s">
        <v>2409</v>
      </c>
      <c r="B2401" s="8"/>
      <c r="C2401" s="8"/>
      <c r="D2401" s="8"/>
      <c r="E2401" s="8"/>
      <c r="F2401" s="8"/>
      <c r="G2401" s="8"/>
      <c r="H2401" s="8"/>
      <c r="I2401" s="8"/>
      <c r="J2401" s="8"/>
      <c r="K2401" s="8"/>
    </row>
    <row r="2402">
      <c r="A2402" s="8" t="s">
        <v>2410</v>
      </c>
      <c r="B2402" s="8"/>
      <c r="C2402" s="8"/>
      <c r="D2402" s="8"/>
      <c r="E2402" s="8"/>
      <c r="F2402" s="8"/>
      <c r="G2402" s="8"/>
      <c r="H2402" s="8"/>
      <c r="I2402" s="8"/>
      <c r="J2402" s="8"/>
      <c r="K2402" s="8"/>
    </row>
    <row r="2403">
      <c r="A2403" s="8" t="s">
        <v>2411</v>
      </c>
      <c r="B2403" s="8"/>
      <c r="C2403" s="8"/>
      <c r="D2403" s="8"/>
      <c r="E2403" s="8"/>
      <c r="F2403" s="8"/>
      <c r="G2403" s="8"/>
      <c r="H2403" s="8"/>
      <c r="I2403" s="8"/>
      <c r="J2403" s="8"/>
      <c r="K2403" s="8"/>
    </row>
    <row r="2404">
      <c r="A2404" s="8" t="s">
        <v>2412</v>
      </c>
      <c r="B2404" s="8"/>
      <c r="C2404" s="8"/>
      <c r="D2404" s="8"/>
      <c r="E2404" s="8"/>
      <c r="F2404" s="8"/>
      <c r="G2404" s="8"/>
      <c r="H2404" s="8"/>
      <c r="I2404" s="8"/>
      <c r="J2404" s="8"/>
      <c r="K2404" s="8"/>
    </row>
    <row r="2405">
      <c r="A2405" s="8" t="s">
        <v>2413</v>
      </c>
      <c r="B2405" s="8"/>
      <c r="C2405" s="8"/>
      <c r="D2405" s="8"/>
      <c r="E2405" s="8"/>
      <c r="F2405" s="8"/>
      <c r="G2405" s="8"/>
      <c r="H2405" s="8"/>
      <c r="I2405" s="8"/>
      <c r="J2405" s="8"/>
      <c r="K2405" s="8"/>
    </row>
    <row r="2406">
      <c r="A2406" s="8" t="s">
        <v>2414</v>
      </c>
      <c r="B2406" s="8"/>
      <c r="C2406" s="8"/>
      <c r="D2406" s="8"/>
      <c r="E2406" s="8"/>
      <c r="F2406" s="8"/>
      <c r="G2406" s="8"/>
      <c r="H2406" s="8"/>
      <c r="I2406" s="8"/>
      <c r="J2406" s="8"/>
      <c r="K2406" s="8"/>
    </row>
    <row r="2407">
      <c r="A2407" s="8" t="s">
        <v>2415</v>
      </c>
      <c r="B2407" s="8"/>
      <c r="C2407" s="8"/>
      <c r="D2407" s="8"/>
      <c r="E2407" s="8"/>
      <c r="F2407" s="8"/>
      <c r="G2407" s="8"/>
      <c r="H2407" s="8"/>
      <c r="I2407" s="8"/>
      <c r="J2407" s="8"/>
      <c r="K2407" s="8"/>
    </row>
    <row r="2408">
      <c r="A2408" s="8" t="s">
        <v>2416</v>
      </c>
      <c r="B2408" s="8"/>
      <c r="C2408" s="8"/>
      <c r="D2408" s="8"/>
      <c r="E2408" s="8"/>
      <c r="F2408" s="8"/>
      <c r="G2408" s="8"/>
      <c r="H2408" s="8"/>
      <c r="I2408" s="8"/>
      <c r="J2408" s="8"/>
      <c r="K2408" s="8"/>
    </row>
    <row r="2409">
      <c r="A2409" s="8" t="s">
        <v>2417</v>
      </c>
      <c r="B2409" s="8"/>
      <c r="C2409" s="8"/>
      <c r="D2409" s="8"/>
      <c r="E2409" s="8"/>
      <c r="F2409" s="8"/>
      <c r="G2409" s="8"/>
      <c r="H2409" s="8"/>
      <c r="I2409" s="8"/>
      <c r="J2409" s="8"/>
      <c r="K2409" s="8"/>
    </row>
    <row r="2410">
      <c r="A2410" s="8" t="s">
        <v>2418</v>
      </c>
      <c r="B2410" s="8"/>
      <c r="C2410" s="8"/>
      <c r="D2410" s="8"/>
      <c r="E2410" s="8"/>
      <c r="F2410" s="8"/>
      <c r="G2410" s="8"/>
      <c r="H2410" s="8"/>
      <c r="I2410" s="8"/>
      <c r="J2410" s="8"/>
      <c r="K2410" s="8"/>
    </row>
    <row r="2411">
      <c r="A2411" s="8" t="s">
        <v>2419</v>
      </c>
      <c r="B2411" s="8"/>
      <c r="C2411" s="8"/>
      <c r="D2411" s="8"/>
      <c r="E2411" s="8"/>
      <c r="F2411" s="8"/>
      <c r="G2411" s="8"/>
      <c r="H2411" s="8"/>
      <c r="I2411" s="8"/>
      <c r="J2411" s="8"/>
      <c r="K2411" s="8"/>
    </row>
    <row r="2412">
      <c r="A2412" s="8" t="s">
        <v>2420</v>
      </c>
      <c r="B2412" s="8"/>
      <c r="C2412" s="8"/>
      <c r="D2412" s="8"/>
      <c r="E2412" s="8"/>
      <c r="F2412" s="8"/>
      <c r="G2412" s="8"/>
      <c r="H2412" s="8"/>
      <c r="I2412" s="8"/>
      <c r="J2412" s="8"/>
      <c r="K2412" s="8"/>
    </row>
    <row r="2413">
      <c r="A2413" s="8" t="s">
        <v>2421</v>
      </c>
      <c r="B2413" s="8"/>
      <c r="C2413" s="8"/>
      <c r="D2413" s="8"/>
      <c r="E2413" s="8"/>
      <c r="F2413" s="8"/>
      <c r="G2413" s="8"/>
      <c r="H2413" s="8"/>
      <c r="I2413" s="8"/>
      <c r="J2413" s="8"/>
      <c r="K2413" s="8"/>
    </row>
    <row r="2414">
      <c r="A2414" s="8" t="s">
        <v>2422</v>
      </c>
      <c r="B2414" s="8"/>
      <c r="C2414" s="8"/>
      <c r="D2414" s="8"/>
      <c r="E2414" s="8"/>
      <c r="F2414" s="8"/>
      <c r="G2414" s="8"/>
      <c r="H2414" s="8"/>
      <c r="I2414" s="8"/>
      <c r="J2414" s="8"/>
      <c r="K2414" s="8"/>
    </row>
    <row r="2415">
      <c r="A2415" s="8" t="s">
        <v>2423</v>
      </c>
      <c r="B2415" s="8"/>
      <c r="C2415" s="8"/>
      <c r="D2415" s="8"/>
      <c r="E2415" s="8"/>
      <c r="F2415" s="8"/>
      <c r="G2415" s="8"/>
      <c r="H2415" s="8"/>
      <c r="I2415" s="8"/>
      <c r="J2415" s="8"/>
      <c r="K2415" s="8"/>
    </row>
    <row r="2416">
      <c r="A2416" s="8" t="s">
        <v>2424</v>
      </c>
      <c r="B2416" s="8"/>
      <c r="C2416" s="8"/>
      <c r="D2416" s="8"/>
      <c r="E2416" s="8"/>
      <c r="F2416" s="8"/>
      <c r="G2416" s="8"/>
      <c r="H2416" s="8"/>
      <c r="I2416" s="8"/>
      <c r="J2416" s="8"/>
      <c r="K2416" s="8"/>
    </row>
    <row r="2417">
      <c r="A2417" s="8" t="s">
        <v>2425</v>
      </c>
      <c r="B2417" s="8"/>
      <c r="C2417" s="8"/>
      <c r="D2417" s="8"/>
      <c r="E2417" s="8"/>
      <c r="F2417" s="8"/>
      <c r="G2417" s="8"/>
      <c r="H2417" s="8"/>
      <c r="I2417" s="8"/>
      <c r="J2417" s="8"/>
      <c r="K2417" s="8"/>
    </row>
    <row r="2418">
      <c r="A2418" s="8" t="s">
        <v>2426</v>
      </c>
      <c r="B2418" s="8"/>
      <c r="C2418" s="8"/>
      <c r="D2418" s="8"/>
      <c r="E2418" s="8"/>
      <c r="F2418" s="8"/>
      <c r="G2418" s="8"/>
      <c r="H2418" s="8"/>
      <c r="I2418" s="8"/>
      <c r="J2418" s="8"/>
      <c r="K2418" s="8"/>
    </row>
    <row r="2419">
      <c r="A2419" s="8" t="s">
        <v>2427</v>
      </c>
      <c r="B2419" s="8"/>
      <c r="C2419" s="8"/>
      <c r="D2419" s="8"/>
      <c r="E2419" s="8"/>
      <c r="F2419" s="8"/>
      <c r="G2419" s="8"/>
      <c r="H2419" s="8"/>
      <c r="I2419" s="8"/>
      <c r="J2419" s="8"/>
      <c r="K2419" s="8"/>
    </row>
    <row r="2420">
      <c r="A2420" s="8" t="s">
        <v>2428</v>
      </c>
      <c r="B2420" s="8"/>
      <c r="C2420" s="8"/>
      <c r="D2420" s="8"/>
      <c r="E2420" s="8"/>
      <c r="F2420" s="8"/>
      <c r="G2420" s="8"/>
      <c r="H2420" s="8"/>
      <c r="I2420" s="8"/>
      <c r="J2420" s="8"/>
      <c r="K2420" s="8"/>
    </row>
    <row r="2421">
      <c r="A2421" s="8" t="s">
        <v>2429</v>
      </c>
      <c r="B2421" s="8"/>
      <c r="C2421" s="8"/>
      <c r="D2421" s="8"/>
      <c r="E2421" s="8"/>
      <c r="F2421" s="8"/>
      <c r="G2421" s="8"/>
      <c r="H2421" s="8"/>
      <c r="I2421" s="8"/>
      <c r="J2421" s="8"/>
      <c r="K2421" s="8"/>
    </row>
    <row r="2422">
      <c r="A2422" s="8" t="s">
        <v>2430</v>
      </c>
      <c r="B2422" s="8"/>
      <c r="C2422" s="8"/>
      <c r="D2422" s="8"/>
      <c r="E2422" s="8"/>
      <c r="F2422" s="8"/>
      <c r="G2422" s="8"/>
      <c r="H2422" s="8"/>
      <c r="I2422" s="8"/>
      <c r="J2422" s="8"/>
      <c r="K2422" s="8"/>
    </row>
    <row r="2423">
      <c r="A2423" s="8" t="s">
        <v>2431</v>
      </c>
      <c r="B2423" s="8"/>
      <c r="C2423" s="8"/>
      <c r="D2423" s="8"/>
      <c r="E2423" s="8"/>
      <c r="F2423" s="8"/>
      <c r="G2423" s="8"/>
      <c r="H2423" s="8"/>
      <c r="I2423" s="8"/>
      <c r="J2423" s="8"/>
      <c r="K2423" s="8"/>
    </row>
    <row r="2424">
      <c r="A2424" s="8" t="s">
        <v>2432</v>
      </c>
      <c r="B2424" s="8"/>
      <c r="C2424" s="8"/>
      <c r="D2424" s="8"/>
      <c r="E2424" s="8"/>
      <c r="F2424" s="8"/>
      <c r="G2424" s="8"/>
      <c r="H2424" s="8"/>
      <c r="I2424" s="8"/>
      <c r="J2424" s="8"/>
      <c r="K2424" s="8"/>
    </row>
    <row r="2425">
      <c r="A2425" s="8" t="s">
        <v>2433</v>
      </c>
      <c r="B2425" s="8"/>
      <c r="C2425" s="8"/>
      <c r="D2425" s="8"/>
      <c r="E2425" s="8"/>
      <c r="F2425" s="8"/>
      <c r="G2425" s="8"/>
      <c r="H2425" s="8"/>
      <c r="I2425" s="8"/>
      <c r="J2425" s="8"/>
      <c r="K2425" s="8"/>
    </row>
    <row r="2426">
      <c r="A2426" s="8" t="s">
        <v>2434</v>
      </c>
      <c r="B2426" s="8"/>
      <c r="C2426" s="8"/>
      <c r="D2426" s="8"/>
      <c r="E2426" s="8"/>
      <c r="F2426" s="8"/>
      <c r="G2426" s="8"/>
      <c r="H2426" s="8"/>
      <c r="I2426" s="8"/>
      <c r="J2426" s="8"/>
      <c r="K2426" s="8"/>
    </row>
    <row r="2427">
      <c r="A2427" s="8" t="s">
        <v>2435</v>
      </c>
      <c r="B2427" s="8"/>
      <c r="C2427" s="8"/>
      <c r="D2427" s="8"/>
      <c r="E2427" s="8"/>
      <c r="F2427" s="8"/>
      <c r="G2427" s="8"/>
      <c r="H2427" s="8"/>
      <c r="I2427" s="8"/>
      <c r="J2427" s="8"/>
      <c r="K2427" s="8"/>
    </row>
    <row r="2428">
      <c r="A2428" s="8" t="s">
        <v>2436</v>
      </c>
      <c r="B2428" s="8"/>
      <c r="C2428" s="8"/>
      <c r="D2428" s="8"/>
      <c r="E2428" s="8"/>
      <c r="F2428" s="8"/>
      <c r="G2428" s="8"/>
      <c r="H2428" s="8"/>
      <c r="I2428" s="8"/>
      <c r="J2428" s="8"/>
      <c r="K2428" s="8"/>
    </row>
    <row r="2429">
      <c r="A2429" s="8" t="s">
        <v>2437</v>
      </c>
      <c r="B2429" s="8"/>
      <c r="C2429" s="8"/>
      <c r="D2429" s="8"/>
      <c r="E2429" s="8"/>
      <c r="F2429" s="8"/>
      <c r="G2429" s="8"/>
      <c r="H2429" s="8"/>
      <c r="I2429" s="8"/>
      <c r="J2429" s="8"/>
      <c r="K2429" s="8"/>
    </row>
    <row r="2430">
      <c r="A2430" s="8" t="s">
        <v>2438</v>
      </c>
      <c r="B2430" s="8"/>
      <c r="C2430" s="8"/>
      <c r="D2430" s="8"/>
      <c r="E2430" s="8"/>
      <c r="F2430" s="8"/>
      <c r="G2430" s="8"/>
      <c r="H2430" s="8"/>
      <c r="I2430" s="8"/>
      <c r="J2430" s="8"/>
      <c r="K2430" s="8"/>
    </row>
    <row r="2431">
      <c r="A2431" s="8" t="s">
        <v>2439</v>
      </c>
      <c r="B2431" s="8"/>
      <c r="C2431" s="8"/>
      <c r="D2431" s="8"/>
      <c r="E2431" s="8"/>
      <c r="F2431" s="8"/>
      <c r="G2431" s="8"/>
      <c r="H2431" s="8"/>
      <c r="I2431" s="8"/>
      <c r="J2431" s="8"/>
      <c r="K2431" s="8"/>
    </row>
    <row r="2432">
      <c r="A2432" s="8" t="s">
        <v>2440</v>
      </c>
      <c r="B2432" s="8"/>
      <c r="C2432" s="8"/>
      <c r="D2432" s="8"/>
      <c r="E2432" s="8"/>
      <c r="F2432" s="8"/>
      <c r="G2432" s="8"/>
      <c r="H2432" s="8"/>
      <c r="I2432" s="8"/>
      <c r="J2432" s="8"/>
      <c r="K2432" s="8"/>
    </row>
    <row r="2433">
      <c r="A2433" s="8" t="s">
        <v>2441</v>
      </c>
      <c r="B2433" s="8"/>
      <c r="C2433" s="8"/>
      <c r="D2433" s="8"/>
      <c r="E2433" s="8"/>
      <c r="F2433" s="8"/>
      <c r="G2433" s="8"/>
      <c r="H2433" s="8"/>
      <c r="I2433" s="8"/>
      <c r="J2433" s="8"/>
      <c r="K2433" s="8"/>
    </row>
    <row r="2434">
      <c r="A2434" s="8" t="s">
        <v>2442</v>
      </c>
      <c r="B2434" s="8"/>
      <c r="C2434" s="8"/>
      <c r="D2434" s="8"/>
      <c r="E2434" s="8"/>
      <c r="F2434" s="8"/>
      <c r="G2434" s="8"/>
      <c r="H2434" s="8"/>
      <c r="I2434" s="8"/>
      <c r="J2434" s="8"/>
      <c r="K2434" s="8"/>
    </row>
    <row r="2435">
      <c r="A2435" s="8" t="s">
        <v>2443</v>
      </c>
      <c r="B2435" s="8"/>
      <c r="C2435" s="8"/>
      <c r="D2435" s="8"/>
      <c r="E2435" s="8"/>
      <c r="F2435" s="8"/>
      <c r="G2435" s="8"/>
      <c r="H2435" s="8"/>
      <c r="I2435" s="8"/>
      <c r="J2435" s="8"/>
      <c r="K2435" s="8"/>
    </row>
    <row r="2436">
      <c r="A2436" s="8" t="s">
        <v>2444</v>
      </c>
      <c r="B2436" s="8"/>
      <c r="C2436" s="8"/>
      <c r="D2436" s="8"/>
      <c r="E2436" s="8"/>
      <c r="F2436" s="8"/>
      <c r="G2436" s="8"/>
      <c r="H2436" s="8"/>
      <c r="I2436" s="8"/>
      <c r="J2436" s="8"/>
      <c r="K2436" s="8"/>
    </row>
    <row r="2437">
      <c r="A2437" s="8" t="s">
        <v>2445</v>
      </c>
      <c r="B2437" s="8"/>
      <c r="C2437" s="8"/>
      <c r="D2437" s="8"/>
      <c r="E2437" s="8"/>
      <c r="F2437" s="8"/>
      <c r="G2437" s="8"/>
      <c r="H2437" s="8"/>
      <c r="I2437" s="8"/>
      <c r="J2437" s="8"/>
      <c r="K2437" s="8"/>
    </row>
    <row r="2438">
      <c r="A2438" s="8" t="s">
        <v>2446</v>
      </c>
      <c r="B2438" s="8"/>
      <c r="C2438" s="8"/>
      <c r="D2438" s="8"/>
      <c r="E2438" s="8"/>
      <c r="F2438" s="8"/>
      <c r="G2438" s="8"/>
      <c r="H2438" s="8"/>
      <c r="I2438" s="8"/>
      <c r="J2438" s="8"/>
      <c r="K2438" s="8"/>
    </row>
    <row r="2439">
      <c r="A2439" s="8" t="s">
        <v>2447</v>
      </c>
      <c r="B2439" s="8"/>
      <c r="C2439" s="8"/>
      <c r="D2439" s="8"/>
      <c r="E2439" s="8"/>
      <c r="F2439" s="8"/>
      <c r="G2439" s="8"/>
      <c r="H2439" s="8"/>
      <c r="I2439" s="8"/>
      <c r="J2439" s="8"/>
      <c r="K2439" s="8"/>
    </row>
    <row r="2440">
      <c r="A2440" s="8" t="s">
        <v>2448</v>
      </c>
      <c r="B2440" s="8"/>
      <c r="C2440" s="8"/>
      <c r="D2440" s="8"/>
      <c r="E2440" s="8"/>
      <c r="F2440" s="8"/>
      <c r="G2440" s="8"/>
      <c r="H2440" s="8"/>
      <c r="I2440" s="8"/>
      <c r="J2440" s="8"/>
      <c r="K2440" s="8"/>
    </row>
    <row r="2441">
      <c r="A2441" s="8" t="s">
        <v>2449</v>
      </c>
      <c r="B2441" s="8"/>
      <c r="C2441" s="8"/>
      <c r="D2441" s="8"/>
      <c r="E2441" s="8"/>
      <c r="F2441" s="8"/>
      <c r="G2441" s="8"/>
      <c r="H2441" s="8"/>
      <c r="I2441" s="8"/>
      <c r="J2441" s="8"/>
      <c r="K2441" s="8"/>
    </row>
    <row r="2442">
      <c r="A2442" s="8" t="s">
        <v>2450</v>
      </c>
      <c r="B2442" s="8"/>
      <c r="C2442" s="8"/>
      <c r="D2442" s="8"/>
      <c r="E2442" s="8"/>
      <c r="F2442" s="8"/>
      <c r="G2442" s="8"/>
      <c r="H2442" s="8"/>
      <c r="I2442" s="8"/>
      <c r="J2442" s="8"/>
      <c r="K2442" s="8"/>
    </row>
    <row r="2443">
      <c r="A2443" s="8" t="s">
        <v>2451</v>
      </c>
      <c r="B2443" s="8"/>
      <c r="C2443" s="8"/>
      <c r="D2443" s="8"/>
      <c r="E2443" s="8"/>
      <c r="F2443" s="8"/>
      <c r="G2443" s="8"/>
      <c r="H2443" s="8"/>
      <c r="I2443" s="8"/>
      <c r="J2443" s="8"/>
      <c r="K2443" s="8"/>
    </row>
    <row r="2444">
      <c r="A2444" s="8" t="s">
        <v>2452</v>
      </c>
      <c r="B2444" s="8"/>
      <c r="C2444" s="8"/>
      <c r="D2444" s="8"/>
      <c r="E2444" s="8"/>
      <c r="F2444" s="8"/>
      <c r="G2444" s="8"/>
      <c r="H2444" s="8"/>
      <c r="I2444" s="8"/>
      <c r="J2444" s="8"/>
      <c r="K2444" s="8"/>
    </row>
    <row r="2445">
      <c r="A2445" s="8" t="s">
        <v>2453</v>
      </c>
      <c r="B2445" s="8"/>
      <c r="C2445" s="8"/>
      <c r="D2445" s="8"/>
      <c r="E2445" s="8"/>
      <c r="F2445" s="8"/>
      <c r="G2445" s="8"/>
      <c r="H2445" s="8"/>
      <c r="I2445" s="8"/>
      <c r="J2445" s="8"/>
      <c r="K2445" s="8"/>
    </row>
    <row r="2446">
      <c r="A2446" s="8" t="s">
        <v>2454</v>
      </c>
      <c r="B2446" s="8"/>
      <c r="C2446" s="8"/>
      <c r="D2446" s="8"/>
      <c r="E2446" s="8"/>
      <c r="F2446" s="8"/>
      <c r="G2446" s="8"/>
      <c r="H2446" s="8"/>
      <c r="I2446" s="8"/>
      <c r="J2446" s="8"/>
      <c r="K2446" s="8"/>
    </row>
    <row r="2447">
      <c r="A2447" s="8" t="s">
        <v>2455</v>
      </c>
      <c r="B2447" s="8"/>
      <c r="C2447" s="8"/>
      <c r="D2447" s="8"/>
      <c r="E2447" s="8"/>
      <c r="F2447" s="8"/>
      <c r="G2447" s="8"/>
      <c r="H2447" s="8"/>
      <c r="I2447" s="8"/>
      <c r="J2447" s="8"/>
      <c r="K2447" s="8"/>
    </row>
    <row r="2448">
      <c r="A2448" s="8" t="s">
        <v>2456</v>
      </c>
      <c r="B2448" s="8"/>
      <c r="C2448" s="8"/>
      <c r="D2448" s="8"/>
      <c r="E2448" s="8"/>
      <c r="F2448" s="8"/>
      <c r="G2448" s="8"/>
      <c r="H2448" s="8"/>
      <c r="I2448" s="8"/>
      <c r="J2448" s="8"/>
      <c r="K2448" s="8"/>
    </row>
    <row r="2449">
      <c r="A2449" s="8" t="s">
        <v>2457</v>
      </c>
      <c r="B2449" s="8"/>
      <c r="C2449" s="8"/>
      <c r="D2449" s="8"/>
      <c r="E2449" s="8"/>
      <c r="F2449" s="8"/>
      <c r="G2449" s="8"/>
      <c r="H2449" s="8"/>
      <c r="I2449" s="8"/>
      <c r="J2449" s="8"/>
      <c r="K2449" s="8"/>
    </row>
    <row r="2450">
      <c r="A2450" s="8" t="s">
        <v>2458</v>
      </c>
      <c r="B2450" s="8"/>
      <c r="C2450" s="8"/>
      <c r="D2450" s="8"/>
      <c r="E2450" s="8"/>
      <c r="F2450" s="8"/>
      <c r="G2450" s="8"/>
      <c r="H2450" s="8"/>
      <c r="I2450" s="8"/>
      <c r="J2450" s="8"/>
      <c r="K2450" s="8"/>
    </row>
    <row r="2451">
      <c r="A2451" s="8" t="s">
        <v>2459</v>
      </c>
      <c r="B2451" s="8"/>
      <c r="C2451" s="8"/>
      <c r="D2451" s="8"/>
      <c r="E2451" s="8"/>
      <c r="F2451" s="8"/>
      <c r="G2451" s="8"/>
      <c r="H2451" s="8"/>
      <c r="I2451" s="8"/>
      <c r="J2451" s="8"/>
      <c r="K2451" s="8"/>
    </row>
    <row r="2452">
      <c r="A2452" s="8" t="s">
        <v>2460</v>
      </c>
      <c r="B2452" s="8"/>
      <c r="C2452" s="8"/>
      <c r="D2452" s="8"/>
      <c r="E2452" s="8"/>
      <c r="F2452" s="8"/>
      <c r="G2452" s="8"/>
      <c r="H2452" s="8"/>
      <c r="I2452" s="8"/>
      <c r="J2452" s="8"/>
      <c r="K2452" s="8"/>
    </row>
    <row r="2453">
      <c r="A2453" s="8" t="s">
        <v>2461</v>
      </c>
      <c r="B2453" s="8"/>
      <c r="C2453" s="8"/>
      <c r="D2453" s="8"/>
      <c r="E2453" s="8"/>
      <c r="F2453" s="8"/>
      <c r="G2453" s="8"/>
      <c r="H2453" s="8"/>
      <c r="I2453" s="8"/>
      <c r="J2453" s="8"/>
      <c r="K2453" s="8"/>
    </row>
    <row r="2454">
      <c r="A2454" s="8" t="s">
        <v>2462</v>
      </c>
      <c r="B2454" s="8"/>
      <c r="C2454" s="8"/>
      <c r="D2454" s="8"/>
      <c r="E2454" s="8"/>
      <c r="F2454" s="8"/>
      <c r="G2454" s="8"/>
      <c r="H2454" s="8"/>
      <c r="I2454" s="8"/>
      <c r="J2454" s="8"/>
      <c r="K2454" s="8"/>
    </row>
    <row r="2455">
      <c r="A2455" s="8" t="s">
        <v>2463</v>
      </c>
      <c r="B2455" s="8"/>
      <c r="C2455" s="8"/>
      <c r="D2455" s="8"/>
      <c r="E2455" s="8"/>
      <c r="F2455" s="8"/>
      <c r="G2455" s="8"/>
      <c r="H2455" s="8"/>
      <c r="I2455" s="8"/>
      <c r="J2455" s="8"/>
      <c r="K2455" s="8"/>
    </row>
    <row r="2456">
      <c r="A2456" s="8" t="s">
        <v>2464</v>
      </c>
      <c r="B2456" s="8"/>
      <c r="C2456" s="8"/>
      <c r="D2456" s="8"/>
      <c r="E2456" s="8"/>
      <c r="F2456" s="8"/>
      <c r="G2456" s="8"/>
      <c r="H2456" s="8"/>
      <c r="I2456" s="8"/>
      <c r="J2456" s="8"/>
      <c r="K2456" s="8"/>
    </row>
    <row r="2457">
      <c r="A2457" s="8" t="s">
        <v>2465</v>
      </c>
      <c r="B2457" s="8"/>
      <c r="C2457" s="8"/>
      <c r="D2457" s="8"/>
      <c r="E2457" s="8"/>
      <c r="F2457" s="8"/>
      <c r="G2457" s="8"/>
      <c r="H2457" s="8"/>
      <c r="I2457" s="8"/>
      <c r="J2457" s="8"/>
      <c r="K2457" s="8"/>
    </row>
    <row r="2458">
      <c r="A2458" s="8" t="s">
        <v>2466</v>
      </c>
      <c r="B2458" s="8"/>
      <c r="C2458" s="8"/>
      <c r="D2458" s="8"/>
      <c r="E2458" s="8"/>
      <c r="F2458" s="8"/>
      <c r="G2458" s="8"/>
      <c r="H2458" s="8"/>
      <c r="I2458" s="8"/>
      <c r="J2458" s="8"/>
      <c r="K2458" s="8"/>
    </row>
    <row r="2459">
      <c r="A2459" s="8" t="s">
        <v>2467</v>
      </c>
      <c r="B2459" s="8"/>
      <c r="C2459" s="8"/>
      <c r="D2459" s="8"/>
      <c r="E2459" s="8"/>
      <c r="F2459" s="8"/>
      <c r="G2459" s="8"/>
      <c r="H2459" s="8"/>
      <c r="I2459" s="8"/>
      <c r="J2459" s="8"/>
      <c r="K2459" s="8"/>
    </row>
    <row r="2460">
      <c r="A2460" s="8" t="s">
        <v>2468</v>
      </c>
      <c r="B2460" s="8"/>
      <c r="C2460" s="8"/>
      <c r="D2460" s="8"/>
      <c r="E2460" s="8"/>
      <c r="F2460" s="8"/>
      <c r="G2460" s="8"/>
      <c r="H2460" s="8"/>
      <c r="I2460" s="8"/>
      <c r="J2460" s="8"/>
      <c r="K2460" s="8"/>
    </row>
    <row r="2461">
      <c r="A2461" s="8" t="s">
        <v>2469</v>
      </c>
      <c r="B2461" s="8"/>
      <c r="C2461" s="8"/>
      <c r="D2461" s="8"/>
      <c r="E2461" s="8"/>
      <c r="F2461" s="8"/>
      <c r="G2461" s="8"/>
      <c r="H2461" s="8"/>
      <c r="I2461" s="8"/>
      <c r="J2461" s="8"/>
      <c r="K2461" s="8"/>
    </row>
    <row r="2462">
      <c r="A2462" s="8" t="s">
        <v>2470</v>
      </c>
      <c r="B2462" s="8"/>
      <c r="C2462" s="8"/>
      <c r="D2462" s="8"/>
      <c r="E2462" s="8"/>
      <c r="F2462" s="8"/>
      <c r="G2462" s="8"/>
      <c r="H2462" s="8"/>
      <c r="I2462" s="8"/>
      <c r="J2462" s="8"/>
      <c r="K2462" s="8"/>
    </row>
    <row r="2463">
      <c r="A2463" s="8" t="s">
        <v>2471</v>
      </c>
      <c r="B2463" s="8"/>
      <c r="C2463" s="8"/>
      <c r="D2463" s="8"/>
      <c r="E2463" s="8"/>
      <c r="F2463" s="8"/>
      <c r="G2463" s="8"/>
      <c r="H2463" s="8"/>
      <c r="I2463" s="8"/>
      <c r="J2463" s="8"/>
      <c r="K2463" s="8"/>
    </row>
    <row r="2464">
      <c r="A2464" s="8" t="s">
        <v>2472</v>
      </c>
      <c r="B2464" s="8"/>
      <c r="C2464" s="8"/>
      <c r="D2464" s="8"/>
      <c r="E2464" s="8"/>
      <c r="F2464" s="8"/>
      <c r="G2464" s="8"/>
      <c r="H2464" s="8"/>
      <c r="I2464" s="8"/>
      <c r="J2464" s="8"/>
      <c r="K2464" s="8"/>
    </row>
    <row r="2465">
      <c r="A2465" s="8" t="s">
        <v>2473</v>
      </c>
      <c r="B2465" s="8"/>
      <c r="C2465" s="8"/>
      <c r="D2465" s="8"/>
      <c r="E2465" s="8"/>
      <c r="F2465" s="8"/>
      <c r="G2465" s="8"/>
      <c r="H2465" s="8"/>
      <c r="I2465" s="8"/>
      <c r="J2465" s="8"/>
      <c r="K2465" s="8"/>
    </row>
    <row r="2466">
      <c r="A2466" s="8" t="s">
        <v>2474</v>
      </c>
      <c r="B2466" s="8"/>
      <c r="C2466" s="8"/>
      <c r="D2466" s="8"/>
      <c r="E2466" s="8"/>
      <c r="F2466" s="8"/>
      <c r="G2466" s="8"/>
      <c r="H2466" s="8"/>
      <c r="I2466" s="8"/>
      <c r="J2466" s="8"/>
      <c r="K2466" s="8"/>
    </row>
    <row r="2467">
      <c r="A2467" s="8" t="s">
        <v>2475</v>
      </c>
      <c r="B2467" s="8"/>
      <c r="C2467" s="8"/>
      <c r="D2467" s="8"/>
      <c r="E2467" s="8"/>
      <c r="F2467" s="8"/>
      <c r="G2467" s="8"/>
      <c r="H2467" s="8"/>
      <c r="I2467" s="8"/>
      <c r="J2467" s="8"/>
      <c r="K2467" s="8"/>
    </row>
    <row r="2468">
      <c r="A2468" s="8" t="s">
        <v>2476</v>
      </c>
      <c r="B2468" s="8"/>
      <c r="C2468" s="8"/>
      <c r="D2468" s="8"/>
      <c r="E2468" s="8"/>
      <c r="F2468" s="8"/>
      <c r="G2468" s="8"/>
      <c r="H2468" s="8"/>
      <c r="I2468" s="8"/>
      <c r="J2468" s="8"/>
      <c r="K2468" s="8"/>
    </row>
    <row r="2469">
      <c r="A2469" s="8" t="s">
        <v>2477</v>
      </c>
      <c r="B2469" s="8"/>
      <c r="C2469" s="8"/>
      <c r="D2469" s="8"/>
      <c r="E2469" s="8"/>
      <c r="F2469" s="8"/>
      <c r="G2469" s="8"/>
      <c r="H2469" s="8"/>
      <c r="I2469" s="8"/>
      <c r="J2469" s="8"/>
      <c r="K2469" s="8"/>
    </row>
    <row r="2470">
      <c r="A2470" s="8" t="s">
        <v>2478</v>
      </c>
      <c r="B2470" s="8"/>
      <c r="C2470" s="8"/>
      <c r="D2470" s="8"/>
      <c r="E2470" s="8"/>
      <c r="F2470" s="8"/>
      <c r="G2470" s="8"/>
      <c r="H2470" s="8"/>
      <c r="I2470" s="8"/>
      <c r="J2470" s="8"/>
      <c r="K2470" s="8"/>
    </row>
    <row r="2471">
      <c r="A2471" s="8" t="s">
        <v>2479</v>
      </c>
      <c r="B2471" s="8"/>
      <c r="C2471" s="8"/>
      <c r="D2471" s="8"/>
      <c r="E2471" s="8"/>
      <c r="F2471" s="8"/>
      <c r="G2471" s="8"/>
      <c r="H2471" s="8"/>
      <c r="I2471" s="8"/>
      <c r="J2471" s="8"/>
      <c r="K2471" s="8"/>
    </row>
    <row r="2472">
      <c r="A2472" s="8" t="s">
        <v>2480</v>
      </c>
      <c r="B2472" s="8"/>
      <c r="C2472" s="8"/>
      <c r="D2472" s="8"/>
      <c r="E2472" s="8"/>
      <c r="F2472" s="8"/>
      <c r="G2472" s="8"/>
      <c r="H2472" s="8"/>
      <c r="I2472" s="8"/>
      <c r="J2472" s="8"/>
      <c r="K2472" s="8"/>
    </row>
    <row r="2473">
      <c r="A2473" s="8" t="s">
        <v>2481</v>
      </c>
      <c r="B2473" s="8"/>
      <c r="C2473" s="8"/>
      <c r="D2473" s="8"/>
      <c r="E2473" s="8"/>
      <c r="F2473" s="8"/>
      <c r="G2473" s="8"/>
      <c r="H2473" s="8"/>
      <c r="I2473" s="8"/>
      <c r="J2473" s="8"/>
      <c r="K2473" s="8"/>
    </row>
    <row r="2474">
      <c r="A2474" s="8" t="s">
        <v>2482</v>
      </c>
      <c r="B2474" s="8"/>
      <c r="C2474" s="8"/>
      <c r="D2474" s="8"/>
      <c r="E2474" s="8"/>
      <c r="F2474" s="8"/>
      <c r="G2474" s="8"/>
      <c r="H2474" s="8"/>
      <c r="I2474" s="8"/>
      <c r="J2474" s="8"/>
      <c r="K2474" s="8"/>
    </row>
    <row r="2475">
      <c r="A2475" s="8" t="s">
        <v>2483</v>
      </c>
      <c r="B2475" s="8"/>
      <c r="C2475" s="8"/>
      <c r="D2475" s="8"/>
      <c r="E2475" s="8"/>
      <c r="F2475" s="8"/>
      <c r="G2475" s="8"/>
      <c r="H2475" s="8"/>
      <c r="I2475" s="8"/>
      <c r="J2475" s="8"/>
      <c r="K2475" s="8"/>
    </row>
    <row r="2476">
      <c r="A2476" s="8" t="s">
        <v>2484</v>
      </c>
      <c r="B2476" s="8"/>
      <c r="C2476" s="8"/>
      <c r="D2476" s="8"/>
      <c r="E2476" s="8"/>
      <c r="F2476" s="8"/>
      <c r="G2476" s="8"/>
      <c r="H2476" s="8"/>
      <c r="I2476" s="8"/>
      <c r="J2476" s="8"/>
      <c r="K2476" s="8"/>
    </row>
    <row r="2477">
      <c r="A2477" s="8" t="s">
        <v>2485</v>
      </c>
      <c r="B2477" s="8"/>
      <c r="C2477" s="8"/>
      <c r="D2477" s="8"/>
      <c r="E2477" s="8"/>
      <c r="F2477" s="8"/>
      <c r="G2477" s="8"/>
      <c r="H2477" s="8"/>
      <c r="I2477" s="8"/>
      <c r="J2477" s="8"/>
      <c r="K2477" s="8"/>
    </row>
    <row r="2478">
      <c r="A2478" s="8" t="s">
        <v>2486</v>
      </c>
      <c r="B2478" s="8"/>
      <c r="C2478" s="8"/>
      <c r="D2478" s="8"/>
      <c r="E2478" s="8"/>
      <c r="F2478" s="8"/>
      <c r="G2478" s="8"/>
      <c r="H2478" s="8"/>
      <c r="I2478" s="8"/>
      <c r="J2478" s="8"/>
      <c r="K2478" s="8"/>
    </row>
    <row r="2479">
      <c r="A2479" s="8" t="s">
        <v>2487</v>
      </c>
      <c r="B2479" s="8"/>
      <c r="C2479" s="8"/>
      <c r="D2479" s="8"/>
      <c r="E2479" s="8"/>
      <c r="F2479" s="8"/>
      <c r="G2479" s="8"/>
      <c r="H2479" s="8"/>
      <c r="I2479" s="8"/>
      <c r="J2479" s="8"/>
      <c r="K2479" s="8"/>
    </row>
    <row r="2480">
      <c r="A2480" s="8" t="s">
        <v>2488</v>
      </c>
      <c r="B2480" s="8"/>
      <c r="C2480" s="8"/>
      <c r="D2480" s="8"/>
      <c r="E2480" s="8"/>
      <c r="F2480" s="8"/>
      <c r="G2480" s="8"/>
      <c r="H2480" s="8"/>
      <c r="I2480" s="8"/>
      <c r="J2480" s="8"/>
      <c r="K2480" s="8"/>
    </row>
    <row r="2481">
      <c r="A2481" s="8" t="s">
        <v>2489</v>
      </c>
      <c r="B2481" s="8"/>
      <c r="C2481" s="8"/>
      <c r="D2481" s="8"/>
      <c r="E2481" s="8"/>
      <c r="F2481" s="8"/>
      <c r="G2481" s="8"/>
      <c r="H2481" s="8"/>
      <c r="I2481" s="8"/>
      <c r="J2481" s="8"/>
      <c r="K2481" s="8"/>
    </row>
    <row r="2482">
      <c r="A2482" s="8" t="s">
        <v>2490</v>
      </c>
      <c r="B2482" s="8"/>
      <c r="C2482" s="8"/>
      <c r="D2482" s="8"/>
      <c r="E2482" s="8"/>
      <c r="F2482" s="8"/>
      <c r="G2482" s="8"/>
      <c r="H2482" s="8"/>
      <c r="I2482" s="8"/>
      <c r="J2482" s="8"/>
      <c r="K2482" s="8"/>
    </row>
    <row r="2483">
      <c r="A2483" s="8" t="s">
        <v>2491</v>
      </c>
      <c r="B2483" s="8"/>
      <c r="C2483" s="8"/>
      <c r="D2483" s="8"/>
      <c r="E2483" s="8"/>
      <c r="F2483" s="8"/>
      <c r="G2483" s="8"/>
      <c r="H2483" s="8"/>
      <c r="I2483" s="8"/>
      <c r="J2483" s="8"/>
      <c r="K2483" s="8"/>
    </row>
    <row r="2484">
      <c r="A2484" s="8" t="s">
        <v>2492</v>
      </c>
      <c r="B2484" s="8"/>
      <c r="C2484" s="8"/>
      <c r="D2484" s="8"/>
      <c r="E2484" s="8"/>
      <c r="F2484" s="8"/>
      <c r="G2484" s="8"/>
      <c r="H2484" s="8"/>
      <c r="I2484" s="8"/>
      <c r="J2484" s="8"/>
      <c r="K2484" s="8"/>
    </row>
    <row r="2485">
      <c r="A2485" s="8" t="s">
        <v>2493</v>
      </c>
      <c r="B2485" s="8"/>
      <c r="C2485" s="8"/>
      <c r="D2485" s="8"/>
      <c r="E2485" s="8"/>
      <c r="F2485" s="8"/>
      <c r="G2485" s="8"/>
      <c r="H2485" s="8"/>
      <c r="I2485" s="8"/>
      <c r="J2485" s="8"/>
      <c r="K2485" s="8"/>
    </row>
    <row r="2486">
      <c r="A2486" s="8" t="s">
        <v>2494</v>
      </c>
      <c r="B2486" s="8"/>
      <c r="C2486" s="8"/>
      <c r="D2486" s="8"/>
      <c r="E2486" s="8"/>
      <c r="F2486" s="8"/>
      <c r="G2486" s="8"/>
      <c r="H2486" s="8"/>
      <c r="I2486" s="8"/>
      <c r="J2486" s="8"/>
      <c r="K2486" s="8"/>
    </row>
    <row r="2487">
      <c r="A2487" s="8" t="s">
        <v>2495</v>
      </c>
      <c r="B2487" s="8"/>
      <c r="C2487" s="8"/>
      <c r="D2487" s="8"/>
      <c r="E2487" s="8"/>
      <c r="F2487" s="8"/>
      <c r="G2487" s="8"/>
      <c r="H2487" s="8"/>
      <c r="I2487" s="8"/>
      <c r="J2487" s="8"/>
      <c r="K2487" s="8"/>
    </row>
    <row r="2488">
      <c r="A2488" s="8" t="s">
        <v>2496</v>
      </c>
      <c r="B2488" s="8"/>
      <c r="C2488" s="8"/>
      <c r="D2488" s="8"/>
      <c r="E2488" s="8"/>
      <c r="F2488" s="8"/>
      <c r="G2488" s="8"/>
      <c r="H2488" s="8"/>
      <c r="I2488" s="8"/>
      <c r="J2488" s="8"/>
      <c r="K2488" s="8"/>
    </row>
    <row r="2489">
      <c r="A2489" s="8" t="s">
        <v>2497</v>
      </c>
      <c r="B2489" s="8"/>
      <c r="C2489" s="8"/>
      <c r="D2489" s="8"/>
      <c r="E2489" s="8"/>
      <c r="F2489" s="8"/>
      <c r="G2489" s="8"/>
      <c r="H2489" s="8"/>
      <c r="I2489" s="8"/>
      <c r="J2489" s="8"/>
      <c r="K2489" s="8"/>
    </row>
    <row r="2490">
      <c r="A2490" s="8" t="s">
        <v>2498</v>
      </c>
      <c r="B2490" s="8"/>
      <c r="C2490" s="8"/>
      <c r="D2490" s="8"/>
      <c r="E2490" s="8"/>
      <c r="F2490" s="8"/>
      <c r="G2490" s="8"/>
      <c r="H2490" s="8"/>
      <c r="I2490" s="8"/>
      <c r="J2490" s="8"/>
      <c r="K2490" s="8"/>
    </row>
    <row r="2491">
      <c r="A2491" s="8" t="s">
        <v>2499</v>
      </c>
      <c r="B2491" s="8"/>
      <c r="C2491" s="8"/>
      <c r="D2491" s="8"/>
      <c r="E2491" s="8"/>
      <c r="F2491" s="8"/>
      <c r="G2491" s="8"/>
      <c r="H2491" s="8"/>
      <c r="I2491" s="8"/>
      <c r="J2491" s="8"/>
      <c r="K2491" s="8"/>
    </row>
    <row r="2492">
      <c r="A2492" s="8" t="s">
        <v>2500</v>
      </c>
      <c r="B2492" s="8"/>
      <c r="C2492" s="8"/>
      <c r="D2492" s="8"/>
      <c r="E2492" s="8"/>
      <c r="F2492" s="8"/>
      <c r="G2492" s="8"/>
      <c r="H2492" s="8"/>
      <c r="I2492" s="8"/>
      <c r="J2492" s="8"/>
      <c r="K2492" s="8"/>
    </row>
    <row r="2493">
      <c r="A2493" s="8" t="s">
        <v>2501</v>
      </c>
      <c r="B2493" s="8"/>
      <c r="C2493" s="8"/>
      <c r="D2493" s="8"/>
      <c r="E2493" s="8"/>
      <c r="F2493" s="8"/>
      <c r="G2493" s="8"/>
      <c r="H2493" s="8"/>
      <c r="I2493" s="8"/>
      <c r="J2493" s="8"/>
      <c r="K2493" s="8"/>
    </row>
    <row r="2494">
      <c r="A2494" s="8"/>
      <c r="B2494" s="8"/>
      <c r="C2494" s="8"/>
      <c r="D2494" s="8"/>
      <c r="E2494" s="8"/>
      <c r="F2494" s="8"/>
      <c r="G2494" s="8"/>
      <c r="H2494" s="8"/>
      <c r="I2494" s="8"/>
      <c r="J2494" s="8"/>
      <c r="K2494" s="8"/>
    </row>
    <row r="2495">
      <c r="A2495" s="8"/>
      <c r="B2495" s="8"/>
      <c r="C2495" s="8"/>
      <c r="D2495" s="8"/>
      <c r="E2495" s="8"/>
      <c r="F2495" s="8"/>
      <c r="G2495" s="8"/>
      <c r="H2495" s="8"/>
      <c r="I2495" s="8"/>
      <c r="J2495" s="8"/>
      <c r="K2495" s="8"/>
    </row>
    <row r="2496">
      <c r="A2496" s="8"/>
      <c r="B2496" s="8"/>
      <c r="C2496" s="8"/>
      <c r="D2496" s="8"/>
      <c r="E2496" s="8"/>
      <c r="F2496" s="8"/>
      <c r="G2496" s="8"/>
      <c r="H2496" s="8"/>
      <c r="I2496" s="8"/>
      <c r="J2496" s="8"/>
      <c r="K2496" s="8"/>
    </row>
    <row r="2497">
      <c r="A2497" s="8"/>
      <c r="B2497" s="8"/>
      <c r="C2497" s="8"/>
      <c r="D2497" s="8"/>
      <c r="E2497" s="8"/>
      <c r="F2497" s="8"/>
      <c r="G2497" s="8"/>
      <c r="H2497" s="8"/>
      <c r="I2497" s="8"/>
      <c r="J2497" s="8"/>
      <c r="K2497" s="8"/>
    </row>
    <row r="2498">
      <c r="A2498" s="8"/>
      <c r="B2498" s="8"/>
      <c r="C2498" s="8"/>
      <c r="D2498" s="8"/>
      <c r="E2498" s="8"/>
      <c r="F2498" s="8"/>
      <c r="G2498" s="8"/>
      <c r="H2498" s="8"/>
      <c r="I2498" s="8"/>
      <c r="J2498" s="8"/>
      <c r="K2498" s="8"/>
    </row>
    <row r="2499">
      <c r="A2499" s="8"/>
      <c r="B2499" s="8"/>
      <c r="C2499" s="8"/>
      <c r="D2499" s="8"/>
      <c r="E2499" s="8"/>
      <c r="F2499" s="8"/>
      <c r="G2499" s="8"/>
      <c r="H2499" s="8"/>
      <c r="I2499" s="8"/>
      <c r="J2499" s="8"/>
      <c r="K2499" s="8"/>
    </row>
    <row r="2500">
      <c r="A2500" s="8"/>
      <c r="B2500" s="8"/>
      <c r="C2500" s="8"/>
      <c r="D2500" s="8"/>
      <c r="E2500" s="8"/>
      <c r="F2500" s="8"/>
      <c r="G2500" s="8"/>
      <c r="H2500" s="8"/>
      <c r="I2500" s="8"/>
      <c r="J2500" s="8"/>
      <c r="K2500" s="8"/>
    </row>
    <row r="2501">
      <c r="A2501" s="8"/>
      <c r="B2501" s="8"/>
      <c r="C2501" s="8"/>
      <c r="D2501" s="8"/>
      <c r="E2501" s="8"/>
      <c r="F2501" s="8"/>
      <c r="G2501" s="8"/>
      <c r="H2501" s="8"/>
      <c r="I2501" s="8"/>
      <c r="J2501" s="8"/>
      <c r="K2501" s="8"/>
    </row>
    <row r="2502">
      <c r="A2502" s="8"/>
      <c r="B2502" s="8"/>
      <c r="C2502" s="8"/>
      <c r="D2502" s="8"/>
      <c r="E2502" s="8"/>
      <c r="F2502" s="8"/>
      <c r="G2502" s="8"/>
      <c r="H2502" s="8"/>
      <c r="I2502" s="8"/>
      <c r="J2502" s="8"/>
      <c r="K2502" s="8"/>
    </row>
    <row r="2503">
      <c r="A2503" s="8"/>
      <c r="B2503" s="8"/>
      <c r="C2503" s="8"/>
      <c r="D2503" s="8"/>
      <c r="E2503" s="8"/>
      <c r="F2503" s="8"/>
      <c r="G2503" s="8"/>
      <c r="H2503" s="8"/>
      <c r="I2503" s="8"/>
      <c r="J2503" s="8"/>
      <c r="K2503" s="8"/>
    </row>
    <row r="2504">
      <c r="A2504" s="8"/>
      <c r="B2504" s="8"/>
      <c r="C2504" s="8"/>
      <c r="D2504" s="8"/>
      <c r="E2504" s="8"/>
      <c r="F2504" s="8"/>
      <c r="G2504" s="8"/>
      <c r="H2504" s="8"/>
      <c r="I2504" s="8"/>
      <c r="J2504" s="8"/>
      <c r="K2504" s="8"/>
    </row>
    <row r="2505">
      <c r="A2505" s="8"/>
      <c r="B2505" s="8"/>
      <c r="C2505" s="8"/>
      <c r="D2505" s="8"/>
      <c r="E2505" s="8"/>
      <c r="F2505" s="8"/>
      <c r="G2505" s="8"/>
      <c r="H2505" s="8"/>
      <c r="I2505" s="8"/>
      <c r="J2505" s="8"/>
      <c r="K2505" s="8"/>
    </row>
    <row r="2506">
      <c r="A2506" s="8"/>
      <c r="B2506" s="8"/>
      <c r="C2506" s="8"/>
      <c r="D2506" s="8"/>
      <c r="E2506" s="8"/>
      <c r="F2506" s="8"/>
      <c r="G2506" s="8"/>
      <c r="H2506" s="8"/>
      <c r="I2506" s="8"/>
      <c r="J2506" s="8"/>
      <c r="K2506" s="8"/>
    </row>
    <row r="2507">
      <c r="A2507" s="8"/>
      <c r="B2507" s="8"/>
      <c r="C2507" s="8"/>
      <c r="D2507" s="8"/>
      <c r="E2507" s="8"/>
      <c r="F2507" s="8"/>
      <c r="G2507" s="8"/>
      <c r="H2507" s="8"/>
      <c r="I2507" s="8"/>
      <c r="J2507" s="8"/>
      <c r="K2507" s="8"/>
    </row>
    <row r="2508">
      <c r="A2508" s="8"/>
      <c r="B2508" s="8"/>
      <c r="C2508" s="8"/>
      <c r="D2508" s="8"/>
      <c r="E2508" s="8"/>
      <c r="F2508" s="8"/>
      <c r="G2508" s="8"/>
      <c r="H2508" s="8"/>
      <c r="I2508" s="8"/>
      <c r="J2508" s="8"/>
      <c r="K2508" s="8"/>
    </row>
    <row r="2509">
      <c r="A2509" s="8"/>
      <c r="B2509" s="8"/>
      <c r="C2509" s="8"/>
      <c r="D2509" s="8"/>
      <c r="E2509" s="8"/>
      <c r="F2509" s="8"/>
      <c r="G2509" s="8"/>
      <c r="H2509" s="8"/>
      <c r="I2509" s="8"/>
      <c r="J2509" s="8"/>
      <c r="K2509" s="8"/>
    </row>
    <row r="2510">
      <c r="A2510" s="8"/>
      <c r="B2510" s="8"/>
      <c r="C2510" s="8"/>
      <c r="D2510" s="8"/>
      <c r="E2510" s="8"/>
      <c r="F2510" s="8"/>
      <c r="G2510" s="8"/>
      <c r="H2510" s="8"/>
      <c r="I2510" s="8"/>
      <c r="J2510" s="8"/>
      <c r="K2510" s="8"/>
    </row>
    <row r="2511">
      <c r="A2511" s="8"/>
      <c r="B2511" s="8"/>
      <c r="C2511" s="8"/>
      <c r="D2511" s="8"/>
      <c r="E2511" s="8"/>
      <c r="F2511" s="8"/>
      <c r="G2511" s="8"/>
      <c r="H2511" s="8"/>
      <c r="I2511" s="8"/>
      <c r="J2511" s="8"/>
      <c r="K2511" s="8"/>
    </row>
    <row r="2512">
      <c r="A2512" s="8"/>
      <c r="B2512" s="8"/>
      <c r="C2512" s="8"/>
      <c r="D2512" s="8"/>
      <c r="E2512" s="8"/>
      <c r="F2512" s="8"/>
      <c r="G2512" s="8"/>
      <c r="H2512" s="8"/>
      <c r="I2512" s="8"/>
      <c r="J2512" s="8"/>
      <c r="K2512" s="8"/>
    </row>
    <row r="2513">
      <c r="A2513" s="8"/>
      <c r="B2513" s="8"/>
      <c r="C2513" s="8"/>
      <c r="D2513" s="8"/>
      <c r="E2513" s="8"/>
      <c r="F2513" s="8"/>
      <c r="G2513" s="8"/>
      <c r="H2513" s="8"/>
      <c r="I2513" s="8"/>
      <c r="J2513" s="8"/>
      <c r="K2513" s="8"/>
    </row>
    <row r="2514">
      <c r="A2514" s="8"/>
      <c r="B2514" s="8"/>
      <c r="C2514" s="8"/>
      <c r="D2514" s="8"/>
      <c r="E2514" s="8"/>
      <c r="F2514" s="8"/>
      <c r="G2514" s="8"/>
      <c r="H2514" s="8"/>
      <c r="I2514" s="8"/>
      <c r="J2514" s="8"/>
      <c r="K2514" s="8"/>
    </row>
    <row r="2515">
      <c r="A2515" s="8"/>
      <c r="B2515" s="8"/>
      <c r="C2515" s="8"/>
      <c r="D2515" s="8"/>
      <c r="E2515" s="8"/>
      <c r="F2515" s="8"/>
      <c r="G2515" s="8"/>
      <c r="H2515" s="8"/>
      <c r="I2515" s="8"/>
      <c r="J2515" s="8"/>
      <c r="K2515" s="8"/>
    </row>
    <row r="2516">
      <c r="A2516" s="8"/>
      <c r="B2516" s="8"/>
      <c r="C2516" s="8"/>
      <c r="D2516" s="8"/>
      <c r="E2516" s="8"/>
      <c r="F2516" s="8"/>
      <c r="G2516" s="8"/>
      <c r="H2516" s="8"/>
      <c r="I2516" s="8"/>
      <c r="J2516" s="8"/>
      <c r="K2516" s="8"/>
    </row>
    <row r="2517">
      <c r="A2517" s="8"/>
      <c r="B2517" s="8"/>
      <c r="C2517" s="8"/>
      <c r="D2517" s="8"/>
      <c r="E2517" s="8"/>
      <c r="F2517" s="8"/>
      <c r="G2517" s="8"/>
      <c r="H2517" s="8"/>
      <c r="I2517" s="8"/>
      <c r="J2517" s="8"/>
      <c r="K2517" s="8"/>
    </row>
    <row r="2518">
      <c r="A2518" s="8"/>
      <c r="B2518" s="8"/>
      <c r="C2518" s="8"/>
      <c r="D2518" s="8"/>
      <c r="E2518" s="8"/>
      <c r="F2518" s="8"/>
      <c r="G2518" s="8"/>
      <c r="H2518" s="8"/>
      <c r="I2518" s="8"/>
      <c r="J2518" s="8"/>
      <c r="K2518" s="8"/>
    </row>
    <row r="2519">
      <c r="A2519" s="8"/>
      <c r="B2519" s="8"/>
      <c r="C2519" s="8"/>
      <c r="D2519" s="8"/>
      <c r="E2519" s="8"/>
      <c r="F2519" s="8"/>
      <c r="G2519" s="8"/>
      <c r="H2519" s="8"/>
      <c r="I2519" s="8"/>
      <c r="J2519" s="8"/>
      <c r="K2519" s="8"/>
    </row>
    <row r="2520">
      <c r="A2520" s="8"/>
      <c r="B2520" s="8"/>
      <c r="C2520" s="8"/>
      <c r="D2520" s="8"/>
      <c r="E2520" s="8"/>
      <c r="F2520" s="8"/>
      <c r="G2520" s="8"/>
      <c r="H2520" s="8"/>
      <c r="I2520" s="8"/>
      <c r="J2520" s="8"/>
      <c r="K2520" s="8"/>
    </row>
    <row r="2521">
      <c r="A2521" s="8"/>
      <c r="B2521" s="8"/>
      <c r="C2521" s="8"/>
      <c r="D2521" s="8"/>
      <c r="E2521" s="8"/>
      <c r="F2521" s="8"/>
      <c r="G2521" s="8"/>
      <c r="H2521" s="8"/>
      <c r="I2521" s="8"/>
      <c r="J2521" s="8"/>
      <c r="K2521" s="8"/>
    </row>
    <row r="2522">
      <c r="A2522" s="8"/>
      <c r="B2522" s="8"/>
      <c r="C2522" s="8"/>
      <c r="D2522" s="8"/>
      <c r="E2522" s="8"/>
      <c r="F2522" s="8"/>
      <c r="G2522" s="8"/>
      <c r="H2522" s="8"/>
      <c r="I2522" s="8"/>
      <c r="J2522" s="8"/>
      <c r="K2522" s="8"/>
    </row>
    <row r="2523">
      <c r="A2523" s="8"/>
      <c r="B2523" s="8"/>
      <c r="C2523" s="8"/>
      <c r="D2523" s="8"/>
      <c r="E2523" s="8"/>
      <c r="F2523" s="8"/>
      <c r="G2523" s="8"/>
      <c r="H2523" s="8"/>
      <c r="I2523" s="8"/>
      <c r="J2523" s="8"/>
      <c r="K2523" s="8"/>
    </row>
    <row r="2524">
      <c r="A2524" s="8"/>
      <c r="B2524" s="8"/>
      <c r="C2524" s="8"/>
      <c r="D2524" s="8"/>
      <c r="E2524" s="8"/>
      <c r="F2524" s="8"/>
      <c r="G2524" s="8"/>
      <c r="H2524" s="8"/>
      <c r="I2524" s="8"/>
      <c r="J2524" s="8"/>
      <c r="K2524" s="8"/>
    </row>
    <row r="2525">
      <c r="A2525" s="8"/>
      <c r="B2525" s="8"/>
      <c r="C2525" s="8"/>
      <c r="D2525" s="8"/>
      <c r="E2525" s="8"/>
      <c r="F2525" s="8"/>
      <c r="G2525" s="8"/>
      <c r="H2525" s="8"/>
      <c r="I2525" s="8"/>
      <c r="J2525" s="8"/>
      <c r="K2525" s="8"/>
    </row>
    <row r="2526">
      <c r="A2526" s="8"/>
      <c r="B2526" s="8"/>
      <c r="C2526" s="8"/>
      <c r="D2526" s="8"/>
      <c r="E2526" s="8"/>
      <c r="F2526" s="8"/>
      <c r="G2526" s="8"/>
      <c r="H2526" s="8"/>
      <c r="I2526" s="8"/>
      <c r="J2526" s="8"/>
      <c r="K2526" s="8"/>
    </row>
    <row r="2527">
      <c r="A2527" s="8"/>
      <c r="B2527" s="8"/>
      <c r="C2527" s="8"/>
      <c r="D2527" s="8"/>
      <c r="E2527" s="8"/>
      <c r="F2527" s="8"/>
      <c r="G2527" s="8"/>
      <c r="H2527" s="8"/>
      <c r="I2527" s="8"/>
      <c r="J2527" s="8"/>
      <c r="K2527" s="8"/>
    </row>
    <row r="2528">
      <c r="A2528" s="8"/>
      <c r="B2528" s="8"/>
      <c r="C2528" s="8"/>
      <c r="D2528" s="8"/>
      <c r="E2528" s="8"/>
      <c r="F2528" s="8"/>
      <c r="G2528" s="8"/>
      <c r="H2528" s="8"/>
      <c r="I2528" s="8"/>
      <c r="J2528" s="8"/>
      <c r="K2528" s="8"/>
    </row>
    <row r="2529">
      <c r="A2529" s="8"/>
      <c r="B2529" s="8"/>
      <c r="C2529" s="8"/>
      <c r="D2529" s="8"/>
      <c r="E2529" s="8"/>
      <c r="F2529" s="8"/>
      <c r="G2529" s="8"/>
      <c r="H2529" s="8"/>
      <c r="I2529" s="8"/>
      <c r="J2529" s="8"/>
      <c r="K2529" s="8"/>
    </row>
    <row r="2530">
      <c r="A2530" s="8"/>
      <c r="B2530" s="8"/>
      <c r="C2530" s="8"/>
      <c r="D2530" s="8"/>
      <c r="E2530" s="8"/>
      <c r="F2530" s="8"/>
      <c r="G2530" s="8"/>
      <c r="H2530" s="8"/>
      <c r="I2530" s="8"/>
      <c r="J2530" s="8"/>
      <c r="K2530" s="8"/>
    </row>
    <row r="2531">
      <c r="A2531" s="8"/>
      <c r="B2531" s="8"/>
      <c r="C2531" s="8"/>
      <c r="D2531" s="8"/>
      <c r="E2531" s="8"/>
      <c r="F2531" s="8"/>
      <c r="G2531" s="8"/>
      <c r="H2531" s="8"/>
      <c r="I2531" s="8"/>
      <c r="J2531" s="8"/>
      <c r="K2531" s="8"/>
    </row>
    <row r="2532">
      <c r="A2532" s="8"/>
      <c r="B2532" s="8"/>
      <c r="C2532" s="8"/>
      <c r="D2532" s="8"/>
      <c r="E2532" s="8"/>
      <c r="F2532" s="8"/>
      <c r="G2532" s="8"/>
      <c r="H2532" s="8"/>
      <c r="I2532" s="8"/>
      <c r="J2532" s="8"/>
      <c r="K2532" s="8"/>
    </row>
    <row r="2533">
      <c r="A2533" s="8"/>
      <c r="B2533" s="8"/>
      <c r="C2533" s="8"/>
      <c r="D2533" s="8"/>
      <c r="E2533" s="8"/>
      <c r="F2533" s="8"/>
      <c r="G2533" s="8"/>
      <c r="H2533" s="8"/>
      <c r="I2533" s="8"/>
      <c r="J2533" s="8"/>
      <c r="K2533" s="8"/>
    </row>
    <row r="2534">
      <c r="A2534" s="8"/>
      <c r="B2534" s="8"/>
      <c r="C2534" s="8"/>
      <c r="D2534" s="8"/>
      <c r="E2534" s="8"/>
      <c r="F2534" s="8"/>
      <c r="G2534" s="8"/>
      <c r="H2534" s="8"/>
      <c r="I2534" s="8"/>
      <c r="J2534" s="8"/>
      <c r="K2534" s="8"/>
    </row>
    <row r="2535">
      <c r="A2535" s="8"/>
      <c r="B2535" s="8"/>
      <c r="C2535" s="8"/>
      <c r="D2535" s="8"/>
      <c r="E2535" s="8"/>
      <c r="F2535" s="8"/>
      <c r="G2535" s="8"/>
      <c r="H2535" s="8"/>
      <c r="I2535" s="8"/>
      <c r="J2535" s="8"/>
      <c r="K2535" s="8"/>
    </row>
    <row r="2536">
      <c r="A2536" s="8"/>
      <c r="B2536" s="8"/>
      <c r="C2536" s="8"/>
      <c r="D2536" s="8"/>
      <c r="E2536" s="8"/>
      <c r="F2536" s="8"/>
      <c r="G2536" s="8"/>
      <c r="H2536" s="8"/>
      <c r="I2536" s="8"/>
      <c r="J2536" s="8"/>
      <c r="K2536" s="8"/>
    </row>
    <row r="2537">
      <c r="A2537" s="8"/>
      <c r="B2537" s="8"/>
      <c r="C2537" s="8"/>
      <c r="D2537" s="8"/>
      <c r="E2537" s="8"/>
      <c r="F2537" s="8"/>
      <c r="G2537" s="8"/>
      <c r="H2537" s="8"/>
      <c r="I2537" s="8"/>
      <c r="J2537" s="8"/>
      <c r="K2537" s="8"/>
    </row>
    <row r="2538">
      <c r="A2538" s="8"/>
      <c r="B2538" s="8"/>
      <c r="C2538" s="8"/>
      <c r="D2538" s="8"/>
      <c r="E2538" s="8"/>
      <c r="F2538" s="8"/>
      <c r="G2538" s="8"/>
      <c r="H2538" s="8"/>
      <c r="I2538" s="8"/>
      <c r="J2538" s="8"/>
      <c r="K2538" s="8"/>
    </row>
    <row r="2539">
      <c r="A2539" s="8"/>
      <c r="B2539" s="8"/>
      <c r="C2539" s="8"/>
      <c r="D2539" s="8"/>
      <c r="E2539" s="8"/>
      <c r="F2539" s="8"/>
      <c r="G2539" s="8"/>
      <c r="H2539" s="8"/>
      <c r="I2539" s="8"/>
      <c r="J2539" s="8"/>
      <c r="K2539" s="8"/>
    </row>
    <row r="2540">
      <c r="A2540" s="8"/>
      <c r="B2540" s="8"/>
      <c r="C2540" s="8"/>
      <c r="D2540" s="8"/>
      <c r="E2540" s="8"/>
      <c r="F2540" s="8"/>
      <c r="G2540" s="8"/>
      <c r="H2540" s="8"/>
      <c r="I2540" s="8"/>
      <c r="J2540" s="8"/>
      <c r="K2540" s="8"/>
    </row>
    <row r="2541">
      <c r="A2541" s="8"/>
      <c r="B2541" s="8"/>
      <c r="C2541" s="8"/>
      <c r="D2541" s="8"/>
      <c r="E2541" s="8"/>
      <c r="F2541" s="8"/>
      <c r="G2541" s="8"/>
      <c r="H2541" s="8"/>
      <c r="I2541" s="8"/>
      <c r="J2541" s="8"/>
      <c r="K2541" s="8"/>
    </row>
    <row r="2542">
      <c r="A2542" s="8"/>
      <c r="B2542" s="8"/>
      <c r="C2542" s="8"/>
      <c r="D2542" s="8"/>
      <c r="E2542" s="8"/>
      <c r="F2542" s="8"/>
      <c r="G2542" s="8"/>
      <c r="H2542" s="8"/>
      <c r="I2542" s="8"/>
      <c r="J2542" s="8"/>
      <c r="K2542" s="8"/>
    </row>
    <row r="2543">
      <c r="A2543" s="8"/>
      <c r="B2543" s="8"/>
      <c r="C2543" s="8"/>
      <c r="D2543" s="8"/>
      <c r="E2543" s="8"/>
      <c r="F2543" s="8"/>
      <c r="G2543" s="8"/>
      <c r="H2543" s="8"/>
      <c r="I2543" s="8"/>
      <c r="J2543" s="8"/>
      <c r="K2543" s="8"/>
    </row>
    <row r="2544">
      <c r="A2544" s="8"/>
      <c r="B2544" s="8"/>
      <c r="C2544" s="8"/>
      <c r="D2544" s="8"/>
      <c r="E2544" s="8"/>
      <c r="F2544" s="8"/>
      <c r="G2544" s="8"/>
      <c r="H2544" s="8"/>
      <c r="I2544" s="8"/>
      <c r="J2544" s="8"/>
      <c r="K2544" s="8"/>
    </row>
    <row r="2545">
      <c r="A2545" s="8"/>
      <c r="B2545" s="8"/>
      <c r="C2545" s="8"/>
      <c r="D2545" s="8"/>
      <c r="E2545" s="8"/>
      <c r="F2545" s="8"/>
      <c r="G2545" s="8"/>
      <c r="H2545" s="8"/>
      <c r="I2545" s="8"/>
      <c r="J2545" s="8"/>
      <c r="K2545" s="8"/>
    </row>
    <row r="2546">
      <c r="A2546" s="8"/>
      <c r="B2546" s="8"/>
      <c r="C2546" s="8"/>
      <c r="D2546" s="8"/>
      <c r="E2546" s="8"/>
      <c r="F2546" s="8"/>
      <c r="G2546" s="8"/>
      <c r="H2546" s="8"/>
      <c r="I2546" s="8"/>
      <c r="J2546" s="8"/>
      <c r="K2546" s="8"/>
    </row>
    <row r="2547">
      <c r="A2547" s="8"/>
      <c r="B2547" s="8"/>
      <c r="C2547" s="8"/>
      <c r="D2547" s="8"/>
      <c r="E2547" s="8"/>
      <c r="F2547" s="8"/>
      <c r="G2547" s="8"/>
      <c r="H2547" s="8"/>
      <c r="I2547" s="8"/>
      <c r="J2547" s="8"/>
      <c r="K2547" s="8"/>
    </row>
    <row r="2548">
      <c r="A2548" s="8"/>
      <c r="B2548" s="8"/>
      <c r="C2548" s="8"/>
      <c r="D2548" s="8"/>
      <c r="E2548" s="8"/>
      <c r="F2548" s="8"/>
      <c r="G2548" s="8"/>
      <c r="H2548" s="8"/>
      <c r="I2548" s="8"/>
      <c r="J2548" s="8"/>
      <c r="K2548" s="8"/>
    </row>
    <row r="2549">
      <c r="A2549" s="8"/>
      <c r="B2549" s="8"/>
      <c r="C2549" s="8"/>
      <c r="D2549" s="8"/>
      <c r="E2549" s="8"/>
      <c r="F2549" s="8"/>
      <c r="G2549" s="8"/>
      <c r="H2549" s="8"/>
      <c r="I2549" s="8"/>
      <c r="J2549" s="8"/>
      <c r="K2549" s="8"/>
    </row>
    <row r="2550">
      <c r="A2550" s="8"/>
      <c r="B2550" s="8"/>
      <c r="C2550" s="8"/>
      <c r="D2550" s="8"/>
      <c r="E2550" s="8"/>
      <c r="F2550" s="8"/>
      <c r="G2550" s="8"/>
      <c r="H2550" s="8"/>
      <c r="I2550" s="8"/>
      <c r="J2550" s="8"/>
      <c r="K2550" s="8"/>
    </row>
    <row r="2551">
      <c r="A2551" s="8"/>
      <c r="B2551" s="8"/>
      <c r="C2551" s="8"/>
      <c r="D2551" s="8"/>
      <c r="E2551" s="8"/>
      <c r="F2551" s="8"/>
      <c r="G2551" s="8"/>
      <c r="H2551" s="8"/>
      <c r="I2551" s="8"/>
      <c r="J2551" s="8"/>
      <c r="K2551" s="8"/>
    </row>
    <row r="2552">
      <c r="A2552" s="8"/>
      <c r="B2552" s="8"/>
      <c r="C2552" s="8"/>
      <c r="D2552" s="8"/>
      <c r="E2552" s="8"/>
      <c r="F2552" s="8"/>
      <c r="G2552" s="8"/>
      <c r="H2552" s="8"/>
      <c r="I2552" s="8"/>
      <c r="J2552" s="8"/>
      <c r="K2552" s="8"/>
    </row>
    <row r="2553">
      <c r="A2553" s="8"/>
      <c r="B2553" s="8"/>
      <c r="C2553" s="8"/>
      <c r="D2553" s="8"/>
      <c r="E2553" s="8"/>
      <c r="F2553" s="8"/>
      <c r="G2553" s="8"/>
      <c r="H2553" s="8"/>
      <c r="I2553" s="8"/>
      <c r="J2553" s="8"/>
      <c r="K2553" s="8"/>
    </row>
    <row r="2554">
      <c r="A2554" s="8"/>
      <c r="B2554" s="8"/>
      <c r="C2554" s="8"/>
      <c r="D2554" s="8"/>
      <c r="E2554" s="8"/>
      <c r="F2554" s="8"/>
      <c r="G2554" s="8"/>
      <c r="H2554" s="8"/>
      <c r="I2554" s="8"/>
      <c r="J2554" s="8"/>
      <c r="K2554" s="8"/>
    </row>
    <row r="2555">
      <c r="A2555" s="8"/>
      <c r="B2555" s="8"/>
      <c r="C2555" s="8"/>
      <c r="D2555" s="8"/>
      <c r="E2555" s="8"/>
      <c r="F2555" s="8"/>
      <c r="G2555" s="8"/>
      <c r="H2555" s="8"/>
      <c r="I2555" s="8"/>
      <c r="J2555" s="8"/>
      <c r="K2555" s="8"/>
    </row>
    <row r="2556">
      <c r="A2556" s="8"/>
      <c r="B2556" s="8"/>
      <c r="C2556" s="8"/>
      <c r="D2556" s="8"/>
      <c r="E2556" s="8"/>
      <c r="F2556" s="8"/>
      <c r="G2556" s="8"/>
      <c r="H2556" s="8"/>
      <c r="I2556" s="8"/>
      <c r="J2556" s="8"/>
      <c r="K2556" s="8"/>
    </row>
    <row r="2557">
      <c r="A2557" s="8"/>
      <c r="B2557" s="8"/>
      <c r="C2557" s="8"/>
      <c r="D2557" s="8"/>
      <c r="E2557" s="8"/>
      <c r="F2557" s="8"/>
      <c r="G2557" s="8"/>
      <c r="H2557" s="8"/>
      <c r="I2557" s="8"/>
      <c r="J2557" s="8"/>
      <c r="K2557" s="8"/>
    </row>
    <row r="2558">
      <c r="A2558" s="8"/>
      <c r="B2558" s="8"/>
      <c r="C2558" s="8"/>
      <c r="D2558" s="8"/>
      <c r="E2558" s="8"/>
      <c r="F2558" s="8"/>
      <c r="G2558" s="8"/>
      <c r="H2558" s="8"/>
      <c r="I2558" s="8"/>
      <c r="J2558" s="8"/>
      <c r="K2558" s="8"/>
    </row>
    <row r="2559">
      <c r="A2559" s="8"/>
      <c r="B2559" s="8"/>
      <c r="C2559" s="8"/>
      <c r="D2559" s="8"/>
      <c r="E2559" s="8"/>
      <c r="F2559" s="8"/>
      <c r="G2559" s="8"/>
      <c r="H2559" s="8"/>
      <c r="I2559" s="8"/>
      <c r="J2559" s="8"/>
      <c r="K2559" s="8"/>
    </row>
    <row r="2560">
      <c r="A2560" s="8"/>
      <c r="B2560" s="8"/>
      <c r="C2560" s="8"/>
      <c r="D2560" s="8"/>
      <c r="E2560" s="8"/>
      <c r="F2560" s="8"/>
      <c r="G2560" s="8"/>
      <c r="H2560" s="8"/>
      <c r="I2560" s="8"/>
      <c r="J2560" s="8"/>
      <c r="K2560" s="8"/>
    </row>
    <row r="2561">
      <c r="A2561" s="8"/>
      <c r="B2561" s="8"/>
      <c r="C2561" s="8"/>
      <c r="D2561" s="8"/>
      <c r="E2561" s="8"/>
      <c r="F2561" s="8"/>
      <c r="G2561" s="8"/>
      <c r="H2561" s="8"/>
      <c r="I2561" s="8"/>
      <c r="J2561" s="8"/>
      <c r="K2561" s="8"/>
    </row>
    <row r="2562">
      <c r="A2562" s="8"/>
      <c r="B2562" s="8"/>
      <c r="C2562" s="8"/>
      <c r="D2562" s="8"/>
      <c r="E2562" s="8"/>
      <c r="F2562" s="8"/>
      <c r="G2562" s="8"/>
      <c r="H2562" s="8"/>
      <c r="I2562" s="8"/>
      <c r="J2562" s="8"/>
      <c r="K2562" s="8"/>
    </row>
    <row r="2563">
      <c r="A2563" s="8"/>
      <c r="B2563" s="8"/>
      <c r="C2563" s="8"/>
      <c r="D2563" s="8"/>
      <c r="E2563" s="8"/>
      <c r="F2563" s="8"/>
      <c r="G2563" s="8"/>
      <c r="H2563" s="8"/>
      <c r="I2563" s="8"/>
      <c r="J2563" s="8"/>
      <c r="K2563" s="8"/>
    </row>
    <row r="2564">
      <c r="A2564" s="8"/>
      <c r="B2564" s="8"/>
      <c r="C2564" s="8"/>
      <c r="D2564" s="8"/>
      <c r="E2564" s="8"/>
      <c r="F2564" s="8"/>
      <c r="G2564" s="8"/>
      <c r="H2564" s="8"/>
      <c r="I2564" s="8"/>
      <c r="J2564" s="8"/>
      <c r="K2564" s="8"/>
    </row>
    <row r="2565">
      <c r="A2565" s="8"/>
      <c r="B2565" s="8"/>
      <c r="C2565" s="8"/>
      <c r="D2565" s="8"/>
      <c r="E2565" s="8"/>
      <c r="F2565" s="8"/>
      <c r="G2565" s="8"/>
      <c r="H2565" s="8"/>
      <c r="I2565" s="8"/>
      <c r="J2565" s="8"/>
      <c r="K2565" s="8"/>
    </row>
    <row r="2566">
      <c r="A2566" s="8"/>
      <c r="B2566" s="8"/>
      <c r="C2566" s="8"/>
      <c r="D2566" s="8"/>
      <c r="E2566" s="8"/>
      <c r="F2566" s="8"/>
      <c r="G2566" s="8"/>
      <c r="H2566" s="8"/>
      <c r="I2566" s="8"/>
      <c r="J2566" s="8"/>
      <c r="K2566" s="8"/>
    </row>
    <row r="2567">
      <c r="A2567" s="8"/>
      <c r="B2567" s="8"/>
      <c r="C2567" s="8"/>
      <c r="D2567" s="8"/>
      <c r="E2567" s="8"/>
      <c r="F2567" s="8"/>
      <c r="G2567" s="8"/>
      <c r="H2567" s="8"/>
      <c r="I2567" s="8"/>
      <c r="J2567" s="8"/>
      <c r="K2567" s="8"/>
    </row>
    <row r="2568">
      <c r="A2568" s="8"/>
      <c r="B2568" s="8"/>
      <c r="C2568" s="8"/>
      <c r="D2568" s="8"/>
      <c r="E2568" s="8"/>
      <c r="F2568" s="8"/>
      <c r="G2568" s="8"/>
      <c r="H2568" s="8"/>
      <c r="I2568" s="8"/>
      <c r="J2568" s="8"/>
      <c r="K2568" s="8"/>
    </row>
    <row r="2569">
      <c r="A2569" s="8"/>
      <c r="B2569" s="8"/>
      <c r="C2569" s="8"/>
      <c r="D2569" s="8"/>
      <c r="E2569" s="8"/>
      <c r="F2569" s="8"/>
      <c r="G2569" s="8"/>
      <c r="H2569" s="8"/>
      <c r="I2569" s="8"/>
      <c r="J2569" s="8"/>
      <c r="K2569" s="8"/>
    </row>
    <row r="2570">
      <c r="A2570" s="8"/>
      <c r="B2570" s="8"/>
      <c r="C2570" s="8"/>
      <c r="D2570" s="8"/>
      <c r="E2570" s="8"/>
      <c r="F2570" s="8"/>
      <c r="G2570" s="8"/>
      <c r="H2570" s="8"/>
      <c r="I2570" s="8"/>
      <c r="J2570" s="8"/>
      <c r="K2570" s="8"/>
    </row>
    <row r="2571">
      <c r="A2571" s="8"/>
      <c r="B2571" s="8"/>
      <c r="C2571" s="8"/>
      <c r="D2571" s="8"/>
      <c r="E2571" s="8"/>
      <c r="F2571" s="8"/>
      <c r="G2571" s="8"/>
      <c r="H2571" s="8"/>
      <c r="I2571" s="8"/>
      <c r="J2571" s="8"/>
      <c r="K2571" s="8"/>
    </row>
    <row r="2572">
      <c r="A2572" s="8"/>
      <c r="B2572" s="8"/>
      <c r="C2572" s="8"/>
      <c r="D2572" s="8"/>
      <c r="E2572" s="8"/>
      <c r="F2572" s="8"/>
      <c r="G2572" s="8"/>
      <c r="H2572" s="8"/>
      <c r="I2572" s="8"/>
      <c r="J2572" s="8"/>
      <c r="K2572" s="8"/>
    </row>
    <row r="2573">
      <c r="A2573" s="8"/>
      <c r="B2573" s="8"/>
      <c r="C2573" s="8"/>
      <c r="D2573" s="8"/>
      <c r="E2573" s="8"/>
      <c r="F2573" s="8"/>
      <c r="G2573" s="8"/>
      <c r="H2573" s="8"/>
      <c r="I2573" s="8"/>
      <c r="J2573" s="8"/>
      <c r="K2573" s="8"/>
    </row>
    <row r="2574">
      <c r="A2574" s="8"/>
      <c r="B2574" s="8"/>
      <c r="C2574" s="8"/>
      <c r="D2574" s="8"/>
      <c r="E2574" s="8"/>
      <c r="F2574" s="8"/>
      <c r="G2574" s="8"/>
      <c r="H2574" s="8"/>
      <c r="I2574" s="8"/>
      <c r="J2574" s="8"/>
      <c r="K2574" s="8"/>
    </row>
    <row r="2575">
      <c r="A2575" s="8"/>
      <c r="B2575" s="8"/>
      <c r="C2575" s="8"/>
      <c r="D2575" s="8"/>
      <c r="E2575" s="8"/>
      <c r="F2575" s="8"/>
      <c r="G2575" s="8"/>
      <c r="H2575" s="8"/>
      <c r="I2575" s="8"/>
      <c r="J2575" s="8"/>
      <c r="K2575" s="8"/>
    </row>
    <row r="2576">
      <c r="A2576" s="8"/>
      <c r="B2576" s="8"/>
      <c r="C2576" s="8"/>
      <c r="D2576" s="8"/>
      <c r="E2576" s="8"/>
      <c r="F2576" s="8"/>
      <c r="G2576" s="8"/>
      <c r="H2576" s="8"/>
      <c r="I2576" s="8"/>
      <c r="J2576" s="8"/>
      <c r="K2576" s="8"/>
    </row>
    <row r="2577">
      <c r="A2577" s="8"/>
      <c r="B2577" s="8"/>
      <c r="C2577" s="8"/>
      <c r="D2577" s="8"/>
      <c r="E2577" s="8"/>
      <c r="F2577" s="8"/>
      <c r="G2577" s="8"/>
      <c r="H2577" s="8"/>
      <c r="I2577" s="8"/>
      <c r="J2577" s="8"/>
      <c r="K2577" s="8"/>
    </row>
    <row r="2578">
      <c r="A2578" s="8"/>
      <c r="B2578" s="8"/>
      <c r="C2578" s="8"/>
      <c r="D2578" s="8"/>
      <c r="E2578" s="8"/>
      <c r="F2578" s="8"/>
      <c r="G2578" s="8"/>
      <c r="H2578" s="8"/>
      <c r="I2578" s="8"/>
      <c r="J2578" s="8"/>
      <c r="K2578" s="8"/>
    </row>
    <row r="2579">
      <c r="A2579" s="8"/>
      <c r="B2579" s="8"/>
      <c r="C2579" s="8"/>
      <c r="D2579" s="8"/>
      <c r="E2579" s="8"/>
      <c r="F2579" s="8"/>
      <c r="G2579" s="8"/>
      <c r="H2579" s="8"/>
      <c r="I2579" s="8"/>
      <c r="J2579" s="8"/>
      <c r="K2579" s="8"/>
    </row>
    <row r="2580">
      <c r="A2580" s="8"/>
      <c r="B2580" s="8"/>
      <c r="C2580" s="8"/>
      <c r="D2580" s="8"/>
      <c r="E2580" s="8"/>
      <c r="F2580" s="8"/>
      <c r="G2580" s="8"/>
      <c r="H2580" s="8"/>
      <c r="I2580" s="8"/>
      <c r="J2580" s="8"/>
      <c r="K2580" s="8"/>
    </row>
    <row r="2581">
      <c r="A2581" s="8"/>
      <c r="B2581" s="8"/>
      <c r="C2581" s="8"/>
      <c r="D2581" s="8"/>
      <c r="E2581" s="8"/>
      <c r="F2581" s="8"/>
      <c r="G2581" s="8"/>
      <c r="H2581" s="8"/>
      <c r="I2581" s="8"/>
      <c r="J2581" s="8"/>
      <c r="K2581" s="8"/>
    </row>
    <row r="2582">
      <c r="A2582" s="8"/>
      <c r="B2582" s="8"/>
      <c r="C2582" s="8"/>
      <c r="D2582" s="8"/>
      <c r="E2582" s="8"/>
      <c r="F2582" s="8"/>
      <c r="G2582" s="8"/>
      <c r="H2582" s="8"/>
      <c r="I2582" s="8"/>
      <c r="J2582" s="8"/>
      <c r="K2582" s="8"/>
    </row>
    <row r="2583">
      <c r="A2583" s="8"/>
      <c r="B2583" s="8"/>
      <c r="C2583" s="8"/>
      <c r="D2583" s="8"/>
      <c r="E2583" s="8"/>
      <c r="F2583" s="8"/>
      <c r="G2583" s="8"/>
      <c r="H2583" s="8"/>
      <c r="I2583" s="8"/>
      <c r="J2583" s="8"/>
      <c r="K2583" s="8"/>
    </row>
    <row r="2584">
      <c r="A2584" s="8"/>
      <c r="B2584" s="8"/>
      <c r="C2584" s="8"/>
      <c r="D2584" s="8"/>
      <c r="E2584" s="8"/>
      <c r="F2584" s="8"/>
      <c r="G2584" s="8"/>
      <c r="H2584" s="8"/>
      <c r="I2584" s="8"/>
      <c r="J2584" s="8"/>
      <c r="K2584" s="8"/>
    </row>
    <row r="2585">
      <c r="A2585" s="8"/>
      <c r="B2585" s="8"/>
      <c r="C2585" s="8"/>
      <c r="D2585" s="8"/>
      <c r="E2585" s="8"/>
      <c r="F2585" s="8"/>
      <c r="G2585" s="8"/>
      <c r="H2585" s="8"/>
      <c r="I2585" s="8"/>
      <c r="J2585" s="8"/>
      <c r="K2585" s="8"/>
    </row>
    <row r="2586">
      <c r="A2586" s="8"/>
      <c r="B2586" s="8"/>
      <c r="C2586" s="8"/>
      <c r="D2586" s="8"/>
      <c r="E2586" s="8"/>
      <c r="F2586" s="8"/>
      <c r="G2586" s="8"/>
      <c r="H2586" s="8"/>
      <c r="I2586" s="8"/>
      <c r="J2586" s="8"/>
      <c r="K2586" s="8"/>
    </row>
    <row r="2587">
      <c r="A2587" s="8"/>
      <c r="B2587" s="8"/>
      <c r="C2587" s="8"/>
      <c r="D2587" s="8"/>
      <c r="E2587" s="8"/>
      <c r="F2587" s="8"/>
      <c r="G2587" s="8"/>
      <c r="H2587" s="8"/>
      <c r="I2587" s="8"/>
      <c r="J2587" s="8"/>
      <c r="K2587" s="8"/>
    </row>
    <row r="2588">
      <c r="A2588" s="8"/>
      <c r="B2588" s="8"/>
      <c r="C2588" s="8"/>
      <c r="D2588" s="8"/>
      <c r="E2588" s="8"/>
      <c r="F2588" s="8"/>
      <c r="G2588" s="8"/>
      <c r="H2588" s="8"/>
      <c r="I2588" s="8"/>
      <c r="J2588" s="8"/>
      <c r="K2588" s="8"/>
    </row>
    <row r="2589">
      <c r="A2589" s="8"/>
      <c r="B2589" s="8"/>
      <c r="C2589" s="8"/>
      <c r="D2589" s="8"/>
      <c r="E2589" s="8"/>
      <c r="F2589" s="8"/>
      <c r="G2589" s="8"/>
      <c r="H2589" s="8"/>
      <c r="I2589" s="8"/>
      <c r="J2589" s="8"/>
      <c r="K2589" s="8"/>
    </row>
    <row r="2590">
      <c r="A2590" s="8"/>
      <c r="B2590" s="8"/>
      <c r="C2590" s="8"/>
      <c r="D2590" s="8"/>
      <c r="E2590" s="8"/>
      <c r="F2590" s="8"/>
      <c r="G2590" s="8"/>
      <c r="H2590" s="8"/>
      <c r="I2590" s="8"/>
      <c r="J2590" s="8"/>
      <c r="K2590" s="8"/>
    </row>
    <row r="2591">
      <c r="A2591" s="8"/>
      <c r="B2591" s="8"/>
      <c r="C2591" s="8"/>
      <c r="D2591" s="8"/>
      <c r="E2591" s="8"/>
      <c r="F2591" s="8"/>
      <c r="G2591" s="8"/>
      <c r="H2591" s="8"/>
      <c r="I2591" s="8"/>
      <c r="J2591" s="8"/>
      <c r="K2591" s="8"/>
    </row>
    <row r="2592">
      <c r="A2592" s="8"/>
      <c r="B2592" s="8"/>
      <c r="C2592" s="8"/>
      <c r="D2592" s="8"/>
      <c r="E2592" s="8"/>
      <c r="F2592" s="8"/>
      <c r="G2592" s="8"/>
      <c r="H2592" s="8"/>
      <c r="I2592" s="8"/>
      <c r="J2592" s="8"/>
      <c r="K2592" s="8"/>
    </row>
    <row r="2593">
      <c r="A2593" s="8"/>
      <c r="B2593" s="8"/>
      <c r="C2593" s="8"/>
      <c r="D2593" s="8"/>
      <c r="E2593" s="8"/>
      <c r="F2593" s="8"/>
      <c r="G2593" s="8"/>
      <c r="H2593" s="8"/>
      <c r="I2593" s="8"/>
      <c r="J2593" s="8"/>
      <c r="K2593" s="8"/>
    </row>
    <row r="2594">
      <c r="A2594" s="8"/>
      <c r="B2594" s="8"/>
      <c r="C2594" s="8"/>
      <c r="D2594" s="8"/>
      <c r="E2594" s="8"/>
      <c r="F2594" s="8"/>
      <c r="G2594" s="8"/>
      <c r="H2594" s="8"/>
      <c r="I2594" s="8"/>
      <c r="J2594" s="8"/>
      <c r="K2594" s="8"/>
    </row>
    <row r="2595">
      <c r="A2595" s="8"/>
      <c r="B2595" s="8"/>
      <c r="C2595" s="8"/>
      <c r="D2595" s="8"/>
      <c r="E2595" s="8"/>
      <c r="F2595" s="8"/>
      <c r="G2595" s="8"/>
      <c r="H2595" s="8"/>
      <c r="I2595" s="8"/>
      <c r="J2595" s="8"/>
      <c r="K2595" s="8"/>
    </row>
    <row r="2596">
      <c r="A2596" s="8"/>
      <c r="B2596" s="8"/>
      <c r="C2596" s="8"/>
      <c r="D2596" s="8"/>
      <c r="E2596" s="8"/>
      <c r="F2596" s="8"/>
      <c r="G2596" s="8"/>
      <c r="H2596" s="8"/>
      <c r="I2596" s="8"/>
      <c r="J2596" s="8"/>
      <c r="K2596" s="8"/>
    </row>
    <row r="2597">
      <c r="A2597" s="8"/>
      <c r="B2597" s="8"/>
      <c r="C2597" s="8"/>
      <c r="D2597" s="8"/>
      <c r="E2597" s="8"/>
      <c r="F2597" s="8"/>
      <c r="G2597" s="8"/>
      <c r="H2597" s="8"/>
      <c r="I2597" s="8"/>
      <c r="J2597" s="8"/>
      <c r="K2597" s="8"/>
    </row>
    <row r="2598">
      <c r="A2598" s="8"/>
      <c r="B2598" s="8"/>
      <c r="C2598" s="8"/>
      <c r="D2598" s="8"/>
      <c r="E2598" s="8"/>
      <c r="F2598" s="8"/>
      <c r="G2598" s="8"/>
      <c r="H2598" s="8"/>
      <c r="I2598" s="8"/>
      <c r="J2598" s="8"/>
      <c r="K2598" s="8"/>
    </row>
    <row r="2599">
      <c r="A2599" s="8"/>
      <c r="B2599" s="8"/>
      <c r="C2599" s="8"/>
      <c r="D2599" s="8"/>
      <c r="E2599" s="8"/>
      <c r="F2599" s="8"/>
      <c r="G2599" s="8"/>
      <c r="H2599" s="8"/>
      <c r="I2599" s="8"/>
      <c r="J2599" s="8"/>
      <c r="K2599" s="8"/>
    </row>
    <row r="2600">
      <c r="A2600" s="8"/>
      <c r="B2600" s="8"/>
      <c r="C2600" s="8"/>
      <c r="D2600" s="8"/>
      <c r="E2600" s="8"/>
      <c r="F2600" s="8"/>
      <c r="G2600" s="8"/>
      <c r="H2600" s="8"/>
      <c r="I2600" s="8"/>
      <c r="J2600" s="8"/>
      <c r="K2600" s="8"/>
    </row>
    <row r="2601">
      <c r="A2601" s="8"/>
      <c r="B2601" s="8"/>
      <c r="C2601" s="8"/>
      <c r="D2601" s="8"/>
      <c r="E2601" s="8"/>
      <c r="F2601" s="8"/>
      <c r="G2601" s="8"/>
      <c r="H2601" s="8"/>
      <c r="I2601" s="8"/>
      <c r="J2601" s="8"/>
      <c r="K2601" s="8"/>
    </row>
    <row r="2602">
      <c r="A2602" s="8"/>
      <c r="B2602" s="8"/>
      <c r="C2602" s="8"/>
      <c r="D2602" s="8"/>
      <c r="E2602" s="8"/>
      <c r="F2602" s="8"/>
      <c r="G2602" s="8"/>
      <c r="H2602" s="8"/>
      <c r="I2602" s="8"/>
      <c r="J2602" s="8"/>
      <c r="K2602" s="8"/>
    </row>
    <row r="2603">
      <c r="A2603" s="8"/>
      <c r="B2603" s="8"/>
      <c r="C2603" s="8"/>
      <c r="D2603" s="8"/>
      <c r="E2603" s="8"/>
      <c r="F2603" s="8"/>
      <c r="G2603" s="8"/>
      <c r="H2603" s="8"/>
      <c r="I2603" s="8"/>
      <c r="J2603" s="8"/>
      <c r="K2603" s="8"/>
    </row>
    <row r="2604">
      <c r="A2604" s="8"/>
      <c r="B2604" s="8"/>
      <c r="C2604" s="8"/>
      <c r="D2604" s="8"/>
      <c r="E2604" s="8"/>
      <c r="F2604" s="8"/>
      <c r="G2604" s="8"/>
      <c r="H2604" s="8"/>
      <c r="I2604" s="8"/>
      <c r="J2604" s="8"/>
      <c r="K2604" s="8"/>
    </row>
    <row r="2605">
      <c r="A2605" s="8"/>
      <c r="B2605" s="8"/>
      <c r="C2605" s="8"/>
      <c r="D2605" s="8"/>
      <c r="E2605" s="8"/>
      <c r="F2605" s="8"/>
      <c r="G2605" s="8"/>
      <c r="H2605" s="8"/>
      <c r="I2605" s="8"/>
      <c r="J2605" s="8"/>
      <c r="K2605" s="8"/>
    </row>
    <row r="2606">
      <c r="A2606" s="8"/>
      <c r="B2606" s="8"/>
      <c r="C2606" s="8"/>
      <c r="D2606" s="8"/>
      <c r="E2606" s="8"/>
      <c r="F2606" s="8"/>
      <c r="G2606" s="8"/>
      <c r="H2606" s="8"/>
      <c r="I2606" s="8"/>
      <c r="J2606" s="8"/>
      <c r="K2606" s="8"/>
    </row>
    <row r="2607">
      <c r="A2607" s="8"/>
      <c r="B2607" s="8"/>
      <c r="C2607" s="8"/>
      <c r="D2607" s="8"/>
      <c r="E2607" s="8"/>
      <c r="F2607" s="8"/>
      <c r="G2607" s="8"/>
      <c r="H2607" s="8"/>
      <c r="I2607" s="8"/>
      <c r="J2607" s="8"/>
      <c r="K2607" s="8"/>
    </row>
    <row r="2608">
      <c r="A2608" s="8"/>
      <c r="B2608" s="8"/>
      <c r="C2608" s="8"/>
      <c r="D2608" s="8"/>
      <c r="E2608" s="8"/>
      <c r="F2608" s="8"/>
      <c r="G2608" s="8"/>
      <c r="H2608" s="8"/>
      <c r="I2608" s="8"/>
      <c r="J2608" s="8"/>
      <c r="K2608" s="8"/>
    </row>
    <row r="2609">
      <c r="A2609" s="8"/>
      <c r="B2609" s="8"/>
      <c r="C2609" s="8"/>
      <c r="D2609" s="8"/>
      <c r="E2609" s="8"/>
      <c r="F2609" s="8"/>
      <c r="G2609" s="8"/>
      <c r="H2609" s="8"/>
      <c r="I2609" s="8"/>
      <c r="J2609" s="8"/>
      <c r="K2609" s="8"/>
    </row>
    <row r="2610">
      <c r="A2610" s="8"/>
      <c r="B2610" s="8"/>
      <c r="C2610" s="8"/>
      <c r="D2610" s="8"/>
      <c r="E2610" s="8"/>
      <c r="F2610" s="8"/>
      <c r="G2610" s="8"/>
      <c r="H2610" s="8"/>
      <c r="I2610" s="8"/>
      <c r="J2610" s="8"/>
      <c r="K2610" s="8"/>
    </row>
    <row r="2611">
      <c r="A2611" s="8"/>
      <c r="B2611" s="8"/>
      <c r="C2611" s="8"/>
      <c r="D2611" s="8"/>
      <c r="E2611" s="8"/>
      <c r="F2611" s="8"/>
      <c r="G2611" s="8"/>
      <c r="H2611" s="8"/>
      <c r="I2611" s="8"/>
      <c r="J2611" s="8"/>
      <c r="K2611" s="8"/>
    </row>
    <row r="2612">
      <c r="A2612" s="8"/>
      <c r="B2612" s="8"/>
      <c r="C2612" s="8"/>
      <c r="D2612" s="8"/>
      <c r="E2612" s="8"/>
      <c r="F2612" s="8"/>
      <c r="G2612" s="8"/>
      <c r="H2612" s="8"/>
      <c r="I2612" s="8"/>
      <c r="J2612" s="8"/>
      <c r="K2612" s="8"/>
    </row>
    <row r="2613">
      <c r="A2613" s="8"/>
      <c r="B2613" s="8"/>
      <c r="C2613" s="8"/>
      <c r="D2613" s="8"/>
      <c r="E2613" s="8"/>
      <c r="F2613" s="8"/>
      <c r="G2613" s="8"/>
      <c r="H2613" s="8"/>
      <c r="I2613" s="8"/>
      <c r="J2613" s="8"/>
      <c r="K2613" s="8"/>
    </row>
    <row r="2614">
      <c r="A2614" s="8"/>
      <c r="B2614" s="8"/>
      <c r="C2614" s="8"/>
      <c r="D2614" s="8"/>
      <c r="E2614" s="8"/>
      <c r="F2614" s="8"/>
      <c r="G2614" s="8"/>
      <c r="H2614" s="8"/>
      <c r="I2614" s="8"/>
      <c r="J2614" s="8"/>
      <c r="K2614" s="8"/>
    </row>
    <row r="2615">
      <c r="A2615" s="8"/>
      <c r="B2615" s="8"/>
      <c r="C2615" s="8"/>
      <c r="D2615" s="8"/>
      <c r="E2615" s="8"/>
      <c r="F2615" s="8"/>
      <c r="G2615" s="8"/>
      <c r="H2615" s="8"/>
      <c r="I2615" s="8"/>
      <c r="J2615" s="8"/>
      <c r="K2615" s="8"/>
    </row>
    <row r="2616">
      <c r="A2616" s="8"/>
      <c r="B2616" s="8"/>
      <c r="C2616" s="8"/>
      <c r="D2616" s="8"/>
      <c r="E2616" s="8"/>
      <c r="F2616" s="8"/>
      <c r="G2616" s="8"/>
      <c r="H2616" s="8"/>
      <c r="I2616" s="8"/>
      <c r="J2616" s="8"/>
      <c r="K2616" s="8"/>
    </row>
    <row r="2617">
      <c r="A2617" s="8"/>
      <c r="B2617" s="8"/>
      <c r="C2617" s="8"/>
      <c r="D2617" s="8"/>
      <c r="E2617" s="8"/>
      <c r="F2617" s="8"/>
      <c r="G2617" s="8"/>
      <c r="H2617" s="8"/>
      <c r="I2617" s="8"/>
      <c r="J2617" s="8"/>
      <c r="K2617" s="8"/>
    </row>
    <row r="2618">
      <c r="A2618" s="8"/>
      <c r="B2618" s="8"/>
      <c r="C2618" s="8"/>
      <c r="D2618" s="8"/>
      <c r="E2618" s="8"/>
      <c r="F2618" s="8"/>
      <c r="G2618" s="8"/>
      <c r="H2618" s="8"/>
      <c r="I2618" s="8"/>
      <c r="J2618" s="8"/>
      <c r="K2618" s="8"/>
    </row>
    <row r="2619">
      <c r="A2619" s="8"/>
      <c r="B2619" s="8"/>
      <c r="C2619" s="8"/>
      <c r="D2619" s="8"/>
      <c r="E2619" s="8"/>
      <c r="F2619" s="8"/>
      <c r="G2619" s="8"/>
      <c r="H2619" s="8"/>
      <c r="I2619" s="8"/>
      <c r="J2619" s="8"/>
      <c r="K2619" s="8"/>
    </row>
    <row r="2620">
      <c r="A2620" s="8"/>
      <c r="B2620" s="8"/>
      <c r="C2620" s="8"/>
      <c r="D2620" s="8"/>
      <c r="E2620" s="8"/>
      <c r="F2620" s="8"/>
      <c r="G2620" s="8"/>
      <c r="H2620" s="8"/>
      <c r="I2620" s="8"/>
      <c r="J2620" s="8"/>
      <c r="K2620" s="8"/>
    </row>
    <row r="2621">
      <c r="A2621" s="8"/>
      <c r="B2621" s="8"/>
      <c r="C2621" s="8"/>
      <c r="D2621" s="8"/>
      <c r="E2621" s="8"/>
      <c r="F2621" s="8"/>
      <c r="G2621" s="8"/>
      <c r="H2621" s="8"/>
      <c r="I2621" s="8"/>
      <c r="J2621" s="8"/>
      <c r="K2621" s="8"/>
    </row>
    <row r="2622">
      <c r="A2622" s="8"/>
      <c r="B2622" s="8"/>
      <c r="C2622" s="8"/>
      <c r="D2622" s="8"/>
      <c r="E2622" s="8"/>
      <c r="F2622" s="8"/>
      <c r="G2622" s="8"/>
      <c r="H2622" s="8"/>
      <c r="I2622" s="8"/>
      <c r="J2622" s="8"/>
      <c r="K2622" s="8"/>
    </row>
    <row r="2623">
      <c r="A2623" s="8"/>
      <c r="B2623" s="8"/>
      <c r="C2623" s="8"/>
      <c r="D2623" s="8"/>
      <c r="E2623" s="8"/>
      <c r="F2623" s="8"/>
      <c r="G2623" s="8"/>
      <c r="H2623" s="8"/>
      <c r="I2623" s="8"/>
      <c r="J2623" s="8"/>
      <c r="K2623" s="8"/>
    </row>
    <row r="2624">
      <c r="A2624" s="8"/>
      <c r="B2624" s="8"/>
      <c r="C2624" s="8"/>
      <c r="D2624" s="8"/>
      <c r="E2624" s="8"/>
      <c r="F2624" s="8"/>
      <c r="G2624" s="8"/>
      <c r="H2624" s="8"/>
      <c r="I2624" s="8"/>
      <c r="J2624" s="8"/>
      <c r="K2624" s="8"/>
    </row>
    <row r="2625">
      <c r="A2625" s="8"/>
      <c r="B2625" s="8"/>
      <c r="C2625" s="8"/>
      <c r="D2625" s="8"/>
      <c r="E2625" s="8"/>
      <c r="F2625" s="8"/>
      <c r="G2625" s="8"/>
      <c r="H2625" s="8"/>
      <c r="I2625" s="8"/>
      <c r="J2625" s="8"/>
      <c r="K2625" s="8"/>
    </row>
    <row r="2626">
      <c r="A2626" s="8"/>
      <c r="B2626" s="8"/>
      <c r="C2626" s="8"/>
      <c r="D2626" s="8"/>
      <c r="E2626" s="8"/>
      <c r="F2626" s="8"/>
      <c r="G2626" s="8"/>
      <c r="H2626" s="8"/>
      <c r="I2626" s="8"/>
      <c r="J2626" s="8"/>
      <c r="K2626" s="8"/>
    </row>
    <row r="2627">
      <c r="A2627" s="8"/>
      <c r="B2627" s="8"/>
      <c r="C2627" s="8"/>
      <c r="D2627" s="8"/>
      <c r="E2627" s="8"/>
      <c r="F2627" s="8"/>
      <c r="G2627" s="8"/>
      <c r="H2627" s="8"/>
      <c r="I2627" s="8"/>
      <c r="J2627" s="8"/>
      <c r="K2627" s="8"/>
    </row>
    <row r="2628">
      <c r="A2628" s="8"/>
      <c r="B2628" s="8"/>
      <c r="C2628" s="8"/>
      <c r="D2628" s="8"/>
      <c r="E2628" s="8"/>
      <c r="F2628" s="8"/>
      <c r="G2628" s="8"/>
      <c r="H2628" s="8"/>
      <c r="I2628" s="8"/>
      <c r="J2628" s="8"/>
      <c r="K2628" s="8"/>
    </row>
    <row r="2629">
      <c r="A2629" s="8"/>
      <c r="B2629" s="8"/>
      <c r="C2629" s="8"/>
      <c r="D2629" s="8"/>
      <c r="E2629" s="8"/>
      <c r="F2629" s="8"/>
      <c r="G2629" s="8"/>
      <c r="H2629" s="8"/>
      <c r="I2629" s="8"/>
      <c r="J2629" s="8"/>
      <c r="K2629" s="8"/>
    </row>
    <row r="2630">
      <c r="A2630" s="8"/>
      <c r="B2630" s="8"/>
      <c r="C2630" s="8"/>
      <c r="D2630" s="8"/>
      <c r="E2630" s="8"/>
      <c r="F2630" s="8"/>
      <c r="G2630" s="8"/>
      <c r="H2630" s="8"/>
      <c r="I2630" s="8"/>
      <c r="J2630" s="8"/>
      <c r="K2630" s="8"/>
    </row>
    <row r="2631">
      <c r="A2631" s="8"/>
      <c r="B2631" s="8"/>
      <c r="C2631" s="8"/>
      <c r="D2631" s="8"/>
      <c r="E2631" s="8"/>
      <c r="F2631" s="8"/>
      <c r="G2631" s="8"/>
      <c r="H2631" s="8"/>
      <c r="I2631" s="8"/>
      <c r="J2631" s="8"/>
      <c r="K2631" s="8"/>
    </row>
    <row r="2632">
      <c r="A2632" s="8"/>
      <c r="B2632" s="8"/>
      <c r="C2632" s="8"/>
      <c r="D2632" s="8"/>
      <c r="E2632" s="8"/>
      <c r="F2632" s="8"/>
      <c r="G2632" s="8"/>
      <c r="H2632" s="8"/>
      <c r="I2632" s="8"/>
      <c r="J2632" s="8"/>
      <c r="K2632" s="8"/>
    </row>
    <row r="2633">
      <c r="A2633" s="8"/>
      <c r="B2633" s="8"/>
      <c r="C2633" s="8"/>
      <c r="D2633" s="8"/>
      <c r="E2633" s="8"/>
      <c r="F2633" s="8"/>
      <c r="G2633" s="8"/>
      <c r="H2633" s="8"/>
      <c r="I2633" s="8"/>
      <c r="J2633" s="8"/>
      <c r="K2633" s="8"/>
    </row>
    <row r="2634">
      <c r="A2634" s="8"/>
      <c r="B2634" s="8"/>
      <c r="C2634" s="8"/>
      <c r="D2634" s="8"/>
      <c r="E2634" s="8"/>
      <c r="F2634" s="8"/>
      <c r="G2634" s="8"/>
      <c r="H2634" s="8"/>
      <c r="I2634" s="8"/>
      <c r="J2634" s="8"/>
      <c r="K2634" s="8"/>
    </row>
    <row r="2635">
      <c r="A2635" s="8"/>
      <c r="B2635" s="8"/>
      <c r="C2635" s="8"/>
      <c r="D2635" s="8"/>
      <c r="E2635" s="8"/>
      <c r="F2635" s="8"/>
      <c r="G2635" s="8"/>
      <c r="H2635" s="8"/>
      <c r="I2635" s="8"/>
      <c r="J2635" s="8"/>
      <c r="K2635" s="8"/>
    </row>
    <row r="2636">
      <c r="A2636" s="8"/>
      <c r="B2636" s="8"/>
      <c r="C2636" s="8"/>
      <c r="D2636" s="8"/>
      <c r="E2636" s="8"/>
      <c r="F2636" s="8"/>
      <c r="G2636" s="8"/>
      <c r="H2636" s="8"/>
      <c r="I2636" s="8"/>
      <c r="J2636" s="8"/>
      <c r="K2636" s="8"/>
    </row>
    <row r="2637">
      <c r="A2637" s="8"/>
      <c r="B2637" s="8"/>
      <c r="C2637" s="8"/>
      <c r="D2637" s="8"/>
      <c r="E2637" s="8"/>
      <c r="F2637" s="8"/>
      <c r="G2637" s="8"/>
      <c r="H2637" s="8"/>
      <c r="I2637" s="8"/>
      <c r="J2637" s="8"/>
      <c r="K2637" s="8"/>
    </row>
    <row r="2638">
      <c r="A2638" s="8"/>
      <c r="B2638" s="8"/>
      <c r="C2638" s="8"/>
      <c r="D2638" s="8"/>
      <c r="E2638" s="8"/>
      <c r="F2638" s="8"/>
      <c r="G2638" s="8"/>
      <c r="H2638" s="8"/>
      <c r="I2638" s="8"/>
      <c r="J2638" s="8"/>
      <c r="K2638" s="8"/>
    </row>
    <row r="2639">
      <c r="A2639" s="8"/>
      <c r="B2639" s="8"/>
      <c r="C2639" s="8"/>
      <c r="D2639" s="8"/>
      <c r="E2639" s="8"/>
      <c r="F2639" s="8"/>
      <c r="G2639" s="8"/>
      <c r="H2639" s="8"/>
      <c r="I2639" s="8"/>
      <c r="J2639" s="8"/>
      <c r="K2639" s="8"/>
    </row>
    <row r="2640">
      <c r="A2640" s="8"/>
      <c r="B2640" s="8"/>
      <c r="C2640" s="8"/>
      <c r="D2640" s="8"/>
      <c r="E2640" s="8"/>
      <c r="F2640" s="8"/>
      <c r="G2640" s="8"/>
      <c r="H2640" s="8"/>
      <c r="I2640" s="8"/>
      <c r="J2640" s="8"/>
      <c r="K2640" s="8"/>
    </row>
    <row r="2641">
      <c r="A2641" s="8"/>
      <c r="B2641" s="8"/>
      <c r="C2641" s="8"/>
      <c r="D2641" s="8"/>
      <c r="E2641" s="8"/>
      <c r="F2641" s="8"/>
      <c r="G2641" s="8"/>
      <c r="H2641" s="8"/>
      <c r="I2641" s="8"/>
      <c r="J2641" s="8"/>
      <c r="K2641" s="8"/>
    </row>
    <row r="2642">
      <c r="A2642" s="8"/>
      <c r="B2642" s="8"/>
      <c r="C2642" s="8"/>
      <c r="D2642" s="8"/>
      <c r="E2642" s="8"/>
      <c r="F2642" s="8"/>
      <c r="G2642" s="8"/>
      <c r="H2642" s="8"/>
      <c r="I2642" s="8"/>
      <c r="J2642" s="8"/>
      <c r="K2642" s="8"/>
    </row>
    <row r="2643">
      <c r="A2643" s="8"/>
      <c r="B2643" s="8"/>
      <c r="C2643" s="8"/>
      <c r="D2643" s="8"/>
      <c r="E2643" s="8"/>
      <c r="F2643" s="8"/>
      <c r="G2643" s="8"/>
      <c r="H2643" s="8"/>
      <c r="I2643" s="8"/>
      <c r="J2643" s="8"/>
      <c r="K2643" s="8"/>
    </row>
    <row r="2644">
      <c r="A2644" s="8"/>
      <c r="B2644" s="8"/>
      <c r="C2644" s="8"/>
      <c r="D2644" s="8"/>
      <c r="E2644" s="8"/>
      <c r="F2644" s="8"/>
      <c r="G2644" s="8"/>
      <c r="H2644" s="8"/>
      <c r="I2644" s="8"/>
      <c r="J2644" s="8"/>
      <c r="K2644" s="8"/>
    </row>
    <row r="2645">
      <c r="A2645" s="8"/>
      <c r="B2645" s="8"/>
      <c r="C2645" s="8"/>
      <c r="D2645" s="8"/>
      <c r="E2645" s="8"/>
      <c r="F2645" s="8"/>
      <c r="G2645" s="8"/>
      <c r="H2645" s="8"/>
      <c r="I2645" s="8"/>
      <c r="J2645" s="8"/>
      <c r="K2645" s="8"/>
    </row>
    <row r="2646">
      <c r="A2646" s="8"/>
      <c r="B2646" s="8"/>
      <c r="C2646" s="8"/>
      <c r="D2646" s="8"/>
      <c r="E2646" s="8"/>
      <c r="F2646" s="8"/>
      <c r="G2646" s="8"/>
      <c r="H2646" s="8"/>
      <c r="I2646" s="8"/>
      <c r="J2646" s="8"/>
      <c r="K2646" s="8"/>
    </row>
    <row r="2647">
      <c r="A2647" s="8"/>
      <c r="B2647" s="8"/>
      <c r="C2647" s="8"/>
      <c r="D2647" s="8"/>
      <c r="E2647" s="8"/>
      <c r="F2647" s="8"/>
      <c r="G2647" s="8"/>
      <c r="H2647" s="8"/>
      <c r="I2647" s="8"/>
      <c r="J2647" s="8"/>
      <c r="K2647" s="8"/>
    </row>
    <row r="2648">
      <c r="A2648" s="8"/>
      <c r="B2648" s="8"/>
      <c r="C2648" s="8"/>
      <c r="D2648" s="8"/>
      <c r="E2648" s="8"/>
      <c r="F2648" s="8"/>
      <c r="G2648" s="8"/>
      <c r="H2648" s="8"/>
      <c r="I2648" s="8"/>
      <c r="J2648" s="8"/>
      <c r="K2648" s="8"/>
    </row>
    <row r="2649">
      <c r="A2649" s="8"/>
      <c r="B2649" s="8"/>
      <c r="C2649" s="8"/>
      <c r="D2649" s="8"/>
      <c r="E2649" s="8"/>
      <c r="F2649" s="8"/>
      <c r="G2649" s="8"/>
      <c r="H2649" s="8"/>
      <c r="I2649" s="8"/>
      <c r="J2649" s="8"/>
      <c r="K2649" s="8"/>
    </row>
    <row r="2650">
      <c r="A2650" s="8"/>
      <c r="B2650" s="8"/>
      <c r="C2650" s="8"/>
      <c r="D2650" s="8"/>
      <c r="E2650" s="8"/>
      <c r="F2650" s="8"/>
      <c r="G2650" s="8"/>
      <c r="H2650" s="8"/>
      <c r="I2650" s="8"/>
      <c r="J2650" s="8"/>
      <c r="K2650" s="8"/>
    </row>
    <row r="2651">
      <c r="A2651" s="8"/>
      <c r="B2651" s="8"/>
      <c r="C2651" s="8"/>
      <c r="D2651" s="8"/>
      <c r="E2651" s="8"/>
      <c r="F2651" s="8"/>
      <c r="G2651" s="8"/>
      <c r="H2651" s="8"/>
      <c r="I2651" s="8"/>
      <c r="J2651" s="8"/>
      <c r="K2651" s="8"/>
    </row>
    <row r="2652">
      <c r="A2652" s="8"/>
      <c r="B2652" s="8"/>
      <c r="C2652" s="8"/>
      <c r="D2652" s="8"/>
      <c r="E2652" s="8"/>
      <c r="F2652" s="8"/>
      <c r="G2652" s="8"/>
      <c r="H2652" s="8"/>
      <c r="I2652" s="8"/>
      <c r="J2652" s="8"/>
      <c r="K2652" s="8"/>
    </row>
    <row r="2653">
      <c r="A2653" s="8"/>
      <c r="B2653" s="8"/>
      <c r="C2653" s="8"/>
      <c r="D2653" s="8"/>
      <c r="E2653" s="8"/>
      <c r="F2653" s="8"/>
      <c r="G2653" s="8"/>
      <c r="H2653" s="8"/>
      <c r="I2653" s="8"/>
      <c r="J2653" s="8"/>
      <c r="K2653" s="8"/>
    </row>
    <row r="2654">
      <c r="A2654" s="8"/>
      <c r="B2654" s="8"/>
      <c r="C2654" s="8"/>
      <c r="D2654" s="8"/>
      <c r="E2654" s="8"/>
      <c r="F2654" s="8"/>
      <c r="G2654" s="8"/>
      <c r="H2654" s="8"/>
      <c r="I2654" s="8"/>
      <c r="J2654" s="8"/>
      <c r="K2654" s="8"/>
    </row>
    <row r="2655">
      <c r="A2655" s="8"/>
      <c r="B2655" s="8"/>
      <c r="C2655" s="8"/>
      <c r="D2655" s="8"/>
      <c r="E2655" s="8"/>
      <c r="F2655" s="8"/>
      <c r="G2655" s="8"/>
      <c r="H2655" s="8"/>
      <c r="I2655" s="8"/>
      <c r="J2655" s="8"/>
      <c r="K2655" s="8"/>
    </row>
    <row r="2656">
      <c r="A2656" s="8"/>
      <c r="B2656" s="8"/>
      <c r="C2656" s="8"/>
      <c r="D2656" s="8"/>
      <c r="E2656" s="8"/>
      <c r="F2656" s="8"/>
      <c r="G2656" s="8"/>
      <c r="H2656" s="8"/>
      <c r="I2656" s="8"/>
      <c r="J2656" s="8"/>
      <c r="K2656" s="8"/>
    </row>
    <row r="2657">
      <c r="A2657" s="8"/>
      <c r="B2657" s="8"/>
      <c r="C2657" s="8"/>
      <c r="D2657" s="8"/>
      <c r="E2657" s="8"/>
      <c r="F2657" s="8"/>
      <c r="G2657" s="8"/>
      <c r="H2657" s="8"/>
      <c r="I2657" s="8"/>
      <c r="J2657" s="8"/>
      <c r="K2657" s="8"/>
    </row>
    <row r="2658">
      <c r="A2658" s="8"/>
      <c r="B2658" s="8"/>
      <c r="C2658" s="8"/>
      <c r="D2658" s="8"/>
      <c r="E2658" s="8"/>
      <c r="F2658" s="8"/>
      <c r="G2658" s="8"/>
      <c r="H2658" s="8"/>
      <c r="I2658" s="8"/>
      <c r="J2658" s="8"/>
      <c r="K2658" s="8"/>
    </row>
    <row r="2659">
      <c r="A2659" s="8"/>
      <c r="B2659" s="8"/>
      <c r="C2659" s="8"/>
      <c r="D2659" s="8"/>
      <c r="E2659" s="8"/>
      <c r="F2659" s="8"/>
      <c r="G2659" s="8"/>
      <c r="H2659" s="8"/>
      <c r="I2659" s="8"/>
      <c r="J2659" s="8"/>
      <c r="K2659" s="8"/>
    </row>
    <row r="2660">
      <c r="A2660" s="8"/>
      <c r="B2660" s="8"/>
      <c r="C2660" s="8"/>
      <c r="D2660" s="8"/>
      <c r="E2660" s="8"/>
      <c r="F2660" s="8"/>
      <c r="G2660" s="8"/>
      <c r="H2660" s="8"/>
      <c r="I2660" s="8"/>
      <c r="J2660" s="8"/>
      <c r="K2660" s="8"/>
    </row>
    <row r="2661">
      <c r="A2661" s="8"/>
      <c r="B2661" s="8"/>
      <c r="C2661" s="8"/>
      <c r="D2661" s="8"/>
      <c r="E2661" s="8"/>
      <c r="F2661" s="8"/>
      <c r="G2661" s="8"/>
      <c r="H2661" s="8"/>
      <c r="I2661" s="8"/>
      <c r="J2661" s="8"/>
      <c r="K2661" s="8"/>
    </row>
    <row r="2662">
      <c r="A2662" s="8"/>
      <c r="B2662" s="8"/>
      <c r="C2662" s="8"/>
      <c r="D2662" s="8"/>
      <c r="E2662" s="8"/>
      <c r="F2662" s="8"/>
      <c r="G2662" s="8"/>
      <c r="H2662" s="8"/>
      <c r="I2662" s="8"/>
      <c r="J2662" s="8"/>
      <c r="K2662" s="8"/>
    </row>
    <row r="2663">
      <c r="A2663" s="8"/>
      <c r="B2663" s="8"/>
      <c r="C2663" s="8"/>
      <c r="D2663" s="8"/>
      <c r="E2663" s="8"/>
      <c r="F2663" s="8"/>
      <c r="G2663" s="8"/>
      <c r="H2663" s="8"/>
      <c r="I2663" s="8"/>
      <c r="J2663" s="8"/>
      <c r="K2663" s="8"/>
    </row>
    <row r="2664">
      <c r="A2664" s="8"/>
      <c r="B2664" s="8"/>
      <c r="C2664" s="8"/>
      <c r="D2664" s="8"/>
      <c r="E2664" s="8"/>
      <c r="F2664" s="8"/>
      <c r="G2664" s="8"/>
      <c r="H2664" s="8"/>
      <c r="I2664" s="8"/>
      <c r="J2664" s="8"/>
      <c r="K2664" s="8"/>
    </row>
    <row r="2665">
      <c r="A2665" s="8"/>
      <c r="B2665" s="8"/>
      <c r="C2665" s="8"/>
      <c r="D2665" s="8"/>
      <c r="E2665" s="8"/>
      <c r="F2665" s="8"/>
      <c r="G2665" s="8"/>
      <c r="H2665" s="8"/>
      <c r="I2665" s="8"/>
      <c r="J2665" s="8"/>
      <c r="K2665" s="8"/>
    </row>
    <row r="2666">
      <c r="A2666" s="8"/>
      <c r="B2666" s="8"/>
      <c r="C2666" s="8"/>
      <c r="D2666" s="8"/>
      <c r="E2666" s="8"/>
      <c r="F2666" s="8"/>
      <c r="G2666" s="8"/>
      <c r="H2666" s="8"/>
      <c r="I2666" s="8"/>
      <c r="J2666" s="8"/>
      <c r="K2666" s="8"/>
    </row>
    <row r="2667">
      <c r="A2667" s="8"/>
      <c r="B2667" s="8"/>
      <c r="C2667" s="8"/>
      <c r="D2667" s="8"/>
      <c r="E2667" s="8"/>
      <c r="F2667" s="8"/>
      <c r="G2667" s="8"/>
      <c r="H2667" s="8"/>
      <c r="I2667" s="8"/>
      <c r="J2667" s="8"/>
      <c r="K2667" s="8"/>
    </row>
    <row r="2668">
      <c r="A2668" s="8"/>
      <c r="B2668" s="8"/>
      <c r="C2668" s="8"/>
      <c r="D2668" s="8"/>
      <c r="E2668" s="8"/>
      <c r="F2668" s="8"/>
      <c r="G2668" s="8"/>
      <c r="H2668" s="8"/>
      <c r="I2668" s="8"/>
      <c r="J2668" s="8"/>
      <c r="K2668" s="8"/>
    </row>
    <row r="2669">
      <c r="A2669" s="8"/>
      <c r="B2669" s="8"/>
      <c r="C2669" s="8"/>
      <c r="D2669" s="8"/>
      <c r="E2669" s="8"/>
      <c r="F2669" s="8"/>
      <c r="G2669" s="8"/>
      <c r="H2669" s="8"/>
      <c r="I2669" s="8"/>
      <c r="J2669" s="8"/>
      <c r="K2669" s="8"/>
    </row>
    <row r="2670">
      <c r="A2670" s="8"/>
      <c r="B2670" s="8"/>
      <c r="C2670" s="8"/>
      <c r="D2670" s="8"/>
      <c r="E2670" s="8"/>
      <c r="F2670" s="8"/>
      <c r="G2670" s="8"/>
      <c r="H2670" s="8"/>
      <c r="I2670" s="8"/>
      <c r="J2670" s="8"/>
      <c r="K2670" s="8"/>
    </row>
    <row r="2671">
      <c r="A2671" s="8"/>
      <c r="B2671" s="8"/>
      <c r="C2671" s="8"/>
      <c r="D2671" s="8"/>
      <c r="E2671" s="8"/>
      <c r="F2671" s="8"/>
      <c r="G2671" s="8"/>
      <c r="H2671" s="8"/>
      <c r="I2671" s="8"/>
      <c r="J2671" s="8"/>
      <c r="K2671" s="8"/>
    </row>
    <row r="2672">
      <c r="A2672" s="8"/>
      <c r="B2672" s="8"/>
      <c r="C2672" s="8"/>
      <c r="D2672" s="8"/>
      <c r="E2672" s="8"/>
      <c r="F2672" s="8"/>
      <c r="G2672" s="8"/>
      <c r="H2672" s="8"/>
      <c r="I2672" s="8"/>
      <c r="J2672" s="8"/>
      <c r="K2672" s="8"/>
    </row>
    <row r="2673">
      <c r="A2673" s="8"/>
      <c r="B2673" s="8"/>
      <c r="C2673" s="8"/>
      <c r="D2673" s="8"/>
      <c r="E2673" s="8"/>
      <c r="F2673" s="8"/>
      <c r="G2673" s="8"/>
      <c r="H2673" s="8"/>
      <c r="I2673" s="8"/>
      <c r="J2673" s="8"/>
      <c r="K2673" s="8"/>
    </row>
    <row r="2674">
      <c r="A2674" s="8"/>
      <c r="B2674" s="8"/>
      <c r="C2674" s="8"/>
      <c r="D2674" s="8"/>
      <c r="E2674" s="8"/>
      <c r="F2674" s="8"/>
      <c r="G2674" s="8"/>
      <c r="H2674" s="8"/>
      <c r="I2674" s="8"/>
      <c r="J2674" s="8"/>
      <c r="K2674" s="8"/>
    </row>
    <row r="2675">
      <c r="A2675" s="8"/>
      <c r="B2675" s="8"/>
      <c r="C2675" s="8"/>
      <c r="D2675" s="8"/>
      <c r="E2675" s="8"/>
      <c r="F2675" s="8"/>
      <c r="G2675" s="8"/>
      <c r="H2675" s="8"/>
      <c r="I2675" s="8"/>
      <c r="J2675" s="8"/>
      <c r="K2675" s="8"/>
    </row>
    <row r="2676">
      <c r="A2676" s="8"/>
      <c r="B2676" s="8"/>
      <c r="C2676" s="8"/>
      <c r="D2676" s="8"/>
      <c r="E2676" s="8"/>
      <c r="F2676" s="8"/>
      <c r="G2676" s="8"/>
      <c r="H2676" s="8"/>
      <c r="I2676" s="8"/>
      <c r="J2676" s="8"/>
      <c r="K2676" s="8"/>
    </row>
    <row r="2677">
      <c r="A2677" s="8"/>
      <c r="B2677" s="8"/>
      <c r="C2677" s="8"/>
      <c r="D2677" s="8"/>
      <c r="E2677" s="8"/>
      <c r="F2677" s="8"/>
      <c r="G2677" s="8"/>
      <c r="H2677" s="8"/>
      <c r="I2677" s="8"/>
      <c r="J2677" s="8"/>
      <c r="K2677" s="8"/>
    </row>
    <row r="2678">
      <c r="A2678" s="8"/>
      <c r="B2678" s="8"/>
      <c r="C2678" s="8"/>
      <c r="D2678" s="8"/>
      <c r="E2678" s="8"/>
      <c r="F2678" s="8"/>
      <c r="G2678" s="8"/>
      <c r="H2678" s="8"/>
      <c r="I2678" s="8"/>
      <c r="J2678" s="8"/>
      <c r="K2678" s="8"/>
    </row>
    <row r="2679">
      <c r="A2679" s="8"/>
      <c r="B2679" s="8"/>
      <c r="C2679" s="8"/>
      <c r="D2679" s="8"/>
      <c r="E2679" s="8"/>
      <c r="F2679" s="8"/>
      <c r="G2679" s="8"/>
      <c r="H2679" s="8"/>
      <c r="I2679" s="8"/>
      <c r="J2679" s="8"/>
      <c r="K2679" s="8"/>
    </row>
    <row r="2680">
      <c r="A2680" s="8"/>
      <c r="B2680" s="8"/>
      <c r="C2680" s="8"/>
      <c r="D2680" s="8"/>
      <c r="E2680" s="8"/>
      <c r="F2680" s="8"/>
      <c r="G2680" s="8"/>
      <c r="H2680" s="8"/>
      <c r="I2680" s="8"/>
      <c r="J2680" s="8"/>
      <c r="K2680" s="8"/>
    </row>
    <row r="2681">
      <c r="A2681" s="8"/>
      <c r="B2681" s="8"/>
      <c r="C2681" s="8"/>
      <c r="D2681" s="8"/>
      <c r="E2681" s="8"/>
      <c r="F2681" s="8"/>
      <c r="G2681" s="8"/>
      <c r="H2681" s="8"/>
      <c r="I2681" s="8"/>
      <c r="J2681" s="8"/>
      <c r="K2681" s="8"/>
    </row>
    <row r="2682">
      <c r="A2682" s="8"/>
      <c r="B2682" s="8"/>
      <c r="C2682" s="8"/>
      <c r="D2682" s="8"/>
      <c r="E2682" s="8"/>
      <c r="F2682" s="8"/>
      <c r="G2682" s="8"/>
      <c r="H2682" s="8"/>
      <c r="I2682" s="8"/>
      <c r="J2682" s="8"/>
      <c r="K2682" s="8"/>
    </row>
    <row r="2683">
      <c r="A2683" s="8"/>
      <c r="B2683" s="8"/>
      <c r="C2683" s="8"/>
      <c r="D2683" s="8"/>
      <c r="E2683" s="8"/>
      <c r="F2683" s="8"/>
      <c r="G2683" s="8"/>
      <c r="H2683" s="8"/>
      <c r="I2683" s="8"/>
      <c r="J2683" s="8"/>
      <c r="K2683" s="8"/>
    </row>
    <row r="2684">
      <c r="A2684" s="8"/>
      <c r="B2684" s="8"/>
      <c r="C2684" s="8"/>
      <c r="D2684" s="8"/>
      <c r="E2684" s="8"/>
      <c r="F2684" s="8"/>
      <c r="G2684" s="8"/>
      <c r="H2684" s="8"/>
      <c r="I2684" s="8"/>
      <c r="J2684" s="8"/>
      <c r="K2684" s="8"/>
    </row>
    <row r="2685">
      <c r="A2685" s="8"/>
      <c r="B2685" s="8"/>
      <c r="C2685" s="8"/>
      <c r="D2685" s="8"/>
      <c r="E2685" s="8"/>
      <c r="F2685" s="8"/>
      <c r="G2685" s="8"/>
      <c r="H2685" s="8"/>
      <c r="I2685" s="8"/>
      <c r="J2685" s="8"/>
      <c r="K2685" s="8"/>
    </row>
    <row r="2686">
      <c r="A2686" s="8"/>
      <c r="B2686" s="8"/>
      <c r="C2686" s="8"/>
      <c r="D2686" s="8"/>
      <c r="E2686" s="8"/>
      <c r="F2686" s="8"/>
      <c r="G2686" s="8"/>
      <c r="H2686" s="8"/>
      <c r="I2686" s="8"/>
      <c r="J2686" s="8"/>
      <c r="K2686" s="8"/>
    </row>
    <row r="2687">
      <c r="A2687" s="8"/>
      <c r="B2687" s="8"/>
      <c r="C2687" s="8"/>
      <c r="D2687" s="8"/>
      <c r="E2687" s="8"/>
      <c r="F2687" s="8"/>
      <c r="G2687" s="8"/>
      <c r="H2687" s="8"/>
      <c r="I2687" s="8"/>
      <c r="J2687" s="8"/>
      <c r="K2687" s="8"/>
    </row>
    <row r="2688">
      <c r="A2688" s="8"/>
      <c r="B2688" s="8"/>
      <c r="C2688" s="8"/>
      <c r="D2688" s="8"/>
      <c r="E2688" s="8"/>
      <c r="F2688" s="8"/>
      <c r="G2688" s="8"/>
      <c r="H2688" s="8"/>
      <c r="I2688" s="8"/>
      <c r="J2688" s="8"/>
      <c r="K2688" s="8"/>
    </row>
    <row r="2689">
      <c r="A2689" s="8"/>
      <c r="B2689" s="8"/>
      <c r="C2689" s="8"/>
      <c r="D2689" s="8"/>
      <c r="E2689" s="8"/>
      <c r="F2689" s="8"/>
      <c r="G2689" s="8"/>
      <c r="H2689" s="8"/>
      <c r="I2689" s="8"/>
      <c r="J2689" s="8"/>
      <c r="K2689" s="8"/>
    </row>
    <row r="2690">
      <c r="A2690" s="8"/>
      <c r="B2690" s="8"/>
      <c r="C2690" s="8"/>
      <c r="D2690" s="8"/>
      <c r="E2690" s="8"/>
      <c r="F2690" s="8"/>
      <c r="G2690" s="8"/>
      <c r="H2690" s="8"/>
      <c r="I2690" s="8"/>
      <c r="J2690" s="8"/>
      <c r="K2690" s="8"/>
    </row>
    <row r="2691">
      <c r="A2691" s="8"/>
      <c r="B2691" s="8"/>
      <c r="C2691" s="8"/>
      <c r="D2691" s="8"/>
      <c r="E2691" s="8"/>
      <c r="F2691" s="8"/>
      <c r="G2691" s="8"/>
      <c r="H2691" s="8"/>
      <c r="I2691" s="8"/>
      <c r="J2691" s="8"/>
      <c r="K2691" s="8"/>
    </row>
    <row r="2692">
      <c r="A2692" s="8"/>
      <c r="B2692" s="8"/>
      <c r="C2692" s="8"/>
      <c r="D2692" s="8"/>
      <c r="E2692" s="8"/>
      <c r="F2692" s="8"/>
      <c r="G2692" s="8"/>
      <c r="H2692" s="8"/>
      <c r="I2692" s="8"/>
      <c r="J2692" s="8"/>
      <c r="K2692" s="8"/>
    </row>
    <row r="2693">
      <c r="A2693" s="8"/>
      <c r="B2693" s="8"/>
      <c r="C2693" s="8"/>
      <c r="D2693" s="8"/>
      <c r="E2693" s="8"/>
      <c r="F2693" s="8"/>
      <c r="G2693" s="8"/>
      <c r="H2693" s="8"/>
      <c r="I2693" s="8"/>
      <c r="J2693" s="8"/>
      <c r="K2693" s="8"/>
    </row>
    <row r="2694">
      <c r="A2694" s="8"/>
      <c r="B2694" s="8"/>
      <c r="C2694" s="8"/>
      <c r="D2694" s="8"/>
      <c r="E2694" s="8"/>
      <c r="F2694" s="8"/>
      <c r="G2694" s="8"/>
      <c r="H2694" s="8"/>
      <c r="I2694" s="8"/>
      <c r="J2694" s="8"/>
      <c r="K2694" s="8"/>
    </row>
    <row r="2695">
      <c r="A2695" s="8"/>
      <c r="B2695" s="8"/>
      <c r="C2695" s="8"/>
      <c r="D2695" s="8"/>
      <c r="E2695" s="8"/>
      <c r="F2695" s="8"/>
      <c r="G2695" s="8"/>
      <c r="H2695" s="8"/>
      <c r="I2695" s="8"/>
      <c r="J2695" s="8"/>
      <c r="K2695" s="8"/>
    </row>
    <row r="2696">
      <c r="A2696" s="8"/>
      <c r="B2696" s="8"/>
      <c r="C2696" s="8"/>
      <c r="D2696" s="8"/>
      <c r="E2696" s="8"/>
      <c r="F2696" s="8"/>
      <c r="G2696" s="8"/>
      <c r="H2696" s="8"/>
      <c r="I2696" s="8"/>
      <c r="J2696" s="8"/>
      <c r="K2696" s="8"/>
    </row>
    <row r="2697">
      <c r="A2697" s="8"/>
      <c r="B2697" s="8"/>
      <c r="C2697" s="8"/>
      <c r="D2697" s="8"/>
      <c r="E2697" s="8"/>
      <c r="F2697" s="8"/>
      <c r="G2697" s="8"/>
      <c r="H2697" s="8"/>
      <c r="I2697" s="8"/>
      <c r="J2697" s="8"/>
      <c r="K2697" s="8"/>
    </row>
    <row r="2698">
      <c r="A2698" s="8"/>
      <c r="B2698" s="8"/>
      <c r="C2698" s="8"/>
      <c r="D2698" s="8"/>
      <c r="E2698" s="8"/>
      <c r="F2698" s="8"/>
      <c r="G2698" s="8"/>
      <c r="H2698" s="8"/>
      <c r="I2698" s="8"/>
      <c r="J2698" s="8"/>
      <c r="K2698" s="8"/>
    </row>
    <row r="2699">
      <c r="A2699" s="8"/>
      <c r="B2699" s="8"/>
      <c r="C2699" s="8"/>
      <c r="D2699" s="8"/>
      <c r="E2699" s="8"/>
      <c r="F2699" s="8"/>
      <c r="G2699" s="8"/>
      <c r="H2699" s="8"/>
      <c r="I2699" s="8"/>
      <c r="J2699" s="8"/>
      <c r="K2699" s="8"/>
    </row>
    <row r="2700">
      <c r="A2700" s="8"/>
      <c r="B2700" s="8"/>
      <c r="C2700" s="8"/>
      <c r="D2700" s="8"/>
      <c r="E2700" s="8"/>
      <c r="F2700" s="8"/>
      <c r="G2700" s="8"/>
      <c r="H2700" s="8"/>
      <c r="I2700" s="8"/>
      <c r="J2700" s="8"/>
      <c r="K2700" s="8"/>
    </row>
    <row r="2701">
      <c r="A2701" s="8"/>
      <c r="B2701" s="8"/>
      <c r="C2701" s="8"/>
      <c r="D2701" s="8"/>
      <c r="E2701" s="8"/>
      <c r="F2701" s="8"/>
      <c r="G2701" s="8"/>
      <c r="H2701" s="8"/>
      <c r="I2701" s="8"/>
      <c r="J2701" s="8"/>
      <c r="K2701" s="8"/>
    </row>
    <row r="2702">
      <c r="A2702" s="8"/>
      <c r="B2702" s="8"/>
      <c r="C2702" s="8"/>
      <c r="D2702" s="8"/>
      <c r="E2702" s="8"/>
      <c r="F2702" s="8"/>
      <c r="G2702" s="8"/>
      <c r="H2702" s="8"/>
      <c r="I2702" s="8"/>
      <c r="J2702" s="8"/>
      <c r="K2702" s="8"/>
    </row>
    <row r="2703">
      <c r="A2703" s="8"/>
      <c r="B2703" s="8"/>
      <c r="C2703" s="8"/>
      <c r="D2703" s="8"/>
      <c r="E2703" s="8"/>
      <c r="F2703" s="8"/>
      <c r="G2703" s="8"/>
      <c r="H2703" s="8"/>
      <c r="I2703" s="8"/>
      <c r="J2703" s="8"/>
      <c r="K2703" s="8"/>
    </row>
    <row r="2704">
      <c r="A2704" s="8"/>
      <c r="B2704" s="8"/>
      <c r="C2704" s="8"/>
      <c r="D2704" s="8"/>
      <c r="E2704" s="8"/>
      <c r="F2704" s="8"/>
      <c r="G2704" s="8"/>
      <c r="H2704" s="8"/>
      <c r="I2704" s="8"/>
      <c r="J2704" s="8"/>
      <c r="K2704" s="8"/>
    </row>
    <row r="2705">
      <c r="A2705" s="8"/>
      <c r="B2705" s="8"/>
      <c r="C2705" s="8"/>
      <c r="D2705" s="8"/>
      <c r="E2705" s="8"/>
      <c r="F2705" s="8"/>
      <c r="G2705" s="8"/>
      <c r="H2705" s="8"/>
      <c r="I2705" s="8"/>
      <c r="J2705" s="8"/>
      <c r="K2705" s="8"/>
    </row>
    <row r="2706">
      <c r="A2706" s="8"/>
      <c r="B2706" s="8"/>
      <c r="C2706" s="8"/>
      <c r="D2706" s="8"/>
      <c r="E2706" s="8"/>
      <c r="F2706" s="8"/>
      <c r="G2706" s="8"/>
      <c r="H2706" s="8"/>
      <c r="I2706" s="8"/>
      <c r="J2706" s="8"/>
      <c r="K2706" s="8"/>
    </row>
    <row r="2707">
      <c r="A2707" s="8"/>
      <c r="B2707" s="8"/>
      <c r="C2707" s="8"/>
      <c r="D2707" s="8"/>
      <c r="E2707" s="8"/>
      <c r="F2707" s="8"/>
      <c r="G2707" s="8"/>
      <c r="H2707" s="8"/>
      <c r="I2707" s="8"/>
      <c r="J2707" s="8"/>
      <c r="K2707" s="8"/>
    </row>
    <row r="2708">
      <c r="A2708" s="8"/>
      <c r="B2708" s="8"/>
      <c r="C2708" s="8"/>
      <c r="D2708" s="8"/>
      <c r="E2708" s="8"/>
      <c r="F2708" s="8"/>
      <c r="G2708" s="8"/>
      <c r="H2708" s="8"/>
      <c r="I2708" s="8"/>
      <c r="J2708" s="8"/>
      <c r="K2708" s="8"/>
    </row>
    <row r="2709">
      <c r="A2709" s="8"/>
      <c r="B2709" s="8"/>
      <c r="C2709" s="8"/>
      <c r="D2709" s="8"/>
      <c r="E2709" s="8"/>
      <c r="F2709" s="8"/>
      <c r="G2709" s="8"/>
      <c r="H2709" s="8"/>
      <c r="I2709" s="8"/>
      <c r="J2709" s="8"/>
      <c r="K2709" s="8"/>
    </row>
    <row r="2710">
      <c r="A2710" s="8"/>
      <c r="B2710" s="8"/>
      <c r="C2710" s="8"/>
      <c r="D2710" s="8"/>
      <c r="E2710" s="8"/>
      <c r="F2710" s="8"/>
      <c r="G2710" s="8"/>
      <c r="H2710" s="8"/>
      <c r="I2710" s="8"/>
      <c r="J2710" s="8"/>
      <c r="K2710" s="8"/>
    </row>
    <row r="2711">
      <c r="A2711" s="8"/>
      <c r="B2711" s="8"/>
      <c r="C2711" s="8"/>
      <c r="D2711" s="8"/>
      <c r="E2711" s="8"/>
      <c r="F2711" s="8"/>
      <c r="G2711" s="8"/>
      <c r="H2711" s="8"/>
      <c r="I2711" s="8"/>
      <c r="J2711" s="8"/>
      <c r="K2711" s="8"/>
    </row>
    <row r="2712">
      <c r="A2712" s="8"/>
      <c r="B2712" s="8"/>
      <c r="C2712" s="8"/>
      <c r="D2712" s="8"/>
      <c r="E2712" s="8"/>
      <c r="F2712" s="8"/>
      <c r="G2712" s="8"/>
      <c r="H2712" s="8"/>
      <c r="I2712" s="8"/>
      <c r="J2712" s="8"/>
      <c r="K2712" s="8"/>
    </row>
    <row r="2713">
      <c r="A2713" s="8"/>
      <c r="B2713" s="8"/>
      <c r="C2713" s="8"/>
      <c r="D2713" s="8"/>
      <c r="E2713" s="8"/>
      <c r="F2713" s="8"/>
      <c r="G2713" s="8"/>
      <c r="H2713" s="8"/>
      <c r="I2713" s="8"/>
      <c r="J2713" s="8"/>
      <c r="K2713" s="8"/>
    </row>
    <row r="2714">
      <c r="A2714" s="8"/>
      <c r="B2714" s="8"/>
      <c r="C2714" s="8"/>
      <c r="D2714" s="8"/>
      <c r="E2714" s="8"/>
      <c r="F2714" s="8"/>
      <c r="G2714" s="8"/>
      <c r="H2714" s="8"/>
      <c r="I2714" s="8"/>
      <c r="J2714" s="8"/>
      <c r="K2714" s="8"/>
    </row>
    <row r="2715">
      <c r="A2715" s="8"/>
      <c r="B2715" s="8"/>
      <c r="C2715" s="8"/>
      <c r="D2715" s="8"/>
      <c r="E2715" s="8"/>
      <c r="F2715" s="8"/>
      <c r="G2715" s="8"/>
      <c r="H2715" s="8"/>
      <c r="I2715" s="8"/>
      <c r="J2715" s="8"/>
      <c r="K2715" s="8"/>
    </row>
    <row r="2716">
      <c r="A2716" s="8"/>
      <c r="B2716" s="8"/>
      <c r="C2716" s="8"/>
      <c r="D2716" s="8"/>
      <c r="E2716" s="8"/>
      <c r="F2716" s="8"/>
      <c r="G2716" s="8"/>
      <c r="H2716" s="8"/>
      <c r="I2716" s="8"/>
      <c r="J2716" s="8"/>
      <c r="K2716" s="8"/>
    </row>
    <row r="2717">
      <c r="A2717" s="8"/>
      <c r="B2717" s="8"/>
      <c r="C2717" s="8"/>
      <c r="D2717" s="8"/>
      <c r="E2717" s="8"/>
      <c r="F2717" s="8"/>
      <c r="G2717" s="8"/>
      <c r="H2717" s="8"/>
      <c r="I2717" s="8"/>
      <c r="J2717" s="8"/>
      <c r="K2717" s="8"/>
    </row>
    <row r="2718">
      <c r="A2718" s="8"/>
      <c r="B2718" s="8"/>
      <c r="C2718" s="8"/>
      <c r="D2718" s="8"/>
      <c r="E2718" s="8"/>
      <c r="F2718" s="8"/>
      <c r="G2718" s="8"/>
      <c r="H2718" s="8"/>
      <c r="I2718" s="8"/>
      <c r="J2718" s="8"/>
      <c r="K2718" s="8"/>
    </row>
    <row r="2719">
      <c r="A2719" s="8"/>
      <c r="B2719" s="8"/>
      <c r="C2719" s="8"/>
      <c r="D2719" s="8"/>
      <c r="E2719" s="8"/>
      <c r="F2719" s="8"/>
      <c r="G2719" s="8"/>
      <c r="H2719" s="8"/>
      <c r="I2719" s="8"/>
      <c r="J2719" s="8"/>
      <c r="K2719" s="8"/>
    </row>
    <row r="2720">
      <c r="A2720" s="8"/>
      <c r="B2720" s="8"/>
      <c r="C2720" s="8"/>
      <c r="D2720" s="8"/>
      <c r="E2720" s="8"/>
      <c r="F2720" s="8"/>
      <c r="G2720" s="8"/>
      <c r="H2720" s="8"/>
      <c r="I2720" s="8"/>
      <c r="J2720" s="8"/>
      <c r="K2720" s="8"/>
    </row>
    <row r="2721">
      <c r="A2721" s="8"/>
      <c r="B2721" s="8"/>
      <c r="C2721" s="8"/>
      <c r="D2721" s="8"/>
      <c r="E2721" s="8"/>
      <c r="F2721" s="8"/>
      <c r="G2721" s="8"/>
      <c r="H2721" s="8"/>
      <c r="I2721" s="8"/>
      <c r="J2721" s="8"/>
      <c r="K2721" s="8"/>
    </row>
    <row r="2722">
      <c r="A2722" s="8"/>
      <c r="B2722" s="8"/>
      <c r="C2722" s="8"/>
      <c r="D2722" s="8"/>
      <c r="E2722" s="8"/>
      <c r="F2722" s="8"/>
      <c r="G2722" s="8"/>
      <c r="H2722" s="8"/>
      <c r="I2722" s="8"/>
      <c r="J2722" s="8"/>
      <c r="K2722" s="8"/>
    </row>
    <row r="2723">
      <c r="A2723" s="8"/>
      <c r="B2723" s="8"/>
      <c r="C2723" s="8"/>
      <c r="D2723" s="8"/>
      <c r="E2723" s="8"/>
      <c r="F2723" s="8"/>
      <c r="G2723" s="8"/>
      <c r="H2723" s="8"/>
      <c r="I2723" s="8"/>
      <c r="J2723" s="8"/>
      <c r="K2723" s="8"/>
    </row>
    <row r="2724">
      <c r="A2724" s="8"/>
      <c r="B2724" s="8"/>
      <c r="C2724" s="8"/>
      <c r="D2724" s="8"/>
      <c r="E2724" s="8"/>
      <c r="F2724" s="8"/>
      <c r="G2724" s="8"/>
      <c r="H2724" s="8"/>
      <c r="I2724" s="8"/>
      <c r="J2724" s="8"/>
      <c r="K2724" s="8"/>
    </row>
    <row r="2725">
      <c r="A2725" s="8"/>
      <c r="B2725" s="8"/>
      <c r="C2725" s="8"/>
      <c r="D2725" s="8"/>
      <c r="E2725" s="8"/>
      <c r="F2725" s="8"/>
      <c r="G2725" s="8"/>
      <c r="H2725" s="8"/>
      <c r="I2725" s="8"/>
      <c r="J2725" s="8"/>
      <c r="K2725" s="8"/>
    </row>
    <row r="2726">
      <c r="A2726" s="8"/>
      <c r="B2726" s="8"/>
      <c r="C2726" s="8"/>
      <c r="D2726" s="8"/>
      <c r="E2726" s="8"/>
      <c r="F2726" s="8"/>
      <c r="G2726" s="8"/>
      <c r="H2726" s="8"/>
      <c r="I2726" s="8"/>
      <c r="J2726" s="8"/>
      <c r="K2726" s="8"/>
    </row>
    <row r="2727">
      <c r="A2727" s="8"/>
      <c r="B2727" s="8"/>
      <c r="C2727" s="8"/>
      <c r="D2727" s="8"/>
      <c r="E2727" s="8"/>
      <c r="F2727" s="8"/>
      <c r="G2727" s="8"/>
      <c r="H2727" s="8"/>
      <c r="I2727" s="8"/>
      <c r="J2727" s="8"/>
      <c r="K2727" s="8"/>
    </row>
    <row r="2728">
      <c r="A2728" s="8"/>
      <c r="B2728" s="8"/>
      <c r="C2728" s="8"/>
      <c r="D2728" s="8"/>
      <c r="E2728" s="8"/>
      <c r="F2728" s="8"/>
      <c r="G2728" s="8"/>
      <c r="H2728" s="8"/>
      <c r="I2728" s="8"/>
      <c r="J2728" s="8"/>
      <c r="K2728" s="8"/>
    </row>
    <row r="2729">
      <c r="A2729" s="8"/>
      <c r="B2729" s="8"/>
      <c r="C2729" s="8"/>
      <c r="D2729" s="8"/>
      <c r="E2729" s="8"/>
      <c r="F2729" s="8"/>
      <c r="G2729" s="8"/>
      <c r="H2729" s="8"/>
      <c r="I2729" s="8"/>
      <c r="J2729" s="8"/>
      <c r="K2729" s="8"/>
    </row>
    <row r="2730">
      <c r="A2730" s="8"/>
      <c r="B2730" s="8"/>
      <c r="C2730" s="8"/>
      <c r="D2730" s="8"/>
      <c r="E2730" s="8"/>
      <c r="F2730" s="8"/>
      <c r="G2730" s="8"/>
      <c r="H2730" s="8"/>
      <c r="I2730" s="8"/>
      <c r="J2730" s="8"/>
      <c r="K2730" s="8"/>
    </row>
    <row r="2731">
      <c r="A2731" s="8"/>
      <c r="B2731" s="8"/>
      <c r="C2731" s="8"/>
      <c r="D2731" s="8"/>
      <c r="E2731" s="8"/>
      <c r="F2731" s="8"/>
      <c r="G2731" s="8"/>
      <c r="H2731" s="8"/>
      <c r="I2731" s="8"/>
      <c r="J2731" s="8"/>
      <c r="K2731" s="8"/>
    </row>
    <row r="2732">
      <c r="A2732" s="8"/>
      <c r="B2732" s="8"/>
      <c r="C2732" s="8"/>
      <c r="D2732" s="8"/>
      <c r="E2732" s="8"/>
      <c r="F2732" s="8"/>
      <c r="G2732" s="8"/>
      <c r="H2732" s="8"/>
      <c r="I2732" s="8"/>
      <c r="J2732" s="8"/>
      <c r="K2732" s="8"/>
    </row>
    <row r="2733">
      <c r="A2733" s="8"/>
      <c r="B2733" s="8"/>
      <c r="C2733" s="8"/>
      <c r="D2733" s="8"/>
      <c r="E2733" s="8"/>
      <c r="F2733" s="8"/>
      <c r="G2733" s="8"/>
      <c r="H2733" s="8"/>
      <c r="I2733" s="8"/>
      <c r="J2733" s="8"/>
      <c r="K2733" s="8"/>
    </row>
    <row r="2734">
      <c r="A2734" s="8"/>
      <c r="B2734" s="8"/>
      <c r="C2734" s="8"/>
      <c r="D2734" s="8"/>
      <c r="E2734" s="8"/>
      <c r="F2734" s="8"/>
      <c r="G2734" s="8"/>
      <c r="H2734" s="8"/>
      <c r="I2734" s="8"/>
      <c r="J2734" s="8"/>
      <c r="K2734" s="8"/>
    </row>
    <row r="2735">
      <c r="A2735" s="8"/>
      <c r="B2735" s="8"/>
      <c r="C2735" s="8"/>
      <c r="D2735" s="8"/>
      <c r="E2735" s="8"/>
      <c r="F2735" s="8"/>
      <c r="G2735" s="8"/>
      <c r="H2735" s="8"/>
      <c r="I2735" s="8"/>
      <c r="J2735" s="8"/>
      <c r="K2735" s="8"/>
    </row>
    <row r="2736">
      <c r="A2736" s="8"/>
      <c r="B2736" s="8"/>
      <c r="C2736" s="8"/>
      <c r="D2736" s="8"/>
      <c r="E2736" s="8"/>
      <c r="F2736" s="8"/>
      <c r="G2736" s="8"/>
      <c r="H2736" s="8"/>
      <c r="I2736" s="8"/>
      <c r="J2736" s="8"/>
      <c r="K2736" s="8"/>
    </row>
    <row r="2737">
      <c r="A2737" s="8"/>
      <c r="B2737" s="8"/>
      <c r="C2737" s="8"/>
      <c r="D2737" s="8"/>
      <c r="E2737" s="8"/>
      <c r="F2737" s="8"/>
      <c r="G2737" s="8"/>
      <c r="H2737" s="8"/>
      <c r="I2737" s="8"/>
      <c r="J2737" s="8"/>
      <c r="K2737" s="8"/>
    </row>
    <row r="2738">
      <c r="A2738" s="8"/>
      <c r="B2738" s="8"/>
      <c r="C2738" s="8"/>
      <c r="D2738" s="8"/>
      <c r="E2738" s="8"/>
      <c r="F2738" s="8"/>
      <c r="G2738" s="8"/>
      <c r="H2738" s="8"/>
      <c r="I2738" s="8"/>
      <c r="J2738" s="8"/>
      <c r="K2738" s="8"/>
    </row>
    <row r="2739">
      <c r="A2739" s="8"/>
      <c r="B2739" s="8"/>
      <c r="C2739" s="8"/>
      <c r="D2739" s="8"/>
      <c r="E2739" s="8"/>
      <c r="F2739" s="8"/>
      <c r="G2739" s="8"/>
      <c r="H2739" s="8"/>
      <c r="I2739" s="8"/>
      <c r="J2739" s="8"/>
      <c r="K2739" s="8"/>
    </row>
    <row r="2740">
      <c r="A2740" s="8"/>
      <c r="B2740" s="8"/>
      <c r="C2740" s="8"/>
      <c r="D2740" s="8"/>
      <c r="E2740" s="8"/>
      <c r="F2740" s="8"/>
      <c r="G2740" s="8"/>
      <c r="H2740" s="8"/>
      <c r="I2740" s="8"/>
      <c r="J2740" s="8"/>
      <c r="K2740" s="8"/>
    </row>
    <row r="2741">
      <c r="A2741" s="8"/>
      <c r="B2741" s="8"/>
      <c r="C2741" s="8"/>
      <c r="D2741" s="8"/>
      <c r="E2741" s="8"/>
      <c r="F2741" s="8"/>
      <c r="G2741" s="8"/>
      <c r="H2741" s="8"/>
      <c r="I2741" s="8"/>
      <c r="J2741" s="8"/>
      <c r="K2741" s="8"/>
    </row>
    <row r="2742">
      <c r="A2742" s="8"/>
      <c r="B2742" s="8"/>
      <c r="C2742" s="8"/>
      <c r="D2742" s="8"/>
      <c r="E2742" s="8"/>
      <c r="F2742" s="8"/>
      <c r="G2742" s="8"/>
      <c r="H2742" s="8"/>
      <c r="I2742" s="8"/>
      <c r="J2742" s="8"/>
      <c r="K2742" s="8"/>
    </row>
    <row r="2743">
      <c r="A2743" s="8"/>
      <c r="B2743" s="8"/>
      <c r="C2743" s="8"/>
      <c r="D2743" s="8"/>
      <c r="E2743" s="8"/>
      <c r="F2743" s="8"/>
      <c r="G2743" s="8"/>
      <c r="H2743" s="8"/>
      <c r="I2743" s="8"/>
      <c r="J2743" s="8"/>
      <c r="K2743" s="8"/>
    </row>
    <row r="2744">
      <c r="A2744" s="8"/>
      <c r="B2744" s="8"/>
      <c r="C2744" s="8"/>
      <c r="D2744" s="8"/>
      <c r="E2744" s="8"/>
      <c r="F2744" s="8"/>
      <c r="G2744" s="8"/>
      <c r="H2744" s="8"/>
      <c r="I2744" s="8"/>
      <c r="J2744" s="8"/>
      <c r="K2744" s="8"/>
    </row>
    <row r="2745">
      <c r="A2745" s="8"/>
      <c r="B2745" s="8"/>
      <c r="C2745" s="8"/>
      <c r="D2745" s="8"/>
      <c r="E2745" s="8"/>
      <c r="F2745" s="8"/>
      <c r="G2745" s="8"/>
      <c r="H2745" s="8"/>
      <c r="I2745" s="8"/>
      <c r="J2745" s="8"/>
      <c r="K2745" s="8"/>
    </row>
    <row r="2746">
      <c r="A2746" s="8"/>
      <c r="B2746" s="8"/>
      <c r="C2746" s="8"/>
      <c r="D2746" s="8"/>
      <c r="E2746" s="8"/>
      <c r="F2746" s="8"/>
      <c r="G2746" s="8"/>
      <c r="H2746" s="8"/>
      <c r="I2746" s="8"/>
      <c r="J2746" s="8"/>
      <c r="K2746" s="8"/>
    </row>
    <row r="2747">
      <c r="A2747" s="8"/>
      <c r="B2747" s="8"/>
      <c r="C2747" s="8"/>
      <c r="D2747" s="8"/>
      <c r="E2747" s="8"/>
      <c r="F2747" s="8"/>
      <c r="G2747" s="8"/>
      <c r="H2747" s="8"/>
      <c r="I2747" s="8"/>
      <c r="J2747" s="8"/>
      <c r="K2747" s="8"/>
    </row>
    <row r="2748">
      <c r="A2748" s="8"/>
      <c r="B2748" s="8"/>
      <c r="C2748" s="8"/>
      <c r="D2748" s="8"/>
      <c r="E2748" s="8"/>
      <c r="F2748" s="8"/>
      <c r="G2748" s="8"/>
      <c r="H2748" s="8"/>
      <c r="I2748" s="8"/>
      <c r="J2748" s="8"/>
      <c r="K2748" s="8"/>
    </row>
    <row r="2749">
      <c r="A2749" s="8"/>
      <c r="B2749" s="8"/>
      <c r="C2749" s="8"/>
      <c r="D2749" s="8"/>
      <c r="E2749" s="8"/>
      <c r="F2749" s="8"/>
      <c r="G2749" s="8"/>
      <c r="H2749" s="8"/>
      <c r="I2749" s="8"/>
      <c r="J2749" s="8"/>
      <c r="K2749" s="8"/>
    </row>
    <row r="2750">
      <c r="A2750" s="8"/>
      <c r="B2750" s="8"/>
      <c r="C2750" s="8"/>
      <c r="D2750" s="8"/>
      <c r="E2750" s="8"/>
      <c r="F2750" s="8"/>
      <c r="G2750" s="8"/>
      <c r="H2750" s="8"/>
      <c r="I2750" s="8"/>
      <c r="J2750" s="8"/>
      <c r="K2750" s="8"/>
    </row>
    <row r="2751">
      <c r="A2751" s="8"/>
      <c r="B2751" s="8"/>
      <c r="C2751" s="8"/>
      <c r="D2751" s="8"/>
      <c r="E2751" s="8"/>
      <c r="F2751" s="8"/>
      <c r="G2751" s="8"/>
      <c r="H2751" s="8"/>
      <c r="I2751" s="8"/>
      <c r="J2751" s="8"/>
      <c r="K2751" s="8"/>
    </row>
    <row r="2752">
      <c r="A2752" s="8"/>
      <c r="B2752" s="8"/>
      <c r="C2752" s="8"/>
      <c r="D2752" s="8"/>
      <c r="E2752" s="8"/>
      <c r="F2752" s="8"/>
      <c r="G2752" s="8"/>
      <c r="H2752" s="8"/>
      <c r="I2752" s="8"/>
      <c r="J2752" s="8"/>
      <c r="K2752" s="8"/>
    </row>
    <row r="2753">
      <c r="A2753" s="8"/>
      <c r="B2753" s="8"/>
      <c r="C2753" s="8"/>
      <c r="D2753" s="8"/>
      <c r="E2753" s="8"/>
      <c r="F2753" s="8"/>
      <c r="G2753" s="8"/>
      <c r="H2753" s="8"/>
      <c r="I2753" s="8"/>
      <c r="J2753" s="8"/>
      <c r="K2753" s="8"/>
    </row>
    <row r="2754">
      <c r="A2754" s="8"/>
      <c r="B2754" s="8"/>
      <c r="C2754" s="8"/>
      <c r="D2754" s="8"/>
      <c r="E2754" s="8"/>
      <c r="F2754" s="8"/>
      <c r="G2754" s="8"/>
      <c r="H2754" s="8"/>
      <c r="I2754" s="8"/>
      <c r="J2754" s="8"/>
      <c r="K2754" s="8"/>
    </row>
    <row r="2755">
      <c r="A2755" s="8"/>
      <c r="B2755" s="8"/>
      <c r="C2755" s="8"/>
      <c r="D2755" s="8"/>
      <c r="E2755" s="8"/>
      <c r="F2755" s="8"/>
      <c r="G2755" s="8"/>
      <c r="H2755" s="8"/>
      <c r="I2755" s="8"/>
      <c r="J2755" s="8"/>
      <c r="K2755" s="8"/>
    </row>
    <row r="2756">
      <c r="A2756" s="8"/>
      <c r="B2756" s="8"/>
      <c r="C2756" s="8"/>
      <c r="D2756" s="8"/>
      <c r="E2756" s="8"/>
      <c r="F2756" s="8"/>
      <c r="G2756" s="8"/>
      <c r="H2756" s="8"/>
      <c r="I2756" s="8"/>
      <c r="J2756" s="8"/>
      <c r="K2756" s="8"/>
    </row>
    <row r="2757">
      <c r="A2757" s="8"/>
      <c r="B2757" s="8"/>
      <c r="C2757" s="8"/>
      <c r="D2757" s="8"/>
      <c r="E2757" s="8"/>
      <c r="F2757" s="8"/>
      <c r="G2757" s="8"/>
      <c r="H2757" s="8"/>
      <c r="I2757" s="8"/>
      <c r="J2757" s="8"/>
      <c r="K2757" s="8"/>
    </row>
    <row r="2758">
      <c r="A2758" s="8"/>
      <c r="B2758" s="8"/>
      <c r="C2758" s="8"/>
      <c r="D2758" s="8"/>
      <c r="E2758" s="8"/>
      <c r="F2758" s="8"/>
      <c r="G2758" s="8"/>
      <c r="H2758" s="8"/>
      <c r="I2758" s="8"/>
      <c r="J2758" s="8"/>
      <c r="K2758" s="8"/>
    </row>
    <row r="2759">
      <c r="A2759" s="8"/>
      <c r="B2759" s="8"/>
      <c r="C2759" s="8"/>
      <c r="D2759" s="8"/>
      <c r="E2759" s="8"/>
      <c r="F2759" s="8"/>
      <c r="G2759" s="8"/>
      <c r="H2759" s="8"/>
      <c r="I2759" s="8"/>
      <c r="J2759" s="8"/>
      <c r="K2759" s="8"/>
    </row>
    <row r="2760">
      <c r="A2760" s="8"/>
      <c r="B2760" s="8"/>
      <c r="C2760" s="8"/>
      <c r="D2760" s="8"/>
      <c r="E2760" s="8"/>
      <c r="F2760" s="8"/>
      <c r="G2760" s="8"/>
      <c r="H2760" s="8"/>
      <c r="I2760" s="8"/>
      <c r="J2760" s="8"/>
      <c r="K2760" s="8"/>
    </row>
    <row r="2761">
      <c r="A2761" s="8"/>
      <c r="B2761" s="8"/>
      <c r="C2761" s="8"/>
      <c r="D2761" s="8"/>
      <c r="E2761" s="8"/>
      <c r="F2761" s="8"/>
      <c r="G2761" s="8"/>
      <c r="H2761" s="8"/>
      <c r="I2761" s="8"/>
      <c r="J2761" s="8"/>
      <c r="K2761" s="8"/>
    </row>
    <row r="2762">
      <c r="A2762" s="8"/>
      <c r="B2762" s="8"/>
      <c r="C2762" s="8"/>
      <c r="D2762" s="8"/>
      <c r="E2762" s="8"/>
      <c r="F2762" s="8"/>
      <c r="G2762" s="8"/>
      <c r="H2762" s="8"/>
      <c r="I2762" s="8"/>
      <c r="J2762" s="8"/>
      <c r="K2762" s="8"/>
    </row>
    <row r="2763">
      <c r="A2763" s="8"/>
      <c r="B2763" s="8"/>
      <c r="C2763" s="8"/>
      <c r="D2763" s="8"/>
      <c r="E2763" s="8"/>
      <c r="F2763" s="8"/>
      <c r="G2763" s="8"/>
      <c r="H2763" s="8"/>
      <c r="I2763" s="8"/>
      <c r="J2763" s="8"/>
      <c r="K2763" s="8"/>
    </row>
    <row r="2764">
      <c r="A2764" s="8"/>
      <c r="B2764" s="8"/>
      <c r="C2764" s="8"/>
      <c r="D2764" s="8"/>
      <c r="E2764" s="8"/>
      <c r="F2764" s="8"/>
      <c r="G2764" s="8"/>
      <c r="H2764" s="8"/>
      <c r="I2764" s="8"/>
      <c r="J2764" s="8"/>
      <c r="K2764" s="8"/>
    </row>
    <row r="2765">
      <c r="A2765" s="8"/>
      <c r="B2765" s="8"/>
      <c r="C2765" s="8"/>
      <c r="D2765" s="8"/>
      <c r="E2765" s="8"/>
      <c r="F2765" s="8"/>
      <c r="G2765" s="8"/>
      <c r="H2765" s="8"/>
      <c r="I2765" s="8"/>
      <c r="J2765" s="8"/>
      <c r="K2765" s="8"/>
    </row>
    <row r="2766">
      <c r="A2766" s="8"/>
      <c r="B2766" s="8"/>
      <c r="C2766" s="8"/>
      <c r="D2766" s="8"/>
      <c r="E2766" s="8"/>
      <c r="F2766" s="8"/>
      <c r="G2766" s="8"/>
      <c r="H2766" s="8"/>
      <c r="I2766" s="8"/>
      <c r="J2766" s="8"/>
      <c r="K2766" s="8"/>
    </row>
    <row r="2767">
      <c r="A2767" s="8"/>
      <c r="B2767" s="8"/>
      <c r="C2767" s="8"/>
      <c r="D2767" s="8"/>
      <c r="E2767" s="8"/>
      <c r="F2767" s="8"/>
      <c r="G2767" s="8"/>
      <c r="H2767" s="8"/>
      <c r="I2767" s="8"/>
      <c r="J2767" s="8"/>
      <c r="K2767" s="8"/>
    </row>
    <row r="2768">
      <c r="A2768" s="8"/>
      <c r="B2768" s="8"/>
      <c r="C2768" s="8"/>
      <c r="D2768" s="8"/>
      <c r="E2768" s="8"/>
      <c r="F2768" s="8"/>
      <c r="G2768" s="8"/>
      <c r="H2768" s="8"/>
      <c r="I2768" s="8"/>
      <c r="J2768" s="8"/>
      <c r="K2768" s="8"/>
    </row>
    <row r="2769">
      <c r="A2769" s="8"/>
      <c r="B2769" s="8"/>
      <c r="C2769" s="8"/>
      <c r="D2769" s="8"/>
      <c r="E2769" s="8"/>
      <c r="F2769" s="8"/>
      <c r="G2769" s="8"/>
      <c r="H2769" s="8"/>
      <c r="I2769" s="8"/>
      <c r="J2769" s="8"/>
      <c r="K2769" s="8"/>
    </row>
    <row r="2770">
      <c r="A2770" s="8"/>
      <c r="B2770" s="8"/>
      <c r="C2770" s="8"/>
      <c r="D2770" s="8"/>
      <c r="E2770" s="8"/>
      <c r="F2770" s="8"/>
      <c r="G2770" s="8"/>
      <c r="H2770" s="8"/>
      <c r="I2770" s="8"/>
      <c r="J2770" s="8"/>
      <c r="K2770" s="8"/>
    </row>
    <row r="2771">
      <c r="A2771" s="8"/>
      <c r="B2771" s="8"/>
      <c r="C2771" s="8"/>
      <c r="D2771" s="8"/>
      <c r="E2771" s="8"/>
      <c r="F2771" s="8"/>
      <c r="G2771" s="8"/>
      <c r="H2771" s="8"/>
      <c r="I2771" s="8"/>
      <c r="J2771" s="8"/>
      <c r="K2771" s="8"/>
    </row>
    <row r="2772">
      <c r="A2772" s="8"/>
      <c r="B2772" s="8"/>
      <c r="C2772" s="8"/>
      <c r="D2772" s="8"/>
      <c r="E2772" s="8"/>
      <c r="F2772" s="8"/>
      <c r="G2772" s="8"/>
      <c r="H2772" s="8"/>
      <c r="I2772" s="8"/>
      <c r="J2772" s="8"/>
      <c r="K2772" s="8"/>
    </row>
    <row r="2773">
      <c r="A2773" s="8"/>
      <c r="B2773" s="8"/>
      <c r="C2773" s="8"/>
      <c r="D2773" s="8"/>
      <c r="E2773" s="8"/>
      <c r="F2773" s="8"/>
      <c r="G2773" s="8"/>
      <c r="H2773" s="8"/>
      <c r="I2773" s="8"/>
      <c r="J2773" s="8"/>
      <c r="K2773" s="8"/>
    </row>
    <row r="2774">
      <c r="A2774" s="8"/>
      <c r="B2774" s="8"/>
      <c r="C2774" s="8"/>
      <c r="D2774" s="8"/>
      <c r="E2774" s="8"/>
      <c r="F2774" s="8"/>
      <c r="G2774" s="8"/>
      <c r="H2774" s="8"/>
      <c r="I2774" s="8"/>
      <c r="J2774" s="8"/>
      <c r="K2774" s="8"/>
    </row>
    <row r="2775">
      <c r="A2775" s="8"/>
      <c r="B2775" s="8"/>
      <c r="C2775" s="8"/>
      <c r="D2775" s="8"/>
      <c r="E2775" s="8"/>
      <c r="F2775" s="8"/>
      <c r="G2775" s="8"/>
      <c r="H2775" s="8"/>
      <c r="I2775" s="8"/>
      <c r="J2775" s="8"/>
      <c r="K2775" s="8"/>
    </row>
    <row r="2776">
      <c r="A2776" s="8"/>
      <c r="B2776" s="8"/>
      <c r="C2776" s="8"/>
      <c r="D2776" s="8"/>
      <c r="E2776" s="8"/>
      <c r="F2776" s="8"/>
      <c r="G2776" s="8"/>
      <c r="H2776" s="8"/>
      <c r="I2776" s="8"/>
      <c r="J2776" s="8"/>
      <c r="K2776" s="8"/>
    </row>
    <row r="2777">
      <c r="A2777" s="8"/>
      <c r="B2777" s="8"/>
      <c r="C2777" s="8"/>
      <c r="D2777" s="8"/>
      <c r="E2777" s="8"/>
      <c r="F2777" s="8"/>
      <c r="G2777" s="8"/>
      <c r="H2777" s="8"/>
      <c r="I2777" s="8"/>
      <c r="J2777" s="8"/>
      <c r="K2777" s="8"/>
    </row>
    <row r="2778">
      <c r="A2778" s="8"/>
      <c r="B2778" s="8"/>
      <c r="C2778" s="8"/>
      <c r="D2778" s="8"/>
      <c r="E2778" s="8"/>
      <c r="F2778" s="8"/>
      <c r="G2778" s="8"/>
      <c r="H2778" s="8"/>
      <c r="I2778" s="8"/>
      <c r="J2778" s="8"/>
      <c r="K2778" s="8"/>
    </row>
    <row r="2779">
      <c r="A2779" s="8"/>
      <c r="B2779" s="8"/>
      <c r="C2779" s="8"/>
      <c r="D2779" s="8"/>
      <c r="E2779" s="8"/>
      <c r="F2779" s="8"/>
      <c r="G2779" s="8"/>
      <c r="H2779" s="8"/>
      <c r="I2779" s="8"/>
      <c r="J2779" s="8"/>
      <c r="K2779" s="8"/>
    </row>
    <row r="2780">
      <c r="A2780" s="8"/>
      <c r="B2780" s="8"/>
      <c r="C2780" s="8"/>
      <c r="D2780" s="8"/>
      <c r="E2780" s="8"/>
      <c r="F2780" s="8"/>
      <c r="G2780" s="8"/>
      <c r="H2780" s="8"/>
      <c r="I2780" s="8"/>
      <c r="J2780" s="8"/>
      <c r="K2780" s="8"/>
    </row>
    <row r="2781">
      <c r="A2781" s="8"/>
      <c r="B2781" s="8"/>
      <c r="C2781" s="8"/>
      <c r="D2781" s="8"/>
      <c r="E2781" s="8"/>
      <c r="F2781" s="8"/>
      <c r="G2781" s="8"/>
      <c r="H2781" s="8"/>
      <c r="I2781" s="8"/>
      <c r="J2781" s="8"/>
      <c r="K2781" s="8"/>
    </row>
    <row r="2782">
      <c r="A2782" s="8"/>
      <c r="B2782" s="8"/>
      <c r="C2782" s="8"/>
      <c r="D2782" s="8"/>
      <c r="E2782" s="8"/>
      <c r="F2782" s="8"/>
      <c r="G2782" s="8"/>
      <c r="H2782" s="8"/>
      <c r="I2782" s="8"/>
      <c r="J2782" s="8"/>
      <c r="K2782" s="8"/>
    </row>
    <row r="2783">
      <c r="A2783" s="8"/>
      <c r="B2783" s="8"/>
      <c r="C2783" s="8"/>
      <c r="D2783" s="8"/>
      <c r="E2783" s="8"/>
      <c r="F2783" s="8"/>
      <c r="G2783" s="8"/>
      <c r="H2783" s="8"/>
      <c r="I2783" s="8"/>
      <c r="J2783" s="8"/>
      <c r="K2783" s="8"/>
    </row>
    <row r="2784">
      <c r="A2784" s="8"/>
      <c r="B2784" s="8"/>
      <c r="C2784" s="8"/>
      <c r="D2784" s="8"/>
      <c r="E2784" s="8"/>
      <c r="F2784" s="8"/>
      <c r="G2784" s="8"/>
      <c r="H2784" s="8"/>
      <c r="I2784" s="8"/>
      <c r="J2784" s="8"/>
      <c r="K2784" s="8"/>
    </row>
    <row r="2785">
      <c r="A2785" s="8"/>
      <c r="B2785" s="8"/>
      <c r="C2785" s="8"/>
      <c r="D2785" s="8"/>
      <c r="E2785" s="8"/>
      <c r="F2785" s="8"/>
      <c r="G2785" s="8"/>
      <c r="H2785" s="8"/>
      <c r="I2785" s="8"/>
      <c r="J2785" s="8"/>
      <c r="K2785" s="8"/>
    </row>
    <row r="2786">
      <c r="A2786" s="8"/>
      <c r="B2786" s="8"/>
      <c r="C2786" s="8"/>
      <c r="D2786" s="8"/>
      <c r="E2786" s="8"/>
      <c r="F2786" s="8"/>
      <c r="G2786" s="8"/>
      <c r="H2786" s="8"/>
      <c r="I2786" s="8"/>
      <c r="J2786" s="8"/>
      <c r="K2786" s="8"/>
    </row>
    <row r="2787">
      <c r="A2787" s="8"/>
      <c r="B2787" s="8"/>
      <c r="C2787" s="8"/>
      <c r="D2787" s="8"/>
      <c r="E2787" s="8"/>
      <c r="F2787" s="8"/>
      <c r="G2787" s="8"/>
      <c r="H2787" s="8"/>
      <c r="I2787" s="8"/>
      <c r="J2787" s="8"/>
      <c r="K2787" s="8"/>
    </row>
    <row r="2788">
      <c r="A2788" s="8"/>
      <c r="B2788" s="8"/>
      <c r="C2788" s="8"/>
      <c r="D2788" s="8"/>
      <c r="E2788" s="8"/>
      <c r="F2788" s="8"/>
      <c r="G2788" s="8"/>
      <c r="H2788" s="8"/>
      <c r="I2788" s="8"/>
      <c r="J2788" s="8"/>
      <c r="K2788" s="8"/>
    </row>
    <row r="2789">
      <c r="A2789" s="8"/>
      <c r="B2789" s="8"/>
      <c r="C2789" s="8"/>
      <c r="D2789" s="8"/>
      <c r="E2789" s="8"/>
      <c r="F2789" s="8"/>
      <c r="G2789" s="8"/>
      <c r="H2789" s="8"/>
      <c r="I2789" s="8"/>
      <c r="J2789" s="8"/>
      <c r="K2789" s="8"/>
    </row>
    <row r="2790">
      <c r="A2790" s="8"/>
      <c r="B2790" s="8"/>
      <c r="C2790" s="8"/>
      <c r="D2790" s="8"/>
      <c r="E2790" s="8"/>
      <c r="F2790" s="8"/>
      <c r="G2790" s="8"/>
      <c r="H2790" s="8"/>
      <c r="I2790" s="8"/>
      <c r="J2790" s="8"/>
      <c r="K2790" s="8"/>
    </row>
    <row r="2791">
      <c r="A2791" s="8"/>
      <c r="B2791" s="8"/>
      <c r="C2791" s="8"/>
      <c r="D2791" s="8"/>
      <c r="E2791" s="8"/>
      <c r="F2791" s="8"/>
      <c r="G2791" s="8"/>
      <c r="H2791" s="8"/>
      <c r="I2791" s="8"/>
      <c r="J2791" s="8"/>
      <c r="K2791" s="8"/>
    </row>
    <row r="2792">
      <c r="A2792" s="8"/>
      <c r="B2792" s="8"/>
      <c r="C2792" s="8"/>
      <c r="D2792" s="8"/>
      <c r="E2792" s="8"/>
      <c r="F2792" s="8"/>
      <c r="G2792" s="8"/>
      <c r="H2792" s="8"/>
      <c r="I2792" s="8"/>
      <c r="J2792" s="8"/>
      <c r="K2792" s="8"/>
    </row>
    <row r="2793">
      <c r="A2793" s="8"/>
      <c r="B2793" s="8"/>
      <c r="C2793" s="8"/>
      <c r="D2793" s="8"/>
      <c r="E2793" s="8"/>
      <c r="F2793" s="8"/>
      <c r="G2793" s="8"/>
      <c r="H2793" s="8"/>
      <c r="I2793" s="8"/>
      <c r="J2793" s="8"/>
      <c r="K2793" s="8"/>
    </row>
    <row r="2794">
      <c r="A2794" s="8"/>
      <c r="B2794" s="8"/>
      <c r="C2794" s="8"/>
      <c r="D2794" s="8"/>
      <c r="E2794" s="8"/>
      <c r="F2794" s="8"/>
      <c r="G2794" s="8"/>
      <c r="H2794" s="8"/>
      <c r="I2794" s="8"/>
      <c r="J2794" s="8"/>
      <c r="K2794" s="8"/>
    </row>
    <row r="2795">
      <c r="A2795" s="8"/>
      <c r="B2795" s="8"/>
      <c r="C2795" s="8"/>
      <c r="D2795" s="8"/>
      <c r="E2795" s="8"/>
      <c r="F2795" s="8"/>
      <c r="G2795" s="8"/>
      <c r="H2795" s="8"/>
      <c r="I2795" s="8"/>
      <c r="J2795" s="8"/>
      <c r="K2795" s="8"/>
    </row>
    <row r="2796">
      <c r="A2796" s="8"/>
      <c r="B2796" s="8"/>
      <c r="C2796" s="8"/>
      <c r="D2796" s="8"/>
      <c r="E2796" s="8"/>
      <c r="F2796" s="8"/>
      <c r="G2796" s="8"/>
      <c r="H2796" s="8"/>
      <c r="I2796" s="8"/>
      <c r="J2796" s="8"/>
      <c r="K2796" s="8"/>
    </row>
    <row r="2797">
      <c r="A2797" s="8"/>
      <c r="B2797" s="8"/>
      <c r="C2797" s="8"/>
      <c r="D2797" s="8"/>
      <c r="E2797" s="8"/>
      <c r="F2797" s="8"/>
      <c r="G2797" s="8"/>
      <c r="H2797" s="8"/>
      <c r="I2797" s="8"/>
      <c r="J2797" s="8"/>
      <c r="K2797" s="8"/>
    </row>
    <row r="2798">
      <c r="A2798" s="8"/>
      <c r="B2798" s="8"/>
      <c r="C2798" s="8"/>
      <c r="D2798" s="8"/>
      <c r="E2798" s="8"/>
      <c r="F2798" s="8"/>
      <c r="G2798" s="8"/>
      <c r="H2798" s="8"/>
      <c r="I2798" s="8"/>
      <c r="J2798" s="8"/>
      <c r="K2798" s="8"/>
    </row>
    <row r="2799">
      <c r="A2799" s="8"/>
      <c r="B2799" s="8"/>
      <c r="C2799" s="8"/>
      <c r="D2799" s="8"/>
      <c r="E2799" s="8"/>
      <c r="F2799" s="8"/>
      <c r="G2799" s="8"/>
      <c r="H2799" s="8"/>
      <c r="I2799" s="8"/>
      <c r="J2799" s="8"/>
      <c r="K2799" s="8"/>
    </row>
    <row r="2800">
      <c r="A2800" s="8"/>
      <c r="B2800" s="8"/>
      <c r="C2800" s="8"/>
      <c r="D2800" s="8"/>
      <c r="E2800" s="8"/>
      <c r="F2800" s="8"/>
      <c r="G2800" s="8"/>
      <c r="H2800" s="8"/>
      <c r="I2800" s="8"/>
      <c r="J2800" s="8"/>
      <c r="K2800" s="8"/>
    </row>
    <row r="2801">
      <c r="A2801" s="8"/>
      <c r="B2801" s="8"/>
      <c r="C2801" s="8"/>
      <c r="D2801" s="8"/>
      <c r="E2801" s="8"/>
      <c r="F2801" s="8"/>
      <c r="G2801" s="8"/>
      <c r="H2801" s="8"/>
      <c r="I2801" s="8"/>
      <c r="J2801" s="8"/>
      <c r="K2801" s="8"/>
    </row>
    <row r="2802">
      <c r="A2802" s="8"/>
      <c r="B2802" s="8"/>
      <c r="C2802" s="8"/>
      <c r="D2802" s="8"/>
      <c r="E2802" s="8"/>
      <c r="F2802" s="8"/>
      <c r="G2802" s="8"/>
      <c r="H2802" s="8"/>
      <c r="I2802" s="8"/>
      <c r="J2802" s="8"/>
      <c r="K2802" s="8"/>
    </row>
    <row r="2803">
      <c r="A2803" s="8"/>
      <c r="B2803" s="8"/>
      <c r="C2803" s="8"/>
      <c r="D2803" s="8"/>
      <c r="E2803" s="8"/>
      <c r="F2803" s="8"/>
      <c r="G2803" s="8"/>
      <c r="H2803" s="8"/>
      <c r="I2803" s="8"/>
      <c r="J2803" s="8"/>
      <c r="K2803" s="8"/>
    </row>
    <row r="2804">
      <c r="A2804" s="8"/>
      <c r="B2804" s="8"/>
      <c r="C2804" s="8"/>
      <c r="D2804" s="8"/>
      <c r="E2804" s="8"/>
      <c r="F2804" s="8"/>
      <c r="G2804" s="8"/>
      <c r="H2804" s="8"/>
      <c r="I2804" s="8"/>
      <c r="J2804" s="8"/>
      <c r="K2804" s="8"/>
    </row>
    <row r="2805">
      <c r="A2805" s="8"/>
      <c r="B2805" s="8"/>
      <c r="C2805" s="8"/>
      <c r="D2805" s="8"/>
      <c r="E2805" s="8"/>
      <c r="F2805" s="8"/>
      <c r="G2805" s="8"/>
      <c r="H2805" s="8"/>
      <c r="I2805" s="8"/>
      <c r="J2805" s="8"/>
      <c r="K2805" s="8"/>
    </row>
    <row r="2806">
      <c r="A2806" s="8"/>
      <c r="B2806" s="8"/>
      <c r="C2806" s="8"/>
      <c r="D2806" s="8"/>
      <c r="E2806" s="8"/>
      <c r="F2806" s="8"/>
      <c r="G2806" s="8"/>
      <c r="H2806" s="8"/>
      <c r="I2806" s="8"/>
      <c r="J2806" s="8"/>
      <c r="K2806" s="8"/>
    </row>
    <row r="2807">
      <c r="A2807" s="8"/>
      <c r="B2807" s="8"/>
      <c r="C2807" s="8"/>
      <c r="D2807" s="8"/>
      <c r="E2807" s="8"/>
      <c r="F2807" s="8"/>
      <c r="G2807" s="8"/>
      <c r="H2807" s="8"/>
      <c r="I2807" s="8"/>
      <c r="J2807" s="8"/>
      <c r="K2807" s="8"/>
    </row>
    <row r="2808">
      <c r="A2808" s="8"/>
      <c r="B2808" s="8"/>
      <c r="C2808" s="8"/>
      <c r="D2808" s="8"/>
      <c r="E2808" s="8"/>
      <c r="F2808" s="8"/>
      <c r="G2808" s="8"/>
      <c r="H2808" s="8"/>
      <c r="I2808" s="8"/>
      <c r="J2808" s="8"/>
      <c r="K2808" s="8"/>
    </row>
    <row r="2809">
      <c r="A2809" s="8"/>
      <c r="B2809" s="8"/>
      <c r="C2809" s="8"/>
      <c r="D2809" s="8"/>
      <c r="E2809" s="8"/>
      <c r="F2809" s="8"/>
      <c r="G2809" s="8"/>
      <c r="H2809" s="8"/>
      <c r="I2809" s="8"/>
      <c r="J2809" s="8"/>
      <c r="K2809" s="8"/>
    </row>
    <row r="2810">
      <c r="A2810" s="8"/>
      <c r="B2810" s="8"/>
      <c r="C2810" s="8"/>
      <c r="D2810" s="8"/>
      <c r="E2810" s="8"/>
      <c r="F2810" s="8"/>
      <c r="G2810" s="8"/>
      <c r="H2810" s="8"/>
      <c r="I2810" s="8"/>
      <c r="J2810" s="8"/>
      <c r="K2810" s="8"/>
    </row>
    <row r="2811">
      <c r="A2811" s="8"/>
      <c r="B2811" s="8"/>
      <c r="C2811" s="8"/>
      <c r="D2811" s="8"/>
      <c r="E2811" s="8"/>
      <c r="F2811" s="8"/>
      <c r="G2811" s="8"/>
      <c r="H2811" s="8"/>
      <c r="I2811" s="8"/>
      <c r="J2811" s="8"/>
      <c r="K2811" s="8"/>
    </row>
    <row r="2812">
      <c r="A2812" s="8"/>
      <c r="B2812" s="8"/>
      <c r="C2812" s="8"/>
      <c r="D2812" s="8"/>
      <c r="E2812" s="8"/>
      <c r="F2812" s="8"/>
      <c r="G2812" s="8"/>
      <c r="H2812" s="8"/>
      <c r="I2812" s="8"/>
      <c r="J2812" s="8"/>
      <c r="K2812" s="8"/>
    </row>
    <row r="2813">
      <c r="A2813" s="8"/>
      <c r="B2813" s="8"/>
      <c r="C2813" s="8"/>
      <c r="D2813" s="8"/>
      <c r="E2813" s="8"/>
      <c r="F2813" s="8"/>
      <c r="G2813" s="8"/>
      <c r="H2813" s="8"/>
      <c r="I2813" s="8"/>
      <c r="J2813" s="8"/>
      <c r="K2813" s="8"/>
    </row>
    <row r="2814">
      <c r="A2814" s="8"/>
      <c r="B2814" s="8"/>
      <c r="C2814" s="8"/>
      <c r="D2814" s="8"/>
      <c r="E2814" s="8"/>
      <c r="F2814" s="8"/>
      <c r="G2814" s="8"/>
      <c r="H2814" s="8"/>
      <c r="I2814" s="8"/>
      <c r="J2814" s="8"/>
      <c r="K2814" s="8"/>
    </row>
    <row r="2815">
      <c r="A2815" s="8"/>
      <c r="B2815" s="8"/>
      <c r="C2815" s="8"/>
      <c r="D2815" s="8"/>
      <c r="E2815" s="8"/>
      <c r="F2815" s="8"/>
      <c r="G2815" s="8"/>
      <c r="H2815" s="8"/>
      <c r="I2815" s="8"/>
      <c r="J2815" s="8"/>
      <c r="K2815" s="8"/>
    </row>
    <row r="2816">
      <c r="A2816" s="8"/>
      <c r="B2816" s="8"/>
      <c r="C2816" s="8"/>
      <c r="D2816" s="8"/>
      <c r="E2816" s="8"/>
      <c r="F2816" s="8"/>
      <c r="G2816" s="8"/>
      <c r="H2816" s="8"/>
      <c r="I2816" s="8"/>
      <c r="J2816" s="8"/>
      <c r="K2816" s="8"/>
    </row>
    <row r="2817">
      <c r="A2817" s="8"/>
      <c r="B2817" s="8"/>
      <c r="C2817" s="8"/>
      <c r="D2817" s="8"/>
      <c r="E2817" s="8"/>
      <c r="F2817" s="8"/>
      <c r="G2817" s="8"/>
      <c r="H2817" s="8"/>
      <c r="I2817" s="8"/>
      <c r="J2817" s="8"/>
      <c r="K2817" s="8"/>
    </row>
    <row r="2818">
      <c r="A2818" s="8"/>
      <c r="B2818" s="8"/>
      <c r="C2818" s="8"/>
      <c r="D2818" s="8"/>
      <c r="E2818" s="8"/>
      <c r="F2818" s="8"/>
      <c r="G2818" s="8"/>
      <c r="H2818" s="8"/>
      <c r="I2818" s="8"/>
      <c r="J2818" s="8"/>
      <c r="K2818" s="8"/>
    </row>
    <row r="2819">
      <c r="A2819" s="8"/>
      <c r="B2819" s="8"/>
      <c r="C2819" s="8"/>
      <c r="D2819" s="8"/>
      <c r="E2819" s="8"/>
      <c r="F2819" s="8"/>
      <c r="G2819" s="8"/>
      <c r="H2819" s="8"/>
      <c r="I2819" s="8"/>
      <c r="J2819" s="8"/>
      <c r="K2819" s="8"/>
    </row>
    <row r="2820">
      <c r="A2820" s="8"/>
      <c r="B2820" s="8"/>
      <c r="C2820" s="8"/>
      <c r="D2820" s="8"/>
      <c r="E2820" s="8"/>
      <c r="F2820" s="8"/>
      <c r="G2820" s="8"/>
      <c r="H2820" s="8"/>
      <c r="I2820" s="8"/>
      <c r="J2820" s="8"/>
      <c r="K2820" s="8"/>
    </row>
    <row r="2821">
      <c r="A2821" s="8"/>
      <c r="B2821" s="8"/>
      <c r="C2821" s="8"/>
      <c r="D2821" s="8"/>
      <c r="E2821" s="8"/>
      <c r="F2821" s="8"/>
      <c r="G2821" s="8"/>
      <c r="H2821" s="8"/>
      <c r="I2821" s="8"/>
      <c r="J2821" s="8"/>
      <c r="K2821" s="8"/>
    </row>
    <row r="2822">
      <c r="A2822" s="8"/>
      <c r="B2822" s="8"/>
      <c r="C2822" s="8"/>
      <c r="D2822" s="8"/>
      <c r="E2822" s="8"/>
      <c r="F2822" s="8"/>
      <c r="G2822" s="8"/>
      <c r="H2822" s="8"/>
      <c r="I2822" s="8"/>
      <c r="J2822" s="8"/>
      <c r="K2822" s="8"/>
    </row>
    <row r="2823">
      <c r="A2823" s="8"/>
      <c r="B2823" s="8"/>
      <c r="C2823" s="8"/>
      <c r="D2823" s="8"/>
      <c r="E2823" s="8"/>
      <c r="F2823" s="8"/>
      <c r="G2823" s="8"/>
      <c r="H2823" s="8"/>
      <c r="I2823" s="8"/>
      <c r="J2823" s="8"/>
      <c r="K2823" s="8"/>
    </row>
    <row r="2824">
      <c r="A2824" s="8"/>
      <c r="B2824" s="8"/>
      <c r="C2824" s="8"/>
      <c r="D2824" s="8"/>
      <c r="E2824" s="8"/>
      <c r="F2824" s="8"/>
      <c r="G2824" s="8"/>
      <c r="H2824" s="8"/>
      <c r="I2824" s="8"/>
      <c r="J2824" s="8"/>
      <c r="K2824" s="8"/>
    </row>
    <row r="2825">
      <c r="A2825" s="8"/>
      <c r="B2825" s="8"/>
      <c r="C2825" s="8"/>
      <c r="D2825" s="8"/>
      <c r="E2825" s="8"/>
      <c r="F2825" s="8"/>
      <c r="G2825" s="8"/>
      <c r="H2825" s="8"/>
      <c r="I2825" s="8"/>
      <c r="J2825" s="8"/>
      <c r="K2825" s="8"/>
    </row>
    <row r="2826">
      <c r="A2826" s="8"/>
      <c r="B2826" s="8"/>
      <c r="C2826" s="8"/>
      <c r="D2826" s="8"/>
      <c r="E2826" s="8"/>
      <c r="F2826" s="8"/>
      <c r="G2826" s="8"/>
      <c r="H2826" s="8"/>
      <c r="I2826" s="8"/>
      <c r="J2826" s="8"/>
      <c r="K2826" s="8"/>
    </row>
    <row r="2827">
      <c r="A2827" s="8"/>
      <c r="B2827" s="8"/>
      <c r="C2827" s="8"/>
      <c r="D2827" s="8"/>
      <c r="E2827" s="8"/>
      <c r="F2827" s="8"/>
      <c r="G2827" s="8"/>
      <c r="H2827" s="8"/>
      <c r="I2827" s="8"/>
      <c r="J2827" s="8"/>
      <c r="K2827" s="8"/>
    </row>
    <row r="2828">
      <c r="A2828" s="8"/>
      <c r="B2828" s="8"/>
      <c r="C2828" s="8"/>
      <c r="D2828" s="8"/>
      <c r="E2828" s="8"/>
      <c r="F2828" s="8"/>
      <c r="G2828" s="8"/>
      <c r="H2828" s="8"/>
      <c r="I2828" s="8"/>
      <c r="J2828" s="8"/>
      <c r="K2828" s="8"/>
    </row>
    <row r="2829">
      <c r="A2829" s="8"/>
      <c r="B2829" s="8"/>
      <c r="C2829" s="8"/>
      <c r="D2829" s="8"/>
      <c r="E2829" s="8"/>
      <c r="F2829" s="8"/>
      <c r="G2829" s="8"/>
      <c r="H2829" s="8"/>
      <c r="I2829" s="8"/>
      <c r="J2829" s="8"/>
      <c r="K2829" s="8"/>
    </row>
    <row r="2830">
      <c r="A2830" s="8"/>
      <c r="B2830" s="8"/>
      <c r="C2830" s="8"/>
      <c r="D2830" s="8"/>
      <c r="E2830" s="8"/>
      <c r="F2830" s="8"/>
      <c r="G2830" s="8"/>
      <c r="H2830" s="8"/>
      <c r="I2830" s="8"/>
      <c r="J2830" s="8"/>
      <c r="K2830" s="8"/>
    </row>
    <row r="2831">
      <c r="A2831" s="8"/>
      <c r="B2831" s="8"/>
      <c r="C2831" s="8"/>
      <c r="D2831" s="8"/>
      <c r="E2831" s="8"/>
      <c r="F2831" s="8"/>
      <c r="G2831" s="8"/>
      <c r="H2831" s="8"/>
      <c r="I2831" s="8"/>
      <c r="J2831" s="8"/>
      <c r="K2831" s="8"/>
    </row>
    <row r="2832">
      <c r="A2832" s="8"/>
      <c r="B2832" s="8"/>
      <c r="C2832" s="8"/>
      <c r="D2832" s="8"/>
      <c r="E2832" s="8"/>
      <c r="F2832" s="8"/>
      <c r="G2832" s="8"/>
      <c r="H2832" s="8"/>
      <c r="I2832" s="8"/>
      <c r="J2832" s="8"/>
      <c r="K2832" s="8"/>
    </row>
    <row r="2833">
      <c r="A2833" s="8"/>
      <c r="B2833" s="8"/>
      <c r="C2833" s="8"/>
      <c r="D2833" s="8"/>
      <c r="E2833" s="8"/>
      <c r="F2833" s="8"/>
      <c r="G2833" s="8"/>
      <c r="H2833" s="8"/>
      <c r="I2833" s="8"/>
      <c r="J2833" s="8"/>
      <c r="K2833" s="8"/>
    </row>
    <row r="2834">
      <c r="A2834" s="8"/>
      <c r="B2834" s="8"/>
      <c r="C2834" s="8"/>
      <c r="D2834" s="8"/>
      <c r="E2834" s="8"/>
      <c r="F2834" s="8"/>
      <c r="G2834" s="8"/>
      <c r="H2834" s="8"/>
      <c r="I2834" s="8"/>
      <c r="J2834" s="8"/>
      <c r="K2834" s="8"/>
    </row>
    <row r="2835">
      <c r="A2835" s="8"/>
      <c r="B2835" s="8"/>
      <c r="C2835" s="8"/>
      <c r="D2835" s="8"/>
      <c r="E2835" s="8"/>
      <c r="F2835" s="8"/>
      <c r="G2835" s="8"/>
      <c r="H2835" s="8"/>
      <c r="I2835" s="8"/>
      <c r="J2835" s="8"/>
      <c r="K2835" s="8"/>
    </row>
    <row r="2836">
      <c r="A2836" s="8"/>
      <c r="B2836" s="8"/>
      <c r="C2836" s="8"/>
      <c r="D2836" s="8"/>
      <c r="E2836" s="8"/>
      <c r="F2836" s="8"/>
      <c r="G2836" s="8"/>
      <c r="H2836" s="8"/>
      <c r="I2836" s="8"/>
      <c r="J2836" s="8"/>
      <c r="K2836" s="8"/>
    </row>
    <row r="2837">
      <c r="A2837" s="8"/>
      <c r="B2837" s="8"/>
      <c r="C2837" s="8"/>
      <c r="D2837" s="8"/>
      <c r="E2837" s="8"/>
      <c r="F2837" s="8"/>
      <c r="G2837" s="8"/>
      <c r="H2837" s="8"/>
      <c r="I2837" s="8"/>
      <c r="J2837" s="8"/>
      <c r="K2837" s="8"/>
    </row>
    <row r="2838">
      <c r="A2838" s="8"/>
      <c r="B2838" s="8"/>
      <c r="C2838" s="8"/>
      <c r="D2838" s="8"/>
      <c r="E2838" s="8"/>
      <c r="F2838" s="8"/>
      <c r="G2838" s="8"/>
      <c r="H2838" s="8"/>
      <c r="I2838" s="8"/>
      <c r="J2838" s="8"/>
      <c r="K2838" s="8"/>
    </row>
    <row r="2839">
      <c r="A2839" s="8"/>
      <c r="B2839" s="8"/>
      <c r="C2839" s="8"/>
      <c r="D2839" s="8"/>
      <c r="E2839" s="8"/>
      <c r="F2839" s="8"/>
      <c r="G2839" s="8"/>
      <c r="H2839" s="8"/>
      <c r="I2839" s="8"/>
      <c r="J2839" s="8"/>
      <c r="K2839" s="8"/>
    </row>
    <row r="2840">
      <c r="A2840" s="8"/>
      <c r="B2840" s="8"/>
      <c r="C2840" s="8"/>
      <c r="D2840" s="8"/>
      <c r="E2840" s="8"/>
      <c r="F2840" s="8"/>
      <c r="G2840" s="8"/>
      <c r="H2840" s="8"/>
      <c r="I2840" s="8"/>
      <c r="J2840" s="8"/>
      <c r="K2840" s="8"/>
    </row>
    <row r="2841">
      <c r="A2841" s="8"/>
      <c r="B2841" s="8"/>
      <c r="C2841" s="8"/>
      <c r="D2841" s="8"/>
      <c r="E2841" s="8"/>
      <c r="F2841" s="8"/>
      <c r="G2841" s="8"/>
      <c r="H2841" s="8"/>
      <c r="I2841" s="8"/>
      <c r="J2841" s="8"/>
      <c r="K2841" s="8"/>
    </row>
    <row r="2842">
      <c r="A2842" s="8"/>
      <c r="B2842" s="8"/>
      <c r="C2842" s="8"/>
      <c r="D2842" s="8"/>
      <c r="E2842" s="8"/>
      <c r="F2842" s="8"/>
      <c r="G2842" s="8"/>
      <c r="H2842" s="8"/>
      <c r="I2842" s="8"/>
      <c r="J2842" s="8"/>
      <c r="K2842" s="8"/>
    </row>
    <row r="2843">
      <c r="A2843" s="8"/>
      <c r="B2843" s="8"/>
      <c r="C2843" s="8"/>
      <c r="D2843" s="8"/>
      <c r="E2843" s="8"/>
      <c r="F2843" s="8"/>
      <c r="G2843" s="8"/>
      <c r="H2843" s="8"/>
      <c r="I2843" s="8"/>
      <c r="J2843" s="8"/>
      <c r="K2843" s="8"/>
    </row>
    <row r="2844">
      <c r="A2844" s="8"/>
      <c r="B2844" s="8"/>
      <c r="C2844" s="8"/>
      <c r="D2844" s="8"/>
      <c r="E2844" s="8"/>
      <c r="F2844" s="8"/>
      <c r="G2844" s="8"/>
      <c r="H2844" s="8"/>
      <c r="I2844" s="8"/>
      <c r="J2844" s="8"/>
      <c r="K2844" s="8"/>
    </row>
    <row r="2845">
      <c r="A2845" s="8"/>
      <c r="B2845" s="8"/>
      <c r="C2845" s="8"/>
      <c r="D2845" s="8"/>
      <c r="E2845" s="8"/>
      <c r="F2845" s="8"/>
      <c r="G2845" s="8"/>
      <c r="H2845" s="8"/>
      <c r="I2845" s="8"/>
      <c r="J2845" s="8"/>
      <c r="K2845" s="8"/>
    </row>
    <row r="2846">
      <c r="A2846" s="8"/>
      <c r="B2846" s="8"/>
      <c r="C2846" s="8"/>
      <c r="D2846" s="8"/>
      <c r="E2846" s="8"/>
      <c r="F2846" s="8"/>
      <c r="G2846" s="8"/>
      <c r="H2846" s="8"/>
      <c r="I2846" s="8"/>
      <c r="J2846" s="8"/>
      <c r="K2846" s="8"/>
    </row>
    <row r="2847">
      <c r="A2847" s="8"/>
      <c r="B2847" s="8"/>
      <c r="C2847" s="8"/>
      <c r="D2847" s="8"/>
      <c r="E2847" s="8"/>
      <c r="F2847" s="8"/>
      <c r="G2847" s="8"/>
      <c r="H2847" s="8"/>
      <c r="I2847" s="8"/>
      <c r="J2847" s="8"/>
      <c r="K2847" s="8"/>
    </row>
    <row r="2848">
      <c r="A2848" s="8"/>
      <c r="B2848" s="8"/>
      <c r="C2848" s="8"/>
      <c r="D2848" s="8"/>
      <c r="E2848" s="8"/>
      <c r="F2848" s="8"/>
      <c r="G2848" s="8"/>
      <c r="H2848" s="8"/>
      <c r="I2848" s="8"/>
      <c r="J2848" s="8"/>
      <c r="K2848" s="8"/>
    </row>
    <row r="2849">
      <c r="A2849" s="8"/>
      <c r="B2849" s="8"/>
      <c r="C2849" s="8"/>
      <c r="D2849" s="8"/>
      <c r="E2849" s="8"/>
      <c r="F2849" s="8"/>
      <c r="G2849" s="8"/>
      <c r="H2849" s="8"/>
      <c r="I2849" s="8"/>
      <c r="J2849" s="8"/>
      <c r="K2849" s="8"/>
    </row>
    <row r="2850">
      <c r="A2850" s="8"/>
      <c r="B2850" s="8"/>
      <c r="C2850" s="8"/>
      <c r="D2850" s="8"/>
      <c r="E2850" s="8"/>
      <c r="F2850" s="8"/>
      <c r="G2850" s="8"/>
      <c r="H2850" s="8"/>
      <c r="I2850" s="8"/>
      <c r="J2850" s="8"/>
      <c r="K2850" s="8"/>
    </row>
    <row r="2851">
      <c r="A2851" s="8"/>
      <c r="B2851" s="8"/>
      <c r="C2851" s="8"/>
      <c r="D2851" s="8"/>
      <c r="E2851" s="8"/>
      <c r="F2851" s="8"/>
      <c r="G2851" s="8"/>
      <c r="H2851" s="8"/>
      <c r="I2851" s="8"/>
      <c r="J2851" s="8"/>
      <c r="K2851" s="8"/>
    </row>
    <row r="2852">
      <c r="A2852" s="8"/>
      <c r="B2852" s="8"/>
      <c r="C2852" s="8"/>
      <c r="D2852" s="8"/>
      <c r="E2852" s="8"/>
      <c r="F2852" s="8"/>
      <c r="G2852" s="8"/>
      <c r="H2852" s="8"/>
      <c r="I2852" s="8"/>
      <c r="J2852" s="8"/>
      <c r="K2852" s="8"/>
    </row>
    <row r="2853">
      <c r="A2853" s="8"/>
      <c r="B2853" s="8"/>
      <c r="C2853" s="8"/>
      <c r="D2853" s="8"/>
      <c r="E2853" s="8"/>
      <c r="F2853" s="8"/>
      <c r="G2853" s="8"/>
      <c r="H2853" s="8"/>
      <c r="I2853" s="8"/>
      <c r="J2853" s="8"/>
      <c r="K2853" s="8"/>
    </row>
    <row r="2854">
      <c r="A2854" s="8"/>
      <c r="B2854" s="8"/>
      <c r="C2854" s="8"/>
      <c r="D2854" s="8"/>
      <c r="E2854" s="8"/>
      <c r="F2854" s="8"/>
      <c r="G2854" s="8"/>
      <c r="H2854" s="8"/>
      <c r="I2854" s="8"/>
      <c r="J2854" s="8"/>
      <c r="K2854" s="8"/>
    </row>
    <row r="2855">
      <c r="A2855" s="8"/>
      <c r="B2855" s="8"/>
      <c r="C2855" s="8"/>
      <c r="D2855" s="8"/>
      <c r="E2855" s="8"/>
      <c r="F2855" s="8"/>
      <c r="G2855" s="8"/>
      <c r="H2855" s="8"/>
      <c r="I2855" s="8"/>
      <c r="J2855" s="8"/>
      <c r="K2855" s="8"/>
    </row>
    <row r="2856">
      <c r="A2856" s="8"/>
      <c r="B2856" s="8"/>
      <c r="C2856" s="8"/>
      <c r="D2856" s="8"/>
      <c r="E2856" s="8"/>
      <c r="F2856" s="8"/>
      <c r="G2856" s="8"/>
      <c r="H2856" s="8"/>
      <c r="I2856" s="8"/>
      <c r="J2856" s="8"/>
      <c r="K2856" s="8"/>
    </row>
    <row r="2857">
      <c r="A2857" s="8"/>
      <c r="B2857" s="8"/>
      <c r="C2857" s="8"/>
      <c r="D2857" s="8"/>
      <c r="E2857" s="8"/>
      <c r="F2857" s="8"/>
      <c r="G2857" s="8"/>
      <c r="H2857" s="8"/>
      <c r="I2857" s="8"/>
      <c r="J2857" s="8"/>
      <c r="K2857" s="8"/>
    </row>
    <row r="2858">
      <c r="A2858" s="8"/>
      <c r="B2858" s="8"/>
      <c r="C2858" s="8"/>
      <c r="D2858" s="8"/>
      <c r="E2858" s="8"/>
      <c r="F2858" s="8"/>
      <c r="G2858" s="8"/>
      <c r="H2858" s="8"/>
      <c r="I2858" s="8"/>
      <c r="J2858" s="8"/>
      <c r="K2858" s="8"/>
    </row>
    <row r="2859">
      <c r="A2859" s="8"/>
      <c r="B2859" s="8"/>
      <c r="C2859" s="8"/>
      <c r="D2859" s="8"/>
      <c r="E2859" s="8"/>
      <c r="F2859" s="8"/>
      <c r="G2859" s="8"/>
      <c r="H2859" s="8"/>
      <c r="I2859" s="8"/>
      <c r="J2859" s="8"/>
      <c r="K2859" s="8"/>
    </row>
    <row r="2860">
      <c r="A2860" s="8"/>
      <c r="B2860" s="8"/>
      <c r="C2860" s="8"/>
      <c r="D2860" s="8"/>
      <c r="E2860" s="8"/>
      <c r="F2860" s="8"/>
      <c r="G2860" s="8"/>
      <c r="H2860" s="8"/>
      <c r="I2860" s="8"/>
      <c r="J2860" s="8"/>
      <c r="K2860" s="8"/>
    </row>
    <row r="2861">
      <c r="A2861" s="8"/>
      <c r="B2861" s="8"/>
      <c r="C2861" s="8"/>
      <c r="D2861" s="8"/>
      <c r="E2861" s="8"/>
      <c r="F2861" s="8"/>
      <c r="G2861" s="8"/>
      <c r="H2861" s="8"/>
      <c r="I2861" s="8"/>
      <c r="J2861" s="8"/>
      <c r="K2861" s="8"/>
    </row>
    <row r="2862">
      <c r="A2862" s="8"/>
      <c r="B2862" s="8"/>
      <c r="C2862" s="8"/>
      <c r="D2862" s="8"/>
      <c r="E2862" s="8"/>
      <c r="F2862" s="8"/>
      <c r="G2862" s="8"/>
      <c r="H2862" s="8"/>
      <c r="I2862" s="8"/>
      <c r="J2862" s="8"/>
      <c r="K2862" s="8"/>
    </row>
    <row r="2863">
      <c r="A2863" s="8"/>
      <c r="B2863" s="8"/>
      <c r="C2863" s="8"/>
      <c r="D2863" s="8"/>
      <c r="E2863" s="8"/>
      <c r="F2863" s="8"/>
      <c r="G2863" s="8"/>
      <c r="H2863" s="8"/>
      <c r="I2863" s="8"/>
      <c r="J2863" s="8"/>
      <c r="K2863" s="8"/>
    </row>
    <row r="2864">
      <c r="A2864" s="8"/>
      <c r="B2864" s="8"/>
      <c r="C2864" s="8"/>
      <c r="D2864" s="8"/>
      <c r="E2864" s="8"/>
      <c r="F2864" s="8"/>
      <c r="G2864" s="8"/>
      <c r="H2864" s="8"/>
      <c r="I2864" s="8"/>
      <c r="J2864" s="8"/>
      <c r="K2864" s="8"/>
    </row>
    <row r="2865">
      <c r="A2865" s="8"/>
      <c r="B2865" s="8"/>
      <c r="C2865" s="8"/>
      <c r="D2865" s="8"/>
      <c r="E2865" s="8"/>
      <c r="F2865" s="8"/>
      <c r="G2865" s="8"/>
      <c r="H2865" s="8"/>
      <c r="I2865" s="8"/>
      <c r="J2865" s="8"/>
      <c r="K2865" s="8"/>
    </row>
    <row r="2866">
      <c r="A2866" s="8"/>
      <c r="B2866" s="8"/>
      <c r="C2866" s="8"/>
      <c r="D2866" s="8"/>
      <c r="E2866" s="8"/>
      <c r="F2866" s="8"/>
      <c r="G2866" s="8"/>
      <c r="H2866" s="8"/>
      <c r="I2866" s="8"/>
      <c r="J2866" s="8"/>
      <c r="K2866" s="8"/>
    </row>
    <row r="2867">
      <c r="A2867" s="8"/>
      <c r="B2867" s="8"/>
      <c r="C2867" s="8"/>
      <c r="D2867" s="8"/>
      <c r="E2867" s="8"/>
      <c r="F2867" s="8"/>
      <c r="G2867" s="8"/>
      <c r="H2867" s="8"/>
      <c r="I2867" s="8"/>
      <c r="J2867" s="8"/>
      <c r="K2867" s="8"/>
    </row>
    <row r="2868">
      <c r="A2868" s="8"/>
      <c r="B2868" s="8"/>
      <c r="C2868" s="8"/>
      <c r="D2868" s="8"/>
      <c r="E2868" s="8"/>
      <c r="F2868" s="8"/>
      <c r="G2868" s="8"/>
      <c r="H2868" s="8"/>
      <c r="I2868" s="8"/>
      <c r="J2868" s="8"/>
      <c r="K2868" s="8"/>
    </row>
    <row r="2869">
      <c r="A2869" s="8"/>
      <c r="B2869" s="8"/>
      <c r="C2869" s="8"/>
      <c r="D2869" s="8"/>
      <c r="E2869" s="8"/>
      <c r="F2869" s="8"/>
      <c r="G2869" s="8"/>
      <c r="H2869" s="8"/>
      <c r="I2869" s="8"/>
      <c r="J2869" s="8"/>
      <c r="K2869" s="8"/>
    </row>
    <row r="2870">
      <c r="A2870" s="8"/>
      <c r="B2870" s="8"/>
      <c r="C2870" s="8"/>
      <c r="D2870" s="8"/>
      <c r="E2870" s="8"/>
      <c r="F2870" s="8"/>
      <c r="G2870" s="8"/>
      <c r="H2870" s="8"/>
      <c r="I2870" s="8"/>
      <c r="J2870" s="8"/>
      <c r="K2870" s="8"/>
    </row>
    <row r="2871">
      <c r="A2871" s="8"/>
      <c r="B2871" s="8"/>
      <c r="C2871" s="8"/>
      <c r="D2871" s="8"/>
      <c r="E2871" s="8"/>
      <c r="F2871" s="8"/>
      <c r="G2871" s="8"/>
      <c r="H2871" s="8"/>
      <c r="I2871" s="8"/>
      <c r="J2871" s="8"/>
      <c r="K2871" s="8"/>
    </row>
    <row r="2872">
      <c r="A2872" s="8"/>
      <c r="B2872" s="8"/>
      <c r="C2872" s="8"/>
      <c r="D2872" s="8"/>
      <c r="E2872" s="8"/>
      <c r="F2872" s="8"/>
      <c r="G2872" s="8"/>
      <c r="H2872" s="8"/>
      <c r="I2872" s="8"/>
      <c r="J2872" s="8"/>
      <c r="K2872" s="8"/>
    </row>
    <row r="2873">
      <c r="A2873" s="8"/>
      <c r="B2873" s="8"/>
      <c r="C2873" s="8"/>
      <c r="D2873" s="8"/>
      <c r="E2873" s="8"/>
      <c r="F2873" s="8"/>
      <c r="G2873" s="8"/>
      <c r="H2873" s="8"/>
      <c r="I2873" s="8"/>
      <c r="J2873" s="8"/>
      <c r="K2873" s="8"/>
    </row>
    <row r="2874">
      <c r="A2874" s="8"/>
      <c r="B2874" s="8"/>
      <c r="C2874" s="8"/>
      <c r="D2874" s="8"/>
      <c r="E2874" s="8"/>
      <c r="F2874" s="8"/>
      <c r="G2874" s="8"/>
      <c r="H2874" s="8"/>
      <c r="I2874" s="8"/>
      <c r="J2874" s="8"/>
      <c r="K2874" s="8"/>
    </row>
    <row r="2875">
      <c r="A2875" s="8"/>
      <c r="B2875" s="8"/>
      <c r="C2875" s="8"/>
      <c r="D2875" s="8"/>
      <c r="E2875" s="8"/>
      <c r="F2875" s="8"/>
      <c r="G2875" s="8"/>
      <c r="H2875" s="8"/>
      <c r="I2875" s="8"/>
      <c r="J2875" s="8"/>
      <c r="K2875" s="8"/>
    </row>
    <row r="2876">
      <c r="A2876" s="8"/>
      <c r="B2876" s="8"/>
      <c r="C2876" s="8"/>
      <c r="D2876" s="8"/>
      <c r="E2876" s="8"/>
      <c r="F2876" s="8"/>
      <c r="G2876" s="8"/>
      <c r="H2876" s="8"/>
      <c r="I2876" s="8"/>
      <c r="J2876" s="8"/>
      <c r="K2876" s="8"/>
    </row>
    <row r="2877">
      <c r="A2877" s="8"/>
      <c r="B2877" s="8"/>
      <c r="C2877" s="8"/>
      <c r="D2877" s="8"/>
      <c r="E2877" s="8"/>
      <c r="F2877" s="8"/>
      <c r="G2877" s="8"/>
      <c r="H2877" s="8"/>
      <c r="I2877" s="8"/>
      <c r="J2877" s="8"/>
      <c r="K2877" s="8"/>
    </row>
    <row r="2878">
      <c r="A2878" s="8"/>
      <c r="B2878" s="8"/>
      <c r="C2878" s="8"/>
      <c r="D2878" s="8"/>
      <c r="E2878" s="8"/>
      <c r="F2878" s="8"/>
      <c r="G2878" s="8"/>
      <c r="H2878" s="8"/>
      <c r="I2878" s="8"/>
      <c r="J2878" s="8"/>
      <c r="K2878" s="8"/>
    </row>
    <row r="2879">
      <c r="A2879" s="8"/>
      <c r="B2879" s="8"/>
      <c r="C2879" s="8"/>
      <c r="D2879" s="8"/>
      <c r="E2879" s="8"/>
      <c r="F2879" s="8"/>
      <c r="G2879" s="8"/>
      <c r="H2879" s="8"/>
      <c r="I2879" s="8"/>
      <c r="J2879" s="8"/>
      <c r="K2879" s="8"/>
    </row>
    <row r="2880">
      <c r="A2880" s="8"/>
      <c r="B2880" s="8"/>
      <c r="C2880" s="8"/>
      <c r="D2880" s="8"/>
      <c r="E2880" s="8"/>
      <c r="F2880" s="8"/>
      <c r="G2880" s="8"/>
      <c r="H2880" s="8"/>
      <c r="I2880" s="8"/>
      <c r="J2880" s="8"/>
      <c r="K2880" s="8"/>
    </row>
    <row r="2881">
      <c r="A2881" s="8"/>
      <c r="B2881" s="8"/>
      <c r="C2881" s="8"/>
      <c r="D2881" s="8"/>
      <c r="E2881" s="8"/>
      <c r="F2881" s="8"/>
      <c r="G2881" s="8"/>
      <c r="H2881" s="8"/>
      <c r="I2881" s="8"/>
      <c r="J2881" s="8"/>
      <c r="K2881" s="8"/>
    </row>
    <row r="2882">
      <c r="A2882" s="8"/>
      <c r="B2882" s="8"/>
      <c r="C2882" s="8"/>
      <c r="D2882" s="8"/>
      <c r="E2882" s="8"/>
      <c r="F2882" s="8"/>
      <c r="G2882" s="8"/>
      <c r="H2882" s="8"/>
      <c r="I2882" s="8"/>
      <c r="J2882" s="8"/>
      <c r="K2882" s="8"/>
    </row>
    <row r="2883">
      <c r="A2883" s="8"/>
      <c r="B2883" s="8"/>
      <c r="C2883" s="8"/>
      <c r="D2883" s="8"/>
      <c r="E2883" s="8"/>
      <c r="F2883" s="8"/>
      <c r="G2883" s="8"/>
      <c r="H2883" s="8"/>
      <c r="I2883" s="8"/>
      <c r="J2883" s="8"/>
      <c r="K2883" s="8"/>
    </row>
    <row r="2884">
      <c r="A2884" s="8"/>
      <c r="B2884" s="8"/>
      <c r="C2884" s="8"/>
      <c r="D2884" s="8"/>
      <c r="E2884" s="8"/>
      <c r="F2884" s="8"/>
      <c r="G2884" s="8"/>
      <c r="H2884" s="8"/>
      <c r="I2884" s="8"/>
      <c r="J2884" s="8"/>
      <c r="K2884" s="8"/>
    </row>
    <row r="2885">
      <c r="A2885" s="8"/>
      <c r="B2885" s="8"/>
      <c r="C2885" s="8"/>
      <c r="D2885" s="8"/>
      <c r="E2885" s="8"/>
      <c r="F2885" s="8"/>
      <c r="G2885" s="8"/>
      <c r="H2885" s="8"/>
      <c r="I2885" s="8"/>
      <c r="J2885" s="8"/>
      <c r="K2885" s="8"/>
    </row>
    <row r="2886">
      <c r="A2886" s="8"/>
      <c r="B2886" s="8"/>
      <c r="C2886" s="8"/>
      <c r="D2886" s="8"/>
      <c r="E2886" s="8"/>
      <c r="F2886" s="8"/>
      <c r="G2886" s="8"/>
      <c r="H2886" s="8"/>
      <c r="I2886" s="8"/>
      <c r="J2886" s="8"/>
      <c r="K2886" s="8"/>
    </row>
    <row r="2887">
      <c r="A2887" s="8"/>
      <c r="B2887" s="8"/>
      <c r="C2887" s="8"/>
      <c r="D2887" s="8"/>
      <c r="E2887" s="8"/>
      <c r="F2887" s="8"/>
      <c r="G2887" s="8"/>
      <c r="H2887" s="8"/>
      <c r="I2887" s="8"/>
      <c r="J2887" s="8"/>
      <c r="K2887" s="8"/>
    </row>
    <row r="2888">
      <c r="A2888" s="8"/>
      <c r="B2888" s="8"/>
      <c r="C2888" s="8"/>
      <c r="D2888" s="8"/>
      <c r="E2888" s="8"/>
      <c r="F2888" s="8"/>
      <c r="G2888" s="8"/>
      <c r="H2888" s="8"/>
      <c r="I2888" s="8"/>
      <c r="J2888" s="8"/>
      <c r="K2888" s="8"/>
    </row>
    <row r="2889">
      <c r="A2889" s="8"/>
      <c r="B2889" s="8"/>
      <c r="C2889" s="8"/>
      <c r="D2889" s="8"/>
      <c r="E2889" s="8"/>
      <c r="F2889" s="8"/>
      <c r="G2889" s="8"/>
      <c r="H2889" s="8"/>
      <c r="I2889" s="8"/>
      <c r="J2889" s="8"/>
      <c r="K2889" s="8"/>
    </row>
    <row r="2890">
      <c r="A2890" s="8"/>
      <c r="B2890" s="8"/>
      <c r="C2890" s="8"/>
      <c r="D2890" s="8"/>
      <c r="E2890" s="8"/>
      <c r="F2890" s="8"/>
      <c r="G2890" s="8"/>
      <c r="H2890" s="8"/>
      <c r="I2890" s="8"/>
      <c r="J2890" s="8"/>
      <c r="K2890" s="8"/>
    </row>
    <row r="2891">
      <c r="A2891" s="8"/>
      <c r="B2891" s="8"/>
      <c r="C2891" s="8"/>
      <c r="D2891" s="8"/>
      <c r="E2891" s="8"/>
      <c r="F2891" s="8"/>
      <c r="G2891" s="8"/>
      <c r="H2891" s="8"/>
      <c r="I2891" s="8"/>
      <c r="J2891" s="8"/>
      <c r="K2891" s="8"/>
    </row>
    <row r="2892">
      <c r="A2892" s="8"/>
      <c r="B2892" s="8"/>
      <c r="C2892" s="8"/>
      <c r="D2892" s="8"/>
      <c r="E2892" s="8"/>
      <c r="F2892" s="8"/>
      <c r="G2892" s="8"/>
      <c r="H2892" s="8"/>
      <c r="I2892" s="8"/>
      <c r="J2892" s="8"/>
      <c r="K2892" s="8"/>
    </row>
    <row r="2893">
      <c r="A2893" s="8"/>
      <c r="B2893" s="8"/>
      <c r="C2893" s="8"/>
      <c r="D2893" s="8"/>
      <c r="E2893" s="8"/>
      <c r="F2893" s="8"/>
      <c r="G2893" s="8"/>
      <c r="H2893" s="8"/>
      <c r="I2893" s="8"/>
      <c r="J2893" s="8"/>
      <c r="K2893" s="8"/>
    </row>
    <row r="2894">
      <c r="A2894" s="8"/>
      <c r="B2894" s="8"/>
      <c r="C2894" s="8"/>
      <c r="D2894" s="8"/>
      <c r="E2894" s="8"/>
      <c r="F2894" s="8"/>
      <c r="G2894" s="8"/>
      <c r="H2894" s="8"/>
      <c r="I2894" s="8"/>
      <c r="J2894" s="8"/>
      <c r="K2894" s="8"/>
    </row>
    <row r="2895">
      <c r="A2895" s="8"/>
      <c r="B2895" s="8"/>
      <c r="C2895" s="8"/>
      <c r="D2895" s="8"/>
      <c r="E2895" s="8"/>
      <c r="F2895" s="8"/>
      <c r="G2895" s="8"/>
      <c r="H2895" s="8"/>
      <c r="I2895" s="8"/>
      <c r="J2895" s="8"/>
      <c r="K2895" s="8"/>
    </row>
    <row r="2896">
      <c r="A2896" s="8"/>
      <c r="B2896" s="8"/>
      <c r="C2896" s="8"/>
      <c r="D2896" s="8"/>
      <c r="E2896" s="8"/>
      <c r="F2896" s="8"/>
      <c r="G2896" s="8"/>
      <c r="H2896" s="8"/>
      <c r="I2896" s="8"/>
      <c r="J2896" s="8"/>
      <c r="K2896" s="8"/>
    </row>
    <row r="2897">
      <c r="A2897" s="8"/>
      <c r="B2897" s="8"/>
      <c r="C2897" s="8"/>
      <c r="D2897" s="8"/>
      <c r="E2897" s="8"/>
      <c r="F2897" s="8"/>
      <c r="G2897" s="8"/>
      <c r="H2897" s="8"/>
      <c r="I2897" s="8"/>
      <c r="J2897" s="8"/>
      <c r="K2897" s="8"/>
    </row>
    <row r="2898">
      <c r="A2898" s="8"/>
      <c r="B2898" s="8"/>
      <c r="C2898" s="8"/>
      <c r="D2898" s="8"/>
      <c r="E2898" s="8"/>
      <c r="F2898" s="8"/>
      <c r="G2898" s="8"/>
      <c r="H2898" s="8"/>
      <c r="I2898" s="8"/>
      <c r="J2898" s="8"/>
      <c r="K2898" s="8"/>
    </row>
    <row r="2899">
      <c r="A2899" s="8"/>
      <c r="B2899" s="8"/>
      <c r="C2899" s="8"/>
      <c r="D2899" s="8"/>
      <c r="E2899" s="8"/>
      <c r="F2899" s="8"/>
      <c r="G2899" s="8"/>
      <c r="H2899" s="8"/>
      <c r="I2899" s="8"/>
      <c r="J2899" s="8"/>
      <c r="K2899" s="8"/>
    </row>
    <row r="2900">
      <c r="A2900" s="8"/>
      <c r="B2900" s="8"/>
      <c r="C2900" s="8"/>
      <c r="D2900" s="8"/>
      <c r="E2900" s="8"/>
      <c r="F2900" s="8"/>
      <c r="G2900" s="8"/>
      <c r="H2900" s="8"/>
      <c r="I2900" s="8"/>
      <c r="J2900" s="8"/>
      <c r="K2900" s="8"/>
    </row>
    <row r="2901">
      <c r="A2901" s="8"/>
      <c r="B2901" s="8"/>
      <c r="C2901" s="8"/>
      <c r="D2901" s="8"/>
      <c r="E2901" s="8"/>
      <c r="F2901" s="8"/>
      <c r="G2901" s="8"/>
      <c r="H2901" s="8"/>
      <c r="I2901" s="8"/>
      <c r="J2901" s="8"/>
      <c r="K2901" s="8"/>
    </row>
    <row r="2902">
      <c r="A2902" s="8"/>
      <c r="B2902" s="8"/>
      <c r="C2902" s="8"/>
      <c r="D2902" s="8"/>
      <c r="E2902" s="8"/>
      <c r="F2902" s="8"/>
      <c r="G2902" s="8"/>
      <c r="H2902" s="8"/>
      <c r="I2902" s="8"/>
      <c r="J2902" s="8"/>
      <c r="K2902" s="8"/>
    </row>
    <row r="2903">
      <c r="A2903" s="8"/>
      <c r="B2903" s="8"/>
      <c r="C2903" s="8"/>
      <c r="D2903" s="8"/>
      <c r="E2903" s="8"/>
      <c r="F2903" s="8"/>
      <c r="G2903" s="8"/>
      <c r="H2903" s="8"/>
      <c r="I2903" s="8"/>
      <c r="J2903" s="8"/>
      <c r="K2903" s="8"/>
    </row>
    <row r="2904">
      <c r="A2904" s="8"/>
      <c r="B2904" s="8"/>
      <c r="C2904" s="8"/>
      <c r="D2904" s="8"/>
      <c r="E2904" s="8"/>
      <c r="F2904" s="8"/>
      <c r="G2904" s="8"/>
      <c r="H2904" s="8"/>
      <c r="I2904" s="8"/>
      <c r="J2904" s="8"/>
      <c r="K2904" s="8"/>
    </row>
    <row r="2905">
      <c r="A2905" s="8"/>
      <c r="B2905" s="8"/>
      <c r="C2905" s="8"/>
      <c r="D2905" s="8"/>
      <c r="E2905" s="8"/>
      <c r="F2905" s="8"/>
      <c r="G2905" s="8"/>
      <c r="H2905" s="8"/>
      <c r="I2905" s="8"/>
      <c r="J2905" s="8"/>
      <c r="K2905" s="8"/>
    </row>
    <row r="2906">
      <c r="A2906" s="8"/>
      <c r="B2906" s="8"/>
      <c r="C2906" s="8"/>
      <c r="D2906" s="8"/>
      <c r="E2906" s="8"/>
      <c r="F2906" s="8"/>
      <c r="G2906" s="8"/>
      <c r="H2906" s="8"/>
      <c r="I2906" s="8"/>
      <c r="J2906" s="8"/>
      <c r="K2906" s="8"/>
    </row>
    <row r="2907">
      <c r="A2907" s="8"/>
      <c r="B2907" s="8"/>
      <c r="C2907" s="8"/>
      <c r="D2907" s="8"/>
      <c r="E2907" s="8"/>
      <c r="F2907" s="8"/>
      <c r="G2907" s="8"/>
      <c r="H2907" s="8"/>
      <c r="I2907" s="8"/>
      <c r="J2907" s="8"/>
      <c r="K2907" s="8"/>
    </row>
    <row r="2908">
      <c r="A2908" s="8"/>
      <c r="B2908" s="8"/>
      <c r="C2908" s="8"/>
      <c r="D2908" s="8"/>
      <c r="E2908" s="8"/>
      <c r="F2908" s="8"/>
      <c r="G2908" s="8"/>
      <c r="H2908" s="8"/>
      <c r="I2908" s="8"/>
      <c r="J2908" s="8"/>
      <c r="K2908" s="8"/>
    </row>
    <row r="2909">
      <c r="A2909" s="8"/>
      <c r="B2909" s="8"/>
      <c r="C2909" s="8"/>
      <c r="D2909" s="8"/>
      <c r="E2909" s="8"/>
      <c r="F2909" s="8"/>
      <c r="G2909" s="8"/>
      <c r="H2909" s="8"/>
      <c r="I2909" s="8"/>
      <c r="J2909" s="8"/>
      <c r="K2909" s="8"/>
    </row>
    <row r="2910">
      <c r="A2910" s="8"/>
      <c r="B2910" s="8"/>
      <c r="C2910" s="8"/>
      <c r="D2910" s="8"/>
      <c r="E2910" s="8"/>
      <c r="F2910" s="8"/>
      <c r="G2910" s="8"/>
      <c r="H2910" s="8"/>
      <c r="I2910" s="8"/>
      <c r="J2910" s="8"/>
      <c r="K2910" s="8"/>
    </row>
    <row r="2911">
      <c r="A2911" s="8"/>
      <c r="B2911" s="8"/>
      <c r="C2911" s="8"/>
      <c r="D2911" s="8"/>
      <c r="E2911" s="8"/>
      <c r="F2911" s="8"/>
      <c r="G2911" s="8"/>
      <c r="H2911" s="8"/>
      <c r="I2911" s="8"/>
      <c r="J2911" s="8"/>
      <c r="K2911" s="8"/>
    </row>
    <row r="2912">
      <c r="A2912" s="8"/>
      <c r="B2912" s="8"/>
      <c r="C2912" s="8"/>
      <c r="D2912" s="8"/>
      <c r="E2912" s="8"/>
      <c r="F2912" s="8"/>
      <c r="G2912" s="8"/>
      <c r="H2912" s="8"/>
      <c r="I2912" s="8"/>
      <c r="J2912" s="8"/>
      <c r="K2912" s="8"/>
    </row>
    <row r="2913">
      <c r="A2913" s="8"/>
      <c r="B2913" s="8"/>
      <c r="C2913" s="8"/>
      <c r="D2913" s="8"/>
      <c r="E2913" s="8"/>
      <c r="F2913" s="8"/>
      <c r="G2913" s="8"/>
      <c r="H2913" s="8"/>
      <c r="I2913" s="8"/>
      <c r="J2913" s="8"/>
      <c r="K2913" s="8"/>
    </row>
    <row r="2914">
      <c r="A2914" s="8"/>
      <c r="B2914" s="8"/>
      <c r="C2914" s="8"/>
      <c r="D2914" s="8"/>
      <c r="E2914" s="8"/>
      <c r="F2914" s="8"/>
      <c r="G2914" s="8"/>
      <c r="H2914" s="8"/>
      <c r="I2914" s="8"/>
      <c r="J2914" s="8"/>
      <c r="K2914" s="8"/>
    </row>
    <row r="2915">
      <c r="A2915" s="8"/>
      <c r="B2915" s="8"/>
      <c r="C2915" s="8"/>
      <c r="D2915" s="8"/>
      <c r="E2915" s="8"/>
      <c r="F2915" s="8"/>
      <c r="G2915" s="8"/>
      <c r="H2915" s="8"/>
      <c r="I2915" s="8"/>
      <c r="J2915" s="8"/>
      <c r="K2915" s="8"/>
    </row>
    <row r="2916">
      <c r="A2916" s="8"/>
      <c r="B2916" s="8"/>
      <c r="C2916" s="8"/>
      <c r="D2916" s="8"/>
      <c r="E2916" s="8"/>
      <c r="F2916" s="8"/>
      <c r="G2916" s="8"/>
      <c r="H2916" s="8"/>
      <c r="I2916" s="8"/>
      <c r="J2916" s="8"/>
      <c r="K2916" s="8"/>
    </row>
    <row r="2917">
      <c r="A2917" s="8"/>
      <c r="B2917" s="8"/>
      <c r="C2917" s="8"/>
      <c r="D2917" s="8"/>
      <c r="E2917" s="8"/>
      <c r="F2917" s="8"/>
      <c r="G2917" s="8"/>
      <c r="H2917" s="8"/>
      <c r="I2917" s="8"/>
      <c r="J2917" s="8"/>
      <c r="K2917" s="8"/>
    </row>
    <row r="2918">
      <c r="A2918" s="8"/>
      <c r="B2918" s="8"/>
      <c r="C2918" s="8"/>
      <c r="D2918" s="8"/>
      <c r="E2918" s="8"/>
      <c r="F2918" s="8"/>
      <c r="G2918" s="8"/>
      <c r="H2918" s="8"/>
      <c r="I2918" s="8"/>
      <c r="J2918" s="8"/>
      <c r="K2918" s="8"/>
    </row>
    <row r="2919">
      <c r="A2919" s="8"/>
      <c r="B2919" s="8"/>
      <c r="C2919" s="8"/>
      <c r="D2919" s="8"/>
      <c r="E2919" s="8"/>
      <c r="F2919" s="8"/>
      <c r="G2919" s="8"/>
      <c r="H2919" s="8"/>
      <c r="I2919" s="8"/>
      <c r="J2919" s="8"/>
      <c r="K2919" s="8"/>
    </row>
    <row r="2920">
      <c r="A2920" s="8"/>
      <c r="B2920" s="8"/>
      <c r="C2920" s="8"/>
      <c r="D2920" s="8"/>
      <c r="E2920" s="8"/>
      <c r="F2920" s="8"/>
      <c r="G2920" s="8"/>
      <c r="H2920" s="8"/>
      <c r="I2920" s="8"/>
      <c r="J2920" s="8"/>
      <c r="K2920" s="8"/>
    </row>
    <row r="2921">
      <c r="A2921" s="8"/>
      <c r="B2921" s="8"/>
      <c r="C2921" s="8"/>
      <c r="D2921" s="8"/>
      <c r="E2921" s="8"/>
      <c r="F2921" s="8"/>
      <c r="G2921" s="8"/>
      <c r="H2921" s="8"/>
      <c r="I2921" s="8"/>
      <c r="J2921" s="8"/>
      <c r="K2921" s="8"/>
    </row>
    <row r="2922">
      <c r="A2922" s="8"/>
      <c r="B2922" s="8"/>
      <c r="C2922" s="8"/>
      <c r="D2922" s="8"/>
      <c r="E2922" s="8"/>
      <c r="F2922" s="8"/>
      <c r="G2922" s="8"/>
      <c r="H2922" s="8"/>
      <c r="I2922" s="8"/>
      <c r="J2922" s="8"/>
      <c r="K2922" s="8"/>
    </row>
    <row r="2923">
      <c r="A2923" s="8"/>
      <c r="B2923" s="8"/>
      <c r="C2923" s="8"/>
      <c r="D2923" s="8"/>
      <c r="E2923" s="8"/>
      <c r="F2923" s="8"/>
      <c r="G2923" s="8"/>
      <c r="H2923" s="8"/>
      <c r="I2923" s="8"/>
      <c r="J2923" s="8"/>
      <c r="K2923" s="8"/>
    </row>
    <row r="2924">
      <c r="A2924" s="8"/>
      <c r="B2924" s="8"/>
      <c r="C2924" s="8"/>
      <c r="D2924" s="8"/>
      <c r="E2924" s="8"/>
      <c r="F2924" s="8"/>
      <c r="G2924" s="8"/>
      <c r="H2924" s="8"/>
      <c r="I2924" s="8"/>
      <c r="J2924" s="8"/>
      <c r="K2924" s="8"/>
    </row>
    <row r="2925">
      <c r="A2925" s="8"/>
      <c r="B2925" s="8"/>
      <c r="C2925" s="8"/>
      <c r="D2925" s="8"/>
      <c r="E2925" s="8"/>
      <c r="F2925" s="8"/>
      <c r="G2925" s="8"/>
      <c r="H2925" s="8"/>
      <c r="I2925" s="8"/>
      <c r="J2925" s="8"/>
      <c r="K2925" s="8"/>
    </row>
    <row r="2926">
      <c r="A2926" s="8"/>
      <c r="B2926" s="8"/>
      <c r="C2926" s="8"/>
      <c r="D2926" s="8"/>
      <c r="E2926" s="8"/>
      <c r="F2926" s="8"/>
      <c r="G2926" s="8"/>
      <c r="H2926" s="8"/>
      <c r="I2926" s="8"/>
      <c r="J2926" s="8"/>
      <c r="K2926" s="8"/>
    </row>
    <row r="2927">
      <c r="A2927" s="8"/>
      <c r="B2927" s="8"/>
      <c r="C2927" s="8"/>
      <c r="D2927" s="8"/>
      <c r="E2927" s="8"/>
      <c r="F2927" s="8"/>
      <c r="G2927" s="8"/>
      <c r="H2927" s="8"/>
      <c r="I2927" s="8"/>
      <c r="J2927" s="8"/>
      <c r="K2927" s="8"/>
    </row>
    <row r="2928">
      <c r="A2928" s="8"/>
      <c r="B2928" s="8"/>
      <c r="C2928" s="8"/>
      <c r="D2928" s="8"/>
      <c r="E2928" s="8"/>
      <c r="F2928" s="8"/>
      <c r="G2928" s="8"/>
      <c r="H2928" s="8"/>
      <c r="I2928" s="8"/>
      <c r="J2928" s="8"/>
      <c r="K2928" s="8"/>
    </row>
    <row r="2929">
      <c r="A2929" s="8"/>
      <c r="B2929" s="8"/>
      <c r="C2929" s="8"/>
      <c r="D2929" s="8"/>
      <c r="E2929" s="8"/>
      <c r="F2929" s="8"/>
      <c r="G2929" s="8"/>
      <c r="H2929" s="8"/>
      <c r="I2929" s="8"/>
      <c r="J2929" s="8"/>
      <c r="K2929" s="8"/>
    </row>
    <row r="2930">
      <c r="A2930" s="8"/>
      <c r="B2930" s="8"/>
      <c r="C2930" s="8"/>
      <c r="D2930" s="8"/>
      <c r="E2930" s="8"/>
      <c r="F2930" s="8"/>
      <c r="G2930" s="8"/>
      <c r="H2930" s="8"/>
      <c r="I2930" s="8"/>
      <c r="J2930" s="8"/>
      <c r="K2930" s="8"/>
    </row>
    <row r="2931">
      <c r="A2931" s="8"/>
      <c r="B2931" s="8"/>
      <c r="C2931" s="8"/>
      <c r="D2931" s="8"/>
      <c r="E2931" s="8"/>
      <c r="F2931" s="8"/>
      <c r="G2931" s="8"/>
      <c r="H2931" s="8"/>
      <c r="I2931" s="8"/>
      <c r="J2931" s="8"/>
      <c r="K2931" s="8"/>
    </row>
    <row r="2932">
      <c r="A2932" s="8"/>
      <c r="B2932" s="8"/>
      <c r="C2932" s="8"/>
      <c r="D2932" s="8"/>
      <c r="E2932" s="8"/>
      <c r="F2932" s="8"/>
      <c r="G2932" s="8"/>
      <c r="H2932" s="8"/>
      <c r="I2932" s="8"/>
      <c r="J2932" s="8"/>
      <c r="K2932" s="8"/>
    </row>
    <row r="2933">
      <c r="A2933" s="8"/>
      <c r="B2933" s="8"/>
      <c r="C2933" s="8"/>
      <c r="D2933" s="8"/>
      <c r="E2933" s="8"/>
      <c r="F2933" s="8"/>
      <c r="G2933" s="8"/>
      <c r="H2933" s="8"/>
      <c r="I2933" s="8"/>
      <c r="J2933" s="8"/>
      <c r="K2933" s="8"/>
    </row>
    <row r="2934">
      <c r="A2934" s="8"/>
      <c r="B2934" s="8"/>
      <c r="C2934" s="8"/>
      <c r="D2934" s="8"/>
      <c r="E2934" s="8"/>
      <c r="F2934" s="8"/>
      <c r="G2934" s="8"/>
      <c r="H2934" s="8"/>
      <c r="I2934" s="8"/>
      <c r="J2934" s="8"/>
      <c r="K2934" s="8"/>
    </row>
    <row r="2935">
      <c r="A2935" s="8"/>
      <c r="B2935" s="8"/>
      <c r="C2935" s="8"/>
      <c r="D2935" s="8"/>
      <c r="E2935" s="8"/>
      <c r="F2935" s="8"/>
      <c r="G2935" s="8"/>
      <c r="H2935" s="8"/>
      <c r="I2935" s="8"/>
      <c r="J2935" s="8"/>
      <c r="K2935" s="8"/>
    </row>
    <row r="2936">
      <c r="A2936" s="8"/>
      <c r="B2936" s="8"/>
      <c r="C2936" s="8"/>
      <c r="D2936" s="8"/>
      <c r="E2936" s="8"/>
      <c r="F2936" s="8"/>
      <c r="G2936" s="8"/>
      <c r="H2936" s="8"/>
      <c r="I2936" s="8"/>
      <c r="J2936" s="8"/>
      <c r="K2936" s="8"/>
    </row>
    <row r="2937">
      <c r="A2937" s="8"/>
      <c r="B2937" s="8"/>
      <c r="C2937" s="8"/>
      <c r="D2937" s="8"/>
      <c r="E2937" s="8"/>
      <c r="F2937" s="8"/>
      <c r="G2937" s="8"/>
      <c r="H2937" s="8"/>
      <c r="I2937" s="8"/>
      <c r="J2937" s="8"/>
      <c r="K2937" s="8"/>
    </row>
    <row r="2938">
      <c r="A2938" s="8"/>
      <c r="B2938" s="8"/>
      <c r="C2938" s="8"/>
      <c r="D2938" s="8"/>
      <c r="E2938" s="8"/>
      <c r="F2938" s="8"/>
      <c r="G2938" s="8"/>
      <c r="H2938" s="8"/>
      <c r="I2938" s="8"/>
      <c r="J2938" s="8"/>
      <c r="K2938" s="8"/>
    </row>
    <row r="2939">
      <c r="A2939" s="8"/>
      <c r="B2939" s="8"/>
      <c r="C2939" s="8"/>
      <c r="D2939" s="8"/>
      <c r="E2939" s="8"/>
      <c r="F2939" s="8"/>
      <c r="G2939" s="8"/>
      <c r="H2939" s="8"/>
      <c r="I2939" s="8"/>
      <c r="J2939" s="8"/>
      <c r="K2939" s="8"/>
    </row>
    <row r="2940">
      <c r="A2940" s="8"/>
      <c r="B2940" s="8"/>
      <c r="C2940" s="8"/>
      <c r="D2940" s="8"/>
      <c r="E2940" s="8"/>
      <c r="F2940" s="8"/>
      <c r="G2940" s="8"/>
      <c r="H2940" s="8"/>
      <c r="I2940" s="8"/>
      <c r="J2940" s="8"/>
      <c r="K2940" s="8"/>
    </row>
    <row r="2941">
      <c r="A2941" s="8"/>
      <c r="B2941" s="8"/>
      <c r="C2941" s="8"/>
      <c r="D2941" s="8"/>
      <c r="E2941" s="8"/>
      <c r="F2941" s="8"/>
      <c r="G2941" s="8"/>
      <c r="H2941" s="8"/>
      <c r="I2941" s="8"/>
      <c r="J2941" s="8"/>
      <c r="K2941" s="8"/>
    </row>
    <row r="2942">
      <c r="A2942" s="8"/>
      <c r="B2942" s="8"/>
      <c r="C2942" s="8"/>
      <c r="D2942" s="8"/>
      <c r="E2942" s="8"/>
      <c r="F2942" s="8"/>
      <c r="G2942" s="8"/>
      <c r="H2942" s="8"/>
      <c r="I2942" s="8"/>
      <c r="J2942" s="8"/>
      <c r="K2942" s="8"/>
    </row>
    <row r="2943">
      <c r="A2943" s="8"/>
      <c r="B2943" s="8"/>
      <c r="C2943" s="8"/>
      <c r="D2943" s="8"/>
      <c r="E2943" s="8"/>
      <c r="F2943" s="8"/>
      <c r="G2943" s="8"/>
      <c r="H2943" s="8"/>
      <c r="I2943" s="8"/>
      <c r="J2943" s="8"/>
      <c r="K2943" s="8"/>
    </row>
    <row r="2944">
      <c r="A2944" s="8"/>
      <c r="B2944" s="8"/>
      <c r="C2944" s="8"/>
      <c r="D2944" s="8"/>
      <c r="E2944" s="8"/>
      <c r="F2944" s="8"/>
      <c r="G2944" s="8"/>
      <c r="H2944" s="8"/>
      <c r="I2944" s="8"/>
      <c r="J2944" s="8"/>
      <c r="K2944" s="8"/>
    </row>
    <row r="2945">
      <c r="A2945" s="8"/>
      <c r="B2945" s="8"/>
      <c r="C2945" s="8"/>
      <c r="D2945" s="8"/>
      <c r="E2945" s="8"/>
      <c r="F2945" s="8"/>
      <c r="G2945" s="8"/>
      <c r="H2945" s="8"/>
      <c r="I2945" s="8"/>
      <c r="J2945" s="8"/>
      <c r="K2945" s="8"/>
    </row>
    <row r="2946">
      <c r="A2946" s="8"/>
      <c r="B2946" s="8"/>
      <c r="C2946" s="8"/>
      <c r="D2946" s="8"/>
      <c r="E2946" s="8"/>
      <c r="F2946" s="8"/>
      <c r="G2946" s="8"/>
      <c r="H2946" s="8"/>
      <c r="I2946" s="8"/>
      <c r="J2946" s="8"/>
      <c r="K2946" s="8"/>
    </row>
    <row r="2947">
      <c r="A2947" s="8"/>
      <c r="B2947" s="8"/>
      <c r="C2947" s="8"/>
      <c r="D2947" s="8"/>
      <c r="E2947" s="8"/>
      <c r="F2947" s="8"/>
      <c r="G2947" s="8"/>
      <c r="H2947" s="8"/>
      <c r="I2947" s="8"/>
      <c r="J2947" s="8"/>
      <c r="K2947" s="8"/>
    </row>
    <row r="2948">
      <c r="A2948" s="8"/>
      <c r="B2948" s="8"/>
      <c r="C2948" s="8"/>
      <c r="D2948" s="8"/>
      <c r="E2948" s="8"/>
      <c r="F2948" s="8"/>
      <c r="G2948" s="8"/>
      <c r="H2948" s="8"/>
      <c r="I2948" s="8"/>
      <c r="J2948" s="8"/>
      <c r="K2948" s="8"/>
    </row>
    <row r="2949">
      <c r="A2949" s="8"/>
      <c r="B2949" s="8"/>
      <c r="C2949" s="8"/>
      <c r="D2949" s="8"/>
      <c r="E2949" s="8"/>
      <c r="F2949" s="8"/>
      <c r="G2949" s="8"/>
      <c r="H2949" s="8"/>
      <c r="I2949" s="8"/>
      <c r="J2949" s="8"/>
      <c r="K2949" s="8"/>
    </row>
    <row r="2950">
      <c r="A2950" s="8"/>
      <c r="B2950" s="8"/>
      <c r="C2950" s="8"/>
      <c r="D2950" s="8"/>
      <c r="E2950" s="8"/>
      <c r="F2950" s="8"/>
      <c r="G2950" s="8"/>
      <c r="H2950" s="8"/>
      <c r="I2950" s="8"/>
      <c r="J2950" s="8"/>
      <c r="K2950" s="8"/>
    </row>
    <row r="2951">
      <c r="A2951" s="8"/>
      <c r="B2951" s="8"/>
      <c r="C2951" s="8"/>
      <c r="D2951" s="8"/>
      <c r="E2951" s="8"/>
      <c r="F2951" s="8"/>
      <c r="G2951" s="8"/>
      <c r="H2951" s="8"/>
      <c r="I2951" s="8"/>
      <c r="J2951" s="8"/>
      <c r="K2951" s="8"/>
    </row>
    <row r="2952">
      <c r="A2952" s="8"/>
      <c r="B2952" s="8"/>
      <c r="C2952" s="8"/>
      <c r="D2952" s="8"/>
      <c r="E2952" s="8"/>
      <c r="F2952" s="8"/>
      <c r="G2952" s="8"/>
      <c r="H2952" s="8"/>
      <c r="I2952" s="8"/>
      <c r="J2952" s="8"/>
      <c r="K2952" s="8"/>
    </row>
    <row r="2953">
      <c r="A2953" s="8"/>
      <c r="B2953" s="8"/>
      <c r="C2953" s="8"/>
      <c r="D2953" s="8"/>
      <c r="E2953" s="8"/>
      <c r="F2953" s="8"/>
      <c r="G2953" s="8"/>
      <c r="H2953" s="8"/>
      <c r="I2953" s="8"/>
      <c r="J2953" s="8"/>
      <c r="K2953" s="8"/>
    </row>
    <row r="2954">
      <c r="A2954" s="8"/>
      <c r="B2954" s="8"/>
      <c r="C2954" s="8"/>
      <c r="D2954" s="8"/>
      <c r="E2954" s="8"/>
      <c r="F2954" s="8"/>
      <c r="G2954" s="8"/>
      <c r="H2954" s="8"/>
      <c r="I2954" s="8"/>
      <c r="J2954" s="8"/>
      <c r="K2954" s="8"/>
    </row>
    <row r="2955">
      <c r="A2955" s="8"/>
      <c r="B2955" s="8"/>
      <c r="C2955" s="8"/>
      <c r="D2955" s="8"/>
      <c r="E2955" s="8"/>
      <c r="F2955" s="8"/>
      <c r="G2955" s="8"/>
      <c r="H2955" s="8"/>
      <c r="I2955" s="8"/>
      <c r="J2955" s="8"/>
      <c r="K2955" s="8"/>
    </row>
    <row r="2956">
      <c r="A2956" s="8"/>
      <c r="B2956" s="8"/>
      <c r="C2956" s="8"/>
      <c r="D2956" s="8"/>
      <c r="E2956" s="8"/>
      <c r="F2956" s="8"/>
      <c r="G2956" s="8"/>
      <c r="H2956" s="8"/>
      <c r="I2956" s="8"/>
      <c r="J2956" s="8"/>
      <c r="K2956" s="8"/>
    </row>
    <row r="2957">
      <c r="A2957" s="8"/>
      <c r="B2957" s="8"/>
      <c r="C2957" s="8"/>
      <c r="D2957" s="8"/>
      <c r="E2957" s="8"/>
      <c r="F2957" s="8"/>
      <c r="G2957" s="8"/>
      <c r="H2957" s="8"/>
      <c r="I2957" s="8"/>
      <c r="J2957" s="8"/>
      <c r="K2957" s="8"/>
    </row>
    <row r="2958">
      <c r="A2958" s="8"/>
      <c r="B2958" s="8"/>
      <c r="C2958" s="8"/>
      <c r="D2958" s="8"/>
      <c r="E2958" s="8"/>
      <c r="F2958" s="8"/>
      <c r="G2958" s="8"/>
      <c r="H2958" s="8"/>
      <c r="I2958" s="8"/>
      <c r="J2958" s="8"/>
      <c r="K2958" s="8"/>
    </row>
    <row r="2959">
      <c r="A2959" s="8"/>
      <c r="B2959" s="8"/>
      <c r="C2959" s="8"/>
      <c r="D2959" s="8"/>
      <c r="E2959" s="8"/>
      <c r="F2959" s="8"/>
      <c r="G2959" s="8"/>
      <c r="H2959" s="8"/>
      <c r="I2959" s="8"/>
      <c r="J2959" s="8"/>
      <c r="K2959" s="8"/>
    </row>
    <row r="2960">
      <c r="A2960" s="8"/>
      <c r="B2960" s="8"/>
      <c r="C2960" s="8"/>
      <c r="D2960" s="8"/>
      <c r="E2960" s="8"/>
      <c r="F2960" s="8"/>
      <c r="G2960" s="8"/>
      <c r="H2960" s="8"/>
      <c r="I2960" s="8"/>
      <c r="J2960" s="8"/>
      <c r="K2960" s="8"/>
    </row>
    <row r="2961">
      <c r="A2961" s="8"/>
      <c r="B2961" s="8"/>
      <c r="C2961" s="8"/>
      <c r="D2961" s="8"/>
      <c r="E2961" s="8"/>
      <c r="F2961" s="8"/>
      <c r="G2961" s="8"/>
      <c r="H2961" s="8"/>
      <c r="I2961" s="8"/>
      <c r="J2961" s="8"/>
      <c r="K2961" s="8"/>
    </row>
    <row r="2962">
      <c r="A2962" s="8"/>
      <c r="B2962" s="8"/>
      <c r="C2962" s="8"/>
      <c r="D2962" s="8"/>
      <c r="E2962" s="8"/>
      <c r="F2962" s="8"/>
      <c r="G2962" s="8"/>
      <c r="H2962" s="8"/>
      <c r="I2962" s="8"/>
      <c r="J2962" s="8"/>
      <c r="K2962" s="8"/>
    </row>
    <row r="2963">
      <c r="A2963" s="8"/>
      <c r="B2963" s="8"/>
      <c r="C2963" s="8"/>
      <c r="D2963" s="8"/>
      <c r="E2963" s="8"/>
      <c r="F2963" s="8"/>
      <c r="G2963" s="8"/>
      <c r="H2963" s="8"/>
      <c r="I2963" s="8"/>
      <c r="J2963" s="8"/>
      <c r="K2963" s="8"/>
    </row>
    <row r="2964">
      <c r="A2964" s="8"/>
      <c r="B2964" s="8"/>
      <c r="C2964" s="8"/>
      <c r="D2964" s="8"/>
      <c r="E2964" s="8"/>
      <c r="F2964" s="8"/>
      <c r="G2964" s="8"/>
      <c r="H2964" s="8"/>
      <c r="I2964" s="8"/>
      <c r="J2964" s="8"/>
      <c r="K2964" s="8"/>
    </row>
    <row r="2965">
      <c r="A2965" s="8"/>
      <c r="B2965" s="8"/>
      <c r="C2965" s="8"/>
      <c r="D2965" s="8"/>
      <c r="E2965" s="8"/>
      <c r="F2965" s="8"/>
      <c r="G2965" s="8"/>
      <c r="H2965" s="8"/>
      <c r="I2965" s="8"/>
      <c r="J2965" s="8"/>
      <c r="K2965" s="8"/>
    </row>
    <row r="2966">
      <c r="A2966" s="8"/>
      <c r="B2966" s="8"/>
      <c r="C2966" s="8"/>
      <c r="D2966" s="8"/>
      <c r="E2966" s="8"/>
      <c r="F2966" s="8"/>
      <c r="G2966" s="8"/>
      <c r="H2966" s="8"/>
      <c r="I2966" s="8"/>
      <c r="J2966" s="8"/>
      <c r="K2966" s="8"/>
    </row>
    <row r="2967">
      <c r="A2967" s="8"/>
      <c r="B2967" s="8"/>
      <c r="C2967" s="8"/>
      <c r="D2967" s="8"/>
      <c r="E2967" s="8"/>
      <c r="F2967" s="8"/>
      <c r="G2967" s="8"/>
      <c r="H2967" s="8"/>
      <c r="I2967" s="8"/>
      <c r="J2967" s="8"/>
      <c r="K2967" s="8"/>
    </row>
    <row r="2968">
      <c r="A2968" s="8"/>
      <c r="B2968" s="8"/>
      <c r="C2968" s="8"/>
      <c r="D2968" s="8"/>
      <c r="E2968" s="8"/>
      <c r="F2968" s="8"/>
      <c r="G2968" s="8"/>
      <c r="H2968" s="8"/>
      <c r="I2968" s="8"/>
      <c r="J2968" s="8"/>
      <c r="K2968" s="8"/>
    </row>
    <row r="2969">
      <c r="A2969" s="8"/>
      <c r="B2969" s="8"/>
      <c r="C2969" s="8"/>
      <c r="D2969" s="8"/>
      <c r="E2969" s="8"/>
      <c r="F2969" s="8"/>
      <c r="G2969" s="8"/>
      <c r="H2969" s="8"/>
      <c r="I2969" s="8"/>
      <c r="J2969" s="8"/>
      <c r="K2969" s="8"/>
    </row>
    <row r="2970">
      <c r="A2970" s="8"/>
      <c r="B2970" s="8"/>
      <c r="C2970" s="8"/>
      <c r="D2970" s="8"/>
      <c r="E2970" s="8"/>
      <c r="F2970" s="8"/>
      <c r="G2970" s="8"/>
      <c r="H2970" s="8"/>
      <c r="I2970" s="8"/>
      <c r="J2970" s="8"/>
      <c r="K2970" s="8"/>
    </row>
    <row r="2971">
      <c r="A2971" s="8"/>
      <c r="B2971" s="8"/>
      <c r="C2971" s="8"/>
      <c r="D2971" s="8"/>
      <c r="E2971" s="8"/>
      <c r="F2971" s="8"/>
      <c r="G2971" s="8"/>
      <c r="H2971" s="8"/>
      <c r="I2971" s="8"/>
      <c r="J2971" s="8"/>
      <c r="K2971" s="8"/>
    </row>
    <row r="2972">
      <c r="A2972" s="8"/>
      <c r="B2972" s="8"/>
      <c r="C2972" s="8"/>
      <c r="D2972" s="8"/>
      <c r="E2972" s="8"/>
      <c r="F2972" s="8"/>
      <c r="G2972" s="8"/>
      <c r="H2972" s="8"/>
      <c r="I2972" s="8"/>
      <c r="J2972" s="8"/>
      <c r="K2972" s="8"/>
    </row>
    <row r="2973">
      <c r="A2973" s="8"/>
      <c r="B2973" s="8"/>
      <c r="C2973" s="8"/>
      <c r="D2973" s="8"/>
      <c r="E2973" s="8"/>
      <c r="F2973" s="8"/>
      <c r="G2973" s="8"/>
      <c r="H2973" s="8"/>
      <c r="I2973" s="8"/>
      <c r="J2973" s="8"/>
      <c r="K2973" s="8"/>
    </row>
    <row r="2974">
      <c r="A2974" s="8"/>
      <c r="B2974" s="8"/>
      <c r="C2974" s="8"/>
      <c r="D2974" s="8"/>
      <c r="E2974" s="8"/>
      <c r="F2974" s="8"/>
      <c r="G2974" s="8"/>
      <c r="H2974" s="8"/>
      <c r="I2974" s="8"/>
      <c r="J2974" s="8"/>
      <c r="K2974" s="8"/>
    </row>
    <row r="2975">
      <c r="A2975" s="8"/>
      <c r="B2975" s="8"/>
      <c r="C2975" s="8"/>
      <c r="D2975" s="8"/>
      <c r="E2975" s="8"/>
      <c r="F2975" s="8"/>
      <c r="G2975" s="8"/>
      <c r="H2975" s="8"/>
      <c r="I2975" s="8"/>
      <c r="J2975" s="8"/>
      <c r="K2975" s="8"/>
    </row>
    <row r="2976">
      <c r="A2976" s="8"/>
      <c r="B2976" s="8"/>
      <c r="C2976" s="8"/>
      <c r="D2976" s="8"/>
      <c r="E2976" s="8"/>
      <c r="F2976" s="8"/>
      <c r="G2976" s="8"/>
      <c r="H2976" s="8"/>
      <c r="I2976" s="8"/>
      <c r="J2976" s="8"/>
      <c r="K2976" s="8"/>
    </row>
    <row r="2977">
      <c r="A2977" s="8"/>
      <c r="B2977" s="8"/>
      <c r="C2977" s="8"/>
      <c r="D2977" s="8"/>
      <c r="E2977" s="8"/>
      <c r="F2977" s="8"/>
      <c r="G2977" s="8"/>
      <c r="H2977" s="8"/>
      <c r="I2977" s="8"/>
      <c r="J2977" s="8"/>
      <c r="K2977" s="8"/>
    </row>
    <row r="2978">
      <c r="A2978" s="8"/>
      <c r="B2978" s="8"/>
      <c r="C2978" s="8"/>
      <c r="D2978" s="8"/>
      <c r="E2978" s="8"/>
      <c r="F2978" s="8"/>
      <c r="G2978" s="8"/>
      <c r="H2978" s="8"/>
      <c r="I2978" s="8"/>
      <c r="J2978" s="8"/>
      <c r="K2978" s="8"/>
    </row>
    <row r="2979">
      <c r="A2979" s="8"/>
      <c r="B2979" s="8"/>
      <c r="C2979" s="8"/>
      <c r="D2979" s="8"/>
      <c r="E2979" s="8"/>
      <c r="F2979" s="8"/>
      <c r="G2979" s="8"/>
      <c r="H2979" s="8"/>
      <c r="I2979" s="8"/>
      <c r="J2979" s="8"/>
      <c r="K2979" s="8"/>
    </row>
    <row r="2980">
      <c r="A2980" s="8"/>
      <c r="B2980" s="8"/>
      <c r="C2980" s="8"/>
      <c r="D2980" s="8"/>
      <c r="E2980" s="8"/>
      <c r="F2980" s="8"/>
      <c r="G2980" s="8"/>
      <c r="H2980" s="8"/>
      <c r="I2980" s="8"/>
      <c r="J2980" s="8"/>
      <c r="K2980" s="8"/>
    </row>
    <row r="2981">
      <c r="A2981" s="8"/>
      <c r="B2981" s="8"/>
      <c r="C2981" s="8"/>
      <c r="D2981" s="8"/>
      <c r="E2981" s="8"/>
      <c r="F2981" s="8"/>
      <c r="G2981" s="8"/>
      <c r="H2981" s="8"/>
      <c r="I2981" s="8"/>
      <c r="J2981" s="8"/>
      <c r="K2981" s="8"/>
    </row>
    <row r="2982">
      <c r="A2982" s="8"/>
      <c r="B2982" s="8"/>
      <c r="C2982" s="8"/>
      <c r="D2982" s="8"/>
      <c r="E2982" s="8"/>
      <c r="F2982" s="8"/>
      <c r="G2982" s="8"/>
      <c r="H2982" s="8"/>
      <c r="I2982" s="8"/>
      <c r="J2982" s="8"/>
      <c r="K2982" s="8"/>
    </row>
    <row r="2983">
      <c r="A2983" s="8"/>
      <c r="B2983" s="8"/>
      <c r="C2983" s="8"/>
      <c r="D2983" s="8"/>
      <c r="E2983" s="8"/>
      <c r="F2983" s="8"/>
      <c r="G2983" s="8"/>
      <c r="H2983" s="8"/>
      <c r="I2983" s="8"/>
      <c r="J2983" s="8"/>
      <c r="K2983" s="8"/>
    </row>
    <row r="2984">
      <c r="A2984" s="8"/>
      <c r="B2984" s="8"/>
      <c r="C2984" s="8"/>
      <c r="D2984" s="8"/>
      <c r="E2984" s="8"/>
      <c r="F2984" s="8"/>
      <c r="G2984" s="8"/>
      <c r="H2984" s="8"/>
      <c r="I2984" s="8"/>
      <c r="J2984" s="8"/>
      <c r="K2984" s="8"/>
    </row>
    <row r="2985">
      <c r="A2985" s="8"/>
      <c r="B2985" s="8"/>
      <c r="C2985" s="8"/>
      <c r="D2985" s="8"/>
      <c r="E2985" s="8"/>
      <c r="F2985" s="8"/>
      <c r="G2985" s="8"/>
      <c r="H2985" s="8"/>
      <c r="I2985" s="8"/>
      <c r="J2985" s="8"/>
      <c r="K2985" s="8"/>
    </row>
    <row r="2986">
      <c r="A2986" s="8"/>
      <c r="B2986" s="8"/>
      <c r="C2986" s="8"/>
      <c r="D2986" s="8"/>
      <c r="E2986" s="8"/>
      <c r="F2986" s="8"/>
      <c r="G2986" s="8"/>
      <c r="H2986" s="8"/>
      <c r="I2986" s="8"/>
      <c r="J2986" s="8"/>
      <c r="K2986" s="8"/>
    </row>
    <row r="2987">
      <c r="A2987" s="8"/>
      <c r="B2987" s="8"/>
      <c r="C2987" s="8"/>
      <c r="D2987" s="8"/>
      <c r="E2987" s="8"/>
      <c r="F2987" s="8"/>
      <c r="G2987" s="8"/>
      <c r="H2987" s="8"/>
      <c r="I2987" s="8"/>
      <c r="J2987" s="8"/>
      <c r="K2987" s="8"/>
    </row>
    <row r="2988">
      <c r="A2988" s="8"/>
      <c r="B2988" s="8"/>
      <c r="C2988" s="8"/>
      <c r="D2988" s="8"/>
      <c r="E2988" s="8"/>
      <c r="F2988" s="8"/>
      <c r="G2988" s="8"/>
      <c r="H2988" s="8"/>
      <c r="I2988" s="8"/>
      <c r="J2988" s="8"/>
      <c r="K2988" s="8"/>
    </row>
    <row r="2989">
      <c r="A2989" s="8"/>
      <c r="B2989" s="8"/>
      <c r="C2989" s="8"/>
      <c r="D2989" s="8"/>
      <c r="E2989" s="8"/>
      <c r="F2989" s="8"/>
      <c r="G2989" s="8"/>
      <c r="H2989" s="8"/>
      <c r="I2989" s="8"/>
      <c r="J2989" s="8"/>
      <c r="K2989" s="8"/>
    </row>
    <row r="2990">
      <c r="A2990" s="8"/>
      <c r="B2990" s="8"/>
      <c r="C2990" s="8"/>
      <c r="D2990" s="8"/>
      <c r="E2990" s="8"/>
      <c r="F2990" s="8"/>
      <c r="G2990" s="8"/>
      <c r="H2990" s="8"/>
      <c r="I2990" s="8"/>
      <c r="J2990" s="8"/>
      <c r="K2990" s="8"/>
    </row>
    <row r="2991">
      <c r="A2991" s="8"/>
      <c r="B2991" s="8"/>
      <c r="C2991" s="8"/>
      <c r="D2991" s="8"/>
      <c r="E2991" s="8"/>
      <c r="F2991" s="8"/>
      <c r="G2991" s="8"/>
      <c r="H2991" s="8"/>
      <c r="I2991" s="8"/>
      <c r="J2991" s="8"/>
      <c r="K2991" s="8"/>
    </row>
    <row r="2992">
      <c r="A2992" s="8"/>
      <c r="B2992" s="8"/>
      <c r="C2992" s="8"/>
      <c r="D2992" s="8"/>
      <c r="E2992" s="8"/>
      <c r="F2992" s="8"/>
      <c r="G2992" s="8"/>
      <c r="H2992" s="8"/>
      <c r="I2992" s="8"/>
      <c r="J2992" s="8"/>
      <c r="K2992" s="8"/>
    </row>
    <row r="2993">
      <c r="A2993" s="8"/>
      <c r="B2993" s="8"/>
      <c r="C2993" s="8"/>
      <c r="D2993" s="8"/>
      <c r="E2993" s="8"/>
      <c r="F2993" s="8"/>
      <c r="G2993" s="8"/>
      <c r="H2993" s="8"/>
      <c r="I2993" s="8"/>
      <c r="J2993" s="8"/>
      <c r="K2993" s="8"/>
    </row>
    <row r="2994">
      <c r="A2994" s="8"/>
      <c r="B2994" s="8"/>
      <c r="C2994" s="8"/>
      <c r="D2994" s="8"/>
      <c r="E2994" s="8"/>
      <c r="F2994" s="8"/>
      <c r="G2994" s="8"/>
      <c r="H2994" s="8"/>
      <c r="I2994" s="8"/>
      <c r="J2994" s="8"/>
      <c r="K2994" s="8"/>
    </row>
    <row r="2995">
      <c r="A2995" s="8"/>
      <c r="B2995" s="8"/>
      <c r="C2995" s="8"/>
      <c r="D2995" s="8"/>
      <c r="E2995" s="8"/>
      <c r="F2995" s="8"/>
      <c r="G2995" s="8"/>
      <c r="H2995" s="8"/>
      <c r="I2995" s="8"/>
      <c r="J2995" s="8"/>
      <c r="K2995" s="8"/>
    </row>
    <row r="2996">
      <c r="A2996" s="8"/>
      <c r="B2996" s="8"/>
      <c r="C2996" s="8"/>
      <c r="D2996" s="8"/>
      <c r="E2996" s="8"/>
      <c r="F2996" s="8"/>
      <c r="G2996" s="8"/>
      <c r="H2996" s="8"/>
      <c r="I2996" s="8"/>
      <c r="J2996" s="8"/>
      <c r="K2996" s="8"/>
    </row>
    <row r="2997">
      <c r="A2997" s="8"/>
      <c r="B2997" s="8"/>
      <c r="C2997" s="8"/>
      <c r="D2997" s="8"/>
      <c r="E2997" s="8"/>
      <c r="F2997" s="8"/>
      <c r="G2997" s="8"/>
      <c r="H2997" s="8"/>
      <c r="I2997" s="8"/>
      <c r="J2997" s="8"/>
      <c r="K2997" s="8"/>
    </row>
    <row r="2998">
      <c r="A2998" s="8"/>
      <c r="B2998" s="8"/>
      <c r="C2998" s="8"/>
      <c r="D2998" s="8"/>
      <c r="E2998" s="8"/>
      <c r="F2998" s="8"/>
      <c r="G2998" s="8"/>
      <c r="H2998" s="8"/>
      <c r="I2998" s="8"/>
      <c r="J2998" s="8"/>
      <c r="K2998" s="8"/>
    </row>
    <row r="2999">
      <c r="A2999" s="8"/>
      <c r="B2999" s="8"/>
      <c r="C2999" s="8"/>
      <c r="D2999" s="8"/>
      <c r="E2999" s="8"/>
      <c r="F2999" s="8"/>
      <c r="G2999" s="8"/>
      <c r="H2999" s="8"/>
      <c r="I2999" s="8"/>
      <c r="J2999" s="8"/>
      <c r="K2999" s="8"/>
    </row>
    <row r="3000">
      <c r="A3000" s="8"/>
      <c r="B3000" s="8"/>
      <c r="C3000" s="8"/>
      <c r="D3000" s="8"/>
      <c r="E3000" s="8"/>
      <c r="F3000" s="8"/>
      <c r="G3000" s="8"/>
      <c r="H3000" s="8"/>
      <c r="I3000" s="8"/>
      <c r="J3000" s="8"/>
      <c r="K3000" s="8"/>
    </row>
    <row r="3001">
      <c r="A3001" s="8"/>
      <c r="B3001" s="8"/>
      <c r="C3001" s="8"/>
      <c r="D3001" s="8"/>
      <c r="E3001" s="8"/>
      <c r="F3001" s="8"/>
      <c r="G3001" s="8"/>
      <c r="H3001" s="8"/>
      <c r="I3001" s="8"/>
      <c r="J3001" s="8"/>
      <c r="K3001" s="8"/>
    </row>
    <row r="3002">
      <c r="A3002" s="8"/>
      <c r="B3002" s="8"/>
      <c r="C3002" s="8"/>
      <c r="D3002" s="8"/>
      <c r="E3002" s="8"/>
      <c r="F3002" s="8"/>
      <c r="G3002" s="8"/>
      <c r="H3002" s="8"/>
      <c r="I3002" s="8"/>
      <c r="J3002" s="8"/>
      <c r="K3002" s="8"/>
    </row>
    <row r="3003">
      <c r="A3003" s="8"/>
      <c r="B3003" s="8"/>
      <c r="C3003" s="8"/>
      <c r="D3003" s="8"/>
      <c r="E3003" s="8"/>
      <c r="F3003" s="8"/>
      <c r="G3003" s="8"/>
      <c r="H3003" s="8"/>
      <c r="I3003" s="8"/>
      <c r="J3003" s="8"/>
      <c r="K3003" s="8"/>
    </row>
    <row r="3004">
      <c r="A3004" s="8"/>
      <c r="B3004" s="8"/>
      <c r="C3004" s="8"/>
      <c r="D3004" s="8"/>
      <c r="E3004" s="8"/>
      <c r="F3004" s="8"/>
      <c r="G3004" s="8"/>
      <c r="H3004" s="8"/>
      <c r="I3004" s="8"/>
      <c r="J3004" s="8"/>
      <c r="K3004" s="8"/>
    </row>
    <row r="3005">
      <c r="A3005" s="8"/>
      <c r="B3005" s="8"/>
      <c r="C3005" s="8"/>
      <c r="D3005" s="8"/>
      <c r="E3005" s="8"/>
      <c r="F3005" s="8"/>
      <c r="G3005" s="8"/>
      <c r="H3005" s="8"/>
      <c r="I3005" s="8"/>
      <c r="J3005" s="8"/>
      <c r="K3005" s="8"/>
    </row>
    <row r="3006">
      <c r="A3006" s="8"/>
      <c r="B3006" s="8"/>
      <c r="C3006" s="8"/>
      <c r="D3006" s="8"/>
      <c r="E3006" s="8"/>
      <c r="F3006" s="8"/>
      <c r="G3006" s="8"/>
      <c r="H3006" s="8"/>
      <c r="I3006" s="8"/>
      <c r="J3006" s="8"/>
      <c r="K3006" s="8"/>
    </row>
    <row r="3007">
      <c r="A3007" s="8"/>
      <c r="B3007" s="8"/>
      <c r="C3007" s="8"/>
      <c r="D3007" s="8"/>
      <c r="E3007" s="8"/>
      <c r="F3007" s="8"/>
      <c r="G3007" s="8"/>
      <c r="H3007" s="8"/>
      <c r="I3007" s="8"/>
      <c r="J3007" s="8"/>
      <c r="K3007" s="8"/>
    </row>
    <row r="3008">
      <c r="A3008" s="8"/>
      <c r="B3008" s="8"/>
      <c r="C3008" s="8"/>
      <c r="D3008" s="8"/>
      <c r="E3008" s="8"/>
      <c r="F3008" s="8"/>
      <c r="G3008" s="8"/>
      <c r="H3008" s="8"/>
      <c r="I3008" s="8"/>
      <c r="J3008" s="8"/>
      <c r="K3008" s="8"/>
    </row>
    <row r="3009">
      <c r="A3009" s="8"/>
      <c r="B3009" s="8"/>
      <c r="C3009" s="8"/>
      <c r="D3009" s="8"/>
      <c r="E3009" s="8"/>
      <c r="F3009" s="8"/>
      <c r="G3009" s="8"/>
      <c r="H3009" s="8"/>
      <c r="I3009" s="8"/>
      <c r="J3009" s="8"/>
      <c r="K3009" s="8"/>
    </row>
    <row r="3010">
      <c r="A3010" s="8"/>
      <c r="B3010" s="8"/>
      <c r="C3010" s="8"/>
      <c r="D3010" s="8"/>
      <c r="E3010" s="8"/>
      <c r="F3010" s="8"/>
      <c r="G3010" s="8"/>
      <c r="H3010" s="8"/>
      <c r="I3010" s="8"/>
      <c r="J3010" s="8"/>
      <c r="K3010" s="8"/>
    </row>
    <row r="3011">
      <c r="A3011" s="8"/>
      <c r="B3011" s="8"/>
      <c r="C3011" s="8"/>
      <c r="D3011" s="8"/>
      <c r="E3011" s="8"/>
      <c r="F3011" s="8"/>
      <c r="G3011" s="8"/>
      <c r="H3011" s="8"/>
      <c r="I3011" s="8"/>
      <c r="J3011" s="8"/>
      <c r="K3011" s="8"/>
    </row>
    <row r="3012">
      <c r="A3012" s="8"/>
      <c r="B3012" s="8"/>
      <c r="C3012" s="8"/>
      <c r="D3012" s="8"/>
      <c r="E3012" s="8"/>
      <c r="F3012" s="8"/>
      <c r="G3012" s="8"/>
      <c r="H3012" s="8"/>
      <c r="I3012" s="8"/>
      <c r="J3012" s="8"/>
      <c r="K3012" s="8"/>
    </row>
    <row r="3013">
      <c r="A3013" s="8"/>
      <c r="B3013" s="8"/>
      <c r="C3013" s="8"/>
      <c r="D3013" s="8"/>
      <c r="E3013" s="8"/>
      <c r="F3013" s="8"/>
      <c r="G3013" s="8"/>
      <c r="H3013" s="8"/>
      <c r="I3013" s="8"/>
      <c r="J3013" s="8"/>
      <c r="K3013" s="8"/>
    </row>
    <row r="3014">
      <c r="A3014" s="8"/>
      <c r="B3014" s="8"/>
      <c r="C3014" s="8"/>
      <c r="D3014" s="8"/>
      <c r="E3014" s="8"/>
      <c r="F3014" s="8"/>
      <c r="G3014" s="8"/>
      <c r="H3014" s="8"/>
      <c r="I3014" s="8"/>
      <c r="J3014" s="8"/>
      <c r="K3014" s="8"/>
    </row>
    <row r="3015">
      <c r="A3015" s="8"/>
      <c r="B3015" s="8"/>
      <c r="C3015" s="8"/>
      <c r="D3015" s="8"/>
      <c r="E3015" s="8"/>
      <c r="F3015" s="8"/>
      <c r="G3015" s="8"/>
      <c r="H3015" s="8"/>
      <c r="I3015" s="8"/>
      <c r="J3015" s="8"/>
      <c r="K3015" s="8"/>
    </row>
    <row r="3016">
      <c r="A3016" s="8"/>
      <c r="B3016" s="8"/>
      <c r="C3016" s="8"/>
      <c r="D3016" s="8"/>
      <c r="E3016" s="8"/>
      <c r="F3016" s="8"/>
      <c r="G3016" s="8"/>
      <c r="H3016" s="8"/>
      <c r="I3016" s="8"/>
      <c r="J3016" s="8"/>
      <c r="K3016" s="8"/>
    </row>
    <row r="3017">
      <c r="A3017" s="8"/>
      <c r="B3017" s="8"/>
      <c r="C3017" s="8"/>
      <c r="D3017" s="8"/>
      <c r="E3017" s="8"/>
      <c r="F3017" s="8"/>
      <c r="G3017" s="8"/>
      <c r="H3017" s="8"/>
      <c r="I3017" s="8"/>
      <c r="J3017" s="8"/>
      <c r="K3017" s="8"/>
    </row>
    <row r="3018">
      <c r="A3018" s="8"/>
      <c r="B3018" s="8"/>
      <c r="C3018" s="8"/>
      <c r="D3018" s="8"/>
      <c r="E3018" s="8"/>
      <c r="F3018" s="8"/>
      <c r="G3018" s="8"/>
      <c r="H3018" s="8"/>
      <c r="I3018" s="8"/>
      <c r="J3018" s="8"/>
      <c r="K3018" s="8"/>
    </row>
    <row r="3019">
      <c r="A3019" s="8"/>
      <c r="B3019" s="8"/>
      <c r="C3019" s="8"/>
      <c r="D3019" s="8"/>
      <c r="E3019" s="8"/>
      <c r="F3019" s="8"/>
      <c r="G3019" s="8"/>
      <c r="H3019" s="8"/>
      <c r="I3019" s="8"/>
      <c r="J3019" s="8"/>
      <c r="K3019" s="8"/>
    </row>
    <row r="3020">
      <c r="A3020" s="8"/>
      <c r="B3020" s="8"/>
      <c r="C3020" s="8"/>
      <c r="D3020" s="8"/>
      <c r="E3020" s="8"/>
      <c r="F3020" s="8"/>
      <c r="G3020" s="8"/>
      <c r="H3020" s="8"/>
      <c r="I3020" s="8"/>
      <c r="J3020" s="8"/>
      <c r="K3020" s="8"/>
    </row>
    <row r="3021">
      <c r="A3021" s="8"/>
      <c r="B3021" s="8"/>
      <c r="C3021" s="8"/>
      <c r="D3021" s="8"/>
      <c r="E3021" s="8"/>
      <c r="F3021" s="8"/>
      <c r="G3021" s="8"/>
      <c r="H3021" s="8"/>
      <c r="I3021" s="8"/>
      <c r="J3021" s="8"/>
      <c r="K3021" s="8"/>
    </row>
    <row r="3022">
      <c r="A3022" s="8"/>
      <c r="B3022" s="8"/>
      <c r="C3022" s="8"/>
      <c r="D3022" s="8"/>
      <c r="E3022" s="8"/>
      <c r="F3022" s="8"/>
      <c r="G3022" s="8"/>
      <c r="H3022" s="8"/>
      <c r="I3022" s="8"/>
      <c r="J3022" s="8"/>
      <c r="K3022" s="8"/>
    </row>
    <row r="3023">
      <c r="A3023" s="8"/>
      <c r="B3023" s="8"/>
      <c r="C3023" s="8"/>
      <c r="D3023" s="8"/>
      <c r="E3023" s="8"/>
      <c r="F3023" s="8"/>
      <c r="G3023" s="8"/>
      <c r="H3023" s="8"/>
      <c r="I3023" s="8"/>
      <c r="J3023" s="8"/>
      <c r="K3023" s="8"/>
    </row>
    <row r="3024">
      <c r="A3024" s="8"/>
      <c r="B3024" s="8"/>
      <c r="C3024" s="8"/>
      <c r="D3024" s="8"/>
      <c r="E3024" s="8"/>
      <c r="F3024" s="8"/>
      <c r="G3024" s="8"/>
      <c r="H3024" s="8"/>
      <c r="I3024" s="8"/>
      <c r="J3024" s="8"/>
      <c r="K3024" s="8"/>
    </row>
    <row r="3025">
      <c r="A3025" s="8"/>
      <c r="B3025" s="8"/>
      <c r="C3025" s="8"/>
      <c r="D3025" s="8"/>
      <c r="E3025" s="8"/>
      <c r="F3025" s="8"/>
      <c r="G3025" s="8"/>
      <c r="H3025" s="8"/>
      <c r="I3025" s="8"/>
      <c r="J3025" s="8"/>
      <c r="K3025" s="8"/>
    </row>
    <row r="3026">
      <c r="A3026" s="8"/>
      <c r="B3026" s="8"/>
      <c r="C3026" s="8"/>
      <c r="D3026" s="8"/>
      <c r="E3026" s="8"/>
      <c r="F3026" s="8"/>
      <c r="G3026" s="8"/>
      <c r="H3026" s="8"/>
      <c r="I3026" s="8"/>
      <c r="J3026" s="8"/>
      <c r="K3026" s="8"/>
    </row>
    <row r="3027">
      <c r="A3027" s="8"/>
      <c r="B3027" s="8"/>
      <c r="C3027" s="8"/>
      <c r="D3027" s="8"/>
      <c r="E3027" s="8"/>
      <c r="F3027" s="8"/>
      <c r="G3027" s="8"/>
      <c r="H3027" s="8"/>
      <c r="I3027" s="8"/>
      <c r="J3027" s="8"/>
      <c r="K3027" s="8"/>
    </row>
    <row r="3028">
      <c r="A3028" s="8"/>
      <c r="B3028" s="8"/>
      <c r="C3028" s="8"/>
      <c r="D3028" s="8"/>
      <c r="E3028" s="8"/>
      <c r="F3028" s="8"/>
      <c r="G3028" s="8"/>
      <c r="H3028" s="8"/>
      <c r="I3028" s="8"/>
      <c r="J3028" s="8"/>
      <c r="K3028" s="8"/>
    </row>
    <row r="3029">
      <c r="A3029" s="8"/>
      <c r="B3029" s="8"/>
      <c r="C3029" s="8"/>
      <c r="D3029" s="8"/>
      <c r="E3029" s="8"/>
      <c r="F3029" s="8"/>
      <c r="G3029" s="8"/>
      <c r="H3029" s="8"/>
      <c r="I3029" s="8"/>
      <c r="J3029" s="8"/>
      <c r="K3029" s="8"/>
    </row>
    <row r="3030">
      <c r="A3030" s="8"/>
      <c r="B3030" s="8"/>
      <c r="C3030" s="8"/>
      <c r="D3030" s="8"/>
      <c r="E3030" s="8"/>
      <c r="F3030" s="8"/>
      <c r="G3030" s="8"/>
      <c r="H3030" s="8"/>
      <c r="I3030" s="8"/>
      <c r="J3030" s="8"/>
      <c r="K3030" s="8"/>
    </row>
    <row r="3031">
      <c r="A3031" s="8"/>
      <c r="B3031" s="8"/>
      <c r="C3031" s="8"/>
      <c r="D3031" s="8"/>
      <c r="E3031" s="8"/>
      <c r="F3031" s="8"/>
      <c r="G3031" s="8"/>
      <c r="H3031" s="8"/>
      <c r="I3031" s="8"/>
      <c r="J3031" s="8"/>
      <c r="K3031" s="8"/>
    </row>
    <row r="3032">
      <c r="A3032" s="8"/>
      <c r="B3032" s="8"/>
      <c r="C3032" s="8"/>
      <c r="D3032" s="8"/>
      <c r="E3032" s="8"/>
      <c r="F3032" s="8"/>
      <c r="G3032" s="8"/>
      <c r="H3032" s="8"/>
      <c r="I3032" s="8"/>
      <c r="J3032" s="8"/>
      <c r="K3032" s="8"/>
    </row>
    <row r="3033">
      <c r="A3033" s="8"/>
      <c r="B3033" s="8"/>
      <c r="C3033" s="8"/>
      <c r="D3033" s="8"/>
      <c r="E3033" s="8"/>
      <c r="F3033" s="8"/>
      <c r="G3033" s="8"/>
      <c r="H3033" s="8"/>
      <c r="I3033" s="8"/>
      <c r="J3033" s="8"/>
      <c r="K3033" s="8"/>
    </row>
    <row r="3034">
      <c r="A3034" s="8"/>
      <c r="B3034" s="8"/>
      <c r="C3034" s="8"/>
      <c r="D3034" s="8"/>
      <c r="E3034" s="8"/>
      <c r="F3034" s="8"/>
      <c r="G3034" s="8"/>
      <c r="H3034" s="8"/>
      <c r="I3034" s="8"/>
      <c r="J3034" s="8"/>
      <c r="K3034" s="8"/>
    </row>
    <row r="3035">
      <c r="A3035" s="8"/>
      <c r="B3035" s="8"/>
      <c r="C3035" s="8"/>
      <c r="D3035" s="8"/>
      <c r="E3035" s="8"/>
      <c r="F3035" s="8"/>
      <c r="G3035" s="8"/>
      <c r="H3035" s="8"/>
      <c r="I3035" s="8"/>
      <c r="J3035" s="8"/>
      <c r="K3035" s="8"/>
    </row>
    <row r="3036">
      <c r="A3036" s="8"/>
      <c r="B3036" s="8"/>
      <c r="C3036" s="8"/>
      <c r="D3036" s="8"/>
      <c r="E3036" s="8"/>
      <c r="F3036" s="8"/>
      <c r="G3036" s="8"/>
      <c r="H3036" s="8"/>
      <c r="I3036" s="8"/>
      <c r="J3036" s="8"/>
      <c r="K3036" s="8"/>
    </row>
    <row r="3037">
      <c r="A3037" s="8"/>
      <c r="B3037" s="8"/>
      <c r="C3037" s="8"/>
      <c r="D3037" s="8"/>
      <c r="E3037" s="8"/>
      <c r="F3037" s="8"/>
      <c r="G3037" s="8"/>
      <c r="H3037" s="8"/>
      <c r="I3037" s="8"/>
      <c r="J3037" s="8"/>
      <c r="K3037" s="8"/>
    </row>
    <row r="3038">
      <c r="A3038" s="8"/>
      <c r="B3038" s="8"/>
      <c r="C3038" s="8"/>
      <c r="D3038" s="8"/>
      <c r="E3038" s="8"/>
      <c r="F3038" s="8"/>
      <c r="G3038" s="8"/>
      <c r="H3038" s="8"/>
      <c r="I3038" s="8"/>
      <c r="J3038" s="8"/>
      <c r="K3038" s="8"/>
    </row>
    <row r="3039">
      <c r="A3039" s="8"/>
      <c r="B3039" s="8"/>
      <c r="C3039" s="8"/>
      <c r="D3039" s="8"/>
      <c r="E3039" s="8"/>
      <c r="F3039" s="8"/>
      <c r="G3039" s="8"/>
      <c r="H3039" s="8"/>
      <c r="I3039" s="8"/>
      <c r="J3039" s="8"/>
      <c r="K3039" s="8"/>
    </row>
    <row r="3040">
      <c r="A3040" s="8"/>
      <c r="B3040" s="8"/>
      <c r="C3040" s="8"/>
      <c r="D3040" s="8"/>
      <c r="E3040" s="8"/>
      <c r="F3040" s="8"/>
      <c r="G3040" s="8"/>
      <c r="H3040" s="8"/>
      <c r="I3040" s="8"/>
      <c r="J3040" s="8"/>
      <c r="K3040" s="8"/>
    </row>
    <row r="3041">
      <c r="A3041" s="8"/>
      <c r="B3041" s="8"/>
      <c r="C3041" s="8"/>
      <c r="D3041" s="8"/>
      <c r="E3041" s="8"/>
      <c r="F3041" s="8"/>
      <c r="G3041" s="8"/>
      <c r="H3041" s="8"/>
      <c r="I3041" s="8"/>
      <c r="J3041" s="8"/>
      <c r="K3041" s="8"/>
    </row>
    <row r="3042">
      <c r="A3042" s="8"/>
      <c r="B3042" s="8"/>
      <c r="C3042" s="8"/>
      <c r="D3042" s="8"/>
      <c r="E3042" s="8"/>
      <c r="F3042" s="8"/>
      <c r="G3042" s="8"/>
      <c r="H3042" s="8"/>
      <c r="I3042" s="8"/>
      <c r="J3042" s="8"/>
      <c r="K3042" s="8"/>
    </row>
    <row r="3043">
      <c r="A3043" s="8"/>
      <c r="B3043" s="8"/>
      <c r="C3043" s="8"/>
      <c r="D3043" s="8"/>
      <c r="E3043" s="8"/>
      <c r="F3043" s="8"/>
      <c r="G3043" s="8"/>
      <c r="H3043" s="8"/>
      <c r="I3043" s="8"/>
      <c r="J3043" s="8"/>
      <c r="K3043" s="8"/>
    </row>
    <row r="3044">
      <c r="A3044" s="8"/>
      <c r="B3044" s="8"/>
      <c r="C3044" s="8"/>
      <c r="D3044" s="8"/>
      <c r="E3044" s="8"/>
      <c r="F3044" s="8"/>
      <c r="G3044" s="8"/>
      <c r="H3044" s="8"/>
      <c r="I3044" s="8"/>
      <c r="J3044" s="8"/>
      <c r="K3044" s="8"/>
    </row>
    <row r="3045">
      <c r="A3045" s="8"/>
      <c r="B3045" s="8"/>
      <c r="C3045" s="8"/>
      <c r="D3045" s="8"/>
      <c r="E3045" s="8"/>
      <c r="F3045" s="8"/>
      <c r="G3045" s="8"/>
      <c r="H3045" s="8"/>
      <c r="I3045" s="8"/>
      <c r="J3045" s="8"/>
      <c r="K3045" s="8"/>
    </row>
    <row r="3046">
      <c r="A3046" s="8"/>
      <c r="B3046" s="8"/>
      <c r="C3046" s="8"/>
      <c r="D3046" s="8"/>
      <c r="E3046" s="8"/>
      <c r="F3046" s="8"/>
      <c r="G3046" s="8"/>
      <c r="H3046" s="8"/>
      <c r="I3046" s="8"/>
      <c r="J3046" s="8"/>
      <c r="K3046" s="8"/>
    </row>
    <row r="3047">
      <c r="A3047" s="8"/>
      <c r="B3047" s="8"/>
      <c r="C3047" s="8"/>
      <c r="D3047" s="8"/>
      <c r="E3047" s="8"/>
      <c r="F3047" s="8"/>
      <c r="G3047" s="8"/>
      <c r="H3047" s="8"/>
      <c r="I3047" s="8"/>
      <c r="J3047" s="8"/>
      <c r="K3047" s="8"/>
    </row>
    <row r="3048">
      <c r="A3048" s="8"/>
      <c r="B3048" s="8"/>
      <c r="C3048" s="8"/>
      <c r="D3048" s="8"/>
      <c r="E3048" s="8"/>
      <c r="F3048" s="8"/>
      <c r="G3048" s="8"/>
      <c r="H3048" s="8"/>
      <c r="I3048" s="8"/>
      <c r="J3048" s="8"/>
      <c r="K3048" s="8"/>
    </row>
    <row r="3049">
      <c r="A3049" s="8"/>
      <c r="B3049" s="8"/>
      <c r="C3049" s="8"/>
      <c r="D3049" s="8"/>
      <c r="E3049" s="8"/>
      <c r="F3049" s="8"/>
      <c r="G3049" s="8"/>
      <c r="H3049" s="8"/>
      <c r="I3049" s="8"/>
      <c r="J3049" s="8"/>
      <c r="K3049" s="8"/>
    </row>
    <row r="3050">
      <c r="A3050" s="8"/>
      <c r="B3050" s="8"/>
      <c r="C3050" s="8"/>
      <c r="D3050" s="8"/>
      <c r="E3050" s="8"/>
      <c r="F3050" s="8"/>
      <c r="G3050" s="8"/>
      <c r="H3050" s="8"/>
      <c r="I3050" s="8"/>
      <c r="J3050" s="8"/>
      <c r="K3050" s="8"/>
    </row>
    <row r="3051">
      <c r="A3051" s="8"/>
      <c r="B3051" s="8"/>
      <c r="C3051" s="8"/>
      <c r="D3051" s="8"/>
      <c r="E3051" s="8"/>
      <c r="F3051" s="8"/>
      <c r="G3051" s="8"/>
      <c r="H3051" s="8"/>
      <c r="I3051" s="8"/>
      <c r="J3051" s="8"/>
      <c r="K3051" s="8"/>
    </row>
    <row r="3052">
      <c r="A3052" s="8"/>
      <c r="B3052" s="8"/>
      <c r="C3052" s="8"/>
      <c r="D3052" s="8"/>
      <c r="E3052" s="8"/>
      <c r="F3052" s="8"/>
      <c r="G3052" s="8"/>
      <c r="H3052" s="8"/>
      <c r="I3052" s="8"/>
      <c r="J3052" s="8"/>
      <c r="K3052" s="8"/>
    </row>
    <row r="3053">
      <c r="A3053" s="8"/>
      <c r="B3053" s="8"/>
      <c r="C3053" s="8"/>
      <c r="D3053" s="8"/>
      <c r="E3053" s="8"/>
      <c r="F3053" s="8"/>
      <c r="G3053" s="8"/>
      <c r="H3053" s="8"/>
      <c r="I3053" s="8"/>
      <c r="J3053" s="8"/>
      <c r="K3053" s="8"/>
    </row>
    <row r="3054">
      <c r="A3054" s="8"/>
      <c r="B3054" s="8"/>
      <c r="C3054" s="8"/>
      <c r="D3054" s="8"/>
      <c r="E3054" s="8"/>
      <c r="F3054" s="8"/>
      <c r="G3054" s="8"/>
      <c r="H3054" s="8"/>
      <c r="I3054" s="8"/>
      <c r="J3054" s="8"/>
      <c r="K3054" s="8"/>
    </row>
    <row r="3055">
      <c r="A3055" s="8"/>
      <c r="B3055" s="8"/>
      <c r="C3055" s="8"/>
      <c r="D3055" s="8"/>
      <c r="E3055" s="8"/>
      <c r="F3055" s="8"/>
      <c r="G3055" s="8"/>
      <c r="H3055" s="8"/>
      <c r="I3055" s="8"/>
      <c r="J3055" s="8"/>
      <c r="K3055" s="8"/>
    </row>
    <row r="3056">
      <c r="A3056" s="8"/>
      <c r="B3056" s="8"/>
      <c r="C3056" s="8"/>
      <c r="D3056" s="8"/>
      <c r="E3056" s="8"/>
      <c r="F3056" s="8"/>
      <c r="G3056" s="8"/>
      <c r="H3056" s="8"/>
      <c r="I3056" s="8"/>
      <c r="J3056" s="8"/>
      <c r="K3056" s="8"/>
    </row>
    <row r="3057">
      <c r="A3057" s="8"/>
      <c r="B3057" s="8"/>
      <c r="C3057" s="8"/>
      <c r="D3057" s="8"/>
      <c r="E3057" s="8"/>
      <c r="F3057" s="8"/>
      <c r="G3057" s="8"/>
      <c r="H3057" s="8"/>
      <c r="I3057" s="8"/>
      <c r="J3057" s="8"/>
      <c r="K3057" s="8"/>
    </row>
    <row r="3058">
      <c r="A3058" s="8"/>
      <c r="B3058" s="8"/>
      <c r="C3058" s="8"/>
      <c r="D3058" s="8"/>
      <c r="E3058" s="8"/>
      <c r="F3058" s="8"/>
      <c r="G3058" s="8"/>
      <c r="H3058" s="8"/>
      <c r="I3058" s="8"/>
      <c r="J3058" s="8"/>
      <c r="K3058" s="8"/>
    </row>
    <row r="3059">
      <c r="A3059" s="8"/>
      <c r="B3059" s="8"/>
      <c r="C3059" s="8"/>
      <c r="D3059" s="8"/>
      <c r="E3059" s="8"/>
      <c r="F3059" s="8"/>
      <c r="G3059" s="8"/>
      <c r="H3059" s="8"/>
      <c r="I3059" s="8"/>
      <c r="J3059" s="8"/>
      <c r="K3059" s="8"/>
    </row>
    <row r="3060">
      <c r="A3060" s="8"/>
      <c r="B3060" s="8"/>
      <c r="C3060" s="8"/>
      <c r="D3060" s="8"/>
      <c r="E3060" s="8"/>
      <c r="F3060" s="8"/>
      <c r="G3060" s="8"/>
      <c r="H3060" s="8"/>
      <c r="I3060" s="8"/>
      <c r="J3060" s="8"/>
      <c r="K3060" s="8"/>
    </row>
    <row r="3061">
      <c r="A3061" s="8"/>
      <c r="B3061" s="8"/>
      <c r="C3061" s="8"/>
      <c r="D3061" s="8"/>
      <c r="E3061" s="8"/>
      <c r="F3061" s="8"/>
      <c r="G3061" s="8"/>
      <c r="H3061" s="8"/>
      <c r="I3061" s="8"/>
      <c r="J3061" s="8"/>
      <c r="K3061" s="8"/>
    </row>
    <row r="3062">
      <c r="A3062" s="8"/>
      <c r="B3062" s="8"/>
      <c r="C3062" s="8"/>
      <c r="D3062" s="8"/>
      <c r="E3062" s="8"/>
      <c r="F3062" s="8"/>
      <c r="G3062" s="8"/>
      <c r="H3062" s="8"/>
      <c r="I3062" s="8"/>
      <c r="J3062" s="8"/>
      <c r="K3062" s="8"/>
    </row>
    <row r="3063">
      <c r="A3063" s="8"/>
      <c r="B3063" s="8"/>
      <c r="C3063" s="8"/>
      <c r="D3063" s="8"/>
      <c r="E3063" s="8"/>
      <c r="F3063" s="8"/>
      <c r="G3063" s="8"/>
      <c r="H3063" s="8"/>
      <c r="I3063" s="8"/>
      <c r="J3063" s="8"/>
      <c r="K3063" s="8"/>
    </row>
    <row r="3064">
      <c r="A3064" s="8"/>
      <c r="B3064" s="8"/>
      <c r="C3064" s="8"/>
      <c r="D3064" s="8"/>
      <c r="E3064" s="8"/>
      <c r="F3064" s="8"/>
      <c r="G3064" s="8"/>
      <c r="H3064" s="8"/>
      <c r="I3064" s="8"/>
      <c r="J3064" s="8"/>
      <c r="K3064" s="8"/>
    </row>
    <row r="3065">
      <c r="A3065" s="8"/>
      <c r="B3065" s="8"/>
      <c r="C3065" s="8"/>
      <c r="D3065" s="8"/>
      <c r="E3065" s="8"/>
      <c r="F3065" s="8"/>
      <c r="G3065" s="8"/>
      <c r="H3065" s="8"/>
      <c r="I3065" s="8"/>
      <c r="J3065" s="8"/>
      <c r="K3065" s="8"/>
    </row>
    <row r="3066">
      <c r="A3066" s="8"/>
      <c r="B3066" s="8"/>
      <c r="C3066" s="8"/>
      <c r="D3066" s="8"/>
      <c r="E3066" s="8"/>
      <c r="F3066" s="8"/>
      <c r="G3066" s="8"/>
      <c r="H3066" s="8"/>
      <c r="I3066" s="8"/>
      <c r="J3066" s="8"/>
      <c r="K3066" s="8"/>
    </row>
    <row r="3067">
      <c r="A3067" s="8"/>
      <c r="B3067" s="8"/>
      <c r="C3067" s="8"/>
      <c r="D3067" s="8"/>
      <c r="E3067" s="8"/>
      <c r="F3067" s="8"/>
      <c r="G3067" s="8"/>
      <c r="H3067" s="8"/>
      <c r="I3067" s="8"/>
      <c r="J3067" s="8"/>
      <c r="K3067" s="8"/>
    </row>
    <row r="3068">
      <c r="A3068" s="8"/>
      <c r="B3068" s="8"/>
      <c r="C3068" s="8"/>
      <c r="D3068" s="8"/>
      <c r="E3068" s="8"/>
      <c r="F3068" s="8"/>
      <c r="G3068" s="8"/>
      <c r="H3068" s="8"/>
      <c r="I3068" s="8"/>
      <c r="J3068" s="8"/>
      <c r="K3068" s="8"/>
    </row>
    <row r="3069">
      <c r="A3069" s="8"/>
      <c r="B3069" s="8"/>
      <c r="C3069" s="8"/>
      <c r="D3069" s="8"/>
      <c r="E3069" s="8"/>
      <c r="F3069" s="8"/>
      <c r="G3069" s="8"/>
      <c r="H3069" s="8"/>
      <c r="I3069" s="8"/>
      <c r="J3069" s="8"/>
      <c r="K3069" s="8"/>
    </row>
    <row r="3070">
      <c r="A3070" s="8"/>
      <c r="B3070" s="8"/>
      <c r="C3070" s="8"/>
      <c r="D3070" s="8"/>
      <c r="E3070" s="8"/>
      <c r="F3070" s="8"/>
      <c r="G3070" s="8"/>
      <c r="H3070" s="8"/>
      <c r="I3070" s="8"/>
      <c r="J3070" s="8"/>
      <c r="K3070" s="8"/>
    </row>
    <row r="3071">
      <c r="A3071" s="8"/>
      <c r="B3071" s="8"/>
      <c r="C3071" s="8"/>
      <c r="D3071" s="8"/>
      <c r="E3071" s="8"/>
      <c r="F3071" s="8"/>
      <c r="G3071" s="8"/>
      <c r="H3071" s="8"/>
      <c r="I3071" s="8"/>
      <c r="J3071" s="8"/>
      <c r="K3071" s="8"/>
    </row>
    <row r="3072">
      <c r="A3072" s="8"/>
      <c r="B3072" s="8"/>
      <c r="C3072" s="8"/>
      <c r="D3072" s="8"/>
      <c r="E3072" s="8"/>
      <c r="F3072" s="8"/>
      <c r="G3072" s="8"/>
      <c r="H3072" s="8"/>
      <c r="I3072" s="8"/>
      <c r="J3072" s="8"/>
      <c r="K3072" s="8"/>
    </row>
    <row r="3073">
      <c r="A3073" s="8"/>
      <c r="B3073" s="8"/>
      <c r="C3073" s="8"/>
      <c r="D3073" s="8"/>
      <c r="E3073" s="8"/>
      <c r="F3073" s="8"/>
      <c r="G3073" s="8"/>
      <c r="H3073" s="8"/>
      <c r="I3073" s="8"/>
      <c r="J3073" s="8"/>
      <c r="K3073" s="8"/>
    </row>
    <row r="3074">
      <c r="A3074" s="8"/>
      <c r="B3074" s="8"/>
      <c r="C3074" s="8"/>
      <c r="D3074" s="8"/>
      <c r="E3074" s="8"/>
      <c r="F3074" s="8"/>
      <c r="G3074" s="8"/>
      <c r="H3074" s="8"/>
      <c r="I3074" s="8"/>
      <c r="J3074" s="8"/>
      <c r="K3074" s="8"/>
    </row>
    <row r="3075">
      <c r="A3075" s="8"/>
      <c r="B3075" s="8"/>
      <c r="C3075" s="8"/>
      <c r="D3075" s="8"/>
      <c r="E3075" s="8"/>
      <c r="F3075" s="8"/>
      <c r="G3075" s="8"/>
      <c r="H3075" s="8"/>
      <c r="I3075" s="8"/>
      <c r="J3075" s="8"/>
      <c r="K3075" s="8"/>
    </row>
    <row r="3076">
      <c r="A3076" s="8"/>
      <c r="B3076" s="8"/>
      <c r="C3076" s="8"/>
      <c r="D3076" s="8"/>
      <c r="E3076" s="8"/>
      <c r="F3076" s="8"/>
      <c r="G3076" s="8"/>
      <c r="H3076" s="8"/>
      <c r="I3076" s="8"/>
      <c r="J3076" s="8"/>
      <c r="K3076" s="8"/>
    </row>
    <row r="3077">
      <c r="A3077" s="8"/>
      <c r="B3077" s="8"/>
      <c r="C3077" s="8"/>
      <c r="D3077" s="8"/>
      <c r="E3077" s="8"/>
      <c r="F3077" s="8"/>
      <c r="G3077" s="8"/>
      <c r="H3077" s="8"/>
      <c r="I3077" s="8"/>
      <c r="J3077" s="8"/>
      <c r="K3077" s="8"/>
    </row>
    <row r="3078">
      <c r="A3078" s="8"/>
      <c r="B3078" s="8"/>
      <c r="C3078" s="8"/>
      <c r="D3078" s="8"/>
      <c r="E3078" s="8"/>
      <c r="F3078" s="8"/>
      <c r="G3078" s="8"/>
      <c r="H3078" s="8"/>
      <c r="I3078" s="8"/>
      <c r="J3078" s="8"/>
      <c r="K3078" s="8"/>
    </row>
    <row r="3079">
      <c r="A3079" s="8"/>
      <c r="B3079" s="8"/>
      <c r="C3079" s="8"/>
      <c r="D3079" s="8"/>
      <c r="E3079" s="8"/>
      <c r="F3079" s="8"/>
      <c r="G3079" s="8"/>
      <c r="H3079" s="8"/>
      <c r="I3079" s="8"/>
      <c r="J3079" s="8"/>
      <c r="K3079" s="8"/>
    </row>
    <row r="3080">
      <c r="A3080" s="8"/>
      <c r="B3080" s="8"/>
      <c r="C3080" s="8"/>
      <c r="D3080" s="8"/>
      <c r="E3080" s="8"/>
      <c r="F3080" s="8"/>
      <c r="G3080" s="8"/>
      <c r="H3080" s="8"/>
      <c r="I3080" s="8"/>
      <c r="J3080" s="8"/>
      <c r="K3080" s="8"/>
    </row>
    <row r="3081">
      <c r="A3081" s="8"/>
      <c r="B3081" s="8"/>
      <c r="C3081" s="8"/>
      <c r="D3081" s="8"/>
      <c r="E3081" s="8"/>
      <c r="F3081" s="8"/>
      <c r="G3081" s="8"/>
      <c r="H3081" s="8"/>
      <c r="I3081" s="8"/>
      <c r="J3081" s="8"/>
      <c r="K3081" s="8"/>
    </row>
    <row r="3082">
      <c r="A3082" s="8"/>
      <c r="B3082" s="8"/>
      <c r="C3082" s="8"/>
      <c r="D3082" s="8"/>
      <c r="E3082" s="8"/>
      <c r="F3082" s="8"/>
      <c r="G3082" s="8"/>
      <c r="H3082" s="8"/>
      <c r="I3082" s="8"/>
      <c r="J3082" s="8"/>
      <c r="K3082" s="8"/>
    </row>
    <row r="3083">
      <c r="A3083" s="8"/>
      <c r="B3083" s="8"/>
      <c r="C3083" s="8"/>
      <c r="D3083" s="8"/>
      <c r="E3083" s="8"/>
      <c r="F3083" s="8"/>
      <c r="G3083" s="8"/>
      <c r="H3083" s="8"/>
      <c r="I3083" s="8"/>
      <c r="J3083" s="8"/>
      <c r="K3083" s="8"/>
    </row>
    <row r="3084">
      <c r="A3084" s="8"/>
      <c r="B3084" s="8"/>
      <c r="C3084" s="8"/>
      <c r="D3084" s="8"/>
      <c r="E3084" s="8"/>
      <c r="F3084" s="8"/>
      <c r="G3084" s="8"/>
      <c r="H3084" s="8"/>
      <c r="I3084" s="8"/>
      <c r="J3084" s="8"/>
      <c r="K3084" s="8"/>
    </row>
    <row r="3085">
      <c r="A3085" s="8"/>
      <c r="B3085" s="8"/>
      <c r="C3085" s="8"/>
      <c r="D3085" s="8"/>
      <c r="E3085" s="8"/>
      <c r="F3085" s="8"/>
      <c r="G3085" s="8"/>
      <c r="H3085" s="8"/>
      <c r="I3085" s="8"/>
      <c r="J3085" s="8"/>
      <c r="K3085" s="8"/>
    </row>
    <row r="3086">
      <c r="A3086" s="8"/>
      <c r="B3086" s="8"/>
      <c r="C3086" s="8"/>
      <c r="D3086" s="8"/>
      <c r="E3086" s="8"/>
      <c r="F3086" s="8"/>
      <c r="G3086" s="8"/>
      <c r="H3086" s="8"/>
      <c r="I3086" s="8"/>
      <c r="J3086" s="8"/>
      <c r="K3086" s="8"/>
    </row>
    <row r="3087">
      <c r="A3087" s="8"/>
      <c r="B3087" s="8"/>
      <c r="C3087" s="8"/>
      <c r="D3087" s="8"/>
      <c r="E3087" s="8"/>
      <c r="F3087" s="8"/>
      <c r="G3087" s="8"/>
      <c r="H3087" s="8"/>
      <c r="I3087" s="8"/>
      <c r="J3087" s="8"/>
      <c r="K3087" s="8"/>
    </row>
    <row r="3088">
      <c r="A3088" s="8"/>
      <c r="B3088" s="8"/>
      <c r="C3088" s="8"/>
      <c r="D3088" s="8"/>
      <c r="E3088" s="8"/>
      <c r="F3088" s="8"/>
      <c r="G3088" s="8"/>
      <c r="H3088" s="8"/>
      <c r="I3088" s="8"/>
      <c r="J3088" s="8"/>
      <c r="K3088" s="8"/>
    </row>
    <row r="3089">
      <c r="A3089" s="8"/>
      <c r="B3089" s="8"/>
      <c r="C3089" s="8"/>
      <c r="D3089" s="8"/>
      <c r="E3089" s="8"/>
      <c r="F3089" s="8"/>
      <c r="G3089" s="8"/>
      <c r="H3089" s="8"/>
      <c r="I3089" s="8"/>
      <c r="J3089" s="8"/>
      <c r="K3089" s="8"/>
    </row>
    <row r="3090">
      <c r="A3090" s="8"/>
      <c r="B3090" s="8"/>
      <c r="C3090" s="8"/>
      <c r="D3090" s="8"/>
      <c r="E3090" s="8"/>
      <c r="F3090" s="8"/>
      <c r="G3090" s="8"/>
      <c r="H3090" s="8"/>
      <c r="I3090" s="8"/>
      <c r="J3090" s="8"/>
      <c r="K3090" s="8"/>
    </row>
    <row r="3091">
      <c r="A3091" s="8"/>
      <c r="B3091" s="8"/>
      <c r="C3091" s="8"/>
      <c r="D3091" s="8"/>
      <c r="E3091" s="8"/>
      <c r="F3091" s="8"/>
      <c r="G3091" s="8"/>
      <c r="H3091" s="8"/>
      <c r="I3091" s="8"/>
      <c r="J3091" s="8"/>
      <c r="K3091" s="8"/>
    </row>
    <row r="3092">
      <c r="A3092" s="8"/>
      <c r="B3092" s="8"/>
      <c r="C3092" s="8"/>
      <c r="D3092" s="8"/>
      <c r="E3092" s="8"/>
      <c r="F3092" s="8"/>
      <c r="G3092" s="8"/>
      <c r="H3092" s="8"/>
      <c r="I3092" s="8"/>
      <c r="J3092" s="8"/>
      <c r="K3092" s="8"/>
    </row>
    <row r="3093">
      <c r="A3093" s="8"/>
      <c r="B3093" s="8"/>
      <c r="C3093" s="8"/>
      <c r="D3093" s="8"/>
      <c r="E3093" s="8"/>
      <c r="F3093" s="8"/>
      <c r="G3093" s="8"/>
      <c r="H3093" s="8"/>
      <c r="I3093" s="8"/>
      <c r="J3093" s="8"/>
      <c r="K3093" s="8"/>
    </row>
    <row r="3094">
      <c r="A3094" s="8"/>
      <c r="B3094" s="8"/>
      <c r="C3094" s="8"/>
      <c r="D3094" s="8"/>
      <c r="E3094" s="8"/>
      <c r="F3094" s="8"/>
      <c r="G3094" s="8"/>
      <c r="H3094" s="8"/>
      <c r="I3094" s="8"/>
      <c r="J3094" s="8"/>
      <c r="K3094" s="8"/>
    </row>
    <row r="3095">
      <c r="A3095" s="8"/>
      <c r="B3095" s="8"/>
      <c r="C3095" s="8"/>
      <c r="D3095" s="8"/>
      <c r="E3095" s="8"/>
      <c r="F3095" s="8"/>
      <c r="G3095" s="8"/>
      <c r="H3095" s="8"/>
      <c r="I3095" s="8"/>
      <c r="J3095" s="8"/>
      <c r="K3095" s="8"/>
    </row>
    <row r="3096">
      <c r="A3096" s="8"/>
      <c r="B3096" s="8"/>
      <c r="C3096" s="8"/>
      <c r="D3096" s="8"/>
      <c r="E3096" s="8"/>
      <c r="F3096" s="8"/>
      <c r="G3096" s="8"/>
      <c r="H3096" s="8"/>
      <c r="I3096" s="8"/>
      <c r="J3096" s="8"/>
      <c r="K3096" s="8"/>
    </row>
    <row r="3097">
      <c r="A3097" s="8"/>
      <c r="B3097" s="8"/>
      <c r="C3097" s="8"/>
      <c r="D3097" s="8"/>
      <c r="E3097" s="8"/>
      <c r="F3097" s="8"/>
      <c r="G3097" s="8"/>
      <c r="H3097" s="8"/>
      <c r="I3097" s="8"/>
      <c r="J3097" s="8"/>
      <c r="K3097" s="8"/>
    </row>
    <row r="3098">
      <c r="A3098" s="8"/>
      <c r="B3098" s="8"/>
      <c r="C3098" s="8"/>
      <c r="D3098" s="8"/>
      <c r="E3098" s="8"/>
      <c r="F3098" s="8"/>
      <c r="G3098" s="8"/>
      <c r="H3098" s="8"/>
      <c r="I3098" s="8"/>
      <c r="J3098" s="8"/>
      <c r="K3098" s="8"/>
    </row>
    <row r="3099">
      <c r="A3099" s="8"/>
      <c r="B3099" s="8"/>
      <c r="C3099" s="8"/>
      <c r="D3099" s="8"/>
      <c r="E3099" s="8"/>
      <c r="F3099" s="8"/>
      <c r="G3099" s="8"/>
      <c r="H3099" s="8"/>
      <c r="I3099" s="8"/>
      <c r="J3099" s="8"/>
      <c r="K3099" s="8"/>
    </row>
    <row r="3100">
      <c r="A3100" s="8"/>
      <c r="B3100" s="8"/>
      <c r="C3100" s="8"/>
      <c r="D3100" s="8"/>
      <c r="E3100" s="8"/>
      <c r="F3100" s="8"/>
      <c r="G3100" s="8"/>
      <c r="H3100" s="8"/>
      <c r="I3100" s="8"/>
      <c r="J3100" s="8"/>
      <c r="K3100" s="8"/>
    </row>
    <row r="3101">
      <c r="A3101" s="8"/>
      <c r="B3101" s="8"/>
      <c r="C3101" s="8"/>
      <c r="D3101" s="8"/>
      <c r="E3101" s="8"/>
      <c r="F3101" s="8"/>
      <c r="G3101" s="8"/>
      <c r="H3101" s="8"/>
      <c r="I3101" s="8"/>
      <c r="J3101" s="8"/>
      <c r="K3101" s="8"/>
    </row>
    <row r="3102">
      <c r="A3102" s="8"/>
      <c r="B3102" s="8"/>
      <c r="C3102" s="8"/>
      <c r="D3102" s="8"/>
      <c r="E3102" s="8"/>
      <c r="F3102" s="8"/>
      <c r="G3102" s="8"/>
      <c r="H3102" s="8"/>
      <c r="I3102" s="8"/>
      <c r="J3102" s="8"/>
      <c r="K3102" s="8"/>
    </row>
    <row r="3103">
      <c r="A3103" s="8"/>
      <c r="B3103" s="8"/>
      <c r="C3103" s="8"/>
      <c r="D3103" s="8"/>
      <c r="E3103" s="8"/>
      <c r="F3103" s="8"/>
      <c r="G3103" s="8"/>
      <c r="H3103" s="8"/>
      <c r="I3103" s="8"/>
      <c r="J3103" s="8"/>
      <c r="K3103" s="8"/>
    </row>
    <row r="3104">
      <c r="A3104" s="8"/>
      <c r="B3104" s="8"/>
      <c r="C3104" s="8"/>
      <c r="D3104" s="8"/>
      <c r="E3104" s="8"/>
      <c r="F3104" s="8"/>
      <c r="G3104" s="8"/>
      <c r="H3104" s="8"/>
      <c r="I3104" s="8"/>
      <c r="J3104" s="8"/>
      <c r="K3104" s="8"/>
    </row>
    <row r="3105">
      <c r="A3105" s="8"/>
      <c r="B3105" s="8"/>
      <c r="C3105" s="8"/>
      <c r="D3105" s="8"/>
      <c r="E3105" s="8"/>
      <c r="F3105" s="8"/>
      <c r="G3105" s="8"/>
      <c r="H3105" s="8"/>
      <c r="I3105" s="8"/>
      <c r="J3105" s="8"/>
      <c r="K3105" s="8"/>
    </row>
    <row r="3106">
      <c r="A3106" s="8"/>
      <c r="B3106" s="8"/>
      <c r="C3106" s="8"/>
      <c r="D3106" s="8"/>
      <c r="E3106" s="8"/>
      <c r="F3106" s="8"/>
      <c r="G3106" s="8"/>
      <c r="H3106" s="8"/>
      <c r="I3106" s="8"/>
      <c r="J3106" s="8"/>
      <c r="K3106" s="8"/>
    </row>
    <row r="3107">
      <c r="A3107" s="8"/>
      <c r="B3107" s="8"/>
      <c r="C3107" s="8"/>
      <c r="D3107" s="8"/>
      <c r="E3107" s="8"/>
      <c r="F3107" s="8"/>
      <c r="G3107" s="8"/>
      <c r="H3107" s="8"/>
      <c r="I3107" s="8"/>
      <c r="J3107" s="8"/>
      <c r="K3107" s="8"/>
    </row>
    <row r="3108">
      <c r="A3108" s="8"/>
      <c r="B3108" s="8"/>
      <c r="C3108" s="8"/>
      <c r="D3108" s="8"/>
      <c r="E3108" s="8"/>
      <c r="F3108" s="8"/>
      <c r="G3108" s="8"/>
      <c r="H3108" s="8"/>
      <c r="I3108" s="8"/>
      <c r="J3108" s="8"/>
      <c r="K3108" s="8"/>
    </row>
    <row r="3109">
      <c r="A3109" s="8"/>
      <c r="B3109" s="8"/>
      <c r="C3109" s="8"/>
      <c r="D3109" s="8"/>
      <c r="E3109" s="8"/>
      <c r="F3109" s="8"/>
      <c r="G3109" s="8"/>
      <c r="H3109" s="8"/>
      <c r="I3109" s="8"/>
      <c r="J3109" s="8"/>
      <c r="K3109" s="8"/>
    </row>
    <row r="3110">
      <c r="A3110" s="8"/>
      <c r="B3110" s="8"/>
      <c r="C3110" s="8"/>
      <c r="D3110" s="8"/>
      <c r="E3110" s="8"/>
      <c r="F3110" s="8"/>
      <c r="G3110" s="8"/>
      <c r="H3110" s="8"/>
      <c r="I3110" s="8"/>
      <c r="J3110" s="8"/>
      <c r="K3110" s="8"/>
    </row>
    <row r="3111">
      <c r="A3111" s="8"/>
      <c r="B3111" s="8"/>
      <c r="C3111" s="8"/>
      <c r="D3111" s="8"/>
      <c r="E3111" s="8"/>
      <c r="F3111" s="8"/>
      <c r="G3111" s="8"/>
      <c r="H3111" s="8"/>
      <c r="I3111" s="8"/>
      <c r="J3111" s="8"/>
      <c r="K3111" s="8"/>
    </row>
    <row r="3112">
      <c r="A3112" s="8"/>
      <c r="B3112" s="8"/>
      <c r="C3112" s="8"/>
      <c r="D3112" s="8"/>
      <c r="E3112" s="8"/>
      <c r="F3112" s="8"/>
      <c r="G3112" s="8"/>
      <c r="H3112" s="8"/>
      <c r="I3112" s="8"/>
      <c r="J3112" s="8"/>
      <c r="K3112" s="8"/>
    </row>
    <row r="3113">
      <c r="A3113" s="8"/>
      <c r="B3113" s="8"/>
      <c r="C3113" s="8"/>
      <c r="D3113" s="8"/>
      <c r="E3113" s="8"/>
      <c r="F3113" s="8"/>
      <c r="G3113" s="8"/>
      <c r="H3113" s="8"/>
      <c r="I3113" s="8"/>
      <c r="J3113" s="8"/>
      <c r="K3113" s="8"/>
    </row>
    <row r="3114">
      <c r="A3114" s="8"/>
      <c r="B3114" s="8"/>
      <c r="C3114" s="8"/>
      <c r="D3114" s="8"/>
      <c r="E3114" s="8"/>
      <c r="F3114" s="8"/>
      <c r="G3114" s="8"/>
      <c r="H3114" s="8"/>
      <c r="I3114" s="8"/>
      <c r="J3114" s="8"/>
      <c r="K3114" s="8"/>
    </row>
    <row r="3115">
      <c r="A3115" s="8"/>
      <c r="B3115" s="8"/>
      <c r="C3115" s="8"/>
      <c r="D3115" s="8"/>
      <c r="E3115" s="8"/>
      <c r="F3115" s="8"/>
      <c r="G3115" s="8"/>
      <c r="H3115" s="8"/>
      <c r="I3115" s="8"/>
      <c r="J3115" s="8"/>
      <c r="K3115" s="8"/>
    </row>
    <row r="3116">
      <c r="A3116" s="8"/>
      <c r="B3116" s="8"/>
      <c r="C3116" s="8"/>
      <c r="D3116" s="8"/>
      <c r="E3116" s="8"/>
      <c r="F3116" s="8"/>
      <c r="G3116" s="8"/>
      <c r="H3116" s="8"/>
      <c r="I3116" s="8"/>
      <c r="J3116" s="8"/>
      <c r="K3116" s="8"/>
    </row>
    <row r="3117">
      <c r="A3117" s="8"/>
      <c r="B3117" s="8"/>
      <c r="C3117" s="8"/>
      <c r="D3117" s="8"/>
      <c r="E3117" s="8"/>
      <c r="F3117" s="8"/>
      <c r="G3117" s="8"/>
      <c r="H3117" s="8"/>
      <c r="I3117" s="8"/>
      <c r="J3117" s="8"/>
      <c r="K3117" s="8"/>
    </row>
    <row r="3118">
      <c r="A3118" s="8"/>
      <c r="B3118" s="8"/>
      <c r="C3118" s="8"/>
      <c r="D3118" s="8"/>
      <c r="E3118" s="8"/>
      <c r="F3118" s="8"/>
      <c r="G3118" s="8"/>
      <c r="H3118" s="8"/>
      <c r="I3118" s="8"/>
      <c r="J3118" s="8"/>
      <c r="K3118" s="8"/>
    </row>
    <row r="3119">
      <c r="A3119" s="8"/>
      <c r="B3119" s="8"/>
      <c r="C3119" s="8"/>
      <c r="D3119" s="8"/>
      <c r="E3119" s="8"/>
      <c r="F3119" s="8"/>
      <c r="G3119" s="8"/>
      <c r="H3119" s="8"/>
      <c r="I3119" s="8"/>
      <c r="J3119" s="8"/>
      <c r="K3119" s="8"/>
    </row>
    <row r="3120">
      <c r="A3120" s="8"/>
      <c r="B3120" s="8"/>
      <c r="C3120" s="8"/>
      <c r="D3120" s="8"/>
      <c r="E3120" s="8"/>
      <c r="F3120" s="8"/>
      <c r="G3120" s="8"/>
      <c r="H3120" s="8"/>
      <c r="I3120" s="8"/>
      <c r="J3120" s="8"/>
      <c r="K3120" s="8"/>
    </row>
    <row r="3121">
      <c r="A3121" s="8"/>
      <c r="B3121" s="8"/>
      <c r="C3121" s="8"/>
      <c r="D3121" s="8"/>
      <c r="E3121" s="8"/>
      <c r="F3121" s="8"/>
      <c r="G3121" s="8"/>
      <c r="H3121" s="8"/>
      <c r="I3121" s="8"/>
      <c r="J3121" s="8"/>
      <c r="K3121" s="8"/>
    </row>
    <row r="3122">
      <c r="A3122" s="8"/>
      <c r="B3122" s="8"/>
      <c r="C3122" s="8"/>
      <c r="D3122" s="8"/>
      <c r="E3122" s="8"/>
      <c r="F3122" s="8"/>
      <c r="G3122" s="8"/>
      <c r="H3122" s="8"/>
      <c r="I3122" s="8"/>
      <c r="J3122" s="8"/>
      <c r="K3122" s="8"/>
    </row>
    <row r="3123">
      <c r="A3123" s="8"/>
      <c r="B3123" s="8"/>
      <c r="C3123" s="8"/>
      <c r="D3123" s="8"/>
      <c r="E3123" s="8"/>
      <c r="F3123" s="8"/>
      <c r="G3123" s="8"/>
      <c r="H3123" s="8"/>
      <c r="I3123" s="8"/>
      <c r="J3123" s="8"/>
      <c r="K3123" s="8"/>
    </row>
    <row r="3124">
      <c r="A3124" s="8"/>
      <c r="B3124" s="8"/>
      <c r="C3124" s="8"/>
      <c r="D3124" s="8"/>
      <c r="E3124" s="8"/>
      <c r="F3124" s="8"/>
      <c r="G3124" s="8"/>
      <c r="H3124" s="8"/>
      <c r="I3124" s="8"/>
      <c r="J3124" s="8"/>
      <c r="K3124" s="8"/>
    </row>
    <row r="3125">
      <c r="A3125" s="8"/>
      <c r="B3125" s="8"/>
      <c r="C3125" s="8"/>
      <c r="D3125" s="8"/>
      <c r="E3125" s="8"/>
      <c r="F3125" s="8"/>
      <c r="G3125" s="8"/>
      <c r="H3125" s="8"/>
      <c r="I3125" s="8"/>
      <c r="J3125" s="8"/>
      <c r="K3125" s="8"/>
    </row>
    <row r="3126">
      <c r="A3126" s="8"/>
      <c r="B3126" s="8"/>
      <c r="C3126" s="8"/>
      <c r="D3126" s="8"/>
      <c r="E3126" s="8"/>
      <c r="F3126" s="8"/>
      <c r="G3126" s="8"/>
      <c r="H3126" s="8"/>
      <c r="I3126" s="8"/>
      <c r="J3126" s="8"/>
      <c r="K3126" s="8"/>
    </row>
    <row r="3127">
      <c r="A3127" s="8"/>
      <c r="B3127" s="8"/>
      <c r="C3127" s="8"/>
      <c r="D3127" s="8"/>
      <c r="E3127" s="8"/>
      <c r="F3127" s="8"/>
      <c r="G3127" s="8"/>
      <c r="H3127" s="8"/>
      <c r="I3127" s="8"/>
      <c r="J3127" s="8"/>
      <c r="K3127" s="8"/>
    </row>
    <row r="3128">
      <c r="A3128" s="8"/>
      <c r="B3128" s="8"/>
      <c r="C3128" s="8"/>
      <c r="D3128" s="8"/>
      <c r="E3128" s="8"/>
      <c r="F3128" s="8"/>
      <c r="G3128" s="8"/>
      <c r="H3128" s="8"/>
      <c r="I3128" s="8"/>
      <c r="J3128" s="8"/>
      <c r="K3128" s="8"/>
    </row>
    <row r="3129">
      <c r="A3129" s="8"/>
      <c r="B3129" s="8"/>
      <c r="C3129" s="8"/>
      <c r="D3129" s="8"/>
      <c r="E3129" s="8"/>
      <c r="F3129" s="8"/>
      <c r="G3129" s="8"/>
      <c r="H3129" s="8"/>
      <c r="I3129" s="8"/>
      <c r="J3129" s="8"/>
      <c r="K3129" s="8"/>
    </row>
    <row r="3130">
      <c r="A3130" s="8"/>
      <c r="B3130" s="8"/>
      <c r="C3130" s="8"/>
      <c r="D3130" s="8"/>
      <c r="E3130" s="8"/>
      <c r="F3130" s="8"/>
      <c r="G3130" s="8"/>
      <c r="H3130" s="8"/>
      <c r="I3130" s="8"/>
      <c r="J3130" s="8"/>
      <c r="K3130" s="8"/>
    </row>
    <row r="3131">
      <c r="A3131" s="8"/>
      <c r="B3131" s="8"/>
      <c r="C3131" s="8"/>
      <c r="D3131" s="8"/>
      <c r="E3131" s="8"/>
      <c r="F3131" s="8"/>
      <c r="G3131" s="8"/>
      <c r="H3131" s="8"/>
      <c r="I3131" s="8"/>
      <c r="J3131" s="8"/>
      <c r="K3131" s="8"/>
    </row>
    <row r="3132">
      <c r="A3132" s="8"/>
      <c r="B3132" s="8"/>
      <c r="C3132" s="8"/>
      <c r="D3132" s="8"/>
      <c r="E3132" s="8"/>
      <c r="F3132" s="8"/>
      <c r="G3132" s="8"/>
      <c r="H3132" s="8"/>
      <c r="I3132" s="8"/>
      <c r="J3132" s="8"/>
      <c r="K3132" s="8"/>
    </row>
    <row r="3133">
      <c r="A3133" s="8"/>
      <c r="B3133" s="8"/>
      <c r="C3133" s="8"/>
      <c r="D3133" s="8"/>
      <c r="E3133" s="8"/>
      <c r="F3133" s="8"/>
      <c r="G3133" s="8"/>
      <c r="H3133" s="8"/>
      <c r="I3133" s="8"/>
      <c r="J3133" s="8"/>
      <c r="K3133" s="8"/>
    </row>
    <row r="3134">
      <c r="A3134" s="8"/>
      <c r="B3134" s="8"/>
      <c r="C3134" s="8"/>
      <c r="D3134" s="8"/>
      <c r="E3134" s="8"/>
      <c r="F3134" s="8"/>
      <c r="G3134" s="8"/>
      <c r="H3134" s="8"/>
      <c r="I3134" s="8"/>
      <c r="J3134" s="8"/>
      <c r="K3134" s="8"/>
    </row>
    <row r="3135">
      <c r="A3135" s="8"/>
      <c r="B3135" s="8"/>
      <c r="C3135" s="8"/>
      <c r="D3135" s="8"/>
      <c r="E3135" s="8"/>
      <c r="F3135" s="8"/>
      <c r="G3135" s="8"/>
      <c r="H3135" s="8"/>
      <c r="I3135" s="8"/>
      <c r="J3135" s="8"/>
      <c r="K3135" s="8"/>
    </row>
    <row r="3136">
      <c r="A3136" s="8"/>
      <c r="B3136" s="8"/>
      <c r="C3136" s="8"/>
      <c r="D3136" s="8"/>
      <c r="E3136" s="8"/>
      <c r="F3136" s="8"/>
      <c r="G3136" s="8"/>
      <c r="H3136" s="8"/>
      <c r="I3136" s="8"/>
      <c r="J3136" s="8"/>
      <c r="K3136" s="8"/>
    </row>
    <row r="3137">
      <c r="A3137" s="8"/>
      <c r="B3137" s="8"/>
      <c r="C3137" s="8"/>
      <c r="D3137" s="8"/>
      <c r="E3137" s="8"/>
      <c r="F3137" s="8"/>
      <c r="G3137" s="8"/>
      <c r="H3137" s="8"/>
      <c r="I3137" s="8"/>
      <c r="J3137" s="8"/>
      <c r="K3137" s="8"/>
    </row>
    <row r="3138">
      <c r="A3138" s="8"/>
      <c r="B3138" s="8"/>
      <c r="C3138" s="8"/>
      <c r="D3138" s="8"/>
      <c r="E3138" s="8"/>
      <c r="F3138" s="8"/>
      <c r="G3138" s="8"/>
      <c r="H3138" s="8"/>
      <c r="I3138" s="8"/>
      <c r="J3138" s="8"/>
      <c r="K3138" s="8"/>
    </row>
    <row r="3139">
      <c r="A3139" s="8"/>
      <c r="B3139" s="8"/>
      <c r="C3139" s="8"/>
      <c r="D3139" s="8"/>
      <c r="E3139" s="8"/>
      <c r="F3139" s="8"/>
      <c r="G3139" s="8"/>
      <c r="H3139" s="8"/>
      <c r="I3139" s="8"/>
      <c r="J3139" s="8"/>
      <c r="K3139" s="8"/>
    </row>
    <row r="3140">
      <c r="A3140" s="8"/>
      <c r="B3140" s="8"/>
      <c r="C3140" s="8"/>
      <c r="D3140" s="8"/>
      <c r="E3140" s="8"/>
      <c r="F3140" s="8"/>
      <c r="G3140" s="8"/>
      <c r="H3140" s="8"/>
      <c r="I3140" s="8"/>
      <c r="J3140" s="8"/>
      <c r="K3140" s="8"/>
    </row>
    <row r="3141">
      <c r="A3141" s="8"/>
      <c r="B3141" s="8"/>
      <c r="C3141" s="8"/>
      <c r="D3141" s="8"/>
      <c r="E3141" s="8"/>
      <c r="F3141" s="8"/>
      <c r="G3141" s="8"/>
      <c r="H3141" s="8"/>
      <c r="I3141" s="8"/>
      <c r="J3141" s="8"/>
      <c r="K3141" s="8"/>
    </row>
    <row r="3142">
      <c r="A3142" s="8"/>
      <c r="B3142" s="8"/>
      <c r="C3142" s="8"/>
      <c r="D3142" s="8"/>
      <c r="E3142" s="8"/>
      <c r="F3142" s="8"/>
      <c r="G3142" s="8"/>
      <c r="H3142" s="8"/>
      <c r="I3142" s="8"/>
      <c r="J3142" s="8"/>
      <c r="K3142" s="8"/>
    </row>
    <row r="3143">
      <c r="A3143" s="8"/>
      <c r="B3143" s="8"/>
      <c r="C3143" s="8"/>
      <c r="D3143" s="8"/>
      <c r="E3143" s="8"/>
      <c r="F3143" s="8"/>
      <c r="G3143" s="8"/>
      <c r="H3143" s="8"/>
      <c r="I3143" s="8"/>
      <c r="J3143" s="8"/>
      <c r="K3143" s="8"/>
    </row>
    <row r="3144">
      <c r="A3144" s="8"/>
      <c r="B3144" s="8"/>
      <c r="C3144" s="8"/>
      <c r="D3144" s="8"/>
      <c r="E3144" s="8"/>
      <c r="F3144" s="8"/>
      <c r="G3144" s="8"/>
      <c r="H3144" s="8"/>
      <c r="I3144" s="8"/>
      <c r="J3144" s="8"/>
      <c r="K3144" s="8"/>
    </row>
    <row r="3145">
      <c r="A3145" s="8"/>
      <c r="B3145" s="8"/>
      <c r="C3145" s="8"/>
      <c r="D3145" s="8"/>
      <c r="E3145" s="8"/>
      <c r="F3145" s="8"/>
      <c r="G3145" s="8"/>
      <c r="H3145" s="8"/>
      <c r="I3145" s="8"/>
      <c r="J3145" s="8"/>
      <c r="K3145" s="8"/>
    </row>
    <row r="3146">
      <c r="A3146" s="8"/>
      <c r="B3146" s="8"/>
      <c r="C3146" s="8"/>
      <c r="D3146" s="8"/>
      <c r="E3146" s="8"/>
      <c r="F3146" s="8"/>
      <c r="G3146" s="8"/>
      <c r="H3146" s="8"/>
      <c r="I3146" s="8"/>
      <c r="J3146" s="8"/>
      <c r="K3146" s="8"/>
    </row>
    <row r="3147">
      <c r="A3147" s="8"/>
      <c r="B3147" s="8"/>
      <c r="C3147" s="8"/>
      <c r="D3147" s="8"/>
      <c r="E3147" s="8"/>
      <c r="F3147" s="8"/>
      <c r="G3147" s="8"/>
      <c r="H3147" s="8"/>
      <c r="I3147" s="8"/>
      <c r="J3147" s="8"/>
      <c r="K3147" s="8"/>
    </row>
    <row r="3148">
      <c r="A3148" s="8"/>
      <c r="B3148" s="8"/>
      <c r="C3148" s="8"/>
      <c r="D3148" s="8"/>
      <c r="E3148" s="8"/>
      <c r="F3148" s="8"/>
      <c r="G3148" s="8"/>
      <c r="H3148" s="8"/>
      <c r="I3148" s="8"/>
      <c r="J3148" s="8"/>
      <c r="K3148" s="8"/>
    </row>
    <row r="3149">
      <c r="A3149" s="8"/>
      <c r="B3149" s="8"/>
      <c r="C3149" s="8"/>
      <c r="D3149" s="8"/>
      <c r="E3149" s="8"/>
      <c r="F3149" s="8"/>
      <c r="G3149" s="8"/>
      <c r="H3149" s="8"/>
      <c r="I3149" s="8"/>
      <c r="J3149" s="8"/>
      <c r="K3149" s="8"/>
    </row>
    <row r="3150">
      <c r="A3150" s="8"/>
      <c r="B3150" s="8"/>
      <c r="C3150" s="8"/>
      <c r="D3150" s="8"/>
      <c r="E3150" s="8"/>
      <c r="F3150" s="8"/>
      <c r="G3150" s="8"/>
      <c r="H3150" s="8"/>
      <c r="I3150" s="8"/>
      <c r="J3150" s="8"/>
      <c r="K3150" s="8"/>
    </row>
    <row r="3151">
      <c r="A3151" s="8"/>
      <c r="B3151" s="8"/>
      <c r="C3151" s="8"/>
      <c r="D3151" s="8"/>
      <c r="E3151" s="8"/>
      <c r="F3151" s="8"/>
      <c r="G3151" s="8"/>
      <c r="H3151" s="8"/>
      <c r="I3151" s="8"/>
      <c r="J3151" s="8"/>
      <c r="K3151" s="8"/>
    </row>
    <row r="3152">
      <c r="A3152" s="8"/>
      <c r="B3152" s="8"/>
      <c r="C3152" s="8"/>
      <c r="D3152" s="8"/>
      <c r="E3152" s="8"/>
      <c r="F3152" s="8"/>
      <c r="G3152" s="8"/>
      <c r="H3152" s="8"/>
      <c r="I3152" s="8"/>
      <c r="J3152" s="8"/>
      <c r="K3152" s="8"/>
    </row>
    <row r="3153">
      <c r="A3153" s="8"/>
      <c r="B3153" s="8"/>
      <c r="C3153" s="8"/>
      <c r="D3153" s="8"/>
      <c r="E3153" s="8"/>
      <c r="F3153" s="8"/>
      <c r="G3153" s="8"/>
      <c r="H3153" s="8"/>
      <c r="I3153" s="8"/>
      <c r="J3153" s="8"/>
      <c r="K3153" s="8"/>
    </row>
    <row r="3154">
      <c r="A3154" s="8"/>
      <c r="B3154" s="8"/>
      <c r="C3154" s="8"/>
      <c r="D3154" s="8"/>
      <c r="E3154" s="8"/>
      <c r="F3154" s="8"/>
      <c r="G3154" s="8"/>
      <c r="H3154" s="8"/>
      <c r="I3154" s="8"/>
      <c r="J3154" s="8"/>
      <c r="K3154" s="8"/>
    </row>
    <row r="3155">
      <c r="A3155" s="8"/>
      <c r="B3155" s="8"/>
      <c r="C3155" s="8"/>
      <c r="D3155" s="8"/>
      <c r="E3155" s="8"/>
      <c r="F3155" s="8"/>
      <c r="G3155" s="8"/>
      <c r="H3155" s="8"/>
      <c r="I3155" s="8"/>
      <c r="J3155" s="8"/>
      <c r="K3155" s="8"/>
    </row>
    <row r="3156">
      <c r="A3156" s="8"/>
      <c r="B3156" s="8"/>
      <c r="C3156" s="8"/>
      <c r="D3156" s="8"/>
      <c r="E3156" s="8"/>
      <c r="F3156" s="8"/>
      <c r="G3156" s="8"/>
      <c r="H3156" s="8"/>
      <c r="I3156" s="8"/>
      <c r="J3156" s="8"/>
      <c r="K3156" s="8"/>
    </row>
    <row r="3157">
      <c r="A3157" s="8"/>
      <c r="B3157" s="8"/>
      <c r="C3157" s="8"/>
      <c r="D3157" s="8"/>
      <c r="E3157" s="8"/>
      <c r="F3157" s="8"/>
      <c r="G3157" s="8"/>
      <c r="H3157" s="8"/>
      <c r="I3157" s="8"/>
      <c r="J3157" s="8"/>
      <c r="K3157" s="8"/>
    </row>
    <row r="3158">
      <c r="A3158" s="8"/>
      <c r="B3158" s="8"/>
      <c r="C3158" s="8"/>
      <c r="D3158" s="8"/>
      <c r="E3158" s="8"/>
      <c r="F3158" s="8"/>
      <c r="G3158" s="8"/>
      <c r="H3158" s="8"/>
      <c r="I3158" s="8"/>
      <c r="J3158" s="8"/>
      <c r="K3158" s="8"/>
    </row>
    <row r="3159">
      <c r="A3159" s="8"/>
      <c r="B3159" s="8"/>
      <c r="C3159" s="8"/>
      <c r="D3159" s="8"/>
      <c r="E3159" s="8"/>
      <c r="F3159" s="8"/>
      <c r="G3159" s="8"/>
      <c r="H3159" s="8"/>
      <c r="I3159" s="8"/>
      <c r="J3159" s="8"/>
      <c r="K3159" s="8"/>
    </row>
    <row r="3160">
      <c r="A3160" s="8"/>
      <c r="B3160" s="8"/>
      <c r="C3160" s="8"/>
      <c r="D3160" s="8"/>
      <c r="E3160" s="8"/>
      <c r="F3160" s="8"/>
      <c r="G3160" s="8"/>
      <c r="H3160" s="8"/>
      <c r="I3160" s="8"/>
      <c r="J3160" s="8"/>
      <c r="K3160" s="8"/>
    </row>
    <row r="3161">
      <c r="A3161" s="8"/>
      <c r="B3161" s="8"/>
      <c r="C3161" s="8"/>
      <c r="D3161" s="8"/>
      <c r="E3161" s="8"/>
      <c r="F3161" s="8"/>
      <c r="G3161" s="8"/>
      <c r="H3161" s="8"/>
      <c r="I3161" s="8"/>
      <c r="J3161" s="8"/>
      <c r="K3161" s="8"/>
    </row>
    <row r="3162">
      <c r="A3162" s="8"/>
      <c r="B3162" s="8"/>
      <c r="C3162" s="8"/>
      <c r="D3162" s="8"/>
      <c r="E3162" s="8"/>
      <c r="F3162" s="8"/>
      <c r="G3162" s="8"/>
      <c r="H3162" s="8"/>
      <c r="I3162" s="8"/>
      <c r="J3162" s="8"/>
      <c r="K3162" s="8"/>
    </row>
    <row r="3163">
      <c r="A3163" s="8"/>
      <c r="B3163" s="8"/>
      <c r="C3163" s="8"/>
      <c r="D3163" s="8"/>
      <c r="E3163" s="8"/>
      <c r="F3163" s="8"/>
      <c r="G3163" s="8"/>
      <c r="H3163" s="8"/>
      <c r="I3163" s="8"/>
      <c r="J3163" s="8"/>
      <c r="K3163" s="8"/>
    </row>
    <row r="3164">
      <c r="A3164" s="8"/>
      <c r="B3164" s="8"/>
      <c r="C3164" s="8"/>
      <c r="D3164" s="8"/>
      <c r="E3164" s="8"/>
      <c r="F3164" s="8"/>
      <c r="G3164" s="8"/>
      <c r="H3164" s="8"/>
      <c r="I3164" s="8"/>
      <c r="J3164" s="8"/>
      <c r="K3164" s="8"/>
    </row>
    <row r="3165">
      <c r="A3165" s="8"/>
      <c r="B3165" s="8"/>
      <c r="C3165" s="8"/>
      <c r="D3165" s="8"/>
      <c r="E3165" s="8"/>
      <c r="F3165" s="8"/>
      <c r="G3165" s="8"/>
      <c r="H3165" s="8"/>
      <c r="I3165" s="8"/>
      <c r="J3165" s="8"/>
      <c r="K3165" s="8"/>
    </row>
    <row r="3166">
      <c r="A3166" s="8"/>
      <c r="B3166" s="8"/>
      <c r="C3166" s="8"/>
      <c r="D3166" s="8"/>
      <c r="E3166" s="8"/>
      <c r="F3166" s="8"/>
      <c r="G3166" s="8"/>
      <c r="H3166" s="8"/>
      <c r="I3166" s="8"/>
      <c r="J3166" s="8"/>
      <c r="K3166" s="8"/>
    </row>
    <row r="3167">
      <c r="A3167" s="8"/>
      <c r="B3167" s="8"/>
      <c r="C3167" s="8"/>
      <c r="D3167" s="8"/>
      <c r="E3167" s="8"/>
      <c r="F3167" s="8"/>
      <c r="G3167" s="8"/>
      <c r="H3167" s="8"/>
      <c r="I3167" s="8"/>
      <c r="J3167" s="8"/>
      <c r="K3167" s="8"/>
    </row>
    <row r="3168">
      <c r="A3168" s="8"/>
      <c r="B3168" s="8"/>
      <c r="C3168" s="8"/>
      <c r="D3168" s="8"/>
      <c r="E3168" s="8"/>
      <c r="F3168" s="8"/>
      <c r="G3168" s="8"/>
      <c r="H3168" s="8"/>
      <c r="I3168" s="8"/>
      <c r="J3168" s="8"/>
      <c r="K3168" s="8"/>
    </row>
    <row r="3169">
      <c r="A3169" s="8"/>
      <c r="B3169" s="8"/>
      <c r="C3169" s="8"/>
      <c r="D3169" s="8"/>
      <c r="E3169" s="8"/>
      <c r="F3169" s="8"/>
      <c r="G3169" s="8"/>
      <c r="H3169" s="8"/>
      <c r="I3169" s="8"/>
      <c r="J3169" s="8"/>
      <c r="K3169" s="8"/>
    </row>
    <row r="3170">
      <c r="A3170" s="8"/>
      <c r="B3170" s="8"/>
      <c r="C3170" s="8"/>
      <c r="D3170" s="8"/>
      <c r="E3170" s="8"/>
      <c r="F3170" s="8"/>
      <c r="G3170" s="8"/>
      <c r="H3170" s="8"/>
      <c r="I3170" s="8"/>
      <c r="J3170" s="8"/>
      <c r="K3170" s="8"/>
    </row>
    <row r="3171">
      <c r="A3171" s="8"/>
      <c r="B3171" s="8"/>
      <c r="C3171" s="8"/>
      <c r="D3171" s="8"/>
      <c r="E3171" s="8"/>
      <c r="F3171" s="8"/>
      <c r="G3171" s="8"/>
      <c r="H3171" s="8"/>
      <c r="I3171" s="8"/>
      <c r="J3171" s="8"/>
      <c r="K3171" s="8"/>
    </row>
    <row r="3172">
      <c r="A3172" s="8"/>
      <c r="B3172" s="8"/>
      <c r="C3172" s="8"/>
      <c r="D3172" s="8"/>
      <c r="E3172" s="8"/>
      <c r="F3172" s="8"/>
      <c r="G3172" s="8"/>
      <c r="H3172" s="8"/>
      <c r="I3172" s="8"/>
      <c r="J3172" s="8"/>
      <c r="K3172" s="8"/>
    </row>
    <row r="3173">
      <c r="A3173" s="8"/>
      <c r="B3173" s="8"/>
      <c r="C3173" s="8"/>
      <c r="D3173" s="8"/>
      <c r="E3173" s="8"/>
      <c r="F3173" s="8"/>
      <c r="G3173" s="8"/>
      <c r="H3173" s="8"/>
      <c r="I3173" s="8"/>
      <c r="J3173" s="8"/>
      <c r="K3173" s="8"/>
    </row>
    <row r="3174">
      <c r="A3174" s="8"/>
      <c r="B3174" s="8"/>
      <c r="C3174" s="8"/>
      <c r="D3174" s="8"/>
      <c r="E3174" s="8"/>
      <c r="F3174" s="8"/>
      <c r="G3174" s="8"/>
      <c r="H3174" s="8"/>
      <c r="I3174" s="8"/>
      <c r="J3174" s="8"/>
      <c r="K3174" s="8"/>
    </row>
    <row r="3175">
      <c r="A3175" s="8"/>
      <c r="B3175" s="8"/>
      <c r="C3175" s="8"/>
      <c r="D3175" s="8"/>
      <c r="E3175" s="8"/>
      <c r="F3175" s="8"/>
      <c r="G3175" s="8"/>
      <c r="H3175" s="8"/>
      <c r="I3175" s="8"/>
      <c r="J3175" s="8"/>
      <c r="K3175" s="8"/>
    </row>
    <row r="3176">
      <c r="A3176" s="8"/>
      <c r="B3176" s="8"/>
      <c r="C3176" s="8"/>
      <c r="D3176" s="8"/>
      <c r="E3176" s="8"/>
      <c r="F3176" s="8"/>
      <c r="G3176" s="8"/>
      <c r="H3176" s="8"/>
      <c r="I3176" s="8"/>
      <c r="J3176" s="8"/>
      <c r="K3176" s="8"/>
    </row>
    <row r="3177">
      <c r="A3177" s="8"/>
      <c r="B3177" s="8"/>
      <c r="C3177" s="8"/>
      <c r="D3177" s="8"/>
      <c r="E3177" s="8"/>
      <c r="F3177" s="8"/>
      <c r="G3177" s="8"/>
      <c r="H3177" s="8"/>
      <c r="I3177" s="8"/>
      <c r="J3177" s="8"/>
      <c r="K3177" s="8"/>
    </row>
    <row r="3178">
      <c r="A3178" s="8"/>
      <c r="B3178" s="8"/>
      <c r="C3178" s="8"/>
      <c r="D3178" s="8"/>
      <c r="E3178" s="8"/>
      <c r="F3178" s="8"/>
      <c r="G3178" s="8"/>
      <c r="H3178" s="8"/>
      <c r="I3178" s="8"/>
      <c r="J3178" s="8"/>
      <c r="K3178" s="8"/>
    </row>
    <row r="3179">
      <c r="A3179" s="8"/>
      <c r="B3179" s="8"/>
      <c r="C3179" s="8"/>
      <c r="D3179" s="8"/>
      <c r="E3179" s="8"/>
      <c r="F3179" s="8"/>
      <c r="G3179" s="8"/>
      <c r="H3179" s="8"/>
      <c r="I3179" s="8"/>
      <c r="J3179" s="8"/>
      <c r="K3179" s="8"/>
    </row>
    <row r="3180">
      <c r="A3180" s="8"/>
      <c r="B3180" s="8"/>
      <c r="C3180" s="8"/>
      <c r="D3180" s="8"/>
      <c r="E3180" s="8"/>
      <c r="F3180" s="8"/>
      <c r="G3180" s="8"/>
      <c r="H3180" s="8"/>
      <c r="I3180" s="8"/>
      <c r="J3180" s="8"/>
      <c r="K3180" s="8"/>
    </row>
    <row r="3181">
      <c r="A3181" s="8"/>
      <c r="B3181" s="8"/>
      <c r="C3181" s="8"/>
      <c r="D3181" s="8"/>
      <c r="E3181" s="8"/>
      <c r="F3181" s="8"/>
      <c r="G3181" s="8"/>
      <c r="H3181" s="8"/>
      <c r="I3181" s="8"/>
      <c r="J3181" s="8"/>
      <c r="K3181" s="8"/>
    </row>
    <row r="3182">
      <c r="A3182" s="8"/>
      <c r="B3182" s="8"/>
      <c r="C3182" s="8"/>
      <c r="D3182" s="8"/>
      <c r="E3182" s="8"/>
      <c r="F3182" s="8"/>
      <c r="G3182" s="8"/>
      <c r="H3182" s="8"/>
      <c r="I3182" s="8"/>
      <c r="J3182" s="8"/>
      <c r="K3182" s="8"/>
    </row>
    <row r="3183">
      <c r="A3183" s="8"/>
      <c r="B3183" s="8"/>
      <c r="C3183" s="8"/>
      <c r="D3183" s="8"/>
      <c r="E3183" s="8"/>
      <c r="F3183" s="8"/>
      <c r="G3183" s="8"/>
      <c r="H3183" s="8"/>
      <c r="I3183" s="8"/>
      <c r="J3183" s="8"/>
      <c r="K3183" s="8"/>
    </row>
    <row r="3184">
      <c r="A3184" s="8"/>
      <c r="B3184" s="8"/>
      <c r="C3184" s="8"/>
      <c r="D3184" s="8"/>
      <c r="E3184" s="8"/>
      <c r="F3184" s="8"/>
      <c r="G3184" s="8"/>
      <c r="H3184" s="8"/>
      <c r="I3184" s="8"/>
      <c r="J3184" s="8"/>
      <c r="K3184" s="8"/>
    </row>
    <row r="3185">
      <c r="A3185" s="8"/>
      <c r="B3185" s="8"/>
      <c r="C3185" s="8"/>
      <c r="D3185" s="8"/>
      <c r="E3185" s="8"/>
      <c r="F3185" s="8"/>
      <c r="G3185" s="8"/>
      <c r="H3185" s="8"/>
      <c r="I3185" s="8"/>
      <c r="J3185" s="8"/>
      <c r="K3185" s="8"/>
    </row>
    <row r="3186">
      <c r="A3186" s="8"/>
      <c r="B3186" s="8"/>
      <c r="C3186" s="8"/>
      <c r="D3186" s="8"/>
      <c r="E3186" s="8"/>
      <c r="F3186" s="8"/>
      <c r="G3186" s="8"/>
      <c r="H3186" s="8"/>
      <c r="I3186" s="8"/>
      <c r="J3186" s="8"/>
      <c r="K3186" s="8"/>
    </row>
    <row r="3187">
      <c r="A3187" s="8"/>
      <c r="B3187" s="8"/>
      <c r="C3187" s="8"/>
      <c r="D3187" s="8"/>
      <c r="E3187" s="8"/>
      <c r="F3187" s="8"/>
      <c r="G3187" s="8"/>
      <c r="H3187" s="8"/>
      <c r="I3187" s="8"/>
      <c r="J3187" s="8"/>
      <c r="K3187" s="8"/>
    </row>
    <row r="3188">
      <c r="A3188" s="8"/>
      <c r="B3188" s="8"/>
      <c r="C3188" s="8"/>
      <c r="D3188" s="8"/>
      <c r="E3188" s="8"/>
      <c r="F3188" s="8"/>
      <c r="G3188" s="8"/>
      <c r="H3188" s="8"/>
      <c r="I3188" s="8"/>
      <c r="J3188" s="8"/>
      <c r="K3188" s="8"/>
    </row>
    <row r="3189">
      <c r="A3189" s="8"/>
      <c r="B3189" s="8"/>
      <c r="C3189" s="8"/>
      <c r="D3189" s="8"/>
      <c r="E3189" s="8"/>
      <c r="F3189" s="8"/>
      <c r="G3189" s="8"/>
      <c r="H3189" s="8"/>
      <c r="I3189" s="8"/>
      <c r="J3189" s="8"/>
      <c r="K3189" s="8"/>
    </row>
    <row r="3190">
      <c r="A3190" s="8"/>
      <c r="B3190" s="8"/>
      <c r="C3190" s="8"/>
      <c r="D3190" s="8"/>
      <c r="E3190" s="8"/>
      <c r="F3190" s="8"/>
      <c r="G3190" s="8"/>
      <c r="H3190" s="8"/>
      <c r="I3190" s="8"/>
      <c r="J3190" s="8"/>
      <c r="K3190" s="8"/>
    </row>
    <row r="3191">
      <c r="A3191" s="8"/>
      <c r="B3191" s="8"/>
      <c r="C3191" s="8"/>
      <c r="D3191" s="8"/>
      <c r="E3191" s="8"/>
      <c r="F3191" s="8"/>
      <c r="G3191" s="8"/>
      <c r="H3191" s="8"/>
      <c r="I3191" s="8"/>
      <c r="J3191" s="8"/>
      <c r="K3191" s="8"/>
    </row>
    <row r="3192">
      <c r="A3192" s="8"/>
      <c r="B3192" s="8"/>
      <c r="C3192" s="8"/>
      <c r="D3192" s="8"/>
      <c r="E3192" s="8"/>
      <c r="F3192" s="8"/>
      <c r="G3192" s="8"/>
      <c r="H3192" s="8"/>
      <c r="I3192" s="8"/>
      <c r="J3192" s="8"/>
      <c r="K3192" s="8"/>
    </row>
    <row r="3193">
      <c r="A3193" s="8"/>
      <c r="B3193" s="8"/>
      <c r="C3193" s="8"/>
      <c r="D3193" s="8"/>
      <c r="E3193" s="8"/>
      <c r="F3193" s="8"/>
      <c r="G3193" s="8"/>
      <c r="H3193" s="8"/>
      <c r="I3193" s="8"/>
      <c r="J3193" s="8"/>
      <c r="K3193" s="8"/>
    </row>
    <row r="3194">
      <c r="A3194" s="8"/>
      <c r="B3194" s="8"/>
      <c r="C3194" s="8"/>
      <c r="D3194" s="8"/>
      <c r="E3194" s="8"/>
      <c r="F3194" s="8"/>
      <c r="G3194" s="8"/>
      <c r="H3194" s="8"/>
      <c r="I3194" s="8"/>
      <c r="J3194" s="8"/>
      <c r="K3194" s="8"/>
    </row>
    <row r="3195">
      <c r="A3195" s="8"/>
      <c r="B3195" s="8"/>
      <c r="C3195" s="8"/>
      <c r="D3195" s="8"/>
      <c r="E3195" s="8"/>
      <c r="F3195" s="8"/>
      <c r="G3195" s="8"/>
      <c r="H3195" s="8"/>
      <c r="I3195" s="8"/>
      <c r="J3195" s="8"/>
      <c r="K3195" s="8"/>
    </row>
    <row r="3196">
      <c r="A3196" s="8"/>
      <c r="B3196" s="8"/>
      <c r="C3196" s="8"/>
      <c r="D3196" s="8"/>
      <c r="E3196" s="8"/>
      <c r="F3196" s="8"/>
      <c r="G3196" s="8"/>
      <c r="H3196" s="8"/>
      <c r="I3196" s="8"/>
      <c r="J3196" s="8"/>
      <c r="K3196" s="8"/>
    </row>
    <row r="3197">
      <c r="A3197" s="8"/>
      <c r="B3197" s="8"/>
      <c r="C3197" s="8"/>
      <c r="D3197" s="8"/>
      <c r="E3197" s="8"/>
      <c r="F3197" s="8"/>
      <c r="G3197" s="8"/>
      <c r="H3197" s="8"/>
      <c r="I3197" s="8"/>
      <c r="J3197" s="8"/>
      <c r="K3197" s="8"/>
    </row>
    <row r="3198">
      <c r="A3198" s="8"/>
      <c r="B3198" s="8"/>
      <c r="C3198" s="8"/>
      <c r="D3198" s="8"/>
      <c r="E3198" s="8"/>
      <c r="F3198" s="8"/>
      <c r="G3198" s="8"/>
      <c r="H3198" s="8"/>
      <c r="I3198" s="8"/>
      <c r="J3198" s="8"/>
      <c r="K3198" s="8"/>
    </row>
    <row r="3199">
      <c r="A3199" s="8"/>
      <c r="B3199" s="8"/>
      <c r="C3199" s="8"/>
      <c r="D3199" s="8"/>
      <c r="E3199" s="8"/>
      <c r="F3199" s="8"/>
      <c r="G3199" s="8"/>
      <c r="H3199" s="8"/>
      <c r="I3199" s="8"/>
      <c r="J3199" s="8"/>
      <c r="K3199" s="8"/>
    </row>
    <row r="3200">
      <c r="A3200" s="8"/>
      <c r="B3200" s="8"/>
      <c r="C3200" s="8"/>
      <c r="D3200" s="8"/>
      <c r="E3200" s="8"/>
      <c r="F3200" s="8"/>
      <c r="G3200" s="8"/>
      <c r="H3200" s="8"/>
      <c r="I3200" s="8"/>
      <c r="J3200" s="8"/>
      <c r="K3200" s="8"/>
    </row>
    <row r="3201">
      <c r="A3201" s="8"/>
      <c r="B3201" s="8"/>
      <c r="C3201" s="8"/>
      <c r="D3201" s="8"/>
      <c r="E3201" s="8"/>
      <c r="F3201" s="8"/>
      <c r="G3201" s="8"/>
      <c r="H3201" s="8"/>
      <c r="I3201" s="8"/>
      <c r="J3201" s="8"/>
      <c r="K3201" s="8"/>
    </row>
    <row r="3202">
      <c r="A3202" s="8"/>
      <c r="B3202" s="8"/>
      <c r="C3202" s="8"/>
      <c r="D3202" s="8"/>
      <c r="E3202" s="8"/>
      <c r="F3202" s="8"/>
      <c r="G3202" s="8"/>
      <c r="H3202" s="8"/>
      <c r="I3202" s="8"/>
      <c r="J3202" s="8"/>
      <c r="K3202" s="8"/>
    </row>
    <row r="3203">
      <c r="A3203" s="8"/>
      <c r="B3203" s="8"/>
      <c r="C3203" s="8"/>
      <c r="D3203" s="8"/>
      <c r="E3203" s="8"/>
      <c r="F3203" s="8"/>
      <c r="G3203" s="8"/>
      <c r="H3203" s="8"/>
      <c r="I3203" s="8"/>
      <c r="J3203" s="8"/>
      <c r="K3203" s="8"/>
    </row>
    <row r="3204">
      <c r="A3204" s="8"/>
      <c r="B3204" s="8"/>
      <c r="C3204" s="8"/>
      <c r="D3204" s="8"/>
      <c r="E3204" s="8"/>
      <c r="F3204" s="8"/>
      <c r="G3204" s="8"/>
      <c r="H3204" s="8"/>
      <c r="I3204" s="8"/>
      <c r="J3204" s="8"/>
      <c r="K3204" s="8"/>
    </row>
    <row r="3205">
      <c r="A3205" s="8"/>
      <c r="B3205" s="8"/>
      <c r="C3205" s="8"/>
      <c r="D3205" s="8"/>
      <c r="E3205" s="8"/>
      <c r="F3205" s="8"/>
      <c r="G3205" s="8"/>
      <c r="H3205" s="8"/>
      <c r="I3205" s="8"/>
      <c r="J3205" s="8"/>
      <c r="K3205" s="8"/>
    </row>
    <row r="3206">
      <c r="A3206" s="8"/>
      <c r="B3206" s="8"/>
      <c r="C3206" s="8"/>
      <c r="D3206" s="8"/>
      <c r="E3206" s="8"/>
      <c r="F3206" s="8"/>
      <c r="G3206" s="8"/>
      <c r="H3206" s="8"/>
      <c r="I3206" s="8"/>
      <c r="J3206" s="8"/>
      <c r="K3206" s="8"/>
    </row>
    <row r="3207">
      <c r="A3207" s="8"/>
      <c r="B3207" s="8"/>
      <c r="C3207" s="8"/>
      <c r="D3207" s="8"/>
      <c r="E3207" s="8"/>
      <c r="F3207" s="8"/>
      <c r="G3207" s="8"/>
      <c r="H3207" s="8"/>
      <c r="I3207" s="8"/>
      <c r="J3207" s="8"/>
      <c r="K3207" s="8"/>
    </row>
    <row r="3208">
      <c r="A3208" s="8"/>
      <c r="B3208" s="8"/>
      <c r="C3208" s="8"/>
      <c r="D3208" s="8"/>
      <c r="E3208" s="8"/>
      <c r="F3208" s="8"/>
      <c r="G3208" s="8"/>
      <c r="H3208" s="8"/>
      <c r="I3208" s="8"/>
      <c r="J3208" s="8"/>
      <c r="K3208" s="8"/>
    </row>
    <row r="3209">
      <c r="A3209" s="8"/>
      <c r="B3209" s="8"/>
      <c r="C3209" s="8"/>
      <c r="D3209" s="8"/>
      <c r="E3209" s="8"/>
      <c r="F3209" s="8"/>
      <c r="G3209" s="8"/>
      <c r="H3209" s="8"/>
      <c r="I3209" s="8"/>
      <c r="J3209" s="8"/>
      <c r="K3209" s="8"/>
    </row>
    <row r="3210">
      <c r="A3210" s="8"/>
      <c r="B3210" s="8"/>
      <c r="C3210" s="8"/>
      <c r="D3210" s="8"/>
      <c r="E3210" s="8"/>
      <c r="F3210" s="8"/>
      <c r="G3210" s="8"/>
      <c r="H3210" s="8"/>
      <c r="I3210" s="8"/>
      <c r="J3210" s="8"/>
      <c r="K3210" s="8"/>
    </row>
    <row r="3211">
      <c r="A3211" s="8"/>
      <c r="B3211" s="8"/>
      <c r="C3211" s="8"/>
      <c r="D3211" s="8"/>
      <c r="E3211" s="8"/>
      <c r="F3211" s="8"/>
      <c r="G3211" s="8"/>
      <c r="H3211" s="8"/>
      <c r="I3211" s="8"/>
      <c r="J3211" s="8"/>
      <c r="K3211" s="8"/>
    </row>
    <row r="3212">
      <c r="A3212" s="8"/>
      <c r="B3212" s="8"/>
      <c r="C3212" s="8"/>
      <c r="D3212" s="8"/>
      <c r="E3212" s="8"/>
      <c r="F3212" s="8"/>
      <c r="G3212" s="8"/>
      <c r="H3212" s="8"/>
      <c r="I3212" s="8"/>
      <c r="J3212" s="8"/>
      <c r="K3212" s="8"/>
    </row>
    <row r="3213">
      <c r="A3213" s="8"/>
      <c r="B3213" s="8"/>
      <c r="C3213" s="8"/>
      <c r="D3213" s="8"/>
      <c r="E3213" s="8"/>
      <c r="F3213" s="8"/>
      <c r="G3213" s="8"/>
      <c r="H3213" s="8"/>
      <c r="I3213" s="8"/>
      <c r="J3213" s="8"/>
      <c r="K3213" s="8"/>
    </row>
    <row r="3214">
      <c r="A3214" s="8"/>
      <c r="B3214" s="8"/>
      <c r="C3214" s="8"/>
      <c r="D3214" s="8"/>
      <c r="E3214" s="8"/>
      <c r="F3214" s="8"/>
      <c r="G3214" s="8"/>
      <c r="H3214" s="8"/>
      <c r="I3214" s="8"/>
      <c r="J3214" s="8"/>
      <c r="K3214" s="8"/>
    </row>
    <row r="3215">
      <c r="A3215" s="8"/>
      <c r="B3215" s="8"/>
      <c r="C3215" s="8"/>
      <c r="D3215" s="8"/>
      <c r="E3215" s="8"/>
      <c r="F3215" s="8"/>
      <c r="G3215" s="8"/>
      <c r="H3215" s="8"/>
      <c r="I3215" s="8"/>
      <c r="J3215" s="8"/>
      <c r="K3215" s="8"/>
    </row>
    <row r="3216">
      <c r="A3216" s="8"/>
      <c r="B3216" s="8"/>
      <c r="C3216" s="8"/>
      <c r="D3216" s="8"/>
      <c r="E3216" s="8"/>
      <c r="F3216" s="8"/>
      <c r="G3216" s="8"/>
      <c r="H3216" s="8"/>
      <c r="I3216" s="8"/>
      <c r="J3216" s="8"/>
      <c r="K3216" s="8"/>
    </row>
    <row r="3217">
      <c r="A3217" s="8"/>
      <c r="B3217" s="8"/>
      <c r="C3217" s="8"/>
      <c r="D3217" s="8"/>
      <c r="E3217" s="8"/>
      <c r="F3217" s="8"/>
      <c r="G3217" s="8"/>
      <c r="H3217" s="8"/>
      <c r="I3217" s="8"/>
      <c r="J3217" s="8"/>
      <c r="K3217" s="8"/>
    </row>
    <row r="3218">
      <c r="A3218" s="8"/>
      <c r="B3218" s="8"/>
      <c r="C3218" s="8"/>
      <c r="D3218" s="8"/>
      <c r="E3218" s="8"/>
      <c r="F3218" s="8"/>
      <c r="G3218" s="8"/>
      <c r="H3218" s="8"/>
      <c r="I3218" s="8"/>
      <c r="J3218" s="8"/>
      <c r="K3218" s="8"/>
    </row>
    <row r="3219">
      <c r="A3219" s="8"/>
      <c r="B3219" s="8"/>
      <c r="C3219" s="8"/>
      <c r="D3219" s="8"/>
      <c r="E3219" s="8"/>
      <c r="F3219" s="8"/>
      <c r="G3219" s="8"/>
      <c r="H3219" s="8"/>
      <c r="I3219" s="8"/>
      <c r="J3219" s="8"/>
      <c r="K3219" s="8"/>
    </row>
    <row r="3220">
      <c r="A3220" s="8"/>
      <c r="B3220" s="8"/>
      <c r="C3220" s="8"/>
      <c r="D3220" s="8"/>
      <c r="E3220" s="8"/>
      <c r="F3220" s="8"/>
      <c r="G3220" s="8"/>
      <c r="H3220" s="8"/>
      <c r="I3220" s="8"/>
      <c r="J3220" s="8"/>
      <c r="K3220" s="8"/>
    </row>
    <row r="3221">
      <c r="A3221" s="8"/>
      <c r="B3221" s="8"/>
      <c r="C3221" s="8"/>
      <c r="D3221" s="8"/>
      <c r="E3221" s="8"/>
      <c r="F3221" s="8"/>
      <c r="G3221" s="8"/>
      <c r="H3221" s="8"/>
      <c r="I3221" s="8"/>
      <c r="J3221" s="8"/>
      <c r="K3221" s="8"/>
    </row>
    <row r="3222">
      <c r="A3222" s="8"/>
      <c r="B3222" s="8"/>
      <c r="C3222" s="8"/>
      <c r="D3222" s="8"/>
      <c r="E3222" s="8"/>
      <c r="F3222" s="8"/>
      <c r="G3222" s="8"/>
      <c r="H3222" s="8"/>
      <c r="I3222" s="8"/>
      <c r="J3222" s="8"/>
      <c r="K3222" s="8"/>
    </row>
    <row r="3223">
      <c r="A3223" s="8"/>
      <c r="B3223" s="8"/>
      <c r="C3223" s="8"/>
      <c r="D3223" s="8"/>
      <c r="E3223" s="8"/>
      <c r="F3223" s="8"/>
      <c r="G3223" s="8"/>
      <c r="H3223" s="8"/>
      <c r="I3223" s="8"/>
      <c r="J3223" s="8"/>
      <c r="K3223" s="8"/>
    </row>
    <row r="3224">
      <c r="A3224" s="8"/>
      <c r="B3224" s="8"/>
      <c r="C3224" s="8"/>
      <c r="D3224" s="8"/>
      <c r="E3224" s="8"/>
      <c r="F3224" s="8"/>
      <c r="G3224" s="8"/>
      <c r="H3224" s="8"/>
      <c r="I3224" s="8"/>
      <c r="J3224" s="8"/>
      <c r="K3224" s="8"/>
    </row>
    <row r="3225">
      <c r="A3225" s="8"/>
      <c r="B3225" s="8"/>
      <c r="C3225" s="8"/>
      <c r="D3225" s="8"/>
      <c r="E3225" s="8"/>
      <c r="F3225" s="8"/>
      <c r="G3225" s="8"/>
      <c r="H3225" s="8"/>
      <c r="I3225" s="8"/>
      <c r="J3225" s="8"/>
      <c r="K3225" s="8"/>
    </row>
    <row r="3226">
      <c r="A3226" s="8"/>
      <c r="B3226" s="8"/>
      <c r="C3226" s="8"/>
      <c r="D3226" s="8"/>
      <c r="E3226" s="8"/>
      <c r="F3226" s="8"/>
      <c r="G3226" s="8"/>
      <c r="H3226" s="8"/>
      <c r="I3226" s="8"/>
      <c r="J3226" s="8"/>
      <c r="K3226" s="8"/>
    </row>
    <row r="3227">
      <c r="A3227" s="8"/>
      <c r="B3227" s="8"/>
      <c r="C3227" s="8"/>
      <c r="D3227" s="8"/>
      <c r="E3227" s="8"/>
      <c r="F3227" s="8"/>
      <c r="G3227" s="8"/>
      <c r="H3227" s="8"/>
      <c r="I3227" s="8"/>
      <c r="J3227" s="8"/>
      <c r="K3227" s="8"/>
    </row>
    <row r="3228">
      <c r="A3228" s="8"/>
      <c r="B3228" s="8"/>
      <c r="C3228" s="8"/>
      <c r="D3228" s="8"/>
      <c r="E3228" s="8"/>
      <c r="F3228" s="8"/>
      <c r="G3228" s="8"/>
      <c r="H3228" s="8"/>
      <c r="I3228" s="8"/>
      <c r="J3228" s="8"/>
      <c r="K3228" s="8"/>
    </row>
    <row r="3229">
      <c r="A3229" s="8"/>
      <c r="B3229" s="8"/>
      <c r="C3229" s="8"/>
      <c r="D3229" s="8"/>
      <c r="E3229" s="8"/>
      <c r="F3229" s="8"/>
      <c r="G3229" s="8"/>
      <c r="H3229" s="8"/>
      <c r="I3229" s="8"/>
      <c r="J3229" s="8"/>
      <c r="K3229" s="8"/>
    </row>
    <row r="3230">
      <c r="A3230" s="8"/>
      <c r="B3230" s="8"/>
      <c r="C3230" s="8"/>
      <c r="D3230" s="8"/>
      <c r="E3230" s="8"/>
      <c r="F3230" s="8"/>
      <c r="G3230" s="8"/>
      <c r="H3230" s="8"/>
      <c r="I3230" s="8"/>
      <c r="J3230" s="8"/>
      <c r="K3230" s="8"/>
    </row>
    <row r="3231">
      <c r="A3231" s="8"/>
      <c r="B3231" s="8"/>
      <c r="C3231" s="8"/>
      <c r="D3231" s="8"/>
      <c r="E3231" s="8"/>
      <c r="F3231" s="8"/>
      <c r="G3231" s="8"/>
      <c r="H3231" s="8"/>
      <c r="I3231" s="8"/>
      <c r="J3231" s="8"/>
      <c r="K3231" s="8"/>
    </row>
    <row r="3232">
      <c r="A3232" s="8"/>
      <c r="B3232" s="8"/>
      <c r="C3232" s="8"/>
      <c r="D3232" s="8"/>
      <c r="E3232" s="8"/>
      <c r="F3232" s="8"/>
      <c r="G3232" s="8"/>
      <c r="H3232" s="8"/>
      <c r="I3232" s="8"/>
      <c r="J3232" s="8"/>
      <c r="K3232" s="8"/>
    </row>
    <row r="3233">
      <c r="A3233" s="8"/>
      <c r="B3233" s="8"/>
      <c r="C3233" s="8"/>
      <c r="D3233" s="8"/>
      <c r="E3233" s="8"/>
      <c r="F3233" s="8"/>
      <c r="G3233" s="8"/>
      <c r="H3233" s="8"/>
      <c r="I3233" s="8"/>
      <c r="J3233" s="8"/>
      <c r="K3233" s="8"/>
    </row>
    <row r="3234">
      <c r="A3234" s="8"/>
      <c r="B3234" s="8"/>
      <c r="C3234" s="8"/>
      <c r="D3234" s="8"/>
      <c r="E3234" s="8"/>
      <c r="F3234" s="8"/>
      <c r="G3234" s="8"/>
      <c r="H3234" s="8"/>
      <c r="I3234" s="8"/>
      <c r="J3234" s="8"/>
      <c r="K3234" s="8"/>
    </row>
    <row r="3235">
      <c r="A3235" s="8"/>
      <c r="B3235" s="8"/>
      <c r="C3235" s="8"/>
      <c r="D3235" s="8"/>
      <c r="E3235" s="8"/>
      <c r="F3235" s="8"/>
      <c r="G3235" s="8"/>
      <c r="H3235" s="8"/>
      <c r="I3235" s="8"/>
      <c r="J3235" s="8"/>
      <c r="K3235" s="8"/>
    </row>
    <row r="3236">
      <c r="A3236" s="8"/>
      <c r="B3236" s="8"/>
      <c r="C3236" s="8"/>
      <c r="D3236" s="8"/>
      <c r="E3236" s="8"/>
      <c r="F3236" s="8"/>
      <c r="G3236" s="8"/>
      <c r="H3236" s="8"/>
      <c r="I3236" s="8"/>
      <c r="J3236" s="8"/>
      <c r="K3236" s="8"/>
    </row>
    <row r="3237">
      <c r="A3237" s="8"/>
      <c r="B3237" s="8"/>
      <c r="C3237" s="8"/>
      <c r="D3237" s="8"/>
      <c r="E3237" s="8"/>
      <c r="F3237" s="8"/>
      <c r="G3237" s="8"/>
      <c r="H3237" s="8"/>
      <c r="I3237" s="8"/>
      <c r="J3237" s="8"/>
      <c r="K3237" s="8"/>
    </row>
    <row r="3238">
      <c r="A3238" s="8"/>
      <c r="B3238" s="8"/>
      <c r="C3238" s="8"/>
      <c r="D3238" s="8"/>
      <c r="E3238" s="8"/>
      <c r="F3238" s="8"/>
      <c r="G3238" s="8"/>
      <c r="H3238" s="8"/>
      <c r="I3238" s="8"/>
      <c r="J3238" s="8"/>
      <c r="K3238" s="8"/>
    </row>
    <row r="3239">
      <c r="A3239" s="8"/>
      <c r="B3239" s="8"/>
      <c r="C3239" s="8"/>
      <c r="D3239" s="8"/>
      <c r="E3239" s="8"/>
      <c r="F3239" s="8"/>
      <c r="G3239" s="8"/>
      <c r="H3239" s="8"/>
      <c r="I3239" s="8"/>
      <c r="J3239" s="8"/>
      <c r="K3239" s="8"/>
    </row>
    <row r="3240">
      <c r="A3240" s="8"/>
      <c r="B3240" s="8"/>
      <c r="C3240" s="8"/>
      <c r="D3240" s="8"/>
      <c r="E3240" s="8"/>
      <c r="F3240" s="8"/>
      <c r="G3240" s="8"/>
      <c r="H3240" s="8"/>
      <c r="I3240" s="8"/>
      <c r="J3240" s="8"/>
      <c r="K3240" s="8"/>
    </row>
    <row r="3241">
      <c r="A3241" s="8"/>
      <c r="B3241" s="8"/>
      <c r="C3241" s="8"/>
      <c r="D3241" s="8"/>
      <c r="E3241" s="8"/>
      <c r="F3241" s="8"/>
      <c r="G3241" s="8"/>
      <c r="H3241" s="8"/>
      <c r="I3241" s="8"/>
      <c r="J3241" s="8"/>
      <c r="K3241" s="8"/>
    </row>
    <row r="3242">
      <c r="A3242" s="8"/>
      <c r="B3242" s="8"/>
      <c r="C3242" s="8"/>
      <c r="D3242" s="8"/>
      <c r="E3242" s="8"/>
      <c r="F3242" s="8"/>
      <c r="G3242" s="8"/>
      <c r="H3242" s="8"/>
      <c r="I3242" s="8"/>
      <c r="J3242" s="8"/>
      <c r="K3242" s="8"/>
    </row>
    <row r="3243">
      <c r="A3243" s="8"/>
      <c r="B3243" s="8"/>
      <c r="C3243" s="8"/>
      <c r="D3243" s="8"/>
      <c r="E3243" s="8"/>
      <c r="F3243" s="8"/>
      <c r="G3243" s="8"/>
      <c r="H3243" s="8"/>
      <c r="I3243" s="8"/>
      <c r="J3243" s="8"/>
      <c r="K3243" s="8"/>
    </row>
    <row r="3244">
      <c r="A3244" s="8"/>
      <c r="B3244" s="8"/>
      <c r="C3244" s="8"/>
      <c r="D3244" s="8"/>
      <c r="E3244" s="8"/>
      <c r="F3244" s="8"/>
      <c r="G3244" s="8"/>
      <c r="H3244" s="8"/>
      <c r="I3244" s="8"/>
      <c r="J3244" s="8"/>
      <c r="K3244" s="8"/>
    </row>
    <row r="3245">
      <c r="A3245" s="8"/>
      <c r="B3245" s="8"/>
      <c r="C3245" s="8"/>
      <c r="D3245" s="8"/>
      <c r="E3245" s="8"/>
      <c r="F3245" s="8"/>
      <c r="G3245" s="8"/>
      <c r="H3245" s="8"/>
      <c r="I3245" s="8"/>
      <c r="J3245" s="8"/>
      <c r="K3245" s="8"/>
    </row>
    <row r="3246">
      <c r="A3246" s="8"/>
      <c r="B3246" s="8"/>
      <c r="C3246" s="8"/>
      <c r="D3246" s="8"/>
      <c r="E3246" s="8"/>
      <c r="F3246" s="8"/>
      <c r="G3246" s="8"/>
      <c r="H3246" s="8"/>
      <c r="I3246" s="8"/>
      <c r="J3246" s="8"/>
      <c r="K3246" s="8"/>
    </row>
    <row r="3247">
      <c r="A3247" s="8"/>
      <c r="B3247" s="8"/>
      <c r="C3247" s="8"/>
      <c r="D3247" s="8"/>
      <c r="E3247" s="8"/>
      <c r="F3247" s="8"/>
      <c r="G3247" s="8"/>
      <c r="H3247" s="8"/>
      <c r="I3247" s="8"/>
      <c r="J3247" s="8"/>
      <c r="K3247" s="8"/>
    </row>
    <row r="3248">
      <c r="A3248" s="8"/>
      <c r="B3248" s="8"/>
      <c r="C3248" s="8"/>
      <c r="D3248" s="8"/>
      <c r="E3248" s="8"/>
      <c r="F3248" s="8"/>
      <c r="G3248" s="8"/>
      <c r="H3248" s="8"/>
      <c r="I3248" s="8"/>
      <c r="J3248" s="8"/>
      <c r="K3248" s="8"/>
    </row>
    <row r="3249">
      <c r="A3249" s="8"/>
      <c r="B3249" s="8"/>
      <c r="C3249" s="8"/>
      <c r="D3249" s="8"/>
      <c r="E3249" s="8"/>
      <c r="F3249" s="8"/>
      <c r="G3249" s="8"/>
      <c r="H3249" s="8"/>
      <c r="I3249" s="8"/>
      <c r="J3249" s="8"/>
      <c r="K3249" s="8"/>
    </row>
    <row r="3250">
      <c r="A3250" s="8"/>
      <c r="B3250" s="8"/>
      <c r="C3250" s="8"/>
      <c r="D3250" s="8"/>
      <c r="E3250" s="8"/>
      <c r="F3250" s="8"/>
      <c r="G3250" s="8"/>
      <c r="H3250" s="8"/>
      <c r="I3250" s="8"/>
      <c r="J3250" s="8"/>
      <c r="K3250" s="8"/>
    </row>
    <row r="3251">
      <c r="A3251" s="8"/>
      <c r="B3251" s="8"/>
      <c r="C3251" s="8"/>
      <c r="D3251" s="8"/>
      <c r="E3251" s="8"/>
      <c r="F3251" s="8"/>
      <c r="G3251" s="8"/>
      <c r="H3251" s="8"/>
      <c r="I3251" s="8"/>
      <c r="J3251" s="8"/>
      <c r="K3251" s="8"/>
    </row>
    <row r="3252">
      <c r="A3252" s="8"/>
      <c r="B3252" s="8"/>
      <c r="C3252" s="8"/>
      <c r="D3252" s="8"/>
      <c r="E3252" s="8"/>
      <c r="F3252" s="8"/>
      <c r="G3252" s="8"/>
      <c r="H3252" s="8"/>
      <c r="I3252" s="8"/>
      <c r="J3252" s="8"/>
      <c r="K3252" s="8"/>
    </row>
    <row r="3253">
      <c r="A3253" s="8"/>
      <c r="B3253" s="8"/>
      <c r="C3253" s="8"/>
      <c r="D3253" s="8"/>
      <c r="E3253" s="8"/>
      <c r="F3253" s="8"/>
      <c r="G3253" s="8"/>
      <c r="H3253" s="8"/>
      <c r="I3253" s="8"/>
      <c r="J3253" s="8"/>
      <c r="K3253" s="8"/>
    </row>
    <row r="3254">
      <c r="A3254" s="8"/>
      <c r="B3254" s="8"/>
      <c r="C3254" s="8"/>
      <c r="D3254" s="8"/>
      <c r="E3254" s="8"/>
      <c r="F3254" s="8"/>
      <c r="G3254" s="8"/>
      <c r="H3254" s="8"/>
      <c r="I3254" s="8"/>
      <c r="J3254" s="8"/>
      <c r="K3254" s="8"/>
    </row>
    <row r="3255">
      <c r="A3255" s="8"/>
      <c r="B3255" s="8"/>
      <c r="C3255" s="8"/>
      <c r="D3255" s="8"/>
      <c r="E3255" s="8"/>
      <c r="F3255" s="8"/>
      <c r="G3255" s="8"/>
      <c r="H3255" s="8"/>
      <c r="I3255" s="8"/>
      <c r="J3255" s="8"/>
      <c r="K3255" s="8"/>
    </row>
    <row r="3256">
      <c r="A3256" s="8"/>
      <c r="B3256" s="8"/>
      <c r="C3256" s="8"/>
      <c r="D3256" s="8"/>
      <c r="E3256" s="8"/>
      <c r="F3256" s="8"/>
      <c r="G3256" s="8"/>
      <c r="H3256" s="8"/>
      <c r="I3256" s="8"/>
      <c r="J3256" s="8"/>
      <c r="K3256" s="8"/>
    </row>
    <row r="3257">
      <c r="A3257" s="8"/>
      <c r="B3257" s="8"/>
      <c r="C3257" s="8"/>
      <c r="D3257" s="8"/>
      <c r="E3257" s="8"/>
      <c r="F3257" s="8"/>
      <c r="G3257" s="8"/>
      <c r="H3257" s="8"/>
      <c r="I3257" s="8"/>
      <c r="J3257" s="8"/>
      <c r="K3257" s="8"/>
    </row>
    <row r="3258">
      <c r="A3258" s="8"/>
      <c r="B3258" s="8"/>
      <c r="C3258" s="8"/>
      <c r="D3258" s="8"/>
      <c r="E3258" s="8"/>
      <c r="F3258" s="8"/>
      <c r="G3258" s="8"/>
      <c r="H3258" s="8"/>
      <c r="I3258" s="8"/>
      <c r="J3258" s="8"/>
      <c r="K3258" s="8"/>
    </row>
    <row r="3259">
      <c r="A3259" s="8"/>
      <c r="B3259" s="8"/>
      <c r="C3259" s="8"/>
      <c r="D3259" s="8"/>
      <c r="E3259" s="8"/>
      <c r="F3259" s="8"/>
      <c r="G3259" s="8"/>
      <c r="H3259" s="8"/>
      <c r="I3259" s="8"/>
      <c r="J3259" s="8"/>
      <c r="K3259" s="8"/>
    </row>
    <row r="3260">
      <c r="A3260" s="8"/>
      <c r="B3260" s="8"/>
      <c r="C3260" s="8"/>
      <c r="D3260" s="8"/>
      <c r="E3260" s="8"/>
      <c r="F3260" s="8"/>
      <c r="G3260" s="8"/>
      <c r="H3260" s="8"/>
      <c r="I3260" s="8"/>
      <c r="J3260" s="8"/>
      <c r="K3260" s="8"/>
    </row>
    <row r="3261">
      <c r="A3261" s="8"/>
      <c r="B3261" s="8"/>
      <c r="C3261" s="8"/>
      <c r="D3261" s="8"/>
      <c r="E3261" s="8"/>
      <c r="F3261" s="8"/>
      <c r="G3261" s="8"/>
      <c r="H3261" s="8"/>
      <c r="I3261" s="8"/>
      <c r="J3261" s="8"/>
      <c r="K3261" s="8"/>
    </row>
    <row r="3262">
      <c r="A3262" s="8"/>
      <c r="B3262" s="8"/>
      <c r="C3262" s="8"/>
      <c r="D3262" s="8"/>
      <c r="E3262" s="8"/>
      <c r="F3262" s="8"/>
      <c r="G3262" s="8"/>
      <c r="H3262" s="8"/>
      <c r="I3262" s="8"/>
      <c r="J3262" s="8"/>
      <c r="K3262" s="8"/>
    </row>
    <row r="3263">
      <c r="A3263" s="8"/>
      <c r="B3263" s="8"/>
      <c r="C3263" s="8"/>
      <c r="D3263" s="8"/>
      <c r="E3263" s="8"/>
      <c r="F3263" s="8"/>
      <c r="G3263" s="8"/>
      <c r="H3263" s="8"/>
      <c r="I3263" s="8"/>
      <c r="J3263" s="8"/>
      <c r="K3263" s="8"/>
    </row>
    <row r="3264">
      <c r="A3264" s="8"/>
      <c r="B3264" s="8"/>
      <c r="C3264" s="8"/>
      <c r="D3264" s="8"/>
      <c r="E3264" s="8"/>
      <c r="F3264" s="8"/>
      <c r="G3264" s="8"/>
      <c r="H3264" s="8"/>
      <c r="I3264" s="8"/>
      <c r="J3264" s="8"/>
      <c r="K3264" s="8"/>
    </row>
    <row r="3265">
      <c r="A3265" s="8"/>
      <c r="B3265" s="8"/>
      <c r="C3265" s="8"/>
      <c r="D3265" s="8"/>
      <c r="E3265" s="8"/>
      <c r="F3265" s="8"/>
      <c r="G3265" s="8"/>
      <c r="H3265" s="8"/>
      <c r="I3265" s="8"/>
      <c r="J3265" s="8"/>
      <c r="K3265" s="8"/>
    </row>
    <row r="3266">
      <c r="A3266" s="8"/>
      <c r="B3266" s="8"/>
      <c r="C3266" s="8"/>
      <c r="D3266" s="8"/>
      <c r="E3266" s="8"/>
      <c r="F3266" s="8"/>
      <c r="G3266" s="8"/>
      <c r="H3266" s="8"/>
      <c r="I3266" s="8"/>
      <c r="J3266" s="8"/>
      <c r="K3266" s="8"/>
    </row>
    <row r="3267">
      <c r="A3267" s="8"/>
      <c r="B3267" s="8"/>
      <c r="C3267" s="8"/>
      <c r="D3267" s="8"/>
      <c r="E3267" s="8"/>
      <c r="F3267" s="8"/>
      <c r="G3267" s="8"/>
      <c r="H3267" s="8"/>
      <c r="I3267" s="8"/>
      <c r="J3267" s="8"/>
      <c r="K3267" s="8"/>
    </row>
    <row r="3268">
      <c r="A3268" s="8"/>
      <c r="B3268" s="8"/>
      <c r="C3268" s="8"/>
      <c r="D3268" s="8"/>
      <c r="E3268" s="8"/>
      <c r="F3268" s="8"/>
      <c r="G3268" s="8"/>
      <c r="H3268" s="8"/>
      <c r="I3268" s="8"/>
      <c r="J3268" s="8"/>
      <c r="K3268" s="8"/>
    </row>
    <row r="3269">
      <c r="A3269" s="8"/>
      <c r="B3269" s="8"/>
      <c r="C3269" s="8"/>
      <c r="D3269" s="8"/>
      <c r="E3269" s="8"/>
      <c r="F3269" s="8"/>
      <c r="G3269" s="8"/>
      <c r="H3269" s="8"/>
      <c r="I3269" s="8"/>
      <c r="J3269" s="8"/>
      <c r="K3269" s="8"/>
    </row>
    <row r="3270">
      <c r="A3270" s="8"/>
      <c r="B3270" s="8"/>
      <c r="C3270" s="8"/>
      <c r="D3270" s="8"/>
      <c r="E3270" s="8"/>
      <c r="F3270" s="8"/>
      <c r="G3270" s="8"/>
      <c r="H3270" s="8"/>
      <c r="I3270" s="8"/>
      <c r="J3270" s="8"/>
      <c r="K3270" s="8"/>
    </row>
    <row r="3271">
      <c r="A3271" s="8"/>
      <c r="B3271" s="8"/>
      <c r="C3271" s="8"/>
      <c r="D3271" s="8"/>
      <c r="E3271" s="8"/>
      <c r="F3271" s="8"/>
      <c r="G3271" s="8"/>
      <c r="H3271" s="8"/>
      <c r="I3271" s="8"/>
      <c r="J3271" s="8"/>
      <c r="K3271" s="8"/>
    </row>
    <row r="3272">
      <c r="A3272" s="8"/>
      <c r="B3272" s="8"/>
      <c r="C3272" s="8"/>
      <c r="D3272" s="8"/>
      <c r="E3272" s="8"/>
      <c r="F3272" s="8"/>
      <c r="G3272" s="8"/>
      <c r="H3272" s="8"/>
      <c r="I3272" s="8"/>
      <c r="J3272" s="8"/>
      <c r="K3272" s="8"/>
    </row>
    <row r="3273">
      <c r="A3273" s="8"/>
      <c r="B3273" s="8"/>
      <c r="C3273" s="8"/>
      <c r="D3273" s="8"/>
      <c r="E3273" s="8"/>
      <c r="F3273" s="8"/>
      <c r="G3273" s="8"/>
      <c r="H3273" s="8"/>
      <c r="I3273" s="8"/>
      <c r="J3273" s="8"/>
      <c r="K3273" s="8"/>
    </row>
    <row r="3274">
      <c r="A3274" s="8"/>
      <c r="B3274" s="8"/>
      <c r="C3274" s="8"/>
      <c r="D3274" s="8"/>
      <c r="E3274" s="8"/>
      <c r="F3274" s="8"/>
      <c r="G3274" s="8"/>
      <c r="H3274" s="8"/>
      <c r="I3274" s="8"/>
      <c r="J3274" s="8"/>
      <c r="K3274" s="8"/>
    </row>
    <row r="3275">
      <c r="A3275" s="8"/>
      <c r="B3275" s="8"/>
      <c r="C3275" s="8"/>
      <c r="D3275" s="8"/>
      <c r="E3275" s="8"/>
      <c r="F3275" s="8"/>
      <c r="G3275" s="8"/>
      <c r="H3275" s="8"/>
      <c r="I3275" s="8"/>
      <c r="J3275" s="8"/>
      <c r="K3275" s="8"/>
    </row>
    <row r="3276">
      <c r="A3276" s="8"/>
      <c r="B3276" s="8"/>
      <c r="C3276" s="8"/>
      <c r="D3276" s="8"/>
      <c r="E3276" s="8"/>
      <c r="F3276" s="8"/>
      <c r="G3276" s="8"/>
      <c r="H3276" s="8"/>
      <c r="I3276" s="8"/>
      <c r="J3276" s="8"/>
      <c r="K3276" s="8"/>
    </row>
    <row r="3277">
      <c r="A3277" s="8"/>
      <c r="B3277" s="8"/>
      <c r="C3277" s="8"/>
      <c r="D3277" s="8"/>
      <c r="E3277" s="8"/>
      <c r="F3277" s="8"/>
      <c r="G3277" s="8"/>
      <c r="H3277" s="8"/>
      <c r="I3277" s="8"/>
      <c r="J3277" s="8"/>
      <c r="K3277" s="8"/>
    </row>
    <row r="3278">
      <c r="A3278" s="8"/>
      <c r="B3278" s="8"/>
      <c r="C3278" s="8"/>
      <c r="D3278" s="8"/>
      <c r="E3278" s="8"/>
      <c r="F3278" s="8"/>
      <c r="G3278" s="8"/>
      <c r="H3278" s="8"/>
      <c r="I3278" s="8"/>
      <c r="J3278" s="8"/>
      <c r="K3278" s="8"/>
    </row>
    <row r="3279">
      <c r="A3279" s="8"/>
      <c r="B3279" s="8"/>
      <c r="C3279" s="8"/>
      <c r="D3279" s="8"/>
      <c r="E3279" s="8"/>
      <c r="F3279" s="8"/>
      <c r="G3279" s="8"/>
      <c r="H3279" s="8"/>
      <c r="I3279" s="8"/>
      <c r="J3279" s="8"/>
      <c r="K3279" s="8"/>
    </row>
    <row r="3280">
      <c r="A3280" s="8"/>
      <c r="B3280" s="8"/>
      <c r="C3280" s="8"/>
      <c r="D3280" s="8"/>
      <c r="E3280" s="8"/>
      <c r="F3280" s="8"/>
      <c r="G3280" s="8"/>
      <c r="H3280" s="8"/>
      <c r="I3280" s="8"/>
      <c r="J3280" s="8"/>
      <c r="K3280" s="8"/>
    </row>
    <row r="3281">
      <c r="A3281" s="8"/>
      <c r="B3281" s="8"/>
      <c r="C3281" s="8"/>
      <c r="D3281" s="8"/>
      <c r="E3281" s="8"/>
      <c r="F3281" s="8"/>
      <c r="G3281" s="8"/>
      <c r="H3281" s="8"/>
      <c r="I3281" s="8"/>
      <c r="J3281" s="8"/>
      <c r="K3281" s="8"/>
    </row>
    <row r="3282">
      <c r="A3282" s="8"/>
      <c r="B3282" s="8"/>
      <c r="C3282" s="8"/>
      <c r="D3282" s="8"/>
      <c r="E3282" s="8"/>
      <c r="F3282" s="8"/>
      <c r="G3282" s="8"/>
      <c r="H3282" s="8"/>
      <c r="I3282" s="8"/>
      <c r="J3282" s="8"/>
      <c r="K3282" s="8"/>
    </row>
    <row r="3283">
      <c r="A3283" s="8"/>
      <c r="B3283" s="8"/>
      <c r="C3283" s="8"/>
      <c r="D3283" s="8"/>
      <c r="E3283" s="8"/>
      <c r="F3283" s="8"/>
      <c r="G3283" s="8"/>
      <c r="H3283" s="8"/>
      <c r="I3283" s="8"/>
      <c r="J3283" s="8"/>
      <c r="K3283" s="8"/>
    </row>
    <row r="3284">
      <c r="A3284" s="8"/>
      <c r="B3284" s="8"/>
      <c r="C3284" s="8"/>
      <c r="D3284" s="8"/>
      <c r="E3284" s="8"/>
      <c r="F3284" s="8"/>
      <c r="G3284" s="8"/>
      <c r="H3284" s="8"/>
      <c r="I3284" s="8"/>
      <c r="J3284" s="8"/>
      <c r="K3284" s="8"/>
    </row>
    <row r="3285">
      <c r="A3285" s="8"/>
      <c r="B3285" s="8"/>
      <c r="C3285" s="8"/>
      <c r="D3285" s="8"/>
      <c r="E3285" s="8"/>
      <c r="F3285" s="8"/>
      <c r="G3285" s="8"/>
      <c r="H3285" s="8"/>
      <c r="I3285" s="8"/>
      <c r="J3285" s="8"/>
      <c r="K3285" s="8"/>
    </row>
    <row r="3286">
      <c r="A3286" s="8"/>
      <c r="B3286" s="8"/>
      <c r="C3286" s="8"/>
      <c r="D3286" s="8"/>
      <c r="E3286" s="8"/>
      <c r="F3286" s="8"/>
      <c r="G3286" s="8"/>
      <c r="H3286" s="8"/>
      <c r="I3286" s="8"/>
      <c r="J3286" s="8"/>
      <c r="K3286" s="8"/>
    </row>
    <row r="3287">
      <c r="A3287" s="8"/>
      <c r="B3287" s="8"/>
      <c r="C3287" s="8"/>
      <c r="D3287" s="8"/>
      <c r="E3287" s="8"/>
      <c r="F3287" s="8"/>
      <c r="G3287" s="8"/>
      <c r="H3287" s="8"/>
      <c r="I3287" s="8"/>
      <c r="J3287" s="8"/>
      <c r="K3287" s="8"/>
    </row>
    <row r="3288">
      <c r="A3288" s="8"/>
      <c r="B3288" s="8"/>
      <c r="C3288" s="8"/>
      <c r="D3288" s="8"/>
      <c r="E3288" s="8"/>
      <c r="F3288" s="8"/>
      <c r="G3288" s="8"/>
      <c r="H3288" s="8"/>
      <c r="I3288" s="8"/>
      <c r="J3288" s="8"/>
      <c r="K3288" s="8"/>
    </row>
    <row r="3289">
      <c r="A3289" s="8"/>
      <c r="B3289" s="8"/>
      <c r="C3289" s="8"/>
      <c r="D3289" s="8"/>
      <c r="E3289" s="8"/>
      <c r="F3289" s="8"/>
      <c r="G3289" s="8"/>
      <c r="H3289" s="8"/>
      <c r="I3289" s="8"/>
      <c r="J3289" s="8"/>
      <c r="K3289" s="8"/>
    </row>
    <row r="3290">
      <c r="A3290" s="8"/>
      <c r="B3290" s="8"/>
      <c r="C3290" s="8"/>
      <c r="D3290" s="8"/>
      <c r="E3290" s="8"/>
      <c r="F3290" s="8"/>
      <c r="G3290" s="8"/>
      <c r="H3290" s="8"/>
      <c r="I3290" s="8"/>
      <c r="J3290" s="8"/>
      <c r="K3290" s="8"/>
    </row>
    <row r="3291">
      <c r="A3291" s="8"/>
      <c r="B3291" s="8"/>
      <c r="C3291" s="8"/>
      <c r="D3291" s="8"/>
      <c r="E3291" s="8"/>
      <c r="F3291" s="8"/>
      <c r="G3291" s="8"/>
      <c r="H3291" s="8"/>
      <c r="I3291" s="8"/>
      <c r="J3291" s="8"/>
      <c r="K3291" s="8"/>
    </row>
    <row r="3292">
      <c r="A3292" s="8"/>
      <c r="B3292" s="8"/>
      <c r="C3292" s="8"/>
      <c r="D3292" s="8"/>
      <c r="E3292" s="8"/>
      <c r="F3292" s="8"/>
      <c r="G3292" s="8"/>
      <c r="H3292" s="8"/>
      <c r="I3292" s="8"/>
      <c r="J3292" s="8"/>
      <c r="K3292" s="8"/>
    </row>
    <row r="3293">
      <c r="A3293" s="8"/>
      <c r="B3293" s="8"/>
      <c r="C3293" s="8"/>
      <c r="D3293" s="8"/>
      <c r="E3293" s="8"/>
      <c r="F3293" s="8"/>
      <c r="G3293" s="8"/>
      <c r="H3293" s="8"/>
      <c r="I3293" s="8"/>
      <c r="J3293" s="8"/>
      <c r="K3293" s="8"/>
    </row>
    <row r="3294">
      <c r="A3294" s="8"/>
      <c r="B3294" s="8"/>
      <c r="C3294" s="8"/>
      <c r="D3294" s="8"/>
      <c r="E3294" s="8"/>
      <c r="F3294" s="8"/>
      <c r="G3294" s="8"/>
      <c r="H3294" s="8"/>
      <c r="I3294" s="8"/>
      <c r="J3294" s="8"/>
      <c r="K3294" s="8"/>
    </row>
    <row r="3295">
      <c r="A3295" s="8"/>
      <c r="B3295" s="8"/>
      <c r="C3295" s="8"/>
      <c r="D3295" s="8"/>
      <c r="E3295" s="8"/>
      <c r="F3295" s="8"/>
      <c r="G3295" s="8"/>
      <c r="H3295" s="8"/>
      <c r="I3295" s="8"/>
      <c r="J3295" s="8"/>
      <c r="K3295" s="8"/>
    </row>
    <row r="3296">
      <c r="A3296" s="8"/>
      <c r="B3296" s="8"/>
      <c r="C3296" s="8"/>
      <c r="D3296" s="8"/>
      <c r="E3296" s="8"/>
      <c r="F3296" s="8"/>
      <c r="G3296" s="8"/>
      <c r="H3296" s="8"/>
      <c r="I3296" s="8"/>
      <c r="J3296" s="8"/>
      <c r="K3296" s="8"/>
    </row>
    <row r="3297">
      <c r="A3297" s="8"/>
      <c r="B3297" s="8"/>
      <c r="C3297" s="8"/>
      <c r="D3297" s="8"/>
      <c r="E3297" s="8"/>
      <c r="F3297" s="8"/>
      <c r="G3297" s="8"/>
      <c r="H3297" s="8"/>
      <c r="I3297" s="8"/>
      <c r="J3297" s="8"/>
      <c r="K3297" s="8"/>
    </row>
    <row r="3298">
      <c r="A3298" s="8"/>
      <c r="B3298" s="8"/>
      <c r="C3298" s="8"/>
      <c r="D3298" s="8"/>
      <c r="E3298" s="8"/>
      <c r="F3298" s="8"/>
      <c r="G3298" s="8"/>
      <c r="H3298" s="8"/>
      <c r="I3298" s="8"/>
      <c r="J3298" s="8"/>
      <c r="K3298" s="8"/>
    </row>
    <row r="3299">
      <c r="A3299" s="8"/>
      <c r="B3299" s="8"/>
      <c r="C3299" s="8"/>
      <c r="D3299" s="8"/>
      <c r="E3299" s="8"/>
      <c r="F3299" s="8"/>
      <c r="G3299" s="8"/>
      <c r="H3299" s="8"/>
      <c r="I3299" s="8"/>
      <c r="J3299" s="8"/>
      <c r="K3299" s="8"/>
    </row>
    <row r="3300">
      <c r="A3300" s="8"/>
      <c r="B3300" s="8"/>
      <c r="C3300" s="8"/>
      <c r="D3300" s="8"/>
      <c r="E3300" s="8"/>
      <c r="F3300" s="8"/>
      <c r="G3300" s="8"/>
      <c r="H3300" s="8"/>
      <c r="I3300" s="8"/>
      <c r="J3300" s="8"/>
      <c r="K3300" s="8"/>
    </row>
    <row r="3301">
      <c r="A3301" s="8"/>
      <c r="B3301" s="8"/>
      <c r="C3301" s="8"/>
      <c r="D3301" s="8"/>
      <c r="E3301" s="8"/>
      <c r="F3301" s="8"/>
      <c r="G3301" s="8"/>
      <c r="H3301" s="8"/>
      <c r="I3301" s="8"/>
      <c r="J3301" s="8"/>
      <c r="K3301" s="8"/>
    </row>
    <row r="3302">
      <c r="A3302" s="8"/>
      <c r="B3302" s="8"/>
      <c r="C3302" s="8"/>
      <c r="D3302" s="8"/>
      <c r="E3302" s="8"/>
      <c r="F3302" s="8"/>
      <c r="G3302" s="8"/>
      <c r="H3302" s="8"/>
      <c r="I3302" s="8"/>
      <c r="J3302" s="8"/>
      <c r="K3302" s="8"/>
    </row>
    <row r="3303">
      <c r="A3303" s="8"/>
      <c r="B3303" s="8"/>
      <c r="C3303" s="8"/>
      <c r="D3303" s="8"/>
      <c r="E3303" s="8"/>
      <c r="F3303" s="8"/>
      <c r="G3303" s="8"/>
      <c r="H3303" s="8"/>
      <c r="I3303" s="8"/>
      <c r="J3303" s="8"/>
      <c r="K3303" s="8"/>
    </row>
    <row r="3304">
      <c r="A3304" s="8"/>
      <c r="B3304" s="8"/>
      <c r="C3304" s="8"/>
      <c r="D3304" s="8"/>
      <c r="E3304" s="8"/>
      <c r="F3304" s="8"/>
      <c r="G3304" s="8"/>
      <c r="H3304" s="8"/>
      <c r="I3304" s="8"/>
      <c r="J3304" s="8"/>
      <c r="K3304" s="8"/>
    </row>
    <row r="3305">
      <c r="A3305" s="8"/>
      <c r="B3305" s="8"/>
      <c r="C3305" s="8"/>
      <c r="D3305" s="8"/>
      <c r="E3305" s="8"/>
      <c r="F3305" s="8"/>
      <c r="G3305" s="8"/>
      <c r="H3305" s="8"/>
      <c r="I3305" s="8"/>
      <c r="J3305" s="8"/>
      <c r="K3305" s="8"/>
    </row>
    <row r="3306">
      <c r="A3306" s="8"/>
      <c r="B3306" s="8"/>
      <c r="C3306" s="8"/>
      <c r="D3306" s="8"/>
      <c r="E3306" s="8"/>
      <c r="F3306" s="8"/>
      <c r="G3306" s="8"/>
      <c r="H3306" s="8"/>
      <c r="I3306" s="8"/>
      <c r="J3306" s="8"/>
      <c r="K3306" s="8"/>
    </row>
    <row r="3307">
      <c r="A3307" s="8"/>
      <c r="B3307" s="8"/>
      <c r="C3307" s="8"/>
      <c r="D3307" s="8"/>
      <c r="E3307" s="8"/>
      <c r="F3307" s="8"/>
      <c r="G3307" s="8"/>
      <c r="H3307" s="8"/>
      <c r="I3307" s="8"/>
      <c r="J3307" s="8"/>
      <c r="K3307" s="8"/>
    </row>
    <row r="3308">
      <c r="A3308" s="8"/>
      <c r="B3308" s="8"/>
      <c r="C3308" s="8"/>
      <c r="D3308" s="8"/>
      <c r="E3308" s="8"/>
      <c r="F3308" s="8"/>
      <c r="G3308" s="8"/>
      <c r="H3308" s="8"/>
      <c r="I3308" s="8"/>
      <c r="J3308" s="8"/>
      <c r="K3308" s="8"/>
    </row>
    <row r="3309">
      <c r="A3309" s="8"/>
      <c r="B3309" s="8"/>
      <c r="C3309" s="8"/>
      <c r="D3309" s="8"/>
      <c r="E3309" s="8"/>
      <c r="F3309" s="8"/>
      <c r="G3309" s="8"/>
      <c r="H3309" s="8"/>
      <c r="I3309" s="8"/>
      <c r="J3309" s="8"/>
      <c r="K3309" s="8"/>
    </row>
    <row r="3310">
      <c r="A3310" s="8"/>
      <c r="B3310" s="8"/>
      <c r="C3310" s="8"/>
      <c r="D3310" s="8"/>
      <c r="E3310" s="8"/>
      <c r="F3310" s="8"/>
      <c r="G3310" s="8"/>
      <c r="H3310" s="8"/>
      <c r="I3310" s="8"/>
      <c r="J3310" s="8"/>
      <c r="K3310" s="8"/>
    </row>
    <row r="3311">
      <c r="A3311" s="8"/>
      <c r="B3311" s="8"/>
      <c r="C3311" s="8"/>
      <c r="D3311" s="8"/>
      <c r="E3311" s="8"/>
      <c r="F3311" s="8"/>
      <c r="G3311" s="8"/>
      <c r="H3311" s="8"/>
      <c r="I3311" s="8"/>
      <c r="J3311" s="8"/>
      <c r="K3311" s="8"/>
    </row>
    <row r="3312">
      <c r="A3312" s="8"/>
      <c r="B3312" s="8"/>
      <c r="C3312" s="8"/>
      <c r="D3312" s="8"/>
      <c r="E3312" s="8"/>
      <c r="F3312" s="8"/>
      <c r="G3312" s="8"/>
      <c r="H3312" s="8"/>
      <c r="I3312" s="8"/>
      <c r="J3312" s="8"/>
      <c r="K3312" s="8"/>
    </row>
    <row r="3313">
      <c r="A3313" s="8"/>
      <c r="B3313" s="8"/>
      <c r="C3313" s="8"/>
      <c r="D3313" s="8"/>
      <c r="E3313" s="8"/>
      <c r="F3313" s="8"/>
      <c r="G3313" s="8"/>
      <c r="H3313" s="8"/>
      <c r="I3313" s="8"/>
      <c r="J3313" s="8"/>
      <c r="K3313" s="8"/>
    </row>
    <row r="3314">
      <c r="A3314" s="8"/>
      <c r="B3314" s="8"/>
      <c r="C3314" s="8"/>
      <c r="D3314" s="8"/>
      <c r="E3314" s="8"/>
      <c r="F3314" s="8"/>
      <c r="G3314" s="8"/>
      <c r="H3314" s="8"/>
      <c r="I3314" s="8"/>
      <c r="J3314" s="8"/>
      <c r="K3314" s="8"/>
    </row>
    <row r="3315">
      <c r="A3315" s="8"/>
      <c r="B3315" s="8"/>
      <c r="C3315" s="8"/>
      <c r="D3315" s="8"/>
      <c r="E3315" s="8"/>
      <c r="F3315" s="8"/>
      <c r="G3315" s="8"/>
      <c r="H3315" s="8"/>
      <c r="I3315" s="8"/>
      <c r="J3315" s="8"/>
      <c r="K3315" s="8"/>
    </row>
    <row r="3316">
      <c r="A3316" s="8"/>
      <c r="B3316" s="8"/>
      <c r="C3316" s="8"/>
      <c r="D3316" s="8"/>
      <c r="E3316" s="8"/>
      <c r="F3316" s="8"/>
      <c r="G3316" s="8"/>
      <c r="H3316" s="8"/>
      <c r="I3316" s="8"/>
      <c r="J3316" s="8"/>
      <c r="K3316" s="8"/>
    </row>
    <row r="3317">
      <c r="A3317" s="8"/>
      <c r="B3317" s="8"/>
      <c r="C3317" s="8"/>
      <c r="D3317" s="8"/>
      <c r="E3317" s="8"/>
      <c r="F3317" s="8"/>
      <c r="G3317" s="8"/>
      <c r="H3317" s="8"/>
      <c r="I3317" s="8"/>
      <c r="J3317" s="8"/>
      <c r="K3317" s="8"/>
    </row>
    <row r="3318">
      <c r="A3318" s="8"/>
      <c r="B3318" s="8"/>
      <c r="C3318" s="8"/>
      <c r="D3318" s="8"/>
      <c r="E3318" s="8"/>
      <c r="F3318" s="8"/>
      <c r="G3318" s="8"/>
      <c r="H3318" s="8"/>
      <c r="I3318" s="8"/>
      <c r="J3318" s="8"/>
      <c r="K3318" s="8"/>
    </row>
    <row r="3319">
      <c r="A3319" s="8"/>
      <c r="B3319" s="8"/>
      <c r="C3319" s="8"/>
      <c r="D3319" s="8"/>
      <c r="E3319" s="8"/>
      <c r="F3319" s="8"/>
      <c r="G3319" s="8"/>
      <c r="H3319" s="8"/>
      <c r="I3319" s="8"/>
      <c r="J3319" s="8"/>
      <c r="K3319" s="8"/>
    </row>
    <row r="3320">
      <c r="A3320" s="8"/>
      <c r="B3320" s="8"/>
      <c r="C3320" s="8"/>
      <c r="D3320" s="8"/>
      <c r="E3320" s="8"/>
      <c r="F3320" s="8"/>
      <c r="G3320" s="8"/>
      <c r="H3320" s="8"/>
      <c r="I3320" s="8"/>
      <c r="J3320" s="8"/>
      <c r="K3320" s="8"/>
    </row>
    <row r="3321">
      <c r="A3321" s="8"/>
      <c r="B3321" s="8"/>
      <c r="C3321" s="8"/>
      <c r="D3321" s="8"/>
      <c r="E3321" s="8"/>
      <c r="F3321" s="8"/>
      <c r="G3321" s="8"/>
      <c r="H3321" s="8"/>
      <c r="I3321" s="8"/>
      <c r="J3321" s="8"/>
      <c r="K3321" s="8"/>
    </row>
    <row r="3322">
      <c r="A3322" s="8"/>
      <c r="B3322" s="8"/>
      <c r="C3322" s="8"/>
      <c r="D3322" s="8"/>
      <c r="E3322" s="8"/>
      <c r="F3322" s="8"/>
      <c r="G3322" s="8"/>
      <c r="H3322" s="8"/>
      <c r="I3322" s="8"/>
      <c r="J3322" s="8"/>
      <c r="K3322" s="8"/>
    </row>
    <row r="3323">
      <c r="A3323" s="8"/>
      <c r="B3323" s="8"/>
      <c r="C3323" s="8"/>
      <c r="D3323" s="8"/>
      <c r="E3323" s="8"/>
      <c r="F3323" s="8"/>
      <c r="G3323" s="8"/>
      <c r="H3323" s="8"/>
      <c r="I3323" s="8"/>
      <c r="J3323" s="8"/>
      <c r="K3323" s="8"/>
    </row>
    <row r="3324">
      <c r="A3324" s="8"/>
      <c r="B3324" s="8"/>
      <c r="C3324" s="8"/>
      <c r="D3324" s="8"/>
      <c r="E3324" s="8"/>
      <c r="F3324" s="8"/>
      <c r="G3324" s="8"/>
      <c r="H3324" s="8"/>
      <c r="I3324" s="8"/>
      <c r="J3324" s="8"/>
      <c r="K3324" s="8"/>
    </row>
    <row r="3325">
      <c r="A3325" s="8"/>
      <c r="B3325" s="8"/>
      <c r="C3325" s="8"/>
      <c r="D3325" s="8"/>
      <c r="E3325" s="8"/>
      <c r="F3325" s="8"/>
      <c r="G3325" s="8"/>
      <c r="H3325" s="8"/>
      <c r="I3325" s="8"/>
      <c r="J3325" s="8"/>
      <c r="K3325" s="8"/>
    </row>
    <row r="3326">
      <c r="A3326" s="8"/>
      <c r="B3326" s="8"/>
      <c r="C3326" s="8"/>
      <c r="D3326" s="8"/>
      <c r="E3326" s="8"/>
      <c r="F3326" s="8"/>
      <c r="G3326" s="8"/>
      <c r="H3326" s="8"/>
      <c r="I3326" s="8"/>
      <c r="J3326" s="8"/>
      <c r="K3326" s="8"/>
    </row>
    <row r="3327">
      <c r="A3327" s="8"/>
      <c r="B3327" s="8"/>
      <c r="C3327" s="8"/>
      <c r="D3327" s="8"/>
      <c r="E3327" s="8"/>
      <c r="F3327" s="8"/>
      <c r="G3327" s="8"/>
      <c r="H3327" s="8"/>
      <c r="I3327" s="8"/>
      <c r="J3327" s="8"/>
      <c r="K3327" s="8"/>
    </row>
    <row r="3328">
      <c r="A3328" s="8"/>
      <c r="B3328" s="8"/>
      <c r="C3328" s="8"/>
      <c r="D3328" s="8"/>
      <c r="E3328" s="8"/>
      <c r="F3328" s="8"/>
      <c r="G3328" s="8"/>
      <c r="H3328" s="8"/>
      <c r="I3328" s="8"/>
      <c r="J3328" s="8"/>
      <c r="K3328" s="8"/>
    </row>
    <row r="3329">
      <c r="A3329" s="8"/>
      <c r="B3329" s="8"/>
      <c r="C3329" s="8"/>
      <c r="D3329" s="8"/>
      <c r="E3329" s="8"/>
      <c r="F3329" s="8"/>
      <c r="G3329" s="8"/>
      <c r="H3329" s="8"/>
      <c r="I3329" s="8"/>
      <c r="J3329" s="8"/>
      <c r="K3329" s="8"/>
    </row>
    <row r="3330">
      <c r="A3330" s="8"/>
      <c r="B3330" s="8"/>
      <c r="C3330" s="8"/>
      <c r="D3330" s="8"/>
      <c r="E3330" s="8"/>
      <c r="F3330" s="8"/>
      <c r="G3330" s="8"/>
      <c r="H3330" s="8"/>
      <c r="I3330" s="8"/>
      <c r="J3330" s="8"/>
      <c r="K3330" s="8"/>
    </row>
    <row r="3331">
      <c r="A3331" s="8"/>
      <c r="B3331" s="8"/>
      <c r="C3331" s="8"/>
      <c r="D3331" s="8"/>
      <c r="E3331" s="8"/>
      <c r="F3331" s="8"/>
      <c r="G3331" s="8"/>
      <c r="H3331" s="8"/>
      <c r="I3331" s="8"/>
      <c r="J3331" s="8"/>
      <c r="K3331" s="8"/>
    </row>
    <row r="3332">
      <c r="A3332" s="8"/>
      <c r="B3332" s="8"/>
      <c r="C3332" s="8"/>
      <c r="D3332" s="8"/>
      <c r="E3332" s="8"/>
      <c r="F3332" s="8"/>
      <c r="G3332" s="8"/>
      <c r="H3332" s="8"/>
      <c r="I3332" s="8"/>
      <c r="J3332" s="8"/>
      <c r="K3332" s="8"/>
    </row>
    <row r="3333">
      <c r="A3333" s="8"/>
      <c r="B3333" s="8"/>
      <c r="C3333" s="8"/>
      <c r="D3333" s="8"/>
      <c r="E3333" s="8"/>
      <c r="F3333" s="8"/>
      <c r="G3333" s="8"/>
      <c r="H3333" s="8"/>
      <c r="I3333" s="8"/>
      <c r="J3333" s="8"/>
      <c r="K3333" s="8"/>
    </row>
    <row r="3334">
      <c r="A3334" s="8"/>
      <c r="B3334" s="8"/>
      <c r="C3334" s="8"/>
      <c r="D3334" s="8"/>
      <c r="E3334" s="8"/>
      <c r="F3334" s="8"/>
      <c r="G3334" s="8"/>
      <c r="H3334" s="8"/>
      <c r="I3334" s="8"/>
      <c r="J3334" s="8"/>
      <c r="K3334" s="8"/>
    </row>
    <row r="3335">
      <c r="A3335" s="8"/>
      <c r="B3335" s="8"/>
      <c r="C3335" s="8"/>
      <c r="D3335" s="8"/>
      <c r="E3335" s="8"/>
      <c r="F3335" s="8"/>
      <c r="G3335" s="8"/>
      <c r="H3335" s="8"/>
      <c r="I3335" s="8"/>
      <c r="J3335" s="8"/>
      <c r="K3335" s="8"/>
    </row>
    <row r="3336">
      <c r="A3336" s="8"/>
      <c r="B3336" s="8"/>
      <c r="C3336" s="8"/>
      <c r="D3336" s="8"/>
      <c r="E3336" s="8"/>
      <c r="F3336" s="8"/>
      <c r="G3336" s="8"/>
      <c r="H3336" s="8"/>
      <c r="I3336" s="8"/>
      <c r="J3336" s="8"/>
      <c r="K3336" s="8"/>
    </row>
    <row r="3337">
      <c r="A3337" s="8"/>
      <c r="B3337" s="8"/>
      <c r="C3337" s="8"/>
      <c r="D3337" s="8"/>
      <c r="E3337" s="8"/>
      <c r="F3337" s="8"/>
      <c r="G3337" s="8"/>
      <c r="H3337" s="8"/>
      <c r="I3337" s="8"/>
      <c r="J3337" s="8"/>
      <c r="K3337" s="8"/>
    </row>
    <row r="3338">
      <c r="A3338" s="8"/>
      <c r="B3338" s="8"/>
      <c r="C3338" s="8"/>
      <c r="D3338" s="8"/>
      <c r="E3338" s="8"/>
      <c r="F3338" s="8"/>
      <c r="G3338" s="8"/>
      <c r="H3338" s="8"/>
      <c r="I3338" s="8"/>
      <c r="J3338" s="8"/>
      <c r="K3338" s="8"/>
    </row>
    <row r="3339">
      <c r="A3339" s="8"/>
      <c r="B3339" s="8"/>
      <c r="C3339" s="8"/>
      <c r="D3339" s="8"/>
      <c r="E3339" s="8"/>
      <c r="F3339" s="8"/>
      <c r="G3339" s="8"/>
      <c r="H3339" s="8"/>
      <c r="I3339" s="8"/>
      <c r="J3339" s="8"/>
      <c r="K3339" s="8"/>
    </row>
    <row r="3340">
      <c r="A3340" s="8"/>
      <c r="B3340" s="8"/>
      <c r="C3340" s="8"/>
      <c r="D3340" s="8"/>
      <c r="E3340" s="8"/>
      <c r="F3340" s="8"/>
      <c r="G3340" s="8"/>
      <c r="H3340" s="8"/>
      <c r="I3340" s="8"/>
      <c r="J3340" s="8"/>
      <c r="K3340" s="8"/>
    </row>
    <row r="3341">
      <c r="A3341" s="8"/>
      <c r="B3341" s="8"/>
      <c r="C3341" s="8"/>
      <c r="D3341" s="8"/>
      <c r="E3341" s="8"/>
      <c r="F3341" s="8"/>
      <c r="G3341" s="8"/>
      <c r="H3341" s="8"/>
      <c r="I3341" s="8"/>
      <c r="J3341" s="8"/>
      <c r="K3341" s="8"/>
    </row>
    <row r="3342">
      <c r="A3342" s="8"/>
      <c r="B3342" s="8"/>
      <c r="C3342" s="8"/>
      <c r="D3342" s="8"/>
      <c r="E3342" s="8"/>
      <c r="F3342" s="8"/>
      <c r="G3342" s="8"/>
      <c r="H3342" s="8"/>
      <c r="I3342" s="8"/>
      <c r="J3342" s="8"/>
      <c r="K3342" s="8"/>
    </row>
    <row r="3343">
      <c r="A3343" s="8"/>
      <c r="B3343" s="8"/>
      <c r="C3343" s="8"/>
      <c r="D3343" s="8"/>
      <c r="E3343" s="8"/>
      <c r="F3343" s="8"/>
      <c r="G3343" s="8"/>
      <c r="H3343" s="8"/>
      <c r="I3343" s="8"/>
      <c r="J3343" s="8"/>
      <c r="K3343" s="8"/>
    </row>
    <row r="3344">
      <c r="A3344" s="8"/>
      <c r="B3344" s="8"/>
      <c r="C3344" s="8"/>
      <c r="D3344" s="8"/>
      <c r="E3344" s="8"/>
      <c r="F3344" s="8"/>
      <c r="G3344" s="8"/>
      <c r="H3344" s="8"/>
      <c r="I3344" s="8"/>
      <c r="J3344" s="8"/>
      <c r="K3344" s="8"/>
    </row>
    <row r="3345">
      <c r="A3345" s="8"/>
      <c r="B3345" s="8"/>
      <c r="C3345" s="8"/>
      <c r="D3345" s="8"/>
      <c r="E3345" s="8"/>
      <c r="F3345" s="8"/>
      <c r="G3345" s="8"/>
      <c r="H3345" s="8"/>
      <c r="I3345" s="8"/>
      <c r="J3345" s="8"/>
      <c r="K3345" s="8"/>
    </row>
    <row r="3346">
      <c r="A3346" s="8"/>
      <c r="B3346" s="8"/>
      <c r="C3346" s="8"/>
      <c r="D3346" s="8"/>
      <c r="E3346" s="8"/>
      <c r="F3346" s="8"/>
      <c r="G3346" s="8"/>
      <c r="H3346" s="8"/>
      <c r="I3346" s="8"/>
      <c r="J3346" s="8"/>
      <c r="K3346" s="8"/>
    </row>
    <row r="3347">
      <c r="A3347" s="8"/>
      <c r="B3347" s="8"/>
      <c r="C3347" s="8"/>
      <c r="D3347" s="8"/>
      <c r="E3347" s="8"/>
      <c r="F3347" s="8"/>
      <c r="G3347" s="8"/>
      <c r="H3347" s="8"/>
      <c r="I3347" s="8"/>
      <c r="J3347" s="8"/>
      <c r="K3347" s="8"/>
    </row>
    <row r="3348">
      <c r="A3348" s="8"/>
      <c r="B3348" s="8"/>
      <c r="C3348" s="8"/>
      <c r="D3348" s="8"/>
      <c r="E3348" s="8"/>
      <c r="F3348" s="8"/>
      <c r="G3348" s="8"/>
      <c r="H3348" s="8"/>
      <c r="I3348" s="8"/>
      <c r="J3348" s="8"/>
      <c r="K3348" s="8"/>
    </row>
    <row r="3349">
      <c r="A3349" s="8"/>
      <c r="B3349" s="8"/>
      <c r="C3349" s="8"/>
      <c r="D3349" s="8"/>
      <c r="E3349" s="8"/>
      <c r="F3349" s="8"/>
      <c r="G3349" s="8"/>
      <c r="H3349" s="8"/>
      <c r="I3349" s="8"/>
      <c r="J3349" s="8"/>
      <c r="K3349" s="8"/>
    </row>
    <row r="3350">
      <c r="A3350" s="8"/>
      <c r="B3350" s="8"/>
      <c r="C3350" s="8"/>
      <c r="D3350" s="8"/>
      <c r="E3350" s="8"/>
      <c r="F3350" s="8"/>
      <c r="G3350" s="8"/>
      <c r="H3350" s="8"/>
      <c r="I3350" s="8"/>
      <c r="J3350" s="8"/>
      <c r="K3350" s="8"/>
    </row>
    <row r="3351">
      <c r="A3351" s="8"/>
      <c r="B3351" s="8"/>
      <c r="C3351" s="8"/>
      <c r="D3351" s="8"/>
      <c r="E3351" s="8"/>
      <c r="F3351" s="8"/>
      <c r="G3351" s="8"/>
      <c r="H3351" s="8"/>
      <c r="I3351" s="8"/>
      <c r="J3351" s="8"/>
      <c r="K3351" s="8"/>
    </row>
    <row r="3352">
      <c r="A3352" s="8"/>
      <c r="B3352" s="8"/>
      <c r="C3352" s="8"/>
      <c r="D3352" s="8"/>
      <c r="E3352" s="8"/>
      <c r="F3352" s="8"/>
      <c r="G3352" s="8"/>
      <c r="H3352" s="8"/>
      <c r="I3352" s="8"/>
      <c r="J3352" s="8"/>
      <c r="K3352" s="8"/>
    </row>
    <row r="3353">
      <c r="A3353" s="8"/>
      <c r="B3353" s="8"/>
      <c r="C3353" s="8"/>
      <c r="D3353" s="8"/>
      <c r="E3353" s="8"/>
      <c r="F3353" s="8"/>
      <c r="G3353" s="8"/>
      <c r="H3353" s="8"/>
      <c r="I3353" s="8"/>
      <c r="J3353" s="8"/>
      <c r="K3353" s="8"/>
    </row>
    <row r="3354">
      <c r="A3354" s="8"/>
      <c r="B3354" s="8"/>
      <c r="C3354" s="8"/>
      <c r="D3354" s="8"/>
      <c r="E3354" s="8"/>
      <c r="F3354" s="8"/>
      <c r="G3354" s="8"/>
      <c r="H3354" s="8"/>
      <c r="I3354" s="8"/>
      <c r="J3354" s="8"/>
      <c r="K3354" s="8"/>
    </row>
    <row r="3355">
      <c r="A3355" s="8"/>
      <c r="B3355" s="8"/>
      <c r="C3355" s="8"/>
      <c r="D3355" s="8"/>
      <c r="E3355" s="8"/>
      <c r="F3355" s="8"/>
      <c r="G3355" s="8"/>
      <c r="H3355" s="8"/>
      <c r="I3355" s="8"/>
      <c r="J3355" s="8"/>
      <c r="K3355" s="8"/>
    </row>
    <row r="3356">
      <c r="A3356" s="8"/>
      <c r="B3356" s="8"/>
      <c r="C3356" s="8"/>
      <c r="D3356" s="8"/>
      <c r="E3356" s="8"/>
      <c r="F3356" s="8"/>
      <c r="G3356" s="8"/>
      <c r="H3356" s="8"/>
      <c r="I3356" s="8"/>
      <c r="J3356" s="8"/>
      <c r="K3356" s="8"/>
    </row>
    <row r="3357">
      <c r="A3357" s="8"/>
      <c r="B3357" s="8"/>
      <c r="C3357" s="8"/>
      <c r="D3357" s="8"/>
      <c r="E3357" s="8"/>
      <c r="F3357" s="8"/>
      <c r="G3357" s="8"/>
      <c r="H3357" s="8"/>
      <c r="I3357" s="8"/>
      <c r="J3357" s="8"/>
      <c r="K3357" s="8"/>
    </row>
    <row r="3358">
      <c r="A3358" s="8"/>
      <c r="B3358" s="8"/>
      <c r="C3358" s="8"/>
      <c r="D3358" s="8"/>
      <c r="E3358" s="8"/>
      <c r="F3358" s="8"/>
      <c r="G3358" s="8"/>
      <c r="H3358" s="8"/>
      <c r="I3358" s="8"/>
      <c r="J3358" s="8"/>
      <c r="K3358" s="8"/>
    </row>
    <row r="3359">
      <c r="A3359" s="8"/>
      <c r="B3359" s="8"/>
      <c r="C3359" s="8"/>
      <c r="D3359" s="8"/>
      <c r="E3359" s="8"/>
      <c r="F3359" s="8"/>
      <c r="G3359" s="8"/>
      <c r="H3359" s="8"/>
      <c r="I3359" s="8"/>
      <c r="J3359" s="8"/>
      <c r="K3359" s="8"/>
    </row>
    <row r="3360">
      <c r="A3360" s="8"/>
      <c r="B3360" s="8"/>
      <c r="C3360" s="8"/>
      <c r="D3360" s="8"/>
      <c r="E3360" s="8"/>
      <c r="F3360" s="8"/>
      <c r="G3360" s="8"/>
      <c r="H3360" s="8"/>
      <c r="I3360" s="8"/>
      <c r="J3360" s="8"/>
      <c r="K3360" s="8"/>
    </row>
    <row r="3361">
      <c r="A3361" s="8"/>
      <c r="B3361" s="8"/>
      <c r="C3361" s="8"/>
      <c r="D3361" s="8"/>
      <c r="E3361" s="8"/>
      <c r="F3361" s="8"/>
      <c r="G3361" s="8"/>
      <c r="H3361" s="8"/>
      <c r="I3361" s="8"/>
      <c r="J3361" s="8"/>
      <c r="K3361" s="8"/>
    </row>
    <row r="3362">
      <c r="A3362" s="8"/>
      <c r="B3362" s="8"/>
      <c r="C3362" s="8"/>
      <c r="D3362" s="8"/>
      <c r="E3362" s="8"/>
      <c r="F3362" s="8"/>
      <c r="G3362" s="8"/>
      <c r="H3362" s="8"/>
      <c r="I3362" s="8"/>
      <c r="J3362" s="8"/>
      <c r="K3362" s="8"/>
    </row>
    <row r="3363">
      <c r="A3363" s="8"/>
      <c r="B3363" s="8"/>
      <c r="C3363" s="8"/>
      <c r="D3363" s="8"/>
      <c r="E3363" s="8"/>
      <c r="F3363" s="8"/>
      <c r="G3363" s="8"/>
      <c r="H3363" s="8"/>
      <c r="I3363" s="8"/>
      <c r="J3363" s="8"/>
      <c r="K3363" s="8"/>
    </row>
    <row r="3364">
      <c r="A3364" s="8"/>
      <c r="B3364" s="8"/>
      <c r="C3364" s="8"/>
      <c r="D3364" s="8"/>
      <c r="E3364" s="8"/>
      <c r="F3364" s="8"/>
      <c r="G3364" s="8"/>
      <c r="H3364" s="8"/>
      <c r="I3364" s="8"/>
      <c r="J3364" s="8"/>
      <c r="K3364" s="8"/>
    </row>
    <row r="3365">
      <c r="A3365" s="8"/>
      <c r="B3365" s="8"/>
      <c r="C3365" s="8"/>
      <c r="D3365" s="8"/>
      <c r="E3365" s="8"/>
      <c r="F3365" s="8"/>
      <c r="G3365" s="8"/>
      <c r="H3365" s="8"/>
      <c r="I3365" s="8"/>
      <c r="J3365" s="8"/>
      <c r="K3365" s="8"/>
    </row>
    <row r="3366">
      <c r="A3366" s="8"/>
      <c r="B3366" s="8"/>
      <c r="C3366" s="8"/>
      <c r="D3366" s="8"/>
      <c r="E3366" s="8"/>
      <c r="F3366" s="8"/>
      <c r="G3366" s="8"/>
      <c r="H3366" s="8"/>
      <c r="I3366" s="8"/>
      <c r="J3366" s="8"/>
      <c r="K3366" s="8"/>
    </row>
    <row r="3367">
      <c r="A3367" s="8"/>
      <c r="B3367" s="8"/>
      <c r="C3367" s="8"/>
      <c r="D3367" s="8"/>
      <c r="E3367" s="8"/>
      <c r="F3367" s="8"/>
      <c r="G3367" s="8"/>
      <c r="H3367" s="8"/>
      <c r="I3367" s="8"/>
      <c r="J3367" s="8"/>
      <c r="K3367" s="8"/>
    </row>
    <row r="3368">
      <c r="A3368" s="8"/>
      <c r="B3368" s="8"/>
      <c r="C3368" s="8"/>
      <c r="D3368" s="8"/>
      <c r="E3368" s="8"/>
      <c r="F3368" s="8"/>
      <c r="G3368" s="8"/>
      <c r="H3368" s="8"/>
      <c r="I3368" s="8"/>
      <c r="J3368" s="8"/>
      <c r="K3368" s="8"/>
    </row>
    <row r="3369">
      <c r="A3369" s="8"/>
      <c r="B3369" s="8"/>
      <c r="C3369" s="8"/>
      <c r="D3369" s="8"/>
      <c r="E3369" s="8"/>
      <c r="F3369" s="8"/>
      <c r="G3369" s="8"/>
      <c r="H3369" s="8"/>
      <c r="I3369" s="8"/>
      <c r="J3369" s="8"/>
      <c r="K3369" s="8"/>
    </row>
    <row r="3370">
      <c r="A3370" s="8"/>
      <c r="B3370" s="8"/>
      <c r="C3370" s="8"/>
      <c r="D3370" s="8"/>
      <c r="E3370" s="8"/>
      <c r="F3370" s="8"/>
      <c r="G3370" s="8"/>
      <c r="H3370" s="8"/>
      <c r="I3370" s="8"/>
      <c r="J3370" s="8"/>
      <c r="K3370" s="8"/>
    </row>
    <row r="3371">
      <c r="A3371" s="8"/>
      <c r="B3371" s="8"/>
      <c r="C3371" s="8"/>
      <c r="D3371" s="8"/>
      <c r="E3371" s="8"/>
      <c r="F3371" s="8"/>
      <c r="G3371" s="8"/>
      <c r="H3371" s="8"/>
      <c r="I3371" s="8"/>
      <c r="J3371" s="8"/>
      <c r="K3371" s="8"/>
    </row>
    <row r="3372">
      <c r="A3372" s="8"/>
      <c r="B3372" s="8"/>
      <c r="C3372" s="8"/>
      <c r="D3372" s="8"/>
      <c r="E3372" s="8"/>
      <c r="F3372" s="8"/>
      <c r="G3372" s="8"/>
      <c r="H3372" s="8"/>
      <c r="I3372" s="8"/>
      <c r="J3372" s="8"/>
      <c r="K3372" s="8"/>
    </row>
    <row r="3373">
      <c r="A3373" s="8"/>
      <c r="B3373" s="8"/>
      <c r="C3373" s="8"/>
      <c r="D3373" s="8"/>
      <c r="E3373" s="8"/>
      <c r="F3373" s="8"/>
      <c r="G3373" s="8"/>
      <c r="H3373" s="8"/>
      <c r="I3373" s="8"/>
      <c r="J3373" s="8"/>
      <c r="K3373" s="8"/>
    </row>
    <row r="3374">
      <c r="A3374" s="8"/>
      <c r="B3374" s="8"/>
      <c r="C3374" s="8"/>
      <c r="D3374" s="8"/>
      <c r="E3374" s="8"/>
      <c r="F3374" s="8"/>
      <c r="G3374" s="8"/>
      <c r="H3374" s="8"/>
      <c r="I3374" s="8"/>
      <c r="J3374" s="8"/>
      <c r="K3374" s="8"/>
    </row>
    <row r="3375">
      <c r="A3375" s="8"/>
      <c r="B3375" s="8"/>
      <c r="C3375" s="8"/>
      <c r="D3375" s="8"/>
      <c r="E3375" s="8"/>
      <c r="F3375" s="8"/>
      <c r="G3375" s="8"/>
      <c r="H3375" s="8"/>
      <c r="I3375" s="8"/>
      <c r="J3375" s="8"/>
      <c r="K3375" s="8"/>
    </row>
    <row r="3376">
      <c r="A3376" s="8"/>
      <c r="B3376" s="8"/>
      <c r="C3376" s="8"/>
      <c r="D3376" s="8"/>
      <c r="E3376" s="8"/>
      <c r="F3376" s="8"/>
      <c r="G3376" s="8"/>
      <c r="H3376" s="8"/>
      <c r="I3376" s="8"/>
      <c r="J3376" s="8"/>
      <c r="K3376" s="8"/>
    </row>
    <row r="3377">
      <c r="A3377" s="8"/>
      <c r="B3377" s="8"/>
      <c r="C3377" s="8"/>
      <c r="D3377" s="8"/>
      <c r="E3377" s="8"/>
      <c r="F3377" s="8"/>
      <c r="G3377" s="8"/>
      <c r="H3377" s="8"/>
      <c r="I3377" s="8"/>
      <c r="J3377" s="8"/>
      <c r="K3377" s="8"/>
    </row>
    <row r="3378">
      <c r="A3378" s="8"/>
      <c r="B3378" s="8"/>
      <c r="C3378" s="8"/>
      <c r="D3378" s="8"/>
      <c r="E3378" s="8"/>
      <c r="F3378" s="8"/>
      <c r="G3378" s="8"/>
      <c r="H3378" s="8"/>
      <c r="I3378" s="8"/>
      <c r="J3378" s="8"/>
      <c r="K3378" s="8"/>
    </row>
    <row r="3379">
      <c r="A3379" s="8"/>
      <c r="B3379" s="8"/>
      <c r="C3379" s="8"/>
      <c r="D3379" s="8"/>
      <c r="E3379" s="8"/>
      <c r="F3379" s="8"/>
      <c r="G3379" s="8"/>
      <c r="H3379" s="8"/>
      <c r="I3379" s="8"/>
      <c r="J3379" s="8"/>
      <c r="K3379" s="8"/>
    </row>
    <row r="3380">
      <c r="A3380" s="8"/>
      <c r="B3380" s="8"/>
      <c r="C3380" s="8"/>
      <c r="D3380" s="8"/>
      <c r="E3380" s="8"/>
      <c r="F3380" s="8"/>
      <c r="G3380" s="8"/>
      <c r="H3380" s="8"/>
      <c r="I3380" s="8"/>
      <c r="J3380" s="8"/>
      <c r="K3380" s="8"/>
    </row>
    <row r="3381">
      <c r="A3381" s="8"/>
      <c r="B3381" s="8"/>
      <c r="C3381" s="8"/>
      <c r="D3381" s="8"/>
      <c r="E3381" s="8"/>
      <c r="F3381" s="8"/>
      <c r="G3381" s="8"/>
      <c r="H3381" s="8"/>
      <c r="I3381" s="8"/>
      <c r="J3381" s="8"/>
      <c r="K3381" s="8"/>
    </row>
    <row r="3382">
      <c r="A3382" s="8"/>
      <c r="B3382" s="8"/>
      <c r="C3382" s="8"/>
      <c r="D3382" s="8"/>
      <c r="E3382" s="8"/>
      <c r="F3382" s="8"/>
      <c r="G3382" s="8"/>
      <c r="H3382" s="8"/>
      <c r="I3382" s="8"/>
      <c r="J3382" s="8"/>
      <c r="K3382" s="8"/>
    </row>
    <row r="3383">
      <c r="A3383" s="8"/>
      <c r="B3383" s="8"/>
      <c r="C3383" s="8"/>
      <c r="D3383" s="8"/>
      <c r="E3383" s="8"/>
      <c r="F3383" s="8"/>
      <c r="G3383" s="8"/>
      <c r="H3383" s="8"/>
      <c r="I3383" s="8"/>
      <c r="J3383" s="8"/>
      <c r="K3383" s="8"/>
    </row>
    <row r="3384">
      <c r="A3384" s="8"/>
      <c r="B3384" s="8"/>
      <c r="C3384" s="8"/>
      <c r="D3384" s="8"/>
      <c r="E3384" s="8"/>
      <c r="F3384" s="8"/>
      <c r="G3384" s="8"/>
      <c r="H3384" s="8"/>
      <c r="I3384" s="8"/>
      <c r="J3384" s="8"/>
      <c r="K3384" s="8"/>
    </row>
    <row r="3385">
      <c r="A3385" s="8"/>
      <c r="B3385" s="8"/>
      <c r="C3385" s="8"/>
      <c r="D3385" s="8"/>
      <c r="E3385" s="8"/>
      <c r="F3385" s="8"/>
      <c r="G3385" s="8"/>
      <c r="H3385" s="8"/>
      <c r="I3385" s="8"/>
      <c r="J3385" s="8"/>
      <c r="K3385" s="8"/>
    </row>
    <row r="3386">
      <c r="A3386" s="8"/>
      <c r="B3386" s="8"/>
      <c r="C3386" s="8"/>
      <c r="D3386" s="8"/>
      <c r="E3386" s="8"/>
      <c r="F3386" s="8"/>
      <c r="G3386" s="8"/>
      <c r="H3386" s="8"/>
      <c r="I3386" s="8"/>
      <c r="J3386" s="8"/>
      <c r="K3386" s="8"/>
    </row>
    <row r="3387">
      <c r="A3387" s="8"/>
      <c r="B3387" s="8"/>
      <c r="C3387" s="8"/>
      <c r="D3387" s="8"/>
      <c r="E3387" s="8"/>
      <c r="F3387" s="8"/>
      <c r="G3387" s="8"/>
      <c r="H3387" s="8"/>
      <c r="I3387" s="8"/>
      <c r="J3387" s="8"/>
      <c r="K3387" s="8"/>
    </row>
    <row r="3388">
      <c r="A3388" s="8"/>
      <c r="B3388" s="8"/>
      <c r="C3388" s="8"/>
      <c r="D3388" s="8"/>
      <c r="E3388" s="8"/>
      <c r="F3388" s="8"/>
      <c r="G3388" s="8"/>
      <c r="H3388" s="8"/>
      <c r="I3388" s="8"/>
      <c r="J3388" s="8"/>
      <c r="K3388" s="8"/>
    </row>
    <row r="3389">
      <c r="A3389" s="8"/>
      <c r="B3389" s="8"/>
      <c r="C3389" s="8"/>
      <c r="D3389" s="8"/>
      <c r="E3389" s="8"/>
      <c r="F3389" s="8"/>
      <c r="G3389" s="8"/>
      <c r="H3389" s="8"/>
      <c r="I3389" s="8"/>
      <c r="J3389" s="8"/>
      <c r="K3389" s="8"/>
    </row>
    <row r="3390">
      <c r="A3390" s="8"/>
      <c r="B3390" s="8"/>
      <c r="C3390" s="8"/>
      <c r="D3390" s="8"/>
      <c r="E3390" s="8"/>
      <c r="F3390" s="8"/>
      <c r="G3390" s="8"/>
      <c r="H3390" s="8"/>
      <c r="I3390" s="8"/>
      <c r="J3390" s="8"/>
      <c r="K3390" s="8"/>
    </row>
    <row r="3391">
      <c r="A3391" s="8"/>
      <c r="B3391" s="8"/>
      <c r="C3391" s="8"/>
      <c r="D3391" s="8"/>
      <c r="E3391" s="8"/>
      <c r="F3391" s="8"/>
      <c r="G3391" s="8"/>
      <c r="H3391" s="8"/>
      <c r="I3391" s="8"/>
      <c r="J3391" s="8"/>
      <c r="K3391" s="8"/>
    </row>
    <row r="3392">
      <c r="A3392" s="8"/>
      <c r="B3392" s="8"/>
      <c r="C3392" s="8"/>
      <c r="D3392" s="8"/>
      <c r="E3392" s="8"/>
      <c r="F3392" s="8"/>
      <c r="G3392" s="8"/>
      <c r="H3392" s="8"/>
      <c r="I3392" s="8"/>
      <c r="J3392" s="8"/>
      <c r="K3392" s="8"/>
    </row>
    <row r="3393">
      <c r="A3393" s="8"/>
      <c r="B3393" s="8"/>
      <c r="C3393" s="8"/>
      <c r="D3393" s="8"/>
      <c r="E3393" s="8"/>
      <c r="F3393" s="8"/>
      <c r="G3393" s="8"/>
      <c r="H3393" s="8"/>
      <c r="I3393" s="8"/>
      <c r="J3393" s="8"/>
      <c r="K3393" s="8"/>
    </row>
    <row r="3394">
      <c r="A3394" s="8"/>
      <c r="B3394" s="8"/>
      <c r="C3394" s="8"/>
      <c r="D3394" s="8"/>
      <c r="E3394" s="8"/>
      <c r="F3394" s="8"/>
      <c r="G3394" s="8"/>
      <c r="H3394" s="8"/>
      <c r="I3394" s="8"/>
      <c r="J3394" s="8"/>
      <c r="K3394" s="8"/>
    </row>
    <row r="3395">
      <c r="A3395" s="8"/>
      <c r="B3395" s="8"/>
      <c r="C3395" s="8"/>
      <c r="D3395" s="8"/>
      <c r="E3395" s="8"/>
      <c r="F3395" s="8"/>
      <c r="G3395" s="8"/>
      <c r="H3395" s="8"/>
      <c r="I3395" s="8"/>
      <c r="J3395" s="8"/>
      <c r="K3395" s="8"/>
    </row>
    <row r="3396">
      <c r="A3396" s="8"/>
      <c r="B3396" s="8"/>
      <c r="C3396" s="8"/>
      <c r="D3396" s="8"/>
      <c r="E3396" s="8"/>
      <c r="F3396" s="8"/>
      <c r="G3396" s="8"/>
      <c r="H3396" s="8"/>
      <c r="I3396" s="8"/>
      <c r="J3396" s="8"/>
      <c r="K3396" s="8"/>
    </row>
    <row r="3397">
      <c r="A3397" s="8"/>
      <c r="B3397" s="8"/>
      <c r="C3397" s="8"/>
      <c r="D3397" s="8"/>
      <c r="E3397" s="8"/>
      <c r="F3397" s="8"/>
      <c r="G3397" s="8"/>
      <c r="H3397" s="8"/>
      <c r="I3397" s="8"/>
      <c r="J3397" s="8"/>
      <c r="K3397" s="8"/>
    </row>
    <row r="3398">
      <c r="A3398" s="8"/>
      <c r="B3398" s="8"/>
      <c r="C3398" s="8"/>
      <c r="D3398" s="8"/>
      <c r="E3398" s="8"/>
      <c r="F3398" s="8"/>
      <c r="G3398" s="8"/>
      <c r="H3398" s="8"/>
      <c r="I3398" s="8"/>
      <c r="J3398" s="8"/>
      <c r="K3398" s="8"/>
    </row>
    <row r="3399">
      <c r="A3399" s="8"/>
      <c r="B3399" s="8"/>
      <c r="C3399" s="8"/>
      <c r="D3399" s="8"/>
      <c r="E3399" s="8"/>
      <c r="F3399" s="8"/>
      <c r="G3399" s="8"/>
      <c r="H3399" s="8"/>
      <c r="I3399" s="8"/>
      <c r="J3399" s="8"/>
      <c r="K3399" s="8"/>
    </row>
    <row r="3400">
      <c r="A3400" s="8"/>
      <c r="B3400" s="8"/>
      <c r="C3400" s="8"/>
      <c r="D3400" s="8"/>
      <c r="E3400" s="8"/>
      <c r="F3400" s="8"/>
      <c r="G3400" s="8"/>
      <c r="H3400" s="8"/>
      <c r="I3400" s="8"/>
      <c r="J3400" s="8"/>
      <c r="K3400" s="8"/>
    </row>
    <row r="3401">
      <c r="A3401" s="8"/>
      <c r="B3401" s="8"/>
      <c r="C3401" s="8"/>
      <c r="D3401" s="8"/>
      <c r="E3401" s="8"/>
      <c r="F3401" s="8"/>
      <c r="G3401" s="8"/>
      <c r="H3401" s="8"/>
      <c r="I3401" s="8"/>
      <c r="J3401" s="8"/>
      <c r="K3401" s="8"/>
    </row>
    <row r="3402">
      <c r="A3402" s="8"/>
      <c r="B3402" s="8"/>
      <c r="C3402" s="8"/>
      <c r="D3402" s="8"/>
      <c r="E3402" s="8"/>
      <c r="F3402" s="8"/>
      <c r="G3402" s="8"/>
      <c r="H3402" s="8"/>
      <c r="I3402" s="8"/>
      <c r="J3402" s="8"/>
      <c r="K3402" s="8"/>
    </row>
    <row r="3403">
      <c r="A3403" s="8"/>
      <c r="B3403" s="8"/>
      <c r="C3403" s="8"/>
      <c r="D3403" s="8"/>
      <c r="E3403" s="8"/>
      <c r="F3403" s="8"/>
      <c r="G3403" s="8"/>
      <c r="H3403" s="8"/>
      <c r="I3403" s="8"/>
      <c r="J3403" s="8"/>
      <c r="K3403" s="8"/>
    </row>
    <row r="3404">
      <c r="A3404" s="8"/>
      <c r="B3404" s="8"/>
      <c r="C3404" s="8"/>
      <c r="D3404" s="8"/>
      <c r="E3404" s="8"/>
      <c r="F3404" s="8"/>
      <c r="G3404" s="8"/>
      <c r="H3404" s="8"/>
      <c r="I3404" s="8"/>
      <c r="J3404" s="8"/>
      <c r="K3404" s="8"/>
    </row>
    <row r="3405">
      <c r="A3405" s="8"/>
      <c r="B3405" s="8"/>
      <c r="C3405" s="8"/>
      <c r="D3405" s="8"/>
      <c r="E3405" s="8"/>
      <c r="F3405" s="8"/>
      <c r="G3405" s="8"/>
      <c r="H3405" s="8"/>
      <c r="I3405" s="8"/>
      <c r="J3405" s="8"/>
      <c r="K3405" s="8"/>
    </row>
    <row r="3406">
      <c r="A3406" s="8"/>
      <c r="B3406" s="8"/>
      <c r="C3406" s="8"/>
      <c r="D3406" s="8"/>
      <c r="E3406" s="8"/>
      <c r="F3406" s="8"/>
      <c r="G3406" s="8"/>
      <c r="H3406" s="8"/>
      <c r="I3406" s="8"/>
      <c r="J3406" s="8"/>
      <c r="K3406" s="8"/>
    </row>
    <row r="3407">
      <c r="A3407" s="8"/>
      <c r="B3407" s="8"/>
      <c r="C3407" s="8"/>
      <c r="D3407" s="8"/>
      <c r="E3407" s="8"/>
      <c r="F3407" s="8"/>
      <c r="G3407" s="8"/>
      <c r="H3407" s="8"/>
      <c r="I3407" s="8"/>
      <c r="J3407" s="8"/>
      <c r="K3407" s="8"/>
    </row>
    <row r="3408">
      <c r="A3408" s="8"/>
      <c r="B3408" s="8"/>
      <c r="C3408" s="8"/>
      <c r="D3408" s="8"/>
      <c r="E3408" s="8"/>
      <c r="F3408" s="8"/>
      <c r="G3408" s="8"/>
      <c r="H3408" s="8"/>
      <c r="I3408" s="8"/>
      <c r="J3408" s="8"/>
      <c r="K3408" s="8"/>
    </row>
    <row r="3409">
      <c r="A3409" s="8"/>
      <c r="B3409" s="8"/>
      <c r="C3409" s="8"/>
      <c r="D3409" s="8"/>
      <c r="E3409" s="8"/>
      <c r="F3409" s="8"/>
      <c r="G3409" s="8"/>
      <c r="H3409" s="8"/>
      <c r="I3409" s="8"/>
      <c r="J3409" s="8"/>
      <c r="K3409" s="8"/>
    </row>
    <row r="3410">
      <c r="A3410" s="8"/>
      <c r="B3410" s="8"/>
      <c r="C3410" s="8"/>
      <c r="D3410" s="8"/>
      <c r="E3410" s="8"/>
      <c r="F3410" s="8"/>
      <c r="G3410" s="8"/>
      <c r="H3410" s="8"/>
      <c r="I3410" s="8"/>
      <c r="J3410" s="8"/>
      <c r="K3410" s="8"/>
    </row>
    <row r="3411">
      <c r="A3411" s="8"/>
      <c r="B3411" s="8"/>
      <c r="C3411" s="8"/>
      <c r="D3411" s="8"/>
      <c r="E3411" s="8"/>
      <c r="F3411" s="8"/>
      <c r="G3411" s="8"/>
      <c r="H3411" s="8"/>
      <c r="I3411" s="8"/>
      <c r="J3411" s="8"/>
      <c r="K3411" s="8"/>
    </row>
    <row r="3412">
      <c r="A3412" s="8"/>
      <c r="B3412" s="8"/>
      <c r="C3412" s="8"/>
      <c r="D3412" s="8"/>
      <c r="E3412" s="8"/>
      <c r="F3412" s="8"/>
      <c r="G3412" s="8"/>
      <c r="H3412" s="8"/>
      <c r="I3412" s="8"/>
      <c r="J3412" s="8"/>
      <c r="K3412" s="8"/>
    </row>
    <row r="3413">
      <c r="A3413" s="8"/>
      <c r="B3413" s="8"/>
      <c r="C3413" s="8"/>
      <c r="D3413" s="8"/>
      <c r="E3413" s="8"/>
      <c r="F3413" s="8"/>
      <c r="G3413" s="8"/>
      <c r="H3413" s="8"/>
      <c r="I3413" s="8"/>
      <c r="J3413" s="8"/>
      <c r="K3413" s="8"/>
    </row>
    <row r="3414">
      <c r="A3414" s="8"/>
      <c r="B3414" s="8"/>
      <c r="C3414" s="8"/>
      <c r="D3414" s="8"/>
      <c r="E3414" s="8"/>
      <c r="F3414" s="8"/>
      <c r="G3414" s="8"/>
      <c r="H3414" s="8"/>
      <c r="I3414" s="8"/>
      <c r="J3414" s="8"/>
      <c r="K3414" s="8"/>
    </row>
    <row r="3415">
      <c r="A3415" s="8"/>
      <c r="B3415" s="8"/>
      <c r="C3415" s="8"/>
      <c r="D3415" s="8"/>
      <c r="E3415" s="8"/>
      <c r="F3415" s="8"/>
      <c r="G3415" s="8"/>
      <c r="H3415" s="8"/>
      <c r="I3415" s="8"/>
      <c r="J3415" s="8"/>
      <c r="K3415" s="8"/>
    </row>
    <row r="3416">
      <c r="A3416" s="8"/>
      <c r="B3416" s="8"/>
      <c r="C3416" s="8"/>
      <c r="D3416" s="8"/>
      <c r="E3416" s="8"/>
      <c r="F3416" s="8"/>
      <c r="G3416" s="8"/>
      <c r="H3416" s="8"/>
      <c r="I3416" s="8"/>
      <c r="J3416" s="8"/>
      <c r="K3416" s="8"/>
    </row>
    <row r="3417">
      <c r="A3417" s="8"/>
      <c r="B3417" s="8"/>
      <c r="C3417" s="8"/>
      <c r="D3417" s="8"/>
      <c r="E3417" s="8"/>
      <c r="F3417" s="8"/>
      <c r="G3417" s="8"/>
      <c r="H3417" s="8"/>
      <c r="I3417" s="8"/>
      <c r="J3417" s="8"/>
      <c r="K3417" s="8"/>
    </row>
    <row r="3418">
      <c r="A3418" s="8"/>
      <c r="B3418" s="8"/>
      <c r="C3418" s="8"/>
      <c r="D3418" s="8"/>
      <c r="E3418" s="8"/>
      <c r="F3418" s="8"/>
      <c r="G3418" s="8"/>
      <c r="H3418" s="8"/>
      <c r="I3418" s="8"/>
      <c r="J3418" s="8"/>
      <c r="K3418" s="8"/>
    </row>
    <row r="3419">
      <c r="A3419" s="8"/>
      <c r="B3419" s="8"/>
      <c r="C3419" s="8"/>
      <c r="D3419" s="8"/>
      <c r="E3419" s="8"/>
      <c r="F3419" s="8"/>
      <c r="G3419" s="8"/>
      <c r="H3419" s="8"/>
      <c r="I3419" s="8"/>
      <c r="J3419" s="8"/>
      <c r="K3419" s="8"/>
    </row>
    <row r="3420">
      <c r="A3420" s="8"/>
      <c r="B3420" s="8"/>
      <c r="C3420" s="8"/>
      <c r="D3420" s="8"/>
      <c r="E3420" s="8"/>
      <c r="F3420" s="8"/>
      <c r="G3420" s="8"/>
      <c r="H3420" s="8"/>
      <c r="I3420" s="8"/>
      <c r="J3420" s="8"/>
      <c r="K3420" s="8"/>
    </row>
    <row r="3421">
      <c r="A3421" s="8"/>
      <c r="B3421" s="8"/>
      <c r="C3421" s="8"/>
      <c r="D3421" s="8"/>
      <c r="E3421" s="8"/>
      <c r="F3421" s="8"/>
      <c r="G3421" s="8"/>
      <c r="H3421" s="8"/>
      <c r="I3421" s="8"/>
      <c r="J3421" s="8"/>
      <c r="K3421" s="8"/>
    </row>
    <row r="3422">
      <c r="A3422" s="8"/>
      <c r="B3422" s="8"/>
      <c r="C3422" s="8"/>
      <c r="D3422" s="8"/>
      <c r="E3422" s="8"/>
      <c r="F3422" s="8"/>
      <c r="G3422" s="8"/>
      <c r="H3422" s="8"/>
      <c r="I3422" s="8"/>
      <c r="J3422" s="8"/>
      <c r="K3422" s="8"/>
    </row>
    <row r="3423">
      <c r="A3423" s="8"/>
      <c r="B3423" s="8"/>
      <c r="C3423" s="8"/>
      <c r="D3423" s="8"/>
      <c r="E3423" s="8"/>
      <c r="F3423" s="8"/>
      <c r="G3423" s="8"/>
      <c r="H3423" s="8"/>
      <c r="I3423" s="8"/>
      <c r="J3423" s="8"/>
      <c r="K3423" s="8"/>
    </row>
    <row r="3424">
      <c r="A3424" s="8"/>
      <c r="B3424" s="8"/>
      <c r="C3424" s="8"/>
      <c r="D3424" s="8"/>
      <c r="E3424" s="8"/>
      <c r="F3424" s="8"/>
      <c r="G3424" s="8"/>
      <c r="H3424" s="8"/>
      <c r="I3424" s="8"/>
      <c r="J3424" s="8"/>
      <c r="K3424" s="8"/>
    </row>
    <row r="3425">
      <c r="A3425" s="8"/>
      <c r="B3425" s="8"/>
      <c r="C3425" s="8"/>
      <c r="D3425" s="8"/>
      <c r="E3425" s="8"/>
      <c r="F3425" s="8"/>
      <c r="G3425" s="8"/>
      <c r="H3425" s="8"/>
      <c r="I3425" s="8"/>
      <c r="J3425" s="8"/>
      <c r="K3425" s="8"/>
    </row>
    <row r="3426">
      <c r="A3426" s="8"/>
      <c r="B3426" s="8"/>
      <c r="C3426" s="8"/>
      <c r="D3426" s="8"/>
      <c r="E3426" s="8"/>
      <c r="F3426" s="8"/>
      <c r="G3426" s="8"/>
      <c r="H3426" s="8"/>
      <c r="I3426" s="8"/>
      <c r="J3426" s="8"/>
      <c r="K3426" s="8"/>
    </row>
    <row r="3427">
      <c r="A3427" s="8"/>
      <c r="B3427" s="8"/>
      <c r="C3427" s="8"/>
      <c r="D3427" s="8"/>
      <c r="E3427" s="8"/>
      <c r="F3427" s="8"/>
      <c r="G3427" s="8"/>
      <c r="H3427" s="8"/>
      <c r="I3427" s="8"/>
      <c r="J3427" s="8"/>
      <c r="K3427" s="8"/>
    </row>
    <row r="3428">
      <c r="A3428" s="8"/>
      <c r="B3428" s="8"/>
      <c r="C3428" s="8"/>
      <c r="D3428" s="8"/>
      <c r="E3428" s="8"/>
      <c r="F3428" s="8"/>
      <c r="G3428" s="8"/>
      <c r="H3428" s="8"/>
      <c r="I3428" s="8"/>
      <c r="J3428" s="8"/>
      <c r="K3428" s="8"/>
    </row>
    <row r="3429">
      <c r="A3429" s="8"/>
      <c r="B3429" s="8"/>
      <c r="C3429" s="8"/>
      <c r="D3429" s="8"/>
      <c r="E3429" s="8"/>
      <c r="F3429" s="8"/>
      <c r="G3429" s="8"/>
      <c r="H3429" s="8"/>
      <c r="I3429" s="8"/>
      <c r="J3429" s="8"/>
      <c r="K3429" s="8"/>
    </row>
    <row r="3430">
      <c r="A3430" s="8"/>
      <c r="B3430" s="8"/>
      <c r="C3430" s="8"/>
      <c r="D3430" s="8"/>
      <c r="E3430" s="8"/>
      <c r="F3430" s="8"/>
      <c r="G3430" s="8"/>
      <c r="H3430" s="8"/>
      <c r="I3430" s="8"/>
      <c r="J3430" s="8"/>
      <c r="K3430" s="8"/>
    </row>
    <row r="3431">
      <c r="A3431" s="8"/>
      <c r="B3431" s="8"/>
      <c r="C3431" s="8"/>
      <c r="D3431" s="8"/>
      <c r="E3431" s="8"/>
      <c r="F3431" s="8"/>
      <c r="G3431" s="8"/>
      <c r="H3431" s="8"/>
      <c r="I3431" s="8"/>
      <c r="J3431" s="8"/>
      <c r="K3431" s="8"/>
    </row>
    <row r="3432">
      <c r="A3432" s="8"/>
      <c r="B3432" s="8"/>
      <c r="C3432" s="8"/>
      <c r="D3432" s="8"/>
      <c r="E3432" s="8"/>
      <c r="F3432" s="8"/>
      <c r="G3432" s="8"/>
      <c r="H3432" s="8"/>
      <c r="I3432" s="8"/>
      <c r="J3432" s="8"/>
      <c r="K3432" s="8"/>
    </row>
    <row r="3433">
      <c r="A3433" s="8"/>
      <c r="B3433" s="8"/>
      <c r="C3433" s="8"/>
      <c r="D3433" s="8"/>
      <c r="E3433" s="8"/>
      <c r="F3433" s="8"/>
      <c r="G3433" s="8"/>
      <c r="H3433" s="8"/>
      <c r="I3433" s="8"/>
      <c r="J3433" s="8"/>
      <c r="K3433" s="8"/>
    </row>
    <row r="3434">
      <c r="A3434" s="8"/>
      <c r="B3434" s="8"/>
      <c r="C3434" s="8"/>
      <c r="D3434" s="8"/>
      <c r="E3434" s="8"/>
      <c r="F3434" s="8"/>
      <c r="G3434" s="8"/>
      <c r="H3434" s="8"/>
      <c r="I3434" s="8"/>
      <c r="J3434" s="8"/>
      <c r="K3434" s="8"/>
    </row>
    <row r="3435">
      <c r="A3435" s="8"/>
      <c r="B3435" s="8"/>
      <c r="C3435" s="8"/>
      <c r="D3435" s="8"/>
      <c r="E3435" s="8"/>
      <c r="F3435" s="8"/>
      <c r="G3435" s="8"/>
      <c r="H3435" s="8"/>
      <c r="I3435" s="8"/>
      <c r="J3435" s="8"/>
      <c r="K3435" s="8"/>
    </row>
    <row r="3436">
      <c r="A3436" s="8"/>
      <c r="B3436" s="8"/>
      <c r="C3436" s="8"/>
      <c r="D3436" s="8"/>
      <c r="E3436" s="8"/>
      <c r="F3436" s="8"/>
      <c r="G3436" s="8"/>
      <c r="H3436" s="8"/>
      <c r="I3436" s="8"/>
      <c r="J3436" s="8"/>
      <c r="K3436" s="8"/>
    </row>
    <row r="3437">
      <c r="A3437" s="8"/>
      <c r="B3437" s="8"/>
      <c r="C3437" s="8"/>
      <c r="D3437" s="8"/>
      <c r="E3437" s="8"/>
      <c r="F3437" s="8"/>
      <c r="G3437" s="8"/>
      <c r="H3437" s="8"/>
      <c r="I3437" s="8"/>
      <c r="J3437" s="8"/>
      <c r="K3437" s="8"/>
    </row>
    <row r="3438">
      <c r="A3438" s="8"/>
      <c r="B3438" s="8"/>
      <c r="C3438" s="8"/>
      <c r="D3438" s="8"/>
      <c r="E3438" s="8"/>
      <c r="F3438" s="8"/>
      <c r="G3438" s="8"/>
      <c r="H3438" s="8"/>
      <c r="I3438" s="8"/>
      <c r="J3438" s="8"/>
      <c r="K3438" s="8"/>
    </row>
    <row r="3439">
      <c r="A3439" s="8"/>
      <c r="B3439" s="8"/>
      <c r="C3439" s="8"/>
      <c r="D3439" s="8"/>
      <c r="E3439" s="8"/>
      <c r="F3439" s="8"/>
      <c r="G3439" s="8"/>
      <c r="H3439" s="8"/>
      <c r="I3439" s="8"/>
      <c r="J3439" s="8"/>
      <c r="K3439" s="8"/>
    </row>
    <row r="3440">
      <c r="A3440" s="8"/>
      <c r="B3440" s="8"/>
      <c r="C3440" s="8"/>
      <c r="D3440" s="8"/>
      <c r="E3440" s="8"/>
      <c r="F3440" s="8"/>
      <c r="G3440" s="8"/>
      <c r="H3440" s="8"/>
      <c r="I3440" s="8"/>
      <c r="J3440" s="8"/>
      <c r="K3440" s="8"/>
    </row>
    <row r="3441">
      <c r="A3441" s="8"/>
      <c r="B3441" s="8"/>
      <c r="C3441" s="8"/>
      <c r="D3441" s="8"/>
      <c r="E3441" s="8"/>
      <c r="F3441" s="8"/>
      <c r="G3441" s="8"/>
      <c r="H3441" s="8"/>
      <c r="I3441" s="8"/>
      <c r="J3441" s="8"/>
      <c r="K3441" s="8"/>
    </row>
    <row r="3442">
      <c r="A3442" s="8"/>
      <c r="B3442" s="8"/>
      <c r="C3442" s="8"/>
      <c r="D3442" s="8"/>
      <c r="E3442" s="8"/>
      <c r="F3442" s="8"/>
      <c r="G3442" s="8"/>
      <c r="H3442" s="8"/>
      <c r="I3442" s="8"/>
      <c r="J3442" s="8"/>
      <c r="K3442" s="8"/>
    </row>
    <row r="3443">
      <c r="A3443" s="8"/>
      <c r="B3443" s="8"/>
      <c r="C3443" s="8"/>
      <c r="D3443" s="8"/>
      <c r="E3443" s="8"/>
      <c r="F3443" s="8"/>
      <c r="G3443" s="8"/>
      <c r="H3443" s="8"/>
      <c r="I3443" s="8"/>
      <c r="J3443" s="8"/>
      <c r="K3443" s="8"/>
    </row>
    <row r="3444">
      <c r="A3444" s="8"/>
      <c r="B3444" s="8"/>
      <c r="C3444" s="8"/>
      <c r="D3444" s="8"/>
      <c r="E3444" s="8"/>
      <c r="F3444" s="8"/>
      <c r="G3444" s="8"/>
      <c r="H3444" s="8"/>
      <c r="I3444" s="8"/>
      <c r="J3444" s="8"/>
      <c r="K3444" s="8"/>
    </row>
    <row r="3445">
      <c r="A3445" s="8"/>
      <c r="B3445" s="8"/>
      <c r="C3445" s="8"/>
      <c r="D3445" s="8"/>
      <c r="E3445" s="8"/>
      <c r="F3445" s="8"/>
      <c r="G3445" s="8"/>
      <c r="H3445" s="8"/>
      <c r="I3445" s="8"/>
      <c r="J3445" s="8"/>
      <c r="K3445" s="8"/>
    </row>
    <row r="3446">
      <c r="A3446" s="8"/>
      <c r="B3446" s="8"/>
      <c r="C3446" s="8"/>
      <c r="D3446" s="8"/>
      <c r="E3446" s="8"/>
      <c r="F3446" s="8"/>
      <c r="G3446" s="8"/>
      <c r="H3446" s="8"/>
      <c r="I3446" s="8"/>
      <c r="J3446" s="8"/>
      <c r="K3446" s="8"/>
    </row>
    <row r="3447">
      <c r="A3447" s="8"/>
      <c r="B3447" s="8"/>
      <c r="C3447" s="8"/>
      <c r="D3447" s="8"/>
      <c r="E3447" s="8"/>
      <c r="F3447" s="8"/>
      <c r="G3447" s="8"/>
      <c r="H3447" s="8"/>
      <c r="I3447" s="8"/>
      <c r="J3447" s="8"/>
      <c r="K3447" s="8"/>
    </row>
    <row r="3448">
      <c r="A3448" s="8"/>
      <c r="B3448" s="8"/>
      <c r="C3448" s="8"/>
      <c r="D3448" s="8"/>
      <c r="E3448" s="8"/>
      <c r="F3448" s="8"/>
      <c r="G3448" s="8"/>
      <c r="H3448" s="8"/>
      <c r="I3448" s="8"/>
      <c r="J3448" s="8"/>
      <c r="K3448" s="8"/>
    </row>
    <row r="3449">
      <c r="A3449" s="8"/>
      <c r="B3449" s="8"/>
      <c r="C3449" s="8"/>
      <c r="D3449" s="8"/>
      <c r="E3449" s="8"/>
      <c r="F3449" s="8"/>
      <c r="G3449" s="8"/>
      <c r="H3449" s="8"/>
      <c r="I3449" s="8"/>
      <c r="J3449" s="8"/>
      <c r="K3449" s="8"/>
    </row>
    <row r="3450">
      <c r="A3450" s="8"/>
      <c r="B3450" s="8"/>
      <c r="C3450" s="8"/>
      <c r="D3450" s="8"/>
      <c r="E3450" s="8"/>
      <c r="F3450" s="8"/>
      <c r="G3450" s="8"/>
      <c r="H3450" s="8"/>
      <c r="I3450" s="8"/>
      <c r="J3450" s="8"/>
      <c r="K3450" s="8"/>
    </row>
    <row r="3451">
      <c r="A3451" s="8"/>
      <c r="B3451" s="8"/>
      <c r="C3451" s="8"/>
      <c r="D3451" s="8"/>
      <c r="E3451" s="8"/>
      <c r="F3451" s="8"/>
      <c r="G3451" s="8"/>
      <c r="H3451" s="8"/>
      <c r="I3451" s="8"/>
      <c r="J3451" s="8"/>
      <c r="K3451" s="8"/>
    </row>
    <row r="3452">
      <c r="A3452" s="8"/>
      <c r="B3452" s="8"/>
      <c r="C3452" s="8"/>
      <c r="D3452" s="8"/>
      <c r="E3452" s="8"/>
      <c r="F3452" s="8"/>
      <c r="G3452" s="8"/>
      <c r="H3452" s="8"/>
      <c r="I3452" s="8"/>
      <c r="J3452" s="8"/>
      <c r="K3452" s="8"/>
    </row>
    <row r="3453">
      <c r="A3453" s="8"/>
      <c r="B3453" s="8"/>
      <c r="C3453" s="8"/>
      <c r="D3453" s="8"/>
      <c r="E3453" s="8"/>
      <c r="F3453" s="8"/>
      <c r="G3453" s="8"/>
      <c r="H3453" s="8"/>
      <c r="I3453" s="8"/>
      <c r="J3453" s="8"/>
      <c r="K3453" s="8"/>
    </row>
    <row r="3454">
      <c r="A3454" s="8"/>
      <c r="B3454" s="8"/>
      <c r="C3454" s="8"/>
      <c r="D3454" s="8"/>
      <c r="E3454" s="8"/>
      <c r="F3454" s="8"/>
      <c r="G3454" s="8"/>
      <c r="H3454" s="8"/>
      <c r="I3454" s="8"/>
      <c r="J3454" s="8"/>
      <c r="K3454" s="8"/>
    </row>
    <row r="3455">
      <c r="A3455" s="8"/>
      <c r="B3455" s="8"/>
      <c r="C3455" s="8"/>
      <c r="D3455" s="8"/>
      <c r="E3455" s="8"/>
      <c r="F3455" s="8"/>
      <c r="G3455" s="8"/>
      <c r="H3455" s="8"/>
      <c r="I3455" s="8"/>
      <c r="J3455" s="8"/>
      <c r="K3455" s="8"/>
    </row>
    <row r="3456">
      <c r="A3456" s="8"/>
      <c r="B3456" s="8"/>
      <c r="C3456" s="8"/>
      <c r="D3456" s="8"/>
      <c r="E3456" s="8"/>
      <c r="F3456" s="8"/>
      <c r="G3456" s="8"/>
      <c r="H3456" s="8"/>
      <c r="I3456" s="8"/>
      <c r="J3456" s="8"/>
      <c r="K3456" s="8"/>
    </row>
    <row r="3457">
      <c r="A3457" s="8"/>
      <c r="B3457" s="8"/>
      <c r="C3457" s="8"/>
      <c r="D3457" s="8"/>
      <c r="E3457" s="8"/>
      <c r="F3457" s="8"/>
      <c r="G3457" s="8"/>
      <c r="H3457" s="8"/>
      <c r="I3457" s="8"/>
      <c r="J3457" s="8"/>
      <c r="K3457" s="8"/>
    </row>
    <row r="3458">
      <c r="A3458" s="8"/>
      <c r="B3458" s="8"/>
      <c r="C3458" s="8"/>
      <c r="D3458" s="8"/>
      <c r="E3458" s="8"/>
      <c r="F3458" s="8"/>
      <c r="G3458" s="8"/>
      <c r="H3458" s="8"/>
      <c r="I3458" s="8"/>
      <c r="J3458" s="8"/>
      <c r="K3458" s="8"/>
    </row>
    <row r="3459">
      <c r="A3459" s="8"/>
      <c r="B3459" s="8"/>
      <c r="C3459" s="8"/>
      <c r="D3459" s="8"/>
      <c r="E3459" s="8"/>
      <c r="F3459" s="8"/>
      <c r="G3459" s="8"/>
      <c r="H3459" s="8"/>
      <c r="I3459" s="8"/>
      <c r="J3459" s="8"/>
      <c r="K3459" s="8"/>
    </row>
    <row r="3460">
      <c r="A3460" s="8"/>
      <c r="B3460" s="8"/>
      <c r="C3460" s="8"/>
      <c r="D3460" s="8"/>
      <c r="E3460" s="8"/>
      <c r="F3460" s="8"/>
      <c r="G3460" s="8"/>
      <c r="H3460" s="8"/>
      <c r="I3460" s="8"/>
      <c r="J3460" s="8"/>
      <c r="K3460" s="8"/>
    </row>
    <row r="3461">
      <c r="A3461" s="8"/>
      <c r="B3461" s="8"/>
      <c r="C3461" s="8"/>
      <c r="D3461" s="8"/>
      <c r="E3461" s="8"/>
      <c r="F3461" s="8"/>
      <c r="G3461" s="8"/>
      <c r="H3461" s="8"/>
      <c r="I3461" s="8"/>
      <c r="J3461" s="8"/>
      <c r="K3461" s="8"/>
    </row>
    <row r="3462">
      <c r="A3462" s="8"/>
      <c r="B3462" s="8"/>
      <c r="C3462" s="8"/>
      <c r="D3462" s="8"/>
      <c r="E3462" s="8"/>
      <c r="F3462" s="8"/>
      <c r="G3462" s="8"/>
      <c r="H3462" s="8"/>
      <c r="I3462" s="8"/>
      <c r="J3462" s="8"/>
      <c r="K3462" s="8"/>
    </row>
    <row r="3463">
      <c r="A3463" s="8"/>
      <c r="B3463" s="8"/>
      <c r="C3463" s="8"/>
      <c r="D3463" s="8"/>
      <c r="E3463" s="8"/>
      <c r="F3463" s="8"/>
      <c r="G3463" s="8"/>
      <c r="H3463" s="8"/>
      <c r="I3463" s="8"/>
      <c r="J3463" s="8"/>
      <c r="K3463" s="8"/>
    </row>
    <row r="3464">
      <c r="A3464" s="8"/>
      <c r="B3464" s="8"/>
      <c r="C3464" s="8"/>
      <c r="D3464" s="8"/>
      <c r="E3464" s="8"/>
      <c r="F3464" s="8"/>
      <c r="G3464" s="8"/>
      <c r="H3464" s="8"/>
      <c r="I3464" s="8"/>
      <c r="J3464" s="8"/>
      <c r="K3464" s="8"/>
    </row>
    <row r="3465">
      <c r="A3465" s="8"/>
      <c r="B3465" s="8"/>
      <c r="C3465" s="8"/>
      <c r="D3465" s="8"/>
      <c r="E3465" s="8"/>
      <c r="F3465" s="8"/>
      <c r="G3465" s="8"/>
      <c r="H3465" s="8"/>
      <c r="I3465" s="8"/>
      <c r="J3465" s="8"/>
      <c r="K3465" s="8"/>
    </row>
    <row r="3466">
      <c r="A3466" s="8"/>
      <c r="B3466" s="8"/>
      <c r="C3466" s="8"/>
      <c r="D3466" s="8"/>
      <c r="E3466" s="8"/>
      <c r="F3466" s="8"/>
      <c r="G3466" s="8"/>
      <c r="H3466" s="8"/>
      <c r="I3466" s="8"/>
      <c r="J3466" s="8"/>
      <c r="K3466" s="8"/>
    </row>
    <row r="3467">
      <c r="A3467" s="8"/>
      <c r="B3467" s="8"/>
      <c r="C3467" s="8"/>
      <c r="D3467" s="8"/>
      <c r="E3467" s="8"/>
      <c r="F3467" s="8"/>
      <c r="G3467" s="8"/>
      <c r="H3467" s="8"/>
      <c r="I3467" s="8"/>
      <c r="J3467" s="8"/>
      <c r="K3467" s="8"/>
    </row>
    <row r="3468">
      <c r="A3468" s="8"/>
      <c r="B3468" s="8"/>
      <c r="C3468" s="8"/>
      <c r="D3468" s="8"/>
      <c r="E3468" s="8"/>
      <c r="F3468" s="8"/>
      <c r="G3468" s="8"/>
      <c r="H3468" s="8"/>
      <c r="I3468" s="8"/>
      <c r="J3468" s="8"/>
      <c r="K3468" s="8"/>
    </row>
    <row r="3469">
      <c r="A3469" s="8"/>
      <c r="B3469" s="8"/>
      <c r="C3469" s="8"/>
      <c r="D3469" s="8"/>
      <c r="E3469" s="8"/>
      <c r="F3469" s="8"/>
      <c r="G3469" s="8"/>
      <c r="H3469" s="8"/>
      <c r="I3469" s="8"/>
      <c r="J3469" s="8"/>
      <c r="K3469" s="8"/>
    </row>
    <row r="3470">
      <c r="A3470" s="8"/>
      <c r="B3470" s="8"/>
      <c r="C3470" s="8"/>
      <c r="D3470" s="8"/>
      <c r="E3470" s="8"/>
      <c r="F3470" s="8"/>
      <c r="G3470" s="8"/>
      <c r="H3470" s="8"/>
      <c r="I3470" s="8"/>
      <c r="J3470" s="8"/>
      <c r="K3470" s="8"/>
    </row>
    <row r="3471">
      <c r="A3471" s="8"/>
      <c r="B3471" s="8"/>
      <c r="C3471" s="8"/>
      <c r="D3471" s="8"/>
      <c r="E3471" s="8"/>
      <c r="F3471" s="8"/>
      <c r="G3471" s="8"/>
      <c r="H3471" s="8"/>
      <c r="I3471" s="8"/>
      <c r="J3471" s="8"/>
      <c r="K3471" s="8"/>
    </row>
    <row r="3472">
      <c r="A3472" s="8"/>
      <c r="B3472" s="8"/>
      <c r="C3472" s="8"/>
      <c r="D3472" s="8"/>
      <c r="E3472" s="8"/>
      <c r="F3472" s="8"/>
      <c r="G3472" s="8"/>
      <c r="H3472" s="8"/>
      <c r="I3472" s="8"/>
      <c r="J3472" s="8"/>
      <c r="K3472" s="8"/>
    </row>
    <row r="3473">
      <c r="A3473" s="8"/>
      <c r="B3473" s="8"/>
      <c r="C3473" s="8"/>
      <c r="D3473" s="8"/>
      <c r="E3473" s="8"/>
      <c r="F3473" s="8"/>
      <c r="G3473" s="8"/>
      <c r="H3473" s="8"/>
      <c r="I3473" s="8"/>
      <c r="J3473" s="8"/>
      <c r="K3473" s="8"/>
    </row>
    <row r="3474">
      <c r="A3474" s="8"/>
      <c r="B3474" s="8"/>
      <c r="C3474" s="8"/>
      <c r="D3474" s="8"/>
      <c r="E3474" s="8"/>
      <c r="F3474" s="8"/>
      <c r="G3474" s="8"/>
      <c r="H3474" s="8"/>
      <c r="I3474" s="8"/>
      <c r="J3474" s="8"/>
      <c r="K3474" s="8"/>
    </row>
    <row r="3475">
      <c r="A3475" s="8"/>
      <c r="B3475" s="8"/>
      <c r="C3475" s="8"/>
      <c r="D3475" s="8"/>
      <c r="E3475" s="8"/>
      <c r="F3475" s="8"/>
      <c r="G3475" s="8"/>
      <c r="H3475" s="8"/>
      <c r="I3475" s="8"/>
      <c r="J3475" s="8"/>
      <c r="K3475" s="8"/>
    </row>
    <row r="3476">
      <c r="A3476" s="8"/>
      <c r="B3476" s="8"/>
      <c r="C3476" s="8"/>
      <c r="D3476" s="8"/>
      <c r="E3476" s="8"/>
      <c r="F3476" s="8"/>
      <c r="G3476" s="8"/>
      <c r="H3476" s="8"/>
      <c r="I3476" s="8"/>
      <c r="J3476" s="8"/>
      <c r="K3476" s="8"/>
    </row>
    <row r="3477">
      <c r="A3477" s="8"/>
      <c r="B3477" s="8"/>
      <c r="C3477" s="8"/>
      <c r="D3477" s="8"/>
      <c r="E3477" s="8"/>
      <c r="F3477" s="8"/>
      <c r="G3477" s="8"/>
      <c r="H3477" s="8"/>
      <c r="I3477" s="8"/>
      <c r="J3477" s="8"/>
      <c r="K3477" s="8"/>
    </row>
    <row r="3478">
      <c r="A3478" s="8"/>
      <c r="B3478" s="8"/>
      <c r="C3478" s="8"/>
      <c r="D3478" s="8"/>
      <c r="E3478" s="8"/>
      <c r="F3478" s="8"/>
      <c r="G3478" s="8"/>
      <c r="H3478" s="8"/>
      <c r="I3478" s="8"/>
      <c r="J3478" s="8"/>
      <c r="K3478" s="8"/>
    </row>
    <row r="3479">
      <c r="A3479" s="8"/>
      <c r="B3479" s="8"/>
      <c r="C3479" s="8"/>
      <c r="D3479" s="8"/>
      <c r="E3479" s="8"/>
      <c r="F3479" s="8"/>
      <c r="G3479" s="8"/>
      <c r="H3479" s="8"/>
      <c r="I3479" s="8"/>
      <c r="J3479" s="8"/>
      <c r="K3479" s="8"/>
    </row>
    <row r="3480">
      <c r="A3480" s="8"/>
      <c r="B3480" s="8"/>
      <c r="C3480" s="8"/>
      <c r="D3480" s="8"/>
      <c r="E3480" s="8"/>
      <c r="F3480" s="8"/>
      <c r="G3480" s="8"/>
      <c r="H3480" s="8"/>
      <c r="I3480" s="8"/>
      <c r="J3480" s="8"/>
      <c r="K3480" s="8"/>
    </row>
    <row r="3481">
      <c r="A3481" s="8"/>
      <c r="B3481" s="8"/>
      <c r="C3481" s="8"/>
      <c r="D3481" s="8"/>
      <c r="E3481" s="8"/>
      <c r="F3481" s="8"/>
      <c r="G3481" s="8"/>
      <c r="H3481" s="8"/>
      <c r="I3481" s="8"/>
      <c r="J3481" s="8"/>
      <c r="K3481" s="8"/>
    </row>
    <row r="3482">
      <c r="A3482" s="8"/>
      <c r="B3482" s="8"/>
      <c r="C3482" s="8"/>
      <c r="D3482" s="8"/>
      <c r="E3482" s="8"/>
      <c r="F3482" s="8"/>
      <c r="G3482" s="8"/>
      <c r="H3482" s="8"/>
      <c r="I3482" s="8"/>
      <c r="J3482" s="8"/>
      <c r="K3482" s="8"/>
    </row>
    <row r="3483">
      <c r="A3483" s="8"/>
      <c r="B3483" s="8"/>
      <c r="C3483" s="8"/>
      <c r="D3483" s="8"/>
      <c r="E3483" s="8"/>
      <c r="F3483" s="8"/>
      <c r="G3483" s="8"/>
      <c r="H3483" s="8"/>
      <c r="I3483" s="8"/>
      <c r="J3483" s="8"/>
      <c r="K3483" s="8"/>
    </row>
    <row r="3484">
      <c r="A3484" s="8"/>
      <c r="B3484" s="8"/>
      <c r="C3484" s="8"/>
      <c r="D3484" s="8"/>
      <c r="E3484" s="8"/>
      <c r="F3484" s="8"/>
      <c r="G3484" s="8"/>
      <c r="H3484" s="8"/>
      <c r="I3484" s="8"/>
      <c r="J3484" s="8"/>
      <c r="K3484" s="8"/>
    </row>
    <row r="3485">
      <c r="A3485" s="8"/>
      <c r="B3485" s="8"/>
      <c r="C3485" s="8"/>
      <c r="D3485" s="8"/>
      <c r="E3485" s="8"/>
      <c r="F3485" s="8"/>
      <c r="G3485" s="8"/>
      <c r="H3485" s="8"/>
      <c r="I3485" s="8"/>
      <c r="J3485" s="8"/>
      <c r="K3485" s="8"/>
    </row>
    <row r="3486">
      <c r="A3486" s="8"/>
      <c r="B3486" s="8"/>
      <c r="C3486" s="8"/>
      <c r="D3486" s="8"/>
      <c r="E3486" s="8"/>
      <c r="F3486" s="8"/>
      <c r="G3486" s="8"/>
      <c r="H3486" s="8"/>
      <c r="I3486" s="8"/>
      <c r="J3486" s="8"/>
      <c r="K3486" s="8"/>
    </row>
    <row r="3487">
      <c r="A3487" s="8"/>
      <c r="B3487" s="8"/>
      <c r="C3487" s="8"/>
      <c r="D3487" s="8"/>
      <c r="E3487" s="8"/>
      <c r="F3487" s="8"/>
      <c r="G3487" s="8"/>
      <c r="H3487" s="8"/>
      <c r="I3487" s="8"/>
      <c r="J3487" s="8"/>
      <c r="K3487" s="8"/>
    </row>
    <row r="3488">
      <c r="A3488" s="8"/>
      <c r="B3488" s="8"/>
      <c r="C3488" s="8"/>
      <c r="D3488" s="8"/>
      <c r="E3488" s="8"/>
      <c r="F3488" s="8"/>
      <c r="G3488" s="8"/>
      <c r="H3488" s="8"/>
      <c r="I3488" s="8"/>
      <c r="J3488" s="8"/>
      <c r="K3488" s="8"/>
    </row>
    <row r="3489">
      <c r="A3489" s="8"/>
      <c r="B3489" s="8"/>
      <c r="C3489" s="8"/>
      <c r="D3489" s="8"/>
      <c r="E3489" s="8"/>
      <c r="F3489" s="8"/>
      <c r="G3489" s="8"/>
      <c r="H3489" s="8"/>
      <c r="I3489" s="8"/>
      <c r="J3489" s="8"/>
      <c r="K3489" s="8"/>
    </row>
    <row r="3490">
      <c r="A3490" s="8"/>
      <c r="B3490" s="8"/>
      <c r="C3490" s="8"/>
      <c r="D3490" s="8"/>
      <c r="E3490" s="8"/>
      <c r="F3490" s="8"/>
      <c r="G3490" s="8"/>
      <c r="H3490" s="8"/>
      <c r="I3490" s="8"/>
      <c r="J3490" s="8"/>
      <c r="K3490" s="8"/>
    </row>
    <row r="3491">
      <c r="A3491" s="8"/>
      <c r="B3491" s="8"/>
      <c r="C3491" s="8"/>
      <c r="D3491" s="8"/>
      <c r="E3491" s="8"/>
      <c r="F3491" s="8"/>
      <c r="G3491" s="8"/>
      <c r="H3491" s="8"/>
      <c r="I3491" s="8"/>
      <c r="J3491" s="8"/>
      <c r="K3491" s="8"/>
    </row>
    <row r="3492">
      <c r="A3492" s="8"/>
      <c r="B3492" s="8"/>
      <c r="C3492" s="8"/>
      <c r="D3492" s="8"/>
      <c r="E3492" s="8"/>
      <c r="F3492" s="8"/>
      <c r="G3492" s="8"/>
      <c r="H3492" s="8"/>
      <c r="I3492" s="8"/>
      <c r="J3492" s="8"/>
      <c r="K3492" s="8"/>
    </row>
    <row r="3493">
      <c r="A3493" s="8"/>
      <c r="B3493" s="8"/>
      <c r="C3493" s="8"/>
      <c r="D3493" s="8"/>
      <c r="E3493" s="8"/>
      <c r="F3493" s="8"/>
      <c r="G3493" s="8"/>
      <c r="H3493" s="8"/>
      <c r="I3493" s="8"/>
      <c r="J3493" s="8"/>
      <c r="K3493" s="8"/>
    </row>
    <row r="3494">
      <c r="A3494" s="8"/>
      <c r="B3494" s="8"/>
      <c r="C3494" s="8"/>
      <c r="D3494" s="8"/>
      <c r="E3494" s="8"/>
      <c r="F3494" s="8"/>
      <c r="G3494" s="8"/>
      <c r="H3494" s="8"/>
      <c r="I3494" s="8"/>
      <c r="J3494" s="8"/>
      <c r="K3494" s="8"/>
    </row>
    <row r="3495">
      <c r="A3495" s="8"/>
      <c r="B3495" s="8"/>
      <c r="C3495" s="8"/>
      <c r="D3495" s="8"/>
      <c r="E3495" s="8"/>
      <c r="F3495" s="8"/>
      <c r="G3495" s="8"/>
      <c r="H3495" s="8"/>
      <c r="I3495" s="8"/>
      <c r="J3495" s="8"/>
      <c r="K3495" s="8"/>
    </row>
    <row r="3496">
      <c r="A3496" s="8"/>
      <c r="B3496" s="8"/>
      <c r="C3496" s="8"/>
      <c r="D3496" s="8"/>
      <c r="E3496" s="8"/>
      <c r="F3496" s="8"/>
      <c r="G3496" s="8"/>
      <c r="H3496" s="8"/>
      <c r="I3496" s="8"/>
      <c r="J3496" s="8"/>
      <c r="K3496" s="8"/>
    </row>
    <row r="3497">
      <c r="A3497" s="8"/>
      <c r="B3497" s="8"/>
      <c r="C3497" s="8"/>
      <c r="D3497" s="8"/>
      <c r="E3497" s="8"/>
      <c r="F3497" s="8"/>
      <c r="G3497" s="8"/>
      <c r="H3497" s="8"/>
      <c r="I3497" s="8"/>
      <c r="J3497" s="8"/>
      <c r="K3497" s="8"/>
    </row>
    <row r="3498">
      <c r="A3498" s="8"/>
      <c r="B3498" s="8"/>
      <c r="C3498" s="8"/>
      <c r="D3498" s="8"/>
      <c r="E3498" s="8"/>
      <c r="F3498" s="8"/>
      <c r="G3498" s="8"/>
      <c r="H3498" s="8"/>
      <c r="I3498" s="8"/>
      <c r="J3498" s="8"/>
      <c r="K3498" s="8"/>
    </row>
    <row r="3499">
      <c r="A3499" s="8"/>
      <c r="B3499" s="8"/>
      <c r="C3499" s="8"/>
      <c r="D3499" s="8"/>
      <c r="E3499" s="8"/>
      <c r="F3499" s="8"/>
      <c r="G3499" s="8"/>
      <c r="H3499" s="8"/>
      <c r="I3499" s="8"/>
      <c r="J3499" s="8"/>
      <c r="K3499" s="8"/>
    </row>
    <row r="3500">
      <c r="A3500" s="8"/>
      <c r="B3500" s="8"/>
      <c r="C3500" s="8"/>
      <c r="D3500" s="8"/>
      <c r="E3500" s="8"/>
      <c r="F3500" s="8"/>
      <c r="G3500" s="8"/>
      <c r="H3500" s="8"/>
      <c r="I3500" s="8"/>
      <c r="J3500" s="8"/>
      <c r="K3500" s="8"/>
    </row>
    <row r="3501">
      <c r="A3501" s="8"/>
      <c r="B3501" s="8"/>
      <c r="C3501" s="8"/>
      <c r="D3501" s="8"/>
      <c r="E3501" s="8"/>
      <c r="F3501" s="8"/>
      <c r="G3501" s="8"/>
      <c r="H3501" s="8"/>
      <c r="I3501" s="8"/>
      <c r="J3501" s="8"/>
      <c r="K3501" s="8"/>
    </row>
    <row r="3502">
      <c r="A3502" s="8"/>
      <c r="B3502" s="8"/>
      <c r="C3502" s="8"/>
      <c r="D3502" s="8"/>
      <c r="E3502" s="8"/>
      <c r="F3502" s="8"/>
      <c r="G3502" s="8"/>
      <c r="H3502" s="8"/>
      <c r="I3502" s="8"/>
      <c r="J3502" s="8"/>
      <c r="K3502" s="8"/>
    </row>
    <row r="3503">
      <c r="A3503" s="8"/>
      <c r="B3503" s="8"/>
      <c r="C3503" s="8"/>
      <c r="D3503" s="8"/>
      <c r="E3503" s="8"/>
      <c r="F3503" s="8"/>
      <c r="G3503" s="8"/>
      <c r="H3503" s="8"/>
      <c r="I3503" s="8"/>
      <c r="J3503" s="8"/>
      <c r="K3503" s="8"/>
    </row>
    <row r="3504">
      <c r="A3504" s="8"/>
      <c r="B3504" s="8"/>
      <c r="C3504" s="8"/>
      <c r="D3504" s="8"/>
      <c r="E3504" s="8"/>
      <c r="F3504" s="8"/>
      <c r="G3504" s="8"/>
      <c r="H3504" s="8"/>
      <c r="I3504" s="8"/>
      <c r="J3504" s="8"/>
      <c r="K3504" s="8"/>
    </row>
    <row r="3505">
      <c r="A3505" s="8"/>
      <c r="B3505" s="8"/>
      <c r="C3505" s="8"/>
      <c r="D3505" s="8"/>
      <c r="E3505" s="8"/>
      <c r="F3505" s="8"/>
      <c r="G3505" s="8"/>
      <c r="H3505" s="8"/>
      <c r="I3505" s="8"/>
      <c r="J3505" s="8"/>
      <c r="K3505" s="8"/>
    </row>
    <row r="3506">
      <c r="A3506" s="8"/>
      <c r="B3506" s="8"/>
      <c r="C3506" s="8"/>
      <c r="D3506" s="8"/>
      <c r="E3506" s="8"/>
      <c r="F3506" s="8"/>
      <c r="G3506" s="8"/>
      <c r="H3506" s="8"/>
      <c r="I3506" s="8"/>
      <c r="J3506" s="8"/>
      <c r="K3506" s="8"/>
    </row>
    <row r="3507">
      <c r="A3507" s="8"/>
      <c r="B3507" s="8"/>
      <c r="C3507" s="8"/>
      <c r="D3507" s="8"/>
      <c r="E3507" s="8"/>
      <c r="F3507" s="8"/>
      <c r="G3507" s="8"/>
      <c r="H3507" s="8"/>
      <c r="I3507" s="8"/>
      <c r="J3507" s="8"/>
      <c r="K3507" s="8"/>
    </row>
    <row r="3508">
      <c r="A3508" s="8"/>
      <c r="B3508" s="8"/>
      <c r="C3508" s="8"/>
      <c r="D3508" s="8"/>
      <c r="E3508" s="8"/>
      <c r="F3508" s="8"/>
      <c r="G3508" s="8"/>
      <c r="H3508" s="8"/>
      <c r="I3508" s="8"/>
      <c r="J3508" s="8"/>
      <c r="K3508" s="8"/>
    </row>
    <row r="3509">
      <c r="A3509" s="8"/>
      <c r="B3509" s="8"/>
      <c r="C3509" s="8"/>
      <c r="D3509" s="8"/>
      <c r="E3509" s="8"/>
      <c r="F3509" s="8"/>
      <c r="G3509" s="8"/>
      <c r="H3509" s="8"/>
      <c r="I3509" s="8"/>
      <c r="J3509" s="8"/>
      <c r="K3509" s="8"/>
    </row>
    <row r="3510">
      <c r="A3510" s="8"/>
      <c r="B3510" s="8"/>
      <c r="C3510" s="8"/>
      <c r="D3510" s="8"/>
      <c r="E3510" s="8"/>
      <c r="F3510" s="8"/>
      <c r="G3510" s="8"/>
      <c r="H3510" s="8"/>
      <c r="I3510" s="8"/>
      <c r="J3510" s="8"/>
      <c r="K3510" s="8"/>
    </row>
    <row r="3511">
      <c r="A3511" s="8"/>
      <c r="B3511" s="8"/>
      <c r="C3511" s="8"/>
      <c r="D3511" s="8"/>
      <c r="E3511" s="8"/>
      <c r="F3511" s="8"/>
      <c r="G3511" s="8"/>
      <c r="H3511" s="8"/>
      <c r="I3511" s="8"/>
      <c r="J3511" s="8"/>
      <c r="K3511" s="8"/>
    </row>
    <row r="3512">
      <c r="A3512" s="8"/>
      <c r="B3512" s="8"/>
      <c r="C3512" s="8"/>
      <c r="D3512" s="8"/>
      <c r="E3512" s="8"/>
      <c r="F3512" s="8"/>
      <c r="G3512" s="8"/>
      <c r="H3512" s="8"/>
      <c r="I3512" s="8"/>
      <c r="J3512" s="8"/>
      <c r="K3512" s="8"/>
    </row>
    <row r="3513">
      <c r="A3513" s="8"/>
      <c r="B3513" s="8"/>
      <c r="C3513" s="8"/>
      <c r="D3513" s="8"/>
      <c r="E3513" s="8"/>
      <c r="F3513" s="8"/>
      <c r="G3513" s="8"/>
      <c r="H3513" s="8"/>
      <c r="I3513" s="8"/>
      <c r="J3513" s="8"/>
      <c r="K3513" s="8"/>
    </row>
    <row r="3514">
      <c r="A3514" s="8"/>
      <c r="B3514" s="8"/>
      <c r="C3514" s="8"/>
      <c r="D3514" s="8"/>
      <c r="E3514" s="8"/>
      <c r="F3514" s="8"/>
      <c r="G3514" s="8"/>
      <c r="H3514" s="8"/>
      <c r="I3514" s="8"/>
      <c r="J3514" s="8"/>
      <c r="K3514" s="8"/>
    </row>
    <row r="3515">
      <c r="A3515" s="8"/>
      <c r="B3515" s="8"/>
      <c r="C3515" s="8"/>
      <c r="D3515" s="8"/>
      <c r="E3515" s="8"/>
      <c r="F3515" s="8"/>
      <c r="G3515" s="8"/>
      <c r="H3515" s="8"/>
      <c r="I3515" s="8"/>
      <c r="J3515" s="8"/>
      <c r="K3515" s="8"/>
    </row>
    <row r="3516">
      <c r="A3516" s="8"/>
      <c r="B3516" s="8"/>
      <c r="C3516" s="8"/>
      <c r="D3516" s="8"/>
      <c r="E3516" s="8"/>
      <c r="F3516" s="8"/>
      <c r="G3516" s="8"/>
      <c r="H3516" s="8"/>
      <c r="I3516" s="8"/>
      <c r="J3516" s="8"/>
      <c r="K3516" s="8"/>
    </row>
    <row r="3517">
      <c r="A3517" s="8"/>
      <c r="B3517" s="8"/>
      <c r="C3517" s="8"/>
      <c r="D3517" s="8"/>
      <c r="E3517" s="8"/>
      <c r="F3517" s="8"/>
      <c r="G3517" s="8"/>
      <c r="H3517" s="8"/>
      <c r="I3517" s="8"/>
      <c r="J3517" s="8"/>
      <c r="K3517" s="8"/>
    </row>
    <row r="3518">
      <c r="A3518" s="8"/>
      <c r="B3518" s="8"/>
      <c r="C3518" s="8"/>
      <c r="D3518" s="8"/>
      <c r="E3518" s="8"/>
      <c r="F3518" s="8"/>
      <c r="G3518" s="8"/>
      <c r="H3518" s="8"/>
      <c r="I3518" s="8"/>
      <c r="J3518" s="8"/>
      <c r="K3518" s="8"/>
    </row>
    <row r="3519">
      <c r="A3519" s="8"/>
      <c r="B3519" s="8"/>
      <c r="C3519" s="8"/>
      <c r="D3519" s="8"/>
      <c r="E3519" s="8"/>
      <c r="F3519" s="8"/>
      <c r="G3519" s="8"/>
      <c r="H3519" s="8"/>
      <c r="I3519" s="8"/>
      <c r="J3519" s="8"/>
      <c r="K3519" s="8"/>
    </row>
    <row r="3520">
      <c r="A3520" s="8"/>
      <c r="B3520" s="8"/>
      <c r="C3520" s="8"/>
      <c r="D3520" s="8"/>
      <c r="E3520" s="8"/>
      <c r="F3520" s="8"/>
      <c r="G3520" s="8"/>
      <c r="H3520" s="8"/>
      <c r="I3520" s="8"/>
      <c r="J3520" s="8"/>
      <c r="K3520" s="8"/>
    </row>
    <row r="3521">
      <c r="A3521" s="8"/>
      <c r="B3521" s="8"/>
      <c r="C3521" s="8"/>
      <c r="D3521" s="8"/>
      <c r="E3521" s="8"/>
      <c r="F3521" s="8"/>
      <c r="G3521" s="8"/>
      <c r="H3521" s="8"/>
      <c r="I3521" s="8"/>
      <c r="J3521" s="8"/>
      <c r="K3521" s="8"/>
    </row>
    <row r="3522">
      <c r="A3522" s="8"/>
      <c r="B3522" s="8"/>
      <c r="C3522" s="8"/>
      <c r="D3522" s="8"/>
      <c r="E3522" s="8"/>
      <c r="F3522" s="8"/>
      <c r="G3522" s="8"/>
      <c r="H3522" s="8"/>
      <c r="I3522" s="8"/>
      <c r="J3522" s="8"/>
      <c r="K3522" s="8"/>
    </row>
    <row r="3523">
      <c r="A3523" s="8"/>
      <c r="B3523" s="8"/>
      <c r="C3523" s="8"/>
      <c r="D3523" s="8"/>
      <c r="E3523" s="8"/>
      <c r="F3523" s="8"/>
      <c r="G3523" s="8"/>
      <c r="H3523" s="8"/>
      <c r="I3523" s="8"/>
      <c r="J3523" s="8"/>
      <c r="K3523" s="8"/>
    </row>
    <row r="3524">
      <c r="A3524" s="8"/>
      <c r="B3524" s="8"/>
      <c r="C3524" s="8"/>
      <c r="D3524" s="8"/>
      <c r="E3524" s="8"/>
      <c r="F3524" s="8"/>
      <c r="G3524" s="8"/>
      <c r="H3524" s="8"/>
      <c r="I3524" s="8"/>
      <c r="J3524" s="8"/>
      <c r="K3524" s="8"/>
    </row>
    <row r="3525">
      <c r="A3525" s="8"/>
      <c r="B3525" s="8"/>
      <c r="C3525" s="8"/>
      <c r="D3525" s="8"/>
      <c r="E3525" s="8"/>
      <c r="F3525" s="8"/>
      <c r="G3525" s="8"/>
      <c r="H3525" s="8"/>
      <c r="I3525" s="8"/>
      <c r="J3525" s="8"/>
      <c r="K3525" s="8"/>
    </row>
    <row r="3526">
      <c r="A3526" s="8"/>
      <c r="B3526" s="8"/>
      <c r="C3526" s="8"/>
      <c r="D3526" s="8"/>
      <c r="E3526" s="8"/>
      <c r="F3526" s="8"/>
      <c r="G3526" s="8"/>
      <c r="H3526" s="8"/>
      <c r="I3526" s="8"/>
      <c r="J3526" s="8"/>
      <c r="K3526" s="8"/>
    </row>
    <row r="3527">
      <c r="A3527" s="8"/>
      <c r="B3527" s="8"/>
      <c r="C3527" s="8"/>
      <c r="D3527" s="8"/>
      <c r="E3527" s="8"/>
      <c r="F3527" s="8"/>
      <c r="G3527" s="8"/>
      <c r="H3527" s="8"/>
      <c r="I3527" s="8"/>
      <c r="J3527" s="8"/>
      <c r="K3527" s="8"/>
    </row>
    <row r="3528">
      <c r="A3528" s="8"/>
      <c r="B3528" s="8"/>
      <c r="C3528" s="8"/>
      <c r="D3528" s="8"/>
      <c r="E3528" s="8"/>
      <c r="F3528" s="8"/>
      <c r="G3528" s="8"/>
      <c r="H3528" s="8"/>
      <c r="I3528" s="8"/>
      <c r="J3528" s="8"/>
      <c r="K3528" s="8"/>
    </row>
    <row r="3529">
      <c r="A3529" s="8"/>
      <c r="B3529" s="8"/>
      <c r="C3529" s="8"/>
      <c r="D3529" s="8"/>
      <c r="E3529" s="8"/>
      <c r="F3529" s="8"/>
      <c r="G3529" s="8"/>
      <c r="H3529" s="8"/>
      <c r="I3529" s="8"/>
      <c r="J3529" s="8"/>
      <c r="K3529" s="8"/>
    </row>
    <row r="3530">
      <c r="A3530" s="8"/>
      <c r="B3530" s="8"/>
      <c r="C3530" s="8"/>
      <c r="D3530" s="8"/>
      <c r="E3530" s="8"/>
      <c r="F3530" s="8"/>
      <c r="G3530" s="8"/>
      <c r="H3530" s="8"/>
      <c r="I3530" s="8"/>
      <c r="J3530" s="8"/>
      <c r="K3530" s="8"/>
    </row>
    <row r="3531">
      <c r="A3531" s="8"/>
      <c r="B3531" s="8"/>
      <c r="C3531" s="8"/>
      <c r="D3531" s="8"/>
      <c r="E3531" s="8"/>
      <c r="F3531" s="8"/>
      <c r="G3531" s="8"/>
      <c r="H3531" s="8"/>
      <c r="I3531" s="8"/>
      <c r="J3531" s="8"/>
      <c r="K3531" s="8"/>
    </row>
    <row r="3532">
      <c r="A3532" s="8"/>
      <c r="B3532" s="8"/>
      <c r="C3532" s="8"/>
      <c r="D3532" s="8"/>
      <c r="E3532" s="8"/>
      <c r="F3532" s="8"/>
      <c r="G3532" s="8"/>
      <c r="H3532" s="8"/>
      <c r="I3532" s="8"/>
      <c r="J3532" s="8"/>
      <c r="K3532" s="8"/>
    </row>
    <row r="3533">
      <c r="A3533" s="8"/>
      <c r="B3533" s="8"/>
      <c r="C3533" s="8"/>
      <c r="D3533" s="8"/>
      <c r="E3533" s="8"/>
      <c r="F3533" s="8"/>
      <c r="G3533" s="8"/>
      <c r="H3533" s="8"/>
      <c r="I3533" s="8"/>
      <c r="J3533" s="8"/>
      <c r="K3533" s="8"/>
    </row>
    <row r="3534">
      <c r="A3534" s="8"/>
      <c r="B3534" s="8"/>
      <c r="C3534" s="8"/>
      <c r="D3534" s="8"/>
      <c r="E3534" s="8"/>
      <c r="F3534" s="8"/>
      <c r="G3534" s="8"/>
      <c r="H3534" s="8"/>
      <c r="I3534" s="8"/>
      <c r="J3534" s="8"/>
      <c r="K3534" s="8"/>
    </row>
    <row r="3535">
      <c r="A3535" s="8"/>
      <c r="B3535" s="8"/>
      <c r="C3535" s="8"/>
      <c r="D3535" s="8"/>
      <c r="E3535" s="8"/>
      <c r="F3535" s="8"/>
      <c r="G3535" s="8"/>
      <c r="H3535" s="8"/>
      <c r="I3535" s="8"/>
      <c r="J3535" s="8"/>
      <c r="K3535" s="8"/>
    </row>
    <row r="3536">
      <c r="A3536" s="8"/>
      <c r="B3536" s="8"/>
      <c r="C3536" s="8"/>
      <c r="D3536" s="8"/>
      <c r="E3536" s="8"/>
      <c r="F3536" s="8"/>
      <c r="G3536" s="8"/>
      <c r="H3536" s="8"/>
      <c r="I3536" s="8"/>
      <c r="J3536" s="8"/>
      <c r="K3536" s="8"/>
    </row>
    <row r="3537">
      <c r="A3537" s="8"/>
      <c r="B3537" s="8"/>
      <c r="C3537" s="8"/>
      <c r="D3537" s="8"/>
      <c r="E3537" s="8"/>
      <c r="F3537" s="8"/>
      <c r="G3537" s="8"/>
      <c r="H3537" s="8"/>
      <c r="I3537" s="8"/>
      <c r="J3537" s="8"/>
      <c r="K3537" s="8"/>
    </row>
    <row r="3538">
      <c r="A3538" s="8"/>
      <c r="B3538" s="8"/>
      <c r="C3538" s="8"/>
      <c r="D3538" s="8"/>
      <c r="E3538" s="8"/>
      <c r="F3538" s="8"/>
      <c r="G3538" s="8"/>
      <c r="H3538" s="8"/>
      <c r="I3538" s="8"/>
      <c r="J3538" s="8"/>
      <c r="K3538" s="8"/>
    </row>
    <row r="3539">
      <c r="A3539" s="8"/>
      <c r="B3539" s="8"/>
      <c r="C3539" s="8"/>
      <c r="D3539" s="8"/>
      <c r="E3539" s="8"/>
      <c r="F3539" s="8"/>
      <c r="G3539" s="8"/>
      <c r="H3539" s="8"/>
      <c r="I3539" s="8"/>
      <c r="J3539" s="8"/>
      <c r="K3539" s="8"/>
    </row>
    <row r="3540">
      <c r="A3540" s="8"/>
      <c r="B3540" s="8"/>
      <c r="C3540" s="8"/>
      <c r="D3540" s="8"/>
      <c r="E3540" s="8"/>
      <c r="F3540" s="8"/>
      <c r="G3540" s="8"/>
      <c r="H3540" s="8"/>
      <c r="I3540" s="8"/>
      <c r="J3540" s="8"/>
      <c r="K3540" s="8"/>
    </row>
    <row r="3541">
      <c r="A3541" s="8"/>
      <c r="B3541" s="8"/>
      <c r="C3541" s="8"/>
      <c r="D3541" s="8"/>
      <c r="E3541" s="8"/>
      <c r="F3541" s="8"/>
      <c r="G3541" s="8"/>
      <c r="H3541" s="8"/>
      <c r="I3541" s="8"/>
      <c r="J3541" s="8"/>
      <c r="K3541" s="8"/>
    </row>
    <row r="3542">
      <c r="A3542" s="8"/>
      <c r="B3542" s="8"/>
      <c r="C3542" s="8"/>
      <c r="D3542" s="8"/>
      <c r="E3542" s="8"/>
      <c r="F3542" s="8"/>
      <c r="G3542" s="8"/>
      <c r="H3542" s="8"/>
      <c r="I3542" s="8"/>
      <c r="J3542" s="8"/>
      <c r="K3542" s="8"/>
    </row>
    <row r="3543">
      <c r="A3543" s="8"/>
      <c r="B3543" s="8"/>
      <c r="C3543" s="8"/>
      <c r="D3543" s="8"/>
      <c r="E3543" s="8"/>
      <c r="F3543" s="8"/>
      <c r="G3543" s="8"/>
      <c r="H3543" s="8"/>
      <c r="I3543" s="8"/>
      <c r="J3543" s="8"/>
      <c r="K3543" s="8"/>
    </row>
    <row r="3544">
      <c r="A3544" s="8"/>
      <c r="B3544" s="8"/>
      <c r="C3544" s="8"/>
      <c r="D3544" s="8"/>
      <c r="E3544" s="8"/>
      <c r="F3544" s="8"/>
      <c r="G3544" s="8"/>
      <c r="H3544" s="8"/>
      <c r="I3544" s="8"/>
      <c r="J3544" s="8"/>
      <c r="K3544" s="8"/>
    </row>
    <row r="3545">
      <c r="A3545" s="8"/>
      <c r="B3545" s="8"/>
      <c r="C3545" s="8"/>
      <c r="D3545" s="8"/>
      <c r="E3545" s="8"/>
      <c r="F3545" s="8"/>
      <c r="G3545" s="8"/>
      <c r="H3545" s="8"/>
      <c r="I3545" s="8"/>
      <c r="J3545" s="8"/>
      <c r="K3545" s="8"/>
    </row>
    <row r="3546">
      <c r="A3546" s="8"/>
      <c r="B3546" s="8"/>
      <c r="C3546" s="8"/>
      <c r="D3546" s="8"/>
      <c r="E3546" s="8"/>
      <c r="F3546" s="8"/>
      <c r="G3546" s="8"/>
      <c r="H3546" s="8"/>
      <c r="I3546" s="8"/>
      <c r="J3546" s="8"/>
      <c r="K3546" s="8"/>
    </row>
    <row r="3547">
      <c r="A3547" s="8"/>
      <c r="B3547" s="8"/>
      <c r="C3547" s="8"/>
      <c r="D3547" s="8"/>
      <c r="E3547" s="8"/>
      <c r="F3547" s="8"/>
      <c r="G3547" s="8"/>
      <c r="H3547" s="8"/>
      <c r="I3547" s="8"/>
      <c r="J3547" s="8"/>
      <c r="K3547" s="8"/>
    </row>
    <row r="3548">
      <c r="A3548" s="8"/>
      <c r="B3548" s="8"/>
      <c r="C3548" s="8"/>
      <c r="D3548" s="8"/>
      <c r="E3548" s="8"/>
      <c r="F3548" s="8"/>
      <c r="G3548" s="8"/>
      <c r="H3548" s="8"/>
      <c r="I3548" s="8"/>
      <c r="J3548" s="8"/>
      <c r="K3548" s="8"/>
    </row>
    <row r="3549">
      <c r="A3549" s="8"/>
      <c r="B3549" s="8"/>
      <c r="C3549" s="8"/>
      <c r="D3549" s="8"/>
      <c r="E3549" s="8"/>
      <c r="F3549" s="8"/>
      <c r="G3549" s="8"/>
      <c r="H3549" s="8"/>
      <c r="I3549" s="8"/>
      <c r="J3549" s="8"/>
      <c r="K3549" s="8"/>
    </row>
    <row r="3550">
      <c r="A3550" s="8"/>
      <c r="B3550" s="8"/>
      <c r="C3550" s="8"/>
      <c r="D3550" s="8"/>
      <c r="E3550" s="8"/>
      <c r="F3550" s="8"/>
      <c r="G3550" s="8"/>
      <c r="H3550" s="8"/>
      <c r="I3550" s="8"/>
      <c r="J3550" s="8"/>
      <c r="K3550" s="8"/>
    </row>
    <row r="3551">
      <c r="A3551" s="8"/>
      <c r="B3551" s="8"/>
      <c r="C3551" s="8"/>
      <c r="D3551" s="8"/>
      <c r="E3551" s="8"/>
      <c r="F3551" s="8"/>
      <c r="G3551" s="8"/>
      <c r="H3551" s="8"/>
      <c r="I3551" s="8"/>
      <c r="J3551" s="8"/>
      <c r="K3551" s="8"/>
    </row>
    <row r="3552">
      <c r="A3552" s="8"/>
      <c r="B3552" s="8"/>
      <c r="C3552" s="8"/>
      <c r="D3552" s="8"/>
      <c r="E3552" s="8"/>
      <c r="F3552" s="8"/>
      <c r="G3552" s="8"/>
      <c r="H3552" s="8"/>
      <c r="I3552" s="8"/>
      <c r="J3552" s="8"/>
      <c r="K3552" s="8"/>
    </row>
    <row r="3553">
      <c r="A3553" s="8"/>
      <c r="B3553" s="8"/>
      <c r="C3553" s="8"/>
      <c r="D3553" s="8"/>
      <c r="E3553" s="8"/>
      <c r="F3553" s="8"/>
      <c r="G3553" s="8"/>
      <c r="H3553" s="8"/>
      <c r="I3553" s="8"/>
      <c r="J3553" s="8"/>
      <c r="K3553" s="8"/>
    </row>
    <row r="3554">
      <c r="A3554" s="8"/>
      <c r="B3554" s="8"/>
      <c r="C3554" s="8"/>
      <c r="D3554" s="8"/>
      <c r="E3554" s="8"/>
      <c r="F3554" s="8"/>
      <c r="G3554" s="8"/>
      <c r="H3554" s="8"/>
      <c r="I3554" s="8"/>
      <c r="J3554" s="8"/>
      <c r="K3554" s="8"/>
    </row>
    <row r="3555">
      <c r="A3555" s="8"/>
      <c r="B3555" s="8"/>
      <c r="C3555" s="8"/>
      <c r="D3555" s="8"/>
      <c r="E3555" s="8"/>
      <c r="F3555" s="8"/>
      <c r="G3555" s="8"/>
      <c r="H3555" s="8"/>
      <c r="I3555" s="8"/>
      <c r="J3555" s="8"/>
      <c r="K3555" s="8"/>
    </row>
    <row r="3556">
      <c r="A3556" s="8"/>
      <c r="B3556" s="8"/>
      <c r="C3556" s="8"/>
      <c r="D3556" s="8"/>
      <c r="E3556" s="8"/>
      <c r="F3556" s="8"/>
      <c r="G3556" s="8"/>
      <c r="H3556" s="8"/>
      <c r="I3556" s="8"/>
      <c r="J3556" s="8"/>
      <c r="K3556" s="8"/>
    </row>
    <row r="3557">
      <c r="A3557" s="8"/>
      <c r="B3557" s="8"/>
      <c r="C3557" s="8"/>
      <c r="D3557" s="8"/>
      <c r="E3557" s="8"/>
      <c r="F3557" s="8"/>
      <c r="G3557" s="8"/>
      <c r="H3557" s="8"/>
      <c r="I3557" s="8"/>
      <c r="J3557" s="8"/>
      <c r="K3557" s="8"/>
    </row>
    <row r="3558">
      <c r="A3558" s="8"/>
      <c r="B3558" s="8"/>
      <c r="C3558" s="8"/>
      <c r="D3558" s="8"/>
      <c r="E3558" s="8"/>
      <c r="F3558" s="8"/>
      <c r="G3558" s="8"/>
      <c r="H3558" s="8"/>
      <c r="I3558" s="8"/>
      <c r="J3558" s="8"/>
      <c r="K3558" s="8"/>
    </row>
    <row r="3559">
      <c r="A3559" s="8"/>
      <c r="B3559" s="8"/>
      <c r="C3559" s="8"/>
      <c r="D3559" s="8"/>
      <c r="E3559" s="8"/>
      <c r="F3559" s="8"/>
      <c r="G3559" s="8"/>
      <c r="H3559" s="8"/>
      <c r="I3559" s="8"/>
      <c r="J3559" s="8"/>
      <c r="K3559" s="8"/>
    </row>
    <row r="3560">
      <c r="A3560" s="8"/>
      <c r="B3560" s="8"/>
      <c r="C3560" s="8"/>
      <c r="D3560" s="8"/>
      <c r="E3560" s="8"/>
      <c r="F3560" s="8"/>
      <c r="G3560" s="8"/>
      <c r="H3560" s="8"/>
      <c r="I3560" s="8"/>
      <c r="J3560" s="8"/>
      <c r="K3560" s="8"/>
    </row>
    <row r="3561">
      <c r="A3561" s="8"/>
      <c r="B3561" s="8"/>
      <c r="C3561" s="8"/>
      <c r="D3561" s="8"/>
      <c r="E3561" s="8"/>
      <c r="F3561" s="8"/>
      <c r="G3561" s="8"/>
      <c r="H3561" s="8"/>
      <c r="I3561" s="8"/>
      <c r="J3561" s="8"/>
      <c r="K3561" s="8"/>
    </row>
    <row r="3562">
      <c r="A3562" s="8"/>
      <c r="B3562" s="8"/>
      <c r="C3562" s="8"/>
      <c r="D3562" s="8"/>
      <c r="E3562" s="8"/>
      <c r="F3562" s="8"/>
      <c r="G3562" s="8"/>
      <c r="H3562" s="8"/>
      <c r="I3562" s="8"/>
      <c r="J3562" s="8"/>
      <c r="K3562" s="8"/>
    </row>
    <row r="3563">
      <c r="A3563" s="8"/>
      <c r="B3563" s="8"/>
      <c r="C3563" s="8"/>
      <c r="D3563" s="8"/>
      <c r="E3563" s="8"/>
      <c r="F3563" s="8"/>
      <c r="G3563" s="8"/>
      <c r="H3563" s="8"/>
      <c r="I3563" s="8"/>
      <c r="J3563" s="8"/>
      <c r="K3563" s="8"/>
    </row>
    <row r="3564">
      <c r="A3564" s="8"/>
      <c r="B3564" s="8"/>
      <c r="C3564" s="8"/>
      <c r="D3564" s="8"/>
      <c r="E3564" s="8"/>
      <c r="F3564" s="8"/>
      <c r="G3564" s="8"/>
      <c r="H3564" s="8"/>
      <c r="I3564" s="8"/>
      <c r="J3564" s="8"/>
      <c r="K3564" s="8"/>
    </row>
    <row r="3565">
      <c r="A3565" s="8"/>
      <c r="B3565" s="8"/>
      <c r="C3565" s="8"/>
      <c r="D3565" s="8"/>
      <c r="E3565" s="8"/>
      <c r="F3565" s="8"/>
      <c r="G3565" s="8"/>
      <c r="H3565" s="8"/>
      <c r="I3565" s="8"/>
      <c r="J3565" s="8"/>
      <c r="K3565" s="8"/>
    </row>
    <row r="3566">
      <c r="A3566" s="8"/>
      <c r="B3566" s="8"/>
      <c r="C3566" s="8"/>
      <c r="D3566" s="8"/>
      <c r="E3566" s="8"/>
      <c r="F3566" s="8"/>
      <c r="G3566" s="8"/>
      <c r="H3566" s="8"/>
      <c r="I3566" s="8"/>
      <c r="J3566" s="8"/>
      <c r="K3566" s="8"/>
    </row>
    <row r="3567">
      <c r="A3567" s="8"/>
      <c r="B3567" s="8"/>
      <c r="C3567" s="8"/>
      <c r="D3567" s="8"/>
      <c r="E3567" s="8"/>
      <c r="F3567" s="8"/>
      <c r="G3567" s="8"/>
      <c r="H3567" s="8"/>
      <c r="I3567" s="8"/>
      <c r="J3567" s="8"/>
      <c r="K3567" s="8"/>
    </row>
    <row r="3568">
      <c r="A3568" s="8"/>
      <c r="B3568" s="8"/>
      <c r="C3568" s="8"/>
      <c r="D3568" s="8"/>
      <c r="E3568" s="8"/>
      <c r="F3568" s="8"/>
      <c r="G3568" s="8"/>
      <c r="H3568" s="8"/>
      <c r="I3568" s="8"/>
      <c r="J3568" s="8"/>
      <c r="K3568" s="8"/>
    </row>
    <row r="3569">
      <c r="A3569" s="8"/>
      <c r="B3569" s="8"/>
      <c r="C3569" s="8"/>
      <c r="D3569" s="8"/>
      <c r="E3569" s="8"/>
      <c r="F3569" s="8"/>
      <c r="G3569" s="8"/>
      <c r="H3569" s="8"/>
      <c r="I3569" s="8"/>
      <c r="J3569" s="8"/>
      <c r="K3569" s="8"/>
    </row>
    <row r="3570">
      <c r="A3570" s="8"/>
      <c r="B3570" s="8"/>
      <c r="C3570" s="8"/>
      <c r="D3570" s="8"/>
      <c r="E3570" s="8"/>
      <c r="F3570" s="8"/>
      <c r="G3570" s="8"/>
      <c r="H3570" s="8"/>
      <c r="I3570" s="8"/>
      <c r="J3570" s="8"/>
      <c r="K3570" s="8"/>
    </row>
    <row r="3571">
      <c r="A3571" s="8"/>
      <c r="B3571" s="8"/>
      <c r="C3571" s="8"/>
      <c r="D3571" s="8"/>
      <c r="E3571" s="8"/>
      <c r="F3571" s="8"/>
      <c r="G3571" s="8"/>
      <c r="H3571" s="8"/>
      <c r="I3571" s="8"/>
      <c r="J3571" s="8"/>
      <c r="K3571" s="8"/>
    </row>
    <row r="3572">
      <c r="A3572" s="8"/>
      <c r="B3572" s="8"/>
      <c r="C3572" s="8"/>
      <c r="D3572" s="8"/>
      <c r="E3572" s="8"/>
      <c r="F3572" s="8"/>
      <c r="G3572" s="8"/>
      <c r="H3572" s="8"/>
      <c r="I3572" s="8"/>
      <c r="J3572" s="8"/>
      <c r="K3572" s="8"/>
    </row>
    <row r="3573">
      <c r="A3573" s="8"/>
      <c r="B3573" s="8"/>
      <c r="C3573" s="8"/>
      <c r="D3573" s="8"/>
      <c r="E3573" s="8"/>
      <c r="F3573" s="8"/>
      <c r="G3573" s="8"/>
      <c r="H3573" s="8"/>
      <c r="I3573" s="8"/>
      <c r="J3573" s="8"/>
      <c r="K3573" s="8"/>
    </row>
    <row r="3574">
      <c r="A3574" s="8"/>
      <c r="B3574" s="8"/>
      <c r="C3574" s="8"/>
      <c r="D3574" s="8"/>
      <c r="E3574" s="8"/>
      <c r="F3574" s="8"/>
      <c r="G3574" s="8"/>
      <c r="H3574" s="8"/>
      <c r="I3574" s="8"/>
      <c r="J3574" s="8"/>
      <c r="K3574" s="8"/>
    </row>
    <row r="3575">
      <c r="A3575" s="8"/>
      <c r="B3575" s="8"/>
      <c r="C3575" s="8"/>
      <c r="D3575" s="8"/>
      <c r="E3575" s="8"/>
      <c r="F3575" s="8"/>
      <c r="G3575" s="8"/>
      <c r="H3575" s="8"/>
      <c r="I3575" s="8"/>
      <c r="J3575" s="8"/>
      <c r="K3575" s="8"/>
    </row>
    <row r="3576">
      <c r="A3576" s="8"/>
      <c r="B3576" s="8"/>
      <c r="C3576" s="8"/>
      <c r="D3576" s="8"/>
      <c r="E3576" s="8"/>
      <c r="F3576" s="8"/>
      <c r="G3576" s="8"/>
      <c r="H3576" s="8"/>
      <c r="I3576" s="8"/>
      <c r="J3576" s="8"/>
      <c r="K3576" s="8"/>
    </row>
    <row r="3577">
      <c r="A3577" s="8"/>
      <c r="B3577" s="8"/>
      <c r="C3577" s="8"/>
      <c r="D3577" s="8"/>
      <c r="E3577" s="8"/>
      <c r="F3577" s="8"/>
      <c r="G3577" s="8"/>
      <c r="H3577" s="8"/>
      <c r="I3577" s="8"/>
      <c r="J3577" s="8"/>
      <c r="K3577" s="8"/>
    </row>
    <row r="3578">
      <c r="A3578" s="8"/>
      <c r="B3578" s="8"/>
      <c r="C3578" s="8"/>
      <c r="D3578" s="8"/>
      <c r="E3578" s="8"/>
      <c r="F3578" s="8"/>
      <c r="G3578" s="8"/>
      <c r="H3578" s="8"/>
      <c r="I3578" s="8"/>
      <c r="J3578" s="8"/>
      <c r="K3578" s="8"/>
    </row>
    <row r="3579">
      <c r="A3579" s="8"/>
      <c r="B3579" s="8"/>
      <c r="C3579" s="8"/>
      <c r="D3579" s="8"/>
      <c r="E3579" s="8"/>
      <c r="F3579" s="8"/>
      <c r="G3579" s="8"/>
      <c r="H3579" s="8"/>
      <c r="I3579" s="8"/>
      <c r="J3579" s="8"/>
      <c r="K3579" s="8"/>
    </row>
    <row r="3580">
      <c r="A3580" s="8"/>
      <c r="B3580" s="8"/>
      <c r="C3580" s="8"/>
      <c r="D3580" s="8"/>
      <c r="E3580" s="8"/>
      <c r="F3580" s="8"/>
      <c r="G3580" s="8"/>
      <c r="H3580" s="8"/>
      <c r="I3580" s="8"/>
      <c r="J3580" s="8"/>
      <c r="K3580" s="8"/>
    </row>
    <row r="3581">
      <c r="A3581" s="8"/>
      <c r="B3581" s="8"/>
      <c r="C3581" s="8"/>
      <c r="D3581" s="8"/>
      <c r="E3581" s="8"/>
      <c r="F3581" s="8"/>
      <c r="G3581" s="8"/>
      <c r="H3581" s="8"/>
      <c r="I3581" s="8"/>
      <c r="J3581" s="8"/>
      <c r="K3581" s="8"/>
    </row>
    <row r="3582">
      <c r="A3582" s="8"/>
      <c r="B3582" s="8"/>
      <c r="C3582" s="8"/>
      <c r="D3582" s="8"/>
      <c r="E3582" s="8"/>
      <c r="F3582" s="8"/>
      <c r="G3582" s="8"/>
      <c r="H3582" s="8"/>
      <c r="I3582" s="8"/>
      <c r="J3582" s="8"/>
      <c r="K3582" s="8"/>
    </row>
    <row r="3583">
      <c r="A3583" s="8"/>
      <c r="B3583" s="8"/>
      <c r="C3583" s="8"/>
      <c r="D3583" s="8"/>
      <c r="E3583" s="8"/>
      <c r="F3583" s="8"/>
      <c r="G3583" s="8"/>
      <c r="H3583" s="8"/>
      <c r="I3583" s="8"/>
      <c r="J3583" s="8"/>
      <c r="K3583" s="8"/>
    </row>
    <row r="3584">
      <c r="A3584" s="8"/>
      <c r="B3584" s="8"/>
      <c r="C3584" s="8"/>
      <c r="D3584" s="8"/>
      <c r="E3584" s="8"/>
      <c r="F3584" s="8"/>
      <c r="G3584" s="8"/>
      <c r="H3584" s="8"/>
      <c r="I3584" s="8"/>
      <c r="J3584" s="8"/>
      <c r="K3584" s="8"/>
    </row>
    <row r="3585">
      <c r="A3585" s="8"/>
      <c r="B3585" s="8"/>
      <c r="C3585" s="8"/>
      <c r="D3585" s="8"/>
      <c r="E3585" s="8"/>
      <c r="F3585" s="8"/>
      <c r="G3585" s="8"/>
      <c r="H3585" s="8"/>
      <c r="I3585" s="8"/>
      <c r="J3585" s="8"/>
      <c r="K3585" s="8"/>
    </row>
    <row r="3586">
      <c r="A3586" s="8"/>
      <c r="B3586" s="8"/>
      <c r="C3586" s="8"/>
      <c r="D3586" s="8"/>
      <c r="E3586" s="8"/>
      <c r="F3586" s="8"/>
      <c r="G3586" s="8"/>
      <c r="H3586" s="8"/>
      <c r="I3586" s="8"/>
      <c r="J3586" s="8"/>
      <c r="K3586" s="8"/>
    </row>
    <row r="3587">
      <c r="A3587" s="8"/>
      <c r="B3587" s="8"/>
      <c r="C3587" s="8"/>
      <c r="D3587" s="8"/>
      <c r="E3587" s="8"/>
      <c r="F3587" s="8"/>
      <c r="G3587" s="8"/>
      <c r="H3587" s="8"/>
      <c r="I3587" s="8"/>
      <c r="J3587" s="8"/>
      <c r="K3587" s="8"/>
    </row>
    <row r="3588">
      <c r="A3588" s="8"/>
      <c r="B3588" s="8"/>
      <c r="C3588" s="8"/>
      <c r="D3588" s="8"/>
      <c r="E3588" s="8"/>
      <c r="F3588" s="8"/>
      <c r="G3588" s="8"/>
      <c r="H3588" s="8"/>
      <c r="I3588" s="8"/>
      <c r="J3588" s="8"/>
      <c r="K3588" s="8"/>
    </row>
    <row r="3589">
      <c r="A3589" s="8"/>
      <c r="B3589" s="8"/>
      <c r="C3589" s="8"/>
      <c r="D3589" s="8"/>
      <c r="E3589" s="8"/>
      <c r="F3589" s="8"/>
      <c r="G3589" s="8"/>
      <c r="H3589" s="8"/>
      <c r="I3589" s="8"/>
      <c r="J3589" s="8"/>
      <c r="K3589" s="8"/>
    </row>
    <row r="3590">
      <c r="A3590" s="8"/>
      <c r="B3590" s="8"/>
      <c r="C3590" s="8"/>
      <c r="D3590" s="8"/>
      <c r="E3590" s="8"/>
      <c r="F3590" s="8"/>
      <c r="G3590" s="8"/>
      <c r="H3590" s="8"/>
      <c r="I3590" s="8"/>
      <c r="J3590" s="8"/>
      <c r="K3590" s="8"/>
    </row>
    <row r="3591">
      <c r="A3591" s="8"/>
      <c r="B3591" s="8"/>
      <c r="C3591" s="8"/>
      <c r="D3591" s="8"/>
      <c r="E3591" s="8"/>
      <c r="F3591" s="8"/>
      <c r="G3591" s="8"/>
      <c r="H3591" s="8"/>
      <c r="I3591" s="8"/>
      <c r="J3591" s="8"/>
      <c r="K3591" s="8"/>
    </row>
    <row r="3592">
      <c r="A3592" s="8"/>
      <c r="B3592" s="8"/>
      <c r="C3592" s="8"/>
      <c r="D3592" s="8"/>
      <c r="E3592" s="8"/>
      <c r="F3592" s="8"/>
      <c r="G3592" s="8"/>
      <c r="H3592" s="8"/>
      <c r="I3592" s="8"/>
      <c r="J3592" s="8"/>
      <c r="K3592" s="8"/>
    </row>
    <row r="3593">
      <c r="A3593" s="8"/>
      <c r="B3593" s="8"/>
      <c r="C3593" s="8"/>
      <c r="D3593" s="8"/>
      <c r="E3593" s="8"/>
      <c r="F3593" s="8"/>
      <c r="G3593" s="8"/>
      <c r="H3593" s="8"/>
      <c r="I3593" s="8"/>
      <c r="J3593" s="8"/>
      <c r="K3593" s="8"/>
    </row>
    <row r="3594">
      <c r="A3594" s="8"/>
      <c r="B3594" s="8"/>
      <c r="C3594" s="8"/>
      <c r="D3594" s="8"/>
      <c r="E3594" s="8"/>
      <c r="F3594" s="8"/>
      <c r="G3594" s="8"/>
      <c r="H3594" s="8"/>
      <c r="I3594" s="8"/>
      <c r="J3594" s="8"/>
      <c r="K3594" s="8"/>
    </row>
    <row r="3595">
      <c r="A3595" s="8"/>
      <c r="B3595" s="8"/>
      <c r="C3595" s="8"/>
      <c r="D3595" s="8"/>
      <c r="E3595" s="8"/>
      <c r="F3595" s="8"/>
      <c r="G3595" s="8"/>
      <c r="H3595" s="8"/>
      <c r="I3595" s="8"/>
      <c r="J3595" s="8"/>
      <c r="K3595" s="8"/>
    </row>
    <row r="3596">
      <c r="A3596" s="8"/>
      <c r="B3596" s="8"/>
      <c r="C3596" s="8"/>
      <c r="D3596" s="8"/>
      <c r="E3596" s="8"/>
      <c r="F3596" s="8"/>
      <c r="G3596" s="8"/>
      <c r="H3596" s="8"/>
      <c r="I3596" s="8"/>
      <c r="J3596" s="8"/>
      <c r="K3596" s="8"/>
    </row>
    <row r="3597">
      <c r="A3597" s="8"/>
      <c r="B3597" s="8"/>
      <c r="C3597" s="8"/>
      <c r="D3597" s="8"/>
      <c r="E3597" s="8"/>
      <c r="F3597" s="8"/>
      <c r="G3597" s="8"/>
      <c r="H3597" s="8"/>
      <c r="I3597" s="8"/>
      <c r="J3597" s="8"/>
      <c r="K3597" s="8"/>
    </row>
    <row r="3598">
      <c r="A3598" s="8"/>
      <c r="B3598" s="8"/>
      <c r="C3598" s="8"/>
      <c r="D3598" s="8"/>
      <c r="E3598" s="8"/>
      <c r="F3598" s="8"/>
      <c r="G3598" s="8"/>
      <c r="H3598" s="8"/>
      <c r="I3598" s="8"/>
      <c r="J3598" s="8"/>
      <c r="K3598" s="8"/>
    </row>
    <row r="3599">
      <c r="A3599" s="8"/>
      <c r="B3599" s="8"/>
      <c r="C3599" s="8"/>
      <c r="D3599" s="8"/>
      <c r="E3599" s="8"/>
      <c r="F3599" s="8"/>
      <c r="G3599" s="8"/>
      <c r="H3599" s="8"/>
      <c r="I3599" s="8"/>
      <c r="J3599" s="8"/>
      <c r="K3599" s="8"/>
    </row>
    <row r="3600">
      <c r="A3600" s="8"/>
      <c r="B3600" s="8"/>
      <c r="C3600" s="8"/>
      <c r="D3600" s="8"/>
      <c r="E3600" s="8"/>
      <c r="F3600" s="8"/>
      <c r="G3600" s="8"/>
      <c r="H3600" s="8"/>
      <c r="I3600" s="8"/>
      <c r="J3600" s="8"/>
      <c r="K3600" s="8"/>
    </row>
    <row r="3601">
      <c r="A3601" s="8"/>
      <c r="B3601" s="8"/>
      <c r="C3601" s="8"/>
      <c r="D3601" s="8"/>
      <c r="E3601" s="8"/>
      <c r="F3601" s="8"/>
      <c r="G3601" s="8"/>
      <c r="H3601" s="8"/>
      <c r="I3601" s="8"/>
      <c r="J3601" s="8"/>
      <c r="K3601" s="8"/>
    </row>
    <row r="3602">
      <c r="A3602" s="8"/>
      <c r="B3602" s="8"/>
      <c r="C3602" s="8"/>
      <c r="D3602" s="8"/>
      <c r="E3602" s="8"/>
      <c r="F3602" s="8"/>
      <c r="G3602" s="8"/>
      <c r="H3602" s="8"/>
      <c r="I3602" s="8"/>
      <c r="J3602" s="8"/>
      <c r="K3602" s="8"/>
    </row>
    <row r="3603">
      <c r="A3603" s="8"/>
      <c r="B3603" s="8"/>
      <c r="C3603" s="8"/>
      <c r="D3603" s="8"/>
      <c r="E3603" s="8"/>
      <c r="F3603" s="8"/>
      <c r="G3603" s="8"/>
      <c r="H3603" s="8"/>
      <c r="I3603" s="8"/>
      <c r="J3603" s="8"/>
      <c r="K3603" s="8"/>
    </row>
    <row r="3604">
      <c r="A3604" s="8"/>
      <c r="B3604" s="8"/>
      <c r="C3604" s="8"/>
      <c r="D3604" s="8"/>
      <c r="E3604" s="8"/>
      <c r="F3604" s="8"/>
      <c r="G3604" s="8"/>
      <c r="H3604" s="8"/>
      <c r="I3604" s="8"/>
      <c r="J3604" s="8"/>
      <c r="K3604" s="8"/>
    </row>
    <row r="3605">
      <c r="A3605" s="8"/>
      <c r="B3605" s="8"/>
      <c r="C3605" s="8"/>
      <c r="D3605" s="8"/>
      <c r="E3605" s="8"/>
      <c r="F3605" s="8"/>
      <c r="G3605" s="8"/>
      <c r="H3605" s="8"/>
      <c r="I3605" s="8"/>
      <c r="J3605" s="8"/>
      <c r="K3605" s="8"/>
    </row>
    <row r="3606">
      <c r="A3606" s="8"/>
      <c r="B3606" s="8"/>
      <c r="C3606" s="8"/>
      <c r="D3606" s="8"/>
      <c r="E3606" s="8"/>
      <c r="F3606" s="8"/>
      <c r="G3606" s="8"/>
      <c r="H3606" s="8"/>
      <c r="I3606" s="8"/>
      <c r="J3606" s="8"/>
      <c r="K3606" s="8"/>
    </row>
    <row r="3607">
      <c r="A3607" s="8"/>
      <c r="B3607" s="8"/>
      <c r="C3607" s="8"/>
      <c r="D3607" s="8"/>
      <c r="E3607" s="8"/>
      <c r="F3607" s="8"/>
      <c r="G3607" s="8"/>
      <c r="H3607" s="8"/>
      <c r="I3607" s="8"/>
      <c r="J3607" s="8"/>
      <c r="K3607" s="8"/>
    </row>
    <row r="3608">
      <c r="A3608" s="8"/>
      <c r="B3608" s="8"/>
      <c r="C3608" s="8"/>
      <c r="D3608" s="8"/>
      <c r="E3608" s="8"/>
      <c r="F3608" s="8"/>
      <c r="G3608" s="8"/>
      <c r="H3608" s="8"/>
      <c r="I3608" s="8"/>
      <c r="J3608" s="8"/>
      <c r="K3608" s="8"/>
    </row>
    <row r="3609">
      <c r="A3609" s="8"/>
      <c r="B3609" s="8"/>
      <c r="C3609" s="8"/>
      <c r="D3609" s="8"/>
      <c r="E3609" s="8"/>
      <c r="F3609" s="8"/>
      <c r="G3609" s="8"/>
      <c r="H3609" s="8"/>
      <c r="I3609" s="8"/>
      <c r="J3609" s="8"/>
      <c r="K3609" s="8"/>
    </row>
    <row r="3610">
      <c r="A3610" s="8"/>
      <c r="B3610" s="8"/>
      <c r="C3610" s="8"/>
      <c r="D3610" s="8"/>
      <c r="E3610" s="8"/>
      <c r="F3610" s="8"/>
      <c r="G3610" s="8"/>
      <c r="H3610" s="8"/>
      <c r="I3610" s="8"/>
      <c r="J3610" s="8"/>
      <c r="K3610" s="8"/>
    </row>
    <row r="3611">
      <c r="A3611" s="8"/>
      <c r="B3611" s="8"/>
      <c r="C3611" s="8"/>
      <c r="D3611" s="8"/>
      <c r="E3611" s="8"/>
      <c r="F3611" s="8"/>
      <c r="G3611" s="8"/>
      <c r="H3611" s="8"/>
      <c r="I3611" s="8"/>
      <c r="J3611" s="8"/>
      <c r="K3611" s="8"/>
    </row>
    <row r="3612">
      <c r="A3612" s="8"/>
      <c r="B3612" s="8"/>
      <c r="C3612" s="8"/>
      <c r="D3612" s="8"/>
      <c r="E3612" s="8"/>
      <c r="F3612" s="8"/>
      <c r="G3612" s="8"/>
      <c r="H3612" s="8"/>
      <c r="I3612" s="8"/>
      <c r="J3612" s="8"/>
      <c r="K3612" s="8"/>
    </row>
    <row r="3613">
      <c r="A3613" s="8"/>
      <c r="B3613" s="8"/>
      <c r="C3613" s="8"/>
      <c r="D3613" s="8"/>
      <c r="E3613" s="8"/>
      <c r="F3613" s="8"/>
      <c r="G3613" s="8"/>
      <c r="H3613" s="8"/>
      <c r="I3613" s="8"/>
      <c r="J3613" s="8"/>
      <c r="K3613" s="8"/>
    </row>
    <row r="3614">
      <c r="A3614" s="8"/>
      <c r="B3614" s="8"/>
      <c r="C3614" s="8"/>
      <c r="D3614" s="8"/>
      <c r="E3614" s="8"/>
      <c r="F3614" s="8"/>
      <c r="G3614" s="8"/>
      <c r="H3614" s="8"/>
      <c r="I3614" s="8"/>
      <c r="J3614" s="8"/>
      <c r="K3614" s="8"/>
    </row>
    <row r="3615">
      <c r="A3615" s="8"/>
      <c r="B3615" s="8"/>
      <c r="C3615" s="8"/>
      <c r="D3615" s="8"/>
      <c r="E3615" s="8"/>
      <c r="F3615" s="8"/>
      <c r="G3615" s="8"/>
      <c r="H3615" s="8"/>
      <c r="I3615" s="8"/>
      <c r="J3615" s="8"/>
      <c r="K3615" s="8"/>
    </row>
    <row r="3616">
      <c r="A3616" s="8"/>
      <c r="B3616" s="8"/>
      <c r="C3616" s="8"/>
      <c r="D3616" s="8"/>
      <c r="E3616" s="8"/>
      <c r="F3616" s="8"/>
      <c r="G3616" s="8"/>
      <c r="H3616" s="8"/>
      <c r="I3616" s="8"/>
      <c r="J3616" s="8"/>
      <c r="K3616" s="8"/>
    </row>
    <row r="3617">
      <c r="A3617" s="8"/>
      <c r="B3617" s="8"/>
      <c r="C3617" s="8"/>
      <c r="D3617" s="8"/>
      <c r="E3617" s="8"/>
      <c r="F3617" s="8"/>
      <c r="G3617" s="8"/>
      <c r="H3617" s="8"/>
      <c r="I3617" s="8"/>
      <c r="J3617" s="8"/>
      <c r="K3617" s="8"/>
    </row>
    <row r="3618">
      <c r="A3618" s="8"/>
      <c r="B3618" s="8"/>
      <c r="C3618" s="8"/>
      <c r="D3618" s="8"/>
      <c r="E3618" s="8"/>
      <c r="F3618" s="8"/>
      <c r="G3618" s="8"/>
      <c r="H3618" s="8"/>
      <c r="I3618" s="8"/>
      <c r="J3618" s="8"/>
      <c r="K3618" s="8"/>
    </row>
    <row r="3619">
      <c r="A3619" s="8"/>
      <c r="B3619" s="8"/>
      <c r="C3619" s="8"/>
      <c r="D3619" s="8"/>
      <c r="E3619" s="8"/>
      <c r="F3619" s="8"/>
      <c r="G3619" s="8"/>
      <c r="H3619" s="8"/>
      <c r="I3619" s="8"/>
      <c r="J3619" s="8"/>
      <c r="K3619" s="8"/>
    </row>
    <row r="3620">
      <c r="A3620" s="8"/>
      <c r="B3620" s="8"/>
      <c r="C3620" s="8"/>
      <c r="D3620" s="8"/>
      <c r="E3620" s="8"/>
      <c r="F3620" s="8"/>
      <c r="G3620" s="8"/>
      <c r="H3620" s="8"/>
      <c r="I3620" s="8"/>
      <c r="J3620" s="8"/>
      <c r="K3620" s="8"/>
    </row>
    <row r="3621">
      <c r="A3621" s="8"/>
      <c r="B3621" s="8"/>
      <c r="C3621" s="8"/>
      <c r="D3621" s="8"/>
      <c r="E3621" s="8"/>
      <c r="F3621" s="8"/>
      <c r="G3621" s="8"/>
      <c r="H3621" s="8"/>
      <c r="I3621" s="8"/>
      <c r="J3621" s="8"/>
      <c r="K3621" s="8"/>
    </row>
    <row r="3622">
      <c r="A3622" s="8"/>
      <c r="B3622" s="8"/>
      <c r="C3622" s="8"/>
      <c r="D3622" s="8"/>
      <c r="E3622" s="8"/>
      <c r="F3622" s="8"/>
      <c r="G3622" s="8"/>
      <c r="H3622" s="8"/>
      <c r="I3622" s="8"/>
      <c r="J3622" s="8"/>
      <c r="K3622" s="8"/>
    </row>
    <row r="3623">
      <c r="A3623" s="8"/>
      <c r="B3623" s="8"/>
      <c r="C3623" s="8"/>
      <c r="D3623" s="8"/>
      <c r="E3623" s="8"/>
      <c r="F3623" s="8"/>
      <c r="G3623" s="8"/>
      <c r="H3623" s="8"/>
      <c r="I3623" s="8"/>
      <c r="J3623" s="8"/>
      <c r="K3623" s="8"/>
    </row>
    <row r="3624">
      <c r="A3624" s="8"/>
      <c r="B3624" s="8"/>
      <c r="C3624" s="8"/>
      <c r="D3624" s="8"/>
      <c r="E3624" s="8"/>
      <c r="F3624" s="8"/>
      <c r="G3624" s="8"/>
      <c r="H3624" s="8"/>
      <c r="I3624" s="8"/>
      <c r="J3624" s="8"/>
      <c r="K3624" s="8"/>
    </row>
    <row r="3625">
      <c r="A3625" s="8"/>
      <c r="B3625" s="8"/>
      <c r="C3625" s="8"/>
      <c r="D3625" s="8"/>
      <c r="E3625" s="8"/>
      <c r="F3625" s="8"/>
      <c r="G3625" s="8"/>
      <c r="H3625" s="8"/>
      <c r="I3625" s="8"/>
      <c r="J3625" s="8"/>
      <c r="K3625" s="8"/>
    </row>
    <row r="3626">
      <c r="A3626" s="8"/>
      <c r="B3626" s="8"/>
      <c r="C3626" s="8"/>
      <c r="D3626" s="8"/>
      <c r="E3626" s="8"/>
      <c r="F3626" s="8"/>
      <c r="G3626" s="8"/>
      <c r="H3626" s="8"/>
      <c r="I3626" s="8"/>
      <c r="J3626" s="8"/>
      <c r="K3626" s="8"/>
    </row>
    <row r="3627">
      <c r="A3627" s="8"/>
      <c r="B3627" s="8"/>
      <c r="C3627" s="8"/>
      <c r="D3627" s="8"/>
      <c r="E3627" s="8"/>
      <c r="F3627" s="8"/>
      <c r="G3627" s="8"/>
      <c r="H3627" s="8"/>
      <c r="I3627" s="8"/>
      <c r="J3627" s="8"/>
      <c r="K3627" s="8"/>
    </row>
    <row r="3628">
      <c r="A3628" s="8"/>
      <c r="B3628" s="8"/>
      <c r="C3628" s="8"/>
      <c r="D3628" s="8"/>
      <c r="E3628" s="8"/>
      <c r="F3628" s="8"/>
      <c r="G3628" s="8"/>
      <c r="H3628" s="8"/>
      <c r="I3628" s="8"/>
      <c r="J3628" s="8"/>
      <c r="K3628" s="8"/>
    </row>
    <row r="3629">
      <c r="A3629" s="8"/>
      <c r="B3629" s="8"/>
      <c r="C3629" s="8"/>
      <c r="D3629" s="8"/>
      <c r="E3629" s="8"/>
      <c r="F3629" s="8"/>
      <c r="G3629" s="8"/>
      <c r="H3629" s="8"/>
      <c r="I3629" s="8"/>
      <c r="J3629" s="8"/>
      <c r="K3629" s="8"/>
    </row>
    <row r="3630">
      <c r="A3630" s="8"/>
      <c r="B3630" s="8"/>
      <c r="C3630" s="8"/>
      <c r="D3630" s="8"/>
      <c r="E3630" s="8"/>
      <c r="F3630" s="8"/>
      <c r="G3630" s="8"/>
      <c r="H3630" s="8"/>
      <c r="I3630" s="8"/>
      <c r="J3630" s="8"/>
      <c r="K3630" s="8"/>
    </row>
    <row r="3631">
      <c r="A3631" s="8"/>
      <c r="B3631" s="8"/>
      <c r="C3631" s="8"/>
      <c r="D3631" s="8"/>
      <c r="E3631" s="8"/>
      <c r="F3631" s="8"/>
      <c r="G3631" s="8"/>
      <c r="H3631" s="8"/>
      <c r="I3631" s="8"/>
      <c r="J3631" s="8"/>
      <c r="K3631" s="8"/>
    </row>
    <row r="3632">
      <c r="A3632" s="8"/>
      <c r="B3632" s="8"/>
      <c r="C3632" s="8"/>
      <c r="D3632" s="8"/>
      <c r="E3632" s="8"/>
      <c r="F3632" s="8"/>
      <c r="G3632" s="8"/>
      <c r="H3632" s="8"/>
      <c r="I3632" s="8"/>
      <c r="J3632" s="8"/>
      <c r="K3632" s="8"/>
    </row>
    <row r="3633">
      <c r="A3633" s="8"/>
      <c r="B3633" s="8"/>
      <c r="C3633" s="8"/>
      <c r="D3633" s="8"/>
      <c r="E3633" s="8"/>
      <c r="F3633" s="8"/>
      <c r="G3633" s="8"/>
      <c r="H3633" s="8"/>
      <c r="I3633" s="8"/>
      <c r="J3633" s="8"/>
      <c r="K3633" s="8"/>
    </row>
    <row r="3634">
      <c r="A3634" s="8"/>
      <c r="B3634" s="8"/>
      <c r="C3634" s="8"/>
      <c r="D3634" s="8"/>
      <c r="E3634" s="8"/>
      <c r="F3634" s="8"/>
      <c r="G3634" s="8"/>
      <c r="H3634" s="8"/>
      <c r="I3634" s="8"/>
      <c r="J3634" s="8"/>
      <c r="K3634" s="8"/>
    </row>
    <row r="3635">
      <c r="A3635" s="8"/>
      <c r="B3635" s="8"/>
      <c r="C3635" s="8"/>
      <c r="D3635" s="8"/>
      <c r="E3635" s="8"/>
      <c r="F3635" s="8"/>
      <c r="G3635" s="8"/>
      <c r="H3635" s="8"/>
      <c r="I3635" s="8"/>
      <c r="J3635" s="8"/>
      <c r="K3635" s="8"/>
    </row>
    <row r="3636">
      <c r="A3636" s="8"/>
      <c r="B3636" s="8"/>
      <c r="C3636" s="8"/>
      <c r="D3636" s="8"/>
      <c r="E3636" s="8"/>
      <c r="F3636" s="8"/>
      <c r="G3636" s="8"/>
      <c r="H3636" s="8"/>
      <c r="I3636" s="8"/>
      <c r="J3636" s="8"/>
      <c r="K3636" s="8"/>
    </row>
    <row r="3637">
      <c r="A3637" s="8"/>
      <c r="B3637" s="8"/>
      <c r="C3637" s="8"/>
      <c r="D3637" s="8"/>
      <c r="E3637" s="8"/>
      <c r="F3637" s="8"/>
      <c r="G3637" s="8"/>
      <c r="H3637" s="8"/>
      <c r="I3637" s="8"/>
      <c r="J3637" s="8"/>
      <c r="K3637" s="8"/>
    </row>
    <row r="3638">
      <c r="A3638" s="8"/>
      <c r="B3638" s="8"/>
      <c r="C3638" s="8"/>
      <c r="D3638" s="8"/>
      <c r="E3638" s="8"/>
      <c r="F3638" s="8"/>
      <c r="G3638" s="8"/>
      <c r="H3638" s="8"/>
      <c r="I3638" s="8"/>
      <c r="J3638" s="8"/>
      <c r="K3638" s="8"/>
    </row>
    <row r="3639">
      <c r="A3639" s="8"/>
      <c r="B3639" s="8"/>
      <c r="C3639" s="8"/>
      <c r="D3639" s="8"/>
      <c r="E3639" s="8"/>
      <c r="F3639" s="8"/>
      <c r="G3639" s="8"/>
      <c r="H3639" s="8"/>
      <c r="I3639" s="8"/>
      <c r="J3639" s="8"/>
      <c r="K3639" s="8"/>
    </row>
    <row r="3640">
      <c r="A3640" s="8"/>
      <c r="B3640" s="8"/>
      <c r="C3640" s="8"/>
      <c r="D3640" s="8"/>
      <c r="E3640" s="8"/>
      <c r="F3640" s="8"/>
      <c r="G3640" s="8"/>
      <c r="H3640" s="8"/>
      <c r="I3640" s="8"/>
      <c r="J3640" s="8"/>
      <c r="K3640" s="8"/>
    </row>
    <row r="3641">
      <c r="A3641" s="8"/>
      <c r="B3641" s="8"/>
      <c r="C3641" s="8"/>
      <c r="D3641" s="8"/>
      <c r="E3641" s="8"/>
      <c r="F3641" s="8"/>
      <c r="G3641" s="8"/>
      <c r="H3641" s="8"/>
      <c r="I3641" s="8"/>
      <c r="J3641" s="8"/>
      <c r="K3641" s="8"/>
    </row>
    <row r="3642">
      <c r="A3642" s="8"/>
      <c r="B3642" s="8"/>
      <c r="C3642" s="8"/>
      <c r="D3642" s="8"/>
      <c r="E3642" s="8"/>
      <c r="F3642" s="8"/>
      <c r="G3642" s="8"/>
      <c r="H3642" s="8"/>
      <c r="I3642" s="8"/>
      <c r="J3642" s="8"/>
      <c r="K3642" s="8"/>
    </row>
    <row r="3643">
      <c r="A3643" s="8"/>
      <c r="B3643" s="8"/>
      <c r="C3643" s="8"/>
      <c r="D3643" s="8"/>
      <c r="E3643" s="8"/>
      <c r="F3643" s="8"/>
      <c r="G3643" s="8"/>
      <c r="H3643" s="8"/>
      <c r="I3643" s="8"/>
      <c r="J3643" s="8"/>
      <c r="K3643" s="8"/>
    </row>
    <row r="3644">
      <c r="A3644" s="8"/>
      <c r="B3644" s="8"/>
      <c r="C3644" s="8"/>
      <c r="D3644" s="8"/>
      <c r="E3644" s="8"/>
      <c r="F3644" s="8"/>
      <c r="G3644" s="8"/>
      <c r="H3644" s="8"/>
      <c r="I3644" s="8"/>
      <c r="J3644" s="8"/>
      <c r="K3644" s="8"/>
    </row>
    <row r="3645">
      <c r="A3645" s="8"/>
      <c r="B3645" s="8"/>
      <c r="C3645" s="8"/>
      <c r="D3645" s="8"/>
      <c r="E3645" s="8"/>
      <c r="F3645" s="8"/>
      <c r="G3645" s="8"/>
      <c r="H3645" s="8"/>
      <c r="I3645" s="8"/>
      <c r="J3645" s="8"/>
      <c r="K3645" s="8"/>
    </row>
    <row r="3646">
      <c r="A3646" s="8"/>
      <c r="B3646" s="8"/>
      <c r="C3646" s="8"/>
      <c r="D3646" s="8"/>
      <c r="E3646" s="8"/>
      <c r="F3646" s="8"/>
      <c r="G3646" s="8"/>
      <c r="H3646" s="8"/>
      <c r="I3646" s="8"/>
      <c r="J3646" s="8"/>
      <c r="K3646" s="8"/>
    </row>
    <row r="3647">
      <c r="A3647" s="8"/>
      <c r="B3647" s="8"/>
      <c r="C3647" s="8"/>
      <c r="D3647" s="8"/>
      <c r="E3647" s="8"/>
      <c r="F3647" s="8"/>
      <c r="G3647" s="8"/>
      <c r="H3647" s="8"/>
      <c r="I3647" s="8"/>
      <c r="J3647" s="8"/>
      <c r="K3647" s="8"/>
    </row>
    <row r="3648">
      <c r="A3648" s="8"/>
      <c r="B3648" s="8"/>
      <c r="C3648" s="8"/>
      <c r="D3648" s="8"/>
      <c r="E3648" s="8"/>
      <c r="F3648" s="8"/>
      <c r="G3648" s="8"/>
      <c r="H3648" s="8"/>
      <c r="I3648" s="8"/>
      <c r="J3648" s="8"/>
      <c r="K3648" s="8"/>
    </row>
    <row r="3649">
      <c r="A3649" s="8"/>
      <c r="B3649" s="8"/>
      <c r="C3649" s="8"/>
      <c r="D3649" s="8"/>
      <c r="E3649" s="8"/>
      <c r="F3649" s="8"/>
      <c r="G3649" s="8"/>
      <c r="H3649" s="8"/>
      <c r="I3649" s="8"/>
      <c r="J3649" s="8"/>
      <c r="K3649" s="8"/>
    </row>
    <row r="3650">
      <c r="A3650" s="8"/>
      <c r="B3650" s="8"/>
      <c r="C3650" s="8"/>
      <c r="D3650" s="8"/>
      <c r="E3650" s="8"/>
      <c r="F3650" s="8"/>
      <c r="G3650" s="8"/>
      <c r="H3650" s="8"/>
      <c r="I3650" s="8"/>
      <c r="J3650" s="8"/>
      <c r="K3650" s="8"/>
    </row>
    <row r="3651">
      <c r="A3651" s="8"/>
      <c r="B3651" s="8"/>
      <c r="C3651" s="8"/>
      <c r="D3651" s="8"/>
      <c r="E3651" s="8"/>
      <c r="F3651" s="8"/>
      <c r="G3651" s="8"/>
      <c r="H3651" s="8"/>
      <c r="I3651" s="8"/>
      <c r="J3651" s="8"/>
      <c r="K3651" s="8"/>
    </row>
    <row r="3652">
      <c r="A3652" s="8"/>
      <c r="B3652" s="8"/>
      <c r="C3652" s="8"/>
      <c r="D3652" s="8"/>
      <c r="E3652" s="8"/>
      <c r="F3652" s="8"/>
      <c r="G3652" s="8"/>
      <c r="H3652" s="8"/>
      <c r="I3652" s="8"/>
      <c r="J3652" s="8"/>
      <c r="K3652" s="8"/>
    </row>
    <row r="3653">
      <c r="A3653" s="8"/>
      <c r="B3653" s="8"/>
      <c r="C3653" s="8"/>
      <c r="D3653" s="8"/>
      <c r="E3653" s="8"/>
      <c r="F3653" s="8"/>
      <c r="G3653" s="8"/>
      <c r="H3653" s="8"/>
      <c r="I3653" s="8"/>
      <c r="J3653" s="8"/>
      <c r="K3653" s="8"/>
    </row>
    <row r="3654">
      <c r="A3654" s="8"/>
      <c r="B3654" s="8"/>
      <c r="C3654" s="8"/>
      <c r="D3654" s="8"/>
      <c r="E3654" s="8"/>
      <c r="F3654" s="8"/>
      <c r="G3654" s="8"/>
      <c r="H3654" s="8"/>
      <c r="I3654" s="8"/>
      <c r="J3654" s="8"/>
      <c r="K3654" s="8"/>
    </row>
    <row r="3655">
      <c r="A3655" s="8"/>
      <c r="B3655" s="8"/>
      <c r="C3655" s="8"/>
      <c r="D3655" s="8"/>
      <c r="E3655" s="8"/>
      <c r="F3655" s="8"/>
      <c r="G3655" s="8"/>
      <c r="H3655" s="8"/>
      <c r="I3655" s="8"/>
      <c r="J3655" s="8"/>
      <c r="K3655" s="8"/>
    </row>
    <row r="3656">
      <c r="A3656" s="8"/>
      <c r="B3656" s="8"/>
      <c r="C3656" s="8"/>
      <c r="D3656" s="8"/>
      <c r="E3656" s="8"/>
      <c r="F3656" s="8"/>
      <c r="G3656" s="8"/>
      <c r="H3656" s="8"/>
      <c r="I3656" s="8"/>
      <c r="J3656" s="8"/>
      <c r="K3656" s="8"/>
    </row>
    <row r="3657">
      <c r="A3657" s="8"/>
      <c r="B3657" s="8"/>
      <c r="C3657" s="8"/>
      <c r="D3657" s="8"/>
      <c r="E3657" s="8"/>
      <c r="F3657" s="8"/>
      <c r="G3657" s="8"/>
      <c r="H3657" s="8"/>
      <c r="I3657" s="8"/>
      <c r="J3657" s="8"/>
      <c r="K3657" s="8"/>
    </row>
    <row r="3658">
      <c r="A3658" s="8"/>
      <c r="B3658" s="8"/>
      <c r="C3658" s="8"/>
      <c r="D3658" s="8"/>
      <c r="E3658" s="8"/>
      <c r="F3658" s="8"/>
      <c r="G3658" s="8"/>
      <c r="H3658" s="8"/>
      <c r="I3658" s="8"/>
      <c r="J3658" s="8"/>
      <c r="K3658" s="8"/>
    </row>
    <row r="3659">
      <c r="A3659" s="8"/>
      <c r="B3659" s="8"/>
      <c r="C3659" s="8"/>
      <c r="D3659" s="8"/>
      <c r="E3659" s="8"/>
      <c r="F3659" s="8"/>
      <c r="G3659" s="8"/>
      <c r="H3659" s="8"/>
      <c r="I3659" s="8"/>
      <c r="J3659" s="8"/>
      <c r="K3659" s="8"/>
    </row>
    <row r="3660">
      <c r="A3660" s="8"/>
      <c r="B3660" s="8"/>
      <c r="C3660" s="8"/>
      <c r="D3660" s="8"/>
      <c r="E3660" s="8"/>
      <c r="F3660" s="8"/>
      <c r="G3660" s="8"/>
      <c r="H3660" s="8"/>
      <c r="I3660" s="8"/>
      <c r="J3660" s="8"/>
      <c r="K3660" s="8"/>
    </row>
    <row r="3661">
      <c r="A3661" s="8"/>
      <c r="B3661" s="8"/>
      <c r="C3661" s="8"/>
      <c r="D3661" s="8"/>
      <c r="E3661" s="8"/>
      <c r="F3661" s="8"/>
      <c r="G3661" s="8"/>
      <c r="H3661" s="8"/>
      <c r="I3661" s="8"/>
      <c r="J3661" s="8"/>
      <c r="K3661" s="8"/>
    </row>
    <row r="3662">
      <c r="A3662" s="8"/>
      <c r="B3662" s="8"/>
      <c r="C3662" s="8"/>
      <c r="D3662" s="8"/>
      <c r="E3662" s="8"/>
      <c r="F3662" s="8"/>
      <c r="G3662" s="8"/>
      <c r="H3662" s="8"/>
      <c r="I3662" s="8"/>
      <c r="J3662" s="8"/>
      <c r="K3662" s="8"/>
    </row>
    <row r="3663">
      <c r="A3663" s="8"/>
      <c r="B3663" s="8"/>
      <c r="C3663" s="8"/>
      <c r="D3663" s="8"/>
      <c r="E3663" s="8"/>
      <c r="F3663" s="8"/>
      <c r="G3663" s="8"/>
      <c r="H3663" s="8"/>
      <c r="I3663" s="8"/>
      <c r="J3663" s="8"/>
      <c r="K3663" s="8"/>
    </row>
    <row r="3664">
      <c r="A3664" s="8"/>
      <c r="B3664" s="8"/>
      <c r="C3664" s="8"/>
      <c r="D3664" s="8"/>
      <c r="E3664" s="8"/>
      <c r="F3664" s="8"/>
      <c r="G3664" s="8"/>
      <c r="H3664" s="8"/>
      <c r="I3664" s="8"/>
      <c r="J3664" s="8"/>
      <c r="K3664" s="8"/>
    </row>
    <row r="3665">
      <c r="A3665" s="8"/>
      <c r="B3665" s="8"/>
      <c r="C3665" s="8"/>
      <c r="D3665" s="8"/>
      <c r="E3665" s="8"/>
      <c r="F3665" s="8"/>
      <c r="G3665" s="8"/>
      <c r="H3665" s="8"/>
      <c r="I3665" s="8"/>
      <c r="J3665" s="8"/>
      <c r="K3665" s="8"/>
    </row>
    <row r="3666">
      <c r="A3666" s="8"/>
      <c r="B3666" s="8"/>
      <c r="C3666" s="8"/>
      <c r="D3666" s="8"/>
      <c r="E3666" s="8"/>
      <c r="F3666" s="8"/>
      <c r="G3666" s="8"/>
      <c r="H3666" s="8"/>
      <c r="I3666" s="8"/>
      <c r="J3666" s="8"/>
      <c r="K3666" s="8"/>
    </row>
    <row r="3667">
      <c r="A3667" s="8"/>
      <c r="B3667" s="8"/>
      <c r="C3667" s="8"/>
      <c r="D3667" s="8"/>
      <c r="E3667" s="8"/>
      <c r="F3667" s="8"/>
      <c r="G3667" s="8"/>
      <c r="H3667" s="8"/>
      <c r="I3667" s="8"/>
      <c r="J3667" s="8"/>
      <c r="K3667" s="8"/>
    </row>
    <row r="3668">
      <c r="A3668" s="8"/>
      <c r="B3668" s="8"/>
      <c r="C3668" s="8"/>
      <c r="D3668" s="8"/>
      <c r="E3668" s="8"/>
      <c r="F3668" s="8"/>
      <c r="G3668" s="8"/>
      <c r="H3668" s="8"/>
      <c r="I3668" s="8"/>
      <c r="J3668" s="8"/>
      <c r="K3668" s="8"/>
    </row>
    <row r="3669">
      <c r="A3669" s="8"/>
      <c r="B3669" s="8"/>
      <c r="C3669" s="8"/>
      <c r="D3669" s="8"/>
      <c r="E3669" s="8"/>
      <c r="F3669" s="8"/>
      <c r="G3669" s="8"/>
      <c r="H3669" s="8"/>
      <c r="I3669" s="8"/>
      <c r="J3669" s="8"/>
      <c r="K3669" s="8"/>
    </row>
    <row r="3670">
      <c r="A3670" s="8"/>
      <c r="B3670" s="8"/>
      <c r="C3670" s="8"/>
      <c r="D3670" s="8"/>
      <c r="E3670" s="8"/>
      <c r="F3670" s="8"/>
      <c r="G3670" s="8"/>
      <c r="H3670" s="8"/>
      <c r="I3670" s="8"/>
      <c r="J3670" s="8"/>
      <c r="K3670" s="8"/>
    </row>
    <row r="3671">
      <c r="A3671" s="8"/>
      <c r="B3671" s="8"/>
      <c r="C3671" s="8"/>
      <c r="D3671" s="8"/>
      <c r="E3671" s="8"/>
      <c r="F3671" s="8"/>
      <c r="G3671" s="8"/>
      <c r="H3671" s="8"/>
      <c r="I3671" s="8"/>
      <c r="J3671" s="8"/>
      <c r="K3671" s="8"/>
    </row>
    <row r="3672">
      <c r="A3672" s="8"/>
      <c r="B3672" s="8"/>
      <c r="C3672" s="8"/>
      <c r="D3672" s="8"/>
      <c r="E3672" s="8"/>
      <c r="F3672" s="8"/>
      <c r="G3672" s="8"/>
      <c r="H3672" s="8"/>
      <c r="I3672" s="8"/>
      <c r="J3672" s="8"/>
      <c r="K3672" s="8"/>
    </row>
    <row r="3673">
      <c r="A3673" s="8"/>
      <c r="B3673" s="8"/>
      <c r="C3673" s="8"/>
      <c r="D3673" s="8"/>
      <c r="E3673" s="8"/>
      <c r="F3673" s="8"/>
      <c r="G3673" s="8"/>
      <c r="H3673" s="8"/>
      <c r="I3673" s="8"/>
      <c r="J3673" s="8"/>
      <c r="K3673" s="8"/>
    </row>
    <row r="3674">
      <c r="A3674" s="8"/>
      <c r="B3674" s="8"/>
      <c r="C3674" s="8"/>
      <c r="D3674" s="8"/>
      <c r="E3674" s="8"/>
      <c r="F3674" s="8"/>
      <c r="G3674" s="8"/>
      <c r="H3674" s="8"/>
      <c r="I3674" s="8"/>
      <c r="J3674" s="8"/>
      <c r="K3674" s="8"/>
    </row>
    <row r="3675">
      <c r="A3675" s="8"/>
      <c r="B3675" s="8"/>
      <c r="C3675" s="8"/>
      <c r="D3675" s="8"/>
      <c r="E3675" s="8"/>
      <c r="F3675" s="8"/>
      <c r="G3675" s="8"/>
      <c r="H3675" s="8"/>
      <c r="I3675" s="8"/>
      <c r="J3675" s="8"/>
      <c r="K3675" s="8"/>
    </row>
    <row r="3676">
      <c r="A3676" s="8"/>
      <c r="B3676" s="8"/>
      <c r="C3676" s="8"/>
      <c r="D3676" s="8"/>
      <c r="E3676" s="8"/>
      <c r="F3676" s="8"/>
      <c r="G3676" s="8"/>
      <c r="H3676" s="8"/>
      <c r="I3676" s="8"/>
      <c r="J3676" s="8"/>
      <c r="K3676" s="8"/>
    </row>
    <row r="3677">
      <c r="A3677" s="8"/>
      <c r="B3677" s="8"/>
      <c r="C3677" s="8"/>
      <c r="D3677" s="8"/>
      <c r="E3677" s="8"/>
      <c r="F3677" s="8"/>
      <c r="G3677" s="8"/>
      <c r="H3677" s="8"/>
      <c r="I3677" s="8"/>
      <c r="J3677" s="8"/>
      <c r="K3677" s="8"/>
    </row>
    <row r="3678">
      <c r="A3678" s="8"/>
      <c r="B3678" s="8"/>
      <c r="C3678" s="8"/>
      <c r="D3678" s="8"/>
      <c r="E3678" s="8"/>
      <c r="F3678" s="8"/>
      <c r="G3678" s="8"/>
      <c r="H3678" s="8"/>
      <c r="I3678" s="8"/>
      <c r="J3678" s="8"/>
      <c r="K3678" s="8"/>
    </row>
    <row r="3679">
      <c r="A3679" s="8"/>
      <c r="B3679" s="8"/>
      <c r="C3679" s="8"/>
      <c r="D3679" s="8"/>
      <c r="E3679" s="8"/>
      <c r="F3679" s="8"/>
      <c r="G3679" s="8"/>
      <c r="H3679" s="8"/>
      <c r="I3679" s="8"/>
      <c r="J3679" s="8"/>
      <c r="K3679" s="8"/>
    </row>
    <row r="3680">
      <c r="A3680" s="8"/>
      <c r="B3680" s="8"/>
      <c r="C3680" s="8"/>
      <c r="D3680" s="8"/>
      <c r="E3680" s="8"/>
      <c r="F3680" s="8"/>
      <c r="G3680" s="8"/>
      <c r="H3680" s="8"/>
      <c r="I3680" s="8"/>
      <c r="J3680" s="8"/>
      <c r="K3680" s="8"/>
    </row>
    <row r="3681">
      <c r="A3681" s="8"/>
      <c r="B3681" s="8"/>
      <c r="C3681" s="8"/>
      <c r="D3681" s="8"/>
      <c r="E3681" s="8"/>
      <c r="F3681" s="8"/>
      <c r="G3681" s="8"/>
      <c r="H3681" s="8"/>
      <c r="I3681" s="8"/>
      <c r="J3681" s="8"/>
      <c r="K3681" s="8"/>
    </row>
    <row r="3682">
      <c r="A3682" s="8"/>
      <c r="B3682" s="8"/>
      <c r="C3682" s="8"/>
      <c r="D3682" s="8"/>
      <c r="E3682" s="8"/>
      <c r="F3682" s="8"/>
      <c r="G3682" s="8"/>
      <c r="H3682" s="8"/>
      <c r="I3682" s="8"/>
      <c r="J3682" s="8"/>
      <c r="K3682" s="8"/>
    </row>
    <row r="3683">
      <c r="A3683" s="8"/>
      <c r="B3683" s="8"/>
      <c r="C3683" s="8"/>
      <c r="D3683" s="8"/>
      <c r="E3683" s="8"/>
      <c r="F3683" s="8"/>
      <c r="G3683" s="8"/>
      <c r="H3683" s="8"/>
      <c r="I3683" s="8"/>
      <c r="J3683" s="8"/>
      <c r="K3683" s="8"/>
    </row>
    <row r="3684">
      <c r="A3684" s="8"/>
      <c r="B3684" s="8"/>
      <c r="C3684" s="8"/>
      <c r="D3684" s="8"/>
      <c r="E3684" s="8"/>
      <c r="F3684" s="8"/>
      <c r="G3684" s="8"/>
      <c r="H3684" s="8"/>
      <c r="I3684" s="8"/>
      <c r="J3684" s="8"/>
      <c r="K3684" s="8"/>
    </row>
    <row r="3685">
      <c r="A3685" s="8"/>
      <c r="B3685" s="8"/>
      <c r="C3685" s="8"/>
      <c r="D3685" s="8"/>
      <c r="E3685" s="8"/>
      <c r="F3685" s="8"/>
      <c r="G3685" s="8"/>
      <c r="H3685" s="8"/>
      <c r="I3685" s="8"/>
      <c r="J3685" s="8"/>
      <c r="K3685" s="8"/>
    </row>
    <row r="3686">
      <c r="A3686" s="8"/>
      <c r="B3686" s="8"/>
      <c r="C3686" s="8"/>
      <c r="D3686" s="8"/>
      <c r="E3686" s="8"/>
      <c r="F3686" s="8"/>
      <c r="G3686" s="8"/>
      <c r="H3686" s="8"/>
      <c r="I3686" s="8"/>
      <c r="J3686" s="8"/>
      <c r="K3686" s="8"/>
    </row>
    <row r="3687">
      <c r="A3687" s="8"/>
      <c r="B3687" s="8"/>
      <c r="C3687" s="8"/>
      <c r="D3687" s="8"/>
      <c r="E3687" s="8"/>
      <c r="F3687" s="8"/>
      <c r="G3687" s="8"/>
      <c r="H3687" s="8"/>
      <c r="I3687" s="8"/>
      <c r="J3687" s="8"/>
      <c r="K3687" s="8"/>
    </row>
    <row r="3688">
      <c r="A3688" s="8"/>
      <c r="B3688" s="8"/>
      <c r="C3688" s="8"/>
      <c r="D3688" s="8"/>
      <c r="E3688" s="8"/>
      <c r="F3688" s="8"/>
      <c r="G3688" s="8"/>
      <c r="H3688" s="8"/>
      <c r="I3688" s="8"/>
      <c r="J3688" s="8"/>
      <c r="K3688" s="8"/>
    </row>
    <row r="3689">
      <c r="A3689" s="8"/>
      <c r="B3689" s="8"/>
      <c r="C3689" s="8"/>
      <c r="D3689" s="8"/>
      <c r="E3689" s="8"/>
      <c r="F3689" s="8"/>
      <c r="G3689" s="8"/>
      <c r="H3689" s="8"/>
      <c r="I3689" s="8"/>
      <c r="J3689" s="8"/>
      <c r="K3689" s="8"/>
    </row>
    <row r="3690">
      <c r="A3690" s="8"/>
      <c r="B3690" s="8"/>
      <c r="C3690" s="8"/>
      <c r="D3690" s="8"/>
      <c r="E3690" s="8"/>
      <c r="F3690" s="8"/>
      <c r="G3690" s="8"/>
      <c r="H3690" s="8"/>
      <c r="I3690" s="8"/>
      <c r="J3690" s="8"/>
      <c r="K3690" s="8"/>
    </row>
    <row r="3691">
      <c r="A3691" s="8"/>
      <c r="B3691" s="8"/>
      <c r="C3691" s="8"/>
      <c r="D3691" s="8"/>
      <c r="E3691" s="8"/>
      <c r="F3691" s="8"/>
      <c r="G3691" s="8"/>
      <c r="H3691" s="8"/>
      <c r="I3691" s="8"/>
      <c r="J3691" s="8"/>
      <c r="K3691" s="8"/>
    </row>
    <row r="3692">
      <c r="A3692" s="8"/>
      <c r="B3692" s="8"/>
      <c r="C3692" s="8"/>
      <c r="D3692" s="8"/>
      <c r="E3692" s="8"/>
      <c r="F3692" s="8"/>
      <c r="G3692" s="8"/>
      <c r="H3692" s="8"/>
      <c r="I3692" s="8"/>
      <c r="J3692" s="8"/>
      <c r="K3692" s="8"/>
    </row>
    <row r="3693">
      <c r="A3693" s="8"/>
      <c r="B3693" s="8"/>
      <c r="C3693" s="8"/>
      <c r="D3693" s="8"/>
      <c r="E3693" s="8"/>
      <c r="F3693" s="8"/>
      <c r="G3693" s="8"/>
      <c r="H3693" s="8"/>
      <c r="I3693" s="8"/>
      <c r="J3693" s="8"/>
      <c r="K3693" s="8"/>
    </row>
    <row r="3694">
      <c r="A3694" s="8"/>
      <c r="B3694" s="8"/>
      <c r="C3694" s="8"/>
      <c r="D3694" s="8"/>
      <c r="E3694" s="8"/>
      <c r="F3694" s="8"/>
      <c r="G3694" s="8"/>
      <c r="H3694" s="8"/>
      <c r="I3694" s="8"/>
      <c r="J3694" s="8"/>
      <c r="K3694" s="8"/>
    </row>
    <row r="3695">
      <c r="A3695" s="8"/>
      <c r="B3695" s="8"/>
      <c r="C3695" s="8"/>
      <c r="D3695" s="8"/>
      <c r="E3695" s="8"/>
      <c r="F3695" s="8"/>
      <c r="G3695" s="8"/>
      <c r="H3695" s="8"/>
      <c r="I3695" s="8"/>
      <c r="J3695" s="8"/>
      <c r="K3695" s="8"/>
    </row>
    <row r="3696">
      <c r="A3696" s="8"/>
      <c r="B3696" s="8"/>
      <c r="C3696" s="8"/>
      <c r="D3696" s="8"/>
      <c r="E3696" s="8"/>
      <c r="F3696" s="8"/>
      <c r="G3696" s="8"/>
      <c r="H3696" s="8"/>
      <c r="I3696" s="8"/>
      <c r="J3696" s="8"/>
      <c r="K3696" s="8"/>
    </row>
    <row r="3697">
      <c r="A3697" s="8"/>
      <c r="B3697" s="8"/>
      <c r="C3697" s="8"/>
      <c r="D3697" s="8"/>
      <c r="E3697" s="8"/>
      <c r="F3697" s="8"/>
      <c r="G3697" s="8"/>
      <c r="H3697" s="8"/>
      <c r="I3697" s="8"/>
      <c r="J3697" s="8"/>
      <c r="K3697" s="8"/>
    </row>
    <row r="3698">
      <c r="A3698" s="8"/>
      <c r="B3698" s="8"/>
      <c r="C3698" s="8"/>
      <c r="D3698" s="8"/>
      <c r="E3698" s="8"/>
      <c r="F3698" s="8"/>
      <c r="G3698" s="8"/>
      <c r="H3698" s="8"/>
      <c r="I3698" s="8"/>
      <c r="J3698" s="8"/>
      <c r="K3698" s="8"/>
    </row>
    <row r="3699">
      <c r="A3699" s="8"/>
      <c r="B3699" s="8"/>
      <c r="C3699" s="8"/>
      <c r="D3699" s="8"/>
      <c r="E3699" s="8"/>
      <c r="F3699" s="8"/>
      <c r="G3699" s="8"/>
      <c r="H3699" s="8"/>
      <c r="I3699" s="8"/>
      <c r="J3699" s="8"/>
      <c r="K3699" s="8"/>
    </row>
    <row r="3700">
      <c r="A3700" s="8"/>
      <c r="B3700" s="8"/>
      <c r="C3700" s="8"/>
      <c r="D3700" s="8"/>
      <c r="E3700" s="8"/>
      <c r="F3700" s="8"/>
      <c r="G3700" s="8"/>
      <c r="H3700" s="8"/>
      <c r="I3700" s="8"/>
      <c r="J3700" s="8"/>
      <c r="K3700" s="8"/>
    </row>
    <row r="3701">
      <c r="A3701" s="8"/>
      <c r="B3701" s="8"/>
      <c r="C3701" s="8"/>
      <c r="D3701" s="8"/>
      <c r="E3701" s="8"/>
      <c r="F3701" s="8"/>
      <c r="G3701" s="8"/>
      <c r="H3701" s="8"/>
      <c r="I3701" s="8"/>
      <c r="J3701" s="8"/>
      <c r="K3701" s="8"/>
    </row>
    <row r="3702">
      <c r="A3702" s="8"/>
      <c r="B3702" s="8"/>
      <c r="C3702" s="8"/>
      <c r="D3702" s="8"/>
      <c r="E3702" s="8"/>
      <c r="F3702" s="8"/>
      <c r="G3702" s="8"/>
      <c r="H3702" s="8"/>
      <c r="I3702" s="8"/>
      <c r="J3702" s="8"/>
      <c r="K3702" s="8"/>
    </row>
    <row r="3703">
      <c r="A3703" s="8"/>
      <c r="B3703" s="8"/>
      <c r="C3703" s="8"/>
      <c r="D3703" s="8"/>
      <c r="E3703" s="8"/>
      <c r="F3703" s="8"/>
      <c r="G3703" s="8"/>
      <c r="H3703" s="8"/>
      <c r="I3703" s="8"/>
      <c r="J3703" s="8"/>
      <c r="K3703" s="8"/>
    </row>
    <row r="3704">
      <c r="A3704" s="8"/>
      <c r="B3704" s="8"/>
      <c r="C3704" s="8"/>
      <c r="D3704" s="8"/>
      <c r="E3704" s="8"/>
      <c r="F3704" s="8"/>
      <c r="G3704" s="8"/>
      <c r="H3704" s="8"/>
      <c r="I3704" s="8"/>
      <c r="J3704" s="8"/>
      <c r="K3704" s="8"/>
    </row>
    <row r="3705">
      <c r="A3705" s="8"/>
      <c r="B3705" s="8"/>
      <c r="C3705" s="8"/>
      <c r="D3705" s="8"/>
      <c r="E3705" s="8"/>
      <c r="F3705" s="8"/>
      <c r="G3705" s="8"/>
      <c r="H3705" s="8"/>
      <c r="I3705" s="8"/>
      <c r="J3705" s="8"/>
      <c r="K3705" s="8"/>
    </row>
    <row r="3706">
      <c r="A3706" s="8"/>
      <c r="B3706" s="8"/>
      <c r="C3706" s="8"/>
      <c r="D3706" s="8"/>
      <c r="E3706" s="8"/>
      <c r="F3706" s="8"/>
      <c r="G3706" s="8"/>
      <c r="H3706" s="8"/>
      <c r="I3706" s="8"/>
      <c r="J3706" s="8"/>
      <c r="K3706" s="8"/>
    </row>
    <row r="3707">
      <c r="A3707" s="8"/>
      <c r="B3707" s="8"/>
      <c r="C3707" s="8"/>
      <c r="D3707" s="8"/>
      <c r="E3707" s="8"/>
      <c r="F3707" s="8"/>
      <c r="G3707" s="8"/>
      <c r="H3707" s="8"/>
      <c r="I3707" s="8"/>
      <c r="J3707" s="8"/>
      <c r="K3707" s="8"/>
    </row>
    <row r="3708">
      <c r="A3708" s="8"/>
      <c r="B3708" s="8"/>
      <c r="C3708" s="8"/>
      <c r="D3708" s="8"/>
      <c r="E3708" s="8"/>
      <c r="F3708" s="8"/>
      <c r="G3708" s="8"/>
      <c r="H3708" s="8"/>
      <c r="I3708" s="8"/>
      <c r="J3708" s="8"/>
      <c r="K3708" s="8"/>
    </row>
    <row r="3709">
      <c r="A3709" s="8"/>
      <c r="B3709" s="8"/>
      <c r="C3709" s="8"/>
      <c r="D3709" s="8"/>
      <c r="E3709" s="8"/>
      <c r="F3709" s="8"/>
      <c r="G3709" s="8"/>
      <c r="H3709" s="8"/>
      <c r="I3709" s="8"/>
      <c r="J3709" s="8"/>
      <c r="K3709" s="8"/>
    </row>
    <row r="3710">
      <c r="A3710" s="8"/>
      <c r="B3710" s="8"/>
      <c r="C3710" s="8"/>
      <c r="D3710" s="8"/>
      <c r="E3710" s="8"/>
      <c r="F3710" s="8"/>
      <c r="G3710" s="8"/>
      <c r="H3710" s="8"/>
      <c r="I3710" s="8"/>
      <c r="J3710" s="8"/>
      <c r="K3710" s="8"/>
    </row>
    <row r="3711">
      <c r="A3711" s="8"/>
      <c r="B3711" s="8"/>
      <c r="C3711" s="8"/>
      <c r="D3711" s="8"/>
      <c r="E3711" s="8"/>
      <c r="F3711" s="8"/>
      <c r="G3711" s="8"/>
      <c r="H3711" s="8"/>
      <c r="I3711" s="8"/>
      <c r="J3711" s="8"/>
      <c r="K3711" s="8"/>
    </row>
    <row r="3712">
      <c r="A3712" s="8"/>
      <c r="B3712" s="8"/>
      <c r="C3712" s="8"/>
      <c r="D3712" s="8"/>
      <c r="E3712" s="8"/>
      <c r="F3712" s="8"/>
      <c r="G3712" s="8"/>
      <c r="H3712" s="8"/>
      <c r="I3712" s="8"/>
      <c r="J3712" s="8"/>
      <c r="K3712" s="8"/>
    </row>
    <row r="3713">
      <c r="A3713" s="8"/>
      <c r="B3713" s="8"/>
      <c r="C3713" s="8"/>
      <c r="D3713" s="8"/>
      <c r="E3713" s="8"/>
      <c r="F3713" s="8"/>
      <c r="G3713" s="8"/>
      <c r="H3713" s="8"/>
      <c r="I3713" s="8"/>
      <c r="J3713" s="8"/>
      <c r="K3713" s="8"/>
    </row>
    <row r="3714">
      <c r="A3714" s="8"/>
      <c r="B3714" s="8"/>
      <c r="C3714" s="8"/>
      <c r="D3714" s="8"/>
      <c r="E3714" s="8"/>
      <c r="F3714" s="8"/>
      <c r="G3714" s="8"/>
      <c r="H3714" s="8"/>
      <c r="I3714" s="8"/>
      <c r="J3714" s="8"/>
      <c r="K3714" s="8"/>
    </row>
    <row r="3715">
      <c r="A3715" s="8"/>
      <c r="B3715" s="8"/>
      <c r="C3715" s="8"/>
      <c r="D3715" s="8"/>
      <c r="E3715" s="8"/>
      <c r="F3715" s="8"/>
      <c r="G3715" s="8"/>
      <c r="H3715" s="8"/>
      <c r="I3715" s="8"/>
      <c r="J3715" s="8"/>
      <c r="K3715" s="8"/>
    </row>
    <row r="3716">
      <c r="A3716" s="8"/>
      <c r="B3716" s="8"/>
      <c r="C3716" s="8"/>
      <c r="D3716" s="8"/>
      <c r="E3716" s="8"/>
      <c r="F3716" s="8"/>
      <c r="G3716" s="8"/>
      <c r="H3716" s="8"/>
      <c r="I3716" s="8"/>
      <c r="J3716" s="8"/>
      <c r="K3716" s="8"/>
    </row>
    <row r="3717">
      <c r="A3717" s="8"/>
      <c r="B3717" s="8"/>
      <c r="C3717" s="8"/>
      <c r="D3717" s="8"/>
      <c r="E3717" s="8"/>
      <c r="F3717" s="8"/>
      <c r="G3717" s="8"/>
      <c r="H3717" s="8"/>
      <c r="I3717" s="8"/>
      <c r="J3717" s="8"/>
      <c r="K3717" s="8"/>
    </row>
    <row r="3718">
      <c r="A3718" s="8"/>
      <c r="B3718" s="8"/>
      <c r="C3718" s="8"/>
      <c r="D3718" s="8"/>
      <c r="E3718" s="8"/>
      <c r="F3718" s="8"/>
      <c r="G3718" s="8"/>
      <c r="H3718" s="8"/>
      <c r="I3718" s="8"/>
      <c r="J3718" s="8"/>
      <c r="K3718" s="8"/>
    </row>
    <row r="3719">
      <c r="A3719" s="8"/>
      <c r="B3719" s="8"/>
      <c r="C3719" s="8"/>
      <c r="D3719" s="8"/>
      <c r="E3719" s="8"/>
      <c r="F3719" s="8"/>
      <c r="G3719" s="8"/>
      <c r="H3719" s="8"/>
      <c r="I3719" s="8"/>
      <c r="J3719" s="8"/>
      <c r="K3719" s="8"/>
    </row>
    <row r="3720">
      <c r="A3720" s="8"/>
      <c r="B3720" s="8"/>
      <c r="C3720" s="8"/>
      <c r="D3720" s="8"/>
      <c r="E3720" s="8"/>
      <c r="F3720" s="8"/>
      <c r="G3720" s="8"/>
      <c r="H3720" s="8"/>
      <c r="I3720" s="8"/>
      <c r="J3720" s="8"/>
      <c r="K3720" s="8"/>
    </row>
    <row r="3721">
      <c r="A3721" s="8"/>
      <c r="B3721" s="8"/>
      <c r="C3721" s="8"/>
      <c r="D3721" s="8"/>
      <c r="E3721" s="8"/>
      <c r="F3721" s="8"/>
      <c r="G3721" s="8"/>
      <c r="H3721" s="8"/>
      <c r="I3721" s="8"/>
      <c r="J3721" s="8"/>
      <c r="K3721" s="8"/>
    </row>
    <row r="3722">
      <c r="A3722" s="8"/>
      <c r="B3722" s="8"/>
      <c r="C3722" s="8"/>
      <c r="D3722" s="8"/>
      <c r="E3722" s="8"/>
      <c r="F3722" s="8"/>
      <c r="G3722" s="8"/>
      <c r="H3722" s="8"/>
      <c r="I3722" s="8"/>
      <c r="J3722" s="8"/>
      <c r="K3722" s="8"/>
    </row>
    <row r="3723">
      <c r="A3723" s="8"/>
      <c r="B3723" s="8"/>
      <c r="C3723" s="8"/>
      <c r="D3723" s="8"/>
      <c r="E3723" s="8"/>
      <c r="F3723" s="8"/>
      <c r="G3723" s="8"/>
      <c r="H3723" s="8"/>
      <c r="I3723" s="8"/>
      <c r="J3723" s="8"/>
      <c r="K3723" s="8"/>
    </row>
    <row r="3724">
      <c r="A3724" s="8"/>
      <c r="B3724" s="8"/>
      <c r="C3724" s="8"/>
      <c r="D3724" s="8"/>
      <c r="E3724" s="8"/>
      <c r="F3724" s="8"/>
      <c r="G3724" s="8"/>
      <c r="H3724" s="8"/>
      <c r="I3724" s="8"/>
      <c r="J3724" s="8"/>
      <c r="K3724" s="8"/>
    </row>
    <row r="3725">
      <c r="A3725" s="8"/>
      <c r="B3725" s="8"/>
      <c r="C3725" s="8"/>
      <c r="D3725" s="8"/>
      <c r="E3725" s="8"/>
      <c r="F3725" s="8"/>
      <c r="G3725" s="8"/>
      <c r="H3725" s="8"/>
      <c r="I3725" s="8"/>
      <c r="J3725" s="8"/>
      <c r="K3725" s="8"/>
    </row>
    <row r="3726">
      <c r="A3726" s="8"/>
      <c r="B3726" s="8"/>
      <c r="C3726" s="8"/>
      <c r="D3726" s="8"/>
      <c r="E3726" s="8"/>
      <c r="F3726" s="8"/>
      <c r="G3726" s="8"/>
      <c r="H3726" s="8"/>
      <c r="I3726" s="8"/>
      <c r="J3726" s="8"/>
      <c r="K3726" s="8"/>
    </row>
    <row r="3727">
      <c r="A3727" s="8"/>
      <c r="B3727" s="8"/>
      <c r="C3727" s="8"/>
      <c r="D3727" s="8"/>
      <c r="E3727" s="8"/>
      <c r="F3727" s="8"/>
      <c r="G3727" s="8"/>
      <c r="H3727" s="8"/>
      <c r="I3727" s="8"/>
      <c r="J3727" s="8"/>
      <c r="K3727" s="8"/>
    </row>
    <row r="3728">
      <c r="A3728" s="8"/>
      <c r="B3728" s="8"/>
      <c r="C3728" s="8"/>
      <c r="D3728" s="8"/>
      <c r="E3728" s="8"/>
      <c r="F3728" s="8"/>
      <c r="G3728" s="8"/>
      <c r="H3728" s="8"/>
      <c r="I3728" s="8"/>
      <c r="J3728" s="8"/>
      <c r="K3728" s="8"/>
    </row>
    <row r="3729">
      <c r="A3729" s="8"/>
      <c r="B3729" s="8"/>
      <c r="C3729" s="8"/>
      <c r="D3729" s="8"/>
      <c r="E3729" s="8"/>
      <c r="F3729" s="8"/>
      <c r="G3729" s="8"/>
      <c r="H3729" s="8"/>
      <c r="I3729" s="8"/>
      <c r="J3729" s="8"/>
      <c r="K3729" s="8"/>
    </row>
    <row r="3730">
      <c r="A3730" s="8"/>
      <c r="B3730" s="8"/>
      <c r="C3730" s="8"/>
      <c r="D3730" s="8"/>
      <c r="E3730" s="8"/>
      <c r="F3730" s="8"/>
      <c r="G3730" s="8"/>
      <c r="H3730" s="8"/>
      <c r="I3730" s="8"/>
      <c r="J3730" s="8"/>
      <c r="K3730" s="8"/>
    </row>
    <row r="3731">
      <c r="A3731" s="8"/>
      <c r="B3731" s="8"/>
      <c r="C3731" s="8"/>
      <c r="D3731" s="8"/>
      <c r="E3731" s="8"/>
      <c r="F3731" s="8"/>
      <c r="G3731" s="8"/>
      <c r="H3731" s="8"/>
      <c r="I3731" s="8"/>
      <c r="J3731" s="8"/>
      <c r="K3731" s="8"/>
    </row>
    <row r="3732">
      <c r="A3732" s="8"/>
      <c r="B3732" s="8"/>
      <c r="C3732" s="8"/>
      <c r="D3732" s="8"/>
      <c r="E3732" s="8"/>
      <c r="F3732" s="8"/>
      <c r="G3732" s="8"/>
      <c r="H3732" s="8"/>
      <c r="I3732" s="8"/>
      <c r="J3732" s="8"/>
      <c r="K3732" s="8"/>
    </row>
    <row r="3733">
      <c r="A3733" s="8"/>
      <c r="B3733" s="8"/>
      <c r="C3733" s="8"/>
      <c r="D3733" s="8"/>
      <c r="E3733" s="8"/>
      <c r="F3733" s="8"/>
      <c r="G3733" s="8"/>
      <c r="H3733" s="8"/>
      <c r="I3733" s="8"/>
      <c r="J3733" s="8"/>
      <c r="K3733" s="8"/>
    </row>
    <row r="3734">
      <c r="A3734" s="8"/>
      <c r="B3734" s="8"/>
      <c r="C3734" s="8"/>
      <c r="D3734" s="8"/>
      <c r="E3734" s="8"/>
      <c r="F3734" s="8"/>
      <c r="G3734" s="8"/>
      <c r="H3734" s="8"/>
      <c r="I3734" s="8"/>
      <c r="J3734" s="8"/>
      <c r="K3734" s="8"/>
    </row>
    <row r="3735">
      <c r="A3735" s="8"/>
      <c r="B3735" s="8"/>
      <c r="C3735" s="8"/>
      <c r="D3735" s="8"/>
      <c r="E3735" s="8"/>
      <c r="F3735" s="8"/>
      <c r="G3735" s="8"/>
      <c r="H3735" s="8"/>
      <c r="I3735" s="8"/>
      <c r="J3735" s="8"/>
      <c r="K3735" s="8"/>
    </row>
    <row r="3736">
      <c r="A3736" s="8"/>
      <c r="B3736" s="8"/>
      <c r="C3736" s="8"/>
      <c r="D3736" s="8"/>
      <c r="E3736" s="8"/>
      <c r="F3736" s="8"/>
      <c r="G3736" s="8"/>
      <c r="H3736" s="8"/>
      <c r="I3736" s="8"/>
      <c r="J3736" s="8"/>
      <c r="K3736" s="8"/>
    </row>
    <row r="3737">
      <c r="A3737" s="8"/>
      <c r="B3737" s="8"/>
      <c r="C3737" s="8"/>
      <c r="D3737" s="8"/>
      <c r="E3737" s="8"/>
      <c r="F3737" s="8"/>
      <c r="G3737" s="8"/>
      <c r="H3737" s="8"/>
      <c r="I3737" s="8"/>
      <c r="J3737" s="8"/>
      <c r="K3737" s="8"/>
    </row>
    <row r="3738">
      <c r="A3738" s="8"/>
      <c r="B3738" s="8"/>
      <c r="C3738" s="8"/>
      <c r="D3738" s="8"/>
      <c r="E3738" s="8"/>
      <c r="F3738" s="8"/>
      <c r="G3738" s="8"/>
      <c r="H3738" s="8"/>
      <c r="I3738" s="8"/>
      <c r="J3738" s="8"/>
      <c r="K3738" s="8"/>
    </row>
    <row r="3739">
      <c r="A3739" s="8"/>
      <c r="B3739" s="8"/>
      <c r="C3739" s="8"/>
      <c r="D3739" s="8"/>
      <c r="E3739" s="8"/>
      <c r="F3739" s="8"/>
      <c r="G3739" s="8"/>
      <c r="H3739" s="8"/>
      <c r="I3739" s="8"/>
      <c r="J3739" s="8"/>
      <c r="K3739" s="8"/>
    </row>
    <row r="3740">
      <c r="A3740" s="8"/>
      <c r="B3740" s="8"/>
      <c r="C3740" s="8"/>
      <c r="D3740" s="8"/>
      <c r="E3740" s="8"/>
      <c r="F3740" s="8"/>
      <c r="G3740" s="8"/>
      <c r="H3740" s="8"/>
      <c r="I3740" s="8"/>
      <c r="J3740" s="8"/>
      <c r="K3740" s="8"/>
    </row>
    <row r="3741">
      <c r="A3741" s="8"/>
      <c r="B3741" s="8"/>
      <c r="C3741" s="8"/>
      <c r="D3741" s="8"/>
      <c r="E3741" s="8"/>
      <c r="F3741" s="8"/>
      <c r="G3741" s="8"/>
      <c r="H3741" s="8"/>
      <c r="I3741" s="8"/>
      <c r="J3741" s="8"/>
      <c r="K3741" s="8"/>
    </row>
    <row r="3742">
      <c r="A3742" s="8"/>
      <c r="B3742" s="8"/>
      <c r="C3742" s="8"/>
      <c r="D3742" s="8"/>
      <c r="E3742" s="8"/>
      <c r="F3742" s="8"/>
      <c r="G3742" s="8"/>
      <c r="H3742" s="8"/>
      <c r="I3742" s="8"/>
      <c r="J3742" s="8"/>
      <c r="K3742" s="8"/>
    </row>
    <row r="3743">
      <c r="A3743" s="8"/>
      <c r="B3743" s="8"/>
      <c r="C3743" s="8"/>
      <c r="D3743" s="8"/>
      <c r="E3743" s="8"/>
      <c r="F3743" s="8"/>
      <c r="G3743" s="8"/>
      <c r="H3743" s="8"/>
      <c r="I3743" s="8"/>
      <c r="J3743" s="8"/>
      <c r="K3743" s="8"/>
    </row>
    <row r="3744">
      <c r="A3744" s="8"/>
      <c r="B3744" s="8"/>
      <c r="C3744" s="8"/>
      <c r="D3744" s="8"/>
      <c r="E3744" s="8"/>
      <c r="F3744" s="8"/>
      <c r="G3744" s="8"/>
      <c r="H3744" s="8"/>
      <c r="I3744" s="8"/>
      <c r="J3744" s="8"/>
      <c r="K3744" s="8"/>
    </row>
    <row r="3745">
      <c r="A3745" s="8"/>
      <c r="B3745" s="8"/>
      <c r="C3745" s="8"/>
      <c r="D3745" s="8"/>
      <c r="E3745" s="8"/>
      <c r="F3745" s="8"/>
      <c r="G3745" s="8"/>
      <c r="H3745" s="8"/>
      <c r="I3745" s="8"/>
      <c r="J3745" s="8"/>
      <c r="K3745" s="8"/>
    </row>
    <row r="3746">
      <c r="A3746" s="8"/>
      <c r="B3746" s="8"/>
      <c r="C3746" s="8"/>
      <c r="D3746" s="8"/>
      <c r="E3746" s="8"/>
      <c r="F3746" s="8"/>
      <c r="G3746" s="8"/>
      <c r="H3746" s="8"/>
      <c r="I3746" s="8"/>
      <c r="J3746" s="8"/>
      <c r="K3746" s="8"/>
    </row>
    <row r="3747">
      <c r="A3747" s="8"/>
      <c r="B3747" s="8"/>
      <c r="C3747" s="8"/>
      <c r="D3747" s="8"/>
      <c r="E3747" s="8"/>
      <c r="F3747" s="8"/>
      <c r="G3747" s="8"/>
      <c r="H3747" s="8"/>
      <c r="I3747" s="8"/>
      <c r="J3747" s="8"/>
      <c r="K3747" s="8"/>
    </row>
    <row r="3748">
      <c r="A3748" s="8"/>
      <c r="B3748" s="8"/>
      <c r="C3748" s="8"/>
      <c r="D3748" s="8"/>
      <c r="E3748" s="8"/>
      <c r="F3748" s="8"/>
      <c r="G3748" s="8"/>
      <c r="H3748" s="8"/>
      <c r="I3748" s="8"/>
      <c r="J3748" s="8"/>
      <c r="K3748" s="8"/>
    </row>
    <row r="3749">
      <c r="A3749" s="8"/>
      <c r="B3749" s="8"/>
      <c r="C3749" s="8"/>
      <c r="D3749" s="8"/>
      <c r="E3749" s="8"/>
      <c r="F3749" s="8"/>
      <c r="G3749" s="8"/>
      <c r="H3749" s="8"/>
      <c r="I3749" s="8"/>
      <c r="J3749" s="8"/>
      <c r="K3749" s="8"/>
    </row>
    <row r="3750">
      <c r="A3750" s="8"/>
      <c r="B3750" s="8"/>
      <c r="C3750" s="8"/>
      <c r="D3750" s="8"/>
      <c r="E3750" s="8"/>
      <c r="F3750" s="8"/>
      <c r="G3750" s="8"/>
      <c r="H3750" s="8"/>
      <c r="I3750" s="8"/>
      <c r="J3750" s="8"/>
      <c r="K3750" s="8"/>
    </row>
    <row r="3751">
      <c r="A3751" s="8"/>
      <c r="B3751" s="8"/>
      <c r="C3751" s="8"/>
      <c r="D3751" s="8"/>
      <c r="E3751" s="8"/>
      <c r="F3751" s="8"/>
      <c r="G3751" s="8"/>
      <c r="H3751" s="8"/>
      <c r="I3751" s="8"/>
      <c r="J3751" s="8"/>
      <c r="K3751" s="8"/>
    </row>
    <row r="3752">
      <c r="A3752" s="8"/>
      <c r="B3752" s="8"/>
      <c r="C3752" s="8"/>
      <c r="D3752" s="8"/>
      <c r="E3752" s="8"/>
      <c r="F3752" s="8"/>
      <c r="G3752" s="8"/>
      <c r="H3752" s="8"/>
      <c r="I3752" s="8"/>
      <c r="J3752" s="8"/>
      <c r="K3752" s="8"/>
    </row>
    <row r="3753">
      <c r="A3753" s="8"/>
      <c r="B3753" s="8"/>
      <c r="C3753" s="8"/>
      <c r="D3753" s="8"/>
      <c r="E3753" s="8"/>
      <c r="F3753" s="8"/>
      <c r="G3753" s="8"/>
      <c r="H3753" s="8"/>
      <c r="I3753" s="8"/>
      <c r="J3753" s="8"/>
      <c r="K3753" s="8"/>
    </row>
    <row r="3754">
      <c r="A3754" s="8"/>
      <c r="B3754" s="8"/>
      <c r="C3754" s="8"/>
      <c r="D3754" s="8"/>
      <c r="E3754" s="8"/>
      <c r="F3754" s="8"/>
      <c r="G3754" s="8"/>
      <c r="H3754" s="8"/>
      <c r="I3754" s="8"/>
      <c r="J3754" s="8"/>
      <c r="K3754" s="8"/>
    </row>
    <row r="3755">
      <c r="A3755" s="8"/>
      <c r="B3755" s="8"/>
      <c r="C3755" s="8"/>
      <c r="D3755" s="8"/>
      <c r="E3755" s="8"/>
      <c r="F3755" s="8"/>
      <c r="G3755" s="8"/>
      <c r="H3755" s="8"/>
      <c r="I3755" s="8"/>
      <c r="J3755" s="8"/>
      <c r="K3755" s="8"/>
    </row>
    <row r="3756">
      <c r="A3756" s="8"/>
      <c r="B3756" s="8"/>
      <c r="C3756" s="8"/>
      <c r="D3756" s="8"/>
      <c r="E3756" s="8"/>
      <c r="F3756" s="8"/>
      <c r="G3756" s="8"/>
      <c r="H3756" s="8"/>
      <c r="I3756" s="8"/>
      <c r="J3756" s="8"/>
      <c r="K3756" s="8"/>
    </row>
    <row r="3757">
      <c r="A3757" s="8"/>
      <c r="B3757" s="8"/>
      <c r="C3757" s="8"/>
      <c r="D3757" s="8"/>
      <c r="E3757" s="8"/>
      <c r="F3757" s="8"/>
      <c r="G3757" s="8"/>
      <c r="H3757" s="8"/>
      <c r="I3757" s="8"/>
      <c r="J3757" s="8"/>
      <c r="K3757" s="8"/>
    </row>
    <row r="3758">
      <c r="A3758" s="8"/>
      <c r="B3758" s="8"/>
      <c r="C3758" s="8"/>
      <c r="D3758" s="8"/>
      <c r="E3758" s="8"/>
      <c r="F3758" s="8"/>
      <c r="G3758" s="8"/>
      <c r="H3758" s="8"/>
      <c r="I3758" s="8"/>
      <c r="J3758" s="8"/>
      <c r="K3758" s="8"/>
    </row>
    <row r="3759">
      <c r="A3759" s="8"/>
      <c r="B3759" s="8"/>
      <c r="C3759" s="8"/>
      <c r="D3759" s="8"/>
      <c r="E3759" s="8"/>
      <c r="F3759" s="8"/>
      <c r="G3759" s="8"/>
      <c r="H3759" s="8"/>
      <c r="I3759" s="8"/>
      <c r="J3759" s="8"/>
      <c r="K3759" s="8"/>
    </row>
    <row r="3760">
      <c r="A3760" s="8"/>
      <c r="B3760" s="8"/>
      <c r="C3760" s="8"/>
      <c r="D3760" s="8"/>
      <c r="E3760" s="8"/>
      <c r="F3760" s="8"/>
      <c r="G3760" s="8"/>
      <c r="H3760" s="8"/>
      <c r="I3760" s="8"/>
      <c r="J3760" s="8"/>
      <c r="K3760" s="8"/>
    </row>
    <row r="3761">
      <c r="A3761" s="8"/>
      <c r="B3761" s="8"/>
      <c r="C3761" s="8"/>
      <c r="D3761" s="8"/>
      <c r="E3761" s="8"/>
      <c r="F3761" s="8"/>
      <c r="G3761" s="8"/>
      <c r="H3761" s="8"/>
      <c r="I3761" s="8"/>
      <c r="J3761" s="8"/>
      <c r="K3761" s="8"/>
    </row>
    <row r="3762">
      <c r="A3762" s="8"/>
      <c r="B3762" s="8"/>
      <c r="C3762" s="8"/>
      <c r="D3762" s="8"/>
      <c r="E3762" s="8"/>
      <c r="F3762" s="8"/>
      <c r="G3762" s="8"/>
      <c r="H3762" s="8"/>
      <c r="I3762" s="8"/>
      <c r="J3762" s="8"/>
      <c r="K3762" s="8"/>
    </row>
    <row r="3763">
      <c r="A3763" s="8"/>
      <c r="B3763" s="8"/>
      <c r="C3763" s="8"/>
      <c r="D3763" s="8"/>
      <c r="E3763" s="8"/>
      <c r="F3763" s="8"/>
      <c r="G3763" s="8"/>
      <c r="H3763" s="8"/>
      <c r="I3763" s="8"/>
      <c r="J3763" s="8"/>
      <c r="K3763" s="8"/>
    </row>
    <row r="3764">
      <c r="A3764" s="8"/>
      <c r="B3764" s="8"/>
      <c r="C3764" s="8"/>
      <c r="D3764" s="8"/>
      <c r="E3764" s="8"/>
      <c r="F3764" s="8"/>
      <c r="G3764" s="8"/>
      <c r="H3764" s="8"/>
      <c r="I3764" s="8"/>
      <c r="J3764" s="8"/>
      <c r="K3764" s="8"/>
    </row>
    <row r="3765">
      <c r="A3765" s="8"/>
      <c r="B3765" s="8"/>
      <c r="C3765" s="8"/>
      <c r="D3765" s="8"/>
      <c r="E3765" s="8"/>
      <c r="F3765" s="8"/>
      <c r="G3765" s="8"/>
      <c r="H3765" s="8"/>
      <c r="I3765" s="8"/>
      <c r="J3765" s="8"/>
      <c r="K3765" s="8"/>
    </row>
    <row r="3766">
      <c r="A3766" s="8"/>
      <c r="B3766" s="8"/>
      <c r="C3766" s="8"/>
      <c r="D3766" s="8"/>
      <c r="E3766" s="8"/>
      <c r="F3766" s="8"/>
      <c r="G3766" s="8"/>
      <c r="H3766" s="8"/>
      <c r="I3766" s="8"/>
      <c r="J3766" s="8"/>
      <c r="K3766" s="8"/>
    </row>
    <row r="3767">
      <c r="A3767" s="8"/>
      <c r="B3767" s="8"/>
      <c r="C3767" s="8"/>
      <c r="D3767" s="8"/>
      <c r="E3767" s="8"/>
      <c r="F3767" s="8"/>
      <c r="G3767" s="8"/>
      <c r="H3767" s="8"/>
      <c r="I3767" s="8"/>
      <c r="J3767" s="8"/>
      <c r="K3767" s="8"/>
    </row>
    <row r="3768">
      <c r="A3768" s="8"/>
      <c r="B3768" s="8"/>
      <c r="C3768" s="8"/>
      <c r="D3768" s="8"/>
      <c r="E3768" s="8"/>
      <c r="F3768" s="8"/>
      <c r="G3768" s="8"/>
      <c r="H3768" s="8"/>
      <c r="I3768" s="8"/>
      <c r="J3768" s="8"/>
      <c r="K3768"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0"/>
    <col customWidth="1" min="2" max="2" width="23.0"/>
    <col customWidth="1" min="3" max="3" width="22.71"/>
    <col customWidth="1" min="5" max="5" width="23.71"/>
    <col customWidth="1" min="6" max="6" width="24.43"/>
    <col customWidth="1" min="7" max="7" width="22.57"/>
  </cols>
  <sheetData>
    <row r="1">
      <c r="A1" s="9" t="s">
        <v>2502</v>
      </c>
      <c r="B1" s="9" t="s">
        <v>2503</v>
      </c>
      <c r="C1" s="6" t="s">
        <v>2504</v>
      </c>
      <c r="D1" s="8"/>
      <c r="E1" s="10" t="s">
        <v>2505</v>
      </c>
      <c r="F1" s="9" t="s">
        <v>2503</v>
      </c>
      <c r="G1" s="6" t="s">
        <v>2504</v>
      </c>
      <c r="H1" s="8"/>
      <c r="I1" s="8"/>
      <c r="J1" s="8"/>
      <c r="K1" s="8"/>
      <c r="L1" s="8"/>
      <c r="M1" s="8"/>
      <c r="N1" s="8"/>
      <c r="O1" s="8"/>
      <c r="P1" s="8"/>
      <c r="Q1" s="8"/>
      <c r="R1" s="8"/>
      <c r="S1" s="8"/>
      <c r="T1" s="8"/>
      <c r="U1" s="8"/>
      <c r="V1" s="8"/>
      <c r="W1" s="8"/>
    </row>
    <row r="2">
      <c r="A2" s="11" t="s">
        <v>2506</v>
      </c>
      <c r="B2" s="11">
        <v>55.0</v>
      </c>
      <c r="C2" s="11" t="s">
        <v>2507</v>
      </c>
      <c r="D2" s="8"/>
      <c r="E2" s="11" t="s">
        <v>2508</v>
      </c>
      <c r="F2" s="11">
        <v>80.0</v>
      </c>
      <c r="G2" s="11" t="s">
        <v>2509</v>
      </c>
      <c r="H2" s="8"/>
      <c r="I2" s="8"/>
      <c r="J2" s="8"/>
      <c r="K2" s="8"/>
      <c r="L2" s="8"/>
      <c r="M2" s="8"/>
      <c r="N2" s="8"/>
      <c r="O2" s="8"/>
      <c r="P2" s="8"/>
      <c r="Q2" s="8"/>
      <c r="R2" s="8"/>
      <c r="S2" s="8"/>
      <c r="T2" s="8"/>
      <c r="U2" s="8"/>
      <c r="V2" s="8"/>
      <c r="W2" s="8"/>
    </row>
    <row r="3">
      <c r="A3" s="11" t="s">
        <v>2510</v>
      </c>
      <c r="B3" s="11">
        <v>84.0</v>
      </c>
      <c r="C3" s="11" t="s">
        <v>2507</v>
      </c>
      <c r="D3" s="8"/>
      <c r="E3" s="11" t="s">
        <v>2511</v>
      </c>
      <c r="F3" s="11">
        <v>90.0</v>
      </c>
      <c r="G3" s="11" t="s">
        <v>2509</v>
      </c>
      <c r="H3" s="8"/>
      <c r="I3" s="8"/>
      <c r="J3" s="8"/>
      <c r="K3" s="8"/>
      <c r="L3" s="8"/>
      <c r="M3" s="8"/>
      <c r="N3" s="8"/>
      <c r="O3" s="8"/>
      <c r="P3" s="8"/>
      <c r="Q3" s="8"/>
      <c r="R3" s="8"/>
      <c r="S3" s="8"/>
      <c r="T3" s="8"/>
      <c r="U3" s="8"/>
      <c r="V3" s="8"/>
      <c r="W3" s="8"/>
    </row>
    <row r="4">
      <c r="A4" s="11" t="s">
        <v>2512</v>
      </c>
      <c r="B4" s="11">
        <v>25.0</v>
      </c>
      <c r="C4" s="11" t="s">
        <v>2507</v>
      </c>
      <c r="D4" s="8"/>
      <c r="E4" s="11" t="s">
        <v>2513</v>
      </c>
      <c r="F4" s="11">
        <v>270.0</v>
      </c>
      <c r="G4" s="11" t="s">
        <v>2509</v>
      </c>
      <c r="H4" s="8"/>
      <c r="I4" s="8"/>
      <c r="J4" s="8"/>
      <c r="K4" s="8"/>
      <c r="L4" s="8"/>
      <c r="M4" s="8"/>
      <c r="N4" s="8"/>
      <c r="O4" s="8"/>
      <c r="P4" s="8"/>
      <c r="Q4" s="8"/>
      <c r="R4" s="8"/>
      <c r="S4" s="8"/>
      <c r="T4" s="8"/>
      <c r="U4" s="8"/>
      <c r="V4" s="8"/>
      <c r="W4" s="8"/>
    </row>
    <row r="5">
      <c r="A5" s="11" t="s">
        <v>2514</v>
      </c>
      <c r="B5" s="11">
        <v>80.0</v>
      </c>
      <c r="C5" s="11" t="s">
        <v>2507</v>
      </c>
      <c r="D5" s="8"/>
      <c r="E5" s="11" t="s">
        <v>2515</v>
      </c>
      <c r="F5" s="11">
        <v>80.0</v>
      </c>
      <c r="G5" s="11" t="s">
        <v>2509</v>
      </c>
      <c r="H5" s="8"/>
      <c r="I5" s="8"/>
      <c r="J5" s="8"/>
      <c r="K5" s="8"/>
      <c r="L5" s="8"/>
      <c r="M5" s="8"/>
      <c r="N5" s="8"/>
      <c r="O5" s="8"/>
      <c r="P5" s="8"/>
      <c r="Q5" s="8"/>
      <c r="R5" s="8"/>
      <c r="S5" s="8"/>
      <c r="T5" s="8"/>
      <c r="U5" s="8"/>
      <c r="V5" s="8"/>
      <c r="W5" s="8"/>
    </row>
    <row r="6">
      <c r="A6" s="11" t="s">
        <v>2516</v>
      </c>
      <c r="B6" s="11">
        <v>230.0</v>
      </c>
      <c r="C6" s="11" t="s">
        <v>2507</v>
      </c>
      <c r="D6" s="8"/>
      <c r="E6" s="11" t="s">
        <v>2517</v>
      </c>
      <c r="F6" s="11">
        <v>90.0</v>
      </c>
      <c r="G6" s="11" t="s">
        <v>2509</v>
      </c>
      <c r="H6" s="8"/>
      <c r="I6" s="8"/>
      <c r="J6" s="8"/>
      <c r="K6" s="8"/>
      <c r="L6" s="8"/>
      <c r="M6" s="8"/>
      <c r="N6" s="8"/>
      <c r="O6" s="8"/>
      <c r="P6" s="8"/>
      <c r="Q6" s="8"/>
      <c r="R6" s="8"/>
      <c r="S6" s="8"/>
      <c r="T6" s="8"/>
      <c r="U6" s="8"/>
      <c r="V6" s="8"/>
      <c r="W6" s="8"/>
    </row>
    <row r="7">
      <c r="A7" s="11" t="s">
        <v>2518</v>
      </c>
      <c r="B7" s="11">
        <v>180.0</v>
      </c>
      <c r="C7" s="11" t="s">
        <v>2507</v>
      </c>
      <c r="D7" s="8"/>
      <c r="E7" s="11" t="s">
        <v>2519</v>
      </c>
      <c r="F7" s="11">
        <v>150.0</v>
      </c>
      <c r="G7" s="11" t="s">
        <v>2509</v>
      </c>
      <c r="H7" s="8"/>
      <c r="I7" s="8"/>
      <c r="J7" s="8"/>
      <c r="K7" s="8"/>
      <c r="L7" s="8"/>
      <c r="M7" s="8"/>
      <c r="N7" s="8"/>
      <c r="O7" s="8"/>
      <c r="P7" s="8"/>
      <c r="Q7" s="8"/>
      <c r="R7" s="8"/>
      <c r="S7" s="8"/>
      <c r="T7" s="8"/>
      <c r="U7" s="8"/>
      <c r="V7" s="8"/>
      <c r="W7" s="8"/>
    </row>
    <row r="8">
      <c r="A8" s="11" t="s">
        <v>2520</v>
      </c>
      <c r="B8" s="11">
        <v>30.0</v>
      </c>
      <c r="C8" s="11" t="s">
        <v>2507</v>
      </c>
      <c r="D8" s="8"/>
      <c r="E8" s="11" t="s">
        <v>2521</v>
      </c>
      <c r="F8" s="11">
        <v>150.0</v>
      </c>
      <c r="G8" s="11" t="s">
        <v>2509</v>
      </c>
      <c r="H8" s="8"/>
      <c r="I8" s="8"/>
      <c r="J8" s="8"/>
      <c r="K8" s="8"/>
      <c r="L8" s="8"/>
      <c r="M8" s="8"/>
      <c r="N8" s="8"/>
      <c r="O8" s="8"/>
      <c r="P8" s="8"/>
      <c r="Q8" s="8"/>
      <c r="R8" s="8"/>
      <c r="S8" s="8"/>
      <c r="T8" s="8"/>
      <c r="U8" s="8"/>
      <c r="V8" s="8"/>
      <c r="W8" s="8"/>
    </row>
    <row r="9">
      <c r="A9" s="11" t="s">
        <v>2522</v>
      </c>
      <c r="B9" s="11">
        <v>75.0</v>
      </c>
      <c r="C9" s="11" t="s">
        <v>2507</v>
      </c>
      <c r="D9" s="8"/>
      <c r="E9" s="11" t="s">
        <v>2523</v>
      </c>
      <c r="F9" s="11">
        <v>110.0</v>
      </c>
      <c r="G9" s="11" t="s">
        <v>2509</v>
      </c>
      <c r="H9" s="8"/>
      <c r="I9" s="8"/>
      <c r="J9" s="8"/>
      <c r="K9" s="8"/>
      <c r="L9" s="8"/>
      <c r="M9" s="8"/>
      <c r="N9" s="8"/>
      <c r="O9" s="8"/>
      <c r="P9" s="8"/>
      <c r="Q9" s="8"/>
      <c r="R9" s="8"/>
      <c r="S9" s="8"/>
      <c r="T9" s="8"/>
      <c r="U9" s="8"/>
      <c r="V9" s="8"/>
      <c r="W9" s="8"/>
    </row>
    <row r="10">
      <c r="A10" s="11" t="s">
        <v>2524</v>
      </c>
      <c r="B10" s="11">
        <v>70.0</v>
      </c>
      <c r="C10" s="11" t="s">
        <v>2507</v>
      </c>
      <c r="D10" s="8"/>
      <c r="E10" s="11" t="s">
        <v>2525</v>
      </c>
      <c r="F10" s="11">
        <v>145.0</v>
      </c>
      <c r="G10" s="11" t="s">
        <v>2509</v>
      </c>
      <c r="H10" s="8"/>
      <c r="I10" s="8"/>
      <c r="J10" s="8"/>
      <c r="K10" s="8"/>
      <c r="L10" s="8"/>
      <c r="M10" s="8"/>
      <c r="N10" s="8"/>
      <c r="O10" s="8"/>
      <c r="P10" s="8"/>
      <c r="Q10" s="8"/>
      <c r="R10" s="8"/>
      <c r="S10" s="8"/>
      <c r="T10" s="8"/>
      <c r="U10" s="8"/>
      <c r="V10" s="8"/>
      <c r="W10" s="8"/>
    </row>
    <row r="11">
      <c r="A11" s="11" t="s">
        <v>2526</v>
      </c>
      <c r="B11" s="11">
        <v>60.0</v>
      </c>
      <c r="C11" s="11" t="s">
        <v>2507</v>
      </c>
      <c r="D11" s="8"/>
      <c r="E11" s="11" t="s">
        <v>2527</v>
      </c>
      <c r="F11" s="11">
        <v>90.0</v>
      </c>
      <c r="G11" s="11" t="s">
        <v>2509</v>
      </c>
      <c r="H11" s="8"/>
      <c r="I11" s="8"/>
      <c r="J11" s="8"/>
      <c r="K11" s="8"/>
      <c r="L11" s="8"/>
      <c r="M11" s="8"/>
      <c r="N11" s="8"/>
      <c r="O11" s="8"/>
      <c r="P11" s="8"/>
      <c r="Q11" s="8"/>
      <c r="R11" s="8"/>
      <c r="S11" s="8"/>
      <c r="T11" s="8"/>
      <c r="U11" s="8"/>
      <c r="V11" s="8"/>
      <c r="W11" s="8"/>
    </row>
    <row r="12">
      <c r="A12" s="8"/>
      <c r="B12" s="8"/>
      <c r="C12" s="8"/>
      <c r="D12" s="8"/>
      <c r="E12" s="8"/>
      <c r="F12" s="8"/>
      <c r="G12" s="8"/>
      <c r="H12" s="8"/>
      <c r="I12" s="8"/>
      <c r="J12" s="8"/>
      <c r="K12" s="8"/>
      <c r="L12" s="8"/>
      <c r="M12" s="8"/>
      <c r="N12" s="8"/>
      <c r="O12" s="8"/>
      <c r="P12" s="8"/>
      <c r="Q12" s="8"/>
      <c r="R12" s="8"/>
      <c r="S12" s="8"/>
      <c r="T12" s="8"/>
      <c r="U12" s="8"/>
      <c r="V12" s="8"/>
      <c r="W12" s="8"/>
    </row>
    <row r="13">
      <c r="A13" s="8"/>
      <c r="B13" s="8"/>
      <c r="C13" s="8"/>
      <c r="D13" s="8"/>
      <c r="E13" s="8"/>
      <c r="F13" s="8"/>
      <c r="G13" s="8"/>
      <c r="H13" s="8"/>
      <c r="I13" s="8"/>
      <c r="J13" s="8"/>
      <c r="K13" s="8"/>
      <c r="L13" s="8"/>
      <c r="M13" s="8"/>
      <c r="N13" s="8"/>
      <c r="O13" s="8"/>
      <c r="P13" s="8"/>
      <c r="Q13" s="8"/>
      <c r="R13" s="8"/>
      <c r="S13" s="8"/>
      <c r="T13" s="8"/>
      <c r="U13" s="8"/>
      <c r="V13" s="8"/>
      <c r="W13" s="8"/>
    </row>
    <row r="14">
      <c r="A14" s="12" t="s">
        <v>2528</v>
      </c>
      <c r="D14" s="8"/>
      <c r="E14" s="8"/>
      <c r="F14" s="8"/>
      <c r="G14" s="8"/>
      <c r="H14" s="8"/>
      <c r="I14" s="8"/>
      <c r="J14" s="8"/>
      <c r="K14" s="8"/>
      <c r="L14" s="8"/>
      <c r="M14" s="8"/>
      <c r="N14" s="8"/>
      <c r="O14" s="8"/>
      <c r="P14" s="8"/>
      <c r="Q14" s="8"/>
      <c r="R14" s="8"/>
      <c r="S14" s="8"/>
      <c r="T14" s="8"/>
      <c r="U14" s="8"/>
      <c r="V14" s="8"/>
      <c r="W14" s="8"/>
    </row>
    <row r="15">
      <c r="A15" s="8"/>
      <c r="B15" s="8"/>
      <c r="C15" s="8"/>
      <c r="D15" s="8"/>
      <c r="E15" s="8"/>
      <c r="F15" s="8"/>
      <c r="G15" s="8"/>
      <c r="H15" s="8"/>
      <c r="I15" s="8"/>
      <c r="J15" s="8"/>
      <c r="K15" s="8"/>
      <c r="L15" s="8"/>
      <c r="M15" s="8"/>
      <c r="N15" s="8"/>
      <c r="O15" s="8"/>
      <c r="P15" s="8"/>
      <c r="Q15" s="8"/>
      <c r="R15" s="8"/>
      <c r="S15" s="8"/>
      <c r="T15" s="8"/>
      <c r="U15" s="8"/>
      <c r="V15" s="8"/>
      <c r="W15" s="8"/>
    </row>
    <row r="16">
      <c r="A16" s="8"/>
      <c r="B16" s="8"/>
      <c r="C16" s="8"/>
      <c r="D16" s="8"/>
      <c r="E16" s="8"/>
      <c r="F16" s="8"/>
      <c r="G16" s="8"/>
      <c r="H16" s="8"/>
      <c r="I16" s="8"/>
      <c r="J16" s="8"/>
      <c r="K16" s="8"/>
      <c r="L16" s="8"/>
      <c r="M16" s="8"/>
      <c r="N16" s="8"/>
      <c r="O16" s="8"/>
      <c r="P16" s="8"/>
      <c r="Q16" s="8"/>
      <c r="R16" s="8"/>
      <c r="S16" s="8"/>
      <c r="T16" s="8"/>
      <c r="U16" s="8"/>
      <c r="V16" s="8"/>
      <c r="W16" s="8"/>
    </row>
    <row r="17">
      <c r="A17" s="8"/>
      <c r="B17" s="8"/>
      <c r="C17" s="8"/>
      <c r="D17" s="8"/>
      <c r="E17" s="8"/>
      <c r="F17" s="8"/>
      <c r="G17" s="8"/>
      <c r="H17" s="8"/>
      <c r="I17" s="8"/>
      <c r="J17" s="8"/>
      <c r="K17" s="8"/>
      <c r="L17" s="8"/>
      <c r="M17" s="8"/>
      <c r="N17" s="8"/>
      <c r="O17" s="8"/>
      <c r="P17" s="8"/>
      <c r="Q17" s="8"/>
      <c r="R17" s="8"/>
      <c r="S17" s="8"/>
      <c r="T17" s="8"/>
      <c r="U17" s="8"/>
      <c r="V17" s="8"/>
      <c r="W17" s="8"/>
    </row>
    <row r="18">
      <c r="A18" s="8"/>
      <c r="B18" s="8"/>
      <c r="C18" s="8"/>
      <c r="D18" s="8"/>
      <c r="E18" s="8"/>
      <c r="F18" s="8"/>
      <c r="G18" s="8"/>
      <c r="H18" s="8"/>
      <c r="I18" s="8"/>
      <c r="J18" s="8"/>
      <c r="K18" s="8"/>
      <c r="L18" s="8"/>
      <c r="M18" s="8"/>
      <c r="N18" s="8"/>
      <c r="O18" s="8"/>
      <c r="P18" s="8"/>
      <c r="Q18" s="8"/>
      <c r="R18" s="8"/>
      <c r="S18" s="8"/>
      <c r="T18" s="8"/>
      <c r="U18" s="8"/>
      <c r="V18" s="8"/>
      <c r="W18" s="8"/>
    </row>
    <row r="19">
      <c r="A19" s="8"/>
      <c r="B19" s="8"/>
      <c r="C19" s="8"/>
      <c r="D19" s="8"/>
      <c r="E19" s="8"/>
      <c r="F19" s="8"/>
      <c r="G19" s="8"/>
      <c r="H19" s="8"/>
      <c r="I19" s="8"/>
      <c r="J19" s="8"/>
      <c r="K19" s="8"/>
      <c r="L19" s="8"/>
      <c r="M19" s="8"/>
      <c r="N19" s="8"/>
      <c r="O19" s="8"/>
      <c r="P19" s="8"/>
      <c r="Q19" s="8"/>
      <c r="R19" s="8"/>
      <c r="S19" s="8"/>
      <c r="T19" s="8"/>
      <c r="U19" s="8"/>
      <c r="V19" s="8"/>
      <c r="W19" s="8"/>
    </row>
    <row r="20">
      <c r="A20" s="8"/>
      <c r="B20" s="8"/>
      <c r="C20" s="8"/>
      <c r="D20" s="8"/>
      <c r="E20" s="8"/>
      <c r="F20" s="8"/>
      <c r="G20" s="8"/>
      <c r="H20" s="8"/>
      <c r="I20" s="8"/>
      <c r="J20" s="8"/>
      <c r="K20" s="8"/>
      <c r="L20" s="8"/>
      <c r="M20" s="8"/>
      <c r="N20" s="8"/>
      <c r="O20" s="8"/>
      <c r="P20" s="8"/>
      <c r="Q20" s="8"/>
      <c r="R20" s="8"/>
      <c r="S20" s="8"/>
      <c r="T20" s="8"/>
      <c r="U20" s="8"/>
      <c r="V20" s="8"/>
      <c r="W20" s="8"/>
    </row>
    <row r="21">
      <c r="A21" s="8"/>
      <c r="B21" s="8"/>
      <c r="C21" s="8"/>
      <c r="D21" s="8"/>
      <c r="E21" s="8"/>
      <c r="F21" s="8"/>
      <c r="G21" s="8"/>
      <c r="H21" s="8"/>
      <c r="I21" s="8"/>
      <c r="J21" s="8"/>
      <c r="K21" s="8"/>
      <c r="L21" s="8"/>
      <c r="M21" s="8"/>
      <c r="N21" s="8"/>
      <c r="O21" s="8"/>
      <c r="P21" s="8"/>
      <c r="Q21" s="8"/>
      <c r="R21" s="8"/>
      <c r="S21" s="8"/>
      <c r="T21" s="8"/>
      <c r="U21" s="8"/>
      <c r="V21" s="8"/>
      <c r="W21" s="8"/>
    </row>
    <row r="22">
      <c r="A22" s="8"/>
      <c r="B22" s="8"/>
      <c r="C22" s="8"/>
      <c r="D22" s="8"/>
      <c r="E22" s="8"/>
      <c r="F22" s="8"/>
      <c r="G22" s="8"/>
      <c r="H22" s="8"/>
      <c r="I22" s="8"/>
      <c r="J22" s="8"/>
      <c r="K22" s="8"/>
      <c r="L22" s="8"/>
      <c r="M22" s="8"/>
      <c r="N22" s="8"/>
      <c r="O22" s="8"/>
      <c r="P22" s="8"/>
      <c r="Q22" s="8"/>
      <c r="R22" s="8"/>
      <c r="S22" s="8"/>
      <c r="T22" s="8"/>
      <c r="U22" s="8"/>
      <c r="V22" s="8"/>
      <c r="W22" s="8"/>
    </row>
    <row r="23">
      <c r="A23" s="8"/>
      <c r="B23" s="8"/>
      <c r="C23" s="8"/>
      <c r="D23" s="8"/>
      <c r="E23" s="8"/>
      <c r="F23" s="8"/>
      <c r="G23" s="8"/>
      <c r="H23" s="8"/>
      <c r="I23" s="8"/>
      <c r="J23" s="8"/>
      <c r="K23" s="8"/>
      <c r="L23" s="8"/>
      <c r="M23" s="8"/>
      <c r="N23" s="8"/>
      <c r="O23" s="8"/>
      <c r="P23" s="8"/>
      <c r="Q23" s="8"/>
      <c r="R23" s="8"/>
      <c r="S23" s="8"/>
      <c r="T23" s="8"/>
      <c r="U23" s="8"/>
      <c r="V23" s="8"/>
      <c r="W23" s="8"/>
    </row>
    <row r="24">
      <c r="A24" s="8"/>
      <c r="B24" s="8"/>
      <c r="C24" s="8"/>
      <c r="D24" s="8"/>
      <c r="E24" s="8"/>
      <c r="F24" s="8"/>
      <c r="G24" s="8"/>
      <c r="H24" s="8"/>
      <c r="I24" s="8"/>
      <c r="J24" s="8"/>
      <c r="K24" s="8"/>
      <c r="L24" s="8"/>
      <c r="M24" s="8"/>
      <c r="N24" s="8"/>
      <c r="O24" s="8"/>
      <c r="P24" s="8"/>
      <c r="Q24" s="8"/>
      <c r="R24" s="8"/>
      <c r="S24" s="8"/>
      <c r="T24" s="8"/>
      <c r="U24" s="8"/>
      <c r="V24" s="8"/>
      <c r="W24" s="8"/>
    </row>
    <row r="25">
      <c r="A25" s="8"/>
      <c r="B25" s="8"/>
      <c r="C25" s="8"/>
      <c r="D25" s="8"/>
      <c r="E25" s="8"/>
      <c r="F25" s="8"/>
      <c r="G25" s="8"/>
      <c r="H25" s="8"/>
      <c r="I25" s="8"/>
      <c r="J25" s="8"/>
      <c r="K25" s="8"/>
      <c r="L25" s="8"/>
      <c r="M25" s="8"/>
      <c r="N25" s="8"/>
      <c r="O25" s="8"/>
      <c r="P25" s="8"/>
      <c r="Q25" s="8"/>
      <c r="R25" s="8"/>
      <c r="S25" s="8"/>
      <c r="T25" s="8"/>
      <c r="U25" s="8"/>
      <c r="V25" s="8"/>
      <c r="W25" s="8"/>
    </row>
    <row r="26">
      <c r="A26" s="8"/>
      <c r="B26" s="8"/>
      <c r="C26" s="8"/>
      <c r="D26" s="8"/>
      <c r="E26" s="8"/>
      <c r="F26" s="8"/>
      <c r="G26" s="8"/>
      <c r="H26" s="8"/>
      <c r="I26" s="8"/>
      <c r="J26" s="8"/>
      <c r="K26" s="8"/>
      <c r="L26" s="8"/>
      <c r="M26" s="8"/>
      <c r="N26" s="8"/>
      <c r="O26" s="8"/>
      <c r="P26" s="8"/>
      <c r="Q26" s="8"/>
      <c r="R26" s="8"/>
      <c r="S26" s="8"/>
      <c r="T26" s="8"/>
      <c r="U26" s="8"/>
      <c r="V26" s="8"/>
      <c r="W26" s="8"/>
    </row>
    <row r="27">
      <c r="A27" s="8"/>
      <c r="B27" s="8"/>
      <c r="C27" s="8"/>
      <c r="D27" s="8"/>
      <c r="E27" s="8"/>
      <c r="F27" s="8"/>
      <c r="G27" s="8"/>
      <c r="H27" s="8"/>
      <c r="I27" s="8"/>
      <c r="J27" s="8"/>
      <c r="K27" s="8"/>
      <c r="L27" s="8"/>
      <c r="M27" s="8"/>
      <c r="N27" s="8"/>
      <c r="O27" s="8"/>
      <c r="P27" s="8"/>
      <c r="Q27" s="8"/>
      <c r="R27" s="8"/>
      <c r="S27" s="8"/>
      <c r="T27" s="8"/>
      <c r="U27" s="8"/>
      <c r="V27" s="8"/>
      <c r="W27" s="8"/>
    </row>
    <row r="28">
      <c r="A28" s="8"/>
      <c r="B28" s="8"/>
      <c r="C28" s="8"/>
      <c r="D28" s="8"/>
      <c r="E28" s="8"/>
      <c r="F28" s="8"/>
      <c r="G28" s="8"/>
      <c r="H28" s="8"/>
      <c r="I28" s="8"/>
      <c r="J28" s="8"/>
      <c r="K28" s="8"/>
      <c r="L28" s="8"/>
      <c r="M28" s="8"/>
      <c r="N28" s="8"/>
      <c r="O28" s="8"/>
      <c r="P28" s="8"/>
      <c r="Q28" s="8"/>
      <c r="R28" s="8"/>
      <c r="S28" s="8"/>
      <c r="T28" s="8"/>
      <c r="U28" s="8"/>
      <c r="V28" s="8"/>
      <c r="W28" s="8"/>
    </row>
    <row r="29">
      <c r="A29" s="8"/>
      <c r="B29" s="8"/>
      <c r="C29" s="8"/>
      <c r="D29" s="8"/>
      <c r="E29" s="8"/>
      <c r="F29" s="8"/>
      <c r="G29" s="8"/>
      <c r="H29" s="8"/>
      <c r="I29" s="8"/>
      <c r="J29" s="8"/>
      <c r="K29" s="8"/>
      <c r="L29" s="8"/>
      <c r="M29" s="8"/>
      <c r="N29" s="8"/>
      <c r="O29" s="8"/>
      <c r="P29" s="8"/>
      <c r="Q29" s="8"/>
      <c r="R29" s="8"/>
      <c r="S29" s="8"/>
      <c r="T29" s="8"/>
      <c r="U29" s="8"/>
      <c r="V29" s="8"/>
      <c r="W29" s="8"/>
    </row>
    <row r="30">
      <c r="A30" s="8"/>
      <c r="B30" s="8"/>
      <c r="C30" s="8"/>
      <c r="D30" s="8"/>
      <c r="E30" s="8"/>
      <c r="F30" s="8"/>
      <c r="G30" s="8"/>
      <c r="H30" s="8"/>
      <c r="I30" s="8"/>
      <c r="J30" s="8"/>
      <c r="K30" s="8"/>
      <c r="L30" s="8"/>
      <c r="M30" s="8"/>
      <c r="N30" s="8"/>
      <c r="O30" s="8"/>
      <c r="P30" s="8"/>
      <c r="Q30" s="8"/>
      <c r="R30" s="8"/>
      <c r="S30" s="8"/>
      <c r="T30" s="8"/>
      <c r="U30" s="8"/>
      <c r="V30" s="8"/>
      <c r="W30" s="8"/>
    </row>
    <row r="31">
      <c r="A31" s="8"/>
      <c r="B31" s="8"/>
      <c r="C31" s="8"/>
      <c r="D31" s="8"/>
      <c r="E31" s="8"/>
      <c r="F31" s="8"/>
      <c r="G31" s="8"/>
      <c r="H31" s="8"/>
      <c r="I31" s="8"/>
      <c r="J31" s="8"/>
      <c r="K31" s="8"/>
      <c r="L31" s="8"/>
      <c r="M31" s="8"/>
      <c r="N31" s="8"/>
      <c r="O31" s="8"/>
      <c r="P31" s="8"/>
      <c r="Q31" s="8"/>
      <c r="R31" s="8"/>
      <c r="S31" s="8"/>
      <c r="T31" s="8"/>
      <c r="U31" s="8"/>
      <c r="V31" s="8"/>
      <c r="W31" s="8"/>
    </row>
    <row r="32">
      <c r="A32" s="8"/>
      <c r="B32" s="8"/>
      <c r="C32" s="8"/>
      <c r="D32" s="8"/>
      <c r="E32" s="8"/>
      <c r="F32" s="8"/>
      <c r="G32" s="8"/>
      <c r="H32" s="8"/>
      <c r="I32" s="8"/>
      <c r="J32" s="8"/>
      <c r="K32" s="8"/>
      <c r="L32" s="8"/>
      <c r="M32" s="8"/>
      <c r="N32" s="8"/>
      <c r="O32" s="8"/>
      <c r="P32" s="8"/>
      <c r="Q32" s="8"/>
      <c r="R32" s="8"/>
      <c r="S32" s="8"/>
      <c r="T32" s="8"/>
      <c r="U32" s="8"/>
      <c r="V32" s="8"/>
      <c r="W32" s="8"/>
    </row>
    <row r="33">
      <c r="A33" s="8"/>
      <c r="B33" s="8"/>
      <c r="C33" s="8"/>
      <c r="D33" s="8"/>
      <c r="E33" s="8"/>
      <c r="F33" s="8"/>
      <c r="G33" s="8"/>
      <c r="H33" s="8"/>
      <c r="I33" s="8"/>
      <c r="J33" s="8"/>
      <c r="K33" s="8"/>
      <c r="L33" s="8"/>
      <c r="M33" s="8"/>
      <c r="N33" s="8"/>
      <c r="O33" s="8"/>
      <c r="P33" s="8"/>
      <c r="Q33" s="8"/>
      <c r="R33" s="8"/>
      <c r="S33" s="8"/>
      <c r="T33" s="8"/>
      <c r="U33" s="8"/>
      <c r="V33" s="8"/>
      <c r="W33" s="8"/>
    </row>
    <row r="34">
      <c r="A34" s="8"/>
      <c r="B34" s="8"/>
      <c r="C34" s="8"/>
      <c r="D34" s="8"/>
      <c r="E34" s="8"/>
      <c r="F34" s="8"/>
      <c r="G34" s="8"/>
      <c r="H34" s="8"/>
      <c r="I34" s="8"/>
      <c r="J34" s="8"/>
      <c r="K34" s="8"/>
      <c r="L34" s="8"/>
      <c r="M34" s="8"/>
      <c r="N34" s="8"/>
      <c r="O34" s="8"/>
      <c r="P34" s="8"/>
      <c r="Q34" s="8"/>
      <c r="R34" s="8"/>
      <c r="S34" s="8"/>
      <c r="T34" s="8"/>
      <c r="U34" s="8"/>
      <c r="V34" s="8"/>
      <c r="W34" s="8"/>
    </row>
    <row r="35">
      <c r="A35" s="8"/>
      <c r="B35" s="8"/>
      <c r="C35" s="8"/>
      <c r="D35" s="8"/>
      <c r="E35" s="8"/>
      <c r="F35" s="8"/>
      <c r="G35" s="8"/>
      <c r="H35" s="8"/>
      <c r="I35" s="8"/>
      <c r="J35" s="8"/>
      <c r="K35" s="8"/>
      <c r="L35" s="8"/>
      <c r="M35" s="8"/>
      <c r="N35" s="8"/>
      <c r="O35" s="8"/>
      <c r="P35" s="8"/>
      <c r="Q35" s="8"/>
      <c r="R35" s="8"/>
      <c r="S35" s="8"/>
      <c r="T35" s="8"/>
      <c r="U35" s="8"/>
      <c r="V35" s="8"/>
      <c r="W35" s="8"/>
    </row>
    <row r="36">
      <c r="A36" s="8"/>
      <c r="B36" s="8"/>
      <c r="C36" s="8"/>
      <c r="D36" s="8"/>
      <c r="E36" s="8"/>
      <c r="F36" s="8"/>
      <c r="G36" s="8"/>
      <c r="H36" s="8"/>
      <c r="I36" s="8"/>
      <c r="J36" s="8"/>
      <c r="K36" s="8"/>
      <c r="L36" s="8"/>
      <c r="M36" s="8"/>
      <c r="N36" s="8"/>
      <c r="O36" s="8"/>
      <c r="P36" s="8"/>
      <c r="Q36" s="8"/>
      <c r="R36" s="8"/>
      <c r="S36" s="8"/>
      <c r="T36" s="8"/>
      <c r="U36" s="8"/>
      <c r="V36" s="8"/>
      <c r="W36" s="8"/>
    </row>
    <row r="37">
      <c r="A37" s="8"/>
      <c r="B37" s="8"/>
      <c r="C37" s="8"/>
      <c r="D37" s="8"/>
      <c r="E37" s="8"/>
      <c r="F37" s="8"/>
      <c r="G37" s="8"/>
      <c r="H37" s="8"/>
      <c r="I37" s="8"/>
      <c r="J37" s="8"/>
      <c r="K37" s="8"/>
      <c r="L37" s="8"/>
      <c r="M37" s="8"/>
      <c r="N37" s="8"/>
      <c r="O37" s="8"/>
      <c r="P37" s="8"/>
      <c r="Q37" s="8"/>
      <c r="R37" s="8"/>
      <c r="S37" s="8"/>
      <c r="T37" s="8"/>
      <c r="U37" s="8"/>
      <c r="V37" s="8"/>
      <c r="W37" s="8"/>
    </row>
    <row r="38">
      <c r="A38" s="8"/>
      <c r="B38" s="8"/>
      <c r="C38" s="8"/>
      <c r="D38" s="8"/>
      <c r="E38" s="8"/>
      <c r="F38" s="8"/>
      <c r="G38" s="8"/>
      <c r="H38" s="8"/>
      <c r="I38" s="8"/>
      <c r="J38" s="8"/>
      <c r="K38" s="8"/>
      <c r="L38" s="8"/>
      <c r="M38" s="8"/>
      <c r="N38" s="8"/>
      <c r="O38" s="8"/>
      <c r="P38" s="8"/>
      <c r="Q38" s="8"/>
      <c r="R38" s="8"/>
      <c r="S38" s="8"/>
      <c r="T38" s="8"/>
      <c r="U38" s="8"/>
      <c r="V38" s="8"/>
      <c r="W38" s="8"/>
    </row>
    <row r="39">
      <c r="A39" s="8"/>
      <c r="B39" s="8"/>
      <c r="C39" s="8"/>
      <c r="D39" s="8"/>
      <c r="E39" s="8"/>
      <c r="F39" s="8"/>
      <c r="G39" s="8"/>
      <c r="H39" s="8"/>
      <c r="I39" s="8"/>
      <c r="J39" s="8"/>
      <c r="K39" s="8"/>
      <c r="L39" s="8"/>
      <c r="M39" s="8"/>
      <c r="N39" s="8"/>
      <c r="O39" s="8"/>
      <c r="P39" s="8"/>
      <c r="Q39" s="8"/>
      <c r="R39" s="8"/>
      <c r="S39" s="8"/>
      <c r="T39" s="8"/>
      <c r="U39" s="8"/>
      <c r="V39" s="8"/>
      <c r="W39" s="8"/>
    </row>
    <row r="40">
      <c r="A40" s="8"/>
      <c r="B40" s="8"/>
      <c r="C40" s="8"/>
      <c r="D40" s="8"/>
      <c r="E40" s="8"/>
      <c r="F40" s="8"/>
      <c r="G40" s="8"/>
      <c r="H40" s="8"/>
      <c r="I40" s="8"/>
      <c r="J40" s="8"/>
      <c r="K40" s="8"/>
      <c r="L40" s="8"/>
      <c r="M40" s="8"/>
      <c r="N40" s="8"/>
      <c r="O40" s="8"/>
      <c r="P40" s="8"/>
      <c r="Q40" s="8"/>
      <c r="R40" s="8"/>
      <c r="S40" s="8"/>
      <c r="T40" s="8"/>
      <c r="U40" s="8"/>
      <c r="V40" s="8"/>
      <c r="W40" s="8"/>
    </row>
    <row r="41">
      <c r="A41" s="8"/>
      <c r="B41" s="8"/>
      <c r="C41" s="8"/>
      <c r="D41" s="8"/>
      <c r="E41" s="8"/>
      <c r="F41" s="8"/>
      <c r="G41" s="8"/>
      <c r="H41" s="8"/>
      <c r="I41" s="8"/>
      <c r="J41" s="8"/>
      <c r="K41" s="8"/>
      <c r="L41" s="8"/>
      <c r="M41" s="8"/>
      <c r="N41" s="8"/>
      <c r="O41" s="8"/>
      <c r="P41" s="8"/>
      <c r="Q41" s="8"/>
      <c r="R41" s="8"/>
      <c r="S41" s="8"/>
      <c r="T41" s="8"/>
      <c r="U41" s="8"/>
      <c r="V41" s="8"/>
      <c r="W41" s="8"/>
    </row>
    <row r="42">
      <c r="A42" s="8"/>
      <c r="B42" s="8"/>
      <c r="C42" s="8"/>
      <c r="D42" s="8"/>
      <c r="E42" s="8"/>
      <c r="F42" s="8"/>
      <c r="G42" s="8"/>
      <c r="H42" s="8"/>
      <c r="I42" s="8"/>
      <c r="J42" s="8"/>
      <c r="K42" s="8"/>
      <c r="L42" s="8"/>
      <c r="M42" s="8"/>
      <c r="N42" s="8"/>
      <c r="O42" s="8"/>
      <c r="P42" s="8"/>
      <c r="Q42" s="8"/>
      <c r="R42" s="8"/>
      <c r="S42" s="8"/>
      <c r="T42" s="8"/>
      <c r="U42" s="8"/>
      <c r="V42" s="8"/>
      <c r="W42" s="8"/>
    </row>
    <row r="43">
      <c r="A43" s="8"/>
      <c r="B43" s="8"/>
      <c r="C43" s="8"/>
      <c r="D43" s="8"/>
      <c r="E43" s="8"/>
      <c r="F43" s="8"/>
      <c r="G43" s="8"/>
      <c r="H43" s="8"/>
      <c r="I43" s="8"/>
      <c r="J43" s="8"/>
      <c r="K43" s="8"/>
      <c r="L43" s="8"/>
      <c r="M43" s="8"/>
      <c r="N43" s="8"/>
      <c r="O43" s="8"/>
      <c r="P43" s="8"/>
      <c r="Q43" s="8"/>
      <c r="R43" s="8"/>
      <c r="S43" s="8"/>
      <c r="T43" s="8"/>
      <c r="U43" s="8"/>
      <c r="V43" s="8"/>
      <c r="W43" s="8"/>
    </row>
    <row r="44">
      <c r="A44" s="8"/>
      <c r="B44" s="8"/>
      <c r="C44" s="8"/>
      <c r="D44" s="8"/>
      <c r="E44" s="8"/>
      <c r="F44" s="8"/>
      <c r="G44" s="8"/>
      <c r="H44" s="8"/>
      <c r="I44" s="8"/>
      <c r="J44" s="8"/>
      <c r="K44" s="8"/>
      <c r="L44" s="8"/>
      <c r="M44" s="8"/>
      <c r="N44" s="8"/>
      <c r="O44" s="8"/>
      <c r="P44" s="8"/>
      <c r="Q44" s="8"/>
      <c r="R44" s="8"/>
      <c r="S44" s="8"/>
      <c r="T44" s="8"/>
      <c r="U44" s="8"/>
      <c r="V44" s="8"/>
      <c r="W44" s="8"/>
    </row>
    <row r="45">
      <c r="A45" s="8"/>
      <c r="B45" s="8"/>
      <c r="C45" s="8"/>
      <c r="D45" s="8"/>
      <c r="E45" s="8"/>
      <c r="F45" s="8"/>
      <c r="G45" s="8"/>
      <c r="H45" s="8"/>
      <c r="I45" s="8"/>
      <c r="J45" s="8"/>
      <c r="K45" s="8"/>
      <c r="L45" s="8"/>
      <c r="M45" s="8"/>
      <c r="N45" s="8"/>
      <c r="O45" s="8"/>
      <c r="P45" s="8"/>
      <c r="Q45" s="8"/>
      <c r="R45" s="8"/>
      <c r="S45" s="8"/>
      <c r="T45" s="8"/>
      <c r="U45" s="8"/>
      <c r="V45" s="8"/>
      <c r="W45" s="8"/>
    </row>
    <row r="46">
      <c r="A46" s="8"/>
      <c r="B46" s="8"/>
      <c r="C46" s="8"/>
      <c r="D46" s="8"/>
      <c r="E46" s="8"/>
      <c r="F46" s="8"/>
      <c r="G46" s="8"/>
      <c r="H46" s="8"/>
      <c r="I46" s="8"/>
      <c r="J46" s="8"/>
      <c r="K46" s="8"/>
      <c r="L46" s="8"/>
      <c r="M46" s="8"/>
      <c r="N46" s="8"/>
      <c r="O46" s="8"/>
      <c r="P46" s="8"/>
      <c r="Q46" s="8"/>
      <c r="R46" s="8"/>
      <c r="S46" s="8"/>
      <c r="T46" s="8"/>
      <c r="U46" s="8"/>
      <c r="V46" s="8"/>
      <c r="W46" s="8"/>
    </row>
    <row r="47">
      <c r="A47" s="8"/>
      <c r="B47" s="8"/>
      <c r="C47" s="8"/>
      <c r="D47" s="8"/>
      <c r="E47" s="8"/>
      <c r="F47" s="8"/>
      <c r="G47" s="8"/>
      <c r="H47" s="8"/>
      <c r="I47" s="8"/>
      <c r="J47" s="8"/>
      <c r="K47" s="8"/>
      <c r="L47" s="8"/>
      <c r="M47" s="8"/>
      <c r="N47" s="8"/>
      <c r="O47" s="8"/>
      <c r="P47" s="8"/>
      <c r="Q47" s="8"/>
      <c r="R47" s="8"/>
      <c r="S47" s="8"/>
      <c r="T47" s="8"/>
      <c r="U47" s="8"/>
      <c r="V47" s="8"/>
      <c r="W47" s="8"/>
    </row>
    <row r="48">
      <c r="A48" s="8"/>
      <c r="B48" s="8"/>
      <c r="C48" s="8"/>
      <c r="D48" s="8"/>
      <c r="E48" s="8"/>
      <c r="F48" s="8"/>
      <c r="G48" s="8"/>
      <c r="H48" s="8"/>
      <c r="I48" s="8"/>
      <c r="J48" s="8"/>
      <c r="K48" s="8"/>
      <c r="L48" s="8"/>
      <c r="M48" s="8"/>
      <c r="N48" s="8"/>
      <c r="O48" s="8"/>
      <c r="P48" s="8"/>
      <c r="Q48" s="8"/>
      <c r="R48" s="8"/>
      <c r="S48" s="8"/>
      <c r="T48" s="8"/>
      <c r="U48" s="8"/>
      <c r="V48" s="8"/>
      <c r="W48" s="8"/>
    </row>
    <row r="49">
      <c r="A49" s="8"/>
      <c r="B49" s="8"/>
      <c r="C49" s="8"/>
      <c r="D49" s="8"/>
      <c r="E49" s="8"/>
      <c r="F49" s="8"/>
      <c r="G49" s="8"/>
      <c r="H49" s="8"/>
      <c r="I49" s="8"/>
      <c r="J49" s="8"/>
      <c r="K49" s="8"/>
      <c r="L49" s="8"/>
      <c r="M49" s="8"/>
      <c r="N49" s="8"/>
      <c r="O49" s="8"/>
      <c r="P49" s="8"/>
      <c r="Q49" s="8"/>
      <c r="R49" s="8"/>
      <c r="S49" s="8"/>
      <c r="T49" s="8"/>
      <c r="U49" s="8"/>
      <c r="V49" s="8"/>
      <c r="W49" s="8"/>
    </row>
    <row r="50">
      <c r="A50" s="8"/>
      <c r="B50" s="8"/>
      <c r="C50" s="8"/>
      <c r="D50" s="8"/>
      <c r="E50" s="8"/>
      <c r="F50" s="8"/>
      <c r="G50" s="8"/>
      <c r="H50" s="8"/>
      <c r="I50" s="8"/>
      <c r="J50" s="8"/>
      <c r="K50" s="8"/>
      <c r="L50" s="8"/>
      <c r="M50" s="8"/>
      <c r="N50" s="8"/>
      <c r="O50" s="8"/>
      <c r="P50" s="8"/>
      <c r="Q50" s="8"/>
      <c r="R50" s="8"/>
      <c r="S50" s="8"/>
      <c r="T50" s="8"/>
      <c r="U50" s="8"/>
      <c r="V50" s="8"/>
      <c r="W50" s="8"/>
    </row>
    <row r="51">
      <c r="A51" s="8"/>
      <c r="B51" s="8"/>
      <c r="C51" s="8"/>
      <c r="D51" s="8"/>
      <c r="E51" s="8"/>
      <c r="F51" s="8"/>
      <c r="G51" s="8"/>
      <c r="H51" s="8"/>
      <c r="I51" s="8"/>
      <c r="J51" s="8"/>
      <c r="K51" s="8"/>
      <c r="L51" s="8"/>
      <c r="M51" s="8"/>
      <c r="N51" s="8"/>
      <c r="O51" s="8"/>
      <c r="P51" s="8"/>
      <c r="Q51" s="8"/>
      <c r="R51" s="8"/>
      <c r="S51" s="8"/>
      <c r="T51" s="8"/>
      <c r="U51" s="8"/>
      <c r="V51" s="8"/>
      <c r="W51" s="8"/>
    </row>
    <row r="52">
      <c r="A52" s="8"/>
      <c r="B52" s="8"/>
      <c r="C52" s="8"/>
      <c r="D52" s="8"/>
      <c r="E52" s="8"/>
      <c r="F52" s="8"/>
      <c r="G52" s="8"/>
      <c r="H52" s="8"/>
      <c r="I52" s="8"/>
      <c r="J52" s="8"/>
      <c r="K52" s="8"/>
      <c r="L52" s="8"/>
      <c r="M52" s="8"/>
      <c r="N52" s="8"/>
      <c r="O52" s="8"/>
      <c r="P52" s="8"/>
      <c r="Q52" s="8"/>
      <c r="R52" s="8"/>
      <c r="S52" s="8"/>
      <c r="T52" s="8"/>
      <c r="U52" s="8"/>
      <c r="V52" s="8"/>
      <c r="W52" s="8"/>
    </row>
    <row r="53">
      <c r="A53" s="8"/>
      <c r="B53" s="8"/>
      <c r="C53" s="8"/>
      <c r="D53" s="8"/>
      <c r="E53" s="8"/>
      <c r="F53" s="8"/>
      <c r="G53" s="8"/>
      <c r="H53" s="8"/>
      <c r="I53" s="8"/>
      <c r="J53" s="8"/>
      <c r="K53" s="8"/>
      <c r="L53" s="8"/>
      <c r="M53" s="8"/>
      <c r="N53" s="8"/>
      <c r="O53" s="8"/>
      <c r="P53" s="8"/>
      <c r="Q53" s="8"/>
      <c r="R53" s="8"/>
      <c r="S53" s="8"/>
      <c r="T53" s="8"/>
      <c r="U53" s="8"/>
      <c r="V53" s="8"/>
      <c r="W53" s="8"/>
    </row>
    <row r="54">
      <c r="A54" s="8"/>
      <c r="B54" s="8"/>
      <c r="C54" s="8"/>
      <c r="D54" s="8"/>
      <c r="E54" s="8"/>
      <c r="F54" s="8"/>
      <c r="G54" s="8"/>
      <c r="H54" s="8"/>
      <c r="I54" s="8"/>
      <c r="J54" s="8"/>
      <c r="K54" s="8"/>
      <c r="L54" s="8"/>
      <c r="M54" s="8"/>
      <c r="N54" s="8"/>
      <c r="O54" s="8"/>
      <c r="P54" s="8"/>
      <c r="Q54" s="8"/>
      <c r="R54" s="8"/>
      <c r="S54" s="8"/>
      <c r="T54" s="8"/>
      <c r="U54" s="8"/>
      <c r="V54" s="8"/>
      <c r="W54" s="8"/>
    </row>
    <row r="55">
      <c r="A55" s="8"/>
      <c r="B55" s="8"/>
      <c r="C55" s="8"/>
      <c r="D55" s="8"/>
      <c r="E55" s="8"/>
      <c r="F55" s="8"/>
      <c r="G55" s="8"/>
      <c r="H55" s="8"/>
      <c r="I55" s="8"/>
      <c r="J55" s="8"/>
      <c r="K55" s="8"/>
      <c r="L55" s="8"/>
      <c r="M55" s="8"/>
      <c r="N55" s="8"/>
      <c r="O55" s="8"/>
      <c r="P55" s="8"/>
      <c r="Q55" s="8"/>
      <c r="R55" s="8"/>
      <c r="S55" s="8"/>
      <c r="T55" s="8"/>
      <c r="U55" s="8"/>
      <c r="V55" s="8"/>
      <c r="W55" s="8"/>
    </row>
    <row r="56">
      <c r="A56" s="8"/>
      <c r="B56" s="8"/>
      <c r="C56" s="8"/>
      <c r="D56" s="8"/>
      <c r="E56" s="8"/>
      <c r="F56" s="8"/>
      <c r="G56" s="8"/>
      <c r="H56" s="8"/>
      <c r="I56" s="8"/>
      <c r="J56" s="8"/>
      <c r="K56" s="8"/>
      <c r="L56" s="8"/>
      <c r="M56" s="8"/>
      <c r="N56" s="8"/>
      <c r="O56" s="8"/>
      <c r="P56" s="8"/>
      <c r="Q56" s="8"/>
      <c r="R56" s="8"/>
      <c r="S56" s="8"/>
      <c r="T56" s="8"/>
      <c r="U56" s="8"/>
      <c r="V56" s="8"/>
      <c r="W56" s="8"/>
    </row>
    <row r="57">
      <c r="A57" s="8"/>
      <c r="B57" s="8"/>
      <c r="C57" s="8"/>
      <c r="D57" s="8"/>
      <c r="E57" s="8"/>
      <c r="F57" s="8"/>
      <c r="G57" s="8"/>
      <c r="H57" s="8"/>
      <c r="I57" s="8"/>
      <c r="J57" s="8"/>
      <c r="K57" s="8"/>
      <c r="L57" s="8"/>
      <c r="M57" s="8"/>
      <c r="N57" s="8"/>
      <c r="O57" s="8"/>
      <c r="P57" s="8"/>
      <c r="Q57" s="8"/>
      <c r="R57" s="8"/>
      <c r="S57" s="8"/>
      <c r="T57" s="8"/>
      <c r="U57" s="8"/>
      <c r="V57" s="8"/>
      <c r="W57" s="8"/>
    </row>
    <row r="58">
      <c r="A58" s="8"/>
      <c r="B58" s="8"/>
      <c r="C58" s="8"/>
      <c r="D58" s="8"/>
      <c r="E58" s="8"/>
      <c r="F58" s="8"/>
      <c r="G58" s="8"/>
      <c r="H58" s="8"/>
      <c r="I58" s="8"/>
      <c r="J58" s="8"/>
      <c r="K58" s="8"/>
      <c r="L58" s="8"/>
      <c r="M58" s="8"/>
      <c r="N58" s="8"/>
      <c r="O58" s="8"/>
      <c r="P58" s="8"/>
      <c r="Q58" s="8"/>
      <c r="R58" s="8"/>
      <c r="S58" s="8"/>
      <c r="T58" s="8"/>
      <c r="U58" s="8"/>
      <c r="V58" s="8"/>
      <c r="W58" s="8"/>
    </row>
    <row r="59">
      <c r="A59" s="8"/>
      <c r="B59" s="8"/>
      <c r="C59" s="8"/>
      <c r="D59" s="8"/>
      <c r="E59" s="8"/>
      <c r="F59" s="8"/>
      <c r="G59" s="8"/>
      <c r="H59" s="8"/>
      <c r="I59" s="8"/>
      <c r="J59" s="8"/>
      <c r="K59" s="8"/>
      <c r="L59" s="8"/>
      <c r="M59" s="8"/>
      <c r="N59" s="8"/>
      <c r="O59" s="8"/>
      <c r="P59" s="8"/>
      <c r="Q59" s="8"/>
      <c r="R59" s="8"/>
      <c r="S59" s="8"/>
      <c r="T59" s="8"/>
      <c r="U59" s="8"/>
      <c r="V59" s="8"/>
      <c r="W59" s="8"/>
    </row>
    <row r="60">
      <c r="A60" s="8"/>
      <c r="B60" s="8"/>
      <c r="C60" s="8"/>
      <c r="D60" s="8"/>
      <c r="E60" s="8"/>
      <c r="F60" s="8"/>
      <c r="G60" s="8"/>
      <c r="H60" s="8"/>
      <c r="I60" s="8"/>
      <c r="J60" s="8"/>
      <c r="K60" s="8"/>
      <c r="L60" s="8"/>
      <c r="M60" s="8"/>
      <c r="N60" s="8"/>
      <c r="O60" s="8"/>
      <c r="P60" s="8"/>
      <c r="Q60" s="8"/>
      <c r="R60" s="8"/>
      <c r="S60" s="8"/>
      <c r="T60" s="8"/>
      <c r="U60" s="8"/>
      <c r="V60" s="8"/>
      <c r="W60" s="8"/>
    </row>
    <row r="61">
      <c r="A61" s="8"/>
      <c r="B61" s="8"/>
      <c r="C61" s="8"/>
      <c r="D61" s="8"/>
      <c r="E61" s="8"/>
      <c r="F61" s="8"/>
      <c r="G61" s="8"/>
      <c r="H61" s="8"/>
      <c r="I61" s="8"/>
      <c r="J61" s="8"/>
      <c r="K61" s="8"/>
      <c r="L61" s="8"/>
      <c r="M61" s="8"/>
      <c r="N61" s="8"/>
      <c r="O61" s="8"/>
      <c r="P61" s="8"/>
      <c r="Q61" s="8"/>
      <c r="R61" s="8"/>
      <c r="S61" s="8"/>
      <c r="T61" s="8"/>
      <c r="U61" s="8"/>
      <c r="V61" s="8"/>
      <c r="W61" s="8"/>
    </row>
    <row r="62">
      <c r="A62" s="8"/>
      <c r="B62" s="8"/>
      <c r="C62" s="8"/>
      <c r="D62" s="8"/>
      <c r="E62" s="8"/>
      <c r="F62" s="8"/>
      <c r="G62" s="8"/>
      <c r="H62" s="8"/>
      <c r="I62" s="8"/>
      <c r="J62" s="8"/>
      <c r="K62" s="8"/>
      <c r="L62" s="8"/>
      <c r="M62" s="8"/>
      <c r="N62" s="8"/>
      <c r="O62" s="8"/>
      <c r="P62" s="8"/>
      <c r="Q62" s="8"/>
      <c r="R62" s="8"/>
      <c r="S62" s="8"/>
      <c r="T62" s="8"/>
      <c r="U62" s="8"/>
      <c r="V62" s="8"/>
      <c r="W62" s="8"/>
    </row>
    <row r="63">
      <c r="A63" s="8"/>
      <c r="B63" s="8"/>
      <c r="C63" s="8"/>
      <c r="D63" s="8"/>
      <c r="E63" s="8"/>
      <c r="F63" s="8"/>
      <c r="G63" s="8"/>
      <c r="H63" s="8"/>
      <c r="I63" s="8"/>
      <c r="J63" s="8"/>
      <c r="K63" s="8"/>
      <c r="L63" s="8"/>
      <c r="M63" s="8"/>
      <c r="N63" s="8"/>
      <c r="O63" s="8"/>
      <c r="P63" s="8"/>
      <c r="Q63" s="8"/>
      <c r="R63" s="8"/>
      <c r="S63" s="8"/>
      <c r="T63" s="8"/>
      <c r="U63" s="8"/>
      <c r="V63" s="8"/>
      <c r="W63" s="8"/>
    </row>
    <row r="64">
      <c r="A64" s="8"/>
      <c r="B64" s="8"/>
      <c r="C64" s="8"/>
      <c r="D64" s="8"/>
      <c r="E64" s="8"/>
      <c r="F64" s="8"/>
      <c r="G64" s="8"/>
      <c r="H64" s="8"/>
      <c r="I64" s="8"/>
      <c r="J64" s="8"/>
      <c r="K64" s="8"/>
      <c r="L64" s="8"/>
      <c r="M64" s="8"/>
      <c r="N64" s="8"/>
      <c r="O64" s="8"/>
      <c r="P64" s="8"/>
      <c r="Q64" s="8"/>
      <c r="R64" s="8"/>
      <c r="S64" s="8"/>
      <c r="T64" s="8"/>
      <c r="U64" s="8"/>
      <c r="V64" s="8"/>
      <c r="W64" s="8"/>
    </row>
    <row r="65">
      <c r="A65" s="8"/>
      <c r="B65" s="8"/>
      <c r="C65" s="8"/>
      <c r="D65" s="8"/>
      <c r="E65" s="8"/>
      <c r="F65" s="8"/>
      <c r="G65" s="8"/>
      <c r="H65" s="8"/>
      <c r="I65" s="8"/>
      <c r="J65" s="8"/>
      <c r="K65" s="8"/>
      <c r="L65" s="8"/>
      <c r="M65" s="8"/>
      <c r="N65" s="8"/>
      <c r="O65" s="8"/>
      <c r="P65" s="8"/>
      <c r="Q65" s="8"/>
      <c r="R65" s="8"/>
      <c r="S65" s="8"/>
      <c r="T65" s="8"/>
      <c r="U65" s="8"/>
      <c r="V65" s="8"/>
      <c r="W65" s="8"/>
    </row>
    <row r="66">
      <c r="A66" s="8"/>
      <c r="B66" s="8"/>
      <c r="C66" s="8"/>
      <c r="D66" s="8"/>
      <c r="E66" s="8"/>
      <c r="F66" s="8"/>
      <c r="G66" s="8"/>
      <c r="H66" s="8"/>
      <c r="I66" s="8"/>
      <c r="J66" s="8"/>
      <c r="K66" s="8"/>
      <c r="L66" s="8"/>
      <c r="M66" s="8"/>
      <c r="N66" s="8"/>
      <c r="O66" s="8"/>
      <c r="P66" s="8"/>
      <c r="Q66" s="8"/>
      <c r="R66" s="8"/>
      <c r="S66" s="8"/>
      <c r="T66" s="8"/>
      <c r="U66" s="8"/>
      <c r="V66" s="8"/>
      <c r="W66" s="8"/>
    </row>
    <row r="67">
      <c r="A67" s="8"/>
      <c r="B67" s="8"/>
      <c r="C67" s="8"/>
      <c r="D67" s="8"/>
      <c r="E67" s="8"/>
      <c r="F67" s="8"/>
      <c r="G67" s="8"/>
      <c r="H67" s="8"/>
      <c r="I67" s="8"/>
      <c r="J67" s="8"/>
      <c r="K67" s="8"/>
      <c r="L67" s="8"/>
      <c r="M67" s="8"/>
      <c r="N67" s="8"/>
      <c r="O67" s="8"/>
      <c r="P67" s="8"/>
      <c r="Q67" s="8"/>
      <c r="R67" s="8"/>
      <c r="S67" s="8"/>
      <c r="T67" s="8"/>
      <c r="U67" s="8"/>
      <c r="V67" s="8"/>
      <c r="W67" s="8"/>
    </row>
    <row r="68">
      <c r="A68" s="8"/>
      <c r="B68" s="8"/>
      <c r="C68" s="8"/>
      <c r="D68" s="8"/>
      <c r="E68" s="8"/>
      <c r="F68" s="8"/>
      <c r="G68" s="8"/>
      <c r="H68" s="8"/>
      <c r="I68" s="8"/>
      <c r="J68" s="8"/>
      <c r="K68" s="8"/>
      <c r="L68" s="8"/>
      <c r="M68" s="8"/>
      <c r="N68" s="8"/>
      <c r="O68" s="8"/>
      <c r="P68" s="8"/>
      <c r="Q68" s="8"/>
      <c r="R68" s="8"/>
      <c r="S68" s="8"/>
      <c r="T68" s="8"/>
      <c r="U68" s="8"/>
      <c r="V68" s="8"/>
      <c r="W68" s="8"/>
    </row>
    <row r="69">
      <c r="A69" s="8"/>
      <c r="B69" s="8"/>
      <c r="C69" s="8"/>
      <c r="D69" s="8"/>
      <c r="E69" s="8"/>
      <c r="F69" s="8"/>
      <c r="G69" s="8"/>
      <c r="H69" s="8"/>
      <c r="I69" s="8"/>
      <c r="J69" s="8"/>
      <c r="K69" s="8"/>
      <c r="L69" s="8"/>
      <c r="M69" s="8"/>
      <c r="N69" s="8"/>
      <c r="O69" s="8"/>
      <c r="P69" s="8"/>
      <c r="Q69" s="8"/>
      <c r="R69" s="8"/>
      <c r="S69" s="8"/>
      <c r="T69" s="8"/>
      <c r="U69" s="8"/>
      <c r="V69" s="8"/>
      <c r="W69" s="8"/>
    </row>
    <row r="70">
      <c r="A70" s="8"/>
      <c r="B70" s="8"/>
      <c r="C70" s="8"/>
      <c r="D70" s="8"/>
      <c r="E70" s="8"/>
      <c r="F70" s="8"/>
      <c r="G70" s="8"/>
      <c r="H70" s="8"/>
      <c r="I70" s="8"/>
      <c r="J70" s="8"/>
      <c r="K70" s="8"/>
      <c r="L70" s="8"/>
      <c r="M70" s="8"/>
      <c r="N70" s="8"/>
      <c r="O70" s="8"/>
      <c r="P70" s="8"/>
      <c r="Q70" s="8"/>
      <c r="R70" s="8"/>
      <c r="S70" s="8"/>
      <c r="T70" s="8"/>
      <c r="U70" s="8"/>
      <c r="V70" s="8"/>
      <c r="W70" s="8"/>
    </row>
    <row r="71">
      <c r="A71" s="8"/>
      <c r="B71" s="8"/>
      <c r="C71" s="8"/>
      <c r="D71" s="8"/>
      <c r="E71" s="8"/>
      <c r="F71" s="8"/>
      <c r="G71" s="8"/>
      <c r="H71" s="8"/>
      <c r="I71" s="8"/>
      <c r="J71" s="8"/>
      <c r="K71" s="8"/>
      <c r="L71" s="8"/>
      <c r="M71" s="8"/>
      <c r="N71" s="8"/>
      <c r="O71" s="8"/>
      <c r="P71" s="8"/>
      <c r="Q71" s="8"/>
      <c r="R71" s="8"/>
      <c r="S71" s="8"/>
      <c r="T71" s="8"/>
      <c r="U71" s="8"/>
      <c r="V71" s="8"/>
      <c r="W71" s="8"/>
    </row>
    <row r="72">
      <c r="A72" s="8"/>
      <c r="B72" s="8"/>
      <c r="C72" s="8"/>
      <c r="D72" s="8"/>
      <c r="E72" s="8"/>
      <c r="F72" s="8"/>
      <c r="G72" s="8"/>
      <c r="H72" s="8"/>
      <c r="I72" s="8"/>
      <c r="J72" s="8"/>
      <c r="K72" s="8"/>
      <c r="L72" s="8"/>
      <c r="M72" s="8"/>
      <c r="N72" s="8"/>
      <c r="O72" s="8"/>
      <c r="P72" s="8"/>
      <c r="Q72" s="8"/>
      <c r="R72" s="8"/>
      <c r="S72" s="8"/>
      <c r="T72" s="8"/>
      <c r="U72" s="8"/>
      <c r="V72" s="8"/>
      <c r="W72" s="8"/>
    </row>
    <row r="73">
      <c r="A73" s="8"/>
      <c r="B73" s="8"/>
      <c r="C73" s="8"/>
      <c r="D73" s="8"/>
      <c r="E73" s="8"/>
      <c r="F73" s="8"/>
      <c r="G73" s="8"/>
      <c r="H73" s="8"/>
      <c r="I73" s="8"/>
      <c r="J73" s="8"/>
      <c r="K73" s="8"/>
      <c r="L73" s="8"/>
      <c r="M73" s="8"/>
      <c r="N73" s="8"/>
      <c r="O73" s="8"/>
      <c r="P73" s="8"/>
      <c r="Q73" s="8"/>
      <c r="R73" s="8"/>
      <c r="S73" s="8"/>
      <c r="T73" s="8"/>
      <c r="U73" s="8"/>
      <c r="V73" s="8"/>
      <c r="W73" s="8"/>
    </row>
    <row r="74">
      <c r="A74" s="8"/>
      <c r="B74" s="8"/>
      <c r="C74" s="8"/>
      <c r="D74" s="8"/>
      <c r="E74" s="8"/>
      <c r="F74" s="8"/>
      <c r="G74" s="8"/>
      <c r="H74" s="8"/>
      <c r="I74" s="8"/>
      <c r="J74" s="8"/>
      <c r="K74" s="8"/>
      <c r="L74" s="8"/>
      <c r="M74" s="8"/>
      <c r="N74" s="8"/>
      <c r="O74" s="8"/>
      <c r="P74" s="8"/>
      <c r="Q74" s="8"/>
      <c r="R74" s="8"/>
      <c r="S74" s="8"/>
      <c r="T74" s="8"/>
      <c r="U74" s="8"/>
      <c r="V74" s="8"/>
      <c r="W74" s="8"/>
    </row>
    <row r="75">
      <c r="A75" s="8"/>
      <c r="B75" s="8"/>
      <c r="C75" s="8"/>
      <c r="D75" s="8"/>
      <c r="E75" s="8"/>
      <c r="F75" s="8"/>
      <c r="G75" s="8"/>
      <c r="H75" s="8"/>
      <c r="I75" s="8"/>
      <c r="J75" s="8"/>
      <c r="K75" s="8"/>
      <c r="L75" s="8"/>
      <c r="M75" s="8"/>
      <c r="N75" s="8"/>
      <c r="O75" s="8"/>
      <c r="P75" s="8"/>
      <c r="Q75" s="8"/>
      <c r="R75" s="8"/>
      <c r="S75" s="8"/>
      <c r="T75" s="8"/>
      <c r="U75" s="8"/>
      <c r="V75" s="8"/>
      <c r="W75" s="8"/>
    </row>
    <row r="76">
      <c r="A76" s="8"/>
      <c r="B76" s="8"/>
      <c r="C76" s="8"/>
      <c r="D76" s="8"/>
      <c r="E76" s="8"/>
      <c r="F76" s="8"/>
      <c r="G76" s="8"/>
      <c r="H76" s="8"/>
      <c r="I76" s="8"/>
      <c r="J76" s="8"/>
      <c r="K76" s="8"/>
      <c r="L76" s="8"/>
      <c r="M76" s="8"/>
      <c r="N76" s="8"/>
      <c r="O76" s="8"/>
      <c r="P76" s="8"/>
      <c r="Q76" s="8"/>
      <c r="R76" s="8"/>
      <c r="S76" s="8"/>
      <c r="T76" s="8"/>
      <c r="U76" s="8"/>
      <c r="V76" s="8"/>
      <c r="W76" s="8"/>
    </row>
    <row r="77">
      <c r="A77" s="8"/>
      <c r="B77" s="8"/>
      <c r="C77" s="8"/>
      <c r="D77" s="8"/>
      <c r="E77" s="8"/>
      <c r="F77" s="8"/>
      <c r="G77" s="8"/>
      <c r="H77" s="8"/>
      <c r="I77" s="8"/>
      <c r="J77" s="8"/>
      <c r="K77" s="8"/>
      <c r="L77" s="8"/>
      <c r="M77" s="8"/>
      <c r="N77" s="8"/>
      <c r="O77" s="8"/>
      <c r="P77" s="8"/>
      <c r="Q77" s="8"/>
      <c r="R77" s="8"/>
      <c r="S77" s="8"/>
      <c r="T77" s="8"/>
      <c r="U77" s="8"/>
      <c r="V77" s="8"/>
      <c r="W77" s="8"/>
    </row>
    <row r="78">
      <c r="A78" s="8"/>
      <c r="B78" s="8"/>
      <c r="C78" s="8"/>
      <c r="D78" s="8"/>
      <c r="E78" s="8"/>
      <c r="F78" s="8"/>
      <c r="G78" s="8"/>
      <c r="H78" s="8"/>
      <c r="I78" s="8"/>
      <c r="J78" s="8"/>
      <c r="K78" s="8"/>
      <c r="L78" s="8"/>
      <c r="M78" s="8"/>
      <c r="N78" s="8"/>
      <c r="O78" s="8"/>
      <c r="P78" s="8"/>
      <c r="Q78" s="8"/>
      <c r="R78" s="8"/>
      <c r="S78" s="8"/>
      <c r="T78" s="8"/>
      <c r="U78" s="8"/>
      <c r="V78" s="8"/>
      <c r="W78" s="8"/>
    </row>
    <row r="79">
      <c r="A79" s="8"/>
      <c r="B79" s="8"/>
      <c r="C79" s="8"/>
      <c r="D79" s="8"/>
      <c r="E79" s="8"/>
      <c r="F79" s="8"/>
      <c r="G79" s="8"/>
      <c r="H79" s="8"/>
      <c r="I79" s="8"/>
      <c r="J79" s="8"/>
      <c r="K79" s="8"/>
      <c r="L79" s="8"/>
      <c r="M79" s="8"/>
      <c r="N79" s="8"/>
      <c r="O79" s="8"/>
      <c r="P79" s="8"/>
      <c r="Q79" s="8"/>
      <c r="R79" s="8"/>
      <c r="S79" s="8"/>
      <c r="T79" s="8"/>
      <c r="U79" s="8"/>
      <c r="V79" s="8"/>
      <c r="W79" s="8"/>
    </row>
    <row r="80">
      <c r="A80" s="8"/>
      <c r="B80" s="8"/>
      <c r="C80" s="8"/>
      <c r="D80" s="8"/>
      <c r="E80" s="8"/>
      <c r="F80" s="8"/>
      <c r="G80" s="8"/>
      <c r="H80" s="8"/>
      <c r="I80" s="8"/>
      <c r="J80" s="8"/>
      <c r="K80" s="8"/>
      <c r="L80" s="8"/>
      <c r="M80" s="8"/>
      <c r="N80" s="8"/>
      <c r="O80" s="8"/>
      <c r="P80" s="8"/>
      <c r="Q80" s="8"/>
      <c r="R80" s="8"/>
      <c r="S80" s="8"/>
      <c r="T80" s="8"/>
      <c r="U80" s="8"/>
      <c r="V80" s="8"/>
      <c r="W80" s="8"/>
    </row>
    <row r="81">
      <c r="A81" s="8"/>
      <c r="B81" s="8"/>
      <c r="C81" s="8"/>
      <c r="D81" s="8"/>
      <c r="E81" s="8"/>
      <c r="F81" s="8"/>
      <c r="G81" s="8"/>
      <c r="H81" s="8"/>
      <c r="I81" s="8"/>
      <c r="J81" s="8"/>
      <c r="K81" s="8"/>
      <c r="L81" s="8"/>
      <c r="M81" s="8"/>
      <c r="N81" s="8"/>
      <c r="O81" s="8"/>
      <c r="P81" s="8"/>
      <c r="Q81" s="8"/>
      <c r="R81" s="8"/>
      <c r="S81" s="8"/>
      <c r="T81" s="8"/>
      <c r="U81" s="8"/>
      <c r="V81" s="8"/>
      <c r="W81" s="8"/>
    </row>
    <row r="82">
      <c r="A82" s="8"/>
      <c r="B82" s="8"/>
      <c r="C82" s="8"/>
      <c r="D82" s="8"/>
      <c r="E82" s="8"/>
      <c r="F82" s="8"/>
      <c r="G82" s="8"/>
      <c r="H82" s="8"/>
      <c r="I82" s="8"/>
      <c r="J82" s="8"/>
      <c r="K82" s="8"/>
      <c r="L82" s="8"/>
      <c r="M82" s="8"/>
      <c r="N82" s="8"/>
      <c r="O82" s="8"/>
      <c r="P82" s="8"/>
      <c r="Q82" s="8"/>
      <c r="R82" s="8"/>
      <c r="S82" s="8"/>
      <c r="T82" s="8"/>
      <c r="U82" s="8"/>
      <c r="V82" s="8"/>
      <c r="W82" s="8"/>
    </row>
    <row r="83">
      <c r="A83" s="8"/>
      <c r="B83" s="8"/>
      <c r="C83" s="8"/>
      <c r="D83" s="8"/>
      <c r="E83" s="8"/>
      <c r="F83" s="8"/>
      <c r="G83" s="8"/>
      <c r="H83" s="8"/>
      <c r="I83" s="8"/>
      <c r="J83" s="8"/>
      <c r="K83" s="8"/>
      <c r="L83" s="8"/>
      <c r="M83" s="8"/>
      <c r="N83" s="8"/>
      <c r="O83" s="8"/>
      <c r="P83" s="8"/>
      <c r="Q83" s="8"/>
      <c r="R83" s="8"/>
      <c r="S83" s="8"/>
      <c r="T83" s="8"/>
      <c r="U83" s="8"/>
      <c r="V83" s="8"/>
      <c r="W83" s="8"/>
    </row>
    <row r="84">
      <c r="A84" s="8"/>
      <c r="B84" s="8"/>
      <c r="C84" s="8"/>
      <c r="D84" s="8"/>
      <c r="E84" s="8"/>
      <c r="F84" s="8"/>
      <c r="G84" s="8"/>
      <c r="H84" s="8"/>
      <c r="I84" s="8"/>
      <c r="J84" s="8"/>
      <c r="K84" s="8"/>
      <c r="L84" s="8"/>
      <c r="M84" s="8"/>
      <c r="N84" s="8"/>
      <c r="O84" s="8"/>
      <c r="P84" s="8"/>
      <c r="Q84" s="8"/>
      <c r="R84" s="8"/>
      <c r="S84" s="8"/>
      <c r="T84" s="8"/>
      <c r="U84" s="8"/>
      <c r="V84" s="8"/>
      <c r="W84" s="8"/>
    </row>
    <row r="85">
      <c r="A85" s="8"/>
      <c r="B85" s="8"/>
      <c r="C85" s="8"/>
      <c r="D85" s="8"/>
      <c r="E85" s="8"/>
      <c r="F85" s="8"/>
      <c r="G85" s="8"/>
      <c r="H85" s="8"/>
      <c r="I85" s="8"/>
      <c r="J85" s="8"/>
      <c r="K85" s="8"/>
      <c r="L85" s="8"/>
      <c r="M85" s="8"/>
      <c r="N85" s="8"/>
      <c r="O85" s="8"/>
      <c r="P85" s="8"/>
      <c r="Q85" s="8"/>
      <c r="R85" s="8"/>
      <c r="S85" s="8"/>
      <c r="T85" s="8"/>
      <c r="U85" s="8"/>
      <c r="V85" s="8"/>
      <c r="W85" s="8"/>
    </row>
    <row r="86">
      <c r="A86" s="8"/>
      <c r="B86" s="8"/>
      <c r="C86" s="8"/>
      <c r="D86" s="8"/>
      <c r="E86" s="8"/>
      <c r="F86" s="8"/>
      <c r="G86" s="8"/>
      <c r="H86" s="8"/>
      <c r="I86" s="8"/>
      <c r="J86" s="8"/>
      <c r="K86" s="8"/>
      <c r="L86" s="8"/>
      <c r="M86" s="8"/>
      <c r="N86" s="8"/>
      <c r="O86" s="8"/>
      <c r="P86" s="8"/>
      <c r="Q86" s="8"/>
      <c r="R86" s="8"/>
      <c r="S86" s="8"/>
      <c r="T86" s="8"/>
      <c r="U86" s="8"/>
      <c r="V86" s="8"/>
      <c r="W86" s="8"/>
    </row>
    <row r="87">
      <c r="A87" s="8"/>
      <c r="B87" s="8"/>
      <c r="C87" s="8"/>
      <c r="D87" s="8"/>
      <c r="E87" s="8"/>
      <c r="F87" s="8"/>
      <c r="G87" s="8"/>
      <c r="H87" s="8"/>
      <c r="I87" s="8"/>
      <c r="J87" s="8"/>
      <c r="K87" s="8"/>
      <c r="L87" s="8"/>
      <c r="M87" s="8"/>
      <c r="N87" s="8"/>
      <c r="O87" s="8"/>
      <c r="P87" s="8"/>
      <c r="Q87" s="8"/>
      <c r="R87" s="8"/>
      <c r="S87" s="8"/>
      <c r="T87" s="8"/>
      <c r="U87" s="8"/>
      <c r="V87" s="8"/>
      <c r="W87" s="8"/>
    </row>
    <row r="88">
      <c r="A88" s="8"/>
      <c r="B88" s="8"/>
      <c r="C88" s="8"/>
      <c r="D88" s="8"/>
      <c r="E88" s="8"/>
      <c r="F88" s="8"/>
      <c r="G88" s="8"/>
      <c r="H88" s="8"/>
      <c r="I88" s="8"/>
      <c r="J88" s="8"/>
      <c r="K88" s="8"/>
      <c r="L88" s="8"/>
      <c r="M88" s="8"/>
      <c r="N88" s="8"/>
      <c r="O88" s="8"/>
      <c r="P88" s="8"/>
      <c r="Q88" s="8"/>
      <c r="R88" s="8"/>
      <c r="S88" s="8"/>
      <c r="T88" s="8"/>
      <c r="U88" s="8"/>
      <c r="V88" s="8"/>
      <c r="W88" s="8"/>
    </row>
    <row r="89">
      <c r="A89" s="8"/>
      <c r="B89" s="8"/>
      <c r="C89" s="8"/>
      <c r="D89" s="8"/>
      <c r="E89" s="8"/>
      <c r="F89" s="8"/>
      <c r="G89" s="8"/>
      <c r="H89" s="8"/>
      <c r="I89" s="8"/>
      <c r="J89" s="8"/>
      <c r="K89" s="8"/>
      <c r="L89" s="8"/>
      <c r="M89" s="8"/>
      <c r="N89" s="8"/>
      <c r="O89" s="8"/>
      <c r="P89" s="8"/>
      <c r="Q89" s="8"/>
      <c r="R89" s="8"/>
      <c r="S89" s="8"/>
      <c r="T89" s="8"/>
      <c r="U89" s="8"/>
      <c r="V89" s="8"/>
      <c r="W89" s="8"/>
    </row>
    <row r="90">
      <c r="A90" s="8"/>
      <c r="B90" s="8"/>
      <c r="C90" s="8"/>
      <c r="D90" s="8"/>
      <c r="E90" s="8"/>
      <c r="F90" s="8"/>
      <c r="G90" s="8"/>
      <c r="H90" s="8"/>
      <c r="I90" s="8"/>
      <c r="J90" s="8"/>
      <c r="K90" s="8"/>
      <c r="L90" s="8"/>
      <c r="M90" s="8"/>
      <c r="N90" s="8"/>
      <c r="O90" s="8"/>
      <c r="P90" s="8"/>
      <c r="Q90" s="8"/>
      <c r="R90" s="8"/>
      <c r="S90" s="8"/>
      <c r="T90" s="8"/>
      <c r="U90" s="8"/>
      <c r="V90" s="8"/>
      <c r="W90" s="8"/>
    </row>
    <row r="91">
      <c r="A91" s="8"/>
      <c r="B91" s="8"/>
      <c r="C91" s="8"/>
      <c r="D91" s="8"/>
      <c r="E91" s="8"/>
      <c r="F91" s="8"/>
      <c r="G91" s="8"/>
      <c r="H91" s="8"/>
      <c r="I91" s="8"/>
      <c r="J91" s="8"/>
      <c r="K91" s="8"/>
      <c r="L91" s="8"/>
      <c r="M91" s="8"/>
      <c r="N91" s="8"/>
      <c r="O91" s="8"/>
      <c r="P91" s="8"/>
      <c r="Q91" s="8"/>
      <c r="R91" s="8"/>
      <c r="S91" s="8"/>
      <c r="T91" s="8"/>
      <c r="U91" s="8"/>
      <c r="V91" s="8"/>
      <c r="W91" s="8"/>
    </row>
    <row r="92">
      <c r="A92" s="8"/>
      <c r="B92" s="8"/>
      <c r="C92" s="8"/>
      <c r="D92" s="8"/>
      <c r="E92" s="8"/>
      <c r="F92" s="8"/>
      <c r="G92" s="8"/>
      <c r="H92" s="8"/>
      <c r="I92" s="8"/>
      <c r="J92" s="8"/>
      <c r="K92" s="8"/>
      <c r="L92" s="8"/>
      <c r="M92" s="8"/>
      <c r="N92" s="8"/>
      <c r="O92" s="8"/>
      <c r="P92" s="8"/>
      <c r="Q92" s="8"/>
      <c r="R92" s="8"/>
      <c r="S92" s="8"/>
      <c r="T92" s="8"/>
      <c r="U92" s="8"/>
      <c r="V92" s="8"/>
      <c r="W92" s="8"/>
    </row>
    <row r="93">
      <c r="A93" s="8"/>
      <c r="B93" s="8"/>
      <c r="C93" s="8"/>
      <c r="D93" s="8"/>
      <c r="E93" s="8"/>
      <c r="F93" s="8"/>
      <c r="G93" s="8"/>
      <c r="H93" s="8"/>
      <c r="I93" s="8"/>
      <c r="J93" s="8"/>
      <c r="K93" s="8"/>
      <c r="L93" s="8"/>
      <c r="M93" s="8"/>
      <c r="N93" s="8"/>
      <c r="O93" s="8"/>
      <c r="P93" s="8"/>
      <c r="Q93" s="8"/>
      <c r="R93" s="8"/>
      <c r="S93" s="8"/>
      <c r="T93" s="8"/>
      <c r="U93" s="8"/>
      <c r="V93" s="8"/>
      <c r="W93" s="8"/>
    </row>
    <row r="94">
      <c r="A94" s="8"/>
      <c r="B94" s="8"/>
      <c r="C94" s="8"/>
      <c r="D94" s="8"/>
      <c r="E94" s="8"/>
      <c r="F94" s="8"/>
      <c r="G94" s="8"/>
      <c r="H94" s="8"/>
      <c r="I94" s="8"/>
      <c r="J94" s="8"/>
      <c r="K94" s="8"/>
      <c r="L94" s="8"/>
      <c r="M94" s="8"/>
      <c r="N94" s="8"/>
      <c r="O94" s="8"/>
      <c r="P94" s="8"/>
      <c r="Q94" s="8"/>
      <c r="R94" s="8"/>
      <c r="S94" s="8"/>
      <c r="T94" s="8"/>
      <c r="U94" s="8"/>
      <c r="V94" s="8"/>
      <c r="W94" s="8"/>
    </row>
    <row r="95">
      <c r="A95" s="8"/>
      <c r="B95" s="8"/>
      <c r="C95" s="8"/>
      <c r="D95" s="8"/>
      <c r="E95" s="8"/>
      <c r="F95" s="8"/>
      <c r="G95" s="8"/>
      <c r="H95" s="8"/>
      <c r="I95" s="8"/>
      <c r="J95" s="8"/>
      <c r="K95" s="8"/>
      <c r="L95" s="8"/>
      <c r="M95" s="8"/>
      <c r="N95" s="8"/>
      <c r="O95" s="8"/>
      <c r="P95" s="8"/>
      <c r="Q95" s="8"/>
      <c r="R95" s="8"/>
      <c r="S95" s="8"/>
      <c r="T95" s="8"/>
      <c r="U95" s="8"/>
      <c r="V95" s="8"/>
      <c r="W95" s="8"/>
    </row>
    <row r="96">
      <c r="A96" s="8"/>
      <c r="B96" s="8"/>
      <c r="C96" s="8"/>
      <c r="D96" s="8"/>
      <c r="E96" s="8"/>
      <c r="F96" s="8"/>
      <c r="G96" s="8"/>
      <c r="H96" s="8"/>
      <c r="I96" s="8"/>
      <c r="J96" s="8"/>
      <c r="K96" s="8"/>
      <c r="L96" s="8"/>
      <c r="M96" s="8"/>
      <c r="N96" s="8"/>
      <c r="O96" s="8"/>
      <c r="P96" s="8"/>
      <c r="Q96" s="8"/>
      <c r="R96" s="8"/>
      <c r="S96" s="8"/>
      <c r="T96" s="8"/>
      <c r="U96" s="8"/>
      <c r="V96" s="8"/>
      <c r="W96" s="8"/>
    </row>
    <row r="97">
      <c r="A97" s="8"/>
      <c r="B97" s="8"/>
      <c r="C97" s="8"/>
      <c r="D97" s="8"/>
      <c r="E97" s="8"/>
      <c r="F97" s="8"/>
      <c r="G97" s="8"/>
      <c r="H97" s="8"/>
      <c r="I97" s="8"/>
      <c r="J97" s="8"/>
      <c r="K97" s="8"/>
      <c r="L97" s="8"/>
      <c r="M97" s="8"/>
      <c r="N97" s="8"/>
      <c r="O97" s="8"/>
      <c r="P97" s="8"/>
      <c r="Q97" s="8"/>
      <c r="R97" s="8"/>
      <c r="S97" s="8"/>
      <c r="T97" s="8"/>
      <c r="U97" s="8"/>
      <c r="V97" s="8"/>
      <c r="W97" s="8"/>
    </row>
    <row r="98">
      <c r="A98" s="8"/>
      <c r="B98" s="8"/>
      <c r="C98" s="8"/>
      <c r="D98" s="8"/>
      <c r="E98" s="8"/>
      <c r="F98" s="8"/>
      <c r="G98" s="8"/>
      <c r="H98" s="8"/>
      <c r="I98" s="8"/>
      <c r="J98" s="8"/>
      <c r="K98" s="8"/>
      <c r="L98" s="8"/>
      <c r="M98" s="8"/>
      <c r="N98" s="8"/>
      <c r="O98" s="8"/>
      <c r="P98" s="8"/>
      <c r="Q98" s="8"/>
      <c r="R98" s="8"/>
      <c r="S98" s="8"/>
      <c r="T98" s="8"/>
      <c r="U98" s="8"/>
      <c r="V98" s="8"/>
      <c r="W98" s="8"/>
    </row>
    <row r="99">
      <c r="A99" s="8"/>
      <c r="B99" s="8"/>
      <c r="C99" s="8"/>
      <c r="D99" s="8"/>
      <c r="E99" s="8"/>
      <c r="F99" s="8"/>
      <c r="G99" s="8"/>
      <c r="H99" s="8"/>
      <c r="I99" s="8"/>
      <c r="J99" s="8"/>
      <c r="K99" s="8"/>
      <c r="L99" s="8"/>
      <c r="M99" s="8"/>
      <c r="N99" s="8"/>
      <c r="O99" s="8"/>
      <c r="P99" s="8"/>
      <c r="Q99" s="8"/>
      <c r="R99" s="8"/>
      <c r="S99" s="8"/>
      <c r="T99" s="8"/>
      <c r="U99" s="8"/>
      <c r="V99" s="8"/>
      <c r="W99" s="8"/>
    </row>
    <row r="100">
      <c r="A100" s="8"/>
      <c r="B100" s="8"/>
      <c r="C100" s="8"/>
      <c r="D100" s="8"/>
      <c r="E100" s="8"/>
      <c r="F100" s="8"/>
      <c r="G100" s="8"/>
      <c r="H100" s="8"/>
      <c r="I100" s="8"/>
      <c r="J100" s="8"/>
      <c r="K100" s="8"/>
      <c r="L100" s="8"/>
      <c r="M100" s="8"/>
      <c r="N100" s="8"/>
      <c r="O100" s="8"/>
      <c r="P100" s="8"/>
      <c r="Q100" s="8"/>
      <c r="R100" s="8"/>
      <c r="S100" s="8"/>
      <c r="T100" s="8"/>
      <c r="U100" s="8"/>
      <c r="V100" s="8"/>
      <c r="W100" s="8"/>
    </row>
    <row r="101">
      <c r="A101" s="8"/>
      <c r="B101" s="8"/>
      <c r="C101" s="8"/>
      <c r="D101" s="8"/>
      <c r="E101" s="8"/>
      <c r="F101" s="8"/>
      <c r="G101" s="8"/>
      <c r="H101" s="8"/>
      <c r="I101" s="8"/>
      <c r="J101" s="8"/>
      <c r="K101" s="8"/>
      <c r="L101" s="8"/>
      <c r="M101" s="8"/>
      <c r="N101" s="8"/>
      <c r="O101" s="8"/>
      <c r="P101" s="8"/>
      <c r="Q101" s="8"/>
      <c r="R101" s="8"/>
      <c r="S101" s="8"/>
      <c r="T101" s="8"/>
      <c r="U101" s="8"/>
      <c r="V101" s="8"/>
      <c r="W101" s="8"/>
    </row>
    <row r="102">
      <c r="A102" s="8"/>
      <c r="B102" s="8"/>
      <c r="C102" s="8"/>
      <c r="D102" s="8"/>
      <c r="E102" s="8"/>
      <c r="F102" s="8"/>
      <c r="G102" s="8"/>
      <c r="H102" s="8"/>
      <c r="I102" s="8"/>
      <c r="J102" s="8"/>
      <c r="K102" s="8"/>
      <c r="L102" s="8"/>
      <c r="M102" s="8"/>
      <c r="N102" s="8"/>
      <c r="O102" s="8"/>
      <c r="P102" s="8"/>
      <c r="Q102" s="8"/>
      <c r="R102" s="8"/>
      <c r="S102" s="8"/>
      <c r="T102" s="8"/>
      <c r="U102" s="8"/>
      <c r="V102" s="8"/>
      <c r="W102" s="8"/>
    </row>
    <row r="103">
      <c r="A103" s="8"/>
      <c r="B103" s="8"/>
      <c r="C103" s="8"/>
      <c r="D103" s="8"/>
      <c r="E103" s="8"/>
      <c r="F103" s="8"/>
      <c r="G103" s="8"/>
      <c r="H103" s="8"/>
      <c r="I103" s="8"/>
      <c r="J103" s="8"/>
      <c r="K103" s="8"/>
      <c r="L103" s="8"/>
      <c r="M103" s="8"/>
      <c r="N103" s="8"/>
      <c r="O103" s="8"/>
      <c r="P103" s="8"/>
      <c r="Q103" s="8"/>
      <c r="R103" s="8"/>
      <c r="S103" s="8"/>
      <c r="T103" s="8"/>
      <c r="U103" s="8"/>
      <c r="V103" s="8"/>
      <c r="W103" s="8"/>
    </row>
    <row r="104">
      <c r="A104" s="8"/>
      <c r="B104" s="8"/>
      <c r="C104" s="8"/>
      <c r="D104" s="8"/>
      <c r="E104" s="8"/>
      <c r="F104" s="8"/>
      <c r="G104" s="8"/>
      <c r="H104" s="8"/>
      <c r="I104" s="8"/>
      <c r="J104" s="8"/>
      <c r="K104" s="8"/>
      <c r="L104" s="8"/>
      <c r="M104" s="8"/>
      <c r="N104" s="8"/>
      <c r="O104" s="8"/>
      <c r="P104" s="8"/>
      <c r="Q104" s="8"/>
      <c r="R104" s="8"/>
      <c r="S104" s="8"/>
      <c r="T104" s="8"/>
      <c r="U104" s="8"/>
      <c r="V104" s="8"/>
      <c r="W104" s="8"/>
    </row>
    <row r="105">
      <c r="A105" s="8"/>
      <c r="B105" s="8"/>
      <c r="C105" s="8"/>
      <c r="D105" s="8"/>
      <c r="E105" s="8"/>
      <c r="F105" s="8"/>
      <c r="G105" s="8"/>
      <c r="H105" s="8"/>
      <c r="I105" s="8"/>
      <c r="J105" s="8"/>
      <c r="K105" s="8"/>
      <c r="L105" s="8"/>
      <c r="M105" s="8"/>
      <c r="N105" s="8"/>
      <c r="O105" s="8"/>
      <c r="P105" s="8"/>
      <c r="Q105" s="8"/>
      <c r="R105" s="8"/>
      <c r="S105" s="8"/>
      <c r="T105" s="8"/>
      <c r="U105" s="8"/>
      <c r="V105" s="8"/>
      <c r="W105" s="8"/>
    </row>
    <row r="106">
      <c r="A106" s="8"/>
      <c r="B106" s="8"/>
      <c r="C106" s="8"/>
      <c r="D106" s="8"/>
      <c r="E106" s="8"/>
      <c r="F106" s="8"/>
      <c r="G106" s="8"/>
      <c r="H106" s="8"/>
      <c r="I106" s="8"/>
      <c r="J106" s="8"/>
      <c r="K106" s="8"/>
      <c r="L106" s="8"/>
      <c r="M106" s="8"/>
      <c r="N106" s="8"/>
      <c r="O106" s="8"/>
      <c r="P106" s="8"/>
      <c r="Q106" s="8"/>
      <c r="R106" s="8"/>
      <c r="S106" s="8"/>
      <c r="T106" s="8"/>
      <c r="U106" s="8"/>
      <c r="V106" s="8"/>
      <c r="W106" s="8"/>
    </row>
    <row r="107">
      <c r="A107" s="8"/>
      <c r="B107" s="8"/>
      <c r="C107" s="8"/>
      <c r="D107" s="8"/>
      <c r="E107" s="8"/>
      <c r="F107" s="8"/>
      <c r="G107" s="8"/>
      <c r="H107" s="8"/>
      <c r="I107" s="8"/>
      <c r="J107" s="8"/>
      <c r="K107" s="8"/>
      <c r="L107" s="8"/>
      <c r="M107" s="8"/>
      <c r="N107" s="8"/>
      <c r="O107" s="8"/>
      <c r="P107" s="8"/>
      <c r="Q107" s="8"/>
      <c r="R107" s="8"/>
      <c r="S107" s="8"/>
      <c r="T107" s="8"/>
      <c r="U107" s="8"/>
      <c r="V107" s="8"/>
      <c r="W107" s="8"/>
    </row>
    <row r="108">
      <c r="A108" s="8"/>
      <c r="B108" s="8"/>
      <c r="C108" s="8"/>
      <c r="D108" s="8"/>
      <c r="E108" s="8"/>
      <c r="F108" s="8"/>
      <c r="G108" s="8"/>
      <c r="H108" s="8"/>
      <c r="I108" s="8"/>
      <c r="J108" s="8"/>
      <c r="K108" s="8"/>
      <c r="L108" s="8"/>
      <c r="M108" s="8"/>
      <c r="N108" s="8"/>
      <c r="O108" s="8"/>
      <c r="P108" s="8"/>
      <c r="Q108" s="8"/>
      <c r="R108" s="8"/>
      <c r="S108" s="8"/>
      <c r="T108" s="8"/>
      <c r="U108" s="8"/>
      <c r="V108" s="8"/>
      <c r="W108" s="8"/>
    </row>
    <row r="109">
      <c r="A109" s="8"/>
      <c r="B109" s="8"/>
      <c r="C109" s="8"/>
      <c r="D109" s="8"/>
      <c r="E109" s="8"/>
      <c r="F109" s="8"/>
      <c r="G109" s="8"/>
      <c r="H109" s="8"/>
      <c r="I109" s="8"/>
      <c r="J109" s="8"/>
      <c r="K109" s="8"/>
      <c r="L109" s="8"/>
      <c r="M109" s="8"/>
      <c r="N109" s="8"/>
      <c r="O109" s="8"/>
      <c r="P109" s="8"/>
      <c r="Q109" s="8"/>
      <c r="R109" s="8"/>
      <c r="S109" s="8"/>
      <c r="T109" s="8"/>
      <c r="U109" s="8"/>
      <c r="V109" s="8"/>
      <c r="W109" s="8"/>
    </row>
    <row r="110">
      <c r="A110" s="8"/>
      <c r="B110" s="8"/>
      <c r="C110" s="8"/>
      <c r="D110" s="8"/>
      <c r="E110" s="8"/>
      <c r="F110" s="8"/>
      <c r="G110" s="8"/>
      <c r="H110" s="8"/>
      <c r="I110" s="8"/>
      <c r="J110" s="8"/>
      <c r="K110" s="8"/>
      <c r="L110" s="8"/>
      <c r="M110" s="8"/>
      <c r="N110" s="8"/>
      <c r="O110" s="8"/>
      <c r="P110" s="8"/>
      <c r="Q110" s="8"/>
      <c r="R110" s="8"/>
      <c r="S110" s="8"/>
      <c r="T110" s="8"/>
      <c r="U110" s="8"/>
      <c r="V110" s="8"/>
      <c r="W110" s="8"/>
    </row>
    <row r="111">
      <c r="A111" s="8"/>
      <c r="B111" s="8"/>
      <c r="C111" s="8"/>
      <c r="D111" s="8"/>
      <c r="E111" s="8"/>
      <c r="F111" s="8"/>
      <c r="G111" s="8"/>
      <c r="H111" s="8"/>
      <c r="I111" s="8"/>
      <c r="J111" s="8"/>
      <c r="K111" s="8"/>
      <c r="L111" s="8"/>
      <c r="M111" s="8"/>
      <c r="N111" s="8"/>
      <c r="O111" s="8"/>
      <c r="P111" s="8"/>
      <c r="Q111" s="8"/>
      <c r="R111" s="8"/>
      <c r="S111" s="8"/>
      <c r="T111" s="8"/>
      <c r="U111" s="8"/>
      <c r="V111" s="8"/>
      <c r="W111" s="8"/>
    </row>
    <row r="112">
      <c r="A112" s="8"/>
      <c r="B112" s="8"/>
      <c r="C112" s="8"/>
      <c r="D112" s="8"/>
      <c r="E112" s="8"/>
      <c r="F112" s="8"/>
      <c r="G112" s="8"/>
      <c r="H112" s="8"/>
      <c r="I112" s="8"/>
      <c r="J112" s="8"/>
      <c r="K112" s="8"/>
      <c r="L112" s="8"/>
      <c r="M112" s="8"/>
      <c r="N112" s="8"/>
      <c r="O112" s="8"/>
      <c r="P112" s="8"/>
      <c r="Q112" s="8"/>
      <c r="R112" s="8"/>
      <c r="S112" s="8"/>
      <c r="T112" s="8"/>
      <c r="U112" s="8"/>
      <c r="V112" s="8"/>
      <c r="W112" s="8"/>
    </row>
    <row r="113">
      <c r="A113" s="8"/>
      <c r="B113" s="8"/>
      <c r="C113" s="8"/>
      <c r="D113" s="8"/>
      <c r="E113" s="8"/>
      <c r="F113" s="8"/>
      <c r="G113" s="8"/>
      <c r="H113" s="8"/>
      <c r="I113" s="8"/>
      <c r="J113" s="8"/>
      <c r="K113" s="8"/>
      <c r="L113" s="8"/>
      <c r="M113" s="8"/>
      <c r="N113" s="8"/>
      <c r="O113" s="8"/>
      <c r="P113" s="8"/>
      <c r="Q113" s="8"/>
      <c r="R113" s="8"/>
      <c r="S113" s="8"/>
      <c r="T113" s="8"/>
      <c r="U113" s="8"/>
      <c r="V113" s="8"/>
      <c r="W113" s="8"/>
    </row>
    <row r="114">
      <c r="A114" s="8"/>
      <c r="B114" s="8"/>
      <c r="C114" s="8"/>
      <c r="D114" s="8"/>
      <c r="E114" s="8"/>
      <c r="F114" s="8"/>
      <c r="G114" s="8"/>
      <c r="H114" s="8"/>
      <c r="I114" s="8"/>
      <c r="J114" s="8"/>
      <c r="K114" s="8"/>
      <c r="L114" s="8"/>
      <c r="M114" s="8"/>
      <c r="N114" s="8"/>
      <c r="O114" s="8"/>
      <c r="P114" s="8"/>
      <c r="Q114" s="8"/>
      <c r="R114" s="8"/>
      <c r="S114" s="8"/>
      <c r="T114" s="8"/>
      <c r="U114" s="8"/>
      <c r="V114" s="8"/>
      <c r="W114" s="8"/>
    </row>
    <row r="115">
      <c r="A115" s="8"/>
      <c r="B115" s="8"/>
      <c r="C115" s="8"/>
      <c r="D115" s="8"/>
      <c r="E115" s="8"/>
      <c r="F115" s="8"/>
      <c r="G115" s="8"/>
      <c r="H115" s="8"/>
      <c r="I115" s="8"/>
      <c r="J115" s="8"/>
      <c r="K115" s="8"/>
      <c r="L115" s="8"/>
      <c r="M115" s="8"/>
      <c r="N115" s="8"/>
      <c r="O115" s="8"/>
      <c r="P115" s="8"/>
      <c r="Q115" s="8"/>
      <c r="R115" s="8"/>
      <c r="S115" s="8"/>
      <c r="T115" s="8"/>
      <c r="U115" s="8"/>
      <c r="V115" s="8"/>
      <c r="W115" s="8"/>
    </row>
    <row r="116">
      <c r="A116" s="8"/>
      <c r="B116" s="8"/>
      <c r="C116" s="8"/>
      <c r="D116" s="8"/>
      <c r="E116" s="8"/>
      <c r="F116" s="8"/>
      <c r="G116" s="8"/>
      <c r="H116" s="8"/>
      <c r="I116" s="8"/>
      <c r="J116" s="8"/>
      <c r="K116" s="8"/>
      <c r="L116" s="8"/>
      <c r="M116" s="8"/>
      <c r="N116" s="8"/>
      <c r="O116" s="8"/>
      <c r="P116" s="8"/>
      <c r="Q116" s="8"/>
      <c r="R116" s="8"/>
      <c r="S116" s="8"/>
      <c r="T116" s="8"/>
      <c r="U116" s="8"/>
      <c r="V116" s="8"/>
      <c r="W116" s="8"/>
    </row>
    <row r="117">
      <c r="A117" s="8"/>
      <c r="B117" s="8"/>
      <c r="C117" s="8"/>
      <c r="D117" s="8"/>
      <c r="E117" s="8"/>
      <c r="F117" s="8"/>
      <c r="G117" s="8"/>
      <c r="H117" s="8"/>
      <c r="I117" s="8"/>
      <c r="J117" s="8"/>
      <c r="K117" s="8"/>
      <c r="L117" s="8"/>
      <c r="M117" s="8"/>
      <c r="N117" s="8"/>
      <c r="O117" s="8"/>
      <c r="P117" s="8"/>
      <c r="Q117" s="8"/>
      <c r="R117" s="8"/>
      <c r="S117" s="8"/>
      <c r="T117" s="8"/>
      <c r="U117" s="8"/>
      <c r="V117" s="8"/>
      <c r="W117" s="8"/>
    </row>
    <row r="118">
      <c r="A118" s="8"/>
      <c r="B118" s="8"/>
      <c r="C118" s="8"/>
      <c r="D118" s="8"/>
      <c r="E118" s="8"/>
      <c r="F118" s="8"/>
      <c r="G118" s="8"/>
      <c r="H118" s="8"/>
      <c r="I118" s="8"/>
      <c r="J118" s="8"/>
      <c r="K118" s="8"/>
      <c r="L118" s="8"/>
      <c r="M118" s="8"/>
      <c r="N118" s="8"/>
      <c r="O118" s="8"/>
      <c r="P118" s="8"/>
      <c r="Q118" s="8"/>
      <c r="R118" s="8"/>
      <c r="S118" s="8"/>
      <c r="T118" s="8"/>
      <c r="U118" s="8"/>
      <c r="V118" s="8"/>
      <c r="W118" s="8"/>
    </row>
    <row r="119">
      <c r="A119" s="8"/>
      <c r="B119" s="8"/>
      <c r="C119" s="8"/>
      <c r="D119" s="8"/>
      <c r="E119" s="8"/>
      <c r="F119" s="8"/>
      <c r="G119" s="8"/>
      <c r="H119" s="8"/>
      <c r="I119" s="8"/>
      <c r="J119" s="8"/>
      <c r="K119" s="8"/>
      <c r="L119" s="8"/>
      <c r="M119" s="8"/>
      <c r="N119" s="8"/>
      <c r="O119" s="8"/>
      <c r="P119" s="8"/>
      <c r="Q119" s="8"/>
      <c r="R119" s="8"/>
      <c r="S119" s="8"/>
      <c r="T119" s="8"/>
      <c r="U119" s="8"/>
      <c r="V119" s="8"/>
      <c r="W119" s="8"/>
    </row>
    <row r="120">
      <c r="A120" s="8"/>
      <c r="B120" s="8"/>
      <c r="C120" s="8"/>
      <c r="D120" s="8"/>
      <c r="E120" s="8"/>
      <c r="F120" s="8"/>
      <c r="G120" s="8"/>
      <c r="H120" s="8"/>
      <c r="I120" s="8"/>
      <c r="J120" s="8"/>
      <c r="K120" s="8"/>
      <c r="L120" s="8"/>
      <c r="M120" s="8"/>
      <c r="N120" s="8"/>
      <c r="O120" s="8"/>
      <c r="P120" s="8"/>
      <c r="Q120" s="8"/>
      <c r="R120" s="8"/>
      <c r="S120" s="8"/>
      <c r="T120" s="8"/>
      <c r="U120" s="8"/>
      <c r="V120" s="8"/>
      <c r="W120" s="8"/>
    </row>
    <row r="121">
      <c r="A121" s="8"/>
      <c r="B121" s="8"/>
      <c r="C121" s="8"/>
      <c r="D121" s="8"/>
      <c r="E121" s="8"/>
      <c r="F121" s="8"/>
      <c r="G121" s="8"/>
      <c r="H121" s="8"/>
      <c r="I121" s="8"/>
      <c r="J121" s="8"/>
      <c r="K121" s="8"/>
      <c r="L121" s="8"/>
      <c r="M121" s="8"/>
      <c r="N121" s="8"/>
      <c r="O121" s="8"/>
      <c r="P121" s="8"/>
      <c r="Q121" s="8"/>
      <c r="R121" s="8"/>
      <c r="S121" s="8"/>
      <c r="T121" s="8"/>
      <c r="U121" s="8"/>
      <c r="V121" s="8"/>
      <c r="W121" s="8"/>
    </row>
    <row r="122">
      <c r="A122" s="8"/>
      <c r="B122" s="8"/>
      <c r="C122" s="8"/>
      <c r="D122" s="8"/>
      <c r="E122" s="8"/>
      <c r="F122" s="8"/>
      <c r="G122" s="8"/>
      <c r="H122" s="8"/>
      <c r="I122" s="8"/>
      <c r="J122" s="8"/>
      <c r="K122" s="8"/>
      <c r="L122" s="8"/>
      <c r="M122" s="8"/>
      <c r="N122" s="8"/>
      <c r="O122" s="8"/>
      <c r="P122" s="8"/>
      <c r="Q122" s="8"/>
      <c r="R122" s="8"/>
      <c r="S122" s="8"/>
      <c r="T122" s="8"/>
      <c r="U122" s="8"/>
      <c r="V122" s="8"/>
      <c r="W122" s="8"/>
    </row>
    <row r="123">
      <c r="A123" s="8"/>
      <c r="B123" s="8"/>
      <c r="C123" s="8"/>
      <c r="D123" s="8"/>
      <c r="E123" s="8"/>
      <c r="F123" s="8"/>
      <c r="G123" s="8"/>
      <c r="H123" s="8"/>
      <c r="I123" s="8"/>
      <c r="J123" s="8"/>
      <c r="K123" s="8"/>
      <c r="L123" s="8"/>
      <c r="M123" s="8"/>
      <c r="N123" s="8"/>
      <c r="O123" s="8"/>
      <c r="P123" s="8"/>
      <c r="Q123" s="8"/>
      <c r="R123" s="8"/>
      <c r="S123" s="8"/>
      <c r="T123" s="8"/>
      <c r="U123" s="8"/>
      <c r="V123" s="8"/>
      <c r="W123" s="8"/>
    </row>
    <row r="124">
      <c r="A124" s="8"/>
      <c r="B124" s="8"/>
      <c r="C124" s="8"/>
      <c r="D124" s="8"/>
      <c r="E124" s="8"/>
      <c r="F124" s="8"/>
      <c r="G124" s="8"/>
      <c r="H124" s="8"/>
      <c r="I124" s="8"/>
      <c r="J124" s="8"/>
      <c r="K124" s="8"/>
      <c r="L124" s="8"/>
      <c r="M124" s="8"/>
      <c r="N124" s="8"/>
      <c r="O124" s="8"/>
      <c r="P124" s="8"/>
      <c r="Q124" s="8"/>
      <c r="R124" s="8"/>
      <c r="S124" s="8"/>
      <c r="T124" s="8"/>
      <c r="U124" s="8"/>
      <c r="V124" s="8"/>
      <c r="W124" s="8"/>
    </row>
    <row r="125">
      <c r="A125" s="8"/>
      <c r="B125" s="8"/>
      <c r="C125" s="8"/>
      <c r="D125" s="8"/>
      <c r="E125" s="8"/>
      <c r="F125" s="8"/>
      <c r="G125" s="8"/>
      <c r="H125" s="8"/>
      <c r="I125" s="8"/>
      <c r="J125" s="8"/>
      <c r="K125" s="8"/>
      <c r="L125" s="8"/>
      <c r="M125" s="8"/>
      <c r="N125" s="8"/>
      <c r="O125" s="8"/>
      <c r="P125" s="8"/>
      <c r="Q125" s="8"/>
      <c r="R125" s="8"/>
      <c r="S125" s="8"/>
      <c r="T125" s="8"/>
      <c r="U125" s="8"/>
      <c r="V125" s="8"/>
      <c r="W125" s="8"/>
    </row>
    <row r="126">
      <c r="A126" s="8"/>
      <c r="B126" s="8"/>
      <c r="C126" s="8"/>
      <c r="D126" s="8"/>
      <c r="E126" s="8"/>
      <c r="F126" s="8"/>
      <c r="G126" s="8"/>
      <c r="H126" s="8"/>
      <c r="I126" s="8"/>
      <c r="J126" s="8"/>
      <c r="K126" s="8"/>
      <c r="L126" s="8"/>
      <c r="M126" s="8"/>
      <c r="N126" s="8"/>
      <c r="O126" s="8"/>
      <c r="P126" s="8"/>
      <c r="Q126" s="8"/>
      <c r="R126" s="8"/>
      <c r="S126" s="8"/>
      <c r="T126" s="8"/>
      <c r="U126" s="8"/>
      <c r="V126" s="8"/>
      <c r="W126" s="8"/>
    </row>
    <row r="127">
      <c r="A127" s="8"/>
      <c r="B127" s="8"/>
      <c r="C127" s="8"/>
      <c r="D127" s="8"/>
      <c r="E127" s="8"/>
      <c r="F127" s="8"/>
      <c r="G127" s="8"/>
      <c r="H127" s="8"/>
      <c r="I127" s="8"/>
      <c r="J127" s="8"/>
      <c r="K127" s="8"/>
      <c r="L127" s="8"/>
      <c r="M127" s="8"/>
      <c r="N127" s="8"/>
      <c r="O127" s="8"/>
      <c r="P127" s="8"/>
      <c r="Q127" s="8"/>
      <c r="R127" s="8"/>
      <c r="S127" s="8"/>
      <c r="T127" s="8"/>
      <c r="U127" s="8"/>
      <c r="V127" s="8"/>
      <c r="W127" s="8"/>
    </row>
    <row r="128">
      <c r="A128" s="8"/>
      <c r="B128" s="8"/>
      <c r="C128" s="8"/>
      <c r="D128" s="8"/>
      <c r="E128" s="8"/>
      <c r="F128" s="8"/>
      <c r="G128" s="8"/>
      <c r="H128" s="8"/>
      <c r="I128" s="8"/>
      <c r="J128" s="8"/>
      <c r="K128" s="8"/>
      <c r="L128" s="8"/>
      <c r="M128" s="8"/>
      <c r="N128" s="8"/>
      <c r="O128" s="8"/>
      <c r="P128" s="8"/>
      <c r="Q128" s="8"/>
      <c r="R128" s="8"/>
      <c r="S128" s="8"/>
      <c r="T128" s="8"/>
      <c r="U128" s="8"/>
      <c r="V128" s="8"/>
      <c r="W128" s="8"/>
    </row>
    <row r="129">
      <c r="A129" s="8"/>
      <c r="B129" s="8"/>
      <c r="C129" s="8"/>
      <c r="D129" s="8"/>
      <c r="E129" s="8"/>
      <c r="F129" s="8"/>
      <c r="G129" s="8"/>
      <c r="H129" s="8"/>
      <c r="I129" s="8"/>
      <c r="J129" s="8"/>
      <c r="K129" s="8"/>
      <c r="L129" s="8"/>
      <c r="M129" s="8"/>
      <c r="N129" s="8"/>
      <c r="O129" s="8"/>
      <c r="P129" s="8"/>
      <c r="Q129" s="8"/>
      <c r="R129" s="8"/>
      <c r="S129" s="8"/>
      <c r="T129" s="8"/>
      <c r="U129" s="8"/>
      <c r="V129" s="8"/>
      <c r="W129" s="8"/>
    </row>
    <row r="130">
      <c r="A130" s="8"/>
      <c r="B130" s="8"/>
      <c r="C130" s="8"/>
      <c r="D130" s="8"/>
      <c r="E130" s="8"/>
      <c r="F130" s="8"/>
      <c r="G130" s="8"/>
      <c r="H130" s="8"/>
      <c r="I130" s="8"/>
      <c r="J130" s="8"/>
      <c r="K130" s="8"/>
      <c r="L130" s="8"/>
      <c r="M130" s="8"/>
      <c r="N130" s="8"/>
      <c r="O130" s="8"/>
      <c r="P130" s="8"/>
      <c r="Q130" s="8"/>
      <c r="R130" s="8"/>
      <c r="S130" s="8"/>
      <c r="T130" s="8"/>
      <c r="U130" s="8"/>
      <c r="V130" s="8"/>
      <c r="W130" s="8"/>
    </row>
    <row r="131">
      <c r="A131" s="8"/>
      <c r="B131" s="8"/>
      <c r="C131" s="8"/>
      <c r="D131" s="8"/>
      <c r="E131" s="8"/>
      <c r="F131" s="8"/>
      <c r="G131" s="8"/>
      <c r="H131" s="8"/>
      <c r="I131" s="8"/>
      <c r="J131" s="8"/>
      <c r="K131" s="8"/>
      <c r="L131" s="8"/>
      <c r="M131" s="8"/>
      <c r="N131" s="8"/>
      <c r="O131" s="8"/>
      <c r="P131" s="8"/>
      <c r="Q131" s="8"/>
      <c r="R131" s="8"/>
      <c r="S131" s="8"/>
      <c r="T131" s="8"/>
      <c r="U131" s="8"/>
      <c r="V131" s="8"/>
      <c r="W131" s="8"/>
    </row>
    <row r="132">
      <c r="A132" s="8"/>
      <c r="B132" s="8"/>
      <c r="C132" s="8"/>
      <c r="D132" s="8"/>
      <c r="E132" s="8"/>
      <c r="F132" s="8"/>
      <c r="G132" s="8"/>
      <c r="H132" s="8"/>
      <c r="I132" s="8"/>
      <c r="J132" s="8"/>
      <c r="K132" s="8"/>
      <c r="L132" s="8"/>
      <c r="M132" s="8"/>
      <c r="N132" s="8"/>
      <c r="O132" s="8"/>
      <c r="P132" s="8"/>
      <c r="Q132" s="8"/>
      <c r="R132" s="8"/>
      <c r="S132" s="8"/>
      <c r="T132" s="8"/>
      <c r="U132" s="8"/>
      <c r="V132" s="8"/>
      <c r="W132" s="8"/>
    </row>
    <row r="133">
      <c r="A133" s="8"/>
      <c r="B133" s="8"/>
      <c r="C133" s="8"/>
      <c r="D133" s="8"/>
      <c r="E133" s="8"/>
      <c r="F133" s="8"/>
      <c r="G133" s="8"/>
      <c r="H133" s="8"/>
      <c r="I133" s="8"/>
      <c r="J133" s="8"/>
      <c r="K133" s="8"/>
      <c r="L133" s="8"/>
      <c r="M133" s="8"/>
      <c r="N133" s="8"/>
      <c r="O133" s="8"/>
      <c r="P133" s="8"/>
      <c r="Q133" s="8"/>
      <c r="R133" s="8"/>
      <c r="S133" s="8"/>
      <c r="T133" s="8"/>
      <c r="U133" s="8"/>
      <c r="V133" s="8"/>
      <c r="W133" s="8"/>
    </row>
    <row r="134">
      <c r="A134" s="8"/>
      <c r="B134" s="8"/>
      <c r="C134" s="8"/>
      <c r="D134" s="8"/>
      <c r="E134" s="8"/>
      <c r="F134" s="8"/>
      <c r="G134" s="8"/>
      <c r="H134" s="8"/>
      <c r="I134" s="8"/>
      <c r="J134" s="8"/>
      <c r="K134" s="8"/>
      <c r="L134" s="8"/>
      <c r="M134" s="8"/>
      <c r="N134" s="8"/>
      <c r="O134" s="8"/>
      <c r="P134" s="8"/>
      <c r="Q134" s="8"/>
      <c r="R134" s="8"/>
      <c r="S134" s="8"/>
      <c r="T134" s="8"/>
      <c r="U134" s="8"/>
      <c r="V134" s="8"/>
      <c r="W134" s="8"/>
    </row>
    <row r="135">
      <c r="A135" s="8"/>
      <c r="B135" s="8"/>
      <c r="C135" s="8"/>
      <c r="D135" s="8"/>
      <c r="E135" s="8"/>
      <c r="F135" s="8"/>
      <c r="G135" s="8"/>
      <c r="H135" s="8"/>
      <c r="I135" s="8"/>
      <c r="J135" s="8"/>
      <c r="K135" s="8"/>
      <c r="L135" s="8"/>
      <c r="M135" s="8"/>
      <c r="N135" s="8"/>
      <c r="O135" s="8"/>
      <c r="P135" s="8"/>
      <c r="Q135" s="8"/>
      <c r="R135" s="8"/>
      <c r="S135" s="8"/>
      <c r="T135" s="8"/>
      <c r="U135" s="8"/>
      <c r="V135" s="8"/>
      <c r="W135" s="8"/>
    </row>
    <row r="136">
      <c r="A136" s="8"/>
      <c r="B136" s="8"/>
      <c r="C136" s="8"/>
      <c r="D136" s="8"/>
      <c r="E136" s="8"/>
      <c r="F136" s="8"/>
      <c r="G136" s="8"/>
      <c r="H136" s="8"/>
      <c r="I136" s="8"/>
      <c r="J136" s="8"/>
      <c r="K136" s="8"/>
      <c r="L136" s="8"/>
      <c r="M136" s="8"/>
      <c r="N136" s="8"/>
      <c r="O136" s="8"/>
      <c r="P136" s="8"/>
      <c r="Q136" s="8"/>
      <c r="R136" s="8"/>
      <c r="S136" s="8"/>
      <c r="T136" s="8"/>
      <c r="U136" s="8"/>
      <c r="V136" s="8"/>
      <c r="W136" s="8"/>
    </row>
    <row r="137">
      <c r="A137" s="8"/>
      <c r="B137" s="8"/>
      <c r="C137" s="8"/>
      <c r="D137" s="8"/>
      <c r="E137" s="8"/>
      <c r="F137" s="8"/>
      <c r="G137" s="8"/>
      <c r="H137" s="8"/>
      <c r="I137" s="8"/>
      <c r="J137" s="8"/>
      <c r="K137" s="8"/>
      <c r="L137" s="8"/>
      <c r="M137" s="8"/>
      <c r="N137" s="8"/>
      <c r="O137" s="8"/>
      <c r="P137" s="8"/>
      <c r="Q137" s="8"/>
      <c r="R137" s="8"/>
      <c r="S137" s="8"/>
      <c r="T137" s="8"/>
      <c r="U137" s="8"/>
      <c r="V137" s="8"/>
      <c r="W137" s="8"/>
    </row>
    <row r="138">
      <c r="A138" s="8"/>
      <c r="B138" s="8"/>
      <c r="C138" s="8"/>
      <c r="D138" s="8"/>
      <c r="E138" s="8"/>
      <c r="F138" s="8"/>
      <c r="G138" s="8"/>
      <c r="H138" s="8"/>
      <c r="I138" s="8"/>
      <c r="J138" s="8"/>
      <c r="K138" s="8"/>
      <c r="L138" s="8"/>
      <c r="M138" s="8"/>
      <c r="N138" s="8"/>
      <c r="O138" s="8"/>
      <c r="P138" s="8"/>
      <c r="Q138" s="8"/>
      <c r="R138" s="8"/>
      <c r="S138" s="8"/>
      <c r="T138" s="8"/>
      <c r="U138" s="8"/>
      <c r="V138" s="8"/>
      <c r="W138" s="8"/>
    </row>
    <row r="139">
      <c r="A139" s="8"/>
      <c r="B139" s="8"/>
      <c r="C139" s="8"/>
      <c r="D139" s="8"/>
      <c r="E139" s="8"/>
      <c r="F139" s="8"/>
      <c r="G139" s="8"/>
      <c r="H139" s="8"/>
      <c r="I139" s="8"/>
      <c r="J139" s="8"/>
      <c r="K139" s="8"/>
      <c r="L139" s="8"/>
      <c r="M139" s="8"/>
      <c r="N139" s="8"/>
      <c r="O139" s="8"/>
      <c r="P139" s="8"/>
      <c r="Q139" s="8"/>
      <c r="R139" s="8"/>
      <c r="S139" s="8"/>
      <c r="T139" s="8"/>
      <c r="U139" s="8"/>
      <c r="V139" s="8"/>
      <c r="W139" s="8"/>
    </row>
    <row r="140">
      <c r="A140" s="8"/>
      <c r="B140" s="8"/>
      <c r="C140" s="8"/>
      <c r="D140" s="8"/>
      <c r="E140" s="8"/>
      <c r="F140" s="8"/>
      <c r="G140" s="8"/>
      <c r="H140" s="8"/>
      <c r="I140" s="8"/>
      <c r="J140" s="8"/>
      <c r="K140" s="8"/>
      <c r="L140" s="8"/>
      <c r="M140" s="8"/>
      <c r="N140" s="8"/>
      <c r="O140" s="8"/>
      <c r="P140" s="8"/>
      <c r="Q140" s="8"/>
      <c r="R140" s="8"/>
      <c r="S140" s="8"/>
      <c r="T140" s="8"/>
      <c r="U140" s="8"/>
      <c r="V140" s="8"/>
      <c r="W140" s="8"/>
    </row>
    <row r="141">
      <c r="A141" s="8"/>
      <c r="B141" s="8"/>
      <c r="C141" s="8"/>
      <c r="D141" s="8"/>
      <c r="E141" s="8"/>
      <c r="F141" s="8"/>
      <c r="G141" s="8"/>
      <c r="H141" s="8"/>
      <c r="I141" s="8"/>
      <c r="J141" s="8"/>
      <c r="K141" s="8"/>
      <c r="L141" s="8"/>
      <c r="M141" s="8"/>
      <c r="N141" s="8"/>
      <c r="O141" s="8"/>
      <c r="P141" s="8"/>
      <c r="Q141" s="8"/>
      <c r="R141" s="8"/>
      <c r="S141" s="8"/>
      <c r="T141" s="8"/>
      <c r="U141" s="8"/>
      <c r="V141" s="8"/>
      <c r="W141" s="8"/>
    </row>
    <row r="142">
      <c r="A142" s="8"/>
      <c r="B142" s="8"/>
      <c r="C142" s="8"/>
      <c r="D142" s="8"/>
      <c r="E142" s="8"/>
      <c r="F142" s="8"/>
      <c r="G142" s="8"/>
      <c r="H142" s="8"/>
      <c r="I142" s="8"/>
      <c r="J142" s="8"/>
      <c r="K142" s="8"/>
      <c r="L142" s="8"/>
      <c r="M142" s="8"/>
      <c r="N142" s="8"/>
      <c r="O142" s="8"/>
      <c r="P142" s="8"/>
      <c r="Q142" s="8"/>
      <c r="R142" s="8"/>
      <c r="S142" s="8"/>
      <c r="T142" s="8"/>
      <c r="U142" s="8"/>
      <c r="V142" s="8"/>
      <c r="W142" s="8"/>
    </row>
    <row r="143">
      <c r="A143" s="8"/>
      <c r="B143" s="8"/>
      <c r="C143" s="8"/>
      <c r="D143" s="8"/>
      <c r="E143" s="8"/>
      <c r="F143" s="8"/>
      <c r="G143" s="8"/>
      <c r="H143" s="8"/>
      <c r="I143" s="8"/>
      <c r="J143" s="8"/>
      <c r="K143" s="8"/>
      <c r="L143" s="8"/>
      <c r="M143" s="8"/>
      <c r="N143" s="8"/>
      <c r="O143" s="8"/>
      <c r="P143" s="8"/>
      <c r="Q143" s="8"/>
      <c r="R143" s="8"/>
      <c r="S143" s="8"/>
      <c r="T143" s="8"/>
      <c r="U143" s="8"/>
      <c r="V143" s="8"/>
      <c r="W143" s="8"/>
    </row>
    <row r="144">
      <c r="A144" s="8"/>
      <c r="B144" s="8"/>
      <c r="C144" s="8"/>
      <c r="D144" s="8"/>
      <c r="E144" s="8"/>
      <c r="F144" s="8"/>
      <c r="G144" s="8"/>
      <c r="H144" s="8"/>
      <c r="I144" s="8"/>
      <c r="J144" s="8"/>
      <c r="K144" s="8"/>
      <c r="L144" s="8"/>
      <c r="M144" s="8"/>
      <c r="N144" s="8"/>
      <c r="O144" s="8"/>
      <c r="P144" s="8"/>
      <c r="Q144" s="8"/>
      <c r="R144" s="8"/>
      <c r="S144" s="8"/>
      <c r="T144" s="8"/>
      <c r="U144" s="8"/>
      <c r="V144" s="8"/>
      <c r="W144" s="8"/>
    </row>
    <row r="145">
      <c r="A145" s="8"/>
      <c r="B145" s="8"/>
      <c r="C145" s="8"/>
      <c r="D145" s="8"/>
      <c r="E145" s="8"/>
      <c r="F145" s="8"/>
      <c r="G145" s="8"/>
      <c r="H145" s="8"/>
      <c r="I145" s="8"/>
      <c r="J145" s="8"/>
      <c r="K145" s="8"/>
      <c r="L145" s="8"/>
      <c r="M145" s="8"/>
      <c r="N145" s="8"/>
      <c r="O145" s="8"/>
      <c r="P145" s="8"/>
      <c r="Q145" s="8"/>
      <c r="R145" s="8"/>
      <c r="S145" s="8"/>
      <c r="T145" s="8"/>
      <c r="U145" s="8"/>
      <c r="V145" s="8"/>
      <c r="W145" s="8"/>
    </row>
    <row r="146">
      <c r="A146" s="8"/>
      <c r="B146" s="8"/>
      <c r="C146" s="8"/>
      <c r="D146" s="8"/>
      <c r="E146" s="8"/>
      <c r="F146" s="8"/>
      <c r="G146" s="8"/>
      <c r="H146" s="8"/>
      <c r="I146" s="8"/>
      <c r="J146" s="8"/>
      <c r="K146" s="8"/>
      <c r="L146" s="8"/>
      <c r="M146" s="8"/>
      <c r="N146" s="8"/>
      <c r="O146" s="8"/>
      <c r="P146" s="8"/>
      <c r="Q146" s="8"/>
      <c r="R146" s="8"/>
      <c r="S146" s="8"/>
      <c r="T146" s="8"/>
      <c r="U146" s="8"/>
      <c r="V146" s="8"/>
      <c r="W146" s="8"/>
    </row>
    <row r="147">
      <c r="A147" s="8"/>
      <c r="B147" s="8"/>
      <c r="C147" s="8"/>
      <c r="D147" s="8"/>
      <c r="E147" s="8"/>
      <c r="F147" s="8"/>
      <c r="G147" s="8"/>
      <c r="H147" s="8"/>
      <c r="I147" s="8"/>
      <c r="J147" s="8"/>
      <c r="K147" s="8"/>
      <c r="L147" s="8"/>
      <c r="M147" s="8"/>
      <c r="N147" s="8"/>
      <c r="O147" s="8"/>
      <c r="P147" s="8"/>
      <c r="Q147" s="8"/>
      <c r="R147" s="8"/>
      <c r="S147" s="8"/>
      <c r="T147" s="8"/>
      <c r="U147" s="8"/>
      <c r="V147" s="8"/>
      <c r="W147" s="8"/>
    </row>
    <row r="148">
      <c r="A148" s="8"/>
      <c r="B148" s="8"/>
      <c r="C148" s="8"/>
      <c r="D148" s="8"/>
      <c r="E148" s="8"/>
      <c r="F148" s="8"/>
      <c r="G148" s="8"/>
      <c r="H148" s="8"/>
      <c r="I148" s="8"/>
      <c r="J148" s="8"/>
      <c r="K148" s="8"/>
      <c r="L148" s="8"/>
      <c r="M148" s="8"/>
      <c r="N148" s="8"/>
      <c r="O148" s="8"/>
      <c r="P148" s="8"/>
      <c r="Q148" s="8"/>
      <c r="R148" s="8"/>
      <c r="S148" s="8"/>
      <c r="T148" s="8"/>
      <c r="U148" s="8"/>
      <c r="V148" s="8"/>
      <c r="W148" s="8"/>
    </row>
    <row r="149">
      <c r="A149" s="8"/>
      <c r="B149" s="8"/>
      <c r="C149" s="8"/>
      <c r="D149" s="8"/>
      <c r="E149" s="8"/>
      <c r="F149" s="8"/>
      <c r="G149" s="8"/>
      <c r="H149" s="8"/>
      <c r="I149" s="8"/>
      <c r="J149" s="8"/>
      <c r="K149" s="8"/>
      <c r="L149" s="8"/>
      <c r="M149" s="8"/>
      <c r="N149" s="8"/>
      <c r="O149" s="8"/>
      <c r="P149" s="8"/>
      <c r="Q149" s="8"/>
      <c r="R149" s="8"/>
      <c r="S149" s="8"/>
      <c r="T149" s="8"/>
      <c r="U149" s="8"/>
      <c r="V149" s="8"/>
      <c r="W149" s="8"/>
    </row>
    <row r="150">
      <c r="A150" s="8"/>
      <c r="B150" s="8"/>
      <c r="C150" s="8"/>
      <c r="D150" s="8"/>
      <c r="E150" s="8"/>
      <c r="F150" s="8"/>
      <c r="G150" s="8"/>
      <c r="H150" s="8"/>
      <c r="I150" s="8"/>
      <c r="J150" s="8"/>
      <c r="K150" s="8"/>
      <c r="L150" s="8"/>
      <c r="M150" s="8"/>
      <c r="N150" s="8"/>
      <c r="O150" s="8"/>
      <c r="P150" s="8"/>
      <c r="Q150" s="8"/>
      <c r="R150" s="8"/>
      <c r="S150" s="8"/>
      <c r="T150" s="8"/>
      <c r="U150" s="8"/>
      <c r="V150" s="8"/>
      <c r="W150" s="8"/>
    </row>
    <row r="151">
      <c r="A151" s="8"/>
      <c r="B151" s="8"/>
      <c r="C151" s="8"/>
      <c r="D151" s="8"/>
      <c r="E151" s="8"/>
      <c r="F151" s="8"/>
      <c r="G151" s="8"/>
      <c r="H151" s="8"/>
      <c r="I151" s="8"/>
      <c r="J151" s="8"/>
      <c r="K151" s="8"/>
      <c r="L151" s="8"/>
      <c r="M151" s="8"/>
      <c r="N151" s="8"/>
      <c r="O151" s="8"/>
      <c r="P151" s="8"/>
      <c r="Q151" s="8"/>
      <c r="R151" s="8"/>
      <c r="S151" s="8"/>
      <c r="T151" s="8"/>
      <c r="U151" s="8"/>
      <c r="V151" s="8"/>
      <c r="W151" s="8"/>
    </row>
    <row r="152">
      <c r="A152" s="8"/>
      <c r="B152" s="8"/>
      <c r="C152" s="8"/>
      <c r="D152" s="8"/>
      <c r="E152" s="8"/>
      <c r="F152" s="8"/>
      <c r="G152" s="8"/>
      <c r="H152" s="8"/>
      <c r="I152" s="8"/>
      <c r="J152" s="8"/>
      <c r="K152" s="8"/>
      <c r="L152" s="8"/>
      <c r="M152" s="8"/>
      <c r="N152" s="8"/>
      <c r="O152" s="8"/>
      <c r="P152" s="8"/>
      <c r="Q152" s="8"/>
      <c r="R152" s="8"/>
      <c r="S152" s="8"/>
      <c r="T152" s="8"/>
      <c r="U152" s="8"/>
      <c r="V152" s="8"/>
      <c r="W152" s="8"/>
    </row>
    <row r="153">
      <c r="A153" s="8"/>
      <c r="B153" s="8"/>
      <c r="C153" s="8"/>
      <c r="D153" s="8"/>
      <c r="E153" s="8"/>
      <c r="F153" s="8"/>
      <c r="G153" s="8"/>
      <c r="H153" s="8"/>
      <c r="I153" s="8"/>
      <c r="J153" s="8"/>
      <c r="K153" s="8"/>
      <c r="L153" s="8"/>
      <c r="M153" s="8"/>
      <c r="N153" s="8"/>
      <c r="O153" s="8"/>
      <c r="P153" s="8"/>
      <c r="Q153" s="8"/>
      <c r="R153" s="8"/>
      <c r="S153" s="8"/>
      <c r="T153" s="8"/>
      <c r="U153" s="8"/>
      <c r="V153" s="8"/>
      <c r="W153" s="8"/>
    </row>
    <row r="154">
      <c r="A154" s="8"/>
      <c r="B154" s="8"/>
      <c r="C154" s="8"/>
      <c r="D154" s="8"/>
      <c r="E154" s="8"/>
      <c r="F154" s="8"/>
      <c r="G154" s="8"/>
      <c r="H154" s="8"/>
      <c r="I154" s="8"/>
      <c r="J154" s="8"/>
      <c r="K154" s="8"/>
      <c r="L154" s="8"/>
      <c r="M154" s="8"/>
      <c r="N154" s="8"/>
      <c r="O154" s="8"/>
      <c r="P154" s="8"/>
      <c r="Q154" s="8"/>
      <c r="R154" s="8"/>
      <c r="S154" s="8"/>
      <c r="T154" s="8"/>
      <c r="U154" s="8"/>
      <c r="V154" s="8"/>
      <c r="W154" s="8"/>
    </row>
    <row r="155">
      <c r="A155" s="8"/>
      <c r="B155" s="8"/>
      <c r="C155" s="8"/>
      <c r="D155" s="8"/>
      <c r="E155" s="8"/>
      <c r="F155" s="8"/>
      <c r="G155" s="8"/>
      <c r="H155" s="8"/>
      <c r="I155" s="8"/>
      <c r="J155" s="8"/>
      <c r="K155" s="8"/>
      <c r="L155" s="8"/>
      <c r="M155" s="8"/>
      <c r="N155" s="8"/>
      <c r="O155" s="8"/>
      <c r="P155" s="8"/>
      <c r="Q155" s="8"/>
      <c r="R155" s="8"/>
      <c r="S155" s="8"/>
      <c r="T155" s="8"/>
      <c r="U155" s="8"/>
      <c r="V155" s="8"/>
      <c r="W155" s="8"/>
    </row>
    <row r="156">
      <c r="A156" s="8"/>
      <c r="B156" s="8"/>
      <c r="C156" s="8"/>
      <c r="D156" s="8"/>
      <c r="E156" s="8"/>
      <c r="F156" s="8"/>
      <c r="G156" s="8"/>
      <c r="H156" s="8"/>
      <c r="I156" s="8"/>
      <c r="J156" s="8"/>
      <c r="K156" s="8"/>
      <c r="L156" s="8"/>
      <c r="M156" s="8"/>
      <c r="N156" s="8"/>
      <c r="O156" s="8"/>
      <c r="P156" s="8"/>
      <c r="Q156" s="8"/>
      <c r="R156" s="8"/>
      <c r="S156" s="8"/>
      <c r="T156" s="8"/>
      <c r="U156" s="8"/>
      <c r="V156" s="8"/>
      <c r="W156" s="8"/>
    </row>
    <row r="157">
      <c r="A157" s="8"/>
      <c r="B157" s="8"/>
      <c r="C157" s="8"/>
      <c r="D157" s="8"/>
      <c r="E157" s="8"/>
      <c r="F157" s="8"/>
      <c r="G157" s="8"/>
      <c r="H157" s="8"/>
      <c r="I157" s="8"/>
      <c r="J157" s="8"/>
      <c r="K157" s="8"/>
      <c r="L157" s="8"/>
      <c r="M157" s="8"/>
      <c r="N157" s="8"/>
      <c r="O157" s="8"/>
      <c r="P157" s="8"/>
      <c r="Q157" s="8"/>
      <c r="R157" s="8"/>
      <c r="S157" s="8"/>
      <c r="T157" s="8"/>
      <c r="U157" s="8"/>
      <c r="V157" s="8"/>
      <c r="W157" s="8"/>
    </row>
    <row r="158">
      <c r="A158" s="8"/>
      <c r="B158" s="8"/>
      <c r="C158" s="8"/>
      <c r="D158" s="8"/>
      <c r="E158" s="8"/>
      <c r="F158" s="8"/>
      <c r="G158" s="8"/>
      <c r="H158" s="8"/>
      <c r="I158" s="8"/>
      <c r="J158" s="8"/>
      <c r="K158" s="8"/>
      <c r="L158" s="8"/>
      <c r="M158" s="8"/>
      <c r="N158" s="8"/>
      <c r="O158" s="8"/>
      <c r="P158" s="8"/>
      <c r="Q158" s="8"/>
      <c r="R158" s="8"/>
      <c r="S158" s="8"/>
      <c r="T158" s="8"/>
      <c r="U158" s="8"/>
      <c r="V158" s="8"/>
      <c r="W158" s="8"/>
    </row>
    <row r="159">
      <c r="A159" s="8"/>
      <c r="B159" s="8"/>
      <c r="C159" s="8"/>
      <c r="D159" s="8"/>
      <c r="E159" s="8"/>
      <c r="F159" s="8"/>
      <c r="G159" s="8"/>
      <c r="H159" s="8"/>
      <c r="I159" s="8"/>
      <c r="J159" s="8"/>
      <c r="K159" s="8"/>
      <c r="L159" s="8"/>
      <c r="M159" s="8"/>
      <c r="N159" s="8"/>
      <c r="O159" s="8"/>
      <c r="P159" s="8"/>
      <c r="Q159" s="8"/>
      <c r="R159" s="8"/>
      <c r="S159" s="8"/>
      <c r="T159" s="8"/>
      <c r="U159" s="8"/>
      <c r="V159" s="8"/>
      <c r="W159" s="8"/>
    </row>
    <row r="160">
      <c r="A160" s="8"/>
      <c r="B160" s="8"/>
      <c r="C160" s="8"/>
      <c r="D160" s="8"/>
      <c r="E160" s="8"/>
      <c r="F160" s="8"/>
      <c r="G160" s="8"/>
      <c r="H160" s="8"/>
      <c r="I160" s="8"/>
      <c r="J160" s="8"/>
      <c r="K160" s="8"/>
      <c r="L160" s="8"/>
      <c r="M160" s="8"/>
      <c r="N160" s="8"/>
      <c r="O160" s="8"/>
      <c r="P160" s="8"/>
      <c r="Q160" s="8"/>
      <c r="R160" s="8"/>
      <c r="S160" s="8"/>
      <c r="T160" s="8"/>
      <c r="U160" s="8"/>
      <c r="V160" s="8"/>
      <c r="W160" s="8"/>
    </row>
    <row r="161">
      <c r="A161" s="8"/>
      <c r="B161" s="8"/>
      <c r="C161" s="8"/>
      <c r="D161" s="8"/>
      <c r="E161" s="8"/>
      <c r="F161" s="8"/>
      <c r="G161" s="8"/>
      <c r="H161" s="8"/>
      <c r="I161" s="8"/>
      <c r="J161" s="8"/>
      <c r="K161" s="8"/>
      <c r="L161" s="8"/>
      <c r="M161" s="8"/>
      <c r="N161" s="8"/>
      <c r="O161" s="8"/>
      <c r="P161" s="8"/>
      <c r="Q161" s="8"/>
      <c r="R161" s="8"/>
      <c r="S161" s="8"/>
      <c r="T161" s="8"/>
      <c r="U161" s="8"/>
      <c r="V161" s="8"/>
      <c r="W161" s="8"/>
    </row>
    <row r="162">
      <c r="A162" s="8"/>
      <c r="B162" s="8"/>
      <c r="C162" s="8"/>
      <c r="D162" s="8"/>
      <c r="E162" s="8"/>
      <c r="F162" s="8"/>
      <c r="G162" s="8"/>
      <c r="H162" s="8"/>
      <c r="I162" s="8"/>
      <c r="J162" s="8"/>
      <c r="K162" s="8"/>
      <c r="L162" s="8"/>
      <c r="M162" s="8"/>
      <c r="N162" s="8"/>
      <c r="O162" s="8"/>
      <c r="P162" s="8"/>
      <c r="Q162" s="8"/>
      <c r="R162" s="8"/>
      <c r="S162" s="8"/>
      <c r="T162" s="8"/>
      <c r="U162" s="8"/>
      <c r="V162" s="8"/>
      <c r="W162" s="8"/>
    </row>
    <row r="163">
      <c r="A163" s="8"/>
      <c r="B163" s="8"/>
      <c r="C163" s="8"/>
      <c r="D163" s="8"/>
      <c r="E163" s="8"/>
      <c r="F163" s="8"/>
      <c r="G163" s="8"/>
      <c r="H163" s="8"/>
      <c r="I163" s="8"/>
      <c r="J163" s="8"/>
      <c r="K163" s="8"/>
      <c r="L163" s="8"/>
      <c r="M163" s="8"/>
      <c r="N163" s="8"/>
      <c r="O163" s="8"/>
      <c r="P163" s="8"/>
      <c r="Q163" s="8"/>
      <c r="R163" s="8"/>
      <c r="S163" s="8"/>
      <c r="T163" s="8"/>
      <c r="U163" s="8"/>
      <c r="V163" s="8"/>
      <c r="W163" s="8"/>
    </row>
    <row r="164">
      <c r="A164" s="8"/>
      <c r="B164" s="8"/>
      <c r="C164" s="8"/>
      <c r="D164" s="8"/>
      <c r="E164" s="8"/>
      <c r="F164" s="8"/>
      <c r="G164" s="8"/>
      <c r="H164" s="8"/>
      <c r="I164" s="8"/>
      <c r="J164" s="8"/>
      <c r="K164" s="8"/>
      <c r="L164" s="8"/>
      <c r="M164" s="8"/>
      <c r="N164" s="8"/>
      <c r="O164" s="8"/>
      <c r="P164" s="8"/>
      <c r="Q164" s="8"/>
      <c r="R164" s="8"/>
      <c r="S164" s="8"/>
      <c r="T164" s="8"/>
      <c r="U164" s="8"/>
      <c r="V164" s="8"/>
      <c r="W164" s="8"/>
    </row>
    <row r="165">
      <c r="A165" s="8"/>
      <c r="B165" s="8"/>
      <c r="C165" s="8"/>
      <c r="D165" s="8"/>
      <c r="E165" s="8"/>
      <c r="F165" s="8"/>
      <c r="G165" s="8"/>
      <c r="H165" s="8"/>
      <c r="I165" s="8"/>
      <c r="J165" s="8"/>
      <c r="K165" s="8"/>
      <c r="L165" s="8"/>
      <c r="M165" s="8"/>
      <c r="N165" s="8"/>
      <c r="O165" s="8"/>
      <c r="P165" s="8"/>
      <c r="Q165" s="8"/>
      <c r="R165" s="8"/>
      <c r="S165" s="8"/>
      <c r="T165" s="8"/>
      <c r="U165" s="8"/>
      <c r="V165" s="8"/>
      <c r="W165" s="8"/>
    </row>
    <row r="166">
      <c r="A166" s="8"/>
      <c r="B166" s="8"/>
      <c r="C166" s="8"/>
      <c r="D166" s="8"/>
      <c r="E166" s="8"/>
      <c r="F166" s="8"/>
      <c r="G166" s="8"/>
      <c r="H166" s="8"/>
      <c r="I166" s="8"/>
      <c r="J166" s="8"/>
      <c r="K166" s="8"/>
      <c r="L166" s="8"/>
      <c r="M166" s="8"/>
      <c r="N166" s="8"/>
      <c r="O166" s="8"/>
      <c r="P166" s="8"/>
      <c r="Q166" s="8"/>
      <c r="R166" s="8"/>
      <c r="S166" s="8"/>
      <c r="T166" s="8"/>
      <c r="U166" s="8"/>
      <c r="V166" s="8"/>
      <c r="W166" s="8"/>
    </row>
    <row r="167">
      <c r="A167" s="8"/>
      <c r="B167" s="8"/>
      <c r="C167" s="8"/>
      <c r="D167" s="8"/>
      <c r="E167" s="8"/>
      <c r="F167" s="8"/>
      <c r="G167" s="8"/>
      <c r="H167" s="8"/>
      <c r="I167" s="8"/>
      <c r="J167" s="8"/>
      <c r="K167" s="8"/>
      <c r="L167" s="8"/>
      <c r="M167" s="8"/>
      <c r="N167" s="8"/>
      <c r="O167" s="8"/>
      <c r="P167" s="8"/>
      <c r="Q167" s="8"/>
      <c r="R167" s="8"/>
      <c r="S167" s="8"/>
      <c r="T167" s="8"/>
      <c r="U167" s="8"/>
      <c r="V167" s="8"/>
      <c r="W167" s="8"/>
    </row>
    <row r="168">
      <c r="A168" s="8"/>
      <c r="B168" s="8"/>
      <c r="C168" s="8"/>
      <c r="D168" s="8"/>
      <c r="E168" s="8"/>
      <c r="F168" s="8"/>
      <c r="G168" s="8"/>
      <c r="H168" s="8"/>
      <c r="I168" s="8"/>
      <c r="J168" s="8"/>
      <c r="K168" s="8"/>
      <c r="L168" s="8"/>
      <c r="M168" s="8"/>
      <c r="N168" s="8"/>
      <c r="O168" s="8"/>
      <c r="P168" s="8"/>
      <c r="Q168" s="8"/>
      <c r="R168" s="8"/>
      <c r="S168" s="8"/>
      <c r="T168" s="8"/>
      <c r="U168" s="8"/>
      <c r="V168" s="8"/>
      <c r="W168" s="8"/>
    </row>
    <row r="169">
      <c r="A169" s="8"/>
      <c r="B169" s="8"/>
      <c r="C169" s="8"/>
      <c r="D169" s="8"/>
      <c r="E169" s="8"/>
      <c r="F169" s="8"/>
      <c r="G169" s="8"/>
      <c r="H169" s="8"/>
      <c r="I169" s="8"/>
      <c r="J169" s="8"/>
      <c r="K169" s="8"/>
      <c r="L169" s="8"/>
      <c r="M169" s="8"/>
      <c r="N169" s="8"/>
      <c r="O169" s="8"/>
      <c r="P169" s="8"/>
      <c r="Q169" s="8"/>
      <c r="R169" s="8"/>
      <c r="S169" s="8"/>
      <c r="T169" s="8"/>
      <c r="U169" s="8"/>
      <c r="V169" s="8"/>
      <c r="W169" s="8"/>
    </row>
    <row r="170">
      <c r="A170" s="8"/>
      <c r="B170" s="8"/>
      <c r="C170" s="8"/>
      <c r="D170" s="8"/>
      <c r="E170" s="8"/>
      <c r="F170" s="8"/>
      <c r="G170" s="8"/>
      <c r="H170" s="8"/>
      <c r="I170" s="8"/>
      <c r="J170" s="8"/>
      <c r="K170" s="8"/>
      <c r="L170" s="8"/>
      <c r="M170" s="8"/>
      <c r="N170" s="8"/>
      <c r="O170" s="8"/>
      <c r="P170" s="8"/>
      <c r="Q170" s="8"/>
      <c r="R170" s="8"/>
      <c r="S170" s="8"/>
      <c r="T170" s="8"/>
      <c r="U170" s="8"/>
      <c r="V170" s="8"/>
      <c r="W170" s="8"/>
    </row>
    <row r="171">
      <c r="A171" s="8"/>
      <c r="B171" s="8"/>
      <c r="C171" s="8"/>
      <c r="D171" s="8"/>
      <c r="E171" s="8"/>
      <c r="F171" s="8"/>
      <c r="G171" s="8"/>
      <c r="H171" s="8"/>
      <c r="I171" s="8"/>
      <c r="J171" s="8"/>
      <c r="K171" s="8"/>
      <c r="L171" s="8"/>
      <c r="M171" s="8"/>
      <c r="N171" s="8"/>
      <c r="O171" s="8"/>
      <c r="P171" s="8"/>
      <c r="Q171" s="8"/>
      <c r="R171" s="8"/>
      <c r="S171" s="8"/>
      <c r="T171" s="8"/>
      <c r="U171" s="8"/>
      <c r="V171" s="8"/>
      <c r="W171" s="8"/>
    </row>
    <row r="172">
      <c r="A172" s="8"/>
      <c r="B172" s="8"/>
      <c r="C172" s="8"/>
      <c r="D172" s="8"/>
      <c r="E172" s="8"/>
      <c r="F172" s="8"/>
      <c r="G172" s="8"/>
      <c r="H172" s="8"/>
      <c r="I172" s="8"/>
      <c r="J172" s="8"/>
      <c r="K172" s="8"/>
      <c r="L172" s="8"/>
      <c r="M172" s="8"/>
      <c r="N172" s="8"/>
      <c r="O172" s="8"/>
      <c r="P172" s="8"/>
      <c r="Q172" s="8"/>
      <c r="R172" s="8"/>
      <c r="S172" s="8"/>
      <c r="T172" s="8"/>
      <c r="U172" s="8"/>
      <c r="V172" s="8"/>
      <c r="W172" s="8"/>
    </row>
    <row r="173">
      <c r="A173" s="8"/>
      <c r="B173" s="8"/>
      <c r="C173" s="8"/>
      <c r="D173" s="8"/>
      <c r="E173" s="8"/>
      <c r="F173" s="8"/>
      <c r="G173" s="8"/>
      <c r="H173" s="8"/>
      <c r="I173" s="8"/>
      <c r="J173" s="8"/>
      <c r="K173" s="8"/>
      <c r="L173" s="8"/>
      <c r="M173" s="8"/>
      <c r="N173" s="8"/>
      <c r="O173" s="8"/>
      <c r="P173" s="8"/>
      <c r="Q173" s="8"/>
      <c r="R173" s="8"/>
      <c r="S173" s="8"/>
      <c r="T173" s="8"/>
      <c r="U173" s="8"/>
      <c r="V173" s="8"/>
      <c r="W173" s="8"/>
    </row>
    <row r="174">
      <c r="A174" s="8"/>
      <c r="B174" s="8"/>
      <c r="C174" s="8"/>
      <c r="D174" s="8"/>
      <c r="E174" s="8"/>
      <c r="F174" s="8"/>
      <c r="G174" s="8"/>
      <c r="H174" s="8"/>
      <c r="I174" s="8"/>
      <c r="J174" s="8"/>
      <c r="K174" s="8"/>
      <c r="L174" s="8"/>
      <c r="M174" s="8"/>
      <c r="N174" s="8"/>
      <c r="O174" s="8"/>
      <c r="P174" s="8"/>
      <c r="Q174" s="8"/>
      <c r="R174" s="8"/>
      <c r="S174" s="8"/>
      <c r="T174" s="8"/>
      <c r="U174" s="8"/>
      <c r="V174" s="8"/>
      <c r="W174" s="8"/>
    </row>
    <row r="175">
      <c r="A175" s="8"/>
      <c r="B175" s="8"/>
      <c r="C175" s="8"/>
      <c r="D175" s="8"/>
      <c r="E175" s="8"/>
      <c r="F175" s="8"/>
      <c r="G175" s="8"/>
      <c r="H175" s="8"/>
      <c r="I175" s="8"/>
      <c r="J175" s="8"/>
      <c r="K175" s="8"/>
      <c r="L175" s="8"/>
      <c r="M175" s="8"/>
      <c r="N175" s="8"/>
      <c r="O175" s="8"/>
      <c r="P175" s="8"/>
      <c r="Q175" s="8"/>
      <c r="R175" s="8"/>
      <c r="S175" s="8"/>
      <c r="T175" s="8"/>
      <c r="U175" s="8"/>
      <c r="V175" s="8"/>
      <c r="W175" s="8"/>
    </row>
    <row r="176">
      <c r="A176" s="8"/>
      <c r="B176" s="8"/>
      <c r="C176" s="8"/>
      <c r="D176" s="8"/>
      <c r="E176" s="8"/>
      <c r="F176" s="8"/>
      <c r="G176" s="8"/>
      <c r="H176" s="8"/>
      <c r="I176" s="8"/>
      <c r="J176" s="8"/>
      <c r="K176" s="8"/>
      <c r="L176" s="8"/>
      <c r="M176" s="8"/>
      <c r="N176" s="8"/>
      <c r="O176" s="8"/>
      <c r="P176" s="8"/>
      <c r="Q176" s="8"/>
      <c r="R176" s="8"/>
      <c r="S176" s="8"/>
      <c r="T176" s="8"/>
      <c r="U176" s="8"/>
      <c r="V176" s="8"/>
      <c r="W176" s="8"/>
    </row>
    <row r="177">
      <c r="A177" s="8"/>
      <c r="B177" s="8"/>
      <c r="C177" s="8"/>
      <c r="D177" s="8"/>
      <c r="E177" s="8"/>
      <c r="F177" s="8"/>
      <c r="G177" s="8"/>
      <c r="H177" s="8"/>
      <c r="I177" s="8"/>
      <c r="J177" s="8"/>
      <c r="K177" s="8"/>
      <c r="L177" s="8"/>
      <c r="M177" s="8"/>
      <c r="N177" s="8"/>
      <c r="O177" s="8"/>
      <c r="P177" s="8"/>
      <c r="Q177" s="8"/>
      <c r="R177" s="8"/>
      <c r="S177" s="8"/>
      <c r="T177" s="8"/>
      <c r="U177" s="8"/>
      <c r="V177" s="8"/>
      <c r="W177" s="8"/>
    </row>
    <row r="178">
      <c r="A178" s="8"/>
      <c r="B178" s="8"/>
      <c r="C178" s="8"/>
      <c r="D178" s="8"/>
      <c r="E178" s="8"/>
      <c r="F178" s="8"/>
      <c r="G178" s="8"/>
      <c r="H178" s="8"/>
      <c r="I178" s="8"/>
      <c r="J178" s="8"/>
      <c r="K178" s="8"/>
      <c r="L178" s="8"/>
      <c r="M178" s="8"/>
      <c r="N178" s="8"/>
      <c r="O178" s="8"/>
      <c r="P178" s="8"/>
      <c r="Q178" s="8"/>
      <c r="R178" s="8"/>
      <c r="S178" s="8"/>
      <c r="T178" s="8"/>
      <c r="U178" s="8"/>
      <c r="V178" s="8"/>
      <c r="W178" s="8"/>
    </row>
    <row r="179">
      <c r="A179" s="8"/>
      <c r="B179" s="8"/>
      <c r="C179" s="8"/>
      <c r="D179" s="8"/>
      <c r="E179" s="8"/>
      <c r="F179" s="8"/>
      <c r="G179" s="8"/>
      <c r="H179" s="8"/>
      <c r="I179" s="8"/>
      <c r="J179" s="8"/>
      <c r="K179" s="8"/>
      <c r="L179" s="8"/>
      <c r="M179" s="8"/>
      <c r="N179" s="8"/>
      <c r="O179" s="8"/>
      <c r="P179" s="8"/>
      <c r="Q179" s="8"/>
      <c r="R179" s="8"/>
      <c r="S179" s="8"/>
      <c r="T179" s="8"/>
      <c r="U179" s="8"/>
      <c r="V179" s="8"/>
      <c r="W179" s="8"/>
    </row>
    <row r="180">
      <c r="A180" s="8"/>
      <c r="B180" s="8"/>
      <c r="C180" s="8"/>
      <c r="D180" s="8"/>
      <c r="E180" s="8"/>
      <c r="F180" s="8"/>
      <c r="G180" s="8"/>
      <c r="H180" s="8"/>
      <c r="I180" s="8"/>
      <c r="J180" s="8"/>
      <c r="K180" s="8"/>
      <c r="L180" s="8"/>
      <c r="M180" s="8"/>
      <c r="N180" s="8"/>
      <c r="O180" s="8"/>
      <c r="P180" s="8"/>
      <c r="Q180" s="8"/>
      <c r="R180" s="8"/>
      <c r="S180" s="8"/>
      <c r="T180" s="8"/>
      <c r="U180" s="8"/>
      <c r="V180" s="8"/>
      <c r="W180" s="8"/>
    </row>
    <row r="181">
      <c r="A181" s="8"/>
      <c r="B181" s="8"/>
      <c r="C181" s="8"/>
      <c r="D181" s="8"/>
      <c r="E181" s="8"/>
      <c r="F181" s="8"/>
      <c r="G181" s="8"/>
      <c r="H181" s="8"/>
      <c r="I181" s="8"/>
      <c r="J181" s="8"/>
      <c r="K181" s="8"/>
      <c r="L181" s="8"/>
      <c r="M181" s="8"/>
      <c r="N181" s="8"/>
      <c r="O181" s="8"/>
      <c r="P181" s="8"/>
      <c r="Q181" s="8"/>
      <c r="R181" s="8"/>
      <c r="S181" s="8"/>
      <c r="T181" s="8"/>
      <c r="U181" s="8"/>
      <c r="V181" s="8"/>
      <c r="W181" s="8"/>
    </row>
    <row r="182">
      <c r="A182" s="8"/>
      <c r="B182" s="8"/>
      <c r="C182" s="8"/>
      <c r="D182" s="8"/>
      <c r="E182" s="8"/>
      <c r="F182" s="8"/>
      <c r="G182" s="8"/>
      <c r="H182" s="8"/>
      <c r="I182" s="8"/>
      <c r="J182" s="8"/>
      <c r="K182" s="8"/>
      <c r="L182" s="8"/>
      <c r="M182" s="8"/>
      <c r="N182" s="8"/>
      <c r="O182" s="8"/>
      <c r="P182" s="8"/>
      <c r="Q182" s="8"/>
      <c r="R182" s="8"/>
      <c r="S182" s="8"/>
      <c r="T182" s="8"/>
      <c r="U182" s="8"/>
      <c r="V182" s="8"/>
      <c r="W182" s="8"/>
    </row>
    <row r="183">
      <c r="A183" s="8"/>
      <c r="B183" s="8"/>
      <c r="C183" s="8"/>
      <c r="D183" s="8"/>
      <c r="E183" s="8"/>
      <c r="F183" s="8"/>
      <c r="G183" s="8"/>
      <c r="H183" s="8"/>
      <c r="I183" s="8"/>
      <c r="J183" s="8"/>
      <c r="K183" s="8"/>
      <c r="L183" s="8"/>
      <c r="M183" s="8"/>
      <c r="N183" s="8"/>
      <c r="O183" s="8"/>
      <c r="P183" s="8"/>
      <c r="Q183" s="8"/>
      <c r="R183" s="8"/>
      <c r="S183" s="8"/>
      <c r="T183" s="8"/>
      <c r="U183" s="8"/>
      <c r="V183" s="8"/>
      <c r="W183" s="8"/>
    </row>
    <row r="184">
      <c r="A184" s="8"/>
      <c r="B184" s="8"/>
      <c r="C184" s="8"/>
      <c r="D184" s="8"/>
      <c r="E184" s="8"/>
      <c r="F184" s="8"/>
      <c r="G184" s="8"/>
      <c r="H184" s="8"/>
      <c r="I184" s="8"/>
      <c r="J184" s="8"/>
      <c r="K184" s="8"/>
      <c r="L184" s="8"/>
      <c r="M184" s="8"/>
      <c r="N184" s="8"/>
      <c r="O184" s="8"/>
      <c r="P184" s="8"/>
      <c r="Q184" s="8"/>
      <c r="R184" s="8"/>
      <c r="S184" s="8"/>
      <c r="T184" s="8"/>
      <c r="U184" s="8"/>
      <c r="V184" s="8"/>
      <c r="W184" s="8"/>
    </row>
    <row r="185">
      <c r="A185" s="8"/>
      <c r="B185" s="8"/>
      <c r="C185" s="8"/>
      <c r="D185" s="8"/>
      <c r="E185" s="8"/>
      <c r="F185" s="8"/>
      <c r="G185" s="8"/>
      <c r="H185" s="8"/>
      <c r="I185" s="8"/>
      <c r="J185" s="8"/>
      <c r="K185" s="8"/>
      <c r="L185" s="8"/>
      <c r="M185" s="8"/>
      <c r="N185" s="8"/>
      <c r="O185" s="8"/>
      <c r="P185" s="8"/>
      <c r="Q185" s="8"/>
      <c r="R185" s="8"/>
      <c r="S185" s="8"/>
      <c r="T185" s="8"/>
      <c r="U185" s="8"/>
      <c r="V185" s="8"/>
      <c r="W185" s="8"/>
    </row>
    <row r="186">
      <c r="A186" s="8"/>
      <c r="B186" s="8"/>
      <c r="C186" s="8"/>
      <c r="D186" s="8"/>
      <c r="E186" s="8"/>
      <c r="F186" s="8"/>
      <c r="G186" s="8"/>
      <c r="H186" s="8"/>
      <c r="I186" s="8"/>
      <c r="J186" s="8"/>
      <c r="K186" s="8"/>
      <c r="L186" s="8"/>
      <c r="M186" s="8"/>
      <c r="N186" s="8"/>
      <c r="O186" s="8"/>
      <c r="P186" s="8"/>
      <c r="Q186" s="8"/>
      <c r="R186" s="8"/>
      <c r="S186" s="8"/>
      <c r="T186" s="8"/>
      <c r="U186" s="8"/>
      <c r="V186" s="8"/>
      <c r="W186" s="8"/>
    </row>
    <row r="187">
      <c r="A187" s="8"/>
      <c r="B187" s="8"/>
      <c r="C187" s="8"/>
      <c r="D187" s="8"/>
      <c r="E187" s="8"/>
      <c r="F187" s="8"/>
      <c r="G187" s="8"/>
      <c r="H187" s="8"/>
      <c r="I187" s="8"/>
      <c r="J187" s="8"/>
      <c r="K187" s="8"/>
      <c r="L187" s="8"/>
      <c r="M187" s="8"/>
      <c r="N187" s="8"/>
      <c r="O187" s="8"/>
      <c r="P187" s="8"/>
      <c r="Q187" s="8"/>
      <c r="R187" s="8"/>
      <c r="S187" s="8"/>
      <c r="T187" s="8"/>
      <c r="U187" s="8"/>
      <c r="V187" s="8"/>
      <c r="W187" s="8"/>
    </row>
    <row r="188">
      <c r="A188" s="8"/>
      <c r="B188" s="8"/>
      <c r="C188" s="8"/>
      <c r="D188" s="8"/>
      <c r="E188" s="8"/>
      <c r="F188" s="8"/>
      <c r="G188" s="8"/>
      <c r="H188" s="8"/>
      <c r="I188" s="8"/>
      <c r="J188" s="8"/>
      <c r="K188" s="8"/>
      <c r="L188" s="8"/>
      <c r="M188" s="8"/>
      <c r="N188" s="8"/>
      <c r="O188" s="8"/>
      <c r="P188" s="8"/>
      <c r="Q188" s="8"/>
      <c r="R188" s="8"/>
      <c r="S188" s="8"/>
      <c r="T188" s="8"/>
      <c r="U188" s="8"/>
      <c r="V188" s="8"/>
      <c r="W188" s="8"/>
    </row>
    <row r="189">
      <c r="A189" s="8"/>
      <c r="B189" s="8"/>
      <c r="C189" s="8"/>
      <c r="D189" s="8"/>
      <c r="E189" s="8"/>
      <c r="F189" s="8"/>
      <c r="G189" s="8"/>
      <c r="H189" s="8"/>
      <c r="I189" s="8"/>
      <c r="J189" s="8"/>
      <c r="K189" s="8"/>
      <c r="L189" s="8"/>
      <c r="M189" s="8"/>
      <c r="N189" s="8"/>
      <c r="O189" s="8"/>
      <c r="P189" s="8"/>
      <c r="Q189" s="8"/>
      <c r="R189" s="8"/>
      <c r="S189" s="8"/>
      <c r="T189" s="8"/>
      <c r="U189" s="8"/>
      <c r="V189" s="8"/>
      <c r="W189" s="8"/>
    </row>
    <row r="190">
      <c r="A190" s="8"/>
      <c r="B190" s="8"/>
      <c r="C190" s="8"/>
      <c r="D190" s="8"/>
      <c r="E190" s="8"/>
      <c r="F190" s="8"/>
      <c r="G190" s="8"/>
      <c r="H190" s="8"/>
      <c r="I190" s="8"/>
      <c r="J190" s="8"/>
      <c r="K190" s="8"/>
      <c r="L190" s="8"/>
      <c r="M190" s="8"/>
      <c r="N190" s="8"/>
      <c r="O190" s="8"/>
      <c r="P190" s="8"/>
      <c r="Q190" s="8"/>
      <c r="R190" s="8"/>
      <c r="S190" s="8"/>
      <c r="T190" s="8"/>
      <c r="U190" s="8"/>
      <c r="V190" s="8"/>
      <c r="W190" s="8"/>
    </row>
    <row r="191">
      <c r="A191" s="8"/>
      <c r="B191" s="8"/>
      <c r="C191" s="8"/>
      <c r="D191" s="8"/>
      <c r="E191" s="8"/>
      <c r="F191" s="8"/>
      <c r="G191" s="8"/>
      <c r="H191" s="8"/>
      <c r="I191" s="8"/>
      <c r="J191" s="8"/>
      <c r="K191" s="8"/>
      <c r="L191" s="8"/>
      <c r="M191" s="8"/>
      <c r="N191" s="8"/>
      <c r="O191" s="8"/>
      <c r="P191" s="8"/>
      <c r="Q191" s="8"/>
      <c r="R191" s="8"/>
      <c r="S191" s="8"/>
      <c r="T191" s="8"/>
      <c r="U191" s="8"/>
      <c r="V191" s="8"/>
      <c r="W191" s="8"/>
    </row>
    <row r="192">
      <c r="A192" s="8"/>
      <c r="B192" s="8"/>
      <c r="C192" s="8"/>
      <c r="D192" s="8"/>
      <c r="E192" s="8"/>
      <c r="F192" s="8"/>
      <c r="G192" s="8"/>
      <c r="H192" s="8"/>
      <c r="I192" s="8"/>
      <c r="J192" s="8"/>
      <c r="K192" s="8"/>
      <c r="L192" s="8"/>
      <c r="M192" s="8"/>
      <c r="N192" s="8"/>
      <c r="O192" s="8"/>
      <c r="P192" s="8"/>
      <c r="Q192" s="8"/>
      <c r="R192" s="8"/>
      <c r="S192" s="8"/>
      <c r="T192" s="8"/>
      <c r="U192" s="8"/>
      <c r="V192" s="8"/>
      <c r="W192" s="8"/>
    </row>
    <row r="193">
      <c r="A193" s="8"/>
      <c r="B193" s="8"/>
      <c r="C193" s="8"/>
      <c r="D193" s="8"/>
      <c r="E193" s="8"/>
      <c r="F193" s="8"/>
      <c r="G193" s="8"/>
      <c r="H193" s="8"/>
      <c r="I193" s="8"/>
      <c r="J193" s="8"/>
      <c r="K193" s="8"/>
      <c r="L193" s="8"/>
      <c r="M193" s="8"/>
      <c r="N193" s="8"/>
      <c r="O193" s="8"/>
      <c r="P193" s="8"/>
      <c r="Q193" s="8"/>
      <c r="R193" s="8"/>
      <c r="S193" s="8"/>
      <c r="T193" s="8"/>
      <c r="U193" s="8"/>
      <c r="V193" s="8"/>
      <c r="W193" s="8"/>
    </row>
    <row r="194">
      <c r="A194" s="8"/>
      <c r="B194" s="8"/>
      <c r="C194" s="8"/>
      <c r="D194" s="8"/>
      <c r="E194" s="8"/>
      <c r="F194" s="8"/>
      <c r="G194" s="8"/>
      <c r="H194" s="8"/>
      <c r="I194" s="8"/>
      <c r="J194" s="8"/>
      <c r="K194" s="8"/>
      <c r="L194" s="8"/>
      <c r="M194" s="8"/>
      <c r="N194" s="8"/>
      <c r="O194" s="8"/>
      <c r="P194" s="8"/>
      <c r="Q194" s="8"/>
      <c r="R194" s="8"/>
      <c r="S194" s="8"/>
      <c r="T194" s="8"/>
      <c r="U194" s="8"/>
      <c r="V194" s="8"/>
      <c r="W194" s="8"/>
    </row>
    <row r="195">
      <c r="A195" s="8"/>
      <c r="B195" s="8"/>
      <c r="C195" s="8"/>
      <c r="D195" s="8"/>
      <c r="E195" s="8"/>
      <c r="F195" s="8"/>
      <c r="G195" s="8"/>
      <c r="H195" s="8"/>
      <c r="I195" s="8"/>
      <c r="J195" s="8"/>
      <c r="K195" s="8"/>
      <c r="L195" s="8"/>
      <c r="M195" s="8"/>
      <c r="N195" s="8"/>
      <c r="O195" s="8"/>
      <c r="P195" s="8"/>
      <c r="Q195" s="8"/>
      <c r="R195" s="8"/>
      <c r="S195" s="8"/>
      <c r="T195" s="8"/>
      <c r="U195" s="8"/>
      <c r="V195" s="8"/>
      <c r="W195" s="8"/>
    </row>
    <row r="196">
      <c r="A196" s="8"/>
      <c r="B196" s="8"/>
      <c r="C196" s="8"/>
      <c r="D196" s="8"/>
      <c r="E196" s="8"/>
      <c r="F196" s="8"/>
      <c r="G196" s="8"/>
      <c r="H196" s="8"/>
      <c r="I196" s="8"/>
      <c r="J196" s="8"/>
      <c r="K196" s="8"/>
      <c r="L196" s="8"/>
      <c r="M196" s="8"/>
      <c r="N196" s="8"/>
      <c r="O196" s="8"/>
      <c r="P196" s="8"/>
      <c r="Q196" s="8"/>
      <c r="R196" s="8"/>
      <c r="S196" s="8"/>
      <c r="T196" s="8"/>
      <c r="U196" s="8"/>
      <c r="V196" s="8"/>
      <c r="W196" s="8"/>
    </row>
    <row r="197">
      <c r="A197" s="8"/>
      <c r="B197" s="8"/>
      <c r="C197" s="8"/>
      <c r="D197" s="8"/>
      <c r="E197" s="8"/>
      <c r="F197" s="8"/>
      <c r="G197" s="8"/>
      <c r="H197" s="8"/>
      <c r="I197" s="8"/>
      <c r="J197" s="8"/>
      <c r="K197" s="8"/>
      <c r="L197" s="8"/>
      <c r="M197" s="8"/>
      <c r="N197" s="8"/>
      <c r="O197" s="8"/>
      <c r="P197" s="8"/>
      <c r="Q197" s="8"/>
      <c r="R197" s="8"/>
      <c r="S197" s="8"/>
      <c r="T197" s="8"/>
      <c r="U197" s="8"/>
      <c r="V197" s="8"/>
      <c r="W197" s="8"/>
    </row>
    <row r="198">
      <c r="A198" s="8"/>
      <c r="B198" s="8"/>
      <c r="C198" s="8"/>
      <c r="D198" s="8"/>
      <c r="E198" s="8"/>
      <c r="F198" s="8"/>
      <c r="G198" s="8"/>
      <c r="H198" s="8"/>
      <c r="I198" s="8"/>
      <c r="J198" s="8"/>
      <c r="K198" s="8"/>
      <c r="L198" s="8"/>
      <c r="M198" s="8"/>
      <c r="N198" s="8"/>
      <c r="O198" s="8"/>
      <c r="P198" s="8"/>
      <c r="Q198" s="8"/>
      <c r="R198" s="8"/>
      <c r="S198" s="8"/>
      <c r="T198" s="8"/>
      <c r="U198" s="8"/>
      <c r="V198" s="8"/>
      <c r="W198" s="8"/>
    </row>
    <row r="199">
      <c r="A199" s="8"/>
      <c r="B199" s="8"/>
      <c r="C199" s="8"/>
      <c r="D199" s="8"/>
      <c r="E199" s="8"/>
      <c r="F199" s="8"/>
      <c r="G199" s="8"/>
      <c r="H199" s="8"/>
      <c r="I199" s="8"/>
      <c r="J199" s="8"/>
      <c r="K199" s="8"/>
      <c r="L199" s="8"/>
      <c r="M199" s="8"/>
      <c r="N199" s="8"/>
      <c r="O199" s="8"/>
      <c r="P199" s="8"/>
      <c r="Q199" s="8"/>
      <c r="R199" s="8"/>
      <c r="S199" s="8"/>
      <c r="T199" s="8"/>
      <c r="U199" s="8"/>
      <c r="V199" s="8"/>
      <c r="W199" s="8"/>
    </row>
    <row r="200">
      <c r="A200" s="8"/>
      <c r="B200" s="8"/>
      <c r="C200" s="8"/>
      <c r="D200" s="8"/>
      <c r="E200" s="8"/>
      <c r="F200" s="8"/>
      <c r="G200" s="8"/>
      <c r="H200" s="8"/>
      <c r="I200" s="8"/>
      <c r="J200" s="8"/>
      <c r="K200" s="8"/>
      <c r="L200" s="8"/>
      <c r="M200" s="8"/>
      <c r="N200" s="8"/>
      <c r="O200" s="8"/>
      <c r="P200" s="8"/>
      <c r="Q200" s="8"/>
      <c r="R200" s="8"/>
      <c r="S200" s="8"/>
      <c r="T200" s="8"/>
      <c r="U200" s="8"/>
      <c r="V200" s="8"/>
      <c r="W200" s="8"/>
    </row>
    <row r="201">
      <c r="A201" s="8"/>
      <c r="B201" s="8"/>
      <c r="C201" s="8"/>
      <c r="D201" s="8"/>
      <c r="E201" s="8"/>
      <c r="F201" s="8"/>
      <c r="G201" s="8"/>
      <c r="H201" s="8"/>
      <c r="I201" s="8"/>
      <c r="J201" s="8"/>
      <c r="K201" s="8"/>
      <c r="L201" s="8"/>
      <c r="M201" s="8"/>
      <c r="N201" s="8"/>
      <c r="O201" s="8"/>
      <c r="P201" s="8"/>
      <c r="Q201" s="8"/>
      <c r="R201" s="8"/>
      <c r="S201" s="8"/>
      <c r="T201" s="8"/>
      <c r="U201" s="8"/>
      <c r="V201" s="8"/>
      <c r="W201" s="8"/>
    </row>
    <row r="202">
      <c r="A202" s="8"/>
      <c r="B202" s="8"/>
      <c r="C202" s="8"/>
      <c r="D202" s="8"/>
      <c r="E202" s="8"/>
      <c r="F202" s="8"/>
      <c r="G202" s="8"/>
      <c r="H202" s="8"/>
      <c r="I202" s="8"/>
      <c r="J202" s="8"/>
      <c r="K202" s="8"/>
      <c r="L202" s="8"/>
      <c r="M202" s="8"/>
      <c r="N202" s="8"/>
      <c r="O202" s="8"/>
      <c r="P202" s="8"/>
      <c r="Q202" s="8"/>
      <c r="R202" s="8"/>
      <c r="S202" s="8"/>
      <c r="T202" s="8"/>
      <c r="U202" s="8"/>
      <c r="V202" s="8"/>
      <c r="W202" s="8"/>
    </row>
    <row r="203">
      <c r="A203" s="8"/>
      <c r="B203" s="8"/>
      <c r="C203" s="8"/>
      <c r="D203" s="8"/>
      <c r="E203" s="8"/>
      <c r="F203" s="8"/>
      <c r="G203" s="8"/>
      <c r="H203" s="8"/>
      <c r="I203" s="8"/>
      <c r="J203" s="8"/>
      <c r="K203" s="8"/>
      <c r="L203" s="8"/>
      <c r="M203" s="8"/>
      <c r="N203" s="8"/>
      <c r="O203" s="8"/>
      <c r="P203" s="8"/>
      <c r="Q203" s="8"/>
      <c r="R203" s="8"/>
      <c r="S203" s="8"/>
      <c r="T203" s="8"/>
      <c r="U203" s="8"/>
      <c r="V203" s="8"/>
      <c r="W203" s="8"/>
    </row>
    <row r="204">
      <c r="A204" s="8"/>
      <c r="B204" s="8"/>
      <c r="C204" s="8"/>
      <c r="D204" s="8"/>
      <c r="E204" s="8"/>
      <c r="F204" s="8"/>
      <c r="G204" s="8"/>
      <c r="H204" s="8"/>
      <c r="I204" s="8"/>
      <c r="J204" s="8"/>
      <c r="K204" s="8"/>
      <c r="L204" s="8"/>
      <c r="M204" s="8"/>
      <c r="N204" s="8"/>
      <c r="O204" s="8"/>
      <c r="P204" s="8"/>
      <c r="Q204" s="8"/>
      <c r="R204" s="8"/>
      <c r="S204" s="8"/>
      <c r="T204" s="8"/>
      <c r="U204" s="8"/>
      <c r="V204" s="8"/>
      <c r="W204" s="8"/>
    </row>
    <row r="205">
      <c r="A205" s="8"/>
      <c r="B205" s="8"/>
      <c r="C205" s="8"/>
      <c r="D205" s="8"/>
      <c r="E205" s="8"/>
      <c r="F205" s="8"/>
      <c r="G205" s="8"/>
      <c r="H205" s="8"/>
      <c r="I205" s="8"/>
      <c r="J205" s="8"/>
      <c r="K205" s="8"/>
      <c r="L205" s="8"/>
      <c r="M205" s="8"/>
      <c r="N205" s="8"/>
      <c r="O205" s="8"/>
      <c r="P205" s="8"/>
      <c r="Q205" s="8"/>
      <c r="R205" s="8"/>
      <c r="S205" s="8"/>
      <c r="T205" s="8"/>
      <c r="U205" s="8"/>
      <c r="V205" s="8"/>
      <c r="W205" s="8"/>
    </row>
    <row r="206">
      <c r="A206" s="8"/>
      <c r="B206" s="8"/>
      <c r="C206" s="8"/>
      <c r="D206" s="8"/>
      <c r="E206" s="8"/>
      <c r="F206" s="8"/>
      <c r="G206" s="8"/>
      <c r="H206" s="8"/>
      <c r="I206" s="8"/>
      <c r="J206" s="8"/>
      <c r="K206" s="8"/>
      <c r="L206" s="8"/>
      <c r="M206" s="8"/>
      <c r="N206" s="8"/>
      <c r="O206" s="8"/>
      <c r="P206" s="8"/>
      <c r="Q206" s="8"/>
      <c r="R206" s="8"/>
      <c r="S206" s="8"/>
      <c r="T206" s="8"/>
      <c r="U206" s="8"/>
      <c r="V206" s="8"/>
      <c r="W206" s="8"/>
    </row>
    <row r="207">
      <c r="A207" s="8"/>
      <c r="B207" s="8"/>
      <c r="C207" s="8"/>
      <c r="D207" s="8"/>
      <c r="E207" s="8"/>
      <c r="F207" s="8"/>
      <c r="G207" s="8"/>
      <c r="H207" s="8"/>
      <c r="I207" s="8"/>
      <c r="J207" s="8"/>
      <c r="K207" s="8"/>
      <c r="L207" s="8"/>
      <c r="M207" s="8"/>
      <c r="N207" s="8"/>
      <c r="O207" s="8"/>
      <c r="P207" s="8"/>
      <c r="Q207" s="8"/>
      <c r="R207" s="8"/>
      <c r="S207" s="8"/>
      <c r="T207" s="8"/>
      <c r="U207" s="8"/>
      <c r="V207" s="8"/>
      <c r="W207" s="8"/>
    </row>
    <row r="208">
      <c r="A208" s="8"/>
      <c r="B208" s="8"/>
      <c r="C208" s="8"/>
      <c r="D208" s="8"/>
      <c r="E208" s="8"/>
      <c r="F208" s="8"/>
      <c r="G208" s="8"/>
      <c r="H208" s="8"/>
      <c r="I208" s="8"/>
      <c r="J208" s="8"/>
      <c r="K208" s="8"/>
      <c r="L208" s="8"/>
      <c r="M208" s="8"/>
      <c r="N208" s="8"/>
      <c r="O208" s="8"/>
      <c r="P208" s="8"/>
      <c r="Q208" s="8"/>
      <c r="R208" s="8"/>
      <c r="S208" s="8"/>
      <c r="T208" s="8"/>
      <c r="U208" s="8"/>
      <c r="V208" s="8"/>
      <c r="W208" s="8"/>
    </row>
    <row r="209">
      <c r="A209" s="8"/>
      <c r="B209" s="8"/>
      <c r="C209" s="8"/>
      <c r="D209" s="8"/>
      <c r="E209" s="8"/>
      <c r="F209" s="8"/>
      <c r="G209" s="8"/>
      <c r="H209" s="8"/>
      <c r="I209" s="8"/>
      <c r="J209" s="8"/>
      <c r="K209" s="8"/>
      <c r="L209" s="8"/>
      <c r="M209" s="8"/>
      <c r="N209" s="8"/>
      <c r="O209" s="8"/>
      <c r="P209" s="8"/>
      <c r="Q209" s="8"/>
      <c r="R209" s="8"/>
      <c r="S209" s="8"/>
      <c r="T209" s="8"/>
      <c r="U209" s="8"/>
      <c r="V209" s="8"/>
      <c r="W209" s="8"/>
    </row>
    <row r="210">
      <c r="A210" s="8"/>
      <c r="B210" s="8"/>
      <c r="C210" s="8"/>
      <c r="D210" s="8"/>
      <c r="E210" s="8"/>
      <c r="F210" s="8"/>
      <c r="G210" s="8"/>
      <c r="H210" s="8"/>
      <c r="I210" s="8"/>
      <c r="J210" s="8"/>
      <c r="K210" s="8"/>
      <c r="L210" s="8"/>
      <c r="M210" s="8"/>
      <c r="N210" s="8"/>
      <c r="O210" s="8"/>
      <c r="P210" s="8"/>
      <c r="Q210" s="8"/>
      <c r="R210" s="8"/>
      <c r="S210" s="8"/>
      <c r="T210" s="8"/>
      <c r="U210" s="8"/>
      <c r="V210" s="8"/>
      <c r="W210" s="8"/>
    </row>
    <row r="211">
      <c r="A211" s="8"/>
      <c r="B211" s="8"/>
      <c r="C211" s="8"/>
      <c r="D211" s="8"/>
      <c r="E211" s="8"/>
      <c r="F211" s="8"/>
      <c r="G211" s="8"/>
      <c r="H211" s="8"/>
      <c r="I211" s="8"/>
      <c r="J211" s="8"/>
      <c r="K211" s="8"/>
      <c r="L211" s="8"/>
      <c r="M211" s="8"/>
      <c r="N211" s="8"/>
      <c r="O211" s="8"/>
      <c r="P211" s="8"/>
      <c r="Q211" s="8"/>
      <c r="R211" s="8"/>
      <c r="S211" s="8"/>
      <c r="T211" s="8"/>
      <c r="U211" s="8"/>
      <c r="V211" s="8"/>
      <c r="W211" s="8"/>
    </row>
    <row r="212">
      <c r="A212" s="8"/>
      <c r="B212" s="8"/>
      <c r="C212" s="8"/>
      <c r="D212" s="8"/>
      <c r="E212" s="8"/>
      <c r="F212" s="8"/>
      <c r="G212" s="8"/>
      <c r="H212" s="8"/>
      <c r="I212" s="8"/>
      <c r="J212" s="8"/>
      <c r="K212" s="8"/>
      <c r="L212" s="8"/>
      <c r="M212" s="8"/>
      <c r="N212" s="8"/>
      <c r="O212" s="8"/>
      <c r="P212" s="8"/>
      <c r="Q212" s="8"/>
      <c r="R212" s="8"/>
      <c r="S212" s="8"/>
      <c r="T212" s="8"/>
      <c r="U212" s="8"/>
      <c r="V212" s="8"/>
      <c r="W212" s="8"/>
    </row>
    <row r="213">
      <c r="A213" s="8"/>
      <c r="B213" s="8"/>
      <c r="C213" s="8"/>
      <c r="D213" s="8"/>
      <c r="E213" s="8"/>
      <c r="F213" s="8"/>
      <c r="G213" s="8"/>
      <c r="H213" s="8"/>
      <c r="I213" s="8"/>
      <c r="J213" s="8"/>
      <c r="K213" s="8"/>
      <c r="L213" s="8"/>
      <c r="M213" s="8"/>
      <c r="N213" s="8"/>
      <c r="O213" s="8"/>
      <c r="P213" s="8"/>
      <c r="Q213" s="8"/>
      <c r="R213" s="8"/>
      <c r="S213" s="8"/>
      <c r="T213" s="8"/>
      <c r="U213" s="8"/>
      <c r="V213" s="8"/>
      <c r="W213" s="8"/>
    </row>
    <row r="214">
      <c r="A214" s="8"/>
      <c r="B214" s="8"/>
      <c r="C214" s="8"/>
      <c r="D214" s="8"/>
      <c r="E214" s="8"/>
      <c r="F214" s="8"/>
      <c r="G214" s="8"/>
      <c r="H214" s="8"/>
      <c r="I214" s="8"/>
      <c r="J214" s="8"/>
      <c r="K214" s="8"/>
      <c r="L214" s="8"/>
      <c r="M214" s="8"/>
      <c r="N214" s="8"/>
      <c r="O214" s="8"/>
      <c r="P214" s="8"/>
      <c r="Q214" s="8"/>
      <c r="R214" s="8"/>
      <c r="S214" s="8"/>
      <c r="T214" s="8"/>
      <c r="U214" s="8"/>
      <c r="V214" s="8"/>
      <c r="W214" s="8"/>
    </row>
    <row r="215">
      <c r="A215" s="8"/>
      <c r="B215" s="8"/>
      <c r="C215" s="8"/>
      <c r="D215" s="8"/>
      <c r="E215" s="8"/>
      <c r="F215" s="8"/>
      <c r="G215" s="8"/>
      <c r="H215" s="8"/>
      <c r="I215" s="8"/>
      <c r="J215" s="8"/>
      <c r="K215" s="8"/>
      <c r="L215" s="8"/>
      <c r="M215" s="8"/>
      <c r="N215" s="8"/>
      <c r="O215" s="8"/>
      <c r="P215" s="8"/>
      <c r="Q215" s="8"/>
      <c r="R215" s="8"/>
      <c r="S215" s="8"/>
      <c r="T215" s="8"/>
      <c r="U215" s="8"/>
      <c r="V215" s="8"/>
      <c r="W215" s="8"/>
    </row>
    <row r="216">
      <c r="A216" s="8"/>
      <c r="B216" s="8"/>
      <c r="C216" s="8"/>
      <c r="D216" s="8"/>
      <c r="E216" s="8"/>
      <c r="F216" s="8"/>
      <c r="G216" s="8"/>
      <c r="H216" s="8"/>
      <c r="I216" s="8"/>
      <c r="J216" s="8"/>
      <c r="K216" s="8"/>
      <c r="L216" s="8"/>
      <c r="M216" s="8"/>
      <c r="N216" s="8"/>
      <c r="O216" s="8"/>
      <c r="P216" s="8"/>
      <c r="Q216" s="8"/>
      <c r="R216" s="8"/>
      <c r="S216" s="8"/>
      <c r="T216" s="8"/>
      <c r="U216" s="8"/>
      <c r="V216" s="8"/>
      <c r="W216" s="8"/>
    </row>
    <row r="217">
      <c r="A217" s="8"/>
      <c r="B217" s="8"/>
      <c r="C217" s="8"/>
      <c r="D217" s="8"/>
      <c r="E217" s="8"/>
      <c r="F217" s="8"/>
      <c r="G217" s="8"/>
      <c r="H217" s="8"/>
      <c r="I217" s="8"/>
      <c r="J217" s="8"/>
      <c r="K217" s="8"/>
      <c r="L217" s="8"/>
      <c r="M217" s="8"/>
      <c r="N217" s="8"/>
      <c r="O217" s="8"/>
      <c r="P217" s="8"/>
      <c r="Q217" s="8"/>
      <c r="R217" s="8"/>
      <c r="S217" s="8"/>
      <c r="T217" s="8"/>
      <c r="U217" s="8"/>
      <c r="V217" s="8"/>
      <c r="W217" s="8"/>
    </row>
    <row r="218">
      <c r="A218" s="8"/>
      <c r="B218" s="8"/>
      <c r="C218" s="8"/>
      <c r="D218" s="8"/>
      <c r="E218" s="8"/>
      <c r="F218" s="8"/>
      <c r="G218" s="8"/>
      <c r="H218" s="8"/>
      <c r="I218" s="8"/>
      <c r="J218" s="8"/>
      <c r="K218" s="8"/>
      <c r="L218" s="8"/>
      <c r="M218" s="8"/>
      <c r="N218" s="8"/>
      <c r="O218" s="8"/>
      <c r="P218" s="8"/>
      <c r="Q218" s="8"/>
      <c r="R218" s="8"/>
      <c r="S218" s="8"/>
      <c r="T218" s="8"/>
      <c r="U218" s="8"/>
      <c r="V218" s="8"/>
      <c r="W218" s="8"/>
    </row>
    <row r="219">
      <c r="A219" s="8"/>
      <c r="B219" s="8"/>
      <c r="C219" s="8"/>
      <c r="D219" s="8"/>
      <c r="E219" s="8"/>
      <c r="F219" s="8"/>
      <c r="G219" s="8"/>
      <c r="H219" s="8"/>
      <c r="I219" s="8"/>
      <c r="J219" s="8"/>
      <c r="K219" s="8"/>
      <c r="L219" s="8"/>
      <c r="M219" s="8"/>
      <c r="N219" s="8"/>
      <c r="O219" s="8"/>
      <c r="P219" s="8"/>
      <c r="Q219" s="8"/>
      <c r="R219" s="8"/>
      <c r="S219" s="8"/>
      <c r="T219" s="8"/>
      <c r="U219" s="8"/>
      <c r="V219" s="8"/>
      <c r="W219" s="8"/>
    </row>
    <row r="220">
      <c r="A220" s="8"/>
      <c r="B220" s="8"/>
      <c r="C220" s="8"/>
      <c r="D220" s="8"/>
      <c r="E220" s="8"/>
      <c r="F220" s="8"/>
      <c r="G220" s="8"/>
      <c r="H220" s="8"/>
      <c r="I220" s="8"/>
      <c r="J220" s="8"/>
      <c r="K220" s="8"/>
      <c r="L220" s="8"/>
      <c r="M220" s="8"/>
      <c r="N220" s="8"/>
      <c r="O220" s="8"/>
      <c r="P220" s="8"/>
      <c r="Q220" s="8"/>
      <c r="R220" s="8"/>
      <c r="S220" s="8"/>
      <c r="T220" s="8"/>
      <c r="U220" s="8"/>
      <c r="V220" s="8"/>
      <c r="W220" s="8"/>
    </row>
    <row r="221">
      <c r="A221" s="8"/>
      <c r="B221" s="8"/>
      <c r="C221" s="8"/>
      <c r="D221" s="8"/>
      <c r="E221" s="8"/>
      <c r="F221" s="8"/>
      <c r="G221" s="8"/>
      <c r="H221" s="8"/>
      <c r="I221" s="8"/>
      <c r="J221" s="8"/>
      <c r="K221" s="8"/>
      <c r="L221" s="8"/>
      <c r="M221" s="8"/>
      <c r="N221" s="8"/>
      <c r="O221" s="8"/>
      <c r="P221" s="8"/>
      <c r="Q221" s="8"/>
      <c r="R221" s="8"/>
      <c r="S221" s="8"/>
      <c r="T221" s="8"/>
      <c r="U221" s="8"/>
      <c r="V221" s="8"/>
      <c r="W221" s="8"/>
    </row>
    <row r="222">
      <c r="A222" s="8"/>
      <c r="B222" s="8"/>
      <c r="C222" s="8"/>
      <c r="D222" s="8"/>
      <c r="E222" s="8"/>
      <c r="F222" s="8"/>
      <c r="G222" s="8"/>
      <c r="H222" s="8"/>
      <c r="I222" s="8"/>
      <c r="J222" s="8"/>
      <c r="K222" s="8"/>
      <c r="L222" s="8"/>
      <c r="M222" s="8"/>
      <c r="N222" s="8"/>
      <c r="O222" s="8"/>
      <c r="P222" s="8"/>
      <c r="Q222" s="8"/>
      <c r="R222" s="8"/>
      <c r="S222" s="8"/>
      <c r="T222" s="8"/>
      <c r="U222" s="8"/>
      <c r="V222" s="8"/>
      <c r="W222" s="8"/>
    </row>
    <row r="223">
      <c r="A223" s="8"/>
      <c r="B223" s="8"/>
      <c r="C223" s="8"/>
      <c r="D223" s="8"/>
      <c r="E223" s="8"/>
      <c r="F223" s="8"/>
      <c r="G223" s="8"/>
      <c r="H223" s="8"/>
      <c r="I223" s="8"/>
      <c r="J223" s="8"/>
      <c r="K223" s="8"/>
      <c r="L223" s="8"/>
      <c r="M223" s="8"/>
      <c r="N223" s="8"/>
      <c r="O223" s="8"/>
      <c r="P223" s="8"/>
      <c r="Q223" s="8"/>
      <c r="R223" s="8"/>
      <c r="S223" s="8"/>
      <c r="T223" s="8"/>
      <c r="U223" s="8"/>
      <c r="V223" s="8"/>
      <c r="W223" s="8"/>
    </row>
    <row r="224">
      <c r="A224" s="8"/>
      <c r="B224" s="8"/>
      <c r="C224" s="8"/>
      <c r="D224" s="8"/>
      <c r="E224" s="8"/>
      <c r="F224" s="8"/>
      <c r="G224" s="8"/>
      <c r="H224" s="8"/>
      <c r="I224" s="8"/>
      <c r="J224" s="8"/>
      <c r="K224" s="8"/>
      <c r="L224" s="8"/>
      <c r="M224" s="8"/>
      <c r="N224" s="8"/>
      <c r="O224" s="8"/>
      <c r="P224" s="8"/>
      <c r="Q224" s="8"/>
      <c r="R224" s="8"/>
      <c r="S224" s="8"/>
      <c r="T224" s="8"/>
      <c r="U224" s="8"/>
      <c r="V224" s="8"/>
      <c r="W224" s="8"/>
    </row>
    <row r="225">
      <c r="A225" s="8"/>
      <c r="B225" s="8"/>
      <c r="C225" s="8"/>
      <c r="D225" s="8"/>
      <c r="E225" s="8"/>
      <c r="F225" s="8"/>
      <c r="G225" s="8"/>
      <c r="H225" s="8"/>
      <c r="I225" s="8"/>
      <c r="J225" s="8"/>
      <c r="K225" s="8"/>
      <c r="L225" s="8"/>
      <c r="M225" s="8"/>
      <c r="N225" s="8"/>
      <c r="O225" s="8"/>
      <c r="P225" s="8"/>
      <c r="Q225" s="8"/>
      <c r="R225" s="8"/>
      <c r="S225" s="8"/>
      <c r="T225" s="8"/>
      <c r="U225" s="8"/>
      <c r="V225" s="8"/>
      <c r="W225" s="8"/>
    </row>
    <row r="226">
      <c r="A226" s="8"/>
      <c r="B226" s="8"/>
      <c r="C226" s="8"/>
      <c r="D226" s="8"/>
      <c r="E226" s="8"/>
      <c r="F226" s="8"/>
      <c r="G226" s="8"/>
      <c r="H226" s="8"/>
      <c r="I226" s="8"/>
      <c r="J226" s="8"/>
      <c r="K226" s="8"/>
      <c r="L226" s="8"/>
      <c r="M226" s="8"/>
      <c r="N226" s="8"/>
      <c r="O226" s="8"/>
      <c r="P226" s="8"/>
      <c r="Q226" s="8"/>
      <c r="R226" s="8"/>
      <c r="S226" s="8"/>
      <c r="T226" s="8"/>
      <c r="U226" s="8"/>
      <c r="V226" s="8"/>
      <c r="W226" s="8"/>
    </row>
    <row r="227">
      <c r="A227" s="8"/>
      <c r="B227" s="8"/>
      <c r="C227" s="8"/>
      <c r="D227" s="8"/>
      <c r="E227" s="8"/>
      <c r="F227" s="8"/>
      <c r="G227" s="8"/>
      <c r="H227" s="8"/>
      <c r="I227" s="8"/>
      <c r="J227" s="8"/>
      <c r="K227" s="8"/>
      <c r="L227" s="8"/>
      <c r="M227" s="8"/>
      <c r="N227" s="8"/>
      <c r="O227" s="8"/>
      <c r="P227" s="8"/>
      <c r="Q227" s="8"/>
      <c r="R227" s="8"/>
      <c r="S227" s="8"/>
      <c r="T227" s="8"/>
      <c r="U227" s="8"/>
      <c r="V227" s="8"/>
      <c r="W227" s="8"/>
    </row>
    <row r="228">
      <c r="A228" s="8"/>
      <c r="B228" s="8"/>
      <c r="C228" s="8"/>
      <c r="D228" s="8"/>
      <c r="E228" s="8"/>
      <c r="F228" s="8"/>
      <c r="G228" s="8"/>
      <c r="H228" s="8"/>
      <c r="I228" s="8"/>
      <c r="J228" s="8"/>
      <c r="K228" s="8"/>
      <c r="L228" s="8"/>
      <c r="M228" s="8"/>
      <c r="N228" s="8"/>
      <c r="O228" s="8"/>
      <c r="P228" s="8"/>
      <c r="Q228" s="8"/>
      <c r="R228" s="8"/>
      <c r="S228" s="8"/>
      <c r="T228" s="8"/>
      <c r="U228" s="8"/>
      <c r="V228" s="8"/>
      <c r="W228" s="8"/>
    </row>
    <row r="229">
      <c r="A229" s="8"/>
      <c r="B229" s="8"/>
      <c r="C229" s="8"/>
      <c r="D229" s="8"/>
      <c r="E229" s="8"/>
      <c r="F229" s="8"/>
      <c r="G229" s="8"/>
      <c r="H229" s="8"/>
      <c r="I229" s="8"/>
      <c r="J229" s="8"/>
      <c r="K229" s="8"/>
      <c r="L229" s="8"/>
      <c r="M229" s="8"/>
      <c r="N229" s="8"/>
      <c r="O229" s="8"/>
      <c r="P229" s="8"/>
      <c r="Q229" s="8"/>
      <c r="R229" s="8"/>
      <c r="S229" s="8"/>
      <c r="T229" s="8"/>
      <c r="U229" s="8"/>
      <c r="V229" s="8"/>
      <c r="W229" s="8"/>
    </row>
    <row r="230">
      <c r="A230" s="8"/>
      <c r="B230" s="8"/>
      <c r="C230" s="8"/>
      <c r="D230" s="8"/>
      <c r="E230" s="8"/>
      <c r="F230" s="8"/>
      <c r="G230" s="8"/>
      <c r="H230" s="8"/>
      <c r="I230" s="8"/>
      <c r="J230" s="8"/>
      <c r="K230" s="8"/>
      <c r="L230" s="8"/>
      <c r="M230" s="8"/>
      <c r="N230" s="8"/>
      <c r="O230" s="8"/>
      <c r="P230" s="8"/>
      <c r="Q230" s="8"/>
      <c r="R230" s="8"/>
      <c r="S230" s="8"/>
      <c r="T230" s="8"/>
      <c r="U230" s="8"/>
      <c r="V230" s="8"/>
      <c r="W230" s="8"/>
    </row>
    <row r="231">
      <c r="A231" s="8"/>
      <c r="B231" s="8"/>
      <c r="C231" s="8"/>
      <c r="D231" s="8"/>
      <c r="E231" s="8"/>
      <c r="F231" s="8"/>
      <c r="G231" s="8"/>
      <c r="H231" s="8"/>
      <c r="I231" s="8"/>
      <c r="J231" s="8"/>
      <c r="K231" s="8"/>
      <c r="L231" s="8"/>
      <c r="M231" s="8"/>
      <c r="N231" s="8"/>
      <c r="O231" s="8"/>
      <c r="P231" s="8"/>
      <c r="Q231" s="8"/>
      <c r="R231" s="8"/>
      <c r="S231" s="8"/>
      <c r="T231" s="8"/>
      <c r="U231" s="8"/>
      <c r="V231" s="8"/>
      <c r="W231" s="8"/>
    </row>
    <row r="232">
      <c r="A232" s="8"/>
      <c r="B232" s="8"/>
      <c r="C232" s="8"/>
      <c r="D232" s="8"/>
      <c r="E232" s="8"/>
      <c r="F232" s="8"/>
      <c r="G232" s="8"/>
      <c r="H232" s="8"/>
      <c r="I232" s="8"/>
      <c r="J232" s="8"/>
      <c r="K232" s="8"/>
      <c r="L232" s="8"/>
      <c r="M232" s="8"/>
      <c r="N232" s="8"/>
      <c r="O232" s="8"/>
      <c r="P232" s="8"/>
      <c r="Q232" s="8"/>
      <c r="R232" s="8"/>
      <c r="S232" s="8"/>
      <c r="T232" s="8"/>
      <c r="U232" s="8"/>
      <c r="V232" s="8"/>
      <c r="W232" s="8"/>
    </row>
    <row r="233">
      <c r="A233" s="8"/>
      <c r="B233" s="8"/>
      <c r="C233" s="8"/>
      <c r="D233" s="8"/>
      <c r="E233" s="8"/>
      <c r="F233" s="8"/>
      <c r="G233" s="8"/>
      <c r="H233" s="8"/>
      <c r="I233" s="8"/>
      <c r="J233" s="8"/>
      <c r="K233" s="8"/>
      <c r="L233" s="8"/>
      <c r="M233" s="8"/>
      <c r="N233" s="8"/>
      <c r="O233" s="8"/>
      <c r="P233" s="8"/>
      <c r="Q233" s="8"/>
      <c r="R233" s="8"/>
      <c r="S233" s="8"/>
      <c r="T233" s="8"/>
      <c r="U233" s="8"/>
      <c r="V233" s="8"/>
      <c r="W233" s="8"/>
    </row>
    <row r="234">
      <c r="A234" s="8"/>
      <c r="B234" s="8"/>
      <c r="C234" s="8"/>
      <c r="D234" s="8"/>
      <c r="E234" s="8"/>
      <c r="F234" s="8"/>
      <c r="G234" s="8"/>
      <c r="H234" s="8"/>
      <c r="I234" s="8"/>
      <c r="J234" s="8"/>
      <c r="K234" s="8"/>
      <c r="L234" s="8"/>
      <c r="M234" s="8"/>
      <c r="N234" s="8"/>
      <c r="O234" s="8"/>
      <c r="P234" s="8"/>
      <c r="Q234" s="8"/>
      <c r="R234" s="8"/>
      <c r="S234" s="8"/>
      <c r="T234" s="8"/>
      <c r="U234" s="8"/>
      <c r="V234" s="8"/>
      <c r="W234" s="8"/>
    </row>
    <row r="235">
      <c r="A235" s="8"/>
      <c r="B235" s="8"/>
      <c r="C235" s="8"/>
      <c r="D235" s="8"/>
      <c r="E235" s="8"/>
      <c r="F235" s="8"/>
      <c r="G235" s="8"/>
      <c r="H235" s="8"/>
      <c r="I235" s="8"/>
      <c r="J235" s="8"/>
      <c r="K235" s="8"/>
      <c r="L235" s="8"/>
      <c r="M235" s="8"/>
      <c r="N235" s="8"/>
      <c r="O235" s="8"/>
      <c r="P235" s="8"/>
      <c r="Q235" s="8"/>
      <c r="R235" s="8"/>
      <c r="S235" s="8"/>
      <c r="T235" s="8"/>
      <c r="U235" s="8"/>
      <c r="V235" s="8"/>
      <c r="W235" s="8"/>
    </row>
    <row r="236">
      <c r="A236" s="8"/>
      <c r="B236" s="8"/>
      <c r="C236" s="8"/>
      <c r="D236" s="8"/>
      <c r="E236" s="8"/>
      <c r="F236" s="8"/>
      <c r="G236" s="8"/>
      <c r="H236" s="8"/>
      <c r="I236" s="8"/>
      <c r="J236" s="8"/>
      <c r="K236" s="8"/>
      <c r="L236" s="8"/>
      <c r="M236" s="8"/>
      <c r="N236" s="8"/>
      <c r="O236" s="8"/>
      <c r="P236" s="8"/>
      <c r="Q236" s="8"/>
      <c r="R236" s="8"/>
      <c r="S236" s="8"/>
      <c r="T236" s="8"/>
      <c r="U236" s="8"/>
      <c r="V236" s="8"/>
      <c r="W236" s="8"/>
    </row>
    <row r="237">
      <c r="A237" s="8"/>
      <c r="B237" s="8"/>
      <c r="C237" s="8"/>
      <c r="D237" s="8"/>
      <c r="E237" s="8"/>
      <c r="F237" s="8"/>
      <c r="G237" s="8"/>
      <c r="H237" s="8"/>
      <c r="I237" s="8"/>
      <c r="J237" s="8"/>
      <c r="K237" s="8"/>
      <c r="L237" s="8"/>
      <c r="M237" s="8"/>
      <c r="N237" s="8"/>
      <c r="O237" s="8"/>
      <c r="P237" s="8"/>
      <c r="Q237" s="8"/>
      <c r="R237" s="8"/>
      <c r="S237" s="8"/>
      <c r="T237" s="8"/>
      <c r="U237" s="8"/>
      <c r="V237" s="8"/>
      <c r="W237" s="8"/>
    </row>
    <row r="238">
      <c r="A238" s="8"/>
      <c r="B238" s="8"/>
      <c r="C238" s="8"/>
      <c r="D238" s="8"/>
      <c r="E238" s="8"/>
      <c r="F238" s="8"/>
      <c r="G238" s="8"/>
      <c r="H238" s="8"/>
      <c r="I238" s="8"/>
      <c r="J238" s="8"/>
      <c r="K238" s="8"/>
      <c r="L238" s="8"/>
      <c r="M238" s="8"/>
      <c r="N238" s="8"/>
      <c r="O238" s="8"/>
      <c r="P238" s="8"/>
      <c r="Q238" s="8"/>
      <c r="R238" s="8"/>
      <c r="S238" s="8"/>
      <c r="T238" s="8"/>
      <c r="U238" s="8"/>
      <c r="V238" s="8"/>
      <c r="W238" s="8"/>
    </row>
    <row r="239">
      <c r="A239" s="8"/>
      <c r="B239" s="8"/>
      <c r="C239" s="8"/>
      <c r="D239" s="8"/>
      <c r="E239" s="8"/>
      <c r="F239" s="8"/>
      <c r="G239" s="8"/>
      <c r="H239" s="8"/>
      <c r="I239" s="8"/>
      <c r="J239" s="8"/>
      <c r="K239" s="8"/>
      <c r="L239" s="8"/>
      <c r="M239" s="8"/>
      <c r="N239" s="8"/>
      <c r="O239" s="8"/>
      <c r="P239" s="8"/>
      <c r="Q239" s="8"/>
      <c r="R239" s="8"/>
      <c r="S239" s="8"/>
      <c r="T239" s="8"/>
      <c r="U239" s="8"/>
      <c r="V239" s="8"/>
      <c r="W239" s="8"/>
    </row>
    <row r="240">
      <c r="A240" s="8"/>
      <c r="B240" s="8"/>
      <c r="C240" s="8"/>
      <c r="D240" s="8"/>
      <c r="E240" s="8"/>
      <c r="F240" s="8"/>
      <c r="G240" s="8"/>
      <c r="H240" s="8"/>
      <c r="I240" s="8"/>
      <c r="J240" s="8"/>
      <c r="K240" s="8"/>
      <c r="L240" s="8"/>
      <c r="M240" s="8"/>
      <c r="N240" s="8"/>
      <c r="O240" s="8"/>
      <c r="P240" s="8"/>
      <c r="Q240" s="8"/>
      <c r="R240" s="8"/>
      <c r="S240" s="8"/>
      <c r="T240" s="8"/>
      <c r="U240" s="8"/>
      <c r="V240" s="8"/>
      <c r="W240" s="8"/>
    </row>
    <row r="241">
      <c r="A241" s="8"/>
      <c r="B241" s="8"/>
      <c r="C241" s="8"/>
      <c r="D241" s="8"/>
      <c r="E241" s="8"/>
      <c r="F241" s="8"/>
      <c r="G241" s="8"/>
      <c r="H241" s="8"/>
      <c r="I241" s="8"/>
      <c r="J241" s="8"/>
      <c r="K241" s="8"/>
      <c r="L241" s="8"/>
      <c r="M241" s="8"/>
      <c r="N241" s="8"/>
      <c r="O241" s="8"/>
      <c r="P241" s="8"/>
      <c r="Q241" s="8"/>
      <c r="R241" s="8"/>
      <c r="S241" s="8"/>
      <c r="T241" s="8"/>
      <c r="U241" s="8"/>
      <c r="V241" s="8"/>
      <c r="W241" s="8"/>
    </row>
    <row r="242">
      <c r="A242" s="8"/>
      <c r="B242" s="8"/>
      <c r="C242" s="8"/>
      <c r="D242" s="8"/>
      <c r="E242" s="8"/>
      <c r="F242" s="8"/>
      <c r="G242" s="8"/>
      <c r="H242" s="8"/>
      <c r="I242" s="8"/>
      <c r="J242" s="8"/>
      <c r="K242" s="8"/>
      <c r="L242" s="8"/>
      <c r="M242" s="8"/>
      <c r="N242" s="8"/>
      <c r="O242" s="8"/>
      <c r="P242" s="8"/>
      <c r="Q242" s="8"/>
      <c r="R242" s="8"/>
      <c r="S242" s="8"/>
      <c r="T242" s="8"/>
      <c r="U242" s="8"/>
      <c r="V242" s="8"/>
      <c r="W242" s="8"/>
    </row>
    <row r="243">
      <c r="A243" s="8"/>
      <c r="B243" s="8"/>
      <c r="C243" s="8"/>
      <c r="D243" s="8"/>
      <c r="E243" s="8"/>
      <c r="F243" s="8"/>
      <c r="G243" s="8"/>
      <c r="H243" s="8"/>
      <c r="I243" s="8"/>
      <c r="J243" s="8"/>
      <c r="K243" s="8"/>
      <c r="L243" s="8"/>
      <c r="M243" s="8"/>
      <c r="N243" s="8"/>
      <c r="O243" s="8"/>
      <c r="P243" s="8"/>
      <c r="Q243" s="8"/>
      <c r="R243" s="8"/>
      <c r="S243" s="8"/>
      <c r="T243" s="8"/>
      <c r="U243" s="8"/>
      <c r="V243" s="8"/>
      <c r="W243" s="8"/>
    </row>
    <row r="244">
      <c r="A244" s="8"/>
      <c r="B244" s="8"/>
      <c r="C244" s="8"/>
      <c r="D244" s="8"/>
      <c r="E244" s="8"/>
      <c r="F244" s="8"/>
      <c r="G244" s="8"/>
      <c r="H244" s="8"/>
      <c r="I244" s="8"/>
      <c r="J244" s="8"/>
      <c r="K244" s="8"/>
      <c r="L244" s="8"/>
      <c r="M244" s="8"/>
      <c r="N244" s="8"/>
      <c r="O244" s="8"/>
      <c r="P244" s="8"/>
      <c r="Q244" s="8"/>
      <c r="R244" s="8"/>
      <c r="S244" s="8"/>
      <c r="T244" s="8"/>
      <c r="U244" s="8"/>
      <c r="V244" s="8"/>
      <c r="W244" s="8"/>
    </row>
    <row r="245">
      <c r="A245" s="8"/>
      <c r="B245" s="8"/>
      <c r="C245" s="8"/>
      <c r="D245" s="8"/>
      <c r="E245" s="8"/>
      <c r="F245" s="8"/>
      <c r="G245" s="8"/>
      <c r="H245" s="8"/>
      <c r="I245" s="8"/>
      <c r="J245" s="8"/>
      <c r="K245" s="8"/>
      <c r="L245" s="8"/>
      <c r="M245" s="8"/>
      <c r="N245" s="8"/>
      <c r="O245" s="8"/>
      <c r="P245" s="8"/>
      <c r="Q245" s="8"/>
      <c r="R245" s="8"/>
      <c r="S245" s="8"/>
      <c r="T245" s="8"/>
      <c r="U245" s="8"/>
      <c r="V245" s="8"/>
      <c r="W245" s="8"/>
    </row>
    <row r="246">
      <c r="A246" s="8"/>
      <c r="B246" s="8"/>
      <c r="C246" s="8"/>
      <c r="D246" s="8"/>
      <c r="E246" s="8"/>
      <c r="F246" s="8"/>
      <c r="G246" s="8"/>
      <c r="H246" s="8"/>
      <c r="I246" s="8"/>
      <c r="J246" s="8"/>
      <c r="K246" s="8"/>
      <c r="L246" s="8"/>
      <c r="M246" s="8"/>
      <c r="N246" s="8"/>
      <c r="O246" s="8"/>
      <c r="P246" s="8"/>
      <c r="Q246" s="8"/>
      <c r="R246" s="8"/>
      <c r="S246" s="8"/>
      <c r="T246" s="8"/>
      <c r="U246" s="8"/>
      <c r="V246" s="8"/>
      <c r="W246" s="8"/>
    </row>
    <row r="247">
      <c r="A247" s="8"/>
      <c r="B247" s="8"/>
      <c r="C247" s="8"/>
      <c r="D247" s="8"/>
      <c r="E247" s="8"/>
      <c r="F247" s="8"/>
      <c r="G247" s="8"/>
      <c r="H247" s="8"/>
      <c r="I247" s="8"/>
      <c r="J247" s="8"/>
      <c r="K247" s="8"/>
      <c r="L247" s="8"/>
      <c r="M247" s="8"/>
      <c r="N247" s="8"/>
      <c r="O247" s="8"/>
      <c r="P247" s="8"/>
      <c r="Q247" s="8"/>
      <c r="R247" s="8"/>
      <c r="S247" s="8"/>
      <c r="T247" s="8"/>
      <c r="U247" s="8"/>
      <c r="V247" s="8"/>
      <c r="W247" s="8"/>
    </row>
    <row r="248">
      <c r="A248" s="8"/>
      <c r="B248" s="8"/>
      <c r="C248" s="8"/>
      <c r="D248" s="8"/>
      <c r="E248" s="8"/>
      <c r="F248" s="8"/>
      <c r="G248" s="8"/>
      <c r="H248" s="8"/>
      <c r="I248" s="8"/>
      <c r="J248" s="8"/>
      <c r="K248" s="8"/>
      <c r="L248" s="8"/>
      <c r="M248" s="8"/>
      <c r="N248" s="8"/>
      <c r="O248" s="8"/>
      <c r="P248" s="8"/>
      <c r="Q248" s="8"/>
      <c r="R248" s="8"/>
      <c r="S248" s="8"/>
      <c r="T248" s="8"/>
      <c r="U248" s="8"/>
      <c r="V248" s="8"/>
      <c r="W248" s="8"/>
    </row>
    <row r="249">
      <c r="A249" s="8"/>
      <c r="B249" s="8"/>
      <c r="C249" s="8"/>
      <c r="D249" s="8"/>
      <c r="E249" s="8"/>
      <c r="F249" s="8"/>
      <c r="G249" s="8"/>
      <c r="H249" s="8"/>
      <c r="I249" s="8"/>
      <c r="J249" s="8"/>
      <c r="K249" s="8"/>
      <c r="L249" s="8"/>
      <c r="M249" s="8"/>
      <c r="N249" s="8"/>
      <c r="O249" s="8"/>
      <c r="P249" s="8"/>
      <c r="Q249" s="8"/>
      <c r="R249" s="8"/>
      <c r="S249" s="8"/>
      <c r="T249" s="8"/>
      <c r="U249" s="8"/>
      <c r="V249" s="8"/>
      <c r="W249" s="8"/>
    </row>
    <row r="250">
      <c r="A250" s="8"/>
      <c r="B250" s="8"/>
      <c r="C250" s="8"/>
      <c r="D250" s="8"/>
      <c r="E250" s="8"/>
      <c r="F250" s="8"/>
      <c r="G250" s="8"/>
      <c r="H250" s="8"/>
      <c r="I250" s="8"/>
      <c r="J250" s="8"/>
      <c r="K250" s="8"/>
      <c r="L250" s="8"/>
      <c r="M250" s="8"/>
      <c r="N250" s="8"/>
      <c r="O250" s="8"/>
      <c r="P250" s="8"/>
      <c r="Q250" s="8"/>
      <c r="R250" s="8"/>
      <c r="S250" s="8"/>
      <c r="T250" s="8"/>
      <c r="U250" s="8"/>
      <c r="V250" s="8"/>
      <c r="W250" s="8"/>
    </row>
    <row r="251">
      <c r="A251" s="8"/>
      <c r="B251" s="8"/>
      <c r="C251" s="8"/>
      <c r="D251" s="8"/>
      <c r="E251" s="8"/>
      <c r="F251" s="8"/>
      <c r="G251" s="8"/>
      <c r="H251" s="8"/>
      <c r="I251" s="8"/>
      <c r="J251" s="8"/>
      <c r="K251" s="8"/>
      <c r="L251" s="8"/>
      <c r="M251" s="8"/>
      <c r="N251" s="8"/>
      <c r="O251" s="8"/>
      <c r="P251" s="8"/>
      <c r="Q251" s="8"/>
      <c r="R251" s="8"/>
      <c r="S251" s="8"/>
      <c r="T251" s="8"/>
      <c r="U251" s="8"/>
      <c r="V251" s="8"/>
      <c r="W251" s="8"/>
    </row>
    <row r="252">
      <c r="A252" s="8"/>
      <c r="B252" s="8"/>
      <c r="C252" s="8"/>
      <c r="D252" s="8"/>
      <c r="E252" s="8"/>
      <c r="F252" s="8"/>
      <c r="G252" s="8"/>
      <c r="H252" s="8"/>
      <c r="I252" s="8"/>
      <c r="J252" s="8"/>
      <c r="K252" s="8"/>
      <c r="L252" s="8"/>
      <c r="M252" s="8"/>
      <c r="N252" s="8"/>
      <c r="O252" s="8"/>
      <c r="P252" s="8"/>
      <c r="Q252" s="8"/>
      <c r="R252" s="8"/>
      <c r="S252" s="8"/>
      <c r="T252" s="8"/>
      <c r="U252" s="8"/>
      <c r="V252" s="8"/>
      <c r="W252" s="8"/>
    </row>
    <row r="253">
      <c r="A253" s="8"/>
      <c r="B253" s="8"/>
      <c r="C253" s="8"/>
      <c r="D253" s="8"/>
      <c r="E253" s="8"/>
      <c r="F253" s="8"/>
      <c r="G253" s="8"/>
      <c r="H253" s="8"/>
      <c r="I253" s="8"/>
      <c r="J253" s="8"/>
      <c r="K253" s="8"/>
      <c r="L253" s="8"/>
      <c r="M253" s="8"/>
      <c r="N253" s="8"/>
      <c r="O253" s="8"/>
      <c r="P253" s="8"/>
      <c r="Q253" s="8"/>
      <c r="R253" s="8"/>
      <c r="S253" s="8"/>
      <c r="T253" s="8"/>
      <c r="U253" s="8"/>
      <c r="V253" s="8"/>
      <c r="W253" s="8"/>
    </row>
    <row r="254">
      <c r="A254" s="8"/>
      <c r="B254" s="8"/>
      <c r="C254" s="8"/>
      <c r="D254" s="8"/>
      <c r="E254" s="8"/>
      <c r="F254" s="8"/>
      <c r="G254" s="8"/>
      <c r="H254" s="8"/>
      <c r="I254" s="8"/>
      <c r="J254" s="8"/>
      <c r="K254" s="8"/>
      <c r="L254" s="8"/>
      <c r="M254" s="8"/>
      <c r="N254" s="8"/>
      <c r="O254" s="8"/>
      <c r="P254" s="8"/>
      <c r="Q254" s="8"/>
      <c r="R254" s="8"/>
      <c r="S254" s="8"/>
      <c r="T254" s="8"/>
      <c r="U254" s="8"/>
      <c r="V254" s="8"/>
      <c r="W254" s="8"/>
    </row>
    <row r="255">
      <c r="A255" s="8"/>
      <c r="B255" s="8"/>
      <c r="C255" s="8"/>
      <c r="D255" s="8"/>
      <c r="E255" s="8"/>
      <c r="F255" s="8"/>
      <c r="G255" s="8"/>
      <c r="H255" s="8"/>
      <c r="I255" s="8"/>
      <c r="J255" s="8"/>
      <c r="K255" s="8"/>
      <c r="L255" s="8"/>
      <c r="M255" s="8"/>
      <c r="N255" s="8"/>
      <c r="O255" s="8"/>
      <c r="P255" s="8"/>
      <c r="Q255" s="8"/>
      <c r="R255" s="8"/>
      <c r="S255" s="8"/>
      <c r="T255" s="8"/>
      <c r="U255" s="8"/>
      <c r="V255" s="8"/>
      <c r="W255" s="8"/>
    </row>
    <row r="256">
      <c r="A256" s="8"/>
      <c r="B256" s="8"/>
      <c r="C256" s="8"/>
      <c r="D256" s="8"/>
      <c r="E256" s="8"/>
      <c r="F256" s="8"/>
      <c r="G256" s="8"/>
      <c r="H256" s="8"/>
      <c r="I256" s="8"/>
      <c r="J256" s="8"/>
      <c r="K256" s="8"/>
      <c r="L256" s="8"/>
      <c r="M256" s="8"/>
      <c r="N256" s="8"/>
      <c r="O256" s="8"/>
      <c r="P256" s="8"/>
      <c r="Q256" s="8"/>
      <c r="R256" s="8"/>
      <c r="S256" s="8"/>
      <c r="T256" s="8"/>
      <c r="U256" s="8"/>
      <c r="V256" s="8"/>
      <c r="W256" s="8"/>
    </row>
    <row r="257">
      <c r="A257" s="8"/>
      <c r="B257" s="8"/>
      <c r="C257" s="8"/>
      <c r="D257" s="8"/>
      <c r="E257" s="8"/>
      <c r="F257" s="8"/>
      <c r="G257" s="8"/>
      <c r="H257" s="8"/>
      <c r="I257" s="8"/>
      <c r="J257" s="8"/>
      <c r="K257" s="8"/>
      <c r="L257" s="8"/>
      <c r="M257" s="8"/>
      <c r="N257" s="8"/>
      <c r="O257" s="8"/>
      <c r="P257" s="8"/>
      <c r="Q257" s="8"/>
      <c r="R257" s="8"/>
      <c r="S257" s="8"/>
      <c r="T257" s="8"/>
      <c r="U257" s="8"/>
      <c r="V257" s="8"/>
      <c r="W257" s="8"/>
    </row>
    <row r="258">
      <c r="A258" s="8"/>
      <c r="B258" s="8"/>
      <c r="C258" s="8"/>
      <c r="D258" s="8"/>
      <c r="E258" s="8"/>
      <c r="F258" s="8"/>
      <c r="G258" s="8"/>
      <c r="H258" s="8"/>
      <c r="I258" s="8"/>
      <c r="J258" s="8"/>
      <c r="K258" s="8"/>
      <c r="L258" s="8"/>
      <c r="M258" s="8"/>
      <c r="N258" s="8"/>
      <c r="O258" s="8"/>
      <c r="P258" s="8"/>
      <c r="Q258" s="8"/>
      <c r="R258" s="8"/>
      <c r="S258" s="8"/>
      <c r="T258" s="8"/>
      <c r="U258" s="8"/>
      <c r="V258" s="8"/>
      <c r="W258" s="8"/>
    </row>
    <row r="259">
      <c r="A259" s="8"/>
      <c r="B259" s="8"/>
      <c r="C259" s="8"/>
      <c r="D259" s="8"/>
      <c r="E259" s="8"/>
      <c r="F259" s="8"/>
      <c r="G259" s="8"/>
      <c r="H259" s="8"/>
      <c r="I259" s="8"/>
      <c r="J259" s="8"/>
      <c r="K259" s="8"/>
      <c r="L259" s="8"/>
      <c r="M259" s="8"/>
      <c r="N259" s="8"/>
      <c r="O259" s="8"/>
      <c r="P259" s="8"/>
      <c r="Q259" s="8"/>
      <c r="R259" s="8"/>
      <c r="S259" s="8"/>
      <c r="T259" s="8"/>
      <c r="U259" s="8"/>
      <c r="V259" s="8"/>
      <c r="W259" s="8"/>
    </row>
    <row r="260">
      <c r="A260" s="8"/>
      <c r="B260" s="8"/>
      <c r="C260" s="8"/>
      <c r="D260" s="8"/>
      <c r="E260" s="8"/>
      <c r="F260" s="8"/>
      <c r="G260" s="8"/>
      <c r="H260" s="8"/>
      <c r="I260" s="8"/>
      <c r="J260" s="8"/>
      <c r="K260" s="8"/>
      <c r="L260" s="8"/>
      <c r="M260" s="8"/>
      <c r="N260" s="8"/>
      <c r="O260" s="8"/>
      <c r="P260" s="8"/>
      <c r="Q260" s="8"/>
      <c r="R260" s="8"/>
      <c r="S260" s="8"/>
      <c r="T260" s="8"/>
      <c r="U260" s="8"/>
      <c r="V260" s="8"/>
      <c r="W260" s="8"/>
    </row>
    <row r="261">
      <c r="A261" s="8"/>
      <c r="B261" s="8"/>
      <c r="C261" s="8"/>
      <c r="D261" s="8"/>
      <c r="E261" s="8"/>
      <c r="F261" s="8"/>
      <c r="G261" s="8"/>
      <c r="H261" s="8"/>
      <c r="I261" s="8"/>
      <c r="J261" s="8"/>
      <c r="K261" s="8"/>
      <c r="L261" s="8"/>
      <c r="M261" s="8"/>
      <c r="N261" s="8"/>
      <c r="O261" s="8"/>
      <c r="P261" s="8"/>
      <c r="Q261" s="8"/>
      <c r="R261" s="8"/>
      <c r="S261" s="8"/>
      <c r="T261" s="8"/>
      <c r="U261" s="8"/>
      <c r="V261" s="8"/>
      <c r="W261" s="8"/>
    </row>
    <row r="262">
      <c r="A262" s="8"/>
      <c r="B262" s="8"/>
      <c r="C262" s="8"/>
      <c r="D262" s="8"/>
      <c r="E262" s="8"/>
      <c r="F262" s="8"/>
      <c r="G262" s="8"/>
      <c r="H262" s="8"/>
      <c r="I262" s="8"/>
      <c r="J262" s="8"/>
      <c r="K262" s="8"/>
      <c r="L262" s="8"/>
      <c r="M262" s="8"/>
      <c r="N262" s="8"/>
      <c r="O262" s="8"/>
      <c r="P262" s="8"/>
      <c r="Q262" s="8"/>
      <c r="R262" s="8"/>
      <c r="S262" s="8"/>
      <c r="T262" s="8"/>
      <c r="U262" s="8"/>
      <c r="V262" s="8"/>
      <c r="W262" s="8"/>
    </row>
    <row r="263">
      <c r="A263" s="8"/>
      <c r="B263" s="8"/>
      <c r="C263" s="8"/>
      <c r="D263" s="8"/>
      <c r="E263" s="8"/>
      <c r="F263" s="8"/>
      <c r="G263" s="8"/>
      <c r="H263" s="8"/>
      <c r="I263" s="8"/>
      <c r="J263" s="8"/>
      <c r="K263" s="8"/>
      <c r="L263" s="8"/>
      <c r="M263" s="8"/>
      <c r="N263" s="8"/>
      <c r="O263" s="8"/>
      <c r="P263" s="8"/>
      <c r="Q263" s="8"/>
      <c r="R263" s="8"/>
      <c r="S263" s="8"/>
      <c r="T263" s="8"/>
      <c r="U263" s="8"/>
      <c r="V263" s="8"/>
      <c r="W263" s="8"/>
    </row>
    <row r="264">
      <c r="A264" s="8"/>
      <c r="B264" s="8"/>
      <c r="C264" s="8"/>
      <c r="D264" s="8"/>
      <c r="E264" s="8"/>
      <c r="F264" s="8"/>
      <c r="G264" s="8"/>
      <c r="H264" s="8"/>
      <c r="I264" s="8"/>
      <c r="J264" s="8"/>
      <c r="K264" s="8"/>
      <c r="L264" s="8"/>
      <c r="M264" s="8"/>
      <c r="N264" s="8"/>
      <c r="O264" s="8"/>
      <c r="P264" s="8"/>
      <c r="Q264" s="8"/>
      <c r="R264" s="8"/>
      <c r="S264" s="8"/>
      <c r="T264" s="8"/>
      <c r="U264" s="8"/>
      <c r="V264" s="8"/>
      <c r="W264" s="8"/>
    </row>
    <row r="265">
      <c r="A265" s="8"/>
      <c r="B265" s="8"/>
      <c r="C265" s="8"/>
      <c r="D265" s="8"/>
      <c r="E265" s="8"/>
      <c r="F265" s="8"/>
      <c r="G265" s="8"/>
      <c r="H265" s="8"/>
      <c r="I265" s="8"/>
      <c r="J265" s="8"/>
      <c r="K265" s="8"/>
      <c r="L265" s="8"/>
      <c r="M265" s="8"/>
      <c r="N265" s="8"/>
      <c r="O265" s="8"/>
      <c r="P265" s="8"/>
      <c r="Q265" s="8"/>
      <c r="R265" s="8"/>
      <c r="S265" s="8"/>
      <c r="T265" s="8"/>
      <c r="U265" s="8"/>
      <c r="V265" s="8"/>
      <c r="W265" s="8"/>
    </row>
    <row r="266">
      <c r="A266" s="8"/>
      <c r="B266" s="8"/>
      <c r="C266" s="8"/>
      <c r="D266" s="8"/>
      <c r="E266" s="8"/>
      <c r="F266" s="8"/>
      <c r="G266" s="8"/>
      <c r="H266" s="8"/>
      <c r="I266" s="8"/>
      <c r="J266" s="8"/>
      <c r="K266" s="8"/>
      <c r="L266" s="8"/>
      <c r="M266" s="8"/>
      <c r="N266" s="8"/>
      <c r="O266" s="8"/>
      <c r="P266" s="8"/>
      <c r="Q266" s="8"/>
      <c r="R266" s="8"/>
      <c r="S266" s="8"/>
      <c r="T266" s="8"/>
      <c r="U266" s="8"/>
      <c r="V266" s="8"/>
      <c r="W266" s="8"/>
    </row>
    <row r="267">
      <c r="A267" s="8"/>
      <c r="B267" s="8"/>
      <c r="C267" s="8"/>
      <c r="D267" s="8"/>
      <c r="E267" s="8"/>
      <c r="F267" s="8"/>
      <c r="G267" s="8"/>
      <c r="H267" s="8"/>
      <c r="I267" s="8"/>
      <c r="J267" s="8"/>
      <c r="K267" s="8"/>
      <c r="L267" s="8"/>
      <c r="M267" s="8"/>
      <c r="N267" s="8"/>
      <c r="O267" s="8"/>
      <c r="P267" s="8"/>
      <c r="Q267" s="8"/>
      <c r="R267" s="8"/>
      <c r="S267" s="8"/>
      <c r="T267" s="8"/>
      <c r="U267" s="8"/>
      <c r="V267" s="8"/>
      <c r="W267" s="8"/>
    </row>
    <row r="268">
      <c r="A268" s="8"/>
      <c r="B268" s="8"/>
      <c r="C268" s="8"/>
      <c r="D268" s="8"/>
      <c r="E268" s="8"/>
      <c r="F268" s="8"/>
      <c r="G268" s="8"/>
      <c r="H268" s="8"/>
      <c r="I268" s="8"/>
      <c r="J268" s="8"/>
      <c r="K268" s="8"/>
      <c r="L268" s="8"/>
      <c r="M268" s="8"/>
      <c r="N268" s="8"/>
      <c r="O268" s="8"/>
      <c r="P268" s="8"/>
      <c r="Q268" s="8"/>
      <c r="R268" s="8"/>
      <c r="S268" s="8"/>
      <c r="T268" s="8"/>
      <c r="U268" s="8"/>
      <c r="V268" s="8"/>
      <c r="W268" s="8"/>
    </row>
    <row r="269">
      <c r="A269" s="8"/>
      <c r="B269" s="8"/>
      <c r="C269" s="8"/>
      <c r="D269" s="8"/>
      <c r="E269" s="8"/>
      <c r="F269" s="8"/>
      <c r="G269" s="8"/>
      <c r="H269" s="8"/>
      <c r="I269" s="8"/>
      <c r="J269" s="8"/>
      <c r="K269" s="8"/>
      <c r="L269" s="8"/>
      <c r="M269" s="8"/>
      <c r="N269" s="8"/>
      <c r="O269" s="8"/>
      <c r="P269" s="8"/>
      <c r="Q269" s="8"/>
      <c r="R269" s="8"/>
      <c r="S269" s="8"/>
      <c r="T269" s="8"/>
      <c r="U269" s="8"/>
      <c r="V269" s="8"/>
      <c r="W269" s="8"/>
    </row>
    <row r="270">
      <c r="A270" s="8"/>
      <c r="B270" s="8"/>
      <c r="C270" s="8"/>
      <c r="D270" s="8"/>
      <c r="E270" s="8"/>
      <c r="F270" s="8"/>
      <c r="G270" s="8"/>
      <c r="H270" s="8"/>
      <c r="I270" s="8"/>
      <c r="J270" s="8"/>
      <c r="K270" s="8"/>
      <c r="L270" s="8"/>
      <c r="M270" s="8"/>
      <c r="N270" s="8"/>
      <c r="O270" s="8"/>
      <c r="P270" s="8"/>
      <c r="Q270" s="8"/>
      <c r="R270" s="8"/>
      <c r="S270" s="8"/>
      <c r="T270" s="8"/>
      <c r="U270" s="8"/>
      <c r="V270" s="8"/>
      <c r="W270" s="8"/>
    </row>
    <row r="271">
      <c r="A271" s="8"/>
      <c r="B271" s="8"/>
      <c r="C271" s="8"/>
      <c r="D271" s="8"/>
      <c r="E271" s="8"/>
      <c r="F271" s="8"/>
      <c r="G271" s="8"/>
      <c r="H271" s="8"/>
      <c r="I271" s="8"/>
      <c r="J271" s="8"/>
      <c r="K271" s="8"/>
      <c r="L271" s="8"/>
      <c r="M271" s="8"/>
      <c r="N271" s="8"/>
      <c r="O271" s="8"/>
      <c r="P271" s="8"/>
      <c r="Q271" s="8"/>
      <c r="R271" s="8"/>
      <c r="S271" s="8"/>
      <c r="T271" s="8"/>
      <c r="U271" s="8"/>
      <c r="V271" s="8"/>
      <c r="W271" s="8"/>
    </row>
    <row r="272">
      <c r="A272" s="8"/>
      <c r="B272" s="8"/>
      <c r="C272" s="8"/>
      <c r="D272" s="8"/>
      <c r="E272" s="8"/>
      <c r="F272" s="8"/>
      <c r="G272" s="8"/>
      <c r="H272" s="8"/>
      <c r="I272" s="8"/>
      <c r="J272" s="8"/>
      <c r="K272" s="8"/>
      <c r="L272" s="8"/>
      <c r="M272" s="8"/>
      <c r="N272" s="8"/>
      <c r="O272" s="8"/>
      <c r="P272" s="8"/>
      <c r="Q272" s="8"/>
      <c r="R272" s="8"/>
      <c r="S272" s="8"/>
      <c r="T272" s="8"/>
      <c r="U272" s="8"/>
      <c r="V272" s="8"/>
      <c r="W272" s="8"/>
    </row>
    <row r="273">
      <c r="A273" s="8"/>
      <c r="B273" s="8"/>
      <c r="C273" s="8"/>
      <c r="D273" s="8"/>
      <c r="E273" s="8"/>
      <c r="F273" s="8"/>
      <c r="G273" s="8"/>
      <c r="H273" s="8"/>
      <c r="I273" s="8"/>
      <c r="J273" s="8"/>
      <c r="K273" s="8"/>
      <c r="L273" s="8"/>
      <c r="M273" s="8"/>
      <c r="N273" s="8"/>
      <c r="O273" s="8"/>
      <c r="P273" s="8"/>
      <c r="Q273" s="8"/>
      <c r="R273" s="8"/>
      <c r="S273" s="8"/>
      <c r="T273" s="8"/>
      <c r="U273" s="8"/>
      <c r="V273" s="8"/>
      <c r="W273" s="8"/>
    </row>
    <row r="274">
      <c r="A274" s="8"/>
      <c r="B274" s="8"/>
      <c r="C274" s="8"/>
      <c r="D274" s="8"/>
      <c r="E274" s="8"/>
      <c r="F274" s="8"/>
      <c r="G274" s="8"/>
      <c r="H274" s="8"/>
      <c r="I274" s="8"/>
      <c r="J274" s="8"/>
      <c r="K274" s="8"/>
      <c r="L274" s="8"/>
      <c r="M274" s="8"/>
      <c r="N274" s="8"/>
      <c r="O274" s="8"/>
      <c r="P274" s="8"/>
      <c r="Q274" s="8"/>
      <c r="R274" s="8"/>
      <c r="S274" s="8"/>
      <c r="T274" s="8"/>
      <c r="U274" s="8"/>
      <c r="V274" s="8"/>
      <c r="W274" s="8"/>
    </row>
    <row r="275">
      <c r="A275" s="8"/>
      <c r="B275" s="8"/>
      <c r="C275" s="8"/>
      <c r="D275" s="8"/>
      <c r="E275" s="8"/>
      <c r="F275" s="8"/>
      <c r="G275" s="8"/>
      <c r="H275" s="8"/>
      <c r="I275" s="8"/>
      <c r="J275" s="8"/>
      <c r="K275" s="8"/>
      <c r="L275" s="8"/>
      <c r="M275" s="8"/>
      <c r="N275" s="8"/>
      <c r="O275" s="8"/>
      <c r="P275" s="8"/>
      <c r="Q275" s="8"/>
      <c r="R275" s="8"/>
      <c r="S275" s="8"/>
      <c r="T275" s="8"/>
      <c r="U275" s="8"/>
      <c r="V275" s="8"/>
      <c r="W275" s="8"/>
    </row>
    <row r="276">
      <c r="A276" s="8"/>
      <c r="B276" s="8"/>
      <c r="C276" s="8"/>
      <c r="D276" s="8"/>
      <c r="E276" s="8"/>
      <c r="F276" s="8"/>
      <c r="G276" s="8"/>
      <c r="H276" s="8"/>
      <c r="I276" s="8"/>
      <c r="J276" s="8"/>
      <c r="K276" s="8"/>
      <c r="L276" s="8"/>
      <c r="M276" s="8"/>
      <c r="N276" s="8"/>
      <c r="O276" s="8"/>
      <c r="P276" s="8"/>
      <c r="Q276" s="8"/>
      <c r="R276" s="8"/>
      <c r="S276" s="8"/>
      <c r="T276" s="8"/>
      <c r="U276" s="8"/>
      <c r="V276" s="8"/>
      <c r="W276" s="8"/>
    </row>
    <row r="277">
      <c r="A277" s="8"/>
      <c r="B277" s="8"/>
      <c r="C277" s="8"/>
      <c r="D277" s="8"/>
      <c r="E277" s="8"/>
      <c r="F277" s="8"/>
      <c r="G277" s="8"/>
      <c r="H277" s="8"/>
      <c r="I277" s="8"/>
      <c r="J277" s="8"/>
      <c r="K277" s="8"/>
      <c r="L277" s="8"/>
      <c r="M277" s="8"/>
      <c r="N277" s="8"/>
      <c r="O277" s="8"/>
      <c r="P277" s="8"/>
      <c r="Q277" s="8"/>
      <c r="R277" s="8"/>
      <c r="S277" s="8"/>
      <c r="T277" s="8"/>
      <c r="U277" s="8"/>
      <c r="V277" s="8"/>
      <c r="W277" s="8"/>
    </row>
    <row r="278">
      <c r="A278" s="8"/>
      <c r="B278" s="8"/>
      <c r="C278" s="8"/>
      <c r="D278" s="8"/>
      <c r="E278" s="8"/>
      <c r="F278" s="8"/>
      <c r="G278" s="8"/>
      <c r="H278" s="8"/>
      <c r="I278" s="8"/>
      <c r="J278" s="8"/>
      <c r="K278" s="8"/>
      <c r="L278" s="8"/>
      <c r="M278" s="8"/>
      <c r="N278" s="8"/>
      <c r="O278" s="8"/>
      <c r="P278" s="8"/>
      <c r="Q278" s="8"/>
      <c r="R278" s="8"/>
      <c r="S278" s="8"/>
      <c r="T278" s="8"/>
      <c r="U278" s="8"/>
      <c r="V278" s="8"/>
      <c r="W278" s="8"/>
    </row>
    <row r="279">
      <c r="A279" s="8"/>
      <c r="B279" s="8"/>
      <c r="C279" s="8"/>
      <c r="D279" s="8"/>
      <c r="E279" s="8"/>
      <c r="F279" s="8"/>
      <c r="G279" s="8"/>
      <c r="H279" s="8"/>
      <c r="I279" s="8"/>
      <c r="J279" s="8"/>
      <c r="K279" s="8"/>
      <c r="L279" s="8"/>
      <c r="M279" s="8"/>
      <c r="N279" s="8"/>
      <c r="O279" s="8"/>
      <c r="P279" s="8"/>
      <c r="Q279" s="8"/>
      <c r="R279" s="8"/>
      <c r="S279" s="8"/>
      <c r="T279" s="8"/>
      <c r="U279" s="8"/>
      <c r="V279" s="8"/>
      <c r="W279" s="8"/>
    </row>
    <row r="280">
      <c r="A280" s="8"/>
      <c r="B280" s="8"/>
      <c r="C280" s="8"/>
      <c r="D280" s="8"/>
      <c r="E280" s="8"/>
      <c r="F280" s="8"/>
      <c r="G280" s="8"/>
      <c r="H280" s="8"/>
      <c r="I280" s="8"/>
      <c r="J280" s="8"/>
      <c r="K280" s="8"/>
      <c r="L280" s="8"/>
      <c r="M280" s="8"/>
      <c r="N280" s="8"/>
      <c r="O280" s="8"/>
      <c r="P280" s="8"/>
      <c r="Q280" s="8"/>
      <c r="R280" s="8"/>
      <c r="S280" s="8"/>
      <c r="T280" s="8"/>
      <c r="U280" s="8"/>
      <c r="V280" s="8"/>
      <c r="W280" s="8"/>
    </row>
    <row r="281">
      <c r="A281" s="8"/>
      <c r="B281" s="8"/>
      <c r="C281" s="8"/>
      <c r="D281" s="8"/>
      <c r="E281" s="8"/>
      <c r="F281" s="8"/>
      <c r="G281" s="8"/>
      <c r="H281" s="8"/>
      <c r="I281" s="8"/>
      <c r="J281" s="8"/>
      <c r="K281" s="8"/>
      <c r="L281" s="8"/>
      <c r="M281" s="8"/>
      <c r="N281" s="8"/>
      <c r="O281" s="8"/>
      <c r="P281" s="8"/>
      <c r="Q281" s="8"/>
      <c r="R281" s="8"/>
      <c r="S281" s="8"/>
      <c r="T281" s="8"/>
      <c r="U281" s="8"/>
      <c r="V281" s="8"/>
      <c r="W281" s="8"/>
    </row>
    <row r="282">
      <c r="A282" s="8"/>
      <c r="B282" s="8"/>
      <c r="C282" s="8"/>
      <c r="D282" s="8"/>
      <c r="E282" s="8"/>
      <c r="F282" s="8"/>
      <c r="G282" s="8"/>
      <c r="H282" s="8"/>
      <c r="I282" s="8"/>
      <c r="J282" s="8"/>
      <c r="K282" s="8"/>
      <c r="L282" s="8"/>
      <c r="M282" s="8"/>
      <c r="N282" s="8"/>
      <c r="O282" s="8"/>
      <c r="P282" s="8"/>
      <c r="Q282" s="8"/>
      <c r="R282" s="8"/>
      <c r="S282" s="8"/>
      <c r="T282" s="8"/>
      <c r="U282" s="8"/>
      <c r="V282" s="8"/>
      <c r="W282" s="8"/>
    </row>
    <row r="283">
      <c r="A283" s="8"/>
      <c r="B283" s="8"/>
      <c r="C283" s="8"/>
      <c r="D283" s="8"/>
      <c r="E283" s="8"/>
      <c r="F283" s="8"/>
      <c r="G283" s="8"/>
      <c r="H283" s="8"/>
      <c r="I283" s="8"/>
      <c r="J283" s="8"/>
      <c r="K283" s="8"/>
      <c r="L283" s="8"/>
      <c r="M283" s="8"/>
      <c r="N283" s="8"/>
      <c r="O283" s="8"/>
      <c r="P283" s="8"/>
      <c r="Q283" s="8"/>
      <c r="R283" s="8"/>
      <c r="S283" s="8"/>
      <c r="T283" s="8"/>
      <c r="U283" s="8"/>
      <c r="V283" s="8"/>
      <c r="W283" s="8"/>
    </row>
    <row r="284">
      <c r="A284" s="8"/>
      <c r="B284" s="8"/>
      <c r="C284" s="8"/>
      <c r="D284" s="8"/>
      <c r="E284" s="8"/>
      <c r="F284" s="8"/>
      <c r="G284" s="8"/>
      <c r="H284" s="8"/>
      <c r="I284" s="8"/>
      <c r="J284" s="8"/>
      <c r="K284" s="8"/>
      <c r="L284" s="8"/>
      <c r="M284" s="8"/>
      <c r="N284" s="8"/>
      <c r="O284" s="8"/>
      <c r="P284" s="8"/>
      <c r="Q284" s="8"/>
      <c r="R284" s="8"/>
      <c r="S284" s="8"/>
      <c r="T284" s="8"/>
      <c r="U284" s="8"/>
      <c r="V284" s="8"/>
      <c r="W284" s="8"/>
    </row>
    <row r="285">
      <c r="A285" s="8"/>
      <c r="B285" s="8"/>
      <c r="C285" s="8"/>
      <c r="D285" s="8"/>
      <c r="E285" s="8"/>
      <c r="F285" s="8"/>
      <c r="G285" s="8"/>
      <c r="H285" s="8"/>
      <c r="I285" s="8"/>
      <c r="J285" s="8"/>
      <c r="K285" s="8"/>
      <c r="L285" s="8"/>
      <c r="M285" s="8"/>
      <c r="N285" s="8"/>
      <c r="O285" s="8"/>
      <c r="P285" s="8"/>
      <c r="Q285" s="8"/>
      <c r="R285" s="8"/>
      <c r="S285" s="8"/>
      <c r="T285" s="8"/>
      <c r="U285" s="8"/>
      <c r="V285" s="8"/>
      <c r="W285" s="8"/>
    </row>
    <row r="286">
      <c r="A286" s="8"/>
      <c r="B286" s="8"/>
      <c r="C286" s="8"/>
      <c r="D286" s="8"/>
      <c r="E286" s="8"/>
      <c r="F286" s="8"/>
      <c r="G286" s="8"/>
      <c r="H286" s="8"/>
      <c r="I286" s="8"/>
      <c r="J286" s="8"/>
      <c r="K286" s="8"/>
      <c r="L286" s="8"/>
      <c r="M286" s="8"/>
      <c r="N286" s="8"/>
      <c r="O286" s="8"/>
      <c r="P286" s="8"/>
      <c r="Q286" s="8"/>
      <c r="R286" s="8"/>
      <c r="S286" s="8"/>
      <c r="T286" s="8"/>
      <c r="U286" s="8"/>
      <c r="V286" s="8"/>
      <c r="W286" s="8"/>
    </row>
    <row r="287">
      <c r="A287" s="8"/>
      <c r="B287" s="8"/>
      <c r="C287" s="8"/>
      <c r="D287" s="8"/>
      <c r="E287" s="8"/>
      <c r="F287" s="8"/>
      <c r="G287" s="8"/>
      <c r="H287" s="8"/>
      <c r="I287" s="8"/>
      <c r="J287" s="8"/>
      <c r="K287" s="8"/>
      <c r="L287" s="8"/>
      <c r="M287" s="8"/>
      <c r="N287" s="8"/>
      <c r="O287" s="8"/>
      <c r="P287" s="8"/>
      <c r="Q287" s="8"/>
      <c r="R287" s="8"/>
      <c r="S287" s="8"/>
      <c r="T287" s="8"/>
      <c r="U287" s="8"/>
      <c r="V287" s="8"/>
      <c r="W287" s="8"/>
    </row>
    <row r="288">
      <c r="A288" s="8"/>
      <c r="B288" s="8"/>
      <c r="C288" s="8"/>
      <c r="D288" s="8"/>
      <c r="E288" s="8"/>
      <c r="F288" s="8"/>
      <c r="G288" s="8"/>
      <c r="H288" s="8"/>
      <c r="I288" s="8"/>
      <c r="J288" s="8"/>
      <c r="K288" s="8"/>
      <c r="L288" s="8"/>
      <c r="M288" s="8"/>
      <c r="N288" s="8"/>
      <c r="O288" s="8"/>
      <c r="P288" s="8"/>
      <c r="Q288" s="8"/>
      <c r="R288" s="8"/>
      <c r="S288" s="8"/>
      <c r="T288" s="8"/>
      <c r="U288" s="8"/>
      <c r="V288" s="8"/>
      <c r="W288" s="8"/>
    </row>
    <row r="289">
      <c r="A289" s="8"/>
      <c r="B289" s="8"/>
      <c r="C289" s="8"/>
      <c r="D289" s="8"/>
      <c r="E289" s="8"/>
      <c r="F289" s="8"/>
      <c r="G289" s="8"/>
      <c r="H289" s="8"/>
      <c r="I289" s="8"/>
      <c r="J289" s="8"/>
      <c r="K289" s="8"/>
      <c r="L289" s="8"/>
      <c r="M289" s="8"/>
      <c r="N289" s="8"/>
      <c r="O289" s="8"/>
      <c r="P289" s="8"/>
      <c r="Q289" s="8"/>
      <c r="R289" s="8"/>
      <c r="S289" s="8"/>
      <c r="T289" s="8"/>
      <c r="U289" s="8"/>
      <c r="V289" s="8"/>
      <c r="W289" s="8"/>
    </row>
    <row r="290">
      <c r="A290" s="8"/>
      <c r="B290" s="8"/>
      <c r="C290" s="8"/>
      <c r="D290" s="8"/>
      <c r="E290" s="8"/>
      <c r="F290" s="8"/>
      <c r="G290" s="8"/>
      <c r="H290" s="8"/>
      <c r="I290" s="8"/>
      <c r="J290" s="8"/>
      <c r="K290" s="8"/>
      <c r="L290" s="8"/>
      <c r="M290" s="8"/>
      <c r="N290" s="8"/>
      <c r="O290" s="8"/>
      <c r="P290" s="8"/>
      <c r="Q290" s="8"/>
      <c r="R290" s="8"/>
      <c r="S290" s="8"/>
      <c r="T290" s="8"/>
      <c r="U290" s="8"/>
      <c r="V290" s="8"/>
      <c r="W290" s="8"/>
    </row>
    <row r="291">
      <c r="A291" s="8"/>
      <c r="B291" s="8"/>
      <c r="C291" s="8"/>
      <c r="D291" s="8"/>
      <c r="E291" s="8"/>
      <c r="F291" s="8"/>
      <c r="G291" s="8"/>
      <c r="H291" s="8"/>
      <c r="I291" s="8"/>
      <c r="J291" s="8"/>
      <c r="K291" s="8"/>
      <c r="L291" s="8"/>
      <c r="M291" s="8"/>
      <c r="N291" s="8"/>
      <c r="O291" s="8"/>
      <c r="P291" s="8"/>
      <c r="Q291" s="8"/>
      <c r="R291" s="8"/>
      <c r="S291" s="8"/>
      <c r="T291" s="8"/>
      <c r="U291" s="8"/>
      <c r="V291" s="8"/>
      <c r="W291" s="8"/>
    </row>
    <row r="292">
      <c r="A292" s="8"/>
      <c r="B292" s="8"/>
      <c r="C292" s="8"/>
      <c r="D292" s="8"/>
      <c r="E292" s="8"/>
      <c r="F292" s="8"/>
      <c r="G292" s="8"/>
      <c r="H292" s="8"/>
      <c r="I292" s="8"/>
      <c r="J292" s="8"/>
      <c r="K292" s="8"/>
      <c r="L292" s="8"/>
      <c r="M292" s="8"/>
      <c r="N292" s="8"/>
      <c r="O292" s="8"/>
      <c r="P292" s="8"/>
      <c r="Q292" s="8"/>
      <c r="R292" s="8"/>
      <c r="S292" s="8"/>
      <c r="T292" s="8"/>
      <c r="U292" s="8"/>
      <c r="V292" s="8"/>
      <c r="W292" s="8"/>
    </row>
    <row r="293">
      <c r="A293" s="8"/>
      <c r="B293" s="8"/>
      <c r="C293" s="8"/>
      <c r="D293" s="8"/>
      <c r="E293" s="8"/>
      <c r="F293" s="8"/>
      <c r="G293" s="8"/>
      <c r="H293" s="8"/>
      <c r="I293" s="8"/>
      <c r="J293" s="8"/>
      <c r="K293" s="8"/>
      <c r="L293" s="8"/>
      <c r="M293" s="8"/>
      <c r="N293" s="8"/>
      <c r="O293" s="8"/>
      <c r="P293" s="8"/>
      <c r="Q293" s="8"/>
      <c r="R293" s="8"/>
      <c r="S293" s="8"/>
      <c r="T293" s="8"/>
      <c r="U293" s="8"/>
      <c r="V293" s="8"/>
      <c r="W293" s="8"/>
    </row>
    <row r="294">
      <c r="A294" s="8"/>
      <c r="B294" s="8"/>
      <c r="C294" s="8"/>
      <c r="D294" s="8"/>
      <c r="E294" s="8"/>
      <c r="F294" s="8"/>
      <c r="G294" s="8"/>
      <c r="H294" s="8"/>
      <c r="I294" s="8"/>
      <c r="J294" s="8"/>
      <c r="K294" s="8"/>
      <c r="L294" s="8"/>
      <c r="M294" s="8"/>
      <c r="N294" s="8"/>
      <c r="O294" s="8"/>
      <c r="P294" s="8"/>
      <c r="Q294" s="8"/>
      <c r="R294" s="8"/>
      <c r="S294" s="8"/>
      <c r="T294" s="8"/>
      <c r="U294" s="8"/>
      <c r="V294" s="8"/>
      <c r="W294" s="8"/>
    </row>
    <row r="295">
      <c r="A295" s="8"/>
      <c r="B295" s="8"/>
      <c r="C295" s="8"/>
      <c r="D295" s="8"/>
      <c r="E295" s="8"/>
      <c r="F295" s="8"/>
      <c r="G295" s="8"/>
      <c r="H295" s="8"/>
      <c r="I295" s="8"/>
      <c r="J295" s="8"/>
      <c r="K295" s="8"/>
      <c r="L295" s="8"/>
      <c r="M295" s="8"/>
      <c r="N295" s="8"/>
      <c r="O295" s="8"/>
      <c r="P295" s="8"/>
      <c r="Q295" s="8"/>
      <c r="R295" s="8"/>
      <c r="S295" s="8"/>
      <c r="T295" s="8"/>
      <c r="U295" s="8"/>
      <c r="V295" s="8"/>
      <c r="W295" s="8"/>
    </row>
    <row r="296">
      <c r="A296" s="8"/>
      <c r="B296" s="8"/>
      <c r="C296" s="8"/>
      <c r="D296" s="8"/>
      <c r="E296" s="8"/>
      <c r="F296" s="8"/>
      <c r="G296" s="8"/>
      <c r="H296" s="8"/>
      <c r="I296" s="8"/>
      <c r="J296" s="8"/>
      <c r="K296" s="8"/>
      <c r="L296" s="8"/>
      <c r="M296" s="8"/>
      <c r="N296" s="8"/>
      <c r="O296" s="8"/>
      <c r="P296" s="8"/>
      <c r="Q296" s="8"/>
      <c r="R296" s="8"/>
      <c r="S296" s="8"/>
      <c r="T296" s="8"/>
      <c r="U296" s="8"/>
      <c r="V296" s="8"/>
      <c r="W296" s="8"/>
    </row>
    <row r="297">
      <c r="A297" s="8"/>
      <c r="B297" s="8"/>
      <c r="C297" s="8"/>
      <c r="D297" s="8"/>
      <c r="E297" s="8"/>
      <c r="F297" s="8"/>
      <c r="G297" s="8"/>
      <c r="H297" s="8"/>
      <c r="I297" s="8"/>
      <c r="J297" s="8"/>
      <c r="K297" s="8"/>
      <c r="L297" s="8"/>
      <c r="M297" s="8"/>
      <c r="N297" s="8"/>
      <c r="O297" s="8"/>
      <c r="P297" s="8"/>
      <c r="Q297" s="8"/>
      <c r="R297" s="8"/>
      <c r="S297" s="8"/>
      <c r="T297" s="8"/>
      <c r="U297" s="8"/>
      <c r="V297" s="8"/>
      <c r="W297" s="8"/>
    </row>
    <row r="298">
      <c r="A298" s="8"/>
      <c r="B298" s="8"/>
      <c r="C298" s="8"/>
      <c r="D298" s="8"/>
      <c r="E298" s="8"/>
      <c r="F298" s="8"/>
      <c r="G298" s="8"/>
      <c r="H298" s="8"/>
      <c r="I298" s="8"/>
      <c r="J298" s="8"/>
      <c r="K298" s="8"/>
      <c r="L298" s="8"/>
      <c r="M298" s="8"/>
      <c r="N298" s="8"/>
      <c r="O298" s="8"/>
      <c r="P298" s="8"/>
      <c r="Q298" s="8"/>
      <c r="R298" s="8"/>
      <c r="S298" s="8"/>
      <c r="T298" s="8"/>
      <c r="U298" s="8"/>
      <c r="V298" s="8"/>
      <c r="W298" s="8"/>
    </row>
    <row r="299">
      <c r="A299" s="8"/>
      <c r="B299" s="8"/>
      <c r="C299" s="8"/>
      <c r="D299" s="8"/>
      <c r="E299" s="8"/>
      <c r="F299" s="8"/>
      <c r="G299" s="8"/>
      <c r="H299" s="8"/>
      <c r="I299" s="8"/>
      <c r="J299" s="8"/>
      <c r="K299" s="8"/>
      <c r="L299" s="8"/>
      <c r="M299" s="8"/>
      <c r="N299" s="8"/>
      <c r="O299" s="8"/>
      <c r="P299" s="8"/>
      <c r="Q299" s="8"/>
      <c r="R299" s="8"/>
      <c r="S299" s="8"/>
      <c r="T299" s="8"/>
      <c r="U299" s="8"/>
      <c r="V299" s="8"/>
      <c r="W299" s="8"/>
    </row>
    <row r="300">
      <c r="A300" s="8"/>
      <c r="B300" s="8"/>
      <c r="C300" s="8"/>
      <c r="D300" s="8"/>
      <c r="E300" s="8"/>
      <c r="F300" s="8"/>
      <c r="G300" s="8"/>
      <c r="H300" s="8"/>
      <c r="I300" s="8"/>
      <c r="J300" s="8"/>
      <c r="K300" s="8"/>
      <c r="L300" s="8"/>
      <c r="M300" s="8"/>
      <c r="N300" s="8"/>
      <c r="O300" s="8"/>
      <c r="P300" s="8"/>
      <c r="Q300" s="8"/>
      <c r="R300" s="8"/>
      <c r="S300" s="8"/>
      <c r="T300" s="8"/>
      <c r="U300" s="8"/>
      <c r="V300" s="8"/>
      <c r="W300" s="8"/>
    </row>
    <row r="301">
      <c r="A301" s="8"/>
      <c r="B301" s="8"/>
      <c r="C301" s="8"/>
      <c r="D301" s="8"/>
      <c r="E301" s="8"/>
      <c r="F301" s="8"/>
      <c r="G301" s="8"/>
      <c r="H301" s="8"/>
      <c r="I301" s="8"/>
      <c r="J301" s="8"/>
      <c r="K301" s="8"/>
      <c r="L301" s="8"/>
      <c r="M301" s="8"/>
      <c r="N301" s="8"/>
      <c r="O301" s="8"/>
      <c r="P301" s="8"/>
      <c r="Q301" s="8"/>
      <c r="R301" s="8"/>
      <c r="S301" s="8"/>
      <c r="T301" s="8"/>
      <c r="U301" s="8"/>
      <c r="V301" s="8"/>
      <c r="W301" s="8"/>
    </row>
    <row r="302">
      <c r="A302" s="8"/>
      <c r="B302" s="8"/>
      <c r="C302" s="8"/>
      <c r="D302" s="8"/>
      <c r="E302" s="8"/>
      <c r="F302" s="8"/>
      <c r="G302" s="8"/>
      <c r="H302" s="8"/>
      <c r="I302" s="8"/>
      <c r="J302" s="8"/>
      <c r="K302" s="8"/>
      <c r="L302" s="8"/>
      <c r="M302" s="8"/>
      <c r="N302" s="8"/>
      <c r="O302" s="8"/>
      <c r="P302" s="8"/>
      <c r="Q302" s="8"/>
      <c r="R302" s="8"/>
      <c r="S302" s="8"/>
      <c r="T302" s="8"/>
      <c r="U302" s="8"/>
      <c r="V302" s="8"/>
      <c r="W302" s="8"/>
    </row>
    <row r="303">
      <c r="A303" s="8"/>
      <c r="B303" s="8"/>
      <c r="C303" s="8"/>
      <c r="D303" s="8"/>
      <c r="E303" s="8"/>
      <c r="F303" s="8"/>
      <c r="G303" s="8"/>
      <c r="H303" s="8"/>
      <c r="I303" s="8"/>
      <c r="J303" s="8"/>
      <c r="K303" s="8"/>
      <c r="L303" s="8"/>
      <c r="M303" s="8"/>
      <c r="N303" s="8"/>
      <c r="O303" s="8"/>
      <c r="P303" s="8"/>
      <c r="Q303" s="8"/>
      <c r="R303" s="8"/>
      <c r="S303" s="8"/>
      <c r="T303" s="8"/>
      <c r="U303" s="8"/>
      <c r="V303" s="8"/>
      <c r="W303" s="8"/>
    </row>
    <row r="304">
      <c r="A304" s="8"/>
      <c r="B304" s="8"/>
      <c r="C304" s="8"/>
      <c r="D304" s="8"/>
      <c r="E304" s="8"/>
      <c r="F304" s="8"/>
      <c r="G304" s="8"/>
      <c r="H304" s="8"/>
      <c r="I304" s="8"/>
      <c r="J304" s="8"/>
      <c r="K304" s="8"/>
      <c r="L304" s="8"/>
      <c r="M304" s="8"/>
      <c r="N304" s="8"/>
      <c r="O304" s="8"/>
      <c r="P304" s="8"/>
      <c r="Q304" s="8"/>
      <c r="R304" s="8"/>
      <c r="S304" s="8"/>
      <c r="T304" s="8"/>
      <c r="U304" s="8"/>
      <c r="V304" s="8"/>
      <c r="W304" s="8"/>
    </row>
    <row r="305">
      <c r="A305" s="8"/>
      <c r="B305" s="8"/>
      <c r="C305" s="8"/>
      <c r="D305" s="8"/>
      <c r="E305" s="8"/>
      <c r="F305" s="8"/>
      <c r="G305" s="8"/>
      <c r="H305" s="8"/>
      <c r="I305" s="8"/>
      <c r="J305" s="8"/>
      <c r="K305" s="8"/>
      <c r="L305" s="8"/>
      <c r="M305" s="8"/>
      <c r="N305" s="8"/>
      <c r="O305" s="8"/>
      <c r="P305" s="8"/>
      <c r="Q305" s="8"/>
      <c r="R305" s="8"/>
      <c r="S305" s="8"/>
      <c r="T305" s="8"/>
      <c r="U305" s="8"/>
      <c r="V305" s="8"/>
      <c r="W305" s="8"/>
    </row>
    <row r="306">
      <c r="A306" s="8"/>
      <c r="B306" s="8"/>
      <c r="C306" s="8"/>
      <c r="D306" s="8"/>
      <c r="E306" s="8"/>
      <c r="F306" s="8"/>
      <c r="G306" s="8"/>
      <c r="H306" s="8"/>
      <c r="I306" s="8"/>
      <c r="J306" s="8"/>
      <c r="K306" s="8"/>
      <c r="L306" s="8"/>
      <c r="M306" s="8"/>
      <c r="N306" s="8"/>
      <c r="O306" s="8"/>
      <c r="P306" s="8"/>
      <c r="Q306" s="8"/>
      <c r="R306" s="8"/>
      <c r="S306" s="8"/>
      <c r="T306" s="8"/>
      <c r="U306" s="8"/>
      <c r="V306" s="8"/>
      <c r="W306" s="8"/>
    </row>
    <row r="307">
      <c r="A307" s="8"/>
      <c r="B307" s="8"/>
      <c r="C307" s="8"/>
      <c r="D307" s="8"/>
      <c r="E307" s="8"/>
      <c r="F307" s="8"/>
      <c r="G307" s="8"/>
      <c r="H307" s="8"/>
      <c r="I307" s="8"/>
      <c r="J307" s="8"/>
      <c r="K307" s="8"/>
      <c r="L307" s="8"/>
      <c r="M307" s="8"/>
      <c r="N307" s="8"/>
      <c r="O307" s="8"/>
      <c r="P307" s="8"/>
      <c r="Q307" s="8"/>
      <c r="R307" s="8"/>
      <c r="S307" s="8"/>
      <c r="T307" s="8"/>
      <c r="U307" s="8"/>
      <c r="V307" s="8"/>
      <c r="W307" s="8"/>
    </row>
    <row r="308">
      <c r="A308" s="8"/>
      <c r="B308" s="8"/>
      <c r="C308" s="8"/>
      <c r="D308" s="8"/>
      <c r="E308" s="8"/>
      <c r="F308" s="8"/>
      <c r="G308" s="8"/>
      <c r="H308" s="8"/>
      <c r="I308" s="8"/>
      <c r="J308" s="8"/>
      <c r="K308" s="8"/>
      <c r="L308" s="8"/>
      <c r="M308" s="8"/>
      <c r="N308" s="8"/>
      <c r="O308" s="8"/>
      <c r="P308" s="8"/>
      <c r="Q308" s="8"/>
      <c r="R308" s="8"/>
      <c r="S308" s="8"/>
      <c r="T308" s="8"/>
      <c r="U308" s="8"/>
      <c r="V308" s="8"/>
      <c r="W308" s="8"/>
    </row>
    <row r="309">
      <c r="A309" s="8"/>
      <c r="B309" s="8"/>
      <c r="C309" s="8"/>
      <c r="D309" s="8"/>
      <c r="E309" s="8"/>
      <c r="F309" s="8"/>
      <c r="G309" s="8"/>
      <c r="H309" s="8"/>
      <c r="I309" s="8"/>
      <c r="J309" s="8"/>
      <c r="K309" s="8"/>
      <c r="L309" s="8"/>
      <c r="M309" s="8"/>
      <c r="N309" s="8"/>
      <c r="O309" s="8"/>
      <c r="P309" s="8"/>
      <c r="Q309" s="8"/>
      <c r="R309" s="8"/>
      <c r="S309" s="8"/>
      <c r="T309" s="8"/>
      <c r="U309" s="8"/>
      <c r="V309" s="8"/>
      <c r="W309" s="8"/>
    </row>
    <row r="310">
      <c r="A310" s="8"/>
      <c r="B310" s="8"/>
      <c r="C310" s="8"/>
      <c r="D310" s="8"/>
      <c r="E310" s="8"/>
      <c r="F310" s="8"/>
      <c r="G310" s="8"/>
      <c r="H310" s="8"/>
      <c r="I310" s="8"/>
      <c r="J310" s="8"/>
      <c r="K310" s="8"/>
      <c r="L310" s="8"/>
      <c r="M310" s="8"/>
      <c r="N310" s="8"/>
      <c r="O310" s="8"/>
      <c r="P310" s="8"/>
      <c r="Q310" s="8"/>
      <c r="R310" s="8"/>
      <c r="S310" s="8"/>
      <c r="T310" s="8"/>
      <c r="U310" s="8"/>
      <c r="V310" s="8"/>
      <c r="W310" s="8"/>
    </row>
    <row r="311">
      <c r="A311" s="8"/>
      <c r="B311" s="8"/>
      <c r="C311" s="8"/>
      <c r="D311" s="8"/>
      <c r="E311" s="8"/>
      <c r="F311" s="8"/>
      <c r="G311" s="8"/>
      <c r="H311" s="8"/>
      <c r="I311" s="8"/>
      <c r="J311" s="8"/>
      <c r="K311" s="8"/>
      <c r="L311" s="8"/>
      <c r="M311" s="8"/>
      <c r="N311" s="8"/>
      <c r="O311" s="8"/>
      <c r="P311" s="8"/>
      <c r="Q311" s="8"/>
      <c r="R311" s="8"/>
      <c r="S311" s="8"/>
      <c r="T311" s="8"/>
      <c r="U311" s="8"/>
      <c r="V311" s="8"/>
      <c r="W311" s="8"/>
    </row>
    <row r="312">
      <c r="A312" s="8"/>
      <c r="B312" s="8"/>
      <c r="C312" s="8"/>
      <c r="D312" s="8"/>
      <c r="E312" s="8"/>
      <c r="F312" s="8"/>
      <c r="G312" s="8"/>
      <c r="H312" s="8"/>
      <c r="I312" s="8"/>
      <c r="J312" s="8"/>
      <c r="K312" s="8"/>
      <c r="L312" s="8"/>
      <c r="M312" s="8"/>
      <c r="N312" s="8"/>
      <c r="O312" s="8"/>
      <c r="P312" s="8"/>
      <c r="Q312" s="8"/>
      <c r="R312" s="8"/>
      <c r="S312" s="8"/>
      <c r="T312" s="8"/>
      <c r="U312" s="8"/>
      <c r="V312" s="8"/>
      <c r="W312" s="8"/>
    </row>
    <row r="313">
      <c r="A313" s="8"/>
      <c r="B313" s="8"/>
      <c r="C313" s="8"/>
      <c r="D313" s="8"/>
      <c r="E313" s="8"/>
      <c r="F313" s="8"/>
      <c r="G313" s="8"/>
      <c r="H313" s="8"/>
      <c r="I313" s="8"/>
      <c r="J313" s="8"/>
      <c r="K313" s="8"/>
      <c r="L313" s="8"/>
      <c r="M313" s="8"/>
      <c r="N313" s="8"/>
      <c r="O313" s="8"/>
      <c r="P313" s="8"/>
      <c r="Q313" s="8"/>
      <c r="R313" s="8"/>
      <c r="S313" s="8"/>
      <c r="T313" s="8"/>
      <c r="U313" s="8"/>
      <c r="V313" s="8"/>
      <c r="W313" s="8"/>
    </row>
    <row r="314">
      <c r="A314" s="8"/>
      <c r="B314" s="8"/>
      <c r="C314" s="8"/>
      <c r="D314" s="8"/>
      <c r="E314" s="8"/>
      <c r="F314" s="8"/>
      <c r="G314" s="8"/>
      <c r="H314" s="8"/>
      <c r="I314" s="8"/>
      <c r="J314" s="8"/>
      <c r="K314" s="8"/>
      <c r="L314" s="8"/>
      <c r="M314" s="8"/>
      <c r="N314" s="8"/>
      <c r="O314" s="8"/>
      <c r="P314" s="8"/>
      <c r="Q314" s="8"/>
      <c r="R314" s="8"/>
      <c r="S314" s="8"/>
      <c r="T314" s="8"/>
      <c r="U314" s="8"/>
      <c r="V314" s="8"/>
      <c r="W314" s="8"/>
    </row>
    <row r="315">
      <c r="A315" s="8"/>
      <c r="B315" s="8"/>
      <c r="C315" s="8"/>
      <c r="D315" s="8"/>
      <c r="E315" s="8"/>
      <c r="F315" s="8"/>
      <c r="G315" s="8"/>
      <c r="H315" s="8"/>
      <c r="I315" s="8"/>
      <c r="J315" s="8"/>
      <c r="K315" s="8"/>
      <c r="L315" s="8"/>
      <c r="M315" s="8"/>
      <c r="N315" s="8"/>
      <c r="O315" s="8"/>
      <c r="P315" s="8"/>
      <c r="Q315" s="8"/>
      <c r="R315" s="8"/>
      <c r="S315" s="8"/>
      <c r="T315" s="8"/>
      <c r="U315" s="8"/>
      <c r="V315" s="8"/>
      <c r="W315" s="8"/>
    </row>
    <row r="316">
      <c r="A316" s="8"/>
      <c r="B316" s="8"/>
      <c r="C316" s="8"/>
      <c r="D316" s="8"/>
      <c r="E316" s="8"/>
      <c r="F316" s="8"/>
      <c r="G316" s="8"/>
      <c r="H316" s="8"/>
      <c r="I316" s="8"/>
      <c r="J316" s="8"/>
      <c r="K316" s="8"/>
      <c r="L316" s="8"/>
      <c r="M316" s="8"/>
      <c r="N316" s="8"/>
      <c r="O316" s="8"/>
      <c r="P316" s="8"/>
      <c r="Q316" s="8"/>
      <c r="R316" s="8"/>
      <c r="S316" s="8"/>
      <c r="T316" s="8"/>
      <c r="U316" s="8"/>
      <c r="V316" s="8"/>
      <c r="W316" s="8"/>
    </row>
    <row r="317">
      <c r="A317" s="8"/>
      <c r="B317" s="8"/>
      <c r="C317" s="8"/>
      <c r="D317" s="8"/>
      <c r="E317" s="8"/>
      <c r="F317" s="8"/>
      <c r="G317" s="8"/>
      <c r="H317" s="8"/>
      <c r="I317" s="8"/>
      <c r="J317" s="8"/>
      <c r="K317" s="8"/>
      <c r="L317" s="8"/>
      <c r="M317" s="8"/>
      <c r="N317" s="8"/>
      <c r="O317" s="8"/>
      <c r="P317" s="8"/>
      <c r="Q317" s="8"/>
      <c r="R317" s="8"/>
      <c r="S317" s="8"/>
      <c r="T317" s="8"/>
      <c r="U317" s="8"/>
      <c r="V317" s="8"/>
      <c r="W317" s="8"/>
    </row>
    <row r="318">
      <c r="A318" s="8"/>
      <c r="B318" s="8"/>
      <c r="C318" s="8"/>
      <c r="D318" s="8"/>
      <c r="E318" s="8"/>
      <c r="F318" s="8"/>
      <c r="G318" s="8"/>
      <c r="H318" s="8"/>
      <c r="I318" s="8"/>
      <c r="J318" s="8"/>
      <c r="K318" s="8"/>
      <c r="L318" s="8"/>
      <c r="M318" s="8"/>
      <c r="N318" s="8"/>
      <c r="O318" s="8"/>
      <c r="P318" s="8"/>
      <c r="Q318" s="8"/>
      <c r="R318" s="8"/>
      <c r="S318" s="8"/>
      <c r="T318" s="8"/>
      <c r="U318" s="8"/>
      <c r="V318" s="8"/>
      <c r="W318" s="8"/>
    </row>
    <row r="319">
      <c r="A319" s="8"/>
      <c r="B319" s="8"/>
      <c r="C319" s="8"/>
      <c r="D319" s="8"/>
      <c r="E319" s="8"/>
      <c r="F319" s="8"/>
      <c r="G319" s="8"/>
      <c r="H319" s="8"/>
      <c r="I319" s="8"/>
      <c r="J319" s="8"/>
      <c r="K319" s="8"/>
      <c r="L319" s="8"/>
      <c r="M319" s="8"/>
      <c r="N319" s="8"/>
      <c r="O319" s="8"/>
      <c r="P319" s="8"/>
      <c r="Q319" s="8"/>
      <c r="R319" s="8"/>
      <c r="S319" s="8"/>
      <c r="T319" s="8"/>
      <c r="U319" s="8"/>
      <c r="V319" s="8"/>
      <c r="W319" s="8"/>
    </row>
    <row r="320">
      <c r="A320" s="8"/>
      <c r="B320" s="8"/>
      <c r="C320" s="8"/>
      <c r="D320" s="8"/>
      <c r="E320" s="8"/>
      <c r="F320" s="8"/>
      <c r="G320" s="8"/>
      <c r="H320" s="8"/>
      <c r="I320" s="8"/>
      <c r="J320" s="8"/>
      <c r="K320" s="8"/>
      <c r="L320" s="8"/>
      <c r="M320" s="8"/>
      <c r="N320" s="8"/>
      <c r="O320" s="8"/>
      <c r="P320" s="8"/>
      <c r="Q320" s="8"/>
      <c r="R320" s="8"/>
      <c r="S320" s="8"/>
      <c r="T320" s="8"/>
      <c r="U320" s="8"/>
      <c r="V320" s="8"/>
      <c r="W320" s="8"/>
    </row>
    <row r="321">
      <c r="A321" s="8"/>
      <c r="B321" s="8"/>
      <c r="C321" s="8"/>
      <c r="D321" s="8"/>
      <c r="E321" s="8"/>
      <c r="F321" s="8"/>
      <c r="G321" s="8"/>
      <c r="H321" s="8"/>
      <c r="I321" s="8"/>
      <c r="J321" s="8"/>
      <c r="K321" s="8"/>
      <c r="L321" s="8"/>
      <c r="M321" s="8"/>
      <c r="N321" s="8"/>
      <c r="O321" s="8"/>
      <c r="P321" s="8"/>
      <c r="Q321" s="8"/>
      <c r="R321" s="8"/>
      <c r="S321" s="8"/>
      <c r="T321" s="8"/>
      <c r="U321" s="8"/>
      <c r="V321" s="8"/>
      <c r="W321" s="8"/>
    </row>
    <row r="322">
      <c r="A322" s="8"/>
      <c r="B322" s="8"/>
      <c r="C322" s="8"/>
      <c r="D322" s="8"/>
      <c r="E322" s="8"/>
      <c r="F322" s="8"/>
      <c r="G322" s="8"/>
      <c r="H322" s="8"/>
      <c r="I322" s="8"/>
      <c r="J322" s="8"/>
      <c r="K322" s="8"/>
      <c r="L322" s="8"/>
      <c r="M322" s="8"/>
      <c r="N322" s="8"/>
      <c r="O322" s="8"/>
      <c r="P322" s="8"/>
      <c r="Q322" s="8"/>
      <c r="R322" s="8"/>
      <c r="S322" s="8"/>
      <c r="T322" s="8"/>
      <c r="U322" s="8"/>
      <c r="V322" s="8"/>
      <c r="W322" s="8"/>
    </row>
    <row r="323">
      <c r="A323" s="8"/>
      <c r="B323" s="8"/>
      <c r="C323" s="8"/>
      <c r="D323" s="8"/>
      <c r="E323" s="8"/>
      <c r="F323" s="8"/>
      <c r="G323" s="8"/>
      <c r="H323" s="8"/>
      <c r="I323" s="8"/>
      <c r="J323" s="8"/>
      <c r="K323" s="8"/>
      <c r="L323" s="8"/>
      <c r="M323" s="8"/>
      <c r="N323" s="8"/>
      <c r="O323" s="8"/>
      <c r="P323" s="8"/>
      <c r="Q323" s="8"/>
      <c r="R323" s="8"/>
      <c r="S323" s="8"/>
      <c r="T323" s="8"/>
      <c r="U323" s="8"/>
      <c r="V323" s="8"/>
      <c r="W323" s="8"/>
    </row>
    <row r="324">
      <c r="A324" s="8"/>
      <c r="B324" s="8"/>
      <c r="C324" s="8"/>
      <c r="D324" s="8"/>
      <c r="E324" s="8"/>
      <c r="F324" s="8"/>
      <c r="G324" s="8"/>
      <c r="H324" s="8"/>
      <c r="I324" s="8"/>
      <c r="J324" s="8"/>
      <c r="K324" s="8"/>
      <c r="L324" s="8"/>
      <c r="M324" s="8"/>
      <c r="N324" s="8"/>
      <c r="O324" s="8"/>
      <c r="P324" s="8"/>
      <c r="Q324" s="8"/>
      <c r="R324" s="8"/>
      <c r="S324" s="8"/>
      <c r="T324" s="8"/>
      <c r="U324" s="8"/>
      <c r="V324" s="8"/>
      <c r="W324" s="8"/>
    </row>
    <row r="325">
      <c r="A325" s="8"/>
      <c r="B325" s="8"/>
      <c r="C325" s="8"/>
      <c r="D325" s="8"/>
      <c r="E325" s="8"/>
      <c r="F325" s="8"/>
      <c r="G325" s="8"/>
      <c r="H325" s="8"/>
      <c r="I325" s="8"/>
      <c r="J325" s="8"/>
      <c r="K325" s="8"/>
      <c r="L325" s="8"/>
      <c r="M325" s="8"/>
      <c r="N325" s="8"/>
      <c r="O325" s="8"/>
      <c r="P325" s="8"/>
      <c r="Q325" s="8"/>
      <c r="R325" s="8"/>
      <c r="S325" s="8"/>
      <c r="T325" s="8"/>
      <c r="U325" s="8"/>
      <c r="V325" s="8"/>
      <c r="W325" s="8"/>
    </row>
    <row r="326">
      <c r="A326" s="8"/>
      <c r="B326" s="8"/>
      <c r="C326" s="8"/>
      <c r="D326" s="8"/>
      <c r="E326" s="8"/>
      <c r="F326" s="8"/>
      <c r="G326" s="8"/>
      <c r="H326" s="8"/>
      <c r="I326" s="8"/>
      <c r="J326" s="8"/>
      <c r="K326" s="8"/>
      <c r="L326" s="8"/>
      <c r="M326" s="8"/>
      <c r="N326" s="8"/>
      <c r="O326" s="8"/>
      <c r="P326" s="8"/>
      <c r="Q326" s="8"/>
      <c r="R326" s="8"/>
      <c r="S326" s="8"/>
      <c r="T326" s="8"/>
      <c r="U326" s="8"/>
      <c r="V326" s="8"/>
      <c r="W326" s="8"/>
    </row>
    <row r="327">
      <c r="A327" s="8"/>
      <c r="B327" s="8"/>
      <c r="C327" s="8"/>
      <c r="D327" s="8"/>
      <c r="E327" s="8"/>
      <c r="F327" s="8"/>
      <c r="G327" s="8"/>
      <c r="H327" s="8"/>
      <c r="I327" s="8"/>
      <c r="J327" s="8"/>
      <c r="K327" s="8"/>
      <c r="L327" s="8"/>
      <c r="M327" s="8"/>
      <c r="N327" s="8"/>
      <c r="O327" s="8"/>
      <c r="P327" s="8"/>
      <c r="Q327" s="8"/>
      <c r="R327" s="8"/>
      <c r="S327" s="8"/>
      <c r="T327" s="8"/>
      <c r="U327" s="8"/>
      <c r="V327" s="8"/>
      <c r="W327" s="8"/>
    </row>
    <row r="328">
      <c r="A328" s="8"/>
      <c r="B328" s="8"/>
      <c r="C328" s="8"/>
      <c r="D328" s="8"/>
      <c r="E328" s="8"/>
      <c r="F328" s="8"/>
      <c r="G328" s="8"/>
      <c r="H328" s="8"/>
      <c r="I328" s="8"/>
      <c r="J328" s="8"/>
      <c r="K328" s="8"/>
      <c r="L328" s="8"/>
      <c r="M328" s="8"/>
      <c r="N328" s="8"/>
      <c r="O328" s="8"/>
      <c r="P328" s="8"/>
      <c r="Q328" s="8"/>
      <c r="R328" s="8"/>
      <c r="S328" s="8"/>
      <c r="T328" s="8"/>
      <c r="U328" s="8"/>
      <c r="V328" s="8"/>
      <c r="W328" s="8"/>
    </row>
    <row r="329">
      <c r="A329" s="8"/>
      <c r="B329" s="8"/>
      <c r="C329" s="8"/>
      <c r="D329" s="8"/>
      <c r="E329" s="8"/>
      <c r="F329" s="8"/>
      <c r="G329" s="8"/>
      <c r="H329" s="8"/>
      <c r="I329" s="8"/>
      <c r="J329" s="8"/>
      <c r="K329" s="8"/>
      <c r="L329" s="8"/>
      <c r="M329" s="8"/>
      <c r="N329" s="8"/>
      <c r="O329" s="8"/>
      <c r="P329" s="8"/>
      <c r="Q329" s="8"/>
      <c r="R329" s="8"/>
      <c r="S329" s="8"/>
      <c r="T329" s="8"/>
      <c r="U329" s="8"/>
      <c r="V329" s="8"/>
      <c r="W329" s="8"/>
    </row>
    <row r="330">
      <c r="A330" s="8"/>
      <c r="B330" s="8"/>
      <c r="C330" s="8"/>
      <c r="D330" s="8"/>
      <c r="E330" s="8"/>
      <c r="F330" s="8"/>
      <c r="G330" s="8"/>
      <c r="H330" s="8"/>
      <c r="I330" s="8"/>
      <c r="J330" s="8"/>
      <c r="K330" s="8"/>
      <c r="L330" s="8"/>
      <c r="M330" s="8"/>
      <c r="N330" s="8"/>
      <c r="O330" s="8"/>
      <c r="P330" s="8"/>
      <c r="Q330" s="8"/>
      <c r="R330" s="8"/>
      <c r="S330" s="8"/>
      <c r="T330" s="8"/>
      <c r="U330" s="8"/>
      <c r="V330" s="8"/>
      <c r="W330" s="8"/>
    </row>
    <row r="331">
      <c r="A331" s="8"/>
      <c r="B331" s="8"/>
      <c r="C331" s="8"/>
      <c r="D331" s="8"/>
      <c r="E331" s="8"/>
      <c r="F331" s="8"/>
      <c r="G331" s="8"/>
      <c r="H331" s="8"/>
      <c r="I331" s="8"/>
      <c r="J331" s="8"/>
      <c r="K331" s="8"/>
      <c r="L331" s="8"/>
      <c r="M331" s="8"/>
      <c r="N331" s="8"/>
      <c r="O331" s="8"/>
      <c r="P331" s="8"/>
      <c r="Q331" s="8"/>
      <c r="R331" s="8"/>
      <c r="S331" s="8"/>
      <c r="T331" s="8"/>
      <c r="U331" s="8"/>
      <c r="V331" s="8"/>
      <c r="W331" s="8"/>
    </row>
    <row r="332">
      <c r="A332" s="8"/>
      <c r="B332" s="8"/>
      <c r="C332" s="8"/>
      <c r="D332" s="8"/>
      <c r="E332" s="8"/>
      <c r="F332" s="8"/>
      <c r="G332" s="8"/>
      <c r="H332" s="8"/>
      <c r="I332" s="8"/>
      <c r="J332" s="8"/>
      <c r="K332" s="8"/>
      <c r="L332" s="8"/>
      <c r="M332" s="8"/>
      <c r="N332" s="8"/>
      <c r="O332" s="8"/>
      <c r="P332" s="8"/>
      <c r="Q332" s="8"/>
      <c r="R332" s="8"/>
      <c r="S332" s="8"/>
      <c r="T332" s="8"/>
      <c r="U332" s="8"/>
      <c r="V332" s="8"/>
      <c r="W332" s="8"/>
    </row>
    <row r="333">
      <c r="A333" s="8"/>
      <c r="B333" s="8"/>
      <c r="C333" s="8"/>
      <c r="D333" s="8"/>
      <c r="E333" s="8"/>
      <c r="F333" s="8"/>
      <c r="G333" s="8"/>
      <c r="H333" s="8"/>
      <c r="I333" s="8"/>
      <c r="J333" s="8"/>
      <c r="K333" s="8"/>
      <c r="L333" s="8"/>
      <c r="M333" s="8"/>
      <c r="N333" s="8"/>
      <c r="O333" s="8"/>
      <c r="P333" s="8"/>
      <c r="Q333" s="8"/>
      <c r="R333" s="8"/>
      <c r="S333" s="8"/>
      <c r="T333" s="8"/>
      <c r="U333" s="8"/>
      <c r="V333" s="8"/>
      <c r="W333" s="8"/>
    </row>
    <row r="334">
      <c r="A334" s="8"/>
      <c r="B334" s="8"/>
      <c r="C334" s="8"/>
      <c r="D334" s="8"/>
      <c r="E334" s="8"/>
      <c r="F334" s="8"/>
      <c r="G334" s="8"/>
      <c r="H334" s="8"/>
      <c r="I334" s="8"/>
      <c r="J334" s="8"/>
      <c r="K334" s="8"/>
      <c r="L334" s="8"/>
      <c r="M334" s="8"/>
      <c r="N334" s="8"/>
      <c r="O334" s="8"/>
      <c r="P334" s="8"/>
      <c r="Q334" s="8"/>
      <c r="R334" s="8"/>
      <c r="S334" s="8"/>
      <c r="T334" s="8"/>
      <c r="U334" s="8"/>
      <c r="V334" s="8"/>
      <c r="W334" s="8"/>
    </row>
    <row r="335">
      <c r="A335" s="8"/>
      <c r="B335" s="8"/>
      <c r="C335" s="8"/>
      <c r="D335" s="8"/>
      <c r="E335" s="8"/>
      <c r="F335" s="8"/>
      <c r="G335" s="8"/>
      <c r="H335" s="8"/>
      <c r="I335" s="8"/>
      <c r="J335" s="8"/>
      <c r="K335" s="8"/>
      <c r="L335" s="8"/>
      <c r="M335" s="8"/>
      <c r="N335" s="8"/>
      <c r="O335" s="8"/>
      <c r="P335" s="8"/>
      <c r="Q335" s="8"/>
      <c r="R335" s="8"/>
      <c r="S335" s="8"/>
      <c r="T335" s="8"/>
      <c r="U335" s="8"/>
      <c r="V335" s="8"/>
      <c r="W335" s="8"/>
    </row>
    <row r="336">
      <c r="A336" s="8"/>
      <c r="B336" s="8"/>
      <c r="C336" s="8"/>
      <c r="D336" s="8"/>
      <c r="E336" s="8"/>
      <c r="F336" s="8"/>
      <c r="G336" s="8"/>
      <c r="H336" s="8"/>
      <c r="I336" s="8"/>
      <c r="J336" s="8"/>
      <c r="K336" s="8"/>
      <c r="L336" s="8"/>
      <c r="M336" s="8"/>
      <c r="N336" s="8"/>
      <c r="O336" s="8"/>
      <c r="P336" s="8"/>
      <c r="Q336" s="8"/>
      <c r="R336" s="8"/>
      <c r="S336" s="8"/>
      <c r="T336" s="8"/>
      <c r="U336" s="8"/>
      <c r="V336" s="8"/>
      <c r="W336" s="8"/>
    </row>
    <row r="337">
      <c r="A337" s="8"/>
      <c r="B337" s="8"/>
      <c r="C337" s="8"/>
      <c r="D337" s="8"/>
      <c r="E337" s="8"/>
      <c r="F337" s="8"/>
      <c r="G337" s="8"/>
      <c r="H337" s="8"/>
      <c r="I337" s="8"/>
      <c r="J337" s="8"/>
      <c r="K337" s="8"/>
      <c r="L337" s="8"/>
      <c r="M337" s="8"/>
      <c r="N337" s="8"/>
      <c r="O337" s="8"/>
      <c r="P337" s="8"/>
      <c r="Q337" s="8"/>
      <c r="R337" s="8"/>
      <c r="S337" s="8"/>
      <c r="T337" s="8"/>
      <c r="U337" s="8"/>
      <c r="V337" s="8"/>
      <c r="W337" s="8"/>
    </row>
    <row r="338">
      <c r="A338" s="8"/>
      <c r="B338" s="8"/>
      <c r="C338" s="8"/>
      <c r="D338" s="8"/>
      <c r="E338" s="8"/>
      <c r="F338" s="8"/>
      <c r="G338" s="8"/>
      <c r="H338" s="8"/>
      <c r="I338" s="8"/>
      <c r="J338" s="8"/>
      <c r="K338" s="8"/>
      <c r="L338" s="8"/>
      <c r="M338" s="8"/>
      <c r="N338" s="8"/>
      <c r="O338" s="8"/>
      <c r="P338" s="8"/>
      <c r="Q338" s="8"/>
      <c r="R338" s="8"/>
      <c r="S338" s="8"/>
      <c r="T338" s="8"/>
      <c r="U338" s="8"/>
      <c r="V338" s="8"/>
      <c r="W338" s="8"/>
    </row>
    <row r="339">
      <c r="A339" s="8"/>
      <c r="B339" s="8"/>
      <c r="C339" s="8"/>
      <c r="D339" s="8"/>
      <c r="E339" s="8"/>
      <c r="F339" s="8"/>
      <c r="G339" s="8"/>
      <c r="H339" s="8"/>
      <c r="I339" s="8"/>
      <c r="J339" s="8"/>
      <c r="K339" s="8"/>
      <c r="L339" s="8"/>
      <c r="M339" s="8"/>
      <c r="N339" s="8"/>
      <c r="O339" s="8"/>
      <c r="P339" s="8"/>
      <c r="Q339" s="8"/>
      <c r="R339" s="8"/>
      <c r="S339" s="8"/>
      <c r="T339" s="8"/>
      <c r="U339" s="8"/>
      <c r="V339" s="8"/>
      <c r="W339" s="8"/>
    </row>
    <row r="340">
      <c r="A340" s="8"/>
      <c r="B340" s="8"/>
      <c r="C340" s="8"/>
      <c r="D340" s="8"/>
      <c r="E340" s="8"/>
      <c r="F340" s="8"/>
      <c r="G340" s="8"/>
      <c r="H340" s="8"/>
      <c r="I340" s="8"/>
      <c r="J340" s="8"/>
      <c r="K340" s="8"/>
      <c r="L340" s="8"/>
      <c r="M340" s="8"/>
      <c r="N340" s="8"/>
      <c r="O340" s="8"/>
      <c r="P340" s="8"/>
      <c r="Q340" s="8"/>
      <c r="R340" s="8"/>
      <c r="S340" s="8"/>
      <c r="T340" s="8"/>
      <c r="U340" s="8"/>
      <c r="V340" s="8"/>
      <c r="W340" s="8"/>
    </row>
    <row r="341">
      <c r="A341" s="8"/>
      <c r="B341" s="8"/>
      <c r="C341" s="8"/>
      <c r="D341" s="8"/>
      <c r="E341" s="8"/>
      <c r="F341" s="8"/>
      <c r="G341" s="8"/>
      <c r="H341" s="8"/>
      <c r="I341" s="8"/>
      <c r="J341" s="8"/>
      <c r="K341" s="8"/>
      <c r="L341" s="8"/>
      <c r="M341" s="8"/>
      <c r="N341" s="8"/>
      <c r="O341" s="8"/>
      <c r="P341" s="8"/>
      <c r="Q341" s="8"/>
      <c r="R341" s="8"/>
      <c r="S341" s="8"/>
      <c r="T341" s="8"/>
      <c r="U341" s="8"/>
      <c r="V341" s="8"/>
      <c r="W341" s="8"/>
    </row>
    <row r="342">
      <c r="A342" s="8"/>
      <c r="B342" s="8"/>
      <c r="C342" s="8"/>
      <c r="D342" s="8"/>
      <c r="E342" s="8"/>
      <c r="F342" s="8"/>
      <c r="G342" s="8"/>
      <c r="H342" s="8"/>
      <c r="I342" s="8"/>
      <c r="J342" s="8"/>
      <c r="K342" s="8"/>
      <c r="L342" s="8"/>
      <c r="M342" s="8"/>
      <c r="N342" s="8"/>
      <c r="O342" s="8"/>
      <c r="P342" s="8"/>
      <c r="Q342" s="8"/>
      <c r="R342" s="8"/>
      <c r="S342" s="8"/>
      <c r="T342" s="8"/>
      <c r="U342" s="8"/>
      <c r="V342" s="8"/>
      <c r="W342" s="8"/>
    </row>
    <row r="343">
      <c r="A343" s="8"/>
      <c r="B343" s="8"/>
      <c r="C343" s="8"/>
      <c r="D343" s="8"/>
      <c r="E343" s="8"/>
      <c r="F343" s="8"/>
      <c r="G343" s="8"/>
      <c r="H343" s="8"/>
      <c r="I343" s="8"/>
      <c r="J343" s="8"/>
      <c r="K343" s="8"/>
      <c r="L343" s="8"/>
      <c r="M343" s="8"/>
      <c r="N343" s="8"/>
      <c r="O343" s="8"/>
      <c r="P343" s="8"/>
      <c r="Q343" s="8"/>
      <c r="R343" s="8"/>
      <c r="S343" s="8"/>
      <c r="T343" s="8"/>
      <c r="U343" s="8"/>
      <c r="V343" s="8"/>
      <c r="W343" s="8"/>
    </row>
    <row r="344">
      <c r="A344" s="8"/>
      <c r="B344" s="8"/>
      <c r="C344" s="8"/>
      <c r="D344" s="8"/>
      <c r="E344" s="8"/>
      <c r="F344" s="8"/>
      <c r="G344" s="8"/>
      <c r="H344" s="8"/>
      <c r="I344" s="8"/>
      <c r="J344" s="8"/>
      <c r="K344" s="8"/>
      <c r="L344" s="8"/>
      <c r="M344" s="8"/>
      <c r="N344" s="8"/>
      <c r="O344" s="8"/>
      <c r="P344" s="8"/>
      <c r="Q344" s="8"/>
      <c r="R344" s="8"/>
      <c r="S344" s="8"/>
      <c r="T344" s="8"/>
      <c r="U344" s="8"/>
      <c r="V344" s="8"/>
      <c r="W344" s="8"/>
    </row>
    <row r="345">
      <c r="A345" s="8"/>
      <c r="B345" s="8"/>
      <c r="C345" s="8"/>
      <c r="D345" s="8"/>
      <c r="E345" s="8"/>
      <c r="F345" s="8"/>
      <c r="G345" s="8"/>
      <c r="H345" s="8"/>
      <c r="I345" s="8"/>
      <c r="J345" s="8"/>
      <c r="K345" s="8"/>
      <c r="L345" s="8"/>
      <c r="M345" s="8"/>
      <c r="N345" s="8"/>
      <c r="O345" s="8"/>
      <c r="P345" s="8"/>
      <c r="Q345" s="8"/>
      <c r="R345" s="8"/>
      <c r="S345" s="8"/>
      <c r="T345" s="8"/>
      <c r="U345" s="8"/>
      <c r="V345" s="8"/>
      <c r="W345" s="8"/>
    </row>
    <row r="346">
      <c r="A346" s="8"/>
      <c r="B346" s="8"/>
      <c r="C346" s="8"/>
      <c r="D346" s="8"/>
      <c r="E346" s="8"/>
      <c r="F346" s="8"/>
      <c r="G346" s="8"/>
      <c r="H346" s="8"/>
      <c r="I346" s="8"/>
      <c r="J346" s="8"/>
      <c r="K346" s="8"/>
      <c r="L346" s="8"/>
      <c r="M346" s="8"/>
      <c r="N346" s="8"/>
      <c r="O346" s="8"/>
      <c r="P346" s="8"/>
      <c r="Q346" s="8"/>
      <c r="R346" s="8"/>
      <c r="S346" s="8"/>
      <c r="T346" s="8"/>
      <c r="U346" s="8"/>
      <c r="V346" s="8"/>
      <c r="W346" s="8"/>
    </row>
    <row r="347">
      <c r="A347" s="8"/>
      <c r="B347" s="8"/>
      <c r="C347" s="8"/>
      <c r="D347" s="8"/>
      <c r="E347" s="8"/>
      <c r="F347" s="8"/>
      <c r="G347" s="8"/>
      <c r="H347" s="8"/>
      <c r="I347" s="8"/>
      <c r="J347" s="8"/>
      <c r="K347" s="8"/>
      <c r="L347" s="8"/>
      <c r="M347" s="8"/>
      <c r="N347" s="8"/>
      <c r="O347" s="8"/>
      <c r="P347" s="8"/>
      <c r="Q347" s="8"/>
      <c r="R347" s="8"/>
      <c r="S347" s="8"/>
      <c r="T347" s="8"/>
      <c r="U347" s="8"/>
      <c r="V347" s="8"/>
      <c r="W347" s="8"/>
    </row>
    <row r="348">
      <c r="A348" s="8"/>
      <c r="B348" s="8"/>
      <c r="C348" s="8"/>
      <c r="D348" s="8"/>
      <c r="E348" s="8"/>
      <c r="F348" s="8"/>
      <c r="G348" s="8"/>
      <c r="H348" s="8"/>
      <c r="I348" s="8"/>
      <c r="J348" s="8"/>
      <c r="K348" s="8"/>
      <c r="L348" s="8"/>
      <c r="M348" s="8"/>
      <c r="N348" s="8"/>
      <c r="O348" s="8"/>
      <c r="P348" s="8"/>
      <c r="Q348" s="8"/>
      <c r="R348" s="8"/>
      <c r="S348" s="8"/>
      <c r="T348" s="8"/>
      <c r="U348" s="8"/>
      <c r="V348" s="8"/>
      <c r="W348" s="8"/>
    </row>
    <row r="349">
      <c r="A349" s="8"/>
      <c r="B349" s="8"/>
      <c r="C349" s="8"/>
      <c r="D349" s="8"/>
      <c r="E349" s="8"/>
      <c r="F349" s="8"/>
      <c r="G349" s="8"/>
      <c r="H349" s="8"/>
      <c r="I349" s="8"/>
      <c r="J349" s="8"/>
      <c r="K349" s="8"/>
      <c r="L349" s="8"/>
      <c r="M349" s="8"/>
      <c r="N349" s="8"/>
      <c r="O349" s="8"/>
      <c r="P349" s="8"/>
      <c r="Q349" s="8"/>
      <c r="R349" s="8"/>
      <c r="S349" s="8"/>
      <c r="T349" s="8"/>
      <c r="U349" s="8"/>
      <c r="V349" s="8"/>
      <c r="W349" s="8"/>
    </row>
    <row r="350">
      <c r="A350" s="8"/>
      <c r="B350" s="8"/>
      <c r="C350" s="8"/>
      <c r="D350" s="8"/>
      <c r="E350" s="8"/>
      <c r="F350" s="8"/>
      <c r="G350" s="8"/>
      <c r="H350" s="8"/>
      <c r="I350" s="8"/>
      <c r="J350" s="8"/>
      <c r="K350" s="8"/>
      <c r="L350" s="8"/>
      <c r="M350" s="8"/>
      <c r="N350" s="8"/>
      <c r="O350" s="8"/>
      <c r="P350" s="8"/>
      <c r="Q350" s="8"/>
      <c r="R350" s="8"/>
      <c r="S350" s="8"/>
      <c r="T350" s="8"/>
      <c r="U350" s="8"/>
      <c r="V350" s="8"/>
      <c r="W350" s="8"/>
    </row>
    <row r="351">
      <c r="A351" s="8"/>
      <c r="B351" s="8"/>
      <c r="C351" s="8"/>
      <c r="D351" s="8"/>
      <c r="E351" s="8"/>
      <c r="F351" s="8"/>
      <c r="G351" s="8"/>
      <c r="H351" s="8"/>
      <c r="I351" s="8"/>
      <c r="J351" s="8"/>
      <c r="K351" s="8"/>
      <c r="L351" s="8"/>
      <c r="M351" s="8"/>
      <c r="N351" s="8"/>
      <c r="O351" s="8"/>
      <c r="P351" s="8"/>
      <c r="Q351" s="8"/>
      <c r="R351" s="8"/>
      <c r="S351" s="8"/>
      <c r="T351" s="8"/>
      <c r="U351" s="8"/>
      <c r="V351" s="8"/>
      <c r="W351" s="8"/>
    </row>
    <row r="352">
      <c r="A352" s="8"/>
      <c r="B352" s="8"/>
      <c r="C352" s="8"/>
      <c r="D352" s="8"/>
      <c r="E352" s="8"/>
      <c r="F352" s="8"/>
      <c r="G352" s="8"/>
      <c r="H352" s="8"/>
      <c r="I352" s="8"/>
      <c r="J352" s="8"/>
      <c r="K352" s="8"/>
      <c r="L352" s="8"/>
      <c r="M352" s="8"/>
      <c r="N352" s="8"/>
      <c r="O352" s="8"/>
      <c r="P352" s="8"/>
      <c r="Q352" s="8"/>
      <c r="R352" s="8"/>
      <c r="S352" s="8"/>
      <c r="T352" s="8"/>
      <c r="U352" s="8"/>
      <c r="V352" s="8"/>
      <c r="W352" s="8"/>
    </row>
    <row r="353">
      <c r="A353" s="8"/>
      <c r="B353" s="8"/>
      <c r="C353" s="8"/>
      <c r="D353" s="8"/>
      <c r="E353" s="8"/>
      <c r="F353" s="8"/>
      <c r="G353" s="8"/>
      <c r="H353" s="8"/>
      <c r="I353" s="8"/>
      <c r="J353" s="8"/>
      <c r="K353" s="8"/>
      <c r="L353" s="8"/>
      <c r="M353" s="8"/>
      <c r="N353" s="8"/>
      <c r="O353" s="8"/>
      <c r="P353" s="8"/>
      <c r="Q353" s="8"/>
      <c r="R353" s="8"/>
      <c r="S353" s="8"/>
      <c r="T353" s="8"/>
      <c r="U353" s="8"/>
      <c r="V353" s="8"/>
      <c r="W353" s="8"/>
    </row>
    <row r="354">
      <c r="A354" s="8"/>
      <c r="B354" s="8"/>
      <c r="C354" s="8"/>
      <c r="D354" s="8"/>
      <c r="E354" s="8"/>
      <c r="F354" s="8"/>
      <c r="G354" s="8"/>
      <c r="H354" s="8"/>
      <c r="I354" s="8"/>
      <c r="J354" s="8"/>
      <c r="K354" s="8"/>
      <c r="L354" s="8"/>
      <c r="M354" s="8"/>
      <c r="N354" s="8"/>
      <c r="O354" s="8"/>
      <c r="P354" s="8"/>
      <c r="Q354" s="8"/>
      <c r="R354" s="8"/>
      <c r="S354" s="8"/>
      <c r="T354" s="8"/>
      <c r="U354" s="8"/>
      <c r="V354" s="8"/>
      <c r="W354" s="8"/>
    </row>
    <row r="355">
      <c r="A355" s="8"/>
      <c r="B355" s="8"/>
      <c r="C355" s="8"/>
      <c r="D355" s="8"/>
      <c r="E355" s="8"/>
      <c r="F355" s="8"/>
      <c r="G355" s="8"/>
      <c r="H355" s="8"/>
      <c r="I355" s="8"/>
      <c r="J355" s="8"/>
      <c r="K355" s="8"/>
      <c r="L355" s="8"/>
      <c r="M355" s="8"/>
      <c r="N355" s="8"/>
      <c r="O355" s="8"/>
      <c r="P355" s="8"/>
      <c r="Q355" s="8"/>
      <c r="R355" s="8"/>
      <c r="S355" s="8"/>
      <c r="T355" s="8"/>
      <c r="U355" s="8"/>
      <c r="V355" s="8"/>
      <c r="W355" s="8"/>
    </row>
    <row r="356">
      <c r="A356" s="8"/>
      <c r="B356" s="8"/>
      <c r="C356" s="8"/>
      <c r="D356" s="8"/>
      <c r="E356" s="8"/>
      <c r="F356" s="8"/>
      <c r="G356" s="8"/>
      <c r="H356" s="8"/>
      <c r="I356" s="8"/>
      <c r="J356" s="8"/>
      <c r="K356" s="8"/>
      <c r="L356" s="8"/>
      <c r="M356" s="8"/>
      <c r="N356" s="8"/>
      <c r="O356" s="8"/>
      <c r="P356" s="8"/>
      <c r="Q356" s="8"/>
      <c r="R356" s="8"/>
      <c r="S356" s="8"/>
      <c r="T356" s="8"/>
      <c r="U356" s="8"/>
      <c r="V356" s="8"/>
      <c r="W356" s="8"/>
    </row>
    <row r="357">
      <c r="A357" s="8"/>
      <c r="B357" s="8"/>
      <c r="C357" s="8"/>
      <c r="D357" s="8"/>
      <c r="E357" s="8"/>
      <c r="F357" s="8"/>
      <c r="G357" s="8"/>
      <c r="H357" s="8"/>
      <c r="I357" s="8"/>
      <c r="J357" s="8"/>
      <c r="K357" s="8"/>
      <c r="L357" s="8"/>
      <c r="M357" s="8"/>
      <c r="N357" s="8"/>
      <c r="O357" s="8"/>
      <c r="P357" s="8"/>
      <c r="Q357" s="8"/>
      <c r="R357" s="8"/>
      <c r="S357" s="8"/>
      <c r="T357" s="8"/>
      <c r="U357" s="8"/>
      <c r="V357" s="8"/>
      <c r="W357" s="8"/>
    </row>
    <row r="358">
      <c r="A358" s="8"/>
      <c r="B358" s="8"/>
      <c r="C358" s="8"/>
      <c r="D358" s="8"/>
      <c r="E358" s="8"/>
      <c r="F358" s="8"/>
      <c r="G358" s="8"/>
      <c r="H358" s="8"/>
      <c r="I358" s="8"/>
      <c r="J358" s="8"/>
      <c r="K358" s="8"/>
      <c r="L358" s="8"/>
      <c r="M358" s="8"/>
      <c r="N358" s="8"/>
      <c r="O358" s="8"/>
      <c r="P358" s="8"/>
      <c r="Q358" s="8"/>
      <c r="R358" s="8"/>
      <c r="S358" s="8"/>
      <c r="T358" s="8"/>
      <c r="U358" s="8"/>
      <c r="V358" s="8"/>
      <c r="W358" s="8"/>
    </row>
    <row r="359">
      <c r="A359" s="8"/>
      <c r="B359" s="8"/>
      <c r="C359" s="8"/>
      <c r="D359" s="8"/>
      <c r="E359" s="8"/>
      <c r="F359" s="8"/>
      <c r="G359" s="8"/>
      <c r="H359" s="8"/>
      <c r="I359" s="8"/>
      <c r="J359" s="8"/>
      <c r="K359" s="8"/>
      <c r="L359" s="8"/>
      <c r="M359" s="8"/>
      <c r="N359" s="8"/>
      <c r="O359" s="8"/>
      <c r="P359" s="8"/>
      <c r="Q359" s="8"/>
      <c r="R359" s="8"/>
      <c r="S359" s="8"/>
      <c r="T359" s="8"/>
      <c r="U359" s="8"/>
      <c r="V359" s="8"/>
      <c r="W359" s="8"/>
    </row>
    <row r="360">
      <c r="A360" s="8"/>
      <c r="B360" s="8"/>
      <c r="C360" s="8"/>
      <c r="D360" s="8"/>
      <c r="E360" s="8"/>
      <c r="F360" s="8"/>
      <c r="G360" s="8"/>
      <c r="H360" s="8"/>
      <c r="I360" s="8"/>
      <c r="J360" s="8"/>
      <c r="K360" s="8"/>
      <c r="L360" s="8"/>
      <c r="M360" s="8"/>
      <c r="N360" s="8"/>
      <c r="O360" s="8"/>
      <c r="P360" s="8"/>
      <c r="Q360" s="8"/>
      <c r="R360" s="8"/>
      <c r="S360" s="8"/>
      <c r="T360" s="8"/>
      <c r="U360" s="8"/>
      <c r="V360" s="8"/>
      <c r="W360" s="8"/>
    </row>
    <row r="361">
      <c r="A361" s="8"/>
      <c r="B361" s="8"/>
      <c r="C361" s="8"/>
      <c r="D361" s="8"/>
      <c r="E361" s="8"/>
      <c r="F361" s="8"/>
      <c r="G361" s="8"/>
      <c r="H361" s="8"/>
      <c r="I361" s="8"/>
      <c r="J361" s="8"/>
      <c r="K361" s="8"/>
      <c r="L361" s="8"/>
      <c r="M361" s="8"/>
      <c r="N361" s="8"/>
      <c r="O361" s="8"/>
      <c r="P361" s="8"/>
      <c r="Q361" s="8"/>
      <c r="R361" s="8"/>
      <c r="S361" s="8"/>
      <c r="T361" s="8"/>
      <c r="U361" s="8"/>
      <c r="V361" s="8"/>
      <c r="W361" s="8"/>
    </row>
    <row r="362">
      <c r="A362" s="8"/>
      <c r="B362" s="8"/>
      <c r="C362" s="8"/>
      <c r="D362" s="8"/>
      <c r="E362" s="8"/>
      <c r="F362" s="8"/>
      <c r="G362" s="8"/>
      <c r="H362" s="8"/>
      <c r="I362" s="8"/>
      <c r="J362" s="8"/>
      <c r="K362" s="8"/>
      <c r="L362" s="8"/>
      <c r="M362" s="8"/>
      <c r="N362" s="8"/>
      <c r="O362" s="8"/>
      <c r="P362" s="8"/>
      <c r="Q362" s="8"/>
      <c r="R362" s="8"/>
      <c r="S362" s="8"/>
      <c r="T362" s="8"/>
      <c r="U362" s="8"/>
      <c r="V362" s="8"/>
      <c r="W362" s="8"/>
    </row>
    <row r="363">
      <c r="A363" s="8"/>
      <c r="B363" s="8"/>
      <c r="C363" s="8"/>
      <c r="D363" s="8"/>
      <c r="E363" s="8"/>
      <c r="F363" s="8"/>
      <c r="G363" s="8"/>
      <c r="H363" s="8"/>
      <c r="I363" s="8"/>
      <c r="J363" s="8"/>
      <c r="K363" s="8"/>
      <c r="L363" s="8"/>
      <c r="M363" s="8"/>
      <c r="N363" s="8"/>
      <c r="O363" s="8"/>
      <c r="P363" s="8"/>
      <c r="Q363" s="8"/>
      <c r="R363" s="8"/>
      <c r="S363" s="8"/>
      <c r="T363" s="8"/>
      <c r="U363" s="8"/>
      <c r="V363" s="8"/>
      <c r="W363" s="8"/>
    </row>
    <row r="364">
      <c r="A364" s="8"/>
      <c r="B364" s="8"/>
      <c r="C364" s="8"/>
      <c r="D364" s="8"/>
      <c r="E364" s="8"/>
      <c r="F364" s="8"/>
      <c r="G364" s="8"/>
      <c r="H364" s="8"/>
      <c r="I364" s="8"/>
      <c r="J364" s="8"/>
      <c r="K364" s="8"/>
      <c r="L364" s="8"/>
      <c r="M364" s="8"/>
      <c r="N364" s="8"/>
      <c r="O364" s="8"/>
      <c r="P364" s="8"/>
      <c r="Q364" s="8"/>
      <c r="R364" s="8"/>
      <c r="S364" s="8"/>
      <c r="T364" s="8"/>
      <c r="U364" s="8"/>
      <c r="V364" s="8"/>
      <c r="W364" s="8"/>
    </row>
    <row r="365">
      <c r="A365" s="8"/>
      <c r="B365" s="8"/>
      <c r="C365" s="8"/>
      <c r="D365" s="8"/>
      <c r="E365" s="8"/>
      <c r="F365" s="8"/>
      <c r="G365" s="8"/>
      <c r="H365" s="8"/>
      <c r="I365" s="8"/>
      <c r="J365" s="8"/>
      <c r="K365" s="8"/>
      <c r="L365" s="8"/>
      <c r="M365" s="8"/>
      <c r="N365" s="8"/>
      <c r="O365" s="8"/>
      <c r="P365" s="8"/>
      <c r="Q365" s="8"/>
      <c r="R365" s="8"/>
      <c r="S365" s="8"/>
      <c r="T365" s="8"/>
      <c r="U365" s="8"/>
      <c r="V365" s="8"/>
      <c r="W365" s="8"/>
    </row>
    <row r="366">
      <c r="A366" s="8"/>
      <c r="B366" s="8"/>
      <c r="C366" s="8"/>
      <c r="D366" s="8"/>
      <c r="E366" s="8"/>
      <c r="F366" s="8"/>
      <c r="G366" s="8"/>
      <c r="H366" s="8"/>
      <c r="I366" s="8"/>
      <c r="J366" s="8"/>
      <c r="K366" s="8"/>
      <c r="L366" s="8"/>
      <c r="M366" s="8"/>
      <c r="N366" s="8"/>
      <c r="O366" s="8"/>
      <c r="P366" s="8"/>
      <c r="Q366" s="8"/>
      <c r="R366" s="8"/>
      <c r="S366" s="8"/>
      <c r="T366" s="8"/>
      <c r="U366" s="8"/>
      <c r="V366" s="8"/>
      <c r="W366" s="8"/>
    </row>
    <row r="367">
      <c r="A367" s="8"/>
      <c r="B367" s="8"/>
      <c r="C367" s="8"/>
      <c r="D367" s="8"/>
      <c r="E367" s="8"/>
      <c r="F367" s="8"/>
      <c r="G367" s="8"/>
      <c r="H367" s="8"/>
      <c r="I367" s="8"/>
      <c r="J367" s="8"/>
      <c r="K367" s="8"/>
      <c r="L367" s="8"/>
      <c r="M367" s="8"/>
      <c r="N367" s="8"/>
      <c r="O367" s="8"/>
      <c r="P367" s="8"/>
      <c r="Q367" s="8"/>
      <c r="R367" s="8"/>
      <c r="S367" s="8"/>
      <c r="T367" s="8"/>
      <c r="U367" s="8"/>
      <c r="V367" s="8"/>
      <c r="W367" s="8"/>
    </row>
    <row r="368">
      <c r="A368" s="8"/>
      <c r="B368" s="8"/>
      <c r="C368" s="8"/>
      <c r="D368" s="8"/>
      <c r="E368" s="8"/>
      <c r="F368" s="8"/>
      <c r="G368" s="8"/>
      <c r="H368" s="8"/>
      <c r="I368" s="8"/>
      <c r="J368" s="8"/>
      <c r="K368" s="8"/>
      <c r="L368" s="8"/>
      <c r="M368" s="8"/>
      <c r="N368" s="8"/>
      <c r="O368" s="8"/>
      <c r="P368" s="8"/>
      <c r="Q368" s="8"/>
      <c r="R368" s="8"/>
      <c r="S368" s="8"/>
      <c r="T368" s="8"/>
      <c r="U368" s="8"/>
      <c r="V368" s="8"/>
      <c r="W368" s="8"/>
    </row>
    <row r="369">
      <c r="A369" s="8"/>
      <c r="B369" s="8"/>
      <c r="C369" s="8"/>
      <c r="D369" s="8"/>
      <c r="E369" s="8"/>
      <c r="F369" s="8"/>
      <c r="G369" s="8"/>
      <c r="H369" s="8"/>
      <c r="I369" s="8"/>
      <c r="J369" s="8"/>
      <c r="K369" s="8"/>
      <c r="L369" s="8"/>
      <c r="M369" s="8"/>
      <c r="N369" s="8"/>
      <c r="O369" s="8"/>
      <c r="P369" s="8"/>
      <c r="Q369" s="8"/>
      <c r="R369" s="8"/>
      <c r="S369" s="8"/>
      <c r="T369" s="8"/>
      <c r="U369" s="8"/>
      <c r="V369" s="8"/>
      <c r="W369" s="8"/>
    </row>
    <row r="370">
      <c r="A370" s="8"/>
      <c r="B370" s="8"/>
      <c r="C370" s="8"/>
      <c r="D370" s="8"/>
      <c r="E370" s="8"/>
      <c r="F370" s="8"/>
      <c r="G370" s="8"/>
      <c r="H370" s="8"/>
      <c r="I370" s="8"/>
      <c r="J370" s="8"/>
      <c r="K370" s="8"/>
      <c r="L370" s="8"/>
      <c r="M370" s="8"/>
      <c r="N370" s="8"/>
      <c r="O370" s="8"/>
      <c r="P370" s="8"/>
      <c r="Q370" s="8"/>
      <c r="R370" s="8"/>
      <c r="S370" s="8"/>
      <c r="T370" s="8"/>
      <c r="U370" s="8"/>
      <c r="V370" s="8"/>
      <c r="W370" s="8"/>
    </row>
    <row r="371">
      <c r="A371" s="8"/>
      <c r="B371" s="8"/>
      <c r="C371" s="8"/>
      <c r="D371" s="8"/>
      <c r="E371" s="8"/>
      <c r="F371" s="8"/>
      <c r="G371" s="8"/>
      <c r="H371" s="8"/>
      <c r="I371" s="8"/>
      <c r="J371" s="8"/>
      <c r="K371" s="8"/>
      <c r="L371" s="8"/>
      <c r="M371" s="8"/>
      <c r="N371" s="8"/>
      <c r="O371" s="8"/>
      <c r="P371" s="8"/>
      <c r="Q371" s="8"/>
      <c r="R371" s="8"/>
      <c r="S371" s="8"/>
      <c r="T371" s="8"/>
      <c r="U371" s="8"/>
      <c r="V371" s="8"/>
      <c r="W371" s="8"/>
    </row>
    <row r="372">
      <c r="A372" s="8"/>
      <c r="B372" s="8"/>
      <c r="C372" s="8"/>
      <c r="D372" s="8"/>
      <c r="E372" s="8"/>
      <c r="F372" s="8"/>
      <c r="G372" s="8"/>
      <c r="H372" s="8"/>
      <c r="I372" s="8"/>
      <c r="J372" s="8"/>
      <c r="K372" s="8"/>
      <c r="L372" s="8"/>
      <c r="M372" s="8"/>
      <c r="N372" s="8"/>
      <c r="O372" s="8"/>
      <c r="P372" s="8"/>
      <c r="Q372" s="8"/>
      <c r="R372" s="8"/>
      <c r="S372" s="8"/>
      <c r="T372" s="8"/>
      <c r="U372" s="8"/>
      <c r="V372" s="8"/>
      <c r="W372" s="8"/>
    </row>
    <row r="373">
      <c r="A373" s="8"/>
      <c r="B373" s="8"/>
      <c r="C373" s="8"/>
      <c r="D373" s="8"/>
      <c r="E373" s="8"/>
      <c r="F373" s="8"/>
      <c r="G373" s="8"/>
      <c r="H373" s="8"/>
      <c r="I373" s="8"/>
      <c r="J373" s="8"/>
      <c r="K373" s="8"/>
      <c r="L373" s="8"/>
      <c r="M373" s="8"/>
      <c r="N373" s="8"/>
      <c r="O373" s="8"/>
      <c r="P373" s="8"/>
      <c r="Q373" s="8"/>
      <c r="R373" s="8"/>
      <c r="S373" s="8"/>
      <c r="T373" s="8"/>
      <c r="U373" s="8"/>
      <c r="V373" s="8"/>
      <c r="W373" s="8"/>
    </row>
    <row r="374">
      <c r="A374" s="8"/>
      <c r="B374" s="8"/>
      <c r="C374" s="8"/>
      <c r="D374" s="8"/>
      <c r="E374" s="8"/>
      <c r="F374" s="8"/>
      <c r="G374" s="8"/>
      <c r="H374" s="8"/>
      <c r="I374" s="8"/>
      <c r="J374" s="8"/>
      <c r="K374" s="8"/>
      <c r="L374" s="8"/>
      <c r="M374" s="8"/>
      <c r="N374" s="8"/>
      <c r="O374" s="8"/>
      <c r="P374" s="8"/>
      <c r="Q374" s="8"/>
      <c r="R374" s="8"/>
      <c r="S374" s="8"/>
      <c r="T374" s="8"/>
      <c r="U374" s="8"/>
      <c r="V374" s="8"/>
      <c r="W374" s="8"/>
    </row>
    <row r="375">
      <c r="A375" s="8"/>
      <c r="B375" s="8"/>
      <c r="C375" s="8"/>
      <c r="D375" s="8"/>
      <c r="E375" s="8"/>
      <c r="F375" s="8"/>
      <c r="G375" s="8"/>
      <c r="H375" s="8"/>
      <c r="I375" s="8"/>
      <c r="J375" s="8"/>
      <c r="K375" s="8"/>
      <c r="L375" s="8"/>
      <c r="M375" s="8"/>
      <c r="N375" s="8"/>
      <c r="O375" s="8"/>
      <c r="P375" s="8"/>
      <c r="Q375" s="8"/>
      <c r="R375" s="8"/>
      <c r="S375" s="8"/>
      <c r="T375" s="8"/>
      <c r="U375" s="8"/>
      <c r="V375" s="8"/>
      <c r="W375" s="8"/>
    </row>
    <row r="376">
      <c r="A376" s="8"/>
      <c r="B376" s="8"/>
      <c r="C376" s="8"/>
      <c r="D376" s="8"/>
      <c r="E376" s="8"/>
      <c r="F376" s="8"/>
      <c r="G376" s="8"/>
      <c r="H376" s="8"/>
      <c r="I376" s="8"/>
      <c r="J376" s="8"/>
      <c r="K376" s="8"/>
      <c r="L376" s="8"/>
      <c r="M376" s="8"/>
      <c r="N376" s="8"/>
      <c r="O376" s="8"/>
      <c r="P376" s="8"/>
      <c r="Q376" s="8"/>
      <c r="R376" s="8"/>
      <c r="S376" s="8"/>
      <c r="T376" s="8"/>
      <c r="U376" s="8"/>
      <c r="V376" s="8"/>
      <c r="W376" s="8"/>
    </row>
    <row r="377">
      <c r="A377" s="8"/>
      <c r="B377" s="8"/>
      <c r="C377" s="8"/>
      <c r="D377" s="8"/>
      <c r="E377" s="8"/>
      <c r="F377" s="8"/>
      <c r="G377" s="8"/>
      <c r="H377" s="8"/>
      <c r="I377" s="8"/>
      <c r="J377" s="8"/>
      <c r="K377" s="8"/>
      <c r="L377" s="8"/>
      <c r="M377" s="8"/>
      <c r="N377" s="8"/>
      <c r="O377" s="8"/>
      <c r="P377" s="8"/>
      <c r="Q377" s="8"/>
      <c r="R377" s="8"/>
      <c r="S377" s="8"/>
      <c r="T377" s="8"/>
      <c r="U377" s="8"/>
      <c r="V377" s="8"/>
      <c r="W377" s="8"/>
    </row>
    <row r="378">
      <c r="A378" s="8"/>
      <c r="B378" s="8"/>
      <c r="C378" s="8"/>
      <c r="D378" s="8"/>
      <c r="E378" s="8"/>
      <c r="F378" s="8"/>
      <c r="G378" s="8"/>
      <c r="H378" s="8"/>
      <c r="I378" s="8"/>
      <c r="J378" s="8"/>
      <c r="K378" s="8"/>
      <c r="L378" s="8"/>
      <c r="M378" s="8"/>
      <c r="N378" s="8"/>
      <c r="O378" s="8"/>
      <c r="P378" s="8"/>
      <c r="Q378" s="8"/>
      <c r="R378" s="8"/>
      <c r="S378" s="8"/>
      <c r="T378" s="8"/>
      <c r="U378" s="8"/>
      <c r="V378" s="8"/>
      <c r="W378" s="8"/>
    </row>
    <row r="379">
      <c r="A379" s="8"/>
      <c r="B379" s="8"/>
      <c r="C379" s="8"/>
      <c r="D379" s="8"/>
      <c r="E379" s="8"/>
      <c r="F379" s="8"/>
      <c r="G379" s="8"/>
      <c r="H379" s="8"/>
      <c r="I379" s="8"/>
      <c r="J379" s="8"/>
      <c r="K379" s="8"/>
      <c r="L379" s="8"/>
      <c r="M379" s="8"/>
      <c r="N379" s="8"/>
      <c r="O379" s="8"/>
      <c r="P379" s="8"/>
      <c r="Q379" s="8"/>
      <c r="R379" s="8"/>
      <c r="S379" s="8"/>
      <c r="T379" s="8"/>
      <c r="U379" s="8"/>
      <c r="V379" s="8"/>
      <c r="W379" s="8"/>
    </row>
    <row r="380">
      <c r="A380" s="8"/>
      <c r="B380" s="8"/>
      <c r="C380" s="8"/>
      <c r="D380" s="8"/>
      <c r="E380" s="8"/>
      <c r="F380" s="8"/>
      <c r="G380" s="8"/>
      <c r="H380" s="8"/>
      <c r="I380" s="8"/>
      <c r="J380" s="8"/>
      <c r="K380" s="8"/>
      <c r="L380" s="8"/>
      <c r="M380" s="8"/>
      <c r="N380" s="8"/>
      <c r="O380" s="8"/>
      <c r="P380" s="8"/>
      <c r="Q380" s="8"/>
      <c r="R380" s="8"/>
      <c r="S380" s="8"/>
      <c r="T380" s="8"/>
      <c r="U380" s="8"/>
      <c r="V380" s="8"/>
      <c r="W380" s="8"/>
    </row>
    <row r="381">
      <c r="A381" s="8"/>
      <c r="B381" s="8"/>
      <c r="C381" s="8"/>
      <c r="D381" s="8"/>
      <c r="E381" s="8"/>
      <c r="F381" s="8"/>
      <c r="G381" s="8"/>
      <c r="H381" s="8"/>
      <c r="I381" s="8"/>
      <c r="J381" s="8"/>
      <c r="K381" s="8"/>
      <c r="L381" s="8"/>
      <c r="M381" s="8"/>
      <c r="N381" s="8"/>
      <c r="O381" s="8"/>
      <c r="P381" s="8"/>
      <c r="Q381" s="8"/>
      <c r="R381" s="8"/>
      <c r="S381" s="8"/>
      <c r="T381" s="8"/>
      <c r="U381" s="8"/>
      <c r="V381" s="8"/>
      <c r="W381" s="8"/>
    </row>
    <row r="382">
      <c r="A382" s="8"/>
      <c r="B382" s="8"/>
      <c r="C382" s="8"/>
      <c r="D382" s="8"/>
      <c r="E382" s="8"/>
      <c r="F382" s="8"/>
      <c r="G382" s="8"/>
      <c r="H382" s="8"/>
      <c r="I382" s="8"/>
      <c r="J382" s="8"/>
      <c r="K382" s="8"/>
      <c r="L382" s="8"/>
      <c r="M382" s="8"/>
      <c r="N382" s="8"/>
      <c r="O382" s="8"/>
      <c r="P382" s="8"/>
      <c r="Q382" s="8"/>
      <c r="R382" s="8"/>
      <c r="S382" s="8"/>
      <c r="T382" s="8"/>
      <c r="U382" s="8"/>
      <c r="V382" s="8"/>
      <c r="W382" s="8"/>
    </row>
    <row r="383">
      <c r="A383" s="8"/>
      <c r="B383" s="8"/>
      <c r="C383" s="8"/>
      <c r="D383" s="8"/>
      <c r="E383" s="8"/>
      <c r="F383" s="8"/>
      <c r="G383" s="8"/>
      <c r="H383" s="8"/>
      <c r="I383" s="8"/>
      <c r="J383" s="8"/>
      <c r="K383" s="8"/>
      <c r="L383" s="8"/>
      <c r="M383" s="8"/>
      <c r="N383" s="8"/>
      <c r="O383" s="8"/>
      <c r="P383" s="8"/>
      <c r="Q383" s="8"/>
      <c r="R383" s="8"/>
      <c r="S383" s="8"/>
      <c r="T383" s="8"/>
      <c r="U383" s="8"/>
      <c r="V383" s="8"/>
      <c r="W383" s="8"/>
    </row>
    <row r="384">
      <c r="A384" s="8"/>
      <c r="B384" s="8"/>
      <c r="C384" s="8"/>
      <c r="D384" s="8"/>
      <c r="E384" s="8"/>
      <c r="F384" s="8"/>
      <c r="G384" s="8"/>
      <c r="H384" s="8"/>
      <c r="I384" s="8"/>
      <c r="J384" s="8"/>
      <c r="K384" s="8"/>
      <c r="L384" s="8"/>
      <c r="M384" s="8"/>
      <c r="N384" s="8"/>
      <c r="O384" s="8"/>
      <c r="P384" s="8"/>
      <c r="Q384" s="8"/>
      <c r="R384" s="8"/>
      <c r="S384" s="8"/>
      <c r="T384" s="8"/>
      <c r="U384" s="8"/>
      <c r="V384" s="8"/>
      <c r="W384" s="8"/>
    </row>
    <row r="385">
      <c r="A385" s="8"/>
      <c r="B385" s="8"/>
      <c r="C385" s="8"/>
      <c r="D385" s="8"/>
      <c r="E385" s="8"/>
      <c r="F385" s="8"/>
      <c r="G385" s="8"/>
      <c r="H385" s="8"/>
      <c r="I385" s="8"/>
      <c r="J385" s="8"/>
      <c r="K385" s="8"/>
      <c r="L385" s="8"/>
      <c r="M385" s="8"/>
      <c r="N385" s="8"/>
      <c r="O385" s="8"/>
      <c r="P385" s="8"/>
      <c r="Q385" s="8"/>
      <c r="R385" s="8"/>
      <c r="S385" s="8"/>
      <c r="T385" s="8"/>
      <c r="U385" s="8"/>
      <c r="V385" s="8"/>
      <c r="W385" s="8"/>
    </row>
    <row r="386">
      <c r="A386" s="8"/>
      <c r="B386" s="8"/>
      <c r="C386" s="8"/>
      <c r="D386" s="8"/>
      <c r="E386" s="8"/>
      <c r="F386" s="8"/>
      <c r="G386" s="8"/>
      <c r="H386" s="8"/>
      <c r="I386" s="8"/>
      <c r="J386" s="8"/>
      <c r="K386" s="8"/>
      <c r="L386" s="8"/>
      <c r="M386" s="8"/>
      <c r="N386" s="8"/>
      <c r="O386" s="8"/>
      <c r="P386" s="8"/>
      <c r="Q386" s="8"/>
      <c r="R386" s="8"/>
      <c r="S386" s="8"/>
      <c r="T386" s="8"/>
      <c r="U386" s="8"/>
      <c r="V386" s="8"/>
      <c r="W386" s="8"/>
    </row>
    <row r="387">
      <c r="A387" s="8"/>
      <c r="B387" s="8"/>
      <c r="C387" s="8"/>
      <c r="D387" s="8"/>
      <c r="E387" s="8"/>
      <c r="F387" s="8"/>
      <c r="G387" s="8"/>
      <c r="H387" s="8"/>
      <c r="I387" s="8"/>
      <c r="J387" s="8"/>
      <c r="K387" s="8"/>
      <c r="L387" s="8"/>
      <c r="M387" s="8"/>
      <c r="N387" s="8"/>
      <c r="O387" s="8"/>
      <c r="P387" s="8"/>
      <c r="Q387" s="8"/>
      <c r="R387" s="8"/>
      <c r="S387" s="8"/>
      <c r="T387" s="8"/>
      <c r="U387" s="8"/>
      <c r="V387" s="8"/>
      <c r="W387" s="8"/>
    </row>
    <row r="388">
      <c r="A388" s="8"/>
      <c r="B388" s="8"/>
      <c r="C388" s="8"/>
      <c r="D388" s="8"/>
      <c r="E388" s="8"/>
      <c r="F388" s="8"/>
      <c r="G388" s="8"/>
      <c r="H388" s="8"/>
      <c r="I388" s="8"/>
      <c r="J388" s="8"/>
      <c r="K388" s="8"/>
      <c r="L388" s="8"/>
      <c r="M388" s="8"/>
      <c r="N388" s="8"/>
      <c r="O388" s="8"/>
      <c r="P388" s="8"/>
      <c r="Q388" s="8"/>
      <c r="R388" s="8"/>
      <c r="S388" s="8"/>
      <c r="T388" s="8"/>
      <c r="U388" s="8"/>
      <c r="V388" s="8"/>
      <c r="W388" s="8"/>
    </row>
    <row r="389">
      <c r="A389" s="8"/>
      <c r="B389" s="8"/>
      <c r="C389" s="8"/>
      <c r="D389" s="8"/>
      <c r="E389" s="8"/>
      <c r="F389" s="8"/>
      <c r="G389" s="8"/>
      <c r="H389" s="8"/>
      <c r="I389" s="8"/>
      <c r="J389" s="8"/>
      <c r="K389" s="8"/>
      <c r="L389" s="8"/>
      <c r="M389" s="8"/>
      <c r="N389" s="8"/>
      <c r="O389" s="8"/>
      <c r="P389" s="8"/>
      <c r="Q389" s="8"/>
      <c r="R389" s="8"/>
      <c r="S389" s="8"/>
      <c r="T389" s="8"/>
      <c r="U389" s="8"/>
      <c r="V389" s="8"/>
      <c r="W389" s="8"/>
    </row>
    <row r="390">
      <c r="A390" s="8"/>
      <c r="B390" s="8"/>
      <c r="C390" s="8"/>
      <c r="D390" s="8"/>
      <c r="E390" s="8"/>
      <c r="F390" s="8"/>
      <c r="G390" s="8"/>
      <c r="H390" s="8"/>
      <c r="I390" s="8"/>
      <c r="J390" s="8"/>
      <c r="K390" s="8"/>
      <c r="L390" s="8"/>
      <c r="M390" s="8"/>
      <c r="N390" s="8"/>
      <c r="O390" s="8"/>
      <c r="P390" s="8"/>
      <c r="Q390" s="8"/>
      <c r="R390" s="8"/>
      <c r="S390" s="8"/>
      <c r="T390" s="8"/>
      <c r="U390" s="8"/>
      <c r="V390" s="8"/>
      <c r="W390" s="8"/>
    </row>
    <row r="391">
      <c r="A391" s="8"/>
      <c r="B391" s="8"/>
      <c r="C391" s="8"/>
      <c r="D391" s="8"/>
      <c r="E391" s="8"/>
      <c r="F391" s="8"/>
      <c r="G391" s="8"/>
      <c r="H391" s="8"/>
      <c r="I391" s="8"/>
      <c r="J391" s="8"/>
      <c r="K391" s="8"/>
      <c r="L391" s="8"/>
      <c r="M391" s="8"/>
      <c r="N391" s="8"/>
      <c r="O391" s="8"/>
      <c r="P391" s="8"/>
      <c r="Q391" s="8"/>
      <c r="R391" s="8"/>
      <c r="S391" s="8"/>
      <c r="T391" s="8"/>
      <c r="U391" s="8"/>
      <c r="V391" s="8"/>
      <c r="W391" s="8"/>
    </row>
    <row r="392">
      <c r="A392" s="8"/>
      <c r="B392" s="8"/>
      <c r="C392" s="8"/>
      <c r="D392" s="8"/>
      <c r="E392" s="8"/>
      <c r="F392" s="8"/>
      <c r="G392" s="8"/>
      <c r="H392" s="8"/>
      <c r="I392" s="8"/>
      <c r="J392" s="8"/>
      <c r="K392" s="8"/>
      <c r="L392" s="8"/>
      <c r="M392" s="8"/>
      <c r="N392" s="8"/>
      <c r="O392" s="8"/>
      <c r="P392" s="8"/>
      <c r="Q392" s="8"/>
      <c r="R392" s="8"/>
      <c r="S392" s="8"/>
      <c r="T392" s="8"/>
      <c r="U392" s="8"/>
      <c r="V392" s="8"/>
      <c r="W392" s="8"/>
    </row>
    <row r="393">
      <c r="A393" s="8"/>
      <c r="B393" s="8"/>
      <c r="C393" s="8"/>
      <c r="D393" s="8"/>
      <c r="E393" s="8"/>
      <c r="F393" s="8"/>
      <c r="G393" s="8"/>
      <c r="H393" s="8"/>
      <c r="I393" s="8"/>
      <c r="J393" s="8"/>
      <c r="K393" s="8"/>
      <c r="L393" s="8"/>
      <c r="M393" s="8"/>
      <c r="N393" s="8"/>
      <c r="O393" s="8"/>
      <c r="P393" s="8"/>
      <c r="Q393" s="8"/>
      <c r="R393" s="8"/>
      <c r="S393" s="8"/>
      <c r="T393" s="8"/>
      <c r="U393" s="8"/>
      <c r="V393" s="8"/>
      <c r="W393" s="8"/>
    </row>
    <row r="394">
      <c r="A394" s="8"/>
      <c r="B394" s="8"/>
      <c r="C394" s="8"/>
      <c r="D394" s="8"/>
      <c r="E394" s="8"/>
      <c r="F394" s="8"/>
      <c r="G394" s="8"/>
      <c r="H394" s="8"/>
      <c r="I394" s="8"/>
      <c r="J394" s="8"/>
      <c r="K394" s="8"/>
      <c r="L394" s="8"/>
      <c r="M394" s="8"/>
      <c r="N394" s="8"/>
      <c r="O394" s="8"/>
      <c r="P394" s="8"/>
      <c r="Q394" s="8"/>
      <c r="R394" s="8"/>
      <c r="S394" s="8"/>
      <c r="T394" s="8"/>
      <c r="U394" s="8"/>
      <c r="V394" s="8"/>
      <c r="W394" s="8"/>
    </row>
    <row r="395">
      <c r="A395" s="8"/>
      <c r="B395" s="8"/>
      <c r="C395" s="8"/>
      <c r="D395" s="8"/>
      <c r="E395" s="8"/>
      <c r="F395" s="8"/>
      <c r="G395" s="8"/>
      <c r="H395" s="8"/>
      <c r="I395" s="8"/>
      <c r="J395" s="8"/>
      <c r="K395" s="8"/>
      <c r="L395" s="8"/>
      <c r="M395" s="8"/>
      <c r="N395" s="8"/>
      <c r="O395" s="8"/>
      <c r="P395" s="8"/>
      <c r="Q395" s="8"/>
      <c r="R395" s="8"/>
      <c r="S395" s="8"/>
      <c r="T395" s="8"/>
      <c r="U395" s="8"/>
      <c r="V395" s="8"/>
      <c r="W395" s="8"/>
    </row>
    <row r="396">
      <c r="A396" s="8"/>
      <c r="B396" s="8"/>
      <c r="C396" s="8"/>
      <c r="D396" s="8"/>
      <c r="E396" s="8"/>
      <c r="F396" s="8"/>
      <c r="G396" s="8"/>
      <c r="H396" s="8"/>
      <c r="I396" s="8"/>
      <c r="J396" s="8"/>
      <c r="K396" s="8"/>
      <c r="L396" s="8"/>
      <c r="M396" s="8"/>
      <c r="N396" s="8"/>
      <c r="O396" s="8"/>
      <c r="P396" s="8"/>
      <c r="Q396" s="8"/>
      <c r="R396" s="8"/>
      <c r="S396" s="8"/>
      <c r="T396" s="8"/>
      <c r="U396" s="8"/>
      <c r="V396" s="8"/>
      <c r="W396" s="8"/>
    </row>
    <row r="397">
      <c r="A397" s="8"/>
      <c r="B397" s="8"/>
      <c r="C397" s="8"/>
      <c r="D397" s="8"/>
      <c r="E397" s="8"/>
      <c r="F397" s="8"/>
      <c r="G397" s="8"/>
      <c r="H397" s="8"/>
      <c r="I397" s="8"/>
      <c r="J397" s="8"/>
      <c r="K397" s="8"/>
      <c r="L397" s="8"/>
      <c r="M397" s="8"/>
      <c r="N397" s="8"/>
      <c r="O397" s="8"/>
      <c r="P397" s="8"/>
      <c r="Q397" s="8"/>
      <c r="R397" s="8"/>
      <c r="S397" s="8"/>
      <c r="T397" s="8"/>
      <c r="U397" s="8"/>
      <c r="V397" s="8"/>
      <c r="W397" s="8"/>
    </row>
    <row r="398">
      <c r="A398" s="8"/>
      <c r="B398" s="8"/>
      <c r="C398" s="8"/>
      <c r="D398" s="8"/>
      <c r="E398" s="8"/>
      <c r="F398" s="8"/>
      <c r="G398" s="8"/>
      <c r="H398" s="8"/>
      <c r="I398" s="8"/>
      <c r="J398" s="8"/>
      <c r="K398" s="8"/>
      <c r="L398" s="8"/>
      <c r="M398" s="8"/>
      <c r="N398" s="8"/>
      <c r="O398" s="8"/>
      <c r="P398" s="8"/>
      <c r="Q398" s="8"/>
      <c r="R398" s="8"/>
      <c r="S398" s="8"/>
      <c r="T398" s="8"/>
      <c r="U398" s="8"/>
      <c r="V398" s="8"/>
      <c r="W398" s="8"/>
    </row>
    <row r="399">
      <c r="A399" s="8"/>
      <c r="B399" s="8"/>
      <c r="C399" s="8"/>
      <c r="D399" s="8"/>
      <c r="E399" s="8"/>
      <c r="F399" s="8"/>
      <c r="G399" s="8"/>
      <c r="H399" s="8"/>
      <c r="I399" s="8"/>
      <c r="J399" s="8"/>
      <c r="K399" s="8"/>
      <c r="L399" s="8"/>
      <c r="M399" s="8"/>
      <c r="N399" s="8"/>
      <c r="O399" s="8"/>
      <c r="P399" s="8"/>
      <c r="Q399" s="8"/>
      <c r="R399" s="8"/>
      <c r="S399" s="8"/>
      <c r="T399" s="8"/>
      <c r="U399" s="8"/>
      <c r="V399" s="8"/>
      <c r="W399" s="8"/>
    </row>
    <row r="400">
      <c r="A400" s="8"/>
      <c r="B400" s="8"/>
      <c r="C400" s="8"/>
      <c r="D400" s="8"/>
      <c r="E400" s="8"/>
      <c r="F400" s="8"/>
      <c r="G400" s="8"/>
      <c r="H400" s="8"/>
      <c r="I400" s="8"/>
      <c r="J400" s="8"/>
      <c r="K400" s="8"/>
      <c r="L400" s="8"/>
      <c r="M400" s="8"/>
      <c r="N400" s="8"/>
      <c r="O400" s="8"/>
      <c r="P400" s="8"/>
      <c r="Q400" s="8"/>
      <c r="R400" s="8"/>
      <c r="S400" s="8"/>
      <c r="T400" s="8"/>
      <c r="U400" s="8"/>
      <c r="V400" s="8"/>
      <c r="W400" s="8"/>
    </row>
    <row r="401">
      <c r="A401" s="8"/>
      <c r="B401" s="8"/>
      <c r="C401" s="8"/>
      <c r="D401" s="8"/>
      <c r="E401" s="8"/>
      <c r="F401" s="8"/>
      <c r="G401" s="8"/>
      <c r="H401" s="8"/>
      <c r="I401" s="8"/>
      <c r="J401" s="8"/>
      <c r="K401" s="8"/>
      <c r="L401" s="8"/>
      <c r="M401" s="8"/>
      <c r="N401" s="8"/>
      <c r="O401" s="8"/>
      <c r="P401" s="8"/>
      <c r="Q401" s="8"/>
      <c r="R401" s="8"/>
      <c r="S401" s="8"/>
      <c r="T401" s="8"/>
      <c r="U401" s="8"/>
      <c r="V401" s="8"/>
      <c r="W401" s="8"/>
    </row>
    <row r="402">
      <c r="A402" s="8"/>
      <c r="B402" s="8"/>
      <c r="C402" s="8"/>
      <c r="D402" s="8"/>
      <c r="E402" s="8"/>
      <c r="F402" s="8"/>
      <c r="G402" s="8"/>
      <c r="H402" s="8"/>
      <c r="I402" s="8"/>
      <c r="J402" s="8"/>
      <c r="K402" s="8"/>
      <c r="L402" s="8"/>
      <c r="M402" s="8"/>
      <c r="N402" s="8"/>
      <c r="O402" s="8"/>
      <c r="P402" s="8"/>
      <c r="Q402" s="8"/>
      <c r="R402" s="8"/>
      <c r="S402" s="8"/>
      <c r="T402" s="8"/>
      <c r="U402" s="8"/>
      <c r="V402" s="8"/>
      <c r="W402" s="8"/>
    </row>
    <row r="403">
      <c r="A403" s="8"/>
      <c r="B403" s="8"/>
      <c r="C403" s="8"/>
      <c r="D403" s="8"/>
      <c r="E403" s="8"/>
      <c r="F403" s="8"/>
      <c r="G403" s="8"/>
      <c r="H403" s="8"/>
      <c r="I403" s="8"/>
      <c r="J403" s="8"/>
      <c r="K403" s="8"/>
      <c r="L403" s="8"/>
      <c r="M403" s="8"/>
      <c r="N403" s="8"/>
      <c r="O403" s="8"/>
      <c r="P403" s="8"/>
      <c r="Q403" s="8"/>
      <c r="R403" s="8"/>
      <c r="S403" s="8"/>
      <c r="T403" s="8"/>
      <c r="U403" s="8"/>
      <c r="V403" s="8"/>
      <c r="W403" s="8"/>
    </row>
    <row r="404">
      <c r="A404" s="8"/>
      <c r="B404" s="8"/>
      <c r="C404" s="8"/>
      <c r="D404" s="8"/>
      <c r="E404" s="8"/>
      <c r="F404" s="8"/>
      <c r="G404" s="8"/>
      <c r="H404" s="8"/>
      <c r="I404" s="8"/>
      <c r="J404" s="8"/>
      <c r="K404" s="8"/>
      <c r="L404" s="8"/>
      <c r="M404" s="8"/>
      <c r="N404" s="8"/>
      <c r="O404" s="8"/>
      <c r="P404" s="8"/>
      <c r="Q404" s="8"/>
      <c r="R404" s="8"/>
      <c r="S404" s="8"/>
      <c r="T404" s="8"/>
      <c r="U404" s="8"/>
      <c r="V404" s="8"/>
      <c r="W404" s="8"/>
    </row>
    <row r="405">
      <c r="A405" s="8"/>
      <c r="B405" s="8"/>
      <c r="C405" s="8"/>
      <c r="D405" s="8"/>
      <c r="E405" s="8"/>
      <c r="F405" s="8"/>
      <c r="G405" s="8"/>
      <c r="H405" s="8"/>
      <c r="I405" s="8"/>
      <c r="J405" s="8"/>
      <c r="K405" s="8"/>
      <c r="L405" s="8"/>
      <c r="M405" s="8"/>
      <c r="N405" s="8"/>
      <c r="O405" s="8"/>
      <c r="P405" s="8"/>
      <c r="Q405" s="8"/>
      <c r="R405" s="8"/>
      <c r="S405" s="8"/>
      <c r="T405" s="8"/>
      <c r="U405" s="8"/>
      <c r="V405" s="8"/>
      <c r="W405" s="8"/>
    </row>
    <row r="406">
      <c r="A406" s="8"/>
      <c r="B406" s="8"/>
      <c r="C406" s="8"/>
      <c r="D406" s="8"/>
      <c r="E406" s="8"/>
      <c r="F406" s="8"/>
      <c r="G406" s="8"/>
      <c r="H406" s="8"/>
      <c r="I406" s="8"/>
      <c r="J406" s="8"/>
      <c r="K406" s="8"/>
      <c r="L406" s="8"/>
      <c r="M406" s="8"/>
      <c r="N406" s="8"/>
      <c r="O406" s="8"/>
      <c r="P406" s="8"/>
      <c r="Q406" s="8"/>
      <c r="R406" s="8"/>
      <c r="S406" s="8"/>
      <c r="T406" s="8"/>
      <c r="U406" s="8"/>
      <c r="V406" s="8"/>
      <c r="W406" s="8"/>
    </row>
    <row r="407">
      <c r="A407" s="8"/>
      <c r="B407" s="8"/>
      <c r="C407" s="8"/>
      <c r="D407" s="8"/>
      <c r="E407" s="8"/>
      <c r="F407" s="8"/>
      <c r="G407" s="8"/>
      <c r="H407" s="8"/>
      <c r="I407" s="8"/>
      <c r="J407" s="8"/>
      <c r="K407" s="8"/>
      <c r="L407" s="8"/>
      <c r="M407" s="8"/>
      <c r="N407" s="8"/>
      <c r="O407" s="8"/>
      <c r="P407" s="8"/>
      <c r="Q407" s="8"/>
      <c r="R407" s="8"/>
      <c r="S407" s="8"/>
      <c r="T407" s="8"/>
      <c r="U407" s="8"/>
      <c r="V407" s="8"/>
      <c r="W407" s="8"/>
    </row>
    <row r="408">
      <c r="A408" s="8"/>
      <c r="B408" s="8"/>
      <c r="C408" s="8"/>
      <c r="D408" s="8"/>
      <c r="E408" s="8"/>
      <c r="F408" s="8"/>
      <c r="G408" s="8"/>
      <c r="H408" s="8"/>
      <c r="I408" s="8"/>
      <c r="J408" s="8"/>
      <c r="K408" s="8"/>
      <c r="L408" s="8"/>
      <c r="M408" s="8"/>
      <c r="N408" s="8"/>
      <c r="O408" s="8"/>
      <c r="P408" s="8"/>
      <c r="Q408" s="8"/>
      <c r="R408" s="8"/>
      <c r="S408" s="8"/>
      <c r="T408" s="8"/>
      <c r="U408" s="8"/>
      <c r="V408" s="8"/>
      <c r="W408" s="8"/>
    </row>
    <row r="409">
      <c r="A409" s="8"/>
      <c r="B409" s="8"/>
      <c r="C409" s="8"/>
      <c r="D409" s="8"/>
      <c r="E409" s="8"/>
      <c r="F409" s="8"/>
      <c r="G409" s="8"/>
      <c r="H409" s="8"/>
      <c r="I409" s="8"/>
      <c r="J409" s="8"/>
      <c r="K409" s="8"/>
      <c r="L409" s="8"/>
      <c r="M409" s="8"/>
      <c r="N409" s="8"/>
      <c r="O409" s="8"/>
      <c r="P409" s="8"/>
      <c r="Q409" s="8"/>
      <c r="R409" s="8"/>
      <c r="S409" s="8"/>
      <c r="T409" s="8"/>
      <c r="U409" s="8"/>
      <c r="V409" s="8"/>
      <c r="W409" s="8"/>
    </row>
    <row r="410">
      <c r="A410" s="8"/>
      <c r="B410" s="8"/>
      <c r="C410" s="8"/>
      <c r="D410" s="8"/>
      <c r="E410" s="8"/>
      <c r="F410" s="8"/>
      <c r="G410" s="8"/>
      <c r="H410" s="8"/>
      <c r="I410" s="8"/>
      <c r="J410" s="8"/>
      <c r="K410" s="8"/>
      <c r="L410" s="8"/>
      <c r="M410" s="8"/>
      <c r="N410" s="8"/>
      <c r="O410" s="8"/>
      <c r="P410" s="8"/>
      <c r="Q410" s="8"/>
      <c r="R410" s="8"/>
      <c r="S410" s="8"/>
      <c r="T410" s="8"/>
      <c r="U410" s="8"/>
      <c r="V410" s="8"/>
      <c r="W410" s="8"/>
    </row>
    <row r="411">
      <c r="A411" s="8"/>
      <c r="B411" s="8"/>
      <c r="C411" s="8"/>
      <c r="D411" s="8"/>
      <c r="E411" s="8"/>
      <c r="F411" s="8"/>
      <c r="G411" s="8"/>
      <c r="H411" s="8"/>
      <c r="I411" s="8"/>
      <c r="J411" s="8"/>
      <c r="K411" s="8"/>
      <c r="L411" s="8"/>
      <c r="M411" s="8"/>
      <c r="N411" s="8"/>
      <c r="O411" s="8"/>
      <c r="P411" s="8"/>
      <c r="Q411" s="8"/>
      <c r="R411" s="8"/>
      <c r="S411" s="8"/>
      <c r="T411" s="8"/>
      <c r="U411" s="8"/>
      <c r="V411" s="8"/>
      <c r="W411" s="8"/>
    </row>
    <row r="412">
      <c r="A412" s="8"/>
      <c r="B412" s="8"/>
      <c r="C412" s="8"/>
      <c r="D412" s="8"/>
      <c r="E412" s="8"/>
      <c r="F412" s="8"/>
      <c r="G412" s="8"/>
      <c r="H412" s="8"/>
      <c r="I412" s="8"/>
      <c r="J412" s="8"/>
      <c r="K412" s="8"/>
      <c r="L412" s="8"/>
      <c r="M412" s="8"/>
      <c r="N412" s="8"/>
      <c r="O412" s="8"/>
      <c r="P412" s="8"/>
      <c r="Q412" s="8"/>
      <c r="R412" s="8"/>
      <c r="S412" s="8"/>
      <c r="T412" s="8"/>
      <c r="U412" s="8"/>
      <c r="V412" s="8"/>
      <c r="W412" s="8"/>
    </row>
    <row r="413">
      <c r="A413" s="8"/>
      <c r="B413" s="8"/>
      <c r="C413" s="8"/>
      <c r="D413" s="8"/>
      <c r="E413" s="8"/>
      <c r="F413" s="8"/>
      <c r="G413" s="8"/>
      <c r="H413" s="8"/>
      <c r="I413" s="8"/>
      <c r="J413" s="8"/>
      <c r="K413" s="8"/>
      <c r="L413" s="8"/>
      <c r="M413" s="8"/>
      <c r="N413" s="8"/>
      <c r="O413" s="8"/>
      <c r="P413" s="8"/>
      <c r="Q413" s="8"/>
      <c r="R413" s="8"/>
      <c r="S413" s="8"/>
      <c r="T413" s="8"/>
      <c r="U413" s="8"/>
      <c r="V413" s="8"/>
      <c r="W413" s="8"/>
    </row>
    <row r="414">
      <c r="A414" s="8"/>
      <c r="B414" s="8"/>
      <c r="C414" s="8"/>
      <c r="D414" s="8"/>
      <c r="E414" s="8"/>
      <c r="F414" s="8"/>
      <c r="G414" s="8"/>
      <c r="H414" s="8"/>
      <c r="I414" s="8"/>
      <c r="J414" s="8"/>
      <c r="K414" s="8"/>
      <c r="L414" s="8"/>
      <c r="M414" s="8"/>
      <c r="N414" s="8"/>
      <c r="O414" s="8"/>
      <c r="P414" s="8"/>
      <c r="Q414" s="8"/>
      <c r="R414" s="8"/>
      <c r="S414" s="8"/>
      <c r="T414" s="8"/>
      <c r="U414" s="8"/>
      <c r="V414" s="8"/>
      <c r="W414" s="8"/>
    </row>
    <row r="415">
      <c r="A415" s="8"/>
      <c r="B415" s="8"/>
      <c r="C415" s="8"/>
      <c r="D415" s="8"/>
      <c r="E415" s="8"/>
      <c r="F415" s="8"/>
      <c r="G415" s="8"/>
      <c r="H415" s="8"/>
      <c r="I415" s="8"/>
      <c r="J415" s="8"/>
      <c r="K415" s="8"/>
      <c r="L415" s="8"/>
      <c r="M415" s="8"/>
      <c r="N415" s="8"/>
      <c r="O415" s="8"/>
      <c r="P415" s="8"/>
      <c r="Q415" s="8"/>
      <c r="R415" s="8"/>
      <c r="S415" s="8"/>
      <c r="T415" s="8"/>
      <c r="U415" s="8"/>
      <c r="V415" s="8"/>
      <c r="W415" s="8"/>
    </row>
    <row r="416">
      <c r="A416" s="8"/>
      <c r="B416" s="8"/>
      <c r="C416" s="8"/>
      <c r="D416" s="8"/>
      <c r="E416" s="8"/>
      <c r="F416" s="8"/>
      <c r="G416" s="8"/>
      <c r="H416" s="8"/>
      <c r="I416" s="8"/>
      <c r="J416" s="8"/>
      <c r="K416" s="8"/>
      <c r="L416" s="8"/>
      <c r="M416" s="8"/>
      <c r="N416" s="8"/>
      <c r="O416" s="8"/>
      <c r="P416" s="8"/>
      <c r="Q416" s="8"/>
      <c r="R416" s="8"/>
      <c r="S416" s="8"/>
      <c r="T416" s="8"/>
      <c r="U416" s="8"/>
      <c r="V416" s="8"/>
      <c r="W416" s="8"/>
    </row>
    <row r="417">
      <c r="A417" s="8"/>
      <c r="B417" s="8"/>
      <c r="C417" s="8"/>
      <c r="D417" s="8"/>
      <c r="E417" s="8"/>
      <c r="F417" s="8"/>
      <c r="G417" s="8"/>
      <c r="H417" s="8"/>
      <c r="I417" s="8"/>
      <c r="J417" s="8"/>
      <c r="K417" s="8"/>
      <c r="L417" s="8"/>
      <c r="M417" s="8"/>
      <c r="N417" s="8"/>
      <c r="O417" s="8"/>
      <c r="P417" s="8"/>
      <c r="Q417" s="8"/>
      <c r="R417" s="8"/>
      <c r="S417" s="8"/>
      <c r="T417" s="8"/>
      <c r="U417" s="8"/>
      <c r="V417" s="8"/>
      <c r="W417" s="8"/>
    </row>
    <row r="418">
      <c r="A418" s="8"/>
      <c r="B418" s="8"/>
      <c r="C418" s="8"/>
      <c r="D418" s="8"/>
      <c r="E418" s="8"/>
      <c r="F418" s="8"/>
      <c r="G418" s="8"/>
      <c r="H418" s="8"/>
      <c r="I418" s="8"/>
      <c r="J418" s="8"/>
      <c r="K418" s="8"/>
      <c r="L418" s="8"/>
      <c r="M418" s="8"/>
      <c r="N418" s="8"/>
      <c r="O418" s="8"/>
      <c r="P418" s="8"/>
      <c r="Q418" s="8"/>
      <c r="R418" s="8"/>
      <c r="S418" s="8"/>
      <c r="T418" s="8"/>
      <c r="U418" s="8"/>
      <c r="V418" s="8"/>
      <c r="W418" s="8"/>
    </row>
    <row r="419">
      <c r="A419" s="8"/>
      <c r="B419" s="8"/>
      <c r="C419" s="8"/>
      <c r="D419" s="8"/>
      <c r="E419" s="8"/>
      <c r="F419" s="8"/>
      <c r="G419" s="8"/>
      <c r="H419" s="8"/>
      <c r="I419" s="8"/>
      <c r="J419" s="8"/>
      <c r="K419" s="8"/>
      <c r="L419" s="8"/>
      <c r="M419" s="8"/>
      <c r="N419" s="8"/>
      <c r="O419" s="8"/>
      <c r="P419" s="8"/>
      <c r="Q419" s="8"/>
      <c r="R419" s="8"/>
      <c r="S419" s="8"/>
      <c r="T419" s="8"/>
      <c r="U419" s="8"/>
      <c r="V419" s="8"/>
      <c r="W419" s="8"/>
    </row>
    <row r="420">
      <c r="A420" s="8"/>
      <c r="B420" s="8"/>
      <c r="C420" s="8"/>
      <c r="D420" s="8"/>
      <c r="E420" s="8"/>
      <c r="F420" s="8"/>
      <c r="G420" s="8"/>
      <c r="H420" s="8"/>
      <c r="I420" s="8"/>
      <c r="J420" s="8"/>
      <c r="K420" s="8"/>
      <c r="L420" s="8"/>
      <c r="M420" s="8"/>
      <c r="N420" s="8"/>
      <c r="O420" s="8"/>
      <c r="P420" s="8"/>
      <c r="Q420" s="8"/>
      <c r="R420" s="8"/>
      <c r="S420" s="8"/>
      <c r="T420" s="8"/>
      <c r="U420" s="8"/>
      <c r="V420" s="8"/>
      <c r="W420" s="8"/>
    </row>
    <row r="421">
      <c r="A421" s="8"/>
      <c r="B421" s="8"/>
      <c r="C421" s="8"/>
      <c r="D421" s="8"/>
      <c r="E421" s="8"/>
      <c r="F421" s="8"/>
      <c r="G421" s="8"/>
      <c r="H421" s="8"/>
      <c r="I421" s="8"/>
      <c r="J421" s="8"/>
      <c r="K421" s="8"/>
      <c r="L421" s="8"/>
      <c r="M421" s="8"/>
      <c r="N421" s="8"/>
      <c r="O421" s="8"/>
      <c r="P421" s="8"/>
      <c r="Q421" s="8"/>
      <c r="R421" s="8"/>
      <c r="S421" s="8"/>
      <c r="T421" s="8"/>
      <c r="U421" s="8"/>
      <c r="V421" s="8"/>
      <c r="W421" s="8"/>
    </row>
    <row r="422">
      <c r="A422" s="8"/>
      <c r="B422" s="8"/>
      <c r="C422" s="8"/>
      <c r="D422" s="8"/>
      <c r="E422" s="8"/>
      <c r="F422" s="8"/>
      <c r="G422" s="8"/>
      <c r="H422" s="8"/>
      <c r="I422" s="8"/>
      <c r="J422" s="8"/>
      <c r="K422" s="8"/>
      <c r="L422" s="8"/>
      <c r="M422" s="8"/>
      <c r="N422" s="8"/>
      <c r="O422" s="8"/>
      <c r="P422" s="8"/>
      <c r="Q422" s="8"/>
      <c r="R422" s="8"/>
      <c r="S422" s="8"/>
      <c r="T422" s="8"/>
      <c r="U422" s="8"/>
      <c r="V422" s="8"/>
      <c r="W422" s="8"/>
    </row>
    <row r="423">
      <c r="A423" s="8"/>
      <c r="B423" s="8"/>
      <c r="C423" s="8"/>
      <c r="D423" s="8"/>
      <c r="E423" s="8"/>
      <c r="F423" s="8"/>
      <c r="G423" s="8"/>
      <c r="H423" s="8"/>
      <c r="I423" s="8"/>
      <c r="J423" s="8"/>
      <c r="K423" s="8"/>
      <c r="L423" s="8"/>
      <c r="M423" s="8"/>
      <c r="N423" s="8"/>
      <c r="O423" s="8"/>
      <c r="P423" s="8"/>
      <c r="Q423" s="8"/>
      <c r="R423" s="8"/>
      <c r="S423" s="8"/>
      <c r="T423" s="8"/>
      <c r="U423" s="8"/>
      <c r="V423" s="8"/>
      <c r="W423" s="8"/>
    </row>
    <row r="424">
      <c r="A424" s="8"/>
      <c r="B424" s="8"/>
      <c r="C424" s="8"/>
      <c r="D424" s="8"/>
      <c r="E424" s="8"/>
      <c r="F424" s="8"/>
      <c r="G424" s="8"/>
      <c r="H424" s="8"/>
      <c r="I424" s="8"/>
      <c r="J424" s="8"/>
      <c r="K424" s="8"/>
      <c r="L424" s="8"/>
      <c r="M424" s="8"/>
      <c r="N424" s="8"/>
      <c r="O424" s="8"/>
      <c r="P424" s="8"/>
      <c r="Q424" s="8"/>
      <c r="R424" s="8"/>
      <c r="S424" s="8"/>
      <c r="T424" s="8"/>
      <c r="U424" s="8"/>
      <c r="V424" s="8"/>
      <c r="W424" s="8"/>
    </row>
    <row r="425">
      <c r="A425" s="8"/>
      <c r="B425" s="8"/>
      <c r="C425" s="8"/>
      <c r="D425" s="8"/>
      <c r="E425" s="8"/>
      <c r="F425" s="8"/>
      <c r="G425" s="8"/>
      <c r="H425" s="8"/>
      <c r="I425" s="8"/>
      <c r="J425" s="8"/>
      <c r="K425" s="8"/>
      <c r="L425" s="8"/>
      <c r="M425" s="8"/>
      <c r="N425" s="8"/>
      <c r="O425" s="8"/>
      <c r="P425" s="8"/>
      <c r="Q425" s="8"/>
      <c r="R425" s="8"/>
      <c r="S425" s="8"/>
      <c r="T425" s="8"/>
      <c r="U425" s="8"/>
      <c r="V425" s="8"/>
      <c r="W425" s="8"/>
    </row>
    <row r="426">
      <c r="A426" s="8"/>
      <c r="B426" s="8"/>
      <c r="C426" s="8"/>
      <c r="D426" s="8"/>
      <c r="E426" s="8"/>
      <c r="F426" s="8"/>
      <c r="G426" s="8"/>
      <c r="H426" s="8"/>
      <c r="I426" s="8"/>
      <c r="J426" s="8"/>
      <c r="K426" s="8"/>
      <c r="L426" s="8"/>
      <c r="M426" s="8"/>
      <c r="N426" s="8"/>
      <c r="O426" s="8"/>
      <c r="P426" s="8"/>
      <c r="Q426" s="8"/>
      <c r="R426" s="8"/>
      <c r="S426" s="8"/>
      <c r="T426" s="8"/>
      <c r="U426" s="8"/>
      <c r="V426" s="8"/>
      <c r="W426" s="8"/>
    </row>
    <row r="427">
      <c r="A427" s="8"/>
      <c r="B427" s="8"/>
      <c r="C427" s="8"/>
      <c r="D427" s="8"/>
      <c r="E427" s="8"/>
      <c r="F427" s="8"/>
      <c r="G427" s="8"/>
      <c r="H427" s="8"/>
      <c r="I427" s="8"/>
      <c r="J427" s="8"/>
      <c r="K427" s="8"/>
      <c r="L427" s="8"/>
      <c r="M427" s="8"/>
      <c r="N427" s="8"/>
      <c r="O427" s="8"/>
      <c r="P427" s="8"/>
      <c r="Q427" s="8"/>
      <c r="R427" s="8"/>
      <c r="S427" s="8"/>
      <c r="T427" s="8"/>
      <c r="U427" s="8"/>
      <c r="V427" s="8"/>
      <c r="W427" s="8"/>
    </row>
    <row r="428">
      <c r="A428" s="8"/>
      <c r="B428" s="8"/>
      <c r="C428" s="8"/>
      <c r="D428" s="8"/>
      <c r="E428" s="8"/>
      <c r="F428" s="8"/>
      <c r="G428" s="8"/>
      <c r="H428" s="8"/>
      <c r="I428" s="8"/>
      <c r="J428" s="8"/>
      <c r="K428" s="8"/>
      <c r="L428" s="8"/>
      <c r="M428" s="8"/>
      <c r="N428" s="8"/>
      <c r="O428" s="8"/>
      <c r="P428" s="8"/>
      <c r="Q428" s="8"/>
      <c r="R428" s="8"/>
      <c r="S428" s="8"/>
      <c r="T428" s="8"/>
      <c r="U428" s="8"/>
      <c r="V428" s="8"/>
      <c r="W428" s="8"/>
    </row>
    <row r="429">
      <c r="A429" s="8"/>
      <c r="B429" s="8"/>
      <c r="C429" s="8"/>
      <c r="D429" s="8"/>
      <c r="E429" s="8"/>
      <c r="F429" s="8"/>
      <c r="G429" s="8"/>
      <c r="H429" s="8"/>
      <c r="I429" s="8"/>
      <c r="J429" s="8"/>
      <c r="K429" s="8"/>
      <c r="L429" s="8"/>
      <c r="M429" s="8"/>
      <c r="N429" s="8"/>
      <c r="O429" s="8"/>
      <c r="P429" s="8"/>
      <c r="Q429" s="8"/>
      <c r="R429" s="8"/>
      <c r="S429" s="8"/>
      <c r="T429" s="8"/>
      <c r="U429" s="8"/>
      <c r="V429" s="8"/>
      <c r="W429" s="8"/>
    </row>
    <row r="430">
      <c r="A430" s="8"/>
      <c r="B430" s="8"/>
      <c r="C430" s="8"/>
      <c r="D430" s="8"/>
      <c r="E430" s="8"/>
      <c r="F430" s="8"/>
      <c r="G430" s="8"/>
      <c r="H430" s="8"/>
      <c r="I430" s="8"/>
      <c r="J430" s="8"/>
      <c r="K430" s="8"/>
      <c r="L430" s="8"/>
      <c r="M430" s="8"/>
      <c r="N430" s="8"/>
      <c r="O430" s="8"/>
      <c r="P430" s="8"/>
      <c r="Q430" s="8"/>
      <c r="R430" s="8"/>
      <c r="S430" s="8"/>
      <c r="T430" s="8"/>
      <c r="U430" s="8"/>
      <c r="V430" s="8"/>
      <c r="W430" s="8"/>
    </row>
    <row r="431">
      <c r="A431" s="8"/>
      <c r="B431" s="8"/>
      <c r="C431" s="8"/>
      <c r="D431" s="8"/>
      <c r="E431" s="8"/>
      <c r="F431" s="8"/>
      <c r="G431" s="8"/>
      <c r="H431" s="8"/>
      <c r="I431" s="8"/>
      <c r="J431" s="8"/>
      <c r="K431" s="8"/>
      <c r="L431" s="8"/>
      <c r="M431" s="8"/>
      <c r="N431" s="8"/>
      <c r="O431" s="8"/>
      <c r="P431" s="8"/>
      <c r="Q431" s="8"/>
      <c r="R431" s="8"/>
      <c r="S431" s="8"/>
      <c r="T431" s="8"/>
      <c r="U431" s="8"/>
      <c r="V431" s="8"/>
      <c r="W431" s="8"/>
    </row>
    <row r="432">
      <c r="A432" s="8"/>
      <c r="B432" s="8"/>
      <c r="C432" s="8"/>
      <c r="D432" s="8"/>
      <c r="E432" s="8"/>
      <c r="F432" s="8"/>
      <c r="G432" s="8"/>
      <c r="H432" s="8"/>
      <c r="I432" s="8"/>
      <c r="J432" s="8"/>
      <c r="K432" s="8"/>
      <c r="L432" s="8"/>
      <c r="M432" s="8"/>
      <c r="N432" s="8"/>
      <c r="O432" s="8"/>
      <c r="P432" s="8"/>
      <c r="Q432" s="8"/>
      <c r="R432" s="8"/>
      <c r="S432" s="8"/>
      <c r="T432" s="8"/>
      <c r="U432" s="8"/>
      <c r="V432" s="8"/>
      <c r="W432" s="8"/>
    </row>
    <row r="433">
      <c r="A433" s="8"/>
      <c r="B433" s="8"/>
      <c r="C433" s="8"/>
      <c r="D433" s="8"/>
      <c r="E433" s="8"/>
      <c r="F433" s="8"/>
      <c r="G433" s="8"/>
      <c r="H433" s="8"/>
      <c r="I433" s="8"/>
      <c r="J433" s="8"/>
      <c r="K433" s="8"/>
      <c r="L433" s="8"/>
      <c r="M433" s="8"/>
      <c r="N433" s="8"/>
      <c r="O433" s="8"/>
      <c r="P433" s="8"/>
      <c r="Q433" s="8"/>
      <c r="R433" s="8"/>
      <c r="S433" s="8"/>
      <c r="T433" s="8"/>
      <c r="U433" s="8"/>
      <c r="V433" s="8"/>
      <c r="W433" s="8"/>
    </row>
    <row r="434">
      <c r="A434" s="8"/>
      <c r="B434" s="8"/>
      <c r="C434" s="8"/>
      <c r="D434" s="8"/>
      <c r="E434" s="8"/>
      <c r="F434" s="8"/>
      <c r="G434" s="8"/>
      <c r="H434" s="8"/>
      <c r="I434" s="8"/>
      <c r="J434" s="8"/>
      <c r="K434" s="8"/>
      <c r="L434" s="8"/>
      <c r="M434" s="8"/>
      <c r="N434" s="8"/>
      <c r="O434" s="8"/>
      <c r="P434" s="8"/>
      <c r="Q434" s="8"/>
      <c r="R434" s="8"/>
      <c r="S434" s="8"/>
      <c r="T434" s="8"/>
      <c r="U434" s="8"/>
      <c r="V434" s="8"/>
      <c r="W434" s="8"/>
    </row>
    <row r="435">
      <c r="A435" s="8"/>
      <c r="B435" s="8"/>
      <c r="C435" s="8"/>
      <c r="D435" s="8"/>
      <c r="E435" s="8"/>
      <c r="F435" s="8"/>
      <c r="G435" s="8"/>
      <c r="H435" s="8"/>
      <c r="I435" s="8"/>
      <c r="J435" s="8"/>
      <c r="K435" s="8"/>
      <c r="L435" s="8"/>
      <c r="M435" s="8"/>
      <c r="N435" s="8"/>
      <c r="O435" s="8"/>
      <c r="P435" s="8"/>
      <c r="Q435" s="8"/>
      <c r="R435" s="8"/>
      <c r="S435" s="8"/>
      <c r="T435" s="8"/>
      <c r="U435" s="8"/>
      <c r="V435" s="8"/>
      <c r="W435" s="8"/>
    </row>
    <row r="436">
      <c r="A436" s="8"/>
      <c r="B436" s="8"/>
      <c r="C436" s="8"/>
      <c r="D436" s="8"/>
      <c r="E436" s="8"/>
      <c r="F436" s="8"/>
      <c r="G436" s="8"/>
      <c r="H436" s="8"/>
      <c r="I436" s="8"/>
      <c r="J436" s="8"/>
      <c r="K436" s="8"/>
      <c r="L436" s="8"/>
      <c r="M436" s="8"/>
      <c r="N436" s="8"/>
      <c r="O436" s="8"/>
      <c r="P436" s="8"/>
      <c r="Q436" s="8"/>
      <c r="R436" s="8"/>
      <c r="S436" s="8"/>
      <c r="T436" s="8"/>
      <c r="U436" s="8"/>
      <c r="V436" s="8"/>
      <c r="W436" s="8"/>
    </row>
    <row r="437">
      <c r="A437" s="8"/>
      <c r="B437" s="8"/>
      <c r="C437" s="8"/>
      <c r="D437" s="8"/>
      <c r="E437" s="8"/>
      <c r="F437" s="8"/>
      <c r="G437" s="8"/>
      <c r="H437" s="8"/>
      <c r="I437" s="8"/>
      <c r="J437" s="8"/>
      <c r="K437" s="8"/>
      <c r="L437" s="8"/>
      <c r="M437" s="8"/>
      <c r="N437" s="8"/>
      <c r="O437" s="8"/>
      <c r="P437" s="8"/>
      <c r="Q437" s="8"/>
      <c r="R437" s="8"/>
      <c r="S437" s="8"/>
      <c r="T437" s="8"/>
      <c r="U437" s="8"/>
      <c r="V437" s="8"/>
      <c r="W437" s="8"/>
    </row>
    <row r="438">
      <c r="A438" s="8"/>
      <c r="B438" s="8"/>
      <c r="C438" s="8"/>
      <c r="D438" s="8"/>
      <c r="E438" s="8"/>
      <c r="F438" s="8"/>
      <c r="G438" s="8"/>
      <c r="H438" s="8"/>
      <c r="I438" s="8"/>
      <c r="J438" s="8"/>
      <c r="K438" s="8"/>
      <c r="L438" s="8"/>
      <c r="M438" s="8"/>
      <c r="N438" s="8"/>
      <c r="O438" s="8"/>
      <c r="P438" s="8"/>
      <c r="Q438" s="8"/>
      <c r="R438" s="8"/>
      <c r="S438" s="8"/>
      <c r="T438" s="8"/>
      <c r="U438" s="8"/>
      <c r="V438" s="8"/>
      <c r="W438" s="8"/>
    </row>
    <row r="439">
      <c r="A439" s="8"/>
      <c r="B439" s="8"/>
      <c r="C439" s="8"/>
      <c r="D439" s="8"/>
      <c r="E439" s="8"/>
      <c r="F439" s="8"/>
      <c r="G439" s="8"/>
      <c r="H439" s="8"/>
      <c r="I439" s="8"/>
      <c r="J439" s="8"/>
      <c r="K439" s="8"/>
      <c r="L439" s="8"/>
      <c r="M439" s="8"/>
      <c r="N439" s="8"/>
      <c r="O439" s="8"/>
      <c r="P439" s="8"/>
      <c r="Q439" s="8"/>
      <c r="R439" s="8"/>
      <c r="S439" s="8"/>
      <c r="T439" s="8"/>
      <c r="U439" s="8"/>
      <c r="V439" s="8"/>
      <c r="W439" s="8"/>
    </row>
    <row r="440">
      <c r="A440" s="8"/>
      <c r="B440" s="8"/>
      <c r="C440" s="8"/>
      <c r="D440" s="8"/>
      <c r="E440" s="8"/>
      <c r="F440" s="8"/>
      <c r="G440" s="8"/>
      <c r="H440" s="8"/>
      <c r="I440" s="8"/>
      <c r="J440" s="8"/>
      <c r="K440" s="8"/>
      <c r="L440" s="8"/>
      <c r="M440" s="8"/>
      <c r="N440" s="8"/>
      <c r="O440" s="8"/>
      <c r="P440" s="8"/>
      <c r="Q440" s="8"/>
      <c r="R440" s="8"/>
      <c r="S440" s="8"/>
      <c r="T440" s="8"/>
      <c r="U440" s="8"/>
      <c r="V440" s="8"/>
      <c r="W440" s="8"/>
    </row>
    <row r="441">
      <c r="A441" s="8"/>
      <c r="B441" s="8"/>
      <c r="C441" s="8"/>
      <c r="D441" s="8"/>
      <c r="E441" s="8"/>
      <c r="F441" s="8"/>
      <c r="G441" s="8"/>
      <c r="H441" s="8"/>
      <c r="I441" s="8"/>
      <c r="J441" s="8"/>
      <c r="K441" s="8"/>
      <c r="L441" s="8"/>
      <c r="M441" s="8"/>
      <c r="N441" s="8"/>
      <c r="O441" s="8"/>
      <c r="P441" s="8"/>
      <c r="Q441" s="8"/>
      <c r="R441" s="8"/>
      <c r="S441" s="8"/>
      <c r="T441" s="8"/>
      <c r="U441" s="8"/>
      <c r="V441" s="8"/>
      <c r="W441" s="8"/>
    </row>
    <row r="442">
      <c r="A442" s="8"/>
      <c r="B442" s="8"/>
      <c r="C442" s="8"/>
      <c r="D442" s="8"/>
      <c r="E442" s="8"/>
      <c r="F442" s="8"/>
      <c r="G442" s="8"/>
      <c r="H442" s="8"/>
      <c r="I442" s="8"/>
      <c r="J442" s="8"/>
      <c r="K442" s="8"/>
      <c r="L442" s="8"/>
      <c r="M442" s="8"/>
      <c r="N442" s="8"/>
      <c r="O442" s="8"/>
      <c r="P442" s="8"/>
      <c r="Q442" s="8"/>
      <c r="R442" s="8"/>
      <c r="S442" s="8"/>
      <c r="T442" s="8"/>
      <c r="U442" s="8"/>
      <c r="V442" s="8"/>
      <c r="W442" s="8"/>
    </row>
    <row r="443">
      <c r="A443" s="8"/>
      <c r="B443" s="8"/>
      <c r="C443" s="8"/>
      <c r="D443" s="8"/>
      <c r="E443" s="8"/>
      <c r="F443" s="8"/>
      <c r="G443" s="8"/>
      <c r="H443" s="8"/>
      <c r="I443" s="8"/>
      <c r="J443" s="8"/>
      <c r="K443" s="8"/>
      <c r="L443" s="8"/>
      <c r="M443" s="8"/>
      <c r="N443" s="8"/>
      <c r="O443" s="8"/>
      <c r="P443" s="8"/>
      <c r="Q443" s="8"/>
      <c r="R443" s="8"/>
      <c r="S443" s="8"/>
      <c r="T443" s="8"/>
      <c r="U443" s="8"/>
      <c r="V443" s="8"/>
      <c r="W443" s="8"/>
    </row>
    <row r="444">
      <c r="A444" s="8"/>
      <c r="B444" s="8"/>
      <c r="C444" s="8"/>
      <c r="D444" s="8"/>
      <c r="E444" s="8"/>
      <c r="F444" s="8"/>
      <c r="G444" s="8"/>
      <c r="H444" s="8"/>
      <c r="I444" s="8"/>
      <c r="J444" s="8"/>
      <c r="K444" s="8"/>
      <c r="L444" s="8"/>
      <c r="M444" s="8"/>
      <c r="N444" s="8"/>
      <c r="O444" s="8"/>
      <c r="P444" s="8"/>
      <c r="Q444" s="8"/>
      <c r="R444" s="8"/>
      <c r="S444" s="8"/>
      <c r="T444" s="8"/>
      <c r="U444" s="8"/>
      <c r="V444" s="8"/>
      <c r="W444" s="8"/>
    </row>
    <row r="445">
      <c r="A445" s="8"/>
      <c r="B445" s="8"/>
      <c r="C445" s="8"/>
      <c r="D445" s="8"/>
      <c r="E445" s="8"/>
      <c r="F445" s="8"/>
      <c r="G445" s="8"/>
      <c r="H445" s="8"/>
      <c r="I445" s="8"/>
      <c r="J445" s="8"/>
      <c r="K445" s="8"/>
      <c r="L445" s="8"/>
      <c r="M445" s="8"/>
      <c r="N445" s="8"/>
      <c r="O445" s="8"/>
      <c r="P445" s="8"/>
      <c r="Q445" s="8"/>
      <c r="R445" s="8"/>
      <c r="S445" s="8"/>
      <c r="T445" s="8"/>
      <c r="U445" s="8"/>
      <c r="V445" s="8"/>
      <c r="W445" s="8"/>
    </row>
    <row r="446">
      <c r="A446" s="8"/>
      <c r="B446" s="8"/>
      <c r="C446" s="8"/>
      <c r="D446" s="8"/>
      <c r="E446" s="8"/>
      <c r="F446" s="8"/>
      <c r="G446" s="8"/>
      <c r="H446" s="8"/>
      <c r="I446" s="8"/>
      <c r="J446" s="8"/>
      <c r="K446" s="8"/>
      <c r="L446" s="8"/>
      <c r="M446" s="8"/>
      <c r="N446" s="8"/>
      <c r="O446" s="8"/>
      <c r="P446" s="8"/>
      <c r="Q446" s="8"/>
      <c r="R446" s="8"/>
      <c r="S446" s="8"/>
      <c r="T446" s="8"/>
      <c r="U446" s="8"/>
      <c r="V446" s="8"/>
      <c r="W446" s="8"/>
    </row>
    <row r="447">
      <c r="A447" s="8"/>
      <c r="B447" s="8"/>
      <c r="C447" s="8"/>
      <c r="D447" s="8"/>
      <c r="E447" s="8"/>
      <c r="F447" s="8"/>
      <c r="G447" s="8"/>
      <c r="H447" s="8"/>
      <c r="I447" s="8"/>
      <c r="J447" s="8"/>
      <c r="K447" s="8"/>
      <c r="L447" s="8"/>
      <c r="M447" s="8"/>
      <c r="N447" s="8"/>
      <c r="O447" s="8"/>
      <c r="P447" s="8"/>
      <c r="Q447" s="8"/>
      <c r="R447" s="8"/>
      <c r="S447" s="8"/>
      <c r="T447" s="8"/>
      <c r="U447" s="8"/>
      <c r="V447" s="8"/>
      <c r="W447" s="8"/>
    </row>
    <row r="448">
      <c r="A448" s="8"/>
      <c r="B448" s="8"/>
      <c r="C448" s="8"/>
      <c r="D448" s="8"/>
      <c r="E448" s="8"/>
      <c r="F448" s="8"/>
      <c r="G448" s="8"/>
      <c r="H448" s="8"/>
      <c r="I448" s="8"/>
      <c r="J448" s="8"/>
      <c r="K448" s="8"/>
      <c r="L448" s="8"/>
      <c r="M448" s="8"/>
      <c r="N448" s="8"/>
      <c r="O448" s="8"/>
      <c r="P448" s="8"/>
      <c r="Q448" s="8"/>
      <c r="R448" s="8"/>
      <c r="S448" s="8"/>
      <c r="T448" s="8"/>
      <c r="U448" s="8"/>
      <c r="V448" s="8"/>
      <c r="W448" s="8"/>
    </row>
    <row r="449">
      <c r="A449" s="8"/>
      <c r="B449" s="8"/>
      <c r="C449" s="8"/>
      <c r="D449" s="8"/>
      <c r="E449" s="8"/>
      <c r="F449" s="8"/>
      <c r="G449" s="8"/>
      <c r="H449" s="8"/>
      <c r="I449" s="8"/>
      <c r="J449" s="8"/>
      <c r="K449" s="8"/>
      <c r="L449" s="8"/>
      <c r="M449" s="8"/>
      <c r="N449" s="8"/>
      <c r="O449" s="8"/>
      <c r="P449" s="8"/>
      <c r="Q449" s="8"/>
      <c r="R449" s="8"/>
      <c r="S449" s="8"/>
      <c r="T449" s="8"/>
      <c r="U449" s="8"/>
      <c r="V449" s="8"/>
      <c r="W449" s="8"/>
    </row>
    <row r="450">
      <c r="A450" s="8"/>
      <c r="B450" s="8"/>
      <c r="C450" s="8"/>
      <c r="D450" s="8"/>
      <c r="E450" s="8"/>
      <c r="F450" s="8"/>
      <c r="G450" s="8"/>
      <c r="H450" s="8"/>
      <c r="I450" s="8"/>
      <c r="J450" s="8"/>
      <c r="K450" s="8"/>
      <c r="L450" s="8"/>
      <c r="M450" s="8"/>
      <c r="N450" s="8"/>
      <c r="O450" s="8"/>
      <c r="P450" s="8"/>
      <c r="Q450" s="8"/>
      <c r="R450" s="8"/>
      <c r="S450" s="8"/>
      <c r="T450" s="8"/>
      <c r="U450" s="8"/>
      <c r="V450" s="8"/>
      <c r="W450" s="8"/>
    </row>
    <row r="451">
      <c r="A451" s="8"/>
      <c r="B451" s="8"/>
      <c r="C451" s="8"/>
      <c r="D451" s="8"/>
      <c r="E451" s="8"/>
      <c r="F451" s="8"/>
      <c r="G451" s="8"/>
      <c r="H451" s="8"/>
      <c r="I451" s="8"/>
      <c r="J451" s="8"/>
      <c r="K451" s="8"/>
      <c r="L451" s="8"/>
      <c r="M451" s="8"/>
      <c r="N451" s="8"/>
      <c r="O451" s="8"/>
      <c r="P451" s="8"/>
      <c r="Q451" s="8"/>
      <c r="R451" s="8"/>
      <c r="S451" s="8"/>
      <c r="T451" s="8"/>
      <c r="U451" s="8"/>
      <c r="V451" s="8"/>
      <c r="W451" s="8"/>
    </row>
    <row r="452">
      <c r="A452" s="8"/>
      <c r="B452" s="8"/>
      <c r="C452" s="8"/>
      <c r="D452" s="8"/>
      <c r="E452" s="8"/>
      <c r="F452" s="8"/>
      <c r="G452" s="8"/>
      <c r="H452" s="8"/>
      <c r="I452" s="8"/>
      <c r="J452" s="8"/>
      <c r="K452" s="8"/>
      <c r="L452" s="8"/>
      <c r="M452" s="8"/>
      <c r="N452" s="8"/>
      <c r="O452" s="8"/>
      <c r="P452" s="8"/>
      <c r="Q452" s="8"/>
      <c r="R452" s="8"/>
      <c r="S452" s="8"/>
      <c r="T452" s="8"/>
      <c r="U452" s="8"/>
      <c r="V452" s="8"/>
      <c r="W452" s="8"/>
    </row>
    <row r="453">
      <c r="A453" s="8"/>
      <c r="B453" s="8"/>
      <c r="C453" s="8"/>
      <c r="D453" s="8"/>
      <c r="E453" s="8"/>
      <c r="F453" s="8"/>
      <c r="G453" s="8"/>
      <c r="H453" s="8"/>
      <c r="I453" s="8"/>
      <c r="J453" s="8"/>
      <c r="K453" s="8"/>
      <c r="L453" s="8"/>
      <c r="M453" s="8"/>
      <c r="N453" s="8"/>
      <c r="O453" s="8"/>
      <c r="P453" s="8"/>
      <c r="Q453" s="8"/>
      <c r="R453" s="8"/>
      <c r="S453" s="8"/>
      <c r="T453" s="8"/>
      <c r="U453" s="8"/>
      <c r="V453" s="8"/>
      <c r="W453" s="8"/>
    </row>
    <row r="454">
      <c r="A454" s="8"/>
      <c r="B454" s="8"/>
      <c r="C454" s="8"/>
      <c r="D454" s="8"/>
      <c r="E454" s="8"/>
      <c r="F454" s="8"/>
      <c r="G454" s="8"/>
      <c r="H454" s="8"/>
      <c r="I454" s="8"/>
      <c r="J454" s="8"/>
      <c r="K454" s="8"/>
      <c r="L454" s="8"/>
      <c r="M454" s="8"/>
      <c r="N454" s="8"/>
      <c r="O454" s="8"/>
      <c r="P454" s="8"/>
      <c r="Q454" s="8"/>
      <c r="R454" s="8"/>
      <c r="S454" s="8"/>
      <c r="T454" s="8"/>
      <c r="U454" s="8"/>
      <c r="V454" s="8"/>
      <c r="W454" s="8"/>
    </row>
    <row r="455">
      <c r="A455" s="8"/>
      <c r="B455" s="8"/>
      <c r="C455" s="8"/>
      <c r="D455" s="8"/>
      <c r="E455" s="8"/>
      <c r="F455" s="8"/>
      <c r="G455" s="8"/>
      <c r="H455" s="8"/>
      <c r="I455" s="8"/>
      <c r="J455" s="8"/>
      <c r="K455" s="8"/>
      <c r="L455" s="8"/>
      <c r="M455" s="8"/>
      <c r="N455" s="8"/>
      <c r="O455" s="8"/>
      <c r="P455" s="8"/>
      <c r="Q455" s="8"/>
      <c r="R455" s="8"/>
      <c r="S455" s="8"/>
      <c r="T455" s="8"/>
      <c r="U455" s="8"/>
      <c r="V455" s="8"/>
      <c r="W455" s="8"/>
    </row>
    <row r="456">
      <c r="A456" s="8"/>
      <c r="B456" s="8"/>
      <c r="C456" s="8"/>
      <c r="D456" s="8"/>
      <c r="E456" s="8"/>
      <c r="F456" s="8"/>
      <c r="G456" s="8"/>
      <c r="H456" s="8"/>
      <c r="I456" s="8"/>
      <c r="J456" s="8"/>
      <c r="K456" s="8"/>
      <c r="L456" s="8"/>
      <c r="M456" s="8"/>
      <c r="N456" s="8"/>
      <c r="O456" s="8"/>
      <c r="P456" s="8"/>
      <c r="Q456" s="8"/>
      <c r="R456" s="8"/>
      <c r="S456" s="8"/>
      <c r="T456" s="8"/>
      <c r="U456" s="8"/>
      <c r="V456" s="8"/>
      <c r="W456" s="8"/>
    </row>
    <row r="457">
      <c r="A457" s="8"/>
      <c r="B457" s="8"/>
      <c r="C457" s="8"/>
      <c r="D457" s="8"/>
      <c r="E457" s="8"/>
      <c r="F457" s="8"/>
      <c r="G457" s="8"/>
      <c r="H457" s="8"/>
      <c r="I457" s="8"/>
      <c r="J457" s="8"/>
      <c r="K457" s="8"/>
      <c r="L457" s="8"/>
      <c r="M457" s="8"/>
      <c r="N457" s="8"/>
      <c r="O457" s="8"/>
      <c r="P457" s="8"/>
      <c r="Q457" s="8"/>
      <c r="R457" s="8"/>
      <c r="S457" s="8"/>
      <c r="T457" s="8"/>
      <c r="U457" s="8"/>
      <c r="V457" s="8"/>
      <c r="W457" s="8"/>
    </row>
    <row r="458">
      <c r="A458" s="8"/>
      <c r="B458" s="8"/>
      <c r="C458" s="8"/>
      <c r="D458" s="8"/>
      <c r="E458" s="8"/>
      <c r="F458" s="8"/>
      <c r="G458" s="8"/>
      <c r="H458" s="8"/>
      <c r="I458" s="8"/>
      <c r="J458" s="8"/>
      <c r="K458" s="8"/>
      <c r="L458" s="8"/>
      <c r="M458" s="8"/>
      <c r="N458" s="8"/>
      <c r="O458" s="8"/>
      <c r="P458" s="8"/>
      <c r="Q458" s="8"/>
      <c r="R458" s="8"/>
      <c r="S458" s="8"/>
      <c r="T458" s="8"/>
      <c r="U458" s="8"/>
      <c r="V458" s="8"/>
      <c r="W458" s="8"/>
    </row>
    <row r="459">
      <c r="A459" s="8"/>
      <c r="B459" s="8"/>
      <c r="C459" s="8"/>
      <c r="D459" s="8"/>
      <c r="E459" s="8"/>
      <c r="F459" s="8"/>
      <c r="G459" s="8"/>
      <c r="H459" s="8"/>
      <c r="I459" s="8"/>
      <c r="J459" s="8"/>
      <c r="K459" s="8"/>
      <c r="L459" s="8"/>
      <c r="M459" s="8"/>
      <c r="N459" s="8"/>
      <c r="O459" s="8"/>
      <c r="P459" s="8"/>
      <c r="Q459" s="8"/>
      <c r="R459" s="8"/>
      <c r="S459" s="8"/>
      <c r="T459" s="8"/>
      <c r="U459" s="8"/>
      <c r="V459" s="8"/>
      <c r="W459" s="8"/>
    </row>
    <row r="460">
      <c r="A460" s="8"/>
      <c r="B460" s="8"/>
      <c r="C460" s="8"/>
      <c r="D460" s="8"/>
      <c r="E460" s="8"/>
      <c r="F460" s="8"/>
      <c r="G460" s="8"/>
      <c r="H460" s="8"/>
      <c r="I460" s="8"/>
      <c r="J460" s="8"/>
      <c r="K460" s="8"/>
      <c r="L460" s="8"/>
      <c r="M460" s="8"/>
      <c r="N460" s="8"/>
      <c r="O460" s="8"/>
      <c r="P460" s="8"/>
      <c r="Q460" s="8"/>
      <c r="R460" s="8"/>
      <c r="S460" s="8"/>
      <c r="T460" s="8"/>
      <c r="U460" s="8"/>
      <c r="V460" s="8"/>
      <c r="W460" s="8"/>
    </row>
    <row r="461">
      <c r="A461" s="8"/>
      <c r="B461" s="8"/>
      <c r="C461" s="8"/>
      <c r="D461" s="8"/>
      <c r="E461" s="8"/>
      <c r="F461" s="8"/>
      <c r="G461" s="8"/>
      <c r="H461" s="8"/>
      <c r="I461" s="8"/>
      <c r="J461" s="8"/>
      <c r="K461" s="8"/>
      <c r="L461" s="8"/>
      <c r="M461" s="8"/>
      <c r="N461" s="8"/>
      <c r="O461" s="8"/>
      <c r="P461" s="8"/>
      <c r="Q461" s="8"/>
      <c r="R461" s="8"/>
      <c r="S461" s="8"/>
      <c r="T461" s="8"/>
      <c r="U461" s="8"/>
      <c r="V461" s="8"/>
      <c r="W461" s="8"/>
    </row>
    <row r="462">
      <c r="A462" s="8"/>
      <c r="B462" s="8"/>
      <c r="C462" s="8"/>
      <c r="D462" s="8"/>
      <c r="E462" s="8"/>
      <c r="F462" s="8"/>
      <c r="G462" s="8"/>
      <c r="H462" s="8"/>
      <c r="I462" s="8"/>
      <c r="J462" s="8"/>
      <c r="K462" s="8"/>
      <c r="L462" s="8"/>
      <c r="M462" s="8"/>
      <c r="N462" s="8"/>
      <c r="O462" s="8"/>
      <c r="P462" s="8"/>
      <c r="Q462" s="8"/>
      <c r="R462" s="8"/>
      <c r="S462" s="8"/>
      <c r="T462" s="8"/>
      <c r="U462" s="8"/>
      <c r="V462" s="8"/>
      <c r="W462" s="8"/>
    </row>
    <row r="463">
      <c r="A463" s="8"/>
      <c r="B463" s="8"/>
      <c r="C463" s="8"/>
      <c r="D463" s="8"/>
      <c r="E463" s="8"/>
      <c r="F463" s="8"/>
      <c r="G463" s="8"/>
      <c r="H463" s="8"/>
      <c r="I463" s="8"/>
      <c r="J463" s="8"/>
      <c r="K463" s="8"/>
      <c r="L463" s="8"/>
      <c r="M463" s="8"/>
      <c r="N463" s="8"/>
      <c r="O463" s="8"/>
      <c r="P463" s="8"/>
      <c r="Q463" s="8"/>
      <c r="R463" s="8"/>
      <c r="S463" s="8"/>
      <c r="T463" s="8"/>
      <c r="U463" s="8"/>
      <c r="V463" s="8"/>
      <c r="W463" s="8"/>
    </row>
    <row r="464">
      <c r="A464" s="8"/>
      <c r="B464" s="8"/>
      <c r="C464" s="8"/>
      <c r="D464" s="8"/>
      <c r="E464" s="8"/>
      <c r="F464" s="8"/>
      <c r="G464" s="8"/>
      <c r="H464" s="8"/>
      <c r="I464" s="8"/>
      <c r="J464" s="8"/>
      <c r="K464" s="8"/>
      <c r="L464" s="8"/>
      <c r="M464" s="8"/>
      <c r="N464" s="8"/>
      <c r="O464" s="8"/>
      <c r="P464" s="8"/>
      <c r="Q464" s="8"/>
      <c r="R464" s="8"/>
      <c r="S464" s="8"/>
      <c r="T464" s="8"/>
      <c r="U464" s="8"/>
      <c r="V464" s="8"/>
      <c r="W464" s="8"/>
    </row>
    <row r="465">
      <c r="A465" s="8"/>
      <c r="B465" s="8"/>
      <c r="C465" s="8"/>
      <c r="D465" s="8"/>
      <c r="E465" s="8"/>
      <c r="F465" s="8"/>
      <c r="G465" s="8"/>
      <c r="H465" s="8"/>
      <c r="I465" s="8"/>
      <c r="J465" s="8"/>
      <c r="K465" s="8"/>
      <c r="L465" s="8"/>
      <c r="M465" s="8"/>
      <c r="N465" s="8"/>
      <c r="O465" s="8"/>
      <c r="P465" s="8"/>
      <c r="Q465" s="8"/>
      <c r="R465" s="8"/>
      <c r="S465" s="8"/>
      <c r="T465" s="8"/>
      <c r="U465" s="8"/>
      <c r="V465" s="8"/>
      <c r="W465" s="8"/>
    </row>
    <row r="466">
      <c r="A466" s="8"/>
      <c r="B466" s="8"/>
      <c r="C466" s="8"/>
      <c r="D466" s="8"/>
      <c r="E466" s="8"/>
      <c r="F466" s="8"/>
      <c r="G466" s="8"/>
      <c r="H466" s="8"/>
      <c r="I466" s="8"/>
      <c r="J466" s="8"/>
      <c r="K466" s="8"/>
      <c r="L466" s="8"/>
      <c r="M466" s="8"/>
      <c r="N466" s="8"/>
      <c r="O466" s="8"/>
      <c r="P466" s="8"/>
      <c r="Q466" s="8"/>
      <c r="R466" s="8"/>
      <c r="S466" s="8"/>
      <c r="T466" s="8"/>
      <c r="U466" s="8"/>
      <c r="V466" s="8"/>
      <c r="W466" s="8"/>
    </row>
    <row r="467">
      <c r="A467" s="8"/>
      <c r="B467" s="8"/>
      <c r="C467" s="8"/>
      <c r="D467" s="8"/>
      <c r="E467" s="8"/>
      <c r="F467" s="8"/>
      <c r="G467" s="8"/>
      <c r="H467" s="8"/>
      <c r="I467" s="8"/>
      <c r="J467" s="8"/>
      <c r="K467" s="8"/>
      <c r="L467" s="8"/>
      <c r="M467" s="8"/>
      <c r="N467" s="8"/>
      <c r="O467" s="8"/>
      <c r="P467" s="8"/>
      <c r="Q467" s="8"/>
      <c r="R467" s="8"/>
      <c r="S467" s="8"/>
      <c r="T467" s="8"/>
      <c r="U467" s="8"/>
      <c r="V467" s="8"/>
      <c r="W467" s="8"/>
    </row>
    <row r="468">
      <c r="A468" s="8"/>
      <c r="B468" s="8"/>
      <c r="C468" s="8"/>
      <c r="D468" s="8"/>
      <c r="E468" s="8"/>
      <c r="F468" s="8"/>
      <c r="G468" s="8"/>
      <c r="H468" s="8"/>
      <c r="I468" s="8"/>
      <c r="J468" s="8"/>
      <c r="K468" s="8"/>
      <c r="L468" s="8"/>
      <c r="M468" s="8"/>
      <c r="N468" s="8"/>
      <c r="O468" s="8"/>
      <c r="P468" s="8"/>
      <c r="Q468" s="8"/>
      <c r="R468" s="8"/>
      <c r="S468" s="8"/>
      <c r="T468" s="8"/>
      <c r="U468" s="8"/>
      <c r="V468" s="8"/>
      <c r="W468" s="8"/>
    </row>
    <row r="469">
      <c r="A469" s="8"/>
      <c r="B469" s="8"/>
      <c r="C469" s="8"/>
      <c r="D469" s="8"/>
      <c r="E469" s="8"/>
      <c r="F469" s="8"/>
      <c r="G469" s="8"/>
      <c r="H469" s="8"/>
      <c r="I469" s="8"/>
      <c r="J469" s="8"/>
      <c r="K469" s="8"/>
      <c r="L469" s="8"/>
      <c r="M469" s="8"/>
      <c r="N469" s="8"/>
      <c r="O469" s="8"/>
      <c r="P469" s="8"/>
      <c r="Q469" s="8"/>
      <c r="R469" s="8"/>
      <c r="S469" s="8"/>
      <c r="T469" s="8"/>
      <c r="U469" s="8"/>
      <c r="V469" s="8"/>
      <c r="W469" s="8"/>
    </row>
    <row r="470">
      <c r="A470" s="8"/>
      <c r="B470" s="8"/>
      <c r="C470" s="8"/>
      <c r="D470" s="8"/>
      <c r="E470" s="8"/>
      <c r="F470" s="8"/>
      <c r="G470" s="8"/>
      <c r="H470" s="8"/>
      <c r="I470" s="8"/>
      <c r="J470" s="8"/>
      <c r="K470" s="8"/>
      <c r="L470" s="8"/>
      <c r="M470" s="8"/>
      <c r="N470" s="8"/>
      <c r="O470" s="8"/>
      <c r="P470" s="8"/>
      <c r="Q470" s="8"/>
      <c r="R470" s="8"/>
      <c r="S470" s="8"/>
      <c r="T470" s="8"/>
      <c r="U470" s="8"/>
      <c r="V470" s="8"/>
      <c r="W470" s="8"/>
    </row>
    <row r="471">
      <c r="A471" s="8"/>
      <c r="B471" s="8"/>
      <c r="C471" s="8"/>
      <c r="D471" s="8"/>
      <c r="E471" s="8"/>
      <c r="F471" s="8"/>
      <c r="G471" s="8"/>
      <c r="H471" s="8"/>
      <c r="I471" s="8"/>
      <c r="J471" s="8"/>
      <c r="K471" s="8"/>
      <c r="L471" s="8"/>
      <c r="M471" s="8"/>
      <c r="N471" s="8"/>
      <c r="O471" s="8"/>
      <c r="P471" s="8"/>
      <c r="Q471" s="8"/>
      <c r="R471" s="8"/>
      <c r="S471" s="8"/>
      <c r="T471" s="8"/>
      <c r="U471" s="8"/>
      <c r="V471" s="8"/>
      <c r="W471" s="8"/>
    </row>
    <row r="472">
      <c r="A472" s="8"/>
      <c r="B472" s="8"/>
      <c r="C472" s="8"/>
      <c r="D472" s="8"/>
      <c r="E472" s="8"/>
      <c r="F472" s="8"/>
      <c r="G472" s="8"/>
      <c r="H472" s="8"/>
      <c r="I472" s="8"/>
      <c r="J472" s="8"/>
      <c r="K472" s="8"/>
      <c r="L472" s="8"/>
      <c r="M472" s="8"/>
      <c r="N472" s="8"/>
      <c r="O472" s="8"/>
      <c r="P472" s="8"/>
      <c r="Q472" s="8"/>
      <c r="R472" s="8"/>
      <c r="S472" s="8"/>
      <c r="T472" s="8"/>
      <c r="U472" s="8"/>
      <c r="V472" s="8"/>
      <c r="W472" s="8"/>
    </row>
    <row r="473">
      <c r="A473" s="8"/>
      <c r="B473" s="8"/>
      <c r="C473" s="8"/>
      <c r="D473" s="8"/>
      <c r="E473" s="8"/>
      <c r="F473" s="8"/>
      <c r="G473" s="8"/>
      <c r="H473" s="8"/>
      <c r="I473" s="8"/>
      <c r="J473" s="8"/>
      <c r="K473" s="8"/>
      <c r="L473" s="8"/>
      <c r="M473" s="8"/>
      <c r="N473" s="8"/>
      <c r="O473" s="8"/>
      <c r="P473" s="8"/>
      <c r="Q473" s="8"/>
      <c r="R473" s="8"/>
      <c r="S473" s="8"/>
      <c r="T473" s="8"/>
      <c r="U473" s="8"/>
      <c r="V473" s="8"/>
      <c r="W473" s="8"/>
    </row>
    <row r="474">
      <c r="A474" s="8"/>
      <c r="B474" s="8"/>
      <c r="C474" s="8"/>
      <c r="D474" s="8"/>
      <c r="E474" s="8"/>
      <c r="F474" s="8"/>
      <c r="G474" s="8"/>
      <c r="H474" s="8"/>
      <c r="I474" s="8"/>
      <c r="J474" s="8"/>
      <c r="K474" s="8"/>
      <c r="L474" s="8"/>
      <c r="M474" s="8"/>
      <c r="N474" s="8"/>
      <c r="O474" s="8"/>
      <c r="P474" s="8"/>
      <c r="Q474" s="8"/>
      <c r="R474" s="8"/>
      <c r="S474" s="8"/>
      <c r="T474" s="8"/>
      <c r="U474" s="8"/>
      <c r="V474" s="8"/>
      <c r="W474" s="8"/>
    </row>
    <row r="475">
      <c r="A475" s="8"/>
      <c r="B475" s="8"/>
      <c r="C475" s="8"/>
      <c r="D475" s="8"/>
      <c r="E475" s="8"/>
      <c r="F475" s="8"/>
      <c r="G475" s="8"/>
      <c r="H475" s="8"/>
      <c r="I475" s="8"/>
      <c r="J475" s="8"/>
      <c r="K475" s="8"/>
      <c r="L475" s="8"/>
      <c r="M475" s="8"/>
      <c r="N475" s="8"/>
      <c r="O475" s="8"/>
      <c r="P475" s="8"/>
      <c r="Q475" s="8"/>
      <c r="R475" s="8"/>
      <c r="S475" s="8"/>
      <c r="T475" s="8"/>
      <c r="U475" s="8"/>
      <c r="V475" s="8"/>
      <c r="W475" s="8"/>
    </row>
    <row r="476">
      <c r="A476" s="8"/>
      <c r="B476" s="8"/>
      <c r="C476" s="8"/>
      <c r="D476" s="8"/>
      <c r="E476" s="8"/>
      <c r="F476" s="8"/>
      <c r="G476" s="8"/>
      <c r="H476" s="8"/>
      <c r="I476" s="8"/>
      <c r="J476" s="8"/>
      <c r="K476" s="8"/>
      <c r="L476" s="8"/>
      <c r="M476" s="8"/>
      <c r="N476" s="8"/>
      <c r="O476" s="8"/>
      <c r="P476" s="8"/>
      <c r="Q476" s="8"/>
      <c r="R476" s="8"/>
      <c r="S476" s="8"/>
      <c r="T476" s="8"/>
      <c r="U476" s="8"/>
      <c r="V476" s="8"/>
      <c r="W476" s="8"/>
    </row>
    <row r="477">
      <c r="A477" s="8"/>
      <c r="B477" s="8"/>
      <c r="C477" s="8"/>
      <c r="D477" s="8"/>
      <c r="E477" s="8"/>
      <c r="F477" s="8"/>
      <c r="G477" s="8"/>
      <c r="H477" s="8"/>
      <c r="I477" s="8"/>
      <c r="J477" s="8"/>
      <c r="K477" s="8"/>
      <c r="L477" s="8"/>
      <c r="M477" s="8"/>
      <c r="N477" s="8"/>
      <c r="O477" s="8"/>
      <c r="P477" s="8"/>
      <c r="Q477" s="8"/>
      <c r="R477" s="8"/>
      <c r="S477" s="8"/>
      <c r="T477" s="8"/>
      <c r="U477" s="8"/>
      <c r="V477" s="8"/>
      <c r="W477" s="8"/>
    </row>
    <row r="478">
      <c r="A478" s="8"/>
      <c r="B478" s="8"/>
      <c r="C478" s="8"/>
      <c r="D478" s="8"/>
      <c r="E478" s="8"/>
      <c r="F478" s="8"/>
      <c r="G478" s="8"/>
      <c r="H478" s="8"/>
      <c r="I478" s="8"/>
      <c r="J478" s="8"/>
      <c r="K478" s="8"/>
      <c r="L478" s="8"/>
      <c r="M478" s="8"/>
      <c r="N478" s="8"/>
      <c r="O478" s="8"/>
      <c r="P478" s="8"/>
      <c r="Q478" s="8"/>
      <c r="R478" s="8"/>
      <c r="S478" s="8"/>
      <c r="T478" s="8"/>
      <c r="U478" s="8"/>
      <c r="V478" s="8"/>
      <c r="W478" s="8"/>
    </row>
    <row r="479">
      <c r="A479" s="8"/>
      <c r="B479" s="8"/>
      <c r="C479" s="8"/>
      <c r="D479" s="8"/>
      <c r="E479" s="8"/>
      <c r="F479" s="8"/>
      <c r="G479" s="8"/>
      <c r="H479" s="8"/>
      <c r="I479" s="8"/>
      <c r="J479" s="8"/>
      <c r="K479" s="8"/>
      <c r="L479" s="8"/>
      <c r="M479" s="8"/>
      <c r="N479" s="8"/>
      <c r="O479" s="8"/>
      <c r="P479" s="8"/>
      <c r="Q479" s="8"/>
      <c r="R479" s="8"/>
      <c r="S479" s="8"/>
      <c r="T479" s="8"/>
      <c r="U479" s="8"/>
      <c r="V479" s="8"/>
      <c r="W479" s="8"/>
    </row>
    <row r="480">
      <c r="A480" s="8"/>
      <c r="B480" s="8"/>
      <c r="C480" s="8"/>
      <c r="D480" s="8"/>
      <c r="E480" s="8"/>
      <c r="F480" s="8"/>
      <c r="G480" s="8"/>
      <c r="H480" s="8"/>
      <c r="I480" s="8"/>
      <c r="J480" s="8"/>
      <c r="K480" s="8"/>
      <c r="L480" s="8"/>
      <c r="M480" s="8"/>
      <c r="N480" s="8"/>
      <c r="O480" s="8"/>
      <c r="P480" s="8"/>
      <c r="Q480" s="8"/>
      <c r="R480" s="8"/>
      <c r="S480" s="8"/>
      <c r="T480" s="8"/>
      <c r="U480" s="8"/>
      <c r="V480" s="8"/>
      <c r="W480" s="8"/>
    </row>
    <row r="481">
      <c r="A481" s="8"/>
      <c r="B481" s="8"/>
      <c r="C481" s="8"/>
      <c r="D481" s="8"/>
      <c r="E481" s="8"/>
      <c r="F481" s="8"/>
      <c r="G481" s="8"/>
      <c r="H481" s="8"/>
      <c r="I481" s="8"/>
      <c r="J481" s="8"/>
      <c r="K481" s="8"/>
      <c r="L481" s="8"/>
      <c r="M481" s="8"/>
      <c r="N481" s="8"/>
      <c r="O481" s="8"/>
      <c r="P481" s="8"/>
      <c r="Q481" s="8"/>
      <c r="R481" s="8"/>
      <c r="S481" s="8"/>
      <c r="T481" s="8"/>
      <c r="U481" s="8"/>
      <c r="V481" s="8"/>
      <c r="W481" s="8"/>
    </row>
    <row r="482">
      <c r="A482" s="8"/>
      <c r="B482" s="8"/>
      <c r="C482" s="8"/>
      <c r="D482" s="8"/>
      <c r="E482" s="8"/>
      <c r="F482" s="8"/>
      <c r="G482" s="8"/>
      <c r="H482" s="8"/>
      <c r="I482" s="8"/>
      <c r="J482" s="8"/>
      <c r="K482" s="8"/>
      <c r="L482" s="8"/>
      <c r="M482" s="8"/>
      <c r="N482" s="8"/>
      <c r="O482" s="8"/>
      <c r="P482" s="8"/>
      <c r="Q482" s="8"/>
      <c r="R482" s="8"/>
      <c r="S482" s="8"/>
      <c r="T482" s="8"/>
      <c r="U482" s="8"/>
      <c r="V482" s="8"/>
      <c r="W482" s="8"/>
    </row>
    <row r="483">
      <c r="A483" s="8"/>
      <c r="B483" s="8"/>
      <c r="C483" s="8"/>
      <c r="D483" s="8"/>
      <c r="E483" s="8"/>
      <c r="F483" s="8"/>
      <c r="G483" s="8"/>
      <c r="H483" s="8"/>
      <c r="I483" s="8"/>
      <c r="J483" s="8"/>
      <c r="K483" s="8"/>
      <c r="L483" s="8"/>
      <c r="M483" s="8"/>
      <c r="N483" s="8"/>
      <c r="O483" s="8"/>
      <c r="P483" s="8"/>
      <c r="Q483" s="8"/>
      <c r="R483" s="8"/>
      <c r="S483" s="8"/>
      <c r="T483" s="8"/>
      <c r="U483" s="8"/>
      <c r="V483" s="8"/>
      <c r="W483" s="8"/>
    </row>
    <row r="484">
      <c r="A484" s="8"/>
      <c r="B484" s="8"/>
      <c r="C484" s="8"/>
      <c r="D484" s="8"/>
      <c r="E484" s="8"/>
      <c r="F484" s="8"/>
      <c r="G484" s="8"/>
      <c r="H484" s="8"/>
      <c r="I484" s="8"/>
      <c r="J484" s="8"/>
      <c r="K484" s="8"/>
      <c r="L484" s="8"/>
      <c r="M484" s="8"/>
      <c r="N484" s="8"/>
      <c r="O484" s="8"/>
      <c r="P484" s="8"/>
      <c r="Q484" s="8"/>
      <c r="R484" s="8"/>
      <c r="S484" s="8"/>
      <c r="T484" s="8"/>
      <c r="U484" s="8"/>
      <c r="V484" s="8"/>
      <c r="W484" s="8"/>
    </row>
    <row r="485">
      <c r="A485" s="8"/>
      <c r="B485" s="8"/>
      <c r="C485" s="8"/>
      <c r="D485" s="8"/>
      <c r="E485" s="8"/>
      <c r="F485" s="8"/>
      <c r="G485" s="8"/>
      <c r="H485" s="8"/>
      <c r="I485" s="8"/>
      <c r="J485" s="8"/>
      <c r="K485" s="8"/>
      <c r="L485" s="8"/>
      <c r="M485" s="8"/>
      <c r="N485" s="8"/>
      <c r="O485" s="8"/>
      <c r="P485" s="8"/>
      <c r="Q485" s="8"/>
      <c r="R485" s="8"/>
      <c r="S485" s="8"/>
      <c r="T485" s="8"/>
      <c r="U485" s="8"/>
      <c r="V485" s="8"/>
      <c r="W485" s="8"/>
    </row>
    <row r="486">
      <c r="A486" s="8"/>
      <c r="B486" s="8"/>
      <c r="C486" s="8"/>
      <c r="D486" s="8"/>
      <c r="E486" s="8"/>
      <c r="F486" s="8"/>
      <c r="G486" s="8"/>
      <c r="H486" s="8"/>
      <c r="I486" s="8"/>
      <c r="J486" s="8"/>
      <c r="K486" s="8"/>
      <c r="L486" s="8"/>
      <c r="M486" s="8"/>
      <c r="N486" s="8"/>
      <c r="O486" s="8"/>
      <c r="P486" s="8"/>
      <c r="Q486" s="8"/>
      <c r="R486" s="8"/>
      <c r="S486" s="8"/>
      <c r="T486" s="8"/>
      <c r="U486" s="8"/>
      <c r="V486" s="8"/>
      <c r="W486" s="8"/>
    </row>
    <row r="487">
      <c r="A487" s="8"/>
      <c r="B487" s="8"/>
      <c r="C487" s="8"/>
      <c r="D487" s="8"/>
      <c r="E487" s="8"/>
      <c r="F487" s="8"/>
      <c r="G487" s="8"/>
      <c r="H487" s="8"/>
      <c r="I487" s="8"/>
      <c r="J487" s="8"/>
      <c r="K487" s="8"/>
      <c r="L487" s="8"/>
      <c r="M487" s="8"/>
      <c r="N487" s="8"/>
      <c r="O487" s="8"/>
      <c r="P487" s="8"/>
      <c r="Q487" s="8"/>
      <c r="R487" s="8"/>
      <c r="S487" s="8"/>
      <c r="T487" s="8"/>
      <c r="U487" s="8"/>
      <c r="V487" s="8"/>
      <c r="W487" s="8"/>
    </row>
    <row r="488">
      <c r="A488" s="8"/>
      <c r="B488" s="8"/>
      <c r="C488" s="8"/>
      <c r="D488" s="8"/>
      <c r="E488" s="8"/>
      <c r="F488" s="8"/>
      <c r="G488" s="8"/>
      <c r="H488" s="8"/>
      <c r="I488" s="8"/>
      <c r="J488" s="8"/>
      <c r="K488" s="8"/>
      <c r="L488" s="8"/>
      <c r="M488" s="8"/>
      <c r="N488" s="8"/>
      <c r="O488" s="8"/>
      <c r="P488" s="8"/>
      <c r="Q488" s="8"/>
      <c r="R488" s="8"/>
      <c r="S488" s="8"/>
      <c r="T488" s="8"/>
      <c r="U488" s="8"/>
      <c r="V488" s="8"/>
      <c r="W488" s="8"/>
    </row>
    <row r="489">
      <c r="A489" s="8"/>
      <c r="B489" s="8"/>
      <c r="C489" s="8"/>
      <c r="D489" s="8"/>
      <c r="E489" s="8"/>
      <c r="F489" s="8"/>
      <c r="G489" s="8"/>
      <c r="H489" s="8"/>
      <c r="I489" s="8"/>
      <c r="J489" s="8"/>
      <c r="K489" s="8"/>
      <c r="L489" s="8"/>
      <c r="M489" s="8"/>
      <c r="N489" s="8"/>
      <c r="O489" s="8"/>
      <c r="P489" s="8"/>
      <c r="Q489" s="8"/>
      <c r="R489" s="8"/>
      <c r="S489" s="8"/>
      <c r="T489" s="8"/>
      <c r="U489" s="8"/>
      <c r="V489" s="8"/>
      <c r="W489" s="8"/>
    </row>
    <row r="490">
      <c r="A490" s="8"/>
      <c r="B490" s="8"/>
      <c r="C490" s="8"/>
      <c r="D490" s="8"/>
      <c r="E490" s="8"/>
      <c r="F490" s="8"/>
      <c r="G490" s="8"/>
      <c r="H490" s="8"/>
      <c r="I490" s="8"/>
      <c r="J490" s="8"/>
      <c r="K490" s="8"/>
      <c r="L490" s="8"/>
      <c r="M490" s="8"/>
      <c r="N490" s="8"/>
      <c r="O490" s="8"/>
      <c r="P490" s="8"/>
      <c r="Q490" s="8"/>
      <c r="R490" s="8"/>
      <c r="S490" s="8"/>
      <c r="T490" s="8"/>
      <c r="U490" s="8"/>
      <c r="V490" s="8"/>
      <c r="W490" s="8"/>
    </row>
    <row r="491">
      <c r="A491" s="8"/>
      <c r="B491" s="8"/>
      <c r="C491" s="8"/>
      <c r="D491" s="8"/>
      <c r="E491" s="8"/>
      <c r="F491" s="8"/>
      <c r="G491" s="8"/>
      <c r="H491" s="8"/>
      <c r="I491" s="8"/>
      <c r="J491" s="8"/>
      <c r="K491" s="8"/>
      <c r="L491" s="8"/>
      <c r="M491" s="8"/>
      <c r="N491" s="8"/>
      <c r="O491" s="8"/>
      <c r="P491" s="8"/>
      <c r="Q491" s="8"/>
      <c r="R491" s="8"/>
      <c r="S491" s="8"/>
      <c r="T491" s="8"/>
      <c r="U491" s="8"/>
      <c r="V491" s="8"/>
      <c r="W491" s="8"/>
    </row>
    <row r="492">
      <c r="A492" s="8"/>
      <c r="B492" s="8"/>
      <c r="C492" s="8"/>
      <c r="D492" s="8"/>
      <c r="E492" s="8"/>
      <c r="F492" s="8"/>
      <c r="G492" s="8"/>
      <c r="H492" s="8"/>
      <c r="I492" s="8"/>
      <c r="J492" s="8"/>
      <c r="K492" s="8"/>
      <c r="L492" s="8"/>
      <c r="M492" s="8"/>
      <c r="N492" s="8"/>
      <c r="O492" s="8"/>
      <c r="P492" s="8"/>
      <c r="Q492" s="8"/>
      <c r="R492" s="8"/>
      <c r="S492" s="8"/>
      <c r="T492" s="8"/>
      <c r="U492" s="8"/>
      <c r="V492" s="8"/>
      <c r="W492" s="8"/>
    </row>
    <row r="493">
      <c r="A493" s="8"/>
      <c r="B493" s="8"/>
      <c r="C493" s="8"/>
      <c r="D493" s="8"/>
      <c r="E493" s="8"/>
      <c r="F493" s="8"/>
      <c r="G493" s="8"/>
      <c r="H493" s="8"/>
      <c r="I493" s="8"/>
      <c r="J493" s="8"/>
      <c r="K493" s="8"/>
      <c r="L493" s="8"/>
      <c r="M493" s="8"/>
      <c r="N493" s="8"/>
      <c r="O493" s="8"/>
      <c r="P493" s="8"/>
      <c r="Q493" s="8"/>
      <c r="R493" s="8"/>
      <c r="S493" s="8"/>
      <c r="T493" s="8"/>
      <c r="U493" s="8"/>
      <c r="V493" s="8"/>
      <c r="W493" s="8"/>
    </row>
    <row r="494">
      <c r="A494" s="8"/>
      <c r="B494" s="8"/>
      <c r="C494" s="8"/>
      <c r="D494" s="8"/>
      <c r="E494" s="8"/>
      <c r="F494" s="8"/>
      <c r="G494" s="8"/>
      <c r="H494" s="8"/>
      <c r="I494" s="8"/>
      <c r="J494" s="8"/>
      <c r="K494" s="8"/>
      <c r="L494" s="8"/>
      <c r="M494" s="8"/>
      <c r="N494" s="8"/>
      <c r="O494" s="8"/>
      <c r="P494" s="8"/>
      <c r="Q494" s="8"/>
      <c r="R494" s="8"/>
      <c r="S494" s="8"/>
      <c r="T494" s="8"/>
      <c r="U494" s="8"/>
      <c r="V494" s="8"/>
      <c r="W494" s="8"/>
    </row>
    <row r="495">
      <c r="A495" s="8"/>
      <c r="B495" s="8"/>
      <c r="C495" s="8"/>
      <c r="D495" s="8"/>
      <c r="E495" s="8"/>
      <c r="F495" s="8"/>
      <c r="G495" s="8"/>
      <c r="H495" s="8"/>
      <c r="I495" s="8"/>
      <c r="J495" s="8"/>
      <c r="K495" s="8"/>
      <c r="L495" s="8"/>
      <c r="M495" s="8"/>
      <c r="N495" s="8"/>
      <c r="O495" s="8"/>
      <c r="P495" s="8"/>
      <c r="Q495" s="8"/>
      <c r="R495" s="8"/>
      <c r="S495" s="8"/>
      <c r="T495" s="8"/>
      <c r="U495" s="8"/>
      <c r="V495" s="8"/>
      <c r="W495" s="8"/>
    </row>
    <row r="496">
      <c r="A496" s="8"/>
      <c r="B496" s="8"/>
      <c r="C496" s="8"/>
      <c r="D496" s="8"/>
      <c r="E496" s="8"/>
      <c r="F496" s="8"/>
      <c r="G496" s="8"/>
      <c r="H496" s="8"/>
      <c r="I496" s="8"/>
      <c r="J496" s="8"/>
      <c r="K496" s="8"/>
      <c r="L496" s="8"/>
      <c r="M496" s="8"/>
      <c r="N496" s="8"/>
      <c r="O496" s="8"/>
      <c r="P496" s="8"/>
      <c r="Q496" s="8"/>
      <c r="R496" s="8"/>
      <c r="S496" s="8"/>
      <c r="T496" s="8"/>
      <c r="U496" s="8"/>
      <c r="V496" s="8"/>
      <c r="W496" s="8"/>
    </row>
    <row r="497">
      <c r="A497" s="8"/>
      <c r="B497" s="8"/>
      <c r="C497" s="8"/>
      <c r="D497" s="8"/>
      <c r="E497" s="8"/>
      <c r="F497" s="8"/>
      <c r="G497" s="8"/>
      <c r="H497" s="8"/>
      <c r="I497" s="8"/>
      <c r="J497" s="8"/>
      <c r="K497" s="8"/>
      <c r="L497" s="8"/>
      <c r="M497" s="8"/>
      <c r="N497" s="8"/>
      <c r="O497" s="8"/>
      <c r="P497" s="8"/>
      <c r="Q497" s="8"/>
      <c r="R497" s="8"/>
      <c r="S497" s="8"/>
      <c r="T497" s="8"/>
      <c r="U497" s="8"/>
      <c r="V497" s="8"/>
      <c r="W497" s="8"/>
    </row>
    <row r="498">
      <c r="A498" s="8"/>
      <c r="B498" s="8"/>
      <c r="C498" s="8"/>
      <c r="D498" s="8"/>
      <c r="E498" s="8"/>
      <c r="F498" s="8"/>
      <c r="G498" s="8"/>
      <c r="H498" s="8"/>
      <c r="I498" s="8"/>
      <c r="J498" s="8"/>
      <c r="K498" s="8"/>
      <c r="L498" s="8"/>
      <c r="M498" s="8"/>
      <c r="N498" s="8"/>
      <c r="O498" s="8"/>
      <c r="P498" s="8"/>
      <c r="Q498" s="8"/>
      <c r="R498" s="8"/>
      <c r="S498" s="8"/>
      <c r="T498" s="8"/>
      <c r="U498" s="8"/>
      <c r="V498" s="8"/>
      <c r="W498" s="8"/>
    </row>
    <row r="499">
      <c r="A499" s="8"/>
      <c r="B499" s="8"/>
      <c r="C499" s="8"/>
      <c r="D499" s="8"/>
      <c r="E499" s="8"/>
      <c r="F499" s="8"/>
      <c r="G499" s="8"/>
      <c r="H499" s="8"/>
      <c r="I499" s="8"/>
      <c r="J499" s="8"/>
      <c r="K499" s="8"/>
      <c r="L499" s="8"/>
      <c r="M499" s="8"/>
      <c r="N499" s="8"/>
      <c r="O499" s="8"/>
      <c r="P499" s="8"/>
      <c r="Q499" s="8"/>
      <c r="R499" s="8"/>
      <c r="S499" s="8"/>
      <c r="T499" s="8"/>
      <c r="U499" s="8"/>
      <c r="V499" s="8"/>
      <c r="W499" s="8"/>
    </row>
    <row r="500">
      <c r="A500" s="8"/>
      <c r="B500" s="8"/>
      <c r="C500" s="8"/>
      <c r="D500" s="8"/>
      <c r="E500" s="8"/>
      <c r="F500" s="8"/>
      <c r="G500" s="8"/>
      <c r="H500" s="8"/>
      <c r="I500" s="8"/>
      <c r="J500" s="8"/>
      <c r="K500" s="8"/>
      <c r="L500" s="8"/>
      <c r="M500" s="8"/>
      <c r="N500" s="8"/>
      <c r="O500" s="8"/>
      <c r="P500" s="8"/>
      <c r="Q500" s="8"/>
      <c r="R500" s="8"/>
      <c r="S500" s="8"/>
      <c r="T500" s="8"/>
      <c r="U500" s="8"/>
      <c r="V500" s="8"/>
      <c r="W500" s="8"/>
    </row>
    <row r="501">
      <c r="A501" s="8"/>
      <c r="B501" s="8"/>
      <c r="C501" s="8"/>
      <c r="D501" s="8"/>
      <c r="E501" s="8"/>
      <c r="F501" s="8"/>
      <c r="G501" s="8"/>
      <c r="H501" s="8"/>
      <c r="I501" s="8"/>
      <c r="J501" s="8"/>
      <c r="K501" s="8"/>
      <c r="L501" s="8"/>
      <c r="M501" s="8"/>
      <c r="N501" s="8"/>
      <c r="O501" s="8"/>
      <c r="P501" s="8"/>
      <c r="Q501" s="8"/>
      <c r="R501" s="8"/>
      <c r="S501" s="8"/>
      <c r="T501" s="8"/>
      <c r="U501" s="8"/>
      <c r="V501" s="8"/>
      <c r="W501" s="8"/>
    </row>
    <row r="502">
      <c r="A502" s="8"/>
      <c r="B502" s="8"/>
      <c r="C502" s="8"/>
      <c r="D502" s="8"/>
      <c r="E502" s="8"/>
      <c r="F502" s="8"/>
      <c r="G502" s="8"/>
      <c r="H502" s="8"/>
      <c r="I502" s="8"/>
      <c r="J502" s="8"/>
      <c r="K502" s="8"/>
      <c r="L502" s="8"/>
      <c r="M502" s="8"/>
      <c r="N502" s="8"/>
      <c r="O502" s="8"/>
      <c r="P502" s="8"/>
      <c r="Q502" s="8"/>
      <c r="R502" s="8"/>
      <c r="S502" s="8"/>
      <c r="T502" s="8"/>
      <c r="U502" s="8"/>
      <c r="V502" s="8"/>
      <c r="W502" s="8"/>
    </row>
    <row r="503">
      <c r="A503" s="8"/>
      <c r="B503" s="8"/>
      <c r="C503" s="8"/>
      <c r="D503" s="8"/>
      <c r="E503" s="8"/>
      <c r="F503" s="8"/>
      <c r="G503" s="8"/>
      <c r="H503" s="8"/>
      <c r="I503" s="8"/>
      <c r="J503" s="8"/>
      <c r="K503" s="8"/>
      <c r="L503" s="8"/>
      <c r="M503" s="8"/>
      <c r="N503" s="8"/>
      <c r="O503" s="8"/>
      <c r="P503" s="8"/>
      <c r="Q503" s="8"/>
      <c r="R503" s="8"/>
      <c r="S503" s="8"/>
      <c r="T503" s="8"/>
      <c r="U503" s="8"/>
      <c r="V503" s="8"/>
      <c r="W503" s="8"/>
    </row>
    <row r="504">
      <c r="A504" s="8"/>
      <c r="B504" s="8"/>
      <c r="C504" s="8"/>
      <c r="D504" s="8"/>
      <c r="E504" s="8"/>
      <c r="F504" s="8"/>
      <c r="G504" s="8"/>
      <c r="H504" s="8"/>
      <c r="I504" s="8"/>
      <c r="J504" s="8"/>
      <c r="K504" s="8"/>
      <c r="L504" s="8"/>
      <c r="M504" s="8"/>
      <c r="N504" s="8"/>
      <c r="O504" s="8"/>
      <c r="P504" s="8"/>
      <c r="Q504" s="8"/>
      <c r="R504" s="8"/>
      <c r="S504" s="8"/>
      <c r="T504" s="8"/>
      <c r="U504" s="8"/>
      <c r="V504" s="8"/>
      <c r="W504" s="8"/>
    </row>
    <row r="505">
      <c r="A505" s="8"/>
      <c r="B505" s="8"/>
      <c r="C505" s="8"/>
      <c r="D505" s="8"/>
      <c r="E505" s="8"/>
      <c r="F505" s="8"/>
      <c r="G505" s="8"/>
      <c r="H505" s="8"/>
      <c r="I505" s="8"/>
      <c r="J505" s="8"/>
      <c r="K505" s="8"/>
      <c r="L505" s="8"/>
      <c r="M505" s="8"/>
      <c r="N505" s="8"/>
      <c r="O505" s="8"/>
      <c r="P505" s="8"/>
      <c r="Q505" s="8"/>
      <c r="R505" s="8"/>
      <c r="S505" s="8"/>
      <c r="T505" s="8"/>
      <c r="U505" s="8"/>
      <c r="V505" s="8"/>
      <c r="W505" s="8"/>
    </row>
    <row r="506">
      <c r="A506" s="8"/>
      <c r="B506" s="8"/>
      <c r="C506" s="8"/>
      <c r="D506" s="8"/>
      <c r="E506" s="8"/>
      <c r="F506" s="8"/>
      <c r="G506" s="8"/>
      <c r="H506" s="8"/>
      <c r="I506" s="8"/>
      <c r="J506" s="8"/>
      <c r="K506" s="8"/>
      <c r="L506" s="8"/>
      <c r="M506" s="8"/>
      <c r="N506" s="8"/>
      <c r="O506" s="8"/>
      <c r="P506" s="8"/>
      <c r="Q506" s="8"/>
      <c r="R506" s="8"/>
      <c r="S506" s="8"/>
      <c r="T506" s="8"/>
      <c r="U506" s="8"/>
      <c r="V506" s="8"/>
      <c r="W506" s="8"/>
    </row>
    <row r="507">
      <c r="A507" s="8"/>
      <c r="B507" s="8"/>
      <c r="C507" s="8"/>
      <c r="D507" s="8"/>
      <c r="E507" s="8"/>
      <c r="F507" s="8"/>
      <c r="G507" s="8"/>
      <c r="H507" s="8"/>
      <c r="I507" s="8"/>
      <c r="J507" s="8"/>
      <c r="K507" s="8"/>
      <c r="L507" s="8"/>
      <c r="M507" s="8"/>
      <c r="N507" s="8"/>
      <c r="O507" s="8"/>
      <c r="P507" s="8"/>
      <c r="Q507" s="8"/>
      <c r="R507" s="8"/>
      <c r="S507" s="8"/>
      <c r="T507" s="8"/>
      <c r="U507" s="8"/>
      <c r="V507" s="8"/>
      <c r="W507" s="8"/>
    </row>
    <row r="508">
      <c r="A508" s="8"/>
      <c r="B508" s="8"/>
      <c r="C508" s="8"/>
      <c r="D508" s="8"/>
      <c r="E508" s="8"/>
      <c r="F508" s="8"/>
      <c r="G508" s="8"/>
      <c r="H508" s="8"/>
      <c r="I508" s="8"/>
      <c r="J508" s="8"/>
      <c r="K508" s="8"/>
      <c r="L508" s="8"/>
      <c r="M508" s="8"/>
      <c r="N508" s="8"/>
      <c r="O508" s="8"/>
      <c r="P508" s="8"/>
      <c r="Q508" s="8"/>
      <c r="R508" s="8"/>
      <c r="S508" s="8"/>
      <c r="T508" s="8"/>
      <c r="U508" s="8"/>
      <c r="V508" s="8"/>
      <c r="W508" s="8"/>
    </row>
    <row r="509">
      <c r="A509" s="8"/>
      <c r="B509" s="8"/>
      <c r="C509" s="8"/>
      <c r="D509" s="8"/>
      <c r="E509" s="8"/>
      <c r="F509" s="8"/>
      <c r="G509" s="8"/>
      <c r="H509" s="8"/>
      <c r="I509" s="8"/>
      <c r="J509" s="8"/>
      <c r="K509" s="8"/>
      <c r="L509" s="8"/>
      <c r="M509" s="8"/>
      <c r="N509" s="8"/>
      <c r="O509" s="8"/>
      <c r="P509" s="8"/>
      <c r="Q509" s="8"/>
      <c r="R509" s="8"/>
      <c r="S509" s="8"/>
      <c r="T509" s="8"/>
      <c r="U509" s="8"/>
      <c r="V509" s="8"/>
      <c r="W509" s="8"/>
    </row>
    <row r="510">
      <c r="A510" s="8"/>
      <c r="B510" s="8"/>
      <c r="C510" s="8"/>
      <c r="D510" s="8"/>
      <c r="E510" s="8"/>
      <c r="F510" s="8"/>
      <c r="G510" s="8"/>
      <c r="H510" s="8"/>
      <c r="I510" s="8"/>
      <c r="J510" s="8"/>
      <c r="K510" s="8"/>
      <c r="L510" s="8"/>
      <c r="M510" s="8"/>
      <c r="N510" s="8"/>
      <c r="O510" s="8"/>
      <c r="P510" s="8"/>
      <c r="Q510" s="8"/>
      <c r="R510" s="8"/>
      <c r="S510" s="8"/>
      <c r="T510" s="8"/>
      <c r="U510" s="8"/>
      <c r="V510" s="8"/>
      <c r="W510" s="8"/>
    </row>
    <row r="511">
      <c r="A511" s="8"/>
      <c r="B511" s="8"/>
      <c r="C511" s="8"/>
      <c r="D511" s="8"/>
      <c r="E511" s="8"/>
      <c r="F511" s="8"/>
      <c r="G511" s="8"/>
      <c r="H511" s="8"/>
      <c r="I511" s="8"/>
      <c r="J511" s="8"/>
      <c r="K511" s="8"/>
      <c r="L511" s="8"/>
      <c r="M511" s="8"/>
      <c r="N511" s="8"/>
      <c r="O511" s="8"/>
      <c r="P511" s="8"/>
      <c r="Q511" s="8"/>
      <c r="R511" s="8"/>
      <c r="S511" s="8"/>
      <c r="T511" s="8"/>
      <c r="U511" s="8"/>
      <c r="V511" s="8"/>
      <c r="W511" s="8"/>
    </row>
    <row r="512">
      <c r="A512" s="8"/>
      <c r="B512" s="8"/>
      <c r="C512" s="8"/>
      <c r="D512" s="8"/>
      <c r="E512" s="8"/>
      <c r="F512" s="8"/>
      <c r="G512" s="8"/>
      <c r="H512" s="8"/>
      <c r="I512" s="8"/>
      <c r="J512" s="8"/>
      <c r="K512" s="8"/>
      <c r="L512" s="8"/>
      <c r="M512" s="8"/>
      <c r="N512" s="8"/>
      <c r="O512" s="8"/>
      <c r="P512" s="8"/>
      <c r="Q512" s="8"/>
      <c r="R512" s="8"/>
      <c r="S512" s="8"/>
      <c r="T512" s="8"/>
      <c r="U512" s="8"/>
      <c r="V512" s="8"/>
      <c r="W512" s="8"/>
    </row>
    <row r="513">
      <c r="A513" s="8"/>
      <c r="B513" s="8"/>
      <c r="C513" s="8"/>
      <c r="D513" s="8"/>
      <c r="E513" s="8"/>
      <c r="F513" s="8"/>
      <c r="G513" s="8"/>
      <c r="H513" s="8"/>
      <c r="I513" s="8"/>
      <c r="J513" s="8"/>
      <c r="K513" s="8"/>
      <c r="L513" s="8"/>
      <c r="M513" s="8"/>
      <c r="N513" s="8"/>
      <c r="O513" s="8"/>
      <c r="P513" s="8"/>
      <c r="Q513" s="8"/>
      <c r="R513" s="8"/>
      <c r="S513" s="8"/>
      <c r="T513" s="8"/>
      <c r="U513" s="8"/>
      <c r="V513" s="8"/>
      <c r="W513" s="8"/>
    </row>
    <row r="514">
      <c r="A514" s="8"/>
      <c r="B514" s="8"/>
      <c r="C514" s="8"/>
      <c r="D514" s="8"/>
      <c r="E514" s="8"/>
      <c r="F514" s="8"/>
      <c r="G514" s="8"/>
      <c r="H514" s="8"/>
      <c r="I514" s="8"/>
      <c r="J514" s="8"/>
      <c r="K514" s="8"/>
      <c r="L514" s="8"/>
      <c r="M514" s="8"/>
      <c r="N514" s="8"/>
      <c r="O514" s="8"/>
      <c r="P514" s="8"/>
      <c r="Q514" s="8"/>
      <c r="R514" s="8"/>
      <c r="S514" s="8"/>
      <c r="T514" s="8"/>
      <c r="U514" s="8"/>
      <c r="V514" s="8"/>
      <c r="W514" s="8"/>
    </row>
    <row r="515">
      <c r="A515" s="8"/>
      <c r="B515" s="8"/>
      <c r="C515" s="8"/>
      <c r="D515" s="8"/>
      <c r="E515" s="8"/>
      <c r="F515" s="8"/>
      <c r="G515" s="8"/>
      <c r="H515" s="8"/>
      <c r="I515" s="8"/>
      <c r="J515" s="8"/>
      <c r="K515" s="8"/>
      <c r="L515" s="8"/>
      <c r="M515" s="8"/>
      <c r="N515" s="8"/>
      <c r="O515" s="8"/>
      <c r="P515" s="8"/>
      <c r="Q515" s="8"/>
      <c r="R515" s="8"/>
      <c r="S515" s="8"/>
      <c r="T515" s="8"/>
      <c r="U515" s="8"/>
      <c r="V515" s="8"/>
      <c r="W515" s="8"/>
    </row>
    <row r="516">
      <c r="A516" s="8"/>
      <c r="B516" s="8"/>
      <c r="C516" s="8"/>
      <c r="D516" s="8"/>
      <c r="E516" s="8"/>
      <c r="F516" s="8"/>
      <c r="G516" s="8"/>
      <c r="H516" s="8"/>
      <c r="I516" s="8"/>
      <c r="J516" s="8"/>
      <c r="K516" s="8"/>
      <c r="L516" s="8"/>
      <c r="M516" s="8"/>
      <c r="N516" s="8"/>
      <c r="O516" s="8"/>
      <c r="P516" s="8"/>
      <c r="Q516" s="8"/>
      <c r="R516" s="8"/>
      <c r="S516" s="8"/>
      <c r="T516" s="8"/>
      <c r="U516" s="8"/>
      <c r="V516" s="8"/>
      <c r="W516" s="8"/>
    </row>
    <row r="517">
      <c r="A517" s="8"/>
      <c r="B517" s="8"/>
      <c r="C517" s="8"/>
      <c r="D517" s="8"/>
      <c r="E517" s="8"/>
      <c r="F517" s="8"/>
      <c r="G517" s="8"/>
      <c r="H517" s="8"/>
      <c r="I517" s="8"/>
      <c r="J517" s="8"/>
      <c r="K517" s="8"/>
      <c r="L517" s="8"/>
      <c r="M517" s="8"/>
      <c r="N517" s="8"/>
      <c r="O517" s="8"/>
      <c r="P517" s="8"/>
      <c r="Q517" s="8"/>
      <c r="R517" s="8"/>
      <c r="S517" s="8"/>
      <c r="T517" s="8"/>
      <c r="U517" s="8"/>
      <c r="V517" s="8"/>
      <c r="W517" s="8"/>
    </row>
    <row r="518">
      <c r="A518" s="8"/>
      <c r="B518" s="8"/>
      <c r="C518" s="8"/>
      <c r="D518" s="8"/>
      <c r="E518" s="8"/>
      <c r="F518" s="8"/>
      <c r="G518" s="8"/>
      <c r="H518" s="8"/>
      <c r="I518" s="8"/>
      <c r="J518" s="8"/>
      <c r="K518" s="8"/>
      <c r="L518" s="8"/>
      <c r="M518" s="8"/>
      <c r="N518" s="8"/>
      <c r="O518" s="8"/>
      <c r="P518" s="8"/>
      <c r="Q518" s="8"/>
      <c r="R518" s="8"/>
      <c r="S518" s="8"/>
      <c r="T518" s="8"/>
      <c r="U518" s="8"/>
      <c r="V518" s="8"/>
      <c r="W518" s="8"/>
    </row>
    <row r="519">
      <c r="A519" s="8"/>
      <c r="B519" s="8"/>
      <c r="C519" s="8"/>
      <c r="D519" s="8"/>
      <c r="E519" s="8"/>
      <c r="F519" s="8"/>
      <c r="G519" s="8"/>
      <c r="H519" s="8"/>
      <c r="I519" s="8"/>
      <c r="J519" s="8"/>
      <c r="K519" s="8"/>
      <c r="L519" s="8"/>
      <c r="M519" s="8"/>
      <c r="N519" s="8"/>
      <c r="O519" s="8"/>
      <c r="P519" s="8"/>
      <c r="Q519" s="8"/>
      <c r="R519" s="8"/>
      <c r="S519" s="8"/>
      <c r="T519" s="8"/>
      <c r="U519" s="8"/>
      <c r="V519" s="8"/>
      <c r="W519" s="8"/>
    </row>
    <row r="520">
      <c r="A520" s="8"/>
      <c r="B520" s="8"/>
      <c r="C520" s="8"/>
      <c r="D520" s="8"/>
      <c r="E520" s="8"/>
      <c r="F520" s="8"/>
      <c r="G520" s="8"/>
      <c r="H520" s="8"/>
      <c r="I520" s="8"/>
      <c r="J520" s="8"/>
      <c r="K520" s="8"/>
      <c r="L520" s="8"/>
      <c r="M520" s="8"/>
      <c r="N520" s="8"/>
      <c r="O520" s="8"/>
      <c r="P520" s="8"/>
      <c r="Q520" s="8"/>
      <c r="R520" s="8"/>
      <c r="S520" s="8"/>
      <c r="T520" s="8"/>
      <c r="U520" s="8"/>
      <c r="V520" s="8"/>
      <c r="W520" s="8"/>
    </row>
    <row r="521">
      <c r="A521" s="8"/>
      <c r="B521" s="8"/>
      <c r="C521" s="8"/>
      <c r="D521" s="8"/>
      <c r="E521" s="8"/>
      <c r="F521" s="8"/>
      <c r="G521" s="8"/>
      <c r="H521" s="8"/>
      <c r="I521" s="8"/>
      <c r="J521" s="8"/>
      <c r="K521" s="8"/>
      <c r="L521" s="8"/>
      <c r="M521" s="8"/>
      <c r="N521" s="8"/>
      <c r="O521" s="8"/>
      <c r="P521" s="8"/>
      <c r="Q521" s="8"/>
      <c r="R521" s="8"/>
      <c r="S521" s="8"/>
      <c r="T521" s="8"/>
      <c r="U521" s="8"/>
      <c r="V521" s="8"/>
      <c r="W521" s="8"/>
    </row>
    <row r="522">
      <c r="A522" s="8"/>
      <c r="B522" s="8"/>
      <c r="C522" s="8"/>
      <c r="D522" s="8"/>
      <c r="E522" s="8"/>
      <c r="F522" s="8"/>
      <c r="G522" s="8"/>
      <c r="H522" s="8"/>
      <c r="I522" s="8"/>
      <c r="J522" s="8"/>
      <c r="K522" s="8"/>
      <c r="L522" s="8"/>
      <c r="M522" s="8"/>
      <c r="N522" s="8"/>
      <c r="O522" s="8"/>
      <c r="P522" s="8"/>
      <c r="Q522" s="8"/>
      <c r="R522" s="8"/>
      <c r="S522" s="8"/>
      <c r="T522" s="8"/>
      <c r="U522" s="8"/>
      <c r="V522" s="8"/>
      <c r="W522" s="8"/>
    </row>
    <row r="523">
      <c r="A523" s="8"/>
      <c r="B523" s="8"/>
      <c r="C523" s="8"/>
      <c r="D523" s="8"/>
      <c r="E523" s="8"/>
      <c r="F523" s="8"/>
      <c r="G523" s="8"/>
      <c r="H523" s="8"/>
      <c r="I523" s="8"/>
      <c r="J523" s="8"/>
      <c r="K523" s="8"/>
      <c r="L523" s="8"/>
      <c r="M523" s="8"/>
      <c r="N523" s="8"/>
      <c r="O523" s="8"/>
      <c r="P523" s="8"/>
      <c r="Q523" s="8"/>
      <c r="R523" s="8"/>
      <c r="S523" s="8"/>
      <c r="T523" s="8"/>
      <c r="U523" s="8"/>
      <c r="V523" s="8"/>
      <c r="W523" s="8"/>
    </row>
    <row r="524">
      <c r="A524" s="8"/>
      <c r="B524" s="8"/>
      <c r="C524" s="8"/>
      <c r="D524" s="8"/>
      <c r="E524" s="8"/>
      <c r="F524" s="8"/>
      <c r="G524" s="8"/>
      <c r="H524" s="8"/>
      <c r="I524" s="8"/>
      <c r="J524" s="8"/>
      <c r="K524" s="8"/>
      <c r="L524" s="8"/>
      <c r="M524" s="8"/>
      <c r="N524" s="8"/>
      <c r="O524" s="8"/>
      <c r="P524" s="8"/>
      <c r="Q524" s="8"/>
      <c r="R524" s="8"/>
      <c r="S524" s="8"/>
      <c r="T524" s="8"/>
      <c r="U524" s="8"/>
      <c r="V524" s="8"/>
      <c r="W524" s="8"/>
    </row>
    <row r="525">
      <c r="A525" s="8"/>
      <c r="B525" s="8"/>
      <c r="C525" s="8"/>
      <c r="D525" s="8"/>
      <c r="E525" s="8"/>
      <c r="F525" s="8"/>
      <c r="G525" s="8"/>
      <c r="H525" s="8"/>
      <c r="I525" s="8"/>
      <c r="J525" s="8"/>
      <c r="K525" s="8"/>
      <c r="L525" s="8"/>
      <c r="M525" s="8"/>
      <c r="N525" s="8"/>
      <c r="O525" s="8"/>
      <c r="P525" s="8"/>
      <c r="Q525" s="8"/>
      <c r="R525" s="8"/>
      <c r="S525" s="8"/>
      <c r="T525" s="8"/>
      <c r="U525" s="8"/>
      <c r="V525" s="8"/>
      <c r="W525" s="8"/>
    </row>
    <row r="526">
      <c r="A526" s="8"/>
      <c r="B526" s="8"/>
      <c r="C526" s="8"/>
      <c r="D526" s="8"/>
      <c r="E526" s="8"/>
      <c r="F526" s="8"/>
      <c r="G526" s="8"/>
      <c r="H526" s="8"/>
      <c r="I526" s="8"/>
      <c r="J526" s="8"/>
      <c r="K526" s="8"/>
      <c r="L526" s="8"/>
      <c r="M526" s="8"/>
      <c r="N526" s="8"/>
      <c r="O526" s="8"/>
      <c r="P526" s="8"/>
      <c r="Q526" s="8"/>
      <c r="R526" s="8"/>
      <c r="S526" s="8"/>
      <c r="T526" s="8"/>
      <c r="U526" s="8"/>
      <c r="V526" s="8"/>
      <c r="W526" s="8"/>
    </row>
    <row r="527">
      <c r="A527" s="8"/>
      <c r="B527" s="8"/>
      <c r="C527" s="8"/>
      <c r="D527" s="8"/>
      <c r="E527" s="8"/>
      <c r="F527" s="8"/>
      <c r="G527" s="8"/>
      <c r="H527" s="8"/>
      <c r="I527" s="8"/>
      <c r="J527" s="8"/>
      <c r="K527" s="8"/>
      <c r="L527" s="8"/>
      <c r="M527" s="8"/>
      <c r="N527" s="8"/>
      <c r="O527" s="8"/>
      <c r="P527" s="8"/>
      <c r="Q527" s="8"/>
      <c r="R527" s="8"/>
      <c r="S527" s="8"/>
      <c r="T527" s="8"/>
      <c r="U527" s="8"/>
      <c r="V527" s="8"/>
      <c r="W527" s="8"/>
    </row>
    <row r="528">
      <c r="A528" s="8"/>
      <c r="B528" s="8"/>
      <c r="C528" s="8"/>
      <c r="D528" s="8"/>
      <c r="E528" s="8"/>
      <c r="F528" s="8"/>
      <c r="G528" s="8"/>
      <c r="H528" s="8"/>
      <c r="I528" s="8"/>
      <c r="J528" s="8"/>
      <c r="K528" s="8"/>
      <c r="L528" s="8"/>
      <c r="M528" s="8"/>
      <c r="N528" s="8"/>
      <c r="O528" s="8"/>
      <c r="P528" s="8"/>
      <c r="Q528" s="8"/>
      <c r="R528" s="8"/>
      <c r="S528" s="8"/>
      <c r="T528" s="8"/>
      <c r="U528" s="8"/>
      <c r="V528" s="8"/>
      <c r="W528" s="8"/>
    </row>
    <row r="529">
      <c r="A529" s="8"/>
      <c r="B529" s="8"/>
      <c r="C529" s="8"/>
      <c r="D529" s="8"/>
      <c r="E529" s="8"/>
      <c r="F529" s="8"/>
      <c r="G529" s="8"/>
      <c r="H529" s="8"/>
      <c r="I529" s="8"/>
      <c r="J529" s="8"/>
      <c r="K529" s="8"/>
      <c r="L529" s="8"/>
      <c r="M529" s="8"/>
      <c r="N529" s="8"/>
      <c r="O529" s="8"/>
      <c r="P529" s="8"/>
      <c r="Q529" s="8"/>
      <c r="R529" s="8"/>
      <c r="S529" s="8"/>
      <c r="T529" s="8"/>
      <c r="U529" s="8"/>
      <c r="V529" s="8"/>
      <c r="W529" s="8"/>
    </row>
    <row r="530">
      <c r="A530" s="8"/>
      <c r="B530" s="8"/>
      <c r="C530" s="8"/>
      <c r="D530" s="8"/>
      <c r="E530" s="8"/>
      <c r="F530" s="8"/>
      <c r="G530" s="8"/>
      <c r="H530" s="8"/>
      <c r="I530" s="8"/>
      <c r="J530" s="8"/>
      <c r="K530" s="8"/>
      <c r="L530" s="8"/>
      <c r="M530" s="8"/>
      <c r="N530" s="8"/>
      <c r="O530" s="8"/>
      <c r="P530" s="8"/>
      <c r="Q530" s="8"/>
      <c r="R530" s="8"/>
      <c r="S530" s="8"/>
      <c r="T530" s="8"/>
      <c r="U530" s="8"/>
      <c r="V530" s="8"/>
      <c r="W530" s="8"/>
    </row>
    <row r="531">
      <c r="A531" s="8"/>
      <c r="B531" s="8"/>
      <c r="C531" s="8"/>
      <c r="D531" s="8"/>
      <c r="E531" s="8"/>
      <c r="F531" s="8"/>
      <c r="G531" s="8"/>
      <c r="H531" s="8"/>
      <c r="I531" s="8"/>
      <c r="J531" s="8"/>
      <c r="K531" s="8"/>
      <c r="L531" s="8"/>
      <c r="M531" s="8"/>
      <c r="N531" s="8"/>
      <c r="O531" s="8"/>
      <c r="P531" s="8"/>
      <c r="Q531" s="8"/>
      <c r="R531" s="8"/>
      <c r="S531" s="8"/>
      <c r="T531" s="8"/>
      <c r="U531" s="8"/>
      <c r="V531" s="8"/>
      <c r="W531" s="8"/>
    </row>
    <row r="532">
      <c r="A532" s="8"/>
      <c r="B532" s="8"/>
      <c r="C532" s="8"/>
      <c r="D532" s="8"/>
      <c r="E532" s="8"/>
      <c r="F532" s="8"/>
      <c r="G532" s="8"/>
      <c r="H532" s="8"/>
      <c r="I532" s="8"/>
      <c r="J532" s="8"/>
      <c r="K532" s="8"/>
      <c r="L532" s="8"/>
      <c r="M532" s="8"/>
      <c r="N532" s="8"/>
      <c r="O532" s="8"/>
      <c r="P532" s="8"/>
      <c r="Q532" s="8"/>
      <c r="R532" s="8"/>
      <c r="S532" s="8"/>
      <c r="T532" s="8"/>
      <c r="U532" s="8"/>
      <c r="V532" s="8"/>
      <c r="W532" s="8"/>
    </row>
    <row r="533">
      <c r="A533" s="8"/>
      <c r="B533" s="8"/>
      <c r="C533" s="8"/>
      <c r="D533" s="8"/>
      <c r="E533" s="8"/>
      <c r="F533" s="8"/>
      <c r="G533" s="8"/>
      <c r="H533" s="8"/>
      <c r="I533" s="8"/>
      <c r="J533" s="8"/>
      <c r="K533" s="8"/>
      <c r="L533" s="8"/>
      <c r="M533" s="8"/>
      <c r="N533" s="8"/>
      <c r="O533" s="8"/>
      <c r="P533" s="8"/>
      <c r="Q533" s="8"/>
      <c r="R533" s="8"/>
      <c r="S533" s="8"/>
      <c r="T533" s="8"/>
      <c r="U533" s="8"/>
      <c r="V533" s="8"/>
      <c r="W533" s="8"/>
    </row>
    <row r="534">
      <c r="A534" s="8"/>
      <c r="B534" s="8"/>
      <c r="C534" s="8"/>
      <c r="D534" s="8"/>
      <c r="E534" s="8"/>
      <c r="F534" s="8"/>
      <c r="G534" s="8"/>
      <c r="H534" s="8"/>
      <c r="I534" s="8"/>
      <c r="J534" s="8"/>
      <c r="K534" s="8"/>
      <c r="L534" s="8"/>
      <c r="M534" s="8"/>
      <c r="N534" s="8"/>
      <c r="O534" s="8"/>
      <c r="P534" s="8"/>
      <c r="Q534" s="8"/>
      <c r="R534" s="8"/>
      <c r="S534" s="8"/>
      <c r="T534" s="8"/>
      <c r="U534" s="8"/>
      <c r="V534" s="8"/>
      <c r="W534" s="8"/>
    </row>
    <row r="535">
      <c r="A535" s="8"/>
      <c r="B535" s="8"/>
      <c r="C535" s="8"/>
      <c r="D535" s="8"/>
      <c r="E535" s="8"/>
      <c r="F535" s="8"/>
      <c r="G535" s="8"/>
      <c r="H535" s="8"/>
      <c r="I535" s="8"/>
      <c r="J535" s="8"/>
      <c r="K535" s="8"/>
      <c r="L535" s="8"/>
      <c r="M535" s="8"/>
      <c r="N535" s="8"/>
      <c r="O535" s="8"/>
      <c r="P535" s="8"/>
      <c r="Q535" s="8"/>
      <c r="R535" s="8"/>
      <c r="S535" s="8"/>
      <c r="T535" s="8"/>
      <c r="U535" s="8"/>
      <c r="V535" s="8"/>
      <c r="W535" s="8"/>
    </row>
    <row r="536">
      <c r="A536" s="8"/>
      <c r="B536" s="8"/>
      <c r="C536" s="8"/>
      <c r="D536" s="8"/>
      <c r="E536" s="8"/>
      <c r="F536" s="8"/>
      <c r="G536" s="8"/>
      <c r="H536" s="8"/>
      <c r="I536" s="8"/>
      <c r="J536" s="8"/>
      <c r="K536" s="8"/>
      <c r="L536" s="8"/>
      <c r="M536" s="8"/>
      <c r="N536" s="8"/>
      <c r="O536" s="8"/>
      <c r="P536" s="8"/>
      <c r="Q536" s="8"/>
      <c r="R536" s="8"/>
      <c r="S536" s="8"/>
      <c r="T536" s="8"/>
      <c r="U536" s="8"/>
      <c r="V536" s="8"/>
      <c r="W536" s="8"/>
    </row>
    <row r="537">
      <c r="A537" s="8"/>
      <c r="B537" s="8"/>
      <c r="C537" s="8"/>
      <c r="D537" s="8"/>
      <c r="E537" s="8"/>
      <c r="F537" s="8"/>
      <c r="G537" s="8"/>
      <c r="H537" s="8"/>
      <c r="I537" s="8"/>
      <c r="J537" s="8"/>
      <c r="K537" s="8"/>
      <c r="L537" s="8"/>
      <c r="M537" s="8"/>
      <c r="N537" s="8"/>
      <c r="O537" s="8"/>
      <c r="P537" s="8"/>
      <c r="Q537" s="8"/>
      <c r="R537" s="8"/>
      <c r="S537" s="8"/>
      <c r="T537" s="8"/>
      <c r="U537" s="8"/>
      <c r="V537" s="8"/>
      <c r="W537" s="8"/>
    </row>
    <row r="538">
      <c r="A538" s="8"/>
      <c r="B538" s="8"/>
      <c r="C538" s="8"/>
      <c r="D538" s="8"/>
      <c r="E538" s="8"/>
      <c r="F538" s="8"/>
      <c r="G538" s="8"/>
      <c r="H538" s="8"/>
      <c r="I538" s="8"/>
      <c r="J538" s="8"/>
      <c r="K538" s="8"/>
      <c r="L538" s="8"/>
      <c r="M538" s="8"/>
      <c r="N538" s="8"/>
      <c r="O538" s="8"/>
      <c r="P538" s="8"/>
      <c r="Q538" s="8"/>
      <c r="R538" s="8"/>
      <c r="S538" s="8"/>
      <c r="T538" s="8"/>
      <c r="U538" s="8"/>
      <c r="V538" s="8"/>
      <c r="W538" s="8"/>
    </row>
    <row r="539">
      <c r="A539" s="8"/>
      <c r="B539" s="8"/>
      <c r="C539" s="8"/>
      <c r="D539" s="8"/>
      <c r="E539" s="8"/>
      <c r="F539" s="8"/>
      <c r="G539" s="8"/>
      <c r="H539" s="8"/>
      <c r="I539" s="8"/>
      <c r="J539" s="8"/>
      <c r="K539" s="8"/>
      <c r="L539" s="8"/>
      <c r="M539" s="8"/>
      <c r="N539" s="8"/>
      <c r="O539" s="8"/>
      <c r="P539" s="8"/>
      <c r="Q539" s="8"/>
      <c r="R539" s="8"/>
      <c r="S539" s="8"/>
      <c r="T539" s="8"/>
      <c r="U539" s="8"/>
      <c r="V539" s="8"/>
      <c r="W539" s="8"/>
    </row>
    <row r="540">
      <c r="A540" s="8"/>
      <c r="B540" s="8"/>
      <c r="C540" s="8"/>
      <c r="D540" s="8"/>
      <c r="E540" s="8"/>
      <c r="F540" s="8"/>
      <c r="G540" s="8"/>
      <c r="H540" s="8"/>
      <c r="I540" s="8"/>
      <c r="J540" s="8"/>
      <c r="K540" s="8"/>
      <c r="L540" s="8"/>
      <c r="M540" s="8"/>
      <c r="N540" s="8"/>
      <c r="O540" s="8"/>
      <c r="P540" s="8"/>
      <c r="Q540" s="8"/>
      <c r="R540" s="8"/>
      <c r="S540" s="8"/>
      <c r="T540" s="8"/>
      <c r="U540" s="8"/>
      <c r="V540" s="8"/>
      <c r="W540" s="8"/>
    </row>
    <row r="541">
      <c r="A541" s="8"/>
      <c r="B541" s="8"/>
      <c r="C541" s="8"/>
      <c r="D541" s="8"/>
      <c r="E541" s="8"/>
      <c r="F541" s="8"/>
      <c r="G541" s="8"/>
      <c r="H541" s="8"/>
      <c r="I541" s="8"/>
      <c r="J541" s="8"/>
      <c r="K541" s="8"/>
      <c r="L541" s="8"/>
      <c r="M541" s="8"/>
      <c r="N541" s="8"/>
      <c r="O541" s="8"/>
      <c r="P541" s="8"/>
      <c r="Q541" s="8"/>
      <c r="R541" s="8"/>
      <c r="S541" s="8"/>
      <c r="T541" s="8"/>
      <c r="U541" s="8"/>
      <c r="V541" s="8"/>
      <c r="W541" s="8"/>
    </row>
    <row r="542">
      <c r="A542" s="8"/>
      <c r="B542" s="8"/>
      <c r="C542" s="8"/>
      <c r="D542" s="8"/>
      <c r="E542" s="8"/>
      <c r="F542" s="8"/>
      <c r="G542" s="8"/>
      <c r="H542" s="8"/>
      <c r="I542" s="8"/>
      <c r="J542" s="8"/>
      <c r="K542" s="8"/>
      <c r="L542" s="8"/>
      <c r="M542" s="8"/>
      <c r="N542" s="8"/>
      <c r="O542" s="8"/>
      <c r="P542" s="8"/>
      <c r="Q542" s="8"/>
      <c r="R542" s="8"/>
      <c r="S542" s="8"/>
      <c r="T542" s="8"/>
      <c r="U542" s="8"/>
      <c r="V542" s="8"/>
      <c r="W542" s="8"/>
    </row>
    <row r="543">
      <c r="A543" s="8"/>
      <c r="B543" s="8"/>
      <c r="C543" s="8"/>
      <c r="D543" s="8"/>
      <c r="E543" s="8"/>
      <c r="F543" s="8"/>
      <c r="G543" s="8"/>
      <c r="H543" s="8"/>
      <c r="I543" s="8"/>
      <c r="J543" s="8"/>
      <c r="K543" s="8"/>
      <c r="L543" s="8"/>
      <c r="M543" s="8"/>
      <c r="N543" s="8"/>
      <c r="O543" s="8"/>
      <c r="P543" s="8"/>
      <c r="Q543" s="8"/>
      <c r="R543" s="8"/>
      <c r="S543" s="8"/>
      <c r="T543" s="8"/>
      <c r="U543" s="8"/>
      <c r="V543" s="8"/>
      <c r="W543" s="8"/>
    </row>
    <row r="544">
      <c r="A544" s="8"/>
      <c r="B544" s="8"/>
      <c r="C544" s="8"/>
      <c r="D544" s="8"/>
      <c r="E544" s="8"/>
      <c r="F544" s="8"/>
      <c r="G544" s="8"/>
      <c r="H544" s="8"/>
      <c r="I544" s="8"/>
      <c r="J544" s="8"/>
      <c r="K544" s="8"/>
      <c r="L544" s="8"/>
      <c r="M544" s="8"/>
      <c r="N544" s="8"/>
      <c r="O544" s="8"/>
      <c r="P544" s="8"/>
      <c r="Q544" s="8"/>
      <c r="R544" s="8"/>
      <c r="S544" s="8"/>
      <c r="T544" s="8"/>
      <c r="U544" s="8"/>
      <c r="V544" s="8"/>
      <c r="W544" s="8"/>
    </row>
    <row r="545">
      <c r="A545" s="8"/>
      <c r="B545" s="8"/>
      <c r="C545" s="8"/>
      <c r="D545" s="8"/>
      <c r="E545" s="8"/>
      <c r="F545" s="8"/>
      <c r="G545" s="8"/>
      <c r="H545" s="8"/>
      <c r="I545" s="8"/>
      <c r="J545" s="8"/>
      <c r="K545" s="8"/>
      <c r="L545" s="8"/>
      <c r="M545" s="8"/>
      <c r="N545" s="8"/>
      <c r="O545" s="8"/>
      <c r="P545" s="8"/>
      <c r="Q545" s="8"/>
      <c r="R545" s="8"/>
      <c r="S545" s="8"/>
      <c r="T545" s="8"/>
      <c r="U545" s="8"/>
      <c r="V545" s="8"/>
      <c r="W545" s="8"/>
    </row>
    <row r="546">
      <c r="A546" s="8"/>
      <c r="B546" s="8"/>
      <c r="C546" s="8"/>
      <c r="D546" s="8"/>
      <c r="E546" s="8"/>
      <c r="F546" s="8"/>
      <c r="G546" s="8"/>
      <c r="H546" s="8"/>
      <c r="I546" s="8"/>
      <c r="J546" s="8"/>
      <c r="K546" s="8"/>
      <c r="L546" s="8"/>
      <c r="M546" s="8"/>
      <c r="N546" s="8"/>
      <c r="O546" s="8"/>
      <c r="P546" s="8"/>
      <c r="Q546" s="8"/>
      <c r="R546" s="8"/>
      <c r="S546" s="8"/>
      <c r="T546" s="8"/>
      <c r="U546" s="8"/>
      <c r="V546" s="8"/>
      <c r="W546" s="8"/>
    </row>
    <row r="547">
      <c r="A547" s="8"/>
      <c r="B547" s="8"/>
      <c r="C547" s="8"/>
      <c r="D547" s="8"/>
      <c r="E547" s="8"/>
      <c r="F547" s="8"/>
      <c r="G547" s="8"/>
      <c r="H547" s="8"/>
      <c r="I547" s="8"/>
      <c r="J547" s="8"/>
      <c r="K547" s="8"/>
      <c r="L547" s="8"/>
      <c r="M547" s="8"/>
      <c r="N547" s="8"/>
      <c r="O547" s="8"/>
      <c r="P547" s="8"/>
      <c r="Q547" s="8"/>
      <c r="R547" s="8"/>
      <c r="S547" s="8"/>
      <c r="T547" s="8"/>
      <c r="U547" s="8"/>
      <c r="V547" s="8"/>
      <c r="W547" s="8"/>
    </row>
    <row r="548">
      <c r="A548" s="8"/>
      <c r="B548" s="8"/>
      <c r="C548" s="8"/>
      <c r="D548" s="8"/>
      <c r="E548" s="8"/>
      <c r="F548" s="8"/>
      <c r="G548" s="8"/>
      <c r="H548" s="8"/>
      <c r="I548" s="8"/>
      <c r="J548" s="8"/>
      <c r="K548" s="8"/>
      <c r="L548" s="8"/>
      <c r="M548" s="8"/>
      <c r="N548" s="8"/>
      <c r="O548" s="8"/>
      <c r="P548" s="8"/>
      <c r="Q548" s="8"/>
      <c r="R548" s="8"/>
      <c r="S548" s="8"/>
      <c r="T548" s="8"/>
      <c r="U548" s="8"/>
      <c r="V548" s="8"/>
      <c r="W548" s="8"/>
    </row>
    <row r="549">
      <c r="A549" s="8"/>
      <c r="B549" s="8"/>
      <c r="C549" s="8"/>
      <c r="D549" s="8"/>
      <c r="E549" s="8"/>
      <c r="F549" s="8"/>
      <c r="G549" s="8"/>
      <c r="H549" s="8"/>
      <c r="I549" s="8"/>
      <c r="J549" s="8"/>
      <c r="K549" s="8"/>
      <c r="L549" s="8"/>
      <c r="M549" s="8"/>
      <c r="N549" s="8"/>
      <c r="O549" s="8"/>
      <c r="P549" s="8"/>
      <c r="Q549" s="8"/>
      <c r="R549" s="8"/>
      <c r="S549" s="8"/>
      <c r="T549" s="8"/>
      <c r="U549" s="8"/>
      <c r="V549" s="8"/>
      <c r="W549" s="8"/>
    </row>
    <row r="550">
      <c r="A550" s="8"/>
      <c r="B550" s="8"/>
      <c r="C550" s="8"/>
      <c r="D550" s="8"/>
      <c r="E550" s="8"/>
      <c r="F550" s="8"/>
      <c r="G550" s="8"/>
      <c r="H550" s="8"/>
      <c r="I550" s="8"/>
      <c r="J550" s="8"/>
      <c r="K550" s="8"/>
      <c r="L550" s="8"/>
      <c r="M550" s="8"/>
      <c r="N550" s="8"/>
      <c r="O550" s="8"/>
      <c r="P550" s="8"/>
      <c r="Q550" s="8"/>
      <c r="R550" s="8"/>
      <c r="S550" s="8"/>
      <c r="T550" s="8"/>
      <c r="U550" s="8"/>
      <c r="V550" s="8"/>
      <c r="W550" s="8"/>
    </row>
    <row r="551">
      <c r="A551" s="8"/>
      <c r="B551" s="8"/>
      <c r="C551" s="8"/>
      <c r="D551" s="8"/>
      <c r="E551" s="8"/>
      <c r="F551" s="8"/>
      <c r="G551" s="8"/>
      <c r="H551" s="8"/>
      <c r="I551" s="8"/>
      <c r="J551" s="8"/>
      <c r="K551" s="8"/>
      <c r="L551" s="8"/>
      <c r="M551" s="8"/>
      <c r="N551" s="8"/>
      <c r="O551" s="8"/>
      <c r="P551" s="8"/>
      <c r="Q551" s="8"/>
      <c r="R551" s="8"/>
      <c r="S551" s="8"/>
      <c r="T551" s="8"/>
      <c r="U551" s="8"/>
      <c r="V551" s="8"/>
      <c r="W551" s="8"/>
    </row>
    <row r="552">
      <c r="A552" s="8"/>
      <c r="B552" s="8"/>
      <c r="C552" s="8"/>
      <c r="D552" s="8"/>
      <c r="E552" s="8"/>
      <c r="F552" s="8"/>
      <c r="G552" s="8"/>
      <c r="H552" s="8"/>
      <c r="I552" s="8"/>
      <c r="J552" s="8"/>
      <c r="K552" s="8"/>
      <c r="L552" s="8"/>
      <c r="M552" s="8"/>
      <c r="N552" s="8"/>
      <c r="O552" s="8"/>
      <c r="P552" s="8"/>
      <c r="Q552" s="8"/>
      <c r="R552" s="8"/>
      <c r="S552" s="8"/>
      <c r="T552" s="8"/>
      <c r="U552" s="8"/>
      <c r="V552" s="8"/>
      <c r="W552" s="8"/>
    </row>
    <row r="553">
      <c r="A553" s="8"/>
      <c r="B553" s="8"/>
      <c r="C553" s="8"/>
      <c r="D553" s="8"/>
      <c r="E553" s="8"/>
      <c r="F553" s="8"/>
      <c r="G553" s="8"/>
      <c r="H553" s="8"/>
      <c r="I553" s="8"/>
      <c r="J553" s="8"/>
      <c r="K553" s="8"/>
      <c r="L553" s="8"/>
      <c r="M553" s="8"/>
      <c r="N553" s="8"/>
      <c r="O553" s="8"/>
      <c r="P553" s="8"/>
      <c r="Q553" s="8"/>
      <c r="R553" s="8"/>
      <c r="S553" s="8"/>
      <c r="T553" s="8"/>
      <c r="U553" s="8"/>
      <c r="V553" s="8"/>
      <c r="W553" s="8"/>
    </row>
    <row r="554">
      <c r="A554" s="8"/>
      <c r="B554" s="8"/>
      <c r="C554" s="8"/>
      <c r="D554" s="8"/>
      <c r="E554" s="8"/>
      <c r="F554" s="8"/>
      <c r="G554" s="8"/>
      <c r="H554" s="8"/>
      <c r="I554" s="8"/>
      <c r="J554" s="8"/>
      <c r="K554" s="8"/>
      <c r="L554" s="8"/>
      <c r="M554" s="8"/>
      <c r="N554" s="8"/>
      <c r="O554" s="8"/>
      <c r="P554" s="8"/>
      <c r="Q554" s="8"/>
      <c r="R554" s="8"/>
      <c r="S554" s="8"/>
      <c r="T554" s="8"/>
      <c r="U554" s="8"/>
      <c r="V554" s="8"/>
      <c r="W554" s="8"/>
    </row>
    <row r="555">
      <c r="A555" s="8"/>
      <c r="B555" s="8"/>
      <c r="C555" s="8"/>
      <c r="D555" s="8"/>
      <c r="E555" s="8"/>
      <c r="F555" s="8"/>
      <c r="G555" s="8"/>
      <c r="H555" s="8"/>
      <c r="I555" s="8"/>
      <c r="J555" s="8"/>
      <c r="K555" s="8"/>
      <c r="L555" s="8"/>
      <c r="M555" s="8"/>
      <c r="N555" s="8"/>
      <c r="O555" s="8"/>
      <c r="P555" s="8"/>
      <c r="Q555" s="8"/>
      <c r="R555" s="8"/>
      <c r="S555" s="8"/>
      <c r="T555" s="8"/>
      <c r="U555" s="8"/>
      <c r="V555" s="8"/>
      <c r="W555" s="8"/>
    </row>
    <row r="556">
      <c r="A556" s="8"/>
      <c r="B556" s="8"/>
      <c r="C556" s="8"/>
      <c r="D556" s="8"/>
      <c r="E556" s="8"/>
      <c r="F556" s="8"/>
      <c r="G556" s="8"/>
      <c r="H556" s="8"/>
      <c r="I556" s="8"/>
      <c r="J556" s="8"/>
      <c r="K556" s="8"/>
      <c r="L556" s="8"/>
      <c r="M556" s="8"/>
      <c r="N556" s="8"/>
      <c r="O556" s="8"/>
      <c r="P556" s="8"/>
      <c r="Q556" s="8"/>
      <c r="R556" s="8"/>
      <c r="S556" s="8"/>
      <c r="T556" s="8"/>
      <c r="U556" s="8"/>
      <c r="V556" s="8"/>
      <c r="W556" s="8"/>
    </row>
    <row r="557">
      <c r="A557" s="8"/>
      <c r="B557" s="8"/>
      <c r="C557" s="8"/>
      <c r="D557" s="8"/>
      <c r="E557" s="8"/>
      <c r="F557" s="8"/>
      <c r="G557" s="8"/>
      <c r="H557" s="8"/>
      <c r="I557" s="8"/>
      <c r="J557" s="8"/>
      <c r="K557" s="8"/>
      <c r="L557" s="8"/>
      <c r="M557" s="8"/>
      <c r="N557" s="8"/>
      <c r="O557" s="8"/>
      <c r="P557" s="8"/>
      <c r="Q557" s="8"/>
      <c r="R557" s="8"/>
      <c r="S557" s="8"/>
      <c r="T557" s="8"/>
      <c r="U557" s="8"/>
      <c r="V557" s="8"/>
      <c r="W557" s="8"/>
    </row>
    <row r="558">
      <c r="A558" s="8"/>
      <c r="B558" s="8"/>
      <c r="C558" s="8"/>
      <c r="D558" s="8"/>
      <c r="E558" s="8"/>
      <c r="F558" s="8"/>
      <c r="G558" s="8"/>
      <c r="H558" s="8"/>
      <c r="I558" s="8"/>
      <c r="J558" s="8"/>
      <c r="K558" s="8"/>
      <c r="L558" s="8"/>
      <c r="M558" s="8"/>
      <c r="N558" s="8"/>
      <c r="O558" s="8"/>
      <c r="P558" s="8"/>
      <c r="Q558" s="8"/>
      <c r="R558" s="8"/>
      <c r="S558" s="8"/>
      <c r="T558" s="8"/>
      <c r="U558" s="8"/>
      <c r="V558" s="8"/>
      <c r="W558" s="8"/>
    </row>
    <row r="559">
      <c r="A559" s="8"/>
      <c r="B559" s="8"/>
      <c r="C559" s="8"/>
      <c r="D559" s="8"/>
      <c r="E559" s="8"/>
      <c r="F559" s="8"/>
      <c r="G559" s="8"/>
      <c r="H559" s="8"/>
      <c r="I559" s="8"/>
      <c r="J559" s="8"/>
      <c r="K559" s="8"/>
      <c r="L559" s="8"/>
      <c r="M559" s="8"/>
      <c r="N559" s="8"/>
      <c r="O559" s="8"/>
      <c r="P559" s="8"/>
      <c r="Q559" s="8"/>
      <c r="R559" s="8"/>
      <c r="S559" s="8"/>
      <c r="T559" s="8"/>
      <c r="U559" s="8"/>
      <c r="V559" s="8"/>
      <c r="W559" s="8"/>
    </row>
    <row r="560">
      <c r="A560" s="8"/>
      <c r="B560" s="8"/>
      <c r="C560" s="8"/>
      <c r="D560" s="8"/>
      <c r="E560" s="8"/>
      <c r="F560" s="8"/>
      <c r="G560" s="8"/>
      <c r="H560" s="8"/>
      <c r="I560" s="8"/>
      <c r="J560" s="8"/>
      <c r="K560" s="8"/>
      <c r="L560" s="8"/>
      <c r="M560" s="8"/>
      <c r="N560" s="8"/>
      <c r="O560" s="8"/>
      <c r="P560" s="8"/>
      <c r="Q560" s="8"/>
      <c r="R560" s="8"/>
      <c r="S560" s="8"/>
      <c r="T560" s="8"/>
      <c r="U560" s="8"/>
      <c r="V560" s="8"/>
      <c r="W560" s="8"/>
    </row>
    <row r="561">
      <c r="A561" s="8"/>
      <c r="B561" s="8"/>
      <c r="C561" s="8"/>
      <c r="D561" s="8"/>
      <c r="E561" s="8"/>
      <c r="F561" s="8"/>
      <c r="G561" s="8"/>
      <c r="H561" s="8"/>
      <c r="I561" s="8"/>
      <c r="J561" s="8"/>
      <c r="K561" s="8"/>
      <c r="L561" s="8"/>
      <c r="M561" s="8"/>
      <c r="N561" s="8"/>
      <c r="O561" s="8"/>
      <c r="P561" s="8"/>
      <c r="Q561" s="8"/>
      <c r="R561" s="8"/>
      <c r="S561" s="8"/>
      <c r="T561" s="8"/>
      <c r="U561" s="8"/>
      <c r="V561" s="8"/>
      <c r="W561" s="8"/>
    </row>
    <row r="562">
      <c r="A562" s="8"/>
      <c r="B562" s="8"/>
      <c r="C562" s="8"/>
      <c r="D562" s="8"/>
      <c r="E562" s="8"/>
      <c r="F562" s="8"/>
      <c r="G562" s="8"/>
      <c r="H562" s="8"/>
      <c r="I562" s="8"/>
      <c r="J562" s="8"/>
      <c r="K562" s="8"/>
      <c r="L562" s="8"/>
      <c r="M562" s="8"/>
      <c r="N562" s="8"/>
      <c r="O562" s="8"/>
      <c r="P562" s="8"/>
      <c r="Q562" s="8"/>
      <c r="R562" s="8"/>
      <c r="S562" s="8"/>
      <c r="T562" s="8"/>
      <c r="U562" s="8"/>
      <c r="V562" s="8"/>
      <c r="W562" s="8"/>
    </row>
    <row r="563">
      <c r="A563" s="8"/>
      <c r="B563" s="8"/>
      <c r="C563" s="8"/>
      <c r="D563" s="8"/>
      <c r="E563" s="8"/>
      <c r="F563" s="8"/>
      <c r="G563" s="8"/>
      <c r="H563" s="8"/>
      <c r="I563" s="8"/>
      <c r="J563" s="8"/>
      <c r="K563" s="8"/>
      <c r="L563" s="8"/>
      <c r="M563" s="8"/>
      <c r="N563" s="8"/>
      <c r="O563" s="8"/>
      <c r="P563" s="8"/>
      <c r="Q563" s="8"/>
      <c r="R563" s="8"/>
      <c r="S563" s="8"/>
      <c r="T563" s="8"/>
      <c r="U563" s="8"/>
      <c r="V563" s="8"/>
      <c r="W563" s="8"/>
    </row>
    <row r="564">
      <c r="A564" s="8"/>
      <c r="B564" s="8"/>
      <c r="C564" s="8"/>
      <c r="D564" s="8"/>
      <c r="E564" s="8"/>
      <c r="F564" s="8"/>
      <c r="G564" s="8"/>
      <c r="H564" s="8"/>
      <c r="I564" s="8"/>
      <c r="J564" s="8"/>
      <c r="K564" s="8"/>
      <c r="L564" s="8"/>
      <c r="M564" s="8"/>
      <c r="N564" s="8"/>
      <c r="O564" s="8"/>
      <c r="P564" s="8"/>
      <c r="Q564" s="8"/>
      <c r="R564" s="8"/>
      <c r="S564" s="8"/>
      <c r="T564" s="8"/>
      <c r="U564" s="8"/>
      <c r="V564" s="8"/>
      <c r="W564" s="8"/>
    </row>
    <row r="565">
      <c r="A565" s="8"/>
      <c r="B565" s="8"/>
      <c r="C565" s="8"/>
      <c r="D565" s="8"/>
      <c r="E565" s="8"/>
      <c r="F565" s="8"/>
      <c r="G565" s="8"/>
      <c r="H565" s="8"/>
      <c r="I565" s="8"/>
      <c r="J565" s="8"/>
      <c r="K565" s="8"/>
      <c r="L565" s="8"/>
      <c r="M565" s="8"/>
      <c r="N565" s="8"/>
      <c r="O565" s="8"/>
      <c r="P565" s="8"/>
      <c r="Q565" s="8"/>
      <c r="R565" s="8"/>
      <c r="S565" s="8"/>
      <c r="T565" s="8"/>
      <c r="U565" s="8"/>
      <c r="V565" s="8"/>
      <c r="W565" s="8"/>
    </row>
    <row r="566">
      <c r="A566" s="8"/>
      <c r="B566" s="8"/>
      <c r="C566" s="8"/>
      <c r="D566" s="8"/>
      <c r="E566" s="8"/>
      <c r="F566" s="8"/>
      <c r="G566" s="8"/>
      <c r="H566" s="8"/>
      <c r="I566" s="8"/>
      <c r="J566" s="8"/>
      <c r="K566" s="8"/>
      <c r="L566" s="8"/>
      <c r="M566" s="8"/>
      <c r="N566" s="8"/>
      <c r="O566" s="8"/>
      <c r="P566" s="8"/>
      <c r="Q566" s="8"/>
      <c r="R566" s="8"/>
      <c r="S566" s="8"/>
      <c r="T566" s="8"/>
      <c r="U566" s="8"/>
      <c r="V566" s="8"/>
      <c r="W566" s="8"/>
    </row>
    <row r="567">
      <c r="A567" s="8"/>
      <c r="B567" s="8"/>
      <c r="C567" s="8"/>
      <c r="D567" s="8"/>
      <c r="E567" s="8"/>
      <c r="F567" s="8"/>
      <c r="G567" s="8"/>
      <c r="H567" s="8"/>
      <c r="I567" s="8"/>
      <c r="J567" s="8"/>
      <c r="K567" s="8"/>
      <c r="L567" s="8"/>
      <c r="M567" s="8"/>
      <c r="N567" s="8"/>
      <c r="O567" s="8"/>
      <c r="P567" s="8"/>
      <c r="Q567" s="8"/>
      <c r="R567" s="8"/>
      <c r="S567" s="8"/>
      <c r="T567" s="8"/>
      <c r="U567" s="8"/>
      <c r="V567" s="8"/>
      <c r="W567" s="8"/>
    </row>
    <row r="568">
      <c r="A568" s="8"/>
      <c r="B568" s="8"/>
      <c r="C568" s="8"/>
      <c r="D568" s="8"/>
      <c r="E568" s="8"/>
      <c r="F568" s="8"/>
      <c r="G568" s="8"/>
      <c r="H568" s="8"/>
      <c r="I568" s="8"/>
      <c r="J568" s="8"/>
      <c r="K568" s="8"/>
      <c r="L568" s="8"/>
      <c r="M568" s="8"/>
      <c r="N568" s="8"/>
      <c r="O568" s="8"/>
      <c r="P568" s="8"/>
      <c r="Q568" s="8"/>
      <c r="R568" s="8"/>
      <c r="S568" s="8"/>
      <c r="T568" s="8"/>
      <c r="U568" s="8"/>
      <c r="V568" s="8"/>
      <c r="W568" s="8"/>
    </row>
    <row r="569">
      <c r="A569" s="8"/>
      <c r="B569" s="8"/>
      <c r="C569" s="8"/>
      <c r="D569" s="8"/>
      <c r="E569" s="8"/>
      <c r="F569" s="8"/>
      <c r="G569" s="8"/>
      <c r="H569" s="8"/>
      <c r="I569" s="8"/>
      <c r="J569" s="8"/>
      <c r="K569" s="8"/>
      <c r="L569" s="8"/>
      <c r="M569" s="8"/>
      <c r="N569" s="8"/>
      <c r="O569" s="8"/>
      <c r="P569" s="8"/>
      <c r="Q569" s="8"/>
      <c r="R569" s="8"/>
      <c r="S569" s="8"/>
      <c r="T569" s="8"/>
      <c r="U569" s="8"/>
      <c r="V569" s="8"/>
      <c r="W569" s="8"/>
    </row>
    <row r="570">
      <c r="A570" s="8"/>
      <c r="B570" s="8"/>
      <c r="C570" s="8"/>
      <c r="D570" s="8"/>
      <c r="E570" s="8"/>
      <c r="F570" s="8"/>
      <c r="G570" s="8"/>
      <c r="H570" s="8"/>
      <c r="I570" s="8"/>
      <c r="J570" s="8"/>
      <c r="K570" s="8"/>
      <c r="L570" s="8"/>
      <c r="M570" s="8"/>
      <c r="N570" s="8"/>
      <c r="O570" s="8"/>
      <c r="P570" s="8"/>
      <c r="Q570" s="8"/>
      <c r="R570" s="8"/>
      <c r="S570" s="8"/>
      <c r="T570" s="8"/>
      <c r="U570" s="8"/>
      <c r="V570" s="8"/>
      <c r="W570" s="8"/>
    </row>
    <row r="571">
      <c r="A571" s="8"/>
      <c r="B571" s="8"/>
      <c r="C571" s="8"/>
      <c r="D571" s="8"/>
      <c r="E571" s="8"/>
      <c r="F571" s="8"/>
      <c r="G571" s="8"/>
      <c r="H571" s="8"/>
      <c r="I571" s="8"/>
      <c r="J571" s="8"/>
      <c r="K571" s="8"/>
      <c r="L571" s="8"/>
      <c r="M571" s="8"/>
      <c r="N571" s="8"/>
      <c r="O571" s="8"/>
      <c r="P571" s="8"/>
      <c r="Q571" s="8"/>
      <c r="R571" s="8"/>
      <c r="S571" s="8"/>
      <c r="T571" s="8"/>
      <c r="U571" s="8"/>
      <c r="V571" s="8"/>
      <c r="W571" s="8"/>
    </row>
    <row r="572">
      <c r="A572" s="8"/>
      <c r="B572" s="8"/>
      <c r="C572" s="8"/>
      <c r="D572" s="8"/>
      <c r="E572" s="8"/>
      <c r="F572" s="8"/>
      <c r="G572" s="8"/>
      <c r="H572" s="8"/>
      <c r="I572" s="8"/>
      <c r="J572" s="8"/>
      <c r="K572" s="8"/>
      <c r="L572" s="8"/>
      <c r="M572" s="8"/>
      <c r="N572" s="8"/>
      <c r="O572" s="8"/>
      <c r="P572" s="8"/>
      <c r="Q572" s="8"/>
      <c r="R572" s="8"/>
      <c r="S572" s="8"/>
      <c r="T572" s="8"/>
      <c r="U572" s="8"/>
      <c r="V572" s="8"/>
      <c r="W572" s="8"/>
    </row>
    <row r="573">
      <c r="A573" s="8"/>
      <c r="B573" s="8"/>
      <c r="C573" s="8"/>
      <c r="D573" s="8"/>
      <c r="E573" s="8"/>
      <c r="F573" s="8"/>
      <c r="G573" s="8"/>
      <c r="H573" s="8"/>
      <c r="I573" s="8"/>
      <c r="J573" s="8"/>
      <c r="K573" s="8"/>
      <c r="L573" s="8"/>
      <c r="M573" s="8"/>
      <c r="N573" s="8"/>
      <c r="O573" s="8"/>
      <c r="P573" s="8"/>
      <c r="Q573" s="8"/>
      <c r="R573" s="8"/>
      <c r="S573" s="8"/>
      <c r="T573" s="8"/>
      <c r="U573" s="8"/>
      <c r="V573" s="8"/>
      <c r="W573" s="8"/>
    </row>
    <row r="574">
      <c r="A574" s="8"/>
      <c r="B574" s="8"/>
      <c r="C574" s="8"/>
      <c r="D574" s="8"/>
      <c r="E574" s="8"/>
      <c r="F574" s="8"/>
      <c r="G574" s="8"/>
      <c r="H574" s="8"/>
      <c r="I574" s="8"/>
      <c r="J574" s="8"/>
      <c r="K574" s="8"/>
      <c r="L574" s="8"/>
      <c r="M574" s="8"/>
      <c r="N574" s="8"/>
      <c r="O574" s="8"/>
      <c r="P574" s="8"/>
      <c r="Q574" s="8"/>
      <c r="R574" s="8"/>
      <c r="S574" s="8"/>
      <c r="T574" s="8"/>
      <c r="U574" s="8"/>
      <c r="V574" s="8"/>
      <c r="W574" s="8"/>
    </row>
    <row r="575">
      <c r="A575" s="8"/>
      <c r="B575" s="8"/>
      <c r="C575" s="8"/>
      <c r="D575" s="8"/>
      <c r="E575" s="8"/>
      <c r="F575" s="8"/>
      <c r="G575" s="8"/>
      <c r="H575" s="8"/>
      <c r="I575" s="8"/>
      <c r="J575" s="8"/>
      <c r="K575" s="8"/>
      <c r="L575" s="8"/>
      <c r="M575" s="8"/>
      <c r="N575" s="8"/>
      <c r="O575" s="8"/>
      <c r="P575" s="8"/>
      <c r="Q575" s="8"/>
      <c r="R575" s="8"/>
      <c r="S575" s="8"/>
      <c r="T575" s="8"/>
      <c r="U575" s="8"/>
      <c r="V575" s="8"/>
      <c r="W575" s="8"/>
    </row>
    <row r="576">
      <c r="A576" s="8"/>
      <c r="B576" s="8"/>
      <c r="C576" s="8"/>
      <c r="D576" s="8"/>
      <c r="E576" s="8"/>
      <c r="F576" s="8"/>
      <c r="G576" s="8"/>
      <c r="H576" s="8"/>
      <c r="I576" s="8"/>
      <c r="J576" s="8"/>
      <c r="K576" s="8"/>
      <c r="L576" s="8"/>
      <c r="M576" s="8"/>
      <c r="N576" s="8"/>
      <c r="O576" s="8"/>
      <c r="P576" s="8"/>
      <c r="Q576" s="8"/>
      <c r="R576" s="8"/>
      <c r="S576" s="8"/>
      <c r="T576" s="8"/>
      <c r="U576" s="8"/>
      <c r="V576" s="8"/>
      <c r="W576" s="8"/>
    </row>
    <row r="577">
      <c r="A577" s="8"/>
      <c r="B577" s="8"/>
      <c r="C577" s="8"/>
      <c r="D577" s="8"/>
      <c r="E577" s="8"/>
      <c r="F577" s="8"/>
      <c r="G577" s="8"/>
      <c r="H577" s="8"/>
      <c r="I577" s="8"/>
      <c r="J577" s="8"/>
      <c r="K577" s="8"/>
      <c r="L577" s="8"/>
      <c r="M577" s="8"/>
      <c r="N577" s="8"/>
      <c r="O577" s="8"/>
      <c r="P577" s="8"/>
      <c r="Q577" s="8"/>
      <c r="R577" s="8"/>
      <c r="S577" s="8"/>
      <c r="T577" s="8"/>
      <c r="U577" s="8"/>
      <c r="V577" s="8"/>
      <c r="W577" s="8"/>
    </row>
    <row r="578">
      <c r="A578" s="8"/>
      <c r="B578" s="8"/>
      <c r="C578" s="8"/>
      <c r="D578" s="8"/>
      <c r="E578" s="8"/>
      <c r="F578" s="8"/>
      <c r="G578" s="8"/>
      <c r="H578" s="8"/>
      <c r="I578" s="8"/>
      <c r="J578" s="8"/>
      <c r="K578" s="8"/>
      <c r="L578" s="8"/>
      <c r="M578" s="8"/>
      <c r="N578" s="8"/>
      <c r="O578" s="8"/>
      <c r="P578" s="8"/>
      <c r="Q578" s="8"/>
      <c r="R578" s="8"/>
      <c r="S578" s="8"/>
      <c r="T578" s="8"/>
      <c r="U578" s="8"/>
      <c r="V578" s="8"/>
      <c r="W578" s="8"/>
    </row>
    <row r="579">
      <c r="A579" s="8"/>
      <c r="B579" s="8"/>
      <c r="C579" s="8"/>
      <c r="D579" s="8"/>
      <c r="E579" s="8"/>
      <c r="F579" s="8"/>
      <c r="G579" s="8"/>
      <c r="H579" s="8"/>
      <c r="I579" s="8"/>
      <c r="J579" s="8"/>
      <c r="K579" s="8"/>
      <c r="L579" s="8"/>
      <c r="M579" s="8"/>
      <c r="N579" s="8"/>
      <c r="O579" s="8"/>
      <c r="P579" s="8"/>
      <c r="Q579" s="8"/>
      <c r="R579" s="8"/>
      <c r="S579" s="8"/>
      <c r="T579" s="8"/>
      <c r="U579" s="8"/>
      <c r="V579" s="8"/>
      <c r="W579" s="8"/>
    </row>
    <row r="580">
      <c r="A580" s="8"/>
      <c r="B580" s="8"/>
      <c r="C580" s="8"/>
      <c r="D580" s="8"/>
      <c r="E580" s="8"/>
      <c r="F580" s="8"/>
      <c r="G580" s="8"/>
      <c r="H580" s="8"/>
      <c r="I580" s="8"/>
      <c r="J580" s="8"/>
      <c r="K580" s="8"/>
      <c r="L580" s="8"/>
      <c r="M580" s="8"/>
      <c r="N580" s="8"/>
      <c r="O580" s="8"/>
      <c r="P580" s="8"/>
      <c r="Q580" s="8"/>
      <c r="R580" s="8"/>
      <c r="S580" s="8"/>
      <c r="T580" s="8"/>
      <c r="U580" s="8"/>
      <c r="V580" s="8"/>
      <c r="W580" s="8"/>
    </row>
    <row r="581">
      <c r="A581" s="8"/>
      <c r="B581" s="8"/>
      <c r="C581" s="8"/>
      <c r="D581" s="8"/>
      <c r="E581" s="8"/>
      <c r="F581" s="8"/>
      <c r="G581" s="8"/>
      <c r="H581" s="8"/>
      <c r="I581" s="8"/>
      <c r="J581" s="8"/>
      <c r="K581" s="8"/>
      <c r="L581" s="8"/>
      <c r="M581" s="8"/>
      <c r="N581" s="8"/>
      <c r="O581" s="8"/>
      <c r="P581" s="8"/>
      <c r="Q581" s="8"/>
      <c r="R581" s="8"/>
      <c r="S581" s="8"/>
      <c r="T581" s="8"/>
      <c r="U581" s="8"/>
      <c r="V581" s="8"/>
      <c r="W581" s="8"/>
    </row>
    <row r="582">
      <c r="A582" s="8"/>
      <c r="B582" s="8"/>
      <c r="C582" s="8"/>
      <c r="D582" s="8"/>
      <c r="E582" s="8"/>
      <c r="F582" s="8"/>
      <c r="G582" s="8"/>
      <c r="H582" s="8"/>
      <c r="I582" s="8"/>
      <c r="J582" s="8"/>
      <c r="K582" s="8"/>
      <c r="L582" s="8"/>
      <c r="M582" s="8"/>
      <c r="N582" s="8"/>
      <c r="O582" s="8"/>
      <c r="P582" s="8"/>
      <c r="Q582" s="8"/>
      <c r="R582" s="8"/>
      <c r="S582" s="8"/>
      <c r="T582" s="8"/>
      <c r="U582" s="8"/>
      <c r="V582" s="8"/>
      <c r="W582" s="8"/>
    </row>
    <row r="583">
      <c r="A583" s="8"/>
      <c r="B583" s="8"/>
      <c r="C583" s="8"/>
      <c r="D583" s="8"/>
      <c r="E583" s="8"/>
      <c r="F583" s="8"/>
      <c r="G583" s="8"/>
      <c r="H583" s="8"/>
      <c r="I583" s="8"/>
      <c r="J583" s="8"/>
      <c r="K583" s="8"/>
      <c r="L583" s="8"/>
      <c r="M583" s="8"/>
      <c r="N583" s="8"/>
      <c r="O583" s="8"/>
      <c r="P583" s="8"/>
      <c r="Q583" s="8"/>
      <c r="R583" s="8"/>
      <c r="S583" s="8"/>
      <c r="T583" s="8"/>
      <c r="U583" s="8"/>
      <c r="V583" s="8"/>
      <c r="W583" s="8"/>
    </row>
    <row r="584">
      <c r="A584" s="8"/>
      <c r="B584" s="8"/>
      <c r="C584" s="8"/>
      <c r="D584" s="8"/>
      <c r="E584" s="8"/>
      <c r="F584" s="8"/>
      <c r="G584" s="8"/>
      <c r="H584" s="8"/>
      <c r="I584" s="8"/>
      <c r="J584" s="8"/>
      <c r="K584" s="8"/>
      <c r="L584" s="8"/>
      <c r="M584" s="8"/>
      <c r="N584" s="8"/>
      <c r="O584" s="8"/>
      <c r="P584" s="8"/>
      <c r="Q584" s="8"/>
      <c r="R584" s="8"/>
      <c r="S584" s="8"/>
      <c r="T584" s="8"/>
      <c r="U584" s="8"/>
      <c r="V584" s="8"/>
      <c r="W584" s="8"/>
    </row>
    <row r="585">
      <c r="A585" s="8"/>
      <c r="B585" s="8"/>
      <c r="C585" s="8"/>
      <c r="D585" s="8"/>
      <c r="E585" s="8"/>
      <c r="F585" s="8"/>
      <c r="G585" s="8"/>
      <c r="H585" s="8"/>
      <c r="I585" s="8"/>
      <c r="J585" s="8"/>
      <c r="K585" s="8"/>
      <c r="L585" s="8"/>
      <c r="M585" s="8"/>
      <c r="N585" s="8"/>
      <c r="O585" s="8"/>
      <c r="P585" s="8"/>
      <c r="Q585" s="8"/>
      <c r="R585" s="8"/>
      <c r="S585" s="8"/>
      <c r="T585" s="8"/>
      <c r="U585" s="8"/>
      <c r="V585" s="8"/>
      <c r="W585" s="8"/>
    </row>
    <row r="586">
      <c r="A586" s="8"/>
      <c r="B586" s="8"/>
      <c r="C586" s="8"/>
      <c r="D586" s="8"/>
      <c r="E586" s="8"/>
      <c r="F586" s="8"/>
      <c r="G586" s="8"/>
      <c r="H586" s="8"/>
      <c r="I586" s="8"/>
      <c r="J586" s="8"/>
      <c r="K586" s="8"/>
      <c r="L586" s="8"/>
      <c r="M586" s="8"/>
      <c r="N586" s="8"/>
      <c r="O586" s="8"/>
      <c r="P586" s="8"/>
      <c r="Q586" s="8"/>
      <c r="R586" s="8"/>
      <c r="S586" s="8"/>
      <c r="T586" s="8"/>
      <c r="U586" s="8"/>
      <c r="V586" s="8"/>
      <c r="W586" s="8"/>
    </row>
    <row r="587">
      <c r="A587" s="8"/>
      <c r="B587" s="8"/>
      <c r="C587" s="8"/>
      <c r="D587" s="8"/>
      <c r="E587" s="8"/>
      <c r="F587" s="8"/>
      <c r="G587" s="8"/>
      <c r="H587" s="8"/>
      <c r="I587" s="8"/>
      <c r="J587" s="8"/>
      <c r="K587" s="8"/>
      <c r="L587" s="8"/>
      <c r="M587" s="8"/>
      <c r="N587" s="8"/>
      <c r="O587" s="8"/>
      <c r="P587" s="8"/>
      <c r="Q587" s="8"/>
      <c r="R587" s="8"/>
      <c r="S587" s="8"/>
      <c r="T587" s="8"/>
      <c r="U587" s="8"/>
      <c r="V587" s="8"/>
      <c r="W587" s="8"/>
    </row>
    <row r="588">
      <c r="A588" s="8"/>
      <c r="B588" s="8"/>
      <c r="C588" s="8"/>
      <c r="D588" s="8"/>
      <c r="E588" s="8"/>
      <c r="F588" s="8"/>
      <c r="G588" s="8"/>
      <c r="H588" s="8"/>
      <c r="I588" s="8"/>
      <c r="J588" s="8"/>
      <c r="K588" s="8"/>
      <c r="L588" s="8"/>
      <c r="M588" s="8"/>
      <c r="N588" s="8"/>
      <c r="O588" s="8"/>
      <c r="P588" s="8"/>
      <c r="Q588" s="8"/>
      <c r="R588" s="8"/>
      <c r="S588" s="8"/>
      <c r="T588" s="8"/>
      <c r="U588" s="8"/>
      <c r="V588" s="8"/>
      <c r="W588" s="8"/>
    </row>
    <row r="589">
      <c r="A589" s="8"/>
      <c r="B589" s="8"/>
      <c r="C589" s="8"/>
      <c r="D589" s="8"/>
      <c r="E589" s="8"/>
      <c r="F589" s="8"/>
      <c r="G589" s="8"/>
      <c r="H589" s="8"/>
      <c r="I589" s="8"/>
      <c r="J589" s="8"/>
      <c r="K589" s="8"/>
      <c r="L589" s="8"/>
      <c r="M589" s="8"/>
      <c r="N589" s="8"/>
      <c r="O589" s="8"/>
      <c r="P589" s="8"/>
      <c r="Q589" s="8"/>
      <c r="R589" s="8"/>
      <c r="S589" s="8"/>
      <c r="T589" s="8"/>
      <c r="U589" s="8"/>
      <c r="V589" s="8"/>
      <c r="W589" s="8"/>
    </row>
    <row r="590">
      <c r="A590" s="8"/>
      <c r="B590" s="8"/>
      <c r="C590" s="8"/>
      <c r="D590" s="8"/>
      <c r="E590" s="8"/>
      <c r="F590" s="8"/>
      <c r="G590" s="8"/>
      <c r="H590" s="8"/>
      <c r="I590" s="8"/>
      <c r="J590" s="8"/>
      <c r="K590" s="8"/>
      <c r="L590" s="8"/>
      <c r="M590" s="8"/>
      <c r="N590" s="8"/>
      <c r="O590" s="8"/>
      <c r="P590" s="8"/>
      <c r="Q590" s="8"/>
      <c r="R590" s="8"/>
      <c r="S590" s="8"/>
      <c r="T590" s="8"/>
      <c r="U590" s="8"/>
      <c r="V590" s="8"/>
      <c r="W590" s="8"/>
    </row>
    <row r="591">
      <c r="A591" s="8"/>
      <c r="B591" s="8"/>
      <c r="C591" s="8"/>
      <c r="D591" s="8"/>
      <c r="E591" s="8"/>
      <c r="F591" s="8"/>
      <c r="G591" s="8"/>
      <c r="H591" s="8"/>
      <c r="I591" s="8"/>
      <c r="J591" s="8"/>
      <c r="K591" s="8"/>
      <c r="L591" s="8"/>
      <c r="M591" s="8"/>
      <c r="N591" s="8"/>
      <c r="O591" s="8"/>
      <c r="P591" s="8"/>
      <c r="Q591" s="8"/>
      <c r="R591" s="8"/>
      <c r="S591" s="8"/>
      <c r="T591" s="8"/>
      <c r="U591" s="8"/>
      <c r="V591" s="8"/>
      <c r="W591" s="8"/>
    </row>
    <row r="592">
      <c r="A592" s="8"/>
      <c r="B592" s="8"/>
      <c r="C592" s="8"/>
      <c r="D592" s="8"/>
      <c r="E592" s="8"/>
      <c r="F592" s="8"/>
      <c r="G592" s="8"/>
      <c r="H592" s="8"/>
      <c r="I592" s="8"/>
      <c r="J592" s="8"/>
      <c r="K592" s="8"/>
      <c r="L592" s="8"/>
      <c r="M592" s="8"/>
      <c r="N592" s="8"/>
      <c r="O592" s="8"/>
      <c r="P592" s="8"/>
      <c r="Q592" s="8"/>
      <c r="R592" s="8"/>
      <c r="S592" s="8"/>
      <c r="T592" s="8"/>
      <c r="U592" s="8"/>
      <c r="V592" s="8"/>
      <c r="W592" s="8"/>
    </row>
    <row r="593">
      <c r="A593" s="8"/>
      <c r="B593" s="8"/>
      <c r="C593" s="8"/>
      <c r="D593" s="8"/>
      <c r="E593" s="8"/>
      <c r="F593" s="8"/>
      <c r="G593" s="8"/>
      <c r="H593" s="8"/>
      <c r="I593" s="8"/>
      <c r="J593" s="8"/>
      <c r="K593" s="8"/>
      <c r="L593" s="8"/>
      <c r="M593" s="8"/>
      <c r="N593" s="8"/>
      <c r="O593" s="8"/>
      <c r="P593" s="8"/>
      <c r="Q593" s="8"/>
      <c r="R593" s="8"/>
      <c r="S593" s="8"/>
      <c r="T593" s="8"/>
      <c r="U593" s="8"/>
      <c r="V593" s="8"/>
      <c r="W593" s="8"/>
    </row>
    <row r="594">
      <c r="A594" s="8"/>
      <c r="B594" s="8"/>
      <c r="C594" s="8"/>
      <c r="D594" s="8"/>
      <c r="E594" s="8"/>
      <c r="F594" s="8"/>
      <c r="G594" s="8"/>
      <c r="H594" s="8"/>
      <c r="I594" s="8"/>
      <c r="J594" s="8"/>
      <c r="K594" s="8"/>
      <c r="L594" s="8"/>
      <c r="M594" s="8"/>
      <c r="N594" s="8"/>
      <c r="O594" s="8"/>
      <c r="P594" s="8"/>
      <c r="Q594" s="8"/>
      <c r="R594" s="8"/>
      <c r="S594" s="8"/>
      <c r="T594" s="8"/>
      <c r="U594" s="8"/>
      <c r="V594" s="8"/>
      <c r="W594" s="8"/>
    </row>
    <row r="595">
      <c r="A595" s="8"/>
      <c r="B595" s="8"/>
      <c r="C595" s="8"/>
      <c r="D595" s="8"/>
      <c r="E595" s="8"/>
      <c r="F595" s="8"/>
      <c r="G595" s="8"/>
      <c r="H595" s="8"/>
      <c r="I595" s="8"/>
      <c r="J595" s="8"/>
      <c r="K595" s="8"/>
      <c r="L595" s="8"/>
      <c r="M595" s="8"/>
      <c r="N595" s="8"/>
      <c r="O595" s="8"/>
      <c r="P595" s="8"/>
      <c r="Q595" s="8"/>
      <c r="R595" s="8"/>
      <c r="S595" s="8"/>
      <c r="T595" s="8"/>
      <c r="U595" s="8"/>
      <c r="V595" s="8"/>
      <c r="W595" s="8"/>
    </row>
    <row r="596">
      <c r="A596" s="8"/>
      <c r="B596" s="8"/>
      <c r="C596" s="8"/>
      <c r="D596" s="8"/>
      <c r="E596" s="8"/>
      <c r="F596" s="8"/>
      <c r="G596" s="8"/>
      <c r="H596" s="8"/>
      <c r="I596" s="8"/>
      <c r="J596" s="8"/>
      <c r="K596" s="8"/>
      <c r="L596" s="8"/>
      <c r="M596" s="8"/>
      <c r="N596" s="8"/>
      <c r="O596" s="8"/>
      <c r="P596" s="8"/>
      <c r="Q596" s="8"/>
      <c r="R596" s="8"/>
      <c r="S596" s="8"/>
      <c r="T596" s="8"/>
      <c r="U596" s="8"/>
      <c r="V596" s="8"/>
      <c r="W596" s="8"/>
    </row>
    <row r="597">
      <c r="A597" s="8"/>
      <c r="B597" s="8"/>
      <c r="C597" s="8"/>
      <c r="D597" s="8"/>
      <c r="E597" s="8"/>
      <c r="F597" s="8"/>
      <c r="G597" s="8"/>
      <c r="H597" s="8"/>
      <c r="I597" s="8"/>
      <c r="J597" s="8"/>
      <c r="K597" s="8"/>
      <c r="L597" s="8"/>
      <c r="M597" s="8"/>
      <c r="N597" s="8"/>
      <c r="O597" s="8"/>
      <c r="P597" s="8"/>
      <c r="Q597" s="8"/>
      <c r="R597" s="8"/>
      <c r="S597" s="8"/>
      <c r="T597" s="8"/>
      <c r="U597" s="8"/>
      <c r="V597" s="8"/>
      <c r="W597" s="8"/>
    </row>
    <row r="598">
      <c r="A598" s="8"/>
      <c r="B598" s="8"/>
      <c r="C598" s="8"/>
      <c r="D598" s="8"/>
      <c r="E598" s="8"/>
      <c r="F598" s="8"/>
      <c r="G598" s="8"/>
      <c r="H598" s="8"/>
      <c r="I598" s="8"/>
      <c r="J598" s="8"/>
      <c r="K598" s="8"/>
      <c r="L598" s="8"/>
      <c r="M598" s="8"/>
      <c r="N598" s="8"/>
      <c r="O598" s="8"/>
      <c r="P598" s="8"/>
      <c r="Q598" s="8"/>
      <c r="R598" s="8"/>
      <c r="S598" s="8"/>
      <c r="T598" s="8"/>
      <c r="U598" s="8"/>
      <c r="V598" s="8"/>
      <c r="W598" s="8"/>
    </row>
    <row r="599">
      <c r="A599" s="8"/>
      <c r="B599" s="8"/>
      <c r="C599" s="8"/>
      <c r="D599" s="8"/>
      <c r="E599" s="8"/>
      <c r="F599" s="8"/>
      <c r="G599" s="8"/>
      <c r="H599" s="8"/>
      <c r="I599" s="8"/>
      <c r="J599" s="8"/>
      <c r="K599" s="8"/>
      <c r="L599" s="8"/>
      <c r="M599" s="8"/>
      <c r="N599" s="8"/>
      <c r="O599" s="8"/>
      <c r="P599" s="8"/>
      <c r="Q599" s="8"/>
      <c r="R599" s="8"/>
      <c r="S599" s="8"/>
      <c r="T599" s="8"/>
      <c r="U599" s="8"/>
      <c r="V599" s="8"/>
      <c r="W599" s="8"/>
    </row>
    <row r="600">
      <c r="A600" s="8"/>
      <c r="B600" s="8"/>
      <c r="C600" s="8"/>
      <c r="D600" s="8"/>
      <c r="E600" s="8"/>
      <c r="F600" s="8"/>
      <c r="G600" s="8"/>
      <c r="H600" s="8"/>
      <c r="I600" s="8"/>
      <c r="J600" s="8"/>
      <c r="K600" s="8"/>
      <c r="L600" s="8"/>
      <c r="M600" s="8"/>
      <c r="N600" s="8"/>
      <c r="O600" s="8"/>
      <c r="P600" s="8"/>
      <c r="Q600" s="8"/>
      <c r="R600" s="8"/>
      <c r="S600" s="8"/>
      <c r="T600" s="8"/>
      <c r="U600" s="8"/>
      <c r="V600" s="8"/>
      <c r="W600" s="8"/>
    </row>
    <row r="601">
      <c r="A601" s="8"/>
      <c r="B601" s="8"/>
      <c r="C601" s="8"/>
      <c r="D601" s="8"/>
      <c r="E601" s="8"/>
      <c r="F601" s="8"/>
      <c r="G601" s="8"/>
      <c r="H601" s="8"/>
      <c r="I601" s="8"/>
      <c r="J601" s="8"/>
      <c r="K601" s="8"/>
      <c r="L601" s="8"/>
      <c r="M601" s="8"/>
      <c r="N601" s="8"/>
      <c r="O601" s="8"/>
      <c r="P601" s="8"/>
      <c r="Q601" s="8"/>
      <c r="R601" s="8"/>
      <c r="S601" s="8"/>
      <c r="T601" s="8"/>
      <c r="U601" s="8"/>
      <c r="V601" s="8"/>
      <c r="W601" s="8"/>
    </row>
    <row r="602">
      <c r="A602" s="8"/>
      <c r="B602" s="8"/>
      <c r="C602" s="8"/>
      <c r="D602" s="8"/>
      <c r="E602" s="8"/>
      <c r="F602" s="8"/>
      <c r="G602" s="8"/>
      <c r="H602" s="8"/>
      <c r="I602" s="8"/>
      <c r="J602" s="8"/>
      <c r="K602" s="8"/>
      <c r="L602" s="8"/>
      <c r="M602" s="8"/>
      <c r="N602" s="8"/>
      <c r="O602" s="8"/>
      <c r="P602" s="8"/>
      <c r="Q602" s="8"/>
      <c r="R602" s="8"/>
      <c r="S602" s="8"/>
      <c r="T602" s="8"/>
      <c r="U602" s="8"/>
      <c r="V602" s="8"/>
      <c r="W602" s="8"/>
    </row>
    <row r="603">
      <c r="A603" s="8"/>
      <c r="B603" s="8"/>
      <c r="C603" s="8"/>
      <c r="D603" s="8"/>
      <c r="E603" s="8"/>
      <c r="F603" s="8"/>
      <c r="G603" s="8"/>
      <c r="H603" s="8"/>
      <c r="I603" s="8"/>
      <c r="J603" s="8"/>
      <c r="K603" s="8"/>
      <c r="L603" s="8"/>
      <c r="M603" s="8"/>
      <c r="N603" s="8"/>
      <c r="O603" s="8"/>
      <c r="P603" s="8"/>
      <c r="Q603" s="8"/>
      <c r="R603" s="8"/>
      <c r="S603" s="8"/>
      <c r="T603" s="8"/>
      <c r="U603" s="8"/>
      <c r="V603" s="8"/>
      <c r="W603" s="8"/>
    </row>
    <row r="604">
      <c r="A604" s="8"/>
      <c r="B604" s="8"/>
      <c r="C604" s="8"/>
      <c r="D604" s="8"/>
      <c r="E604" s="8"/>
      <c r="F604" s="8"/>
      <c r="G604" s="8"/>
      <c r="H604" s="8"/>
      <c r="I604" s="8"/>
      <c r="J604" s="8"/>
      <c r="K604" s="8"/>
      <c r="L604" s="8"/>
      <c r="M604" s="8"/>
      <c r="N604" s="8"/>
      <c r="O604" s="8"/>
      <c r="P604" s="8"/>
      <c r="Q604" s="8"/>
      <c r="R604" s="8"/>
      <c r="S604" s="8"/>
      <c r="T604" s="8"/>
      <c r="U604" s="8"/>
      <c r="V604" s="8"/>
      <c r="W604" s="8"/>
    </row>
    <row r="605">
      <c r="A605" s="8"/>
      <c r="B605" s="8"/>
      <c r="C605" s="8"/>
      <c r="D605" s="8"/>
      <c r="E605" s="8"/>
      <c r="F605" s="8"/>
      <c r="G605" s="8"/>
      <c r="H605" s="8"/>
      <c r="I605" s="8"/>
      <c r="J605" s="8"/>
      <c r="K605" s="8"/>
      <c r="L605" s="8"/>
      <c r="M605" s="8"/>
      <c r="N605" s="8"/>
      <c r="O605" s="8"/>
      <c r="P605" s="8"/>
      <c r="Q605" s="8"/>
      <c r="R605" s="8"/>
      <c r="S605" s="8"/>
      <c r="T605" s="8"/>
      <c r="U605" s="8"/>
      <c r="V605" s="8"/>
      <c r="W605" s="8"/>
    </row>
    <row r="606">
      <c r="A606" s="8"/>
      <c r="B606" s="8"/>
      <c r="C606" s="8"/>
      <c r="D606" s="8"/>
      <c r="E606" s="8"/>
      <c r="F606" s="8"/>
      <c r="G606" s="8"/>
      <c r="H606" s="8"/>
      <c r="I606" s="8"/>
      <c r="J606" s="8"/>
      <c r="K606" s="8"/>
      <c r="L606" s="8"/>
      <c r="M606" s="8"/>
      <c r="N606" s="8"/>
      <c r="O606" s="8"/>
      <c r="P606" s="8"/>
      <c r="Q606" s="8"/>
      <c r="R606" s="8"/>
      <c r="S606" s="8"/>
      <c r="T606" s="8"/>
      <c r="U606" s="8"/>
      <c r="V606" s="8"/>
      <c r="W606" s="8"/>
    </row>
    <row r="607">
      <c r="A607" s="8"/>
      <c r="B607" s="8"/>
      <c r="C607" s="8"/>
      <c r="D607" s="8"/>
      <c r="E607" s="8"/>
      <c r="F607" s="8"/>
      <c r="G607" s="8"/>
      <c r="H607" s="8"/>
      <c r="I607" s="8"/>
      <c r="J607" s="8"/>
      <c r="K607" s="8"/>
      <c r="L607" s="8"/>
      <c r="M607" s="8"/>
      <c r="N607" s="8"/>
      <c r="O607" s="8"/>
      <c r="P607" s="8"/>
      <c r="Q607" s="8"/>
      <c r="R607" s="8"/>
      <c r="S607" s="8"/>
      <c r="T607" s="8"/>
      <c r="U607" s="8"/>
      <c r="V607" s="8"/>
      <c r="W607" s="8"/>
    </row>
    <row r="608">
      <c r="A608" s="8"/>
      <c r="B608" s="8"/>
      <c r="C608" s="8"/>
      <c r="D608" s="8"/>
      <c r="E608" s="8"/>
      <c r="F608" s="8"/>
      <c r="G608" s="8"/>
      <c r="H608" s="8"/>
      <c r="I608" s="8"/>
      <c r="J608" s="8"/>
      <c r="K608" s="8"/>
      <c r="L608" s="8"/>
      <c r="M608" s="8"/>
      <c r="N608" s="8"/>
      <c r="O608" s="8"/>
      <c r="P608" s="8"/>
      <c r="Q608" s="8"/>
      <c r="R608" s="8"/>
      <c r="S608" s="8"/>
      <c r="T608" s="8"/>
      <c r="U608" s="8"/>
      <c r="V608" s="8"/>
      <c r="W608" s="8"/>
    </row>
    <row r="609">
      <c r="A609" s="8"/>
      <c r="B609" s="8"/>
      <c r="C609" s="8"/>
      <c r="D609" s="8"/>
      <c r="E609" s="8"/>
      <c r="F609" s="8"/>
      <c r="G609" s="8"/>
      <c r="H609" s="8"/>
      <c r="I609" s="8"/>
      <c r="J609" s="8"/>
      <c r="K609" s="8"/>
      <c r="L609" s="8"/>
      <c r="M609" s="8"/>
      <c r="N609" s="8"/>
      <c r="O609" s="8"/>
      <c r="P609" s="8"/>
      <c r="Q609" s="8"/>
      <c r="R609" s="8"/>
      <c r="S609" s="8"/>
      <c r="T609" s="8"/>
      <c r="U609" s="8"/>
      <c r="V609" s="8"/>
      <c r="W609" s="8"/>
    </row>
    <row r="610">
      <c r="A610" s="8"/>
      <c r="B610" s="8"/>
      <c r="C610" s="8"/>
      <c r="D610" s="8"/>
      <c r="E610" s="8"/>
      <c r="F610" s="8"/>
      <c r="G610" s="8"/>
      <c r="H610" s="8"/>
      <c r="I610" s="8"/>
      <c r="J610" s="8"/>
      <c r="K610" s="8"/>
      <c r="L610" s="8"/>
      <c r="M610" s="8"/>
      <c r="N610" s="8"/>
      <c r="O610" s="8"/>
      <c r="P610" s="8"/>
      <c r="Q610" s="8"/>
      <c r="R610" s="8"/>
      <c r="S610" s="8"/>
      <c r="T610" s="8"/>
      <c r="U610" s="8"/>
      <c r="V610" s="8"/>
      <c r="W610" s="8"/>
    </row>
    <row r="611">
      <c r="A611" s="8"/>
      <c r="B611" s="8"/>
      <c r="C611" s="8"/>
      <c r="D611" s="8"/>
      <c r="E611" s="8"/>
      <c r="F611" s="8"/>
      <c r="G611" s="8"/>
      <c r="H611" s="8"/>
      <c r="I611" s="8"/>
      <c r="J611" s="8"/>
      <c r="K611" s="8"/>
      <c r="L611" s="8"/>
      <c r="M611" s="8"/>
      <c r="N611" s="8"/>
      <c r="O611" s="8"/>
      <c r="P611" s="8"/>
      <c r="Q611" s="8"/>
      <c r="R611" s="8"/>
      <c r="S611" s="8"/>
      <c r="T611" s="8"/>
      <c r="U611" s="8"/>
      <c r="V611" s="8"/>
      <c r="W611" s="8"/>
    </row>
    <row r="612">
      <c r="A612" s="8"/>
      <c r="B612" s="8"/>
      <c r="C612" s="8"/>
      <c r="D612" s="8"/>
      <c r="E612" s="8"/>
      <c r="F612" s="8"/>
      <c r="G612" s="8"/>
      <c r="H612" s="8"/>
      <c r="I612" s="8"/>
      <c r="J612" s="8"/>
      <c r="K612" s="8"/>
      <c r="L612" s="8"/>
      <c r="M612" s="8"/>
      <c r="N612" s="8"/>
      <c r="O612" s="8"/>
      <c r="P612" s="8"/>
      <c r="Q612" s="8"/>
      <c r="R612" s="8"/>
      <c r="S612" s="8"/>
      <c r="T612" s="8"/>
      <c r="U612" s="8"/>
      <c r="V612" s="8"/>
      <c r="W612" s="8"/>
    </row>
    <row r="613">
      <c r="A613" s="8"/>
      <c r="B613" s="8"/>
      <c r="C613" s="8"/>
      <c r="D613" s="8"/>
      <c r="E613" s="8"/>
      <c r="F613" s="8"/>
      <c r="G613" s="8"/>
      <c r="H613" s="8"/>
      <c r="I613" s="8"/>
      <c r="J613" s="8"/>
      <c r="K613" s="8"/>
      <c r="L613" s="8"/>
      <c r="M613" s="8"/>
      <c r="N613" s="8"/>
      <c r="O613" s="8"/>
      <c r="P613" s="8"/>
      <c r="Q613" s="8"/>
      <c r="R613" s="8"/>
      <c r="S613" s="8"/>
      <c r="T613" s="8"/>
      <c r="U613" s="8"/>
      <c r="V613" s="8"/>
      <c r="W613" s="8"/>
    </row>
    <row r="614">
      <c r="A614" s="8"/>
      <c r="B614" s="8"/>
      <c r="C614" s="8"/>
      <c r="D614" s="8"/>
      <c r="E614" s="8"/>
      <c r="F614" s="8"/>
      <c r="G614" s="8"/>
      <c r="H614" s="8"/>
      <c r="I614" s="8"/>
      <c r="J614" s="8"/>
      <c r="K614" s="8"/>
      <c r="L614" s="8"/>
      <c r="M614" s="8"/>
      <c r="N614" s="8"/>
      <c r="O614" s="8"/>
      <c r="P614" s="8"/>
      <c r="Q614" s="8"/>
      <c r="R614" s="8"/>
      <c r="S614" s="8"/>
      <c r="T614" s="8"/>
      <c r="U614" s="8"/>
      <c r="V614" s="8"/>
      <c r="W614" s="8"/>
    </row>
    <row r="615">
      <c r="A615" s="8"/>
      <c r="B615" s="8"/>
      <c r="C615" s="8"/>
      <c r="D615" s="8"/>
      <c r="E615" s="8"/>
      <c r="F615" s="8"/>
      <c r="G615" s="8"/>
      <c r="H615" s="8"/>
      <c r="I615" s="8"/>
      <c r="J615" s="8"/>
      <c r="K615" s="8"/>
      <c r="L615" s="8"/>
      <c r="M615" s="8"/>
      <c r="N615" s="8"/>
      <c r="O615" s="8"/>
      <c r="P615" s="8"/>
      <c r="Q615" s="8"/>
      <c r="R615" s="8"/>
      <c r="S615" s="8"/>
      <c r="T615" s="8"/>
      <c r="U615" s="8"/>
      <c r="V615" s="8"/>
      <c r="W615" s="8"/>
    </row>
    <row r="616">
      <c r="A616" s="8"/>
      <c r="B616" s="8"/>
      <c r="C616" s="8"/>
      <c r="D616" s="8"/>
      <c r="E616" s="8"/>
      <c r="F616" s="8"/>
      <c r="G616" s="8"/>
      <c r="H616" s="8"/>
      <c r="I616" s="8"/>
      <c r="J616" s="8"/>
      <c r="K616" s="8"/>
      <c r="L616" s="8"/>
      <c r="M616" s="8"/>
      <c r="N616" s="8"/>
      <c r="O616" s="8"/>
      <c r="P616" s="8"/>
      <c r="Q616" s="8"/>
      <c r="R616" s="8"/>
      <c r="S616" s="8"/>
      <c r="T616" s="8"/>
      <c r="U616" s="8"/>
      <c r="V616" s="8"/>
      <c r="W616" s="8"/>
    </row>
    <row r="617">
      <c r="A617" s="8"/>
      <c r="B617" s="8"/>
      <c r="C617" s="8"/>
      <c r="D617" s="8"/>
      <c r="E617" s="8"/>
      <c r="F617" s="8"/>
      <c r="G617" s="8"/>
      <c r="H617" s="8"/>
      <c r="I617" s="8"/>
      <c r="J617" s="8"/>
      <c r="K617" s="8"/>
      <c r="L617" s="8"/>
      <c r="M617" s="8"/>
      <c r="N617" s="8"/>
      <c r="O617" s="8"/>
      <c r="P617" s="8"/>
      <c r="Q617" s="8"/>
      <c r="R617" s="8"/>
      <c r="S617" s="8"/>
      <c r="T617" s="8"/>
      <c r="U617" s="8"/>
      <c r="V617" s="8"/>
      <c r="W617" s="8"/>
    </row>
    <row r="618">
      <c r="A618" s="8"/>
      <c r="B618" s="8"/>
      <c r="C618" s="8"/>
      <c r="D618" s="8"/>
      <c r="E618" s="8"/>
      <c r="F618" s="8"/>
      <c r="G618" s="8"/>
      <c r="H618" s="8"/>
      <c r="I618" s="8"/>
      <c r="J618" s="8"/>
      <c r="K618" s="8"/>
      <c r="L618" s="8"/>
      <c r="M618" s="8"/>
      <c r="N618" s="8"/>
      <c r="O618" s="8"/>
      <c r="P618" s="8"/>
      <c r="Q618" s="8"/>
      <c r="R618" s="8"/>
      <c r="S618" s="8"/>
      <c r="T618" s="8"/>
      <c r="U618" s="8"/>
      <c r="V618" s="8"/>
      <c r="W618" s="8"/>
    </row>
    <row r="619">
      <c r="A619" s="8"/>
      <c r="B619" s="8"/>
      <c r="C619" s="8"/>
      <c r="D619" s="8"/>
      <c r="E619" s="8"/>
      <c r="F619" s="8"/>
      <c r="G619" s="8"/>
      <c r="H619" s="8"/>
      <c r="I619" s="8"/>
      <c r="J619" s="8"/>
      <c r="K619" s="8"/>
      <c r="L619" s="8"/>
      <c r="M619" s="8"/>
      <c r="N619" s="8"/>
      <c r="O619" s="8"/>
      <c r="P619" s="8"/>
      <c r="Q619" s="8"/>
      <c r="R619" s="8"/>
      <c r="S619" s="8"/>
      <c r="T619" s="8"/>
      <c r="U619" s="8"/>
      <c r="V619" s="8"/>
      <c r="W619" s="8"/>
    </row>
    <row r="620">
      <c r="A620" s="8"/>
      <c r="B620" s="8"/>
      <c r="C620" s="8"/>
      <c r="D620" s="8"/>
      <c r="E620" s="8"/>
      <c r="F620" s="8"/>
      <c r="G620" s="8"/>
      <c r="H620" s="8"/>
      <c r="I620" s="8"/>
      <c r="J620" s="8"/>
      <c r="K620" s="8"/>
      <c r="L620" s="8"/>
      <c r="M620" s="8"/>
      <c r="N620" s="8"/>
      <c r="O620" s="8"/>
      <c r="P620" s="8"/>
      <c r="Q620" s="8"/>
      <c r="R620" s="8"/>
      <c r="S620" s="8"/>
      <c r="T620" s="8"/>
      <c r="U620" s="8"/>
      <c r="V620" s="8"/>
      <c r="W620" s="8"/>
    </row>
    <row r="621">
      <c r="A621" s="8"/>
      <c r="B621" s="8"/>
      <c r="C621" s="8"/>
      <c r="D621" s="8"/>
      <c r="E621" s="8"/>
      <c r="F621" s="8"/>
      <c r="G621" s="8"/>
      <c r="H621" s="8"/>
      <c r="I621" s="8"/>
      <c r="J621" s="8"/>
      <c r="K621" s="8"/>
      <c r="L621" s="8"/>
      <c r="M621" s="8"/>
      <c r="N621" s="8"/>
      <c r="O621" s="8"/>
      <c r="P621" s="8"/>
      <c r="Q621" s="8"/>
      <c r="R621" s="8"/>
      <c r="S621" s="8"/>
      <c r="T621" s="8"/>
      <c r="U621" s="8"/>
      <c r="V621" s="8"/>
      <c r="W621" s="8"/>
    </row>
    <row r="622">
      <c r="A622" s="8"/>
      <c r="B622" s="8"/>
      <c r="C622" s="8"/>
      <c r="D622" s="8"/>
      <c r="E622" s="8"/>
      <c r="F622" s="8"/>
      <c r="G622" s="8"/>
      <c r="H622" s="8"/>
      <c r="I622" s="8"/>
      <c r="J622" s="8"/>
      <c r="K622" s="8"/>
      <c r="L622" s="8"/>
      <c r="M622" s="8"/>
      <c r="N622" s="8"/>
      <c r="O622" s="8"/>
      <c r="P622" s="8"/>
      <c r="Q622" s="8"/>
      <c r="R622" s="8"/>
      <c r="S622" s="8"/>
      <c r="T622" s="8"/>
      <c r="U622" s="8"/>
      <c r="V622" s="8"/>
      <c r="W622" s="8"/>
    </row>
    <row r="623">
      <c r="A623" s="8"/>
      <c r="B623" s="8"/>
      <c r="C623" s="8"/>
      <c r="D623" s="8"/>
      <c r="E623" s="8"/>
      <c r="F623" s="8"/>
      <c r="G623" s="8"/>
      <c r="H623" s="8"/>
      <c r="I623" s="8"/>
      <c r="J623" s="8"/>
      <c r="K623" s="8"/>
      <c r="L623" s="8"/>
      <c r="M623" s="8"/>
      <c r="N623" s="8"/>
      <c r="O623" s="8"/>
      <c r="P623" s="8"/>
      <c r="Q623" s="8"/>
      <c r="R623" s="8"/>
      <c r="S623" s="8"/>
      <c r="T623" s="8"/>
      <c r="U623" s="8"/>
      <c r="V623" s="8"/>
      <c r="W623" s="8"/>
    </row>
    <row r="624">
      <c r="A624" s="8"/>
      <c r="B624" s="8"/>
      <c r="C624" s="8"/>
      <c r="D624" s="8"/>
      <c r="E624" s="8"/>
      <c r="F624" s="8"/>
      <c r="G624" s="8"/>
      <c r="H624" s="8"/>
      <c r="I624" s="8"/>
      <c r="J624" s="8"/>
      <c r="K624" s="8"/>
      <c r="L624" s="8"/>
      <c r="M624" s="8"/>
      <c r="N624" s="8"/>
      <c r="O624" s="8"/>
      <c r="P624" s="8"/>
      <c r="Q624" s="8"/>
      <c r="R624" s="8"/>
      <c r="S624" s="8"/>
      <c r="T624" s="8"/>
      <c r="U624" s="8"/>
      <c r="V624" s="8"/>
      <c r="W624" s="8"/>
    </row>
    <row r="625">
      <c r="A625" s="8"/>
      <c r="B625" s="8"/>
      <c r="C625" s="8"/>
      <c r="D625" s="8"/>
      <c r="E625" s="8"/>
      <c r="F625" s="8"/>
      <c r="G625" s="8"/>
      <c r="H625" s="8"/>
      <c r="I625" s="8"/>
      <c r="J625" s="8"/>
      <c r="K625" s="8"/>
      <c r="L625" s="8"/>
      <c r="M625" s="8"/>
      <c r="N625" s="8"/>
      <c r="O625" s="8"/>
      <c r="P625" s="8"/>
      <c r="Q625" s="8"/>
      <c r="R625" s="8"/>
      <c r="S625" s="8"/>
      <c r="T625" s="8"/>
      <c r="U625" s="8"/>
      <c r="V625" s="8"/>
      <c r="W625" s="8"/>
    </row>
    <row r="626">
      <c r="A626" s="8"/>
      <c r="B626" s="8"/>
      <c r="C626" s="8"/>
      <c r="D626" s="8"/>
      <c r="E626" s="8"/>
      <c r="F626" s="8"/>
      <c r="G626" s="8"/>
      <c r="H626" s="8"/>
      <c r="I626" s="8"/>
      <c r="J626" s="8"/>
      <c r="K626" s="8"/>
      <c r="L626" s="8"/>
      <c r="M626" s="8"/>
      <c r="N626" s="8"/>
      <c r="O626" s="8"/>
      <c r="P626" s="8"/>
      <c r="Q626" s="8"/>
      <c r="R626" s="8"/>
      <c r="S626" s="8"/>
      <c r="T626" s="8"/>
      <c r="U626" s="8"/>
      <c r="V626" s="8"/>
      <c r="W626" s="8"/>
    </row>
    <row r="627">
      <c r="A627" s="8"/>
      <c r="B627" s="8"/>
      <c r="C627" s="8"/>
      <c r="D627" s="8"/>
      <c r="E627" s="8"/>
      <c r="F627" s="8"/>
      <c r="G627" s="8"/>
      <c r="H627" s="8"/>
      <c r="I627" s="8"/>
      <c r="J627" s="8"/>
      <c r="K627" s="8"/>
      <c r="L627" s="8"/>
      <c r="M627" s="8"/>
      <c r="N627" s="8"/>
      <c r="O627" s="8"/>
      <c r="P627" s="8"/>
      <c r="Q627" s="8"/>
      <c r="R627" s="8"/>
      <c r="S627" s="8"/>
      <c r="T627" s="8"/>
      <c r="U627" s="8"/>
      <c r="V627" s="8"/>
      <c r="W627" s="8"/>
    </row>
    <row r="628">
      <c r="A628" s="8"/>
      <c r="B628" s="8"/>
      <c r="C628" s="8"/>
      <c r="D628" s="8"/>
      <c r="E628" s="8"/>
      <c r="F628" s="8"/>
      <c r="G628" s="8"/>
      <c r="H628" s="8"/>
      <c r="I628" s="8"/>
      <c r="J628" s="8"/>
      <c r="K628" s="8"/>
      <c r="L628" s="8"/>
      <c r="M628" s="8"/>
      <c r="N628" s="8"/>
      <c r="O628" s="8"/>
      <c r="P628" s="8"/>
      <c r="Q628" s="8"/>
      <c r="R628" s="8"/>
      <c r="S628" s="8"/>
      <c r="T628" s="8"/>
      <c r="U628" s="8"/>
      <c r="V628" s="8"/>
      <c r="W628" s="8"/>
    </row>
    <row r="629">
      <c r="A629" s="8"/>
      <c r="B629" s="8"/>
      <c r="C629" s="8"/>
      <c r="D629" s="8"/>
      <c r="E629" s="8"/>
      <c r="F629" s="8"/>
      <c r="G629" s="8"/>
      <c r="H629" s="8"/>
      <c r="I629" s="8"/>
      <c r="J629" s="8"/>
      <c r="K629" s="8"/>
      <c r="L629" s="8"/>
      <c r="M629" s="8"/>
      <c r="N629" s="8"/>
      <c r="O629" s="8"/>
      <c r="P629" s="8"/>
      <c r="Q629" s="8"/>
      <c r="R629" s="8"/>
      <c r="S629" s="8"/>
      <c r="T629" s="8"/>
      <c r="U629" s="8"/>
      <c r="V629" s="8"/>
      <c r="W629" s="8"/>
    </row>
    <row r="630">
      <c r="A630" s="8"/>
      <c r="B630" s="8"/>
      <c r="C630" s="8"/>
      <c r="D630" s="8"/>
      <c r="E630" s="8"/>
      <c r="F630" s="8"/>
      <c r="G630" s="8"/>
      <c r="H630" s="8"/>
      <c r="I630" s="8"/>
      <c r="J630" s="8"/>
      <c r="K630" s="8"/>
      <c r="L630" s="8"/>
      <c r="M630" s="8"/>
      <c r="N630" s="8"/>
      <c r="O630" s="8"/>
      <c r="P630" s="8"/>
      <c r="Q630" s="8"/>
      <c r="R630" s="8"/>
      <c r="S630" s="8"/>
      <c r="T630" s="8"/>
      <c r="U630" s="8"/>
      <c r="V630" s="8"/>
      <c r="W630" s="8"/>
    </row>
    <row r="631">
      <c r="A631" s="8"/>
      <c r="B631" s="8"/>
      <c r="C631" s="8"/>
      <c r="D631" s="8"/>
      <c r="E631" s="8"/>
      <c r="F631" s="8"/>
      <c r="G631" s="8"/>
      <c r="H631" s="8"/>
      <c r="I631" s="8"/>
      <c r="J631" s="8"/>
      <c r="K631" s="8"/>
      <c r="L631" s="8"/>
      <c r="M631" s="8"/>
      <c r="N631" s="8"/>
      <c r="O631" s="8"/>
      <c r="P631" s="8"/>
      <c r="Q631" s="8"/>
      <c r="R631" s="8"/>
      <c r="S631" s="8"/>
      <c r="T631" s="8"/>
      <c r="U631" s="8"/>
      <c r="V631" s="8"/>
      <c r="W631" s="8"/>
    </row>
    <row r="632">
      <c r="A632" s="8"/>
      <c r="B632" s="8"/>
      <c r="C632" s="8"/>
      <c r="D632" s="8"/>
      <c r="E632" s="8"/>
      <c r="F632" s="8"/>
      <c r="G632" s="8"/>
      <c r="H632" s="8"/>
      <c r="I632" s="8"/>
      <c r="J632" s="8"/>
      <c r="K632" s="8"/>
      <c r="L632" s="8"/>
      <c r="M632" s="8"/>
      <c r="N632" s="8"/>
      <c r="O632" s="8"/>
      <c r="P632" s="8"/>
      <c r="Q632" s="8"/>
      <c r="R632" s="8"/>
      <c r="S632" s="8"/>
      <c r="T632" s="8"/>
      <c r="U632" s="8"/>
      <c r="V632" s="8"/>
      <c r="W632" s="8"/>
    </row>
    <row r="633">
      <c r="A633" s="8"/>
      <c r="B633" s="8"/>
      <c r="C633" s="8"/>
      <c r="D633" s="8"/>
      <c r="E633" s="8"/>
      <c r="F633" s="8"/>
      <c r="G633" s="8"/>
      <c r="H633" s="8"/>
      <c r="I633" s="8"/>
      <c r="J633" s="8"/>
      <c r="K633" s="8"/>
      <c r="L633" s="8"/>
      <c r="M633" s="8"/>
      <c r="N633" s="8"/>
      <c r="O633" s="8"/>
      <c r="P633" s="8"/>
      <c r="Q633" s="8"/>
      <c r="R633" s="8"/>
      <c r="S633" s="8"/>
      <c r="T633" s="8"/>
      <c r="U633" s="8"/>
      <c r="V633" s="8"/>
      <c r="W633" s="8"/>
    </row>
    <row r="634">
      <c r="A634" s="8"/>
      <c r="B634" s="8"/>
      <c r="C634" s="8"/>
      <c r="D634" s="8"/>
      <c r="E634" s="8"/>
      <c r="F634" s="8"/>
      <c r="G634" s="8"/>
      <c r="H634" s="8"/>
      <c r="I634" s="8"/>
      <c r="J634" s="8"/>
      <c r="K634" s="8"/>
      <c r="L634" s="8"/>
      <c r="M634" s="8"/>
      <c r="N634" s="8"/>
      <c r="O634" s="8"/>
      <c r="P634" s="8"/>
      <c r="Q634" s="8"/>
      <c r="R634" s="8"/>
      <c r="S634" s="8"/>
      <c r="T634" s="8"/>
      <c r="U634" s="8"/>
      <c r="V634" s="8"/>
      <c r="W634" s="8"/>
    </row>
    <row r="635">
      <c r="A635" s="8"/>
      <c r="B635" s="8"/>
      <c r="C635" s="8"/>
      <c r="D635" s="8"/>
      <c r="E635" s="8"/>
      <c r="F635" s="8"/>
      <c r="G635" s="8"/>
      <c r="H635" s="8"/>
      <c r="I635" s="8"/>
      <c r="J635" s="8"/>
      <c r="K635" s="8"/>
      <c r="L635" s="8"/>
      <c r="M635" s="8"/>
      <c r="N635" s="8"/>
      <c r="O635" s="8"/>
      <c r="P635" s="8"/>
      <c r="Q635" s="8"/>
      <c r="R635" s="8"/>
      <c r="S635" s="8"/>
      <c r="T635" s="8"/>
      <c r="U635" s="8"/>
      <c r="V635" s="8"/>
      <c r="W635" s="8"/>
    </row>
    <row r="636">
      <c r="A636" s="8"/>
      <c r="B636" s="8"/>
      <c r="C636" s="8"/>
      <c r="D636" s="8"/>
      <c r="E636" s="8"/>
      <c r="F636" s="8"/>
      <c r="G636" s="8"/>
      <c r="H636" s="8"/>
      <c r="I636" s="8"/>
      <c r="J636" s="8"/>
      <c r="K636" s="8"/>
      <c r="L636" s="8"/>
      <c r="M636" s="8"/>
      <c r="N636" s="8"/>
      <c r="O636" s="8"/>
      <c r="P636" s="8"/>
      <c r="Q636" s="8"/>
      <c r="R636" s="8"/>
      <c r="S636" s="8"/>
      <c r="T636" s="8"/>
      <c r="U636" s="8"/>
      <c r="V636" s="8"/>
      <c r="W636" s="8"/>
    </row>
    <row r="637">
      <c r="A637" s="8"/>
      <c r="B637" s="8"/>
      <c r="C637" s="8"/>
      <c r="D637" s="8"/>
      <c r="E637" s="8"/>
      <c r="F637" s="8"/>
      <c r="G637" s="8"/>
      <c r="H637" s="8"/>
      <c r="I637" s="8"/>
      <c r="J637" s="8"/>
      <c r="K637" s="8"/>
      <c r="L637" s="8"/>
      <c r="M637" s="8"/>
      <c r="N637" s="8"/>
      <c r="O637" s="8"/>
      <c r="P637" s="8"/>
      <c r="Q637" s="8"/>
      <c r="R637" s="8"/>
      <c r="S637" s="8"/>
      <c r="T637" s="8"/>
      <c r="U637" s="8"/>
      <c r="V637" s="8"/>
      <c r="W637" s="8"/>
    </row>
    <row r="638">
      <c r="A638" s="8"/>
      <c r="B638" s="8"/>
      <c r="C638" s="8"/>
      <c r="D638" s="8"/>
      <c r="E638" s="8"/>
      <c r="F638" s="8"/>
      <c r="G638" s="8"/>
      <c r="H638" s="8"/>
      <c r="I638" s="8"/>
      <c r="J638" s="8"/>
      <c r="K638" s="8"/>
      <c r="L638" s="8"/>
      <c r="M638" s="8"/>
      <c r="N638" s="8"/>
      <c r="O638" s="8"/>
      <c r="P638" s="8"/>
      <c r="Q638" s="8"/>
      <c r="R638" s="8"/>
      <c r="S638" s="8"/>
      <c r="T638" s="8"/>
      <c r="U638" s="8"/>
      <c r="V638" s="8"/>
      <c r="W638" s="8"/>
    </row>
    <row r="639">
      <c r="A639" s="8"/>
      <c r="B639" s="8"/>
      <c r="C639" s="8"/>
      <c r="D639" s="8"/>
      <c r="E639" s="8"/>
      <c r="F639" s="8"/>
      <c r="G639" s="8"/>
      <c r="H639" s="8"/>
      <c r="I639" s="8"/>
      <c r="J639" s="8"/>
      <c r="K639" s="8"/>
      <c r="L639" s="8"/>
      <c r="M639" s="8"/>
      <c r="N639" s="8"/>
      <c r="O639" s="8"/>
      <c r="P639" s="8"/>
      <c r="Q639" s="8"/>
      <c r="R639" s="8"/>
      <c r="S639" s="8"/>
      <c r="T639" s="8"/>
      <c r="U639" s="8"/>
      <c r="V639" s="8"/>
      <c r="W639" s="8"/>
    </row>
    <row r="640">
      <c r="A640" s="8"/>
      <c r="B640" s="8"/>
      <c r="C640" s="8"/>
      <c r="D640" s="8"/>
      <c r="E640" s="8"/>
      <c r="F640" s="8"/>
      <c r="G640" s="8"/>
      <c r="H640" s="8"/>
      <c r="I640" s="8"/>
      <c r="J640" s="8"/>
      <c r="K640" s="8"/>
      <c r="L640" s="8"/>
      <c r="M640" s="8"/>
      <c r="N640" s="8"/>
      <c r="O640" s="8"/>
      <c r="P640" s="8"/>
      <c r="Q640" s="8"/>
      <c r="R640" s="8"/>
      <c r="S640" s="8"/>
      <c r="T640" s="8"/>
      <c r="U640" s="8"/>
      <c r="V640" s="8"/>
      <c r="W640" s="8"/>
    </row>
    <row r="641">
      <c r="A641" s="8"/>
      <c r="B641" s="8"/>
      <c r="C641" s="8"/>
      <c r="D641" s="8"/>
      <c r="E641" s="8"/>
      <c r="F641" s="8"/>
      <c r="G641" s="8"/>
      <c r="H641" s="8"/>
      <c r="I641" s="8"/>
      <c r="J641" s="8"/>
      <c r="K641" s="8"/>
      <c r="L641" s="8"/>
      <c r="M641" s="8"/>
      <c r="N641" s="8"/>
      <c r="O641" s="8"/>
      <c r="P641" s="8"/>
      <c r="Q641" s="8"/>
      <c r="R641" s="8"/>
      <c r="S641" s="8"/>
      <c r="T641" s="8"/>
      <c r="U641" s="8"/>
      <c r="V641" s="8"/>
      <c r="W641" s="8"/>
    </row>
    <row r="642">
      <c r="A642" s="8"/>
      <c r="B642" s="8"/>
      <c r="C642" s="8"/>
      <c r="D642" s="8"/>
      <c r="E642" s="8"/>
      <c r="F642" s="8"/>
      <c r="G642" s="8"/>
      <c r="H642" s="8"/>
      <c r="I642" s="8"/>
      <c r="J642" s="8"/>
      <c r="K642" s="8"/>
      <c r="L642" s="8"/>
      <c r="M642" s="8"/>
      <c r="N642" s="8"/>
      <c r="O642" s="8"/>
      <c r="P642" s="8"/>
      <c r="Q642" s="8"/>
      <c r="R642" s="8"/>
      <c r="S642" s="8"/>
      <c r="T642" s="8"/>
      <c r="U642" s="8"/>
      <c r="V642" s="8"/>
      <c r="W642" s="8"/>
    </row>
    <row r="643">
      <c r="A643" s="8"/>
      <c r="B643" s="8"/>
      <c r="C643" s="8"/>
      <c r="D643" s="8"/>
      <c r="E643" s="8"/>
      <c r="F643" s="8"/>
      <c r="G643" s="8"/>
      <c r="H643" s="8"/>
      <c r="I643" s="8"/>
      <c r="J643" s="8"/>
      <c r="K643" s="8"/>
      <c r="L643" s="8"/>
      <c r="M643" s="8"/>
      <c r="N643" s="8"/>
      <c r="O643" s="8"/>
      <c r="P643" s="8"/>
      <c r="Q643" s="8"/>
      <c r="R643" s="8"/>
      <c r="S643" s="8"/>
      <c r="T643" s="8"/>
      <c r="U643" s="8"/>
      <c r="V643" s="8"/>
      <c r="W643" s="8"/>
    </row>
    <row r="644">
      <c r="A644" s="8"/>
      <c r="B644" s="8"/>
      <c r="C644" s="8"/>
      <c r="D644" s="8"/>
      <c r="E644" s="8"/>
      <c r="F644" s="8"/>
      <c r="G644" s="8"/>
      <c r="H644" s="8"/>
      <c r="I644" s="8"/>
      <c r="J644" s="8"/>
      <c r="K644" s="8"/>
      <c r="L644" s="8"/>
      <c r="M644" s="8"/>
      <c r="N644" s="8"/>
      <c r="O644" s="8"/>
      <c r="P644" s="8"/>
      <c r="Q644" s="8"/>
      <c r="R644" s="8"/>
      <c r="S644" s="8"/>
      <c r="T644" s="8"/>
      <c r="U644" s="8"/>
      <c r="V644" s="8"/>
      <c r="W644" s="8"/>
    </row>
    <row r="645">
      <c r="A645" s="8"/>
      <c r="B645" s="8"/>
      <c r="C645" s="8"/>
      <c r="D645" s="8"/>
      <c r="E645" s="8"/>
      <c r="F645" s="8"/>
      <c r="G645" s="8"/>
      <c r="H645" s="8"/>
      <c r="I645" s="8"/>
      <c r="J645" s="8"/>
      <c r="K645" s="8"/>
      <c r="L645" s="8"/>
      <c r="M645" s="8"/>
      <c r="N645" s="8"/>
      <c r="O645" s="8"/>
      <c r="P645" s="8"/>
      <c r="Q645" s="8"/>
      <c r="R645" s="8"/>
      <c r="S645" s="8"/>
      <c r="T645" s="8"/>
      <c r="U645" s="8"/>
      <c r="V645" s="8"/>
      <c r="W645" s="8"/>
    </row>
    <row r="646">
      <c r="A646" s="8"/>
      <c r="B646" s="8"/>
      <c r="C646" s="8"/>
      <c r="D646" s="8"/>
      <c r="E646" s="8"/>
      <c r="F646" s="8"/>
      <c r="G646" s="8"/>
      <c r="H646" s="8"/>
      <c r="I646" s="8"/>
      <c r="J646" s="8"/>
      <c r="K646" s="8"/>
      <c r="L646" s="8"/>
      <c r="M646" s="8"/>
      <c r="N646" s="8"/>
      <c r="O646" s="8"/>
      <c r="P646" s="8"/>
      <c r="Q646" s="8"/>
      <c r="R646" s="8"/>
      <c r="S646" s="8"/>
      <c r="T646" s="8"/>
      <c r="U646" s="8"/>
      <c r="V646" s="8"/>
      <c r="W646" s="8"/>
    </row>
    <row r="647">
      <c r="A647" s="8"/>
      <c r="B647" s="8"/>
      <c r="C647" s="8"/>
      <c r="D647" s="8"/>
      <c r="E647" s="8"/>
      <c r="F647" s="8"/>
      <c r="G647" s="8"/>
      <c r="H647" s="8"/>
      <c r="I647" s="8"/>
      <c r="J647" s="8"/>
      <c r="K647" s="8"/>
      <c r="L647" s="8"/>
      <c r="M647" s="8"/>
      <c r="N647" s="8"/>
      <c r="O647" s="8"/>
      <c r="P647" s="8"/>
      <c r="Q647" s="8"/>
      <c r="R647" s="8"/>
      <c r="S647" s="8"/>
      <c r="T647" s="8"/>
      <c r="U647" s="8"/>
      <c r="V647" s="8"/>
      <c r="W647" s="8"/>
    </row>
    <row r="648">
      <c r="A648" s="8"/>
      <c r="B648" s="8"/>
      <c r="C648" s="8"/>
      <c r="D648" s="8"/>
      <c r="E648" s="8"/>
      <c r="F648" s="8"/>
      <c r="G648" s="8"/>
      <c r="H648" s="8"/>
      <c r="I648" s="8"/>
      <c r="J648" s="8"/>
      <c r="K648" s="8"/>
      <c r="L648" s="8"/>
      <c r="M648" s="8"/>
      <c r="N648" s="8"/>
      <c r="O648" s="8"/>
      <c r="P648" s="8"/>
      <c r="Q648" s="8"/>
      <c r="R648" s="8"/>
      <c r="S648" s="8"/>
      <c r="T648" s="8"/>
      <c r="U648" s="8"/>
      <c r="V648" s="8"/>
      <c r="W648" s="8"/>
    </row>
    <row r="649">
      <c r="A649" s="8"/>
      <c r="B649" s="8"/>
      <c r="C649" s="8"/>
      <c r="D649" s="8"/>
      <c r="E649" s="8"/>
      <c r="F649" s="8"/>
      <c r="G649" s="8"/>
      <c r="H649" s="8"/>
      <c r="I649" s="8"/>
      <c r="J649" s="8"/>
      <c r="K649" s="8"/>
      <c r="L649" s="8"/>
      <c r="M649" s="8"/>
      <c r="N649" s="8"/>
      <c r="O649" s="8"/>
      <c r="P649" s="8"/>
      <c r="Q649" s="8"/>
      <c r="R649" s="8"/>
      <c r="S649" s="8"/>
      <c r="T649" s="8"/>
      <c r="U649" s="8"/>
      <c r="V649" s="8"/>
      <c r="W649" s="8"/>
    </row>
    <row r="650">
      <c r="A650" s="8"/>
      <c r="B650" s="8"/>
      <c r="C650" s="8"/>
      <c r="D650" s="8"/>
      <c r="E650" s="8"/>
      <c r="F650" s="8"/>
      <c r="G650" s="8"/>
      <c r="H650" s="8"/>
      <c r="I650" s="8"/>
      <c r="J650" s="8"/>
      <c r="K650" s="8"/>
      <c r="L650" s="8"/>
      <c r="M650" s="8"/>
      <c r="N650" s="8"/>
      <c r="O650" s="8"/>
      <c r="P650" s="8"/>
      <c r="Q650" s="8"/>
      <c r="R650" s="8"/>
      <c r="S650" s="8"/>
      <c r="T650" s="8"/>
      <c r="U650" s="8"/>
      <c r="V650" s="8"/>
      <c r="W650" s="8"/>
    </row>
    <row r="651">
      <c r="A651" s="8"/>
      <c r="B651" s="8"/>
      <c r="C651" s="8"/>
      <c r="D651" s="8"/>
      <c r="E651" s="8"/>
      <c r="F651" s="8"/>
      <c r="G651" s="8"/>
      <c r="H651" s="8"/>
      <c r="I651" s="8"/>
      <c r="J651" s="8"/>
      <c r="K651" s="8"/>
      <c r="L651" s="8"/>
      <c r="M651" s="8"/>
      <c r="N651" s="8"/>
      <c r="O651" s="8"/>
      <c r="P651" s="8"/>
      <c r="Q651" s="8"/>
      <c r="R651" s="8"/>
      <c r="S651" s="8"/>
      <c r="T651" s="8"/>
      <c r="U651" s="8"/>
      <c r="V651" s="8"/>
      <c r="W651" s="8"/>
    </row>
    <row r="652">
      <c r="A652" s="8"/>
      <c r="B652" s="8"/>
      <c r="C652" s="8"/>
      <c r="D652" s="8"/>
      <c r="E652" s="8"/>
      <c r="F652" s="8"/>
      <c r="G652" s="8"/>
      <c r="H652" s="8"/>
      <c r="I652" s="8"/>
      <c r="J652" s="8"/>
      <c r="K652" s="8"/>
      <c r="L652" s="8"/>
      <c r="M652" s="8"/>
      <c r="N652" s="8"/>
      <c r="O652" s="8"/>
      <c r="P652" s="8"/>
      <c r="Q652" s="8"/>
      <c r="R652" s="8"/>
      <c r="S652" s="8"/>
      <c r="T652" s="8"/>
      <c r="U652" s="8"/>
      <c r="V652" s="8"/>
      <c r="W652" s="8"/>
    </row>
    <row r="653">
      <c r="A653" s="8"/>
      <c r="B653" s="8"/>
      <c r="C653" s="8"/>
      <c r="D653" s="8"/>
      <c r="E653" s="8"/>
      <c r="F653" s="8"/>
      <c r="G653" s="8"/>
      <c r="H653" s="8"/>
      <c r="I653" s="8"/>
      <c r="J653" s="8"/>
      <c r="K653" s="8"/>
      <c r="L653" s="8"/>
      <c r="M653" s="8"/>
      <c r="N653" s="8"/>
      <c r="O653" s="8"/>
      <c r="P653" s="8"/>
      <c r="Q653" s="8"/>
      <c r="R653" s="8"/>
      <c r="S653" s="8"/>
      <c r="T653" s="8"/>
      <c r="U653" s="8"/>
      <c r="V653" s="8"/>
      <c r="W653" s="8"/>
    </row>
    <row r="654">
      <c r="A654" s="8"/>
      <c r="B654" s="8"/>
      <c r="C654" s="8"/>
      <c r="D654" s="8"/>
      <c r="E654" s="8"/>
      <c r="F654" s="8"/>
      <c r="G654" s="8"/>
      <c r="H654" s="8"/>
      <c r="I654" s="8"/>
      <c r="J654" s="8"/>
      <c r="K654" s="8"/>
      <c r="L654" s="8"/>
      <c r="M654" s="8"/>
      <c r="N654" s="8"/>
      <c r="O654" s="8"/>
      <c r="P654" s="8"/>
      <c r="Q654" s="8"/>
      <c r="R654" s="8"/>
      <c r="S654" s="8"/>
      <c r="T654" s="8"/>
      <c r="U654" s="8"/>
      <c r="V654" s="8"/>
      <c r="W654" s="8"/>
    </row>
    <row r="655">
      <c r="A655" s="8"/>
      <c r="B655" s="8"/>
      <c r="C655" s="8"/>
      <c r="D655" s="8"/>
      <c r="E655" s="8"/>
      <c r="F655" s="8"/>
      <c r="G655" s="8"/>
      <c r="H655" s="8"/>
      <c r="I655" s="8"/>
      <c r="J655" s="8"/>
      <c r="K655" s="8"/>
      <c r="L655" s="8"/>
      <c r="M655" s="8"/>
      <c r="N655" s="8"/>
      <c r="O655" s="8"/>
      <c r="P655" s="8"/>
      <c r="Q655" s="8"/>
      <c r="R655" s="8"/>
      <c r="S655" s="8"/>
      <c r="T655" s="8"/>
      <c r="U655" s="8"/>
      <c r="V655" s="8"/>
      <c r="W655" s="8"/>
    </row>
    <row r="656">
      <c r="A656" s="8"/>
      <c r="B656" s="8"/>
      <c r="C656" s="8"/>
      <c r="D656" s="8"/>
      <c r="E656" s="8"/>
      <c r="F656" s="8"/>
      <c r="G656" s="8"/>
      <c r="H656" s="8"/>
      <c r="I656" s="8"/>
      <c r="J656" s="8"/>
      <c r="K656" s="8"/>
      <c r="L656" s="8"/>
      <c r="M656" s="8"/>
      <c r="N656" s="8"/>
      <c r="O656" s="8"/>
      <c r="P656" s="8"/>
      <c r="Q656" s="8"/>
      <c r="R656" s="8"/>
      <c r="S656" s="8"/>
      <c r="T656" s="8"/>
      <c r="U656" s="8"/>
      <c r="V656" s="8"/>
      <c r="W656" s="8"/>
    </row>
    <row r="657">
      <c r="A657" s="8"/>
      <c r="B657" s="8"/>
      <c r="C657" s="8"/>
      <c r="D657" s="8"/>
      <c r="E657" s="8"/>
      <c r="F657" s="8"/>
      <c r="G657" s="8"/>
      <c r="H657" s="8"/>
      <c r="I657" s="8"/>
      <c r="J657" s="8"/>
      <c r="K657" s="8"/>
      <c r="L657" s="8"/>
      <c r="M657" s="8"/>
      <c r="N657" s="8"/>
      <c r="O657" s="8"/>
      <c r="P657" s="8"/>
      <c r="Q657" s="8"/>
      <c r="R657" s="8"/>
      <c r="S657" s="8"/>
      <c r="T657" s="8"/>
      <c r="U657" s="8"/>
      <c r="V657" s="8"/>
      <c r="W657" s="8"/>
    </row>
    <row r="658">
      <c r="A658" s="8"/>
      <c r="B658" s="8"/>
      <c r="C658" s="8"/>
      <c r="D658" s="8"/>
      <c r="E658" s="8"/>
      <c r="F658" s="8"/>
      <c r="G658" s="8"/>
      <c r="H658" s="8"/>
      <c r="I658" s="8"/>
      <c r="J658" s="8"/>
      <c r="K658" s="8"/>
      <c r="L658" s="8"/>
      <c r="M658" s="8"/>
      <c r="N658" s="8"/>
      <c r="O658" s="8"/>
      <c r="P658" s="8"/>
      <c r="Q658" s="8"/>
      <c r="R658" s="8"/>
      <c r="S658" s="8"/>
      <c r="T658" s="8"/>
      <c r="U658" s="8"/>
      <c r="V658" s="8"/>
      <c r="W658" s="8"/>
    </row>
    <row r="659">
      <c r="A659" s="8"/>
      <c r="B659" s="8"/>
      <c r="C659" s="8"/>
      <c r="D659" s="8"/>
      <c r="E659" s="8"/>
      <c r="F659" s="8"/>
      <c r="G659" s="8"/>
      <c r="H659" s="8"/>
      <c r="I659" s="8"/>
      <c r="J659" s="8"/>
      <c r="K659" s="8"/>
      <c r="L659" s="8"/>
      <c r="M659" s="8"/>
      <c r="N659" s="8"/>
      <c r="O659" s="8"/>
      <c r="P659" s="8"/>
      <c r="Q659" s="8"/>
      <c r="R659" s="8"/>
      <c r="S659" s="8"/>
      <c r="T659" s="8"/>
      <c r="U659" s="8"/>
      <c r="V659" s="8"/>
      <c r="W659" s="8"/>
    </row>
    <row r="660">
      <c r="A660" s="8"/>
      <c r="B660" s="8"/>
      <c r="C660" s="8"/>
      <c r="D660" s="8"/>
      <c r="E660" s="8"/>
      <c r="F660" s="8"/>
      <c r="G660" s="8"/>
      <c r="H660" s="8"/>
      <c r="I660" s="8"/>
      <c r="J660" s="8"/>
      <c r="K660" s="8"/>
      <c r="L660" s="8"/>
      <c r="M660" s="8"/>
      <c r="N660" s="8"/>
      <c r="O660" s="8"/>
      <c r="P660" s="8"/>
      <c r="Q660" s="8"/>
      <c r="R660" s="8"/>
      <c r="S660" s="8"/>
      <c r="T660" s="8"/>
      <c r="U660" s="8"/>
      <c r="V660" s="8"/>
      <c r="W660" s="8"/>
    </row>
    <row r="661">
      <c r="A661" s="8"/>
      <c r="B661" s="8"/>
      <c r="C661" s="8"/>
      <c r="D661" s="8"/>
      <c r="E661" s="8"/>
      <c r="F661" s="8"/>
      <c r="G661" s="8"/>
      <c r="H661" s="8"/>
      <c r="I661" s="8"/>
      <c r="J661" s="8"/>
      <c r="K661" s="8"/>
      <c r="L661" s="8"/>
      <c r="M661" s="8"/>
      <c r="N661" s="8"/>
      <c r="O661" s="8"/>
      <c r="P661" s="8"/>
      <c r="Q661" s="8"/>
      <c r="R661" s="8"/>
      <c r="S661" s="8"/>
      <c r="T661" s="8"/>
      <c r="U661" s="8"/>
      <c r="V661" s="8"/>
      <c r="W661" s="8"/>
    </row>
    <row r="662">
      <c r="A662" s="8"/>
      <c r="B662" s="8"/>
      <c r="C662" s="8"/>
      <c r="D662" s="8"/>
      <c r="E662" s="8"/>
      <c r="F662" s="8"/>
      <c r="G662" s="8"/>
      <c r="H662" s="8"/>
      <c r="I662" s="8"/>
      <c r="J662" s="8"/>
      <c r="K662" s="8"/>
      <c r="L662" s="8"/>
      <c r="M662" s="8"/>
      <c r="N662" s="8"/>
      <c r="O662" s="8"/>
      <c r="P662" s="8"/>
      <c r="Q662" s="8"/>
      <c r="R662" s="8"/>
      <c r="S662" s="8"/>
      <c r="T662" s="8"/>
      <c r="U662" s="8"/>
      <c r="V662" s="8"/>
      <c r="W662" s="8"/>
    </row>
    <row r="663">
      <c r="A663" s="8"/>
      <c r="B663" s="8"/>
      <c r="C663" s="8"/>
      <c r="D663" s="8"/>
      <c r="E663" s="8"/>
      <c r="F663" s="8"/>
      <c r="G663" s="8"/>
      <c r="H663" s="8"/>
      <c r="I663" s="8"/>
      <c r="J663" s="8"/>
      <c r="K663" s="8"/>
      <c r="L663" s="8"/>
      <c r="M663" s="8"/>
      <c r="N663" s="8"/>
      <c r="O663" s="8"/>
      <c r="P663" s="8"/>
      <c r="Q663" s="8"/>
      <c r="R663" s="8"/>
      <c r="S663" s="8"/>
      <c r="T663" s="8"/>
      <c r="U663" s="8"/>
      <c r="V663" s="8"/>
      <c r="W663" s="8"/>
    </row>
    <row r="664">
      <c r="A664" s="8"/>
      <c r="B664" s="8"/>
      <c r="C664" s="8"/>
      <c r="D664" s="8"/>
      <c r="E664" s="8"/>
      <c r="F664" s="8"/>
      <c r="G664" s="8"/>
      <c r="H664" s="8"/>
      <c r="I664" s="8"/>
      <c r="J664" s="8"/>
      <c r="K664" s="8"/>
      <c r="L664" s="8"/>
      <c r="M664" s="8"/>
      <c r="N664" s="8"/>
      <c r="O664" s="8"/>
      <c r="P664" s="8"/>
      <c r="Q664" s="8"/>
      <c r="R664" s="8"/>
      <c r="S664" s="8"/>
      <c r="T664" s="8"/>
      <c r="U664" s="8"/>
      <c r="V664" s="8"/>
      <c r="W664" s="8"/>
    </row>
    <row r="665">
      <c r="A665" s="8"/>
      <c r="B665" s="8"/>
      <c r="C665" s="8"/>
      <c r="D665" s="8"/>
      <c r="E665" s="8"/>
      <c r="F665" s="8"/>
      <c r="G665" s="8"/>
      <c r="H665" s="8"/>
      <c r="I665" s="8"/>
      <c r="J665" s="8"/>
      <c r="K665" s="8"/>
      <c r="L665" s="8"/>
      <c r="M665" s="8"/>
      <c r="N665" s="8"/>
      <c r="O665" s="8"/>
      <c r="P665" s="8"/>
      <c r="Q665" s="8"/>
      <c r="R665" s="8"/>
      <c r="S665" s="8"/>
      <c r="T665" s="8"/>
      <c r="U665" s="8"/>
      <c r="V665" s="8"/>
      <c r="W665" s="8"/>
    </row>
    <row r="666">
      <c r="A666" s="8"/>
      <c r="B666" s="8"/>
      <c r="C666" s="8"/>
      <c r="D666" s="8"/>
      <c r="E666" s="8"/>
      <c r="F666" s="8"/>
      <c r="G666" s="8"/>
      <c r="H666" s="8"/>
      <c r="I666" s="8"/>
      <c r="J666" s="8"/>
      <c r="K666" s="8"/>
      <c r="L666" s="8"/>
      <c r="M666" s="8"/>
      <c r="N666" s="8"/>
      <c r="O666" s="8"/>
      <c r="P666" s="8"/>
      <c r="Q666" s="8"/>
      <c r="R666" s="8"/>
      <c r="S666" s="8"/>
      <c r="T666" s="8"/>
      <c r="U666" s="8"/>
      <c r="V666" s="8"/>
      <c r="W666" s="8"/>
    </row>
    <row r="667">
      <c r="A667" s="8"/>
      <c r="B667" s="8"/>
      <c r="C667" s="8"/>
      <c r="D667" s="8"/>
      <c r="E667" s="8"/>
      <c r="F667" s="8"/>
      <c r="G667" s="8"/>
      <c r="H667" s="8"/>
      <c r="I667" s="8"/>
      <c r="J667" s="8"/>
      <c r="K667" s="8"/>
      <c r="L667" s="8"/>
      <c r="M667" s="8"/>
      <c r="N667" s="8"/>
      <c r="O667" s="8"/>
      <c r="P667" s="8"/>
      <c r="Q667" s="8"/>
      <c r="R667" s="8"/>
      <c r="S667" s="8"/>
      <c r="T667" s="8"/>
      <c r="U667" s="8"/>
      <c r="V667" s="8"/>
      <c r="W667" s="8"/>
    </row>
    <row r="668">
      <c r="A668" s="8"/>
      <c r="B668" s="8"/>
      <c r="C668" s="8"/>
      <c r="D668" s="8"/>
      <c r="E668" s="8"/>
      <c r="F668" s="8"/>
      <c r="G668" s="8"/>
      <c r="H668" s="8"/>
      <c r="I668" s="8"/>
      <c r="J668" s="8"/>
      <c r="K668" s="8"/>
      <c r="L668" s="8"/>
      <c r="M668" s="8"/>
      <c r="N668" s="8"/>
      <c r="O668" s="8"/>
      <c r="P668" s="8"/>
      <c r="Q668" s="8"/>
      <c r="R668" s="8"/>
      <c r="S668" s="8"/>
      <c r="T668" s="8"/>
      <c r="U668" s="8"/>
      <c r="V668" s="8"/>
      <c r="W668" s="8"/>
    </row>
    <row r="669">
      <c r="A669" s="8"/>
      <c r="B669" s="8"/>
      <c r="C669" s="8"/>
      <c r="D669" s="8"/>
      <c r="E669" s="8"/>
      <c r="F669" s="8"/>
      <c r="G669" s="8"/>
      <c r="H669" s="8"/>
      <c r="I669" s="8"/>
      <c r="J669" s="8"/>
      <c r="K669" s="8"/>
      <c r="L669" s="8"/>
      <c r="M669" s="8"/>
      <c r="N669" s="8"/>
      <c r="O669" s="8"/>
      <c r="P669" s="8"/>
      <c r="Q669" s="8"/>
      <c r="R669" s="8"/>
      <c r="S669" s="8"/>
      <c r="T669" s="8"/>
      <c r="U669" s="8"/>
      <c r="V669" s="8"/>
      <c r="W669" s="8"/>
    </row>
    <row r="670">
      <c r="A670" s="8"/>
      <c r="B670" s="8"/>
      <c r="C670" s="8"/>
      <c r="D670" s="8"/>
      <c r="E670" s="8"/>
      <c r="F670" s="8"/>
      <c r="G670" s="8"/>
      <c r="H670" s="8"/>
      <c r="I670" s="8"/>
      <c r="J670" s="8"/>
      <c r="K670" s="8"/>
      <c r="L670" s="8"/>
      <c r="M670" s="8"/>
      <c r="N670" s="8"/>
      <c r="O670" s="8"/>
      <c r="P670" s="8"/>
      <c r="Q670" s="8"/>
      <c r="R670" s="8"/>
      <c r="S670" s="8"/>
      <c r="T670" s="8"/>
      <c r="U670" s="8"/>
      <c r="V670" s="8"/>
      <c r="W670" s="8"/>
    </row>
    <row r="671">
      <c r="A671" s="8"/>
      <c r="B671" s="8"/>
      <c r="C671" s="8"/>
      <c r="D671" s="8"/>
      <c r="E671" s="8"/>
      <c r="F671" s="8"/>
      <c r="G671" s="8"/>
      <c r="H671" s="8"/>
      <c r="I671" s="8"/>
      <c r="J671" s="8"/>
      <c r="K671" s="8"/>
      <c r="L671" s="8"/>
      <c r="M671" s="8"/>
      <c r="N671" s="8"/>
      <c r="O671" s="8"/>
      <c r="P671" s="8"/>
      <c r="Q671" s="8"/>
      <c r="R671" s="8"/>
      <c r="S671" s="8"/>
      <c r="T671" s="8"/>
      <c r="U671" s="8"/>
      <c r="V671" s="8"/>
      <c r="W671" s="8"/>
    </row>
    <row r="672">
      <c r="A672" s="8"/>
      <c r="B672" s="8"/>
      <c r="C672" s="8"/>
      <c r="D672" s="8"/>
      <c r="E672" s="8"/>
      <c r="F672" s="8"/>
      <c r="G672" s="8"/>
      <c r="H672" s="8"/>
      <c r="I672" s="8"/>
      <c r="J672" s="8"/>
      <c r="K672" s="8"/>
      <c r="L672" s="8"/>
      <c r="M672" s="8"/>
      <c r="N672" s="8"/>
      <c r="O672" s="8"/>
      <c r="P672" s="8"/>
      <c r="Q672" s="8"/>
      <c r="R672" s="8"/>
      <c r="S672" s="8"/>
      <c r="T672" s="8"/>
      <c r="U672" s="8"/>
      <c r="V672" s="8"/>
      <c r="W672" s="8"/>
    </row>
    <row r="673">
      <c r="A673" s="8"/>
      <c r="B673" s="8"/>
      <c r="C673" s="8"/>
      <c r="D673" s="8"/>
      <c r="E673" s="8"/>
      <c r="F673" s="8"/>
      <c r="G673" s="8"/>
      <c r="H673" s="8"/>
      <c r="I673" s="8"/>
      <c r="J673" s="8"/>
      <c r="K673" s="8"/>
      <c r="L673" s="8"/>
      <c r="M673" s="8"/>
      <c r="N673" s="8"/>
      <c r="O673" s="8"/>
      <c r="P673" s="8"/>
      <c r="Q673" s="8"/>
      <c r="R673" s="8"/>
      <c r="S673" s="8"/>
      <c r="T673" s="8"/>
      <c r="U673" s="8"/>
      <c r="V673" s="8"/>
      <c r="W673" s="8"/>
    </row>
    <row r="674">
      <c r="A674" s="8"/>
      <c r="B674" s="8"/>
      <c r="C674" s="8"/>
      <c r="D674" s="8"/>
      <c r="E674" s="8"/>
      <c r="F674" s="8"/>
      <c r="G674" s="8"/>
      <c r="H674" s="8"/>
      <c r="I674" s="8"/>
      <c r="J674" s="8"/>
      <c r="K674" s="8"/>
      <c r="L674" s="8"/>
      <c r="M674" s="8"/>
      <c r="N674" s="8"/>
      <c r="O674" s="8"/>
      <c r="P674" s="8"/>
      <c r="Q674" s="8"/>
      <c r="R674" s="8"/>
      <c r="S674" s="8"/>
      <c r="T674" s="8"/>
      <c r="U674" s="8"/>
      <c r="V674" s="8"/>
      <c r="W674" s="8"/>
    </row>
    <row r="675">
      <c r="A675" s="8"/>
      <c r="B675" s="8"/>
      <c r="C675" s="8"/>
      <c r="D675" s="8"/>
      <c r="E675" s="8"/>
      <c r="F675" s="8"/>
      <c r="G675" s="8"/>
      <c r="H675" s="8"/>
      <c r="I675" s="8"/>
      <c r="J675" s="8"/>
      <c r="K675" s="8"/>
      <c r="L675" s="8"/>
      <c r="M675" s="8"/>
      <c r="N675" s="8"/>
      <c r="O675" s="8"/>
      <c r="P675" s="8"/>
      <c r="Q675" s="8"/>
      <c r="R675" s="8"/>
      <c r="S675" s="8"/>
      <c r="T675" s="8"/>
      <c r="U675" s="8"/>
      <c r="V675" s="8"/>
      <c r="W675" s="8"/>
    </row>
    <row r="676">
      <c r="A676" s="8"/>
      <c r="B676" s="8"/>
      <c r="C676" s="8"/>
      <c r="D676" s="8"/>
      <c r="E676" s="8"/>
      <c r="F676" s="8"/>
      <c r="G676" s="8"/>
      <c r="H676" s="8"/>
      <c r="I676" s="8"/>
      <c r="J676" s="8"/>
      <c r="K676" s="8"/>
      <c r="L676" s="8"/>
      <c r="M676" s="8"/>
      <c r="N676" s="8"/>
      <c r="O676" s="8"/>
      <c r="P676" s="8"/>
      <c r="Q676" s="8"/>
      <c r="R676" s="8"/>
      <c r="S676" s="8"/>
      <c r="T676" s="8"/>
      <c r="U676" s="8"/>
      <c r="V676" s="8"/>
      <c r="W676" s="8"/>
    </row>
    <row r="677">
      <c r="A677" s="8"/>
      <c r="B677" s="8"/>
      <c r="C677" s="8"/>
      <c r="D677" s="8"/>
      <c r="E677" s="8"/>
      <c r="F677" s="8"/>
      <c r="G677" s="8"/>
      <c r="H677" s="8"/>
      <c r="I677" s="8"/>
      <c r="J677" s="8"/>
      <c r="K677" s="8"/>
      <c r="L677" s="8"/>
      <c r="M677" s="8"/>
      <c r="N677" s="8"/>
      <c r="O677" s="8"/>
      <c r="P677" s="8"/>
      <c r="Q677" s="8"/>
      <c r="R677" s="8"/>
      <c r="S677" s="8"/>
      <c r="T677" s="8"/>
      <c r="U677" s="8"/>
      <c r="V677" s="8"/>
      <c r="W677" s="8"/>
    </row>
    <row r="678">
      <c r="A678" s="8"/>
      <c r="B678" s="8"/>
      <c r="C678" s="8"/>
      <c r="D678" s="8"/>
      <c r="E678" s="8"/>
      <c r="F678" s="8"/>
      <c r="G678" s="8"/>
      <c r="H678" s="8"/>
      <c r="I678" s="8"/>
      <c r="J678" s="8"/>
      <c r="K678" s="8"/>
      <c r="L678" s="8"/>
      <c r="M678" s="8"/>
      <c r="N678" s="8"/>
      <c r="O678" s="8"/>
      <c r="P678" s="8"/>
      <c r="Q678" s="8"/>
      <c r="R678" s="8"/>
      <c r="S678" s="8"/>
      <c r="T678" s="8"/>
      <c r="U678" s="8"/>
      <c r="V678" s="8"/>
      <c r="W678" s="8"/>
    </row>
    <row r="679">
      <c r="A679" s="8"/>
      <c r="B679" s="8"/>
      <c r="C679" s="8"/>
      <c r="D679" s="8"/>
      <c r="E679" s="8"/>
      <c r="F679" s="8"/>
      <c r="G679" s="8"/>
      <c r="H679" s="8"/>
      <c r="I679" s="8"/>
      <c r="J679" s="8"/>
      <c r="K679" s="8"/>
      <c r="L679" s="8"/>
      <c r="M679" s="8"/>
      <c r="N679" s="8"/>
      <c r="O679" s="8"/>
      <c r="P679" s="8"/>
      <c r="Q679" s="8"/>
      <c r="R679" s="8"/>
      <c r="S679" s="8"/>
      <c r="T679" s="8"/>
      <c r="U679" s="8"/>
      <c r="V679" s="8"/>
      <c r="W679" s="8"/>
    </row>
    <row r="680">
      <c r="A680" s="8"/>
      <c r="B680" s="8"/>
      <c r="C680" s="8"/>
      <c r="D680" s="8"/>
      <c r="E680" s="8"/>
      <c r="F680" s="8"/>
      <c r="G680" s="8"/>
      <c r="H680" s="8"/>
      <c r="I680" s="8"/>
      <c r="J680" s="8"/>
      <c r="K680" s="8"/>
      <c r="L680" s="8"/>
      <c r="M680" s="8"/>
      <c r="N680" s="8"/>
      <c r="O680" s="8"/>
      <c r="P680" s="8"/>
      <c r="Q680" s="8"/>
      <c r="R680" s="8"/>
      <c r="S680" s="8"/>
      <c r="T680" s="8"/>
      <c r="U680" s="8"/>
      <c r="V680" s="8"/>
      <c r="W680" s="8"/>
    </row>
    <row r="681">
      <c r="A681" s="8"/>
      <c r="B681" s="8"/>
      <c r="C681" s="8"/>
      <c r="D681" s="8"/>
      <c r="E681" s="8"/>
      <c r="F681" s="8"/>
      <c r="G681" s="8"/>
      <c r="H681" s="8"/>
      <c r="I681" s="8"/>
      <c r="J681" s="8"/>
      <c r="K681" s="8"/>
      <c r="L681" s="8"/>
      <c r="M681" s="8"/>
      <c r="N681" s="8"/>
      <c r="O681" s="8"/>
      <c r="P681" s="8"/>
      <c r="Q681" s="8"/>
      <c r="R681" s="8"/>
      <c r="S681" s="8"/>
      <c r="T681" s="8"/>
      <c r="U681" s="8"/>
      <c r="V681" s="8"/>
      <c r="W681" s="8"/>
    </row>
    <row r="682">
      <c r="A682" s="8"/>
      <c r="B682" s="8"/>
      <c r="C682" s="8"/>
      <c r="D682" s="8"/>
      <c r="E682" s="8"/>
      <c r="F682" s="8"/>
      <c r="G682" s="8"/>
      <c r="H682" s="8"/>
      <c r="I682" s="8"/>
      <c r="J682" s="8"/>
      <c r="K682" s="8"/>
      <c r="L682" s="8"/>
      <c r="M682" s="8"/>
      <c r="N682" s="8"/>
      <c r="O682" s="8"/>
      <c r="P682" s="8"/>
      <c r="Q682" s="8"/>
      <c r="R682" s="8"/>
      <c r="S682" s="8"/>
      <c r="T682" s="8"/>
      <c r="U682" s="8"/>
      <c r="V682" s="8"/>
      <c r="W682" s="8"/>
    </row>
    <row r="683">
      <c r="A683" s="8"/>
      <c r="B683" s="8"/>
      <c r="C683" s="8"/>
      <c r="D683" s="8"/>
      <c r="E683" s="8"/>
      <c r="F683" s="8"/>
      <c r="G683" s="8"/>
      <c r="H683" s="8"/>
      <c r="I683" s="8"/>
      <c r="J683" s="8"/>
      <c r="K683" s="8"/>
      <c r="L683" s="8"/>
      <c r="M683" s="8"/>
      <c r="N683" s="8"/>
      <c r="O683" s="8"/>
      <c r="P683" s="8"/>
      <c r="Q683" s="8"/>
      <c r="R683" s="8"/>
      <c r="S683" s="8"/>
      <c r="T683" s="8"/>
      <c r="U683" s="8"/>
      <c r="V683" s="8"/>
      <c r="W683" s="8"/>
    </row>
    <row r="684">
      <c r="A684" s="8"/>
      <c r="B684" s="8"/>
      <c r="C684" s="8"/>
      <c r="D684" s="8"/>
      <c r="E684" s="8"/>
      <c r="F684" s="8"/>
      <c r="G684" s="8"/>
      <c r="H684" s="8"/>
      <c r="I684" s="8"/>
      <c r="J684" s="8"/>
      <c r="K684" s="8"/>
      <c r="L684" s="8"/>
      <c r="M684" s="8"/>
      <c r="N684" s="8"/>
      <c r="O684" s="8"/>
      <c r="P684" s="8"/>
      <c r="Q684" s="8"/>
      <c r="R684" s="8"/>
      <c r="S684" s="8"/>
      <c r="T684" s="8"/>
      <c r="U684" s="8"/>
      <c r="V684" s="8"/>
      <c r="W684" s="8"/>
    </row>
    <row r="685">
      <c r="A685" s="8"/>
      <c r="B685" s="8"/>
      <c r="C685" s="8"/>
      <c r="D685" s="8"/>
      <c r="E685" s="8"/>
      <c r="F685" s="8"/>
      <c r="G685" s="8"/>
      <c r="H685" s="8"/>
      <c r="I685" s="8"/>
      <c r="J685" s="8"/>
      <c r="K685" s="8"/>
      <c r="L685" s="8"/>
      <c r="M685" s="8"/>
      <c r="N685" s="8"/>
      <c r="O685" s="8"/>
      <c r="P685" s="8"/>
      <c r="Q685" s="8"/>
      <c r="R685" s="8"/>
      <c r="S685" s="8"/>
      <c r="T685" s="8"/>
      <c r="U685" s="8"/>
      <c r="V685" s="8"/>
      <c r="W685" s="8"/>
    </row>
    <row r="686">
      <c r="A686" s="8"/>
      <c r="B686" s="8"/>
      <c r="C686" s="8"/>
      <c r="D686" s="8"/>
      <c r="E686" s="8"/>
      <c r="F686" s="8"/>
      <c r="G686" s="8"/>
      <c r="H686" s="8"/>
      <c r="I686" s="8"/>
      <c r="J686" s="8"/>
      <c r="K686" s="8"/>
      <c r="L686" s="8"/>
      <c r="M686" s="8"/>
      <c r="N686" s="8"/>
      <c r="O686" s="8"/>
      <c r="P686" s="8"/>
      <c r="Q686" s="8"/>
      <c r="R686" s="8"/>
      <c r="S686" s="8"/>
      <c r="T686" s="8"/>
      <c r="U686" s="8"/>
      <c r="V686" s="8"/>
      <c r="W686" s="8"/>
    </row>
    <row r="687">
      <c r="A687" s="8"/>
      <c r="B687" s="8"/>
      <c r="C687" s="8"/>
      <c r="D687" s="8"/>
      <c r="E687" s="8"/>
      <c r="F687" s="8"/>
      <c r="G687" s="8"/>
      <c r="H687" s="8"/>
      <c r="I687" s="8"/>
      <c r="J687" s="8"/>
      <c r="K687" s="8"/>
      <c r="L687" s="8"/>
      <c r="M687" s="8"/>
      <c r="N687" s="8"/>
      <c r="O687" s="8"/>
      <c r="P687" s="8"/>
      <c r="Q687" s="8"/>
      <c r="R687" s="8"/>
      <c r="S687" s="8"/>
      <c r="T687" s="8"/>
      <c r="U687" s="8"/>
      <c r="V687" s="8"/>
      <c r="W687" s="8"/>
    </row>
    <row r="688">
      <c r="A688" s="8"/>
      <c r="B688" s="8"/>
      <c r="C688" s="8"/>
      <c r="D688" s="8"/>
      <c r="E688" s="8"/>
      <c r="F688" s="8"/>
      <c r="G688" s="8"/>
      <c r="H688" s="8"/>
      <c r="I688" s="8"/>
      <c r="J688" s="8"/>
      <c r="K688" s="8"/>
      <c r="L688" s="8"/>
      <c r="M688" s="8"/>
      <c r="N688" s="8"/>
      <c r="O688" s="8"/>
      <c r="P688" s="8"/>
      <c r="Q688" s="8"/>
      <c r="R688" s="8"/>
      <c r="S688" s="8"/>
      <c r="T688" s="8"/>
      <c r="U688" s="8"/>
      <c r="V688" s="8"/>
      <c r="W688" s="8"/>
    </row>
    <row r="689">
      <c r="A689" s="8"/>
      <c r="B689" s="8"/>
      <c r="C689" s="8"/>
      <c r="D689" s="8"/>
      <c r="E689" s="8"/>
      <c r="F689" s="8"/>
      <c r="G689" s="8"/>
      <c r="H689" s="8"/>
      <c r="I689" s="8"/>
      <c r="J689" s="8"/>
      <c r="K689" s="8"/>
      <c r="L689" s="8"/>
      <c r="M689" s="8"/>
      <c r="N689" s="8"/>
      <c r="O689" s="8"/>
      <c r="P689" s="8"/>
      <c r="Q689" s="8"/>
      <c r="R689" s="8"/>
      <c r="S689" s="8"/>
      <c r="T689" s="8"/>
      <c r="U689" s="8"/>
      <c r="V689" s="8"/>
      <c r="W689" s="8"/>
    </row>
    <row r="690">
      <c r="A690" s="8"/>
      <c r="B690" s="8"/>
      <c r="C690" s="8"/>
      <c r="D690" s="8"/>
      <c r="E690" s="8"/>
      <c r="F690" s="8"/>
      <c r="G690" s="8"/>
      <c r="H690" s="8"/>
      <c r="I690" s="8"/>
      <c r="J690" s="8"/>
      <c r="K690" s="8"/>
      <c r="L690" s="8"/>
      <c r="M690" s="8"/>
      <c r="N690" s="8"/>
      <c r="O690" s="8"/>
      <c r="P690" s="8"/>
      <c r="Q690" s="8"/>
      <c r="R690" s="8"/>
      <c r="S690" s="8"/>
      <c r="T690" s="8"/>
      <c r="U690" s="8"/>
      <c r="V690" s="8"/>
      <c r="W690" s="8"/>
    </row>
    <row r="691">
      <c r="A691" s="8"/>
      <c r="B691" s="8"/>
      <c r="C691" s="8"/>
      <c r="D691" s="8"/>
      <c r="E691" s="8"/>
      <c r="F691" s="8"/>
      <c r="G691" s="8"/>
      <c r="H691" s="8"/>
      <c r="I691" s="8"/>
      <c r="J691" s="8"/>
      <c r="K691" s="8"/>
      <c r="L691" s="8"/>
      <c r="M691" s="8"/>
      <c r="N691" s="8"/>
      <c r="O691" s="8"/>
      <c r="P691" s="8"/>
      <c r="Q691" s="8"/>
      <c r="R691" s="8"/>
      <c r="S691" s="8"/>
      <c r="T691" s="8"/>
      <c r="U691" s="8"/>
      <c r="V691" s="8"/>
      <c r="W691" s="8"/>
    </row>
    <row r="692">
      <c r="A692" s="8"/>
      <c r="B692" s="8"/>
      <c r="C692" s="8"/>
      <c r="D692" s="8"/>
      <c r="E692" s="8"/>
      <c r="F692" s="8"/>
      <c r="G692" s="8"/>
      <c r="H692" s="8"/>
      <c r="I692" s="8"/>
      <c r="J692" s="8"/>
      <c r="K692" s="8"/>
      <c r="L692" s="8"/>
      <c r="M692" s="8"/>
      <c r="N692" s="8"/>
      <c r="O692" s="8"/>
      <c r="P692" s="8"/>
      <c r="Q692" s="8"/>
      <c r="R692" s="8"/>
      <c r="S692" s="8"/>
      <c r="T692" s="8"/>
      <c r="U692" s="8"/>
      <c r="V692" s="8"/>
      <c r="W692" s="8"/>
    </row>
    <row r="693">
      <c r="A693" s="8"/>
      <c r="B693" s="8"/>
      <c r="C693" s="8"/>
      <c r="D693" s="8"/>
      <c r="E693" s="8"/>
      <c r="F693" s="8"/>
      <c r="G693" s="8"/>
      <c r="H693" s="8"/>
      <c r="I693" s="8"/>
      <c r="J693" s="8"/>
      <c r="K693" s="8"/>
      <c r="L693" s="8"/>
      <c r="M693" s="8"/>
      <c r="N693" s="8"/>
      <c r="O693" s="8"/>
      <c r="P693" s="8"/>
      <c r="Q693" s="8"/>
      <c r="R693" s="8"/>
      <c r="S693" s="8"/>
      <c r="T693" s="8"/>
      <c r="U693" s="8"/>
      <c r="V693" s="8"/>
      <c r="W693" s="8"/>
    </row>
    <row r="694">
      <c r="A694" s="8"/>
      <c r="B694" s="8"/>
      <c r="C694" s="8"/>
      <c r="D694" s="8"/>
      <c r="E694" s="8"/>
      <c r="F694" s="8"/>
      <c r="G694" s="8"/>
      <c r="H694" s="8"/>
      <c r="I694" s="8"/>
      <c r="J694" s="8"/>
      <c r="K694" s="8"/>
      <c r="L694" s="8"/>
      <c r="M694" s="8"/>
      <c r="N694" s="8"/>
      <c r="O694" s="8"/>
      <c r="P694" s="8"/>
      <c r="Q694" s="8"/>
      <c r="R694" s="8"/>
      <c r="S694" s="8"/>
      <c r="T694" s="8"/>
      <c r="U694" s="8"/>
      <c r="V694" s="8"/>
      <c r="W694" s="8"/>
    </row>
    <row r="695">
      <c r="A695" s="8"/>
      <c r="B695" s="8"/>
      <c r="C695" s="8"/>
      <c r="D695" s="8"/>
      <c r="E695" s="8"/>
      <c r="F695" s="8"/>
      <c r="G695" s="8"/>
      <c r="H695" s="8"/>
      <c r="I695" s="8"/>
      <c r="J695" s="8"/>
      <c r="K695" s="8"/>
      <c r="L695" s="8"/>
      <c r="M695" s="8"/>
      <c r="N695" s="8"/>
      <c r="O695" s="8"/>
      <c r="P695" s="8"/>
      <c r="Q695" s="8"/>
      <c r="R695" s="8"/>
      <c r="S695" s="8"/>
      <c r="T695" s="8"/>
      <c r="U695" s="8"/>
      <c r="V695" s="8"/>
      <c r="W695" s="8"/>
    </row>
    <row r="696">
      <c r="A696" s="8"/>
      <c r="B696" s="8"/>
      <c r="C696" s="8"/>
      <c r="D696" s="8"/>
      <c r="E696" s="8"/>
      <c r="F696" s="8"/>
      <c r="G696" s="8"/>
      <c r="H696" s="8"/>
      <c r="I696" s="8"/>
      <c r="J696" s="8"/>
      <c r="K696" s="8"/>
      <c r="L696" s="8"/>
      <c r="M696" s="8"/>
      <c r="N696" s="8"/>
      <c r="O696" s="8"/>
      <c r="P696" s="8"/>
      <c r="Q696" s="8"/>
      <c r="R696" s="8"/>
      <c r="S696" s="8"/>
      <c r="T696" s="8"/>
      <c r="U696" s="8"/>
      <c r="V696" s="8"/>
      <c r="W696" s="8"/>
    </row>
    <row r="697">
      <c r="A697" s="8"/>
      <c r="B697" s="8"/>
      <c r="C697" s="8"/>
      <c r="D697" s="8"/>
      <c r="E697" s="8"/>
      <c r="F697" s="8"/>
      <c r="G697" s="8"/>
      <c r="H697" s="8"/>
      <c r="I697" s="8"/>
      <c r="J697" s="8"/>
      <c r="K697" s="8"/>
      <c r="L697" s="8"/>
      <c r="M697" s="8"/>
      <c r="N697" s="8"/>
      <c r="O697" s="8"/>
      <c r="P697" s="8"/>
      <c r="Q697" s="8"/>
      <c r="R697" s="8"/>
      <c r="S697" s="8"/>
      <c r="T697" s="8"/>
      <c r="U697" s="8"/>
      <c r="V697" s="8"/>
      <c r="W697" s="8"/>
    </row>
    <row r="698">
      <c r="A698" s="8"/>
      <c r="B698" s="8"/>
      <c r="C698" s="8"/>
      <c r="D698" s="8"/>
      <c r="E698" s="8"/>
      <c r="F698" s="8"/>
      <c r="G698" s="8"/>
      <c r="H698" s="8"/>
      <c r="I698" s="8"/>
      <c r="J698" s="8"/>
      <c r="K698" s="8"/>
      <c r="L698" s="8"/>
      <c r="M698" s="8"/>
      <c r="N698" s="8"/>
      <c r="O698" s="8"/>
      <c r="P698" s="8"/>
      <c r="Q698" s="8"/>
      <c r="R698" s="8"/>
      <c r="S698" s="8"/>
      <c r="T698" s="8"/>
      <c r="U698" s="8"/>
      <c r="V698" s="8"/>
      <c r="W698" s="8"/>
    </row>
    <row r="699">
      <c r="A699" s="8"/>
      <c r="B699" s="8"/>
      <c r="C699" s="8"/>
      <c r="D699" s="8"/>
      <c r="E699" s="8"/>
      <c r="F699" s="8"/>
      <c r="G699" s="8"/>
      <c r="H699" s="8"/>
      <c r="I699" s="8"/>
      <c r="J699" s="8"/>
      <c r="K699" s="8"/>
      <c r="L699" s="8"/>
      <c r="M699" s="8"/>
      <c r="N699" s="8"/>
      <c r="O699" s="8"/>
      <c r="P699" s="8"/>
      <c r="Q699" s="8"/>
      <c r="R699" s="8"/>
      <c r="S699" s="8"/>
      <c r="T699" s="8"/>
      <c r="U699" s="8"/>
      <c r="V699" s="8"/>
      <c r="W699" s="8"/>
    </row>
    <row r="700">
      <c r="A700" s="8"/>
      <c r="B700" s="8"/>
      <c r="C700" s="8"/>
      <c r="D700" s="8"/>
      <c r="E700" s="8"/>
      <c r="F700" s="8"/>
      <c r="G700" s="8"/>
      <c r="H700" s="8"/>
      <c r="I700" s="8"/>
      <c r="J700" s="8"/>
      <c r="K700" s="8"/>
      <c r="L700" s="8"/>
      <c r="M700" s="8"/>
      <c r="N700" s="8"/>
      <c r="O700" s="8"/>
      <c r="P700" s="8"/>
      <c r="Q700" s="8"/>
      <c r="R700" s="8"/>
      <c r="S700" s="8"/>
      <c r="T700" s="8"/>
      <c r="U700" s="8"/>
      <c r="V700" s="8"/>
      <c r="W700" s="8"/>
    </row>
    <row r="701">
      <c r="A701" s="8"/>
      <c r="B701" s="8"/>
      <c r="C701" s="8"/>
      <c r="D701" s="8"/>
      <c r="E701" s="8"/>
      <c r="F701" s="8"/>
      <c r="G701" s="8"/>
      <c r="H701" s="8"/>
      <c r="I701" s="8"/>
      <c r="J701" s="8"/>
      <c r="K701" s="8"/>
      <c r="L701" s="8"/>
      <c r="M701" s="8"/>
      <c r="N701" s="8"/>
      <c r="O701" s="8"/>
      <c r="P701" s="8"/>
      <c r="Q701" s="8"/>
      <c r="R701" s="8"/>
      <c r="S701" s="8"/>
      <c r="T701" s="8"/>
      <c r="U701" s="8"/>
      <c r="V701" s="8"/>
      <c r="W701" s="8"/>
    </row>
    <row r="702">
      <c r="A702" s="8"/>
      <c r="B702" s="8"/>
      <c r="C702" s="8"/>
      <c r="D702" s="8"/>
      <c r="E702" s="8"/>
      <c r="F702" s="8"/>
      <c r="G702" s="8"/>
      <c r="H702" s="8"/>
      <c r="I702" s="8"/>
      <c r="J702" s="8"/>
      <c r="K702" s="8"/>
      <c r="L702" s="8"/>
      <c r="M702" s="8"/>
      <c r="N702" s="8"/>
      <c r="O702" s="8"/>
      <c r="P702" s="8"/>
      <c r="Q702" s="8"/>
      <c r="R702" s="8"/>
      <c r="S702" s="8"/>
      <c r="T702" s="8"/>
      <c r="U702" s="8"/>
      <c r="V702" s="8"/>
      <c r="W702" s="8"/>
    </row>
    <row r="703">
      <c r="A703" s="8"/>
      <c r="B703" s="8"/>
      <c r="C703" s="8"/>
      <c r="D703" s="8"/>
      <c r="E703" s="8"/>
      <c r="F703" s="8"/>
      <c r="G703" s="8"/>
      <c r="H703" s="8"/>
      <c r="I703" s="8"/>
      <c r="J703" s="8"/>
      <c r="K703" s="8"/>
      <c r="L703" s="8"/>
      <c r="M703" s="8"/>
      <c r="N703" s="8"/>
      <c r="O703" s="8"/>
      <c r="P703" s="8"/>
      <c r="Q703" s="8"/>
      <c r="R703" s="8"/>
      <c r="S703" s="8"/>
      <c r="T703" s="8"/>
      <c r="U703" s="8"/>
      <c r="V703" s="8"/>
      <c r="W703" s="8"/>
    </row>
    <row r="704">
      <c r="A704" s="8"/>
      <c r="B704" s="8"/>
      <c r="C704" s="8"/>
      <c r="D704" s="8"/>
      <c r="E704" s="8"/>
      <c r="F704" s="8"/>
      <c r="G704" s="8"/>
      <c r="H704" s="8"/>
      <c r="I704" s="8"/>
      <c r="J704" s="8"/>
      <c r="K704" s="8"/>
      <c r="L704" s="8"/>
      <c r="M704" s="8"/>
      <c r="N704" s="8"/>
      <c r="O704" s="8"/>
      <c r="P704" s="8"/>
      <c r="Q704" s="8"/>
      <c r="R704" s="8"/>
      <c r="S704" s="8"/>
      <c r="T704" s="8"/>
      <c r="U704" s="8"/>
      <c r="V704" s="8"/>
      <c r="W704" s="8"/>
    </row>
    <row r="705">
      <c r="A705" s="8"/>
      <c r="B705" s="8"/>
      <c r="C705" s="8"/>
      <c r="D705" s="8"/>
      <c r="E705" s="8"/>
      <c r="F705" s="8"/>
      <c r="G705" s="8"/>
      <c r="H705" s="8"/>
      <c r="I705" s="8"/>
      <c r="J705" s="8"/>
      <c r="K705" s="8"/>
      <c r="L705" s="8"/>
      <c r="M705" s="8"/>
      <c r="N705" s="8"/>
      <c r="O705" s="8"/>
      <c r="P705" s="8"/>
      <c r="Q705" s="8"/>
      <c r="R705" s="8"/>
      <c r="S705" s="8"/>
      <c r="T705" s="8"/>
      <c r="U705" s="8"/>
      <c r="V705" s="8"/>
      <c r="W705" s="8"/>
    </row>
    <row r="706">
      <c r="A706" s="8"/>
      <c r="B706" s="8"/>
      <c r="C706" s="8"/>
      <c r="D706" s="8"/>
      <c r="E706" s="8"/>
      <c r="F706" s="8"/>
      <c r="G706" s="8"/>
      <c r="H706" s="8"/>
      <c r="I706" s="8"/>
      <c r="J706" s="8"/>
      <c r="K706" s="8"/>
      <c r="L706" s="8"/>
      <c r="M706" s="8"/>
      <c r="N706" s="8"/>
      <c r="O706" s="8"/>
      <c r="P706" s="8"/>
      <c r="Q706" s="8"/>
      <c r="R706" s="8"/>
      <c r="S706" s="8"/>
      <c r="T706" s="8"/>
      <c r="U706" s="8"/>
      <c r="V706" s="8"/>
      <c r="W706" s="8"/>
    </row>
    <row r="707">
      <c r="A707" s="8"/>
      <c r="B707" s="8"/>
      <c r="C707" s="8"/>
      <c r="D707" s="8"/>
      <c r="E707" s="8"/>
      <c r="F707" s="8"/>
      <c r="G707" s="8"/>
      <c r="H707" s="8"/>
      <c r="I707" s="8"/>
      <c r="J707" s="8"/>
      <c r="K707" s="8"/>
      <c r="L707" s="8"/>
      <c r="M707" s="8"/>
      <c r="N707" s="8"/>
      <c r="O707" s="8"/>
      <c r="P707" s="8"/>
      <c r="Q707" s="8"/>
      <c r="R707" s="8"/>
      <c r="S707" s="8"/>
      <c r="T707" s="8"/>
      <c r="U707" s="8"/>
      <c r="V707" s="8"/>
      <c r="W707" s="8"/>
    </row>
    <row r="708">
      <c r="A708" s="8"/>
      <c r="B708" s="8"/>
      <c r="C708" s="8"/>
      <c r="D708" s="8"/>
      <c r="E708" s="8"/>
      <c r="F708" s="8"/>
      <c r="G708" s="8"/>
      <c r="H708" s="8"/>
      <c r="I708" s="8"/>
      <c r="J708" s="8"/>
      <c r="K708" s="8"/>
      <c r="L708" s="8"/>
      <c r="M708" s="8"/>
      <c r="N708" s="8"/>
      <c r="O708" s="8"/>
      <c r="P708" s="8"/>
      <c r="Q708" s="8"/>
      <c r="R708" s="8"/>
      <c r="S708" s="8"/>
      <c r="T708" s="8"/>
      <c r="U708" s="8"/>
      <c r="V708" s="8"/>
      <c r="W708" s="8"/>
    </row>
    <row r="709">
      <c r="A709" s="8"/>
      <c r="B709" s="8"/>
      <c r="C709" s="8"/>
      <c r="D709" s="8"/>
      <c r="E709" s="8"/>
      <c r="F709" s="8"/>
      <c r="G709" s="8"/>
      <c r="H709" s="8"/>
      <c r="I709" s="8"/>
      <c r="J709" s="8"/>
      <c r="K709" s="8"/>
      <c r="L709" s="8"/>
      <c r="M709" s="8"/>
      <c r="N709" s="8"/>
      <c r="O709" s="8"/>
      <c r="P709" s="8"/>
      <c r="Q709" s="8"/>
      <c r="R709" s="8"/>
      <c r="S709" s="8"/>
      <c r="T709" s="8"/>
      <c r="U709" s="8"/>
      <c r="V709" s="8"/>
      <c r="W709" s="8"/>
    </row>
    <row r="710">
      <c r="A710" s="8"/>
      <c r="B710" s="8"/>
      <c r="C710" s="8"/>
      <c r="D710" s="8"/>
      <c r="E710" s="8"/>
      <c r="F710" s="8"/>
      <c r="G710" s="8"/>
      <c r="H710" s="8"/>
      <c r="I710" s="8"/>
      <c r="J710" s="8"/>
      <c r="K710" s="8"/>
      <c r="L710" s="8"/>
      <c r="M710" s="8"/>
      <c r="N710" s="8"/>
      <c r="O710" s="8"/>
      <c r="P710" s="8"/>
      <c r="Q710" s="8"/>
      <c r="R710" s="8"/>
      <c r="S710" s="8"/>
      <c r="T710" s="8"/>
      <c r="U710" s="8"/>
      <c r="V710" s="8"/>
      <c r="W710" s="8"/>
    </row>
    <row r="711">
      <c r="A711" s="8"/>
      <c r="B711" s="8"/>
      <c r="C711" s="8"/>
      <c r="D711" s="8"/>
      <c r="E711" s="8"/>
      <c r="F711" s="8"/>
      <c r="G711" s="8"/>
      <c r="H711" s="8"/>
      <c r="I711" s="8"/>
      <c r="J711" s="8"/>
      <c r="K711" s="8"/>
      <c r="L711" s="8"/>
      <c r="M711" s="8"/>
      <c r="N711" s="8"/>
      <c r="O711" s="8"/>
      <c r="P711" s="8"/>
      <c r="Q711" s="8"/>
      <c r="R711" s="8"/>
      <c r="S711" s="8"/>
      <c r="T711" s="8"/>
      <c r="U711" s="8"/>
      <c r="V711" s="8"/>
      <c r="W711" s="8"/>
    </row>
    <row r="712">
      <c r="A712" s="8"/>
      <c r="B712" s="8"/>
      <c r="C712" s="8"/>
      <c r="D712" s="8"/>
      <c r="E712" s="8"/>
      <c r="F712" s="8"/>
      <c r="G712" s="8"/>
      <c r="H712" s="8"/>
      <c r="I712" s="8"/>
      <c r="J712" s="8"/>
      <c r="K712" s="8"/>
      <c r="L712" s="8"/>
      <c r="M712" s="8"/>
      <c r="N712" s="8"/>
      <c r="O712" s="8"/>
      <c r="P712" s="8"/>
      <c r="Q712" s="8"/>
      <c r="R712" s="8"/>
      <c r="S712" s="8"/>
      <c r="T712" s="8"/>
      <c r="U712" s="8"/>
      <c r="V712" s="8"/>
      <c r="W712" s="8"/>
    </row>
    <row r="713">
      <c r="A713" s="8"/>
      <c r="B713" s="8"/>
      <c r="C713" s="8"/>
      <c r="D713" s="8"/>
      <c r="E713" s="8"/>
      <c r="F713" s="8"/>
      <c r="G713" s="8"/>
      <c r="H713" s="8"/>
      <c r="I713" s="8"/>
      <c r="J713" s="8"/>
      <c r="K713" s="8"/>
      <c r="L713" s="8"/>
      <c r="M713" s="8"/>
      <c r="N713" s="8"/>
      <c r="O713" s="8"/>
      <c r="P713" s="8"/>
      <c r="Q713" s="8"/>
      <c r="R713" s="8"/>
      <c r="S713" s="8"/>
      <c r="T713" s="8"/>
      <c r="U713" s="8"/>
      <c r="V713" s="8"/>
      <c r="W713" s="8"/>
    </row>
    <row r="714">
      <c r="A714" s="8"/>
      <c r="B714" s="8"/>
      <c r="C714" s="8"/>
      <c r="D714" s="8"/>
      <c r="E714" s="8"/>
      <c r="F714" s="8"/>
      <c r="G714" s="8"/>
      <c r="H714" s="8"/>
      <c r="I714" s="8"/>
      <c r="J714" s="8"/>
      <c r="K714" s="8"/>
      <c r="L714" s="8"/>
      <c r="M714" s="8"/>
      <c r="N714" s="8"/>
      <c r="O714" s="8"/>
      <c r="P714" s="8"/>
      <c r="Q714" s="8"/>
      <c r="R714" s="8"/>
      <c r="S714" s="8"/>
      <c r="T714" s="8"/>
      <c r="U714" s="8"/>
      <c r="V714" s="8"/>
      <c r="W714" s="8"/>
    </row>
    <row r="715">
      <c r="A715" s="8"/>
      <c r="B715" s="8"/>
      <c r="C715" s="8"/>
      <c r="D715" s="8"/>
      <c r="E715" s="8"/>
      <c r="F715" s="8"/>
      <c r="G715" s="8"/>
      <c r="H715" s="8"/>
      <c r="I715" s="8"/>
      <c r="J715" s="8"/>
      <c r="K715" s="8"/>
      <c r="L715" s="8"/>
      <c r="M715" s="8"/>
      <c r="N715" s="8"/>
      <c r="O715" s="8"/>
      <c r="P715" s="8"/>
      <c r="Q715" s="8"/>
      <c r="R715" s="8"/>
      <c r="S715" s="8"/>
      <c r="T715" s="8"/>
      <c r="U715" s="8"/>
      <c r="V715" s="8"/>
      <c r="W715" s="8"/>
    </row>
    <row r="716">
      <c r="A716" s="8"/>
      <c r="B716" s="8"/>
      <c r="C716" s="8"/>
      <c r="D716" s="8"/>
      <c r="E716" s="8"/>
      <c r="F716" s="8"/>
      <c r="G716" s="8"/>
      <c r="H716" s="8"/>
      <c r="I716" s="8"/>
      <c r="J716" s="8"/>
      <c r="K716" s="8"/>
      <c r="L716" s="8"/>
      <c r="M716" s="8"/>
      <c r="N716" s="8"/>
      <c r="O716" s="8"/>
      <c r="P716" s="8"/>
      <c r="Q716" s="8"/>
      <c r="R716" s="8"/>
      <c r="S716" s="8"/>
      <c r="T716" s="8"/>
      <c r="U716" s="8"/>
      <c r="V716" s="8"/>
      <c r="W716" s="8"/>
    </row>
    <row r="717">
      <c r="A717" s="8"/>
      <c r="B717" s="8"/>
      <c r="C717" s="8"/>
      <c r="D717" s="8"/>
      <c r="E717" s="8"/>
      <c r="F717" s="8"/>
      <c r="G717" s="8"/>
      <c r="H717" s="8"/>
      <c r="I717" s="8"/>
      <c r="J717" s="8"/>
      <c r="K717" s="8"/>
      <c r="L717" s="8"/>
      <c r="M717" s="8"/>
      <c r="N717" s="8"/>
      <c r="O717" s="8"/>
      <c r="P717" s="8"/>
      <c r="Q717" s="8"/>
      <c r="R717" s="8"/>
      <c r="S717" s="8"/>
      <c r="T717" s="8"/>
      <c r="U717" s="8"/>
      <c r="V717" s="8"/>
      <c r="W717" s="8"/>
    </row>
    <row r="718">
      <c r="A718" s="8"/>
      <c r="B718" s="8"/>
      <c r="C718" s="8"/>
      <c r="D718" s="8"/>
      <c r="E718" s="8"/>
      <c r="F718" s="8"/>
      <c r="G718" s="8"/>
      <c r="H718" s="8"/>
      <c r="I718" s="8"/>
      <c r="J718" s="8"/>
      <c r="K718" s="8"/>
      <c r="L718" s="8"/>
      <c r="M718" s="8"/>
      <c r="N718" s="8"/>
      <c r="O718" s="8"/>
      <c r="P718" s="8"/>
      <c r="Q718" s="8"/>
      <c r="R718" s="8"/>
      <c r="S718" s="8"/>
      <c r="T718" s="8"/>
      <c r="U718" s="8"/>
      <c r="V718" s="8"/>
      <c r="W718" s="8"/>
    </row>
    <row r="719">
      <c r="A719" s="8"/>
      <c r="B719" s="8"/>
      <c r="C719" s="8"/>
      <c r="D719" s="8"/>
      <c r="E719" s="8"/>
      <c r="F719" s="8"/>
      <c r="G719" s="8"/>
      <c r="H719" s="8"/>
      <c r="I719" s="8"/>
      <c r="J719" s="8"/>
      <c r="K719" s="8"/>
      <c r="L719" s="8"/>
      <c r="M719" s="8"/>
      <c r="N719" s="8"/>
      <c r="O719" s="8"/>
      <c r="P719" s="8"/>
      <c r="Q719" s="8"/>
      <c r="R719" s="8"/>
      <c r="S719" s="8"/>
      <c r="T719" s="8"/>
      <c r="U719" s="8"/>
      <c r="V719" s="8"/>
      <c r="W719" s="8"/>
    </row>
    <row r="720">
      <c r="A720" s="8"/>
      <c r="B720" s="8"/>
      <c r="C720" s="8"/>
      <c r="D720" s="8"/>
      <c r="E720" s="8"/>
      <c r="F720" s="8"/>
      <c r="G720" s="8"/>
      <c r="H720" s="8"/>
      <c r="I720" s="8"/>
      <c r="J720" s="8"/>
      <c r="K720" s="8"/>
      <c r="L720" s="8"/>
      <c r="M720" s="8"/>
      <c r="N720" s="8"/>
      <c r="O720" s="8"/>
      <c r="P720" s="8"/>
      <c r="Q720" s="8"/>
      <c r="R720" s="8"/>
      <c r="S720" s="8"/>
      <c r="T720" s="8"/>
      <c r="U720" s="8"/>
      <c r="V720" s="8"/>
      <c r="W720" s="8"/>
    </row>
    <row r="721">
      <c r="A721" s="8"/>
      <c r="B721" s="8"/>
      <c r="C721" s="8"/>
      <c r="D721" s="8"/>
      <c r="E721" s="8"/>
      <c r="F721" s="8"/>
      <c r="G721" s="8"/>
      <c r="H721" s="8"/>
      <c r="I721" s="8"/>
      <c r="J721" s="8"/>
      <c r="K721" s="8"/>
      <c r="L721" s="8"/>
      <c r="M721" s="8"/>
      <c r="N721" s="8"/>
      <c r="O721" s="8"/>
      <c r="P721" s="8"/>
      <c r="Q721" s="8"/>
      <c r="R721" s="8"/>
      <c r="S721" s="8"/>
      <c r="T721" s="8"/>
      <c r="U721" s="8"/>
      <c r="V721" s="8"/>
      <c r="W721" s="8"/>
    </row>
    <row r="722">
      <c r="A722" s="8"/>
      <c r="B722" s="8"/>
      <c r="C722" s="8"/>
      <c r="D722" s="8"/>
      <c r="E722" s="8"/>
      <c r="F722" s="8"/>
      <c r="G722" s="8"/>
      <c r="H722" s="8"/>
      <c r="I722" s="8"/>
      <c r="J722" s="8"/>
      <c r="K722" s="8"/>
      <c r="L722" s="8"/>
      <c r="M722" s="8"/>
      <c r="N722" s="8"/>
      <c r="O722" s="8"/>
      <c r="P722" s="8"/>
      <c r="Q722" s="8"/>
      <c r="R722" s="8"/>
      <c r="S722" s="8"/>
      <c r="T722" s="8"/>
      <c r="U722" s="8"/>
      <c r="V722" s="8"/>
      <c r="W722" s="8"/>
    </row>
    <row r="723">
      <c r="A723" s="8"/>
      <c r="B723" s="8"/>
      <c r="C723" s="8"/>
      <c r="D723" s="8"/>
      <c r="E723" s="8"/>
      <c r="F723" s="8"/>
      <c r="G723" s="8"/>
      <c r="H723" s="8"/>
      <c r="I723" s="8"/>
      <c r="J723" s="8"/>
      <c r="K723" s="8"/>
      <c r="L723" s="8"/>
      <c r="M723" s="8"/>
      <c r="N723" s="8"/>
      <c r="O723" s="8"/>
      <c r="P723" s="8"/>
      <c r="Q723" s="8"/>
      <c r="R723" s="8"/>
      <c r="S723" s="8"/>
      <c r="T723" s="8"/>
      <c r="U723" s="8"/>
      <c r="V723" s="8"/>
      <c r="W723" s="8"/>
    </row>
    <row r="724">
      <c r="A724" s="8"/>
      <c r="B724" s="8"/>
      <c r="C724" s="8"/>
      <c r="D724" s="8"/>
      <c r="E724" s="8"/>
      <c r="F724" s="8"/>
      <c r="G724" s="8"/>
      <c r="H724" s="8"/>
      <c r="I724" s="8"/>
      <c r="J724" s="8"/>
      <c r="K724" s="8"/>
      <c r="L724" s="8"/>
      <c r="M724" s="8"/>
      <c r="N724" s="8"/>
      <c r="O724" s="8"/>
      <c r="P724" s="8"/>
      <c r="Q724" s="8"/>
      <c r="R724" s="8"/>
      <c r="S724" s="8"/>
      <c r="T724" s="8"/>
      <c r="U724" s="8"/>
      <c r="V724" s="8"/>
      <c r="W724" s="8"/>
    </row>
    <row r="725">
      <c r="A725" s="8"/>
      <c r="B725" s="8"/>
      <c r="C725" s="8"/>
      <c r="D725" s="8"/>
      <c r="E725" s="8"/>
      <c r="F725" s="8"/>
      <c r="G725" s="8"/>
      <c r="H725" s="8"/>
      <c r="I725" s="8"/>
      <c r="J725" s="8"/>
      <c r="K725" s="8"/>
      <c r="L725" s="8"/>
      <c r="M725" s="8"/>
      <c r="N725" s="8"/>
      <c r="O725" s="8"/>
      <c r="P725" s="8"/>
      <c r="Q725" s="8"/>
      <c r="R725" s="8"/>
      <c r="S725" s="8"/>
      <c r="T725" s="8"/>
      <c r="U725" s="8"/>
      <c r="V725" s="8"/>
      <c r="W725" s="8"/>
    </row>
    <row r="726">
      <c r="A726" s="8"/>
      <c r="B726" s="8"/>
      <c r="C726" s="8"/>
      <c r="D726" s="8"/>
      <c r="E726" s="8"/>
      <c r="F726" s="8"/>
      <c r="G726" s="8"/>
      <c r="H726" s="8"/>
      <c r="I726" s="8"/>
      <c r="J726" s="8"/>
      <c r="K726" s="8"/>
      <c r="L726" s="8"/>
      <c r="M726" s="8"/>
      <c r="N726" s="8"/>
      <c r="O726" s="8"/>
      <c r="P726" s="8"/>
      <c r="Q726" s="8"/>
      <c r="R726" s="8"/>
      <c r="S726" s="8"/>
      <c r="T726" s="8"/>
      <c r="U726" s="8"/>
      <c r="V726" s="8"/>
      <c r="W726" s="8"/>
    </row>
    <row r="727">
      <c r="A727" s="8"/>
      <c r="B727" s="8"/>
      <c r="C727" s="8"/>
      <c r="D727" s="8"/>
      <c r="E727" s="8"/>
      <c r="F727" s="8"/>
      <c r="G727" s="8"/>
      <c r="H727" s="8"/>
      <c r="I727" s="8"/>
      <c r="J727" s="8"/>
      <c r="K727" s="8"/>
      <c r="L727" s="8"/>
      <c r="M727" s="8"/>
      <c r="N727" s="8"/>
      <c r="O727" s="8"/>
      <c r="P727" s="8"/>
      <c r="Q727" s="8"/>
      <c r="R727" s="8"/>
      <c r="S727" s="8"/>
      <c r="T727" s="8"/>
      <c r="U727" s="8"/>
      <c r="V727" s="8"/>
      <c r="W727" s="8"/>
    </row>
    <row r="728">
      <c r="A728" s="8"/>
      <c r="B728" s="8"/>
      <c r="C728" s="8"/>
      <c r="D728" s="8"/>
      <c r="E728" s="8"/>
      <c r="F728" s="8"/>
      <c r="G728" s="8"/>
      <c r="H728" s="8"/>
      <c r="I728" s="8"/>
      <c r="J728" s="8"/>
      <c r="K728" s="8"/>
      <c r="L728" s="8"/>
      <c r="M728" s="8"/>
      <c r="N728" s="8"/>
      <c r="O728" s="8"/>
      <c r="P728" s="8"/>
      <c r="Q728" s="8"/>
      <c r="R728" s="8"/>
      <c r="S728" s="8"/>
      <c r="T728" s="8"/>
      <c r="U728" s="8"/>
      <c r="V728" s="8"/>
      <c r="W728" s="8"/>
    </row>
    <row r="729">
      <c r="A729" s="8"/>
      <c r="B729" s="8"/>
      <c r="C729" s="8"/>
      <c r="D729" s="8"/>
      <c r="E729" s="8"/>
      <c r="F729" s="8"/>
      <c r="G729" s="8"/>
      <c r="H729" s="8"/>
      <c r="I729" s="8"/>
      <c r="J729" s="8"/>
      <c r="K729" s="8"/>
      <c r="L729" s="8"/>
      <c r="M729" s="8"/>
      <c r="N729" s="8"/>
      <c r="O729" s="8"/>
      <c r="P729" s="8"/>
      <c r="Q729" s="8"/>
      <c r="R729" s="8"/>
      <c r="S729" s="8"/>
      <c r="T729" s="8"/>
      <c r="U729" s="8"/>
      <c r="V729" s="8"/>
      <c r="W729" s="8"/>
    </row>
    <row r="730">
      <c r="A730" s="8"/>
      <c r="B730" s="8"/>
      <c r="C730" s="8"/>
      <c r="D730" s="8"/>
      <c r="E730" s="8"/>
      <c r="F730" s="8"/>
      <c r="G730" s="8"/>
      <c r="H730" s="8"/>
      <c r="I730" s="8"/>
      <c r="J730" s="8"/>
      <c r="K730" s="8"/>
      <c r="L730" s="8"/>
      <c r="M730" s="8"/>
      <c r="N730" s="8"/>
      <c r="O730" s="8"/>
      <c r="P730" s="8"/>
      <c r="Q730" s="8"/>
      <c r="R730" s="8"/>
      <c r="S730" s="8"/>
      <c r="T730" s="8"/>
      <c r="U730" s="8"/>
      <c r="V730" s="8"/>
      <c r="W730" s="8"/>
    </row>
    <row r="731">
      <c r="A731" s="8"/>
      <c r="B731" s="8"/>
      <c r="C731" s="8"/>
      <c r="D731" s="8"/>
      <c r="E731" s="8"/>
      <c r="F731" s="8"/>
      <c r="G731" s="8"/>
      <c r="H731" s="8"/>
      <c r="I731" s="8"/>
      <c r="J731" s="8"/>
      <c r="K731" s="8"/>
      <c r="L731" s="8"/>
      <c r="M731" s="8"/>
      <c r="N731" s="8"/>
      <c r="O731" s="8"/>
      <c r="P731" s="8"/>
      <c r="Q731" s="8"/>
      <c r="R731" s="8"/>
      <c r="S731" s="8"/>
      <c r="T731" s="8"/>
      <c r="U731" s="8"/>
      <c r="V731" s="8"/>
      <c r="W731" s="8"/>
    </row>
    <row r="732">
      <c r="A732" s="8"/>
      <c r="B732" s="8"/>
      <c r="C732" s="8"/>
      <c r="D732" s="8"/>
      <c r="E732" s="8"/>
      <c r="F732" s="8"/>
      <c r="G732" s="8"/>
      <c r="H732" s="8"/>
      <c r="I732" s="8"/>
      <c r="J732" s="8"/>
      <c r="K732" s="8"/>
      <c r="L732" s="8"/>
      <c r="M732" s="8"/>
      <c r="N732" s="8"/>
      <c r="O732" s="8"/>
      <c r="P732" s="8"/>
      <c r="Q732" s="8"/>
      <c r="R732" s="8"/>
      <c r="S732" s="8"/>
      <c r="T732" s="8"/>
      <c r="U732" s="8"/>
      <c r="V732" s="8"/>
      <c r="W732" s="8"/>
    </row>
    <row r="733">
      <c r="A733" s="8"/>
      <c r="B733" s="8"/>
      <c r="C733" s="8"/>
      <c r="D733" s="8"/>
      <c r="E733" s="8"/>
      <c r="F733" s="8"/>
      <c r="G733" s="8"/>
      <c r="H733" s="8"/>
      <c r="I733" s="8"/>
      <c r="J733" s="8"/>
      <c r="K733" s="8"/>
      <c r="L733" s="8"/>
      <c r="M733" s="8"/>
      <c r="N733" s="8"/>
      <c r="O733" s="8"/>
      <c r="P733" s="8"/>
      <c r="Q733" s="8"/>
      <c r="R733" s="8"/>
      <c r="S733" s="8"/>
      <c r="T733" s="8"/>
      <c r="U733" s="8"/>
      <c r="V733" s="8"/>
      <c r="W733" s="8"/>
    </row>
    <row r="734">
      <c r="A734" s="8"/>
      <c r="B734" s="8"/>
      <c r="C734" s="8"/>
      <c r="D734" s="8"/>
      <c r="E734" s="8"/>
      <c r="F734" s="8"/>
      <c r="G734" s="8"/>
      <c r="H734" s="8"/>
      <c r="I734" s="8"/>
      <c r="J734" s="8"/>
      <c r="K734" s="8"/>
      <c r="L734" s="8"/>
      <c r="M734" s="8"/>
      <c r="N734" s="8"/>
      <c r="O734" s="8"/>
      <c r="P734" s="8"/>
      <c r="Q734" s="8"/>
      <c r="R734" s="8"/>
      <c r="S734" s="8"/>
      <c r="T734" s="8"/>
      <c r="U734" s="8"/>
      <c r="V734" s="8"/>
      <c r="W734" s="8"/>
    </row>
    <row r="735">
      <c r="A735" s="8"/>
      <c r="B735" s="8"/>
      <c r="C735" s="8"/>
      <c r="D735" s="8"/>
      <c r="E735" s="8"/>
      <c r="F735" s="8"/>
      <c r="G735" s="8"/>
      <c r="H735" s="8"/>
      <c r="I735" s="8"/>
      <c r="J735" s="8"/>
      <c r="K735" s="8"/>
      <c r="L735" s="8"/>
      <c r="M735" s="8"/>
      <c r="N735" s="8"/>
      <c r="O735" s="8"/>
      <c r="P735" s="8"/>
      <c r="Q735" s="8"/>
      <c r="R735" s="8"/>
      <c r="S735" s="8"/>
      <c r="T735" s="8"/>
      <c r="U735" s="8"/>
      <c r="V735" s="8"/>
      <c r="W735" s="8"/>
    </row>
    <row r="736">
      <c r="A736" s="8"/>
      <c r="B736" s="8"/>
      <c r="C736" s="8"/>
      <c r="D736" s="8"/>
      <c r="E736" s="8"/>
      <c r="F736" s="8"/>
      <c r="G736" s="8"/>
      <c r="H736" s="8"/>
      <c r="I736" s="8"/>
      <c r="J736" s="8"/>
      <c r="K736" s="8"/>
      <c r="L736" s="8"/>
      <c r="M736" s="8"/>
      <c r="N736" s="8"/>
      <c r="O736" s="8"/>
      <c r="P736" s="8"/>
      <c r="Q736" s="8"/>
      <c r="R736" s="8"/>
      <c r="S736" s="8"/>
      <c r="T736" s="8"/>
      <c r="U736" s="8"/>
      <c r="V736" s="8"/>
      <c r="W736" s="8"/>
    </row>
    <row r="737">
      <c r="A737" s="8"/>
      <c r="B737" s="8"/>
      <c r="C737" s="8"/>
      <c r="D737" s="8"/>
      <c r="E737" s="8"/>
      <c r="F737" s="8"/>
      <c r="G737" s="8"/>
      <c r="H737" s="8"/>
      <c r="I737" s="8"/>
      <c r="J737" s="8"/>
      <c r="K737" s="8"/>
      <c r="L737" s="8"/>
      <c r="M737" s="8"/>
      <c r="N737" s="8"/>
      <c r="O737" s="8"/>
      <c r="P737" s="8"/>
      <c r="Q737" s="8"/>
      <c r="R737" s="8"/>
      <c r="S737" s="8"/>
      <c r="T737" s="8"/>
      <c r="U737" s="8"/>
      <c r="V737" s="8"/>
      <c r="W737" s="8"/>
    </row>
    <row r="738">
      <c r="A738" s="8"/>
      <c r="B738" s="8"/>
      <c r="C738" s="8"/>
      <c r="D738" s="8"/>
      <c r="E738" s="8"/>
      <c r="F738" s="8"/>
      <c r="G738" s="8"/>
      <c r="H738" s="8"/>
      <c r="I738" s="8"/>
      <c r="J738" s="8"/>
      <c r="K738" s="8"/>
      <c r="L738" s="8"/>
      <c r="M738" s="8"/>
      <c r="N738" s="8"/>
      <c r="O738" s="8"/>
      <c r="P738" s="8"/>
      <c r="Q738" s="8"/>
      <c r="R738" s="8"/>
      <c r="S738" s="8"/>
      <c r="T738" s="8"/>
      <c r="U738" s="8"/>
      <c r="V738" s="8"/>
      <c r="W738" s="8"/>
    </row>
    <row r="739">
      <c r="A739" s="8"/>
      <c r="B739" s="8"/>
      <c r="C739" s="8"/>
      <c r="D739" s="8"/>
      <c r="E739" s="8"/>
      <c r="F739" s="8"/>
      <c r="G739" s="8"/>
      <c r="H739" s="8"/>
      <c r="I739" s="8"/>
      <c r="J739" s="8"/>
      <c r="K739" s="8"/>
      <c r="L739" s="8"/>
      <c r="M739" s="8"/>
      <c r="N739" s="8"/>
      <c r="O739" s="8"/>
      <c r="P739" s="8"/>
      <c r="Q739" s="8"/>
      <c r="R739" s="8"/>
      <c r="S739" s="8"/>
      <c r="T739" s="8"/>
      <c r="U739" s="8"/>
      <c r="V739" s="8"/>
      <c r="W739" s="8"/>
    </row>
    <row r="740">
      <c r="A740" s="8"/>
      <c r="B740" s="8"/>
      <c r="C740" s="8"/>
      <c r="D740" s="8"/>
      <c r="E740" s="8"/>
      <c r="F740" s="8"/>
      <c r="G740" s="8"/>
      <c r="H740" s="8"/>
      <c r="I740" s="8"/>
      <c r="J740" s="8"/>
      <c r="K740" s="8"/>
      <c r="L740" s="8"/>
      <c r="M740" s="8"/>
      <c r="N740" s="8"/>
      <c r="O740" s="8"/>
      <c r="P740" s="8"/>
      <c r="Q740" s="8"/>
      <c r="R740" s="8"/>
      <c r="S740" s="8"/>
      <c r="T740" s="8"/>
      <c r="U740" s="8"/>
      <c r="V740" s="8"/>
      <c r="W740" s="8"/>
    </row>
    <row r="741">
      <c r="A741" s="8"/>
      <c r="B741" s="8"/>
      <c r="C741" s="8"/>
      <c r="D741" s="8"/>
      <c r="E741" s="8"/>
      <c r="F741" s="8"/>
      <c r="G741" s="8"/>
      <c r="H741" s="8"/>
      <c r="I741" s="8"/>
      <c r="J741" s="8"/>
      <c r="K741" s="8"/>
      <c r="L741" s="8"/>
      <c r="M741" s="8"/>
      <c r="N741" s="8"/>
      <c r="O741" s="8"/>
      <c r="P741" s="8"/>
      <c r="Q741" s="8"/>
      <c r="R741" s="8"/>
      <c r="S741" s="8"/>
      <c r="T741" s="8"/>
      <c r="U741" s="8"/>
      <c r="V741" s="8"/>
      <c r="W741" s="8"/>
    </row>
    <row r="742">
      <c r="A742" s="8"/>
      <c r="B742" s="8"/>
      <c r="C742" s="8"/>
      <c r="D742" s="8"/>
      <c r="E742" s="8"/>
      <c r="F742" s="8"/>
      <c r="G742" s="8"/>
      <c r="H742" s="8"/>
      <c r="I742" s="8"/>
      <c r="J742" s="8"/>
      <c r="K742" s="8"/>
      <c r="L742" s="8"/>
      <c r="M742" s="8"/>
      <c r="N742" s="8"/>
      <c r="O742" s="8"/>
      <c r="P742" s="8"/>
      <c r="Q742" s="8"/>
      <c r="R742" s="8"/>
      <c r="S742" s="8"/>
      <c r="T742" s="8"/>
      <c r="U742" s="8"/>
      <c r="V742" s="8"/>
      <c r="W742" s="8"/>
    </row>
    <row r="743">
      <c r="A743" s="8"/>
      <c r="B743" s="8"/>
      <c r="C743" s="8"/>
      <c r="D743" s="8"/>
      <c r="E743" s="8"/>
      <c r="F743" s="8"/>
      <c r="G743" s="8"/>
      <c r="H743" s="8"/>
      <c r="I743" s="8"/>
      <c r="J743" s="8"/>
      <c r="K743" s="8"/>
      <c r="L743" s="8"/>
      <c r="M743" s="8"/>
      <c r="N743" s="8"/>
      <c r="O743" s="8"/>
      <c r="P743" s="8"/>
      <c r="Q743" s="8"/>
      <c r="R743" s="8"/>
      <c r="S743" s="8"/>
      <c r="T743" s="8"/>
      <c r="U743" s="8"/>
      <c r="V743" s="8"/>
      <c r="W743" s="8"/>
    </row>
    <row r="744">
      <c r="A744" s="8"/>
      <c r="B744" s="8"/>
      <c r="C744" s="8"/>
      <c r="D744" s="8"/>
      <c r="E744" s="8"/>
      <c r="F744" s="8"/>
      <c r="G744" s="8"/>
      <c r="H744" s="8"/>
      <c r="I744" s="8"/>
      <c r="J744" s="8"/>
      <c r="K744" s="8"/>
      <c r="L744" s="8"/>
      <c r="M744" s="8"/>
      <c r="N744" s="8"/>
      <c r="O744" s="8"/>
      <c r="P744" s="8"/>
      <c r="Q744" s="8"/>
      <c r="R744" s="8"/>
      <c r="S744" s="8"/>
      <c r="T744" s="8"/>
      <c r="U744" s="8"/>
      <c r="V744" s="8"/>
      <c r="W744" s="8"/>
    </row>
    <row r="745">
      <c r="A745" s="8"/>
      <c r="B745" s="8"/>
      <c r="C745" s="8"/>
      <c r="D745" s="8"/>
      <c r="E745" s="8"/>
      <c r="F745" s="8"/>
      <c r="G745" s="8"/>
      <c r="H745" s="8"/>
      <c r="I745" s="8"/>
      <c r="J745" s="8"/>
      <c r="K745" s="8"/>
      <c r="L745" s="8"/>
      <c r="M745" s="8"/>
      <c r="N745" s="8"/>
      <c r="O745" s="8"/>
      <c r="P745" s="8"/>
      <c r="Q745" s="8"/>
      <c r="R745" s="8"/>
      <c r="S745" s="8"/>
      <c r="T745" s="8"/>
      <c r="U745" s="8"/>
      <c r="V745" s="8"/>
      <c r="W745" s="8"/>
    </row>
    <row r="746">
      <c r="A746" s="8"/>
      <c r="B746" s="8"/>
      <c r="C746" s="8"/>
      <c r="D746" s="8"/>
      <c r="E746" s="8"/>
      <c r="F746" s="8"/>
      <c r="G746" s="8"/>
      <c r="H746" s="8"/>
      <c r="I746" s="8"/>
      <c r="J746" s="8"/>
      <c r="K746" s="8"/>
      <c r="L746" s="8"/>
      <c r="M746" s="8"/>
      <c r="N746" s="8"/>
      <c r="O746" s="8"/>
      <c r="P746" s="8"/>
      <c r="Q746" s="8"/>
      <c r="R746" s="8"/>
      <c r="S746" s="8"/>
      <c r="T746" s="8"/>
      <c r="U746" s="8"/>
      <c r="V746" s="8"/>
      <c r="W746" s="8"/>
    </row>
    <row r="747">
      <c r="A747" s="8"/>
      <c r="B747" s="8"/>
      <c r="C747" s="8"/>
      <c r="D747" s="8"/>
      <c r="E747" s="8"/>
      <c r="F747" s="8"/>
      <c r="G747" s="8"/>
      <c r="H747" s="8"/>
      <c r="I747" s="8"/>
      <c r="J747" s="8"/>
      <c r="K747" s="8"/>
      <c r="L747" s="8"/>
      <c r="M747" s="8"/>
      <c r="N747" s="8"/>
      <c r="O747" s="8"/>
      <c r="P747" s="8"/>
      <c r="Q747" s="8"/>
      <c r="R747" s="8"/>
      <c r="S747" s="8"/>
      <c r="T747" s="8"/>
      <c r="U747" s="8"/>
      <c r="V747" s="8"/>
      <c r="W747" s="8"/>
    </row>
    <row r="748">
      <c r="A748" s="8"/>
      <c r="B748" s="8"/>
      <c r="C748" s="8"/>
      <c r="D748" s="8"/>
      <c r="E748" s="8"/>
      <c r="F748" s="8"/>
      <c r="G748" s="8"/>
      <c r="H748" s="8"/>
      <c r="I748" s="8"/>
      <c r="J748" s="8"/>
      <c r="K748" s="8"/>
      <c r="L748" s="8"/>
      <c r="M748" s="8"/>
      <c r="N748" s="8"/>
      <c r="O748" s="8"/>
      <c r="P748" s="8"/>
      <c r="Q748" s="8"/>
      <c r="R748" s="8"/>
      <c r="S748" s="8"/>
      <c r="T748" s="8"/>
      <c r="U748" s="8"/>
      <c r="V748" s="8"/>
      <c r="W748" s="8"/>
    </row>
    <row r="749">
      <c r="A749" s="8"/>
      <c r="B749" s="8"/>
      <c r="C749" s="8"/>
      <c r="D749" s="8"/>
      <c r="E749" s="8"/>
      <c r="F749" s="8"/>
      <c r="G749" s="8"/>
      <c r="H749" s="8"/>
      <c r="I749" s="8"/>
      <c r="J749" s="8"/>
      <c r="K749" s="8"/>
      <c r="L749" s="8"/>
      <c r="M749" s="8"/>
      <c r="N749" s="8"/>
      <c r="O749" s="8"/>
      <c r="P749" s="8"/>
      <c r="Q749" s="8"/>
      <c r="R749" s="8"/>
      <c r="S749" s="8"/>
      <c r="T749" s="8"/>
      <c r="U749" s="8"/>
      <c r="V749" s="8"/>
      <c r="W749" s="8"/>
    </row>
    <row r="750">
      <c r="A750" s="8"/>
      <c r="B750" s="8"/>
      <c r="C750" s="8"/>
      <c r="D750" s="8"/>
      <c r="E750" s="8"/>
      <c r="F750" s="8"/>
      <c r="G750" s="8"/>
      <c r="H750" s="8"/>
      <c r="I750" s="8"/>
      <c r="J750" s="8"/>
      <c r="K750" s="8"/>
      <c r="L750" s="8"/>
      <c r="M750" s="8"/>
      <c r="N750" s="8"/>
      <c r="O750" s="8"/>
      <c r="P750" s="8"/>
      <c r="Q750" s="8"/>
      <c r="R750" s="8"/>
      <c r="S750" s="8"/>
      <c r="T750" s="8"/>
      <c r="U750" s="8"/>
      <c r="V750" s="8"/>
      <c r="W750" s="8"/>
    </row>
    <row r="751">
      <c r="A751" s="8"/>
      <c r="B751" s="8"/>
      <c r="C751" s="8"/>
      <c r="D751" s="8"/>
      <c r="E751" s="8"/>
      <c r="F751" s="8"/>
      <c r="G751" s="8"/>
      <c r="H751" s="8"/>
      <c r="I751" s="8"/>
      <c r="J751" s="8"/>
      <c r="K751" s="8"/>
      <c r="L751" s="8"/>
      <c r="M751" s="8"/>
      <c r="N751" s="8"/>
      <c r="O751" s="8"/>
      <c r="P751" s="8"/>
      <c r="Q751" s="8"/>
      <c r="R751" s="8"/>
      <c r="S751" s="8"/>
      <c r="T751" s="8"/>
      <c r="U751" s="8"/>
      <c r="V751" s="8"/>
      <c r="W751" s="8"/>
    </row>
    <row r="752">
      <c r="A752" s="8"/>
      <c r="B752" s="8"/>
      <c r="C752" s="8"/>
      <c r="D752" s="8"/>
      <c r="E752" s="8"/>
      <c r="F752" s="8"/>
      <c r="G752" s="8"/>
      <c r="H752" s="8"/>
      <c r="I752" s="8"/>
      <c r="J752" s="8"/>
      <c r="K752" s="8"/>
      <c r="L752" s="8"/>
      <c r="M752" s="8"/>
      <c r="N752" s="8"/>
      <c r="O752" s="8"/>
      <c r="P752" s="8"/>
      <c r="Q752" s="8"/>
      <c r="R752" s="8"/>
      <c r="S752" s="8"/>
      <c r="T752" s="8"/>
      <c r="U752" s="8"/>
      <c r="V752" s="8"/>
      <c r="W752" s="8"/>
    </row>
    <row r="753">
      <c r="A753" s="8"/>
      <c r="B753" s="8"/>
      <c r="C753" s="8"/>
      <c r="D753" s="8"/>
      <c r="E753" s="8"/>
      <c r="F753" s="8"/>
      <c r="G753" s="8"/>
      <c r="H753" s="8"/>
      <c r="I753" s="8"/>
      <c r="J753" s="8"/>
      <c r="K753" s="8"/>
      <c r="L753" s="8"/>
      <c r="M753" s="8"/>
      <c r="N753" s="8"/>
      <c r="O753" s="8"/>
      <c r="P753" s="8"/>
      <c r="Q753" s="8"/>
      <c r="R753" s="8"/>
      <c r="S753" s="8"/>
      <c r="T753" s="8"/>
      <c r="U753" s="8"/>
      <c r="V753" s="8"/>
      <c r="W753" s="8"/>
    </row>
    <row r="754">
      <c r="A754" s="8"/>
      <c r="B754" s="8"/>
      <c r="C754" s="8"/>
      <c r="D754" s="8"/>
      <c r="E754" s="8"/>
      <c r="F754" s="8"/>
      <c r="G754" s="8"/>
      <c r="H754" s="8"/>
      <c r="I754" s="8"/>
      <c r="J754" s="8"/>
      <c r="K754" s="8"/>
      <c r="L754" s="8"/>
      <c r="M754" s="8"/>
      <c r="N754" s="8"/>
      <c r="O754" s="8"/>
      <c r="P754" s="8"/>
      <c r="Q754" s="8"/>
      <c r="R754" s="8"/>
      <c r="S754" s="8"/>
      <c r="T754" s="8"/>
      <c r="U754" s="8"/>
      <c r="V754" s="8"/>
      <c r="W754" s="8"/>
    </row>
    <row r="755">
      <c r="A755" s="8"/>
      <c r="B755" s="8"/>
      <c r="C755" s="8"/>
      <c r="D755" s="8"/>
      <c r="E755" s="8"/>
      <c r="F755" s="8"/>
      <c r="G755" s="8"/>
      <c r="H755" s="8"/>
      <c r="I755" s="8"/>
      <c r="J755" s="8"/>
      <c r="K755" s="8"/>
      <c r="L755" s="8"/>
      <c r="M755" s="8"/>
      <c r="N755" s="8"/>
      <c r="O755" s="8"/>
      <c r="P755" s="8"/>
      <c r="Q755" s="8"/>
      <c r="R755" s="8"/>
      <c r="S755" s="8"/>
      <c r="T755" s="8"/>
      <c r="U755" s="8"/>
      <c r="V755" s="8"/>
      <c r="W755" s="8"/>
    </row>
    <row r="756">
      <c r="A756" s="8"/>
      <c r="B756" s="8"/>
      <c r="C756" s="8"/>
      <c r="D756" s="8"/>
      <c r="E756" s="8"/>
      <c r="F756" s="8"/>
      <c r="G756" s="8"/>
      <c r="H756" s="8"/>
      <c r="I756" s="8"/>
      <c r="J756" s="8"/>
      <c r="K756" s="8"/>
      <c r="L756" s="8"/>
      <c r="M756" s="8"/>
      <c r="N756" s="8"/>
      <c r="O756" s="8"/>
      <c r="P756" s="8"/>
      <c r="Q756" s="8"/>
      <c r="R756" s="8"/>
      <c r="S756" s="8"/>
      <c r="T756" s="8"/>
      <c r="U756" s="8"/>
      <c r="V756" s="8"/>
      <c r="W756" s="8"/>
    </row>
    <row r="757">
      <c r="A757" s="8"/>
      <c r="B757" s="8"/>
      <c r="C757" s="8"/>
      <c r="D757" s="8"/>
      <c r="E757" s="8"/>
      <c r="F757" s="8"/>
      <c r="G757" s="8"/>
      <c r="H757" s="8"/>
      <c r="I757" s="8"/>
      <c r="J757" s="8"/>
      <c r="K757" s="8"/>
      <c r="L757" s="8"/>
      <c r="M757" s="8"/>
      <c r="N757" s="8"/>
      <c r="O757" s="8"/>
      <c r="P757" s="8"/>
      <c r="Q757" s="8"/>
      <c r="R757" s="8"/>
      <c r="S757" s="8"/>
      <c r="T757" s="8"/>
      <c r="U757" s="8"/>
      <c r="V757" s="8"/>
      <c r="W757" s="8"/>
    </row>
    <row r="758">
      <c r="A758" s="8"/>
      <c r="B758" s="8"/>
      <c r="C758" s="8"/>
      <c r="D758" s="8"/>
      <c r="E758" s="8"/>
      <c r="F758" s="8"/>
      <c r="G758" s="8"/>
      <c r="H758" s="8"/>
      <c r="I758" s="8"/>
      <c r="J758" s="8"/>
      <c r="K758" s="8"/>
      <c r="L758" s="8"/>
      <c r="M758" s="8"/>
      <c r="N758" s="8"/>
      <c r="O758" s="8"/>
      <c r="P758" s="8"/>
      <c r="Q758" s="8"/>
      <c r="R758" s="8"/>
      <c r="S758" s="8"/>
      <c r="T758" s="8"/>
      <c r="U758" s="8"/>
      <c r="V758" s="8"/>
      <c r="W758" s="8"/>
    </row>
    <row r="759">
      <c r="A759" s="8"/>
      <c r="B759" s="8"/>
      <c r="C759" s="8"/>
      <c r="D759" s="8"/>
      <c r="E759" s="8"/>
      <c r="F759" s="8"/>
      <c r="G759" s="8"/>
      <c r="H759" s="8"/>
      <c r="I759" s="8"/>
      <c r="J759" s="8"/>
      <c r="K759" s="8"/>
      <c r="L759" s="8"/>
      <c r="M759" s="8"/>
      <c r="N759" s="8"/>
      <c r="O759" s="8"/>
      <c r="P759" s="8"/>
      <c r="Q759" s="8"/>
      <c r="R759" s="8"/>
      <c r="S759" s="8"/>
      <c r="T759" s="8"/>
      <c r="U759" s="8"/>
      <c r="V759" s="8"/>
      <c r="W759" s="8"/>
    </row>
    <row r="760">
      <c r="A760" s="8"/>
      <c r="B760" s="8"/>
      <c r="C760" s="8"/>
      <c r="D760" s="8"/>
      <c r="E760" s="8"/>
      <c r="F760" s="8"/>
      <c r="G760" s="8"/>
      <c r="H760" s="8"/>
      <c r="I760" s="8"/>
      <c r="J760" s="8"/>
      <c r="K760" s="8"/>
      <c r="L760" s="8"/>
      <c r="M760" s="8"/>
      <c r="N760" s="8"/>
      <c r="O760" s="8"/>
      <c r="P760" s="8"/>
      <c r="Q760" s="8"/>
      <c r="R760" s="8"/>
      <c r="S760" s="8"/>
      <c r="T760" s="8"/>
      <c r="U760" s="8"/>
      <c r="V760" s="8"/>
      <c r="W760" s="8"/>
    </row>
    <row r="761">
      <c r="A761" s="8"/>
      <c r="B761" s="8"/>
      <c r="C761" s="8"/>
      <c r="D761" s="8"/>
      <c r="E761" s="8"/>
      <c r="F761" s="8"/>
      <c r="G761" s="8"/>
      <c r="H761" s="8"/>
      <c r="I761" s="8"/>
      <c r="J761" s="8"/>
      <c r="K761" s="8"/>
      <c r="L761" s="8"/>
      <c r="M761" s="8"/>
      <c r="N761" s="8"/>
      <c r="O761" s="8"/>
      <c r="P761" s="8"/>
      <c r="Q761" s="8"/>
      <c r="R761" s="8"/>
      <c r="S761" s="8"/>
      <c r="T761" s="8"/>
      <c r="U761" s="8"/>
      <c r="V761" s="8"/>
      <c r="W761" s="8"/>
    </row>
    <row r="762">
      <c r="A762" s="8"/>
      <c r="B762" s="8"/>
      <c r="C762" s="8"/>
      <c r="D762" s="8"/>
      <c r="E762" s="8"/>
      <c r="F762" s="8"/>
      <c r="G762" s="8"/>
      <c r="H762" s="8"/>
      <c r="I762" s="8"/>
      <c r="J762" s="8"/>
      <c r="K762" s="8"/>
      <c r="L762" s="8"/>
      <c r="M762" s="8"/>
      <c r="N762" s="8"/>
      <c r="O762" s="8"/>
      <c r="P762" s="8"/>
      <c r="Q762" s="8"/>
      <c r="R762" s="8"/>
      <c r="S762" s="8"/>
      <c r="T762" s="8"/>
      <c r="U762" s="8"/>
      <c r="V762" s="8"/>
      <c r="W762" s="8"/>
    </row>
    <row r="763">
      <c r="A763" s="8"/>
      <c r="B763" s="8"/>
      <c r="C763" s="8"/>
      <c r="D763" s="8"/>
      <c r="E763" s="8"/>
      <c r="F763" s="8"/>
      <c r="G763" s="8"/>
      <c r="H763" s="8"/>
      <c r="I763" s="8"/>
      <c r="J763" s="8"/>
      <c r="K763" s="8"/>
      <c r="L763" s="8"/>
      <c r="M763" s="8"/>
      <c r="N763" s="8"/>
      <c r="O763" s="8"/>
      <c r="P763" s="8"/>
      <c r="Q763" s="8"/>
      <c r="R763" s="8"/>
      <c r="S763" s="8"/>
      <c r="T763" s="8"/>
      <c r="U763" s="8"/>
      <c r="V763" s="8"/>
      <c r="W763" s="8"/>
    </row>
    <row r="764">
      <c r="A764" s="8"/>
      <c r="B764" s="8"/>
      <c r="C764" s="8"/>
      <c r="D764" s="8"/>
      <c r="E764" s="8"/>
      <c r="F764" s="8"/>
      <c r="G764" s="8"/>
      <c r="H764" s="8"/>
      <c r="I764" s="8"/>
      <c r="J764" s="8"/>
      <c r="K764" s="8"/>
      <c r="L764" s="8"/>
      <c r="M764" s="8"/>
      <c r="N764" s="8"/>
      <c r="O764" s="8"/>
      <c r="P764" s="8"/>
      <c r="Q764" s="8"/>
      <c r="R764" s="8"/>
      <c r="S764" s="8"/>
      <c r="T764" s="8"/>
      <c r="U764" s="8"/>
      <c r="V764" s="8"/>
      <c r="W764" s="8"/>
    </row>
    <row r="765">
      <c r="A765" s="8"/>
      <c r="B765" s="8"/>
      <c r="C765" s="8"/>
      <c r="D765" s="8"/>
      <c r="E765" s="8"/>
      <c r="F765" s="8"/>
      <c r="G765" s="8"/>
      <c r="H765" s="8"/>
      <c r="I765" s="8"/>
      <c r="J765" s="8"/>
      <c r="K765" s="8"/>
      <c r="L765" s="8"/>
      <c r="M765" s="8"/>
      <c r="N765" s="8"/>
      <c r="O765" s="8"/>
      <c r="P765" s="8"/>
      <c r="Q765" s="8"/>
      <c r="R765" s="8"/>
      <c r="S765" s="8"/>
      <c r="T765" s="8"/>
      <c r="U765" s="8"/>
      <c r="V765" s="8"/>
      <c r="W765" s="8"/>
    </row>
    <row r="766">
      <c r="A766" s="8"/>
      <c r="B766" s="8"/>
      <c r="C766" s="8"/>
      <c r="D766" s="8"/>
      <c r="E766" s="8"/>
      <c r="F766" s="8"/>
      <c r="G766" s="8"/>
      <c r="H766" s="8"/>
      <c r="I766" s="8"/>
      <c r="J766" s="8"/>
      <c r="K766" s="8"/>
      <c r="L766" s="8"/>
      <c r="M766" s="8"/>
      <c r="N766" s="8"/>
      <c r="O766" s="8"/>
      <c r="P766" s="8"/>
      <c r="Q766" s="8"/>
      <c r="R766" s="8"/>
      <c r="S766" s="8"/>
      <c r="T766" s="8"/>
      <c r="U766" s="8"/>
      <c r="V766" s="8"/>
      <c r="W766" s="8"/>
    </row>
    <row r="767">
      <c r="A767" s="8"/>
      <c r="B767" s="8"/>
      <c r="C767" s="8"/>
      <c r="D767" s="8"/>
      <c r="E767" s="8"/>
      <c r="F767" s="8"/>
      <c r="G767" s="8"/>
      <c r="H767" s="8"/>
      <c r="I767" s="8"/>
      <c r="J767" s="8"/>
      <c r="K767" s="8"/>
      <c r="L767" s="8"/>
      <c r="M767" s="8"/>
      <c r="N767" s="8"/>
      <c r="O767" s="8"/>
      <c r="P767" s="8"/>
      <c r="Q767" s="8"/>
      <c r="R767" s="8"/>
      <c r="S767" s="8"/>
      <c r="T767" s="8"/>
      <c r="U767" s="8"/>
      <c r="V767" s="8"/>
      <c r="W767" s="8"/>
    </row>
    <row r="768">
      <c r="A768" s="8"/>
      <c r="B768" s="8"/>
      <c r="C768" s="8"/>
      <c r="D768" s="8"/>
      <c r="E768" s="8"/>
      <c r="F768" s="8"/>
      <c r="G768" s="8"/>
      <c r="H768" s="8"/>
      <c r="I768" s="8"/>
      <c r="J768" s="8"/>
      <c r="K768" s="8"/>
      <c r="L768" s="8"/>
      <c r="M768" s="8"/>
      <c r="N768" s="8"/>
      <c r="O768" s="8"/>
      <c r="P768" s="8"/>
      <c r="Q768" s="8"/>
      <c r="R768" s="8"/>
      <c r="S768" s="8"/>
      <c r="T768" s="8"/>
      <c r="U768" s="8"/>
      <c r="V768" s="8"/>
      <c r="W768" s="8"/>
    </row>
    <row r="769">
      <c r="A769" s="8"/>
      <c r="B769" s="8"/>
      <c r="C769" s="8"/>
      <c r="D769" s="8"/>
      <c r="E769" s="8"/>
      <c r="F769" s="8"/>
      <c r="G769" s="8"/>
      <c r="H769" s="8"/>
      <c r="I769" s="8"/>
      <c r="J769" s="8"/>
      <c r="K769" s="8"/>
      <c r="L769" s="8"/>
      <c r="M769" s="8"/>
      <c r="N769" s="8"/>
      <c r="O769" s="8"/>
      <c r="P769" s="8"/>
      <c r="Q769" s="8"/>
      <c r="R769" s="8"/>
      <c r="S769" s="8"/>
      <c r="T769" s="8"/>
      <c r="U769" s="8"/>
      <c r="V769" s="8"/>
      <c r="W769" s="8"/>
    </row>
    <row r="770">
      <c r="A770" s="8"/>
      <c r="B770" s="8"/>
      <c r="C770" s="8"/>
      <c r="D770" s="8"/>
      <c r="E770" s="8"/>
      <c r="F770" s="8"/>
      <c r="G770" s="8"/>
      <c r="H770" s="8"/>
      <c r="I770" s="8"/>
      <c r="J770" s="8"/>
      <c r="K770" s="8"/>
      <c r="L770" s="8"/>
      <c r="M770" s="8"/>
      <c r="N770" s="8"/>
      <c r="O770" s="8"/>
      <c r="P770" s="8"/>
      <c r="Q770" s="8"/>
      <c r="R770" s="8"/>
      <c r="S770" s="8"/>
      <c r="T770" s="8"/>
      <c r="U770" s="8"/>
      <c r="V770" s="8"/>
      <c r="W770" s="8"/>
    </row>
    <row r="771">
      <c r="A771" s="8"/>
      <c r="B771" s="8"/>
      <c r="C771" s="8"/>
      <c r="D771" s="8"/>
      <c r="E771" s="8"/>
      <c r="F771" s="8"/>
      <c r="G771" s="8"/>
      <c r="H771" s="8"/>
      <c r="I771" s="8"/>
      <c r="J771" s="8"/>
      <c r="K771" s="8"/>
      <c r="L771" s="8"/>
      <c r="M771" s="8"/>
      <c r="N771" s="8"/>
      <c r="O771" s="8"/>
      <c r="P771" s="8"/>
      <c r="Q771" s="8"/>
      <c r="R771" s="8"/>
      <c r="S771" s="8"/>
      <c r="T771" s="8"/>
      <c r="U771" s="8"/>
      <c r="V771" s="8"/>
      <c r="W771" s="8"/>
    </row>
    <row r="772">
      <c r="A772" s="8"/>
      <c r="B772" s="8"/>
      <c r="C772" s="8"/>
      <c r="D772" s="8"/>
      <c r="E772" s="8"/>
      <c r="F772" s="8"/>
      <c r="G772" s="8"/>
      <c r="H772" s="8"/>
      <c r="I772" s="8"/>
      <c r="J772" s="8"/>
      <c r="K772" s="8"/>
      <c r="L772" s="8"/>
      <c r="M772" s="8"/>
      <c r="N772" s="8"/>
      <c r="O772" s="8"/>
      <c r="P772" s="8"/>
      <c r="Q772" s="8"/>
      <c r="R772" s="8"/>
      <c r="S772" s="8"/>
      <c r="T772" s="8"/>
      <c r="U772" s="8"/>
      <c r="V772" s="8"/>
      <c r="W772" s="8"/>
    </row>
    <row r="773">
      <c r="A773" s="8"/>
      <c r="B773" s="8"/>
      <c r="C773" s="8"/>
      <c r="D773" s="8"/>
      <c r="E773" s="8"/>
      <c r="F773" s="8"/>
      <c r="G773" s="8"/>
      <c r="H773" s="8"/>
      <c r="I773" s="8"/>
      <c r="J773" s="8"/>
      <c r="K773" s="8"/>
      <c r="L773" s="8"/>
      <c r="M773" s="8"/>
      <c r="N773" s="8"/>
      <c r="O773" s="8"/>
      <c r="P773" s="8"/>
      <c r="Q773" s="8"/>
      <c r="R773" s="8"/>
      <c r="S773" s="8"/>
      <c r="T773" s="8"/>
      <c r="U773" s="8"/>
      <c r="V773" s="8"/>
      <c r="W773" s="8"/>
    </row>
    <row r="774">
      <c r="A774" s="8"/>
      <c r="B774" s="8"/>
      <c r="C774" s="8"/>
      <c r="D774" s="8"/>
      <c r="E774" s="8"/>
      <c r="F774" s="8"/>
      <c r="G774" s="8"/>
      <c r="H774" s="8"/>
      <c r="I774" s="8"/>
      <c r="J774" s="8"/>
      <c r="K774" s="8"/>
      <c r="L774" s="8"/>
      <c r="M774" s="8"/>
      <c r="N774" s="8"/>
      <c r="O774" s="8"/>
      <c r="P774" s="8"/>
      <c r="Q774" s="8"/>
      <c r="R774" s="8"/>
      <c r="S774" s="8"/>
      <c r="T774" s="8"/>
      <c r="U774" s="8"/>
      <c r="V774" s="8"/>
      <c r="W774" s="8"/>
    </row>
    <row r="775">
      <c r="A775" s="8"/>
      <c r="B775" s="8"/>
      <c r="C775" s="8"/>
      <c r="D775" s="8"/>
      <c r="E775" s="8"/>
      <c r="F775" s="8"/>
      <c r="G775" s="8"/>
      <c r="H775" s="8"/>
      <c r="I775" s="8"/>
      <c r="J775" s="8"/>
      <c r="K775" s="8"/>
      <c r="L775" s="8"/>
      <c r="M775" s="8"/>
      <c r="N775" s="8"/>
      <c r="O775" s="8"/>
      <c r="P775" s="8"/>
      <c r="Q775" s="8"/>
      <c r="R775" s="8"/>
      <c r="S775" s="8"/>
      <c r="T775" s="8"/>
      <c r="U775" s="8"/>
      <c r="V775" s="8"/>
      <c r="W775" s="8"/>
    </row>
    <row r="776">
      <c r="A776" s="8"/>
      <c r="B776" s="8"/>
      <c r="C776" s="8"/>
      <c r="D776" s="8"/>
      <c r="E776" s="8"/>
      <c r="F776" s="8"/>
      <c r="G776" s="8"/>
      <c r="H776" s="8"/>
      <c r="I776" s="8"/>
      <c r="J776" s="8"/>
      <c r="K776" s="8"/>
      <c r="L776" s="8"/>
      <c r="M776" s="8"/>
      <c r="N776" s="8"/>
      <c r="O776" s="8"/>
      <c r="P776" s="8"/>
      <c r="Q776" s="8"/>
      <c r="R776" s="8"/>
      <c r="S776" s="8"/>
      <c r="T776" s="8"/>
      <c r="U776" s="8"/>
      <c r="V776" s="8"/>
      <c r="W776" s="8"/>
    </row>
    <row r="777">
      <c r="A777" s="8"/>
      <c r="B777" s="8"/>
      <c r="C777" s="8"/>
      <c r="D777" s="8"/>
      <c r="E777" s="8"/>
      <c r="F777" s="8"/>
      <c r="G777" s="8"/>
      <c r="H777" s="8"/>
      <c r="I777" s="8"/>
      <c r="J777" s="8"/>
      <c r="K777" s="8"/>
      <c r="L777" s="8"/>
      <c r="M777" s="8"/>
      <c r="N777" s="8"/>
      <c r="O777" s="8"/>
      <c r="P777" s="8"/>
      <c r="Q777" s="8"/>
      <c r="R777" s="8"/>
      <c r="S777" s="8"/>
      <c r="T777" s="8"/>
      <c r="U777" s="8"/>
      <c r="V777" s="8"/>
      <c r="W777" s="8"/>
    </row>
    <row r="778">
      <c r="A778" s="8"/>
      <c r="B778" s="8"/>
      <c r="C778" s="8"/>
      <c r="D778" s="8"/>
      <c r="E778" s="8"/>
      <c r="F778" s="8"/>
      <c r="G778" s="8"/>
      <c r="H778" s="8"/>
      <c r="I778" s="8"/>
      <c r="J778" s="8"/>
      <c r="K778" s="8"/>
      <c r="L778" s="8"/>
      <c r="M778" s="8"/>
      <c r="N778" s="8"/>
      <c r="O778" s="8"/>
      <c r="P778" s="8"/>
      <c r="Q778" s="8"/>
      <c r="R778" s="8"/>
      <c r="S778" s="8"/>
      <c r="T778" s="8"/>
      <c r="U778" s="8"/>
      <c r="V778" s="8"/>
      <c r="W778" s="8"/>
    </row>
    <row r="779">
      <c r="A779" s="8"/>
      <c r="B779" s="8"/>
      <c r="C779" s="8"/>
      <c r="D779" s="8"/>
      <c r="E779" s="8"/>
      <c r="F779" s="8"/>
      <c r="G779" s="8"/>
      <c r="H779" s="8"/>
      <c r="I779" s="8"/>
      <c r="J779" s="8"/>
      <c r="K779" s="8"/>
      <c r="L779" s="8"/>
      <c r="M779" s="8"/>
      <c r="N779" s="8"/>
      <c r="O779" s="8"/>
      <c r="P779" s="8"/>
      <c r="Q779" s="8"/>
      <c r="R779" s="8"/>
      <c r="S779" s="8"/>
      <c r="T779" s="8"/>
      <c r="U779" s="8"/>
      <c r="V779" s="8"/>
      <c r="W779" s="8"/>
    </row>
    <row r="780">
      <c r="A780" s="8"/>
      <c r="B780" s="8"/>
      <c r="C780" s="8"/>
      <c r="D780" s="8"/>
      <c r="E780" s="8"/>
      <c r="F780" s="8"/>
      <c r="G780" s="8"/>
      <c r="H780" s="8"/>
      <c r="I780" s="8"/>
      <c r="J780" s="8"/>
      <c r="K780" s="8"/>
      <c r="L780" s="8"/>
      <c r="M780" s="8"/>
      <c r="N780" s="8"/>
      <c r="O780" s="8"/>
      <c r="P780" s="8"/>
      <c r="Q780" s="8"/>
      <c r="R780" s="8"/>
      <c r="S780" s="8"/>
      <c r="T780" s="8"/>
      <c r="U780" s="8"/>
      <c r="V780" s="8"/>
      <c r="W780" s="8"/>
    </row>
    <row r="781">
      <c r="A781" s="8"/>
      <c r="B781" s="8"/>
      <c r="C781" s="8"/>
      <c r="D781" s="8"/>
      <c r="E781" s="8"/>
      <c r="F781" s="8"/>
      <c r="G781" s="8"/>
      <c r="H781" s="8"/>
      <c r="I781" s="8"/>
      <c r="J781" s="8"/>
      <c r="K781" s="8"/>
      <c r="L781" s="8"/>
      <c r="M781" s="8"/>
      <c r="N781" s="8"/>
      <c r="O781" s="8"/>
      <c r="P781" s="8"/>
      <c r="Q781" s="8"/>
      <c r="R781" s="8"/>
      <c r="S781" s="8"/>
      <c r="T781" s="8"/>
      <c r="U781" s="8"/>
      <c r="V781" s="8"/>
      <c r="W781" s="8"/>
    </row>
    <row r="782">
      <c r="A782" s="8"/>
      <c r="B782" s="8"/>
      <c r="C782" s="8"/>
      <c r="D782" s="8"/>
      <c r="E782" s="8"/>
      <c r="F782" s="8"/>
      <c r="G782" s="8"/>
      <c r="H782" s="8"/>
      <c r="I782" s="8"/>
      <c r="J782" s="8"/>
      <c r="K782" s="8"/>
      <c r="L782" s="8"/>
      <c r="M782" s="8"/>
      <c r="N782" s="8"/>
      <c r="O782" s="8"/>
      <c r="P782" s="8"/>
      <c r="Q782" s="8"/>
      <c r="R782" s="8"/>
      <c r="S782" s="8"/>
      <c r="T782" s="8"/>
      <c r="U782" s="8"/>
      <c r="V782" s="8"/>
      <c r="W782" s="8"/>
    </row>
    <row r="783">
      <c r="A783" s="8"/>
      <c r="B783" s="8"/>
      <c r="C783" s="8"/>
      <c r="D783" s="8"/>
      <c r="E783" s="8"/>
      <c r="F783" s="8"/>
      <c r="G783" s="8"/>
      <c r="H783" s="8"/>
      <c r="I783" s="8"/>
      <c r="J783" s="8"/>
      <c r="K783" s="8"/>
      <c r="L783" s="8"/>
      <c r="M783" s="8"/>
      <c r="N783" s="8"/>
      <c r="O783" s="8"/>
      <c r="P783" s="8"/>
      <c r="Q783" s="8"/>
      <c r="R783" s="8"/>
      <c r="S783" s="8"/>
      <c r="T783" s="8"/>
      <c r="U783" s="8"/>
      <c r="V783" s="8"/>
      <c r="W783" s="8"/>
    </row>
    <row r="784">
      <c r="A784" s="8"/>
      <c r="B784" s="8"/>
      <c r="C784" s="8"/>
      <c r="D784" s="8"/>
      <c r="E784" s="8"/>
      <c r="F784" s="8"/>
      <c r="G784" s="8"/>
      <c r="H784" s="8"/>
      <c r="I784" s="8"/>
      <c r="J784" s="8"/>
      <c r="K784" s="8"/>
      <c r="L784" s="8"/>
      <c r="M784" s="8"/>
      <c r="N784" s="8"/>
      <c r="O784" s="8"/>
      <c r="P784" s="8"/>
      <c r="Q784" s="8"/>
      <c r="R784" s="8"/>
      <c r="S784" s="8"/>
      <c r="T784" s="8"/>
      <c r="U784" s="8"/>
      <c r="V784" s="8"/>
      <c r="W784" s="8"/>
    </row>
    <row r="785">
      <c r="A785" s="8"/>
      <c r="B785" s="8"/>
      <c r="C785" s="8"/>
      <c r="D785" s="8"/>
      <c r="E785" s="8"/>
      <c r="F785" s="8"/>
      <c r="G785" s="8"/>
      <c r="H785" s="8"/>
      <c r="I785" s="8"/>
      <c r="J785" s="8"/>
      <c r="K785" s="8"/>
      <c r="L785" s="8"/>
      <c r="M785" s="8"/>
      <c r="N785" s="8"/>
      <c r="O785" s="8"/>
      <c r="P785" s="8"/>
      <c r="Q785" s="8"/>
      <c r="R785" s="8"/>
      <c r="S785" s="8"/>
      <c r="T785" s="8"/>
      <c r="U785" s="8"/>
      <c r="V785" s="8"/>
      <c r="W785" s="8"/>
    </row>
    <row r="786">
      <c r="A786" s="8"/>
      <c r="B786" s="8"/>
      <c r="C786" s="8"/>
      <c r="D786" s="8"/>
      <c r="E786" s="8"/>
      <c r="F786" s="8"/>
      <c r="G786" s="8"/>
      <c r="H786" s="8"/>
      <c r="I786" s="8"/>
      <c r="J786" s="8"/>
      <c r="K786" s="8"/>
      <c r="L786" s="8"/>
      <c r="M786" s="8"/>
      <c r="N786" s="8"/>
      <c r="O786" s="8"/>
      <c r="P786" s="8"/>
      <c r="Q786" s="8"/>
      <c r="R786" s="8"/>
      <c r="S786" s="8"/>
      <c r="T786" s="8"/>
      <c r="U786" s="8"/>
      <c r="V786" s="8"/>
      <c r="W786" s="8"/>
    </row>
    <row r="787">
      <c r="A787" s="8"/>
      <c r="B787" s="8"/>
      <c r="C787" s="8"/>
      <c r="D787" s="8"/>
      <c r="E787" s="8"/>
      <c r="F787" s="8"/>
      <c r="G787" s="8"/>
      <c r="H787" s="8"/>
      <c r="I787" s="8"/>
      <c r="J787" s="8"/>
      <c r="K787" s="8"/>
      <c r="L787" s="8"/>
      <c r="M787" s="8"/>
      <c r="N787" s="8"/>
      <c r="O787" s="8"/>
      <c r="P787" s="8"/>
      <c r="Q787" s="8"/>
      <c r="R787" s="8"/>
      <c r="S787" s="8"/>
      <c r="T787" s="8"/>
      <c r="U787" s="8"/>
      <c r="V787" s="8"/>
      <c r="W787" s="8"/>
    </row>
    <row r="788">
      <c r="A788" s="8"/>
      <c r="B788" s="8"/>
      <c r="C788" s="8"/>
      <c r="D788" s="8"/>
      <c r="E788" s="8"/>
      <c r="F788" s="8"/>
      <c r="G788" s="8"/>
      <c r="H788" s="8"/>
      <c r="I788" s="8"/>
      <c r="J788" s="8"/>
      <c r="K788" s="8"/>
      <c r="L788" s="8"/>
      <c r="M788" s="8"/>
      <c r="N788" s="8"/>
      <c r="O788" s="8"/>
      <c r="P788" s="8"/>
      <c r="Q788" s="8"/>
      <c r="R788" s="8"/>
      <c r="S788" s="8"/>
      <c r="T788" s="8"/>
      <c r="U788" s="8"/>
      <c r="V788" s="8"/>
      <c r="W788" s="8"/>
    </row>
    <row r="789">
      <c r="A789" s="8"/>
      <c r="B789" s="8"/>
      <c r="C789" s="8"/>
      <c r="D789" s="8"/>
      <c r="E789" s="8"/>
      <c r="F789" s="8"/>
      <c r="G789" s="8"/>
      <c r="H789" s="8"/>
      <c r="I789" s="8"/>
      <c r="J789" s="8"/>
      <c r="K789" s="8"/>
      <c r="L789" s="8"/>
      <c r="M789" s="8"/>
      <c r="N789" s="8"/>
      <c r="O789" s="8"/>
      <c r="P789" s="8"/>
      <c r="Q789" s="8"/>
      <c r="R789" s="8"/>
      <c r="S789" s="8"/>
      <c r="T789" s="8"/>
      <c r="U789" s="8"/>
      <c r="V789" s="8"/>
      <c r="W789" s="8"/>
    </row>
    <row r="790">
      <c r="A790" s="8"/>
      <c r="B790" s="8"/>
      <c r="C790" s="8"/>
      <c r="D790" s="8"/>
      <c r="E790" s="8"/>
      <c r="F790" s="8"/>
      <c r="G790" s="8"/>
      <c r="H790" s="8"/>
      <c r="I790" s="8"/>
      <c r="J790" s="8"/>
      <c r="K790" s="8"/>
      <c r="L790" s="8"/>
      <c r="M790" s="8"/>
      <c r="N790" s="8"/>
      <c r="O790" s="8"/>
      <c r="P790" s="8"/>
      <c r="Q790" s="8"/>
      <c r="R790" s="8"/>
      <c r="S790" s="8"/>
      <c r="T790" s="8"/>
      <c r="U790" s="8"/>
      <c r="V790" s="8"/>
      <c r="W790" s="8"/>
    </row>
    <row r="791">
      <c r="A791" s="8"/>
      <c r="B791" s="8"/>
      <c r="C791" s="8"/>
      <c r="D791" s="8"/>
      <c r="E791" s="8"/>
      <c r="F791" s="8"/>
      <c r="G791" s="8"/>
      <c r="H791" s="8"/>
      <c r="I791" s="8"/>
      <c r="J791" s="8"/>
      <c r="K791" s="8"/>
      <c r="L791" s="8"/>
      <c r="M791" s="8"/>
      <c r="N791" s="8"/>
      <c r="O791" s="8"/>
      <c r="P791" s="8"/>
      <c r="Q791" s="8"/>
      <c r="R791" s="8"/>
      <c r="S791" s="8"/>
      <c r="T791" s="8"/>
      <c r="U791" s="8"/>
      <c r="V791" s="8"/>
      <c r="W791" s="8"/>
    </row>
    <row r="792">
      <c r="A792" s="8"/>
      <c r="B792" s="8"/>
      <c r="C792" s="8"/>
      <c r="D792" s="8"/>
      <c r="E792" s="8"/>
      <c r="F792" s="8"/>
      <c r="G792" s="8"/>
      <c r="H792" s="8"/>
      <c r="I792" s="8"/>
      <c r="J792" s="8"/>
      <c r="K792" s="8"/>
      <c r="L792" s="8"/>
      <c r="M792" s="8"/>
      <c r="N792" s="8"/>
      <c r="O792" s="8"/>
      <c r="P792" s="8"/>
      <c r="Q792" s="8"/>
      <c r="R792" s="8"/>
      <c r="S792" s="8"/>
      <c r="T792" s="8"/>
      <c r="U792" s="8"/>
      <c r="V792" s="8"/>
      <c r="W792" s="8"/>
    </row>
    <row r="793">
      <c r="A793" s="8"/>
      <c r="B793" s="8"/>
      <c r="C793" s="8"/>
      <c r="D793" s="8"/>
      <c r="E793" s="8"/>
      <c r="F793" s="8"/>
      <c r="G793" s="8"/>
      <c r="H793" s="8"/>
      <c r="I793" s="8"/>
      <c r="J793" s="8"/>
      <c r="K793" s="8"/>
      <c r="L793" s="8"/>
      <c r="M793" s="8"/>
      <c r="N793" s="8"/>
      <c r="O793" s="8"/>
      <c r="P793" s="8"/>
      <c r="Q793" s="8"/>
      <c r="R793" s="8"/>
      <c r="S793" s="8"/>
      <c r="T793" s="8"/>
      <c r="U793" s="8"/>
      <c r="V793" s="8"/>
      <c r="W793" s="8"/>
    </row>
    <row r="794">
      <c r="A794" s="8"/>
      <c r="B794" s="8"/>
      <c r="C794" s="8"/>
      <c r="D794" s="8"/>
      <c r="E794" s="8"/>
      <c r="F794" s="8"/>
      <c r="G794" s="8"/>
      <c r="H794" s="8"/>
      <c r="I794" s="8"/>
      <c r="J794" s="8"/>
      <c r="K794" s="8"/>
      <c r="L794" s="8"/>
      <c r="M794" s="8"/>
      <c r="N794" s="8"/>
      <c r="O794" s="8"/>
      <c r="P794" s="8"/>
      <c r="Q794" s="8"/>
      <c r="R794" s="8"/>
      <c r="S794" s="8"/>
      <c r="T794" s="8"/>
      <c r="U794" s="8"/>
      <c r="V794" s="8"/>
      <c r="W794" s="8"/>
    </row>
    <row r="795">
      <c r="A795" s="8"/>
      <c r="B795" s="8"/>
      <c r="C795" s="8"/>
      <c r="D795" s="8"/>
      <c r="E795" s="8"/>
      <c r="F795" s="8"/>
      <c r="G795" s="8"/>
      <c r="H795" s="8"/>
      <c r="I795" s="8"/>
      <c r="J795" s="8"/>
      <c r="K795" s="8"/>
      <c r="L795" s="8"/>
      <c r="M795" s="8"/>
      <c r="N795" s="8"/>
      <c r="O795" s="8"/>
      <c r="P795" s="8"/>
      <c r="Q795" s="8"/>
      <c r="R795" s="8"/>
      <c r="S795" s="8"/>
      <c r="T795" s="8"/>
      <c r="U795" s="8"/>
      <c r="V795" s="8"/>
      <c r="W795" s="8"/>
    </row>
    <row r="796">
      <c r="A796" s="8"/>
      <c r="B796" s="8"/>
      <c r="C796" s="8"/>
      <c r="D796" s="8"/>
      <c r="E796" s="8"/>
      <c r="F796" s="8"/>
      <c r="G796" s="8"/>
      <c r="H796" s="8"/>
      <c r="I796" s="8"/>
      <c r="J796" s="8"/>
      <c r="K796" s="8"/>
      <c r="L796" s="8"/>
      <c r="M796" s="8"/>
      <c r="N796" s="8"/>
      <c r="O796" s="8"/>
      <c r="P796" s="8"/>
      <c r="Q796" s="8"/>
      <c r="R796" s="8"/>
      <c r="S796" s="8"/>
      <c r="T796" s="8"/>
      <c r="U796" s="8"/>
      <c r="V796" s="8"/>
      <c r="W796" s="8"/>
    </row>
    <row r="797">
      <c r="A797" s="8"/>
      <c r="B797" s="8"/>
      <c r="C797" s="8"/>
      <c r="D797" s="8"/>
      <c r="E797" s="8"/>
      <c r="F797" s="8"/>
      <c r="G797" s="8"/>
      <c r="H797" s="8"/>
      <c r="I797" s="8"/>
      <c r="J797" s="8"/>
      <c r="K797" s="8"/>
      <c r="L797" s="8"/>
      <c r="M797" s="8"/>
      <c r="N797" s="8"/>
      <c r="O797" s="8"/>
      <c r="P797" s="8"/>
      <c r="Q797" s="8"/>
      <c r="R797" s="8"/>
      <c r="S797" s="8"/>
      <c r="T797" s="8"/>
      <c r="U797" s="8"/>
      <c r="V797" s="8"/>
      <c r="W797" s="8"/>
    </row>
    <row r="798">
      <c r="A798" s="8"/>
      <c r="B798" s="8"/>
      <c r="C798" s="8"/>
      <c r="D798" s="8"/>
      <c r="E798" s="8"/>
      <c r="F798" s="8"/>
      <c r="G798" s="8"/>
      <c r="H798" s="8"/>
      <c r="I798" s="8"/>
      <c r="J798" s="8"/>
      <c r="K798" s="8"/>
      <c r="L798" s="8"/>
      <c r="M798" s="8"/>
      <c r="N798" s="8"/>
      <c r="O798" s="8"/>
      <c r="P798" s="8"/>
      <c r="Q798" s="8"/>
      <c r="R798" s="8"/>
      <c r="S798" s="8"/>
      <c r="T798" s="8"/>
      <c r="U798" s="8"/>
      <c r="V798" s="8"/>
      <c r="W798" s="8"/>
    </row>
    <row r="799">
      <c r="A799" s="8"/>
      <c r="B799" s="8"/>
      <c r="C799" s="8"/>
      <c r="D799" s="8"/>
      <c r="E799" s="8"/>
      <c r="F799" s="8"/>
      <c r="G799" s="8"/>
      <c r="H799" s="8"/>
      <c r="I799" s="8"/>
      <c r="J799" s="8"/>
      <c r="K799" s="8"/>
      <c r="L799" s="8"/>
      <c r="M799" s="8"/>
      <c r="N799" s="8"/>
      <c r="O799" s="8"/>
      <c r="P799" s="8"/>
      <c r="Q799" s="8"/>
      <c r="R799" s="8"/>
      <c r="S799" s="8"/>
      <c r="T799" s="8"/>
      <c r="U799" s="8"/>
      <c r="V799" s="8"/>
      <c r="W799" s="8"/>
    </row>
    <row r="800">
      <c r="A800" s="8"/>
      <c r="B800" s="8"/>
      <c r="C800" s="8"/>
      <c r="D800" s="8"/>
      <c r="E800" s="8"/>
      <c r="F800" s="8"/>
      <c r="G800" s="8"/>
      <c r="H800" s="8"/>
      <c r="I800" s="8"/>
      <c r="J800" s="8"/>
      <c r="K800" s="8"/>
      <c r="L800" s="8"/>
      <c r="M800" s="8"/>
      <c r="N800" s="8"/>
      <c r="O800" s="8"/>
      <c r="P800" s="8"/>
      <c r="Q800" s="8"/>
      <c r="R800" s="8"/>
      <c r="S800" s="8"/>
      <c r="T800" s="8"/>
      <c r="U800" s="8"/>
      <c r="V800" s="8"/>
      <c r="W800" s="8"/>
    </row>
    <row r="801">
      <c r="A801" s="8"/>
      <c r="B801" s="8"/>
      <c r="C801" s="8"/>
      <c r="D801" s="8"/>
      <c r="E801" s="8"/>
      <c r="F801" s="8"/>
      <c r="G801" s="8"/>
      <c r="H801" s="8"/>
      <c r="I801" s="8"/>
      <c r="J801" s="8"/>
      <c r="K801" s="8"/>
      <c r="L801" s="8"/>
      <c r="M801" s="8"/>
      <c r="N801" s="8"/>
      <c r="O801" s="8"/>
      <c r="P801" s="8"/>
      <c r="Q801" s="8"/>
      <c r="R801" s="8"/>
      <c r="S801" s="8"/>
      <c r="T801" s="8"/>
      <c r="U801" s="8"/>
      <c r="V801" s="8"/>
      <c r="W801" s="8"/>
    </row>
    <row r="802">
      <c r="A802" s="8"/>
      <c r="B802" s="8"/>
      <c r="C802" s="8"/>
      <c r="D802" s="8"/>
      <c r="E802" s="8"/>
      <c r="F802" s="8"/>
      <c r="G802" s="8"/>
      <c r="H802" s="8"/>
      <c r="I802" s="8"/>
      <c r="J802" s="8"/>
      <c r="K802" s="8"/>
      <c r="L802" s="8"/>
      <c r="M802" s="8"/>
      <c r="N802" s="8"/>
      <c r="O802" s="8"/>
      <c r="P802" s="8"/>
      <c r="Q802" s="8"/>
      <c r="R802" s="8"/>
      <c r="S802" s="8"/>
      <c r="T802" s="8"/>
      <c r="U802" s="8"/>
      <c r="V802" s="8"/>
      <c r="W802" s="8"/>
    </row>
    <row r="803">
      <c r="A803" s="8"/>
      <c r="B803" s="8"/>
      <c r="C803" s="8"/>
      <c r="D803" s="8"/>
      <c r="E803" s="8"/>
      <c r="F803" s="8"/>
      <c r="G803" s="8"/>
      <c r="H803" s="8"/>
      <c r="I803" s="8"/>
      <c r="J803" s="8"/>
      <c r="K803" s="8"/>
      <c r="L803" s="8"/>
      <c r="M803" s="8"/>
      <c r="N803" s="8"/>
      <c r="O803" s="8"/>
      <c r="P803" s="8"/>
      <c r="Q803" s="8"/>
      <c r="R803" s="8"/>
      <c r="S803" s="8"/>
      <c r="T803" s="8"/>
      <c r="U803" s="8"/>
      <c r="V803" s="8"/>
      <c r="W803" s="8"/>
    </row>
    <row r="804">
      <c r="A804" s="8"/>
      <c r="B804" s="8"/>
      <c r="C804" s="8"/>
      <c r="D804" s="8"/>
      <c r="E804" s="8"/>
      <c r="F804" s="8"/>
      <c r="G804" s="8"/>
      <c r="H804" s="8"/>
      <c r="I804" s="8"/>
      <c r="J804" s="8"/>
      <c r="K804" s="8"/>
      <c r="L804" s="8"/>
      <c r="M804" s="8"/>
      <c r="N804" s="8"/>
      <c r="O804" s="8"/>
      <c r="P804" s="8"/>
      <c r="Q804" s="8"/>
      <c r="R804" s="8"/>
      <c r="S804" s="8"/>
      <c r="T804" s="8"/>
      <c r="U804" s="8"/>
      <c r="V804" s="8"/>
      <c r="W804" s="8"/>
    </row>
    <row r="805">
      <c r="A805" s="8"/>
      <c r="B805" s="8"/>
      <c r="C805" s="8"/>
      <c r="D805" s="8"/>
      <c r="E805" s="8"/>
      <c r="F805" s="8"/>
      <c r="G805" s="8"/>
      <c r="H805" s="8"/>
      <c r="I805" s="8"/>
      <c r="J805" s="8"/>
      <c r="K805" s="8"/>
      <c r="L805" s="8"/>
      <c r="M805" s="8"/>
      <c r="N805" s="8"/>
      <c r="O805" s="8"/>
      <c r="P805" s="8"/>
      <c r="Q805" s="8"/>
      <c r="R805" s="8"/>
      <c r="S805" s="8"/>
      <c r="T805" s="8"/>
      <c r="U805" s="8"/>
      <c r="V805" s="8"/>
      <c r="W805" s="8"/>
    </row>
    <row r="806">
      <c r="A806" s="8"/>
      <c r="B806" s="8"/>
      <c r="C806" s="8"/>
      <c r="D806" s="8"/>
      <c r="E806" s="8"/>
      <c r="F806" s="8"/>
      <c r="G806" s="8"/>
      <c r="H806" s="8"/>
      <c r="I806" s="8"/>
      <c r="J806" s="8"/>
      <c r="K806" s="8"/>
      <c r="L806" s="8"/>
      <c r="M806" s="8"/>
      <c r="N806" s="8"/>
      <c r="O806" s="8"/>
      <c r="P806" s="8"/>
      <c r="Q806" s="8"/>
      <c r="R806" s="8"/>
      <c r="S806" s="8"/>
      <c r="T806" s="8"/>
      <c r="U806" s="8"/>
      <c r="V806" s="8"/>
      <c r="W806" s="8"/>
    </row>
    <row r="807">
      <c r="A807" s="8"/>
      <c r="B807" s="8"/>
      <c r="C807" s="8"/>
      <c r="D807" s="8"/>
      <c r="E807" s="8"/>
      <c r="F807" s="8"/>
      <c r="G807" s="8"/>
      <c r="H807" s="8"/>
      <c r="I807" s="8"/>
      <c r="J807" s="8"/>
      <c r="K807" s="8"/>
      <c r="L807" s="8"/>
      <c r="M807" s="8"/>
      <c r="N807" s="8"/>
      <c r="O807" s="8"/>
      <c r="P807" s="8"/>
      <c r="Q807" s="8"/>
      <c r="R807" s="8"/>
      <c r="S807" s="8"/>
      <c r="T807" s="8"/>
      <c r="U807" s="8"/>
      <c r="V807" s="8"/>
      <c r="W807" s="8"/>
    </row>
    <row r="808">
      <c r="A808" s="8"/>
      <c r="B808" s="8"/>
      <c r="C808" s="8"/>
      <c r="D808" s="8"/>
      <c r="E808" s="8"/>
      <c r="F808" s="8"/>
      <c r="G808" s="8"/>
      <c r="H808" s="8"/>
      <c r="I808" s="8"/>
      <c r="J808" s="8"/>
      <c r="K808" s="8"/>
      <c r="L808" s="8"/>
      <c r="M808" s="8"/>
      <c r="N808" s="8"/>
      <c r="O808" s="8"/>
      <c r="P808" s="8"/>
      <c r="Q808" s="8"/>
      <c r="R808" s="8"/>
      <c r="S808" s="8"/>
      <c r="T808" s="8"/>
      <c r="U808" s="8"/>
      <c r="V808" s="8"/>
      <c r="W808" s="8"/>
    </row>
    <row r="809">
      <c r="A809" s="8"/>
      <c r="B809" s="8"/>
      <c r="C809" s="8"/>
      <c r="D809" s="8"/>
      <c r="E809" s="8"/>
      <c r="F809" s="8"/>
      <c r="G809" s="8"/>
      <c r="H809" s="8"/>
      <c r="I809" s="8"/>
      <c r="J809" s="8"/>
      <c r="K809" s="8"/>
      <c r="L809" s="8"/>
      <c r="M809" s="8"/>
      <c r="N809" s="8"/>
      <c r="O809" s="8"/>
      <c r="P809" s="8"/>
      <c r="Q809" s="8"/>
      <c r="R809" s="8"/>
      <c r="S809" s="8"/>
      <c r="T809" s="8"/>
      <c r="U809" s="8"/>
      <c r="V809" s="8"/>
      <c r="W809" s="8"/>
    </row>
    <row r="810">
      <c r="A810" s="8"/>
      <c r="B810" s="8"/>
      <c r="C810" s="8"/>
      <c r="D810" s="8"/>
      <c r="E810" s="8"/>
      <c r="F810" s="8"/>
      <c r="G810" s="8"/>
      <c r="H810" s="8"/>
      <c r="I810" s="8"/>
      <c r="J810" s="8"/>
      <c r="K810" s="8"/>
      <c r="L810" s="8"/>
      <c r="M810" s="8"/>
      <c r="N810" s="8"/>
      <c r="O810" s="8"/>
      <c r="P810" s="8"/>
      <c r="Q810" s="8"/>
      <c r="R810" s="8"/>
      <c r="S810" s="8"/>
      <c r="T810" s="8"/>
      <c r="U810" s="8"/>
      <c r="V810" s="8"/>
      <c r="W810" s="8"/>
    </row>
    <row r="811">
      <c r="A811" s="8"/>
      <c r="B811" s="8"/>
      <c r="C811" s="8"/>
      <c r="D811" s="8"/>
      <c r="E811" s="8"/>
      <c r="F811" s="8"/>
      <c r="G811" s="8"/>
      <c r="H811" s="8"/>
      <c r="I811" s="8"/>
      <c r="J811" s="8"/>
      <c r="K811" s="8"/>
      <c r="L811" s="8"/>
      <c r="M811" s="8"/>
      <c r="N811" s="8"/>
      <c r="O811" s="8"/>
      <c r="P811" s="8"/>
      <c r="Q811" s="8"/>
      <c r="R811" s="8"/>
      <c r="S811" s="8"/>
      <c r="T811" s="8"/>
      <c r="U811" s="8"/>
      <c r="V811" s="8"/>
      <c r="W811" s="8"/>
    </row>
    <row r="812">
      <c r="A812" s="8"/>
      <c r="B812" s="8"/>
      <c r="C812" s="8"/>
      <c r="D812" s="8"/>
      <c r="E812" s="8"/>
      <c r="F812" s="8"/>
      <c r="G812" s="8"/>
      <c r="H812" s="8"/>
      <c r="I812" s="8"/>
      <c r="J812" s="8"/>
      <c r="K812" s="8"/>
      <c r="L812" s="8"/>
      <c r="M812" s="8"/>
      <c r="N812" s="8"/>
      <c r="O812" s="8"/>
      <c r="P812" s="8"/>
      <c r="Q812" s="8"/>
      <c r="R812" s="8"/>
      <c r="S812" s="8"/>
      <c r="T812" s="8"/>
      <c r="U812" s="8"/>
      <c r="V812" s="8"/>
      <c r="W812" s="8"/>
    </row>
    <row r="813">
      <c r="A813" s="8"/>
      <c r="B813" s="8"/>
      <c r="C813" s="8"/>
      <c r="D813" s="8"/>
      <c r="E813" s="8"/>
      <c r="F813" s="8"/>
      <c r="G813" s="8"/>
      <c r="H813" s="8"/>
      <c r="I813" s="8"/>
      <c r="J813" s="8"/>
      <c r="K813" s="8"/>
      <c r="L813" s="8"/>
      <c r="M813" s="8"/>
      <c r="N813" s="8"/>
      <c r="O813" s="8"/>
      <c r="P813" s="8"/>
      <c r="Q813" s="8"/>
      <c r="R813" s="8"/>
      <c r="S813" s="8"/>
      <c r="T813" s="8"/>
      <c r="U813" s="8"/>
      <c r="V813" s="8"/>
      <c r="W813" s="8"/>
    </row>
    <row r="814">
      <c r="A814" s="8"/>
      <c r="B814" s="8"/>
      <c r="C814" s="8"/>
      <c r="D814" s="8"/>
      <c r="E814" s="8"/>
      <c r="F814" s="8"/>
      <c r="G814" s="8"/>
      <c r="H814" s="8"/>
      <c r="I814" s="8"/>
      <c r="J814" s="8"/>
      <c r="K814" s="8"/>
      <c r="L814" s="8"/>
      <c r="M814" s="8"/>
      <c r="N814" s="8"/>
      <c r="O814" s="8"/>
      <c r="P814" s="8"/>
      <c r="Q814" s="8"/>
      <c r="R814" s="8"/>
      <c r="S814" s="8"/>
      <c r="T814" s="8"/>
      <c r="U814" s="8"/>
      <c r="V814" s="8"/>
      <c r="W814" s="8"/>
    </row>
    <row r="815">
      <c r="A815" s="8"/>
      <c r="B815" s="8"/>
      <c r="C815" s="8"/>
      <c r="D815" s="8"/>
      <c r="E815" s="8"/>
      <c r="F815" s="8"/>
      <c r="G815" s="8"/>
      <c r="H815" s="8"/>
      <c r="I815" s="8"/>
      <c r="J815" s="8"/>
      <c r="K815" s="8"/>
      <c r="L815" s="8"/>
      <c r="M815" s="8"/>
      <c r="N815" s="8"/>
      <c r="O815" s="8"/>
      <c r="P815" s="8"/>
      <c r="Q815" s="8"/>
      <c r="R815" s="8"/>
      <c r="S815" s="8"/>
      <c r="T815" s="8"/>
      <c r="U815" s="8"/>
      <c r="V815" s="8"/>
      <c r="W815" s="8"/>
    </row>
    <row r="816">
      <c r="A816" s="8"/>
      <c r="B816" s="8"/>
      <c r="C816" s="8"/>
      <c r="D816" s="8"/>
      <c r="E816" s="8"/>
      <c r="F816" s="8"/>
      <c r="G816" s="8"/>
      <c r="H816" s="8"/>
      <c r="I816" s="8"/>
      <c r="J816" s="8"/>
      <c r="K816" s="8"/>
      <c r="L816" s="8"/>
      <c r="M816" s="8"/>
      <c r="N816" s="8"/>
      <c r="O816" s="8"/>
      <c r="P816" s="8"/>
      <c r="Q816" s="8"/>
      <c r="R816" s="8"/>
      <c r="S816" s="8"/>
      <c r="T816" s="8"/>
      <c r="U816" s="8"/>
      <c r="V816" s="8"/>
      <c r="W816" s="8"/>
    </row>
    <row r="817">
      <c r="A817" s="8"/>
      <c r="B817" s="8"/>
      <c r="C817" s="8"/>
      <c r="D817" s="8"/>
      <c r="E817" s="8"/>
      <c r="F817" s="8"/>
      <c r="G817" s="8"/>
      <c r="H817" s="8"/>
      <c r="I817" s="8"/>
      <c r="J817" s="8"/>
      <c r="K817" s="8"/>
      <c r="L817" s="8"/>
      <c r="M817" s="8"/>
      <c r="N817" s="8"/>
      <c r="O817" s="8"/>
      <c r="P817" s="8"/>
      <c r="Q817" s="8"/>
      <c r="R817" s="8"/>
      <c r="S817" s="8"/>
      <c r="T817" s="8"/>
      <c r="U817" s="8"/>
      <c r="V817" s="8"/>
      <c r="W817" s="8"/>
    </row>
    <row r="818">
      <c r="A818" s="8"/>
      <c r="B818" s="8"/>
      <c r="C818" s="8"/>
      <c r="D818" s="8"/>
      <c r="E818" s="8"/>
      <c r="F818" s="8"/>
      <c r="G818" s="8"/>
      <c r="H818" s="8"/>
      <c r="I818" s="8"/>
      <c r="J818" s="8"/>
      <c r="K818" s="8"/>
      <c r="L818" s="8"/>
      <c r="M818" s="8"/>
      <c r="N818" s="8"/>
      <c r="O818" s="8"/>
      <c r="P818" s="8"/>
      <c r="Q818" s="8"/>
      <c r="R818" s="8"/>
      <c r="S818" s="8"/>
      <c r="T818" s="8"/>
      <c r="U818" s="8"/>
      <c r="V818" s="8"/>
      <c r="W818" s="8"/>
    </row>
    <row r="819">
      <c r="A819" s="8"/>
      <c r="B819" s="8"/>
      <c r="C819" s="8"/>
      <c r="D819" s="8"/>
      <c r="E819" s="8"/>
      <c r="F819" s="8"/>
      <c r="G819" s="8"/>
      <c r="H819" s="8"/>
      <c r="I819" s="8"/>
      <c r="J819" s="8"/>
      <c r="K819" s="8"/>
      <c r="L819" s="8"/>
      <c r="M819" s="8"/>
      <c r="N819" s="8"/>
      <c r="O819" s="8"/>
      <c r="P819" s="8"/>
      <c r="Q819" s="8"/>
      <c r="R819" s="8"/>
      <c r="S819" s="8"/>
      <c r="T819" s="8"/>
      <c r="U819" s="8"/>
      <c r="V819" s="8"/>
      <c r="W819" s="8"/>
    </row>
    <row r="820">
      <c r="A820" s="8"/>
      <c r="B820" s="8"/>
      <c r="C820" s="8"/>
      <c r="D820" s="8"/>
      <c r="E820" s="8"/>
      <c r="F820" s="8"/>
      <c r="G820" s="8"/>
      <c r="H820" s="8"/>
      <c r="I820" s="8"/>
      <c r="J820" s="8"/>
      <c r="K820" s="8"/>
      <c r="L820" s="8"/>
      <c r="M820" s="8"/>
      <c r="N820" s="8"/>
      <c r="O820" s="8"/>
      <c r="P820" s="8"/>
      <c r="Q820" s="8"/>
      <c r="R820" s="8"/>
      <c r="S820" s="8"/>
      <c r="T820" s="8"/>
      <c r="U820" s="8"/>
      <c r="V820" s="8"/>
      <c r="W820" s="8"/>
    </row>
    <row r="821">
      <c r="A821" s="8"/>
      <c r="B821" s="8"/>
      <c r="C821" s="8"/>
      <c r="D821" s="8"/>
      <c r="E821" s="8"/>
      <c r="F821" s="8"/>
      <c r="G821" s="8"/>
      <c r="H821" s="8"/>
      <c r="I821" s="8"/>
      <c r="J821" s="8"/>
      <c r="K821" s="8"/>
      <c r="L821" s="8"/>
      <c r="M821" s="8"/>
      <c r="N821" s="8"/>
      <c r="O821" s="8"/>
      <c r="P821" s="8"/>
      <c r="Q821" s="8"/>
      <c r="R821" s="8"/>
      <c r="S821" s="8"/>
      <c r="T821" s="8"/>
      <c r="U821" s="8"/>
      <c r="V821" s="8"/>
      <c r="W821" s="8"/>
    </row>
    <row r="822">
      <c r="A822" s="8"/>
      <c r="B822" s="8"/>
      <c r="C822" s="8"/>
      <c r="D822" s="8"/>
      <c r="E822" s="8"/>
      <c r="F822" s="8"/>
      <c r="G822" s="8"/>
      <c r="H822" s="8"/>
      <c r="I822" s="8"/>
      <c r="J822" s="8"/>
      <c r="K822" s="8"/>
      <c r="L822" s="8"/>
      <c r="M822" s="8"/>
      <c r="N822" s="8"/>
      <c r="O822" s="8"/>
      <c r="P822" s="8"/>
      <c r="Q822" s="8"/>
      <c r="R822" s="8"/>
      <c r="S822" s="8"/>
      <c r="T822" s="8"/>
      <c r="U822" s="8"/>
      <c r="V822" s="8"/>
      <c r="W822" s="8"/>
    </row>
    <row r="823">
      <c r="A823" s="8"/>
      <c r="B823" s="8"/>
      <c r="C823" s="8"/>
      <c r="D823" s="8"/>
      <c r="E823" s="8"/>
      <c r="F823" s="8"/>
      <c r="G823" s="8"/>
      <c r="H823" s="8"/>
      <c r="I823" s="8"/>
      <c r="J823" s="8"/>
      <c r="K823" s="8"/>
      <c r="L823" s="8"/>
      <c r="M823" s="8"/>
      <c r="N823" s="8"/>
      <c r="O823" s="8"/>
      <c r="P823" s="8"/>
      <c r="Q823" s="8"/>
      <c r="R823" s="8"/>
      <c r="S823" s="8"/>
      <c r="T823" s="8"/>
      <c r="U823" s="8"/>
      <c r="V823" s="8"/>
      <c r="W823" s="8"/>
    </row>
    <row r="824">
      <c r="A824" s="8"/>
      <c r="B824" s="8"/>
      <c r="C824" s="8"/>
      <c r="D824" s="8"/>
      <c r="E824" s="8"/>
      <c r="F824" s="8"/>
      <c r="G824" s="8"/>
      <c r="H824" s="8"/>
      <c r="I824" s="8"/>
      <c r="J824" s="8"/>
      <c r="K824" s="8"/>
      <c r="L824" s="8"/>
      <c r="M824" s="8"/>
      <c r="N824" s="8"/>
      <c r="O824" s="8"/>
      <c r="P824" s="8"/>
      <c r="Q824" s="8"/>
      <c r="R824" s="8"/>
      <c r="S824" s="8"/>
      <c r="T824" s="8"/>
      <c r="U824" s="8"/>
      <c r="V824" s="8"/>
      <c r="W824" s="8"/>
    </row>
    <row r="825">
      <c r="A825" s="8"/>
      <c r="B825" s="8"/>
      <c r="C825" s="8"/>
      <c r="D825" s="8"/>
      <c r="E825" s="8"/>
      <c r="F825" s="8"/>
      <c r="G825" s="8"/>
      <c r="H825" s="8"/>
      <c r="I825" s="8"/>
      <c r="J825" s="8"/>
      <c r="K825" s="8"/>
      <c r="L825" s="8"/>
      <c r="M825" s="8"/>
      <c r="N825" s="8"/>
      <c r="O825" s="8"/>
      <c r="P825" s="8"/>
      <c r="Q825" s="8"/>
      <c r="R825" s="8"/>
      <c r="S825" s="8"/>
      <c r="T825" s="8"/>
      <c r="U825" s="8"/>
      <c r="V825" s="8"/>
      <c r="W825" s="8"/>
    </row>
    <row r="826">
      <c r="A826" s="8"/>
      <c r="B826" s="8"/>
      <c r="C826" s="8"/>
      <c r="D826" s="8"/>
      <c r="E826" s="8"/>
      <c r="F826" s="8"/>
      <c r="G826" s="8"/>
      <c r="H826" s="8"/>
      <c r="I826" s="8"/>
      <c r="J826" s="8"/>
      <c r="K826" s="8"/>
      <c r="L826" s="8"/>
      <c r="M826" s="8"/>
      <c r="N826" s="8"/>
      <c r="O826" s="8"/>
      <c r="P826" s="8"/>
      <c r="Q826" s="8"/>
      <c r="R826" s="8"/>
      <c r="S826" s="8"/>
      <c r="T826" s="8"/>
      <c r="U826" s="8"/>
      <c r="V826" s="8"/>
      <c r="W826" s="8"/>
    </row>
    <row r="827">
      <c r="A827" s="8"/>
      <c r="B827" s="8"/>
      <c r="C827" s="8"/>
      <c r="D827" s="8"/>
      <c r="E827" s="8"/>
      <c r="F827" s="8"/>
      <c r="G827" s="8"/>
      <c r="H827" s="8"/>
      <c r="I827" s="8"/>
      <c r="J827" s="8"/>
      <c r="K827" s="8"/>
      <c r="L827" s="8"/>
      <c r="M827" s="8"/>
      <c r="N827" s="8"/>
      <c r="O827" s="8"/>
      <c r="P827" s="8"/>
      <c r="Q827" s="8"/>
      <c r="R827" s="8"/>
      <c r="S827" s="8"/>
      <c r="T827" s="8"/>
      <c r="U827" s="8"/>
      <c r="V827" s="8"/>
      <c r="W827" s="8"/>
    </row>
    <row r="828">
      <c r="A828" s="8"/>
      <c r="B828" s="8"/>
      <c r="C828" s="8"/>
      <c r="D828" s="8"/>
      <c r="E828" s="8"/>
      <c r="F828" s="8"/>
      <c r="G828" s="8"/>
      <c r="H828" s="8"/>
      <c r="I828" s="8"/>
      <c r="J828" s="8"/>
      <c r="K828" s="8"/>
      <c r="L828" s="8"/>
      <c r="M828" s="8"/>
      <c r="N828" s="8"/>
      <c r="O828" s="8"/>
      <c r="P828" s="8"/>
      <c r="Q828" s="8"/>
      <c r="R828" s="8"/>
      <c r="S828" s="8"/>
      <c r="T828" s="8"/>
      <c r="U828" s="8"/>
      <c r="V828" s="8"/>
      <c r="W828" s="8"/>
    </row>
    <row r="829">
      <c r="A829" s="8"/>
      <c r="B829" s="8"/>
      <c r="C829" s="8"/>
      <c r="D829" s="8"/>
      <c r="E829" s="8"/>
      <c r="F829" s="8"/>
      <c r="G829" s="8"/>
      <c r="H829" s="8"/>
      <c r="I829" s="8"/>
      <c r="J829" s="8"/>
      <c r="K829" s="8"/>
      <c r="L829" s="8"/>
      <c r="M829" s="8"/>
      <c r="N829" s="8"/>
      <c r="O829" s="8"/>
      <c r="P829" s="8"/>
      <c r="Q829" s="8"/>
      <c r="R829" s="8"/>
      <c r="S829" s="8"/>
      <c r="T829" s="8"/>
      <c r="U829" s="8"/>
      <c r="V829" s="8"/>
      <c r="W829" s="8"/>
    </row>
    <row r="830">
      <c r="A830" s="8"/>
      <c r="B830" s="8"/>
      <c r="C830" s="8"/>
      <c r="D830" s="8"/>
      <c r="E830" s="8"/>
      <c r="F830" s="8"/>
      <c r="G830" s="8"/>
      <c r="H830" s="8"/>
      <c r="I830" s="8"/>
      <c r="J830" s="8"/>
      <c r="K830" s="8"/>
      <c r="L830" s="8"/>
      <c r="M830" s="8"/>
      <c r="N830" s="8"/>
      <c r="O830" s="8"/>
      <c r="P830" s="8"/>
      <c r="Q830" s="8"/>
      <c r="R830" s="8"/>
      <c r="S830" s="8"/>
      <c r="T830" s="8"/>
      <c r="U830" s="8"/>
      <c r="V830" s="8"/>
      <c r="W830" s="8"/>
    </row>
    <row r="831">
      <c r="A831" s="8"/>
      <c r="B831" s="8"/>
      <c r="C831" s="8"/>
      <c r="D831" s="8"/>
      <c r="E831" s="8"/>
      <c r="F831" s="8"/>
      <c r="G831" s="8"/>
      <c r="H831" s="8"/>
      <c r="I831" s="8"/>
      <c r="J831" s="8"/>
      <c r="K831" s="8"/>
      <c r="L831" s="8"/>
      <c r="M831" s="8"/>
      <c r="N831" s="8"/>
      <c r="O831" s="8"/>
      <c r="P831" s="8"/>
      <c r="Q831" s="8"/>
      <c r="R831" s="8"/>
      <c r="S831" s="8"/>
      <c r="T831" s="8"/>
      <c r="U831" s="8"/>
      <c r="V831" s="8"/>
      <c r="W831" s="8"/>
    </row>
    <row r="832">
      <c r="A832" s="8"/>
      <c r="B832" s="8"/>
      <c r="C832" s="8"/>
      <c r="D832" s="8"/>
      <c r="E832" s="8"/>
      <c r="F832" s="8"/>
      <c r="G832" s="8"/>
      <c r="H832" s="8"/>
      <c r="I832" s="8"/>
      <c r="J832" s="8"/>
      <c r="K832" s="8"/>
      <c r="L832" s="8"/>
      <c r="M832" s="8"/>
      <c r="N832" s="8"/>
      <c r="O832" s="8"/>
      <c r="P832" s="8"/>
      <c r="Q832" s="8"/>
      <c r="R832" s="8"/>
      <c r="S832" s="8"/>
      <c r="T832" s="8"/>
      <c r="U832" s="8"/>
      <c r="V832" s="8"/>
      <c r="W832" s="8"/>
    </row>
    <row r="833">
      <c r="A833" s="8"/>
      <c r="B833" s="8"/>
      <c r="C833" s="8"/>
      <c r="D833" s="8"/>
      <c r="E833" s="8"/>
      <c r="F833" s="8"/>
      <c r="G833" s="8"/>
      <c r="H833" s="8"/>
      <c r="I833" s="8"/>
      <c r="J833" s="8"/>
      <c r="K833" s="8"/>
      <c r="L833" s="8"/>
      <c r="M833" s="8"/>
      <c r="N833" s="8"/>
      <c r="O833" s="8"/>
      <c r="P833" s="8"/>
      <c r="Q833" s="8"/>
      <c r="R833" s="8"/>
      <c r="S833" s="8"/>
      <c r="T833" s="8"/>
      <c r="U833" s="8"/>
      <c r="V833" s="8"/>
      <c r="W833" s="8"/>
    </row>
    <row r="834">
      <c r="A834" s="8"/>
      <c r="B834" s="8"/>
      <c r="C834" s="8"/>
      <c r="D834" s="8"/>
      <c r="E834" s="8"/>
      <c r="F834" s="8"/>
      <c r="G834" s="8"/>
      <c r="H834" s="8"/>
      <c r="I834" s="8"/>
      <c r="J834" s="8"/>
      <c r="K834" s="8"/>
      <c r="L834" s="8"/>
      <c r="M834" s="8"/>
      <c r="N834" s="8"/>
      <c r="O834" s="8"/>
      <c r="P834" s="8"/>
      <c r="Q834" s="8"/>
      <c r="R834" s="8"/>
      <c r="S834" s="8"/>
      <c r="T834" s="8"/>
      <c r="U834" s="8"/>
      <c r="V834" s="8"/>
      <c r="W834" s="8"/>
    </row>
    <row r="835">
      <c r="A835" s="8"/>
      <c r="B835" s="8"/>
      <c r="C835" s="8"/>
      <c r="D835" s="8"/>
      <c r="E835" s="8"/>
      <c r="F835" s="8"/>
      <c r="G835" s="8"/>
      <c r="H835" s="8"/>
      <c r="I835" s="8"/>
      <c r="J835" s="8"/>
      <c r="K835" s="8"/>
      <c r="L835" s="8"/>
      <c r="M835" s="8"/>
      <c r="N835" s="8"/>
      <c r="O835" s="8"/>
      <c r="P835" s="8"/>
      <c r="Q835" s="8"/>
      <c r="R835" s="8"/>
      <c r="S835" s="8"/>
      <c r="T835" s="8"/>
      <c r="U835" s="8"/>
      <c r="V835" s="8"/>
      <c r="W835" s="8"/>
    </row>
    <row r="836">
      <c r="A836" s="8"/>
      <c r="B836" s="8"/>
      <c r="C836" s="8"/>
      <c r="D836" s="8"/>
      <c r="E836" s="8"/>
      <c r="F836" s="8"/>
      <c r="G836" s="8"/>
      <c r="H836" s="8"/>
      <c r="I836" s="8"/>
      <c r="J836" s="8"/>
      <c r="K836" s="8"/>
      <c r="L836" s="8"/>
      <c r="M836" s="8"/>
      <c r="N836" s="8"/>
      <c r="O836" s="8"/>
      <c r="P836" s="8"/>
      <c r="Q836" s="8"/>
      <c r="R836" s="8"/>
      <c r="S836" s="8"/>
      <c r="T836" s="8"/>
      <c r="U836" s="8"/>
      <c r="V836" s="8"/>
      <c r="W836" s="8"/>
    </row>
    <row r="837">
      <c r="A837" s="8"/>
      <c r="B837" s="8"/>
      <c r="C837" s="8"/>
      <c r="D837" s="8"/>
      <c r="E837" s="8"/>
      <c r="F837" s="8"/>
      <c r="G837" s="8"/>
      <c r="H837" s="8"/>
      <c r="I837" s="8"/>
      <c r="J837" s="8"/>
      <c r="K837" s="8"/>
      <c r="L837" s="8"/>
      <c r="M837" s="8"/>
      <c r="N837" s="8"/>
      <c r="O837" s="8"/>
      <c r="P837" s="8"/>
      <c r="Q837" s="8"/>
      <c r="R837" s="8"/>
      <c r="S837" s="8"/>
      <c r="T837" s="8"/>
      <c r="U837" s="8"/>
      <c r="V837" s="8"/>
      <c r="W837" s="8"/>
    </row>
    <row r="838">
      <c r="A838" s="8"/>
      <c r="B838" s="8"/>
      <c r="C838" s="8"/>
      <c r="D838" s="8"/>
      <c r="E838" s="8"/>
      <c r="F838" s="8"/>
      <c r="G838" s="8"/>
      <c r="H838" s="8"/>
      <c r="I838" s="8"/>
      <c r="J838" s="8"/>
      <c r="K838" s="8"/>
      <c r="L838" s="8"/>
      <c r="M838" s="8"/>
      <c r="N838" s="8"/>
      <c r="O838" s="8"/>
      <c r="P838" s="8"/>
      <c r="Q838" s="8"/>
      <c r="R838" s="8"/>
      <c r="S838" s="8"/>
      <c r="T838" s="8"/>
      <c r="U838" s="8"/>
      <c r="V838" s="8"/>
      <c r="W838" s="8"/>
    </row>
    <row r="839">
      <c r="A839" s="8"/>
      <c r="B839" s="8"/>
      <c r="C839" s="8"/>
      <c r="D839" s="8"/>
      <c r="E839" s="8"/>
      <c r="F839" s="8"/>
      <c r="G839" s="8"/>
      <c r="H839" s="8"/>
      <c r="I839" s="8"/>
      <c r="J839" s="8"/>
      <c r="K839" s="8"/>
      <c r="L839" s="8"/>
      <c r="M839" s="8"/>
      <c r="N839" s="8"/>
      <c r="O839" s="8"/>
      <c r="P839" s="8"/>
      <c r="Q839" s="8"/>
      <c r="R839" s="8"/>
      <c r="S839" s="8"/>
      <c r="T839" s="8"/>
      <c r="U839" s="8"/>
      <c r="V839" s="8"/>
      <c r="W839" s="8"/>
    </row>
    <row r="840">
      <c r="A840" s="8"/>
      <c r="B840" s="8"/>
      <c r="C840" s="8"/>
      <c r="D840" s="8"/>
      <c r="E840" s="8"/>
      <c r="F840" s="8"/>
      <c r="G840" s="8"/>
      <c r="H840" s="8"/>
      <c r="I840" s="8"/>
      <c r="J840" s="8"/>
      <c r="K840" s="8"/>
      <c r="L840" s="8"/>
      <c r="M840" s="8"/>
      <c r="N840" s="8"/>
      <c r="O840" s="8"/>
      <c r="P840" s="8"/>
      <c r="Q840" s="8"/>
      <c r="R840" s="8"/>
      <c r="S840" s="8"/>
      <c r="T840" s="8"/>
      <c r="U840" s="8"/>
      <c r="V840" s="8"/>
      <c r="W840" s="8"/>
    </row>
    <row r="841">
      <c r="A841" s="8"/>
      <c r="B841" s="8"/>
      <c r="C841" s="8"/>
      <c r="D841" s="8"/>
      <c r="E841" s="8"/>
      <c r="F841" s="8"/>
      <c r="G841" s="8"/>
      <c r="H841" s="8"/>
      <c r="I841" s="8"/>
      <c r="J841" s="8"/>
      <c r="K841" s="8"/>
      <c r="L841" s="8"/>
      <c r="M841" s="8"/>
      <c r="N841" s="8"/>
      <c r="O841" s="8"/>
      <c r="P841" s="8"/>
      <c r="Q841" s="8"/>
      <c r="R841" s="8"/>
      <c r="S841" s="8"/>
      <c r="T841" s="8"/>
      <c r="U841" s="8"/>
      <c r="V841" s="8"/>
      <c r="W841" s="8"/>
    </row>
    <row r="842">
      <c r="A842" s="8"/>
      <c r="B842" s="8"/>
      <c r="C842" s="8"/>
      <c r="D842" s="8"/>
      <c r="E842" s="8"/>
      <c r="F842" s="8"/>
      <c r="G842" s="8"/>
      <c r="H842" s="8"/>
      <c r="I842" s="8"/>
      <c r="J842" s="8"/>
      <c r="K842" s="8"/>
      <c r="L842" s="8"/>
      <c r="M842" s="8"/>
      <c r="N842" s="8"/>
      <c r="O842" s="8"/>
      <c r="P842" s="8"/>
      <c r="Q842" s="8"/>
      <c r="R842" s="8"/>
      <c r="S842" s="8"/>
      <c r="T842" s="8"/>
      <c r="U842" s="8"/>
      <c r="V842" s="8"/>
      <c r="W842" s="8"/>
    </row>
    <row r="843">
      <c r="A843" s="8"/>
      <c r="B843" s="8"/>
      <c r="C843" s="8"/>
      <c r="D843" s="8"/>
      <c r="E843" s="8"/>
      <c r="F843" s="8"/>
      <c r="G843" s="8"/>
      <c r="H843" s="8"/>
      <c r="I843" s="8"/>
      <c r="J843" s="8"/>
      <c r="K843" s="8"/>
      <c r="L843" s="8"/>
      <c r="M843" s="8"/>
      <c r="N843" s="8"/>
      <c r="O843" s="8"/>
      <c r="P843" s="8"/>
      <c r="Q843" s="8"/>
      <c r="R843" s="8"/>
      <c r="S843" s="8"/>
      <c r="T843" s="8"/>
      <c r="U843" s="8"/>
      <c r="V843" s="8"/>
      <c r="W843" s="8"/>
    </row>
    <row r="844">
      <c r="A844" s="8"/>
      <c r="B844" s="8"/>
      <c r="C844" s="8"/>
      <c r="D844" s="8"/>
      <c r="E844" s="8"/>
      <c r="F844" s="8"/>
      <c r="G844" s="8"/>
      <c r="H844" s="8"/>
      <c r="I844" s="8"/>
      <c r="J844" s="8"/>
      <c r="K844" s="8"/>
      <c r="L844" s="8"/>
      <c r="M844" s="8"/>
      <c r="N844" s="8"/>
      <c r="O844" s="8"/>
      <c r="P844" s="8"/>
      <c r="Q844" s="8"/>
      <c r="R844" s="8"/>
      <c r="S844" s="8"/>
      <c r="T844" s="8"/>
      <c r="U844" s="8"/>
      <c r="V844" s="8"/>
      <c r="W844" s="8"/>
    </row>
    <row r="845">
      <c r="A845" s="8"/>
      <c r="B845" s="8"/>
      <c r="C845" s="8"/>
      <c r="D845" s="8"/>
      <c r="E845" s="8"/>
      <c r="F845" s="8"/>
      <c r="G845" s="8"/>
      <c r="H845" s="8"/>
      <c r="I845" s="8"/>
      <c r="J845" s="8"/>
      <c r="K845" s="8"/>
      <c r="L845" s="8"/>
      <c r="M845" s="8"/>
      <c r="N845" s="8"/>
      <c r="O845" s="8"/>
      <c r="P845" s="8"/>
      <c r="Q845" s="8"/>
      <c r="R845" s="8"/>
      <c r="S845" s="8"/>
      <c r="T845" s="8"/>
      <c r="U845" s="8"/>
      <c r="V845" s="8"/>
      <c r="W845" s="8"/>
    </row>
    <row r="846">
      <c r="A846" s="8"/>
      <c r="B846" s="8"/>
      <c r="C846" s="8"/>
      <c r="D846" s="8"/>
      <c r="E846" s="8"/>
      <c r="F846" s="8"/>
      <c r="G846" s="8"/>
      <c r="H846" s="8"/>
      <c r="I846" s="8"/>
      <c r="J846" s="8"/>
      <c r="K846" s="8"/>
      <c r="L846" s="8"/>
      <c r="M846" s="8"/>
      <c r="N846" s="8"/>
      <c r="O846" s="8"/>
      <c r="P846" s="8"/>
      <c r="Q846" s="8"/>
      <c r="R846" s="8"/>
      <c r="S846" s="8"/>
      <c r="T846" s="8"/>
      <c r="U846" s="8"/>
      <c r="V846" s="8"/>
      <c r="W846" s="8"/>
    </row>
    <row r="847">
      <c r="A847" s="8"/>
      <c r="B847" s="8"/>
      <c r="C847" s="8"/>
      <c r="D847" s="8"/>
      <c r="E847" s="8"/>
      <c r="F847" s="8"/>
      <c r="G847" s="8"/>
      <c r="H847" s="8"/>
      <c r="I847" s="8"/>
      <c r="J847" s="8"/>
      <c r="K847" s="8"/>
      <c r="L847" s="8"/>
      <c r="M847" s="8"/>
      <c r="N847" s="8"/>
      <c r="O847" s="8"/>
      <c r="P847" s="8"/>
      <c r="Q847" s="8"/>
      <c r="R847" s="8"/>
      <c r="S847" s="8"/>
      <c r="T847" s="8"/>
      <c r="U847" s="8"/>
      <c r="V847" s="8"/>
      <c r="W847" s="8"/>
    </row>
    <row r="848">
      <c r="A848" s="8"/>
      <c r="B848" s="8"/>
      <c r="C848" s="8"/>
      <c r="D848" s="8"/>
      <c r="E848" s="8"/>
      <c r="F848" s="8"/>
      <c r="G848" s="8"/>
      <c r="H848" s="8"/>
      <c r="I848" s="8"/>
      <c r="J848" s="8"/>
      <c r="K848" s="8"/>
      <c r="L848" s="8"/>
      <c r="M848" s="8"/>
      <c r="N848" s="8"/>
      <c r="O848" s="8"/>
      <c r="P848" s="8"/>
      <c r="Q848" s="8"/>
      <c r="R848" s="8"/>
      <c r="S848" s="8"/>
      <c r="T848" s="8"/>
      <c r="U848" s="8"/>
      <c r="V848" s="8"/>
      <c r="W848" s="8"/>
    </row>
    <row r="849">
      <c r="A849" s="8"/>
      <c r="B849" s="8"/>
      <c r="C849" s="8"/>
      <c r="D849" s="8"/>
      <c r="E849" s="8"/>
      <c r="F849" s="8"/>
      <c r="G849" s="8"/>
      <c r="H849" s="8"/>
      <c r="I849" s="8"/>
      <c r="J849" s="8"/>
      <c r="K849" s="8"/>
      <c r="L849" s="8"/>
      <c r="M849" s="8"/>
      <c r="N849" s="8"/>
      <c r="O849" s="8"/>
      <c r="P849" s="8"/>
      <c r="Q849" s="8"/>
      <c r="R849" s="8"/>
      <c r="S849" s="8"/>
      <c r="T849" s="8"/>
      <c r="U849" s="8"/>
      <c r="V849" s="8"/>
      <c r="W849" s="8"/>
    </row>
    <row r="850">
      <c r="A850" s="8"/>
      <c r="B850" s="8"/>
      <c r="C850" s="8"/>
      <c r="D850" s="8"/>
      <c r="E850" s="8"/>
      <c r="F850" s="8"/>
      <c r="G850" s="8"/>
      <c r="H850" s="8"/>
      <c r="I850" s="8"/>
      <c r="J850" s="8"/>
      <c r="K850" s="8"/>
      <c r="L850" s="8"/>
      <c r="M850" s="8"/>
      <c r="N850" s="8"/>
      <c r="O850" s="8"/>
      <c r="P850" s="8"/>
      <c r="Q850" s="8"/>
      <c r="R850" s="8"/>
      <c r="S850" s="8"/>
      <c r="T850" s="8"/>
      <c r="U850" s="8"/>
      <c r="V850" s="8"/>
      <c r="W850" s="8"/>
    </row>
    <row r="851">
      <c r="A851" s="8"/>
      <c r="B851" s="8"/>
      <c r="C851" s="8"/>
      <c r="D851" s="8"/>
      <c r="E851" s="8"/>
      <c r="F851" s="8"/>
      <c r="G851" s="8"/>
      <c r="H851" s="8"/>
      <c r="I851" s="8"/>
      <c r="J851" s="8"/>
      <c r="K851" s="8"/>
      <c r="L851" s="8"/>
      <c r="M851" s="8"/>
      <c r="N851" s="8"/>
      <c r="O851" s="8"/>
      <c r="P851" s="8"/>
      <c r="Q851" s="8"/>
      <c r="R851" s="8"/>
      <c r="S851" s="8"/>
      <c r="T851" s="8"/>
      <c r="U851" s="8"/>
      <c r="V851" s="8"/>
      <c r="W851" s="8"/>
    </row>
    <row r="852">
      <c r="A852" s="8"/>
      <c r="B852" s="8"/>
      <c r="C852" s="8"/>
      <c r="D852" s="8"/>
      <c r="E852" s="8"/>
      <c r="F852" s="8"/>
      <c r="G852" s="8"/>
      <c r="H852" s="8"/>
      <c r="I852" s="8"/>
      <c r="J852" s="8"/>
      <c r="K852" s="8"/>
      <c r="L852" s="8"/>
      <c r="M852" s="8"/>
      <c r="N852" s="8"/>
      <c r="O852" s="8"/>
      <c r="P852" s="8"/>
      <c r="Q852" s="8"/>
      <c r="R852" s="8"/>
      <c r="S852" s="8"/>
      <c r="T852" s="8"/>
      <c r="U852" s="8"/>
      <c r="V852" s="8"/>
      <c r="W852" s="8"/>
    </row>
    <row r="853">
      <c r="A853" s="8"/>
      <c r="B853" s="8"/>
      <c r="C853" s="8"/>
      <c r="D853" s="8"/>
      <c r="E853" s="8"/>
      <c r="F853" s="8"/>
      <c r="G853" s="8"/>
      <c r="H853" s="8"/>
      <c r="I853" s="8"/>
      <c r="J853" s="8"/>
      <c r="K853" s="8"/>
      <c r="L853" s="8"/>
      <c r="M853" s="8"/>
      <c r="N853" s="8"/>
      <c r="O853" s="8"/>
      <c r="P853" s="8"/>
      <c r="Q853" s="8"/>
      <c r="R853" s="8"/>
      <c r="S853" s="8"/>
      <c r="T853" s="8"/>
      <c r="U853" s="8"/>
      <c r="V853" s="8"/>
      <c r="W853" s="8"/>
    </row>
    <row r="854">
      <c r="A854" s="8"/>
      <c r="B854" s="8"/>
      <c r="C854" s="8"/>
      <c r="D854" s="8"/>
      <c r="E854" s="8"/>
      <c r="F854" s="8"/>
      <c r="G854" s="8"/>
      <c r="H854" s="8"/>
      <c r="I854" s="8"/>
      <c r="J854" s="8"/>
      <c r="K854" s="8"/>
      <c r="L854" s="8"/>
      <c r="M854" s="8"/>
      <c r="N854" s="8"/>
      <c r="O854" s="8"/>
      <c r="P854" s="8"/>
      <c r="Q854" s="8"/>
      <c r="R854" s="8"/>
      <c r="S854" s="8"/>
      <c r="T854" s="8"/>
      <c r="U854" s="8"/>
      <c r="V854" s="8"/>
      <c r="W854" s="8"/>
    </row>
    <row r="855">
      <c r="A855" s="8"/>
      <c r="B855" s="8"/>
      <c r="C855" s="8"/>
      <c r="D855" s="8"/>
      <c r="E855" s="8"/>
      <c r="F855" s="8"/>
      <c r="G855" s="8"/>
      <c r="H855" s="8"/>
      <c r="I855" s="8"/>
      <c r="J855" s="8"/>
      <c r="K855" s="8"/>
      <c r="L855" s="8"/>
      <c r="M855" s="8"/>
      <c r="N855" s="8"/>
      <c r="O855" s="8"/>
      <c r="P855" s="8"/>
      <c r="Q855" s="8"/>
      <c r="R855" s="8"/>
      <c r="S855" s="8"/>
      <c r="T855" s="8"/>
      <c r="U855" s="8"/>
      <c r="V855" s="8"/>
      <c r="W855" s="8"/>
    </row>
    <row r="856">
      <c r="A856" s="8"/>
      <c r="B856" s="8"/>
      <c r="C856" s="8"/>
      <c r="D856" s="8"/>
      <c r="E856" s="8"/>
      <c r="F856" s="8"/>
      <c r="G856" s="8"/>
      <c r="H856" s="8"/>
      <c r="I856" s="8"/>
      <c r="J856" s="8"/>
      <c r="K856" s="8"/>
      <c r="L856" s="8"/>
      <c r="M856" s="8"/>
      <c r="N856" s="8"/>
      <c r="O856" s="8"/>
      <c r="P856" s="8"/>
      <c r="Q856" s="8"/>
      <c r="R856" s="8"/>
      <c r="S856" s="8"/>
      <c r="T856" s="8"/>
      <c r="U856" s="8"/>
      <c r="V856" s="8"/>
      <c r="W856" s="8"/>
    </row>
    <row r="857">
      <c r="A857" s="8"/>
      <c r="B857" s="8"/>
      <c r="C857" s="8"/>
      <c r="D857" s="8"/>
      <c r="E857" s="8"/>
      <c r="F857" s="8"/>
      <c r="G857" s="8"/>
      <c r="H857" s="8"/>
      <c r="I857" s="8"/>
      <c r="J857" s="8"/>
      <c r="K857" s="8"/>
      <c r="L857" s="8"/>
      <c r="M857" s="8"/>
      <c r="N857" s="8"/>
      <c r="O857" s="8"/>
      <c r="P857" s="8"/>
      <c r="Q857" s="8"/>
      <c r="R857" s="8"/>
      <c r="S857" s="8"/>
      <c r="T857" s="8"/>
      <c r="U857" s="8"/>
      <c r="V857" s="8"/>
      <c r="W857" s="8"/>
    </row>
    <row r="858">
      <c r="A858" s="8"/>
      <c r="B858" s="8"/>
      <c r="C858" s="8"/>
      <c r="D858" s="8"/>
      <c r="E858" s="8"/>
      <c r="F858" s="8"/>
      <c r="G858" s="8"/>
      <c r="H858" s="8"/>
      <c r="I858" s="8"/>
      <c r="J858" s="8"/>
      <c r="K858" s="8"/>
      <c r="L858" s="8"/>
      <c r="M858" s="8"/>
      <c r="N858" s="8"/>
      <c r="O858" s="8"/>
      <c r="P858" s="8"/>
      <c r="Q858" s="8"/>
      <c r="R858" s="8"/>
      <c r="S858" s="8"/>
      <c r="T858" s="8"/>
      <c r="U858" s="8"/>
      <c r="V858" s="8"/>
      <c r="W858" s="8"/>
    </row>
    <row r="859">
      <c r="A859" s="8"/>
      <c r="B859" s="8"/>
      <c r="C859" s="8"/>
      <c r="D859" s="8"/>
      <c r="E859" s="8"/>
      <c r="F859" s="8"/>
      <c r="G859" s="8"/>
      <c r="H859" s="8"/>
      <c r="I859" s="8"/>
      <c r="J859" s="8"/>
      <c r="K859" s="8"/>
      <c r="L859" s="8"/>
      <c r="M859" s="8"/>
      <c r="N859" s="8"/>
      <c r="O859" s="8"/>
      <c r="P859" s="8"/>
      <c r="Q859" s="8"/>
      <c r="R859" s="8"/>
      <c r="S859" s="8"/>
      <c r="T859" s="8"/>
      <c r="U859" s="8"/>
      <c r="V859" s="8"/>
      <c r="W859" s="8"/>
    </row>
    <row r="860">
      <c r="A860" s="8"/>
      <c r="B860" s="8"/>
      <c r="C860" s="8"/>
      <c r="D860" s="8"/>
      <c r="E860" s="8"/>
      <c r="F860" s="8"/>
      <c r="G860" s="8"/>
      <c r="H860" s="8"/>
      <c r="I860" s="8"/>
      <c r="J860" s="8"/>
      <c r="K860" s="8"/>
      <c r="L860" s="8"/>
      <c r="M860" s="8"/>
      <c r="N860" s="8"/>
      <c r="O860" s="8"/>
      <c r="P860" s="8"/>
      <c r="Q860" s="8"/>
      <c r="R860" s="8"/>
      <c r="S860" s="8"/>
      <c r="T860" s="8"/>
      <c r="U860" s="8"/>
      <c r="V860" s="8"/>
      <c r="W860" s="8"/>
    </row>
    <row r="861">
      <c r="A861" s="8"/>
      <c r="B861" s="8"/>
      <c r="C861" s="8"/>
      <c r="D861" s="8"/>
      <c r="E861" s="8"/>
      <c r="F861" s="8"/>
      <c r="G861" s="8"/>
      <c r="H861" s="8"/>
      <c r="I861" s="8"/>
      <c r="J861" s="8"/>
      <c r="K861" s="8"/>
      <c r="L861" s="8"/>
      <c r="M861" s="8"/>
      <c r="N861" s="8"/>
      <c r="O861" s="8"/>
      <c r="P861" s="8"/>
      <c r="Q861" s="8"/>
      <c r="R861" s="8"/>
      <c r="S861" s="8"/>
      <c r="T861" s="8"/>
      <c r="U861" s="8"/>
      <c r="V861" s="8"/>
      <c r="W861" s="8"/>
    </row>
    <row r="862">
      <c r="A862" s="8"/>
      <c r="B862" s="8"/>
      <c r="C862" s="8"/>
      <c r="D862" s="8"/>
      <c r="E862" s="8"/>
      <c r="F862" s="8"/>
      <c r="G862" s="8"/>
      <c r="H862" s="8"/>
      <c r="I862" s="8"/>
      <c r="J862" s="8"/>
      <c r="K862" s="8"/>
      <c r="L862" s="8"/>
      <c r="M862" s="8"/>
      <c r="N862" s="8"/>
      <c r="O862" s="8"/>
      <c r="P862" s="8"/>
      <c r="Q862" s="8"/>
      <c r="R862" s="8"/>
      <c r="S862" s="8"/>
      <c r="T862" s="8"/>
      <c r="U862" s="8"/>
      <c r="V862" s="8"/>
      <c r="W862" s="8"/>
    </row>
    <row r="863">
      <c r="A863" s="8"/>
      <c r="B863" s="8"/>
      <c r="C863" s="8"/>
      <c r="D863" s="8"/>
      <c r="E863" s="8"/>
      <c r="F863" s="8"/>
      <c r="G863" s="8"/>
      <c r="H863" s="8"/>
      <c r="I863" s="8"/>
      <c r="J863" s="8"/>
      <c r="K863" s="8"/>
      <c r="L863" s="8"/>
      <c r="M863" s="8"/>
      <c r="N863" s="8"/>
      <c r="O863" s="8"/>
      <c r="P863" s="8"/>
      <c r="Q863" s="8"/>
      <c r="R863" s="8"/>
      <c r="S863" s="8"/>
      <c r="T863" s="8"/>
      <c r="U863" s="8"/>
      <c r="V863" s="8"/>
      <c r="W863" s="8"/>
    </row>
    <row r="864">
      <c r="A864" s="8"/>
      <c r="B864" s="8"/>
      <c r="C864" s="8"/>
      <c r="D864" s="8"/>
      <c r="E864" s="8"/>
      <c r="F864" s="8"/>
      <c r="G864" s="8"/>
      <c r="H864" s="8"/>
      <c r="I864" s="8"/>
      <c r="J864" s="8"/>
      <c r="K864" s="8"/>
      <c r="L864" s="8"/>
      <c r="M864" s="8"/>
      <c r="N864" s="8"/>
      <c r="O864" s="8"/>
      <c r="P864" s="8"/>
      <c r="Q864" s="8"/>
      <c r="R864" s="8"/>
      <c r="S864" s="8"/>
      <c r="T864" s="8"/>
      <c r="U864" s="8"/>
      <c r="V864" s="8"/>
      <c r="W864" s="8"/>
    </row>
    <row r="865">
      <c r="A865" s="8"/>
      <c r="B865" s="8"/>
      <c r="C865" s="8"/>
      <c r="D865" s="8"/>
      <c r="E865" s="8"/>
      <c r="F865" s="8"/>
      <c r="G865" s="8"/>
      <c r="H865" s="8"/>
      <c r="I865" s="8"/>
      <c r="J865" s="8"/>
      <c r="K865" s="8"/>
      <c r="L865" s="8"/>
      <c r="M865" s="8"/>
      <c r="N865" s="8"/>
      <c r="O865" s="8"/>
      <c r="P865" s="8"/>
      <c r="Q865" s="8"/>
      <c r="R865" s="8"/>
      <c r="S865" s="8"/>
      <c r="T865" s="8"/>
      <c r="U865" s="8"/>
      <c r="V865" s="8"/>
      <c r="W865" s="8"/>
    </row>
    <row r="866">
      <c r="A866" s="8"/>
      <c r="B866" s="8"/>
      <c r="C866" s="8"/>
      <c r="D866" s="8"/>
      <c r="E866" s="8"/>
      <c r="F866" s="8"/>
      <c r="G866" s="8"/>
      <c r="H866" s="8"/>
      <c r="I866" s="8"/>
      <c r="J866" s="8"/>
      <c r="K866" s="8"/>
      <c r="L866" s="8"/>
      <c r="M866" s="8"/>
      <c r="N866" s="8"/>
      <c r="O866" s="8"/>
      <c r="P866" s="8"/>
      <c r="Q866" s="8"/>
      <c r="R866" s="8"/>
      <c r="S866" s="8"/>
      <c r="T866" s="8"/>
      <c r="U866" s="8"/>
      <c r="V866" s="8"/>
      <c r="W866" s="8"/>
    </row>
    <row r="867">
      <c r="A867" s="8"/>
      <c r="B867" s="8"/>
      <c r="C867" s="8"/>
      <c r="D867" s="8"/>
      <c r="E867" s="8"/>
      <c r="F867" s="8"/>
      <c r="G867" s="8"/>
      <c r="H867" s="8"/>
      <c r="I867" s="8"/>
      <c r="J867" s="8"/>
      <c r="K867" s="8"/>
      <c r="L867" s="8"/>
      <c r="M867" s="8"/>
      <c r="N867" s="8"/>
      <c r="O867" s="8"/>
      <c r="P867" s="8"/>
      <c r="Q867" s="8"/>
      <c r="R867" s="8"/>
      <c r="S867" s="8"/>
      <c r="T867" s="8"/>
      <c r="U867" s="8"/>
      <c r="V867" s="8"/>
      <c r="W867" s="8"/>
    </row>
    <row r="868">
      <c r="A868" s="8"/>
      <c r="B868" s="8"/>
      <c r="C868" s="8"/>
      <c r="D868" s="8"/>
      <c r="E868" s="8"/>
      <c r="F868" s="8"/>
      <c r="G868" s="8"/>
      <c r="H868" s="8"/>
      <c r="I868" s="8"/>
      <c r="J868" s="8"/>
      <c r="K868" s="8"/>
      <c r="L868" s="8"/>
      <c r="M868" s="8"/>
      <c r="N868" s="8"/>
      <c r="O868" s="8"/>
      <c r="P868" s="8"/>
      <c r="Q868" s="8"/>
      <c r="R868" s="8"/>
      <c r="S868" s="8"/>
      <c r="T868" s="8"/>
      <c r="U868" s="8"/>
      <c r="V868" s="8"/>
      <c r="W868" s="8"/>
    </row>
    <row r="869">
      <c r="A869" s="8"/>
      <c r="B869" s="8"/>
      <c r="C869" s="8"/>
      <c r="D869" s="8"/>
      <c r="E869" s="8"/>
      <c r="F869" s="8"/>
      <c r="G869" s="8"/>
      <c r="H869" s="8"/>
      <c r="I869" s="8"/>
      <c r="J869" s="8"/>
      <c r="K869" s="8"/>
      <c r="L869" s="8"/>
      <c r="M869" s="8"/>
      <c r="N869" s="8"/>
      <c r="O869" s="8"/>
      <c r="P869" s="8"/>
      <c r="Q869" s="8"/>
      <c r="R869" s="8"/>
      <c r="S869" s="8"/>
      <c r="T869" s="8"/>
      <c r="U869" s="8"/>
      <c r="V869" s="8"/>
      <c r="W869" s="8"/>
    </row>
    <row r="870">
      <c r="A870" s="8"/>
      <c r="B870" s="8"/>
      <c r="C870" s="8"/>
      <c r="D870" s="8"/>
      <c r="E870" s="8"/>
      <c r="F870" s="8"/>
      <c r="G870" s="8"/>
      <c r="H870" s="8"/>
      <c r="I870" s="8"/>
      <c r="J870" s="8"/>
      <c r="K870" s="8"/>
      <c r="L870" s="8"/>
      <c r="M870" s="8"/>
      <c r="N870" s="8"/>
      <c r="O870" s="8"/>
      <c r="P870" s="8"/>
      <c r="Q870" s="8"/>
      <c r="R870" s="8"/>
      <c r="S870" s="8"/>
      <c r="T870" s="8"/>
      <c r="U870" s="8"/>
      <c r="V870" s="8"/>
      <c r="W870" s="8"/>
    </row>
    <row r="871">
      <c r="A871" s="8"/>
      <c r="B871" s="8"/>
      <c r="C871" s="8"/>
      <c r="D871" s="8"/>
      <c r="E871" s="8"/>
      <c r="F871" s="8"/>
      <c r="G871" s="8"/>
      <c r="H871" s="8"/>
      <c r="I871" s="8"/>
      <c r="J871" s="8"/>
      <c r="K871" s="8"/>
      <c r="L871" s="8"/>
      <c r="M871" s="8"/>
      <c r="N871" s="8"/>
      <c r="O871" s="8"/>
      <c r="P871" s="8"/>
      <c r="Q871" s="8"/>
      <c r="R871" s="8"/>
      <c r="S871" s="8"/>
      <c r="T871" s="8"/>
      <c r="U871" s="8"/>
      <c r="V871" s="8"/>
      <c r="W871" s="8"/>
    </row>
    <row r="872">
      <c r="A872" s="8"/>
      <c r="B872" s="8"/>
      <c r="C872" s="8"/>
      <c r="D872" s="8"/>
      <c r="E872" s="8"/>
      <c r="F872" s="8"/>
      <c r="G872" s="8"/>
      <c r="H872" s="8"/>
      <c r="I872" s="8"/>
      <c r="J872" s="8"/>
      <c r="K872" s="8"/>
      <c r="L872" s="8"/>
      <c r="M872" s="8"/>
      <c r="N872" s="8"/>
      <c r="O872" s="8"/>
      <c r="P872" s="8"/>
      <c r="Q872" s="8"/>
      <c r="R872" s="8"/>
      <c r="S872" s="8"/>
      <c r="T872" s="8"/>
      <c r="U872" s="8"/>
      <c r="V872" s="8"/>
      <c r="W872" s="8"/>
    </row>
    <row r="873">
      <c r="A873" s="8"/>
      <c r="B873" s="8"/>
      <c r="C873" s="8"/>
      <c r="D873" s="8"/>
      <c r="E873" s="8"/>
      <c r="F873" s="8"/>
      <c r="G873" s="8"/>
      <c r="H873" s="8"/>
      <c r="I873" s="8"/>
      <c r="J873" s="8"/>
      <c r="K873" s="8"/>
      <c r="L873" s="8"/>
      <c r="M873" s="8"/>
      <c r="N873" s="8"/>
      <c r="O873" s="8"/>
      <c r="P873" s="8"/>
      <c r="Q873" s="8"/>
      <c r="R873" s="8"/>
      <c r="S873" s="8"/>
      <c r="T873" s="8"/>
      <c r="U873" s="8"/>
      <c r="V873" s="8"/>
      <c r="W873" s="8"/>
    </row>
    <row r="874">
      <c r="A874" s="8"/>
      <c r="B874" s="8"/>
      <c r="C874" s="8"/>
      <c r="D874" s="8"/>
      <c r="E874" s="8"/>
      <c r="F874" s="8"/>
      <c r="G874" s="8"/>
      <c r="H874" s="8"/>
      <c r="I874" s="8"/>
      <c r="J874" s="8"/>
      <c r="K874" s="8"/>
      <c r="L874" s="8"/>
      <c r="M874" s="8"/>
      <c r="N874" s="8"/>
      <c r="O874" s="8"/>
      <c r="P874" s="8"/>
      <c r="Q874" s="8"/>
      <c r="R874" s="8"/>
      <c r="S874" s="8"/>
      <c r="T874" s="8"/>
      <c r="U874" s="8"/>
      <c r="V874" s="8"/>
      <c r="W874" s="8"/>
    </row>
    <row r="875">
      <c r="A875" s="8"/>
      <c r="B875" s="8"/>
      <c r="C875" s="8"/>
      <c r="D875" s="8"/>
      <c r="E875" s="8"/>
      <c r="F875" s="8"/>
      <c r="G875" s="8"/>
      <c r="H875" s="8"/>
      <c r="I875" s="8"/>
      <c r="J875" s="8"/>
      <c r="K875" s="8"/>
      <c r="L875" s="8"/>
      <c r="M875" s="8"/>
      <c r="N875" s="8"/>
      <c r="O875" s="8"/>
      <c r="P875" s="8"/>
      <c r="Q875" s="8"/>
      <c r="R875" s="8"/>
      <c r="S875" s="8"/>
      <c r="T875" s="8"/>
      <c r="U875" s="8"/>
      <c r="V875" s="8"/>
      <c r="W875" s="8"/>
    </row>
    <row r="876">
      <c r="A876" s="8"/>
      <c r="B876" s="8"/>
      <c r="C876" s="8"/>
      <c r="D876" s="8"/>
      <c r="E876" s="8"/>
      <c r="F876" s="8"/>
      <c r="G876" s="8"/>
      <c r="H876" s="8"/>
      <c r="I876" s="8"/>
      <c r="J876" s="8"/>
      <c r="K876" s="8"/>
      <c r="L876" s="8"/>
      <c r="M876" s="8"/>
      <c r="N876" s="8"/>
      <c r="O876" s="8"/>
      <c r="P876" s="8"/>
      <c r="Q876" s="8"/>
      <c r="R876" s="8"/>
      <c r="S876" s="8"/>
      <c r="T876" s="8"/>
      <c r="U876" s="8"/>
      <c r="V876" s="8"/>
      <c r="W876" s="8"/>
    </row>
    <row r="877">
      <c r="A877" s="8"/>
      <c r="B877" s="8"/>
      <c r="C877" s="8"/>
      <c r="D877" s="8"/>
      <c r="E877" s="8"/>
      <c r="F877" s="8"/>
      <c r="G877" s="8"/>
      <c r="H877" s="8"/>
      <c r="I877" s="8"/>
      <c r="J877" s="8"/>
      <c r="K877" s="8"/>
      <c r="L877" s="8"/>
      <c r="M877" s="8"/>
      <c r="N877" s="8"/>
      <c r="O877" s="8"/>
      <c r="P877" s="8"/>
      <c r="Q877" s="8"/>
      <c r="R877" s="8"/>
      <c r="S877" s="8"/>
      <c r="T877" s="8"/>
      <c r="U877" s="8"/>
      <c r="V877" s="8"/>
      <c r="W877" s="8"/>
    </row>
    <row r="878">
      <c r="A878" s="8"/>
      <c r="B878" s="8"/>
      <c r="C878" s="8"/>
      <c r="D878" s="8"/>
      <c r="E878" s="8"/>
      <c r="F878" s="8"/>
      <c r="G878" s="8"/>
      <c r="H878" s="8"/>
      <c r="I878" s="8"/>
      <c r="J878" s="8"/>
      <c r="K878" s="8"/>
      <c r="L878" s="8"/>
      <c r="M878" s="8"/>
      <c r="N878" s="8"/>
      <c r="O878" s="8"/>
      <c r="P878" s="8"/>
      <c r="Q878" s="8"/>
      <c r="R878" s="8"/>
      <c r="S878" s="8"/>
      <c r="T878" s="8"/>
      <c r="U878" s="8"/>
      <c r="V878" s="8"/>
      <c r="W878" s="8"/>
    </row>
    <row r="879">
      <c r="A879" s="8"/>
      <c r="B879" s="8"/>
      <c r="C879" s="8"/>
      <c r="D879" s="8"/>
      <c r="E879" s="8"/>
      <c r="F879" s="8"/>
      <c r="G879" s="8"/>
      <c r="H879" s="8"/>
      <c r="I879" s="8"/>
      <c r="J879" s="8"/>
      <c r="K879" s="8"/>
      <c r="L879" s="8"/>
      <c r="M879" s="8"/>
      <c r="N879" s="8"/>
      <c r="O879" s="8"/>
      <c r="P879" s="8"/>
      <c r="Q879" s="8"/>
      <c r="R879" s="8"/>
      <c r="S879" s="8"/>
      <c r="T879" s="8"/>
      <c r="U879" s="8"/>
      <c r="V879" s="8"/>
      <c r="W879" s="8"/>
    </row>
    <row r="880">
      <c r="A880" s="8"/>
      <c r="B880" s="8"/>
      <c r="C880" s="8"/>
      <c r="D880" s="8"/>
      <c r="E880" s="8"/>
      <c r="F880" s="8"/>
      <c r="G880" s="8"/>
      <c r="H880" s="8"/>
      <c r="I880" s="8"/>
      <c r="J880" s="8"/>
      <c r="K880" s="8"/>
      <c r="L880" s="8"/>
      <c r="M880" s="8"/>
      <c r="N880" s="8"/>
      <c r="O880" s="8"/>
      <c r="P880" s="8"/>
      <c r="Q880" s="8"/>
      <c r="R880" s="8"/>
      <c r="S880" s="8"/>
      <c r="T880" s="8"/>
      <c r="U880" s="8"/>
      <c r="V880" s="8"/>
      <c r="W880" s="8"/>
    </row>
    <row r="881">
      <c r="A881" s="8"/>
      <c r="B881" s="8"/>
      <c r="C881" s="8"/>
      <c r="D881" s="8"/>
      <c r="E881" s="8"/>
      <c r="F881" s="8"/>
      <c r="G881" s="8"/>
      <c r="H881" s="8"/>
      <c r="I881" s="8"/>
      <c r="J881" s="8"/>
      <c r="K881" s="8"/>
      <c r="L881" s="8"/>
      <c r="M881" s="8"/>
      <c r="N881" s="8"/>
      <c r="O881" s="8"/>
      <c r="P881" s="8"/>
      <c r="Q881" s="8"/>
      <c r="R881" s="8"/>
      <c r="S881" s="8"/>
      <c r="T881" s="8"/>
      <c r="U881" s="8"/>
      <c r="V881" s="8"/>
      <c r="W881" s="8"/>
    </row>
    <row r="882">
      <c r="A882" s="8"/>
      <c r="B882" s="8"/>
      <c r="C882" s="8"/>
      <c r="D882" s="8"/>
      <c r="E882" s="8"/>
      <c r="F882" s="8"/>
      <c r="G882" s="8"/>
      <c r="H882" s="8"/>
      <c r="I882" s="8"/>
      <c r="J882" s="8"/>
      <c r="K882" s="8"/>
      <c r="L882" s="8"/>
      <c r="M882" s="8"/>
      <c r="N882" s="8"/>
      <c r="O882" s="8"/>
      <c r="P882" s="8"/>
      <c r="Q882" s="8"/>
      <c r="R882" s="8"/>
      <c r="S882" s="8"/>
      <c r="T882" s="8"/>
      <c r="U882" s="8"/>
      <c r="V882" s="8"/>
      <c r="W882" s="8"/>
    </row>
    <row r="883">
      <c r="A883" s="8"/>
      <c r="B883" s="8"/>
      <c r="C883" s="8"/>
      <c r="D883" s="8"/>
      <c r="E883" s="8"/>
      <c r="F883" s="8"/>
      <c r="G883" s="8"/>
      <c r="H883" s="8"/>
      <c r="I883" s="8"/>
      <c r="J883" s="8"/>
      <c r="K883" s="8"/>
      <c r="L883" s="8"/>
      <c r="M883" s="8"/>
      <c r="N883" s="8"/>
      <c r="O883" s="8"/>
      <c r="P883" s="8"/>
      <c r="Q883" s="8"/>
      <c r="R883" s="8"/>
      <c r="S883" s="8"/>
      <c r="T883" s="8"/>
      <c r="U883" s="8"/>
      <c r="V883" s="8"/>
      <c r="W883" s="8"/>
    </row>
    <row r="884">
      <c r="A884" s="8"/>
      <c r="B884" s="8"/>
      <c r="C884" s="8"/>
      <c r="D884" s="8"/>
      <c r="E884" s="8"/>
      <c r="F884" s="8"/>
      <c r="G884" s="8"/>
      <c r="H884" s="8"/>
      <c r="I884" s="8"/>
      <c r="J884" s="8"/>
      <c r="K884" s="8"/>
      <c r="L884" s="8"/>
      <c r="M884" s="8"/>
      <c r="N884" s="8"/>
      <c r="O884" s="8"/>
      <c r="P884" s="8"/>
      <c r="Q884" s="8"/>
      <c r="R884" s="8"/>
      <c r="S884" s="8"/>
      <c r="T884" s="8"/>
      <c r="U884" s="8"/>
      <c r="V884" s="8"/>
      <c r="W884" s="8"/>
    </row>
    <row r="885">
      <c r="A885" s="8"/>
      <c r="B885" s="8"/>
      <c r="C885" s="8"/>
      <c r="D885" s="8"/>
      <c r="E885" s="8"/>
      <c r="F885" s="8"/>
      <c r="G885" s="8"/>
      <c r="H885" s="8"/>
      <c r="I885" s="8"/>
      <c r="J885" s="8"/>
      <c r="K885" s="8"/>
      <c r="L885" s="8"/>
      <c r="M885" s="8"/>
      <c r="N885" s="8"/>
      <c r="O885" s="8"/>
      <c r="P885" s="8"/>
      <c r="Q885" s="8"/>
      <c r="R885" s="8"/>
      <c r="S885" s="8"/>
      <c r="T885" s="8"/>
      <c r="U885" s="8"/>
      <c r="V885" s="8"/>
      <c r="W885" s="8"/>
    </row>
    <row r="886">
      <c r="A886" s="8"/>
      <c r="B886" s="8"/>
      <c r="C886" s="8"/>
      <c r="D886" s="8"/>
      <c r="E886" s="8"/>
      <c r="F886" s="8"/>
      <c r="G886" s="8"/>
      <c r="H886" s="8"/>
      <c r="I886" s="8"/>
      <c r="J886" s="8"/>
      <c r="K886" s="8"/>
      <c r="L886" s="8"/>
      <c r="M886" s="8"/>
      <c r="N886" s="8"/>
      <c r="O886" s="8"/>
      <c r="P886" s="8"/>
      <c r="Q886" s="8"/>
      <c r="R886" s="8"/>
      <c r="S886" s="8"/>
      <c r="T886" s="8"/>
      <c r="U886" s="8"/>
      <c r="V886" s="8"/>
      <c r="W886" s="8"/>
    </row>
    <row r="887">
      <c r="A887" s="8"/>
      <c r="B887" s="8"/>
      <c r="C887" s="8"/>
      <c r="D887" s="8"/>
      <c r="E887" s="8"/>
      <c r="F887" s="8"/>
      <c r="G887" s="8"/>
      <c r="H887" s="8"/>
      <c r="I887" s="8"/>
      <c r="J887" s="8"/>
      <c r="K887" s="8"/>
      <c r="L887" s="8"/>
      <c r="M887" s="8"/>
      <c r="N887" s="8"/>
      <c r="O887" s="8"/>
      <c r="P887" s="8"/>
      <c r="Q887" s="8"/>
      <c r="R887" s="8"/>
      <c r="S887" s="8"/>
      <c r="T887" s="8"/>
      <c r="U887" s="8"/>
      <c r="V887" s="8"/>
      <c r="W887" s="8"/>
    </row>
    <row r="888">
      <c r="A888" s="8"/>
      <c r="B888" s="8"/>
      <c r="C888" s="8"/>
      <c r="D888" s="8"/>
      <c r="E888" s="8"/>
      <c r="F888" s="8"/>
      <c r="G888" s="8"/>
      <c r="H888" s="8"/>
      <c r="I888" s="8"/>
      <c r="J888" s="8"/>
      <c r="K888" s="8"/>
      <c r="L888" s="8"/>
      <c r="M888" s="8"/>
      <c r="N888" s="8"/>
      <c r="O888" s="8"/>
      <c r="P888" s="8"/>
      <c r="Q888" s="8"/>
      <c r="R888" s="8"/>
      <c r="S888" s="8"/>
      <c r="T888" s="8"/>
      <c r="U888" s="8"/>
      <c r="V888" s="8"/>
      <c r="W888" s="8"/>
    </row>
    <row r="889">
      <c r="A889" s="8"/>
      <c r="B889" s="8"/>
      <c r="C889" s="8"/>
      <c r="D889" s="8"/>
      <c r="E889" s="8"/>
      <c r="F889" s="8"/>
      <c r="G889" s="8"/>
      <c r="H889" s="8"/>
      <c r="I889" s="8"/>
      <c r="J889" s="8"/>
      <c r="K889" s="8"/>
      <c r="L889" s="8"/>
      <c r="M889" s="8"/>
      <c r="N889" s="8"/>
      <c r="O889" s="8"/>
      <c r="P889" s="8"/>
      <c r="Q889" s="8"/>
      <c r="R889" s="8"/>
      <c r="S889" s="8"/>
      <c r="T889" s="8"/>
      <c r="U889" s="8"/>
      <c r="V889" s="8"/>
      <c r="W889" s="8"/>
    </row>
    <row r="890">
      <c r="A890" s="8"/>
      <c r="B890" s="8"/>
      <c r="C890" s="8"/>
      <c r="D890" s="8"/>
      <c r="E890" s="8"/>
      <c r="F890" s="8"/>
      <c r="G890" s="8"/>
      <c r="H890" s="8"/>
      <c r="I890" s="8"/>
      <c r="J890" s="8"/>
      <c r="K890" s="8"/>
      <c r="L890" s="8"/>
      <c r="M890" s="8"/>
      <c r="N890" s="8"/>
      <c r="O890" s="8"/>
      <c r="P890" s="8"/>
      <c r="Q890" s="8"/>
      <c r="R890" s="8"/>
      <c r="S890" s="8"/>
      <c r="T890" s="8"/>
      <c r="U890" s="8"/>
      <c r="V890" s="8"/>
      <c r="W890" s="8"/>
    </row>
    <row r="891">
      <c r="A891" s="8"/>
      <c r="B891" s="8"/>
      <c r="C891" s="8"/>
      <c r="D891" s="8"/>
      <c r="E891" s="8"/>
      <c r="F891" s="8"/>
      <c r="G891" s="8"/>
      <c r="H891" s="8"/>
      <c r="I891" s="8"/>
      <c r="J891" s="8"/>
      <c r="K891" s="8"/>
      <c r="L891" s="8"/>
      <c r="M891" s="8"/>
      <c r="N891" s="8"/>
      <c r="O891" s="8"/>
      <c r="P891" s="8"/>
      <c r="Q891" s="8"/>
      <c r="R891" s="8"/>
      <c r="S891" s="8"/>
      <c r="T891" s="8"/>
      <c r="U891" s="8"/>
      <c r="V891" s="8"/>
      <c r="W891" s="8"/>
    </row>
    <row r="892">
      <c r="A892" s="8"/>
      <c r="B892" s="8"/>
      <c r="C892" s="8"/>
      <c r="D892" s="8"/>
      <c r="E892" s="8"/>
      <c r="F892" s="8"/>
      <c r="G892" s="8"/>
      <c r="H892" s="8"/>
      <c r="I892" s="8"/>
      <c r="J892" s="8"/>
      <c r="K892" s="8"/>
      <c r="L892" s="8"/>
      <c r="M892" s="8"/>
      <c r="N892" s="8"/>
      <c r="O892" s="8"/>
      <c r="P892" s="8"/>
      <c r="Q892" s="8"/>
      <c r="R892" s="8"/>
      <c r="S892" s="8"/>
      <c r="T892" s="8"/>
      <c r="U892" s="8"/>
      <c r="V892" s="8"/>
      <c r="W892" s="8"/>
    </row>
    <row r="893">
      <c r="A893" s="8"/>
      <c r="B893" s="8"/>
      <c r="C893" s="8"/>
      <c r="D893" s="8"/>
      <c r="E893" s="8"/>
      <c r="F893" s="8"/>
      <c r="G893" s="8"/>
      <c r="H893" s="8"/>
      <c r="I893" s="8"/>
      <c r="J893" s="8"/>
      <c r="K893" s="8"/>
      <c r="L893" s="8"/>
      <c r="M893" s="8"/>
      <c r="N893" s="8"/>
      <c r="O893" s="8"/>
      <c r="P893" s="8"/>
      <c r="Q893" s="8"/>
      <c r="R893" s="8"/>
      <c r="S893" s="8"/>
      <c r="T893" s="8"/>
      <c r="U893" s="8"/>
      <c r="V893" s="8"/>
      <c r="W893" s="8"/>
    </row>
    <row r="894">
      <c r="A894" s="8"/>
      <c r="B894" s="8"/>
      <c r="C894" s="8"/>
      <c r="D894" s="8"/>
      <c r="E894" s="8"/>
      <c r="F894" s="8"/>
      <c r="G894" s="8"/>
      <c r="H894" s="8"/>
      <c r="I894" s="8"/>
      <c r="J894" s="8"/>
      <c r="K894" s="8"/>
      <c r="L894" s="8"/>
      <c r="M894" s="8"/>
      <c r="N894" s="8"/>
      <c r="O894" s="8"/>
      <c r="P894" s="8"/>
      <c r="Q894" s="8"/>
      <c r="R894" s="8"/>
      <c r="S894" s="8"/>
      <c r="T894" s="8"/>
      <c r="U894" s="8"/>
      <c r="V894" s="8"/>
      <c r="W894" s="8"/>
    </row>
    <row r="895">
      <c r="A895" s="8"/>
      <c r="B895" s="8"/>
      <c r="C895" s="8"/>
      <c r="D895" s="8"/>
      <c r="E895" s="8"/>
      <c r="F895" s="8"/>
      <c r="G895" s="8"/>
      <c r="H895" s="8"/>
      <c r="I895" s="8"/>
      <c r="J895" s="8"/>
      <c r="K895" s="8"/>
      <c r="L895" s="8"/>
      <c r="M895" s="8"/>
      <c r="N895" s="8"/>
      <c r="O895" s="8"/>
      <c r="P895" s="8"/>
      <c r="Q895" s="8"/>
      <c r="R895" s="8"/>
      <c r="S895" s="8"/>
      <c r="T895" s="8"/>
      <c r="U895" s="8"/>
      <c r="V895" s="8"/>
      <c r="W895" s="8"/>
    </row>
    <row r="896">
      <c r="A896" s="8"/>
      <c r="B896" s="8"/>
      <c r="C896" s="8"/>
      <c r="D896" s="8"/>
      <c r="E896" s="8"/>
      <c r="F896" s="8"/>
      <c r="G896" s="8"/>
      <c r="H896" s="8"/>
      <c r="I896" s="8"/>
      <c r="J896" s="8"/>
      <c r="K896" s="8"/>
      <c r="L896" s="8"/>
      <c r="M896" s="8"/>
      <c r="N896" s="8"/>
      <c r="O896" s="8"/>
      <c r="P896" s="8"/>
      <c r="Q896" s="8"/>
      <c r="R896" s="8"/>
      <c r="S896" s="8"/>
      <c r="T896" s="8"/>
      <c r="U896" s="8"/>
      <c r="V896" s="8"/>
      <c r="W896" s="8"/>
    </row>
    <row r="897">
      <c r="A897" s="8"/>
      <c r="B897" s="8"/>
      <c r="C897" s="8"/>
      <c r="D897" s="8"/>
      <c r="E897" s="8"/>
      <c r="F897" s="8"/>
      <c r="G897" s="8"/>
      <c r="H897" s="8"/>
      <c r="I897" s="8"/>
      <c r="J897" s="8"/>
      <c r="K897" s="8"/>
      <c r="L897" s="8"/>
      <c r="M897" s="8"/>
      <c r="N897" s="8"/>
      <c r="O897" s="8"/>
      <c r="P897" s="8"/>
      <c r="Q897" s="8"/>
      <c r="R897" s="8"/>
      <c r="S897" s="8"/>
      <c r="T897" s="8"/>
      <c r="U897" s="8"/>
      <c r="V897" s="8"/>
      <c r="W897" s="8"/>
    </row>
    <row r="898">
      <c r="A898" s="8"/>
      <c r="B898" s="8"/>
      <c r="C898" s="8"/>
      <c r="D898" s="8"/>
      <c r="E898" s="8"/>
      <c r="F898" s="8"/>
      <c r="G898" s="8"/>
      <c r="H898" s="8"/>
      <c r="I898" s="8"/>
      <c r="J898" s="8"/>
      <c r="K898" s="8"/>
      <c r="L898" s="8"/>
      <c r="M898" s="8"/>
      <c r="N898" s="8"/>
      <c r="O898" s="8"/>
      <c r="P898" s="8"/>
      <c r="Q898" s="8"/>
      <c r="R898" s="8"/>
      <c r="S898" s="8"/>
      <c r="T898" s="8"/>
      <c r="U898" s="8"/>
      <c r="V898" s="8"/>
      <c r="W898" s="8"/>
    </row>
    <row r="899">
      <c r="A899" s="8"/>
      <c r="B899" s="8"/>
      <c r="C899" s="8"/>
      <c r="D899" s="8"/>
      <c r="E899" s="8"/>
      <c r="F899" s="8"/>
      <c r="G899" s="8"/>
      <c r="H899" s="8"/>
      <c r="I899" s="8"/>
      <c r="J899" s="8"/>
      <c r="K899" s="8"/>
      <c r="L899" s="8"/>
      <c r="M899" s="8"/>
      <c r="N899" s="8"/>
      <c r="O899" s="8"/>
      <c r="P899" s="8"/>
      <c r="Q899" s="8"/>
      <c r="R899" s="8"/>
      <c r="S899" s="8"/>
      <c r="T899" s="8"/>
      <c r="U899" s="8"/>
      <c r="V899" s="8"/>
      <c r="W899" s="8"/>
    </row>
    <row r="900">
      <c r="A900" s="8"/>
      <c r="B900" s="8"/>
      <c r="C900" s="8"/>
      <c r="D900" s="8"/>
      <c r="E900" s="8"/>
      <c r="F900" s="8"/>
      <c r="G900" s="8"/>
      <c r="H900" s="8"/>
      <c r="I900" s="8"/>
      <c r="J900" s="8"/>
      <c r="K900" s="8"/>
      <c r="L900" s="8"/>
      <c r="M900" s="8"/>
      <c r="N900" s="8"/>
      <c r="O900" s="8"/>
      <c r="P900" s="8"/>
      <c r="Q900" s="8"/>
      <c r="R900" s="8"/>
      <c r="S900" s="8"/>
      <c r="T900" s="8"/>
      <c r="U900" s="8"/>
      <c r="V900" s="8"/>
      <c r="W900" s="8"/>
    </row>
    <row r="901">
      <c r="A901" s="8"/>
      <c r="B901" s="8"/>
      <c r="C901" s="8"/>
      <c r="D901" s="8"/>
      <c r="E901" s="8"/>
      <c r="F901" s="8"/>
      <c r="G901" s="8"/>
      <c r="H901" s="8"/>
      <c r="I901" s="8"/>
      <c r="J901" s="8"/>
      <c r="K901" s="8"/>
      <c r="L901" s="8"/>
      <c r="M901" s="8"/>
      <c r="N901" s="8"/>
      <c r="O901" s="8"/>
      <c r="P901" s="8"/>
      <c r="Q901" s="8"/>
      <c r="R901" s="8"/>
      <c r="S901" s="8"/>
      <c r="T901" s="8"/>
      <c r="U901" s="8"/>
      <c r="V901" s="8"/>
      <c r="W901" s="8"/>
    </row>
    <row r="902">
      <c r="A902" s="8"/>
      <c r="B902" s="8"/>
      <c r="C902" s="8"/>
      <c r="D902" s="8"/>
      <c r="E902" s="8"/>
      <c r="F902" s="8"/>
      <c r="G902" s="8"/>
      <c r="H902" s="8"/>
      <c r="I902" s="8"/>
      <c r="J902" s="8"/>
      <c r="K902" s="8"/>
      <c r="L902" s="8"/>
      <c r="M902" s="8"/>
      <c r="N902" s="8"/>
      <c r="O902" s="8"/>
      <c r="P902" s="8"/>
      <c r="Q902" s="8"/>
      <c r="R902" s="8"/>
      <c r="S902" s="8"/>
      <c r="T902" s="8"/>
      <c r="U902" s="8"/>
      <c r="V902" s="8"/>
      <c r="W902" s="8"/>
    </row>
    <row r="903">
      <c r="A903" s="8"/>
      <c r="B903" s="8"/>
      <c r="C903" s="8"/>
      <c r="D903" s="8"/>
      <c r="E903" s="8"/>
      <c r="F903" s="8"/>
      <c r="G903" s="8"/>
      <c r="H903" s="8"/>
      <c r="I903" s="8"/>
      <c r="J903" s="8"/>
      <c r="K903" s="8"/>
      <c r="L903" s="8"/>
      <c r="M903" s="8"/>
      <c r="N903" s="8"/>
      <c r="O903" s="8"/>
      <c r="P903" s="8"/>
      <c r="Q903" s="8"/>
      <c r="R903" s="8"/>
      <c r="S903" s="8"/>
      <c r="T903" s="8"/>
      <c r="U903" s="8"/>
      <c r="V903" s="8"/>
      <c r="W903" s="8"/>
    </row>
    <row r="904">
      <c r="A904" s="8"/>
      <c r="B904" s="8"/>
      <c r="C904" s="8"/>
      <c r="D904" s="8"/>
      <c r="E904" s="8"/>
      <c r="F904" s="8"/>
      <c r="G904" s="8"/>
      <c r="H904" s="8"/>
      <c r="I904" s="8"/>
      <c r="J904" s="8"/>
      <c r="K904" s="8"/>
      <c r="L904" s="8"/>
      <c r="M904" s="8"/>
      <c r="N904" s="8"/>
      <c r="O904" s="8"/>
      <c r="P904" s="8"/>
      <c r="Q904" s="8"/>
      <c r="R904" s="8"/>
      <c r="S904" s="8"/>
      <c r="T904" s="8"/>
      <c r="U904" s="8"/>
      <c r="V904" s="8"/>
      <c r="W904" s="8"/>
    </row>
    <row r="905">
      <c r="A905" s="8"/>
      <c r="B905" s="8"/>
      <c r="C905" s="8"/>
      <c r="D905" s="8"/>
      <c r="E905" s="8"/>
      <c r="F905" s="8"/>
      <c r="G905" s="8"/>
      <c r="H905" s="8"/>
      <c r="I905" s="8"/>
      <c r="J905" s="8"/>
      <c r="K905" s="8"/>
      <c r="L905" s="8"/>
      <c r="M905" s="8"/>
      <c r="N905" s="8"/>
      <c r="O905" s="8"/>
      <c r="P905" s="8"/>
      <c r="Q905" s="8"/>
      <c r="R905" s="8"/>
      <c r="S905" s="8"/>
      <c r="T905" s="8"/>
      <c r="U905" s="8"/>
      <c r="V905" s="8"/>
      <c r="W905" s="8"/>
    </row>
    <row r="906">
      <c r="A906" s="8"/>
      <c r="B906" s="8"/>
      <c r="C906" s="8"/>
      <c r="D906" s="8"/>
      <c r="E906" s="8"/>
      <c r="F906" s="8"/>
      <c r="G906" s="8"/>
      <c r="H906" s="8"/>
      <c r="I906" s="8"/>
      <c r="J906" s="8"/>
      <c r="K906" s="8"/>
      <c r="L906" s="8"/>
      <c r="M906" s="8"/>
      <c r="N906" s="8"/>
      <c r="O906" s="8"/>
      <c r="P906" s="8"/>
      <c r="Q906" s="8"/>
      <c r="R906" s="8"/>
      <c r="S906" s="8"/>
      <c r="T906" s="8"/>
      <c r="U906" s="8"/>
      <c r="V906" s="8"/>
      <c r="W906" s="8"/>
    </row>
    <row r="907">
      <c r="A907" s="8"/>
      <c r="B907" s="8"/>
      <c r="C907" s="8"/>
      <c r="D907" s="8"/>
      <c r="E907" s="8"/>
      <c r="F907" s="8"/>
      <c r="G907" s="8"/>
      <c r="H907" s="8"/>
      <c r="I907" s="8"/>
      <c r="J907" s="8"/>
      <c r="K907" s="8"/>
      <c r="L907" s="8"/>
      <c r="M907" s="8"/>
      <c r="N907" s="8"/>
      <c r="O907" s="8"/>
      <c r="P907" s="8"/>
      <c r="Q907" s="8"/>
      <c r="R907" s="8"/>
      <c r="S907" s="8"/>
      <c r="T907" s="8"/>
      <c r="U907" s="8"/>
      <c r="V907" s="8"/>
      <c r="W907" s="8"/>
    </row>
    <row r="908">
      <c r="A908" s="8"/>
      <c r="B908" s="8"/>
      <c r="C908" s="8"/>
      <c r="D908" s="8"/>
      <c r="E908" s="8"/>
      <c r="F908" s="8"/>
      <c r="G908" s="8"/>
      <c r="H908" s="8"/>
      <c r="I908" s="8"/>
      <c r="J908" s="8"/>
      <c r="K908" s="8"/>
      <c r="L908" s="8"/>
      <c r="M908" s="8"/>
      <c r="N908" s="8"/>
      <c r="O908" s="8"/>
      <c r="P908" s="8"/>
      <c r="Q908" s="8"/>
      <c r="R908" s="8"/>
      <c r="S908" s="8"/>
      <c r="T908" s="8"/>
      <c r="U908" s="8"/>
      <c r="V908" s="8"/>
      <c r="W908" s="8"/>
    </row>
    <row r="909">
      <c r="A909" s="8"/>
      <c r="B909" s="8"/>
      <c r="C909" s="8"/>
      <c r="D909" s="8"/>
      <c r="E909" s="8"/>
      <c r="F909" s="8"/>
      <c r="G909" s="8"/>
      <c r="H909" s="8"/>
      <c r="I909" s="8"/>
      <c r="J909" s="8"/>
      <c r="K909" s="8"/>
      <c r="L909" s="8"/>
      <c r="M909" s="8"/>
      <c r="N909" s="8"/>
      <c r="O909" s="8"/>
      <c r="P909" s="8"/>
      <c r="Q909" s="8"/>
      <c r="R909" s="8"/>
      <c r="S909" s="8"/>
      <c r="T909" s="8"/>
      <c r="U909" s="8"/>
      <c r="V909" s="8"/>
      <c r="W909" s="8"/>
    </row>
    <row r="910">
      <c r="A910" s="8"/>
      <c r="B910" s="8"/>
      <c r="C910" s="8"/>
      <c r="D910" s="8"/>
      <c r="E910" s="8"/>
      <c r="F910" s="8"/>
      <c r="G910" s="8"/>
      <c r="H910" s="8"/>
      <c r="I910" s="8"/>
      <c r="J910" s="8"/>
      <c r="K910" s="8"/>
      <c r="L910" s="8"/>
      <c r="M910" s="8"/>
      <c r="N910" s="8"/>
      <c r="O910" s="8"/>
      <c r="P910" s="8"/>
      <c r="Q910" s="8"/>
      <c r="R910" s="8"/>
      <c r="S910" s="8"/>
      <c r="T910" s="8"/>
      <c r="U910" s="8"/>
      <c r="V910" s="8"/>
      <c r="W910" s="8"/>
    </row>
    <row r="911">
      <c r="A911" s="8"/>
      <c r="B911" s="8"/>
      <c r="C911" s="8"/>
      <c r="D911" s="8"/>
      <c r="E911" s="8"/>
      <c r="F911" s="8"/>
      <c r="G911" s="8"/>
      <c r="H911" s="8"/>
      <c r="I911" s="8"/>
      <c r="J911" s="8"/>
      <c r="K911" s="8"/>
      <c r="L911" s="8"/>
      <c r="M911" s="8"/>
      <c r="N911" s="8"/>
      <c r="O911" s="8"/>
      <c r="P911" s="8"/>
      <c r="Q911" s="8"/>
      <c r="R911" s="8"/>
      <c r="S911" s="8"/>
      <c r="T911" s="8"/>
      <c r="U911" s="8"/>
      <c r="V911" s="8"/>
      <c r="W911" s="8"/>
    </row>
    <row r="912">
      <c r="A912" s="8"/>
      <c r="B912" s="8"/>
      <c r="C912" s="8"/>
      <c r="D912" s="8"/>
      <c r="E912" s="8"/>
      <c r="F912" s="8"/>
      <c r="G912" s="8"/>
      <c r="H912" s="8"/>
      <c r="I912" s="8"/>
      <c r="J912" s="8"/>
      <c r="K912" s="8"/>
      <c r="L912" s="8"/>
      <c r="M912" s="8"/>
      <c r="N912" s="8"/>
      <c r="O912" s="8"/>
      <c r="P912" s="8"/>
      <c r="Q912" s="8"/>
      <c r="R912" s="8"/>
      <c r="S912" s="8"/>
      <c r="T912" s="8"/>
      <c r="U912" s="8"/>
      <c r="V912" s="8"/>
      <c r="W912" s="8"/>
    </row>
    <row r="913">
      <c r="A913" s="8"/>
      <c r="B913" s="8"/>
      <c r="C913" s="8"/>
      <c r="D913" s="8"/>
      <c r="E913" s="8"/>
      <c r="F913" s="8"/>
      <c r="G913" s="8"/>
      <c r="H913" s="8"/>
      <c r="I913" s="8"/>
      <c r="J913" s="8"/>
      <c r="K913" s="8"/>
      <c r="L913" s="8"/>
      <c r="M913" s="8"/>
      <c r="N913" s="8"/>
      <c r="O913" s="8"/>
      <c r="P913" s="8"/>
      <c r="Q913" s="8"/>
      <c r="R913" s="8"/>
      <c r="S913" s="8"/>
      <c r="T913" s="8"/>
      <c r="U913" s="8"/>
      <c r="V913" s="8"/>
      <c r="W913" s="8"/>
    </row>
    <row r="914">
      <c r="A914" s="8"/>
      <c r="B914" s="8"/>
      <c r="C914" s="8"/>
      <c r="D914" s="8"/>
      <c r="E914" s="8"/>
      <c r="F914" s="8"/>
      <c r="G914" s="8"/>
      <c r="H914" s="8"/>
      <c r="I914" s="8"/>
      <c r="J914" s="8"/>
      <c r="K914" s="8"/>
      <c r="L914" s="8"/>
      <c r="M914" s="8"/>
      <c r="N914" s="8"/>
      <c r="O914" s="8"/>
      <c r="P914" s="8"/>
      <c r="Q914" s="8"/>
      <c r="R914" s="8"/>
      <c r="S914" s="8"/>
      <c r="T914" s="8"/>
      <c r="U914" s="8"/>
      <c r="V914" s="8"/>
      <c r="W914" s="8"/>
    </row>
    <row r="915">
      <c r="A915" s="8"/>
      <c r="B915" s="8"/>
      <c r="C915" s="8"/>
      <c r="D915" s="8"/>
      <c r="E915" s="8"/>
      <c r="F915" s="8"/>
      <c r="G915" s="8"/>
      <c r="H915" s="8"/>
      <c r="I915" s="8"/>
      <c r="J915" s="8"/>
      <c r="K915" s="8"/>
      <c r="L915" s="8"/>
      <c r="M915" s="8"/>
      <c r="N915" s="8"/>
      <c r="O915" s="8"/>
      <c r="P915" s="8"/>
      <c r="Q915" s="8"/>
      <c r="R915" s="8"/>
      <c r="S915" s="8"/>
      <c r="T915" s="8"/>
      <c r="U915" s="8"/>
      <c r="V915" s="8"/>
      <c r="W915" s="8"/>
    </row>
    <row r="916">
      <c r="A916" s="8"/>
      <c r="B916" s="8"/>
      <c r="C916" s="8"/>
      <c r="D916" s="8"/>
      <c r="E916" s="8"/>
      <c r="F916" s="8"/>
      <c r="G916" s="8"/>
      <c r="H916" s="8"/>
      <c r="I916" s="8"/>
      <c r="J916" s="8"/>
      <c r="K916" s="8"/>
      <c r="L916" s="8"/>
      <c r="M916" s="8"/>
      <c r="N916" s="8"/>
      <c r="O916" s="8"/>
      <c r="P916" s="8"/>
      <c r="Q916" s="8"/>
      <c r="R916" s="8"/>
      <c r="S916" s="8"/>
      <c r="T916" s="8"/>
      <c r="U916" s="8"/>
      <c r="V916" s="8"/>
      <c r="W916" s="8"/>
    </row>
    <row r="917">
      <c r="A917" s="8"/>
      <c r="B917" s="8"/>
      <c r="C917" s="8"/>
      <c r="D917" s="8"/>
      <c r="E917" s="8"/>
      <c r="F917" s="8"/>
      <c r="G917" s="8"/>
      <c r="H917" s="8"/>
      <c r="I917" s="8"/>
      <c r="J917" s="8"/>
      <c r="K917" s="8"/>
      <c r="L917" s="8"/>
      <c r="M917" s="8"/>
      <c r="N917" s="8"/>
      <c r="O917" s="8"/>
      <c r="P917" s="8"/>
      <c r="Q917" s="8"/>
      <c r="R917" s="8"/>
      <c r="S917" s="8"/>
      <c r="T917" s="8"/>
      <c r="U917" s="8"/>
      <c r="V917" s="8"/>
      <c r="W917" s="8"/>
    </row>
    <row r="918">
      <c r="A918" s="8"/>
      <c r="B918" s="8"/>
      <c r="C918" s="8"/>
      <c r="D918" s="8"/>
      <c r="E918" s="8"/>
      <c r="F918" s="8"/>
      <c r="G918" s="8"/>
      <c r="H918" s="8"/>
      <c r="I918" s="8"/>
      <c r="J918" s="8"/>
      <c r="K918" s="8"/>
      <c r="L918" s="8"/>
      <c r="M918" s="8"/>
      <c r="N918" s="8"/>
      <c r="O918" s="8"/>
      <c r="P918" s="8"/>
      <c r="Q918" s="8"/>
      <c r="R918" s="8"/>
      <c r="S918" s="8"/>
      <c r="T918" s="8"/>
      <c r="U918" s="8"/>
      <c r="V918" s="8"/>
      <c r="W918" s="8"/>
    </row>
    <row r="919">
      <c r="A919" s="8"/>
      <c r="B919" s="8"/>
      <c r="C919" s="8"/>
      <c r="D919" s="8"/>
      <c r="E919" s="8"/>
      <c r="F919" s="8"/>
      <c r="G919" s="8"/>
      <c r="H919" s="8"/>
      <c r="I919" s="8"/>
      <c r="J919" s="8"/>
      <c r="K919" s="8"/>
      <c r="L919" s="8"/>
      <c r="M919" s="8"/>
      <c r="N919" s="8"/>
      <c r="O919" s="8"/>
      <c r="P919" s="8"/>
      <c r="Q919" s="8"/>
      <c r="R919" s="8"/>
      <c r="S919" s="8"/>
      <c r="T919" s="8"/>
      <c r="U919" s="8"/>
      <c r="V919" s="8"/>
      <c r="W919" s="8"/>
    </row>
    <row r="920">
      <c r="A920" s="8"/>
      <c r="B920" s="8"/>
      <c r="C920" s="8"/>
      <c r="D920" s="8"/>
      <c r="E920" s="8"/>
      <c r="F920" s="8"/>
      <c r="G920" s="8"/>
      <c r="H920" s="8"/>
      <c r="I920" s="8"/>
      <c r="J920" s="8"/>
      <c r="K920" s="8"/>
      <c r="L920" s="8"/>
      <c r="M920" s="8"/>
      <c r="N920" s="8"/>
      <c r="O920" s="8"/>
      <c r="P920" s="8"/>
      <c r="Q920" s="8"/>
      <c r="R920" s="8"/>
      <c r="S920" s="8"/>
      <c r="T920" s="8"/>
      <c r="U920" s="8"/>
      <c r="V920" s="8"/>
      <c r="W920" s="8"/>
    </row>
    <row r="921">
      <c r="A921" s="8"/>
      <c r="B921" s="8"/>
      <c r="C921" s="8"/>
      <c r="D921" s="8"/>
      <c r="E921" s="8"/>
      <c r="F921" s="8"/>
      <c r="G921" s="8"/>
      <c r="H921" s="8"/>
      <c r="I921" s="8"/>
      <c r="J921" s="8"/>
      <c r="K921" s="8"/>
      <c r="L921" s="8"/>
      <c r="M921" s="8"/>
      <c r="N921" s="8"/>
      <c r="O921" s="8"/>
      <c r="P921" s="8"/>
      <c r="Q921" s="8"/>
      <c r="R921" s="8"/>
      <c r="S921" s="8"/>
      <c r="T921" s="8"/>
      <c r="U921" s="8"/>
      <c r="V921" s="8"/>
      <c r="W921" s="8"/>
    </row>
    <row r="922">
      <c r="A922" s="8"/>
      <c r="B922" s="8"/>
      <c r="C922" s="8"/>
      <c r="D922" s="8"/>
      <c r="E922" s="8"/>
      <c r="F922" s="8"/>
      <c r="G922" s="8"/>
      <c r="H922" s="8"/>
      <c r="I922" s="8"/>
      <c r="J922" s="8"/>
      <c r="K922" s="8"/>
      <c r="L922" s="8"/>
      <c r="M922" s="8"/>
      <c r="N922" s="8"/>
      <c r="O922" s="8"/>
      <c r="P922" s="8"/>
      <c r="Q922" s="8"/>
      <c r="R922" s="8"/>
      <c r="S922" s="8"/>
      <c r="T922" s="8"/>
      <c r="U922" s="8"/>
      <c r="V922" s="8"/>
      <c r="W922" s="8"/>
    </row>
    <row r="923">
      <c r="A923" s="8"/>
      <c r="B923" s="8"/>
      <c r="C923" s="8"/>
      <c r="D923" s="8"/>
      <c r="E923" s="8"/>
      <c r="F923" s="8"/>
      <c r="G923" s="8"/>
      <c r="H923" s="8"/>
      <c r="I923" s="8"/>
      <c r="J923" s="8"/>
      <c r="K923" s="8"/>
      <c r="L923" s="8"/>
      <c r="M923" s="8"/>
      <c r="N923" s="8"/>
      <c r="O923" s="8"/>
      <c r="P923" s="8"/>
      <c r="Q923" s="8"/>
      <c r="R923" s="8"/>
      <c r="S923" s="8"/>
      <c r="T923" s="8"/>
      <c r="U923" s="8"/>
      <c r="V923" s="8"/>
      <c r="W923" s="8"/>
    </row>
    <row r="924">
      <c r="A924" s="8"/>
      <c r="B924" s="8"/>
      <c r="C924" s="8"/>
      <c r="D924" s="8"/>
      <c r="E924" s="8"/>
      <c r="F924" s="8"/>
      <c r="G924" s="8"/>
      <c r="H924" s="8"/>
      <c r="I924" s="8"/>
      <c r="J924" s="8"/>
      <c r="K924" s="8"/>
      <c r="L924" s="8"/>
      <c r="M924" s="8"/>
      <c r="N924" s="8"/>
      <c r="O924" s="8"/>
      <c r="P924" s="8"/>
      <c r="Q924" s="8"/>
      <c r="R924" s="8"/>
      <c r="S924" s="8"/>
      <c r="T924" s="8"/>
      <c r="U924" s="8"/>
      <c r="V924" s="8"/>
      <c r="W924" s="8"/>
    </row>
    <row r="925">
      <c r="A925" s="8"/>
      <c r="B925" s="8"/>
      <c r="C925" s="8"/>
      <c r="D925" s="8"/>
      <c r="E925" s="8"/>
      <c r="F925" s="8"/>
      <c r="G925" s="8"/>
      <c r="H925" s="8"/>
      <c r="I925" s="8"/>
      <c r="J925" s="8"/>
      <c r="K925" s="8"/>
      <c r="L925" s="8"/>
      <c r="M925" s="8"/>
      <c r="N925" s="8"/>
      <c r="O925" s="8"/>
      <c r="P925" s="8"/>
      <c r="Q925" s="8"/>
      <c r="R925" s="8"/>
      <c r="S925" s="8"/>
      <c r="T925" s="8"/>
      <c r="U925" s="8"/>
      <c r="V925" s="8"/>
      <c r="W925" s="8"/>
    </row>
    <row r="926">
      <c r="A926" s="8"/>
      <c r="B926" s="8"/>
      <c r="C926" s="8"/>
      <c r="D926" s="8"/>
      <c r="E926" s="8"/>
      <c r="F926" s="8"/>
      <c r="G926" s="8"/>
      <c r="H926" s="8"/>
      <c r="I926" s="8"/>
      <c r="J926" s="8"/>
      <c r="K926" s="8"/>
      <c r="L926" s="8"/>
      <c r="M926" s="8"/>
      <c r="N926" s="8"/>
      <c r="O926" s="8"/>
      <c r="P926" s="8"/>
      <c r="Q926" s="8"/>
      <c r="R926" s="8"/>
      <c r="S926" s="8"/>
      <c r="T926" s="8"/>
      <c r="U926" s="8"/>
      <c r="V926" s="8"/>
      <c r="W926" s="8"/>
    </row>
    <row r="927">
      <c r="A927" s="8"/>
      <c r="B927" s="8"/>
      <c r="C927" s="8"/>
      <c r="D927" s="8"/>
      <c r="E927" s="8"/>
      <c r="F927" s="8"/>
      <c r="G927" s="8"/>
      <c r="H927" s="8"/>
      <c r="I927" s="8"/>
      <c r="J927" s="8"/>
      <c r="K927" s="8"/>
      <c r="L927" s="8"/>
      <c r="M927" s="8"/>
      <c r="N927" s="8"/>
      <c r="O927" s="8"/>
      <c r="P927" s="8"/>
      <c r="Q927" s="8"/>
      <c r="R927" s="8"/>
      <c r="S927" s="8"/>
      <c r="T927" s="8"/>
      <c r="U927" s="8"/>
      <c r="V927" s="8"/>
      <c r="W927" s="8"/>
    </row>
    <row r="928">
      <c r="A928" s="8"/>
      <c r="B928" s="8"/>
      <c r="C928" s="8"/>
      <c r="D928" s="8"/>
      <c r="E928" s="8"/>
      <c r="F928" s="8"/>
      <c r="G928" s="8"/>
      <c r="H928" s="8"/>
      <c r="I928" s="8"/>
      <c r="J928" s="8"/>
      <c r="K928" s="8"/>
      <c r="L928" s="8"/>
      <c r="M928" s="8"/>
      <c r="N928" s="8"/>
      <c r="O928" s="8"/>
      <c r="P928" s="8"/>
      <c r="Q928" s="8"/>
      <c r="R928" s="8"/>
      <c r="S928" s="8"/>
      <c r="T928" s="8"/>
      <c r="U928" s="8"/>
      <c r="V928" s="8"/>
      <c r="W928" s="8"/>
    </row>
    <row r="929">
      <c r="A929" s="8"/>
      <c r="B929" s="8"/>
      <c r="C929" s="8"/>
      <c r="D929" s="8"/>
      <c r="E929" s="8"/>
      <c r="F929" s="8"/>
      <c r="G929" s="8"/>
      <c r="H929" s="8"/>
      <c r="I929" s="8"/>
      <c r="J929" s="8"/>
      <c r="K929" s="8"/>
      <c r="L929" s="8"/>
      <c r="M929" s="8"/>
      <c r="N929" s="8"/>
      <c r="O929" s="8"/>
      <c r="P929" s="8"/>
      <c r="Q929" s="8"/>
      <c r="R929" s="8"/>
      <c r="S929" s="8"/>
      <c r="T929" s="8"/>
      <c r="U929" s="8"/>
      <c r="V929" s="8"/>
      <c r="W929" s="8"/>
    </row>
    <row r="930">
      <c r="A930" s="8"/>
      <c r="B930" s="8"/>
      <c r="C930" s="8"/>
      <c r="D930" s="8"/>
      <c r="E930" s="8"/>
      <c r="F930" s="8"/>
      <c r="G930" s="8"/>
      <c r="H930" s="8"/>
      <c r="I930" s="8"/>
      <c r="J930" s="8"/>
      <c r="K930" s="8"/>
      <c r="L930" s="8"/>
      <c r="M930" s="8"/>
      <c r="N930" s="8"/>
      <c r="O930" s="8"/>
      <c r="P930" s="8"/>
      <c r="Q930" s="8"/>
      <c r="R930" s="8"/>
      <c r="S930" s="8"/>
      <c r="T930" s="8"/>
      <c r="U930" s="8"/>
      <c r="V930" s="8"/>
      <c r="W930" s="8"/>
    </row>
    <row r="931">
      <c r="A931" s="8"/>
      <c r="B931" s="8"/>
      <c r="C931" s="8"/>
      <c r="D931" s="8"/>
      <c r="E931" s="8"/>
      <c r="F931" s="8"/>
      <c r="G931" s="8"/>
      <c r="H931" s="8"/>
      <c r="I931" s="8"/>
      <c r="J931" s="8"/>
      <c r="K931" s="8"/>
      <c r="L931" s="8"/>
      <c r="M931" s="8"/>
      <c r="N931" s="8"/>
      <c r="O931" s="8"/>
      <c r="P931" s="8"/>
      <c r="Q931" s="8"/>
      <c r="R931" s="8"/>
      <c r="S931" s="8"/>
      <c r="T931" s="8"/>
      <c r="U931" s="8"/>
      <c r="V931" s="8"/>
      <c r="W931" s="8"/>
    </row>
    <row r="932">
      <c r="A932" s="8"/>
      <c r="B932" s="8"/>
      <c r="C932" s="8"/>
      <c r="D932" s="8"/>
      <c r="E932" s="8"/>
      <c r="F932" s="8"/>
      <c r="G932" s="8"/>
      <c r="H932" s="8"/>
      <c r="I932" s="8"/>
      <c r="J932" s="8"/>
      <c r="K932" s="8"/>
      <c r="L932" s="8"/>
      <c r="M932" s="8"/>
      <c r="N932" s="8"/>
      <c r="O932" s="8"/>
      <c r="P932" s="8"/>
      <c r="Q932" s="8"/>
      <c r="R932" s="8"/>
      <c r="S932" s="8"/>
      <c r="T932" s="8"/>
      <c r="U932" s="8"/>
      <c r="V932" s="8"/>
      <c r="W932" s="8"/>
    </row>
    <row r="933">
      <c r="A933" s="8"/>
      <c r="B933" s="8"/>
      <c r="C933" s="8"/>
      <c r="D933" s="8"/>
      <c r="E933" s="8"/>
      <c r="F933" s="8"/>
      <c r="G933" s="8"/>
      <c r="H933" s="8"/>
      <c r="I933" s="8"/>
      <c r="J933" s="8"/>
      <c r="K933" s="8"/>
      <c r="L933" s="8"/>
      <c r="M933" s="8"/>
      <c r="N933" s="8"/>
      <c r="O933" s="8"/>
      <c r="P933" s="8"/>
      <c r="Q933" s="8"/>
      <c r="R933" s="8"/>
      <c r="S933" s="8"/>
      <c r="T933" s="8"/>
      <c r="U933" s="8"/>
      <c r="V933" s="8"/>
      <c r="W933" s="8"/>
    </row>
    <row r="934">
      <c r="A934" s="8"/>
      <c r="B934" s="8"/>
      <c r="C934" s="8"/>
      <c r="D934" s="8"/>
      <c r="E934" s="8"/>
      <c r="F934" s="8"/>
      <c r="G934" s="8"/>
      <c r="H934" s="8"/>
      <c r="I934" s="8"/>
      <c r="J934" s="8"/>
      <c r="K934" s="8"/>
      <c r="L934" s="8"/>
      <c r="M934" s="8"/>
      <c r="N934" s="8"/>
      <c r="O934" s="8"/>
      <c r="P934" s="8"/>
      <c r="Q934" s="8"/>
      <c r="R934" s="8"/>
      <c r="S934" s="8"/>
      <c r="T934" s="8"/>
      <c r="U934" s="8"/>
      <c r="V934" s="8"/>
      <c r="W934" s="8"/>
    </row>
    <row r="935">
      <c r="A935" s="8"/>
      <c r="B935" s="8"/>
      <c r="C935" s="8"/>
      <c r="D935" s="8"/>
      <c r="E935" s="8"/>
      <c r="F935" s="8"/>
      <c r="G935" s="8"/>
      <c r="H935" s="8"/>
      <c r="I935" s="8"/>
      <c r="J935" s="8"/>
      <c r="K935" s="8"/>
      <c r="L935" s="8"/>
      <c r="M935" s="8"/>
      <c r="N935" s="8"/>
      <c r="O935" s="8"/>
      <c r="P935" s="8"/>
      <c r="Q935" s="8"/>
      <c r="R935" s="8"/>
      <c r="S935" s="8"/>
      <c r="T935" s="8"/>
      <c r="U935" s="8"/>
      <c r="V935" s="8"/>
      <c r="W935" s="8"/>
    </row>
    <row r="936">
      <c r="A936" s="8"/>
      <c r="B936" s="8"/>
      <c r="C936" s="8"/>
      <c r="D936" s="8"/>
      <c r="E936" s="8"/>
      <c r="F936" s="8"/>
      <c r="G936" s="8"/>
      <c r="H936" s="8"/>
      <c r="I936" s="8"/>
      <c r="J936" s="8"/>
      <c r="K936" s="8"/>
      <c r="L936" s="8"/>
      <c r="M936" s="8"/>
      <c r="N936" s="8"/>
      <c r="O936" s="8"/>
      <c r="P936" s="8"/>
      <c r="Q936" s="8"/>
      <c r="R936" s="8"/>
      <c r="S936" s="8"/>
      <c r="T936" s="8"/>
      <c r="U936" s="8"/>
      <c r="V936" s="8"/>
      <c r="W936" s="8"/>
    </row>
    <row r="937">
      <c r="A937" s="8"/>
      <c r="B937" s="8"/>
      <c r="C937" s="8"/>
      <c r="D937" s="8"/>
      <c r="E937" s="8"/>
      <c r="F937" s="8"/>
      <c r="G937" s="8"/>
      <c r="H937" s="8"/>
      <c r="I937" s="8"/>
      <c r="J937" s="8"/>
      <c r="K937" s="8"/>
      <c r="L937" s="8"/>
      <c r="M937" s="8"/>
      <c r="N937" s="8"/>
      <c r="O937" s="8"/>
      <c r="P937" s="8"/>
      <c r="Q937" s="8"/>
      <c r="R937" s="8"/>
      <c r="S937" s="8"/>
      <c r="T937" s="8"/>
      <c r="U937" s="8"/>
      <c r="V937" s="8"/>
      <c r="W937" s="8"/>
    </row>
    <row r="938">
      <c r="A938" s="8"/>
      <c r="B938" s="8"/>
      <c r="C938" s="8"/>
      <c r="D938" s="8"/>
      <c r="E938" s="8"/>
      <c r="F938" s="8"/>
      <c r="G938" s="8"/>
      <c r="H938" s="8"/>
      <c r="I938" s="8"/>
      <c r="J938" s="8"/>
      <c r="K938" s="8"/>
      <c r="L938" s="8"/>
      <c r="M938" s="8"/>
      <c r="N938" s="8"/>
      <c r="O938" s="8"/>
      <c r="P938" s="8"/>
      <c r="Q938" s="8"/>
      <c r="R938" s="8"/>
      <c r="S938" s="8"/>
      <c r="T938" s="8"/>
      <c r="U938" s="8"/>
      <c r="V938" s="8"/>
      <c r="W938" s="8"/>
    </row>
    <row r="939">
      <c r="A939" s="8"/>
      <c r="B939" s="8"/>
      <c r="C939" s="8"/>
      <c r="D939" s="8"/>
      <c r="E939" s="8"/>
      <c r="F939" s="8"/>
      <c r="G939" s="8"/>
      <c r="H939" s="8"/>
      <c r="I939" s="8"/>
      <c r="J939" s="8"/>
      <c r="K939" s="8"/>
      <c r="L939" s="8"/>
      <c r="M939" s="8"/>
      <c r="N939" s="8"/>
      <c r="O939" s="8"/>
      <c r="P939" s="8"/>
      <c r="Q939" s="8"/>
      <c r="R939" s="8"/>
      <c r="S939" s="8"/>
      <c r="T939" s="8"/>
      <c r="U939" s="8"/>
      <c r="V939" s="8"/>
      <c r="W939" s="8"/>
    </row>
    <row r="940">
      <c r="A940" s="8"/>
      <c r="B940" s="8"/>
      <c r="C940" s="8"/>
      <c r="D940" s="8"/>
      <c r="E940" s="8"/>
      <c r="F940" s="8"/>
      <c r="G940" s="8"/>
      <c r="H940" s="8"/>
      <c r="I940" s="8"/>
      <c r="J940" s="8"/>
      <c r="K940" s="8"/>
      <c r="L940" s="8"/>
      <c r="M940" s="8"/>
      <c r="N940" s="8"/>
      <c r="O940" s="8"/>
      <c r="P940" s="8"/>
      <c r="Q940" s="8"/>
      <c r="R940" s="8"/>
      <c r="S940" s="8"/>
      <c r="T940" s="8"/>
      <c r="U940" s="8"/>
      <c r="V940" s="8"/>
      <c r="W940" s="8"/>
    </row>
    <row r="941">
      <c r="A941" s="8"/>
      <c r="B941" s="8"/>
      <c r="C941" s="8"/>
      <c r="D941" s="8"/>
      <c r="E941" s="8"/>
      <c r="F941" s="8"/>
      <c r="G941" s="8"/>
      <c r="H941" s="8"/>
      <c r="I941" s="8"/>
      <c r="J941" s="8"/>
      <c r="K941" s="8"/>
      <c r="L941" s="8"/>
      <c r="M941" s="8"/>
      <c r="N941" s="8"/>
      <c r="O941" s="8"/>
      <c r="P941" s="8"/>
      <c r="Q941" s="8"/>
      <c r="R941" s="8"/>
      <c r="S941" s="8"/>
      <c r="T941" s="8"/>
      <c r="U941" s="8"/>
      <c r="V941" s="8"/>
      <c r="W941" s="8"/>
    </row>
    <row r="942">
      <c r="A942" s="8"/>
      <c r="B942" s="8"/>
      <c r="C942" s="8"/>
      <c r="D942" s="8"/>
      <c r="E942" s="8"/>
      <c r="F942" s="8"/>
      <c r="G942" s="8"/>
      <c r="H942" s="8"/>
      <c r="I942" s="8"/>
      <c r="J942" s="8"/>
      <c r="K942" s="8"/>
      <c r="L942" s="8"/>
      <c r="M942" s="8"/>
      <c r="N942" s="8"/>
      <c r="O942" s="8"/>
      <c r="P942" s="8"/>
      <c r="Q942" s="8"/>
      <c r="R942" s="8"/>
      <c r="S942" s="8"/>
      <c r="T942" s="8"/>
      <c r="U942" s="8"/>
      <c r="V942" s="8"/>
      <c r="W942" s="8"/>
    </row>
    <row r="943">
      <c r="A943" s="8"/>
      <c r="B943" s="8"/>
      <c r="C943" s="8"/>
      <c r="D943" s="8"/>
      <c r="E943" s="8"/>
      <c r="F943" s="8"/>
      <c r="G943" s="8"/>
      <c r="H943" s="8"/>
      <c r="I943" s="8"/>
      <c r="J943" s="8"/>
      <c r="K943" s="8"/>
      <c r="L943" s="8"/>
      <c r="M943" s="8"/>
      <c r="N943" s="8"/>
      <c r="O943" s="8"/>
      <c r="P943" s="8"/>
      <c r="Q943" s="8"/>
      <c r="R943" s="8"/>
      <c r="S943" s="8"/>
      <c r="T943" s="8"/>
      <c r="U943" s="8"/>
      <c r="V943" s="8"/>
      <c r="W943" s="8"/>
    </row>
    <row r="944">
      <c r="A944" s="8"/>
      <c r="B944" s="8"/>
      <c r="C944" s="8"/>
      <c r="D944" s="8"/>
      <c r="E944" s="8"/>
      <c r="F944" s="8"/>
      <c r="G944" s="8"/>
      <c r="H944" s="8"/>
      <c r="I944" s="8"/>
      <c r="J944" s="8"/>
      <c r="K944" s="8"/>
      <c r="L944" s="8"/>
      <c r="M944" s="8"/>
      <c r="N944" s="8"/>
      <c r="O944" s="8"/>
      <c r="P944" s="8"/>
      <c r="Q944" s="8"/>
      <c r="R944" s="8"/>
      <c r="S944" s="8"/>
      <c r="T944" s="8"/>
      <c r="U944" s="8"/>
      <c r="V944" s="8"/>
      <c r="W944" s="8"/>
    </row>
    <row r="945">
      <c r="A945" s="8"/>
      <c r="B945" s="8"/>
      <c r="C945" s="8"/>
      <c r="D945" s="8"/>
      <c r="E945" s="8"/>
      <c r="F945" s="8"/>
      <c r="G945" s="8"/>
      <c r="H945" s="8"/>
      <c r="I945" s="8"/>
      <c r="J945" s="8"/>
      <c r="K945" s="8"/>
      <c r="L945" s="8"/>
      <c r="M945" s="8"/>
      <c r="N945" s="8"/>
      <c r="O945" s="8"/>
      <c r="P945" s="8"/>
      <c r="Q945" s="8"/>
      <c r="R945" s="8"/>
      <c r="S945" s="8"/>
      <c r="T945" s="8"/>
      <c r="U945" s="8"/>
      <c r="V945" s="8"/>
      <c r="W945" s="8"/>
    </row>
    <row r="946">
      <c r="A946" s="8"/>
      <c r="B946" s="8"/>
      <c r="C946" s="8"/>
      <c r="D946" s="8"/>
      <c r="E946" s="8"/>
      <c r="F946" s="8"/>
      <c r="G946" s="8"/>
      <c r="H946" s="8"/>
      <c r="I946" s="8"/>
      <c r="J946" s="8"/>
      <c r="K946" s="8"/>
      <c r="L946" s="8"/>
      <c r="M946" s="8"/>
      <c r="N946" s="8"/>
      <c r="O946" s="8"/>
      <c r="P946" s="8"/>
      <c r="Q946" s="8"/>
      <c r="R946" s="8"/>
      <c r="S946" s="8"/>
      <c r="T946" s="8"/>
      <c r="U946" s="8"/>
      <c r="V946" s="8"/>
      <c r="W946" s="8"/>
    </row>
    <row r="947">
      <c r="A947" s="8"/>
      <c r="B947" s="8"/>
      <c r="C947" s="8"/>
      <c r="D947" s="8"/>
      <c r="E947" s="8"/>
      <c r="F947" s="8"/>
      <c r="G947" s="8"/>
      <c r="H947" s="8"/>
      <c r="I947" s="8"/>
      <c r="J947" s="8"/>
      <c r="K947" s="8"/>
      <c r="L947" s="8"/>
      <c r="M947" s="8"/>
      <c r="N947" s="8"/>
      <c r="O947" s="8"/>
      <c r="P947" s="8"/>
      <c r="Q947" s="8"/>
      <c r="R947" s="8"/>
      <c r="S947" s="8"/>
      <c r="T947" s="8"/>
      <c r="U947" s="8"/>
      <c r="V947" s="8"/>
      <c r="W947" s="8"/>
    </row>
    <row r="948">
      <c r="A948" s="8"/>
      <c r="B948" s="8"/>
      <c r="C948" s="8"/>
      <c r="D948" s="8"/>
      <c r="E948" s="8"/>
      <c r="F948" s="8"/>
      <c r="G948" s="8"/>
      <c r="H948" s="8"/>
      <c r="I948" s="8"/>
      <c r="J948" s="8"/>
      <c r="K948" s="8"/>
      <c r="L948" s="8"/>
      <c r="M948" s="8"/>
      <c r="N948" s="8"/>
      <c r="O948" s="8"/>
      <c r="P948" s="8"/>
      <c r="Q948" s="8"/>
      <c r="R948" s="8"/>
      <c r="S948" s="8"/>
      <c r="T948" s="8"/>
      <c r="U948" s="8"/>
      <c r="V948" s="8"/>
      <c r="W948" s="8"/>
    </row>
    <row r="949">
      <c r="A949" s="8"/>
      <c r="B949" s="8"/>
      <c r="C949" s="8"/>
      <c r="D949" s="8"/>
      <c r="E949" s="8"/>
      <c r="F949" s="8"/>
      <c r="G949" s="8"/>
      <c r="H949" s="8"/>
      <c r="I949" s="8"/>
      <c r="J949" s="8"/>
      <c r="K949" s="8"/>
      <c r="L949" s="8"/>
      <c r="M949" s="8"/>
      <c r="N949" s="8"/>
      <c r="O949" s="8"/>
      <c r="P949" s="8"/>
      <c r="Q949" s="8"/>
      <c r="R949" s="8"/>
      <c r="S949" s="8"/>
      <c r="T949" s="8"/>
      <c r="U949" s="8"/>
      <c r="V949" s="8"/>
      <c r="W949" s="8"/>
    </row>
    <row r="950">
      <c r="A950" s="8"/>
      <c r="B950" s="8"/>
      <c r="C950" s="8"/>
      <c r="D950" s="8"/>
      <c r="E950" s="8"/>
      <c r="F950" s="8"/>
      <c r="G950" s="8"/>
      <c r="H950" s="8"/>
      <c r="I950" s="8"/>
      <c r="J950" s="8"/>
      <c r="K950" s="8"/>
      <c r="L950" s="8"/>
      <c r="M950" s="8"/>
      <c r="N950" s="8"/>
      <c r="O950" s="8"/>
      <c r="P950" s="8"/>
      <c r="Q950" s="8"/>
      <c r="R950" s="8"/>
      <c r="S950" s="8"/>
      <c r="T950" s="8"/>
      <c r="U950" s="8"/>
      <c r="V950" s="8"/>
      <c r="W950" s="8"/>
    </row>
    <row r="951">
      <c r="A951" s="8"/>
      <c r="B951" s="8"/>
      <c r="C951" s="8"/>
      <c r="D951" s="8"/>
      <c r="E951" s="8"/>
      <c r="F951" s="8"/>
      <c r="G951" s="8"/>
      <c r="H951" s="8"/>
      <c r="I951" s="8"/>
      <c r="J951" s="8"/>
      <c r="K951" s="8"/>
      <c r="L951" s="8"/>
      <c r="M951" s="8"/>
      <c r="N951" s="8"/>
      <c r="O951" s="8"/>
      <c r="P951" s="8"/>
      <c r="Q951" s="8"/>
      <c r="R951" s="8"/>
      <c r="S951" s="8"/>
      <c r="T951" s="8"/>
      <c r="U951" s="8"/>
      <c r="V951" s="8"/>
      <c r="W951" s="8"/>
    </row>
    <row r="952">
      <c r="A952" s="8"/>
      <c r="B952" s="8"/>
      <c r="C952" s="8"/>
      <c r="D952" s="8"/>
      <c r="E952" s="8"/>
      <c r="F952" s="8"/>
      <c r="G952" s="8"/>
      <c r="H952" s="8"/>
      <c r="I952" s="8"/>
      <c r="J952" s="8"/>
      <c r="K952" s="8"/>
      <c r="L952" s="8"/>
      <c r="M952" s="8"/>
      <c r="N952" s="8"/>
      <c r="O952" s="8"/>
      <c r="P952" s="8"/>
      <c r="Q952" s="8"/>
      <c r="R952" s="8"/>
      <c r="S952" s="8"/>
      <c r="T952" s="8"/>
      <c r="U952" s="8"/>
      <c r="V952" s="8"/>
      <c r="W952" s="8"/>
    </row>
    <row r="953">
      <c r="A953" s="8"/>
      <c r="B953" s="8"/>
      <c r="C953" s="8"/>
      <c r="D953" s="8"/>
      <c r="E953" s="8"/>
      <c r="F953" s="8"/>
      <c r="G953" s="8"/>
      <c r="H953" s="8"/>
      <c r="I953" s="8"/>
      <c r="J953" s="8"/>
      <c r="K953" s="8"/>
      <c r="L953" s="8"/>
      <c r="M953" s="8"/>
      <c r="N953" s="8"/>
      <c r="O953" s="8"/>
      <c r="P953" s="8"/>
      <c r="Q953" s="8"/>
      <c r="R953" s="8"/>
      <c r="S953" s="8"/>
      <c r="T953" s="8"/>
      <c r="U953" s="8"/>
      <c r="V953" s="8"/>
      <c r="W953" s="8"/>
    </row>
    <row r="954">
      <c r="A954" s="8"/>
      <c r="B954" s="8"/>
      <c r="C954" s="8"/>
      <c r="D954" s="8"/>
      <c r="E954" s="8"/>
      <c r="F954" s="8"/>
      <c r="G954" s="8"/>
      <c r="H954" s="8"/>
      <c r="I954" s="8"/>
      <c r="J954" s="8"/>
      <c r="K954" s="8"/>
      <c r="L954" s="8"/>
      <c r="M954" s="8"/>
      <c r="N954" s="8"/>
      <c r="O954" s="8"/>
      <c r="P954" s="8"/>
      <c r="Q954" s="8"/>
      <c r="R954" s="8"/>
      <c r="S954" s="8"/>
      <c r="T954" s="8"/>
      <c r="U954" s="8"/>
      <c r="V954" s="8"/>
      <c r="W954" s="8"/>
    </row>
    <row r="955">
      <c r="A955" s="8"/>
      <c r="B955" s="8"/>
      <c r="C955" s="8"/>
      <c r="D955" s="8"/>
      <c r="E955" s="8"/>
      <c r="F955" s="8"/>
      <c r="G955" s="8"/>
      <c r="H955" s="8"/>
      <c r="I955" s="8"/>
      <c r="J955" s="8"/>
      <c r="K955" s="8"/>
      <c r="L955" s="8"/>
      <c r="M955" s="8"/>
      <c r="N955" s="8"/>
      <c r="O955" s="8"/>
      <c r="P955" s="8"/>
      <c r="Q955" s="8"/>
      <c r="R955" s="8"/>
      <c r="S955" s="8"/>
      <c r="T955" s="8"/>
      <c r="U955" s="8"/>
      <c r="V955" s="8"/>
      <c r="W955" s="8"/>
    </row>
    <row r="956">
      <c r="A956" s="8"/>
      <c r="B956" s="8"/>
      <c r="C956" s="8"/>
      <c r="D956" s="8"/>
      <c r="E956" s="8"/>
      <c r="F956" s="8"/>
      <c r="G956" s="8"/>
      <c r="H956" s="8"/>
      <c r="I956" s="8"/>
      <c r="J956" s="8"/>
      <c r="K956" s="8"/>
      <c r="L956" s="8"/>
      <c r="M956" s="8"/>
      <c r="N956" s="8"/>
      <c r="O956" s="8"/>
      <c r="P956" s="8"/>
      <c r="Q956" s="8"/>
      <c r="R956" s="8"/>
      <c r="S956" s="8"/>
      <c r="T956" s="8"/>
      <c r="U956" s="8"/>
      <c r="V956" s="8"/>
      <c r="W956" s="8"/>
    </row>
    <row r="957">
      <c r="A957" s="8"/>
      <c r="B957" s="8"/>
      <c r="C957" s="8"/>
      <c r="D957" s="8"/>
      <c r="E957" s="8"/>
      <c r="F957" s="8"/>
      <c r="G957" s="8"/>
      <c r="H957" s="8"/>
      <c r="I957" s="8"/>
      <c r="J957" s="8"/>
      <c r="K957" s="8"/>
      <c r="L957" s="8"/>
      <c r="M957" s="8"/>
      <c r="N957" s="8"/>
      <c r="O957" s="8"/>
      <c r="P957" s="8"/>
      <c r="Q957" s="8"/>
      <c r="R957" s="8"/>
      <c r="S957" s="8"/>
      <c r="T957" s="8"/>
      <c r="U957" s="8"/>
      <c r="V957" s="8"/>
      <c r="W957" s="8"/>
    </row>
    <row r="958">
      <c r="A958" s="8"/>
      <c r="B958" s="8"/>
      <c r="C958" s="8"/>
      <c r="D958" s="8"/>
      <c r="E958" s="8"/>
      <c r="F958" s="8"/>
      <c r="G958" s="8"/>
      <c r="H958" s="8"/>
      <c r="I958" s="8"/>
      <c r="J958" s="8"/>
      <c r="K958" s="8"/>
      <c r="L958" s="8"/>
      <c r="M958" s="8"/>
      <c r="N958" s="8"/>
      <c r="O958" s="8"/>
      <c r="P958" s="8"/>
      <c r="Q958" s="8"/>
      <c r="R958" s="8"/>
      <c r="S958" s="8"/>
      <c r="T958" s="8"/>
      <c r="U958" s="8"/>
      <c r="V958" s="8"/>
      <c r="W958" s="8"/>
    </row>
    <row r="959">
      <c r="A959" s="8"/>
      <c r="B959" s="8"/>
      <c r="C959" s="8"/>
      <c r="D959" s="8"/>
      <c r="E959" s="8"/>
      <c r="F959" s="8"/>
      <c r="G959" s="8"/>
      <c r="H959" s="8"/>
      <c r="I959" s="8"/>
      <c r="J959" s="8"/>
      <c r="K959" s="8"/>
      <c r="L959" s="8"/>
      <c r="M959" s="8"/>
      <c r="N959" s="8"/>
      <c r="O959" s="8"/>
      <c r="P959" s="8"/>
      <c r="Q959" s="8"/>
      <c r="R959" s="8"/>
      <c r="S959" s="8"/>
      <c r="T959" s="8"/>
      <c r="U959" s="8"/>
      <c r="V959" s="8"/>
      <c r="W959" s="8"/>
    </row>
    <row r="960">
      <c r="A960" s="8"/>
      <c r="B960" s="8"/>
      <c r="C960" s="8"/>
      <c r="D960" s="8"/>
      <c r="E960" s="8"/>
      <c r="F960" s="8"/>
      <c r="G960" s="8"/>
      <c r="H960" s="8"/>
      <c r="I960" s="8"/>
      <c r="J960" s="8"/>
      <c r="K960" s="8"/>
      <c r="L960" s="8"/>
      <c r="M960" s="8"/>
      <c r="N960" s="8"/>
      <c r="O960" s="8"/>
      <c r="P960" s="8"/>
      <c r="Q960" s="8"/>
      <c r="R960" s="8"/>
      <c r="S960" s="8"/>
      <c r="T960" s="8"/>
      <c r="U960" s="8"/>
      <c r="V960" s="8"/>
      <c r="W960" s="8"/>
    </row>
    <row r="961">
      <c r="A961" s="8"/>
      <c r="B961" s="8"/>
      <c r="C961" s="8"/>
      <c r="D961" s="8"/>
      <c r="E961" s="8"/>
      <c r="F961" s="8"/>
      <c r="G961" s="8"/>
      <c r="H961" s="8"/>
      <c r="I961" s="8"/>
      <c r="J961" s="8"/>
      <c r="K961" s="8"/>
      <c r="L961" s="8"/>
      <c r="M961" s="8"/>
      <c r="N961" s="8"/>
      <c r="O961" s="8"/>
      <c r="P961" s="8"/>
      <c r="Q961" s="8"/>
      <c r="R961" s="8"/>
      <c r="S961" s="8"/>
      <c r="T961" s="8"/>
      <c r="U961" s="8"/>
      <c r="V961" s="8"/>
      <c r="W961" s="8"/>
    </row>
    <row r="962">
      <c r="A962" s="8"/>
      <c r="B962" s="8"/>
      <c r="C962" s="8"/>
      <c r="D962" s="8"/>
      <c r="E962" s="8"/>
      <c r="F962" s="8"/>
      <c r="G962" s="8"/>
      <c r="H962" s="8"/>
      <c r="I962" s="8"/>
      <c r="J962" s="8"/>
      <c r="K962" s="8"/>
      <c r="L962" s="8"/>
      <c r="M962" s="8"/>
      <c r="N962" s="8"/>
      <c r="O962" s="8"/>
      <c r="P962" s="8"/>
      <c r="Q962" s="8"/>
      <c r="R962" s="8"/>
      <c r="S962" s="8"/>
      <c r="T962" s="8"/>
      <c r="U962" s="8"/>
      <c r="V962" s="8"/>
      <c r="W962" s="8"/>
    </row>
    <row r="963">
      <c r="A963" s="8"/>
      <c r="B963" s="8"/>
      <c r="C963" s="8"/>
      <c r="D963" s="8"/>
      <c r="E963" s="8"/>
      <c r="F963" s="8"/>
      <c r="G963" s="8"/>
      <c r="H963" s="8"/>
      <c r="I963" s="8"/>
      <c r="J963" s="8"/>
      <c r="K963" s="8"/>
      <c r="L963" s="8"/>
      <c r="M963" s="8"/>
      <c r="N963" s="8"/>
      <c r="O963" s="8"/>
      <c r="P963" s="8"/>
      <c r="Q963" s="8"/>
      <c r="R963" s="8"/>
      <c r="S963" s="8"/>
      <c r="T963" s="8"/>
      <c r="U963" s="8"/>
      <c r="V963" s="8"/>
      <c r="W963" s="8"/>
    </row>
    <row r="964">
      <c r="A964" s="8"/>
      <c r="B964" s="8"/>
      <c r="C964" s="8"/>
      <c r="D964" s="8"/>
      <c r="E964" s="8"/>
      <c r="F964" s="8"/>
      <c r="G964" s="8"/>
      <c r="H964" s="8"/>
      <c r="I964" s="8"/>
      <c r="J964" s="8"/>
      <c r="K964" s="8"/>
      <c r="L964" s="8"/>
      <c r="M964" s="8"/>
      <c r="N964" s="8"/>
      <c r="O964" s="8"/>
      <c r="P964" s="8"/>
      <c r="Q964" s="8"/>
      <c r="R964" s="8"/>
      <c r="S964" s="8"/>
      <c r="T964" s="8"/>
      <c r="U964" s="8"/>
      <c r="V964" s="8"/>
      <c r="W964" s="8"/>
    </row>
    <row r="965">
      <c r="A965" s="8"/>
      <c r="B965" s="8"/>
      <c r="C965" s="8"/>
      <c r="D965" s="8"/>
      <c r="E965" s="8"/>
      <c r="F965" s="8"/>
      <c r="G965" s="8"/>
      <c r="H965" s="8"/>
      <c r="I965" s="8"/>
      <c r="J965" s="8"/>
      <c r="K965" s="8"/>
      <c r="L965" s="8"/>
      <c r="M965" s="8"/>
      <c r="N965" s="8"/>
      <c r="O965" s="8"/>
      <c r="P965" s="8"/>
      <c r="Q965" s="8"/>
      <c r="R965" s="8"/>
      <c r="S965" s="8"/>
      <c r="T965" s="8"/>
      <c r="U965" s="8"/>
      <c r="V965" s="8"/>
      <c r="W965" s="8"/>
    </row>
    <row r="966">
      <c r="A966" s="8"/>
      <c r="B966" s="8"/>
      <c r="C966" s="8"/>
      <c r="D966" s="8"/>
      <c r="E966" s="8"/>
      <c r="F966" s="8"/>
      <c r="G966" s="8"/>
      <c r="H966" s="8"/>
      <c r="I966" s="8"/>
      <c r="J966" s="8"/>
      <c r="K966" s="8"/>
      <c r="L966" s="8"/>
      <c r="M966" s="8"/>
      <c r="N966" s="8"/>
      <c r="O966" s="8"/>
      <c r="P966" s="8"/>
      <c r="Q966" s="8"/>
      <c r="R966" s="8"/>
      <c r="S966" s="8"/>
      <c r="T966" s="8"/>
      <c r="U966" s="8"/>
      <c r="V966" s="8"/>
      <c r="W966" s="8"/>
    </row>
    <row r="967">
      <c r="A967" s="8"/>
      <c r="B967" s="8"/>
      <c r="C967" s="8"/>
      <c r="D967" s="8"/>
      <c r="E967" s="8"/>
      <c r="F967" s="8"/>
      <c r="G967" s="8"/>
      <c r="H967" s="8"/>
      <c r="I967" s="8"/>
      <c r="J967" s="8"/>
      <c r="K967" s="8"/>
      <c r="L967" s="8"/>
      <c r="M967" s="8"/>
      <c r="N967" s="8"/>
      <c r="O967" s="8"/>
      <c r="P967" s="8"/>
      <c r="Q967" s="8"/>
      <c r="R967" s="8"/>
      <c r="S967" s="8"/>
      <c r="T967" s="8"/>
      <c r="U967" s="8"/>
      <c r="V967" s="8"/>
      <c r="W967" s="8"/>
    </row>
    <row r="968">
      <c r="A968" s="8"/>
      <c r="B968" s="8"/>
      <c r="C968" s="8"/>
      <c r="D968" s="8"/>
      <c r="E968" s="8"/>
      <c r="F968" s="8"/>
      <c r="G968" s="8"/>
      <c r="H968" s="8"/>
      <c r="I968" s="8"/>
      <c r="J968" s="8"/>
      <c r="K968" s="8"/>
      <c r="L968" s="8"/>
      <c r="M968" s="8"/>
      <c r="N968" s="8"/>
      <c r="O968" s="8"/>
      <c r="P968" s="8"/>
      <c r="Q968" s="8"/>
      <c r="R968" s="8"/>
      <c r="S968" s="8"/>
      <c r="T968" s="8"/>
      <c r="U968" s="8"/>
      <c r="V968" s="8"/>
      <c r="W968" s="8"/>
    </row>
    <row r="969">
      <c r="A969" s="8"/>
      <c r="B969" s="8"/>
      <c r="C969" s="8"/>
      <c r="D969" s="8"/>
      <c r="E969" s="8"/>
      <c r="F969" s="8"/>
      <c r="G969" s="8"/>
      <c r="H969" s="8"/>
      <c r="I969" s="8"/>
      <c r="J969" s="8"/>
      <c r="K969" s="8"/>
      <c r="L969" s="8"/>
      <c r="M969" s="8"/>
      <c r="N969" s="8"/>
      <c r="O969" s="8"/>
      <c r="P969" s="8"/>
      <c r="Q969" s="8"/>
      <c r="R969" s="8"/>
      <c r="S969" s="8"/>
      <c r="T969" s="8"/>
      <c r="U969" s="8"/>
      <c r="V969" s="8"/>
      <c r="W969" s="8"/>
    </row>
    <row r="970">
      <c r="A970" s="8"/>
      <c r="B970" s="8"/>
      <c r="C970" s="8"/>
      <c r="D970" s="8"/>
      <c r="E970" s="8"/>
      <c r="F970" s="8"/>
      <c r="G970" s="8"/>
      <c r="H970" s="8"/>
      <c r="I970" s="8"/>
      <c r="J970" s="8"/>
      <c r="K970" s="8"/>
      <c r="L970" s="8"/>
      <c r="M970" s="8"/>
      <c r="N970" s="8"/>
      <c r="O970" s="8"/>
      <c r="P970" s="8"/>
      <c r="Q970" s="8"/>
      <c r="R970" s="8"/>
      <c r="S970" s="8"/>
      <c r="T970" s="8"/>
      <c r="U970" s="8"/>
      <c r="V970" s="8"/>
      <c r="W970" s="8"/>
    </row>
    <row r="971">
      <c r="A971" s="8"/>
      <c r="B971" s="8"/>
      <c r="C971" s="8"/>
      <c r="D971" s="8"/>
      <c r="E971" s="8"/>
      <c r="F971" s="8"/>
      <c r="G971" s="8"/>
      <c r="H971" s="8"/>
      <c r="I971" s="8"/>
      <c r="J971" s="8"/>
      <c r="K971" s="8"/>
      <c r="L971" s="8"/>
      <c r="M971" s="8"/>
      <c r="N971" s="8"/>
      <c r="O971" s="8"/>
      <c r="P971" s="8"/>
      <c r="Q971" s="8"/>
      <c r="R971" s="8"/>
      <c r="S971" s="8"/>
      <c r="T971" s="8"/>
      <c r="U971" s="8"/>
      <c r="V971" s="8"/>
      <c r="W971" s="8"/>
    </row>
    <row r="972">
      <c r="A972" s="8"/>
      <c r="B972" s="8"/>
      <c r="C972" s="8"/>
      <c r="D972" s="8"/>
      <c r="E972" s="8"/>
      <c r="F972" s="8"/>
      <c r="G972" s="8"/>
      <c r="H972" s="8"/>
      <c r="I972" s="8"/>
      <c r="J972" s="8"/>
      <c r="K972" s="8"/>
      <c r="L972" s="8"/>
      <c r="M972" s="8"/>
      <c r="N972" s="8"/>
      <c r="O972" s="8"/>
      <c r="P972" s="8"/>
      <c r="Q972" s="8"/>
      <c r="R972" s="8"/>
      <c r="S972" s="8"/>
      <c r="T972" s="8"/>
      <c r="U972" s="8"/>
      <c r="V972" s="8"/>
      <c r="W972" s="8"/>
    </row>
    <row r="973">
      <c r="A973" s="8"/>
      <c r="B973" s="8"/>
      <c r="C973" s="8"/>
      <c r="D973" s="8"/>
      <c r="E973" s="8"/>
      <c r="F973" s="8"/>
      <c r="G973" s="8"/>
      <c r="H973" s="8"/>
      <c r="I973" s="8"/>
      <c r="J973" s="8"/>
      <c r="K973" s="8"/>
      <c r="L973" s="8"/>
      <c r="M973" s="8"/>
      <c r="N973" s="8"/>
      <c r="O973" s="8"/>
      <c r="P973" s="8"/>
      <c r="Q973" s="8"/>
      <c r="R973" s="8"/>
      <c r="S973" s="8"/>
      <c r="T973" s="8"/>
      <c r="U973" s="8"/>
      <c r="V973" s="8"/>
      <c r="W973" s="8"/>
    </row>
    <row r="974">
      <c r="A974" s="8"/>
      <c r="B974" s="8"/>
      <c r="C974" s="8"/>
      <c r="D974" s="8"/>
      <c r="E974" s="8"/>
      <c r="F974" s="8"/>
      <c r="G974" s="8"/>
      <c r="H974" s="8"/>
      <c r="I974" s="8"/>
      <c r="J974" s="8"/>
      <c r="K974" s="8"/>
      <c r="L974" s="8"/>
      <c r="M974" s="8"/>
      <c r="N974" s="8"/>
      <c r="O974" s="8"/>
      <c r="P974" s="8"/>
      <c r="Q974" s="8"/>
      <c r="R974" s="8"/>
      <c r="S974" s="8"/>
      <c r="T974" s="8"/>
      <c r="U974" s="8"/>
      <c r="V974" s="8"/>
      <c r="W974" s="8"/>
    </row>
    <row r="975">
      <c r="A975" s="8"/>
      <c r="B975" s="8"/>
      <c r="C975" s="8"/>
      <c r="D975" s="8"/>
      <c r="E975" s="8"/>
      <c r="F975" s="8"/>
      <c r="G975" s="8"/>
      <c r="H975" s="8"/>
      <c r="I975" s="8"/>
      <c r="J975" s="8"/>
      <c r="K975" s="8"/>
      <c r="L975" s="8"/>
      <c r="M975" s="8"/>
      <c r="N975" s="8"/>
      <c r="O975" s="8"/>
      <c r="P975" s="8"/>
      <c r="Q975" s="8"/>
      <c r="R975" s="8"/>
      <c r="S975" s="8"/>
      <c r="T975" s="8"/>
      <c r="U975" s="8"/>
      <c r="V975" s="8"/>
      <c r="W975" s="8"/>
    </row>
    <row r="976">
      <c r="A976" s="8"/>
      <c r="B976" s="8"/>
      <c r="C976" s="8"/>
      <c r="D976" s="8"/>
      <c r="E976" s="8"/>
      <c r="F976" s="8"/>
      <c r="G976" s="8"/>
      <c r="H976" s="8"/>
      <c r="I976" s="8"/>
      <c r="J976" s="8"/>
      <c r="K976" s="8"/>
      <c r="L976" s="8"/>
      <c r="M976" s="8"/>
      <c r="N976" s="8"/>
      <c r="O976" s="8"/>
      <c r="P976" s="8"/>
      <c r="Q976" s="8"/>
      <c r="R976" s="8"/>
      <c r="S976" s="8"/>
      <c r="T976" s="8"/>
      <c r="U976" s="8"/>
      <c r="V976" s="8"/>
      <c r="W976" s="8"/>
    </row>
    <row r="977">
      <c r="A977" s="8"/>
      <c r="B977" s="8"/>
      <c r="C977" s="8"/>
      <c r="D977" s="8"/>
      <c r="E977" s="8"/>
      <c r="F977" s="8"/>
      <c r="G977" s="8"/>
      <c r="H977" s="8"/>
      <c r="I977" s="8"/>
      <c r="J977" s="8"/>
      <c r="K977" s="8"/>
      <c r="L977" s="8"/>
      <c r="M977" s="8"/>
      <c r="N977" s="8"/>
      <c r="O977" s="8"/>
      <c r="P977" s="8"/>
      <c r="Q977" s="8"/>
      <c r="R977" s="8"/>
      <c r="S977" s="8"/>
      <c r="T977" s="8"/>
      <c r="U977" s="8"/>
      <c r="V977" s="8"/>
      <c r="W977" s="8"/>
    </row>
    <row r="978">
      <c r="A978" s="8"/>
      <c r="B978" s="8"/>
      <c r="C978" s="8"/>
      <c r="D978" s="8"/>
      <c r="E978" s="8"/>
      <c r="F978" s="8"/>
      <c r="G978" s="8"/>
      <c r="H978" s="8"/>
      <c r="I978" s="8"/>
      <c r="J978" s="8"/>
      <c r="K978" s="8"/>
      <c r="L978" s="8"/>
      <c r="M978" s="8"/>
      <c r="N978" s="8"/>
      <c r="O978" s="8"/>
      <c r="P978" s="8"/>
      <c r="Q978" s="8"/>
      <c r="R978" s="8"/>
      <c r="S978" s="8"/>
      <c r="T978" s="8"/>
      <c r="U978" s="8"/>
      <c r="V978" s="8"/>
      <c r="W978" s="8"/>
    </row>
    <row r="979">
      <c r="A979" s="8"/>
      <c r="B979" s="8"/>
      <c r="C979" s="8"/>
      <c r="D979" s="8"/>
      <c r="E979" s="8"/>
      <c r="F979" s="8"/>
      <c r="G979" s="8"/>
      <c r="H979" s="8"/>
      <c r="I979" s="8"/>
      <c r="J979" s="8"/>
      <c r="K979" s="8"/>
      <c r="L979" s="8"/>
      <c r="M979" s="8"/>
      <c r="N979" s="8"/>
      <c r="O979" s="8"/>
      <c r="P979" s="8"/>
      <c r="Q979" s="8"/>
      <c r="R979" s="8"/>
      <c r="S979" s="8"/>
      <c r="T979" s="8"/>
      <c r="U979" s="8"/>
      <c r="V979" s="8"/>
      <c r="W979" s="8"/>
    </row>
    <row r="980">
      <c r="A980" s="8"/>
      <c r="B980" s="8"/>
      <c r="C980" s="8"/>
      <c r="D980" s="8"/>
      <c r="E980" s="8"/>
      <c r="F980" s="8"/>
      <c r="G980" s="8"/>
      <c r="H980" s="8"/>
      <c r="I980" s="8"/>
      <c r="J980" s="8"/>
      <c r="K980" s="8"/>
      <c r="L980" s="8"/>
      <c r="M980" s="8"/>
      <c r="N980" s="8"/>
      <c r="O980" s="8"/>
      <c r="P980" s="8"/>
      <c r="Q980" s="8"/>
      <c r="R980" s="8"/>
      <c r="S980" s="8"/>
      <c r="T980" s="8"/>
      <c r="U980" s="8"/>
      <c r="V980" s="8"/>
      <c r="W980" s="8"/>
    </row>
    <row r="981">
      <c r="A981" s="8"/>
      <c r="B981" s="8"/>
      <c r="C981" s="8"/>
      <c r="D981" s="8"/>
      <c r="E981" s="8"/>
      <c r="F981" s="8"/>
      <c r="G981" s="8"/>
      <c r="H981" s="8"/>
      <c r="I981" s="8"/>
      <c r="J981" s="8"/>
      <c r="K981" s="8"/>
      <c r="L981" s="8"/>
      <c r="M981" s="8"/>
      <c r="N981" s="8"/>
      <c r="O981" s="8"/>
      <c r="P981" s="8"/>
      <c r="Q981" s="8"/>
      <c r="R981" s="8"/>
      <c r="S981" s="8"/>
      <c r="T981" s="8"/>
      <c r="U981" s="8"/>
      <c r="V981" s="8"/>
      <c r="W981" s="8"/>
    </row>
    <row r="982">
      <c r="A982" s="8"/>
      <c r="B982" s="8"/>
      <c r="C982" s="8"/>
      <c r="D982" s="8"/>
      <c r="E982" s="8"/>
      <c r="F982" s="8"/>
      <c r="G982" s="8"/>
      <c r="H982" s="8"/>
      <c r="I982" s="8"/>
      <c r="J982" s="8"/>
      <c r="K982" s="8"/>
      <c r="L982" s="8"/>
      <c r="M982" s="8"/>
      <c r="N982" s="8"/>
      <c r="O982" s="8"/>
      <c r="P982" s="8"/>
      <c r="Q982" s="8"/>
      <c r="R982" s="8"/>
      <c r="S982" s="8"/>
      <c r="T982" s="8"/>
      <c r="U982" s="8"/>
      <c r="V982" s="8"/>
      <c r="W982" s="8"/>
    </row>
    <row r="983">
      <c r="A983" s="8"/>
      <c r="B983" s="8"/>
      <c r="C983" s="8"/>
      <c r="D983" s="8"/>
      <c r="E983" s="8"/>
      <c r="F983" s="8"/>
      <c r="G983" s="8"/>
      <c r="H983" s="8"/>
      <c r="I983" s="8"/>
      <c r="J983" s="8"/>
      <c r="K983" s="8"/>
      <c r="L983" s="8"/>
      <c r="M983" s="8"/>
      <c r="N983" s="8"/>
      <c r="O983" s="8"/>
      <c r="P983" s="8"/>
      <c r="Q983" s="8"/>
      <c r="R983" s="8"/>
      <c r="S983" s="8"/>
      <c r="T983" s="8"/>
      <c r="U983" s="8"/>
      <c r="V983" s="8"/>
      <c r="W983" s="8"/>
    </row>
    <row r="984">
      <c r="A984" s="8"/>
      <c r="B984" s="8"/>
      <c r="C984" s="8"/>
      <c r="D984" s="8"/>
      <c r="E984" s="8"/>
      <c r="F984" s="8"/>
      <c r="G984" s="8"/>
      <c r="H984" s="8"/>
      <c r="I984" s="8"/>
      <c r="J984" s="8"/>
      <c r="K984" s="8"/>
      <c r="L984" s="8"/>
      <c r="M984" s="8"/>
      <c r="N984" s="8"/>
      <c r="O984" s="8"/>
      <c r="P984" s="8"/>
      <c r="Q984" s="8"/>
      <c r="R984" s="8"/>
      <c r="S984" s="8"/>
      <c r="T984" s="8"/>
      <c r="U984" s="8"/>
      <c r="V984" s="8"/>
      <c r="W984" s="8"/>
    </row>
    <row r="985">
      <c r="A985" s="8"/>
      <c r="B985" s="8"/>
      <c r="C985" s="8"/>
      <c r="D985" s="8"/>
      <c r="E985" s="8"/>
      <c r="F985" s="8"/>
      <c r="G985" s="8"/>
      <c r="H985" s="8"/>
      <c r="I985" s="8"/>
      <c r="J985" s="8"/>
      <c r="K985" s="8"/>
      <c r="L985" s="8"/>
      <c r="M985" s="8"/>
      <c r="N985" s="8"/>
      <c r="O985" s="8"/>
      <c r="P985" s="8"/>
      <c r="Q985" s="8"/>
      <c r="R985" s="8"/>
      <c r="S985" s="8"/>
      <c r="T985" s="8"/>
      <c r="U985" s="8"/>
      <c r="V985" s="8"/>
      <c r="W985" s="8"/>
    </row>
    <row r="986">
      <c r="A986" s="8"/>
      <c r="B986" s="8"/>
      <c r="C986" s="8"/>
      <c r="D986" s="8"/>
      <c r="E986" s="8"/>
      <c r="F986" s="8"/>
      <c r="G986" s="8"/>
      <c r="H986" s="8"/>
      <c r="I986" s="8"/>
      <c r="J986" s="8"/>
      <c r="K986" s="8"/>
      <c r="L986" s="8"/>
      <c r="M986" s="8"/>
      <c r="N986" s="8"/>
      <c r="O986" s="8"/>
      <c r="P986" s="8"/>
      <c r="Q986" s="8"/>
      <c r="R986" s="8"/>
      <c r="S986" s="8"/>
      <c r="T986" s="8"/>
      <c r="U986" s="8"/>
      <c r="V986" s="8"/>
      <c r="W986" s="8"/>
    </row>
    <row r="987">
      <c r="A987" s="8"/>
      <c r="B987" s="8"/>
      <c r="C987" s="8"/>
      <c r="D987" s="8"/>
      <c r="E987" s="8"/>
      <c r="F987" s="8"/>
      <c r="G987" s="8"/>
      <c r="H987" s="8"/>
      <c r="I987" s="8"/>
      <c r="J987" s="8"/>
      <c r="K987" s="8"/>
      <c r="L987" s="8"/>
      <c r="M987" s="8"/>
      <c r="N987" s="8"/>
      <c r="O987" s="8"/>
      <c r="P987" s="8"/>
      <c r="Q987" s="8"/>
      <c r="R987" s="8"/>
      <c r="S987" s="8"/>
      <c r="T987" s="8"/>
      <c r="U987" s="8"/>
      <c r="V987" s="8"/>
      <c r="W987" s="8"/>
    </row>
    <row r="988">
      <c r="A988" s="8"/>
      <c r="B988" s="8"/>
      <c r="C988" s="8"/>
      <c r="D988" s="8"/>
      <c r="E988" s="8"/>
      <c r="F988" s="8"/>
      <c r="G988" s="8"/>
      <c r="H988" s="8"/>
      <c r="I988" s="8"/>
      <c r="J988" s="8"/>
      <c r="K988" s="8"/>
      <c r="L988" s="8"/>
      <c r="M988" s="8"/>
      <c r="N988" s="8"/>
      <c r="O988" s="8"/>
      <c r="P988" s="8"/>
      <c r="Q988" s="8"/>
      <c r="R988" s="8"/>
      <c r="S988" s="8"/>
      <c r="T988" s="8"/>
      <c r="U988" s="8"/>
      <c r="V988" s="8"/>
      <c r="W988" s="8"/>
    </row>
    <row r="989">
      <c r="A989" s="8"/>
      <c r="B989" s="8"/>
      <c r="C989" s="8"/>
      <c r="D989" s="8"/>
      <c r="E989" s="8"/>
      <c r="F989" s="8"/>
      <c r="G989" s="8"/>
      <c r="H989" s="8"/>
      <c r="I989" s="8"/>
      <c r="J989" s="8"/>
      <c r="K989" s="8"/>
      <c r="L989" s="8"/>
      <c r="M989" s="8"/>
      <c r="N989" s="8"/>
      <c r="O989" s="8"/>
      <c r="P989" s="8"/>
      <c r="Q989" s="8"/>
      <c r="R989" s="8"/>
      <c r="S989" s="8"/>
      <c r="T989" s="8"/>
      <c r="U989" s="8"/>
      <c r="V989" s="8"/>
      <c r="W989" s="8"/>
    </row>
    <row r="990">
      <c r="A990" s="8"/>
      <c r="B990" s="8"/>
      <c r="C990" s="8"/>
      <c r="D990" s="8"/>
      <c r="E990" s="8"/>
      <c r="F990" s="8"/>
      <c r="G990" s="8"/>
      <c r="H990" s="8"/>
      <c r="I990" s="8"/>
      <c r="J990" s="8"/>
      <c r="K990" s="8"/>
      <c r="L990" s="8"/>
      <c r="M990" s="8"/>
      <c r="N990" s="8"/>
      <c r="O990" s="8"/>
      <c r="P990" s="8"/>
      <c r="Q990" s="8"/>
      <c r="R990" s="8"/>
      <c r="S990" s="8"/>
      <c r="T990" s="8"/>
      <c r="U990" s="8"/>
      <c r="V990" s="8"/>
      <c r="W990" s="8"/>
    </row>
    <row r="991">
      <c r="A991" s="8"/>
      <c r="B991" s="8"/>
      <c r="C991" s="8"/>
      <c r="D991" s="8"/>
      <c r="E991" s="8"/>
      <c r="F991" s="8"/>
      <c r="G991" s="8"/>
      <c r="H991" s="8"/>
      <c r="I991" s="8"/>
      <c r="J991" s="8"/>
      <c r="K991" s="8"/>
      <c r="L991" s="8"/>
      <c r="M991" s="8"/>
      <c r="N991" s="8"/>
      <c r="O991" s="8"/>
      <c r="P991" s="8"/>
      <c r="Q991" s="8"/>
      <c r="R991" s="8"/>
      <c r="S991" s="8"/>
      <c r="T991" s="8"/>
      <c r="U991" s="8"/>
      <c r="V991" s="8"/>
      <c r="W991" s="8"/>
    </row>
    <row r="992">
      <c r="A992" s="8"/>
      <c r="B992" s="8"/>
      <c r="C992" s="8"/>
      <c r="D992" s="8"/>
      <c r="E992" s="8"/>
      <c r="F992" s="8"/>
      <c r="G992" s="8"/>
      <c r="H992" s="8"/>
      <c r="I992" s="8"/>
      <c r="J992" s="8"/>
      <c r="K992" s="8"/>
      <c r="L992" s="8"/>
      <c r="M992" s="8"/>
      <c r="N992" s="8"/>
      <c r="O992" s="8"/>
      <c r="P992" s="8"/>
      <c r="Q992" s="8"/>
      <c r="R992" s="8"/>
      <c r="S992" s="8"/>
      <c r="T992" s="8"/>
      <c r="U992" s="8"/>
      <c r="V992" s="8"/>
      <c r="W992" s="8"/>
    </row>
    <row r="993">
      <c r="A993" s="8"/>
      <c r="B993" s="8"/>
      <c r="C993" s="8"/>
      <c r="D993" s="8"/>
      <c r="E993" s="8"/>
      <c r="F993" s="8"/>
      <c r="G993" s="8"/>
      <c r="H993" s="8"/>
      <c r="I993" s="8"/>
      <c r="J993" s="8"/>
      <c r="K993" s="8"/>
      <c r="L993" s="8"/>
      <c r="M993" s="8"/>
      <c r="N993" s="8"/>
      <c r="O993" s="8"/>
      <c r="P993" s="8"/>
      <c r="Q993" s="8"/>
      <c r="R993" s="8"/>
      <c r="S993" s="8"/>
      <c r="T993" s="8"/>
      <c r="U993" s="8"/>
      <c r="V993" s="8"/>
      <c r="W993" s="8"/>
    </row>
    <row r="994">
      <c r="A994" s="8"/>
      <c r="B994" s="8"/>
      <c r="C994" s="8"/>
      <c r="D994" s="8"/>
      <c r="E994" s="8"/>
      <c r="F994" s="8"/>
      <c r="G994" s="8"/>
      <c r="H994" s="8"/>
      <c r="I994" s="8"/>
      <c r="J994" s="8"/>
      <c r="K994" s="8"/>
      <c r="L994" s="8"/>
      <c r="M994" s="8"/>
      <c r="N994" s="8"/>
      <c r="O994" s="8"/>
      <c r="P994" s="8"/>
      <c r="Q994" s="8"/>
      <c r="R994" s="8"/>
      <c r="S994" s="8"/>
      <c r="T994" s="8"/>
      <c r="U994" s="8"/>
      <c r="V994" s="8"/>
      <c r="W994" s="8"/>
    </row>
    <row r="995">
      <c r="A995" s="8"/>
      <c r="B995" s="8"/>
      <c r="C995" s="8"/>
      <c r="D995" s="8"/>
      <c r="E995" s="8"/>
      <c r="F995" s="8"/>
      <c r="G995" s="8"/>
      <c r="H995" s="8"/>
      <c r="I995" s="8"/>
      <c r="J995" s="8"/>
      <c r="K995" s="8"/>
      <c r="L995" s="8"/>
      <c r="M995" s="8"/>
      <c r="N995" s="8"/>
      <c r="O995" s="8"/>
      <c r="P995" s="8"/>
      <c r="Q995" s="8"/>
      <c r="R995" s="8"/>
      <c r="S995" s="8"/>
      <c r="T995" s="8"/>
      <c r="U995" s="8"/>
      <c r="V995" s="8"/>
      <c r="W995" s="8"/>
    </row>
    <row r="996">
      <c r="A996" s="8"/>
      <c r="B996" s="8"/>
      <c r="C996" s="8"/>
      <c r="D996" s="8"/>
      <c r="E996" s="8"/>
      <c r="F996" s="8"/>
      <c r="G996" s="8"/>
      <c r="H996" s="8"/>
      <c r="I996" s="8"/>
      <c r="J996" s="8"/>
      <c r="K996" s="8"/>
      <c r="L996" s="8"/>
      <c r="M996" s="8"/>
      <c r="N996" s="8"/>
      <c r="O996" s="8"/>
      <c r="P996" s="8"/>
      <c r="Q996" s="8"/>
      <c r="R996" s="8"/>
      <c r="S996" s="8"/>
      <c r="T996" s="8"/>
      <c r="U996" s="8"/>
      <c r="V996" s="8"/>
      <c r="W996" s="8"/>
    </row>
    <row r="997">
      <c r="A997" s="8"/>
      <c r="B997" s="8"/>
      <c r="C997" s="8"/>
      <c r="D997" s="8"/>
      <c r="E997" s="8"/>
      <c r="F997" s="8"/>
      <c r="G997" s="8"/>
      <c r="H997" s="8"/>
      <c r="I997" s="8"/>
      <c r="J997" s="8"/>
      <c r="K997" s="8"/>
      <c r="L997" s="8"/>
      <c r="M997" s="8"/>
      <c r="N997" s="8"/>
      <c r="O997" s="8"/>
      <c r="P997" s="8"/>
      <c r="Q997" s="8"/>
      <c r="R997" s="8"/>
      <c r="S997" s="8"/>
      <c r="T997" s="8"/>
      <c r="U997" s="8"/>
      <c r="V997" s="8"/>
      <c r="W997" s="8"/>
    </row>
    <row r="998">
      <c r="A998" s="8"/>
      <c r="B998" s="8"/>
      <c r="C998" s="8"/>
      <c r="D998" s="8"/>
      <c r="E998" s="8"/>
      <c r="F998" s="8"/>
      <c r="G998" s="8"/>
      <c r="H998" s="8"/>
      <c r="I998" s="8"/>
      <c r="J998" s="8"/>
      <c r="K998" s="8"/>
      <c r="L998" s="8"/>
      <c r="M998" s="8"/>
      <c r="N998" s="8"/>
      <c r="O998" s="8"/>
      <c r="P998" s="8"/>
      <c r="Q998" s="8"/>
      <c r="R998" s="8"/>
      <c r="S998" s="8"/>
      <c r="T998" s="8"/>
      <c r="U998" s="8"/>
      <c r="V998" s="8"/>
      <c r="W998" s="8"/>
    </row>
    <row r="999">
      <c r="A999" s="8"/>
      <c r="B999" s="8"/>
      <c r="C999" s="8"/>
      <c r="D999" s="8"/>
      <c r="E999" s="8"/>
      <c r="F999" s="8"/>
      <c r="G999" s="8"/>
      <c r="H999" s="8"/>
      <c r="I999" s="8"/>
      <c r="J999" s="8"/>
      <c r="K999" s="8"/>
      <c r="L999" s="8"/>
      <c r="M999" s="8"/>
      <c r="N999" s="8"/>
      <c r="O999" s="8"/>
      <c r="P999" s="8"/>
      <c r="Q999" s="8"/>
      <c r="R999" s="8"/>
      <c r="S999" s="8"/>
      <c r="T999" s="8"/>
      <c r="U999" s="8"/>
      <c r="V999" s="8"/>
      <c r="W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row>
  </sheetData>
  <mergeCells count="1">
    <mergeCell ref="A14:C1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7.86"/>
    <col customWidth="1" min="3" max="3" width="18.43"/>
    <col customWidth="1" min="5" max="5" width="27.0"/>
    <col customWidth="1" min="9" max="9" width="20.71"/>
    <col customWidth="1" min="10" max="10" width="56.71"/>
    <col customWidth="1" min="12" max="12" width="27.71"/>
    <col customWidth="1" min="14" max="14" width="19.0"/>
    <col customWidth="1" min="16" max="16" width="50.57"/>
    <col customWidth="1" min="17" max="17" width="31.43"/>
    <col customWidth="1" min="18" max="18" width="35.71"/>
    <col customWidth="1" min="20" max="20" width="17.0"/>
    <col customWidth="1" min="21" max="21" width="15.43"/>
    <col customWidth="1" min="22" max="22" width="18.57"/>
    <col customWidth="1" min="24" max="24" width="19.43"/>
    <col customWidth="1" min="25" max="25" width="15.57"/>
    <col customWidth="1" min="26" max="26" width="18.71"/>
    <col customWidth="1" min="27" max="27" width="15.71"/>
    <col customWidth="1" min="28" max="28" width="27.14"/>
    <col customWidth="1" min="29" max="29" width="29.43"/>
  </cols>
  <sheetData>
    <row r="1">
      <c r="A1" s="13" t="str">
        <f>IFERROR(__xludf.DUMMYFUNCTION("query(Data!A1:A2493)"),"Uncleaned Order Data")</f>
        <v>Uncleaned Order Data</v>
      </c>
      <c r="B1" s="13" t="s">
        <v>2529</v>
      </c>
      <c r="C1" s="13" t="s">
        <v>2530</v>
      </c>
      <c r="D1" s="13" t="s">
        <v>2531</v>
      </c>
      <c r="E1" s="13" t="s">
        <v>2532</v>
      </c>
      <c r="F1" s="13" t="s">
        <v>2533</v>
      </c>
      <c r="G1" s="13" t="s">
        <v>2534</v>
      </c>
      <c r="H1" s="13" t="s">
        <v>2535</v>
      </c>
      <c r="I1" s="13" t="s">
        <v>2536</v>
      </c>
      <c r="J1" s="13" t="s">
        <v>2537</v>
      </c>
      <c r="K1" s="13" t="s">
        <v>2538</v>
      </c>
      <c r="L1" s="13" t="s">
        <v>2539</v>
      </c>
      <c r="M1" s="13" t="s">
        <v>2540</v>
      </c>
      <c r="N1" s="13" t="s">
        <v>2541</v>
      </c>
      <c r="O1" s="13" t="s">
        <v>2542</v>
      </c>
      <c r="P1" s="13" t="s">
        <v>2543</v>
      </c>
      <c r="Q1" s="13" t="s">
        <v>2544</v>
      </c>
      <c r="R1" s="13" t="s">
        <v>2545</v>
      </c>
      <c r="S1" s="13" t="s">
        <v>2546</v>
      </c>
      <c r="T1" s="13" t="s">
        <v>2547</v>
      </c>
      <c r="U1" s="13" t="s">
        <v>2548</v>
      </c>
      <c r="V1" s="13" t="s">
        <v>2538</v>
      </c>
      <c r="W1" s="13" t="s">
        <v>2540</v>
      </c>
      <c r="X1" s="13" t="s">
        <v>2549</v>
      </c>
      <c r="Y1" s="13" t="s">
        <v>2550</v>
      </c>
      <c r="Z1" s="13" t="s">
        <v>2551</v>
      </c>
      <c r="AA1" s="13" t="s">
        <v>2552</v>
      </c>
      <c r="AB1" s="13" t="s">
        <v>2544</v>
      </c>
      <c r="AC1" s="13" t="s">
        <v>2545</v>
      </c>
      <c r="AD1" s="7"/>
    </row>
    <row r="2">
      <c r="A2" s="14" t="str">
        <f>IFERROR(__xludf.DUMMYFUNCTION("""COMPUTED_VALUE"""),"//ord_14015//Anaya Rao//Colaba//Banana+2*Nikhil Deshmukh/2/11/2023//Online Payment//Delivered*Satisfied with the Delivery: Timely and quality")</f>
        <v>//ord_14015//Anaya Rao//Colaba//Banana+2*Nikhil Deshmukh/2/11/2023//Online Payment//Delivered*Satisfied with the Delivery: Timely and quality</v>
      </c>
      <c r="B2" s="14" t="str">
        <f>IFERROR(__xludf.DUMMYFUNCTION("split(A2,""//"")"),"ord_14015")</f>
        <v>ord_14015</v>
      </c>
      <c r="C2" s="14" t="str">
        <f>IFERROR(__xludf.DUMMYFUNCTION("""COMPUTED_VALUE"""),"Anaya Rao")</f>
        <v>Anaya Rao</v>
      </c>
      <c r="D2" s="14" t="str">
        <f>IFERROR(__xludf.DUMMYFUNCTION("""COMPUTED_VALUE"""),"Colaba")</f>
        <v>Colaba</v>
      </c>
      <c r="E2" s="14" t="str">
        <f>IFERROR(__xludf.DUMMYFUNCTION("""COMPUTED_VALUE"""),"Banana+2*Nikhil Deshmukh")</f>
        <v>Banana+2*Nikhil Deshmukh</v>
      </c>
      <c r="F2" s="14">
        <f>IFERROR(__xludf.DUMMYFUNCTION("""COMPUTED_VALUE"""),2.0)</f>
        <v>2</v>
      </c>
      <c r="G2" s="14">
        <f>IFERROR(__xludf.DUMMYFUNCTION("""COMPUTED_VALUE"""),11.0)</f>
        <v>11</v>
      </c>
      <c r="H2" s="14">
        <f>IFERROR(__xludf.DUMMYFUNCTION("""COMPUTED_VALUE"""),2023.0)</f>
        <v>2023</v>
      </c>
      <c r="I2" s="14" t="str">
        <f>IFERROR(__xludf.DUMMYFUNCTION("""COMPUTED_VALUE"""),"Online Payment")</f>
        <v>Online Payment</v>
      </c>
      <c r="J2" s="14" t="str">
        <f>IFERROR(__xludf.DUMMYFUNCTION("""COMPUTED_VALUE"""),"Delivered*Satisfied with the Delivery: Timely and quality")</f>
        <v>Delivered*Satisfied with the Delivery: Timely and quality</v>
      </c>
      <c r="K2" s="14" t="str">
        <f>IFERROR(__xludf.DUMMYFUNCTION("split(E2,""+"")"),"Banana")</f>
        <v>Banana</v>
      </c>
      <c r="L2" s="14" t="str">
        <f>IFERROR(__xludf.DUMMYFUNCTION("""COMPUTED_VALUE"""),"2*Nikhil Deshmukh")</f>
        <v>2*Nikhil Deshmukh</v>
      </c>
      <c r="M2" s="14">
        <f>IFERROR(__xludf.DUMMYFUNCTION("SPLIT(L2,""*"")"),2.0)</f>
        <v>2</v>
      </c>
      <c r="N2" s="14" t="str">
        <f>IFERROR(__xludf.DUMMYFUNCTION("""COMPUTED_VALUE"""),"Nikhil Deshmukh")</f>
        <v>Nikhil Deshmukh</v>
      </c>
      <c r="O2" s="14" t="str">
        <f>IFERROR(__xludf.DUMMYFUNCTION("split(J2,""*"")"),"Delivered")</f>
        <v>Delivered</v>
      </c>
      <c r="P2" s="14" t="str">
        <f>IFERROR(__xludf.DUMMYFUNCTION("""COMPUTED_VALUE"""),"Satisfied with the Delivery: Timely and quality")</f>
        <v>Satisfied with the Delivery: Timely and quality</v>
      </c>
      <c r="Q2" s="14" t="str">
        <f>IFERROR(__xludf.DUMMYFUNCTION("split(P2,"":"")"),"Satisfied with the Delivery")</f>
        <v>Satisfied with the Delivery</v>
      </c>
      <c r="R2" s="14" t="str">
        <f>IFERROR(__xludf.DUMMYFUNCTION("""COMPUTED_VALUE""")," Timely and quality")</f>
        <v> Timely and quality</v>
      </c>
      <c r="S2" s="14" t="str">
        <f t="shared" ref="S2:U2" si="1">trim(B2)</f>
        <v>ord_14015</v>
      </c>
      <c r="T2" s="14" t="str">
        <f t="shared" si="1"/>
        <v>Anaya Rao</v>
      </c>
      <c r="U2" s="14" t="str">
        <f t="shared" si="1"/>
        <v>Colaba</v>
      </c>
      <c r="V2" s="14" t="str">
        <f t="shared" ref="V2:V2493" si="4">trim(K2)</f>
        <v>Banana</v>
      </c>
      <c r="W2" s="14">
        <f t="shared" ref="W2:W2493" si="5">value(trim(M2))</f>
        <v>2</v>
      </c>
      <c r="X2" s="14" t="str">
        <f t="shared" ref="X2:X2493" si="6">trim(N2)</f>
        <v>Nikhil Deshmukh</v>
      </c>
      <c r="Y2" s="15">
        <f t="shared" ref="Y2:Y2493" si="7">date(H2,F2,G2)</f>
        <v>44968</v>
      </c>
      <c r="Z2" s="14" t="str">
        <f t="shared" ref="Z2:Z2493" si="8">trim(I2)</f>
        <v>Online Payment</v>
      </c>
      <c r="AA2" s="14" t="str">
        <f t="shared" ref="AA2:AA2493" si="9">trim(O2)</f>
        <v>Delivered</v>
      </c>
      <c r="AB2" s="14" t="str">
        <f t="shared" ref="AB2:AC2" si="2">trim(Q2)</f>
        <v>Satisfied with the Delivery</v>
      </c>
      <c r="AC2" s="14" t="str">
        <f t="shared" si="2"/>
        <v>Timely and quality</v>
      </c>
      <c r="AD2" s="8"/>
    </row>
    <row r="3">
      <c r="A3" s="14" t="str">
        <f>IFERROR(__xludf.DUMMYFUNCTION("""COMPUTED_VALUE"""),"//ord_11003//Aarav Mehta//Andheri//Potato+2*Sita T/7/22/2023//Online Payment//Delivered*On-time Delivery: Delivered on time")</f>
        <v>//ord_11003//Aarav Mehta//Andheri//Potato+2*Sita T/7/22/2023//Online Payment//Delivered*On-time Delivery: Delivered on time</v>
      </c>
      <c r="B3" s="14" t="str">
        <f>IFERROR(__xludf.DUMMYFUNCTION("split(A3,""//"")"),"ord_11003")</f>
        <v>ord_11003</v>
      </c>
      <c r="C3" s="14" t="str">
        <f>IFERROR(__xludf.DUMMYFUNCTION("""COMPUTED_VALUE"""),"Aarav Mehta")</f>
        <v>Aarav Mehta</v>
      </c>
      <c r="D3" s="14" t="str">
        <f>IFERROR(__xludf.DUMMYFUNCTION("""COMPUTED_VALUE"""),"Andheri")</f>
        <v>Andheri</v>
      </c>
      <c r="E3" s="14" t="str">
        <f>IFERROR(__xludf.DUMMYFUNCTION("""COMPUTED_VALUE"""),"Potato+2*Sita T")</f>
        <v>Potato+2*Sita T</v>
      </c>
      <c r="F3" s="14">
        <f>IFERROR(__xludf.DUMMYFUNCTION("""COMPUTED_VALUE"""),7.0)</f>
        <v>7</v>
      </c>
      <c r="G3" s="14">
        <f>IFERROR(__xludf.DUMMYFUNCTION("""COMPUTED_VALUE"""),22.0)</f>
        <v>22</v>
      </c>
      <c r="H3" s="14">
        <f>IFERROR(__xludf.DUMMYFUNCTION("""COMPUTED_VALUE"""),2023.0)</f>
        <v>2023</v>
      </c>
      <c r="I3" s="14" t="str">
        <f>IFERROR(__xludf.DUMMYFUNCTION("""COMPUTED_VALUE"""),"Online Payment")</f>
        <v>Online Payment</v>
      </c>
      <c r="J3" s="14" t="str">
        <f>IFERROR(__xludf.DUMMYFUNCTION("""COMPUTED_VALUE"""),"Delivered*On-time Delivery: Delivered on time")</f>
        <v>Delivered*On-time Delivery: Delivered on time</v>
      </c>
      <c r="K3" s="14" t="str">
        <f>IFERROR(__xludf.DUMMYFUNCTION("split(E3,""+"")"),"Potato")</f>
        <v>Potato</v>
      </c>
      <c r="L3" s="14" t="str">
        <f>IFERROR(__xludf.DUMMYFUNCTION("""COMPUTED_VALUE"""),"2*Sita T")</f>
        <v>2*Sita T</v>
      </c>
      <c r="M3" s="14">
        <f>IFERROR(__xludf.DUMMYFUNCTION("SPLIT(L3,""*"")"),2.0)</f>
        <v>2</v>
      </c>
      <c r="N3" s="14" t="str">
        <f>IFERROR(__xludf.DUMMYFUNCTION("""COMPUTED_VALUE"""),"Sita T")</f>
        <v>Sita T</v>
      </c>
      <c r="O3" s="14" t="str">
        <f>IFERROR(__xludf.DUMMYFUNCTION("split(J3,""*"")"),"Delivered")</f>
        <v>Delivered</v>
      </c>
      <c r="P3" s="14" t="str">
        <f>IFERROR(__xludf.DUMMYFUNCTION("""COMPUTED_VALUE"""),"On-time Delivery: Delivered on time")</f>
        <v>On-time Delivery: Delivered on time</v>
      </c>
      <c r="Q3" s="14" t="str">
        <f>IFERROR(__xludf.DUMMYFUNCTION("split(P3,"":"")"),"On-time Delivery")</f>
        <v>On-time Delivery</v>
      </c>
      <c r="R3" s="14" t="str">
        <f>IFERROR(__xludf.DUMMYFUNCTION("""COMPUTED_VALUE""")," Delivered on time")</f>
        <v> Delivered on time</v>
      </c>
      <c r="S3" s="14" t="str">
        <f t="shared" ref="S3:U3" si="3">trim(B3)</f>
        <v>ord_11003</v>
      </c>
      <c r="T3" s="14" t="str">
        <f t="shared" si="3"/>
        <v>Aarav Mehta</v>
      </c>
      <c r="U3" s="14" t="str">
        <f t="shared" si="3"/>
        <v>Andheri</v>
      </c>
      <c r="V3" s="14" t="str">
        <f t="shared" si="4"/>
        <v>Potato</v>
      </c>
      <c r="W3" s="14">
        <f t="shared" si="5"/>
        <v>2</v>
      </c>
      <c r="X3" s="14" t="str">
        <f t="shared" si="6"/>
        <v>Sita T</v>
      </c>
      <c r="Y3" s="15">
        <f t="shared" si="7"/>
        <v>45129</v>
      </c>
      <c r="Z3" s="14" t="str">
        <f t="shared" si="8"/>
        <v>Online Payment</v>
      </c>
      <c r="AA3" s="14" t="str">
        <f t="shared" si="9"/>
        <v>Delivered</v>
      </c>
      <c r="AB3" s="14" t="str">
        <f t="shared" ref="AB3:AC3" si="10">trim(Q3)</f>
        <v>On-time Delivery</v>
      </c>
      <c r="AC3" s="14" t="str">
        <f t="shared" si="10"/>
        <v>Delivered on time</v>
      </c>
      <c r="AD3" s="8"/>
    </row>
    <row r="4">
      <c r="A4" s="14" t="str">
        <f>IFERROR(__xludf.DUMMYFUNCTION("""COMPUTED_VALUE"""),"//ord_12007//Ishaan Chaturvedi//Bandra//Onion+1*Sita T/1/8/2023//UPI//Delivered*Quality of Items: Perfect condition")</f>
        <v>//ord_12007//Ishaan Chaturvedi//Bandra//Onion+1*Sita T/1/8/2023//UPI//Delivered*Quality of Items: Perfect condition</v>
      </c>
      <c r="B4" s="14" t="str">
        <f>IFERROR(__xludf.DUMMYFUNCTION("split(A4,""//"")"),"ord_12007")</f>
        <v>ord_12007</v>
      </c>
      <c r="C4" s="14" t="str">
        <f>IFERROR(__xludf.DUMMYFUNCTION("""COMPUTED_VALUE"""),"Ishaan Chaturvedi")</f>
        <v>Ishaan Chaturvedi</v>
      </c>
      <c r="D4" s="14" t="str">
        <f>IFERROR(__xludf.DUMMYFUNCTION("""COMPUTED_VALUE"""),"Bandra")</f>
        <v>Bandra</v>
      </c>
      <c r="E4" s="14" t="str">
        <f>IFERROR(__xludf.DUMMYFUNCTION("""COMPUTED_VALUE"""),"Onion+1*Sita T")</f>
        <v>Onion+1*Sita T</v>
      </c>
      <c r="F4" s="14">
        <f>IFERROR(__xludf.DUMMYFUNCTION("""COMPUTED_VALUE"""),1.0)</f>
        <v>1</v>
      </c>
      <c r="G4" s="14">
        <f>IFERROR(__xludf.DUMMYFUNCTION("""COMPUTED_VALUE"""),8.0)</f>
        <v>8</v>
      </c>
      <c r="H4" s="14">
        <f>IFERROR(__xludf.DUMMYFUNCTION("""COMPUTED_VALUE"""),2023.0)</f>
        <v>2023</v>
      </c>
      <c r="I4" s="14" t="str">
        <f>IFERROR(__xludf.DUMMYFUNCTION("""COMPUTED_VALUE"""),"UPI")</f>
        <v>UPI</v>
      </c>
      <c r="J4" s="14" t="str">
        <f>IFERROR(__xludf.DUMMYFUNCTION("""COMPUTED_VALUE"""),"Delivered*Quality of Items: Perfect condition")</f>
        <v>Delivered*Quality of Items: Perfect condition</v>
      </c>
      <c r="K4" s="14" t="str">
        <f>IFERROR(__xludf.DUMMYFUNCTION("split(E4,""+"")"),"Onion")</f>
        <v>Onion</v>
      </c>
      <c r="L4" s="14" t="str">
        <f>IFERROR(__xludf.DUMMYFUNCTION("""COMPUTED_VALUE"""),"1*Sita T")</f>
        <v>1*Sita T</v>
      </c>
      <c r="M4" s="14">
        <f>IFERROR(__xludf.DUMMYFUNCTION("SPLIT(L4,""*"")"),1.0)</f>
        <v>1</v>
      </c>
      <c r="N4" s="14" t="str">
        <f>IFERROR(__xludf.DUMMYFUNCTION("""COMPUTED_VALUE"""),"Sita T")</f>
        <v>Sita T</v>
      </c>
      <c r="O4" s="14" t="str">
        <f>IFERROR(__xludf.DUMMYFUNCTION("split(J4,""*"")"),"Delivered")</f>
        <v>Delivered</v>
      </c>
      <c r="P4" s="14" t="str">
        <f>IFERROR(__xludf.DUMMYFUNCTION("""COMPUTED_VALUE"""),"Quality of Items: Perfect condition")</f>
        <v>Quality of Items: Perfect condition</v>
      </c>
      <c r="Q4" s="14" t="str">
        <f>IFERROR(__xludf.DUMMYFUNCTION("split(P4,"":"")"),"Quality of Items")</f>
        <v>Quality of Items</v>
      </c>
      <c r="R4" s="14" t="str">
        <f>IFERROR(__xludf.DUMMYFUNCTION("""COMPUTED_VALUE""")," Perfect condition")</f>
        <v> Perfect condition</v>
      </c>
      <c r="S4" s="14" t="str">
        <f t="shared" ref="S4:U4" si="11">trim(B4)</f>
        <v>ord_12007</v>
      </c>
      <c r="T4" s="14" t="str">
        <f t="shared" si="11"/>
        <v>Ishaan Chaturvedi</v>
      </c>
      <c r="U4" s="14" t="str">
        <f t="shared" si="11"/>
        <v>Bandra</v>
      </c>
      <c r="V4" s="14" t="str">
        <f t="shared" si="4"/>
        <v>Onion</v>
      </c>
      <c r="W4" s="14">
        <f t="shared" si="5"/>
        <v>1</v>
      </c>
      <c r="X4" s="14" t="str">
        <f t="shared" si="6"/>
        <v>Sita T</v>
      </c>
      <c r="Y4" s="15">
        <f t="shared" si="7"/>
        <v>44934</v>
      </c>
      <c r="Z4" s="14" t="str">
        <f t="shared" si="8"/>
        <v>UPI</v>
      </c>
      <c r="AA4" s="14" t="str">
        <f t="shared" si="9"/>
        <v>Delivered</v>
      </c>
      <c r="AB4" s="14" t="str">
        <f t="shared" ref="AB4:AC4" si="12">trim(Q4)</f>
        <v>Quality of Items</v>
      </c>
      <c r="AC4" s="14" t="str">
        <f t="shared" si="12"/>
        <v>Perfect condition</v>
      </c>
      <c r="AD4" s="8"/>
    </row>
    <row r="5">
      <c r="A5" s="14" t="str">
        <f>IFERROR(__xludf.DUMMYFUNCTION("""COMPUTED_VALUE"""),"//ord_13011//Mohit Malhotra//Lower Parel//Tomato+2*Kiran Mehta/7/27/2023//Credit Card//Delivered*Packaging: Secure and intact")</f>
        <v>//ord_13011//Mohit Malhotra//Lower Parel//Tomato+2*Kiran Mehta/7/27/2023//Credit Card//Delivered*Packaging: Secure and intact</v>
      </c>
      <c r="B5" s="14" t="str">
        <f>IFERROR(__xludf.DUMMYFUNCTION("split(A5,""//"")"),"ord_13011")</f>
        <v>ord_13011</v>
      </c>
      <c r="C5" s="14" t="str">
        <f>IFERROR(__xludf.DUMMYFUNCTION("""COMPUTED_VALUE"""),"Mohit Malhotra")</f>
        <v>Mohit Malhotra</v>
      </c>
      <c r="D5" s="14" t="str">
        <f>IFERROR(__xludf.DUMMYFUNCTION("""COMPUTED_VALUE"""),"Lower Parel")</f>
        <v>Lower Parel</v>
      </c>
      <c r="E5" s="14" t="str">
        <f>IFERROR(__xludf.DUMMYFUNCTION("""COMPUTED_VALUE"""),"Tomato+2*Kiran Mehta")</f>
        <v>Tomato+2*Kiran Mehta</v>
      </c>
      <c r="F5" s="14">
        <f>IFERROR(__xludf.DUMMYFUNCTION("""COMPUTED_VALUE"""),7.0)</f>
        <v>7</v>
      </c>
      <c r="G5" s="14">
        <f>IFERROR(__xludf.DUMMYFUNCTION("""COMPUTED_VALUE"""),27.0)</f>
        <v>27</v>
      </c>
      <c r="H5" s="14">
        <f>IFERROR(__xludf.DUMMYFUNCTION("""COMPUTED_VALUE"""),2023.0)</f>
        <v>2023</v>
      </c>
      <c r="I5" s="14" t="str">
        <f>IFERROR(__xludf.DUMMYFUNCTION("""COMPUTED_VALUE"""),"Credit Card")</f>
        <v>Credit Card</v>
      </c>
      <c r="J5" s="14" t="str">
        <f>IFERROR(__xludf.DUMMYFUNCTION("""COMPUTED_VALUE"""),"Delivered*Packaging: Secure and intact")</f>
        <v>Delivered*Packaging: Secure and intact</v>
      </c>
      <c r="K5" s="14" t="str">
        <f>IFERROR(__xludf.DUMMYFUNCTION("split(E5,""+"")"),"Tomato")</f>
        <v>Tomato</v>
      </c>
      <c r="L5" s="14" t="str">
        <f>IFERROR(__xludf.DUMMYFUNCTION("""COMPUTED_VALUE"""),"2*Kiran Mehta")</f>
        <v>2*Kiran Mehta</v>
      </c>
      <c r="M5" s="14">
        <f>IFERROR(__xludf.DUMMYFUNCTION("SPLIT(L5,""*"")"),2.0)</f>
        <v>2</v>
      </c>
      <c r="N5" s="14" t="str">
        <f>IFERROR(__xludf.DUMMYFUNCTION("""COMPUTED_VALUE"""),"Kiran Mehta")</f>
        <v>Kiran Mehta</v>
      </c>
      <c r="O5" s="14" t="str">
        <f>IFERROR(__xludf.DUMMYFUNCTION("split(J5,""*"")"),"Delivered")</f>
        <v>Delivered</v>
      </c>
      <c r="P5" s="14" t="str">
        <f>IFERROR(__xludf.DUMMYFUNCTION("""COMPUTED_VALUE"""),"Packaging: Secure and intact")</f>
        <v>Packaging: Secure and intact</v>
      </c>
      <c r="Q5" s="14" t="str">
        <f>IFERROR(__xludf.DUMMYFUNCTION("split(P5,"":"")"),"Packaging")</f>
        <v>Packaging</v>
      </c>
      <c r="R5" s="14" t="str">
        <f>IFERROR(__xludf.DUMMYFUNCTION("""COMPUTED_VALUE""")," Secure and intact")</f>
        <v> Secure and intact</v>
      </c>
      <c r="S5" s="14" t="str">
        <f t="shared" ref="S5:U5" si="13">trim(B5)</f>
        <v>ord_13011</v>
      </c>
      <c r="T5" s="14" t="str">
        <f t="shared" si="13"/>
        <v>Mohit Malhotra</v>
      </c>
      <c r="U5" s="14" t="str">
        <f t="shared" si="13"/>
        <v>Lower Parel</v>
      </c>
      <c r="V5" s="14" t="str">
        <f t="shared" si="4"/>
        <v>Tomato</v>
      </c>
      <c r="W5" s="14">
        <f t="shared" si="5"/>
        <v>2</v>
      </c>
      <c r="X5" s="14" t="str">
        <f t="shared" si="6"/>
        <v>Kiran Mehta</v>
      </c>
      <c r="Y5" s="15">
        <f t="shared" si="7"/>
        <v>45134</v>
      </c>
      <c r="Z5" s="14" t="str">
        <f t="shared" si="8"/>
        <v>Credit Card</v>
      </c>
      <c r="AA5" s="14" t="str">
        <f t="shared" si="9"/>
        <v>Delivered</v>
      </c>
      <c r="AB5" s="14" t="str">
        <f t="shared" ref="AB5:AC5" si="14">trim(Q5)</f>
        <v>Packaging</v>
      </c>
      <c r="AC5" s="14" t="str">
        <f t="shared" si="14"/>
        <v>Secure and intact</v>
      </c>
      <c r="AD5" s="8"/>
    </row>
    <row r="6">
      <c r="A6" s="14" t="str">
        <f>IFERROR(__xludf.DUMMYFUNCTION("""COMPUTED_VALUE"""),"//ord_15019//Ishaan Chaturvedi//Bandra//Onion+2*Ram Gopal/4/26/2023//Credit Card//Delivered*Customer Service: Seamless and easy")</f>
        <v>//ord_15019//Ishaan Chaturvedi//Bandra//Onion+2*Ram Gopal/4/26/2023//Credit Card//Delivered*Customer Service: Seamless and easy</v>
      </c>
      <c r="B6" s="14" t="str">
        <f>IFERROR(__xludf.DUMMYFUNCTION("split(A6,""//"")"),"ord_15019")</f>
        <v>ord_15019</v>
      </c>
      <c r="C6" s="14" t="str">
        <f>IFERROR(__xludf.DUMMYFUNCTION("""COMPUTED_VALUE"""),"Ishaan Chaturvedi")</f>
        <v>Ishaan Chaturvedi</v>
      </c>
      <c r="D6" s="14" t="str">
        <f>IFERROR(__xludf.DUMMYFUNCTION("""COMPUTED_VALUE"""),"Bandra")</f>
        <v>Bandra</v>
      </c>
      <c r="E6" s="14" t="str">
        <f>IFERROR(__xludf.DUMMYFUNCTION("""COMPUTED_VALUE"""),"Onion+2*Ram Gopal")</f>
        <v>Onion+2*Ram Gopal</v>
      </c>
      <c r="F6" s="14">
        <f>IFERROR(__xludf.DUMMYFUNCTION("""COMPUTED_VALUE"""),4.0)</f>
        <v>4</v>
      </c>
      <c r="G6" s="14">
        <f>IFERROR(__xludf.DUMMYFUNCTION("""COMPUTED_VALUE"""),26.0)</f>
        <v>26</v>
      </c>
      <c r="H6" s="14">
        <f>IFERROR(__xludf.DUMMYFUNCTION("""COMPUTED_VALUE"""),2023.0)</f>
        <v>2023</v>
      </c>
      <c r="I6" s="14" t="str">
        <f>IFERROR(__xludf.DUMMYFUNCTION("""COMPUTED_VALUE"""),"Credit Card")</f>
        <v>Credit Card</v>
      </c>
      <c r="J6" s="14" t="str">
        <f>IFERROR(__xludf.DUMMYFUNCTION("""COMPUTED_VALUE"""),"Delivered*Customer Service: Seamless and easy")</f>
        <v>Delivered*Customer Service: Seamless and easy</v>
      </c>
      <c r="K6" s="14" t="str">
        <f>IFERROR(__xludf.DUMMYFUNCTION("split(E6,""+"")"),"Onion")</f>
        <v>Onion</v>
      </c>
      <c r="L6" s="14" t="str">
        <f>IFERROR(__xludf.DUMMYFUNCTION("""COMPUTED_VALUE"""),"2*Ram Gopal")</f>
        <v>2*Ram Gopal</v>
      </c>
      <c r="M6" s="14">
        <f>IFERROR(__xludf.DUMMYFUNCTION("SPLIT(L6,""*"")"),2.0)</f>
        <v>2</v>
      </c>
      <c r="N6" s="14" t="str">
        <f>IFERROR(__xludf.DUMMYFUNCTION("""COMPUTED_VALUE"""),"Ram Gopal")</f>
        <v>Ram Gopal</v>
      </c>
      <c r="O6" s="14" t="str">
        <f>IFERROR(__xludf.DUMMYFUNCTION("split(J6,""*"")"),"Delivered")</f>
        <v>Delivered</v>
      </c>
      <c r="P6" s="14" t="str">
        <f>IFERROR(__xludf.DUMMYFUNCTION("""COMPUTED_VALUE"""),"Customer Service: Seamless and easy")</f>
        <v>Customer Service: Seamless and easy</v>
      </c>
      <c r="Q6" s="14" t="str">
        <f>IFERROR(__xludf.DUMMYFUNCTION("split(P6,"":"")"),"Customer Service")</f>
        <v>Customer Service</v>
      </c>
      <c r="R6" s="14" t="str">
        <f>IFERROR(__xludf.DUMMYFUNCTION("""COMPUTED_VALUE""")," Seamless and easy")</f>
        <v> Seamless and easy</v>
      </c>
      <c r="S6" s="14" t="str">
        <f t="shared" ref="S6:U6" si="15">trim(B6)</f>
        <v>ord_15019</v>
      </c>
      <c r="T6" s="14" t="str">
        <f t="shared" si="15"/>
        <v>Ishaan Chaturvedi</v>
      </c>
      <c r="U6" s="14" t="str">
        <f t="shared" si="15"/>
        <v>Bandra</v>
      </c>
      <c r="V6" s="14" t="str">
        <f t="shared" si="4"/>
        <v>Onion</v>
      </c>
      <c r="W6" s="14">
        <f t="shared" si="5"/>
        <v>2</v>
      </c>
      <c r="X6" s="14" t="str">
        <f t="shared" si="6"/>
        <v>Ram Gopal</v>
      </c>
      <c r="Y6" s="15">
        <f t="shared" si="7"/>
        <v>45042</v>
      </c>
      <c r="Z6" s="14" t="str">
        <f t="shared" si="8"/>
        <v>Credit Card</v>
      </c>
      <c r="AA6" s="14" t="str">
        <f t="shared" si="9"/>
        <v>Delivered</v>
      </c>
      <c r="AB6" s="14" t="str">
        <f t="shared" ref="AB6:AC6" si="16">trim(Q6)</f>
        <v>Customer Service</v>
      </c>
      <c r="AC6" s="14" t="str">
        <f t="shared" si="16"/>
        <v>Seamless and easy</v>
      </c>
      <c r="AD6" s="8"/>
    </row>
    <row r="7">
      <c r="A7" s="14" t="str">
        <f>IFERROR(__xludf.DUMMYFUNCTION("""COMPUTED_VALUE"""),"//ord_16023//Tanishq Bansal//Powai//Apple+2*Vivek Kumar/5/24/2023//UPI//Delivered*Delivery Experience: Quick and professional")</f>
        <v>//ord_16023//Tanishq Bansal//Powai//Apple+2*Vivek Kumar/5/24/2023//UPI//Delivered*Delivery Experience: Quick and professional</v>
      </c>
      <c r="B7" s="14" t="str">
        <f>IFERROR(__xludf.DUMMYFUNCTION("split(A7,""//"")"),"ord_16023")</f>
        <v>ord_16023</v>
      </c>
      <c r="C7" s="14" t="str">
        <f>IFERROR(__xludf.DUMMYFUNCTION("""COMPUTED_VALUE"""),"Tanishq Bansal")</f>
        <v>Tanishq Bansal</v>
      </c>
      <c r="D7" s="14" t="str">
        <f>IFERROR(__xludf.DUMMYFUNCTION("""COMPUTED_VALUE"""),"Powai")</f>
        <v>Powai</v>
      </c>
      <c r="E7" s="14" t="str">
        <f>IFERROR(__xludf.DUMMYFUNCTION("""COMPUTED_VALUE"""),"Apple+2*Vivek Kumar")</f>
        <v>Apple+2*Vivek Kumar</v>
      </c>
      <c r="F7" s="14">
        <f>IFERROR(__xludf.DUMMYFUNCTION("""COMPUTED_VALUE"""),5.0)</f>
        <v>5</v>
      </c>
      <c r="G7" s="14">
        <f>IFERROR(__xludf.DUMMYFUNCTION("""COMPUTED_VALUE"""),24.0)</f>
        <v>24</v>
      </c>
      <c r="H7" s="14">
        <f>IFERROR(__xludf.DUMMYFUNCTION("""COMPUTED_VALUE"""),2023.0)</f>
        <v>2023</v>
      </c>
      <c r="I7" s="14" t="str">
        <f>IFERROR(__xludf.DUMMYFUNCTION("""COMPUTED_VALUE"""),"UPI")</f>
        <v>UPI</v>
      </c>
      <c r="J7" s="14" t="str">
        <f>IFERROR(__xludf.DUMMYFUNCTION("""COMPUTED_VALUE"""),"Delivered*Delivery Experience: Quick and professional")</f>
        <v>Delivered*Delivery Experience: Quick and professional</v>
      </c>
      <c r="K7" s="14" t="str">
        <f>IFERROR(__xludf.DUMMYFUNCTION("split(E7,""+"")"),"Apple")</f>
        <v>Apple</v>
      </c>
      <c r="L7" s="14" t="str">
        <f>IFERROR(__xludf.DUMMYFUNCTION("""COMPUTED_VALUE"""),"2*Vivek Kumar")</f>
        <v>2*Vivek Kumar</v>
      </c>
      <c r="M7" s="14">
        <f>IFERROR(__xludf.DUMMYFUNCTION("SPLIT(L7,""*"")"),2.0)</f>
        <v>2</v>
      </c>
      <c r="N7" s="14" t="str">
        <f>IFERROR(__xludf.DUMMYFUNCTION("""COMPUTED_VALUE"""),"Vivek Kumar")</f>
        <v>Vivek Kumar</v>
      </c>
      <c r="O7" s="14" t="str">
        <f>IFERROR(__xludf.DUMMYFUNCTION("split(J7,""*"")"),"Delivered")</f>
        <v>Delivered</v>
      </c>
      <c r="P7" s="14" t="str">
        <f>IFERROR(__xludf.DUMMYFUNCTION("""COMPUTED_VALUE"""),"Delivery Experience: Quick and professional")</f>
        <v>Delivery Experience: Quick and professional</v>
      </c>
      <c r="Q7" s="14" t="str">
        <f>IFERROR(__xludf.DUMMYFUNCTION("split(P7,"":"")"),"Delivery Experience")</f>
        <v>Delivery Experience</v>
      </c>
      <c r="R7" s="14" t="str">
        <f>IFERROR(__xludf.DUMMYFUNCTION("""COMPUTED_VALUE""")," Quick and professional")</f>
        <v> Quick and professional</v>
      </c>
      <c r="S7" s="14" t="str">
        <f t="shared" ref="S7:U7" si="17">trim(B7)</f>
        <v>ord_16023</v>
      </c>
      <c r="T7" s="14" t="str">
        <f t="shared" si="17"/>
        <v>Tanishq Bansal</v>
      </c>
      <c r="U7" s="14" t="str">
        <f t="shared" si="17"/>
        <v>Powai</v>
      </c>
      <c r="V7" s="14" t="str">
        <f t="shared" si="4"/>
        <v>Apple</v>
      </c>
      <c r="W7" s="14">
        <f t="shared" si="5"/>
        <v>2</v>
      </c>
      <c r="X7" s="14" t="str">
        <f t="shared" si="6"/>
        <v>Vivek Kumar</v>
      </c>
      <c r="Y7" s="15">
        <f t="shared" si="7"/>
        <v>45070</v>
      </c>
      <c r="Z7" s="14" t="str">
        <f t="shared" si="8"/>
        <v>UPI</v>
      </c>
      <c r="AA7" s="14" t="str">
        <f t="shared" si="9"/>
        <v>Delivered</v>
      </c>
      <c r="AB7" s="14" t="str">
        <f t="shared" ref="AB7:AC7" si="18">trim(Q7)</f>
        <v>Delivery Experience</v>
      </c>
      <c r="AC7" s="14" t="str">
        <f t="shared" si="18"/>
        <v>Quick and professional</v>
      </c>
      <c r="AD7" s="8"/>
    </row>
    <row r="8">
      <c r="A8" s="14" t="str">
        <f>IFERROR(__xludf.DUMMYFUNCTION("""COMPUTED_VALUE"""),"//ord_17027//Mohit Malhotra//Lower Parel//Tomato+1*Venu R/6/19/2023//UPI//Delivered*Convenience: Easy tracking")</f>
        <v>//ord_17027//Mohit Malhotra//Lower Parel//Tomato+1*Venu R/6/19/2023//UPI//Delivered*Convenience: Easy tracking</v>
      </c>
      <c r="B8" s="14" t="str">
        <f>IFERROR(__xludf.DUMMYFUNCTION("split(A8,""//"")"),"ord_17027")</f>
        <v>ord_17027</v>
      </c>
      <c r="C8" s="14" t="str">
        <f>IFERROR(__xludf.DUMMYFUNCTION("""COMPUTED_VALUE"""),"Mohit Malhotra")</f>
        <v>Mohit Malhotra</v>
      </c>
      <c r="D8" s="14" t="str">
        <f>IFERROR(__xludf.DUMMYFUNCTION("""COMPUTED_VALUE"""),"Lower Parel")</f>
        <v>Lower Parel</v>
      </c>
      <c r="E8" s="14" t="str">
        <f>IFERROR(__xludf.DUMMYFUNCTION("""COMPUTED_VALUE"""),"Tomato+1*Venu R")</f>
        <v>Tomato+1*Venu R</v>
      </c>
      <c r="F8" s="14">
        <f>IFERROR(__xludf.DUMMYFUNCTION("""COMPUTED_VALUE"""),6.0)</f>
        <v>6</v>
      </c>
      <c r="G8" s="14">
        <f>IFERROR(__xludf.DUMMYFUNCTION("""COMPUTED_VALUE"""),19.0)</f>
        <v>19</v>
      </c>
      <c r="H8" s="14">
        <f>IFERROR(__xludf.DUMMYFUNCTION("""COMPUTED_VALUE"""),2023.0)</f>
        <v>2023</v>
      </c>
      <c r="I8" s="14" t="str">
        <f>IFERROR(__xludf.DUMMYFUNCTION("""COMPUTED_VALUE"""),"UPI")</f>
        <v>UPI</v>
      </c>
      <c r="J8" s="14" t="str">
        <f>IFERROR(__xludf.DUMMYFUNCTION("""COMPUTED_VALUE"""),"Delivered*Convenience: Easy tracking")</f>
        <v>Delivered*Convenience: Easy tracking</v>
      </c>
      <c r="K8" s="14" t="str">
        <f>IFERROR(__xludf.DUMMYFUNCTION("split(E8,""+"")"),"Tomato")</f>
        <v>Tomato</v>
      </c>
      <c r="L8" s="14" t="str">
        <f>IFERROR(__xludf.DUMMYFUNCTION("""COMPUTED_VALUE"""),"1*Venu R")</f>
        <v>1*Venu R</v>
      </c>
      <c r="M8" s="14">
        <f>IFERROR(__xludf.DUMMYFUNCTION("SPLIT(L8,""*"")"),1.0)</f>
        <v>1</v>
      </c>
      <c r="N8" s="14" t="str">
        <f>IFERROR(__xludf.DUMMYFUNCTION("""COMPUTED_VALUE"""),"Venu R")</f>
        <v>Venu R</v>
      </c>
      <c r="O8" s="14" t="str">
        <f>IFERROR(__xludf.DUMMYFUNCTION("split(J8,""*"")"),"Delivered")</f>
        <v>Delivered</v>
      </c>
      <c r="P8" s="14" t="str">
        <f>IFERROR(__xludf.DUMMYFUNCTION("""COMPUTED_VALUE"""),"Convenience: Easy tracking")</f>
        <v>Convenience: Easy tracking</v>
      </c>
      <c r="Q8" s="14" t="str">
        <f>IFERROR(__xludf.DUMMYFUNCTION("split(P8,"":"")"),"Convenience")</f>
        <v>Convenience</v>
      </c>
      <c r="R8" s="14" t="str">
        <f>IFERROR(__xludf.DUMMYFUNCTION("""COMPUTED_VALUE""")," Easy tracking")</f>
        <v> Easy tracking</v>
      </c>
      <c r="S8" s="14" t="str">
        <f t="shared" ref="S8:U8" si="19">trim(B8)</f>
        <v>ord_17027</v>
      </c>
      <c r="T8" s="14" t="str">
        <f t="shared" si="19"/>
        <v>Mohit Malhotra</v>
      </c>
      <c r="U8" s="14" t="str">
        <f t="shared" si="19"/>
        <v>Lower Parel</v>
      </c>
      <c r="V8" s="14" t="str">
        <f t="shared" si="4"/>
        <v>Tomato</v>
      </c>
      <c r="W8" s="14">
        <f t="shared" si="5"/>
        <v>1</v>
      </c>
      <c r="X8" s="14" t="str">
        <f t="shared" si="6"/>
        <v>Venu R</v>
      </c>
      <c r="Y8" s="15">
        <f t="shared" si="7"/>
        <v>45096</v>
      </c>
      <c r="Z8" s="14" t="str">
        <f t="shared" si="8"/>
        <v>UPI</v>
      </c>
      <c r="AA8" s="14" t="str">
        <f t="shared" si="9"/>
        <v>Delivered</v>
      </c>
      <c r="AB8" s="14" t="str">
        <f t="shared" ref="AB8:AC8" si="20">trim(Q8)</f>
        <v>Convenience</v>
      </c>
      <c r="AC8" s="14" t="str">
        <f t="shared" si="20"/>
        <v>Easy tracking</v>
      </c>
      <c r="AD8" s="8"/>
    </row>
    <row r="9">
      <c r="A9" s="14" t="str">
        <f>IFERROR(__xludf.DUMMYFUNCTION("""COMPUTED_VALUE"""),"//ord_18031//Mehul Thakkar//Malad//Apple+2*Ram Gopal/2/24/2023//COD//Delivered*Overall Satisfaction: Great service will order again")</f>
        <v>//ord_18031//Mehul Thakkar//Malad//Apple+2*Ram Gopal/2/24/2023//COD//Delivered*Overall Satisfaction: Great service will order again</v>
      </c>
      <c r="B9" s="14" t="str">
        <f>IFERROR(__xludf.DUMMYFUNCTION("split(A9,""//"")"),"ord_18031")</f>
        <v>ord_18031</v>
      </c>
      <c r="C9" s="14" t="str">
        <f>IFERROR(__xludf.DUMMYFUNCTION("""COMPUTED_VALUE"""),"Mehul Thakkar")</f>
        <v>Mehul Thakkar</v>
      </c>
      <c r="D9" s="14" t="str">
        <f>IFERROR(__xludf.DUMMYFUNCTION("""COMPUTED_VALUE"""),"Malad")</f>
        <v>Malad</v>
      </c>
      <c r="E9" s="14" t="str">
        <f>IFERROR(__xludf.DUMMYFUNCTION("""COMPUTED_VALUE"""),"Apple+2*Ram Gopal")</f>
        <v>Apple+2*Ram Gopal</v>
      </c>
      <c r="F9" s="14">
        <f>IFERROR(__xludf.DUMMYFUNCTION("""COMPUTED_VALUE"""),2.0)</f>
        <v>2</v>
      </c>
      <c r="G9" s="14">
        <f>IFERROR(__xludf.DUMMYFUNCTION("""COMPUTED_VALUE"""),24.0)</f>
        <v>24</v>
      </c>
      <c r="H9" s="14">
        <f>IFERROR(__xludf.DUMMYFUNCTION("""COMPUTED_VALUE"""),2023.0)</f>
        <v>2023</v>
      </c>
      <c r="I9" s="14" t="str">
        <f>IFERROR(__xludf.DUMMYFUNCTION("""COMPUTED_VALUE"""),"COD")</f>
        <v>COD</v>
      </c>
      <c r="J9" s="14" t="str">
        <f>IFERROR(__xludf.DUMMYFUNCTION("""COMPUTED_VALUE"""),"Delivered*Overall Satisfaction: Great service will order again")</f>
        <v>Delivered*Overall Satisfaction: Great service will order again</v>
      </c>
      <c r="K9" s="14" t="str">
        <f>IFERROR(__xludf.DUMMYFUNCTION("split(E9,""+"")"),"Apple")</f>
        <v>Apple</v>
      </c>
      <c r="L9" s="14" t="str">
        <f>IFERROR(__xludf.DUMMYFUNCTION("""COMPUTED_VALUE"""),"2*Ram Gopal")</f>
        <v>2*Ram Gopal</v>
      </c>
      <c r="M9" s="14">
        <f>IFERROR(__xludf.DUMMYFUNCTION("SPLIT(L9,""*"")"),2.0)</f>
        <v>2</v>
      </c>
      <c r="N9" s="14" t="str">
        <f>IFERROR(__xludf.DUMMYFUNCTION("""COMPUTED_VALUE"""),"Ram Gopal")</f>
        <v>Ram Gopal</v>
      </c>
      <c r="O9" s="14" t="str">
        <f>IFERROR(__xludf.DUMMYFUNCTION("split(J9,""*"")"),"Delivered")</f>
        <v>Delivered</v>
      </c>
      <c r="P9" s="14" t="str">
        <f>IFERROR(__xludf.DUMMYFUNCTION("""COMPUTED_VALUE"""),"Overall Satisfaction: Great service will order again")</f>
        <v>Overall Satisfaction: Great service will order again</v>
      </c>
      <c r="Q9" s="14" t="str">
        <f>IFERROR(__xludf.DUMMYFUNCTION("split(P9,"":"")"),"Overall Satisfaction")</f>
        <v>Overall Satisfaction</v>
      </c>
      <c r="R9" s="14" t="str">
        <f>IFERROR(__xludf.DUMMYFUNCTION("""COMPUTED_VALUE""")," Great service will order again")</f>
        <v> Great service will order again</v>
      </c>
      <c r="S9" s="14" t="str">
        <f t="shared" ref="S9:U9" si="21">trim(B9)</f>
        <v>ord_18031</v>
      </c>
      <c r="T9" s="14" t="str">
        <f t="shared" si="21"/>
        <v>Mehul Thakkar</v>
      </c>
      <c r="U9" s="14" t="str">
        <f t="shared" si="21"/>
        <v>Malad</v>
      </c>
      <c r="V9" s="14" t="str">
        <f t="shared" si="4"/>
        <v>Apple</v>
      </c>
      <c r="W9" s="14">
        <f t="shared" si="5"/>
        <v>2</v>
      </c>
      <c r="X9" s="14" t="str">
        <f t="shared" si="6"/>
        <v>Ram Gopal</v>
      </c>
      <c r="Y9" s="15">
        <f t="shared" si="7"/>
        <v>44981</v>
      </c>
      <c r="Z9" s="14" t="str">
        <f t="shared" si="8"/>
        <v>COD</v>
      </c>
      <c r="AA9" s="14" t="str">
        <f t="shared" si="9"/>
        <v>Delivered</v>
      </c>
      <c r="AB9" s="14" t="str">
        <f t="shared" ref="AB9:AC9" si="22">trim(Q9)</f>
        <v>Overall Satisfaction</v>
      </c>
      <c r="AC9" s="14" t="str">
        <f t="shared" si="22"/>
        <v>Great service will order again</v>
      </c>
      <c r="AD9" s="8"/>
    </row>
    <row r="10">
      <c r="A10" s="14" t="str">
        <f>IFERROR(__xludf.DUMMYFUNCTION("""COMPUTED_VALUE"""),"//ord_19035//Aditi Iyer//Dadar//Orange+2*Shine Thomas/7/8/2023//UPI//Delivered*On-time Delivery: Delivered on time")</f>
        <v>//ord_19035//Aditi Iyer//Dadar//Orange+2*Shine Thomas/7/8/2023//UPI//Delivered*On-time Delivery: Delivered on time</v>
      </c>
      <c r="B10" s="14" t="str">
        <f>IFERROR(__xludf.DUMMYFUNCTION("split(A10,""//"")"),"ord_19035")</f>
        <v>ord_19035</v>
      </c>
      <c r="C10" s="14" t="str">
        <f>IFERROR(__xludf.DUMMYFUNCTION("""COMPUTED_VALUE"""),"Aditi Iyer")</f>
        <v>Aditi Iyer</v>
      </c>
      <c r="D10" s="14" t="str">
        <f>IFERROR(__xludf.DUMMYFUNCTION("""COMPUTED_VALUE"""),"Dadar")</f>
        <v>Dadar</v>
      </c>
      <c r="E10" s="14" t="str">
        <f>IFERROR(__xludf.DUMMYFUNCTION("""COMPUTED_VALUE"""),"Orange+2*Shine Thomas")</f>
        <v>Orange+2*Shine Thomas</v>
      </c>
      <c r="F10" s="14">
        <f>IFERROR(__xludf.DUMMYFUNCTION("""COMPUTED_VALUE"""),7.0)</f>
        <v>7</v>
      </c>
      <c r="G10" s="14">
        <f>IFERROR(__xludf.DUMMYFUNCTION("""COMPUTED_VALUE"""),8.0)</f>
        <v>8</v>
      </c>
      <c r="H10" s="14">
        <f>IFERROR(__xludf.DUMMYFUNCTION("""COMPUTED_VALUE"""),2023.0)</f>
        <v>2023</v>
      </c>
      <c r="I10" s="14" t="str">
        <f>IFERROR(__xludf.DUMMYFUNCTION("""COMPUTED_VALUE"""),"UPI")</f>
        <v>UPI</v>
      </c>
      <c r="J10" s="14" t="str">
        <f>IFERROR(__xludf.DUMMYFUNCTION("""COMPUTED_VALUE"""),"Delivered*On-time Delivery: Delivered on time")</f>
        <v>Delivered*On-time Delivery: Delivered on time</v>
      </c>
      <c r="K10" s="14" t="str">
        <f>IFERROR(__xludf.DUMMYFUNCTION("split(E10,""+"")"),"Orange")</f>
        <v>Orange</v>
      </c>
      <c r="L10" s="14" t="str">
        <f>IFERROR(__xludf.DUMMYFUNCTION("""COMPUTED_VALUE"""),"2*Shine Thomas")</f>
        <v>2*Shine Thomas</v>
      </c>
      <c r="M10" s="14">
        <f>IFERROR(__xludf.DUMMYFUNCTION("SPLIT(L10,""*"")"),2.0)</f>
        <v>2</v>
      </c>
      <c r="N10" s="14" t="str">
        <f>IFERROR(__xludf.DUMMYFUNCTION("""COMPUTED_VALUE"""),"Shine Thomas")</f>
        <v>Shine Thomas</v>
      </c>
      <c r="O10" s="14" t="str">
        <f>IFERROR(__xludf.DUMMYFUNCTION("split(J10,""*"")"),"Delivered")</f>
        <v>Delivered</v>
      </c>
      <c r="P10" s="14" t="str">
        <f>IFERROR(__xludf.DUMMYFUNCTION("""COMPUTED_VALUE"""),"On-time Delivery: Delivered on time")</f>
        <v>On-time Delivery: Delivered on time</v>
      </c>
      <c r="Q10" s="14" t="str">
        <f>IFERROR(__xludf.DUMMYFUNCTION("split(P10,"":"")"),"On-time Delivery")</f>
        <v>On-time Delivery</v>
      </c>
      <c r="R10" s="14" t="str">
        <f>IFERROR(__xludf.DUMMYFUNCTION("""COMPUTED_VALUE""")," Delivered on time")</f>
        <v> Delivered on time</v>
      </c>
      <c r="S10" s="14" t="str">
        <f t="shared" ref="S10:U10" si="23">trim(B10)</f>
        <v>ord_19035</v>
      </c>
      <c r="T10" s="14" t="str">
        <f t="shared" si="23"/>
        <v>Aditi Iyer</v>
      </c>
      <c r="U10" s="14" t="str">
        <f t="shared" si="23"/>
        <v>Dadar</v>
      </c>
      <c r="V10" s="14" t="str">
        <f t="shared" si="4"/>
        <v>Orange</v>
      </c>
      <c r="W10" s="14">
        <f t="shared" si="5"/>
        <v>2</v>
      </c>
      <c r="X10" s="14" t="str">
        <f t="shared" si="6"/>
        <v>Shine Thomas</v>
      </c>
      <c r="Y10" s="15">
        <f t="shared" si="7"/>
        <v>45115</v>
      </c>
      <c r="Z10" s="14" t="str">
        <f t="shared" si="8"/>
        <v>UPI</v>
      </c>
      <c r="AA10" s="14" t="str">
        <f t="shared" si="9"/>
        <v>Delivered</v>
      </c>
      <c r="AB10" s="14" t="str">
        <f t="shared" ref="AB10:AC10" si="24">trim(Q10)</f>
        <v>On-time Delivery</v>
      </c>
      <c r="AC10" s="14" t="str">
        <f t="shared" si="24"/>
        <v>Delivered on time</v>
      </c>
      <c r="AD10" s="8"/>
    </row>
    <row r="11">
      <c r="A11" s="14" t="str">
        <f>IFERROR(__xludf.DUMMYFUNCTION("""COMPUTED_VALUE"""),"//ord_20039//Sahil Desai//Lower Parel//Cucumber+2*Kiran Mehta/12/27/2023//Credit Card//Delivered*Quality of Items: Perfect condition")</f>
        <v>//ord_20039//Sahil Desai//Lower Parel//Cucumber+2*Kiran Mehta/12/27/2023//Credit Card//Delivered*Quality of Items: Perfect condition</v>
      </c>
      <c r="B11" s="14" t="str">
        <f>IFERROR(__xludf.DUMMYFUNCTION("split(A11,""//"")"),"ord_20039")</f>
        <v>ord_20039</v>
      </c>
      <c r="C11" s="14" t="str">
        <f>IFERROR(__xludf.DUMMYFUNCTION("""COMPUTED_VALUE"""),"Sahil Desai")</f>
        <v>Sahil Desai</v>
      </c>
      <c r="D11" s="14" t="str">
        <f>IFERROR(__xludf.DUMMYFUNCTION("""COMPUTED_VALUE"""),"Lower Parel")</f>
        <v>Lower Parel</v>
      </c>
      <c r="E11" s="14" t="str">
        <f>IFERROR(__xludf.DUMMYFUNCTION("""COMPUTED_VALUE"""),"Cucumber+2*Kiran Mehta")</f>
        <v>Cucumber+2*Kiran Mehta</v>
      </c>
      <c r="F11" s="14">
        <f>IFERROR(__xludf.DUMMYFUNCTION("""COMPUTED_VALUE"""),12.0)</f>
        <v>12</v>
      </c>
      <c r="G11" s="14">
        <f>IFERROR(__xludf.DUMMYFUNCTION("""COMPUTED_VALUE"""),27.0)</f>
        <v>27</v>
      </c>
      <c r="H11" s="14">
        <f>IFERROR(__xludf.DUMMYFUNCTION("""COMPUTED_VALUE"""),2023.0)</f>
        <v>2023</v>
      </c>
      <c r="I11" s="14" t="str">
        <f>IFERROR(__xludf.DUMMYFUNCTION("""COMPUTED_VALUE"""),"Credit Card")</f>
        <v>Credit Card</v>
      </c>
      <c r="J11" s="14" t="str">
        <f>IFERROR(__xludf.DUMMYFUNCTION("""COMPUTED_VALUE"""),"Delivered*Quality of Items: Perfect condition")</f>
        <v>Delivered*Quality of Items: Perfect condition</v>
      </c>
      <c r="K11" s="14" t="str">
        <f>IFERROR(__xludf.DUMMYFUNCTION("split(E11,""+"")"),"Cucumber")</f>
        <v>Cucumber</v>
      </c>
      <c r="L11" s="14" t="str">
        <f>IFERROR(__xludf.DUMMYFUNCTION("""COMPUTED_VALUE"""),"2*Kiran Mehta")</f>
        <v>2*Kiran Mehta</v>
      </c>
      <c r="M11" s="14">
        <f>IFERROR(__xludf.DUMMYFUNCTION("SPLIT(L11,""*"")"),2.0)</f>
        <v>2</v>
      </c>
      <c r="N11" s="14" t="str">
        <f>IFERROR(__xludf.DUMMYFUNCTION("""COMPUTED_VALUE"""),"Kiran Mehta")</f>
        <v>Kiran Mehta</v>
      </c>
      <c r="O11" s="14" t="str">
        <f>IFERROR(__xludf.DUMMYFUNCTION("split(J11,""*"")"),"Delivered")</f>
        <v>Delivered</v>
      </c>
      <c r="P11" s="14" t="str">
        <f>IFERROR(__xludf.DUMMYFUNCTION("""COMPUTED_VALUE"""),"Quality of Items: Perfect condition")</f>
        <v>Quality of Items: Perfect condition</v>
      </c>
      <c r="Q11" s="14" t="str">
        <f>IFERROR(__xludf.DUMMYFUNCTION("split(P11,"":"")"),"Quality of Items")</f>
        <v>Quality of Items</v>
      </c>
      <c r="R11" s="14" t="str">
        <f>IFERROR(__xludf.DUMMYFUNCTION("""COMPUTED_VALUE""")," Perfect condition")</f>
        <v> Perfect condition</v>
      </c>
      <c r="S11" s="14" t="str">
        <f t="shared" ref="S11:U11" si="25">trim(B11)</f>
        <v>ord_20039</v>
      </c>
      <c r="T11" s="14" t="str">
        <f t="shared" si="25"/>
        <v>Sahil Desai</v>
      </c>
      <c r="U11" s="14" t="str">
        <f t="shared" si="25"/>
        <v>Lower Parel</v>
      </c>
      <c r="V11" s="14" t="str">
        <f t="shared" si="4"/>
        <v>Cucumber</v>
      </c>
      <c r="W11" s="14">
        <f t="shared" si="5"/>
        <v>2</v>
      </c>
      <c r="X11" s="14" t="str">
        <f t="shared" si="6"/>
        <v>Kiran Mehta</v>
      </c>
      <c r="Y11" s="15">
        <f t="shared" si="7"/>
        <v>45287</v>
      </c>
      <c r="Z11" s="14" t="str">
        <f t="shared" si="8"/>
        <v>Credit Card</v>
      </c>
      <c r="AA11" s="14" t="str">
        <f t="shared" si="9"/>
        <v>Delivered</v>
      </c>
      <c r="AB11" s="14" t="str">
        <f t="shared" ref="AB11:AC11" si="26">trim(Q11)</f>
        <v>Quality of Items</v>
      </c>
      <c r="AC11" s="14" t="str">
        <f t="shared" si="26"/>
        <v>Perfect condition</v>
      </c>
      <c r="AD11" s="8"/>
    </row>
    <row r="12">
      <c r="A12" s="14" t="str">
        <f>IFERROR(__xludf.DUMMYFUNCTION("""COMPUTED_VALUE"""),"//ord_21043//Diya Arora//Lower Parel//Papaya+1*Ram Gopal/12/4/2023//Credit Card//Cancelled*Delayed Delivery:Heavy Traffic")</f>
        <v>//ord_21043//Diya Arora//Lower Parel//Papaya+1*Ram Gopal/12/4/2023//Credit Card//Cancelled*Delayed Delivery:Heavy Traffic</v>
      </c>
      <c r="B12" s="14" t="str">
        <f>IFERROR(__xludf.DUMMYFUNCTION("split(A12,""//"")"),"ord_21043")</f>
        <v>ord_21043</v>
      </c>
      <c r="C12" s="14" t="str">
        <f>IFERROR(__xludf.DUMMYFUNCTION("""COMPUTED_VALUE"""),"Diya Arora")</f>
        <v>Diya Arora</v>
      </c>
      <c r="D12" s="14" t="str">
        <f>IFERROR(__xludf.DUMMYFUNCTION("""COMPUTED_VALUE"""),"Lower Parel")</f>
        <v>Lower Parel</v>
      </c>
      <c r="E12" s="14" t="str">
        <f>IFERROR(__xludf.DUMMYFUNCTION("""COMPUTED_VALUE"""),"Papaya+1*Ram Gopal")</f>
        <v>Papaya+1*Ram Gopal</v>
      </c>
      <c r="F12" s="14">
        <f>IFERROR(__xludf.DUMMYFUNCTION("""COMPUTED_VALUE"""),12.0)</f>
        <v>12</v>
      </c>
      <c r="G12" s="14">
        <f>IFERROR(__xludf.DUMMYFUNCTION("""COMPUTED_VALUE"""),4.0)</f>
        <v>4</v>
      </c>
      <c r="H12" s="14">
        <f>IFERROR(__xludf.DUMMYFUNCTION("""COMPUTED_VALUE"""),2023.0)</f>
        <v>2023</v>
      </c>
      <c r="I12" s="14" t="str">
        <f>IFERROR(__xludf.DUMMYFUNCTION("""COMPUTED_VALUE"""),"Credit Card")</f>
        <v>Credit Card</v>
      </c>
      <c r="J12" s="14" t="str">
        <f>IFERROR(__xludf.DUMMYFUNCTION("""COMPUTED_VALUE"""),"Cancelled*Delayed Delivery:Heavy Traffic")</f>
        <v>Cancelled*Delayed Delivery:Heavy Traffic</v>
      </c>
      <c r="K12" s="14" t="str">
        <f>IFERROR(__xludf.DUMMYFUNCTION("split(E12,""+"")"),"Papaya")</f>
        <v>Papaya</v>
      </c>
      <c r="L12" s="14" t="str">
        <f>IFERROR(__xludf.DUMMYFUNCTION("""COMPUTED_VALUE"""),"1*Ram Gopal")</f>
        <v>1*Ram Gopal</v>
      </c>
      <c r="M12" s="14">
        <f>IFERROR(__xludf.DUMMYFUNCTION("SPLIT(L12,""*"")"),1.0)</f>
        <v>1</v>
      </c>
      <c r="N12" s="14" t="str">
        <f>IFERROR(__xludf.DUMMYFUNCTION("""COMPUTED_VALUE"""),"Ram Gopal")</f>
        <v>Ram Gopal</v>
      </c>
      <c r="O12" s="14" t="str">
        <f>IFERROR(__xludf.DUMMYFUNCTION("split(J12,""*"")"),"Cancelled")</f>
        <v>Cancelled</v>
      </c>
      <c r="P12" s="14" t="str">
        <f>IFERROR(__xludf.DUMMYFUNCTION("""COMPUTED_VALUE"""),"Delayed Delivery:Heavy Traffic")</f>
        <v>Delayed Delivery:Heavy Traffic</v>
      </c>
      <c r="Q12" s="14" t="str">
        <f>IFERROR(__xludf.DUMMYFUNCTION("split(P12,"":"")"),"Delayed Delivery")</f>
        <v>Delayed Delivery</v>
      </c>
      <c r="R12" s="14" t="str">
        <f>IFERROR(__xludf.DUMMYFUNCTION("""COMPUTED_VALUE"""),"Heavy Traffic")</f>
        <v>Heavy Traffic</v>
      </c>
      <c r="S12" s="14" t="str">
        <f t="shared" ref="S12:U12" si="27">trim(B12)</f>
        <v>ord_21043</v>
      </c>
      <c r="T12" s="14" t="str">
        <f t="shared" si="27"/>
        <v>Diya Arora</v>
      </c>
      <c r="U12" s="14" t="str">
        <f t="shared" si="27"/>
        <v>Lower Parel</v>
      </c>
      <c r="V12" s="14" t="str">
        <f t="shared" si="4"/>
        <v>Papaya</v>
      </c>
      <c r="W12" s="14">
        <f t="shared" si="5"/>
        <v>1</v>
      </c>
      <c r="X12" s="14" t="str">
        <f t="shared" si="6"/>
        <v>Ram Gopal</v>
      </c>
      <c r="Y12" s="15">
        <f t="shared" si="7"/>
        <v>45264</v>
      </c>
      <c r="Z12" s="14" t="str">
        <f t="shared" si="8"/>
        <v>Credit Card</v>
      </c>
      <c r="AA12" s="14" t="str">
        <f t="shared" si="9"/>
        <v>Cancelled</v>
      </c>
      <c r="AB12" s="14" t="str">
        <f t="shared" ref="AB12:AC12" si="28">trim(Q12)</f>
        <v>Delayed Delivery</v>
      </c>
      <c r="AC12" s="14" t="str">
        <f t="shared" si="28"/>
        <v>Heavy Traffic</v>
      </c>
      <c r="AD12" s="8"/>
    </row>
    <row r="13">
      <c r="A13" s="14" t="str">
        <f>IFERROR(__xludf.DUMMYFUNCTION("""COMPUTED_VALUE"""),"//ord_22047//Parth Goel//Juhu//Papaya+2*Ram Gopal/8/20/2023//Online Payment//Delivered*Packaging: Secure and intact")</f>
        <v>//ord_22047//Parth Goel//Juhu//Papaya+2*Ram Gopal/8/20/2023//Online Payment//Delivered*Packaging: Secure and intact</v>
      </c>
      <c r="B13" s="14" t="str">
        <f>IFERROR(__xludf.DUMMYFUNCTION("split(A13,""//"")"),"ord_22047")</f>
        <v>ord_22047</v>
      </c>
      <c r="C13" s="14" t="str">
        <f>IFERROR(__xludf.DUMMYFUNCTION("""COMPUTED_VALUE"""),"Parth Goel")</f>
        <v>Parth Goel</v>
      </c>
      <c r="D13" s="14" t="str">
        <f>IFERROR(__xludf.DUMMYFUNCTION("""COMPUTED_VALUE"""),"Juhu")</f>
        <v>Juhu</v>
      </c>
      <c r="E13" s="14" t="str">
        <f>IFERROR(__xludf.DUMMYFUNCTION("""COMPUTED_VALUE"""),"Papaya+2*Ram Gopal")</f>
        <v>Papaya+2*Ram Gopal</v>
      </c>
      <c r="F13" s="14">
        <f>IFERROR(__xludf.DUMMYFUNCTION("""COMPUTED_VALUE"""),8.0)</f>
        <v>8</v>
      </c>
      <c r="G13" s="14">
        <f>IFERROR(__xludf.DUMMYFUNCTION("""COMPUTED_VALUE"""),20.0)</f>
        <v>20</v>
      </c>
      <c r="H13" s="14">
        <f>IFERROR(__xludf.DUMMYFUNCTION("""COMPUTED_VALUE"""),2023.0)</f>
        <v>2023</v>
      </c>
      <c r="I13" s="14" t="str">
        <f>IFERROR(__xludf.DUMMYFUNCTION("""COMPUTED_VALUE"""),"Online Payment")</f>
        <v>Online Payment</v>
      </c>
      <c r="J13" s="14" t="str">
        <f>IFERROR(__xludf.DUMMYFUNCTION("""COMPUTED_VALUE"""),"Delivered*Packaging: Secure and intact")</f>
        <v>Delivered*Packaging: Secure and intact</v>
      </c>
      <c r="K13" s="14" t="str">
        <f>IFERROR(__xludf.DUMMYFUNCTION("split(E13,""+"")"),"Papaya")</f>
        <v>Papaya</v>
      </c>
      <c r="L13" s="14" t="str">
        <f>IFERROR(__xludf.DUMMYFUNCTION("""COMPUTED_VALUE"""),"2*Ram Gopal")</f>
        <v>2*Ram Gopal</v>
      </c>
      <c r="M13" s="14">
        <f>IFERROR(__xludf.DUMMYFUNCTION("SPLIT(L13,""*"")"),2.0)</f>
        <v>2</v>
      </c>
      <c r="N13" s="14" t="str">
        <f>IFERROR(__xludf.DUMMYFUNCTION("""COMPUTED_VALUE"""),"Ram Gopal")</f>
        <v>Ram Gopal</v>
      </c>
      <c r="O13" s="14" t="str">
        <f>IFERROR(__xludf.DUMMYFUNCTION("split(J13,""*"")"),"Delivered")</f>
        <v>Delivered</v>
      </c>
      <c r="P13" s="14" t="str">
        <f>IFERROR(__xludf.DUMMYFUNCTION("""COMPUTED_VALUE"""),"Packaging: Secure and intact")</f>
        <v>Packaging: Secure and intact</v>
      </c>
      <c r="Q13" s="14" t="str">
        <f>IFERROR(__xludf.DUMMYFUNCTION("split(P13,"":"")"),"Packaging")</f>
        <v>Packaging</v>
      </c>
      <c r="R13" s="14" t="str">
        <f>IFERROR(__xludf.DUMMYFUNCTION("""COMPUTED_VALUE""")," Secure and intact")</f>
        <v> Secure and intact</v>
      </c>
      <c r="S13" s="14" t="str">
        <f t="shared" ref="S13:U13" si="29">trim(B13)</f>
        <v>ord_22047</v>
      </c>
      <c r="T13" s="14" t="str">
        <f t="shared" si="29"/>
        <v>Parth Goel</v>
      </c>
      <c r="U13" s="14" t="str">
        <f t="shared" si="29"/>
        <v>Juhu</v>
      </c>
      <c r="V13" s="14" t="str">
        <f t="shared" si="4"/>
        <v>Papaya</v>
      </c>
      <c r="W13" s="14">
        <f t="shared" si="5"/>
        <v>2</v>
      </c>
      <c r="X13" s="14" t="str">
        <f t="shared" si="6"/>
        <v>Ram Gopal</v>
      </c>
      <c r="Y13" s="15">
        <f t="shared" si="7"/>
        <v>45158</v>
      </c>
      <c r="Z13" s="14" t="str">
        <f t="shared" si="8"/>
        <v>Online Payment</v>
      </c>
      <c r="AA13" s="14" t="str">
        <f t="shared" si="9"/>
        <v>Delivered</v>
      </c>
      <c r="AB13" s="14" t="str">
        <f t="shared" ref="AB13:AC13" si="30">trim(Q13)</f>
        <v>Packaging</v>
      </c>
      <c r="AC13" s="14" t="str">
        <f t="shared" si="30"/>
        <v>Secure and intact</v>
      </c>
      <c r="AD13" s="8"/>
    </row>
    <row r="14">
      <c r="A14" s="14" t="str">
        <f>IFERROR(__xludf.DUMMYFUNCTION("""COMPUTED_VALUE"""),"//ord_23051//Simran Bhatt//Juhu//Tomato+2*Ramesh S/8/7/2023//UPI//Delivered*Satisfied with the Delivery: Timely and quality")</f>
        <v>//ord_23051//Simran Bhatt//Juhu//Tomato+2*Ramesh S/8/7/2023//UPI//Delivered*Satisfied with the Delivery: Timely and quality</v>
      </c>
      <c r="B14" s="14" t="str">
        <f>IFERROR(__xludf.DUMMYFUNCTION("split(A14,""//"")"),"ord_23051")</f>
        <v>ord_23051</v>
      </c>
      <c r="C14" s="14" t="str">
        <f>IFERROR(__xludf.DUMMYFUNCTION("""COMPUTED_VALUE"""),"Simran Bhatt")</f>
        <v>Simran Bhatt</v>
      </c>
      <c r="D14" s="14" t="str">
        <f>IFERROR(__xludf.DUMMYFUNCTION("""COMPUTED_VALUE"""),"Juhu")</f>
        <v>Juhu</v>
      </c>
      <c r="E14" s="14" t="str">
        <f>IFERROR(__xludf.DUMMYFUNCTION("""COMPUTED_VALUE"""),"Tomato+2*Ramesh S")</f>
        <v>Tomato+2*Ramesh S</v>
      </c>
      <c r="F14" s="14">
        <f>IFERROR(__xludf.DUMMYFUNCTION("""COMPUTED_VALUE"""),8.0)</f>
        <v>8</v>
      </c>
      <c r="G14" s="14">
        <f>IFERROR(__xludf.DUMMYFUNCTION("""COMPUTED_VALUE"""),7.0)</f>
        <v>7</v>
      </c>
      <c r="H14" s="14">
        <f>IFERROR(__xludf.DUMMYFUNCTION("""COMPUTED_VALUE"""),2023.0)</f>
        <v>2023</v>
      </c>
      <c r="I14" s="14" t="str">
        <f>IFERROR(__xludf.DUMMYFUNCTION("""COMPUTED_VALUE"""),"UPI")</f>
        <v>UPI</v>
      </c>
      <c r="J14" s="14" t="str">
        <f>IFERROR(__xludf.DUMMYFUNCTION("""COMPUTED_VALUE"""),"Delivered*Satisfied with the Delivery: Timely and quality")</f>
        <v>Delivered*Satisfied with the Delivery: Timely and quality</v>
      </c>
      <c r="K14" s="14" t="str">
        <f>IFERROR(__xludf.DUMMYFUNCTION("split(E14,""+"")"),"Tomato")</f>
        <v>Tomato</v>
      </c>
      <c r="L14" s="14" t="str">
        <f>IFERROR(__xludf.DUMMYFUNCTION("""COMPUTED_VALUE"""),"2*Ramesh S")</f>
        <v>2*Ramesh S</v>
      </c>
      <c r="M14" s="14">
        <f>IFERROR(__xludf.DUMMYFUNCTION("SPLIT(L14,""*"")"),2.0)</f>
        <v>2</v>
      </c>
      <c r="N14" s="14" t="str">
        <f>IFERROR(__xludf.DUMMYFUNCTION("""COMPUTED_VALUE"""),"Ramesh S")</f>
        <v>Ramesh S</v>
      </c>
      <c r="O14" s="14" t="str">
        <f>IFERROR(__xludf.DUMMYFUNCTION("split(J14,""*"")"),"Delivered")</f>
        <v>Delivered</v>
      </c>
      <c r="P14" s="14" t="str">
        <f>IFERROR(__xludf.DUMMYFUNCTION("""COMPUTED_VALUE"""),"Satisfied with the Delivery: Timely and quality")</f>
        <v>Satisfied with the Delivery: Timely and quality</v>
      </c>
      <c r="Q14" s="14" t="str">
        <f>IFERROR(__xludf.DUMMYFUNCTION("split(P14,"":"")"),"Satisfied with the Delivery")</f>
        <v>Satisfied with the Delivery</v>
      </c>
      <c r="R14" s="14" t="str">
        <f>IFERROR(__xludf.DUMMYFUNCTION("""COMPUTED_VALUE""")," Timely and quality")</f>
        <v> Timely and quality</v>
      </c>
      <c r="S14" s="14" t="str">
        <f t="shared" ref="S14:U14" si="31">trim(B14)</f>
        <v>ord_23051</v>
      </c>
      <c r="T14" s="14" t="str">
        <f t="shared" si="31"/>
        <v>Simran Bhatt</v>
      </c>
      <c r="U14" s="14" t="str">
        <f t="shared" si="31"/>
        <v>Juhu</v>
      </c>
      <c r="V14" s="14" t="str">
        <f t="shared" si="4"/>
        <v>Tomato</v>
      </c>
      <c r="W14" s="14">
        <f t="shared" si="5"/>
        <v>2</v>
      </c>
      <c r="X14" s="14" t="str">
        <f t="shared" si="6"/>
        <v>Ramesh S</v>
      </c>
      <c r="Y14" s="15">
        <f t="shared" si="7"/>
        <v>45145</v>
      </c>
      <c r="Z14" s="14" t="str">
        <f t="shared" si="8"/>
        <v>UPI</v>
      </c>
      <c r="AA14" s="14" t="str">
        <f t="shared" si="9"/>
        <v>Delivered</v>
      </c>
      <c r="AB14" s="14" t="str">
        <f t="shared" ref="AB14:AC14" si="32">trim(Q14)</f>
        <v>Satisfied with the Delivery</v>
      </c>
      <c r="AC14" s="14" t="str">
        <f t="shared" si="32"/>
        <v>Timely and quality</v>
      </c>
      <c r="AD14" s="8"/>
    </row>
    <row r="15">
      <c r="A15" s="14" t="str">
        <f>IFERROR(__xludf.DUMMYFUNCTION("""COMPUTED_VALUE"""),"//ord_24055//Aditi Iyer//Dadar//Guava+2*Ramesh S/10/30/2023//Online Payment//Delivered*Customer Service: Seamless and easy")</f>
        <v>//ord_24055//Aditi Iyer//Dadar//Guava+2*Ramesh S/10/30/2023//Online Payment//Delivered*Customer Service: Seamless and easy</v>
      </c>
      <c r="B15" s="14" t="str">
        <f>IFERROR(__xludf.DUMMYFUNCTION("split(A15,""//"")"),"ord_24055")</f>
        <v>ord_24055</v>
      </c>
      <c r="C15" s="14" t="str">
        <f>IFERROR(__xludf.DUMMYFUNCTION("""COMPUTED_VALUE"""),"Aditi Iyer")</f>
        <v>Aditi Iyer</v>
      </c>
      <c r="D15" s="14" t="str">
        <f>IFERROR(__xludf.DUMMYFUNCTION("""COMPUTED_VALUE"""),"Dadar")</f>
        <v>Dadar</v>
      </c>
      <c r="E15" s="14" t="str">
        <f>IFERROR(__xludf.DUMMYFUNCTION("""COMPUTED_VALUE"""),"Guava+2*Ramesh S")</f>
        <v>Guava+2*Ramesh S</v>
      </c>
      <c r="F15" s="14">
        <f>IFERROR(__xludf.DUMMYFUNCTION("""COMPUTED_VALUE"""),10.0)</f>
        <v>10</v>
      </c>
      <c r="G15" s="14">
        <f>IFERROR(__xludf.DUMMYFUNCTION("""COMPUTED_VALUE"""),30.0)</f>
        <v>30</v>
      </c>
      <c r="H15" s="14">
        <f>IFERROR(__xludf.DUMMYFUNCTION("""COMPUTED_VALUE"""),2023.0)</f>
        <v>2023</v>
      </c>
      <c r="I15" s="14" t="str">
        <f>IFERROR(__xludf.DUMMYFUNCTION("""COMPUTED_VALUE"""),"Online Payment")</f>
        <v>Online Payment</v>
      </c>
      <c r="J15" s="14" t="str">
        <f>IFERROR(__xludf.DUMMYFUNCTION("""COMPUTED_VALUE"""),"Delivered*Customer Service: Seamless and easy")</f>
        <v>Delivered*Customer Service: Seamless and easy</v>
      </c>
      <c r="K15" s="14" t="str">
        <f>IFERROR(__xludf.DUMMYFUNCTION("split(E15,""+"")"),"Guava")</f>
        <v>Guava</v>
      </c>
      <c r="L15" s="14" t="str">
        <f>IFERROR(__xludf.DUMMYFUNCTION("""COMPUTED_VALUE"""),"2*Ramesh S")</f>
        <v>2*Ramesh S</v>
      </c>
      <c r="M15" s="14">
        <f>IFERROR(__xludf.DUMMYFUNCTION("SPLIT(L15,""*"")"),2.0)</f>
        <v>2</v>
      </c>
      <c r="N15" s="14" t="str">
        <f>IFERROR(__xludf.DUMMYFUNCTION("""COMPUTED_VALUE"""),"Ramesh S")</f>
        <v>Ramesh S</v>
      </c>
      <c r="O15" s="14" t="str">
        <f>IFERROR(__xludf.DUMMYFUNCTION("split(J15,""*"")"),"Delivered")</f>
        <v>Delivered</v>
      </c>
      <c r="P15" s="14" t="str">
        <f>IFERROR(__xludf.DUMMYFUNCTION("""COMPUTED_VALUE"""),"Customer Service: Seamless and easy")</f>
        <v>Customer Service: Seamless and easy</v>
      </c>
      <c r="Q15" s="14" t="str">
        <f>IFERROR(__xludf.DUMMYFUNCTION("split(P15,"":"")"),"Customer Service")</f>
        <v>Customer Service</v>
      </c>
      <c r="R15" s="14" t="str">
        <f>IFERROR(__xludf.DUMMYFUNCTION("""COMPUTED_VALUE""")," Seamless and easy")</f>
        <v> Seamless and easy</v>
      </c>
      <c r="S15" s="14" t="str">
        <f t="shared" ref="S15:U15" si="33">trim(B15)</f>
        <v>ord_24055</v>
      </c>
      <c r="T15" s="14" t="str">
        <f t="shared" si="33"/>
        <v>Aditi Iyer</v>
      </c>
      <c r="U15" s="14" t="str">
        <f t="shared" si="33"/>
        <v>Dadar</v>
      </c>
      <c r="V15" s="14" t="str">
        <f t="shared" si="4"/>
        <v>Guava</v>
      </c>
      <c r="W15" s="14">
        <f t="shared" si="5"/>
        <v>2</v>
      </c>
      <c r="X15" s="14" t="str">
        <f t="shared" si="6"/>
        <v>Ramesh S</v>
      </c>
      <c r="Y15" s="15">
        <f t="shared" si="7"/>
        <v>45229</v>
      </c>
      <c r="Z15" s="14" t="str">
        <f t="shared" si="8"/>
        <v>Online Payment</v>
      </c>
      <c r="AA15" s="14" t="str">
        <f t="shared" si="9"/>
        <v>Delivered</v>
      </c>
      <c r="AB15" s="14" t="str">
        <f t="shared" ref="AB15:AC15" si="34">trim(Q15)</f>
        <v>Customer Service</v>
      </c>
      <c r="AC15" s="14" t="str">
        <f t="shared" si="34"/>
        <v>Seamless and easy</v>
      </c>
      <c r="AD15" s="8"/>
    </row>
    <row r="16">
      <c r="A16" s="14" t="str">
        <f>IFERROR(__xludf.DUMMYFUNCTION("""COMPUTED_VALUE"""),"//ord_25059//Aarohi Kapoor//Bandra//Sweet Corn+1*Manju Ajay/3/20/2023//COD//Delivered*Delivery Experience: Quick and professional")</f>
        <v>//ord_25059//Aarohi Kapoor//Bandra//Sweet Corn+1*Manju Ajay/3/20/2023//COD//Delivered*Delivery Experience: Quick and professional</v>
      </c>
      <c r="B16" s="14" t="str">
        <f>IFERROR(__xludf.DUMMYFUNCTION("split(A16,""//"")"),"ord_25059")</f>
        <v>ord_25059</v>
      </c>
      <c r="C16" s="14" t="str">
        <f>IFERROR(__xludf.DUMMYFUNCTION("""COMPUTED_VALUE"""),"Aarohi Kapoor")</f>
        <v>Aarohi Kapoor</v>
      </c>
      <c r="D16" s="14" t="str">
        <f>IFERROR(__xludf.DUMMYFUNCTION("""COMPUTED_VALUE"""),"Bandra")</f>
        <v>Bandra</v>
      </c>
      <c r="E16" s="14" t="str">
        <f>IFERROR(__xludf.DUMMYFUNCTION("""COMPUTED_VALUE"""),"Sweet Corn+1*Manju Ajay")</f>
        <v>Sweet Corn+1*Manju Ajay</v>
      </c>
      <c r="F16" s="14">
        <f>IFERROR(__xludf.DUMMYFUNCTION("""COMPUTED_VALUE"""),3.0)</f>
        <v>3</v>
      </c>
      <c r="G16" s="14">
        <f>IFERROR(__xludf.DUMMYFUNCTION("""COMPUTED_VALUE"""),20.0)</f>
        <v>20</v>
      </c>
      <c r="H16" s="14">
        <f>IFERROR(__xludf.DUMMYFUNCTION("""COMPUTED_VALUE"""),2023.0)</f>
        <v>2023</v>
      </c>
      <c r="I16" s="14" t="str">
        <f>IFERROR(__xludf.DUMMYFUNCTION("""COMPUTED_VALUE"""),"COD")</f>
        <v>COD</v>
      </c>
      <c r="J16" s="14" t="str">
        <f>IFERROR(__xludf.DUMMYFUNCTION("""COMPUTED_VALUE"""),"Delivered*Delivery Experience: Quick and professional")</f>
        <v>Delivered*Delivery Experience: Quick and professional</v>
      </c>
      <c r="K16" s="14" t="str">
        <f>IFERROR(__xludf.DUMMYFUNCTION("split(E16,""+"")"),"Sweet Corn")</f>
        <v>Sweet Corn</v>
      </c>
      <c r="L16" s="14" t="str">
        <f>IFERROR(__xludf.DUMMYFUNCTION("""COMPUTED_VALUE"""),"1*Manju Ajay")</f>
        <v>1*Manju Ajay</v>
      </c>
      <c r="M16" s="14">
        <f>IFERROR(__xludf.DUMMYFUNCTION("SPLIT(L16,""*"")"),1.0)</f>
        <v>1</v>
      </c>
      <c r="N16" s="14" t="str">
        <f>IFERROR(__xludf.DUMMYFUNCTION("""COMPUTED_VALUE"""),"Manju Ajay")</f>
        <v>Manju Ajay</v>
      </c>
      <c r="O16" s="14" t="str">
        <f>IFERROR(__xludf.DUMMYFUNCTION("split(J16,""*"")"),"Delivered")</f>
        <v>Delivered</v>
      </c>
      <c r="P16" s="14" t="str">
        <f>IFERROR(__xludf.DUMMYFUNCTION("""COMPUTED_VALUE"""),"Delivery Experience: Quick and professional")</f>
        <v>Delivery Experience: Quick and professional</v>
      </c>
      <c r="Q16" s="14" t="str">
        <f>IFERROR(__xludf.DUMMYFUNCTION("split(P16,"":"")"),"Delivery Experience")</f>
        <v>Delivery Experience</v>
      </c>
      <c r="R16" s="14" t="str">
        <f>IFERROR(__xludf.DUMMYFUNCTION("""COMPUTED_VALUE""")," Quick and professional")</f>
        <v> Quick and professional</v>
      </c>
      <c r="S16" s="14" t="str">
        <f t="shared" ref="S16:U16" si="35">trim(B16)</f>
        <v>ord_25059</v>
      </c>
      <c r="T16" s="14" t="str">
        <f t="shared" si="35"/>
        <v>Aarohi Kapoor</v>
      </c>
      <c r="U16" s="14" t="str">
        <f t="shared" si="35"/>
        <v>Bandra</v>
      </c>
      <c r="V16" s="14" t="str">
        <f t="shared" si="4"/>
        <v>Sweet Corn</v>
      </c>
      <c r="W16" s="14">
        <f t="shared" si="5"/>
        <v>1</v>
      </c>
      <c r="X16" s="14" t="str">
        <f t="shared" si="6"/>
        <v>Manju Ajay</v>
      </c>
      <c r="Y16" s="15">
        <f t="shared" si="7"/>
        <v>45005</v>
      </c>
      <c r="Z16" s="14" t="str">
        <f t="shared" si="8"/>
        <v>COD</v>
      </c>
      <c r="AA16" s="14" t="str">
        <f t="shared" si="9"/>
        <v>Delivered</v>
      </c>
      <c r="AB16" s="14" t="str">
        <f t="shared" ref="AB16:AC16" si="36">trim(Q16)</f>
        <v>Delivery Experience</v>
      </c>
      <c r="AC16" s="14" t="str">
        <f t="shared" si="36"/>
        <v>Quick and professional</v>
      </c>
      <c r="AD16" s="8"/>
    </row>
    <row r="17">
      <c r="A17" s="14" t="str">
        <f>IFERROR(__xludf.DUMMYFUNCTION("""COMPUTED_VALUE"""),"//ord_26063//Kunal Sharma//Powai//Icecream+4*Sandeep Kumar/10/9/2023//Credit Card//Delivered*Convenience: Easy tracking")</f>
        <v>//ord_26063//Kunal Sharma//Powai//Icecream+4*Sandeep Kumar/10/9/2023//Credit Card//Delivered*Convenience: Easy tracking</v>
      </c>
      <c r="B17" s="14" t="str">
        <f>IFERROR(__xludf.DUMMYFUNCTION("split(A17,""//"")"),"ord_26063")</f>
        <v>ord_26063</v>
      </c>
      <c r="C17" s="14" t="str">
        <f>IFERROR(__xludf.DUMMYFUNCTION("""COMPUTED_VALUE"""),"Kunal Sharma")</f>
        <v>Kunal Sharma</v>
      </c>
      <c r="D17" s="14" t="str">
        <f>IFERROR(__xludf.DUMMYFUNCTION("""COMPUTED_VALUE"""),"Powai")</f>
        <v>Powai</v>
      </c>
      <c r="E17" s="14" t="str">
        <f>IFERROR(__xludf.DUMMYFUNCTION("""COMPUTED_VALUE"""),"Icecream+4*Sandeep Kumar")</f>
        <v>Icecream+4*Sandeep Kumar</v>
      </c>
      <c r="F17" s="14">
        <f>IFERROR(__xludf.DUMMYFUNCTION("""COMPUTED_VALUE"""),10.0)</f>
        <v>10</v>
      </c>
      <c r="G17" s="14">
        <f>IFERROR(__xludf.DUMMYFUNCTION("""COMPUTED_VALUE"""),9.0)</f>
        <v>9</v>
      </c>
      <c r="H17" s="14">
        <f>IFERROR(__xludf.DUMMYFUNCTION("""COMPUTED_VALUE"""),2023.0)</f>
        <v>2023</v>
      </c>
      <c r="I17" s="14" t="str">
        <f>IFERROR(__xludf.DUMMYFUNCTION("""COMPUTED_VALUE"""),"Credit Card")</f>
        <v>Credit Card</v>
      </c>
      <c r="J17" s="14" t="str">
        <f>IFERROR(__xludf.DUMMYFUNCTION("""COMPUTED_VALUE"""),"Delivered*Convenience: Easy tracking")</f>
        <v>Delivered*Convenience: Easy tracking</v>
      </c>
      <c r="K17" s="14" t="str">
        <f>IFERROR(__xludf.DUMMYFUNCTION("split(E17,""+"")"),"Icecream")</f>
        <v>Icecream</v>
      </c>
      <c r="L17" s="14" t="str">
        <f>IFERROR(__xludf.DUMMYFUNCTION("""COMPUTED_VALUE"""),"4*Sandeep Kumar")</f>
        <v>4*Sandeep Kumar</v>
      </c>
      <c r="M17" s="14">
        <f>IFERROR(__xludf.DUMMYFUNCTION("SPLIT(L17,""*"")"),4.0)</f>
        <v>4</v>
      </c>
      <c r="N17" s="14" t="str">
        <f>IFERROR(__xludf.DUMMYFUNCTION("""COMPUTED_VALUE"""),"Sandeep Kumar")</f>
        <v>Sandeep Kumar</v>
      </c>
      <c r="O17" s="14" t="str">
        <f>IFERROR(__xludf.DUMMYFUNCTION("split(J17,""*"")"),"Delivered")</f>
        <v>Delivered</v>
      </c>
      <c r="P17" s="14" t="str">
        <f>IFERROR(__xludf.DUMMYFUNCTION("""COMPUTED_VALUE"""),"Convenience: Easy tracking")</f>
        <v>Convenience: Easy tracking</v>
      </c>
      <c r="Q17" s="14" t="str">
        <f>IFERROR(__xludf.DUMMYFUNCTION("split(P17,"":"")"),"Convenience")</f>
        <v>Convenience</v>
      </c>
      <c r="R17" s="14" t="str">
        <f>IFERROR(__xludf.DUMMYFUNCTION("""COMPUTED_VALUE""")," Easy tracking")</f>
        <v> Easy tracking</v>
      </c>
      <c r="S17" s="14" t="str">
        <f t="shared" ref="S17:U17" si="37">trim(B17)</f>
        <v>ord_26063</v>
      </c>
      <c r="T17" s="14" t="str">
        <f t="shared" si="37"/>
        <v>Kunal Sharma</v>
      </c>
      <c r="U17" s="14" t="str">
        <f t="shared" si="37"/>
        <v>Powai</v>
      </c>
      <c r="V17" s="14" t="str">
        <f t="shared" si="4"/>
        <v>Icecream</v>
      </c>
      <c r="W17" s="14">
        <f t="shared" si="5"/>
        <v>4</v>
      </c>
      <c r="X17" s="14" t="str">
        <f t="shared" si="6"/>
        <v>Sandeep Kumar</v>
      </c>
      <c r="Y17" s="15">
        <f t="shared" si="7"/>
        <v>45208</v>
      </c>
      <c r="Z17" s="14" t="str">
        <f t="shared" si="8"/>
        <v>Credit Card</v>
      </c>
      <c r="AA17" s="14" t="str">
        <f t="shared" si="9"/>
        <v>Delivered</v>
      </c>
      <c r="AB17" s="14" t="str">
        <f t="shared" ref="AB17:AC17" si="38">trim(Q17)</f>
        <v>Convenience</v>
      </c>
      <c r="AC17" s="14" t="str">
        <f t="shared" si="38"/>
        <v>Easy tracking</v>
      </c>
      <c r="AD17" s="8"/>
    </row>
    <row r="18">
      <c r="A18" s="14" t="str">
        <f>IFERROR(__xludf.DUMMYFUNCTION("""COMPUTED_VALUE"""),"//ord_27067//Sana Malik//Powai//Chilli Cheese Toast+6*Venu R/10/19/2023//Credit Card//Delivered*Overall Satisfaction: Great service will order again")</f>
        <v>//ord_27067//Sana Malik//Powai//Chilli Cheese Toast+6*Venu R/10/19/2023//Credit Card//Delivered*Overall Satisfaction: Great service will order again</v>
      </c>
      <c r="B18" s="14" t="str">
        <f>IFERROR(__xludf.DUMMYFUNCTION("split(A18,""//"")"),"ord_27067")</f>
        <v>ord_27067</v>
      </c>
      <c r="C18" s="14" t="str">
        <f>IFERROR(__xludf.DUMMYFUNCTION("""COMPUTED_VALUE"""),"Sana Malik")</f>
        <v>Sana Malik</v>
      </c>
      <c r="D18" s="14" t="str">
        <f>IFERROR(__xludf.DUMMYFUNCTION("""COMPUTED_VALUE"""),"Powai")</f>
        <v>Powai</v>
      </c>
      <c r="E18" s="14" t="str">
        <f>IFERROR(__xludf.DUMMYFUNCTION("""COMPUTED_VALUE"""),"Chilli Cheese Toast+6*Venu R")</f>
        <v>Chilli Cheese Toast+6*Venu R</v>
      </c>
      <c r="F18" s="14">
        <f>IFERROR(__xludf.DUMMYFUNCTION("""COMPUTED_VALUE"""),10.0)</f>
        <v>10</v>
      </c>
      <c r="G18" s="14">
        <f>IFERROR(__xludf.DUMMYFUNCTION("""COMPUTED_VALUE"""),19.0)</f>
        <v>19</v>
      </c>
      <c r="H18" s="14">
        <f>IFERROR(__xludf.DUMMYFUNCTION("""COMPUTED_VALUE"""),2023.0)</f>
        <v>2023</v>
      </c>
      <c r="I18" s="14" t="str">
        <f>IFERROR(__xludf.DUMMYFUNCTION("""COMPUTED_VALUE"""),"Credit Card")</f>
        <v>Credit Card</v>
      </c>
      <c r="J18" s="14" t="str">
        <f>IFERROR(__xludf.DUMMYFUNCTION("""COMPUTED_VALUE"""),"Delivered*Overall Satisfaction: Great service will order again")</f>
        <v>Delivered*Overall Satisfaction: Great service will order again</v>
      </c>
      <c r="K18" s="14" t="str">
        <f>IFERROR(__xludf.DUMMYFUNCTION("split(E18,""+"")"),"Chilli Cheese Toast")</f>
        <v>Chilli Cheese Toast</v>
      </c>
      <c r="L18" s="14" t="str">
        <f>IFERROR(__xludf.DUMMYFUNCTION("""COMPUTED_VALUE"""),"6*Venu R")</f>
        <v>6*Venu R</v>
      </c>
      <c r="M18" s="14">
        <f>IFERROR(__xludf.DUMMYFUNCTION("SPLIT(L18,""*"")"),6.0)</f>
        <v>6</v>
      </c>
      <c r="N18" s="14" t="str">
        <f>IFERROR(__xludf.DUMMYFUNCTION("""COMPUTED_VALUE"""),"Venu R")</f>
        <v>Venu R</v>
      </c>
      <c r="O18" s="14" t="str">
        <f>IFERROR(__xludf.DUMMYFUNCTION("split(J18,""*"")"),"Delivered")</f>
        <v>Delivered</v>
      </c>
      <c r="P18" s="14" t="str">
        <f>IFERROR(__xludf.DUMMYFUNCTION("""COMPUTED_VALUE"""),"Overall Satisfaction: Great service will order again")</f>
        <v>Overall Satisfaction: Great service will order again</v>
      </c>
      <c r="Q18" s="14" t="str">
        <f>IFERROR(__xludf.DUMMYFUNCTION("split(P18,"":"")"),"Overall Satisfaction")</f>
        <v>Overall Satisfaction</v>
      </c>
      <c r="R18" s="14" t="str">
        <f>IFERROR(__xludf.DUMMYFUNCTION("""COMPUTED_VALUE""")," Great service will order again")</f>
        <v> Great service will order again</v>
      </c>
      <c r="S18" s="14" t="str">
        <f t="shared" ref="S18:U18" si="39">trim(B18)</f>
        <v>ord_27067</v>
      </c>
      <c r="T18" s="14" t="str">
        <f t="shared" si="39"/>
        <v>Sana Malik</v>
      </c>
      <c r="U18" s="14" t="str">
        <f t="shared" si="39"/>
        <v>Powai</v>
      </c>
      <c r="V18" s="14" t="str">
        <f t="shared" si="4"/>
        <v>Chilli Cheese Toast</v>
      </c>
      <c r="W18" s="14">
        <f t="shared" si="5"/>
        <v>6</v>
      </c>
      <c r="X18" s="14" t="str">
        <f t="shared" si="6"/>
        <v>Venu R</v>
      </c>
      <c r="Y18" s="15">
        <f t="shared" si="7"/>
        <v>45218</v>
      </c>
      <c r="Z18" s="14" t="str">
        <f t="shared" si="8"/>
        <v>Credit Card</v>
      </c>
      <c r="AA18" s="14" t="str">
        <f t="shared" si="9"/>
        <v>Delivered</v>
      </c>
      <c r="AB18" s="14" t="str">
        <f t="shared" ref="AB18:AC18" si="40">trim(Q18)</f>
        <v>Overall Satisfaction</v>
      </c>
      <c r="AC18" s="14" t="str">
        <f t="shared" si="40"/>
        <v>Great service will order again</v>
      </c>
      <c r="AD18" s="8"/>
    </row>
    <row r="19">
      <c r="A19" s="14" t="str">
        <f>IFERROR(__xludf.DUMMYFUNCTION("""COMPUTED_VALUE"""),"//ord_28071//Yash Verma//Lower Parel//Sweet Corn+2*Venu R/1/16/2023//Online Payment//Delivered*On-time Delivery: Delivered on time")</f>
        <v>//ord_28071//Yash Verma//Lower Parel//Sweet Corn+2*Venu R/1/16/2023//Online Payment//Delivered*On-time Delivery: Delivered on time</v>
      </c>
      <c r="B19" s="14" t="str">
        <f>IFERROR(__xludf.DUMMYFUNCTION("split(A19,""//"")"),"ord_28071")</f>
        <v>ord_28071</v>
      </c>
      <c r="C19" s="14" t="str">
        <f>IFERROR(__xludf.DUMMYFUNCTION("""COMPUTED_VALUE"""),"Yash Verma")</f>
        <v>Yash Verma</v>
      </c>
      <c r="D19" s="14" t="str">
        <f>IFERROR(__xludf.DUMMYFUNCTION("""COMPUTED_VALUE"""),"Lower Parel")</f>
        <v>Lower Parel</v>
      </c>
      <c r="E19" s="14" t="str">
        <f>IFERROR(__xludf.DUMMYFUNCTION("""COMPUTED_VALUE"""),"Sweet Corn+2*Venu R")</f>
        <v>Sweet Corn+2*Venu R</v>
      </c>
      <c r="F19" s="14">
        <f>IFERROR(__xludf.DUMMYFUNCTION("""COMPUTED_VALUE"""),1.0)</f>
        <v>1</v>
      </c>
      <c r="G19" s="14">
        <f>IFERROR(__xludf.DUMMYFUNCTION("""COMPUTED_VALUE"""),16.0)</f>
        <v>16</v>
      </c>
      <c r="H19" s="14">
        <f>IFERROR(__xludf.DUMMYFUNCTION("""COMPUTED_VALUE"""),2023.0)</f>
        <v>2023</v>
      </c>
      <c r="I19" s="14" t="str">
        <f>IFERROR(__xludf.DUMMYFUNCTION("""COMPUTED_VALUE"""),"Online Payment")</f>
        <v>Online Payment</v>
      </c>
      <c r="J19" s="14" t="str">
        <f>IFERROR(__xludf.DUMMYFUNCTION("""COMPUTED_VALUE"""),"Delivered*On-time Delivery: Delivered on time")</f>
        <v>Delivered*On-time Delivery: Delivered on time</v>
      </c>
      <c r="K19" s="14" t="str">
        <f>IFERROR(__xludf.DUMMYFUNCTION("split(E19,""+"")"),"Sweet Corn")</f>
        <v>Sweet Corn</v>
      </c>
      <c r="L19" s="14" t="str">
        <f>IFERROR(__xludf.DUMMYFUNCTION("""COMPUTED_VALUE"""),"2*Venu R")</f>
        <v>2*Venu R</v>
      </c>
      <c r="M19" s="14">
        <f>IFERROR(__xludf.DUMMYFUNCTION("SPLIT(L19,""*"")"),2.0)</f>
        <v>2</v>
      </c>
      <c r="N19" s="14" t="str">
        <f>IFERROR(__xludf.DUMMYFUNCTION("""COMPUTED_VALUE"""),"Venu R")</f>
        <v>Venu R</v>
      </c>
      <c r="O19" s="14" t="str">
        <f>IFERROR(__xludf.DUMMYFUNCTION("split(J19,""*"")"),"Delivered")</f>
        <v>Delivered</v>
      </c>
      <c r="P19" s="14" t="str">
        <f>IFERROR(__xludf.DUMMYFUNCTION("""COMPUTED_VALUE"""),"On-time Delivery: Delivered on time")</f>
        <v>On-time Delivery: Delivered on time</v>
      </c>
      <c r="Q19" s="14" t="str">
        <f>IFERROR(__xludf.DUMMYFUNCTION("split(P19,"":"")"),"On-time Delivery")</f>
        <v>On-time Delivery</v>
      </c>
      <c r="R19" s="14" t="str">
        <f>IFERROR(__xludf.DUMMYFUNCTION("""COMPUTED_VALUE""")," Delivered on time")</f>
        <v> Delivered on time</v>
      </c>
      <c r="S19" s="14" t="str">
        <f t="shared" ref="S19:U19" si="41">trim(B19)</f>
        <v>ord_28071</v>
      </c>
      <c r="T19" s="14" t="str">
        <f t="shared" si="41"/>
        <v>Yash Verma</v>
      </c>
      <c r="U19" s="14" t="str">
        <f t="shared" si="41"/>
        <v>Lower Parel</v>
      </c>
      <c r="V19" s="14" t="str">
        <f t="shared" si="4"/>
        <v>Sweet Corn</v>
      </c>
      <c r="W19" s="14">
        <f t="shared" si="5"/>
        <v>2</v>
      </c>
      <c r="X19" s="14" t="str">
        <f t="shared" si="6"/>
        <v>Venu R</v>
      </c>
      <c r="Y19" s="15">
        <f t="shared" si="7"/>
        <v>44942</v>
      </c>
      <c r="Z19" s="14" t="str">
        <f t="shared" si="8"/>
        <v>Online Payment</v>
      </c>
      <c r="AA19" s="14" t="str">
        <f t="shared" si="9"/>
        <v>Delivered</v>
      </c>
      <c r="AB19" s="14" t="str">
        <f t="shared" ref="AB19:AC19" si="42">trim(Q19)</f>
        <v>On-time Delivery</v>
      </c>
      <c r="AC19" s="14" t="str">
        <f t="shared" si="42"/>
        <v>Delivered on time</v>
      </c>
      <c r="AD19" s="8"/>
    </row>
    <row r="20">
      <c r="A20" s="14" t="str">
        <f>IFERROR(__xludf.DUMMYFUNCTION("""COMPUTED_VALUE"""),"//ord_29075//Kunal Sharma//Powai//Juice+3*Ram Gopal/3/12/2023//Online Payment//Delivered*Quality of Items: Perfect condition")</f>
        <v>//ord_29075//Kunal Sharma//Powai//Juice+3*Ram Gopal/3/12/2023//Online Payment//Delivered*Quality of Items: Perfect condition</v>
      </c>
      <c r="B20" s="14" t="str">
        <f>IFERROR(__xludf.DUMMYFUNCTION("split(A20,""//"")"),"ord_29075")</f>
        <v>ord_29075</v>
      </c>
      <c r="C20" s="14" t="str">
        <f>IFERROR(__xludf.DUMMYFUNCTION("""COMPUTED_VALUE"""),"Kunal Sharma")</f>
        <v>Kunal Sharma</v>
      </c>
      <c r="D20" s="14" t="str">
        <f>IFERROR(__xludf.DUMMYFUNCTION("""COMPUTED_VALUE"""),"Powai")</f>
        <v>Powai</v>
      </c>
      <c r="E20" s="14" t="str">
        <f>IFERROR(__xludf.DUMMYFUNCTION("""COMPUTED_VALUE"""),"Juice+3*Ram Gopal")</f>
        <v>Juice+3*Ram Gopal</v>
      </c>
      <c r="F20" s="14">
        <f>IFERROR(__xludf.DUMMYFUNCTION("""COMPUTED_VALUE"""),3.0)</f>
        <v>3</v>
      </c>
      <c r="G20" s="14">
        <f>IFERROR(__xludf.DUMMYFUNCTION("""COMPUTED_VALUE"""),12.0)</f>
        <v>12</v>
      </c>
      <c r="H20" s="14">
        <f>IFERROR(__xludf.DUMMYFUNCTION("""COMPUTED_VALUE"""),2023.0)</f>
        <v>2023</v>
      </c>
      <c r="I20" s="14" t="str">
        <f>IFERROR(__xludf.DUMMYFUNCTION("""COMPUTED_VALUE"""),"Online Payment")</f>
        <v>Online Payment</v>
      </c>
      <c r="J20" s="14" t="str">
        <f>IFERROR(__xludf.DUMMYFUNCTION("""COMPUTED_VALUE"""),"Delivered*Quality of Items: Perfect condition")</f>
        <v>Delivered*Quality of Items: Perfect condition</v>
      </c>
      <c r="K20" s="14" t="str">
        <f>IFERROR(__xludf.DUMMYFUNCTION("split(E20,""+"")"),"Juice")</f>
        <v>Juice</v>
      </c>
      <c r="L20" s="14" t="str">
        <f>IFERROR(__xludf.DUMMYFUNCTION("""COMPUTED_VALUE"""),"3*Ram Gopal")</f>
        <v>3*Ram Gopal</v>
      </c>
      <c r="M20" s="14">
        <f>IFERROR(__xludf.DUMMYFUNCTION("SPLIT(L20,""*"")"),3.0)</f>
        <v>3</v>
      </c>
      <c r="N20" s="14" t="str">
        <f>IFERROR(__xludf.DUMMYFUNCTION("""COMPUTED_VALUE"""),"Ram Gopal")</f>
        <v>Ram Gopal</v>
      </c>
      <c r="O20" s="14" t="str">
        <f>IFERROR(__xludf.DUMMYFUNCTION("split(J20,""*"")"),"Delivered")</f>
        <v>Delivered</v>
      </c>
      <c r="P20" s="14" t="str">
        <f>IFERROR(__xludf.DUMMYFUNCTION("""COMPUTED_VALUE"""),"Quality of Items: Perfect condition")</f>
        <v>Quality of Items: Perfect condition</v>
      </c>
      <c r="Q20" s="14" t="str">
        <f>IFERROR(__xludf.DUMMYFUNCTION("split(P20,"":"")"),"Quality of Items")</f>
        <v>Quality of Items</v>
      </c>
      <c r="R20" s="14" t="str">
        <f>IFERROR(__xludf.DUMMYFUNCTION("""COMPUTED_VALUE""")," Perfect condition")</f>
        <v> Perfect condition</v>
      </c>
      <c r="S20" s="14" t="str">
        <f t="shared" ref="S20:U20" si="43">trim(B20)</f>
        <v>ord_29075</v>
      </c>
      <c r="T20" s="14" t="str">
        <f t="shared" si="43"/>
        <v>Kunal Sharma</v>
      </c>
      <c r="U20" s="14" t="str">
        <f t="shared" si="43"/>
        <v>Powai</v>
      </c>
      <c r="V20" s="14" t="str">
        <f t="shared" si="4"/>
        <v>Juice</v>
      </c>
      <c r="W20" s="14">
        <f t="shared" si="5"/>
        <v>3</v>
      </c>
      <c r="X20" s="14" t="str">
        <f t="shared" si="6"/>
        <v>Ram Gopal</v>
      </c>
      <c r="Y20" s="15">
        <f t="shared" si="7"/>
        <v>44997</v>
      </c>
      <c r="Z20" s="14" t="str">
        <f t="shared" si="8"/>
        <v>Online Payment</v>
      </c>
      <c r="AA20" s="14" t="str">
        <f t="shared" si="9"/>
        <v>Delivered</v>
      </c>
      <c r="AB20" s="14" t="str">
        <f t="shared" ref="AB20:AC20" si="44">trim(Q20)</f>
        <v>Quality of Items</v>
      </c>
      <c r="AC20" s="14" t="str">
        <f t="shared" si="44"/>
        <v>Perfect condition</v>
      </c>
      <c r="AD20" s="8"/>
    </row>
    <row r="21">
      <c r="A21" s="14" t="str">
        <f>IFERROR(__xludf.DUMMYFUNCTION("""COMPUTED_VALUE"""),"//ord_30079//Anaya Rao//Colaba//Cold Coffee+1*Venu R/6/6/2023//Credit Card//Delivered*Packaging: Secure and intact")</f>
        <v>//ord_30079//Anaya Rao//Colaba//Cold Coffee+1*Venu R/6/6/2023//Credit Card//Delivered*Packaging: Secure and intact</v>
      </c>
      <c r="B21" s="14" t="str">
        <f>IFERROR(__xludf.DUMMYFUNCTION("split(A21,""//"")"),"ord_30079")</f>
        <v>ord_30079</v>
      </c>
      <c r="C21" s="14" t="str">
        <f>IFERROR(__xludf.DUMMYFUNCTION("""COMPUTED_VALUE"""),"Anaya Rao")</f>
        <v>Anaya Rao</v>
      </c>
      <c r="D21" s="14" t="str">
        <f>IFERROR(__xludf.DUMMYFUNCTION("""COMPUTED_VALUE"""),"Colaba")</f>
        <v>Colaba</v>
      </c>
      <c r="E21" s="14" t="str">
        <f>IFERROR(__xludf.DUMMYFUNCTION("""COMPUTED_VALUE"""),"Cold Coffee+1*Venu R")</f>
        <v>Cold Coffee+1*Venu R</v>
      </c>
      <c r="F21" s="14">
        <f>IFERROR(__xludf.DUMMYFUNCTION("""COMPUTED_VALUE"""),6.0)</f>
        <v>6</v>
      </c>
      <c r="G21" s="14">
        <f>IFERROR(__xludf.DUMMYFUNCTION("""COMPUTED_VALUE"""),6.0)</f>
        <v>6</v>
      </c>
      <c r="H21" s="14">
        <f>IFERROR(__xludf.DUMMYFUNCTION("""COMPUTED_VALUE"""),2023.0)</f>
        <v>2023</v>
      </c>
      <c r="I21" s="14" t="str">
        <f>IFERROR(__xludf.DUMMYFUNCTION("""COMPUTED_VALUE"""),"Credit Card")</f>
        <v>Credit Card</v>
      </c>
      <c r="J21" s="14" t="str">
        <f>IFERROR(__xludf.DUMMYFUNCTION("""COMPUTED_VALUE"""),"Delivered*Packaging: Secure and intact")</f>
        <v>Delivered*Packaging: Secure and intact</v>
      </c>
      <c r="K21" s="14" t="str">
        <f>IFERROR(__xludf.DUMMYFUNCTION("split(E21,""+"")"),"Cold Coffee")</f>
        <v>Cold Coffee</v>
      </c>
      <c r="L21" s="14" t="str">
        <f>IFERROR(__xludf.DUMMYFUNCTION("""COMPUTED_VALUE"""),"1*Venu R")</f>
        <v>1*Venu R</v>
      </c>
      <c r="M21" s="14">
        <f>IFERROR(__xludf.DUMMYFUNCTION("SPLIT(L21,""*"")"),1.0)</f>
        <v>1</v>
      </c>
      <c r="N21" s="14" t="str">
        <f>IFERROR(__xludf.DUMMYFUNCTION("""COMPUTED_VALUE"""),"Venu R")</f>
        <v>Venu R</v>
      </c>
      <c r="O21" s="14" t="str">
        <f>IFERROR(__xludf.DUMMYFUNCTION("split(J21,""*"")"),"Delivered")</f>
        <v>Delivered</v>
      </c>
      <c r="P21" s="14" t="str">
        <f>IFERROR(__xludf.DUMMYFUNCTION("""COMPUTED_VALUE"""),"Packaging: Secure and intact")</f>
        <v>Packaging: Secure and intact</v>
      </c>
      <c r="Q21" s="14" t="str">
        <f>IFERROR(__xludf.DUMMYFUNCTION("split(P21,"":"")"),"Packaging")</f>
        <v>Packaging</v>
      </c>
      <c r="R21" s="14" t="str">
        <f>IFERROR(__xludf.DUMMYFUNCTION("""COMPUTED_VALUE""")," Secure and intact")</f>
        <v> Secure and intact</v>
      </c>
      <c r="S21" s="14" t="str">
        <f t="shared" ref="S21:U21" si="45">trim(B21)</f>
        <v>ord_30079</v>
      </c>
      <c r="T21" s="14" t="str">
        <f t="shared" si="45"/>
        <v>Anaya Rao</v>
      </c>
      <c r="U21" s="14" t="str">
        <f t="shared" si="45"/>
        <v>Colaba</v>
      </c>
      <c r="V21" s="14" t="str">
        <f t="shared" si="4"/>
        <v>Cold Coffee</v>
      </c>
      <c r="W21" s="14">
        <f t="shared" si="5"/>
        <v>1</v>
      </c>
      <c r="X21" s="14" t="str">
        <f t="shared" si="6"/>
        <v>Venu R</v>
      </c>
      <c r="Y21" s="15">
        <f t="shared" si="7"/>
        <v>45083</v>
      </c>
      <c r="Z21" s="14" t="str">
        <f t="shared" si="8"/>
        <v>Credit Card</v>
      </c>
      <c r="AA21" s="14" t="str">
        <f t="shared" si="9"/>
        <v>Delivered</v>
      </c>
      <c r="AB21" s="14" t="str">
        <f t="shared" ref="AB21:AC21" si="46">trim(Q21)</f>
        <v>Packaging</v>
      </c>
      <c r="AC21" s="14" t="str">
        <f t="shared" si="46"/>
        <v>Secure and intact</v>
      </c>
      <c r="AD21" s="8"/>
    </row>
    <row r="22">
      <c r="A22" s="14" t="str">
        <f>IFERROR(__xludf.DUMMYFUNCTION("""COMPUTED_VALUE"""),"//ord_31083//Ritika Dutta//Lower Parel//Tomato+3*Nithin Lal/2/14/2023//COD//Delivered*Satisfied with the Delivery: Timely and quality")</f>
        <v>//ord_31083//Ritika Dutta//Lower Parel//Tomato+3*Nithin Lal/2/14/2023//COD//Delivered*Satisfied with the Delivery: Timely and quality</v>
      </c>
      <c r="B22" s="14" t="str">
        <f>IFERROR(__xludf.DUMMYFUNCTION("split(A22,""//"")"),"ord_31083")</f>
        <v>ord_31083</v>
      </c>
      <c r="C22" s="14" t="str">
        <f>IFERROR(__xludf.DUMMYFUNCTION("""COMPUTED_VALUE"""),"Ritika Dutta")</f>
        <v>Ritika Dutta</v>
      </c>
      <c r="D22" s="14" t="str">
        <f>IFERROR(__xludf.DUMMYFUNCTION("""COMPUTED_VALUE"""),"Lower Parel")</f>
        <v>Lower Parel</v>
      </c>
      <c r="E22" s="14" t="str">
        <f>IFERROR(__xludf.DUMMYFUNCTION("""COMPUTED_VALUE"""),"Tomato+3*Nithin Lal")</f>
        <v>Tomato+3*Nithin Lal</v>
      </c>
      <c r="F22" s="14">
        <f>IFERROR(__xludf.DUMMYFUNCTION("""COMPUTED_VALUE"""),2.0)</f>
        <v>2</v>
      </c>
      <c r="G22" s="14">
        <f>IFERROR(__xludf.DUMMYFUNCTION("""COMPUTED_VALUE"""),14.0)</f>
        <v>14</v>
      </c>
      <c r="H22" s="14">
        <f>IFERROR(__xludf.DUMMYFUNCTION("""COMPUTED_VALUE"""),2023.0)</f>
        <v>2023</v>
      </c>
      <c r="I22" s="14" t="str">
        <f>IFERROR(__xludf.DUMMYFUNCTION("""COMPUTED_VALUE"""),"COD")</f>
        <v>COD</v>
      </c>
      <c r="J22" s="14" t="str">
        <f>IFERROR(__xludf.DUMMYFUNCTION("""COMPUTED_VALUE"""),"Delivered*Satisfied with the Delivery: Timely and quality")</f>
        <v>Delivered*Satisfied with the Delivery: Timely and quality</v>
      </c>
      <c r="K22" s="14" t="str">
        <f>IFERROR(__xludf.DUMMYFUNCTION("split(E22,""+"")"),"Tomato")</f>
        <v>Tomato</v>
      </c>
      <c r="L22" s="14" t="str">
        <f>IFERROR(__xludf.DUMMYFUNCTION("""COMPUTED_VALUE"""),"3*Nithin Lal")</f>
        <v>3*Nithin Lal</v>
      </c>
      <c r="M22" s="14">
        <f>IFERROR(__xludf.DUMMYFUNCTION("SPLIT(L22,""*"")"),3.0)</f>
        <v>3</v>
      </c>
      <c r="N22" s="14" t="str">
        <f>IFERROR(__xludf.DUMMYFUNCTION("""COMPUTED_VALUE"""),"Nithin Lal")</f>
        <v>Nithin Lal</v>
      </c>
      <c r="O22" s="14" t="str">
        <f>IFERROR(__xludf.DUMMYFUNCTION("split(J22,""*"")"),"Delivered")</f>
        <v>Delivered</v>
      </c>
      <c r="P22" s="14" t="str">
        <f>IFERROR(__xludf.DUMMYFUNCTION("""COMPUTED_VALUE"""),"Satisfied with the Delivery: Timely and quality")</f>
        <v>Satisfied with the Delivery: Timely and quality</v>
      </c>
      <c r="Q22" s="14" t="str">
        <f>IFERROR(__xludf.DUMMYFUNCTION("split(P22,"":"")"),"Satisfied with the Delivery")</f>
        <v>Satisfied with the Delivery</v>
      </c>
      <c r="R22" s="14" t="str">
        <f>IFERROR(__xludf.DUMMYFUNCTION("""COMPUTED_VALUE""")," Timely and quality")</f>
        <v> Timely and quality</v>
      </c>
      <c r="S22" s="14" t="str">
        <f t="shared" ref="S22:U22" si="47">trim(B22)</f>
        <v>ord_31083</v>
      </c>
      <c r="T22" s="14" t="str">
        <f t="shared" si="47"/>
        <v>Ritika Dutta</v>
      </c>
      <c r="U22" s="14" t="str">
        <f t="shared" si="47"/>
        <v>Lower Parel</v>
      </c>
      <c r="V22" s="14" t="str">
        <f t="shared" si="4"/>
        <v>Tomato</v>
      </c>
      <c r="W22" s="14">
        <f t="shared" si="5"/>
        <v>3</v>
      </c>
      <c r="X22" s="14" t="str">
        <f t="shared" si="6"/>
        <v>Nithin Lal</v>
      </c>
      <c r="Y22" s="15">
        <f t="shared" si="7"/>
        <v>44971</v>
      </c>
      <c r="Z22" s="14" t="str">
        <f t="shared" si="8"/>
        <v>COD</v>
      </c>
      <c r="AA22" s="14" t="str">
        <f t="shared" si="9"/>
        <v>Delivered</v>
      </c>
      <c r="AB22" s="14" t="str">
        <f t="shared" ref="AB22:AC22" si="48">trim(Q22)</f>
        <v>Satisfied with the Delivery</v>
      </c>
      <c r="AC22" s="14" t="str">
        <f t="shared" si="48"/>
        <v>Timely and quality</v>
      </c>
      <c r="AD22" s="8"/>
    </row>
    <row r="23">
      <c r="A23" s="14" t="str">
        <f>IFERROR(__xludf.DUMMYFUNCTION("""COMPUTED_VALUE"""),"//ord_32087//Aditya Basu//Juhu//Veg Puff+6*Ram Gopal/12/20/2023//UPI//Delivered*Customer Service: Seamless and easy")</f>
        <v>//ord_32087//Aditya Basu//Juhu//Veg Puff+6*Ram Gopal/12/20/2023//UPI//Delivered*Customer Service: Seamless and easy</v>
      </c>
      <c r="B23" s="14" t="str">
        <f>IFERROR(__xludf.DUMMYFUNCTION("split(A23,""//"")"),"ord_32087")</f>
        <v>ord_32087</v>
      </c>
      <c r="C23" s="14" t="str">
        <f>IFERROR(__xludf.DUMMYFUNCTION("""COMPUTED_VALUE"""),"Aditya Basu")</f>
        <v>Aditya Basu</v>
      </c>
      <c r="D23" s="14" t="str">
        <f>IFERROR(__xludf.DUMMYFUNCTION("""COMPUTED_VALUE"""),"Juhu")</f>
        <v>Juhu</v>
      </c>
      <c r="E23" s="14" t="str">
        <f>IFERROR(__xludf.DUMMYFUNCTION("""COMPUTED_VALUE"""),"Veg Puff+6*Ram Gopal")</f>
        <v>Veg Puff+6*Ram Gopal</v>
      </c>
      <c r="F23" s="14">
        <f>IFERROR(__xludf.DUMMYFUNCTION("""COMPUTED_VALUE"""),12.0)</f>
        <v>12</v>
      </c>
      <c r="G23" s="14">
        <f>IFERROR(__xludf.DUMMYFUNCTION("""COMPUTED_VALUE"""),20.0)</f>
        <v>20</v>
      </c>
      <c r="H23" s="14">
        <f>IFERROR(__xludf.DUMMYFUNCTION("""COMPUTED_VALUE"""),2023.0)</f>
        <v>2023</v>
      </c>
      <c r="I23" s="14" t="str">
        <f>IFERROR(__xludf.DUMMYFUNCTION("""COMPUTED_VALUE"""),"UPI")</f>
        <v>UPI</v>
      </c>
      <c r="J23" s="14" t="str">
        <f>IFERROR(__xludf.DUMMYFUNCTION("""COMPUTED_VALUE"""),"Delivered*Customer Service: Seamless and easy")</f>
        <v>Delivered*Customer Service: Seamless and easy</v>
      </c>
      <c r="K23" s="14" t="str">
        <f>IFERROR(__xludf.DUMMYFUNCTION("split(E23,""+"")"),"Veg Puff")</f>
        <v>Veg Puff</v>
      </c>
      <c r="L23" s="14" t="str">
        <f>IFERROR(__xludf.DUMMYFUNCTION("""COMPUTED_VALUE"""),"6*Ram Gopal")</f>
        <v>6*Ram Gopal</v>
      </c>
      <c r="M23" s="14">
        <f>IFERROR(__xludf.DUMMYFUNCTION("SPLIT(L23,""*"")"),6.0)</f>
        <v>6</v>
      </c>
      <c r="N23" s="14" t="str">
        <f>IFERROR(__xludf.DUMMYFUNCTION("""COMPUTED_VALUE"""),"Ram Gopal")</f>
        <v>Ram Gopal</v>
      </c>
      <c r="O23" s="14" t="str">
        <f>IFERROR(__xludf.DUMMYFUNCTION("split(J23,""*"")"),"Delivered")</f>
        <v>Delivered</v>
      </c>
      <c r="P23" s="14" t="str">
        <f>IFERROR(__xludf.DUMMYFUNCTION("""COMPUTED_VALUE"""),"Customer Service: Seamless and easy")</f>
        <v>Customer Service: Seamless and easy</v>
      </c>
      <c r="Q23" s="14" t="str">
        <f>IFERROR(__xludf.DUMMYFUNCTION("split(P23,"":"")"),"Customer Service")</f>
        <v>Customer Service</v>
      </c>
      <c r="R23" s="14" t="str">
        <f>IFERROR(__xludf.DUMMYFUNCTION("""COMPUTED_VALUE""")," Seamless and easy")</f>
        <v> Seamless and easy</v>
      </c>
      <c r="S23" s="14" t="str">
        <f t="shared" ref="S23:U23" si="49">trim(B23)</f>
        <v>ord_32087</v>
      </c>
      <c r="T23" s="14" t="str">
        <f t="shared" si="49"/>
        <v>Aditya Basu</v>
      </c>
      <c r="U23" s="14" t="str">
        <f t="shared" si="49"/>
        <v>Juhu</v>
      </c>
      <c r="V23" s="14" t="str">
        <f t="shared" si="4"/>
        <v>Veg Puff</v>
      </c>
      <c r="W23" s="14">
        <f t="shared" si="5"/>
        <v>6</v>
      </c>
      <c r="X23" s="14" t="str">
        <f t="shared" si="6"/>
        <v>Ram Gopal</v>
      </c>
      <c r="Y23" s="15">
        <f t="shared" si="7"/>
        <v>45280</v>
      </c>
      <c r="Z23" s="14" t="str">
        <f t="shared" si="8"/>
        <v>UPI</v>
      </c>
      <c r="AA23" s="14" t="str">
        <f t="shared" si="9"/>
        <v>Delivered</v>
      </c>
      <c r="AB23" s="14" t="str">
        <f t="shared" ref="AB23:AC23" si="50">trim(Q23)</f>
        <v>Customer Service</v>
      </c>
      <c r="AC23" s="14" t="str">
        <f t="shared" si="50"/>
        <v>Seamless and easy</v>
      </c>
      <c r="AD23" s="8"/>
    </row>
    <row r="24">
      <c r="A24" s="14" t="str">
        <f>IFERROR(__xludf.DUMMYFUNCTION("""COMPUTED_VALUE"""),"//ord_33091//Aditya Basu//Juhu//Chicken Puff+5*Ramesh S/12/26/2023//UPI//Delivered*Delivery Experience: Quick and professional")</f>
        <v>//ord_33091//Aditya Basu//Juhu//Chicken Puff+5*Ramesh S/12/26/2023//UPI//Delivered*Delivery Experience: Quick and professional</v>
      </c>
      <c r="B24" s="14" t="str">
        <f>IFERROR(__xludf.DUMMYFUNCTION("split(A24,""//"")"),"ord_33091")</f>
        <v>ord_33091</v>
      </c>
      <c r="C24" s="14" t="str">
        <f>IFERROR(__xludf.DUMMYFUNCTION("""COMPUTED_VALUE"""),"Aditya Basu")</f>
        <v>Aditya Basu</v>
      </c>
      <c r="D24" s="14" t="str">
        <f>IFERROR(__xludf.DUMMYFUNCTION("""COMPUTED_VALUE"""),"Juhu")</f>
        <v>Juhu</v>
      </c>
      <c r="E24" s="14" t="str">
        <f>IFERROR(__xludf.DUMMYFUNCTION("""COMPUTED_VALUE"""),"Chicken Puff+5*Ramesh S")</f>
        <v>Chicken Puff+5*Ramesh S</v>
      </c>
      <c r="F24" s="14">
        <f>IFERROR(__xludf.DUMMYFUNCTION("""COMPUTED_VALUE"""),12.0)</f>
        <v>12</v>
      </c>
      <c r="G24" s="14">
        <f>IFERROR(__xludf.DUMMYFUNCTION("""COMPUTED_VALUE"""),26.0)</f>
        <v>26</v>
      </c>
      <c r="H24" s="14">
        <f>IFERROR(__xludf.DUMMYFUNCTION("""COMPUTED_VALUE"""),2023.0)</f>
        <v>2023</v>
      </c>
      <c r="I24" s="14" t="str">
        <f>IFERROR(__xludf.DUMMYFUNCTION("""COMPUTED_VALUE"""),"UPI")</f>
        <v>UPI</v>
      </c>
      <c r="J24" s="14" t="str">
        <f>IFERROR(__xludf.DUMMYFUNCTION("""COMPUTED_VALUE"""),"Delivered*Delivery Experience: Quick and professional")</f>
        <v>Delivered*Delivery Experience: Quick and professional</v>
      </c>
      <c r="K24" s="14" t="str">
        <f>IFERROR(__xludf.DUMMYFUNCTION("split(E24,""+"")"),"Chicken Puff")</f>
        <v>Chicken Puff</v>
      </c>
      <c r="L24" s="14" t="str">
        <f>IFERROR(__xludf.DUMMYFUNCTION("""COMPUTED_VALUE"""),"5*Ramesh S")</f>
        <v>5*Ramesh S</v>
      </c>
      <c r="M24" s="14">
        <f>IFERROR(__xludf.DUMMYFUNCTION("SPLIT(L24,""*"")"),5.0)</f>
        <v>5</v>
      </c>
      <c r="N24" s="14" t="str">
        <f>IFERROR(__xludf.DUMMYFUNCTION("""COMPUTED_VALUE"""),"Ramesh S")</f>
        <v>Ramesh S</v>
      </c>
      <c r="O24" s="14" t="str">
        <f>IFERROR(__xludf.DUMMYFUNCTION("split(J24,""*"")"),"Delivered")</f>
        <v>Delivered</v>
      </c>
      <c r="P24" s="14" t="str">
        <f>IFERROR(__xludf.DUMMYFUNCTION("""COMPUTED_VALUE"""),"Delivery Experience: Quick and professional")</f>
        <v>Delivery Experience: Quick and professional</v>
      </c>
      <c r="Q24" s="14" t="str">
        <f>IFERROR(__xludf.DUMMYFUNCTION("split(P24,"":"")"),"Delivery Experience")</f>
        <v>Delivery Experience</v>
      </c>
      <c r="R24" s="14" t="str">
        <f>IFERROR(__xludf.DUMMYFUNCTION("""COMPUTED_VALUE""")," Quick and professional")</f>
        <v> Quick and professional</v>
      </c>
      <c r="S24" s="14" t="str">
        <f t="shared" ref="S24:U24" si="51">trim(B24)</f>
        <v>ord_33091</v>
      </c>
      <c r="T24" s="14" t="str">
        <f t="shared" si="51"/>
        <v>Aditya Basu</v>
      </c>
      <c r="U24" s="14" t="str">
        <f t="shared" si="51"/>
        <v>Juhu</v>
      </c>
      <c r="V24" s="14" t="str">
        <f t="shared" si="4"/>
        <v>Chicken Puff</v>
      </c>
      <c r="W24" s="14">
        <f t="shared" si="5"/>
        <v>5</v>
      </c>
      <c r="X24" s="14" t="str">
        <f t="shared" si="6"/>
        <v>Ramesh S</v>
      </c>
      <c r="Y24" s="15">
        <f t="shared" si="7"/>
        <v>45286</v>
      </c>
      <c r="Z24" s="14" t="str">
        <f t="shared" si="8"/>
        <v>UPI</v>
      </c>
      <c r="AA24" s="14" t="str">
        <f t="shared" si="9"/>
        <v>Delivered</v>
      </c>
      <c r="AB24" s="14" t="str">
        <f t="shared" ref="AB24:AC24" si="52">trim(Q24)</f>
        <v>Delivery Experience</v>
      </c>
      <c r="AC24" s="14" t="str">
        <f t="shared" si="52"/>
        <v>Quick and professional</v>
      </c>
      <c r="AD24" s="8"/>
    </row>
    <row r="25">
      <c r="A25" s="14" t="str">
        <f>IFERROR(__xludf.DUMMYFUNCTION("""COMPUTED_VALUE"""),"//ord_34095//Anaya Rao//Colaba//Sweet Corn+2*Ramesh S/9/24/2023//Online Payment//Delivered*Convenience: Easy tracking")</f>
        <v>//ord_34095//Anaya Rao//Colaba//Sweet Corn+2*Ramesh S/9/24/2023//Online Payment//Delivered*Convenience: Easy tracking</v>
      </c>
      <c r="B25" s="14" t="str">
        <f>IFERROR(__xludf.DUMMYFUNCTION("split(A25,""//"")"),"ord_34095")</f>
        <v>ord_34095</v>
      </c>
      <c r="C25" s="14" t="str">
        <f>IFERROR(__xludf.DUMMYFUNCTION("""COMPUTED_VALUE"""),"Anaya Rao")</f>
        <v>Anaya Rao</v>
      </c>
      <c r="D25" s="14" t="str">
        <f>IFERROR(__xludf.DUMMYFUNCTION("""COMPUTED_VALUE"""),"Colaba")</f>
        <v>Colaba</v>
      </c>
      <c r="E25" s="14" t="str">
        <f>IFERROR(__xludf.DUMMYFUNCTION("""COMPUTED_VALUE"""),"Sweet Corn+2*Ramesh S")</f>
        <v>Sweet Corn+2*Ramesh S</v>
      </c>
      <c r="F25" s="14">
        <f>IFERROR(__xludf.DUMMYFUNCTION("""COMPUTED_VALUE"""),9.0)</f>
        <v>9</v>
      </c>
      <c r="G25" s="14">
        <f>IFERROR(__xludf.DUMMYFUNCTION("""COMPUTED_VALUE"""),24.0)</f>
        <v>24</v>
      </c>
      <c r="H25" s="14">
        <f>IFERROR(__xludf.DUMMYFUNCTION("""COMPUTED_VALUE"""),2023.0)</f>
        <v>2023</v>
      </c>
      <c r="I25" s="14" t="str">
        <f>IFERROR(__xludf.DUMMYFUNCTION("""COMPUTED_VALUE"""),"Online Payment")</f>
        <v>Online Payment</v>
      </c>
      <c r="J25" s="14" t="str">
        <f>IFERROR(__xludf.DUMMYFUNCTION("""COMPUTED_VALUE"""),"Delivered*Convenience: Easy tracking")</f>
        <v>Delivered*Convenience: Easy tracking</v>
      </c>
      <c r="K25" s="14" t="str">
        <f>IFERROR(__xludf.DUMMYFUNCTION("split(E25,""+"")"),"Sweet Corn")</f>
        <v>Sweet Corn</v>
      </c>
      <c r="L25" s="14" t="str">
        <f>IFERROR(__xludf.DUMMYFUNCTION("""COMPUTED_VALUE"""),"2*Ramesh S")</f>
        <v>2*Ramesh S</v>
      </c>
      <c r="M25" s="14">
        <f>IFERROR(__xludf.DUMMYFUNCTION("SPLIT(L25,""*"")"),2.0)</f>
        <v>2</v>
      </c>
      <c r="N25" s="14" t="str">
        <f>IFERROR(__xludf.DUMMYFUNCTION("""COMPUTED_VALUE"""),"Ramesh S")</f>
        <v>Ramesh S</v>
      </c>
      <c r="O25" s="14" t="str">
        <f>IFERROR(__xludf.DUMMYFUNCTION("split(J25,""*"")"),"Delivered")</f>
        <v>Delivered</v>
      </c>
      <c r="P25" s="14" t="str">
        <f>IFERROR(__xludf.DUMMYFUNCTION("""COMPUTED_VALUE"""),"Convenience: Easy tracking")</f>
        <v>Convenience: Easy tracking</v>
      </c>
      <c r="Q25" s="14" t="str">
        <f>IFERROR(__xludf.DUMMYFUNCTION("split(P25,"":"")"),"Convenience")</f>
        <v>Convenience</v>
      </c>
      <c r="R25" s="14" t="str">
        <f>IFERROR(__xludf.DUMMYFUNCTION("""COMPUTED_VALUE""")," Easy tracking")</f>
        <v> Easy tracking</v>
      </c>
      <c r="S25" s="14" t="str">
        <f t="shared" ref="S25:U25" si="53">trim(B25)</f>
        <v>ord_34095</v>
      </c>
      <c r="T25" s="14" t="str">
        <f t="shared" si="53"/>
        <v>Anaya Rao</v>
      </c>
      <c r="U25" s="14" t="str">
        <f t="shared" si="53"/>
        <v>Colaba</v>
      </c>
      <c r="V25" s="14" t="str">
        <f t="shared" si="4"/>
        <v>Sweet Corn</v>
      </c>
      <c r="W25" s="14">
        <f t="shared" si="5"/>
        <v>2</v>
      </c>
      <c r="X25" s="14" t="str">
        <f t="shared" si="6"/>
        <v>Ramesh S</v>
      </c>
      <c r="Y25" s="15">
        <f t="shared" si="7"/>
        <v>45193</v>
      </c>
      <c r="Z25" s="14" t="str">
        <f t="shared" si="8"/>
        <v>Online Payment</v>
      </c>
      <c r="AA25" s="14" t="str">
        <f t="shared" si="9"/>
        <v>Delivered</v>
      </c>
      <c r="AB25" s="14" t="str">
        <f t="shared" ref="AB25:AC25" si="54">trim(Q25)</f>
        <v>Convenience</v>
      </c>
      <c r="AC25" s="14" t="str">
        <f t="shared" si="54"/>
        <v>Easy tracking</v>
      </c>
      <c r="AD25" s="8"/>
    </row>
    <row r="26">
      <c r="A26" s="14" t="str">
        <f>IFERROR(__xludf.DUMMYFUNCTION("""COMPUTED_VALUE"""),"//ord_35099//Simran Bhatt//Juhu//Papaya+1*Nithin Lal/9/28/2023//Online Payment//Delivered*Overall Satisfaction: Great service will order again")</f>
        <v>//ord_35099//Simran Bhatt//Juhu//Papaya+1*Nithin Lal/9/28/2023//Online Payment//Delivered*Overall Satisfaction: Great service will order again</v>
      </c>
      <c r="B26" s="14" t="str">
        <f>IFERROR(__xludf.DUMMYFUNCTION("split(A26,""//"")"),"ord_35099")</f>
        <v>ord_35099</v>
      </c>
      <c r="C26" s="14" t="str">
        <f>IFERROR(__xludf.DUMMYFUNCTION("""COMPUTED_VALUE"""),"Simran Bhatt")</f>
        <v>Simran Bhatt</v>
      </c>
      <c r="D26" s="14" t="str">
        <f>IFERROR(__xludf.DUMMYFUNCTION("""COMPUTED_VALUE"""),"Juhu")</f>
        <v>Juhu</v>
      </c>
      <c r="E26" s="14" t="str">
        <f>IFERROR(__xludf.DUMMYFUNCTION("""COMPUTED_VALUE"""),"Papaya+1*Nithin Lal")</f>
        <v>Papaya+1*Nithin Lal</v>
      </c>
      <c r="F26" s="14">
        <f>IFERROR(__xludf.DUMMYFUNCTION("""COMPUTED_VALUE"""),9.0)</f>
        <v>9</v>
      </c>
      <c r="G26" s="14">
        <f>IFERROR(__xludf.DUMMYFUNCTION("""COMPUTED_VALUE"""),28.0)</f>
        <v>28</v>
      </c>
      <c r="H26" s="14">
        <f>IFERROR(__xludf.DUMMYFUNCTION("""COMPUTED_VALUE"""),2023.0)</f>
        <v>2023</v>
      </c>
      <c r="I26" s="14" t="str">
        <f>IFERROR(__xludf.DUMMYFUNCTION("""COMPUTED_VALUE"""),"Online Payment")</f>
        <v>Online Payment</v>
      </c>
      <c r="J26" s="14" t="str">
        <f>IFERROR(__xludf.DUMMYFUNCTION("""COMPUTED_VALUE"""),"Delivered*Overall Satisfaction: Great service will order again")</f>
        <v>Delivered*Overall Satisfaction: Great service will order again</v>
      </c>
      <c r="K26" s="14" t="str">
        <f>IFERROR(__xludf.DUMMYFUNCTION("split(E26,""+"")"),"Papaya")</f>
        <v>Papaya</v>
      </c>
      <c r="L26" s="14" t="str">
        <f>IFERROR(__xludf.DUMMYFUNCTION("""COMPUTED_VALUE"""),"1*Nithin Lal")</f>
        <v>1*Nithin Lal</v>
      </c>
      <c r="M26" s="14">
        <f>IFERROR(__xludf.DUMMYFUNCTION("SPLIT(L26,""*"")"),1.0)</f>
        <v>1</v>
      </c>
      <c r="N26" s="14" t="str">
        <f>IFERROR(__xludf.DUMMYFUNCTION("""COMPUTED_VALUE"""),"Nithin Lal")</f>
        <v>Nithin Lal</v>
      </c>
      <c r="O26" s="14" t="str">
        <f>IFERROR(__xludf.DUMMYFUNCTION("split(J26,""*"")"),"Delivered")</f>
        <v>Delivered</v>
      </c>
      <c r="P26" s="14" t="str">
        <f>IFERROR(__xludf.DUMMYFUNCTION("""COMPUTED_VALUE"""),"Overall Satisfaction: Great service will order again")</f>
        <v>Overall Satisfaction: Great service will order again</v>
      </c>
      <c r="Q26" s="14" t="str">
        <f>IFERROR(__xludf.DUMMYFUNCTION("split(P26,"":"")"),"Overall Satisfaction")</f>
        <v>Overall Satisfaction</v>
      </c>
      <c r="R26" s="14" t="str">
        <f>IFERROR(__xludf.DUMMYFUNCTION("""COMPUTED_VALUE""")," Great service will order again")</f>
        <v> Great service will order again</v>
      </c>
      <c r="S26" s="14" t="str">
        <f t="shared" ref="S26:U26" si="55">trim(B26)</f>
        <v>ord_35099</v>
      </c>
      <c r="T26" s="14" t="str">
        <f t="shared" si="55"/>
        <v>Simran Bhatt</v>
      </c>
      <c r="U26" s="14" t="str">
        <f t="shared" si="55"/>
        <v>Juhu</v>
      </c>
      <c r="V26" s="14" t="str">
        <f t="shared" si="4"/>
        <v>Papaya</v>
      </c>
      <c r="W26" s="14">
        <f t="shared" si="5"/>
        <v>1</v>
      </c>
      <c r="X26" s="14" t="str">
        <f t="shared" si="6"/>
        <v>Nithin Lal</v>
      </c>
      <c r="Y26" s="15">
        <f t="shared" si="7"/>
        <v>45197</v>
      </c>
      <c r="Z26" s="14" t="str">
        <f t="shared" si="8"/>
        <v>Online Payment</v>
      </c>
      <c r="AA26" s="14" t="str">
        <f t="shared" si="9"/>
        <v>Delivered</v>
      </c>
      <c r="AB26" s="14" t="str">
        <f t="shared" ref="AB26:AC26" si="56">trim(Q26)</f>
        <v>Overall Satisfaction</v>
      </c>
      <c r="AC26" s="14" t="str">
        <f t="shared" si="56"/>
        <v>Great service will order again</v>
      </c>
      <c r="AD26" s="8"/>
    </row>
    <row r="27">
      <c r="A27" s="14" t="str">
        <f>IFERROR(__xludf.DUMMYFUNCTION("""COMPUTED_VALUE"""),"//ord_36103//Aarav Mehta//Andheri//Sweet Corn+2*Rohan Yadav/2/15/2023//Credit Card//Delivered*On-time Delivery: Delivered on time")</f>
        <v>//ord_36103//Aarav Mehta//Andheri//Sweet Corn+2*Rohan Yadav/2/15/2023//Credit Card//Delivered*On-time Delivery: Delivered on time</v>
      </c>
      <c r="B27" s="14" t="str">
        <f>IFERROR(__xludf.DUMMYFUNCTION("split(A27,""//"")"),"ord_36103")</f>
        <v>ord_36103</v>
      </c>
      <c r="C27" s="14" t="str">
        <f>IFERROR(__xludf.DUMMYFUNCTION("""COMPUTED_VALUE"""),"Aarav Mehta")</f>
        <v>Aarav Mehta</v>
      </c>
      <c r="D27" s="14" t="str">
        <f>IFERROR(__xludf.DUMMYFUNCTION("""COMPUTED_VALUE"""),"Andheri")</f>
        <v>Andheri</v>
      </c>
      <c r="E27" s="14" t="str">
        <f>IFERROR(__xludf.DUMMYFUNCTION("""COMPUTED_VALUE"""),"Sweet Corn+2*Rohan Yadav")</f>
        <v>Sweet Corn+2*Rohan Yadav</v>
      </c>
      <c r="F27" s="14">
        <f>IFERROR(__xludf.DUMMYFUNCTION("""COMPUTED_VALUE"""),2.0)</f>
        <v>2</v>
      </c>
      <c r="G27" s="14">
        <f>IFERROR(__xludf.DUMMYFUNCTION("""COMPUTED_VALUE"""),15.0)</f>
        <v>15</v>
      </c>
      <c r="H27" s="14">
        <f>IFERROR(__xludf.DUMMYFUNCTION("""COMPUTED_VALUE"""),2023.0)</f>
        <v>2023</v>
      </c>
      <c r="I27" s="14" t="str">
        <f>IFERROR(__xludf.DUMMYFUNCTION("""COMPUTED_VALUE"""),"Credit Card")</f>
        <v>Credit Card</v>
      </c>
      <c r="J27" s="14" t="str">
        <f>IFERROR(__xludf.DUMMYFUNCTION("""COMPUTED_VALUE"""),"Delivered*On-time Delivery: Delivered on time")</f>
        <v>Delivered*On-time Delivery: Delivered on time</v>
      </c>
      <c r="K27" s="14" t="str">
        <f>IFERROR(__xludf.DUMMYFUNCTION("split(E27,""+"")"),"Sweet Corn")</f>
        <v>Sweet Corn</v>
      </c>
      <c r="L27" s="14" t="str">
        <f>IFERROR(__xludf.DUMMYFUNCTION("""COMPUTED_VALUE"""),"2*Rohan Yadav")</f>
        <v>2*Rohan Yadav</v>
      </c>
      <c r="M27" s="14">
        <f>IFERROR(__xludf.DUMMYFUNCTION("SPLIT(L27,""*"")"),2.0)</f>
        <v>2</v>
      </c>
      <c r="N27" s="14" t="str">
        <f>IFERROR(__xludf.DUMMYFUNCTION("""COMPUTED_VALUE"""),"Rohan Yadav")</f>
        <v>Rohan Yadav</v>
      </c>
      <c r="O27" s="14" t="str">
        <f>IFERROR(__xludf.DUMMYFUNCTION("split(J27,""*"")"),"Delivered")</f>
        <v>Delivered</v>
      </c>
      <c r="P27" s="14" t="str">
        <f>IFERROR(__xludf.DUMMYFUNCTION("""COMPUTED_VALUE"""),"On-time Delivery: Delivered on time")</f>
        <v>On-time Delivery: Delivered on time</v>
      </c>
      <c r="Q27" s="14" t="str">
        <f>IFERROR(__xludf.DUMMYFUNCTION("split(P27,"":"")"),"On-time Delivery")</f>
        <v>On-time Delivery</v>
      </c>
      <c r="R27" s="14" t="str">
        <f>IFERROR(__xludf.DUMMYFUNCTION("""COMPUTED_VALUE""")," Delivered on time")</f>
        <v> Delivered on time</v>
      </c>
      <c r="S27" s="14" t="str">
        <f t="shared" ref="S27:U27" si="57">trim(B27)</f>
        <v>ord_36103</v>
      </c>
      <c r="T27" s="14" t="str">
        <f t="shared" si="57"/>
        <v>Aarav Mehta</v>
      </c>
      <c r="U27" s="14" t="str">
        <f t="shared" si="57"/>
        <v>Andheri</v>
      </c>
      <c r="V27" s="14" t="str">
        <f t="shared" si="4"/>
        <v>Sweet Corn</v>
      </c>
      <c r="W27" s="14">
        <f t="shared" si="5"/>
        <v>2</v>
      </c>
      <c r="X27" s="14" t="str">
        <f t="shared" si="6"/>
        <v>Rohan Yadav</v>
      </c>
      <c r="Y27" s="15">
        <f t="shared" si="7"/>
        <v>44972</v>
      </c>
      <c r="Z27" s="14" t="str">
        <f t="shared" si="8"/>
        <v>Credit Card</v>
      </c>
      <c r="AA27" s="14" t="str">
        <f t="shared" si="9"/>
        <v>Delivered</v>
      </c>
      <c r="AB27" s="14" t="str">
        <f t="shared" ref="AB27:AC27" si="58">trim(Q27)</f>
        <v>On-time Delivery</v>
      </c>
      <c r="AC27" s="14" t="str">
        <f t="shared" si="58"/>
        <v>Delivered on time</v>
      </c>
      <c r="AD27" s="8"/>
    </row>
    <row r="28">
      <c r="A28" s="14" t="str">
        <f>IFERROR(__xludf.DUMMYFUNCTION("""COMPUTED_VALUE"""),"//ord_37107//Simran Bhatt//Juhu//Orange+2*Sita T/11/15/2023//UPI//Delivered*Quality of Items: Perfect condition")</f>
        <v>//ord_37107//Simran Bhatt//Juhu//Orange+2*Sita T/11/15/2023//UPI//Delivered*Quality of Items: Perfect condition</v>
      </c>
      <c r="B28" s="14" t="str">
        <f>IFERROR(__xludf.DUMMYFUNCTION("split(A28,""//"")"),"ord_37107")</f>
        <v>ord_37107</v>
      </c>
      <c r="C28" s="14" t="str">
        <f>IFERROR(__xludf.DUMMYFUNCTION("""COMPUTED_VALUE"""),"Simran Bhatt")</f>
        <v>Simran Bhatt</v>
      </c>
      <c r="D28" s="14" t="str">
        <f>IFERROR(__xludf.DUMMYFUNCTION("""COMPUTED_VALUE"""),"Juhu")</f>
        <v>Juhu</v>
      </c>
      <c r="E28" s="14" t="str">
        <f>IFERROR(__xludf.DUMMYFUNCTION("""COMPUTED_VALUE"""),"Orange+2*Sita T")</f>
        <v>Orange+2*Sita T</v>
      </c>
      <c r="F28" s="14">
        <f>IFERROR(__xludf.DUMMYFUNCTION("""COMPUTED_VALUE"""),11.0)</f>
        <v>11</v>
      </c>
      <c r="G28" s="14">
        <f>IFERROR(__xludf.DUMMYFUNCTION("""COMPUTED_VALUE"""),15.0)</f>
        <v>15</v>
      </c>
      <c r="H28" s="14">
        <f>IFERROR(__xludf.DUMMYFUNCTION("""COMPUTED_VALUE"""),2023.0)</f>
        <v>2023</v>
      </c>
      <c r="I28" s="14" t="str">
        <f>IFERROR(__xludf.DUMMYFUNCTION("""COMPUTED_VALUE"""),"UPI")</f>
        <v>UPI</v>
      </c>
      <c r="J28" s="14" t="str">
        <f>IFERROR(__xludf.DUMMYFUNCTION("""COMPUTED_VALUE"""),"Delivered*Quality of Items: Perfect condition")</f>
        <v>Delivered*Quality of Items: Perfect condition</v>
      </c>
      <c r="K28" s="14" t="str">
        <f>IFERROR(__xludf.DUMMYFUNCTION("split(E28,""+"")"),"Orange")</f>
        <v>Orange</v>
      </c>
      <c r="L28" s="14" t="str">
        <f>IFERROR(__xludf.DUMMYFUNCTION("""COMPUTED_VALUE"""),"2*Sita T")</f>
        <v>2*Sita T</v>
      </c>
      <c r="M28" s="14">
        <f>IFERROR(__xludf.DUMMYFUNCTION("SPLIT(L28,""*"")"),2.0)</f>
        <v>2</v>
      </c>
      <c r="N28" s="14" t="str">
        <f>IFERROR(__xludf.DUMMYFUNCTION("""COMPUTED_VALUE"""),"Sita T")</f>
        <v>Sita T</v>
      </c>
      <c r="O28" s="14" t="str">
        <f>IFERROR(__xludf.DUMMYFUNCTION("split(J28,""*"")"),"Delivered")</f>
        <v>Delivered</v>
      </c>
      <c r="P28" s="14" t="str">
        <f>IFERROR(__xludf.DUMMYFUNCTION("""COMPUTED_VALUE"""),"Quality of Items: Perfect condition")</f>
        <v>Quality of Items: Perfect condition</v>
      </c>
      <c r="Q28" s="14" t="str">
        <f>IFERROR(__xludf.DUMMYFUNCTION("split(P28,"":"")"),"Quality of Items")</f>
        <v>Quality of Items</v>
      </c>
      <c r="R28" s="14" t="str">
        <f>IFERROR(__xludf.DUMMYFUNCTION("""COMPUTED_VALUE""")," Perfect condition")</f>
        <v> Perfect condition</v>
      </c>
      <c r="S28" s="14" t="str">
        <f t="shared" ref="S28:U28" si="59">trim(B28)</f>
        <v>ord_37107</v>
      </c>
      <c r="T28" s="14" t="str">
        <f t="shared" si="59"/>
        <v>Simran Bhatt</v>
      </c>
      <c r="U28" s="14" t="str">
        <f t="shared" si="59"/>
        <v>Juhu</v>
      </c>
      <c r="V28" s="14" t="str">
        <f t="shared" si="4"/>
        <v>Orange</v>
      </c>
      <c r="W28" s="14">
        <f t="shared" si="5"/>
        <v>2</v>
      </c>
      <c r="X28" s="14" t="str">
        <f t="shared" si="6"/>
        <v>Sita T</v>
      </c>
      <c r="Y28" s="15">
        <f t="shared" si="7"/>
        <v>45245</v>
      </c>
      <c r="Z28" s="14" t="str">
        <f t="shared" si="8"/>
        <v>UPI</v>
      </c>
      <c r="AA28" s="14" t="str">
        <f t="shared" si="9"/>
        <v>Delivered</v>
      </c>
      <c r="AB28" s="14" t="str">
        <f t="shared" ref="AB28:AC28" si="60">trim(Q28)</f>
        <v>Quality of Items</v>
      </c>
      <c r="AC28" s="14" t="str">
        <f t="shared" si="60"/>
        <v>Perfect condition</v>
      </c>
      <c r="AD28" s="8"/>
    </row>
    <row r="29">
      <c r="A29" s="14" t="str">
        <f>IFERROR(__xludf.DUMMYFUNCTION("""COMPUTED_VALUE"""),"//ord_38111//Siya Reddy//Juhu//Chilli Cheese Toast+5*Priya Joshi/6/7/2023//Credit Card//Cancelled*Delayed Delivery:Bad Weather Conditions ")</f>
        <v>//ord_38111//Siya Reddy//Juhu//Chilli Cheese Toast+5*Priya Joshi/6/7/2023//Credit Card//Cancelled*Delayed Delivery:Bad Weather Conditions </v>
      </c>
      <c r="B29" s="14" t="str">
        <f>IFERROR(__xludf.DUMMYFUNCTION("split(A29,""//"")"),"ord_38111")</f>
        <v>ord_38111</v>
      </c>
      <c r="C29" s="14" t="str">
        <f>IFERROR(__xludf.DUMMYFUNCTION("""COMPUTED_VALUE"""),"Siya Reddy")</f>
        <v>Siya Reddy</v>
      </c>
      <c r="D29" s="14" t="str">
        <f>IFERROR(__xludf.DUMMYFUNCTION("""COMPUTED_VALUE"""),"Juhu")</f>
        <v>Juhu</v>
      </c>
      <c r="E29" s="14" t="str">
        <f>IFERROR(__xludf.DUMMYFUNCTION("""COMPUTED_VALUE"""),"Chilli Cheese Toast+5*Priya Joshi")</f>
        <v>Chilli Cheese Toast+5*Priya Joshi</v>
      </c>
      <c r="F29" s="14">
        <f>IFERROR(__xludf.DUMMYFUNCTION("""COMPUTED_VALUE"""),6.0)</f>
        <v>6</v>
      </c>
      <c r="G29" s="14">
        <f>IFERROR(__xludf.DUMMYFUNCTION("""COMPUTED_VALUE"""),7.0)</f>
        <v>7</v>
      </c>
      <c r="H29" s="14">
        <f>IFERROR(__xludf.DUMMYFUNCTION("""COMPUTED_VALUE"""),2023.0)</f>
        <v>2023</v>
      </c>
      <c r="I29" s="14" t="str">
        <f>IFERROR(__xludf.DUMMYFUNCTION("""COMPUTED_VALUE"""),"Credit Card")</f>
        <v>Credit Card</v>
      </c>
      <c r="J29" s="14" t="str">
        <f>IFERROR(__xludf.DUMMYFUNCTION("""COMPUTED_VALUE"""),"Cancelled*Delayed Delivery:Bad Weather Conditions ")</f>
        <v>Cancelled*Delayed Delivery:Bad Weather Conditions </v>
      </c>
      <c r="K29" s="14" t="str">
        <f>IFERROR(__xludf.DUMMYFUNCTION("split(E29,""+"")"),"Chilli Cheese Toast")</f>
        <v>Chilli Cheese Toast</v>
      </c>
      <c r="L29" s="14" t="str">
        <f>IFERROR(__xludf.DUMMYFUNCTION("""COMPUTED_VALUE"""),"5*Priya Joshi")</f>
        <v>5*Priya Joshi</v>
      </c>
      <c r="M29" s="14">
        <f>IFERROR(__xludf.DUMMYFUNCTION("SPLIT(L29,""*"")"),5.0)</f>
        <v>5</v>
      </c>
      <c r="N29" s="14" t="str">
        <f>IFERROR(__xludf.DUMMYFUNCTION("""COMPUTED_VALUE"""),"Priya Joshi")</f>
        <v>Priya Joshi</v>
      </c>
      <c r="O29" s="14" t="str">
        <f>IFERROR(__xludf.DUMMYFUNCTION("split(J29,""*"")"),"Cancelled")</f>
        <v>Cancelled</v>
      </c>
      <c r="P29" s="14" t="str">
        <f>IFERROR(__xludf.DUMMYFUNCTION("""COMPUTED_VALUE"""),"Delayed Delivery:Bad Weather Conditions ")</f>
        <v>Delayed Delivery:Bad Weather Conditions </v>
      </c>
      <c r="Q29" s="14" t="str">
        <f>IFERROR(__xludf.DUMMYFUNCTION("split(P29,"":"")"),"Delayed Delivery")</f>
        <v>Delayed Delivery</v>
      </c>
      <c r="R29" s="14" t="str">
        <f>IFERROR(__xludf.DUMMYFUNCTION("""COMPUTED_VALUE"""),"Bad Weather Conditions ")</f>
        <v>Bad Weather Conditions </v>
      </c>
      <c r="S29" s="14" t="str">
        <f t="shared" ref="S29:U29" si="61">trim(B29)</f>
        <v>ord_38111</v>
      </c>
      <c r="T29" s="14" t="str">
        <f t="shared" si="61"/>
        <v>Siya Reddy</v>
      </c>
      <c r="U29" s="14" t="str">
        <f t="shared" si="61"/>
        <v>Juhu</v>
      </c>
      <c r="V29" s="14" t="str">
        <f t="shared" si="4"/>
        <v>Chilli Cheese Toast</v>
      </c>
      <c r="W29" s="14">
        <f t="shared" si="5"/>
        <v>5</v>
      </c>
      <c r="X29" s="14" t="str">
        <f t="shared" si="6"/>
        <v>Priya Joshi</v>
      </c>
      <c r="Y29" s="15">
        <f t="shared" si="7"/>
        <v>45084</v>
      </c>
      <c r="Z29" s="14" t="str">
        <f t="shared" si="8"/>
        <v>Credit Card</v>
      </c>
      <c r="AA29" s="14" t="str">
        <f t="shared" si="9"/>
        <v>Cancelled</v>
      </c>
      <c r="AB29" s="14" t="str">
        <f t="shared" ref="AB29:AC29" si="62">trim(Q29)</f>
        <v>Delayed Delivery</v>
      </c>
      <c r="AC29" s="14" t="str">
        <f t="shared" si="62"/>
        <v>Bad Weather Conditions</v>
      </c>
      <c r="AD29" s="8"/>
    </row>
    <row r="30">
      <c r="A30" s="14" t="str">
        <f>IFERROR(__xludf.DUMMYFUNCTION("""COMPUTED_VALUE"""),"//ord_39115//Simran Bhatt//Juhu//Apple+2*Ramesh S/3/20/2023//Credit Card//Delivered*Packaging: Secure and intact")</f>
        <v>//ord_39115//Simran Bhatt//Juhu//Apple+2*Ramesh S/3/20/2023//Credit Card//Delivered*Packaging: Secure and intact</v>
      </c>
      <c r="B30" s="14" t="str">
        <f>IFERROR(__xludf.DUMMYFUNCTION("split(A30,""//"")"),"ord_39115")</f>
        <v>ord_39115</v>
      </c>
      <c r="C30" s="14" t="str">
        <f>IFERROR(__xludf.DUMMYFUNCTION("""COMPUTED_VALUE"""),"Simran Bhatt")</f>
        <v>Simran Bhatt</v>
      </c>
      <c r="D30" s="14" t="str">
        <f>IFERROR(__xludf.DUMMYFUNCTION("""COMPUTED_VALUE"""),"Juhu")</f>
        <v>Juhu</v>
      </c>
      <c r="E30" s="14" t="str">
        <f>IFERROR(__xludf.DUMMYFUNCTION("""COMPUTED_VALUE"""),"Apple+2*Ramesh S")</f>
        <v>Apple+2*Ramesh S</v>
      </c>
      <c r="F30" s="14">
        <f>IFERROR(__xludf.DUMMYFUNCTION("""COMPUTED_VALUE"""),3.0)</f>
        <v>3</v>
      </c>
      <c r="G30" s="14">
        <f>IFERROR(__xludf.DUMMYFUNCTION("""COMPUTED_VALUE"""),20.0)</f>
        <v>20</v>
      </c>
      <c r="H30" s="14">
        <f>IFERROR(__xludf.DUMMYFUNCTION("""COMPUTED_VALUE"""),2023.0)</f>
        <v>2023</v>
      </c>
      <c r="I30" s="14" t="str">
        <f>IFERROR(__xludf.DUMMYFUNCTION("""COMPUTED_VALUE"""),"Credit Card")</f>
        <v>Credit Card</v>
      </c>
      <c r="J30" s="14" t="str">
        <f>IFERROR(__xludf.DUMMYFUNCTION("""COMPUTED_VALUE"""),"Delivered*Packaging: Secure and intact")</f>
        <v>Delivered*Packaging: Secure and intact</v>
      </c>
      <c r="K30" s="14" t="str">
        <f>IFERROR(__xludf.DUMMYFUNCTION("split(E30,""+"")"),"Apple")</f>
        <v>Apple</v>
      </c>
      <c r="L30" s="14" t="str">
        <f>IFERROR(__xludf.DUMMYFUNCTION("""COMPUTED_VALUE"""),"2*Ramesh S")</f>
        <v>2*Ramesh S</v>
      </c>
      <c r="M30" s="14">
        <f>IFERROR(__xludf.DUMMYFUNCTION("SPLIT(L30,""*"")"),2.0)</f>
        <v>2</v>
      </c>
      <c r="N30" s="14" t="str">
        <f>IFERROR(__xludf.DUMMYFUNCTION("""COMPUTED_VALUE"""),"Ramesh S")</f>
        <v>Ramesh S</v>
      </c>
      <c r="O30" s="14" t="str">
        <f>IFERROR(__xludf.DUMMYFUNCTION("split(J30,""*"")"),"Delivered")</f>
        <v>Delivered</v>
      </c>
      <c r="P30" s="14" t="str">
        <f>IFERROR(__xludf.DUMMYFUNCTION("""COMPUTED_VALUE"""),"Packaging: Secure and intact")</f>
        <v>Packaging: Secure and intact</v>
      </c>
      <c r="Q30" s="14" t="str">
        <f>IFERROR(__xludf.DUMMYFUNCTION("split(P30,"":"")"),"Packaging")</f>
        <v>Packaging</v>
      </c>
      <c r="R30" s="14" t="str">
        <f>IFERROR(__xludf.DUMMYFUNCTION("""COMPUTED_VALUE""")," Secure and intact")</f>
        <v> Secure and intact</v>
      </c>
      <c r="S30" s="14" t="str">
        <f t="shared" ref="S30:U30" si="63">trim(B30)</f>
        <v>ord_39115</v>
      </c>
      <c r="T30" s="14" t="str">
        <f t="shared" si="63"/>
        <v>Simran Bhatt</v>
      </c>
      <c r="U30" s="14" t="str">
        <f t="shared" si="63"/>
        <v>Juhu</v>
      </c>
      <c r="V30" s="14" t="str">
        <f t="shared" si="4"/>
        <v>Apple</v>
      </c>
      <c r="W30" s="14">
        <f t="shared" si="5"/>
        <v>2</v>
      </c>
      <c r="X30" s="14" t="str">
        <f t="shared" si="6"/>
        <v>Ramesh S</v>
      </c>
      <c r="Y30" s="15">
        <f t="shared" si="7"/>
        <v>45005</v>
      </c>
      <c r="Z30" s="14" t="str">
        <f t="shared" si="8"/>
        <v>Credit Card</v>
      </c>
      <c r="AA30" s="14" t="str">
        <f t="shared" si="9"/>
        <v>Delivered</v>
      </c>
      <c r="AB30" s="14" t="str">
        <f t="shared" ref="AB30:AC30" si="64">trim(Q30)</f>
        <v>Packaging</v>
      </c>
      <c r="AC30" s="14" t="str">
        <f t="shared" si="64"/>
        <v>Secure and intact</v>
      </c>
      <c r="AD30" s="8"/>
    </row>
    <row r="31">
      <c r="A31" s="14" t="str">
        <f>IFERROR(__xludf.DUMMYFUNCTION("""COMPUTED_VALUE"""),"//ord_40119//Anaya Rao//Colaba//Chilli Cheese Toast+3*Ramesh S/1/18/2023//UPI//Delivered*Satisfied with the Delivery: Timely and quality")</f>
        <v>//ord_40119//Anaya Rao//Colaba//Chilli Cheese Toast+3*Ramesh S/1/18/2023//UPI//Delivered*Satisfied with the Delivery: Timely and quality</v>
      </c>
      <c r="B31" s="14" t="str">
        <f>IFERROR(__xludf.DUMMYFUNCTION("split(A31,""//"")"),"ord_40119")</f>
        <v>ord_40119</v>
      </c>
      <c r="C31" s="14" t="str">
        <f>IFERROR(__xludf.DUMMYFUNCTION("""COMPUTED_VALUE"""),"Anaya Rao")</f>
        <v>Anaya Rao</v>
      </c>
      <c r="D31" s="14" t="str">
        <f>IFERROR(__xludf.DUMMYFUNCTION("""COMPUTED_VALUE"""),"Colaba")</f>
        <v>Colaba</v>
      </c>
      <c r="E31" s="14" t="str">
        <f>IFERROR(__xludf.DUMMYFUNCTION("""COMPUTED_VALUE"""),"Chilli Cheese Toast+3*Ramesh S")</f>
        <v>Chilli Cheese Toast+3*Ramesh S</v>
      </c>
      <c r="F31" s="14">
        <f>IFERROR(__xludf.DUMMYFUNCTION("""COMPUTED_VALUE"""),1.0)</f>
        <v>1</v>
      </c>
      <c r="G31" s="14">
        <f>IFERROR(__xludf.DUMMYFUNCTION("""COMPUTED_VALUE"""),18.0)</f>
        <v>18</v>
      </c>
      <c r="H31" s="14">
        <f>IFERROR(__xludf.DUMMYFUNCTION("""COMPUTED_VALUE"""),2023.0)</f>
        <v>2023</v>
      </c>
      <c r="I31" s="14" t="str">
        <f>IFERROR(__xludf.DUMMYFUNCTION("""COMPUTED_VALUE"""),"UPI")</f>
        <v>UPI</v>
      </c>
      <c r="J31" s="14" t="str">
        <f>IFERROR(__xludf.DUMMYFUNCTION("""COMPUTED_VALUE"""),"Delivered*Satisfied with the Delivery: Timely and quality")</f>
        <v>Delivered*Satisfied with the Delivery: Timely and quality</v>
      </c>
      <c r="K31" s="14" t="str">
        <f>IFERROR(__xludf.DUMMYFUNCTION("split(E31,""+"")"),"Chilli Cheese Toast")</f>
        <v>Chilli Cheese Toast</v>
      </c>
      <c r="L31" s="14" t="str">
        <f>IFERROR(__xludf.DUMMYFUNCTION("""COMPUTED_VALUE"""),"3*Ramesh S")</f>
        <v>3*Ramesh S</v>
      </c>
      <c r="M31" s="14">
        <f>IFERROR(__xludf.DUMMYFUNCTION("SPLIT(L31,""*"")"),3.0)</f>
        <v>3</v>
      </c>
      <c r="N31" s="14" t="str">
        <f>IFERROR(__xludf.DUMMYFUNCTION("""COMPUTED_VALUE"""),"Ramesh S")</f>
        <v>Ramesh S</v>
      </c>
      <c r="O31" s="14" t="str">
        <f>IFERROR(__xludf.DUMMYFUNCTION("split(J31,""*"")"),"Delivered")</f>
        <v>Delivered</v>
      </c>
      <c r="P31" s="14" t="str">
        <f>IFERROR(__xludf.DUMMYFUNCTION("""COMPUTED_VALUE"""),"Satisfied with the Delivery: Timely and quality")</f>
        <v>Satisfied with the Delivery: Timely and quality</v>
      </c>
      <c r="Q31" s="14" t="str">
        <f>IFERROR(__xludf.DUMMYFUNCTION("split(P31,"":"")"),"Satisfied with the Delivery")</f>
        <v>Satisfied with the Delivery</v>
      </c>
      <c r="R31" s="14" t="str">
        <f>IFERROR(__xludf.DUMMYFUNCTION("""COMPUTED_VALUE""")," Timely and quality")</f>
        <v> Timely and quality</v>
      </c>
      <c r="S31" s="14" t="str">
        <f t="shared" ref="S31:U31" si="65">trim(B31)</f>
        <v>ord_40119</v>
      </c>
      <c r="T31" s="14" t="str">
        <f t="shared" si="65"/>
        <v>Anaya Rao</v>
      </c>
      <c r="U31" s="14" t="str">
        <f t="shared" si="65"/>
        <v>Colaba</v>
      </c>
      <c r="V31" s="14" t="str">
        <f t="shared" si="4"/>
        <v>Chilli Cheese Toast</v>
      </c>
      <c r="W31" s="14">
        <f t="shared" si="5"/>
        <v>3</v>
      </c>
      <c r="X31" s="14" t="str">
        <f t="shared" si="6"/>
        <v>Ramesh S</v>
      </c>
      <c r="Y31" s="15">
        <f t="shared" si="7"/>
        <v>44944</v>
      </c>
      <c r="Z31" s="14" t="str">
        <f t="shared" si="8"/>
        <v>UPI</v>
      </c>
      <c r="AA31" s="14" t="str">
        <f t="shared" si="9"/>
        <v>Delivered</v>
      </c>
      <c r="AB31" s="14" t="str">
        <f t="shared" ref="AB31:AC31" si="66">trim(Q31)</f>
        <v>Satisfied with the Delivery</v>
      </c>
      <c r="AC31" s="14" t="str">
        <f t="shared" si="66"/>
        <v>Timely and quality</v>
      </c>
      <c r="AD31" s="8"/>
    </row>
    <row r="32">
      <c r="A32" s="14" t="str">
        <f>IFERROR(__xludf.DUMMYFUNCTION("""COMPUTED_VALUE"""),"//ord_61123//Dev Chauhan//Bandra//Veg Puff+3*Nithin Lal/4/1/2023//Credit Card//Delivered*Customer Service: Seamless and easy")</f>
        <v>//ord_61123//Dev Chauhan//Bandra//Veg Puff+3*Nithin Lal/4/1/2023//Credit Card//Delivered*Customer Service: Seamless and easy</v>
      </c>
      <c r="B32" s="14" t="str">
        <f>IFERROR(__xludf.DUMMYFUNCTION("split(A32,""//"")"),"ord_61123")</f>
        <v>ord_61123</v>
      </c>
      <c r="C32" s="14" t="str">
        <f>IFERROR(__xludf.DUMMYFUNCTION("""COMPUTED_VALUE"""),"Dev Chauhan")</f>
        <v>Dev Chauhan</v>
      </c>
      <c r="D32" s="14" t="str">
        <f>IFERROR(__xludf.DUMMYFUNCTION("""COMPUTED_VALUE"""),"Bandra")</f>
        <v>Bandra</v>
      </c>
      <c r="E32" s="14" t="str">
        <f>IFERROR(__xludf.DUMMYFUNCTION("""COMPUTED_VALUE"""),"Veg Puff+3*Nithin Lal")</f>
        <v>Veg Puff+3*Nithin Lal</v>
      </c>
      <c r="F32" s="14">
        <f>IFERROR(__xludf.DUMMYFUNCTION("""COMPUTED_VALUE"""),4.0)</f>
        <v>4</v>
      </c>
      <c r="G32" s="14">
        <f>IFERROR(__xludf.DUMMYFUNCTION("""COMPUTED_VALUE"""),1.0)</f>
        <v>1</v>
      </c>
      <c r="H32" s="14">
        <f>IFERROR(__xludf.DUMMYFUNCTION("""COMPUTED_VALUE"""),2023.0)</f>
        <v>2023</v>
      </c>
      <c r="I32" s="14" t="str">
        <f>IFERROR(__xludf.DUMMYFUNCTION("""COMPUTED_VALUE"""),"Credit Card")</f>
        <v>Credit Card</v>
      </c>
      <c r="J32" s="14" t="str">
        <f>IFERROR(__xludf.DUMMYFUNCTION("""COMPUTED_VALUE"""),"Delivered*Customer Service: Seamless and easy")</f>
        <v>Delivered*Customer Service: Seamless and easy</v>
      </c>
      <c r="K32" s="14" t="str">
        <f>IFERROR(__xludf.DUMMYFUNCTION("split(E32,""+"")"),"Veg Puff")</f>
        <v>Veg Puff</v>
      </c>
      <c r="L32" s="14" t="str">
        <f>IFERROR(__xludf.DUMMYFUNCTION("""COMPUTED_VALUE"""),"3*Nithin Lal")</f>
        <v>3*Nithin Lal</v>
      </c>
      <c r="M32" s="14">
        <f>IFERROR(__xludf.DUMMYFUNCTION("SPLIT(L32,""*"")"),3.0)</f>
        <v>3</v>
      </c>
      <c r="N32" s="14" t="str">
        <f>IFERROR(__xludf.DUMMYFUNCTION("""COMPUTED_VALUE"""),"Nithin Lal")</f>
        <v>Nithin Lal</v>
      </c>
      <c r="O32" s="14" t="str">
        <f>IFERROR(__xludf.DUMMYFUNCTION("split(J32,""*"")"),"Delivered")</f>
        <v>Delivered</v>
      </c>
      <c r="P32" s="14" t="str">
        <f>IFERROR(__xludf.DUMMYFUNCTION("""COMPUTED_VALUE"""),"Customer Service: Seamless and easy")</f>
        <v>Customer Service: Seamless and easy</v>
      </c>
      <c r="Q32" s="14" t="str">
        <f>IFERROR(__xludf.DUMMYFUNCTION("split(P32,"":"")"),"Customer Service")</f>
        <v>Customer Service</v>
      </c>
      <c r="R32" s="14" t="str">
        <f>IFERROR(__xludf.DUMMYFUNCTION("""COMPUTED_VALUE""")," Seamless and easy")</f>
        <v> Seamless and easy</v>
      </c>
      <c r="S32" s="14" t="str">
        <f t="shared" ref="S32:U32" si="67">trim(B32)</f>
        <v>ord_61123</v>
      </c>
      <c r="T32" s="14" t="str">
        <f t="shared" si="67"/>
        <v>Dev Chauhan</v>
      </c>
      <c r="U32" s="14" t="str">
        <f t="shared" si="67"/>
        <v>Bandra</v>
      </c>
      <c r="V32" s="14" t="str">
        <f t="shared" si="4"/>
        <v>Veg Puff</v>
      </c>
      <c r="W32" s="14">
        <f t="shared" si="5"/>
        <v>3</v>
      </c>
      <c r="X32" s="14" t="str">
        <f t="shared" si="6"/>
        <v>Nithin Lal</v>
      </c>
      <c r="Y32" s="15">
        <f t="shared" si="7"/>
        <v>45017</v>
      </c>
      <c r="Z32" s="14" t="str">
        <f t="shared" si="8"/>
        <v>Credit Card</v>
      </c>
      <c r="AA32" s="14" t="str">
        <f t="shared" si="9"/>
        <v>Delivered</v>
      </c>
      <c r="AB32" s="14" t="str">
        <f t="shared" ref="AB32:AC32" si="68">trim(Q32)</f>
        <v>Customer Service</v>
      </c>
      <c r="AC32" s="14" t="str">
        <f t="shared" si="68"/>
        <v>Seamless and easy</v>
      </c>
      <c r="AD32" s="8"/>
    </row>
    <row r="33">
      <c r="A33" s="14" t="str">
        <f>IFERROR(__xludf.DUMMYFUNCTION("""COMPUTED_VALUE"""),"//ord_42127//Parth Goel//Juhu//Papaya+2*Vivek Kumar/4/1/2023//UPI//Delivered*Delivery Experience: Quick and professional")</f>
        <v>//ord_42127//Parth Goel//Juhu//Papaya+2*Vivek Kumar/4/1/2023//UPI//Delivered*Delivery Experience: Quick and professional</v>
      </c>
      <c r="B33" s="14" t="str">
        <f>IFERROR(__xludf.DUMMYFUNCTION("split(A33,""//"")"),"ord_42127")</f>
        <v>ord_42127</v>
      </c>
      <c r="C33" s="14" t="str">
        <f>IFERROR(__xludf.DUMMYFUNCTION("""COMPUTED_VALUE"""),"Parth Goel")</f>
        <v>Parth Goel</v>
      </c>
      <c r="D33" s="14" t="str">
        <f>IFERROR(__xludf.DUMMYFUNCTION("""COMPUTED_VALUE"""),"Juhu")</f>
        <v>Juhu</v>
      </c>
      <c r="E33" s="14" t="str">
        <f>IFERROR(__xludf.DUMMYFUNCTION("""COMPUTED_VALUE"""),"Papaya+2*Vivek Kumar")</f>
        <v>Papaya+2*Vivek Kumar</v>
      </c>
      <c r="F33" s="14">
        <f>IFERROR(__xludf.DUMMYFUNCTION("""COMPUTED_VALUE"""),4.0)</f>
        <v>4</v>
      </c>
      <c r="G33" s="14">
        <f>IFERROR(__xludf.DUMMYFUNCTION("""COMPUTED_VALUE"""),1.0)</f>
        <v>1</v>
      </c>
      <c r="H33" s="14">
        <f>IFERROR(__xludf.DUMMYFUNCTION("""COMPUTED_VALUE"""),2023.0)</f>
        <v>2023</v>
      </c>
      <c r="I33" s="14" t="str">
        <f>IFERROR(__xludf.DUMMYFUNCTION("""COMPUTED_VALUE"""),"UPI")</f>
        <v>UPI</v>
      </c>
      <c r="J33" s="14" t="str">
        <f>IFERROR(__xludf.DUMMYFUNCTION("""COMPUTED_VALUE"""),"Delivered*Delivery Experience: Quick and professional")</f>
        <v>Delivered*Delivery Experience: Quick and professional</v>
      </c>
      <c r="K33" s="14" t="str">
        <f>IFERROR(__xludf.DUMMYFUNCTION("split(E33,""+"")"),"Papaya")</f>
        <v>Papaya</v>
      </c>
      <c r="L33" s="14" t="str">
        <f>IFERROR(__xludf.DUMMYFUNCTION("""COMPUTED_VALUE"""),"2*Vivek Kumar")</f>
        <v>2*Vivek Kumar</v>
      </c>
      <c r="M33" s="14">
        <f>IFERROR(__xludf.DUMMYFUNCTION("SPLIT(L33,""*"")"),2.0)</f>
        <v>2</v>
      </c>
      <c r="N33" s="14" t="str">
        <f>IFERROR(__xludf.DUMMYFUNCTION("""COMPUTED_VALUE"""),"Vivek Kumar")</f>
        <v>Vivek Kumar</v>
      </c>
      <c r="O33" s="14" t="str">
        <f>IFERROR(__xludf.DUMMYFUNCTION("split(J33,""*"")"),"Delivered")</f>
        <v>Delivered</v>
      </c>
      <c r="P33" s="14" t="str">
        <f>IFERROR(__xludf.DUMMYFUNCTION("""COMPUTED_VALUE"""),"Delivery Experience: Quick and professional")</f>
        <v>Delivery Experience: Quick and professional</v>
      </c>
      <c r="Q33" s="14" t="str">
        <f>IFERROR(__xludf.DUMMYFUNCTION("split(P33,"":"")"),"Delivery Experience")</f>
        <v>Delivery Experience</v>
      </c>
      <c r="R33" s="14" t="str">
        <f>IFERROR(__xludf.DUMMYFUNCTION("""COMPUTED_VALUE""")," Quick and professional")</f>
        <v> Quick and professional</v>
      </c>
      <c r="S33" s="14" t="str">
        <f t="shared" ref="S33:U33" si="69">trim(B33)</f>
        <v>ord_42127</v>
      </c>
      <c r="T33" s="14" t="str">
        <f t="shared" si="69"/>
        <v>Parth Goel</v>
      </c>
      <c r="U33" s="14" t="str">
        <f t="shared" si="69"/>
        <v>Juhu</v>
      </c>
      <c r="V33" s="14" t="str">
        <f t="shared" si="4"/>
        <v>Papaya</v>
      </c>
      <c r="W33" s="14">
        <f t="shared" si="5"/>
        <v>2</v>
      </c>
      <c r="X33" s="14" t="str">
        <f t="shared" si="6"/>
        <v>Vivek Kumar</v>
      </c>
      <c r="Y33" s="15">
        <f t="shared" si="7"/>
        <v>45017</v>
      </c>
      <c r="Z33" s="14" t="str">
        <f t="shared" si="8"/>
        <v>UPI</v>
      </c>
      <c r="AA33" s="14" t="str">
        <f t="shared" si="9"/>
        <v>Delivered</v>
      </c>
      <c r="AB33" s="14" t="str">
        <f t="shared" ref="AB33:AC33" si="70">trim(Q33)</f>
        <v>Delivery Experience</v>
      </c>
      <c r="AC33" s="14" t="str">
        <f t="shared" si="70"/>
        <v>Quick and professional</v>
      </c>
      <c r="AD33" s="8"/>
    </row>
    <row r="34">
      <c r="A34" s="14" t="str">
        <f>IFERROR(__xludf.DUMMYFUNCTION("""COMPUTED_VALUE"""),"//ord_43131//Dev Chauhan//Bandra//Popcorn+5*Ramesh S/1/5/2023//UPI//Cancelled*Delayed Delivery:Heavy Traffic")</f>
        <v>//ord_43131//Dev Chauhan//Bandra//Popcorn+5*Ramesh S/1/5/2023//UPI//Cancelled*Delayed Delivery:Heavy Traffic</v>
      </c>
      <c r="B34" s="14" t="str">
        <f>IFERROR(__xludf.DUMMYFUNCTION("split(A34,""//"")"),"ord_43131")</f>
        <v>ord_43131</v>
      </c>
      <c r="C34" s="14" t="str">
        <f>IFERROR(__xludf.DUMMYFUNCTION("""COMPUTED_VALUE"""),"Dev Chauhan")</f>
        <v>Dev Chauhan</v>
      </c>
      <c r="D34" s="14" t="str">
        <f>IFERROR(__xludf.DUMMYFUNCTION("""COMPUTED_VALUE"""),"Bandra")</f>
        <v>Bandra</v>
      </c>
      <c r="E34" s="14" t="str">
        <f>IFERROR(__xludf.DUMMYFUNCTION("""COMPUTED_VALUE"""),"Popcorn+5*Ramesh S")</f>
        <v>Popcorn+5*Ramesh S</v>
      </c>
      <c r="F34" s="14">
        <f>IFERROR(__xludf.DUMMYFUNCTION("""COMPUTED_VALUE"""),1.0)</f>
        <v>1</v>
      </c>
      <c r="G34" s="14">
        <f>IFERROR(__xludf.DUMMYFUNCTION("""COMPUTED_VALUE"""),5.0)</f>
        <v>5</v>
      </c>
      <c r="H34" s="14">
        <f>IFERROR(__xludf.DUMMYFUNCTION("""COMPUTED_VALUE"""),2023.0)</f>
        <v>2023</v>
      </c>
      <c r="I34" s="14" t="str">
        <f>IFERROR(__xludf.DUMMYFUNCTION("""COMPUTED_VALUE"""),"UPI")</f>
        <v>UPI</v>
      </c>
      <c r="J34" s="14" t="str">
        <f>IFERROR(__xludf.DUMMYFUNCTION("""COMPUTED_VALUE"""),"Cancelled*Delayed Delivery:Heavy Traffic")</f>
        <v>Cancelled*Delayed Delivery:Heavy Traffic</v>
      </c>
      <c r="K34" s="14" t="str">
        <f>IFERROR(__xludf.DUMMYFUNCTION("split(E34,""+"")"),"Popcorn")</f>
        <v>Popcorn</v>
      </c>
      <c r="L34" s="14" t="str">
        <f>IFERROR(__xludf.DUMMYFUNCTION("""COMPUTED_VALUE"""),"5*Ramesh S")</f>
        <v>5*Ramesh S</v>
      </c>
      <c r="M34" s="14">
        <f>IFERROR(__xludf.DUMMYFUNCTION("SPLIT(L34,""*"")"),5.0)</f>
        <v>5</v>
      </c>
      <c r="N34" s="14" t="str">
        <f>IFERROR(__xludf.DUMMYFUNCTION("""COMPUTED_VALUE"""),"Ramesh S")</f>
        <v>Ramesh S</v>
      </c>
      <c r="O34" s="14" t="str">
        <f>IFERROR(__xludf.DUMMYFUNCTION("split(J34,""*"")"),"Cancelled")</f>
        <v>Cancelled</v>
      </c>
      <c r="P34" s="14" t="str">
        <f>IFERROR(__xludf.DUMMYFUNCTION("""COMPUTED_VALUE"""),"Delayed Delivery:Heavy Traffic")</f>
        <v>Delayed Delivery:Heavy Traffic</v>
      </c>
      <c r="Q34" s="14" t="str">
        <f>IFERROR(__xludf.DUMMYFUNCTION("split(P34,"":"")"),"Delayed Delivery")</f>
        <v>Delayed Delivery</v>
      </c>
      <c r="R34" s="14" t="str">
        <f>IFERROR(__xludf.DUMMYFUNCTION("""COMPUTED_VALUE"""),"Heavy Traffic")</f>
        <v>Heavy Traffic</v>
      </c>
      <c r="S34" s="14" t="str">
        <f t="shared" ref="S34:U34" si="71">trim(B34)</f>
        <v>ord_43131</v>
      </c>
      <c r="T34" s="14" t="str">
        <f t="shared" si="71"/>
        <v>Dev Chauhan</v>
      </c>
      <c r="U34" s="14" t="str">
        <f t="shared" si="71"/>
        <v>Bandra</v>
      </c>
      <c r="V34" s="14" t="str">
        <f t="shared" si="4"/>
        <v>Popcorn</v>
      </c>
      <c r="W34" s="14">
        <f t="shared" si="5"/>
        <v>5</v>
      </c>
      <c r="X34" s="14" t="str">
        <f t="shared" si="6"/>
        <v>Ramesh S</v>
      </c>
      <c r="Y34" s="15">
        <f t="shared" si="7"/>
        <v>44931</v>
      </c>
      <c r="Z34" s="14" t="str">
        <f t="shared" si="8"/>
        <v>UPI</v>
      </c>
      <c r="AA34" s="14" t="str">
        <f t="shared" si="9"/>
        <v>Cancelled</v>
      </c>
      <c r="AB34" s="14" t="str">
        <f t="shared" ref="AB34:AC34" si="72">trim(Q34)</f>
        <v>Delayed Delivery</v>
      </c>
      <c r="AC34" s="14" t="str">
        <f t="shared" si="72"/>
        <v>Heavy Traffic</v>
      </c>
      <c r="AD34" s="8"/>
    </row>
    <row r="35">
      <c r="A35" s="14" t="str">
        <f>IFERROR(__xludf.DUMMYFUNCTION("""COMPUTED_VALUE"""),"//ord_44135//Aarohi Kapoor//Bandra//Tiramisu+4*Sandeep Kumar/10/23/2023//UPI//Cancelled*Delayed Delivery:Heavy Traffic")</f>
        <v>//ord_44135//Aarohi Kapoor//Bandra//Tiramisu+4*Sandeep Kumar/10/23/2023//UPI//Cancelled*Delayed Delivery:Heavy Traffic</v>
      </c>
      <c r="B35" s="14" t="str">
        <f>IFERROR(__xludf.DUMMYFUNCTION("split(A35,""//"")"),"ord_44135")</f>
        <v>ord_44135</v>
      </c>
      <c r="C35" s="14" t="str">
        <f>IFERROR(__xludf.DUMMYFUNCTION("""COMPUTED_VALUE"""),"Aarohi Kapoor")</f>
        <v>Aarohi Kapoor</v>
      </c>
      <c r="D35" s="14" t="str">
        <f>IFERROR(__xludf.DUMMYFUNCTION("""COMPUTED_VALUE"""),"Bandra")</f>
        <v>Bandra</v>
      </c>
      <c r="E35" s="14" t="str">
        <f>IFERROR(__xludf.DUMMYFUNCTION("""COMPUTED_VALUE"""),"Tiramisu+4*Sandeep Kumar")</f>
        <v>Tiramisu+4*Sandeep Kumar</v>
      </c>
      <c r="F35" s="14">
        <f>IFERROR(__xludf.DUMMYFUNCTION("""COMPUTED_VALUE"""),10.0)</f>
        <v>10</v>
      </c>
      <c r="G35" s="14">
        <f>IFERROR(__xludf.DUMMYFUNCTION("""COMPUTED_VALUE"""),23.0)</f>
        <v>23</v>
      </c>
      <c r="H35" s="14">
        <f>IFERROR(__xludf.DUMMYFUNCTION("""COMPUTED_VALUE"""),2023.0)</f>
        <v>2023</v>
      </c>
      <c r="I35" s="14" t="str">
        <f>IFERROR(__xludf.DUMMYFUNCTION("""COMPUTED_VALUE"""),"UPI")</f>
        <v>UPI</v>
      </c>
      <c r="J35" s="14" t="str">
        <f>IFERROR(__xludf.DUMMYFUNCTION("""COMPUTED_VALUE"""),"Cancelled*Delayed Delivery:Heavy Traffic")</f>
        <v>Cancelled*Delayed Delivery:Heavy Traffic</v>
      </c>
      <c r="K35" s="14" t="str">
        <f>IFERROR(__xludf.DUMMYFUNCTION("split(E35,""+"")"),"Tiramisu")</f>
        <v>Tiramisu</v>
      </c>
      <c r="L35" s="14" t="str">
        <f>IFERROR(__xludf.DUMMYFUNCTION("""COMPUTED_VALUE"""),"4*Sandeep Kumar")</f>
        <v>4*Sandeep Kumar</v>
      </c>
      <c r="M35" s="14">
        <f>IFERROR(__xludf.DUMMYFUNCTION("SPLIT(L35,""*"")"),4.0)</f>
        <v>4</v>
      </c>
      <c r="N35" s="14" t="str">
        <f>IFERROR(__xludf.DUMMYFUNCTION("""COMPUTED_VALUE"""),"Sandeep Kumar")</f>
        <v>Sandeep Kumar</v>
      </c>
      <c r="O35" s="14" t="str">
        <f>IFERROR(__xludf.DUMMYFUNCTION("split(J35,""*"")"),"Cancelled")</f>
        <v>Cancelled</v>
      </c>
      <c r="P35" s="14" t="str">
        <f>IFERROR(__xludf.DUMMYFUNCTION("""COMPUTED_VALUE"""),"Delayed Delivery:Heavy Traffic")</f>
        <v>Delayed Delivery:Heavy Traffic</v>
      </c>
      <c r="Q35" s="14" t="str">
        <f>IFERROR(__xludf.DUMMYFUNCTION("split(P35,"":"")"),"Delayed Delivery")</f>
        <v>Delayed Delivery</v>
      </c>
      <c r="R35" s="14" t="str">
        <f>IFERROR(__xludf.DUMMYFUNCTION("""COMPUTED_VALUE"""),"Heavy Traffic")</f>
        <v>Heavy Traffic</v>
      </c>
      <c r="S35" s="14" t="str">
        <f t="shared" ref="S35:U35" si="73">trim(B35)</f>
        <v>ord_44135</v>
      </c>
      <c r="T35" s="14" t="str">
        <f t="shared" si="73"/>
        <v>Aarohi Kapoor</v>
      </c>
      <c r="U35" s="14" t="str">
        <f t="shared" si="73"/>
        <v>Bandra</v>
      </c>
      <c r="V35" s="14" t="str">
        <f t="shared" si="4"/>
        <v>Tiramisu</v>
      </c>
      <c r="W35" s="14">
        <f t="shared" si="5"/>
        <v>4</v>
      </c>
      <c r="X35" s="14" t="str">
        <f t="shared" si="6"/>
        <v>Sandeep Kumar</v>
      </c>
      <c r="Y35" s="15">
        <f t="shared" si="7"/>
        <v>45222</v>
      </c>
      <c r="Z35" s="14" t="str">
        <f t="shared" si="8"/>
        <v>UPI</v>
      </c>
      <c r="AA35" s="14" t="str">
        <f t="shared" si="9"/>
        <v>Cancelled</v>
      </c>
      <c r="AB35" s="14" t="str">
        <f t="shared" ref="AB35:AC35" si="74">trim(Q35)</f>
        <v>Delayed Delivery</v>
      </c>
      <c r="AC35" s="14" t="str">
        <f t="shared" si="74"/>
        <v>Heavy Traffic</v>
      </c>
      <c r="AD35" s="8"/>
    </row>
    <row r="36">
      <c r="A36" s="14" t="str">
        <f>IFERROR(__xludf.DUMMYFUNCTION("""COMPUTED_VALUE"""),"//ord_45139//Kritika Shetty//Malad//Papaya+2*Not Assigned/9/24/2023//Credit Card//Cancelled*High Delivery Fees")</f>
        <v>//ord_45139//Kritika Shetty//Malad//Papaya+2*Not Assigned/9/24/2023//Credit Card//Cancelled*High Delivery Fees</v>
      </c>
      <c r="B36" s="14" t="str">
        <f>IFERROR(__xludf.DUMMYFUNCTION("split(A36,""//"")"),"ord_45139")</f>
        <v>ord_45139</v>
      </c>
      <c r="C36" s="14" t="str">
        <f>IFERROR(__xludf.DUMMYFUNCTION("""COMPUTED_VALUE"""),"Kritika Shetty")</f>
        <v>Kritika Shetty</v>
      </c>
      <c r="D36" s="14" t="str">
        <f>IFERROR(__xludf.DUMMYFUNCTION("""COMPUTED_VALUE"""),"Malad")</f>
        <v>Malad</v>
      </c>
      <c r="E36" s="14" t="str">
        <f>IFERROR(__xludf.DUMMYFUNCTION("""COMPUTED_VALUE"""),"Papaya+2*Not Assigned")</f>
        <v>Papaya+2*Not Assigned</v>
      </c>
      <c r="F36" s="14">
        <f>IFERROR(__xludf.DUMMYFUNCTION("""COMPUTED_VALUE"""),9.0)</f>
        <v>9</v>
      </c>
      <c r="G36" s="14">
        <f>IFERROR(__xludf.DUMMYFUNCTION("""COMPUTED_VALUE"""),24.0)</f>
        <v>24</v>
      </c>
      <c r="H36" s="14">
        <f>IFERROR(__xludf.DUMMYFUNCTION("""COMPUTED_VALUE"""),2023.0)</f>
        <v>2023</v>
      </c>
      <c r="I36" s="14" t="str">
        <f>IFERROR(__xludf.DUMMYFUNCTION("""COMPUTED_VALUE"""),"Credit Card")</f>
        <v>Credit Card</v>
      </c>
      <c r="J36" s="14" t="str">
        <f>IFERROR(__xludf.DUMMYFUNCTION("""COMPUTED_VALUE"""),"Cancelled*High Delivery Fees")</f>
        <v>Cancelled*High Delivery Fees</v>
      </c>
      <c r="K36" s="14" t="str">
        <f>IFERROR(__xludf.DUMMYFUNCTION("split(E36,""+"")"),"Papaya")</f>
        <v>Papaya</v>
      </c>
      <c r="L36" s="14" t="str">
        <f>IFERROR(__xludf.DUMMYFUNCTION("""COMPUTED_VALUE"""),"2*Not Assigned")</f>
        <v>2*Not Assigned</v>
      </c>
      <c r="M36" s="14">
        <f>IFERROR(__xludf.DUMMYFUNCTION("SPLIT(L36,""*"")"),2.0)</f>
        <v>2</v>
      </c>
      <c r="N36" s="14" t="str">
        <f>IFERROR(__xludf.DUMMYFUNCTION("""COMPUTED_VALUE"""),"Not Assigned")</f>
        <v>Not Assigned</v>
      </c>
      <c r="O36" s="14" t="str">
        <f>IFERROR(__xludf.DUMMYFUNCTION("split(J36,""*"")"),"Cancelled")</f>
        <v>Cancelled</v>
      </c>
      <c r="P36" s="14" t="str">
        <f>IFERROR(__xludf.DUMMYFUNCTION("""COMPUTED_VALUE"""),"High Delivery Fees")</f>
        <v>High Delivery Fees</v>
      </c>
      <c r="Q36" s="14" t="str">
        <f>IFERROR(__xludf.DUMMYFUNCTION("split(P36,"":"")"),"High Delivery Fees")</f>
        <v>High Delivery Fees</v>
      </c>
      <c r="R36" s="14"/>
      <c r="S36" s="14" t="str">
        <f t="shared" ref="S36:U36" si="75">trim(B36)</f>
        <v>ord_45139</v>
      </c>
      <c r="T36" s="14" t="str">
        <f t="shared" si="75"/>
        <v>Kritika Shetty</v>
      </c>
      <c r="U36" s="14" t="str">
        <f t="shared" si="75"/>
        <v>Malad</v>
      </c>
      <c r="V36" s="14" t="str">
        <f t="shared" si="4"/>
        <v>Papaya</v>
      </c>
      <c r="W36" s="14">
        <f t="shared" si="5"/>
        <v>2</v>
      </c>
      <c r="X36" s="14" t="str">
        <f t="shared" si="6"/>
        <v>Not Assigned</v>
      </c>
      <c r="Y36" s="15">
        <f t="shared" si="7"/>
        <v>45193</v>
      </c>
      <c r="Z36" s="14" t="str">
        <f t="shared" si="8"/>
        <v>Credit Card</v>
      </c>
      <c r="AA36" s="14" t="str">
        <f t="shared" si="9"/>
        <v>Cancelled</v>
      </c>
      <c r="AB36" s="14" t="str">
        <f t="shared" ref="AB36:AC36" si="76">trim(Q36)</f>
        <v>High Delivery Fees</v>
      </c>
      <c r="AC36" s="14" t="str">
        <f t="shared" si="76"/>
        <v/>
      </c>
      <c r="AD36" s="8"/>
    </row>
    <row r="37">
      <c r="A37" s="14" t="str">
        <f>IFERROR(__xludf.DUMMYFUNCTION("""COMPUTED_VALUE"""),"//ord_46143//Mohit Malhotra//Lower Parel//Apple+1*Shine Thomas/10/27/2023//Online Payment//Delivered*Convenience: Easy tracking")</f>
        <v>//ord_46143//Mohit Malhotra//Lower Parel//Apple+1*Shine Thomas/10/27/2023//Online Payment//Delivered*Convenience: Easy tracking</v>
      </c>
      <c r="B37" s="14" t="str">
        <f>IFERROR(__xludf.DUMMYFUNCTION("split(A37,""//"")"),"ord_46143")</f>
        <v>ord_46143</v>
      </c>
      <c r="C37" s="14" t="str">
        <f>IFERROR(__xludf.DUMMYFUNCTION("""COMPUTED_VALUE"""),"Mohit Malhotra")</f>
        <v>Mohit Malhotra</v>
      </c>
      <c r="D37" s="14" t="str">
        <f>IFERROR(__xludf.DUMMYFUNCTION("""COMPUTED_VALUE"""),"Lower Parel")</f>
        <v>Lower Parel</v>
      </c>
      <c r="E37" s="14" t="str">
        <f>IFERROR(__xludf.DUMMYFUNCTION("""COMPUTED_VALUE"""),"Apple+1*Shine Thomas")</f>
        <v>Apple+1*Shine Thomas</v>
      </c>
      <c r="F37" s="14">
        <f>IFERROR(__xludf.DUMMYFUNCTION("""COMPUTED_VALUE"""),10.0)</f>
        <v>10</v>
      </c>
      <c r="G37" s="14">
        <f>IFERROR(__xludf.DUMMYFUNCTION("""COMPUTED_VALUE"""),27.0)</f>
        <v>27</v>
      </c>
      <c r="H37" s="14">
        <f>IFERROR(__xludf.DUMMYFUNCTION("""COMPUTED_VALUE"""),2023.0)</f>
        <v>2023</v>
      </c>
      <c r="I37" s="14" t="str">
        <f>IFERROR(__xludf.DUMMYFUNCTION("""COMPUTED_VALUE"""),"Online Payment")</f>
        <v>Online Payment</v>
      </c>
      <c r="J37" s="14" t="str">
        <f>IFERROR(__xludf.DUMMYFUNCTION("""COMPUTED_VALUE"""),"Delivered*Convenience: Easy tracking")</f>
        <v>Delivered*Convenience: Easy tracking</v>
      </c>
      <c r="K37" s="14" t="str">
        <f>IFERROR(__xludf.DUMMYFUNCTION("split(E37,""+"")"),"Apple")</f>
        <v>Apple</v>
      </c>
      <c r="L37" s="14" t="str">
        <f>IFERROR(__xludf.DUMMYFUNCTION("""COMPUTED_VALUE"""),"1*Shine Thomas")</f>
        <v>1*Shine Thomas</v>
      </c>
      <c r="M37" s="14">
        <f>IFERROR(__xludf.DUMMYFUNCTION("SPLIT(L37,""*"")"),1.0)</f>
        <v>1</v>
      </c>
      <c r="N37" s="14" t="str">
        <f>IFERROR(__xludf.DUMMYFUNCTION("""COMPUTED_VALUE"""),"Shine Thomas")</f>
        <v>Shine Thomas</v>
      </c>
      <c r="O37" s="14" t="str">
        <f>IFERROR(__xludf.DUMMYFUNCTION("split(J37,""*"")"),"Delivered")</f>
        <v>Delivered</v>
      </c>
      <c r="P37" s="14" t="str">
        <f>IFERROR(__xludf.DUMMYFUNCTION("""COMPUTED_VALUE"""),"Convenience: Easy tracking")</f>
        <v>Convenience: Easy tracking</v>
      </c>
      <c r="Q37" s="14" t="str">
        <f>IFERROR(__xludf.DUMMYFUNCTION("split(P37,"":"")"),"Convenience")</f>
        <v>Convenience</v>
      </c>
      <c r="R37" s="14" t="str">
        <f>IFERROR(__xludf.DUMMYFUNCTION("""COMPUTED_VALUE""")," Easy tracking")</f>
        <v> Easy tracking</v>
      </c>
      <c r="S37" s="14" t="str">
        <f t="shared" ref="S37:U37" si="77">trim(B37)</f>
        <v>ord_46143</v>
      </c>
      <c r="T37" s="14" t="str">
        <f t="shared" si="77"/>
        <v>Mohit Malhotra</v>
      </c>
      <c r="U37" s="14" t="str">
        <f t="shared" si="77"/>
        <v>Lower Parel</v>
      </c>
      <c r="V37" s="14" t="str">
        <f t="shared" si="4"/>
        <v>Apple</v>
      </c>
      <c r="W37" s="14">
        <f t="shared" si="5"/>
        <v>1</v>
      </c>
      <c r="X37" s="14" t="str">
        <f t="shared" si="6"/>
        <v>Shine Thomas</v>
      </c>
      <c r="Y37" s="15">
        <f t="shared" si="7"/>
        <v>45226</v>
      </c>
      <c r="Z37" s="14" t="str">
        <f t="shared" si="8"/>
        <v>Online Payment</v>
      </c>
      <c r="AA37" s="14" t="str">
        <f t="shared" si="9"/>
        <v>Delivered</v>
      </c>
      <c r="AB37" s="14" t="str">
        <f t="shared" ref="AB37:AC37" si="78">trim(Q37)</f>
        <v>Convenience</v>
      </c>
      <c r="AC37" s="14" t="str">
        <f t="shared" si="78"/>
        <v>Easy tracking</v>
      </c>
      <c r="AD37" s="8"/>
    </row>
    <row r="38">
      <c r="A38" s="14" t="str">
        <f>IFERROR(__xludf.DUMMYFUNCTION("""COMPUTED_VALUE"""),"//ord_47147//Dev Chauhan//Bandra//Chilli Cheese Toast+2*Ram Gopal/5/7/2023//COD//Delivered*Overall Satisfaction: Great service will order again")</f>
        <v>//ord_47147//Dev Chauhan//Bandra//Chilli Cheese Toast+2*Ram Gopal/5/7/2023//COD//Delivered*Overall Satisfaction: Great service will order again</v>
      </c>
      <c r="B38" s="14" t="str">
        <f>IFERROR(__xludf.DUMMYFUNCTION("split(A38,""//"")"),"ord_47147")</f>
        <v>ord_47147</v>
      </c>
      <c r="C38" s="14" t="str">
        <f>IFERROR(__xludf.DUMMYFUNCTION("""COMPUTED_VALUE"""),"Dev Chauhan")</f>
        <v>Dev Chauhan</v>
      </c>
      <c r="D38" s="14" t="str">
        <f>IFERROR(__xludf.DUMMYFUNCTION("""COMPUTED_VALUE"""),"Bandra")</f>
        <v>Bandra</v>
      </c>
      <c r="E38" s="14" t="str">
        <f>IFERROR(__xludf.DUMMYFUNCTION("""COMPUTED_VALUE"""),"Chilli Cheese Toast+2*Ram Gopal")</f>
        <v>Chilli Cheese Toast+2*Ram Gopal</v>
      </c>
      <c r="F38" s="14">
        <f>IFERROR(__xludf.DUMMYFUNCTION("""COMPUTED_VALUE"""),5.0)</f>
        <v>5</v>
      </c>
      <c r="G38" s="14">
        <f>IFERROR(__xludf.DUMMYFUNCTION("""COMPUTED_VALUE"""),7.0)</f>
        <v>7</v>
      </c>
      <c r="H38" s="14">
        <f>IFERROR(__xludf.DUMMYFUNCTION("""COMPUTED_VALUE"""),2023.0)</f>
        <v>2023</v>
      </c>
      <c r="I38" s="14" t="str">
        <f>IFERROR(__xludf.DUMMYFUNCTION("""COMPUTED_VALUE"""),"COD")</f>
        <v>COD</v>
      </c>
      <c r="J38" s="14" t="str">
        <f>IFERROR(__xludf.DUMMYFUNCTION("""COMPUTED_VALUE"""),"Delivered*Overall Satisfaction: Great service will order again")</f>
        <v>Delivered*Overall Satisfaction: Great service will order again</v>
      </c>
      <c r="K38" s="14" t="str">
        <f>IFERROR(__xludf.DUMMYFUNCTION("split(E38,""+"")"),"Chilli Cheese Toast")</f>
        <v>Chilli Cheese Toast</v>
      </c>
      <c r="L38" s="14" t="str">
        <f>IFERROR(__xludf.DUMMYFUNCTION("""COMPUTED_VALUE"""),"2*Ram Gopal")</f>
        <v>2*Ram Gopal</v>
      </c>
      <c r="M38" s="14">
        <f>IFERROR(__xludf.DUMMYFUNCTION("SPLIT(L38,""*"")"),2.0)</f>
        <v>2</v>
      </c>
      <c r="N38" s="14" t="str">
        <f>IFERROR(__xludf.DUMMYFUNCTION("""COMPUTED_VALUE"""),"Ram Gopal")</f>
        <v>Ram Gopal</v>
      </c>
      <c r="O38" s="14" t="str">
        <f>IFERROR(__xludf.DUMMYFUNCTION("split(J38,""*"")"),"Delivered")</f>
        <v>Delivered</v>
      </c>
      <c r="P38" s="14" t="str">
        <f>IFERROR(__xludf.DUMMYFUNCTION("""COMPUTED_VALUE"""),"Overall Satisfaction: Great service will order again")</f>
        <v>Overall Satisfaction: Great service will order again</v>
      </c>
      <c r="Q38" s="14" t="str">
        <f>IFERROR(__xludf.DUMMYFUNCTION("split(P38,"":"")"),"Overall Satisfaction")</f>
        <v>Overall Satisfaction</v>
      </c>
      <c r="R38" s="14" t="str">
        <f>IFERROR(__xludf.DUMMYFUNCTION("""COMPUTED_VALUE""")," Great service will order again")</f>
        <v> Great service will order again</v>
      </c>
      <c r="S38" s="14" t="str">
        <f t="shared" ref="S38:U38" si="79">trim(B38)</f>
        <v>ord_47147</v>
      </c>
      <c r="T38" s="14" t="str">
        <f t="shared" si="79"/>
        <v>Dev Chauhan</v>
      </c>
      <c r="U38" s="14" t="str">
        <f t="shared" si="79"/>
        <v>Bandra</v>
      </c>
      <c r="V38" s="14" t="str">
        <f t="shared" si="4"/>
        <v>Chilli Cheese Toast</v>
      </c>
      <c r="W38" s="14">
        <f t="shared" si="5"/>
        <v>2</v>
      </c>
      <c r="X38" s="14" t="str">
        <f t="shared" si="6"/>
        <v>Ram Gopal</v>
      </c>
      <c r="Y38" s="15">
        <f t="shared" si="7"/>
        <v>45053</v>
      </c>
      <c r="Z38" s="14" t="str">
        <f t="shared" si="8"/>
        <v>COD</v>
      </c>
      <c r="AA38" s="14" t="str">
        <f t="shared" si="9"/>
        <v>Delivered</v>
      </c>
      <c r="AB38" s="14" t="str">
        <f t="shared" ref="AB38:AC38" si="80">trim(Q38)</f>
        <v>Overall Satisfaction</v>
      </c>
      <c r="AC38" s="14" t="str">
        <f t="shared" si="80"/>
        <v>Great service will order again</v>
      </c>
      <c r="AD38" s="8"/>
    </row>
    <row r="39">
      <c r="A39" s="14" t="str">
        <f>IFERROR(__xludf.DUMMYFUNCTION("""COMPUTED_VALUE"""),"//ord_48151//Riya Chakraborty//Juhu//Juice+2*Tanvi Jain/10/25/2023//Credit Card//Delivered*On-time Delivery: Delivered on time")</f>
        <v>//ord_48151//Riya Chakraborty//Juhu//Juice+2*Tanvi Jain/10/25/2023//Credit Card//Delivered*On-time Delivery: Delivered on time</v>
      </c>
      <c r="B39" s="14" t="str">
        <f>IFERROR(__xludf.DUMMYFUNCTION("split(A39,""//"")"),"ord_48151")</f>
        <v>ord_48151</v>
      </c>
      <c r="C39" s="14" t="str">
        <f>IFERROR(__xludf.DUMMYFUNCTION("""COMPUTED_VALUE"""),"Riya Chakraborty")</f>
        <v>Riya Chakraborty</v>
      </c>
      <c r="D39" s="14" t="str">
        <f>IFERROR(__xludf.DUMMYFUNCTION("""COMPUTED_VALUE"""),"Juhu")</f>
        <v>Juhu</v>
      </c>
      <c r="E39" s="14" t="str">
        <f>IFERROR(__xludf.DUMMYFUNCTION("""COMPUTED_VALUE"""),"Juice+2*Tanvi Jain")</f>
        <v>Juice+2*Tanvi Jain</v>
      </c>
      <c r="F39" s="14">
        <f>IFERROR(__xludf.DUMMYFUNCTION("""COMPUTED_VALUE"""),10.0)</f>
        <v>10</v>
      </c>
      <c r="G39" s="14">
        <f>IFERROR(__xludf.DUMMYFUNCTION("""COMPUTED_VALUE"""),25.0)</f>
        <v>25</v>
      </c>
      <c r="H39" s="14">
        <f>IFERROR(__xludf.DUMMYFUNCTION("""COMPUTED_VALUE"""),2023.0)</f>
        <v>2023</v>
      </c>
      <c r="I39" s="14" t="str">
        <f>IFERROR(__xludf.DUMMYFUNCTION("""COMPUTED_VALUE"""),"Credit Card")</f>
        <v>Credit Card</v>
      </c>
      <c r="J39" s="14" t="str">
        <f>IFERROR(__xludf.DUMMYFUNCTION("""COMPUTED_VALUE"""),"Delivered*On-time Delivery: Delivered on time")</f>
        <v>Delivered*On-time Delivery: Delivered on time</v>
      </c>
      <c r="K39" s="14" t="str">
        <f>IFERROR(__xludf.DUMMYFUNCTION("split(E39,""+"")"),"Juice")</f>
        <v>Juice</v>
      </c>
      <c r="L39" s="14" t="str">
        <f>IFERROR(__xludf.DUMMYFUNCTION("""COMPUTED_VALUE"""),"2*Tanvi Jain")</f>
        <v>2*Tanvi Jain</v>
      </c>
      <c r="M39" s="14">
        <f>IFERROR(__xludf.DUMMYFUNCTION("SPLIT(L39,""*"")"),2.0)</f>
        <v>2</v>
      </c>
      <c r="N39" s="14" t="str">
        <f>IFERROR(__xludf.DUMMYFUNCTION("""COMPUTED_VALUE"""),"Tanvi Jain")</f>
        <v>Tanvi Jain</v>
      </c>
      <c r="O39" s="14" t="str">
        <f>IFERROR(__xludf.DUMMYFUNCTION("split(J39,""*"")"),"Delivered")</f>
        <v>Delivered</v>
      </c>
      <c r="P39" s="14" t="str">
        <f>IFERROR(__xludf.DUMMYFUNCTION("""COMPUTED_VALUE"""),"On-time Delivery: Delivered on time")</f>
        <v>On-time Delivery: Delivered on time</v>
      </c>
      <c r="Q39" s="14" t="str">
        <f>IFERROR(__xludf.DUMMYFUNCTION("split(P39,"":"")"),"On-time Delivery")</f>
        <v>On-time Delivery</v>
      </c>
      <c r="R39" s="14" t="str">
        <f>IFERROR(__xludf.DUMMYFUNCTION("""COMPUTED_VALUE""")," Delivered on time")</f>
        <v> Delivered on time</v>
      </c>
      <c r="S39" s="14" t="str">
        <f t="shared" ref="S39:U39" si="81">trim(B39)</f>
        <v>ord_48151</v>
      </c>
      <c r="T39" s="14" t="str">
        <f t="shared" si="81"/>
        <v>Riya Chakraborty</v>
      </c>
      <c r="U39" s="14" t="str">
        <f t="shared" si="81"/>
        <v>Juhu</v>
      </c>
      <c r="V39" s="14" t="str">
        <f t="shared" si="4"/>
        <v>Juice</v>
      </c>
      <c r="W39" s="14">
        <f t="shared" si="5"/>
        <v>2</v>
      </c>
      <c r="X39" s="14" t="str">
        <f t="shared" si="6"/>
        <v>Tanvi Jain</v>
      </c>
      <c r="Y39" s="15">
        <f t="shared" si="7"/>
        <v>45224</v>
      </c>
      <c r="Z39" s="14" t="str">
        <f t="shared" si="8"/>
        <v>Credit Card</v>
      </c>
      <c r="AA39" s="14" t="str">
        <f t="shared" si="9"/>
        <v>Delivered</v>
      </c>
      <c r="AB39" s="14" t="str">
        <f t="shared" ref="AB39:AC39" si="82">trim(Q39)</f>
        <v>On-time Delivery</v>
      </c>
      <c r="AC39" s="14" t="str">
        <f t="shared" si="82"/>
        <v>Delivered on time</v>
      </c>
      <c r="AD39" s="8"/>
    </row>
    <row r="40">
      <c r="A40" s="14" t="str">
        <f>IFERROR(__xludf.DUMMYFUNCTION("""COMPUTED_VALUE"""),"//ord_49155//Omkar Mishra//Powai//Chicken Puff+2*Not Assigned/12/14/2023//Online Payment//Cancelled*Payment Issues")</f>
        <v>//ord_49155//Omkar Mishra//Powai//Chicken Puff+2*Not Assigned/12/14/2023//Online Payment//Cancelled*Payment Issues</v>
      </c>
      <c r="B40" s="14" t="str">
        <f>IFERROR(__xludf.DUMMYFUNCTION("split(A40,""//"")"),"ord_49155")</f>
        <v>ord_49155</v>
      </c>
      <c r="C40" s="14" t="str">
        <f>IFERROR(__xludf.DUMMYFUNCTION("""COMPUTED_VALUE"""),"Omkar Mishra")</f>
        <v>Omkar Mishra</v>
      </c>
      <c r="D40" s="14" t="str">
        <f>IFERROR(__xludf.DUMMYFUNCTION("""COMPUTED_VALUE"""),"Powai")</f>
        <v>Powai</v>
      </c>
      <c r="E40" s="14" t="str">
        <f>IFERROR(__xludf.DUMMYFUNCTION("""COMPUTED_VALUE"""),"Chicken Puff+2*Not Assigned")</f>
        <v>Chicken Puff+2*Not Assigned</v>
      </c>
      <c r="F40" s="14">
        <f>IFERROR(__xludf.DUMMYFUNCTION("""COMPUTED_VALUE"""),12.0)</f>
        <v>12</v>
      </c>
      <c r="G40" s="14">
        <f>IFERROR(__xludf.DUMMYFUNCTION("""COMPUTED_VALUE"""),14.0)</f>
        <v>14</v>
      </c>
      <c r="H40" s="14">
        <f>IFERROR(__xludf.DUMMYFUNCTION("""COMPUTED_VALUE"""),2023.0)</f>
        <v>2023</v>
      </c>
      <c r="I40" s="14" t="str">
        <f>IFERROR(__xludf.DUMMYFUNCTION("""COMPUTED_VALUE"""),"Online Payment")</f>
        <v>Online Payment</v>
      </c>
      <c r="J40" s="14" t="str">
        <f>IFERROR(__xludf.DUMMYFUNCTION("""COMPUTED_VALUE"""),"Cancelled*Payment Issues")</f>
        <v>Cancelled*Payment Issues</v>
      </c>
      <c r="K40" s="14" t="str">
        <f>IFERROR(__xludf.DUMMYFUNCTION("split(E40,""+"")"),"Chicken Puff")</f>
        <v>Chicken Puff</v>
      </c>
      <c r="L40" s="14" t="str">
        <f>IFERROR(__xludf.DUMMYFUNCTION("""COMPUTED_VALUE"""),"2*Not Assigned")</f>
        <v>2*Not Assigned</v>
      </c>
      <c r="M40" s="14">
        <f>IFERROR(__xludf.DUMMYFUNCTION("SPLIT(L40,""*"")"),2.0)</f>
        <v>2</v>
      </c>
      <c r="N40" s="14" t="str">
        <f>IFERROR(__xludf.DUMMYFUNCTION("""COMPUTED_VALUE"""),"Not Assigned")</f>
        <v>Not Assigned</v>
      </c>
      <c r="O40" s="14" t="str">
        <f>IFERROR(__xludf.DUMMYFUNCTION("split(J40,""*"")"),"Cancelled")</f>
        <v>Cancelled</v>
      </c>
      <c r="P40" s="14" t="str">
        <f>IFERROR(__xludf.DUMMYFUNCTION("""COMPUTED_VALUE"""),"Payment Issues")</f>
        <v>Payment Issues</v>
      </c>
      <c r="Q40" s="14" t="str">
        <f>IFERROR(__xludf.DUMMYFUNCTION("split(P40,"":"")"),"Payment Issues")</f>
        <v>Payment Issues</v>
      </c>
      <c r="R40" s="14"/>
      <c r="S40" s="14" t="str">
        <f t="shared" ref="S40:U40" si="83">trim(B40)</f>
        <v>ord_49155</v>
      </c>
      <c r="T40" s="14" t="str">
        <f t="shared" si="83"/>
        <v>Omkar Mishra</v>
      </c>
      <c r="U40" s="14" t="str">
        <f t="shared" si="83"/>
        <v>Powai</v>
      </c>
      <c r="V40" s="14" t="str">
        <f t="shared" si="4"/>
        <v>Chicken Puff</v>
      </c>
      <c r="W40" s="14">
        <f t="shared" si="5"/>
        <v>2</v>
      </c>
      <c r="X40" s="14" t="str">
        <f t="shared" si="6"/>
        <v>Not Assigned</v>
      </c>
      <c r="Y40" s="15">
        <f t="shared" si="7"/>
        <v>45274</v>
      </c>
      <c r="Z40" s="14" t="str">
        <f t="shared" si="8"/>
        <v>Online Payment</v>
      </c>
      <c r="AA40" s="14" t="str">
        <f t="shared" si="9"/>
        <v>Cancelled</v>
      </c>
      <c r="AB40" s="14" t="str">
        <f t="shared" ref="AB40:AC40" si="84">trim(Q40)</f>
        <v>Payment Issues</v>
      </c>
      <c r="AC40" s="14" t="str">
        <f t="shared" si="84"/>
        <v/>
      </c>
      <c r="AD40" s="8"/>
    </row>
    <row r="41">
      <c r="A41" s="14" t="str">
        <f>IFERROR(__xludf.DUMMYFUNCTION("""COMPUTED_VALUE"""),"//ord_50159//Sanjay Nair//Dadar//Veg Puff+4*Venu R/8/13/2023//Credit Card//Cancelled*Delayed Delivery:Heavy Traffic")</f>
        <v>//ord_50159//Sanjay Nair//Dadar//Veg Puff+4*Venu R/8/13/2023//Credit Card//Cancelled*Delayed Delivery:Heavy Traffic</v>
      </c>
      <c r="B41" s="14" t="str">
        <f>IFERROR(__xludf.DUMMYFUNCTION("split(A41,""//"")"),"ord_50159")</f>
        <v>ord_50159</v>
      </c>
      <c r="C41" s="14" t="str">
        <f>IFERROR(__xludf.DUMMYFUNCTION("""COMPUTED_VALUE"""),"Sanjay Nair")</f>
        <v>Sanjay Nair</v>
      </c>
      <c r="D41" s="14" t="str">
        <f>IFERROR(__xludf.DUMMYFUNCTION("""COMPUTED_VALUE"""),"Dadar")</f>
        <v>Dadar</v>
      </c>
      <c r="E41" s="14" t="str">
        <f>IFERROR(__xludf.DUMMYFUNCTION("""COMPUTED_VALUE"""),"Veg Puff+4*Venu R")</f>
        <v>Veg Puff+4*Venu R</v>
      </c>
      <c r="F41" s="14">
        <f>IFERROR(__xludf.DUMMYFUNCTION("""COMPUTED_VALUE"""),8.0)</f>
        <v>8</v>
      </c>
      <c r="G41" s="14">
        <f>IFERROR(__xludf.DUMMYFUNCTION("""COMPUTED_VALUE"""),13.0)</f>
        <v>13</v>
      </c>
      <c r="H41" s="14">
        <f>IFERROR(__xludf.DUMMYFUNCTION("""COMPUTED_VALUE"""),2023.0)</f>
        <v>2023</v>
      </c>
      <c r="I41" s="14" t="str">
        <f>IFERROR(__xludf.DUMMYFUNCTION("""COMPUTED_VALUE"""),"Credit Card")</f>
        <v>Credit Card</v>
      </c>
      <c r="J41" s="14" t="str">
        <f>IFERROR(__xludf.DUMMYFUNCTION("""COMPUTED_VALUE"""),"Cancelled*Delayed Delivery:Heavy Traffic")</f>
        <v>Cancelled*Delayed Delivery:Heavy Traffic</v>
      </c>
      <c r="K41" s="14" t="str">
        <f>IFERROR(__xludf.DUMMYFUNCTION("split(E41,""+"")"),"Veg Puff")</f>
        <v>Veg Puff</v>
      </c>
      <c r="L41" s="14" t="str">
        <f>IFERROR(__xludf.DUMMYFUNCTION("""COMPUTED_VALUE"""),"4*Venu R")</f>
        <v>4*Venu R</v>
      </c>
      <c r="M41" s="14">
        <f>IFERROR(__xludf.DUMMYFUNCTION("SPLIT(L41,""*"")"),4.0)</f>
        <v>4</v>
      </c>
      <c r="N41" s="14" t="str">
        <f>IFERROR(__xludf.DUMMYFUNCTION("""COMPUTED_VALUE"""),"Venu R")</f>
        <v>Venu R</v>
      </c>
      <c r="O41" s="14" t="str">
        <f>IFERROR(__xludf.DUMMYFUNCTION("split(J41,""*"")"),"Cancelled")</f>
        <v>Cancelled</v>
      </c>
      <c r="P41" s="14" t="str">
        <f>IFERROR(__xludf.DUMMYFUNCTION("""COMPUTED_VALUE"""),"Delayed Delivery:Heavy Traffic")</f>
        <v>Delayed Delivery:Heavy Traffic</v>
      </c>
      <c r="Q41" s="14" t="str">
        <f>IFERROR(__xludf.DUMMYFUNCTION("split(P41,"":"")"),"Delayed Delivery")</f>
        <v>Delayed Delivery</v>
      </c>
      <c r="R41" s="14" t="str">
        <f>IFERROR(__xludf.DUMMYFUNCTION("""COMPUTED_VALUE"""),"Heavy Traffic")</f>
        <v>Heavy Traffic</v>
      </c>
      <c r="S41" s="14" t="str">
        <f t="shared" ref="S41:U41" si="85">trim(B41)</f>
        <v>ord_50159</v>
      </c>
      <c r="T41" s="14" t="str">
        <f t="shared" si="85"/>
        <v>Sanjay Nair</v>
      </c>
      <c r="U41" s="14" t="str">
        <f t="shared" si="85"/>
        <v>Dadar</v>
      </c>
      <c r="V41" s="14" t="str">
        <f t="shared" si="4"/>
        <v>Veg Puff</v>
      </c>
      <c r="W41" s="14">
        <f t="shared" si="5"/>
        <v>4</v>
      </c>
      <c r="X41" s="14" t="str">
        <f t="shared" si="6"/>
        <v>Venu R</v>
      </c>
      <c r="Y41" s="15">
        <f t="shared" si="7"/>
        <v>45151</v>
      </c>
      <c r="Z41" s="14" t="str">
        <f t="shared" si="8"/>
        <v>Credit Card</v>
      </c>
      <c r="AA41" s="14" t="str">
        <f t="shared" si="9"/>
        <v>Cancelled</v>
      </c>
      <c r="AB41" s="14" t="str">
        <f t="shared" ref="AB41:AC41" si="86">trim(Q41)</f>
        <v>Delayed Delivery</v>
      </c>
      <c r="AC41" s="14" t="str">
        <f t="shared" si="86"/>
        <v>Heavy Traffic</v>
      </c>
      <c r="AD41" s="8"/>
    </row>
    <row r="42">
      <c r="A42" s="14" t="str">
        <f>IFERROR(__xludf.DUMMYFUNCTION("""COMPUTED_VALUE"""),"//ord_51163//Ishita Banerjee//Juhu//Rasmalai+4*Manju Ajay/10/27/2023//UPI//Delivered*Quality of Items: Perfect condition")</f>
        <v>//ord_51163//Ishita Banerjee//Juhu//Rasmalai+4*Manju Ajay/10/27/2023//UPI//Delivered*Quality of Items: Perfect condition</v>
      </c>
      <c r="B42" s="14" t="str">
        <f>IFERROR(__xludf.DUMMYFUNCTION("split(A42,""//"")"),"ord_51163")</f>
        <v>ord_51163</v>
      </c>
      <c r="C42" s="14" t="str">
        <f>IFERROR(__xludf.DUMMYFUNCTION("""COMPUTED_VALUE"""),"Ishita Banerjee")</f>
        <v>Ishita Banerjee</v>
      </c>
      <c r="D42" s="14" t="str">
        <f>IFERROR(__xludf.DUMMYFUNCTION("""COMPUTED_VALUE"""),"Juhu")</f>
        <v>Juhu</v>
      </c>
      <c r="E42" s="14" t="str">
        <f>IFERROR(__xludf.DUMMYFUNCTION("""COMPUTED_VALUE"""),"Rasmalai+4*Manju Ajay")</f>
        <v>Rasmalai+4*Manju Ajay</v>
      </c>
      <c r="F42" s="14">
        <f>IFERROR(__xludf.DUMMYFUNCTION("""COMPUTED_VALUE"""),10.0)</f>
        <v>10</v>
      </c>
      <c r="G42" s="14">
        <f>IFERROR(__xludf.DUMMYFUNCTION("""COMPUTED_VALUE"""),27.0)</f>
        <v>27</v>
      </c>
      <c r="H42" s="14">
        <f>IFERROR(__xludf.DUMMYFUNCTION("""COMPUTED_VALUE"""),2023.0)</f>
        <v>2023</v>
      </c>
      <c r="I42" s="14" t="str">
        <f>IFERROR(__xludf.DUMMYFUNCTION("""COMPUTED_VALUE"""),"UPI")</f>
        <v>UPI</v>
      </c>
      <c r="J42" s="14" t="str">
        <f>IFERROR(__xludf.DUMMYFUNCTION("""COMPUTED_VALUE"""),"Delivered*Quality of Items: Perfect condition")</f>
        <v>Delivered*Quality of Items: Perfect condition</v>
      </c>
      <c r="K42" s="14" t="str">
        <f>IFERROR(__xludf.DUMMYFUNCTION("split(E42,""+"")"),"Rasmalai")</f>
        <v>Rasmalai</v>
      </c>
      <c r="L42" s="14" t="str">
        <f>IFERROR(__xludf.DUMMYFUNCTION("""COMPUTED_VALUE"""),"4*Manju Ajay")</f>
        <v>4*Manju Ajay</v>
      </c>
      <c r="M42" s="14">
        <f>IFERROR(__xludf.DUMMYFUNCTION("SPLIT(L42,""*"")"),4.0)</f>
        <v>4</v>
      </c>
      <c r="N42" s="14" t="str">
        <f>IFERROR(__xludf.DUMMYFUNCTION("""COMPUTED_VALUE"""),"Manju Ajay")</f>
        <v>Manju Ajay</v>
      </c>
      <c r="O42" s="14" t="str">
        <f>IFERROR(__xludf.DUMMYFUNCTION("split(J42,""*"")"),"Delivered")</f>
        <v>Delivered</v>
      </c>
      <c r="P42" s="14" t="str">
        <f>IFERROR(__xludf.DUMMYFUNCTION("""COMPUTED_VALUE"""),"Quality of Items: Perfect condition")</f>
        <v>Quality of Items: Perfect condition</v>
      </c>
      <c r="Q42" s="14" t="str">
        <f>IFERROR(__xludf.DUMMYFUNCTION("split(P42,"":"")"),"Quality of Items")</f>
        <v>Quality of Items</v>
      </c>
      <c r="R42" s="14" t="str">
        <f>IFERROR(__xludf.DUMMYFUNCTION("""COMPUTED_VALUE""")," Perfect condition")</f>
        <v> Perfect condition</v>
      </c>
      <c r="S42" s="14" t="str">
        <f t="shared" ref="S42:U42" si="87">trim(B42)</f>
        <v>ord_51163</v>
      </c>
      <c r="T42" s="14" t="str">
        <f t="shared" si="87"/>
        <v>Ishita Banerjee</v>
      </c>
      <c r="U42" s="14" t="str">
        <f t="shared" si="87"/>
        <v>Juhu</v>
      </c>
      <c r="V42" s="14" t="str">
        <f t="shared" si="4"/>
        <v>Rasmalai</v>
      </c>
      <c r="W42" s="14">
        <f t="shared" si="5"/>
        <v>4</v>
      </c>
      <c r="X42" s="14" t="str">
        <f t="shared" si="6"/>
        <v>Manju Ajay</v>
      </c>
      <c r="Y42" s="15">
        <f t="shared" si="7"/>
        <v>45226</v>
      </c>
      <c r="Z42" s="14" t="str">
        <f t="shared" si="8"/>
        <v>UPI</v>
      </c>
      <c r="AA42" s="14" t="str">
        <f t="shared" si="9"/>
        <v>Delivered</v>
      </c>
      <c r="AB42" s="14" t="str">
        <f t="shared" ref="AB42:AC42" si="88">trim(Q42)</f>
        <v>Quality of Items</v>
      </c>
      <c r="AC42" s="14" t="str">
        <f t="shared" si="88"/>
        <v>Perfect condition</v>
      </c>
      <c r="AD42" s="8"/>
    </row>
    <row r="43">
      <c r="A43" s="14" t="str">
        <f>IFERROR(__xludf.DUMMYFUNCTION("""COMPUTED_VALUE"""),"//ord_52167//Ishita Banerjee//Juhu//Juice+5*Ramesh S/7/13/2023//Credit Card//Delivered*Packaging: Secure and intact")</f>
        <v>//ord_52167//Ishita Banerjee//Juhu//Juice+5*Ramesh S/7/13/2023//Credit Card//Delivered*Packaging: Secure and intact</v>
      </c>
      <c r="B43" s="14" t="str">
        <f>IFERROR(__xludf.DUMMYFUNCTION("split(A43,""//"")"),"ord_52167")</f>
        <v>ord_52167</v>
      </c>
      <c r="C43" s="14" t="str">
        <f>IFERROR(__xludf.DUMMYFUNCTION("""COMPUTED_VALUE"""),"Ishita Banerjee")</f>
        <v>Ishita Banerjee</v>
      </c>
      <c r="D43" s="14" t="str">
        <f>IFERROR(__xludf.DUMMYFUNCTION("""COMPUTED_VALUE"""),"Juhu")</f>
        <v>Juhu</v>
      </c>
      <c r="E43" s="14" t="str">
        <f>IFERROR(__xludf.DUMMYFUNCTION("""COMPUTED_VALUE"""),"Juice+5*Ramesh S")</f>
        <v>Juice+5*Ramesh S</v>
      </c>
      <c r="F43" s="14">
        <f>IFERROR(__xludf.DUMMYFUNCTION("""COMPUTED_VALUE"""),7.0)</f>
        <v>7</v>
      </c>
      <c r="G43" s="14">
        <f>IFERROR(__xludf.DUMMYFUNCTION("""COMPUTED_VALUE"""),13.0)</f>
        <v>13</v>
      </c>
      <c r="H43" s="14">
        <f>IFERROR(__xludf.DUMMYFUNCTION("""COMPUTED_VALUE"""),2023.0)</f>
        <v>2023</v>
      </c>
      <c r="I43" s="14" t="str">
        <f>IFERROR(__xludf.DUMMYFUNCTION("""COMPUTED_VALUE"""),"Credit Card")</f>
        <v>Credit Card</v>
      </c>
      <c r="J43" s="14" t="str">
        <f>IFERROR(__xludf.DUMMYFUNCTION("""COMPUTED_VALUE"""),"Delivered*Packaging: Secure and intact")</f>
        <v>Delivered*Packaging: Secure and intact</v>
      </c>
      <c r="K43" s="14" t="str">
        <f>IFERROR(__xludf.DUMMYFUNCTION("split(E43,""+"")"),"Juice")</f>
        <v>Juice</v>
      </c>
      <c r="L43" s="14" t="str">
        <f>IFERROR(__xludf.DUMMYFUNCTION("""COMPUTED_VALUE"""),"5*Ramesh S")</f>
        <v>5*Ramesh S</v>
      </c>
      <c r="M43" s="14">
        <f>IFERROR(__xludf.DUMMYFUNCTION("SPLIT(L43,""*"")"),5.0)</f>
        <v>5</v>
      </c>
      <c r="N43" s="14" t="str">
        <f>IFERROR(__xludf.DUMMYFUNCTION("""COMPUTED_VALUE"""),"Ramesh S")</f>
        <v>Ramesh S</v>
      </c>
      <c r="O43" s="14" t="str">
        <f>IFERROR(__xludf.DUMMYFUNCTION("split(J43,""*"")"),"Delivered")</f>
        <v>Delivered</v>
      </c>
      <c r="P43" s="14" t="str">
        <f>IFERROR(__xludf.DUMMYFUNCTION("""COMPUTED_VALUE"""),"Packaging: Secure and intact")</f>
        <v>Packaging: Secure and intact</v>
      </c>
      <c r="Q43" s="14" t="str">
        <f>IFERROR(__xludf.DUMMYFUNCTION("split(P43,"":"")"),"Packaging")</f>
        <v>Packaging</v>
      </c>
      <c r="R43" s="14" t="str">
        <f>IFERROR(__xludf.DUMMYFUNCTION("""COMPUTED_VALUE""")," Secure and intact")</f>
        <v> Secure and intact</v>
      </c>
      <c r="S43" s="14" t="str">
        <f t="shared" ref="S43:U43" si="89">trim(B43)</f>
        <v>ord_52167</v>
      </c>
      <c r="T43" s="14" t="str">
        <f t="shared" si="89"/>
        <v>Ishita Banerjee</v>
      </c>
      <c r="U43" s="14" t="str">
        <f t="shared" si="89"/>
        <v>Juhu</v>
      </c>
      <c r="V43" s="14" t="str">
        <f t="shared" si="4"/>
        <v>Juice</v>
      </c>
      <c r="W43" s="14">
        <f t="shared" si="5"/>
        <v>5</v>
      </c>
      <c r="X43" s="14" t="str">
        <f t="shared" si="6"/>
        <v>Ramesh S</v>
      </c>
      <c r="Y43" s="15">
        <f t="shared" si="7"/>
        <v>45120</v>
      </c>
      <c r="Z43" s="14" t="str">
        <f t="shared" si="8"/>
        <v>Credit Card</v>
      </c>
      <c r="AA43" s="14" t="str">
        <f t="shared" si="9"/>
        <v>Delivered</v>
      </c>
      <c r="AB43" s="14" t="str">
        <f t="shared" ref="AB43:AC43" si="90">trim(Q43)</f>
        <v>Packaging</v>
      </c>
      <c r="AC43" s="14" t="str">
        <f t="shared" si="90"/>
        <v>Secure and intact</v>
      </c>
      <c r="AD43" s="8"/>
    </row>
    <row r="44">
      <c r="A44" s="14" t="str">
        <f>IFERROR(__xludf.DUMMYFUNCTION("""COMPUTED_VALUE"""),"//ord_53171//Aarohi Kapoor//Bandra//Apple+1*Ramesh S/1/7/2023//COD//Delivered*Satisfied with the Delivery: Timely and quality")</f>
        <v>//ord_53171//Aarohi Kapoor//Bandra//Apple+1*Ramesh S/1/7/2023//COD//Delivered*Satisfied with the Delivery: Timely and quality</v>
      </c>
      <c r="B44" s="14" t="str">
        <f>IFERROR(__xludf.DUMMYFUNCTION("split(A44,""//"")"),"ord_53171")</f>
        <v>ord_53171</v>
      </c>
      <c r="C44" s="14" t="str">
        <f>IFERROR(__xludf.DUMMYFUNCTION("""COMPUTED_VALUE"""),"Aarohi Kapoor")</f>
        <v>Aarohi Kapoor</v>
      </c>
      <c r="D44" s="14" t="str">
        <f>IFERROR(__xludf.DUMMYFUNCTION("""COMPUTED_VALUE"""),"Bandra")</f>
        <v>Bandra</v>
      </c>
      <c r="E44" s="14" t="str">
        <f>IFERROR(__xludf.DUMMYFUNCTION("""COMPUTED_VALUE"""),"Apple+1*Ramesh S")</f>
        <v>Apple+1*Ramesh S</v>
      </c>
      <c r="F44" s="14">
        <f>IFERROR(__xludf.DUMMYFUNCTION("""COMPUTED_VALUE"""),1.0)</f>
        <v>1</v>
      </c>
      <c r="G44" s="14">
        <f>IFERROR(__xludf.DUMMYFUNCTION("""COMPUTED_VALUE"""),7.0)</f>
        <v>7</v>
      </c>
      <c r="H44" s="14">
        <f>IFERROR(__xludf.DUMMYFUNCTION("""COMPUTED_VALUE"""),2023.0)</f>
        <v>2023</v>
      </c>
      <c r="I44" s="14" t="str">
        <f>IFERROR(__xludf.DUMMYFUNCTION("""COMPUTED_VALUE"""),"COD")</f>
        <v>COD</v>
      </c>
      <c r="J44" s="14" t="str">
        <f>IFERROR(__xludf.DUMMYFUNCTION("""COMPUTED_VALUE"""),"Delivered*Satisfied with the Delivery: Timely and quality")</f>
        <v>Delivered*Satisfied with the Delivery: Timely and quality</v>
      </c>
      <c r="K44" s="14" t="str">
        <f>IFERROR(__xludf.DUMMYFUNCTION("split(E44,""+"")"),"Apple")</f>
        <v>Apple</v>
      </c>
      <c r="L44" s="14" t="str">
        <f>IFERROR(__xludf.DUMMYFUNCTION("""COMPUTED_VALUE"""),"1*Ramesh S")</f>
        <v>1*Ramesh S</v>
      </c>
      <c r="M44" s="14">
        <f>IFERROR(__xludf.DUMMYFUNCTION("SPLIT(L44,""*"")"),1.0)</f>
        <v>1</v>
      </c>
      <c r="N44" s="14" t="str">
        <f>IFERROR(__xludf.DUMMYFUNCTION("""COMPUTED_VALUE"""),"Ramesh S")</f>
        <v>Ramesh S</v>
      </c>
      <c r="O44" s="14" t="str">
        <f>IFERROR(__xludf.DUMMYFUNCTION("split(J44,""*"")"),"Delivered")</f>
        <v>Delivered</v>
      </c>
      <c r="P44" s="14" t="str">
        <f>IFERROR(__xludf.DUMMYFUNCTION("""COMPUTED_VALUE"""),"Satisfied with the Delivery: Timely and quality")</f>
        <v>Satisfied with the Delivery: Timely and quality</v>
      </c>
      <c r="Q44" s="14" t="str">
        <f>IFERROR(__xludf.DUMMYFUNCTION("split(P44,"":"")"),"Satisfied with the Delivery")</f>
        <v>Satisfied with the Delivery</v>
      </c>
      <c r="R44" s="14" t="str">
        <f>IFERROR(__xludf.DUMMYFUNCTION("""COMPUTED_VALUE""")," Timely and quality")</f>
        <v> Timely and quality</v>
      </c>
      <c r="S44" s="14" t="str">
        <f t="shared" ref="S44:U44" si="91">trim(B44)</f>
        <v>ord_53171</v>
      </c>
      <c r="T44" s="14" t="str">
        <f t="shared" si="91"/>
        <v>Aarohi Kapoor</v>
      </c>
      <c r="U44" s="14" t="str">
        <f t="shared" si="91"/>
        <v>Bandra</v>
      </c>
      <c r="V44" s="14" t="str">
        <f t="shared" si="4"/>
        <v>Apple</v>
      </c>
      <c r="W44" s="14">
        <f t="shared" si="5"/>
        <v>1</v>
      </c>
      <c r="X44" s="14" t="str">
        <f t="shared" si="6"/>
        <v>Ramesh S</v>
      </c>
      <c r="Y44" s="15">
        <f t="shared" si="7"/>
        <v>44933</v>
      </c>
      <c r="Z44" s="14" t="str">
        <f t="shared" si="8"/>
        <v>COD</v>
      </c>
      <c r="AA44" s="14" t="str">
        <f t="shared" si="9"/>
        <v>Delivered</v>
      </c>
      <c r="AB44" s="14" t="str">
        <f t="shared" ref="AB44:AC44" si="92">trim(Q44)</f>
        <v>Satisfied with the Delivery</v>
      </c>
      <c r="AC44" s="14" t="str">
        <f t="shared" si="92"/>
        <v>Timely and quality</v>
      </c>
      <c r="AD44" s="8"/>
    </row>
    <row r="45">
      <c r="A45" s="14" t="str">
        <f>IFERROR(__xludf.DUMMYFUNCTION("""COMPUTED_VALUE"""),"//ord_54175//Omkar Mishra//Powai//Juice+5*Sandeep Kumar/9/6/2023//Credit Card//Delivered*Customer Service: Seamless and easy")</f>
        <v>//ord_54175//Omkar Mishra//Powai//Juice+5*Sandeep Kumar/9/6/2023//Credit Card//Delivered*Customer Service: Seamless and easy</v>
      </c>
      <c r="B45" s="14" t="str">
        <f>IFERROR(__xludf.DUMMYFUNCTION("split(A45,""//"")"),"ord_54175")</f>
        <v>ord_54175</v>
      </c>
      <c r="C45" s="14" t="str">
        <f>IFERROR(__xludf.DUMMYFUNCTION("""COMPUTED_VALUE"""),"Omkar Mishra")</f>
        <v>Omkar Mishra</v>
      </c>
      <c r="D45" s="14" t="str">
        <f>IFERROR(__xludf.DUMMYFUNCTION("""COMPUTED_VALUE"""),"Powai")</f>
        <v>Powai</v>
      </c>
      <c r="E45" s="14" t="str">
        <f>IFERROR(__xludf.DUMMYFUNCTION("""COMPUTED_VALUE"""),"Juice+5*Sandeep Kumar")</f>
        <v>Juice+5*Sandeep Kumar</v>
      </c>
      <c r="F45" s="14">
        <f>IFERROR(__xludf.DUMMYFUNCTION("""COMPUTED_VALUE"""),9.0)</f>
        <v>9</v>
      </c>
      <c r="G45" s="14">
        <f>IFERROR(__xludf.DUMMYFUNCTION("""COMPUTED_VALUE"""),6.0)</f>
        <v>6</v>
      </c>
      <c r="H45" s="14">
        <f>IFERROR(__xludf.DUMMYFUNCTION("""COMPUTED_VALUE"""),2023.0)</f>
        <v>2023</v>
      </c>
      <c r="I45" s="14" t="str">
        <f>IFERROR(__xludf.DUMMYFUNCTION("""COMPUTED_VALUE"""),"Credit Card")</f>
        <v>Credit Card</v>
      </c>
      <c r="J45" s="14" t="str">
        <f>IFERROR(__xludf.DUMMYFUNCTION("""COMPUTED_VALUE"""),"Delivered*Customer Service: Seamless and easy")</f>
        <v>Delivered*Customer Service: Seamless and easy</v>
      </c>
      <c r="K45" s="14" t="str">
        <f>IFERROR(__xludf.DUMMYFUNCTION("split(E45,""+"")"),"Juice")</f>
        <v>Juice</v>
      </c>
      <c r="L45" s="14" t="str">
        <f>IFERROR(__xludf.DUMMYFUNCTION("""COMPUTED_VALUE"""),"5*Sandeep Kumar")</f>
        <v>5*Sandeep Kumar</v>
      </c>
      <c r="M45" s="14">
        <f>IFERROR(__xludf.DUMMYFUNCTION("SPLIT(L45,""*"")"),5.0)</f>
        <v>5</v>
      </c>
      <c r="N45" s="14" t="str">
        <f>IFERROR(__xludf.DUMMYFUNCTION("""COMPUTED_VALUE"""),"Sandeep Kumar")</f>
        <v>Sandeep Kumar</v>
      </c>
      <c r="O45" s="14" t="str">
        <f>IFERROR(__xludf.DUMMYFUNCTION("split(J45,""*"")"),"Delivered")</f>
        <v>Delivered</v>
      </c>
      <c r="P45" s="14" t="str">
        <f>IFERROR(__xludf.DUMMYFUNCTION("""COMPUTED_VALUE"""),"Customer Service: Seamless and easy")</f>
        <v>Customer Service: Seamless and easy</v>
      </c>
      <c r="Q45" s="14" t="str">
        <f>IFERROR(__xludf.DUMMYFUNCTION("split(P45,"":"")"),"Customer Service")</f>
        <v>Customer Service</v>
      </c>
      <c r="R45" s="14" t="str">
        <f>IFERROR(__xludf.DUMMYFUNCTION("""COMPUTED_VALUE""")," Seamless and easy")</f>
        <v> Seamless and easy</v>
      </c>
      <c r="S45" s="14" t="str">
        <f t="shared" ref="S45:U45" si="93">trim(B45)</f>
        <v>ord_54175</v>
      </c>
      <c r="T45" s="14" t="str">
        <f t="shared" si="93"/>
        <v>Omkar Mishra</v>
      </c>
      <c r="U45" s="14" t="str">
        <f t="shared" si="93"/>
        <v>Powai</v>
      </c>
      <c r="V45" s="14" t="str">
        <f t="shared" si="4"/>
        <v>Juice</v>
      </c>
      <c r="W45" s="14">
        <f t="shared" si="5"/>
        <v>5</v>
      </c>
      <c r="X45" s="14" t="str">
        <f t="shared" si="6"/>
        <v>Sandeep Kumar</v>
      </c>
      <c r="Y45" s="15">
        <f t="shared" si="7"/>
        <v>45175</v>
      </c>
      <c r="Z45" s="14" t="str">
        <f t="shared" si="8"/>
        <v>Credit Card</v>
      </c>
      <c r="AA45" s="14" t="str">
        <f t="shared" si="9"/>
        <v>Delivered</v>
      </c>
      <c r="AB45" s="14" t="str">
        <f t="shared" ref="AB45:AC45" si="94">trim(Q45)</f>
        <v>Customer Service</v>
      </c>
      <c r="AC45" s="14" t="str">
        <f t="shared" si="94"/>
        <v>Seamless and easy</v>
      </c>
      <c r="AD45" s="8"/>
    </row>
    <row r="46">
      <c r="A46" s="14" t="str">
        <f>IFERROR(__xludf.DUMMYFUNCTION("""COMPUTED_VALUE"""),"//ord_55179//Aditi Iyer//Dadar//Papaya+2*Venu R/2/5/2023//Credit Card//Delivered*Delivery Experience: Quick and professional")</f>
        <v>//ord_55179//Aditi Iyer//Dadar//Papaya+2*Venu R/2/5/2023//Credit Card//Delivered*Delivery Experience: Quick and professional</v>
      </c>
      <c r="B46" s="14" t="str">
        <f>IFERROR(__xludf.DUMMYFUNCTION("split(A46,""//"")"),"ord_55179")</f>
        <v>ord_55179</v>
      </c>
      <c r="C46" s="14" t="str">
        <f>IFERROR(__xludf.DUMMYFUNCTION("""COMPUTED_VALUE"""),"Aditi Iyer")</f>
        <v>Aditi Iyer</v>
      </c>
      <c r="D46" s="14" t="str">
        <f>IFERROR(__xludf.DUMMYFUNCTION("""COMPUTED_VALUE"""),"Dadar")</f>
        <v>Dadar</v>
      </c>
      <c r="E46" s="14" t="str">
        <f>IFERROR(__xludf.DUMMYFUNCTION("""COMPUTED_VALUE"""),"Papaya+2*Venu R")</f>
        <v>Papaya+2*Venu R</v>
      </c>
      <c r="F46" s="14">
        <f>IFERROR(__xludf.DUMMYFUNCTION("""COMPUTED_VALUE"""),2.0)</f>
        <v>2</v>
      </c>
      <c r="G46" s="14">
        <f>IFERROR(__xludf.DUMMYFUNCTION("""COMPUTED_VALUE"""),5.0)</f>
        <v>5</v>
      </c>
      <c r="H46" s="14">
        <f>IFERROR(__xludf.DUMMYFUNCTION("""COMPUTED_VALUE"""),2023.0)</f>
        <v>2023</v>
      </c>
      <c r="I46" s="14" t="str">
        <f>IFERROR(__xludf.DUMMYFUNCTION("""COMPUTED_VALUE"""),"Credit Card")</f>
        <v>Credit Card</v>
      </c>
      <c r="J46" s="14" t="str">
        <f>IFERROR(__xludf.DUMMYFUNCTION("""COMPUTED_VALUE"""),"Delivered*Delivery Experience: Quick and professional")</f>
        <v>Delivered*Delivery Experience: Quick and professional</v>
      </c>
      <c r="K46" s="14" t="str">
        <f>IFERROR(__xludf.DUMMYFUNCTION("split(E46,""+"")"),"Papaya")</f>
        <v>Papaya</v>
      </c>
      <c r="L46" s="14" t="str">
        <f>IFERROR(__xludf.DUMMYFUNCTION("""COMPUTED_VALUE"""),"2*Venu R")</f>
        <v>2*Venu R</v>
      </c>
      <c r="M46" s="14">
        <f>IFERROR(__xludf.DUMMYFUNCTION("SPLIT(L46,""*"")"),2.0)</f>
        <v>2</v>
      </c>
      <c r="N46" s="14" t="str">
        <f>IFERROR(__xludf.DUMMYFUNCTION("""COMPUTED_VALUE"""),"Venu R")</f>
        <v>Venu R</v>
      </c>
      <c r="O46" s="14" t="str">
        <f>IFERROR(__xludf.DUMMYFUNCTION("split(J46,""*"")"),"Delivered")</f>
        <v>Delivered</v>
      </c>
      <c r="P46" s="14" t="str">
        <f>IFERROR(__xludf.DUMMYFUNCTION("""COMPUTED_VALUE"""),"Delivery Experience: Quick and professional")</f>
        <v>Delivery Experience: Quick and professional</v>
      </c>
      <c r="Q46" s="14" t="str">
        <f>IFERROR(__xludf.DUMMYFUNCTION("split(P46,"":"")"),"Delivery Experience")</f>
        <v>Delivery Experience</v>
      </c>
      <c r="R46" s="14" t="str">
        <f>IFERROR(__xludf.DUMMYFUNCTION("""COMPUTED_VALUE""")," Quick and professional")</f>
        <v> Quick and professional</v>
      </c>
      <c r="S46" s="14" t="str">
        <f t="shared" ref="S46:U46" si="95">trim(B46)</f>
        <v>ord_55179</v>
      </c>
      <c r="T46" s="14" t="str">
        <f t="shared" si="95"/>
        <v>Aditi Iyer</v>
      </c>
      <c r="U46" s="14" t="str">
        <f t="shared" si="95"/>
        <v>Dadar</v>
      </c>
      <c r="V46" s="14" t="str">
        <f t="shared" si="4"/>
        <v>Papaya</v>
      </c>
      <c r="W46" s="14">
        <f t="shared" si="5"/>
        <v>2</v>
      </c>
      <c r="X46" s="14" t="str">
        <f t="shared" si="6"/>
        <v>Venu R</v>
      </c>
      <c r="Y46" s="15">
        <f t="shared" si="7"/>
        <v>44962</v>
      </c>
      <c r="Z46" s="14" t="str">
        <f t="shared" si="8"/>
        <v>Credit Card</v>
      </c>
      <c r="AA46" s="14" t="str">
        <f t="shared" si="9"/>
        <v>Delivered</v>
      </c>
      <c r="AB46" s="14" t="str">
        <f t="shared" ref="AB46:AC46" si="96">trim(Q46)</f>
        <v>Delivery Experience</v>
      </c>
      <c r="AC46" s="14" t="str">
        <f t="shared" si="96"/>
        <v>Quick and professional</v>
      </c>
      <c r="AD46" s="8"/>
    </row>
    <row r="47">
      <c r="A47" s="14" t="str">
        <f>IFERROR(__xludf.DUMMYFUNCTION("""COMPUTED_VALUE"""),"//ord_56183//Omkar Mishra//Powai//Potato+2*Manju Ajay/1/14/2023//UPI//Delivered*Convenience: Easy tracking")</f>
        <v>//ord_56183//Omkar Mishra//Powai//Potato+2*Manju Ajay/1/14/2023//UPI//Delivered*Convenience: Easy tracking</v>
      </c>
      <c r="B47" s="14" t="str">
        <f>IFERROR(__xludf.DUMMYFUNCTION("split(A47,""//"")"),"ord_56183")</f>
        <v>ord_56183</v>
      </c>
      <c r="C47" s="14" t="str">
        <f>IFERROR(__xludf.DUMMYFUNCTION("""COMPUTED_VALUE"""),"Omkar Mishra")</f>
        <v>Omkar Mishra</v>
      </c>
      <c r="D47" s="14" t="str">
        <f>IFERROR(__xludf.DUMMYFUNCTION("""COMPUTED_VALUE"""),"Powai")</f>
        <v>Powai</v>
      </c>
      <c r="E47" s="14" t="str">
        <f>IFERROR(__xludf.DUMMYFUNCTION("""COMPUTED_VALUE"""),"Potato+2*Manju Ajay")</f>
        <v>Potato+2*Manju Ajay</v>
      </c>
      <c r="F47" s="14">
        <f>IFERROR(__xludf.DUMMYFUNCTION("""COMPUTED_VALUE"""),1.0)</f>
        <v>1</v>
      </c>
      <c r="G47" s="14">
        <f>IFERROR(__xludf.DUMMYFUNCTION("""COMPUTED_VALUE"""),14.0)</f>
        <v>14</v>
      </c>
      <c r="H47" s="14">
        <f>IFERROR(__xludf.DUMMYFUNCTION("""COMPUTED_VALUE"""),2023.0)</f>
        <v>2023</v>
      </c>
      <c r="I47" s="14" t="str">
        <f>IFERROR(__xludf.DUMMYFUNCTION("""COMPUTED_VALUE"""),"UPI")</f>
        <v>UPI</v>
      </c>
      <c r="J47" s="14" t="str">
        <f>IFERROR(__xludf.DUMMYFUNCTION("""COMPUTED_VALUE"""),"Delivered*Convenience: Easy tracking")</f>
        <v>Delivered*Convenience: Easy tracking</v>
      </c>
      <c r="K47" s="14" t="str">
        <f>IFERROR(__xludf.DUMMYFUNCTION("split(E47,""+"")"),"Potato")</f>
        <v>Potato</v>
      </c>
      <c r="L47" s="14" t="str">
        <f>IFERROR(__xludf.DUMMYFUNCTION("""COMPUTED_VALUE"""),"2*Manju Ajay")</f>
        <v>2*Manju Ajay</v>
      </c>
      <c r="M47" s="14">
        <f>IFERROR(__xludf.DUMMYFUNCTION("SPLIT(L47,""*"")"),2.0)</f>
        <v>2</v>
      </c>
      <c r="N47" s="14" t="str">
        <f>IFERROR(__xludf.DUMMYFUNCTION("""COMPUTED_VALUE"""),"Manju Ajay")</f>
        <v>Manju Ajay</v>
      </c>
      <c r="O47" s="14" t="str">
        <f>IFERROR(__xludf.DUMMYFUNCTION("split(J47,""*"")"),"Delivered")</f>
        <v>Delivered</v>
      </c>
      <c r="P47" s="14" t="str">
        <f>IFERROR(__xludf.DUMMYFUNCTION("""COMPUTED_VALUE"""),"Convenience: Easy tracking")</f>
        <v>Convenience: Easy tracking</v>
      </c>
      <c r="Q47" s="14" t="str">
        <f>IFERROR(__xludf.DUMMYFUNCTION("split(P47,"":"")"),"Convenience")</f>
        <v>Convenience</v>
      </c>
      <c r="R47" s="14" t="str">
        <f>IFERROR(__xludf.DUMMYFUNCTION("""COMPUTED_VALUE""")," Easy tracking")</f>
        <v> Easy tracking</v>
      </c>
      <c r="S47" s="14" t="str">
        <f t="shared" ref="S47:U47" si="97">trim(B47)</f>
        <v>ord_56183</v>
      </c>
      <c r="T47" s="14" t="str">
        <f t="shared" si="97"/>
        <v>Omkar Mishra</v>
      </c>
      <c r="U47" s="14" t="str">
        <f t="shared" si="97"/>
        <v>Powai</v>
      </c>
      <c r="V47" s="14" t="str">
        <f t="shared" si="4"/>
        <v>Potato</v>
      </c>
      <c r="W47" s="14">
        <f t="shared" si="5"/>
        <v>2</v>
      </c>
      <c r="X47" s="14" t="str">
        <f t="shared" si="6"/>
        <v>Manju Ajay</v>
      </c>
      <c r="Y47" s="15">
        <f t="shared" si="7"/>
        <v>44940</v>
      </c>
      <c r="Z47" s="14" t="str">
        <f t="shared" si="8"/>
        <v>UPI</v>
      </c>
      <c r="AA47" s="14" t="str">
        <f t="shared" si="9"/>
        <v>Delivered</v>
      </c>
      <c r="AB47" s="14" t="str">
        <f t="shared" ref="AB47:AC47" si="98">trim(Q47)</f>
        <v>Convenience</v>
      </c>
      <c r="AC47" s="14" t="str">
        <f t="shared" si="98"/>
        <v>Easy tracking</v>
      </c>
      <c r="AD47" s="8"/>
    </row>
    <row r="48">
      <c r="A48" s="14" t="str">
        <f>IFERROR(__xludf.DUMMYFUNCTION("""COMPUTED_VALUE"""),"//ord_57187//Siya Reddy//Juhu//Chocolate Mousse+5*Venu R/8/30/2023//Online Payment//Delivered*Overall Satisfaction: Great service will order again")</f>
        <v>//ord_57187//Siya Reddy//Juhu//Chocolate Mousse+5*Venu R/8/30/2023//Online Payment//Delivered*Overall Satisfaction: Great service will order again</v>
      </c>
      <c r="B48" s="14" t="str">
        <f>IFERROR(__xludf.DUMMYFUNCTION("split(A48,""//"")"),"ord_57187")</f>
        <v>ord_57187</v>
      </c>
      <c r="C48" s="14" t="str">
        <f>IFERROR(__xludf.DUMMYFUNCTION("""COMPUTED_VALUE"""),"Siya Reddy")</f>
        <v>Siya Reddy</v>
      </c>
      <c r="D48" s="14" t="str">
        <f>IFERROR(__xludf.DUMMYFUNCTION("""COMPUTED_VALUE"""),"Juhu")</f>
        <v>Juhu</v>
      </c>
      <c r="E48" s="14" t="str">
        <f>IFERROR(__xludf.DUMMYFUNCTION("""COMPUTED_VALUE"""),"Chocolate Mousse+5*Venu R")</f>
        <v>Chocolate Mousse+5*Venu R</v>
      </c>
      <c r="F48" s="14">
        <f>IFERROR(__xludf.DUMMYFUNCTION("""COMPUTED_VALUE"""),8.0)</f>
        <v>8</v>
      </c>
      <c r="G48" s="14">
        <f>IFERROR(__xludf.DUMMYFUNCTION("""COMPUTED_VALUE"""),30.0)</f>
        <v>30</v>
      </c>
      <c r="H48" s="14">
        <f>IFERROR(__xludf.DUMMYFUNCTION("""COMPUTED_VALUE"""),2023.0)</f>
        <v>2023</v>
      </c>
      <c r="I48" s="14" t="str">
        <f>IFERROR(__xludf.DUMMYFUNCTION("""COMPUTED_VALUE"""),"Online Payment")</f>
        <v>Online Payment</v>
      </c>
      <c r="J48" s="14" t="str">
        <f>IFERROR(__xludf.DUMMYFUNCTION("""COMPUTED_VALUE"""),"Delivered*Overall Satisfaction: Great service will order again")</f>
        <v>Delivered*Overall Satisfaction: Great service will order again</v>
      </c>
      <c r="K48" s="14" t="str">
        <f>IFERROR(__xludf.DUMMYFUNCTION("split(E48,""+"")"),"Chocolate Mousse")</f>
        <v>Chocolate Mousse</v>
      </c>
      <c r="L48" s="14" t="str">
        <f>IFERROR(__xludf.DUMMYFUNCTION("""COMPUTED_VALUE"""),"5*Venu R")</f>
        <v>5*Venu R</v>
      </c>
      <c r="M48" s="14">
        <f>IFERROR(__xludf.DUMMYFUNCTION("SPLIT(L48,""*"")"),5.0)</f>
        <v>5</v>
      </c>
      <c r="N48" s="14" t="str">
        <f>IFERROR(__xludf.DUMMYFUNCTION("""COMPUTED_VALUE"""),"Venu R")</f>
        <v>Venu R</v>
      </c>
      <c r="O48" s="14" t="str">
        <f>IFERROR(__xludf.DUMMYFUNCTION("split(J48,""*"")"),"Delivered")</f>
        <v>Delivered</v>
      </c>
      <c r="P48" s="14" t="str">
        <f>IFERROR(__xludf.DUMMYFUNCTION("""COMPUTED_VALUE"""),"Overall Satisfaction: Great service will order again")</f>
        <v>Overall Satisfaction: Great service will order again</v>
      </c>
      <c r="Q48" s="14" t="str">
        <f>IFERROR(__xludf.DUMMYFUNCTION("split(P48,"":"")"),"Overall Satisfaction")</f>
        <v>Overall Satisfaction</v>
      </c>
      <c r="R48" s="14" t="str">
        <f>IFERROR(__xludf.DUMMYFUNCTION("""COMPUTED_VALUE""")," Great service will order again")</f>
        <v> Great service will order again</v>
      </c>
      <c r="S48" s="14" t="str">
        <f t="shared" ref="S48:U48" si="99">trim(B48)</f>
        <v>ord_57187</v>
      </c>
      <c r="T48" s="14" t="str">
        <f t="shared" si="99"/>
        <v>Siya Reddy</v>
      </c>
      <c r="U48" s="14" t="str">
        <f t="shared" si="99"/>
        <v>Juhu</v>
      </c>
      <c r="V48" s="14" t="str">
        <f t="shared" si="4"/>
        <v>Chocolate Mousse</v>
      </c>
      <c r="W48" s="14">
        <f t="shared" si="5"/>
        <v>5</v>
      </c>
      <c r="X48" s="14" t="str">
        <f t="shared" si="6"/>
        <v>Venu R</v>
      </c>
      <c r="Y48" s="15">
        <f t="shared" si="7"/>
        <v>45168</v>
      </c>
      <c r="Z48" s="14" t="str">
        <f t="shared" si="8"/>
        <v>Online Payment</v>
      </c>
      <c r="AA48" s="14" t="str">
        <f t="shared" si="9"/>
        <v>Delivered</v>
      </c>
      <c r="AB48" s="14" t="str">
        <f t="shared" ref="AB48:AC48" si="100">trim(Q48)</f>
        <v>Overall Satisfaction</v>
      </c>
      <c r="AC48" s="14" t="str">
        <f t="shared" si="100"/>
        <v>Great service will order again</v>
      </c>
      <c r="AD48" s="8"/>
    </row>
    <row r="49">
      <c r="A49" s="14" t="str">
        <f>IFERROR(__xludf.DUMMYFUNCTION("""COMPUTED_VALUE"""),"//ord_58191//Arvind Kulkarni//Juhu//Banana+1*Nikhil Deshmukh/2/22/2023//UPI//Cancelled*Delayed Delivery:Traffic Accidents or Road Closures")</f>
        <v>//ord_58191//Arvind Kulkarni//Juhu//Banana+1*Nikhil Deshmukh/2/22/2023//UPI//Cancelled*Delayed Delivery:Traffic Accidents or Road Closures</v>
      </c>
      <c r="B49" s="14" t="str">
        <f>IFERROR(__xludf.DUMMYFUNCTION("split(A49,""//"")"),"ord_58191")</f>
        <v>ord_58191</v>
      </c>
      <c r="C49" s="14" t="str">
        <f>IFERROR(__xludf.DUMMYFUNCTION("""COMPUTED_VALUE"""),"Arvind Kulkarni")</f>
        <v>Arvind Kulkarni</v>
      </c>
      <c r="D49" s="14" t="str">
        <f>IFERROR(__xludf.DUMMYFUNCTION("""COMPUTED_VALUE"""),"Juhu")</f>
        <v>Juhu</v>
      </c>
      <c r="E49" s="14" t="str">
        <f>IFERROR(__xludf.DUMMYFUNCTION("""COMPUTED_VALUE"""),"Banana+1*Nikhil Deshmukh")</f>
        <v>Banana+1*Nikhil Deshmukh</v>
      </c>
      <c r="F49" s="14">
        <f>IFERROR(__xludf.DUMMYFUNCTION("""COMPUTED_VALUE"""),2.0)</f>
        <v>2</v>
      </c>
      <c r="G49" s="14">
        <f>IFERROR(__xludf.DUMMYFUNCTION("""COMPUTED_VALUE"""),22.0)</f>
        <v>22</v>
      </c>
      <c r="H49" s="14">
        <f>IFERROR(__xludf.DUMMYFUNCTION("""COMPUTED_VALUE"""),2023.0)</f>
        <v>2023</v>
      </c>
      <c r="I49" s="14" t="str">
        <f>IFERROR(__xludf.DUMMYFUNCTION("""COMPUTED_VALUE"""),"UPI")</f>
        <v>UPI</v>
      </c>
      <c r="J49" s="14" t="str">
        <f>IFERROR(__xludf.DUMMYFUNCTION("""COMPUTED_VALUE"""),"Cancelled*Delayed Delivery:Traffic Accidents or Road Closures")</f>
        <v>Cancelled*Delayed Delivery:Traffic Accidents or Road Closures</v>
      </c>
      <c r="K49" s="14" t="str">
        <f>IFERROR(__xludf.DUMMYFUNCTION("split(E49,""+"")"),"Banana")</f>
        <v>Banana</v>
      </c>
      <c r="L49" s="14" t="str">
        <f>IFERROR(__xludf.DUMMYFUNCTION("""COMPUTED_VALUE"""),"1*Nikhil Deshmukh")</f>
        <v>1*Nikhil Deshmukh</v>
      </c>
      <c r="M49" s="14">
        <f>IFERROR(__xludf.DUMMYFUNCTION("SPLIT(L49,""*"")"),1.0)</f>
        <v>1</v>
      </c>
      <c r="N49" s="14" t="str">
        <f>IFERROR(__xludf.DUMMYFUNCTION("""COMPUTED_VALUE"""),"Nikhil Deshmukh")</f>
        <v>Nikhil Deshmukh</v>
      </c>
      <c r="O49" s="14" t="str">
        <f>IFERROR(__xludf.DUMMYFUNCTION("split(J49,""*"")"),"Cancelled")</f>
        <v>Cancelled</v>
      </c>
      <c r="P49" s="14" t="str">
        <f>IFERROR(__xludf.DUMMYFUNCTION("""COMPUTED_VALUE"""),"Delayed Delivery:Traffic Accidents or Road Closures")</f>
        <v>Delayed Delivery:Traffic Accidents or Road Closures</v>
      </c>
      <c r="Q49" s="14" t="str">
        <f>IFERROR(__xludf.DUMMYFUNCTION("split(P49,"":"")"),"Delayed Delivery")</f>
        <v>Delayed Delivery</v>
      </c>
      <c r="R49" s="14" t="str">
        <f>IFERROR(__xludf.DUMMYFUNCTION("""COMPUTED_VALUE"""),"Traffic Accidents or Road Closures")</f>
        <v>Traffic Accidents or Road Closures</v>
      </c>
      <c r="S49" s="14" t="str">
        <f t="shared" ref="S49:U49" si="101">trim(B49)</f>
        <v>ord_58191</v>
      </c>
      <c r="T49" s="14" t="str">
        <f t="shared" si="101"/>
        <v>Arvind Kulkarni</v>
      </c>
      <c r="U49" s="14" t="str">
        <f t="shared" si="101"/>
        <v>Juhu</v>
      </c>
      <c r="V49" s="14" t="str">
        <f t="shared" si="4"/>
        <v>Banana</v>
      </c>
      <c r="W49" s="14">
        <f t="shared" si="5"/>
        <v>1</v>
      </c>
      <c r="X49" s="14" t="str">
        <f t="shared" si="6"/>
        <v>Nikhil Deshmukh</v>
      </c>
      <c r="Y49" s="15">
        <f t="shared" si="7"/>
        <v>44979</v>
      </c>
      <c r="Z49" s="14" t="str">
        <f t="shared" si="8"/>
        <v>UPI</v>
      </c>
      <c r="AA49" s="14" t="str">
        <f t="shared" si="9"/>
        <v>Cancelled</v>
      </c>
      <c r="AB49" s="14" t="str">
        <f t="shared" ref="AB49:AC49" si="102">trim(Q49)</f>
        <v>Delayed Delivery</v>
      </c>
      <c r="AC49" s="14" t="str">
        <f t="shared" si="102"/>
        <v>Traffic Accidents or Road Closures</v>
      </c>
      <c r="AD49" s="8"/>
    </row>
    <row r="50">
      <c r="A50" s="14" t="str">
        <f>IFERROR(__xludf.DUMMYFUNCTION("""COMPUTED_VALUE"""),"//ord_59195//Pallavi Ghosh//Bandra//Guava+2*Ramesh S/9/27/2023//UPI//Delivered*On-time Delivery: Delivered on time")</f>
        <v>//ord_59195//Pallavi Ghosh//Bandra//Guava+2*Ramesh S/9/27/2023//UPI//Delivered*On-time Delivery: Delivered on time</v>
      </c>
      <c r="B50" s="14" t="str">
        <f>IFERROR(__xludf.DUMMYFUNCTION("split(A50,""//"")"),"ord_59195")</f>
        <v>ord_59195</v>
      </c>
      <c r="C50" s="14" t="str">
        <f>IFERROR(__xludf.DUMMYFUNCTION("""COMPUTED_VALUE"""),"Pallavi Ghosh")</f>
        <v>Pallavi Ghosh</v>
      </c>
      <c r="D50" s="14" t="str">
        <f>IFERROR(__xludf.DUMMYFUNCTION("""COMPUTED_VALUE"""),"Bandra")</f>
        <v>Bandra</v>
      </c>
      <c r="E50" s="14" t="str">
        <f>IFERROR(__xludf.DUMMYFUNCTION("""COMPUTED_VALUE"""),"Guava+2*Ramesh S")</f>
        <v>Guava+2*Ramesh S</v>
      </c>
      <c r="F50" s="14">
        <f>IFERROR(__xludf.DUMMYFUNCTION("""COMPUTED_VALUE"""),9.0)</f>
        <v>9</v>
      </c>
      <c r="G50" s="14">
        <f>IFERROR(__xludf.DUMMYFUNCTION("""COMPUTED_VALUE"""),27.0)</f>
        <v>27</v>
      </c>
      <c r="H50" s="14">
        <f>IFERROR(__xludf.DUMMYFUNCTION("""COMPUTED_VALUE"""),2023.0)</f>
        <v>2023</v>
      </c>
      <c r="I50" s="14" t="str">
        <f>IFERROR(__xludf.DUMMYFUNCTION("""COMPUTED_VALUE"""),"UPI")</f>
        <v>UPI</v>
      </c>
      <c r="J50" s="14" t="str">
        <f>IFERROR(__xludf.DUMMYFUNCTION("""COMPUTED_VALUE"""),"Delivered*On-time Delivery: Delivered on time")</f>
        <v>Delivered*On-time Delivery: Delivered on time</v>
      </c>
      <c r="K50" s="14" t="str">
        <f>IFERROR(__xludf.DUMMYFUNCTION("split(E50,""+"")"),"Guava")</f>
        <v>Guava</v>
      </c>
      <c r="L50" s="14" t="str">
        <f>IFERROR(__xludf.DUMMYFUNCTION("""COMPUTED_VALUE"""),"2*Ramesh S")</f>
        <v>2*Ramesh S</v>
      </c>
      <c r="M50" s="14">
        <f>IFERROR(__xludf.DUMMYFUNCTION("SPLIT(L50,""*"")"),2.0)</f>
        <v>2</v>
      </c>
      <c r="N50" s="14" t="str">
        <f>IFERROR(__xludf.DUMMYFUNCTION("""COMPUTED_VALUE"""),"Ramesh S")</f>
        <v>Ramesh S</v>
      </c>
      <c r="O50" s="14" t="str">
        <f>IFERROR(__xludf.DUMMYFUNCTION("split(J50,""*"")"),"Delivered")</f>
        <v>Delivered</v>
      </c>
      <c r="P50" s="14" t="str">
        <f>IFERROR(__xludf.DUMMYFUNCTION("""COMPUTED_VALUE"""),"On-time Delivery: Delivered on time")</f>
        <v>On-time Delivery: Delivered on time</v>
      </c>
      <c r="Q50" s="14" t="str">
        <f>IFERROR(__xludf.DUMMYFUNCTION("split(P50,"":"")"),"On-time Delivery")</f>
        <v>On-time Delivery</v>
      </c>
      <c r="R50" s="14" t="str">
        <f>IFERROR(__xludf.DUMMYFUNCTION("""COMPUTED_VALUE""")," Delivered on time")</f>
        <v> Delivered on time</v>
      </c>
      <c r="S50" s="14" t="str">
        <f t="shared" ref="S50:U50" si="103">trim(B50)</f>
        <v>ord_59195</v>
      </c>
      <c r="T50" s="14" t="str">
        <f t="shared" si="103"/>
        <v>Pallavi Ghosh</v>
      </c>
      <c r="U50" s="14" t="str">
        <f t="shared" si="103"/>
        <v>Bandra</v>
      </c>
      <c r="V50" s="14" t="str">
        <f t="shared" si="4"/>
        <v>Guava</v>
      </c>
      <c r="W50" s="14">
        <f t="shared" si="5"/>
        <v>2</v>
      </c>
      <c r="X50" s="14" t="str">
        <f t="shared" si="6"/>
        <v>Ramesh S</v>
      </c>
      <c r="Y50" s="15">
        <f t="shared" si="7"/>
        <v>45196</v>
      </c>
      <c r="Z50" s="14" t="str">
        <f t="shared" si="8"/>
        <v>UPI</v>
      </c>
      <c r="AA50" s="14" t="str">
        <f t="shared" si="9"/>
        <v>Delivered</v>
      </c>
      <c r="AB50" s="14" t="str">
        <f t="shared" ref="AB50:AC50" si="104">trim(Q50)</f>
        <v>On-time Delivery</v>
      </c>
      <c r="AC50" s="14" t="str">
        <f t="shared" si="104"/>
        <v>Delivered on time</v>
      </c>
      <c r="AD50" s="8"/>
    </row>
    <row r="51">
      <c r="A51" s="14" t="str">
        <f>IFERROR(__xludf.DUMMYFUNCTION("""COMPUTED_VALUE"""),"//ord_60199//Parth Goel//Juhu//Tomato+1*Vivek Kumar/5/14/2023//Credit Card//Cancelled*Delayed Delivery:Bad Weather Conditions ")</f>
        <v>//ord_60199//Parth Goel//Juhu//Tomato+1*Vivek Kumar/5/14/2023//Credit Card//Cancelled*Delayed Delivery:Bad Weather Conditions </v>
      </c>
      <c r="B51" s="14" t="str">
        <f>IFERROR(__xludf.DUMMYFUNCTION("split(A51,""//"")"),"ord_60199")</f>
        <v>ord_60199</v>
      </c>
      <c r="C51" s="14" t="str">
        <f>IFERROR(__xludf.DUMMYFUNCTION("""COMPUTED_VALUE"""),"Parth Goel")</f>
        <v>Parth Goel</v>
      </c>
      <c r="D51" s="14" t="str">
        <f>IFERROR(__xludf.DUMMYFUNCTION("""COMPUTED_VALUE"""),"Juhu")</f>
        <v>Juhu</v>
      </c>
      <c r="E51" s="14" t="str">
        <f>IFERROR(__xludf.DUMMYFUNCTION("""COMPUTED_VALUE"""),"Tomato+1*Vivek Kumar")</f>
        <v>Tomato+1*Vivek Kumar</v>
      </c>
      <c r="F51" s="14">
        <f>IFERROR(__xludf.DUMMYFUNCTION("""COMPUTED_VALUE"""),5.0)</f>
        <v>5</v>
      </c>
      <c r="G51" s="14">
        <f>IFERROR(__xludf.DUMMYFUNCTION("""COMPUTED_VALUE"""),14.0)</f>
        <v>14</v>
      </c>
      <c r="H51" s="14">
        <f>IFERROR(__xludf.DUMMYFUNCTION("""COMPUTED_VALUE"""),2023.0)</f>
        <v>2023</v>
      </c>
      <c r="I51" s="14" t="str">
        <f>IFERROR(__xludf.DUMMYFUNCTION("""COMPUTED_VALUE"""),"Credit Card")</f>
        <v>Credit Card</v>
      </c>
      <c r="J51" s="14" t="str">
        <f>IFERROR(__xludf.DUMMYFUNCTION("""COMPUTED_VALUE"""),"Cancelled*Delayed Delivery:Bad Weather Conditions ")</f>
        <v>Cancelled*Delayed Delivery:Bad Weather Conditions </v>
      </c>
      <c r="K51" s="14" t="str">
        <f>IFERROR(__xludf.DUMMYFUNCTION("split(E51,""+"")"),"Tomato")</f>
        <v>Tomato</v>
      </c>
      <c r="L51" s="14" t="str">
        <f>IFERROR(__xludf.DUMMYFUNCTION("""COMPUTED_VALUE"""),"1*Vivek Kumar")</f>
        <v>1*Vivek Kumar</v>
      </c>
      <c r="M51" s="14">
        <f>IFERROR(__xludf.DUMMYFUNCTION("SPLIT(L51,""*"")"),1.0)</f>
        <v>1</v>
      </c>
      <c r="N51" s="14" t="str">
        <f>IFERROR(__xludf.DUMMYFUNCTION("""COMPUTED_VALUE"""),"Vivek Kumar")</f>
        <v>Vivek Kumar</v>
      </c>
      <c r="O51" s="14" t="str">
        <f>IFERROR(__xludf.DUMMYFUNCTION("split(J51,""*"")"),"Cancelled")</f>
        <v>Cancelled</v>
      </c>
      <c r="P51" s="14" t="str">
        <f>IFERROR(__xludf.DUMMYFUNCTION("""COMPUTED_VALUE"""),"Delayed Delivery:Bad Weather Conditions ")</f>
        <v>Delayed Delivery:Bad Weather Conditions </v>
      </c>
      <c r="Q51" s="14" t="str">
        <f>IFERROR(__xludf.DUMMYFUNCTION("split(P51,"":"")"),"Delayed Delivery")</f>
        <v>Delayed Delivery</v>
      </c>
      <c r="R51" s="14" t="str">
        <f>IFERROR(__xludf.DUMMYFUNCTION("""COMPUTED_VALUE"""),"Bad Weather Conditions ")</f>
        <v>Bad Weather Conditions </v>
      </c>
      <c r="S51" s="14" t="str">
        <f t="shared" ref="S51:U51" si="105">trim(B51)</f>
        <v>ord_60199</v>
      </c>
      <c r="T51" s="14" t="str">
        <f t="shared" si="105"/>
        <v>Parth Goel</v>
      </c>
      <c r="U51" s="14" t="str">
        <f t="shared" si="105"/>
        <v>Juhu</v>
      </c>
      <c r="V51" s="14" t="str">
        <f t="shared" si="4"/>
        <v>Tomato</v>
      </c>
      <c r="W51" s="14">
        <f t="shared" si="5"/>
        <v>1</v>
      </c>
      <c r="X51" s="14" t="str">
        <f t="shared" si="6"/>
        <v>Vivek Kumar</v>
      </c>
      <c r="Y51" s="15">
        <f t="shared" si="7"/>
        <v>45060</v>
      </c>
      <c r="Z51" s="14" t="str">
        <f t="shared" si="8"/>
        <v>Credit Card</v>
      </c>
      <c r="AA51" s="14" t="str">
        <f t="shared" si="9"/>
        <v>Cancelled</v>
      </c>
      <c r="AB51" s="14" t="str">
        <f t="shared" ref="AB51:AC51" si="106">trim(Q51)</f>
        <v>Delayed Delivery</v>
      </c>
      <c r="AC51" s="14" t="str">
        <f t="shared" si="106"/>
        <v>Bad Weather Conditions</v>
      </c>
      <c r="AD51" s="8"/>
    </row>
    <row r="52">
      <c r="A52" s="14" t="str">
        <f>IFERROR(__xludf.DUMMYFUNCTION("""COMPUTED_VALUE"""),"//ord_11207//Arvind Kulkarni//Juhu//Tomato+1*Ramesh S/6/20/2023//COD//Delivered*Quality of Items: Perfect condition")</f>
        <v>//ord_11207//Arvind Kulkarni//Juhu//Tomato+1*Ramesh S/6/20/2023//COD//Delivered*Quality of Items: Perfect condition</v>
      </c>
      <c r="B52" s="14" t="str">
        <f>IFERROR(__xludf.DUMMYFUNCTION("split(A52,""//"")"),"ord_11207")</f>
        <v>ord_11207</v>
      </c>
      <c r="C52" s="14" t="str">
        <f>IFERROR(__xludf.DUMMYFUNCTION("""COMPUTED_VALUE"""),"Arvind Kulkarni")</f>
        <v>Arvind Kulkarni</v>
      </c>
      <c r="D52" s="14" t="str">
        <f>IFERROR(__xludf.DUMMYFUNCTION("""COMPUTED_VALUE"""),"Juhu")</f>
        <v>Juhu</v>
      </c>
      <c r="E52" s="14" t="str">
        <f>IFERROR(__xludf.DUMMYFUNCTION("""COMPUTED_VALUE"""),"Tomato+1*Ramesh S")</f>
        <v>Tomato+1*Ramesh S</v>
      </c>
      <c r="F52" s="14">
        <f>IFERROR(__xludf.DUMMYFUNCTION("""COMPUTED_VALUE"""),6.0)</f>
        <v>6</v>
      </c>
      <c r="G52" s="14">
        <f>IFERROR(__xludf.DUMMYFUNCTION("""COMPUTED_VALUE"""),20.0)</f>
        <v>20</v>
      </c>
      <c r="H52" s="14">
        <f>IFERROR(__xludf.DUMMYFUNCTION("""COMPUTED_VALUE"""),2023.0)</f>
        <v>2023</v>
      </c>
      <c r="I52" s="14" t="str">
        <f>IFERROR(__xludf.DUMMYFUNCTION("""COMPUTED_VALUE"""),"COD")</f>
        <v>COD</v>
      </c>
      <c r="J52" s="14" t="str">
        <f>IFERROR(__xludf.DUMMYFUNCTION("""COMPUTED_VALUE"""),"Delivered*Quality of Items: Perfect condition")</f>
        <v>Delivered*Quality of Items: Perfect condition</v>
      </c>
      <c r="K52" s="14" t="str">
        <f>IFERROR(__xludf.DUMMYFUNCTION("split(E52,""+"")"),"Tomato")</f>
        <v>Tomato</v>
      </c>
      <c r="L52" s="14" t="str">
        <f>IFERROR(__xludf.DUMMYFUNCTION("""COMPUTED_VALUE"""),"1*Ramesh S")</f>
        <v>1*Ramesh S</v>
      </c>
      <c r="M52" s="14">
        <f>IFERROR(__xludf.DUMMYFUNCTION("SPLIT(L52,""*"")"),1.0)</f>
        <v>1</v>
      </c>
      <c r="N52" s="14" t="str">
        <f>IFERROR(__xludf.DUMMYFUNCTION("""COMPUTED_VALUE"""),"Ramesh S")</f>
        <v>Ramesh S</v>
      </c>
      <c r="O52" s="14" t="str">
        <f>IFERROR(__xludf.DUMMYFUNCTION("split(J52,""*"")"),"Delivered")</f>
        <v>Delivered</v>
      </c>
      <c r="P52" s="14" t="str">
        <f>IFERROR(__xludf.DUMMYFUNCTION("""COMPUTED_VALUE"""),"Quality of Items: Perfect condition")</f>
        <v>Quality of Items: Perfect condition</v>
      </c>
      <c r="Q52" s="14" t="str">
        <f>IFERROR(__xludf.DUMMYFUNCTION("split(P52,"":"")"),"Quality of Items")</f>
        <v>Quality of Items</v>
      </c>
      <c r="R52" s="14" t="str">
        <f>IFERROR(__xludf.DUMMYFUNCTION("""COMPUTED_VALUE""")," Perfect condition")</f>
        <v> Perfect condition</v>
      </c>
      <c r="S52" s="14" t="str">
        <f t="shared" ref="S52:U52" si="107">trim(B52)</f>
        <v>ord_11207</v>
      </c>
      <c r="T52" s="14" t="str">
        <f t="shared" si="107"/>
        <v>Arvind Kulkarni</v>
      </c>
      <c r="U52" s="14" t="str">
        <f t="shared" si="107"/>
        <v>Juhu</v>
      </c>
      <c r="V52" s="14" t="str">
        <f t="shared" si="4"/>
        <v>Tomato</v>
      </c>
      <c r="W52" s="14">
        <f t="shared" si="5"/>
        <v>1</v>
      </c>
      <c r="X52" s="14" t="str">
        <f t="shared" si="6"/>
        <v>Ramesh S</v>
      </c>
      <c r="Y52" s="15">
        <f t="shared" si="7"/>
        <v>45097</v>
      </c>
      <c r="Z52" s="14" t="str">
        <f t="shared" si="8"/>
        <v>COD</v>
      </c>
      <c r="AA52" s="14" t="str">
        <f t="shared" si="9"/>
        <v>Delivered</v>
      </c>
      <c r="AB52" s="14" t="str">
        <f t="shared" ref="AB52:AC52" si="108">trim(Q52)</f>
        <v>Quality of Items</v>
      </c>
      <c r="AC52" s="14" t="str">
        <f t="shared" si="108"/>
        <v>Perfect condition</v>
      </c>
      <c r="AD52" s="8"/>
    </row>
    <row r="53">
      <c r="A53" s="14" t="str">
        <f>IFERROR(__xludf.DUMMYFUNCTION("""COMPUTED_VALUE"""),"//ord_62207//Nitin Sehgal//Bandra//Guava+1*Ramesh S/12/30/2023//COD//Delivered*Packaging: Secure and intact")</f>
        <v>//ord_62207//Nitin Sehgal//Bandra//Guava+1*Ramesh S/12/30/2023//COD//Delivered*Packaging: Secure and intact</v>
      </c>
      <c r="B53" s="14" t="str">
        <f>IFERROR(__xludf.DUMMYFUNCTION("split(A53,""//"")"),"ord_62207")</f>
        <v>ord_62207</v>
      </c>
      <c r="C53" s="14" t="str">
        <f>IFERROR(__xludf.DUMMYFUNCTION("""COMPUTED_VALUE"""),"Nitin Sehgal")</f>
        <v>Nitin Sehgal</v>
      </c>
      <c r="D53" s="14" t="str">
        <f>IFERROR(__xludf.DUMMYFUNCTION("""COMPUTED_VALUE"""),"Bandra")</f>
        <v>Bandra</v>
      </c>
      <c r="E53" s="14" t="str">
        <f>IFERROR(__xludf.DUMMYFUNCTION("""COMPUTED_VALUE"""),"Guava+1*Ramesh S")</f>
        <v>Guava+1*Ramesh S</v>
      </c>
      <c r="F53" s="14">
        <f>IFERROR(__xludf.DUMMYFUNCTION("""COMPUTED_VALUE"""),12.0)</f>
        <v>12</v>
      </c>
      <c r="G53" s="14">
        <f>IFERROR(__xludf.DUMMYFUNCTION("""COMPUTED_VALUE"""),30.0)</f>
        <v>30</v>
      </c>
      <c r="H53" s="14">
        <f>IFERROR(__xludf.DUMMYFUNCTION("""COMPUTED_VALUE"""),2023.0)</f>
        <v>2023</v>
      </c>
      <c r="I53" s="14" t="str">
        <f>IFERROR(__xludf.DUMMYFUNCTION("""COMPUTED_VALUE"""),"COD")</f>
        <v>COD</v>
      </c>
      <c r="J53" s="14" t="str">
        <f>IFERROR(__xludf.DUMMYFUNCTION("""COMPUTED_VALUE"""),"Delivered*Packaging: Secure and intact")</f>
        <v>Delivered*Packaging: Secure and intact</v>
      </c>
      <c r="K53" s="14" t="str">
        <f>IFERROR(__xludf.DUMMYFUNCTION("split(E53,""+"")"),"Guava")</f>
        <v>Guava</v>
      </c>
      <c r="L53" s="14" t="str">
        <f>IFERROR(__xludf.DUMMYFUNCTION("""COMPUTED_VALUE"""),"1*Ramesh S")</f>
        <v>1*Ramesh S</v>
      </c>
      <c r="M53" s="14">
        <f>IFERROR(__xludf.DUMMYFUNCTION("SPLIT(L53,""*"")"),1.0)</f>
        <v>1</v>
      </c>
      <c r="N53" s="14" t="str">
        <f>IFERROR(__xludf.DUMMYFUNCTION("""COMPUTED_VALUE"""),"Ramesh S")</f>
        <v>Ramesh S</v>
      </c>
      <c r="O53" s="14" t="str">
        <f>IFERROR(__xludf.DUMMYFUNCTION("split(J53,""*"")"),"Delivered")</f>
        <v>Delivered</v>
      </c>
      <c r="P53" s="14" t="str">
        <f>IFERROR(__xludf.DUMMYFUNCTION("""COMPUTED_VALUE"""),"Packaging: Secure and intact")</f>
        <v>Packaging: Secure and intact</v>
      </c>
      <c r="Q53" s="14" t="str">
        <f>IFERROR(__xludf.DUMMYFUNCTION("split(P53,"":"")"),"Packaging")</f>
        <v>Packaging</v>
      </c>
      <c r="R53" s="14" t="str">
        <f>IFERROR(__xludf.DUMMYFUNCTION("""COMPUTED_VALUE""")," Secure and intact")</f>
        <v> Secure and intact</v>
      </c>
      <c r="S53" s="14" t="str">
        <f t="shared" ref="S53:U53" si="109">trim(B53)</f>
        <v>ord_62207</v>
      </c>
      <c r="T53" s="14" t="str">
        <f t="shared" si="109"/>
        <v>Nitin Sehgal</v>
      </c>
      <c r="U53" s="14" t="str">
        <f t="shared" si="109"/>
        <v>Bandra</v>
      </c>
      <c r="V53" s="14" t="str">
        <f t="shared" si="4"/>
        <v>Guava</v>
      </c>
      <c r="W53" s="14">
        <f t="shared" si="5"/>
        <v>1</v>
      </c>
      <c r="X53" s="14" t="str">
        <f t="shared" si="6"/>
        <v>Ramesh S</v>
      </c>
      <c r="Y53" s="15">
        <f t="shared" si="7"/>
        <v>45290</v>
      </c>
      <c r="Z53" s="14" t="str">
        <f t="shared" si="8"/>
        <v>COD</v>
      </c>
      <c r="AA53" s="14" t="str">
        <f t="shared" si="9"/>
        <v>Delivered</v>
      </c>
      <c r="AB53" s="14" t="str">
        <f t="shared" ref="AB53:AC53" si="110">trim(Q53)</f>
        <v>Packaging</v>
      </c>
      <c r="AC53" s="14" t="str">
        <f t="shared" si="110"/>
        <v>Secure and intact</v>
      </c>
      <c r="AD53" s="8"/>
    </row>
    <row r="54">
      <c r="A54" s="14" t="str">
        <f>IFERROR(__xludf.DUMMYFUNCTION("""COMPUTED_VALUE"""),"//ord_63211//Anaya Rao//Colaba//Tomato+2*Vivek Kumar/11/25/2023//COD//Delivered*Satisfied with the Delivery: Timely and quality")</f>
        <v>//ord_63211//Anaya Rao//Colaba//Tomato+2*Vivek Kumar/11/25/2023//COD//Delivered*Satisfied with the Delivery: Timely and quality</v>
      </c>
      <c r="B54" s="14" t="str">
        <f>IFERROR(__xludf.DUMMYFUNCTION("split(A54,""//"")"),"ord_63211")</f>
        <v>ord_63211</v>
      </c>
      <c r="C54" s="14" t="str">
        <f>IFERROR(__xludf.DUMMYFUNCTION("""COMPUTED_VALUE"""),"Anaya Rao")</f>
        <v>Anaya Rao</v>
      </c>
      <c r="D54" s="14" t="str">
        <f>IFERROR(__xludf.DUMMYFUNCTION("""COMPUTED_VALUE"""),"Colaba")</f>
        <v>Colaba</v>
      </c>
      <c r="E54" s="14" t="str">
        <f>IFERROR(__xludf.DUMMYFUNCTION("""COMPUTED_VALUE"""),"Tomato+2*Vivek Kumar")</f>
        <v>Tomato+2*Vivek Kumar</v>
      </c>
      <c r="F54" s="14">
        <f>IFERROR(__xludf.DUMMYFUNCTION("""COMPUTED_VALUE"""),11.0)</f>
        <v>11</v>
      </c>
      <c r="G54" s="14">
        <f>IFERROR(__xludf.DUMMYFUNCTION("""COMPUTED_VALUE"""),25.0)</f>
        <v>25</v>
      </c>
      <c r="H54" s="14">
        <f>IFERROR(__xludf.DUMMYFUNCTION("""COMPUTED_VALUE"""),2023.0)</f>
        <v>2023</v>
      </c>
      <c r="I54" s="14" t="str">
        <f>IFERROR(__xludf.DUMMYFUNCTION("""COMPUTED_VALUE"""),"COD")</f>
        <v>COD</v>
      </c>
      <c r="J54" s="14" t="str">
        <f>IFERROR(__xludf.DUMMYFUNCTION("""COMPUTED_VALUE"""),"Delivered*Satisfied with the Delivery: Timely and quality")</f>
        <v>Delivered*Satisfied with the Delivery: Timely and quality</v>
      </c>
      <c r="K54" s="14" t="str">
        <f>IFERROR(__xludf.DUMMYFUNCTION("split(E54,""+"")"),"Tomato")</f>
        <v>Tomato</v>
      </c>
      <c r="L54" s="14" t="str">
        <f>IFERROR(__xludf.DUMMYFUNCTION("""COMPUTED_VALUE"""),"2*Vivek Kumar")</f>
        <v>2*Vivek Kumar</v>
      </c>
      <c r="M54" s="14">
        <f>IFERROR(__xludf.DUMMYFUNCTION("SPLIT(L54,""*"")"),2.0)</f>
        <v>2</v>
      </c>
      <c r="N54" s="14" t="str">
        <f>IFERROR(__xludf.DUMMYFUNCTION("""COMPUTED_VALUE"""),"Vivek Kumar")</f>
        <v>Vivek Kumar</v>
      </c>
      <c r="O54" s="14" t="str">
        <f>IFERROR(__xludf.DUMMYFUNCTION("split(J54,""*"")"),"Delivered")</f>
        <v>Delivered</v>
      </c>
      <c r="P54" s="14" t="str">
        <f>IFERROR(__xludf.DUMMYFUNCTION("""COMPUTED_VALUE"""),"Satisfied with the Delivery: Timely and quality")</f>
        <v>Satisfied with the Delivery: Timely and quality</v>
      </c>
      <c r="Q54" s="14" t="str">
        <f>IFERROR(__xludf.DUMMYFUNCTION("split(P54,"":"")"),"Satisfied with the Delivery")</f>
        <v>Satisfied with the Delivery</v>
      </c>
      <c r="R54" s="14" t="str">
        <f>IFERROR(__xludf.DUMMYFUNCTION("""COMPUTED_VALUE""")," Timely and quality")</f>
        <v> Timely and quality</v>
      </c>
      <c r="S54" s="14" t="str">
        <f t="shared" ref="S54:U54" si="111">trim(B54)</f>
        <v>ord_63211</v>
      </c>
      <c r="T54" s="14" t="str">
        <f t="shared" si="111"/>
        <v>Anaya Rao</v>
      </c>
      <c r="U54" s="14" t="str">
        <f t="shared" si="111"/>
        <v>Colaba</v>
      </c>
      <c r="V54" s="14" t="str">
        <f t="shared" si="4"/>
        <v>Tomato</v>
      </c>
      <c r="W54" s="14">
        <f t="shared" si="5"/>
        <v>2</v>
      </c>
      <c r="X54" s="14" t="str">
        <f t="shared" si="6"/>
        <v>Vivek Kumar</v>
      </c>
      <c r="Y54" s="15">
        <f t="shared" si="7"/>
        <v>45255</v>
      </c>
      <c r="Z54" s="14" t="str">
        <f t="shared" si="8"/>
        <v>COD</v>
      </c>
      <c r="AA54" s="14" t="str">
        <f t="shared" si="9"/>
        <v>Delivered</v>
      </c>
      <c r="AB54" s="14" t="str">
        <f t="shared" ref="AB54:AC54" si="112">trim(Q54)</f>
        <v>Satisfied with the Delivery</v>
      </c>
      <c r="AC54" s="14" t="str">
        <f t="shared" si="112"/>
        <v>Timely and quality</v>
      </c>
      <c r="AD54" s="8"/>
    </row>
    <row r="55">
      <c r="A55" s="14" t="str">
        <f>IFERROR(__xludf.DUMMYFUNCTION("""COMPUTED_VALUE"""),"//ord_64215//Kritika Shetty//Malad//Orange+1*Neha Shah/1/8/2023//UPI//Cancelled*Delayed Delivery:Heavy Traffic")</f>
        <v>//ord_64215//Kritika Shetty//Malad//Orange+1*Neha Shah/1/8/2023//UPI//Cancelled*Delayed Delivery:Heavy Traffic</v>
      </c>
      <c r="B55" s="14" t="str">
        <f>IFERROR(__xludf.DUMMYFUNCTION("split(A55,""//"")"),"ord_64215")</f>
        <v>ord_64215</v>
      </c>
      <c r="C55" s="14" t="str">
        <f>IFERROR(__xludf.DUMMYFUNCTION("""COMPUTED_VALUE"""),"Kritika Shetty")</f>
        <v>Kritika Shetty</v>
      </c>
      <c r="D55" s="14" t="str">
        <f>IFERROR(__xludf.DUMMYFUNCTION("""COMPUTED_VALUE"""),"Malad")</f>
        <v>Malad</v>
      </c>
      <c r="E55" s="14" t="str">
        <f>IFERROR(__xludf.DUMMYFUNCTION("""COMPUTED_VALUE"""),"Orange+1*Neha Shah")</f>
        <v>Orange+1*Neha Shah</v>
      </c>
      <c r="F55" s="14">
        <f>IFERROR(__xludf.DUMMYFUNCTION("""COMPUTED_VALUE"""),1.0)</f>
        <v>1</v>
      </c>
      <c r="G55" s="14">
        <f>IFERROR(__xludf.DUMMYFUNCTION("""COMPUTED_VALUE"""),8.0)</f>
        <v>8</v>
      </c>
      <c r="H55" s="14">
        <f>IFERROR(__xludf.DUMMYFUNCTION("""COMPUTED_VALUE"""),2023.0)</f>
        <v>2023</v>
      </c>
      <c r="I55" s="14" t="str">
        <f>IFERROR(__xludf.DUMMYFUNCTION("""COMPUTED_VALUE"""),"UPI")</f>
        <v>UPI</v>
      </c>
      <c r="J55" s="14" t="str">
        <f>IFERROR(__xludf.DUMMYFUNCTION("""COMPUTED_VALUE"""),"Cancelled*Delayed Delivery:Heavy Traffic")</f>
        <v>Cancelled*Delayed Delivery:Heavy Traffic</v>
      </c>
      <c r="K55" s="14" t="str">
        <f>IFERROR(__xludf.DUMMYFUNCTION("split(E55,""+"")"),"Orange")</f>
        <v>Orange</v>
      </c>
      <c r="L55" s="14" t="str">
        <f>IFERROR(__xludf.DUMMYFUNCTION("""COMPUTED_VALUE"""),"1*Neha Shah")</f>
        <v>1*Neha Shah</v>
      </c>
      <c r="M55" s="14">
        <f>IFERROR(__xludf.DUMMYFUNCTION("SPLIT(L55,""*"")"),1.0)</f>
        <v>1</v>
      </c>
      <c r="N55" s="14" t="str">
        <f>IFERROR(__xludf.DUMMYFUNCTION("""COMPUTED_VALUE"""),"Neha Shah")</f>
        <v>Neha Shah</v>
      </c>
      <c r="O55" s="14" t="str">
        <f>IFERROR(__xludf.DUMMYFUNCTION("split(J55,""*"")"),"Cancelled")</f>
        <v>Cancelled</v>
      </c>
      <c r="P55" s="14" t="str">
        <f>IFERROR(__xludf.DUMMYFUNCTION("""COMPUTED_VALUE"""),"Delayed Delivery:Heavy Traffic")</f>
        <v>Delayed Delivery:Heavy Traffic</v>
      </c>
      <c r="Q55" s="14" t="str">
        <f>IFERROR(__xludf.DUMMYFUNCTION("split(P55,"":"")"),"Delayed Delivery")</f>
        <v>Delayed Delivery</v>
      </c>
      <c r="R55" s="14" t="str">
        <f>IFERROR(__xludf.DUMMYFUNCTION("""COMPUTED_VALUE"""),"Heavy Traffic")</f>
        <v>Heavy Traffic</v>
      </c>
      <c r="S55" s="14" t="str">
        <f t="shared" ref="S55:U55" si="113">trim(B55)</f>
        <v>ord_64215</v>
      </c>
      <c r="T55" s="14" t="str">
        <f t="shared" si="113"/>
        <v>Kritika Shetty</v>
      </c>
      <c r="U55" s="14" t="str">
        <f t="shared" si="113"/>
        <v>Malad</v>
      </c>
      <c r="V55" s="14" t="str">
        <f t="shared" si="4"/>
        <v>Orange</v>
      </c>
      <c r="W55" s="14">
        <f t="shared" si="5"/>
        <v>1</v>
      </c>
      <c r="X55" s="14" t="str">
        <f t="shared" si="6"/>
        <v>Neha Shah</v>
      </c>
      <c r="Y55" s="15">
        <f t="shared" si="7"/>
        <v>44934</v>
      </c>
      <c r="Z55" s="14" t="str">
        <f t="shared" si="8"/>
        <v>UPI</v>
      </c>
      <c r="AA55" s="14" t="str">
        <f t="shared" si="9"/>
        <v>Cancelled</v>
      </c>
      <c r="AB55" s="14" t="str">
        <f t="shared" ref="AB55:AC55" si="114">trim(Q55)</f>
        <v>Delayed Delivery</v>
      </c>
      <c r="AC55" s="14" t="str">
        <f t="shared" si="114"/>
        <v>Heavy Traffic</v>
      </c>
      <c r="AD55" s="8"/>
    </row>
    <row r="56">
      <c r="A56" s="14" t="str">
        <f>IFERROR(__xludf.DUMMYFUNCTION("""COMPUTED_VALUE"""),"//ord_65219//Diya Arora//Lower Parel//Cold Coffee+4*Kiran Mehta/10/25/2023//Credit Card//Delivered*Customer Service: Seamless and easy")</f>
        <v>//ord_65219//Diya Arora//Lower Parel//Cold Coffee+4*Kiran Mehta/10/25/2023//Credit Card//Delivered*Customer Service: Seamless and easy</v>
      </c>
      <c r="B56" s="14" t="str">
        <f>IFERROR(__xludf.DUMMYFUNCTION("split(A56,""//"")"),"ord_65219")</f>
        <v>ord_65219</v>
      </c>
      <c r="C56" s="14" t="str">
        <f>IFERROR(__xludf.DUMMYFUNCTION("""COMPUTED_VALUE"""),"Diya Arora")</f>
        <v>Diya Arora</v>
      </c>
      <c r="D56" s="14" t="str">
        <f>IFERROR(__xludf.DUMMYFUNCTION("""COMPUTED_VALUE"""),"Lower Parel")</f>
        <v>Lower Parel</v>
      </c>
      <c r="E56" s="14" t="str">
        <f>IFERROR(__xludf.DUMMYFUNCTION("""COMPUTED_VALUE"""),"Cold Coffee+4*Kiran Mehta")</f>
        <v>Cold Coffee+4*Kiran Mehta</v>
      </c>
      <c r="F56" s="14">
        <f>IFERROR(__xludf.DUMMYFUNCTION("""COMPUTED_VALUE"""),10.0)</f>
        <v>10</v>
      </c>
      <c r="G56" s="14">
        <f>IFERROR(__xludf.DUMMYFUNCTION("""COMPUTED_VALUE"""),25.0)</f>
        <v>25</v>
      </c>
      <c r="H56" s="14">
        <f>IFERROR(__xludf.DUMMYFUNCTION("""COMPUTED_VALUE"""),2023.0)</f>
        <v>2023</v>
      </c>
      <c r="I56" s="14" t="str">
        <f>IFERROR(__xludf.DUMMYFUNCTION("""COMPUTED_VALUE"""),"Credit Card")</f>
        <v>Credit Card</v>
      </c>
      <c r="J56" s="14" t="str">
        <f>IFERROR(__xludf.DUMMYFUNCTION("""COMPUTED_VALUE"""),"Delivered*Customer Service: Seamless and easy")</f>
        <v>Delivered*Customer Service: Seamless and easy</v>
      </c>
      <c r="K56" s="14" t="str">
        <f>IFERROR(__xludf.DUMMYFUNCTION("split(E56,""+"")"),"Cold Coffee")</f>
        <v>Cold Coffee</v>
      </c>
      <c r="L56" s="14" t="str">
        <f>IFERROR(__xludf.DUMMYFUNCTION("""COMPUTED_VALUE"""),"4*Kiran Mehta")</f>
        <v>4*Kiran Mehta</v>
      </c>
      <c r="M56" s="14">
        <f>IFERROR(__xludf.DUMMYFUNCTION("SPLIT(L56,""*"")"),4.0)</f>
        <v>4</v>
      </c>
      <c r="N56" s="14" t="str">
        <f>IFERROR(__xludf.DUMMYFUNCTION("""COMPUTED_VALUE"""),"Kiran Mehta")</f>
        <v>Kiran Mehta</v>
      </c>
      <c r="O56" s="14" t="str">
        <f>IFERROR(__xludf.DUMMYFUNCTION("split(J56,""*"")"),"Delivered")</f>
        <v>Delivered</v>
      </c>
      <c r="P56" s="14" t="str">
        <f>IFERROR(__xludf.DUMMYFUNCTION("""COMPUTED_VALUE"""),"Customer Service: Seamless and easy")</f>
        <v>Customer Service: Seamless and easy</v>
      </c>
      <c r="Q56" s="14" t="str">
        <f>IFERROR(__xludf.DUMMYFUNCTION("split(P56,"":"")"),"Customer Service")</f>
        <v>Customer Service</v>
      </c>
      <c r="R56" s="14" t="str">
        <f>IFERROR(__xludf.DUMMYFUNCTION("""COMPUTED_VALUE""")," Seamless and easy")</f>
        <v> Seamless and easy</v>
      </c>
      <c r="S56" s="14" t="str">
        <f t="shared" ref="S56:U56" si="115">trim(B56)</f>
        <v>ord_65219</v>
      </c>
      <c r="T56" s="14" t="str">
        <f t="shared" si="115"/>
        <v>Diya Arora</v>
      </c>
      <c r="U56" s="14" t="str">
        <f t="shared" si="115"/>
        <v>Lower Parel</v>
      </c>
      <c r="V56" s="14" t="str">
        <f t="shared" si="4"/>
        <v>Cold Coffee</v>
      </c>
      <c r="W56" s="14">
        <f t="shared" si="5"/>
        <v>4</v>
      </c>
      <c r="X56" s="14" t="str">
        <f t="shared" si="6"/>
        <v>Kiran Mehta</v>
      </c>
      <c r="Y56" s="15">
        <f t="shared" si="7"/>
        <v>45224</v>
      </c>
      <c r="Z56" s="14" t="str">
        <f t="shared" si="8"/>
        <v>Credit Card</v>
      </c>
      <c r="AA56" s="14" t="str">
        <f t="shared" si="9"/>
        <v>Delivered</v>
      </c>
      <c r="AB56" s="14" t="str">
        <f t="shared" ref="AB56:AC56" si="116">trim(Q56)</f>
        <v>Customer Service</v>
      </c>
      <c r="AC56" s="14" t="str">
        <f t="shared" si="116"/>
        <v>Seamless and easy</v>
      </c>
      <c r="AD56" s="8"/>
    </row>
    <row r="57">
      <c r="A57" s="14" t="str">
        <f>IFERROR(__xludf.DUMMYFUNCTION("""COMPUTED_VALUE"""),"//ord_66223//Pallavi Ghosh//Bandra//Cold Coffee+3*Ram Gopal/7/13/2023//Credit Card//Delivered*Delivery Experience: Quick and professional")</f>
        <v>//ord_66223//Pallavi Ghosh//Bandra//Cold Coffee+3*Ram Gopal/7/13/2023//Credit Card//Delivered*Delivery Experience: Quick and professional</v>
      </c>
      <c r="B57" s="14" t="str">
        <f>IFERROR(__xludf.DUMMYFUNCTION("split(A57,""//"")"),"ord_66223")</f>
        <v>ord_66223</v>
      </c>
      <c r="C57" s="14" t="str">
        <f>IFERROR(__xludf.DUMMYFUNCTION("""COMPUTED_VALUE"""),"Pallavi Ghosh")</f>
        <v>Pallavi Ghosh</v>
      </c>
      <c r="D57" s="14" t="str">
        <f>IFERROR(__xludf.DUMMYFUNCTION("""COMPUTED_VALUE"""),"Bandra")</f>
        <v>Bandra</v>
      </c>
      <c r="E57" s="14" t="str">
        <f>IFERROR(__xludf.DUMMYFUNCTION("""COMPUTED_VALUE"""),"Cold Coffee+3*Ram Gopal")</f>
        <v>Cold Coffee+3*Ram Gopal</v>
      </c>
      <c r="F57" s="14">
        <f>IFERROR(__xludf.DUMMYFUNCTION("""COMPUTED_VALUE"""),7.0)</f>
        <v>7</v>
      </c>
      <c r="G57" s="14">
        <f>IFERROR(__xludf.DUMMYFUNCTION("""COMPUTED_VALUE"""),13.0)</f>
        <v>13</v>
      </c>
      <c r="H57" s="14">
        <f>IFERROR(__xludf.DUMMYFUNCTION("""COMPUTED_VALUE"""),2023.0)</f>
        <v>2023</v>
      </c>
      <c r="I57" s="14" t="str">
        <f>IFERROR(__xludf.DUMMYFUNCTION("""COMPUTED_VALUE"""),"Credit Card")</f>
        <v>Credit Card</v>
      </c>
      <c r="J57" s="14" t="str">
        <f>IFERROR(__xludf.DUMMYFUNCTION("""COMPUTED_VALUE"""),"Delivered*Delivery Experience: Quick and professional")</f>
        <v>Delivered*Delivery Experience: Quick and professional</v>
      </c>
      <c r="K57" s="14" t="str">
        <f>IFERROR(__xludf.DUMMYFUNCTION("split(E57,""+"")"),"Cold Coffee")</f>
        <v>Cold Coffee</v>
      </c>
      <c r="L57" s="14" t="str">
        <f>IFERROR(__xludf.DUMMYFUNCTION("""COMPUTED_VALUE"""),"3*Ram Gopal")</f>
        <v>3*Ram Gopal</v>
      </c>
      <c r="M57" s="14">
        <f>IFERROR(__xludf.DUMMYFUNCTION("SPLIT(L57,""*"")"),3.0)</f>
        <v>3</v>
      </c>
      <c r="N57" s="14" t="str">
        <f>IFERROR(__xludf.DUMMYFUNCTION("""COMPUTED_VALUE"""),"Ram Gopal")</f>
        <v>Ram Gopal</v>
      </c>
      <c r="O57" s="14" t="str">
        <f>IFERROR(__xludf.DUMMYFUNCTION("split(J57,""*"")"),"Delivered")</f>
        <v>Delivered</v>
      </c>
      <c r="P57" s="14" t="str">
        <f>IFERROR(__xludf.DUMMYFUNCTION("""COMPUTED_VALUE"""),"Delivery Experience: Quick and professional")</f>
        <v>Delivery Experience: Quick and professional</v>
      </c>
      <c r="Q57" s="14" t="str">
        <f>IFERROR(__xludf.DUMMYFUNCTION("split(P57,"":"")"),"Delivery Experience")</f>
        <v>Delivery Experience</v>
      </c>
      <c r="R57" s="14" t="str">
        <f>IFERROR(__xludf.DUMMYFUNCTION("""COMPUTED_VALUE""")," Quick and professional")</f>
        <v> Quick and professional</v>
      </c>
      <c r="S57" s="14" t="str">
        <f t="shared" ref="S57:U57" si="117">trim(B57)</f>
        <v>ord_66223</v>
      </c>
      <c r="T57" s="14" t="str">
        <f t="shared" si="117"/>
        <v>Pallavi Ghosh</v>
      </c>
      <c r="U57" s="14" t="str">
        <f t="shared" si="117"/>
        <v>Bandra</v>
      </c>
      <c r="V57" s="14" t="str">
        <f t="shared" si="4"/>
        <v>Cold Coffee</v>
      </c>
      <c r="W57" s="14">
        <f t="shared" si="5"/>
        <v>3</v>
      </c>
      <c r="X57" s="14" t="str">
        <f t="shared" si="6"/>
        <v>Ram Gopal</v>
      </c>
      <c r="Y57" s="15">
        <f t="shared" si="7"/>
        <v>45120</v>
      </c>
      <c r="Z57" s="14" t="str">
        <f t="shared" si="8"/>
        <v>Credit Card</v>
      </c>
      <c r="AA57" s="14" t="str">
        <f t="shared" si="9"/>
        <v>Delivered</v>
      </c>
      <c r="AB57" s="14" t="str">
        <f t="shared" ref="AB57:AC57" si="118">trim(Q57)</f>
        <v>Delivery Experience</v>
      </c>
      <c r="AC57" s="14" t="str">
        <f t="shared" si="118"/>
        <v>Quick and professional</v>
      </c>
      <c r="AD57" s="8"/>
    </row>
    <row r="58">
      <c r="A58" s="14" t="str">
        <f>IFERROR(__xludf.DUMMYFUNCTION("""COMPUTED_VALUE"""),"//ord_67227//Omkar Mishra//Powai//Chocolate Mousse+5*Vivek Kumar/3/6/2023//COD//Delivered*Convenience: Easy tracking")</f>
        <v>//ord_67227//Omkar Mishra//Powai//Chocolate Mousse+5*Vivek Kumar/3/6/2023//COD//Delivered*Convenience: Easy tracking</v>
      </c>
      <c r="B58" s="14" t="str">
        <f>IFERROR(__xludf.DUMMYFUNCTION("split(A58,""//"")"),"ord_67227")</f>
        <v>ord_67227</v>
      </c>
      <c r="C58" s="14" t="str">
        <f>IFERROR(__xludf.DUMMYFUNCTION("""COMPUTED_VALUE"""),"Omkar Mishra")</f>
        <v>Omkar Mishra</v>
      </c>
      <c r="D58" s="14" t="str">
        <f>IFERROR(__xludf.DUMMYFUNCTION("""COMPUTED_VALUE"""),"Powai")</f>
        <v>Powai</v>
      </c>
      <c r="E58" s="14" t="str">
        <f>IFERROR(__xludf.DUMMYFUNCTION("""COMPUTED_VALUE"""),"Chocolate Mousse+5*Vivek Kumar")</f>
        <v>Chocolate Mousse+5*Vivek Kumar</v>
      </c>
      <c r="F58" s="14">
        <f>IFERROR(__xludf.DUMMYFUNCTION("""COMPUTED_VALUE"""),3.0)</f>
        <v>3</v>
      </c>
      <c r="G58" s="14">
        <f>IFERROR(__xludf.DUMMYFUNCTION("""COMPUTED_VALUE"""),6.0)</f>
        <v>6</v>
      </c>
      <c r="H58" s="14">
        <f>IFERROR(__xludf.DUMMYFUNCTION("""COMPUTED_VALUE"""),2023.0)</f>
        <v>2023</v>
      </c>
      <c r="I58" s="14" t="str">
        <f>IFERROR(__xludf.DUMMYFUNCTION("""COMPUTED_VALUE"""),"COD")</f>
        <v>COD</v>
      </c>
      <c r="J58" s="14" t="str">
        <f>IFERROR(__xludf.DUMMYFUNCTION("""COMPUTED_VALUE"""),"Delivered*Convenience: Easy tracking")</f>
        <v>Delivered*Convenience: Easy tracking</v>
      </c>
      <c r="K58" s="14" t="str">
        <f>IFERROR(__xludf.DUMMYFUNCTION("split(E58,""+"")"),"Chocolate Mousse")</f>
        <v>Chocolate Mousse</v>
      </c>
      <c r="L58" s="14" t="str">
        <f>IFERROR(__xludf.DUMMYFUNCTION("""COMPUTED_VALUE"""),"5*Vivek Kumar")</f>
        <v>5*Vivek Kumar</v>
      </c>
      <c r="M58" s="14">
        <f>IFERROR(__xludf.DUMMYFUNCTION("SPLIT(L58,""*"")"),5.0)</f>
        <v>5</v>
      </c>
      <c r="N58" s="14" t="str">
        <f>IFERROR(__xludf.DUMMYFUNCTION("""COMPUTED_VALUE"""),"Vivek Kumar")</f>
        <v>Vivek Kumar</v>
      </c>
      <c r="O58" s="14" t="str">
        <f>IFERROR(__xludf.DUMMYFUNCTION("split(J58,""*"")"),"Delivered")</f>
        <v>Delivered</v>
      </c>
      <c r="P58" s="14" t="str">
        <f>IFERROR(__xludf.DUMMYFUNCTION("""COMPUTED_VALUE"""),"Convenience: Easy tracking")</f>
        <v>Convenience: Easy tracking</v>
      </c>
      <c r="Q58" s="14" t="str">
        <f>IFERROR(__xludf.DUMMYFUNCTION("split(P58,"":"")"),"Convenience")</f>
        <v>Convenience</v>
      </c>
      <c r="R58" s="14" t="str">
        <f>IFERROR(__xludf.DUMMYFUNCTION("""COMPUTED_VALUE""")," Easy tracking")</f>
        <v> Easy tracking</v>
      </c>
      <c r="S58" s="14" t="str">
        <f t="shared" ref="S58:U58" si="119">trim(B58)</f>
        <v>ord_67227</v>
      </c>
      <c r="T58" s="14" t="str">
        <f t="shared" si="119"/>
        <v>Omkar Mishra</v>
      </c>
      <c r="U58" s="14" t="str">
        <f t="shared" si="119"/>
        <v>Powai</v>
      </c>
      <c r="V58" s="14" t="str">
        <f t="shared" si="4"/>
        <v>Chocolate Mousse</v>
      </c>
      <c r="W58" s="14">
        <f t="shared" si="5"/>
        <v>5</v>
      </c>
      <c r="X58" s="14" t="str">
        <f t="shared" si="6"/>
        <v>Vivek Kumar</v>
      </c>
      <c r="Y58" s="15">
        <f t="shared" si="7"/>
        <v>44991</v>
      </c>
      <c r="Z58" s="14" t="str">
        <f t="shared" si="8"/>
        <v>COD</v>
      </c>
      <c r="AA58" s="14" t="str">
        <f t="shared" si="9"/>
        <v>Delivered</v>
      </c>
      <c r="AB58" s="14" t="str">
        <f t="shared" ref="AB58:AC58" si="120">trim(Q58)</f>
        <v>Convenience</v>
      </c>
      <c r="AC58" s="14" t="str">
        <f t="shared" si="120"/>
        <v>Easy tracking</v>
      </c>
      <c r="AD58" s="8"/>
    </row>
    <row r="59">
      <c r="A59" s="14" t="str">
        <f>IFERROR(__xludf.DUMMYFUNCTION("""COMPUTED_VALUE"""),"//ord_68231//Ishaan Chaturvedi//Bandra//Orange+2*Venu R/11/25/2023//COD//Delivered*Overall Satisfaction: Great service will order again")</f>
        <v>//ord_68231//Ishaan Chaturvedi//Bandra//Orange+2*Venu R/11/25/2023//COD//Delivered*Overall Satisfaction: Great service will order again</v>
      </c>
      <c r="B59" s="14" t="str">
        <f>IFERROR(__xludf.DUMMYFUNCTION("split(A59,""//"")"),"ord_68231")</f>
        <v>ord_68231</v>
      </c>
      <c r="C59" s="14" t="str">
        <f>IFERROR(__xludf.DUMMYFUNCTION("""COMPUTED_VALUE"""),"Ishaan Chaturvedi")</f>
        <v>Ishaan Chaturvedi</v>
      </c>
      <c r="D59" s="14" t="str">
        <f>IFERROR(__xludf.DUMMYFUNCTION("""COMPUTED_VALUE"""),"Bandra")</f>
        <v>Bandra</v>
      </c>
      <c r="E59" s="14" t="str">
        <f>IFERROR(__xludf.DUMMYFUNCTION("""COMPUTED_VALUE"""),"Orange+2*Venu R")</f>
        <v>Orange+2*Venu R</v>
      </c>
      <c r="F59" s="14">
        <f>IFERROR(__xludf.DUMMYFUNCTION("""COMPUTED_VALUE"""),11.0)</f>
        <v>11</v>
      </c>
      <c r="G59" s="14">
        <f>IFERROR(__xludf.DUMMYFUNCTION("""COMPUTED_VALUE"""),25.0)</f>
        <v>25</v>
      </c>
      <c r="H59" s="14">
        <f>IFERROR(__xludf.DUMMYFUNCTION("""COMPUTED_VALUE"""),2023.0)</f>
        <v>2023</v>
      </c>
      <c r="I59" s="14" t="str">
        <f>IFERROR(__xludf.DUMMYFUNCTION("""COMPUTED_VALUE"""),"COD")</f>
        <v>COD</v>
      </c>
      <c r="J59" s="14" t="str">
        <f>IFERROR(__xludf.DUMMYFUNCTION("""COMPUTED_VALUE"""),"Delivered*Overall Satisfaction: Great service will order again")</f>
        <v>Delivered*Overall Satisfaction: Great service will order again</v>
      </c>
      <c r="K59" s="14" t="str">
        <f>IFERROR(__xludf.DUMMYFUNCTION("split(E59,""+"")"),"Orange")</f>
        <v>Orange</v>
      </c>
      <c r="L59" s="14" t="str">
        <f>IFERROR(__xludf.DUMMYFUNCTION("""COMPUTED_VALUE"""),"2*Venu R")</f>
        <v>2*Venu R</v>
      </c>
      <c r="M59" s="14">
        <f>IFERROR(__xludf.DUMMYFUNCTION("SPLIT(L59,""*"")"),2.0)</f>
        <v>2</v>
      </c>
      <c r="N59" s="14" t="str">
        <f>IFERROR(__xludf.DUMMYFUNCTION("""COMPUTED_VALUE"""),"Venu R")</f>
        <v>Venu R</v>
      </c>
      <c r="O59" s="14" t="str">
        <f>IFERROR(__xludf.DUMMYFUNCTION("split(J59,""*"")"),"Delivered")</f>
        <v>Delivered</v>
      </c>
      <c r="P59" s="14" t="str">
        <f>IFERROR(__xludf.DUMMYFUNCTION("""COMPUTED_VALUE"""),"Overall Satisfaction: Great service will order again")</f>
        <v>Overall Satisfaction: Great service will order again</v>
      </c>
      <c r="Q59" s="14" t="str">
        <f>IFERROR(__xludf.DUMMYFUNCTION("split(P59,"":"")"),"Overall Satisfaction")</f>
        <v>Overall Satisfaction</v>
      </c>
      <c r="R59" s="14" t="str">
        <f>IFERROR(__xludf.DUMMYFUNCTION("""COMPUTED_VALUE""")," Great service will order again")</f>
        <v> Great service will order again</v>
      </c>
      <c r="S59" s="14" t="str">
        <f t="shared" ref="S59:U59" si="121">trim(B59)</f>
        <v>ord_68231</v>
      </c>
      <c r="T59" s="14" t="str">
        <f t="shared" si="121"/>
        <v>Ishaan Chaturvedi</v>
      </c>
      <c r="U59" s="14" t="str">
        <f t="shared" si="121"/>
        <v>Bandra</v>
      </c>
      <c r="V59" s="14" t="str">
        <f t="shared" si="4"/>
        <v>Orange</v>
      </c>
      <c r="W59" s="14">
        <f t="shared" si="5"/>
        <v>2</v>
      </c>
      <c r="X59" s="14" t="str">
        <f t="shared" si="6"/>
        <v>Venu R</v>
      </c>
      <c r="Y59" s="15">
        <f t="shared" si="7"/>
        <v>45255</v>
      </c>
      <c r="Z59" s="14" t="str">
        <f t="shared" si="8"/>
        <v>COD</v>
      </c>
      <c r="AA59" s="14" t="str">
        <f t="shared" si="9"/>
        <v>Delivered</v>
      </c>
      <c r="AB59" s="14" t="str">
        <f t="shared" ref="AB59:AC59" si="122">trim(Q59)</f>
        <v>Overall Satisfaction</v>
      </c>
      <c r="AC59" s="14" t="str">
        <f t="shared" si="122"/>
        <v>Great service will order again</v>
      </c>
      <c r="AD59" s="8"/>
    </row>
    <row r="60">
      <c r="A60" s="14" t="str">
        <f>IFERROR(__xludf.DUMMYFUNCTION("""COMPUTED_VALUE"""),"//ord_69235//Kritika Shetty//Malad//Guava+1*Vivek Kumar/10/17/2023//Credit Card//Cancelled*Delayed Delivery:Vehicle Breakdown")</f>
        <v>//ord_69235//Kritika Shetty//Malad//Guava+1*Vivek Kumar/10/17/2023//Credit Card//Cancelled*Delayed Delivery:Vehicle Breakdown</v>
      </c>
      <c r="B60" s="14" t="str">
        <f>IFERROR(__xludf.DUMMYFUNCTION("split(A60,""//"")"),"ord_69235")</f>
        <v>ord_69235</v>
      </c>
      <c r="C60" s="14" t="str">
        <f>IFERROR(__xludf.DUMMYFUNCTION("""COMPUTED_VALUE"""),"Kritika Shetty")</f>
        <v>Kritika Shetty</v>
      </c>
      <c r="D60" s="14" t="str">
        <f>IFERROR(__xludf.DUMMYFUNCTION("""COMPUTED_VALUE"""),"Malad")</f>
        <v>Malad</v>
      </c>
      <c r="E60" s="14" t="str">
        <f>IFERROR(__xludf.DUMMYFUNCTION("""COMPUTED_VALUE"""),"Guava+1*Vivek Kumar")</f>
        <v>Guava+1*Vivek Kumar</v>
      </c>
      <c r="F60" s="14">
        <f>IFERROR(__xludf.DUMMYFUNCTION("""COMPUTED_VALUE"""),10.0)</f>
        <v>10</v>
      </c>
      <c r="G60" s="14">
        <f>IFERROR(__xludf.DUMMYFUNCTION("""COMPUTED_VALUE"""),17.0)</f>
        <v>17</v>
      </c>
      <c r="H60" s="14">
        <f>IFERROR(__xludf.DUMMYFUNCTION("""COMPUTED_VALUE"""),2023.0)</f>
        <v>2023</v>
      </c>
      <c r="I60" s="14" t="str">
        <f>IFERROR(__xludf.DUMMYFUNCTION("""COMPUTED_VALUE"""),"Credit Card")</f>
        <v>Credit Card</v>
      </c>
      <c r="J60" s="14" t="str">
        <f>IFERROR(__xludf.DUMMYFUNCTION("""COMPUTED_VALUE"""),"Cancelled*Delayed Delivery:Vehicle Breakdown")</f>
        <v>Cancelled*Delayed Delivery:Vehicle Breakdown</v>
      </c>
      <c r="K60" s="14" t="str">
        <f>IFERROR(__xludf.DUMMYFUNCTION("split(E60,""+"")"),"Guava")</f>
        <v>Guava</v>
      </c>
      <c r="L60" s="14" t="str">
        <f>IFERROR(__xludf.DUMMYFUNCTION("""COMPUTED_VALUE"""),"1*Vivek Kumar")</f>
        <v>1*Vivek Kumar</v>
      </c>
      <c r="M60" s="14">
        <f>IFERROR(__xludf.DUMMYFUNCTION("SPLIT(L60,""*"")"),1.0)</f>
        <v>1</v>
      </c>
      <c r="N60" s="14" t="str">
        <f>IFERROR(__xludf.DUMMYFUNCTION("""COMPUTED_VALUE"""),"Vivek Kumar")</f>
        <v>Vivek Kumar</v>
      </c>
      <c r="O60" s="14" t="str">
        <f>IFERROR(__xludf.DUMMYFUNCTION("split(J60,""*"")"),"Cancelled")</f>
        <v>Cancelled</v>
      </c>
      <c r="P60" s="14" t="str">
        <f>IFERROR(__xludf.DUMMYFUNCTION("""COMPUTED_VALUE"""),"Delayed Delivery:Vehicle Breakdown")</f>
        <v>Delayed Delivery:Vehicle Breakdown</v>
      </c>
      <c r="Q60" s="14" t="str">
        <f>IFERROR(__xludf.DUMMYFUNCTION("split(P60,"":"")"),"Delayed Delivery")</f>
        <v>Delayed Delivery</v>
      </c>
      <c r="R60" s="14" t="str">
        <f>IFERROR(__xludf.DUMMYFUNCTION("""COMPUTED_VALUE"""),"Vehicle Breakdown")</f>
        <v>Vehicle Breakdown</v>
      </c>
      <c r="S60" s="14" t="str">
        <f t="shared" ref="S60:U60" si="123">trim(B60)</f>
        <v>ord_69235</v>
      </c>
      <c r="T60" s="14" t="str">
        <f t="shared" si="123"/>
        <v>Kritika Shetty</v>
      </c>
      <c r="U60" s="14" t="str">
        <f t="shared" si="123"/>
        <v>Malad</v>
      </c>
      <c r="V60" s="14" t="str">
        <f t="shared" si="4"/>
        <v>Guava</v>
      </c>
      <c r="W60" s="14">
        <f t="shared" si="5"/>
        <v>1</v>
      </c>
      <c r="X60" s="14" t="str">
        <f t="shared" si="6"/>
        <v>Vivek Kumar</v>
      </c>
      <c r="Y60" s="15">
        <f t="shared" si="7"/>
        <v>45216</v>
      </c>
      <c r="Z60" s="14" t="str">
        <f t="shared" si="8"/>
        <v>Credit Card</v>
      </c>
      <c r="AA60" s="14" t="str">
        <f t="shared" si="9"/>
        <v>Cancelled</v>
      </c>
      <c r="AB60" s="14" t="str">
        <f t="shared" ref="AB60:AC60" si="124">trim(Q60)</f>
        <v>Delayed Delivery</v>
      </c>
      <c r="AC60" s="14" t="str">
        <f t="shared" si="124"/>
        <v>Vehicle Breakdown</v>
      </c>
      <c r="AD60" s="8"/>
    </row>
    <row r="61">
      <c r="A61" s="14" t="str">
        <f>IFERROR(__xludf.DUMMYFUNCTION("""COMPUTED_VALUE"""),"//ord_70239//Siya Reddy//Juhu//Tomato+2*Nikhil Deshmukh/3/10/2023//Credit Card//Cancelled*Delayed Delivery:Heavy Traffic")</f>
        <v>//ord_70239//Siya Reddy//Juhu//Tomato+2*Nikhil Deshmukh/3/10/2023//Credit Card//Cancelled*Delayed Delivery:Heavy Traffic</v>
      </c>
      <c r="B61" s="14" t="str">
        <f>IFERROR(__xludf.DUMMYFUNCTION("split(A61,""//"")"),"ord_70239")</f>
        <v>ord_70239</v>
      </c>
      <c r="C61" s="14" t="str">
        <f>IFERROR(__xludf.DUMMYFUNCTION("""COMPUTED_VALUE"""),"Siya Reddy")</f>
        <v>Siya Reddy</v>
      </c>
      <c r="D61" s="14" t="str">
        <f>IFERROR(__xludf.DUMMYFUNCTION("""COMPUTED_VALUE"""),"Juhu")</f>
        <v>Juhu</v>
      </c>
      <c r="E61" s="14" t="str">
        <f>IFERROR(__xludf.DUMMYFUNCTION("""COMPUTED_VALUE"""),"Tomato+2*Nikhil Deshmukh")</f>
        <v>Tomato+2*Nikhil Deshmukh</v>
      </c>
      <c r="F61" s="14">
        <f>IFERROR(__xludf.DUMMYFUNCTION("""COMPUTED_VALUE"""),3.0)</f>
        <v>3</v>
      </c>
      <c r="G61" s="14">
        <f>IFERROR(__xludf.DUMMYFUNCTION("""COMPUTED_VALUE"""),10.0)</f>
        <v>10</v>
      </c>
      <c r="H61" s="14">
        <f>IFERROR(__xludf.DUMMYFUNCTION("""COMPUTED_VALUE"""),2023.0)</f>
        <v>2023</v>
      </c>
      <c r="I61" s="14" t="str">
        <f>IFERROR(__xludf.DUMMYFUNCTION("""COMPUTED_VALUE"""),"Credit Card")</f>
        <v>Credit Card</v>
      </c>
      <c r="J61" s="14" t="str">
        <f>IFERROR(__xludf.DUMMYFUNCTION("""COMPUTED_VALUE"""),"Cancelled*Delayed Delivery:Heavy Traffic")</f>
        <v>Cancelled*Delayed Delivery:Heavy Traffic</v>
      </c>
      <c r="K61" s="14" t="str">
        <f>IFERROR(__xludf.DUMMYFUNCTION("split(E61,""+"")"),"Tomato")</f>
        <v>Tomato</v>
      </c>
      <c r="L61" s="14" t="str">
        <f>IFERROR(__xludf.DUMMYFUNCTION("""COMPUTED_VALUE"""),"2*Nikhil Deshmukh")</f>
        <v>2*Nikhil Deshmukh</v>
      </c>
      <c r="M61" s="14">
        <f>IFERROR(__xludf.DUMMYFUNCTION("SPLIT(L61,""*"")"),2.0)</f>
        <v>2</v>
      </c>
      <c r="N61" s="14" t="str">
        <f>IFERROR(__xludf.DUMMYFUNCTION("""COMPUTED_VALUE"""),"Nikhil Deshmukh")</f>
        <v>Nikhil Deshmukh</v>
      </c>
      <c r="O61" s="14" t="str">
        <f>IFERROR(__xludf.DUMMYFUNCTION("split(J61,""*"")"),"Cancelled")</f>
        <v>Cancelled</v>
      </c>
      <c r="P61" s="14" t="str">
        <f>IFERROR(__xludf.DUMMYFUNCTION("""COMPUTED_VALUE"""),"Delayed Delivery:Heavy Traffic")</f>
        <v>Delayed Delivery:Heavy Traffic</v>
      </c>
      <c r="Q61" s="14" t="str">
        <f>IFERROR(__xludf.DUMMYFUNCTION("split(P61,"":"")"),"Delayed Delivery")</f>
        <v>Delayed Delivery</v>
      </c>
      <c r="R61" s="14" t="str">
        <f>IFERROR(__xludf.DUMMYFUNCTION("""COMPUTED_VALUE"""),"Heavy Traffic")</f>
        <v>Heavy Traffic</v>
      </c>
      <c r="S61" s="14" t="str">
        <f t="shared" ref="S61:U61" si="125">trim(B61)</f>
        <v>ord_70239</v>
      </c>
      <c r="T61" s="14" t="str">
        <f t="shared" si="125"/>
        <v>Siya Reddy</v>
      </c>
      <c r="U61" s="14" t="str">
        <f t="shared" si="125"/>
        <v>Juhu</v>
      </c>
      <c r="V61" s="14" t="str">
        <f t="shared" si="4"/>
        <v>Tomato</v>
      </c>
      <c r="W61" s="14">
        <f t="shared" si="5"/>
        <v>2</v>
      </c>
      <c r="X61" s="14" t="str">
        <f t="shared" si="6"/>
        <v>Nikhil Deshmukh</v>
      </c>
      <c r="Y61" s="15">
        <f t="shared" si="7"/>
        <v>44995</v>
      </c>
      <c r="Z61" s="14" t="str">
        <f t="shared" si="8"/>
        <v>Credit Card</v>
      </c>
      <c r="AA61" s="14" t="str">
        <f t="shared" si="9"/>
        <v>Cancelled</v>
      </c>
      <c r="AB61" s="14" t="str">
        <f t="shared" ref="AB61:AC61" si="126">trim(Q61)</f>
        <v>Delayed Delivery</v>
      </c>
      <c r="AC61" s="14" t="str">
        <f t="shared" si="126"/>
        <v>Heavy Traffic</v>
      </c>
      <c r="AD61" s="8"/>
    </row>
    <row r="62">
      <c r="A62" s="14" t="str">
        <f>IFERROR(__xludf.DUMMYFUNCTION("""COMPUTED_VALUE"""),"//ord_71243//Sanjay Nair//Dadar//Chilli Cheese Toast+3*Ramesh S/10/26/2023//Online Payment//Delivered*On-time Delivery: Delivered on time")</f>
        <v>//ord_71243//Sanjay Nair//Dadar//Chilli Cheese Toast+3*Ramesh S/10/26/2023//Online Payment//Delivered*On-time Delivery: Delivered on time</v>
      </c>
      <c r="B62" s="14" t="str">
        <f>IFERROR(__xludf.DUMMYFUNCTION("split(A62,""//"")"),"ord_71243")</f>
        <v>ord_71243</v>
      </c>
      <c r="C62" s="14" t="str">
        <f>IFERROR(__xludf.DUMMYFUNCTION("""COMPUTED_VALUE"""),"Sanjay Nair")</f>
        <v>Sanjay Nair</v>
      </c>
      <c r="D62" s="14" t="str">
        <f>IFERROR(__xludf.DUMMYFUNCTION("""COMPUTED_VALUE"""),"Dadar")</f>
        <v>Dadar</v>
      </c>
      <c r="E62" s="14" t="str">
        <f>IFERROR(__xludf.DUMMYFUNCTION("""COMPUTED_VALUE"""),"Chilli Cheese Toast+3*Ramesh S")</f>
        <v>Chilli Cheese Toast+3*Ramesh S</v>
      </c>
      <c r="F62" s="14">
        <f>IFERROR(__xludf.DUMMYFUNCTION("""COMPUTED_VALUE"""),10.0)</f>
        <v>10</v>
      </c>
      <c r="G62" s="14">
        <f>IFERROR(__xludf.DUMMYFUNCTION("""COMPUTED_VALUE"""),26.0)</f>
        <v>26</v>
      </c>
      <c r="H62" s="14">
        <f>IFERROR(__xludf.DUMMYFUNCTION("""COMPUTED_VALUE"""),2023.0)</f>
        <v>2023</v>
      </c>
      <c r="I62" s="14" t="str">
        <f>IFERROR(__xludf.DUMMYFUNCTION("""COMPUTED_VALUE"""),"Online Payment")</f>
        <v>Online Payment</v>
      </c>
      <c r="J62" s="14" t="str">
        <f>IFERROR(__xludf.DUMMYFUNCTION("""COMPUTED_VALUE"""),"Delivered*On-time Delivery: Delivered on time")</f>
        <v>Delivered*On-time Delivery: Delivered on time</v>
      </c>
      <c r="K62" s="14" t="str">
        <f>IFERROR(__xludf.DUMMYFUNCTION("split(E62,""+"")"),"Chilli Cheese Toast")</f>
        <v>Chilli Cheese Toast</v>
      </c>
      <c r="L62" s="14" t="str">
        <f>IFERROR(__xludf.DUMMYFUNCTION("""COMPUTED_VALUE"""),"3*Ramesh S")</f>
        <v>3*Ramesh S</v>
      </c>
      <c r="M62" s="14">
        <f>IFERROR(__xludf.DUMMYFUNCTION("SPLIT(L62,""*"")"),3.0)</f>
        <v>3</v>
      </c>
      <c r="N62" s="14" t="str">
        <f>IFERROR(__xludf.DUMMYFUNCTION("""COMPUTED_VALUE"""),"Ramesh S")</f>
        <v>Ramesh S</v>
      </c>
      <c r="O62" s="14" t="str">
        <f>IFERROR(__xludf.DUMMYFUNCTION("split(J62,""*"")"),"Delivered")</f>
        <v>Delivered</v>
      </c>
      <c r="P62" s="14" t="str">
        <f>IFERROR(__xludf.DUMMYFUNCTION("""COMPUTED_VALUE"""),"On-time Delivery: Delivered on time")</f>
        <v>On-time Delivery: Delivered on time</v>
      </c>
      <c r="Q62" s="14" t="str">
        <f>IFERROR(__xludf.DUMMYFUNCTION("split(P62,"":"")"),"On-time Delivery")</f>
        <v>On-time Delivery</v>
      </c>
      <c r="R62" s="14" t="str">
        <f>IFERROR(__xludf.DUMMYFUNCTION("""COMPUTED_VALUE""")," Delivered on time")</f>
        <v> Delivered on time</v>
      </c>
      <c r="S62" s="14" t="str">
        <f t="shared" ref="S62:U62" si="127">trim(B62)</f>
        <v>ord_71243</v>
      </c>
      <c r="T62" s="14" t="str">
        <f t="shared" si="127"/>
        <v>Sanjay Nair</v>
      </c>
      <c r="U62" s="14" t="str">
        <f t="shared" si="127"/>
        <v>Dadar</v>
      </c>
      <c r="V62" s="14" t="str">
        <f t="shared" si="4"/>
        <v>Chilli Cheese Toast</v>
      </c>
      <c r="W62" s="14">
        <f t="shared" si="5"/>
        <v>3</v>
      </c>
      <c r="X62" s="14" t="str">
        <f t="shared" si="6"/>
        <v>Ramesh S</v>
      </c>
      <c r="Y62" s="15">
        <f t="shared" si="7"/>
        <v>45225</v>
      </c>
      <c r="Z62" s="14" t="str">
        <f t="shared" si="8"/>
        <v>Online Payment</v>
      </c>
      <c r="AA62" s="14" t="str">
        <f t="shared" si="9"/>
        <v>Delivered</v>
      </c>
      <c r="AB62" s="14" t="str">
        <f t="shared" ref="AB62:AC62" si="128">trim(Q62)</f>
        <v>On-time Delivery</v>
      </c>
      <c r="AC62" s="14" t="str">
        <f t="shared" si="128"/>
        <v>Delivered on time</v>
      </c>
      <c r="AD62" s="8"/>
    </row>
    <row r="63">
      <c r="A63" s="14" t="str">
        <f>IFERROR(__xludf.DUMMYFUNCTION("""COMPUTED_VALUE"""),"//ord_72247//Omkar Mishra//Powai//Potato+1*Manju Ajay/7/20/2023//Credit Card//Delivered*Quality of Items: Perfect condition")</f>
        <v>//ord_72247//Omkar Mishra//Powai//Potato+1*Manju Ajay/7/20/2023//Credit Card//Delivered*Quality of Items: Perfect condition</v>
      </c>
      <c r="B63" s="14" t="str">
        <f>IFERROR(__xludf.DUMMYFUNCTION("split(A63,""//"")"),"ord_72247")</f>
        <v>ord_72247</v>
      </c>
      <c r="C63" s="14" t="str">
        <f>IFERROR(__xludf.DUMMYFUNCTION("""COMPUTED_VALUE"""),"Omkar Mishra")</f>
        <v>Omkar Mishra</v>
      </c>
      <c r="D63" s="14" t="str">
        <f>IFERROR(__xludf.DUMMYFUNCTION("""COMPUTED_VALUE"""),"Powai")</f>
        <v>Powai</v>
      </c>
      <c r="E63" s="14" t="str">
        <f>IFERROR(__xludf.DUMMYFUNCTION("""COMPUTED_VALUE"""),"Potato+1*Manju Ajay")</f>
        <v>Potato+1*Manju Ajay</v>
      </c>
      <c r="F63" s="14">
        <f>IFERROR(__xludf.DUMMYFUNCTION("""COMPUTED_VALUE"""),7.0)</f>
        <v>7</v>
      </c>
      <c r="G63" s="14">
        <f>IFERROR(__xludf.DUMMYFUNCTION("""COMPUTED_VALUE"""),20.0)</f>
        <v>20</v>
      </c>
      <c r="H63" s="14">
        <f>IFERROR(__xludf.DUMMYFUNCTION("""COMPUTED_VALUE"""),2023.0)</f>
        <v>2023</v>
      </c>
      <c r="I63" s="14" t="str">
        <f>IFERROR(__xludf.DUMMYFUNCTION("""COMPUTED_VALUE"""),"Credit Card")</f>
        <v>Credit Card</v>
      </c>
      <c r="J63" s="14" t="str">
        <f>IFERROR(__xludf.DUMMYFUNCTION("""COMPUTED_VALUE"""),"Delivered*Quality of Items: Perfect condition")</f>
        <v>Delivered*Quality of Items: Perfect condition</v>
      </c>
      <c r="K63" s="14" t="str">
        <f>IFERROR(__xludf.DUMMYFUNCTION("split(E63,""+"")"),"Potato")</f>
        <v>Potato</v>
      </c>
      <c r="L63" s="14" t="str">
        <f>IFERROR(__xludf.DUMMYFUNCTION("""COMPUTED_VALUE"""),"1*Manju Ajay")</f>
        <v>1*Manju Ajay</v>
      </c>
      <c r="M63" s="14">
        <f>IFERROR(__xludf.DUMMYFUNCTION("SPLIT(L63,""*"")"),1.0)</f>
        <v>1</v>
      </c>
      <c r="N63" s="14" t="str">
        <f>IFERROR(__xludf.DUMMYFUNCTION("""COMPUTED_VALUE"""),"Manju Ajay")</f>
        <v>Manju Ajay</v>
      </c>
      <c r="O63" s="14" t="str">
        <f>IFERROR(__xludf.DUMMYFUNCTION("split(J63,""*"")"),"Delivered")</f>
        <v>Delivered</v>
      </c>
      <c r="P63" s="14" t="str">
        <f>IFERROR(__xludf.DUMMYFUNCTION("""COMPUTED_VALUE"""),"Quality of Items: Perfect condition")</f>
        <v>Quality of Items: Perfect condition</v>
      </c>
      <c r="Q63" s="14" t="str">
        <f>IFERROR(__xludf.DUMMYFUNCTION("split(P63,"":"")"),"Quality of Items")</f>
        <v>Quality of Items</v>
      </c>
      <c r="R63" s="14" t="str">
        <f>IFERROR(__xludf.DUMMYFUNCTION("""COMPUTED_VALUE""")," Perfect condition")</f>
        <v> Perfect condition</v>
      </c>
      <c r="S63" s="14" t="str">
        <f t="shared" ref="S63:U63" si="129">trim(B63)</f>
        <v>ord_72247</v>
      </c>
      <c r="T63" s="14" t="str">
        <f t="shared" si="129"/>
        <v>Omkar Mishra</v>
      </c>
      <c r="U63" s="14" t="str">
        <f t="shared" si="129"/>
        <v>Powai</v>
      </c>
      <c r="V63" s="14" t="str">
        <f t="shared" si="4"/>
        <v>Potato</v>
      </c>
      <c r="W63" s="14">
        <f t="shared" si="5"/>
        <v>1</v>
      </c>
      <c r="X63" s="14" t="str">
        <f t="shared" si="6"/>
        <v>Manju Ajay</v>
      </c>
      <c r="Y63" s="15">
        <f t="shared" si="7"/>
        <v>45127</v>
      </c>
      <c r="Z63" s="14" t="str">
        <f t="shared" si="8"/>
        <v>Credit Card</v>
      </c>
      <c r="AA63" s="14" t="str">
        <f t="shared" si="9"/>
        <v>Delivered</v>
      </c>
      <c r="AB63" s="14" t="str">
        <f t="shared" ref="AB63:AC63" si="130">trim(Q63)</f>
        <v>Quality of Items</v>
      </c>
      <c r="AC63" s="14" t="str">
        <f t="shared" si="130"/>
        <v>Perfect condition</v>
      </c>
      <c r="AD63" s="8"/>
    </row>
    <row r="64">
      <c r="A64" s="14" t="str">
        <f>IFERROR(__xludf.DUMMYFUNCTION("""COMPUTED_VALUE"""),"//ord_73251//Kritika Shetty//Malad//Papaya+1*Neha Shah/6/17/2023//Credit Card//Delivered*Packaging: Secure and intact")</f>
        <v>//ord_73251//Kritika Shetty//Malad//Papaya+1*Neha Shah/6/17/2023//Credit Card//Delivered*Packaging: Secure and intact</v>
      </c>
      <c r="B64" s="14" t="str">
        <f>IFERROR(__xludf.DUMMYFUNCTION("split(A64,""//"")"),"ord_73251")</f>
        <v>ord_73251</v>
      </c>
      <c r="C64" s="14" t="str">
        <f>IFERROR(__xludf.DUMMYFUNCTION("""COMPUTED_VALUE"""),"Kritika Shetty")</f>
        <v>Kritika Shetty</v>
      </c>
      <c r="D64" s="14" t="str">
        <f>IFERROR(__xludf.DUMMYFUNCTION("""COMPUTED_VALUE"""),"Malad")</f>
        <v>Malad</v>
      </c>
      <c r="E64" s="14" t="str">
        <f>IFERROR(__xludf.DUMMYFUNCTION("""COMPUTED_VALUE"""),"Papaya+1*Neha Shah")</f>
        <v>Papaya+1*Neha Shah</v>
      </c>
      <c r="F64" s="14">
        <f>IFERROR(__xludf.DUMMYFUNCTION("""COMPUTED_VALUE"""),6.0)</f>
        <v>6</v>
      </c>
      <c r="G64" s="14">
        <f>IFERROR(__xludf.DUMMYFUNCTION("""COMPUTED_VALUE"""),17.0)</f>
        <v>17</v>
      </c>
      <c r="H64" s="14">
        <f>IFERROR(__xludf.DUMMYFUNCTION("""COMPUTED_VALUE"""),2023.0)</f>
        <v>2023</v>
      </c>
      <c r="I64" s="14" t="str">
        <f>IFERROR(__xludf.DUMMYFUNCTION("""COMPUTED_VALUE"""),"Credit Card")</f>
        <v>Credit Card</v>
      </c>
      <c r="J64" s="14" t="str">
        <f>IFERROR(__xludf.DUMMYFUNCTION("""COMPUTED_VALUE"""),"Delivered*Packaging: Secure and intact")</f>
        <v>Delivered*Packaging: Secure and intact</v>
      </c>
      <c r="K64" s="14" t="str">
        <f>IFERROR(__xludf.DUMMYFUNCTION("split(E64,""+"")"),"Papaya")</f>
        <v>Papaya</v>
      </c>
      <c r="L64" s="14" t="str">
        <f>IFERROR(__xludf.DUMMYFUNCTION("""COMPUTED_VALUE"""),"1*Neha Shah")</f>
        <v>1*Neha Shah</v>
      </c>
      <c r="M64" s="14">
        <f>IFERROR(__xludf.DUMMYFUNCTION("SPLIT(L64,""*"")"),1.0)</f>
        <v>1</v>
      </c>
      <c r="N64" s="14" t="str">
        <f>IFERROR(__xludf.DUMMYFUNCTION("""COMPUTED_VALUE"""),"Neha Shah")</f>
        <v>Neha Shah</v>
      </c>
      <c r="O64" s="14" t="str">
        <f>IFERROR(__xludf.DUMMYFUNCTION("split(J64,""*"")"),"Delivered")</f>
        <v>Delivered</v>
      </c>
      <c r="P64" s="14" t="str">
        <f>IFERROR(__xludf.DUMMYFUNCTION("""COMPUTED_VALUE"""),"Packaging: Secure and intact")</f>
        <v>Packaging: Secure and intact</v>
      </c>
      <c r="Q64" s="14" t="str">
        <f>IFERROR(__xludf.DUMMYFUNCTION("split(P64,"":"")"),"Packaging")</f>
        <v>Packaging</v>
      </c>
      <c r="R64" s="14" t="str">
        <f>IFERROR(__xludf.DUMMYFUNCTION("""COMPUTED_VALUE""")," Secure and intact")</f>
        <v> Secure and intact</v>
      </c>
      <c r="S64" s="14" t="str">
        <f t="shared" ref="S64:U64" si="131">trim(B64)</f>
        <v>ord_73251</v>
      </c>
      <c r="T64" s="14" t="str">
        <f t="shared" si="131"/>
        <v>Kritika Shetty</v>
      </c>
      <c r="U64" s="14" t="str">
        <f t="shared" si="131"/>
        <v>Malad</v>
      </c>
      <c r="V64" s="14" t="str">
        <f t="shared" si="4"/>
        <v>Papaya</v>
      </c>
      <c r="W64" s="14">
        <f t="shared" si="5"/>
        <v>1</v>
      </c>
      <c r="X64" s="14" t="str">
        <f t="shared" si="6"/>
        <v>Neha Shah</v>
      </c>
      <c r="Y64" s="15">
        <f t="shared" si="7"/>
        <v>45094</v>
      </c>
      <c r="Z64" s="14" t="str">
        <f t="shared" si="8"/>
        <v>Credit Card</v>
      </c>
      <c r="AA64" s="14" t="str">
        <f t="shared" si="9"/>
        <v>Delivered</v>
      </c>
      <c r="AB64" s="14" t="str">
        <f t="shared" ref="AB64:AC64" si="132">trim(Q64)</f>
        <v>Packaging</v>
      </c>
      <c r="AC64" s="14" t="str">
        <f t="shared" si="132"/>
        <v>Secure and intact</v>
      </c>
      <c r="AD64" s="8"/>
    </row>
    <row r="65">
      <c r="A65" s="14" t="str">
        <f>IFERROR(__xludf.DUMMYFUNCTION("""COMPUTED_VALUE"""),"//ord_74255//Aarohi Kapoor//Bandra//Rasmalai+2*Shine Thomas/6/22/2023//UPI//Delivered*Satisfied with the Delivery: Timely and quality")</f>
        <v>//ord_74255//Aarohi Kapoor//Bandra//Rasmalai+2*Shine Thomas/6/22/2023//UPI//Delivered*Satisfied with the Delivery: Timely and quality</v>
      </c>
      <c r="B65" s="14" t="str">
        <f>IFERROR(__xludf.DUMMYFUNCTION("split(A65,""//"")"),"ord_74255")</f>
        <v>ord_74255</v>
      </c>
      <c r="C65" s="14" t="str">
        <f>IFERROR(__xludf.DUMMYFUNCTION("""COMPUTED_VALUE"""),"Aarohi Kapoor")</f>
        <v>Aarohi Kapoor</v>
      </c>
      <c r="D65" s="14" t="str">
        <f>IFERROR(__xludf.DUMMYFUNCTION("""COMPUTED_VALUE"""),"Bandra")</f>
        <v>Bandra</v>
      </c>
      <c r="E65" s="14" t="str">
        <f>IFERROR(__xludf.DUMMYFUNCTION("""COMPUTED_VALUE"""),"Rasmalai+2*Shine Thomas")</f>
        <v>Rasmalai+2*Shine Thomas</v>
      </c>
      <c r="F65" s="14">
        <f>IFERROR(__xludf.DUMMYFUNCTION("""COMPUTED_VALUE"""),6.0)</f>
        <v>6</v>
      </c>
      <c r="G65" s="14">
        <f>IFERROR(__xludf.DUMMYFUNCTION("""COMPUTED_VALUE"""),22.0)</f>
        <v>22</v>
      </c>
      <c r="H65" s="14">
        <f>IFERROR(__xludf.DUMMYFUNCTION("""COMPUTED_VALUE"""),2023.0)</f>
        <v>2023</v>
      </c>
      <c r="I65" s="14" t="str">
        <f>IFERROR(__xludf.DUMMYFUNCTION("""COMPUTED_VALUE"""),"UPI")</f>
        <v>UPI</v>
      </c>
      <c r="J65" s="14" t="str">
        <f>IFERROR(__xludf.DUMMYFUNCTION("""COMPUTED_VALUE"""),"Delivered*Satisfied with the Delivery: Timely and quality")</f>
        <v>Delivered*Satisfied with the Delivery: Timely and quality</v>
      </c>
      <c r="K65" s="14" t="str">
        <f>IFERROR(__xludf.DUMMYFUNCTION("split(E65,""+"")"),"Rasmalai")</f>
        <v>Rasmalai</v>
      </c>
      <c r="L65" s="14" t="str">
        <f>IFERROR(__xludf.DUMMYFUNCTION("""COMPUTED_VALUE"""),"2*Shine Thomas")</f>
        <v>2*Shine Thomas</v>
      </c>
      <c r="M65" s="14">
        <f>IFERROR(__xludf.DUMMYFUNCTION("SPLIT(L65,""*"")"),2.0)</f>
        <v>2</v>
      </c>
      <c r="N65" s="14" t="str">
        <f>IFERROR(__xludf.DUMMYFUNCTION("""COMPUTED_VALUE"""),"Shine Thomas")</f>
        <v>Shine Thomas</v>
      </c>
      <c r="O65" s="14" t="str">
        <f>IFERROR(__xludf.DUMMYFUNCTION("split(J65,""*"")"),"Delivered")</f>
        <v>Delivered</v>
      </c>
      <c r="P65" s="14" t="str">
        <f>IFERROR(__xludf.DUMMYFUNCTION("""COMPUTED_VALUE"""),"Satisfied with the Delivery: Timely and quality")</f>
        <v>Satisfied with the Delivery: Timely and quality</v>
      </c>
      <c r="Q65" s="14" t="str">
        <f>IFERROR(__xludf.DUMMYFUNCTION("split(P65,"":"")"),"Satisfied with the Delivery")</f>
        <v>Satisfied with the Delivery</v>
      </c>
      <c r="R65" s="14" t="str">
        <f>IFERROR(__xludf.DUMMYFUNCTION("""COMPUTED_VALUE""")," Timely and quality")</f>
        <v> Timely and quality</v>
      </c>
      <c r="S65" s="14" t="str">
        <f t="shared" ref="S65:U65" si="133">trim(B65)</f>
        <v>ord_74255</v>
      </c>
      <c r="T65" s="14" t="str">
        <f t="shared" si="133"/>
        <v>Aarohi Kapoor</v>
      </c>
      <c r="U65" s="14" t="str">
        <f t="shared" si="133"/>
        <v>Bandra</v>
      </c>
      <c r="V65" s="14" t="str">
        <f t="shared" si="4"/>
        <v>Rasmalai</v>
      </c>
      <c r="W65" s="14">
        <f t="shared" si="5"/>
        <v>2</v>
      </c>
      <c r="X65" s="14" t="str">
        <f t="shared" si="6"/>
        <v>Shine Thomas</v>
      </c>
      <c r="Y65" s="15">
        <f t="shared" si="7"/>
        <v>45099</v>
      </c>
      <c r="Z65" s="14" t="str">
        <f t="shared" si="8"/>
        <v>UPI</v>
      </c>
      <c r="AA65" s="14" t="str">
        <f t="shared" si="9"/>
        <v>Delivered</v>
      </c>
      <c r="AB65" s="14" t="str">
        <f t="shared" ref="AB65:AC65" si="134">trim(Q65)</f>
        <v>Satisfied with the Delivery</v>
      </c>
      <c r="AC65" s="14" t="str">
        <f t="shared" si="134"/>
        <v>Timely and quality</v>
      </c>
      <c r="AD65" s="8"/>
    </row>
    <row r="66">
      <c r="A66" s="14" t="str">
        <f>IFERROR(__xludf.DUMMYFUNCTION("""COMPUTED_VALUE"""),"//ord_75259//Sakshi Tandon//Colaba//Popcorn+3*Vivek Kumar/3/12/2023//UPI//Delivered*Customer Service: Seamless and easy")</f>
        <v>//ord_75259//Sakshi Tandon//Colaba//Popcorn+3*Vivek Kumar/3/12/2023//UPI//Delivered*Customer Service: Seamless and easy</v>
      </c>
      <c r="B66" s="14" t="str">
        <f>IFERROR(__xludf.DUMMYFUNCTION("split(A66,""//"")"),"ord_75259")</f>
        <v>ord_75259</v>
      </c>
      <c r="C66" s="14" t="str">
        <f>IFERROR(__xludf.DUMMYFUNCTION("""COMPUTED_VALUE"""),"Sakshi Tandon")</f>
        <v>Sakshi Tandon</v>
      </c>
      <c r="D66" s="14" t="str">
        <f>IFERROR(__xludf.DUMMYFUNCTION("""COMPUTED_VALUE"""),"Colaba")</f>
        <v>Colaba</v>
      </c>
      <c r="E66" s="14" t="str">
        <f>IFERROR(__xludf.DUMMYFUNCTION("""COMPUTED_VALUE"""),"Popcorn+3*Vivek Kumar")</f>
        <v>Popcorn+3*Vivek Kumar</v>
      </c>
      <c r="F66" s="14">
        <f>IFERROR(__xludf.DUMMYFUNCTION("""COMPUTED_VALUE"""),3.0)</f>
        <v>3</v>
      </c>
      <c r="G66" s="14">
        <f>IFERROR(__xludf.DUMMYFUNCTION("""COMPUTED_VALUE"""),12.0)</f>
        <v>12</v>
      </c>
      <c r="H66" s="14">
        <f>IFERROR(__xludf.DUMMYFUNCTION("""COMPUTED_VALUE"""),2023.0)</f>
        <v>2023</v>
      </c>
      <c r="I66" s="14" t="str">
        <f>IFERROR(__xludf.DUMMYFUNCTION("""COMPUTED_VALUE"""),"UPI")</f>
        <v>UPI</v>
      </c>
      <c r="J66" s="14" t="str">
        <f>IFERROR(__xludf.DUMMYFUNCTION("""COMPUTED_VALUE"""),"Delivered*Customer Service: Seamless and easy")</f>
        <v>Delivered*Customer Service: Seamless and easy</v>
      </c>
      <c r="K66" s="14" t="str">
        <f>IFERROR(__xludf.DUMMYFUNCTION("split(E66,""+"")"),"Popcorn")</f>
        <v>Popcorn</v>
      </c>
      <c r="L66" s="14" t="str">
        <f>IFERROR(__xludf.DUMMYFUNCTION("""COMPUTED_VALUE"""),"3*Vivek Kumar")</f>
        <v>3*Vivek Kumar</v>
      </c>
      <c r="M66" s="14">
        <f>IFERROR(__xludf.DUMMYFUNCTION("SPLIT(L66,""*"")"),3.0)</f>
        <v>3</v>
      </c>
      <c r="N66" s="14" t="str">
        <f>IFERROR(__xludf.DUMMYFUNCTION("""COMPUTED_VALUE"""),"Vivek Kumar")</f>
        <v>Vivek Kumar</v>
      </c>
      <c r="O66" s="14" t="str">
        <f>IFERROR(__xludf.DUMMYFUNCTION("split(J66,""*"")"),"Delivered")</f>
        <v>Delivered</v>
      </c>
      <c r="P66" s="14" t="str">
        <f>IFERROR(__xludf.DUMMYFUNCTION("""COMPUTED_VALUE"""),"Customer Service: Seamless and easy")</f>
        <v>Customer Service: Seamless and easy</v>
      </c>
      <c r="Q66" s="14" t="str">
        <f>IFERROR(__xludf.DUMMYFUNCTION("split(P66,"":"")"),"Customer Service")</f>
        <v>Customer Service</v>
      </c>
      <c r="R66" s="14" t="str">
        <f>IFERROR(__xludf.DUMMYFUNCTION("""COMPUTED_VALUE""")," Seamless and easy")</f>
        <v> Seamless and easy</v>
      </c>
      <c r="S66" s="14" t="str">
        <f t="shared" ref="S66:U66" si="135">trim(B66)</f>
        <v>ord_75259</v>
      </c>
      <c r="T66" s="14" t="str">
        <f t="shared" si="135"/>
        <v>Sakshi Tandon</v>
      </c>
      <c r="U66" s="14" t="str">
        <f t="shared" si="135"/>
        <v>Colaba</v>
      </c>
      <c r="V66" s="14" t="str">
        <f t="shared" si="4"/>
        <v>Popcorn</v>
      </c>
      <c r="W66" s="14">
        <f t="shared" si="5"/>
        <v>3</v>
      </c>
      <c r="X66" s="14" t="str">
        <f t="shared" si="6"/>
        <v>Vivek Kumar</v>
      </c>
      <c r="Y66" s="15">
        <f t="shared" si="7"/>
        <v>44997</v>
      </c>
      <c r="Z66" s="14" t="str">
        <f t="shared" si="8"/>
        <v>UPI</v>
      </c>
      <c r="AA66" s="14" t="str">
        <f t="shared" si="9"/>
        <v>Delivered</v>
      </c>
      <c r="AB66" s="14" t="str">
        <f t="shared" ref="AB66:AC66" si="136">trim(Q66)</f>
        <v>Customer Service</v>
      </c>
      <c r="AC66" s="14" t="str">
        <f t="shared" si="136"/>
        <v>Seamless and easy</v>
      </c>
      <c r="AD66" s="8"/>
    </row>
    <row r="67">
      <c r="A67" s="14" t="str">
        <f>IFERROR(__xludf.DUMMYFUNCTION("""COMPUTED_VALUE"""),"//ord_76263//Sanjay Nair//Dadar//Rasmalai+1*Nithin Lal/6/28/2023//Credit Card//Delivered*Delivery Experience: Quick and professional")</f>
        <v>//ord_76263//Sanjay Nair//Dadar//Rasmalai+1*Nithin Lal/6/28/2023//Credit Card//Delivered*Delivery Experience: Quick and professional</v>
      </c>
      <c r="B67" s="14" t="str">
        <f>IFERROR(__xludf.DUMMYFUNCTION("split(A67,""//"")"),"ord_76263")</f>
        <v>ord_76263</v>
      </c>
      <c r="C67" s="14" t="str">
        <f>IFERROR(__xludf.DUMMYFUNCTION("""COMPUTED_VALUE"""),"Sanjay Nair")</f>
        <v>Sanjay Nair</v>
      </c>
      <c r="D67" s="14" t="str">
        <f>IFERROR(__xludf.DUMMYFUNCTION("""COMPUTED_VALUE"""),"Dadar")</f>
        <v>Dadar</v>
      </c>
      <c r="E67" s="14" t="str">
        <f>IFERROR(__xludf.DUMMYFUNCTION("""COMPUTED_VALUE"""),"Rasmalai+1*Nithin Lal")</f>
        <v>Rasmalai+1*Nithin Lal</v>
      </c>
      <c r="F67" s="14">
        <f>IFERROR(__xludf.DUMMYFUNCTION("""COMPUTED_VALUE"""),6.0)</f>
        <v>6</v>
      </c>
      <c r="G67" s="14">
        <f>IFERROR(__xludf.DUMMYFUNCTION("""COMPUTED_VALUE"""),28.0)</f>
        <v>28</v>
      </c>
      <c r="H67" s="14">
        <f>IFERROR(__xludf.DUMMYFUNCTION("""COMPUTED_VALUE"""),2023.0)</f>
        <v>2023</v>
      </c>
      <c r="I67" s="14" t="str">
        <f>IFERROR(__xludf.DUMMYFUNCTION("""COMPUTED_VALUE"""),"Credit Card")</f>
        <v>Credit Card</v>
      </c>
      <c r="J67" s="14" t="str">
        <f>IFERROR(__xludf.DUMMYFUNCTION("""COMPUTED_VALUE"""),"Delivered*Delivery Experience: Quick and professional")</f>
        <v>Delivered*Delivery Experience: Quick and professional</v>
      </c>
      <c r="K67" s="14" t="str">
        <f>IFERROR(__xludf.DUMMYFUNCTION("split(E67,""+"")"),"Rasmalai")</f>
        <v>Rasmalai</v>
      </c>
      <c r="L67" s="14" t="str">
        <f>IFERROR(__xludf.DUMMYFUNCTION("""COMPUTED_VALUE"""),"1*Nithin Lal")</f>
        <v>1*Nithin Lal</v>
      </c>
      <c r="M67" s="14">
        <f>IFERROR(__xludf.DUMMYFUNCTION("SPLIT(L67,""*"")"),1.0)</f>
        <v>1</v>
      </c>
      <c r="N67" s="14" t="str">
        <f>IFERROR(__xludf.DUMMYFUNCTION("""COMPUTED_VALUE"""),"Nithin Lal")</f>
        <v>Nithin Lal</v>
      </c>
      <c r="O67" s="14" t="str">
        <f>IFERROR(__xludf.DUMMYFUNCTION("split(J67,""*"")"),"Delivered")</f>
        <v>Delivered</v>
      </c>
      <c r="P67" s="14" t="str">
        <f>IFERROR(__xludf.DUMMYFUNCTION("""COMPUTED_VALUE"""),"Delivery Experience: Quick and professional")</f>
        <v>Delivery Experience: Quick and professional</v>
      </c>
      <c r="Q67" s="14" t="str">
        <f>IFERROR(__xludf.DUMMYFUNCTION("split(P67,"":"")"),"Delivery Experience")</f>
        <v>Delivery Experience</v>
      </c>
      <c r="R67" s="14" t="str">
        <f>IFERROR(__xludf.DUMMYFUNCTION("""COMPUTED_VALUE""")," Quick and professional")</f>
        <v> Quick and professional</v>
      </c>
      <c r="S67" s="14" t="str">
        <f t="shared" ref="S67:U67" si="137">trim(B67)</f>
        <v>ord_76263</v>
      </c>
      <c r="T67" s="14" t="str">
        <f t="shared" si="137"/>
        <v>Sanjay Nair</v>
      </c>
      <c r="U67" s="14" t="str">
        <f t="shared" si="137"/>
        <v>Dadar</v>
      </c>
      <c r="V67" s="14" t="str">
        <f t="shared" si="4"/>
        <v>Rasmalai</v>
      </c>
      <c r="W67" s="14">
        <f t="shared" si="5"/>
        <v>1</v>
      </c>
      <c r="X67" s="14" t="str">
        <f t="shared" si="6"/>
        <v>Nithin Lal</v>
      </c>
      <c r="Y67" s="15">
        <f t="shared" si="7"/>
        <v>45105</v>
      </c>
      <c r="Z67" s="14" t="str">
        <f t="shared" si="8"/>
        <v>Credit Card</v>
      </c>
      <c r="AA67" s="14" t="str">
        <f t="shared" si="9"/>
        <v>Delivered</v>
      </c>
      <c r="AB67" s="14" t="str">
        <f t="shared" ref="AB67:AC67" si="138">trim(Q67)</f>
        <v>Delivery Experience</v>
      </c>
      <c r="AC67" s="14" t="str">
        <f t="shared" si="138"/>
        <v>Quick and professional</v>
      </c>
      <c r="AD67" s="8"/>
    </row>
    <row r="68">
      <c r="A68" s="14" t="str">
        <f>IFERROR(__xludf.DUMMYFUNCTION("""COMPUTED_VALUE"""),"//ord_77267//Mohit Malhotra//Lower Parel//Icecream+2*Manju Ajay/1/22/2023//Credit Card//Delivered*Convenience: Easy tracking")</f>
        <v>//ord_77267//Mohit Malhotra//Lower Parel//Icecream+2*Manju Ajay/1/22/2023//Credit Card//Delivered*Convenience: Easy tracking</v>
      </c>
      <c r="B68" s="14" t="str">
        <f>IFERROR(__xludf.DUMMYFUNCTION("split(A68,""//"")"),"ord_77267")</f>
        <v>ord_77267</v>
      </c>
      <c r="C68" s="14" t="str">
        <f>IFERROR(__xludf.DUMMYFUNCTION("""COMPUTED_VALUE"""),"Mohit Malhotra")</f>
        <v>Mohit Malhotra</v>
      </c>
      <c r="D68" s="14" t="str">
        <f>IFERROR(__xludf.DUMMYFUNCTION("""COMPUTED_VALUE"""),"Lower Parel")</f>
        <v>Lower Parel</v>
      </c>
      <c r="E68" s="14" t="str">
        <f>IFERROR(__xludf.DUMMYFUNCTION("""COMPUTED_VALUE"""),"Icecream+2*Manju Ajay")</f>
        <v>Icecream+2*Manju Ajay</v>
      </c>
      <c r="F68" s="14">
        <f>IFERROR(__xludf.DUMMYFUNCTION("""COMPUTED_VALUE"""),1.0)</f>
        <v>1</v>
      </c>
      <c r="G68" s="14">
        <f>IFERROR(__xludf.DUMMYFUNCTION("""COMPUTED_VALUE"""),22.0)</f>
        <v>22</v>
      </c>
      <c r="H68" s="14">
        <f>IFERROR(__xludf.DUMMYFUNCTION("""COMPUTED_VALUE"""),2023.0)</f>
        <v>2023</v>
      </c>
      <c r="I68" s="14" t="str">
        <f>IFERROR(__xludf.DUMMYFUNCTION("""COMPUTED_VALUE"""),"Credit Card")</f>
        <v>Credit Card</v>
      </c>
      <c r="J68" s="14" t="str">
        <f>IFERROR(__xludf.DUMMYFUNCTION("""COMPUTED_VALUE"""),"Delivered*Convenience: Easy tracking")</f>
        <v>Delivered*Convenience: Easy tracking</v>
      </c>
      <c r="K68" s="14" t="str">
        <f>IFERROR(__xludf.DUMMYFUNCTION("split(E68,""+"")"),"Icecream")</f>
        <v>Icecream</v>
      </c>
      <c r="L68" s="14" t="str">
        <f>IFERROR(__xludf.DUMMYFUNCTION("""COMPUTED_VALUE"""),"2*Manju Ajay")</f>
        <v>2*Manju Ajay</v>
      </c>
      <c r="M68" s="14">
        <f>IFERROR(__xludf.DUMMYFUNCTION("SPLIT(L68,""*"")"),2.0)</f>
        <v>2</v>
      </c>
      <c r="N68" s="14" t="str">
        <f>IFERROR(__xludf.DUMMYFUNCTION("""COMPUTED_VALUE"""),"Manju Ajay")</f>
        <v>Manju Ajay</v>
      </c>
      <c r="O68" s="14" t="str">
        <f>IFERROR(__xludf.DUMMYFUNCTION("split(J68,""*"")"),"Delivered")</f>
        <v>Delivered</v>
      </c>
      <c r="P68" s="14" t="str">
        <f>IFERROR(__xludf.DUMMYFUNCTION("""COMPUTED_VALUE"""),"Convenience: Easy tracking")</f>
        <v>Convenience: Easy tracking</v>
      </c>
      <c r="Q68" s="14" t="str">
        <f>IFERROR(__xludf.DUMMYFUNCTION("split(P68,"":"")"),"Convenience")</f>
        <v>Convenience</v>
      </c>
      <c r="R68" s="14" t="str">
        <f>IFERROR(__xludf.DUMMYFUNCTION("""COMPUTED_VALUE""")," Easy tracking")</f>
        <v> Easy tracking</v>
      </c>
      <c r="S68" s="14" t="str">
        <f t="shared" ref="S68:U68" si="139">trim(B68)</f>
        <v>ord_77267</v>
      </c>
      <c r="T68" s="14" t="str">
        <f t="shared" si="139"/>
        <v>Mohit Malhotra</v>
      </c>
      <c r="U68" s="14" t="str">
        <f t="shared" si="139"/>
        <v>Lower Parel</v>
      </c>
      <c r="V68" s="14" t="str">
        <f t="shared" si="4"/>
        <v>Icecream</v>
      </c>
      <c r="W68" s="14">
        <f t="shared" si="5"/>
        <v>2</v>
      </c>
      <c r="X68" s="14" t="str">
        <f t="shared" si="6"/>
        <v>Manju Ajay</v>
      </c>
      <c r="Y68" s="15">
        <f t="shared" si="7"/>
        <v>44948</v>
      </c>
      <c r="Z68" s="14" t="str">
        <f t="shared" si="8"/>
        <v>Credit Card</v>
      </c>
      <c r="AA68" s="14" t="str">
        <f t="shared" si="9"/>
        <v>Delivered</v>
      </c>
      <c r="AB68" s="14" t="str">
        <f t="shared" ref="AB68:AC68" si="140">trim(Q68)</f>
        <v>Convenience</v>
      </c>
      <c r="AC68" s="14" t="str">
        <f t="shared" si="140"/>
        <v>Easy tracking</v>
      </c>
      <c r="AD68" s="8"/>
    </row>
    <row r="69">
      <c r="A69" s="14" t="str">
        <f>IFERROR(__xludf.DUMMYFUNCTION("""COMPUTED_VALUE"""),"//ord_78271//Aarav Mehta//Andheri//Chocolate Mousse+3*Rohan Yadav/5/3/2023//Credit Card//Delivered*Overall Satisfaction: Great service will order again")</f>
        <v>//ord_78271//Aarav Mehta//Andheri//Chocolate Mousse+3*Rohan Yadav/5/3/2023//Credit Card//Delivered*Overall Satisfaction: Great service will order again</v>
      </c>
      <c r="B69" s="14" t="str">
        <f>IFERROR(__xludf.DUMMYFUNCTION("split(A69,""//"")"),"ord_78271")</f>
        <v>ord_78271</v>
      </c>
      <c r="C69" s="14" t="str">
        <f>IFERROR(__xludf.DUMMYFUNCTION("""COMPUTED_VALUE"""),"Aarav Mehta")</f>
        <v>Aarav Mehta</v>
      </c>
      <c r="D69" s="14" t="str">
        <f>IFERROR(__xludf.DUMMYFUNCTION("""COMPUTED_VALUE"""),"Andheri")</f>
        <v>Andheri</v>
      </c>
      <c r="E69" s="14" t="str">
        <f>IFERROR(__xludf.DUMMYFUNCTION("""COMPUTED_VALUE"""),"Chocolate Mousse+3*Rohan Yadav")</f>
        <v>Chocolate Mousse+3*Rohan Yadav</v>
      </c>
      <c r="F69" s="14">
        <f>IFERROR(__xludf.DUMMYFUNCTION("""COMPUTED_VALUE"""),5.0)</f>
        <v>5</v>
      </c>
      <c r="G69" s="14">
        <f>IFERROR(__xludf.DUMMYFUNCTION("""COMPUTED_VALUE"""),3.0)</f>
        <v>3</v>
      </c>
      <c r="H69" s="14">
        <f>IFERROR(__xludf.DUMMYFUNCTION("""COMPUTED_VALUE"""),2023.0)</f>
        <v>2023</v>
      </c>
      <c r="I69" s="14" t="str">
        <f>IFERROR(__xludf.DUMMYFUNCTION("""COMPUTED_VALUE"""),"Credit Card")</f>
        <v>Credit Card</v>
      </c>
      <c r="J69" s="14" t="str">
        <f>IFERROR(__xludf.DUMMYFUNCTION("""COMPUTED_VALUE"""),"Delivered*Overall Satisfaction: Great service will order again")</f>
        <v>Delivered*Overall Satisfaction: Great service will order again</v>
      </c>
      <c r="K69" s="14" t="str">
        <f>IFERROR(__xludf.DUMMYFUNCTION("split(E69,""+"")"),"Chocolate Mousse")</f>
        <v>Chocolate Mousse</v>
      </c>
      <c r="L69" s="14" t="str">
        <f>IFERROR(__xludf.DUMMYFUNCTION("""COMPUTED_VALUE"""),"3*Rohan Yadav")</f>
        <v>3*Rohan Yadav</v>
      </c>
      <c r="M69" s="14">
        <f>IFERROR(__xludf.DUMMYFUNCTION("SPLIT(L69,""*"")"),3.0)</f>
        <v>3</v>
      </c>
      <c r="N69" s="14" t="str">
        <f>IFERROR(__xludf.DUMMYFUNCTION("""COMPUTED_VALUE"""),"Rohan Yadav")</f>
        <v>Rohan Yadav</v>
      </c>
      <c r="O69" s="14" t="str">
        <f>IFERROR(__xludf.DUMMYFUNCTION("split(J69,""*"")"),"Delivered")</f>
        <v>Delivered</v>
      </c>
      <c r="P69" s="14" t="str">
        <f>IFERROR(__xludf.DUMMYFUNCTION("""COMPUTED_VALUE"""),"Overall Satisfaction: Great service will order again")</f>
        <v>Overall Satisfaction: Great service will order again</v>
      </c>
      <c r="Q69" s="14" t="str">
        <f>IFERROR(__xludf.DUMMYFUNCTION("split(P69,"":"")"),"Overall Satisfaction")</f>
        <v>Overall Satisfaction</v>
      </c>
      <c r="R69" s="14" t="str">
        <f>IFERROR(__xludf.DUMMYFUNCTION("""COMPUTED_VALUE""")," Great service will order again")</f>
        <v> Great service will order again</v>
      </c>
      <c r="S69" s="14" t="str">
        <f t="shared" ref="S69:U69" si="141">trim(B69)</f>
        <v>ord_78271</v>
      </c>
      <c r="T69" s="14" t="str">
        <f t="shared" si="141"/>
        <v>Aarav Mehta</v>
      </c>
      <c r="U69" s="14" t="str">
        <f t="shared" si="141"/>
        <v>Andheri</v>
      </c>
      <c r="V69" s="14" t="str">
        <f t="shared" si="4"/>
        <v>Chocolate Mousse</v>
      </c>
      <c r="W69" s="14">
        <f t="shared" si="5"/>
        <v>3</v>
      </c>
      <c r="X69" s="14" t="str">
        <f t="shared" si="6"/>
        <v>Rohan Yadav</v>
      </c>
      <c r="Y69" s="15">
        <f t="shared" si="7"/>
        <v>45049</v>
      </c>
      <c r="Z69" s="14" t="str">
        <f t="shared" si="8"/>
        <v>Credit Card</v>
      </c>
      <c r="AA69" s="14" t="str">
        <f t="shared" si="9"/>
        <v>Delivered</v>
      </c>
      <c r="AB69" s="14" t="str">
        <f t="shared" ref="AB69:AC69" si="142">trim(Q69)</f>
        <v>Overall Satisfaction</v>
      </c>
      <c r="AC69" s="14" t="str">
        <f t="shared" si="142"/>
        <v>Great service will order again</v>
      </c>
      <c r="AD69" s="8"/>
    </row>
    <row r="70">
      <c r="A70" s="14" t="str">
        <f>IFERROR(__xludf.DUMMYFUNCTION("""COMPUTED_VALUE"""),"//ord_79275//Simran Bhatt//Juhu//Banana+1*Sita T/9/5/2023//UPI//Delivered*On-time Delivery: Delivered on time")</f>
        <v>//ord_79275//Simran Bhatt//Juhu//Banana+1*Sita T/9/5/2023//UPI//Delivered*On-time Delivery: Delivered on time</v>
      </c>
      <c r="B70" s="14" t="str">
        <f>IFERROR(__xludf.DUMMYFUNCTION("split(A70,""//"")"),"ord_79275")</f>
        <v>ord_79275</v>
      </c>
      <c r="C70" s="14" t="str">
        <f>IFERROR(__xludf.DUMMYFUNCTION("""COMPUTED_VALUE"""),"Simran Bhatt")</f>
        <v>Simran Bhatt</v>
      </c>
      <c r="D70" s="14" t="str">
        <f>IFERROR(__xludf.DUMMYFUNCTION("""COMPUTED_VALUE"""),"Juhu")</f>
        <v>Juhu</v>
      </c>
      <c r="E70" s="14" t="str">
        <f>IFERROR(__xludf.DUMMYFUNCTION("""COMPUTED_VALUE"""),"Banana+1*Sita T")</f>
        <v>Banana+1*Sita T</v>
      </c>
      <c r="F70" s="14">
        <f>IFERROR(__xludf.DUMMYFUNCTION("""COMPUTED_VALUE"""),9.0)</f>
        <v>9</v>
      </c>
      <c r="G70" s="14">
        <f>IFERROR(__xludf.DUMMYFUNCTION("""COMPUTED_VALUE"""),5.0)</f>
        <v>5</v>
      </c>
      <c r="H70" s="14">
        <f>IFERROR(__xludf.DUMMYFUNCTION("""COMPUTED_VALUE"""),2023.0)</f>
        <v>2023</v>
      </c>
      <c r="I70" s="14" t="str">
        <f>IFERROR(__xludf.DUMMYFUNCTION("""COMPUTED_VALUE"""),"UPI")</f>
        <v>UPI</v>
      </c>
      <c r="J70" s="14" t="str">
        <f>IFERROR(__xludf.DUMMYFUNCTION("""COMPUTED_VALUE"""),"Delivered*On-time Delivery: Delivered on time")</f>
        <v>Delivered*On-time Delivery: Delivered on time</v>
      </c>
      <c r="K70" s="14" t="str">
        <f>IFERROR(__xludf.DUMMYFUNCTION("split(E70,""+"")"),"Banana")</f>
        <v>Banana</v>
      </c>
      <c r="L70" s="14" t="str">
        <f>IFERROR(__xludf.DUMMYFUNCTION("""COMPUTED_VALUE"""),"1*Sita T")</f>
        <v>1*Sita T</v>
      </c>
      <c r="M70" s="14">
        <f>IFERROR(__xludf.DUMMYFUNCTION("SPLIT(L70,""*"")"),1.0)</f>
        <v>1</v>
      </c>
      <c r="N70" s="14" t="str">
        <f>IFERROR(__xludf.DUMMYFUNCTION("""COMPUTED_VALUE"""),"Sita T")</f>
        <v>Sita T</v>
      </c>
      <c r="O70" s="14" t="str">
        <f>IFERROR(__xludf.DUMMYFUNCTION("split(J70,""*"")"),"Delivered")</f>
        <v>Delivered</v>
      </c>
      <c r="P70" s="14" t="str">
        <f>IFERROR(__xludf.DUMMYFUNCTION("""COMPUTED_VALUE"""),"On-time Delivery: Delivered on time")</f>
        <v>On-time Delivery: Delivered on time</v>
      </c>
      <c r="Q70" s="14" t="str">
        <f>IFERROR(__xludf.DUMMYFUNCTION("split(P70,"":"")"),"On-time Delivery")</f>
        <v>On-time Delivery</v>
      </c>
      <c r="R70" s="14" t="str">
        <f>IFERROR(__xludf.DUMMYFUNCTION("""COMPUTED_VALUE""")," Delivered on time")</f>
        <v> Delivered on time</v>
      </c>
      <c r="S70" s="14" t="str">
        <f t="shared" ref="S70:U70" si="143">trim(B70)</f>
        <v>ord_79275</v>
      </c>
      <c r="T70" s="14" t="str">
        <f t="shared" si="143"/>
        <v>Simran Bhatt</v>
      </c>
      <c r="U70" s="14" t="str">
        <f t="shared" si="143"/>
        <v>Juhu</v>
      </c>
      <c r="V70" s="14" t="str">
        <f t="shared" si="4"/>
        <v>Banana</v>
      </c>
      <c r="W70" s="14">
        <f t="shared" si="5"/>
        <v>1</v>
      </c>
      <c r="X70" s="14" t="str">
        <f t="shared" si="6"/>
        <v>Sita T</v>
      </c>
      <c r="Y70" s="15">
        <f t="shared" si="7"/>
        <v>45174</v>
      </c>
      <c r="Z70" s="14" t="str">
        <f t="shared" si="8"/>
        <v>UPI</v>
      </c>
      <c r="AA70" s="14" t="str">
        <f t="shared" si="9"/>
        <v>Delivered</v>
      </c>
      <c r="AB70" s="14" t="str">
        <f t="shared" ref="AB70:AC70" si="144">trim(Q70)</f>
        <v>On-time Delivery</v>
      </c>
      <c r="AC70" s="14" t="str">
        <f t="shared" si="144"/>
        <v>Delivered on time</v>
      </c>
      <c r="AD70" s="8"/>
    </row>
    <row r="71">
      <c r="A71" s="14" t="str">
        <f>IFERROR(__xludf.DUMMYFUNCTION("""COMPUTED_VALUE"""),"//ord_80279//Simran Bhatt//Juhu//Tomato+2*Ramesh S/9/30/2023//UPI//Delivered*Quality of Items: Perfect condition")</f>
        <v>//ord_80279//Simran Bhatt//Juhu//Tomato+2*Ramesh S/9/30/2023//UPI//Delivered*Quality of Items: Perfect condition</v>
      </c>
      <c r="B71" s="14" t="str">
        <f>IFERROR(__xludf.DUMMYFUNCTION("split(A71,""//"")"),"ord_80279")</f>
        <v>ord_80279</v>
      </c>
      <c r="C71" s="14" t="str">
        <f>IFERROR(__xludf.DUMMYFUNCTION("""COMPUTED_VALUE"""),"Simran Bhatt")</f>
        <v>Simran Bhatt</v>
      </c>
      <c r="D71" s="14" t="str">
        <f>IFERROR(__xludf.DUMMYFUNCTION("""COMPUTED_VALUE"""),"Juhu")</f>
        <v>Juhu</v>
      </c>
      <c r="E71" s="14" t="str">
        <f>IFERROR(__xludf.DUMMYFUNCTION("""COMPUTED_VALUE"""),"Tomato+2*Ramesh S")</f>
        <v>Tomato+2*Ramesh S</v>
      </c>
      <c r="F71" s="14">
        <f>IFERROR(__xludf.DUMMYFUNCTION("""COMPUTED_VALUE"""),9.0)</f>
        <v>9</v>
      </c>
      <c r="G71" s="14">
        <f>IFERROR(__xludf.DUMMYFUNCTION("""COMPUTED_VALUE"""),30.0)</f>
        <v>30</v>
      </c>
      <c r="H71" s="14">
        <f>IFERROR(__xludf.DUMMYFUNCTION("""COMPUTED_VALUE"""),2023.0)</f>
        <v>2023</v>
      </c>
      <c r="I71" s="14" t="str">
        <f>IFERROR(__xludf.DUMMYFUNCTION("""COMPUTED_VALUE"""),"UPI")</f>
        <v>UPI</v>
      </c>
      <c r="J71" s="14" t="str">
        <f>IFERROR(__xludf.DUMMYFUNCTION("""COMPUTED_VALUE"""),"Delivered*Quality of Items: Perfect condition")</f>
        <v>Delivered*Quality of Items: Perfect condition</v>
      </c>
      <c r="K71" s="14" t="str">
        <f>IFERROR(__xludf.DUMMYFUNCTION("split(E71,""+"")"),"Tomato")</f>
        <v>Tomato</v>
      </c>
      <c r="L71" s="14" t="str">
        <f>IFERROR(__xludf.DUMMYFUNCTION("""COMPUTED_VALUE"""),"2*Ramesh S")</f>
        <v>2*Ramesh S</v>
      </c>
      <c r="M71" s="14">
        <f>IFERROR(__xludf.DUMMYFUNCTION("SPLIT(L71,""*"")"),2.0)</f>
        <v>2</v>
      </c>
      <c r="N71" s="14" t="str">
        <f>IFERROR(__xludf.DUMMYFUNCTION("""COMPUTED_VALUE"""),"Ramesh S")</f>
        <v>Ramesh S</v>
      </c>
      <c r="O71" s="14" t="str">
        <f>IFERROR(__xludf.DUMMYFUNCTION("split(J71,""*"")"),"Delivered")</f>
        <v>Delivered</v>
      </c>
      <c r="P71" s="14" t="str">
        <f>IFERROR(__xludf.DUMMYFUNCTION("""COMPUTED_VALUE"""),"Quality of Items: Perfect condition")</f>
        <v>Quality of Items: Perfect condition</v>
      </c>
      <c r="Q71" s="14" t="str">
        <f>IFERROR(__xludf.DUMMYFUNCTION("split(P71,"":"")"),"Quality of Items")</f>
        <v>Quality of Items</v>
      </c>
      <c r="R71" s="14" t="str">
        <f>IFERROR(__xludf.DUMMYFUNCTION("""COMPUTED_VALUE""")," Perfect condition")</f>
        <v> Perfect condition</v>
      </c>
      <c r="S71" s="14" t="str">
        <f t="shared" ref="S71:U71" si="145">trim(B71)</f>
        <v>ord_80279</v>
      </c>
      <c r="T71" s="14" t="str">
        <f t="shared" si="145"/>
        <v>Simran Bhatt</v>
      </c>
      <c r="U71" s="14" t="str">
        <f t="shared" si="145"/>
        <v>Juhu</v>
      </c>
      <c r="V71" s="14" t="str">
        <f t="shared" si="4"/>
        <v>Tomato</v>
      </c>
      <c r="W71" s="14">
        <f t="shared" si="5"/>
        <v>2</v>
      </c>
      <c r="X71" s="14" t="str">
        <f t="shared" si="6"/>
        <v>Ramesh S</v>
      </c>
      <c r="Y71" s="15">
        <f t="shared" si="7"/>
        <v>45199</v>
      </c>
      <c r="Z71" s="14" t="str">
        <f t="shared" si="8"/>
        <v>UPI</v>
      </c>
      <c r="AA71" s="14" t="str">
        <f t="shared" si="9"/>
        <v>Delivered</v>
      </c>
      <c r="AB71" s="14" t="str">
        <f t="shared" ref="AB71:AC71" si="146">trim(Q71)</f>
        <v>Quality of Items</v>
      </c>
      <c r="AC71" s="14" t="str">
        <f t="shared" si="146"/>
        <v>Perfect condition</v>
      </c>
      <c r="AD71" s="8"/>
    </row>
    <row r="72">
      <c r="A72" s="14" t="str">
        <f>IFERROR(__xludf.DUMMYFUNCTION("""COMPUTED_VALUE"""),"//ord_81283//Siya Reddy//Juhu//Guava+2*Ramesh S/9/20/2023//Credit Card//Delivered*Packaging: Secure and intact")</f>
        <v>//ord_81283//Siya Reddy//Juhu//Guava+2*Ramesh S/9/20/2023//Credit Card//Delivered*Packaging: Secure and intact</v>
      </c>
      <c r="B72" s="14" t="str">
        <f>IFERROR(__xludf.DUMMYFUNCTION("split(A72,""//"")"),"ord_81283")</f>
        <v>ord_81283</v>
      </c>
      <c r="C72" s="14" t="str">
        <f>IFERROR(__xludf.DUMMYFUNCTION("""COMPUTED_VALUE"""),"Siya Reddy")</f>
        <v>Siya Reddy</v>
      </c>
      <c r="D72" s="14" t="str">
        <f>IFERROR(__xludf.DUMMYFUNCTION("""COMPUTED_VALUE"""),"Juhu")</f>
        <v>Juhu</v>
      </c>
      <c r="E72" s="14" t="str">
        <f>IFERROR(__xludf.DUMMYFUNCTION("""COMPUTED_VALUE"""),"Guava+2*Ramesh S")</f>
        <v>Guava+2*Ramesh S</v>
      </c>
      <c r="F72" s="14">
        <f>IFERROR(__xludf.DUMMYFUNCTION("""COMPUTED_VALUE"""),9.0)</f>
        <v>9</v>
      </c>
      <c r="G72" s="14">
        <f>IFERROR(__xludf.DUMMYFUNCTION("""COMPUTED_VALUE"""),20.0)</f>
        <v>20</v>
      </c>
      <c r="H72" s="14">
        <f>IFERROR(__xludf.DUMMYFUNCTION("""COMPUTED_VALUE"""),2023.0)</f>
        <v>2023</v>
      </c>
      <c r="I72" s="14" t="str">
        <f>IFERROR(__xludf.DUMMYFUNCTION("""COMPUTED_VALUE"""),"Credit Card")</f>
        <v>Credit Card</v>
      </c>
      <c r="J72" s="14" t="str">
        <f>IFERROR(__xludf.DUMMYFUNCTION("""COMPUTED_VALUE"""),"Delivered*Packaging: Secure and intact")</f>
        <v>Delivered*Packaging: Secure and intact</v>
      </c>
      <c r="K72" s="14" t="str">
        <f>IFERROR(__xludf.DUMMYFUNCTION("split(E72,""+"")"),"Guava")</f>
        <v>Guava</v>
      </c>
      <c r="L72" s="14" t="str">
        <f>IFERROR(__xludf.DUMMYFUNCTION("""COMPUTED_VALUE"""),"2*Ramesh S")</f>
        <v>2*Ramesh S</v>
      </c>
      <c r="M72" s="14">
        <f>IFERROR(__xludf.DUMMYFUNCTION("SPLIT(L72,""*"")"),2.0)</f>
        <v>2</v>
      </c>
      <c r="N72" s="14" t="str">
        <f>IFERROR(__xludf.DUMMYFUNCTION("""COMPUTED_VALUE"""),"Ramesh S")</f>
        <v>Ramesh S</v>
      </c>
      <c r="O72" s="14" t="str">
        <f>IFERROR(__xludf.DUMMYFUNCTION("split(J72,""*"")"),"Delivered")</f>
        <v>Delivered</v>
      </c>
      <c r="P72" s="14" t="str">
        <f>IFERROR(__xludf.DUMMYFUNCTION("""COMPUTED_VALUE"""),"Packaging: Secure and intact")</f>
        <v>Packaging: Secure and intact</v>
      </c>
      <c r="Q72" s="14" t="str">
        <f>IFERROR(__xludf.DUMMYFUNCTION("split(P72,"":"")"),"Packaging")</f>
        <v>Packaging</v>
      </c>
      <c r="R72" s="14" t="str">
        <f>IFERROR(__xludf.DUMMYFUNCTION("""COMPUTED_VALUE""")," Secure and intact")</f>
        <v> Secure and intact</v>
      </c>
      <c r="S72" s="14" t="str">
        <f t="shared" ref="S72:U72" si="147">trim(B72)</f>
        <v>ord_81283</v>
      </c>
      <c r="T72" s="14" t="str">
        <f t="shared" si="147"/>
        <v>Siya Reddy</v>
      </c>
      <c r="U72" s="14" t="str">
        <f t="shared" si="147"/>
        <v>Juhu</v>
      </c>
      <c r="V72" s="14" t="str">
        <f t="shared" si="4"/>
        <v>Guava</v>
      </c>
      <c r="W72" s="14">
        <f t="shared" si="5"/>
        <v>2</v>
      </c>
      <c r="X72" s="14" t="str">
        <f t="shared" si="6"/>
        <v>Ramesh S</v>
      </c>
      <c r="Y72" s="15">
        <f t="shared" si="7"/>
        <v>45189</v>
      </c>
      <c r="Z72" s="14" t="str">
        <f t="shared" si="8"/>
        <v>Credit Card</v>
      </c>
      <c r="AA72" s="14" t="str">
        <f t="shared" si="9"/>
        <v>Delivered</v>
      </c>
      <c r="AB72" s="14" t="str">
        <f t="shared" ref="AB72:AC72" si="148">trim(Q72)</f>
        <v>Packaging</v>
      </c>
      <c r="AC72" s="14" t="str">
        <f t="shared" si="148"/>
        <v>Secure and intact</v>
      </c>
      <c r="AD72" s="8"/>
    </row>
    <row r="73">
      <c r="A73" s="14" t="str">
        <f>IFERROR(__xludf.DUMMYFUNCTION("""COMPUTED_VALUE"""),"//ord_82287//Aditi Iyer//Dadar//Orange+2*Ramesh S/9/9/2023//Credit Card//Delivered*Satisfied with the Delivery: Timely and quality")</f>
        <v>//ord_82287//Aditi Iyer//Dadar//Orange+2*Ramesh S/9/9/2023//Credit Card//Delivered*Satisfied with the Delivery: Timely and quality</v>
      </c>
      <c r="B73" s="14" t="str">
        <f>IFERROR(__xludf.DUMMYFUNCTION("split(A73,""//"")"),"ord_82287")</f>
        <v>ord_82287</v>
      </c>
      <c r="C73" s="14" t="str">
        <f>IFERROR(__xludf.DUMMYFUNCTION("""COMPUTED_VALUE"""),"Aditi Iyer")</f>
        <v>Aditi Iyer</v>
      </c>
      <c r="D73" s="14" t="str">
        <f>IFERROR(__xludf.DUMMYFUNCTION("""COMPUTED_VALUE"""),"Dadar")</f>
        <v>Dadar</v>
      </c>
      <c r="E73" s="14" t="str">
        <f>IFERROR(__xludf.DUMMYFUNCTION("""COMPUTED_VALUE"""),"Orange+2*Ramesh S")</f>
        <v>Orange+2*Ramesh S</v>
      </c>
      <c r="F73" s="14">
        <f>IFERROR(__xludf.DUMMYFUNCTION("""COMPUTED_VALUE"""),9.0)</f>
        <v>9</v>
      </c>
      <c r="G73" s="14">
        <f>IFERROR(__xludf.DUMMYFUNCTION("""COMPUTED_VALUE"""),9.0)</f>
        <v>9</v>
      </c>
      <c r="H73" s="14">
        <f>IFERROR(__xludf.DUMMYFUNCTION("""COMPUTED_VALUE"""),2023.0)</f>
        <v>2023</v>
      </c>
      <c r="I73" s="14" t="str">
        <f>IFERROR(__xludf.DUMMYFUNCTION("""COMPUTED_VALUE"""),"Credit Card")</f>
        <v>Credit Card</v>
      </c>
      <c r="J73" s="14" t="str">
        <f>IFERROR(__xludf.DUMMYFUNCTION("""COMPUTED_VALUE"""),"Delivered*Satisfied with the Delivery: Timely and quality")</f>
        <v>Delivered*Satisfied with the Delivery: Timely and quality</v>
      </c>
      <c r="K73" s="14" t="str">
        <f>IFERROR(__xludf.DUMMYFUNCTION("split(E73,""+"")"),"Orange")</f>
        <v>Orange</v>
      </c>
      <c r="L73" s="14" t="str">
        <f>IFERROR(__xludf.DUMMYFUNCTION("""COMPUTED_VALUE"""),"2*Ramesh S")</f>
        <v>2*Ramesh S</v>
      </c>
      <c r="M73" s="14">
        <f>IFERROR(__xludf.DUMMYFUNCTION("SPLIT(L73,""*"")"),2.0)</f>
        <v>2</v>
      </c>
      <c r="N73" s="14" t="str">
        <f>IFERROR(__xludf.DUMMYFUNCTION("""COMPUTED_VALUE"""),"Ramesh S")</f>
        <v>Ramesh S</v>
      </c>
      <c r="O73" s="14" t="str">
        <f>IFERROR(__xludf.DUMMYFUNCTION("split(J73,""*"")"),"Delivered")</f>
        <v>Delivered</v>
      </c>
      <c r="P73" s="14" t="str">
        <f>IFERROR(__xludf.DUMMYFUNCTION("""COMPUTED_VALUE"""),"Satisfied with the Delivery: Timely and quality")</f>
        <v>Satisfied with the Delivery: Timely and quality</v>
      </c>
      <c r="Q73" s="14" t="str">
        <f>IFERROR(__xludf.DUMMYFUNCTION("split(P73,"":"")"),"Satisfied with the Delivery")</f>
        <v>Satisfied with the Delivery</v>
      </c>
      <c r="R73" s="14" t="str">
        <f>IFERROR(__xludf.DUMMYFUNCTION("""COMPUTED_VALUE""")," Timely and quality")</f>
        <v> Timely and quality</v>
      </c>
      <c r="S73" s="14" t="str">
        <f t="shared" ref="S73:U73" si="149">trim(B73)</f>
        <v>ord_82287</v>
      </c>
      <c r="T73" s="14" t="str">
        <f t="shared" si="149"/>
        <v>Aditi Iyer</v>
      </c>
      <c r="U73" s="14" t="str">
        <f t="shared" si="149"/>
        <v>Dadar</v>
      </c>
      <c r="V73" s="14" t="str">
        <f t="shared" si="4"/>
        <v>Orange</v>
      </c>
      <c r="W73" s="14">
        <f t="shared" si="5"/>
        <v>2</v>
      </c>
      <c r="X73" s="14" t="str">
        <f t="shared" si="6"/>
        <v>Ramesh S</v>
      </c>
      <c r="Y73" s="15">
        <f t="shared" si="7"/>
        <v>45178</v>
      </c>
      <c r="Z73" s="14" t="str">
        <f t="shared" si="8"/>
        <v>Credit Card</v>
      </c>
      <c r="AA73" s="14" t="str">
        <f t="shared" si="9"/>
        <v>Delivered</v>
      </c>
      <c r="AB73" s="14" t="str">
        <f t="shared" ref="AB73:AC73" si="150">trim(Q73)</f>
        <v>Satisfied with the Delivery</v>
      </c>
      <c r="AC73" s="14" t="str">
        <f t="shared" si="150"/>
        <v>Timely and quality</v>
      </c>
      <c r="AD73" s="8"/>
    </row>
    <row r="74">
      <c r="A74" s="14" t="str">
        <f>IFERROR(__xludf.DUMMYFUNCTION("""COMPUTED_VALUE"""),"//ord_83291//Aarav Mehta//Andheri//Popcorn+5*Manju Ajay/8/30/2023//Online Payment//Delivered*Customer Service: Seamless and easy")</f>
        <v>//ord_83291//Aarav Mehta//Andheri//Popcorn+5*Manju Ajay/8/30/2023//Online Payment//Delivered*Customer Service: Seamless and easy</v>
      </c>
      <c r="B74" s="14" t="str">
        <f>IFERROR(__xludf.DUMMYFUNCTION("split(A74,""//"")"),"ord_83291")</f>
        <v>ord_83291</v>
      </c>
      <c r="C74" s="14" t="str">
        <f>IFERROR(__xludf.DUMMYFUNCTION("""COMPUTED_VALUE"""),"Aarav Mehta")</f>
        <v>Aarav Mehta</v>
      </c>
      <c r="D74" s="14" t="str">
        <f>IFERROR(__xludf.DUMMYFUNCTION("""COMPUTED_VALUE"""),"Andheri")</f>
        <v>Andheri</v>
      </c>
      <c r="E74" s="14" t="str">
        <f>IFERROR(__xludf.DUMMYFUNCTION("""COMPUTED_VALUE"""),"Popcorn+5*Manju Ajay")</f>
        <v>Popcorn+5*Manju Ajay</v>
      </c>
      <c r="F74" s="14">
        <f>IFERROR(__xludf.DUMMYFUNCTION("""COMPUTED_VALUE"""),8.0)</f>
        <v>8</v>
      </c>
      <c r="G74" s="14">
        <f>IFERROR(__xludf.DUMMYFUNCTION("""COMPUTED_VALUE"""),30.0)</f>
        <v>30</v>
      </c>
      <c r="H74" s="14">
        <f>IFERROR(__xludf.DUMMYFUNCTION("""COMPUTED_VALUE"""),2023.0)</f>
        <v>2023</v>
      </c>
      <c r="I74" s="14" t="str">
        <f>IFERROR(__xludf.DUMMYFUNCTION("""COMPUTED_VALUE"""),"Online Payment")</f>
        <v>Online Payment</v>
      </c>
      <c r="J74" s="14" t="str">
        <f>IFERROR(__xludf.DUMMYFUNCTION("""COMPUTED_VALUE"""),"Delivered*Customer Service: Seamless and easy")</f>
        <v>Delivered*Customer Service: Seamless and easy</v>
      </c>
      <c r="K74" s="14" t="str">
        <f>IFERROR(__xludf.DUMMYFUNCTION("split(E74,""+"")"),"Popcorn")</f>
        <v>Popcorn</v>
      </c>
      <c r="L74" s="14" t="str">
        <f>IFERROR(__xludf.DUMMYFUNCTION("""COMPUTED_VALUE"""),"5*Manju Ajay")</f>
        <v>5*Manju Ajay</v>
      </c>
      <c r="M74" s="14">
        <f>IFERROR(__xludf.DUMMYFUNCTION("SPLIT(L74,""*"")"),5.0)</f>
        <v>5</v>
      </c>
      <c r="N74" s="14" t="str">
        <f>IFERROR(__xludf.DUMMYFUNCTION("""COMPUTED_VALUE"""),"Manju Ajay")</f>
        <v>Manju Ajay</v>
      </c>
      <c r="O74" s="14" t="str">
        <f>IFERROR(__xludf.DUMMYFUNCTION("split(J74,""*"")"),"Delivered")</f>
        <v>Delivered</v>
      </c>
      <c r="P74" s="14" t="str">
        <f>IFERROR(__xludf.DUMMYFUNCTION("""COMPUTED_VALUE"""),"Customer Service: Seamless and easy")</f>
        <v>Customer Service: Seamless and easy</v>
      </c>
      <c r="Q74" s="14" t="str">
        <f>IFERROR(__xludf.DUMMYFUNCTION("split(P74,"":"")"),"Customer Service")</f>
        <v>Customer Service</v>
      </c>
      <c r="R74" s="14" t="str">
        <f>IFERROR(__xludf.DUMMYFUNCTION("""COMPUTED_VALUE""")," Seamless and easy")</f>
        <v> Seamless and easy</v>
      </c>
      <c r="S74" s="14" t="str">
        <f t="shared" ref="S74:U74" si="151">trim(B74)</f>
        <v>ord_83291</v>
      </c>
      <c r="T74" s="14" t="str">
        <f t="shared" si="151"/>
        <v>Aarav Mehta</v>
      </c>
      <c r="U74" s="14" t="str">
        <f t="shared" si="151"/>
        <v>Andheri</v>
      </c>
      <c r="V74" s="14" t="str">
        <f t="shared" si="4"/>
        <v>Popcorn</v>
      </c>
      <c r="W74" s="14">
        <f t="shared" si="5"/>
        <v>5</v>
      </c>
      <c r="X74" s="14" t="str">
        <f t="shared" si="6"/>
        <v>Manju Ajay</v>
      </c>
      <c r="Y74" s="15">
        <f t="shared" si="7"/>
        <v>45168</v>
      </c>
      <c r="Z74" s="14" t="str">
        <f t="shared" si="8"/>
        <v>Online Payment</v>
      </c>
      <c r="AA74" s="14" t="str">
        <f t="shared" si="9"/>
        <v>Delivered</v>
      </c>
      <c r="AB74" s="14" t="str">
        <f t="shared" ref="AB74:AC74" si="152">trim(Q74)</f>
        <v>Customer Service</v>
      </c>
      <c r="AC74" s="14" t="str">
        <f t="shared" si="152"/>
        <v>Seamless and easy</v>
      </c>
      <c r="AD74" s="8"/>
    </row>
    <row r="75">
      <c r="A75" s="14" t="str">
        <f>IFERROR(__xludf.DUMMYFUNCTION("""COMPUTED_VALUE"""),"//ord_84295//Ishaan Chaturvedi//Bandra//Potato+1*Priya Joshi/10/18/2023//Credit Card//Delivered*Delivery Experience: Quick and professional")</f>
        <v>//ord_84295//Ishaan Chaturvedi//Bandra//Potato+1*Priya Joshi/10/18/2023//Credit Card//Delivered*Delivery Experience: Quick and professional</v>
      </c>
      <c r="B75" s="14" t="str">
        <f>IFERROR(__xludf.DUMMYFUNCTION("split(A75,""//"")"),"ord_84295")</f>
        <v>ord_84295</v>
      </c>
      <c r="C75" s="14" t="str">
        <f>IFERROR(__xludf.DUMMYFUNCTION("""COMPUTED_VALUE"""),"Ishaan Chaturvedi")</f>
        <v>Ishaan Chaturvedi</v>
      </c>
      <c r="D75" s="14" t="str">
        <f>IFERROR(__xludf.DUMMYFUNCTION("""COMPUTED_VALUE"""),"Bandra")</f>
        <v>Bandra</v>
      </c>
      <c r="E75" s="14" t="str">
        <f>IFERROR(__xludf.DUMMYFUNCTION("""COMPUTED_VALUE"""),"Potato+1*Priya Joshi")</f>
        <v>Potato+1*Priya Joshi</v>
      </c>
      <c r="F75" s="14">
        <f>IFERROR(__xludf.DUMMYFUNCTION("""COMPUTED_VALUE"""),10.0)</f>
        <v>10</v>
      </c>
      <c r="G75" s="14">
        <f>IFERROR(__xludf.DUMMYFUNCTION("""COMPUTED_VALUE"""),18.0)</f>
        <v>18</v>
      </c>
      <c r="H75" s="14">
        <f>IFERROR(__xludf.DUMMYFUNCTION("""COMPUTED_VALUE"""),2023.0)</f>
        <v>2023</v>
      </c>
      <c r="I75" s="14" t="str">
        <f>IFERROR(__xludf.DUMMYFUNCTION("""COMPUTED_VALUE"""),"Credit Card")</f>
        <v>Credit Card</v>
      </c>
      <c r="J75" s="14" t="str">
        <f>IFERROR(__xludf.DUMMYFUNCTION("""COMPUTED_VALUE"""),"Delivered*Delivery Experience: Quick and professional")</f>
        <v>Delivered*Delivery Experience: Quick and professional</v>
      </c>
      <c r="K75" s="14" t="str">
        <f>IFERROR(__xludf.DUMMYFUNCTION("split(E75,""+"")"),"Potato")</f>
        <v>Potato</v>
      </c>
      <c r="L75" s="14" t="str">
        <f>IFERROR(__xludf.DUMMYFUNCTION("""COMPUTED_VALUE"""),"1*Priya Joshi")</f>
        <v>1*Priya Joshi</v>
      </c>
      <c r="M75" s="14">
        <f>IFERROR(__xludf.DUMMYFUNCTION("SPLIT(L75,""*"")"),1.0)</f>
        <v>1</v>
      </c>
      <c r="N75" s="14" t="str">
        <f>IFERROR(__xludf.DUMMYFUNCTION("""COMPUTED_VALUE"""),"Priya Joshi")</f>
        <v>Priya Joshi</v>
      </c>
      <c r="O75" s="14" t="str">
        <f>IFERROR(__xludf.DUMMYFUNCTION("split(J75,""*"")"),"Delivered")</f>
        <v>Delivered</v>
      </c>
      <c r="P75" s="14" t="str">
        <f>IFERROR(__xludf.DUMMYFUNCTION("""COMPUTED_VALUE"""),"Delivery Experience: Quick and professional")</f>
        <v>Delivery Experience: Quick and professional</v>
      </c>
      <c r="Q75" s="14" t="str">
        <f>IFERROR(__xludf.DUMMYFUNCTION("split(P75,"":"")"),"Delivery Experience")</f>
        <v>Delivery Experience</v>
      </c>
      <c r="R75" s="14" t="str">
        <f>IFERROR(__xludf.DUMMYFUNCTION("""COMPUTED_VALUE""")," Quick and professional")</f>
        <v> Quick and professional</v>
      </c>
      <c r="S75" s="14" t="str">
        <f t="shared" ref="S75:U75" si="153">trim(B75)</f>
        <v>ord_84295</v>
      </c>
      <c r="T75" s="14" t="str">
        <f t="shared" si="153"/>
        <v>Ishaan Chaturvedi</v>
      </c>
      <c r="U75" s="14" t="str">
        <f t="shared" si="153"/>
        <v>Bandra</v>
      </c>
      <c r="V75" s="14" t="str">
        <f t="shared" si="4"/>
        <v>Potato</v>
      </c>
      <c r="W75" s="14">
        <f t="shared" si="5"/>
        <v>1</v>
      </c>
      <c r="X75" s="14" t="str">
        <f t="shared" si="6"/>
        <v>Priya Joshi</v>
      </c>
      <c r="Y75" s="15">
        <f t="shared" si="7"/>
        <v>45217</v>
      </c>
      <c r="Z75" s="14" t="str">
        <f t="shared" si="8"/>
        <v>Credit Card</v>
      </c>
      <c r="AA75" s="14" t="str">
        <f t="shared" si="9"/>
        <v>Delivered</v>
      </c>
      <c r="AB75" s="14" t="str">
        <f t="shared" ref="AB75:AC75" si="154">trim(Q75)</f>
        <v>Delivery Experience</v>
      </c>
      <c r="AC75" s="14" t="str">
        <f t="shared" si="154"/>
        <v>Quick and professional</v>
      </c>
      <c r="AD75" s="8"/>
    </row>
    <row r="76">
      <c r="A76" s="14" t="str">
        <f>IFERROR(__xludf.DUMMYFUNCTION("""COMPUTED_VALUE"""),"//ord_85299//Aarav Mehta//Andheri//Guava+1*Vivek Kumar/7/29/2023//UPI//Delivered*Convenience: Easy tracking")</f>
        <v>//ord_85299//Aarav Mehta//Andheri//Guava+1*Vivek Kumar/7/29/2023//UPI//Delivered*Convenience: Easy tracking</v>
      </c>
      <c r="B76" s="14" t="str">
        <f>IFERROR(__xludf.DUMMYFUNCTION("split(A76,""//"")"),"ord_85299")</f>
        <v>ord_85299</v>
      </c>
      <c r="C76" s="14" t="str">
        <f>IFERROR(__xludf.DUMMYFUNCTION("""COMPUTED_VALUE"""),"Aarav Mehta")</f>
        <v>Aarav Mehta</v>
      </c>
      <c r="D76" s="14" t="str">
        <f>IFERROR(__xludf.DUMMYFUNCTION("""COMPUTED_VALUE"""),"Andheri")</f>
        <v>Andheri</v>
      </c>
      <c r="E76" s="14" t="str">
        <f>IFERROR(__xludf.DUMMYFUNCTION("""COMPUTED_VALUE"""),"Guava+1*Vivek Kumar")</f>
        <v>Guava+1*Vivek Kumar</v>
      </c>
      <c r="F76" s="14">
        <f>IFERROR(__xludf.DUMMYFUNCTION("""COMPUTED_VALUE"""),7.0)</f>
        <v>7</v>
      </c>
      <c r="G76" s="14">
        <f>IFERROR(__xludf.DUMMYFUNCTION("""COMPUTED_VALUE"""),29.0)</f>
        <v>29</v>
      </c>
      <c r="H76" s="14">
        <f>IFERROR(__xludf.DUMMYFUNCTION("""COMPUTED_VALUE"""),2023.0)</f>
        <v>2023</v>
      </c>
      <c r="I76" s="14" t="str">
        <f>IFERROR(__xludf.DUMMYFUNCTION("""COMPUTED_VALUE"""),"UPI")</f>
        <v>UPI</v>
      </c>
      <c r="J76" s="14" t="str">
        <f>IFERROR(__xludf.DUMMYFUNCTION("""COMPUTED_VALUE"""),"Delivered*Convenience: Easy tracking")</f>
        <v>Delivered*Convenience: Easy tracking</v>
      </c>
      <c r="K76" s="14" t="str">
        <f>IFERROR(__xludf.DUMMYFUNCTION("split(E76,""+"")"),"Guava")</f>
        <v>Guava</v>
      </c>
      <c r="L76" s="14" t="str">
        <f>IFERROR(__xludf.DUMMYFUNCTION("""COMPUTED_VALUE"""),"1*Vivek Kumar")</f>
        <v>1*Vivek Kumar</v>
      </c>
      <c r="M76" s="14">
        <f>IFERROR(__xludf.DUMMYFUNCTION("SPLIT(L76,""*"")"),1.0)</f>
        <v>1</v>
      </c>
      <c r="N76" s="14" t="str">
        <f>IFERROR(__xludf.DUMMYFUNCTION("""COMPUTED_VALUE"""),"Vivek Kumar")</f>
        <v>Vivek Kumar</v>
      </c>
      <c r="O76" s="14" t="str">
        <f>IFERROR(__xludf.DUMMYFUNCTION("split(J76,""*"")"),"Delivered")</f>
        <v>Delivered</v>
      </c>
      <c r="P76" s="14" t="str">
        <f>IFERROR(__xludf.DUMMYFUNCTION("""COMPUTED_VALUE"""),"Convenience: Easy tracking")</f>
        <v>Convenience: Easy tracking</v>
      </c>
      <c r="Q76" s="14" t="str">
        <f>IFERROR(__xludf.DUMMYFUNCTION("split(P76,"":"")"),"Convenience")</f>
        <v>Convenience</v>
      </c>
      <c r="R76" s="14" t="str">
        <f>IFERROR(__xludf.DUMMYFUNCTION("""COMPUTED_VALUE""")," Easy tracking")</f>
        <v> Easy tracking</v>
      </c>
      <c r="S76" s="14" t="str">
        <f t="shared" ref="S76:U76" si="155">trim(B76)</f>
        <v>ord_85299</v>
      </c>
      <c r="T76" s="14" t="str">
        <f t="shared" si="155"/>
        <v>Aarav Mehta</v>
      </c>
      <c r="U76" s="14" t="str">
        <f t="shared" si="155"/>
        <v>Andheri</v>
      </c>
      <c r="V76" s="14" t="str">
        <f t="shared" si="4"/>
        <v>Guava</v>
      </c>
      <c r="W76" s="14">
        <f t="shared" si="5"/>
        <v>1</v>
      </c>
      <c r="X76" s="14" t="str">
        <f t="shared" si="6"/>
        <v>Vivek Kumar</v>
      </c>
      <c r="Y76" s="15">
        <f t="shared" si="7"/>
        <v>45136</v>
      </c>
      <c r="Z76" s="14" t="str">
        <f t="shared" si="8"/>
        <v>UPI</v>
      </c>
      <c r="AA76" s="14" t="str">
        <f t="shared" si="9"/>
        <v>Delivered</v>
      </c>
      <c r="AB76" s="14" t="str">
        <f t="shared" ref="AB76:AC76" si="156">trim(Q76)</f>
        <v>Convenience</v>
      </c>
      <c r="AC76" s="14" t="str">
        <f t="shared" si="156"/>
        <v>Easy tracking</v>
      </c>
      <c r="AD76" s="8"/>
    </row>
    <row r="77">
      <c r="A77" s="14" t="str">
        <f>IFERROR(__xludf.DUMMYFUNCTION("""COMPUTED_VALUE"""),"//ord_86303//Sanjay Nair//Dadar//Sweet Corn+2*Sita T/6/21/2023//Online Payment//Delivered*Overall Satisfaction: Great service will order again")</f>
        <v>//ord_86303//Sanjay Nair//Dadar//Sweet Corn+2*Sita T/6/21/2023//Online Payment//Delivered*Overall Satisfaction: Great service will order again</v>
      </c>
      <c r="B77" s="14" t="str">
        <f>IFERROR(__xludf.DUMMYFUNCTION("split(A77,""//"")"),"ord_86303")</f>
        <v>ord_86303</v>
      </c>
      <c r="C77" s="14" t="str">
        <f>IFERROR(__xludf.DUMMYFUNCTION("""COMPUTED_VALUE"""),"Sanjay Nair")</f>
        <v>Sanjay Nair</v>
      </c>
      <c r="D77" s="14" t="str">
        <f>IFERROR(__xludf.DUMMYFUNCTION("""COMPUTED_VALUE"""),"Dadar")</f>
        <v>Dadar</v>
      </c>
      <c r="E77" s="14" t="str">
        <f>IFERROR(__xludf.DUMMYFUNCTION("""COMPUTED_VALUE"""),"Sweet Corn+2*Sita T")</f>
        <v>Sweet Corn+2*Sita T</v>
      </c>
      <c r="F77" s="14">
        <f>IFERROR(__xludf.DUMMYFUNCTION("""COMPUTED_VALUE"""),6.0)</f>
        <v>6</v>
      </c>
      <c r="G77" s="14">
        <f>IFERROR(__xludf.DUMMYFUNCTION("""COMPUTED_VALUE"""),21.0)</f>
        <v>21</v>
      </c>
      <c r="H77" s="14">
        <f>IFERROR(__xludf.DUMMYFUNCTION("""COMPUTED_VALUE"""),2023.0)</f>
        <v>2023</v>
      </c>
      <c r="I77" s="14" t="str">
        <f>IFERROR(__xludf.DUMMYFUNCTION("""COMPUTED_VALUE"""),"Online Payment")</f>
        <v>Online Payment</v>
      </c>
      <c r="J77" s="14" t="str">
        <f>IFERROR(__xludf.DUMMYFUNCTION("""COMPUTED_VALUE"""),"Delivered*Overall Satisfaction: Great service will order again")</f>
        <v>Delivered*Overall Satisfaction: Great service will order again</v>
      </c>
      <c r="K77" s="14" t="str">
        <f>IFERROR(__xludf.DUMMYFUNCTION("split(E77,""+"")"),"Sweet Corn")</f>
        <v>Sweet Corn</v>
      </c>
      <c r="L77" s="14" t="str">
        <f>IFERROR(__xludf.DUMMYFUNCTION("""COMPUTED_VALUE"""),"2*Sita T")</f>
        <v>2*Sita T</v>
      </c>
      <c r="M77" s="14">
        <f>IFERROR(__xludf.DUMMYFUNCTION("SPLIT(L77,""*"")"),2.0)</f>
        <v>2</v>
      </c>
      <c r="N77" s="14" t="str">
        <f>IFERROR(__xludf.DUMMYFUNCTION("""COMPUTED_VALUE"""),"Sita T")</f>
        <v>Sita T</v>
      </c>
      <c r="O77" s="14" t="str">
        <f>IFERROR(__xludf.DUMMYFUNCTION("split(J77,""*"")"),"Delivered")</f>
        <v>Delivered</v>
      </c>
      <c r="P77" s="14" t="str">
        <f>IFERROR(__xludf.DUMMYFUNCTION("""COMPUTED_VALUE"""),"Overall Satisfaction: Great service will order again")</f>
        <v>Overall Satisfaction: Great service will order again</v>
      </c>
      <c r="Q77" s="14" t="str">
        <f>IFERROR(__xludf.DUMMYFUNCTION("split(P77,"":"")"),"Overall Satisfaction")</f>
        <v>Overall Satisfaction</v>
      </c>
      <c r="R77" s="14" t="str">
        <f>IFERROR(__xludf.DUMMYFUNCTION("""COMPUTED_VALUE""")," Great service will order again")</f>
        <v> Great service will order again</v>
      </c>
      <c r="S77" s="14" t="str">
        <f t="shared" ref="S77:U77" si="157">trim(B77)</f>
        <v>ord_86303</v>
      </c>
      <c r="T77" s="14" t="str">
        <f t="shared" si="157"/>
        <v>Sanjay Nair</v>
      </c>
      <c r="U77" s="14" t="str">
        <f t="shared" si="157"/>
        <v>Dadar</v>
      </c>
      <c r="V77" s="14" t="str">
        <f t="shared" si="4"/>
        <v>Sweet Corn</v>
      </c>
      <c r="W77" s="14">
        <f t="shared" si="5"/>
        <v>2</v>
      </c>
      <c r="X77" s="14" t="str">
        <f t="shared" si="6"/>
        <v>Sita T</v>
      </c>
      <c r="Y77" s="15">
        <f t="shared" si="7"/>
        <v>45098</v>
      </c>
      <c r="Z77" s="14" t="str">
        <f t="shared" si="8"/>
        <v>Online Payment</v>
      </c>
      <c r="AA77" s="14" t="str">
        <f t="shared" si="9"/>
        <v>Delivered</v>
      </c>
      <c r="AB77" s="14" t="str">
        <f t="shared" ref="AB77:AC77" si="158">trim(Q77)</f>
        <v>Overall Satisfaction</v>
      </c>
      <c r="AC77" s="14" t="str">
        <f t="shared" si="158"/>
        <v>Great service will order again</v>
      </c>
      <c r="AD77" s="8"/>
    </row>
    <row r="78">
      <c r="A78" s="14" t="str">
        <f>IFERROR(__xludf.DUMMYFUNCTION("""COMPUTED_VALUE"""),"//ord_87307//Ishita Banerjee//Juhu//Popcorn+2*Manju Ajay/12/28/2023//Credit Card//Cancelled*Delayed Delivery:Heavy Traffic")</f>
        <v>//ord_87307//Ishita Banerjee//Juhu//Popcorn+2*Manju Ajay/12/28/2023//Credit Card//Cancelled*Delayed Delivery:Heavy Traffic</v>
      </c>
      <c r="B78" s="14" t="str">
        <f>IFERROR(__xludf.DUMMYFUNCTION("split(A78,""//"")"),"ord_87307")</f>
        <v>ord_87307</v>
      </c>
      <c r="C78" s="14" t="str">
        <f>IFERROR(__xludf.DUMMYFUNCTION("""COMPUTED_VALUE"""),"Ishita Banerjee")</f>
        <v>Ishita Banerjee</v>
      </c>
      <c r="D78" s="14" t="str">
        <f>IFERROR(__xludf.DUMMYFUNCTION("""COMPUTED_VALUE"""),"Juhu")</f>
        <v>Juhu</v>
      </c>
      <c r="E78" s="14" t="str">
        <f>IFERROR(__xludf.DUMMYFUNCTION("""COMPUTED_VALUE"""),"Popcorn+2*Manju Ajay")</f>
        <v>Popcorn+2*Manju Ajay</v>
      </c>
      <c r="F78" s="14">
        <f>IFERROR(__xludf.DUMMYFUNCTION("""COMPUTED_VALUE"""),12.0)</f>
        <v>12</v>
      </c>
      <c r="G78" s="14">
        <f>IFERROR(__xludf.DUMMYFUNCTION("""COMPUTED_VALUE"""),28.0)</f>
        <v>28</v>
      </c>
      <c r="H78" s="14">
        <f>IFERROR(__xludf.DUMMYFUNCTION("""COMPUTED_VALUE"""),2023.0)</f>
        <v>2023</v>
      </c>
      <c r="I78" s="14" t="str">
        <f>IFERROR(__xludf.DUMMYFUNCTION("""COMPUTED_VALUE"""),"Credit Card")</f>
        <v>Credit Card</v>
      </c>
      <c r="J78" s="14" t="str">
        <f>IFERROR(__xludf.DUMMYFUNCTION("""COMPUTED_VALUE"""),"Cancelled*Delayed Delivery:Heavy Traffic")</f>
        <v>Cancelled*Delayed Delivery:Heavy Traffic</v>
      </c>
      <c r="K78" s="14" t="str">
        <f>IFERROR(__xludf.DUMMYFUNCTION("split(E78,""+"")"),"Popcorn")</f>
        <v>Popcorn</v>
      </c>
      <c r="L78" s="14" t="str">
        <f>IFERROR(__xludf.DUMMYFUNCTION("""COMPUTED_VALUE"""),"2*Manju Ajay")</f>
        <v>2*Manju Ajay</v>
      </c>
      <c r="M78" s="14">
        <f>IFERROR(__xludf.DUMMYFUNCTION("SPLIT(L78,""*"")"),2.0)</f>
        <v>2</v>
      </c>
      <c r="N78" s="14" t="str">
        <f>IFERROR(__xludf.DUMMYFUNCTION("""COMPUTED_VALUE"""),"Manju Ajay")</f>
        <v>Manju Ajay</v>
      </c>
      <c r="O78" s="14" t="str">
        <f>IFERROR(__xludf.DUMMYFUNCTION("split(J78,""*"")"),"Cancelled")</f>
        <v>Cancelled</v>
      </c>
      <c r="P78" s="14" t="str">
        <f>IFERROR(__xludf.DUMMYFUNCTION("""COMPUTED_VALUE"""),"Delayed Delivery:Heavy Traffic")</f>
        <v>Delayed Delivery:Heavy Traffic</v>
      </c>
      <c r="Q78" s="14" t="str">
        <f>IFERROR(__xludf.DUMMYFUNCTION("split(P78,"":"")"),"Delayed Delivery")</f>
        <v>Delayed Delivery</v>
      </c>
      <c r="R78" s="14" t="str">
        <f>IFERROR(__xludf.DUMMYFUNCTION("""COMPUTED_VALUE"""),"Heavy Traffic")</f>
        <v>Heavy Traffic</v>
      </c>
      <c r="S78" s="14" t="str">
        <f t="shared" ref="S78:U78" si="159">trim(B78)</f>
        <v>ord_87307</v>
      </c>
      <c r="T78" s="14" t="str">
        <f t="shared" si="159"/>
        <v>Ishita Banerjee</v>
      </c>
      <c r="U78" s="14" t="str">
        <f t="shared" si="159"/>
        <v>Juhu</v>
      </c>
      <c r="V78" s="14" t="str">
        <f t="shared" si="4"/>
        <v>Popcorn</v>
      </c>
      <c r="W78" s="14">
        <f t="shared" si="5"/>
        <v>2</v>
      </c>
      <c r="X78" s="14" t="str">
        <f t="shared" si="6"/>
        <v>Manju Ajay</v>
      </c>
      <c r="Y78" s="15">
        <f t="shared" si="7"/>
        <v>45288</v>
      </c>
      <c r="Z78" s="14" t="str">
        <f t="shared" si="8"/>
        <v>Credit Card</v>
      </c>
      <c r="AA78" s="14" t="str">
        <f t="shared" si="9"/>
        <v>Cancelled</v>
      </c>
      <c r="AB78" s="14" t="str">
        <f t="shared" ref="AB78:AC78" si="160">trim(Q78)</f>
        <v>Delayed Delivery</v>
      </c>
      <c r="AC78" s="14" t="str">
        <f t="shared" si="160"/>
        <v>Heavy Traffic</v>
      </c>
      <c r="AD78" s="8"/>
    </row>
    <row r="79">
      <c r="A79" s="14" t="str">
        <f>IFERROR(__xludf.DUMMYFUNCTION("""COMPUTED_VALUE"""),"//ord_88311//Parth Goel//Juhu//Chilli Cheese Toast+1*Tanvi Jain/8/13/2023//Credit Card//Delivered*On-time Delivery: Delivered on time")</f>
        <v>//ord_88311//Parth Goel//Juhu//Chilli Cheese Toast+1*Tanvi Jain/8/13/2023//Credit Card//Delivered*On-time Delivery: Delivered on time</v>
      </c>
      <c r="B79" s="14" t="str">
        <f>IFERROR(__xludf.DUMMYFUNCTION("split(A79,""//"")"),"ord_88311")</f>
        <v>ord_88311</v>
      </c>
      <c r="C79" s="14" t="str">
        <f>IFERROR(__xludf.DUMMYFUNCTION("""COMPUTED_VALUE"""),"Parth Goel")</f>
        <v>Parth Goel</v>
      </c>
      <c r="D79" s="14" t="str">
        <f>IFERROR(__xludf.DUMMYFUNCTION("""COMPUTED_VALUE"""),"Juhu")</f>
        <v>Juhu</v>
      </c>
      <c r="E79" s="14" t="str">
        <f>IFERROR(__xludf.DUMMYFUNCTION("""COMPUTED_VALUE"""),"Chilli Cheese Toast+1*Tanvi Jain")</f>
        <v>Chilli Cheese Toast+1*Tanvi Jain</v>
      </c>
      <c r="F79" s="14">
        <f>IFERROR(__xludf.DUMMYFUNCTION("""COMPUTED_VALUE"""),8.0)</f>
        <v>8</v>
      </c>
      <c r="G79" s="14">
        <f>IFERROR(__xludf.DUMMYFUNCTION("""COMPUTED_VALUE"""),13.0)</f>
        <v>13</v>
      </c>
      <c r="H79" s="14">
        <f>IFERROR(__xludf.DUMMYFUNCTION("""COMPUTED_VALUE"""),2023.0)</f>
        <v>2023</v>
      </c>
      <c r="I79" s="14" t="str">
        <f>IFERROR(__xludf.DUMMYFUNCTION("""COMPUTED_VALUE"""),"Credit Card")</f>
        <v>Credit Card</v>
      </c>
      <c r="J79" s="14" t="str">
        <f>IFERROR(__xludf.DUMMYFUNCTION("""COMPUTED_VALUE"""),"Delivered*On-time Delivery: Delivered on time")</f>
        <v>Delivered*On-time Delivery: Delivered on time</v>
      </c>
      <c r="K79" s="14" t="str">
        <f>IFERROR(__xludf.DUMMYFUNCTION("split(E79,""+"")"),"Chilli Cheese Toast")</f>
        <v>Chilli Cheese Toast</v>
      </c>
      <c r="L79" s="14" t="str">
        <f>IFERROR(__xludf.DUMMYFUNCTION("""COMPUTED_VALUE"""),"1*Tanvi Jain")</f>
        <v>1*Tanvi Jain</v>
      </c>
      <c r="M79" s="14">
        <f>IFERROR(__xludf.DUMMYFUNCTION("SPLIT(L79,""*"")"),1.0)</f>
        <v>1</v>
      </c>
      <c r="N79" s="14" t="str">
        <f>IFERROR(__xludf.DUMMYFUNCTION("""COMPUTED_VALUE"""),"Tanvi Jain")</f>
        <v>Tanvi Jain</v>
      </c>
      <c r="O79" s="14" t="str">
        <f>IFERROR(__xludf.DUMMYFUNCTION("split(J79,""*"")"),"Delivered")</f>
        <v>Delivered</v>
      </c>
      <c r="P79" s="14" t="str">
        <f>IFERROR(__xludf.DUMMYFUNCTION("""COMPUTED_VALUE"""),"On-time Delivery: Delivered on time")</f>
        <v>On-time Delivery: Delivered on time</v>
      </c>
      <c r="Q79" s="14" t="str">
        <f>IFERROR(__xludf.DUMMYFUNCTION("split(P79,"":"")"),"On-time Delivery")</f>
        <v>On-time Delivery</v>
      </c>
      <c r="R79" s="14" t="str">
        <f>IFERROR(__xludf.DUMMYFUNCTION("""COMPUTED_VALUE""")," Delivered on time")</f>
        <v> Delivered on time</v>
      </c>
      <c r="S79" s="14" t="str">
        <f t="shared" ref="S79:U79" si="161">trim(B79)</f>
        <v>ord_88311</v>
      </c>
      <c r="T79" s="14" t="str">
        <f t="shared" si="161"/>
        <v>Parth Goel</v>
      </c>
      <c r="U79" s="14" t="str">
        <f t="shared" si="161"/>
        <v>Juhu</v>
      </c>
      <c r="V79" s="14" t="str">
        <f t="shared" si="4"/>
        <v>Chilli Cheese Toast</v>
      </c>
      <c r="W79" s="14">
        <f t="shared" si="5"/>
        <v>1</v>
      </c>
      <c r="X79" s="14" t="str">
        <f t="shared" si="6"/>
        <v>Tanvi Jain</v>
      </c>
      <c r="Y79" s="15">
        <f t="shared" si="7"/>
        <v>45151</v>
      </c>
      <c r="Z79" s="14" t="str">
        <f t="shared" si="8"/>
        <v>Credit Card</v>
      </c>
      <c r="AA79" s="14" t="str">
        <f t="shared" si="9"/>
        <v>Delivered</v>
      </c>
      <c r="AB79" s="14" t="str">
        <f t="shared" ref="AB79:AC79" si="162">trim(Q79)</f>
        <v>On-time Delivery</v>
      </c>
      <c r="AC79" s="14" t="str">
        <f t="shared" si="162"/>
        <v>Delivered on time</v>
      </c>
      <c r="AD79" s="8"/>
    </row>
    <row r="80">
      <c r="A80" s="14" t="str">
        <f>IFERROR(__xludf.DUMMYFUNCTION("""COMPUTED_VALUE"""),"//ord_89315//Omkar Mishra//Powai//Tomato+2*Ramesh S/10/5/2023//UPI//Delivered*Quality of Items: Perfect condition")</f>
        <v>//ord_89315//Omkar Mishra//Powai//Tomato+2*Ramesh S/10/5/2023//UPI//Delivered*Quality of Items: Perfect condition</v>
      </c>
      <c r="B80" s="14" t="str">
        <f>IFERROR(__xludf.DUMMYFUNCTION("split(A80,""//"")"),"ord_89315")</f>
        <v>ord_89315</v>
      </c>
      <c r="C80" s="14" t="str">
        <f>IFERROR(__xludf.DUMMYFUNCTION("""COMPUTED_VALUE"""),"Omkar Mishra")</f>
        <v>Omkar Mishra</v>
      </c>
      <c r="D80" s="14" t="str">
        <f>IFERROR(__xludf.DUMMYFUNCTION("""COMPUTED_VALUE"""),"Powai")</f>
        <v>Powai</v>
      </c>
      <c r="E80" s="14" t="str">
        <f>IFERROR(__xludf.DUMMYFUNCTION("""COMPUTED_VALUE"""),"Tomato+2*Ramesh S")</f>
        <v>Tomato+2*Ramesh S</v>
      </c>
      <c r="F80" s="14">
        <f>IFERROR(__xludf.DUMMYFUNCTION("""COMPUTED_VALUE"""),10.0)</f>
        <v>10</v>
      </c>
      <c r="G80" s="14">
        <f>IFERROR(__xludf.DUMMYFUNCTION("""COMPUTED_VALUE"""),5.0)</f>
        <v>5</v>
      </c>
      <c r="H80" s="14">
        <f>IFERROR(__xludf.DUMMYFUNCTION("""COMPUTED_VALUE"""),2023.0)</f>
        <v>2023</v>
      </c>
      <c r="I80" s="14" t="str">
        <f>IFERROR(__xludf.DUMMYFUNCTION("""COMPUTED_VALUE"""),"UPI")</f>
        <v>UPI</v>
      </c>
      <c r="J80" s="14" t="str">
        <f>IFERROR(__xludf.DUMMYFUNCTION("""COMPUTED_VALUE"""),"Delivered*Quality of Items: Perfect condition")</f>
        <v>Delivered*Quality of Items: Perfect condition</v>
      </c>
      <c r="K80" s="14" t="str">
        <f>IFERROR(__xludf.DUMMYFUNCTION("split(E80,""+"")"),"Tomato")</f>
        <v>Tomato</v>
      </c>
      <c r="L80" s="14" t="str">
        <f>IFERROR(__xludf.DUMMYFUNCTION("""COMPUTED_VALUE"""),"2*Ramesh S")</f>
        <v>2*Ramesh S</v>
      </c>
      <c r="M80" s="14">
        <f>IFERROR(__xludf.DUMMYFUNCTION("SPLIT(L80,""*"")"),2.0)</f>
        <v>2</v>
      </c>
      <c r="N80" s="14" t="str">
        <f>IFERROR(__xludf.DUMMYFUNCTION("""COMPUTED_VALUE"""),"Ramesh S")</f>
        <v>Ramesh S</v>
      </c>
      <c r="O80" s="14" t="str">
        <f>IFERROR(__xludf.DUMMYFUNCTION("split(J80,""*"")"),"Delivered")</f>
        <v>Delivered</v>
      </c>
      <c r="P80" s="14" t="str">
        <f>IFERROR(__xludf.DUMMYFUNCTION("""COMPUTED_VALUE"""),"Quality of Items: Perfect condition")</f>
        <v>Quality of Items: Perfect condition</v>
      </c>
      <c r="Q80" s="14" t="str">
        <f>IFERROR(__xludf.DUMMYFUNCTION("split(P80,"":"")"),"Quality of Items")</f>
        <v>Quality of Items</v>
      </c>
      <c r="R80" s="14" t="str">
        <f>IFERROR(__xludf.DUMMYFUNCTION("""COMPUTED_VALUE""")," Perfect condition")</f>
        <v> Perfect condition</v>
      </c>
      <c r="S80" s="14" t="str">
        <f t="shared" ref="S80:U80" si="163">trim(B80)</f>
        <v>ord_89315</v>
      </c>
      <c r="T80" s="14" t="str">
        <f t="shared" si="163"/>
        <v>Omkar Mishra</v>
      </c>
      <c r="U80" s="14" t="str">
        <f t="shared" si="163"/>
        <v>Powai</v>
      </c>
      <c r="V80" s="14" t="str">
        <f t="shared" si="4"/>
        <v>Tomato</v>
      </c>
      <c r="W80" s="14">
        <f t="shared" si="5"/>
        <v>2</v>
      </c>
      <c r="X80" s="14" t="str">
        <f t="shared" si="6"/>
        <v>Ramesh S</v>
      </c>
      <c r="Y80" s="15">
        <f t="shared" si="7"/>
        <v>45204</v>
      </c>
      <c r="Z80" s="14" t="str">
        <f t="shared" si="8"/>
        <v>UPI</v>
      </c>
      <c r="AA80" s="14" t="str">
        <f t="shared" si="9"/>
        <v>Delivered</v>
      </c>
      <c r="AB80" s="14" t="str">
        <f t="shared" ref="AB80:AC80" si="164">trim(Q80)</f>
        <v>Quality of Items</v>
      </c>
      <c r="AC80" s="14" t="str">
        <f t="shared" si="164"/>
        <v>Perfect condition</v>
      </c>
      <c r="AD80" s="8"/>
    </row>
    <row r="81">
      <c r="A81" s="14" t="str">
        <f>IFERROR(__xludf.DUMMYFUNCTION("""COMPUTED_VALUE"""),"//ord_90319//Sakshi Tandon//Colaba//Rasmalai+2*Venu R/7/20/2023//COD//Delivered*Packaging: Secure and intact")</f>
        <v>//ord_90319//Sakshi Tandon//Colaba//Rasmalai+2*Venu R/7/20/2023//COD//Delivered*Packaging: Secure and intact</v>
      </c>
      <c r="B81" s="14" t="str">
        <f>IFERROR(__xludf.DUMMYFUNCTION("split(A81,""//"")"),"ord_90319")</f>
        <v>ord_90319</v>
      </c>
      <c r="C81" s="14" t="str">
        <f>IFERROR(__xludf.DUMMYFUNCTION("""COMPUTED_VALUE"""),"Sakshi Tandon")</f>
        <v>Sakshi Tandon</v>
      </c>
      <c r="D81" s="14" t="str">
        <f>IFERROR(__xludf.DUMMYFUNCTION("""COMPUTED_VALUE"""),"Colaba")</f>
        <v>Colaba</v>
      </c>
      <c r="E81" s="14" t="str">
        <f>IFERROR(__xludf.DUMMYFUNCTION("""COMPUTED_VALUE"""),"Rasmalai+2*Venu R")</f>
        <v>Rasmalai+2*Venu R</v>
      </c>
      <c r="F81" s="14">
        <f>IFERROR(__xludf.DUMMYFUNCTION("""COMPUTED_VALUE"""),7.0)</f>
        <v>7</v>
      </c>
      <c r="G81" s="14">
        <f>IFERROR(__xludf.DUMMYFUNCTION("""COMPUTED_VALUE"""),20.0)</f>
        <v>20</v>
      </c>
      <c r="H81" s="14">
        <f>IFERROR(__xludf.DUMMYFUNCTION("""COMPUTED_VALUE"""),2023.0)</f>
        <v>2023</v>
      </c>
      <c r="I81" s="14" t="str">
        <f>IFERROR(__xludf.DUMMYFUNCTION("""COMPUTED_VALUE"""),"COD")</f>
        <v>COD</v>
      </c>
      <c r="J81" s="14" t="str">
        <f>IFERROR(__xludf.DUMMYFUNCTION("""COMPUTED_VALUE"""),"Delivered*Packaging: Secure and intact")</f>
        <v>Delivered*Packaging: Secure and intact</v>
      </c>
      <c r="K81" s="14" t="str">
        <f>IFERROR(__xludf.DUMMYFUNCTION("split(E81,""+"")"),"Rasmalai")</f>
        <v>Rasmalai</v>
      </c>
      <c r="L81" s="14" t="str">
        <f>IFERROR(__xludf.DUMMYFUNCTION("""COMPUTED_VALUE"""),"2*Venu R")</f>
        <v>2*Venu R</v>
      </c>
      <c r="M81" s="14">
        <f>IFERROR(__xludf.DUMMYFUNCTION("SPLIT(L81,""*"")"),2.0)</f>
        <v>2</v>
      </c>
      <c r="N81" s="14" t="str">
        <f>IFERROR(__xludf.DUMMYFUNCTION("""COMPUTED_VALUE"""),"Venu R")</f>
        <v>Venu R</v>
      </c>
      <c r="O81" s="14" t="str">
        <f>IFERROR(__xludf.DUMMYFUNCTION("split(J81,""*"")"),"Delivered")</f>
        <v>Delivered</v>
      </c>
      <c r="P81" s="14" t="str">
        <f>IFERROR(__xludf.DUMMYFUNCTION("""COMPUTED_VALUE"""),"Packaging: Secure and intact")</f>
        <v>Packaging: Secure and intact</v>
      </c>
      <c r="Q81" s="14" t="str">
        <f>IFERROR(__xludf.DUMMYFUNCTION("split(P81,"":"")"),"Packaging")</f>
        <v>Packaging</v>
      </c>
      <c r="R81" s="14" t="str">
        <f>IFERROR(__xludf.DUMMYFUNCTION("""COMPUTED_VALUE""")," Secure and intact")</f>
        <v> Secure and intact</v>
      </c>
      <c r="S81" s="14" t="str">
        <f t="shared" ref="S81:U81" si="165">trim(B81)</f>
        <v>ord_90319</v>
      </c>
      <c r="T81" s="14" t="str">
        <f t="shared" si="165"/>
        <v>Sakshi Tandon</v>
      </c>
      <c r="U81" s="14" t="str">
        <f t="shared" si="165"/>
        <v>Colaba</v>
      </c>
      <c r="V81" s="14" t="str">
        <f t="shared" si="4"/>
        <v>Rasmalai</v>
      </c>
      <c r="W81" s="14">
        <f t="shared" si="5"/>
        <v>2</v>
      </c>
      <c r="X81" s="14" t="str">
        <f t="shared" si="6"/>
        <v>Venu R</v>
      </c>
      <c r="Y81" s="15">
        <f t="shared" si="7"/>
        <v>45127</v>
      </c>
      <c r="Z81" s="14" t="str">
        <f t="shared" si="8"/>
        <v>COD</v>
      </c>
      <c r="AA81" s="14" t="str">
        <f t="shared" si="9"/>
        <v>Delivered</v>
      </c>
      <c r="AB81" s="14" t="str">
        <f t="shared" ref="AB81:AC81" si="166">trim(Q81)</f>
        <v>Packaging</v>
      </c>
      <c r="AC81" s="14" t="str">
        <f t="shared" si="166"/>
        <v>Secure and intact</v>
      </c>
      <c r="AD81" s="8"/>
    </row>
    <row r="82">
      <c r="A82" s="14" t="str">
        <f>IFERROR(__xludf.DUMMYFUNCTION("""COMPUTED_VALUE"""),"//ord_91323//Mohit Malhotra//Lower Parel//Popcorn+1*Nithin Lal/5/9/2023//UPI//Delivered*Satisfied with the Delivery: Timely and quality")</f>
        <v>//ord_91323//Mohit Malhotra//Lower Parel//Popcorn+1*Nithin Lal/5/9/2023//UPI//Delivered*Satisfied with the Delivery: Timely and quality</v>
      </c>
      <c r="B82" s="14" t="str">
        <f>IFERROR(__xludf.DUMMYFUNCTION("split(A82,""//"")"),"ord_91323")</f>
        <v>ord_91323</v>
      </c>
      <c r="C82" s="14" t="str">
        <f>IFERROR(__xludf.DUMMYFUNCTION("""COMPUTED_VALUE"""),"Mohit Malhotra")</f>
        <v>Mohit Malhotra</v>
      </c>
      <c r="D82" s="14" t="str">
        <f>IFERROR(__xludf.DUMMYFUNCTION("""COMPUTED_VALUE"""),"Lower Parel")</f>
        <v>Lower Parel</v>
      </c>
      <c r="E82" s="14" t="str">
        <f>IFERROR(__xludf.DUMMYFUNCTION("""COMPUTED_VALUE"""),"Popcorn+1*Nithin Lal")</f>
        <v>Popcorn+1*Nithin Lal</v>
      </c>
      <c r="F82" s="14">
        <f>IFERROR(__xludf.DUMMYFUNCTION("""COMPUTED_VALUE"""),5.0)</f>
        <v>5</v>
      </c>
      <c r="G82" s="14">
        <f>IFERROR(__xludf.DUMMYFUNCTION("""COMPUTED_VALUE"""),9.0)</f>
        <v>9</v>
      </c>
      <c r="H82" s="14">
        <f>IFERROR(__xludf.DUMMYFUNCTION("""COMPUTED_VALUE"""),2023.0)</f>
        <v>2023</v>
      </c>
      <c r="I82" s="14" t="str">
        <f>IFERROR(__xludf.DUMMYFUNCTION("""COMPUTED_VALUE"""),"UPI")</f>
        <v>UPI</v>
      </c>
      <c r="J82" s="14" t="str">
        <f>IFERROR(__xludf.DUMMYFUNCTION("""COMPUTED_VALUE"""),"Delivered*Satisfied with the Delivery: Timely and quality")</f>
        <v>Delivered*Satisfied with the Delivery: Timely and quality</v>
      </c>
      <c r="K82" s="14" t="str">
        <f>IFERROR(__xludf.DUMMYFUNCTION("split(E82,""+"")"),"Popcorn")</f>
        <v>Popcorn</v>
      </c>
      <c r="L82" s="14" t="str">
        <f>IFERROR(__xludf.DUMMYFUNCTION("""COMPUTED_VALUE"""),"1*Nithin Lal")</f>
        <v>1*Nithin Lal</v>
      </c>
      <c r="M82" s="14">
        <f>IFERROR(__xludf.DUMMYFUNCTION("SPLIT(L82,""*"")"),1.0)</f>
        <v>1</v>
      </c>
      <c r="N82" s="14" t="str">
        <f>IFERROR(__xludf.DUMMYFUNCTION("""COMPUTED_VALUE"""),"Nithin Lal")</f>
        <v>Nithin Lal</v>
      </c>
      <c r="O82" s="14" t="str">
        <f>IFERROR(__xludf.DUMMYFUNCTION("split(J82,""*"")"),"Delivered")</f>
        <v>Delivered</v>
      </c>
      <c r="P82" s="14" t="str">
        <f>IFERROR(__xludf.DUMMYFUNCTION("""COMPUTED_VALUE"""),"Satisfied with the Delivery: Timely and quality")</f>
        <v>Satisfied with the Delivery: Timely and quality</v>
      </c>
      <c r="Q82" s="14" t="str">
        <f>IFERROR(__xludf.DUMMYFUNCTION("split(P82,"":"")"),"Satisfied with the Delivery")</f>
        <v>Satisfied with the Delivery</v>
      </c>
      <c r="R82" s="14" t="str">
        <f>IFERROR(__xludf.DUMMYFUNCTION("""COMPUTED_VALUE""")," Timely and quality")</f>
        <v> Timely and quality</v>
      </c>
      <c r="S82" s="14" t="str">
        <f t="shared" ref="S82:U82" si="167">trim(B82)</f>
        <v>ord_91323</v>
      </c>
      <c r="T82" s="14" t="str">
        <f t="shared" si="167"/>
        <v>Mohit Malhotra</v>
      </c>
      <c r="U82" s="14" t="str">
        <f t="shared" si="167"/>
        <v>Lower Parel</v>
      </c>
      <c r="V82" s="14" t="str">
        <f t="shared" si="4"/>
        <v>Popcorn</v>
      </c>
      <c r="W82" s="14">
        <f t="shared" si="5"/>
        <v>1</v>
      </c>
      <c r="X82" s="14" t="str">
        <f t="shared" si="6"/>
        <v>Nithin Lal</v>
      </c>
      <c r="Y82" s="15">
        <f t="shared" si="7"/>
        <v>45055</v>
      </c>
      <c r="Z82" s="14" t="str">
        <f t="shared" si="8"/>
        <v>UPI</v>
      </c>
      <c r="AA82" s="14" t="str">
        <f t="shared" si="9"/>
        <v>Delivered</v>
      </c>
      <c r="AB82" s="14" t="str">
        <f t="shared" ref="AB82:AC82" si="168">trim(Q82)</f>
        <v>Satisfied with the Delivery</v>
      </c>
      <c r="AC82" s="14" t="str">
        <f t="shared" si="168"/>
        <v>Timely and quality</v>
      </c>
      <c r="AD82" s="8"/>
    </row>
    <row r="83">
      <c r="A83" s="14" t="str">
        <f>IFERROR(__xludf.DUMMYFUNCTION("""COMPUTED_VALUE"""),"//ord_32327//Anaya Rao//Colaba//Cold Coffee+4*Nikhil Deshmukh/3/2/2023//COD//Delivered*Customer Service: Seamless and easy")</f>
        <v>//ord_32327//Anaya Rao//Colaba//Cold Coffee+4*Nikhil Deshmukh/3/2/2023//COD//Delivered*Customer Service: Seamless and easy</v>
      </c>
      <c r="B83" s="14" t="str">
        <f>IFERROR(__xludf.DUMMYFUNCTION("split(A83,""//"")"),"ord_32327")</f>
        <v>ord_32327</v>
      </c>
      <c r="C83" s="14" t="str">
        <f>IFERROR(__xludf.DUMMYFUNCTION("""COMPUTED_VALUE"""),"Anaya Rao")</f>
        <v>Anaya Rao</v>
      </c>
      <c r="D83" s="14" t="str">
        <f>IFERROR(__xludf.DUMMYFUNCTION("""COMPUTED_VALUE"""),"Colaba")</f>
        <v>Colaba</v>
      </c>
      <c r="E83" s="14" t="str">
        <f>IFERROR(__xludf.DUMMYFUNCTION("""COMPUTED_VALUE"""),"Cold Coffee+4*Nikhil Deshmukh")</f>
        <v>Cold Coffee+4*Nikhil Deshmukh</v>
      </c>
      <c r="F83" s="14">
        <f>IFERROR(__xludf.DUMMYFUNCTION("""COMPUTED_VALUE"""),3.0)</f>
        <v>3</v>
      </c>
      <c r="G83" s="14">
        <f>IFERROR(__xludf.DUMMYFUNCTION("""COMPUTED_VALUE"""),2.0)</f>
        <v>2</v>
      </c>
      <c r="H83" s="14">
        <f>IFERROR(__xludf.DUMMYFUNCTION("""COMPUTED_VALUE"""),2023.0)</f>
        <v>2023</v>
      </c>
      <c r="I83" s="14" t="str">
        <f>IFERROR(__xludf.DUMMYFUNCTION("""COMPUTED_VALUE"""),"COD")</f>
        <v>COD</v>
      </c>
      <c r="J83" s="14" t="str">
        <f>IFERROR(__xludf.DUMMYFUNCTION("""COMPUTED_VALUE"""),"Delivered*Customer Service: Seamless and easy")</f>
        <v>Delivered*Customer Service: Seamless and easy</v>
      </c>
      <c r="K83" s="14" t="str">
        <f>IFERROR(__xludf.DUMMYFUNCTION("split(E83,""+"")"),"Cold Coffee")</f>
        <v>Cold Coffee</v>
      </c>
      <c r="L83" s="14" t="str">
        <f>IFERROR(__xludf.DUMMYFUNCTION("""COMPUTED_VALUE"""),"4*Nikhil Deshmukh")</f>
        <v>4*Nikhil Deshmukh</v>
      </c>
      <c r="M83" s="14">
        <f>IFERROR(__xludf.DUMMYFUNCTION("SPLIT(L83,""*"")"),4.0)</f>
        <v>4</v>
      </c>
      <c r="N83" s="14" t="str">
        <f>IFERROR(__xludf.DUMMYFUNCTION("""COMPUTED_VALUE"""),"Nikhil Deshmukh")</f>
        <v>Nikhil Deshmukh</v>
      </c>
      <c r="O83" s="14" t="str">
        <f>IFERROR(__xludf.DUMMYFUNCTION("split(J83,""*"")"),"Delivered")</f>
        <v>Delivered</v>
      </c>
      <c r="P83" s="14" t="str">
        <f>IFERROR(__xludf.DUMMYFUNCTION("""COMPUTED_VALUE"""),"Customer Service: Seamless and easy")</f>
        <v>Customer Service: Seamless and easy</v>
      </c>
      <c r="Q83" s="14" t="str">
        <f>IFERROR(__xludf.DUMMYFUNCTION("split(P83,"":"")"),"Customer Service")</f>
        <v>Customer Service</v>
      </c>
      <c r="R83" s="14" t="str">
        <f>IFERROR(__xludf.DUMMYFUNCTION("""COMPUTED_VALUE""")," Seamless and easy")</f>
        <v> Seamless and easy</v>
      </c>
      <c r="S83" s="14" t="str">
        <f t="shared" ref="S83:U83" si="169">trim(B83)</f>
        <v>ord_32327</v>
      </c>
      <c r="T83" s="14" t="str">
        <f t="shared" si="169"/>
        <v>Anaya Rao</v>
      </c>
      <c r="U83" s="14" t="str">
        <f t="shared" si="169"/>
        <v>Colaba</v>
      </c>
      <c r="V83" s="14" t="str">
        <f t="shared" si="4"/>
        <v>Cold Coffee</v>
      </c>
      <c r="W83" s="14">
        <f t="shared" si="5"/>
        <v>4</v>
      </c>
      <c r="X83" s="14" t="str">
        <f t="shared" si="6"/>
        <v>Nikhil Deshmukh</v>
      </c>
      <c r="Y83" s="15">
        <f t="shared" si="7"/>
        <v>44987</v>
      </c>
      <c r="Z83" s="14" t="str">
        <f t="shared" si="8"/>
        <v>COD</v>
      </c>
      <c r="AA83" s="14" t="str">
        <f t="shared" si="9"/>
        <v>Delivered</v>
      </c>
      <c r="AB83" s="14" t="str">
        <f t="shared" ref="AB83:AC83" si="170">trim(Q83)</f>
        <v>Customer Service</v>
      </c>
      <c r="AC83" s="14" t="str">
        <f t="shared" si="170"/>
        <v>Seamless and easy</v>
      </c>
      <c r="AD83" s="8"/>
    </row>
    <row r="84">
      <c r="A84" s="14" t="str">
        <f>IFERROR(__xludf.DUMMYFUNCTION("""COMPUTED_VALUE"""),"//ord_93331//Dev Chauhan//Bandra//Papaya+1*Nithin Lal/5/20/2023//COD//Delivered*Delivery Experience: Quick and professional")</f>
        <v>//ord_93331//Dev Chauhan//Bandra//Papaya+1*Nithin Lal/5/20/2023//COD//Delivered*Delivery Experience: Quick and professional</v>
      </c>
      <c r="B84" s="14" t="str">
        <f>IFERROR(__xludf.DUMMYFUNCTION("split(A84,""//"")"),"ord_93331")</f>
        <v>ord_93331</v>
      </c>
      <c r="C84" s="14" t="str">
        <f>IFERROR(__xludf.DUMMYFUNCTION("""COMPUTED_VALUE"""),"Dev Chauhan")</f>
        <v>Dev Chauhan</v>
      </c>
      <c r="D84" s="14" t="str">
        <f>IFERROR(__xludf.DUMMYFUNCTION("""COMPUTED_VALUE"""),"Bandra")</f>
        <v>Bandra</v>
      </c>
      <c r="E84" s="14" t="str">
        <f>IFERROR(__xludf.DUMMYFUNCTION("""COMPUTED_VALUE"""),"Papaya+1*Nithin Lal")</f>
        <v>Papaya+1*Nithin Lal</v>
      </c>
      <c r="F84" s="14">
        <f>IFERROR(__xludf.DUMMYFUNCTION("""COMPUTED_VALUE"""),5.0)</f>
        <v>5</v>
      </c>
      <c r="G84" s="14">
        <f>IFERROR(__xludf.DUMMYFUNCTION("""COMPUTED_VALUE"""),20.0)</f>
        <v>20</v>
      </c>
      <c r="H84" s="14">
        <f>IFERROR(__xludf.DUMMYFUNCTION("""COMPUTED_VALUE"""),2023.0)</f>
        <v>2023</v>
      </c>
      <c r="I84" s="14" t="str">
        <f>IFERROR(__xludf.DUMMYFUNCTION("""COMPUTED_VALUE"""),"COD")</f>
        <v>COD</v>
      </c>
      <c r="J84" s="14" t="str">
        <f>IFERROR(__xludf.DUMMYFUNCTION("""COMPUTED_VALUE"""),"Delivered*Delivery Experience: Quick and professional")</f>
        <v>Delivered*Delivery Experience: Quick and professional</v>
      </c>
      <c r="K84" s="14" t="str">
        <f>IFERROR(__xludf.DUMMYFUNCTION("split(E84,""+"")"),"Papaya")</f>
        <v>Papaya</v>
      </c>
      <c r="L84" s="14" t="str">
        <f>IFERROR(__xludf.DUMMYFUNCTION("""COMPUTED_VALUE"""),"1*Nithin Lal")</f>
        <v>1*Nithin Lal</v>
      </c>
      <c r="M84" s="14">
        <f>IFERROR(__xludf.DUMMYFUNCTION("SPLIT(L84,""*"")"),1.0)</f>
        <v>1</v>
      </c>
      <c r="N84" s="14" t="str">
        <f>IFERROR(__xludf.DUMMYFUNCTION("""COMPUTED_VALUE"""),"Nithin Lal")</f>
        <v>Nithin Lal</v>
      </c>
      <c r="O84" s="14" t="str">
        <f>IFERROR(__xludf.DUMMYFUNCTION("split(J84,""*"")"),"Delivered")</f>
        <v>Delivered</v>
      </c>
      <c r="P84" s="14" t="str">
        <f>IFERROR(__xludf.DUMMYFUNCTION("""COMPUTED_VALUE"""),"Delivery Experience: Quick and professional")</f>
        <v>Delivery Experience: Quick and professional</v>
      </c>
      <c r="Q84" s="14" t="str">
        <f>IFERROR(__xludf.DUMMYFUNCTION("split(P84,"":"")"),"Delivery Experience")</f>
        <v>Delivery Experience</v>
      </c>
      <c r="R84" s="14" t="str">
        <f>IFERROR(__xludf.DUMMYFUNCTION("""COMPUTED_VALUE""")," Quick and professional")</f>
        <v> Quick and professional</v>
      </c>
      <c r="S84" s="14" t="str">
        <f t="shared" ref="S84:U84" si="171">trim(B84)</f>
        <v>ord_93331</v>
      </c>
      <c r="T84" s="14" t="str">
        <f t="shared" si="171"/>
        <v>Dev Chauhan</v>
      </c>
      <c r="U84" s="14" t="str">
        <f t="shared" si="171"/>
        <v>Bandra</v>
      </c>
      <c r="V84" s="14" t="str">
        <f t="shared" si="4"/>
        <v>Papaya</v>
      </c>
      <c r="W84" s="14">
        <f t="shared" si="5"/>
        <v>1</v>
      </c>
      <c r="X84" s="14" t="str">
        <f t="shared" si="6"/>
        <v>Nithin Lal</v>
      </c>
      <c r="Y84" s="15">
        <f t="shared" si="7"/>
        <v>45066</v>
      </c>
      <c r="Z84" s="14" t="str">
        <f t="shared" si="8"/>
        <v>COD</v>
      </c>
      <c r="AA84" s="14" t="str">
        <f t="shared" si="9"/>
        <v>Delivered</v>
      </c>
      <c r="AB84" s="14" t="str">
        <f t="shared" ref="AB84:AC84" si="172">trim(Q84)</f>
        <v>Delivery Experience</v>
      </c>
      <c r="AC84" s="14" t="str">
        <f t="shared" si="172"/>
        <v>Quick and professional</v>
      </c>
      <c r="AD84" s="8"/>
    </row>
    <row r="85">
      <c r="A85" s="14" t="str">
        <f>IFERROR(__xludf.DUMMYFUNCTION("""COMPUTED_VALUE"""),"//ord_94335//Pallavi Ghosh//Bandra//Potato+2*Vivek Kumar/9/13/2023//COD//Delivered*Convenience: Easy tracking")</f>
        <v>//ord_94335//Pallavi Ghosh//Bandra//Potato+2*Vivek Kumar/9/13/2023//COD//Delivered*Convenience: Easy tracking</v>
      </c>
      <c r="B85" s="14" t="str">
        <f>IFERROR(__xludf.DUMMYFUNCTION("split(A85,""//"")"),"ord_94335")</f>
        <v>ord_94335</v>
      </c>
      <c r="C85" s="14" t="str">
        <f>IFERROR(__xludf.DUMMYFUNCTION("""COMPUTED_VALUE"""),"Pallavi Ghosh")</f>
        <v>Pallavi Ghosh</v>
      </c>
      <c r="D85" s="14" t="str">
        <f>IFERROR(__xludf.DUMMYFUNCTION("""COMPUTED_VALUE"""),"Bandra")</f>
        <v>Bandra</v>
      </c>
      <c r="E85" s="14" t="str">
        <f>IFERROR(__xludf.DUMMYFUNCTION("""COMPUTED_VALUE"""),"Potato+2*Vivek Kumar")</f>
        <v>Potato+2*Vivek Kumar</v>
      </c>
      <c r="F85" s="14">
        <f>IFERROR(__xludf.DUMMYFUNCTION("""COMPUTED_VALUE"""),9.0)</f>
        <v>9</v>
      </c>
      <c r="G85" s="14">
        <f>IFERROR(__xludf.DUMMYFUNCTION("""COMPUTED_VALUE"""),13.0)</f>
        <v>13</v>
      </c>
      <c r="H85" s="14">
        <f>IFERROR(__xludf.DUMMYFUNCTION("""COMPUTED_VALUE"""),2023.0)</f>
        <v>2023</v>
      </c>
      <c r="I85" s="14" t="str">
        <f>IFERROR(__xludf.DUMMYFUNCTION("""COMPUTED_VALUE"""),"COD")</f>
        <v>COD</v>
      </c>
      <c r="J85" s="14" t="str">
        <f>IFERROR(__xludf.DUMMYFUNCTION("""COMPUTED_VALUE"""),"Delivered*Convenience: Easy tracking")</f>
        <v>Delivered*Convenience: Easy tracking</v>
      </c>
      <c r="K85" s="14" t="str">
        <f>IFERROR(__xludf.DUMMYFUNCTION("split(E85,""+"")"),"Potato")</f>
        <v>Potato</v>
      </c>
      <c r="L85" s="14" t="str">
        <f>IFERROR(__xludf.DUMMYFUNCTION("""COMPUTED_VALUE"""),"2*Vivek Kumar")</f>
        <v>2*Vivek Kumar</v>
      </c>
      <c r="M85" s="14">
        <f>IFERROR(__xludf.DUMMYFUNCTION("SPLIT(L85,""*"")"),2.0)</f>
        <v>2</v>
      </c>
      <c r="N85" s="14" t="str">
        <f>IFERROR(__xludf.DUMMYFUNCTION("""COMPUTED_VALUE"""),"Vivek Kumar")</f>
        <v>Vivek Kumar</v>
      </c>
      <c r="O85" s="14" t="str">
        <f>IFERROR(__xludf.DUMMYFUNCTION("split(J85,""*"")"),"Delivered")</f>
        <v>Delivered</v>
      </c>
      <c r="P85" s="14" t="str">
        <f>IFERROR(__xludf.DUMMYFUNCTION("""COMPUTED_VALUE"""),"Convenience: Easy tracking")</f>
        <v>Convenience: Easy tracking</v>
      </c>
      <c r="Q85" s="14" t="str">
        <f>IFERROR(__xludf.DUMMYFUNCTION("split(P85,"":"")"),"Convenience")</f>
        <v>Convenience</v>
      </c>
      <c r="R85" s="14" t="str">
        <f>IFERROR(__xludf.DUMMYFUNCTION("""COMPUTED_VALUE""")," Easy tracking")</f>
        <v> Easy tracking</v>
      </c>
      <c r="S85" s="14" t="str">
        <f t="shared" ref="S85:U85" si="173">trim(B85)</f>
        <v>ord_94335</v>
      </c>
      <c r="T85" s="14" t="str">
        <f t="shared" si="173"/>
        <v>Pallavi Ghosh</v>
      </c>
      <c r="U85" s="14" t="str">
        <f t="shared" si="173"/>
        <v>Bandra</v>
      </c>
      <c r="V85" s="14" t="str">
        <f t="shared" si="4"/>
        <v>Potato</v>
      </c>
      <c r="W85" s="14">
        <f t="shared" si="5"/>
        <v>2</v>
      </c>
      <c r="X85" s="14" t="str">
        <f t="shared" si="6"/>
        <v>Vivek Kumar</v>
      </c>
      <c r="Y85" s="15">
        <f t="shared" si="7"/>
        <v>45182</v>
      </c>
      <c r="Z85" s="14" t="str">
        <f t="shared" si="8"/>
        <v>COD</v>
      </c>
      <c r="AA85" s="14" t="str">
        <f t="shared" si="9"/>
        <v>Delivered</v>
      </c>
      <c r="AB85" s="14" t="str">
        <f t="shared" ref="AB85:AC85" si="174">trim(Q85)</f>
        <v>Convenience</v>
      </c>
      <c r="AC85" s="14" t="str">
        <f t="shared" si="174"/>
        <v>Easy tracking</v>
      </c>
      <c r="AD85" s="8"/>
    </row>
    <row r="86">
      <c r="A86" s="14" t="str">
        <f>IFERROR(__xludf.DUMMYFUNCTION("""COMPUTED_VALUE"""),"//ord_95339//Siya Reddy//Juhu//Veg Puff+1*Rohan Yadav/9/7/2023//UPI//Cancelled*Delayed Delivery:Bad Weather Conditions ")</f>
        <v>//ord_95339//Siya Reddy//Juhu//Veg Puff+1*Rohan Yadav/9/7/2023//UPI//Cancelled*Delayed Delivery:Bad Weather Conditions </v>
      </c>
      <c r="B86" s="14" t="str">
        <f>IFERROR(__xludf.DUMMYFUNCTION("split(A86,""//"")"),"ord_95339")</f>
        <v>ord_95339</v>
      </c>
      <c r="C86" s="14" t="str">
        <f>IFERROR(__xludf.DUMMYFUNCTION("""COMPUTED_VALUE"""),"Siya Reddy")</f>
        <v>Siya Reddy</v>
      </c>
      <c r="D86" s="14" t="str">
        <f>IFERROR(__xludf.DUMMYFUNCTION("""COMPUTED_VALUE"""),"Juhu")</f>
        <v>Juhu</v>
      </c>
      <c r="E86" s="14" t="str">
        <f>IFERROR(__xludf.DUMMYFUNCTION("""COMPUTED_VALUE"""),"Veg Puff+1*Rohan Yadav")</f>
        <v>Veg Puff+1*Rohan Yadav</v>
      </c>
      <c r="F86" s="14">
        <f>IFERROR(__xludf.DUMMYFUNCTION("""COMPUTED_VALUE"""),9.0)</f>
        <v>9</v>
      </c>
      <c r="G86" s="14">
        <f>IFERROR(__xludf.DUMMYFUNCTION("""COMPUTED_VALUE"""),7.0)</f>
        <v>7</v>
      </c>
      <c r="H86" s="14">
        <f>IFERROR(__xludf.DUMMYFUNCTION("""COMPUTED_VALUE"""),2023.0)</f>
        <v>2023</v>
      </c>
      <c r="I86" s="14" t="str">
        <f>IFERROR(__xludf.DUMMYFUNCTION("""COMPUTED_VALUE"""),"UPI")</f>
        <v>UPI</v>
      </c>
      <c r="J86" s="14" t="str">
        <f>IFERROR(__xludf.DUMMYFUNCTION("""COMPUTED_VALUE"""),"Cancelled*Delayed Delivery:Bad Weather Conditions ")</f>
        <v>Cancelled*Delayed Delivery:Bad Weather Conditions </v>
      </c>
      <c r="K86" s="14" t="str">
        <f>IFERROR(__xludf.DUMMYFUNCTION("split(E86,""+"")"),"Veg Puff")</f>
        <v>Veg Puff</v>
      </c>
      <c r="L86" s="14" t="str">
        <f>IFERROR(__xludf.DUMMYFUNCTION("""COMPUTED_VALUE"""),"1*Rohan Yadav")</f>
        <v>1*Rohan Yadav</v>
      </c>
      <c r="M86" s="14">
        <f>IFERROR(__xludf.DUMMYFUNCTION("SPLIT(L86,""*"")"),1.0)</f>
        <v>1</v>
      </c>
      <c r="N86" s="14" t="str">
        <f>IFERROR(__xludf.DUMMYFUNCTION("""COMPUTED_VALUE"""),"Rohan Yadav")</f>
        <v>Rohan Yadav</v>
      </c>
      <c r="O86" s="14" t="str">
        <f>IFERROR(__xludf.DUMMYFUNCTION("split(J86,""*"")"),"Cancelled")</f>
        <v>Cancelled</v>
      </c>
      <c r="P86" s="14" t="str">
        <f>IFERROR(__xludf.DUMMYFUNCTION("""COMPUTED_VALUE"""),"Delayed Delivery:Bad Weather Conditions ")</f>
        <v>Delayed Delivery:Bad Weather Conditions </v>
      </c>
      <c r="Q86" s="14" t="str">
        <f>IFERROR(__xludf.DUMMYFUNCTION("split(P86,"":"")"),"Delayed Delivery")</f>
        <v>Delayed Delivery</v>
      </c>
      <c r="R86" s="14" t="str">
        <f>IFERROR(__xludf.DUMMYFUNCTION("""COMPUTED_VALUE"""),"Bad Weather Conditions ")</f>
        <v>Bad Weather Conditions </v>
      </c>
      <c r="S86" s="14" t="str">
        <f t="shared" ref="S86:U86" si="175">trim(B86)</f>
        <v>ord_95339</v>
      </c>
      <c r="T86" s="14" t="str">
        <f t="shared" si="175"/>
        <v>Siya Reddy</v>
      </c>
      <c r="U86" s="14" t="str">
        <f t="shared" si="175"/>
        <v>Juhu</v>
      </c>
      <c r="V86" s="14" t="str">
        <f t="shared" si="4"/>
        <v>Veg Puff</v>
      </c>
      <c r="W86" s="14">
        <f t="shared" si="5"/>
        <v>1</v>
      </c>
      <c r="X86" s="14" t="str">
        <f t="shared" si="6"/>
        <v>Rohan Yadav</v>
      </c>
      <c r="Y86" s="15">
        <f t="shared" si="7"/>
        <v>45176</v>
      </c>
      <c r="Z86" s="14" t="str">
        <f t="shared" si="8"/>
        <v>UPI</v>
      </c>
      <c r="AA86" s="14" t="str">
        <f t="shared" si="9"/>
        <v>Cancelled</v>
      </c>
      <c r="AB86" s="14" t="str">
        <f t="shared" ref="AB86:AC86" si="176">trim(Q86)</f>
        <v>Delayed Delivery</v>
      </c>
      <c r="AC86" s="14" t="str">
        <f t="shared" si="176"/>
        <v>Bad Weather Conditions</v>
      </c>
      <c r="AD86" s="8"/>
    </row>
    <row r="87">
      <c r="A87" s="14" t="str">
        <f>IFERROR(__xludf.DUMMYFUNCTION("""COMPUTED_VALUE"""),"//ord_96343//Tanishq Bansal//Powai//Chilli Cheese Toast+2*Ramesh S/2/1/2023//UPI//Delivered*Overall Satisfaction: Great service will order again")</f>
        <v>//ord_96343//Tanishq Bansal//Powai//Chilli Cheese Toast+2*Ramesh S/2/1/2023//UPI//Delivered*Overall Satisfaction: Great service will order again</v>
      </c>
      <c r="B87" s="14" t="str">
        <f>IFERROR(__xludf.DUMMYFUNCTION("split(A87,""//"")"),"ord_96343")</f>
        <v>ord_96343</v>
      </c>
      <c r="C87" s="14" t="str">
        <f>IFERROR(__xludf.DUMMYFUNCTION("""COMPUTED_VALUE"""),"Tanishq Bansal")</f>
        <v>Tanishq Bansal</v>
      </c>
      <c r="D87" s="14" t="str">
        <f>IFERROR(__xludf.DUMMYFUNCTION("""COMPUTED_VALUE"""),"Powai")</f>
        <v>Powai</v>
      </c>
      <c r="E87" s="14" t="str">
        <f>IFERROR(__xludf.DUMMYFUNCTION("""COMPUTED_VALUE"""),"Chilli Cheese Toast+2*Ramesh S")</f>
        <v>Chilli Cheese Toast+2*Ramesh S</v>
      </c>
      <c r="F87" s="14">
        <f>IFERROR(__xludf.DUMMYFUNCTION("""COMPUTED_VALUE"""),2.0)</f>
        <v>2</v>
      </c>
      <c r="G87" s="14">
        <f>IFERROR(__xludf.DUMMYFUNCTION("""COMPUTED_VALUE"""),1.0)</f>
        <v>1</v>
      </c>
      <c r="H87" s="14">
        <f>IFERROR(__xludf.DUMMYFUNCTION("""COMPUTED_VALUE"""),2023.0)</f>
        <v>2023</v>
      </c>
      <c r="I87" s="14" t="str">
        <f>IFERROR(__xludf.DUMMYFUNCTION("""COMPUTED_VALUE"""),"UPI")</f>
        <v>UPI</v>
      </c>
      <c r="J87" s="14" t="str">
        <f>IFERROR(__xludf.DUMMYFUNCTION("""COMPUTED_VALUE"""),"Delivered*Overall Satisfaction: Great service will order again")</f>
        <v>Delivered*Overall Satisfaction: Great service will order again</v>
      </c>
      <c r="K87" s="14" t="str">
        <f>IFERROR(__xludf.DUMMYFUNCTION("split(E87,""+"")"),"Chilli Cheese Toast")</f>
        <v>Chilli Cheese Toast</v>
      </c>
      <c r="L87" s="14" t="str">
        <f>IFERROR(__xludf.DUMMYFUNCTION("""COMPUTED_VALUE"""),"2*Ramesh S")</f>
        <v>2*Ramesh S</v>
      </c>
      <c r="M87" s="14">
        <f>IFERROR(__xludf.DUMMYFUNCTION("SPLIT(L87,""*"")"),2.0)</f>
        <v>2</v>
      </c>
      <c r="N87" s="14" t="str">
        <f>IFERROR(__xludf.DUMMYFUNCTION("""COMPUTED_VALUE"""),"Ramesh S")</f>
        <v>Ramesh S</v>
      </c>
      <c r="O87" s="14" t="str">
        <f>IFERROR(__xludf.DUMMYFUNCTION("split(J87,""*"")"),"Delivered")</f>
        <v>Delivered</v>
      </c>
      <c r="P87" s="14" t="str">
        <f>IFERROR(__xludf.DUMMYFUNCTION("""COMPUTED_VALUE"""),"Overall Satisfaction: Great service will order again")</f>
        <v>Overall Satisfaction: Great service will order again</v>
      </c>
      <c r="Q87" s="14" t="str">
        <f>IFERROR(__xludf.DUMMYFUNCTION("split(P87,"":"")"),"Overall Satisfaction")</f>
        <v>Overall Satisfaction</v>
      </c>
      <c r="R87" s="14" t="str">
        <f>IFERROR(__xludf.DUMMYFUNCTION("""COMPUTED_VALUE""")," Great service will order again")</f>
        <v> Great service will order again</v>
      </c>
      <c r="S87" s="14" t="str">
        <f t="shared" ref="S87:U87" si="177">trim(B87)</f>
        <v>ord_96343</v>
      </c>
      <c r="T87" s="14" t="str">
        <f t="shared" si="177"/>
        <v>Tanishq Bansal</v>
      </c>
      <c r="U87" s="14" t="str">
        <f t="shared" si="177"/>
        <v>Powai</v>
      </c>
      <c r="V87" s="14" t="str">
        <f t="shared" si="4"/>
        <v>Chilli Cheese Toast</v>
      </c>
      <c r="W87" s="14">
        <f t="shared" si="5"/>
        <v>2</v>
      </c>
      <c r="X87" s="14" t="str">
        <f t="shared" si="6"/>
        <v>Ramesh S</v>
      </c>
      <c r="Y87" s="15">
        <f t="shared" si="7"/>
        <v>44958</v>
      </c>
      <c r="Z87" s="14" t="str">
        <f t="shared" si="8"/>
        <v>UPI</v>
      </c>
      <c r="AA87" s="14" t="str">
        <f t="shared" si="9"/>
        <v>Delivered</v>
      </c>
      <c r="AB87" s="14" t="str">
        <f t="shared" ref="AB87:AC87" si="178">trim(Q87)</f>
        <v>Overall Satisfaction</v>
      </c>
      <c r="AC87" s="14" t="str">
        <f t="shared" si="178"/>
        <v>Great service will order again</v>
      </c>
      <c r="AD87" s="8"/>
    </row>
    <row r="88">
      <c r="A88" s="14" t="str">
        <f>IFERROR(__xludf.DUMMYFUNCTION("""COMPUTED_VALUE"""),"//ord_97347//Anaya Rao//Colaba//Chilli Cheese Toast+3*Nikhil Deshmukh/11/24/2023//Credit Card//Delivered*On-time Delivery: Delivered on time")</f>
        <v>//ord_97347//Anaya Rao//Colaba//Chilli Cheese Toast+3*Nikhil Deshmukh/11/24/2023//Credit Card//Delivered*On-time Delivery: Delivered on time</v>
      </c>
      <c r="B88" s="14" t="str">
        <f>IFERROR(__xludf.DUMMYFUNCTION("split(A88,""//"")"),"ord_97347")</f>
        <v>ord_97347</v>
      </c>
      <c r="C88" s="14" t="str">
        <f>IFERROR(__xludf.DUMMYFUNCTION("""COMPUTED_VALUE"""),"Anaya Rao")</f>
        <v>Anaya Rao</v>
      </c>
      <c r="D88" s="14" t="str">
        <f>IFERROR(__xludf.DUMMYFUNCTION("""COMPUTED_VALUE"""),"Colaba")</f>
        <v>Colaba</v>
      </c>
      <c r="E88" s="14" t="str">
        <f>IFERROR(__xludf.DUMMYFUNCTION("""COMPUTED_VALUE"""),"Chilli Cheese Toast+3*Nikhil Deshmukh")</f>
        <v>Chilli Cheese Toast+3*Nikhil Deshmukh</v>
      </c>
      <c r="F88" s="14">
        <f>IFERROR(__xludf.DUMMYFUNCTION("""COMPUTED_VALUE"""),11.0)</f>
        <v>11</v>
      </c>
      <c r="G88" s="14">
        <f>IFERROR(__xludf.DUMMYFUNCTION("""COMPUTED_VALUE"""),24.0)</f>
        <v>24</v>
      </c>
      <c r="H88" s="14">
        <f>IFERROR(__xludf.DUMMYFUNCTION("""COMPUTED_VALUE"""),2023.0)</f>
        <v>2023</v>
      </c>
      <c r="I88" s="14" t="str">
        <f>IFERROR(__xludf.DUMMYFUNCTION("""COMPUTED_VALUE"""),"Credit Card")</f>
        <v>Credit Card</v>
      </c>
      <c r="J88" s="14" t="str">
        <f>IFERROR(__xludf.DUMMYFUNCTION("""COMPUTED_VALUE"""),"Delivered*On-time Delivery: Delivered on time")</f>
        <v>Delivered*On-time Delivery: Delivered on time</v>
      </c>
      <c r="K88" s="14" t="str">
        <f>IFERROR(__xludf.DUMMYFUNCTION("split(E88,""+"")"),"Chilli Cheese Toast")</f>
        <v>Chilli Cheese Toast</v>
      </c>
      <c r="L88" s="14" t="str">
        <f>IFERROR(__xludf.DUMMYFUNCTION("""COMPUTED_VALUE"""),"3*Nikhil Deshmukh")</f>
        <v>3*Nikhil Deshmukh</v>
      </c>
      <c r="M88" s="14">
        <f>IFERROR(__xludf.DUMMYFUNCTION("SPLIT(L88,""*"")"),3.0)</f>
        <v>3</v>
      </c>
      <c r="N88" s="14" t="str">
        <f>IFERROR(__xludf.DUMMYFUNCTION("""COMPUTED_VALUE"""),"Nikhil Deshmukh")</f>
        <v>Nikhil Deshmukh</v>
      </c>
      <c r="O88" s="14" t="str">
        <f>IFERROR(__xludf.DUMMYFUNCTION("split(J88,""*"")"),"Delivered")</f>
        <v>Delivered</v>
      </c>
      <c r="P88" s="14" t="str">
        <f>IFERROR(__xludf.DUMMYFUNCTION("""COMPUTED_VALUE"""),"On-time Delivery: Delivered on time")</f>
        <v>On-time Delivery: Delivered on time</v>
      </c>
      <c r="Q88" s="14" t="str">
        <f>IFERROR(__xludf.DUMMYFUNCTION("split(P88,"":"")"),"On-time Delivery")</f>
        <v>On-time Delivery</v>
      </c>
      <c r="R88" s="14" t="str">
        <f>IFERROR(__xludf.DUMMYFUNCTION("""COMPUTED_VALUE""")," Delivered on time")</f>
        <v> Delivered on time</v>
      </c>
      <c r="S88" s="14" t="str">
        <f t="shared" ref="S88:U88" si="179">trim(B88)</f>
        <v>ord_97347</v>
      </c>
      <c r="T88" s="14" t="str">
        <f t="shared" si="179"/>
        <v>Anaya Rao</v>
      </c>
      <c r="U88" s="14" t="str">
        <f t="shared" si="179"/>
        <v>Colaba</v>
      </c>
      <c r="V88" s="14" t="str">
        <f t="shared" si="4"/>
        <v>Chilli Cheese Toast</v>
      </c>
      <c r="W88" s="14">
        <f t="shared" si="5"/>
        <v>3</v>
      </c>
      <c r="X88" s="14" t="str">
        <f t="shared" si="6"/>
        <v>Nikhil Deshmukh</v>
      </c>
      <c r="Y88" s="15">
        <f t="shared" si="7"/>
        <v>45254</v>
      </c>
      <c r="Z88" s="14" t="str">
        <f t="shared" si="8"/>
        <v>Credit Card</v>
      </c>
      <c r="AA88" s="14" t="str">
        <f t="shared" si="9"/>
        <v>Delivered</v>
      </c>
      <c r="AB88" s="14" t="str">
        <f t="shared" ref="AB88:AC88" si="180">trim(Q88)</f>
        <v>On-time Delivery</v>
      </c>
      <c r="AC88" s="14" t="str">
        <f t="shared" si="180"/>
        <v>Delivered on time</v>
      </c>
      <c r="AD88" s="8"/>
    </row>
    <row r="89">
      <c r="A89" s="14" t="str">
        <f>IFERROR(__xludf.DUMMYFUNCTION("""COMPUTED_VALUE"""),"//ord_98351//Sanjay Nair//Dadar//Juice+3*Nithin Lal/8/23/2023//Online Payment//Delivered*Quality of Items: Perfect condition")</f>
        <v>//ord_98351//Sanjay Nair//Dadar//Juice+3*Nithin Lal/8/23/2023//Online Payment//Delivered*Quality of Items: Perfect condition</v>
      </c>
      <c r="B89" s="14" t="str">
        <f>IFERROR(__xludf.DUMMYFUNCTION("split(A89,""//"")"),"ord_98351")</f>
        <v>ord_98351</v>
      </c>
      <c r="C89" s="14" t="str">
        <f>IFERROR(__xludf.DUMMYFUNCTION("""COMPUTED_VALUE"""),"Sanjay Nair")</f>
        <v>Sanjay Nair</v>
      </c>
      <c r="D89" s="14" t="str">
        <f>IFERROR(__xludf.DUMMYFUNCTION("""COMPUTED_VALUE"""),"Dadar")</f>
        <v>Dadar</v>
      </c>
      <c r="E89" s="14" t="str">
        <f>IFERROR(__xludf.DUMMYFUNCTION("""COMPUTED_VALUE"""),"Juice+3*Nithin Lal")</f>
        <v>Juice+3*Nithin Lal</v>
      </c>
      <c r="F89" s="14">
        <f>IFERROR(__xludf.DUMMYFUNCTION("""COMPUTED_VALUE"""),8.0)</f>
        <v>8</v>
      </c>
      <c r="G89" s="14">
        <f>IFERROR(__xludf.DUMMYFUNCTION("""COMPUTED_VALUE"""),23.0)</f>
        <v>23</v>
      </c>
      <c r="H89" s="14">
        <f>IFERROR(__xludf.DUMMYFUNCTION("""COMPUTED_VALUE"""),2023.0)</f>
        <v>2023</v>
      </c>
      <c r="I89" s="14" t="str">
        <f>IFERROR(__xludf.DUMMYFUNCTION("""COMPUTED_VALUE"""),"Online Payment")</f>
        <v>Online Payment</v>
      </c>
      <c r="J89" s="14" t="str">
        <f>IFERROR(__xludf.DUMMYFUNCTION("""COMPUTED_VALUE"""),"Delivered*Quality of Items: Perfect condition")</f>
        <v>Delivered*Quality of Items: Perfect condition</v>
      </c>
      <c r="K89" s="14" t="str">
        <f>IFERROR(__xludf.DUMMYFUNCTION("split(E89,""+"")"),"Juice")</f>
        <v>Juice</v>
      </c>
      <c r="L89" s="14" t="str">
        <f>IFERROR(__xludf.DUMMYFUNCTION("""COMPUTED_VALUE"""),"3*Nithin Lal")</f>
        <v>3*Nithin Lal</v>
      </c>
      <c r="M89" s="14">
        <f>IFERROR(__xludf.DUMMYFUNCTION("SPLIT(L89,""*"")"),3.0)</f>
        <v>3</v>
      </c>
      <c r="N89" s="14" t="str">
        <f>IFERROR(__xludf.DUMMYFUNCTION("""COMPUTED_VALUE"""),"Nithin Lal")</f>
        <v>Nithin Lal</v>
      </c>
      <c r="O89" s="14" t="str">
        <f>IFERROR(__xludf.DUMMYFUNCTION("split(J89,""*"")"),"Delivered")</f>
        <v>Delivered</v>
      </c>
      <c r="P89" s="14" t="str">
        <f>IFERROR(__xludf.DUMMYFUNCTION("""COMPUTED_VALUE"""),"Quality of Items: Perfect condition")</f>
        <v>Quality of Items: Perfect condition</v>
      </c>
      <c r="Q89" s="14" t="str">
        <f>IFERROR(__xludf.DUMMYFUNCTION("split(P89,"":"")"),"Quality of Items")</f>
        <v>Quality of Items</v>
      </c>
      <c r="R89" s="14" t="str">
        <f>IFERROR(__xludf.DUMMYFUNCTION("""COMPUTED_VALUE""")," Perfect condition")</f>
        <v> Perfect condition</v>
      </c>
      <c r="S89" s="14" t="str">
        <f t="shared" ref="S89:U89" si="181">trim(B89)</f>
        <v>ord_98351</v>
      </c>
      <c r="T89" s="14" t="str">
        <f t="shared" si="181"/>
        <v>Sanjay Nair</v>
      </c>
      <c r="U89" s="14" t="str">
        <f t="shared" si="181"/>
        <v>Dadar</v>
      </c>
      <c r="V89" s="14" t="str">
        <f t="shared" si="4"/>
        <v>Juice</v>
      </c>
      <c r="W89" s="14">
        <f t="shared" si="5"/>
        <v>3</v>
      </c>
      <c r="X89" s="14" t="str">
        <f t="shared" si="6"/>
        <v>Nithin Lal</v>
      </c>
      <c r="Y89" s="15">
        <f t="shared" si="7"/>
        <v>45161</v>
      </c>
      <c r="Z89" s="14" t="str">
        <f t="shared" si="8"/>
        <v>Online Payment</v>
      </c>
      <c r="AA89" s="14" t="str">
        <f t="shared" si="9"/>
        <v>Delivered</v>
      </c>
      <c r="AB89" s="14" t="str">
        <f t="shared" ref="AB89:AC89" si="182">trim(Q89)</f>
        <v>Quality of Items</v>
      </c>
      <c r="AC89" s="14" t="str">
        <f t="shared" si="182"/>
        <v>Perfect condition</v>
      </c>
      <c r="AD89" s="8"/>
    </row>
    <row r="90">
      <c r="A90" s="14" t="str">
        <f>IFERROR(__xludf.DUMMYFUNCTION("""COMPUTED_VALUE"""),"//ord_99355//Simran Bhatt//Juhu//Chicken Puff+5*Tanvi Jain/1/3/2023//Credit Card//Delivered*Packaging: Secure and intact")</f>
        <v>//ord_99355//Simran Bhatt//Juhu//Chicken Puff+5*Tanvi Jain/1/3/2023//Credit Card//Delivered*Packaging: Secure and intact</v>
      </c>
      <c r="B90" s="14" t="str">
        <f>IFERROR(__xludf.DUMMYFUNCTION("split(A90,""//"")"),"ord_99355")</f>
        <v>ord_99355</v>
      </c>
      <c r="C90" s="14" t="str">
        <f>IFERROR(__xludf.DUMMYFUNCTION("""COMPUTED_VALUE"""),"Simran Bhatt")</f>
        <v>Simran Bhatt</v>
      </c>
      <c r="D90" s="14" t="str">
        <f>IFERROR(__xludf.DUMMYFUNCTION("""COMPUTED_VALUE"""),"Juhu")</f>
        <v>Juhu</v>
      </c>
      <c r="E90" s="14" t="str">
        <f>IFERROR(__xludf.DUMMYFUNCTION("""COMPUTED_VALUE"""),"Chicken Puff+5*Tanvi Jain")</f>
        <v>Chicken Puff+5*Tanvi Jain</v>
      </c>
      <c r="F90" s="14">
        <f>IFERROR(__xludf.DUMMYFUNCTION("""COMPUTED_VALUE"""),1.0)</f>
        <v>1</v>
      </c>
      <c r="G90" s="14">
        <f>IFERROR(__xludf.DUMMYFUNCTION("""COMPUTED_VALUE"""),3.0)</f>
        <v>3</v>
      </c>
      <c r="H90" s="14">
        <f>IFERROR(__xludf.DUMMYFUNCTION("""COMPUTED_VALUE"""),2023.0)</f>
        <v>2023</v>
      </c>
      <c r="I90" s="14" t="str">
        <f>IFERROR(__xludf.DUMMYFUNCTION("""COMPUTED_VALUE"""),"Credit Card")</f>
        <v>Credit Card</v>
      </c>
      <c r="J90" s="14" t="str">
        <f>IFERROR(__xludf.DUMMYFUNCTION("""COMPUTED_VALUE"""),"Delivered*Packaging: Secure and intact")</f>
        <v>Delivered*Packaging: Secure and intact</v>
      </c>
      <c r="K90" s="14" t="str">
        <f>IFERROR(__xludf.DUMMYFUNCTION("split(E90,""+"")"),"Chicken Puff")</f>
        <v>Chicken Puff</v>
      </c>
      <c r="L90" s="14" t="str">
        <f>IFERROR(__xludf.DUMMYFUNCTION("""COMPUTED_VALUE"""),"5*Tanvi Jain")</f>
        <v>5*Tanvi Jain</v>
      </c>
      <c r="M90" s="14">
        <f>IFERROR(__xludf.DUMMYFUNCTION("SPLIT(L90,""*"")"),5.0)</f>
        <v>5</v>
      </c>
      <c r="N90" s="14" t="str">
        <f>IFERROR(__xludf.DUMMYFUNCTION("""COMPUTED_VALUE"""),"Tanvi Jain")</f>
        <v>Tanvi Jain</v>
      </c>
      <c r="O90" s="14" t="str">
        <f>IFERROR(__xludf.DUMMYFUNCTION("split(J90,""*"")"),"Delivered")</f>
        <v>Delivered</v>
      </c>
      <c r="P90" s="14" t="str">
        <f>IFERROR(__xludf.DUMMYFUNCTION("""COMPUTED_VALUE"""),"Packaging: Secure and intact")</f>
        <v>Packaging: Secure and intact</v>
      </c>
      <c r="Q90" s="14" t="str">
        <f>IFERROR(__xludf.DUMMYFUNCTION("split(P90,"":"")"),"Packaging")</f>
        <v>Packaging</v>
      </c>
      <c r="R90" s="14" t="str">
        <f>IFERROR(__xludf.DUMMYFUNCTION("""COMPUTED_VALUE""")," Secure and intact")</f>
        <v> Secure and intact</v>
      </c>
      <c r="S90" s="14" t="str">
        <f t="shared" ref="S90:U90" si="183">trim(B90)</f>
        <v>ord_99355</v>
      </c>
      <c r="T90" s="14" t="str">
        <f t="shared" si="183"/>
        <v>Simran Bhatt</v>
      </c>
      <c r="U90" s="14" t="str">
        <f t="shared" si="183"/>
        <v>Juhu</v>
      </c>
      <c r="V90" s="14" t="str">
        <f t="shared" si="4"/>
        <v>Chicken Puff</v>
      </c>
      <c r="W90" s="14">
        <f t="shared" si="5"/>
        <v>5</v>
      </c>
      <c r="X90" s="14" t="str">
        <f t="shared" si="6"/>
        <v>Tanvi Jain</v>
      </c>
      <c r="Y90" s="15">
        <f t="shared" si="7"/>
        <v>44929</v>
      </c>
      <c r="Z90" s="14" t="str">
        <f t="shared" si="8"/>
        <v>Credit Card</v>
      </c>
      <c r="AA90" s="14" t="str">
        <f t="shared" si="9"/>
        <v>Delivered</v>
      </c>
      <c r="AB90" s="14" t="str">
        <f t="shared" ref="AB90:AC90" si="184">trim(Q90)</f>
        <v>Packaging</v>
      </c>
      <c r="AC90" s="14" t="str">
        <f t="shared" si="184"/>
        <v>Secure and intact</v>
      </c>
      <c r="AD90" s="8"/>
    </row>
    <row r="91">
      <c r="A91" s="14" t="str">
        <f>IFERROR(__xludf.DUMMYFUNCTION("""COMPUTED_VALUE"""),"//ord_30039//Pranav Joshi//Andheri//Guava+2*Not Assigned/11/4/2023//Credit Card//Cancelled*Out of Stock")</f>
        <v>//ord_30039//Pranav Joshi//Andheri//Guava+2*Not Assigned/11/4/2023//Credit Card//Cancelled*Out of Stock</v>
      </c>
      <c r="B91" s="14" t="str">
        <f>IFERROR(__xludf.DUMMYFUNCTION("split(A91,""//"")"),"ord_30039")</f>
        <v>ord_30039</v>
      </c>
      <c r="C91" s="14" t="str">
        <f>IFERROR(__xludf.DUMMYFUNCTION("""COMPUTED_VALUE"""),"Pranav Joshi")</f>
        <v>Pranav Joshi</v>
      </c>
      <c r="D91" s="14" t="str">
        <f>IFERROR(__xludf.DUMMYFUNCTION("""COMPUTED_VALUE"""),"Andheri")</f>
        <v>Andheri</v>
      </c>
      <c r="E91" s="14" t="str">
        <f>IFERROR(__xludf.DUMMYFUNCTION("""COMPUTED_VALUE"""),"Guava+2*Not Assigned")</f>
        <v>Guava+2*Not Assigned</v>
      </c>
      <c r="F91" s="14">
        <f>IFERROR(__xludf.DUMMYFUNCTION("""COMPUTED_VALUE"""),11.0)</f>
        <v>11</v>
      </c>
      <c r="G91" s="14">
        <f>IFERROR(__xludf.DUMMYFUNCTION("""COMPUTED_VALUE"""),4.0)</f>
        <v>4</v>
      </c>
      <c r="H91" s="14">
        <f>IFERROR(__xludf.DUMMYFUNCTION("""COMPUTED_VALUE"""),2023.0)</f>
        <v>2023</v>
      </c>
      <c r="I91" s="14" t="str">
        <f>IFERROR(__xludf.DUMMYFUNCTION("""COMPUTED_VALUE"""),"Credit Card")</f>
        <v>Credit Card</v>
      </c>
      <c r="J91" s="14" t="str">
        <f>IFERROR(__xludf.DUMMYFUNCTION("""COMPUTED_VALUE"""),"Cancelled*Out of Stock")</f>
        <v>Cancelled*Out of Stock</v>
      </c>
      <c r="K91" s="14" t="str">
        <f>IFERROR(__xludf.DUMMYFUNCTION("split(E91,""+"")"),"Guava")</f>
        <v>Guava</v>
      </c>
      <c r="L91" s="14" t="str">
        <f>IFERROR(__xludf.DUMMYFUNCTION("""COMPUTED_VALUE"""),"2*Not Assigned")</f>
        <v>2*Not Assigned</v>
      </c>
      <c r="M91" s="14">
        <f>IFERROR(__xludf.DUMMYFUNCTION("SPLIT(L91,""*"")"),2.0)</f>
        <v>2</v>
      </c>
      <c r="N91" s="14" t="str">
        <f>IFERROR(__xludf.DUMMYFUNCTION("""COMPUTED_VALUE"""),"Not Assigned")</f>
        <v>Not Assigned</v>
      </c>
      <c r="O91" s="14" t="str">
        <f>IFERROR(__xludf.DUMMYFUNCTION("split(J91,""*"")"),"Cancelled")</f>
        <v>Cancelled</v>
      </c>
      <c r="P91" s="14" t="str">
        <f>IFERROR(__xludf.DUMMYFUNCTION("""COMPUTED_VALUE"""),"Out of Stock")</f>
        <v>Out of Stock</v>
      </c>
      <c r="Q91" s="14" t="str">
        <f>IFERROR(__xludf.DUMMYFUNCTION("split(P91,"":"")"),"Out of Stock")</f>
        <v>Out of Stock</v>
      </c>
      <c r="R91" s="14"/>
      <c r="S91" s="14" t="str">
        <f t="shared" ref="S91:U91" si="185">trim(B91)</f>
        <v>ord_30039</v>
      </c>
      <c r="T91" s="14" t="str">
        <f t="shared" si="185"/>
        <v>Pranav Joshi</v>
      </c>
      <c r="U91" s="14" t="str">
        <f t="shared" si="185"/>
        <v>Andheri</v>
      </c>
      <c r="V91" s="14" t="str">
        <f t="shared" si="4"/>
        <v>Guava</v>
      </c>
      <c r="W91" s="14">
        <f t="shared" si="5"/>
        <v>2</v>
      </c>
      <c r="X91" s="14" t="str">
        <f t="shared" si="6"/>
        <v>Not Assigned</v>
      </c>
      <c r="Y91" s="15">
        <f t="shared" si="7"/>
        <v>45234</v>
      </c>
      <c r="Z91" s="14" t="str">
        <f t="shared" si="8"/>
        <v>Credit Card</v>
      </c>
      <c r="AA91" s="14" t="str">
        <f t="shared" si="9"/>
        <v>Cancelled</v>
      </c>
      <c r="AB91" s="14" t="str">
        <f t="shared" ref="AB91:AC91" si="186">trim(Q91)</f>
        <v>Out of Stock</v>
      </c>
      <c r="AC91" s="14" t="str">
        <f t="shared" si="186"/>
        <v/>
      </c>
      <c r="AD91" s="8"/>
    </row>
    <row r="92">
      <c r="A92" s="14" t="str">
        <f>IFERROR(__xludf.DUMMYFUNCTION("""COMPUTED_VALUE"""),"//ord_40133//Anaya Rao//Colaba//Tiramisu+4*Sita T/8/12/2023//Online Payment//Delivered*Satisfied with the Delivery: Timely and quality")</f>
        <v>//ord_40133//Anaya Rao//Colaba//Tiramisu+4*Sita T/8/12/2023//Online Payment//Delivered*Satisfied with the Delivery: Timely and quality</v>
      </c>
      <c r="B92" s="14" t="str">
        <f>IFERROR(__xludf.DUMMYFUNCTION("split(A92,""//"")"),"ord_40133")</f>
        <v>ord_40133</v>
      </c>
      <c r="C92" s="14" t="str">
        <f>IFERROR(__xludf.DUMMYFUNCTION("""COMPUTED_VALUE"""),"Anaya Rao")</f>
        <v>Anaya Rao</v>
      </c>
      <c r="D92" s="14" t="str">
        <f>IFERROR(__xludf.DUMMYFUNCTION("""COMPUTED_VALUE"""),"Colaba")</f>
        <v>Colaba</v>
      </c>
      <c r="E92" s="14" t="str">
        <f>IFERROR(__xludf.DUMMYFUNCTION("""COMPUTED_VALUE"""),"Tiramisu+4*Sita T")</f>
        <v>Tiramisu+4*Sita T</v>
      </c>
      <c r="F92" s="14">
        <f>IFERROR(__xludf.DUMMYFUNCTION("""COMPUTED_VALUE"""),8.0)</f>
        <v>8</v>
      </c>
      <c r="G92" s="14">
        <f>IFERROR(__xludf.DUMMYFUNCTION("""COMPUTED_VALUE"""),12.0)</f>
        <v>12</v>
      </c>
      <c r="H92" s="14">
        <f>IFERROR(__xludf.DUMMYFUNCTION("""COMPUTED_VALUE"""),2023.0)</f>
        <v>2023</v>
      </c>
      <c r="I92" s="14" t="str">
        <f>IFERROR(__xludf.DUMMYFUNCTION("""COMPUTED_VALUE"""),"Online Payment")</f>
        <v>Online Payment</v>
      </c>
      <c r="J92" s="14" t="str">
        <f>IFERROR(__xludf.DUMMYFUNCTION("""COMPUTED_VALUE"""),"Delivered*Satisfied with the Delivery: Timely and quality")</f>
        <v>Delivered*Satisfied with the Delivery: Timely and quality</v>
      </c>
      <c r="K92" s="14" t="str">
        <f>IFERROR(__xludf.DUMMYFUNCTION("split(E92,""+"")"),"Tiramisu")</f>
        <v>Tiramisu</v>
      </c>
      <c r="L92" s="14" t="str">
        <f>IFERROR(__xludf.DUMMYFUNCTION("""COMPUTED_VALUE"""),"4*Sita T")</f>
        <v>4*Sita T</v>
      </c>
      <c r="M92" s="14">
        <f>IFERROR(__xludf.DUMMYFUNCTION("SPLIT(L92,""*"")"),4.0)</f>
        <v>4</v>
      </c>
      <c r="N92" s="14" t="str">
        <f>IFERROR(__xludf.DUMMYFUNCTION("""COMPUTED_VALUE"""),"Sita T")</f>
        <v>Sita T</v>
      </c>
      <c r="O92" s="14" t="str">
        <f>IFERROR(__xludf.DUMMYFUNCTION("split(J92,""*"")"),"Delivered")</f>
        <v>Delivered</v>
      </c>
      <c r="P92" s="14" t="str">
        <f>IFERROR(__xludf.DUMMYFUNCTION("""COMPUTED_VALUE"""),"Satisfied with the Delivery: Timely and quality")</f>
        <v>Satisfied with the Delivery: Timely and quality</v>
      </c>
      <c r="Q92" s="14" t="str">
        <f>IFERROR(__xludf.DUMMYFUNCTION("split(P92,"":"")"),"Satisfied with the Delivery")</f>
        <v>Satisfied with the Delivery</v>
      </c>
      <c r="R92" s="14" t="str">
        <f>IFERROR(__xludf.DUMMYFUNCTION("""COMPUTED_VALUE""")," Timely and quality")</f>
        <v> Timely and quality</v>
      </c>
      <c r="S92" s="14" t="str">
        <f t="shared" ref="S92:U92" si="187">trim(B92)</f>
        <v>ord_40133</v>
      </c>
      <c r="T92" s="14" t="str">
        <f t="shared" si="187"/>
        <v>Anaya Rao</v>
      </c>
      <c r="U92" s="14" t="str">
        <f t="shared" si="187"/>
        <v>Colaba</v>
      </c>
      <c r="V92" s="14" t="str">
        <f t="shared" si="4"/>
        <v>Tiramisu</v>
      </c>
      <c r="W92" s="14">
        <f t="shared" si="5"/>
        <v>4</v>
      </c>
      <c r="X92" s="14" t="str">
        <f t="shared" si="6"/>
        <v>Sita T</v>
      </c>
      <c r="Y92" s="15">
        <f t="shared" si="7"/>
        <v>45150</v>
      </c>
      <c r="Z92" s="14" t="str">
        <f t="shared" si="8"/>
        <v>Online Payment</v>
      </c>
      <c r="AA92" s="14" t="str">
        <f t="shared" si="9"/>
        <v>Delivered</v>
      </c>
      <c r="AB92" s="14" t="str">
        <f t="shared" ref="AB92:AC92" si="188">trim(Q92)</f>
        <v>Satisfied with the Delivery</v>
      </c>
      <c r="AC92" s="14" t="str">
        <f t="shared" si="188"/>
        <v>Timely and quality</v>
      </c>
      <c r="AD92" s="8"/>
    </row>
    <row r="93">
      <c r="A93" s="14" t="str">
        <f>IFERROR(__xludf.DUMMYFUNCTION("""COMPUTED_VALUE"""),"//ord_50227//Tanishq Bansal//Powai//Apple+2*Nithin Lal/12/4/2023//Credit Card//Cancelled*Delayed Delivery:Incorrect Address or Location")</f>
        <v>//ord_50227//Tanishq Bansal//Powai//Apple+2*Nithin Lal/12/4/2023//Credit Card//Cancelled*Delayed Delivery:Incorrect Address or Location</v>
      </c>
      <c r="B93" s="14" t="str">
        <f>IFERROR(__xludf.DUMMYFUNCTION("split(A93,""//"")"),"ord_50227")</f>
        <v>ord_50227</v>
      </c>
      <c r="C93" s="14" t="str">
        <f>IFERROR(__xludf.DUMMYFUNCTION("""COMPUTED_VALUE"""),"Tanishq Bansal")</f>
        <v>Tanishq Bansal</v>
      </c>
      <c r="D93" s="14" t="str">
        <f>IFERROR(__xludf.DUMMYFUNCTION("""COMPUTED_VALUE"""),"Powai")</f>
        <v>Powai</v>
      </c>
      <c r="E93" s="14" t="str">
        <f>IFERROR(__xludf.DUMMYFUNCTION("""COMPUTED_VALUE"""),"Apple+2*Nithin Lal")</f>
        <v>Apple+2*Nithin Lal</v>
      </c>
      <c r="F93" s="14">
        <f>IFERROR(__xludf.DUMMYFUNCTION("""COMPUTED_VALUE"""),12.0)</f>
        <v>12</v>
      </c>
      <c r="G93" s="14">
        <f>IFERROR(__xludf.DUMMYFUNCTION("""COMPUTED_VALUE"""),4.0)</f>
        <v>4</v>
      </c>
      <c r="H93" s="14">
        <f>IFERROR(__xludf.DUMMYFUNCTION("""COMPUTED_VALUE"""),2023.0)</f>
        <v>2023</v>
      </c>
      <c r="I93" s="14" t="str">
        <f>IFERROR(__xludf.DUMMYFUNCTION("""COMPUTED_VALUE"""),"Credit Card")</f>
        <v>Credit Card</v>
      </c>
      <c r="J93" s="14" t="str">
        <f>IFERROR(__xludf.DUMMYFUNCTION("""COMPUTED_VALUE"""),"Cancelled*Delayed Delivery:Incorrect Address or Location")</f>
        <v>Cancelled*Delayed Delivery:Incorrect Address or Location</v>
      </c>
      <c r="K93" s="14" t="str">
        <f>IFERROR(__xludf.DUMMYFUNCTION("split(E93,""+"")"),"Apple")</f>
        <v>Apple</v>
      </c>
      <c r="L93" s="14" t="str">
        <f>IFERROR(__xludf.DUMMYFUNCTION("""COMPUTED_VALUE"""),"2*Nithin Lal")</f>
        <v>2*Nithin Lal</v>
      </c>
      <c r="M93" s="14">
        <f>IFERROR(__xludf.DUMMYFUNCTION("SPLIT(L93,""*"")"),2.0)</f>
        <v>2</v>
      </c>
      <c r="N93" s="14" t="str">
        <f>IFERROR(__xludf.DUMMYFUNCTION("""COMPUTED_VALUE"""),"Nithin Lal")</f>
        <v>Nithin Lal</v>
      </c>
      <c r="O93" s="14" t="str">
        <f>IFERROR(__xludf.DUMMYFUNCTION("split(J93,""*"")"),"Cancelled")</f>
        <v>Cancelled</v>
      </c>
      <c r="P93" s="14" t="str">
        <f>IFERROR(__xludf.DUMMYFUNCTION("""COMPUTED_VALUE"""),"Delayed Delivery:Incorrect Address or Location")</f>
        <v>Delayed Delivery:Incorrect Address or Location</v>
      </c>
      <c r="Q93" s="14" t="str">
        <f>IFERROR(__xludf.DUMMYFUNCTION("split(P93,"":"")"),"Delayed Delivery")</f>
        <v>Delayed Delivery</v>
      </c>
      <c r="R93" s="14" t="str">
        <f>IFERROR(__xludf.DUMMYFUNCTION("""COMPUTED_VALUE"""),"Incorrect Address or Location")</f>
        <v>Incorrect Address or Location</v>
      </c>
      <c r="S93" s="14" t="str">
        <f t="shared" ref="S93:U93" si="189">trim(B93)</f>
        <v>ord_50227</v>
      </c>
      <c r="T93" s="14" t="str">
        <f t="shared" si="189"/>
        <v>Tanishq Bansal</v>
      </c>
      <c r="U93" s="14" t="str">
        <f t="shared" si="189"/>
        <v>Powai</v>
      </c>
      <c r="V93" s="14" t="str">
        <f t="shared" si="4"/>
        <v>Apple</v>
      </c>
      <c r="W93" s="14">
        <f t="shared" si="5"/>
        <v>2</v>
      </c>
      <c r="X93" s="14" t="str">
        <f t="shared" si="6"/>
        <v>Nithin Lal</v>
      </c>
      <c r="Y93" s="15">
        <f t="shared" si="7"/>
        <v>45264</v>
      </c>
      <c r="Z93" s="14" t="str">
        <f t="shared" si="8"/>
        <v>Credit Card</v>
      </c>
      <c r="AA93" s="14" t="str">
        <f t="shared" si="9"/>
        <v>Cancelled</v>
      </c>
      <c r="AB93" s="14" t="str">
        <f t="shared" ref="AB93:AC93" si="190">trim(Q93)</f>
        <v>Delayed Delivery</v>
      </c>
      <c r="AC93" s="14" t="str">
        <f t="shared" si="190"/>
        <v>Incorrect Address or Location</v>
      </c>
      <c r="AD93" s="8"/>
    </row>
    <row r="94">
      <c r="A94" s="14" t="str">
        <f>IFERROR(__xludf.DUMMYFUNCTION("""COMPUTED_VALUE"""),"//ord_60321//Omkar Mishra//Powai//Onion+1*Venu R/7/16/2023//COD//Delivered*Customer Service: Seamless and easy")</f>
        <v>//ord_60321//Omkar Mishra//Powai//Onion+1*Venu R/7/16/2023//COD//Delivered*Customer Service: Seamless and easy</v>
      </c>
      <c r="B94" s="14" t="str">
        <f>IFERROR(__xludf.DUMMYFUNCTION("split(A94,""//"")"),"ord_60321")</f>
        <v>ord_60321</v>
      </c>
      <c r="C94" s="14" t="str">
        <f>IFERROR(__xludf.DUMMYFUNCTION("""COMPUTED_VALUE"""),"Omkar Mishra")</f>
        <v>Omkar Mishra</v>
      </c>
      <c r="D94" s="14" t="str">
        <f>IFERROR(__xludf.DUMMYFUNCTION("""COMPUTED_VALUE"""),"Powai")</f>
        <v>Powai</v>
      </c>
      <c r="E94" s="14" t="str">
        <f>IFERROR(__xludf.DUMMYFUNCTION("""COMPUTED_VALUE"""),"Onion+1*Venu R")</f>
        <v>Onion+1*Venu R</v>
      </c>
      <c r="F94" s="14">
        <f>IFERROR(__xludf.DUMMYFUNCTION("""COMPUTED_VALUE"""),7.0)</f>
        <v>7</v>
      </c>
      <c r="G94" s="14">
        <f>IFERROR(__xludf.DUMMYFUNCTION("""COMPUTED_VALUE"""),16.0)</f>
        <v>16</v>
      </c>
      <c r="H94" s="14">
        <f>IFERROR(__xludf.DUMMYFUNCTION("""COMPUTED_VALUE"""),2023.0)</f>
        <v>2023</v>
      </c>
      <c r="I94" s="14" t="str">
        <f>IFERROR(__xludf.DUMMYFUNCTION("""COMPUTED_VALUE"""),"COD")</f>
        <v>COD</v>
      </c>
      <c r="J94" s="14" t="str">
        <f>IFERROR(__xludf.DUMMYFUNCTION("""COMPUTED_VALUE"""),"Delivered*Customer Service: Seamless and easy")</f>
        <v>Delivered*Customer Service: Seamless and easy</v>
      </c>
      <c r="K94" s="14" t="str">
        <f>IFERROR(__xludf.DUMMYFUNCTION("split(E94,""+"")"),"Onion")</f>
        <v>Onion</v>
      </c>
      <c r="L94" s="14" t="str">
        <f>IFERROR(__xludf.DUMMYFUNCTION("""COMPUTED_VALUE"""),"1*Venu R")</f>
        <v>1*Venu R</v>
      </c>
      <c r="M94" s="14">
        <f>IFERROR(__xludf.DUMMYFUNCTION("SPLIT(L94,""*"")"),1.0)</f>
        <v>1</v>
      </c>
      <c r="N94" s="14" t="str">
        <f>IFERROR(__xludf.DUMMYFUNCTION("""COMPUTED_VALUE"""),"Venu R")</f>
        <v>Venu R</v>
      </c>
      <c r="O94" s="14" t="str">
        <f>IFERROR(__xludf.DUMMYFUNCTION("split(J94,""*"")"),"Delivered")</f>
        <v>Delivered</v>
      </c>
      <c r="P94" s="14" t="str">
        <f>IFERROR(__xludf.DUMMYFUNCTION("""COMPUTED_VALUE"""),"Customer Service: Seamless and easy")</f>
        <v>Customer Service: Seamless and easy</v>
      </c>
      <c r="Q94" s="14" t="str">
        <f>IFERROR(__xludf.DUMMYFUNCTION("split(P94,"":"")"),"Customer Service")</f>
        <v>Customer Service</v>
      </c>
      <c r="R94" s="14" t="str">
        <f>IFERROR(__xludf.DUMMYFUNCTION("""COMPUTED_VALUE""")," Seamless and easy")</f>
        <v> Seamless and easy</v>
      </c>
      <c r="S94" s="14" t="str">
        <f t="shared" ref="S94:U94" si="191">trim(B94)</f>
        <v>ord_60321</v>
      </c>
      <c r="T94" s="14" t="str">
        <f t="shared" si="191"/>
        <v>Omkar Mishra</v>
      </c>
      <c r="U94" s="14" t="str">
        <f t="shared" si="191"/>
        <v>Powai</v>
      </c>
      <c r="V94" s="14" t="str">
        <f t="shared" si="4"/>
        <v>Onion</v>
      </c>
      <c r="W94" s="14">
        <f t="shared" si="5"/>
        <v>1</v>
      </c>
      <c r="X94" s="14" t="str">
        <f t="shared" si="6"/>
        <v>Venu R</v>
      </c>
      <c r="Y94" s="15">
        <f t="shared" si="7"/>
        <v>45123</v>
      </c>
      <c r="Z94" s="14" t="str">
        <f t="shared" si="8"/>
        <v>COD</v>
      </c>
      <c r="AA94" s="14" t="str">
        <f t="shared" si="9"/>
        <v>Delivered</v>
      </c>
      <c r="AB94" s="14" t="str">
        <f t="shared" ref="AB94:AC94" si="192">trim(Q94)</f>
        <v>Customer Service</v>
      </c>
      <c r="AC94" s="14" t="str">
        <f t="shared" si="192"/>
        <v>Seamless and easy</v>
      </c>
      <c r="AD94" s="8"/>
    </row>
    <row r="95">
      <c r="A95" s="14" t="str">
        <f>IFERROR(__xludf.DUMMYFUNCTION("""COMPUTED_VALUE"""),"//ord_70415//Aarav Mehta//Andheri//Papaya+2*Sandeep Kumar/12/11/2023//Credit Card//Cancelled*Delayed Delivery:Bad Weather Conditions ")</f>
        <v>//ord_70415//Aarav Mehta//Andheri//Papaya+2*Sandeep Kumar/12/11/2023//Credit Card//Cancelled*Delayed Delivery:Bad Weather Conditions </v>
      </c>
      <c r="B95" s="14" t="str">
        <f>IFERROR(__xludf.DUMMYFUNCTION("split(A95,""//"")"),"ord_70415")</f>
        <v>ord_70415</v>
      </c>
      <c r="C95" s="14" t="str">
        <f>IFERROR(__xludf.DUMMYFUNCTION("""COMPUTED_VALUE"""),"Aarav Mehta")</f>
        <v>Aarav Mehta</v>
      </c>
      <c r="D95" s="14" t="str">
        <f>IFERROR(__xludf.DUMMYFUNCTION("""COMPUTED_VALUE"""),"Andheri")</f>
        <v>Andheri</v>
      </c>
      <c r="E95" s="14" t="str">
        <f>IFERROR(__xludf.DUMMYFUNCTION("""COMPUTED_VALUE"""),"Papaya+2*Sandeep Kumar")</f>
        <v>Papaya+2*Sandeep Kumar</v>
      </c>
      <c r="F95" s="14">
        <f>IFERROR(__xludf.DUMMYFUNCTION("""COMPUTED_VALUE"""),12.0)</f>
        <v>12</v>
      </c>
      <c r="G95" s="14">
        <f>IFERROR(__xludf.DUMMYFUNCTION("""COMPUTED_VALUE"""),11.0)</f>
        <v>11</v>
      </c>
      <c r="H95" s="14">
        <f>IFERROR(__xludf.DUMMYFUNCTION("""COMPUTED_VALUE"""),2023.0)</f>
        <v>2023</v>
      </c>
      <c r="I95" s="14" t="str">
        <f>IFERROR(__xludf.DUMMYFUNCTION("""COMPUTED_VALUE"""),"Credit Card")</f>
        <v>Credit Card</v>
      </c>
      <c r="J95" s="14" t="str">
        <f>IFERROR(__xludf.DUMMYFUNCTION("""COMPUTED_VALUE"""),"Cancelled*Delayed Delivery:Bad Weather Conditions ")</f>
        <v>Cancelled*Delayed Delivery:Bad Weather Conditions </v>
      </c>
      <c r="K95" s="14" t="str">
        <f>IFERROR(__xludf.DUMMYFUNCTION("split(E95,""+"")"),"Papaya")</f>
        <v>Papaya</v>
      </c>
      <c r="L95" s="14" t="str">
        <f>IFERROR(__xludf.DUMMYFUNCTION("""COMPUTED_VALUE"""),"2*Sandeep Kumar")</f>
        <v>2*Sandeep Kumar</v>
      </c>
      <c r="M95" s="14">
        <f>IFERROR(__xludf.DUMMYFUNCTION("SPLIT(L95,""*"")"),2.0)</f>
        <v>2</v>
      </c>
      <c r="N95" s="14" t="str">
        <f>IFERROR(__xludf.DUMMYFUNCTION("""COMPUTED_VALUE"""),"Sandeep Kumar")</f>
        <v>Sandeep Kumar</v>
      </c>
      <c r="O95" s="14" t="str">
        <f>IFERROR(__xludf.DUMMYFUNCTION("split(J95,""*"")"),"Cancelled")</f>
        <v>Cancelled</v>
      </c>
      <c r="P95" s="14" t="str">
        <f>IFERROR(__xludf.DUMMYFUNCTION("""COMPUTED_VALUE"""),"Delayed Delivery:Bad Weather Conditions ")</f>
        <v>Delayed Delivery:Bad Weather Conditions </v>
      </c>
      <c r="Q95" s="14" t="str">
        <f>IFERROR(__xludf.DUMMYFUNCTION("split(P95,"":"")"),"Delayed Delivery")</f>
        <v>Delayed Delivery</v>
      </c>
      <c r="R95" s="14" t="str">
        <f>IFERROR(__xludf.DUMMYFUNCTION("""COMPUTED_VALUE"""),"Bad Weather Conditions ")</f>
        <v>Bad Weather Conditions </v>
      </c>
      <c r="S95" s="14" t="str">
        <f t="shared" ref="S95:U95" si="193">trim(B95)</f>
        <v>ord_70415</v>
      </c>
      <c r="T95" s="14" t="str">
        <f t="shared" si="193"/>
        <v>Aarav Mehta</v>
      </c>
      <c r="U95" s="14" t="str">
        <f t="shared" si="193"/>
        <v>Andheri</v>
      </c>
      <c r="V95" s="14" t="str">
        <f t="shared" si="4"/>
        <v>Papaya</v>
      </c>
      <c r="W95" s="14">
        <f t="shared" si="5"/>
        <v>2</v>
      </c>
      <c r="X95" s="14" t="str">
        <f t="shared" si="6"/>
        <v>Sandeep Kumar</v>
      </c>
      <c r="Y95" s="15">
        <f t="shared" si="7"/>
        <v>45271</v>
      </c>
      <c r="Z95" s="14" t="str">
        <f t="shared" si="8"/>
        <v>Credit Card</v>
      </c>
      <c r="AA95" s="14" t="str">
        <f t="shared" si="9"/>
        <v>Cancelled</v>
      </c>
      <c r="AB95" s="14" t="str">
        <f t="shared" ref="AB95:AC95" si="194">trim(Q95)</f>
        <v>Delayed Delivery</v>
      </c>
      <c r="AC95" s="14" t="str">
        <f t="shared" si="194"/>
        <v>Bad Weather Conditions</v>
      </c>
      <c r="AD95" s="8"/>
    </row>
    <row r="96">
      <c r="A96" s="14" t="str">
        <f>IFERROR(__xludf.DUMMYFUNCTION("""COMPUTED_VALUE"""),"//ord_80509//Sakshi Tandon//Colaba//Veg Puff+3*Sita T/10/25/2023//Credit Card//Delivered*Delivery Experience: Quick and professional")</f>
        <v>//ord_80509//Sakshi Tandon//Colaba//Veg Puff+3*Sita T/10/25/2023//Credit Card//Delivered*Delivery Experience: Quick and professional</v>
      </c>
      <c r="B96" s="14" t="str">
        <f>IFERROR(__xludf.DUMMYFUNCTION("split(A96,""//"")"),"ord_80509")</f>
        <v>ord_80509</v>
      </c>
      <c r="C96" s="14" t="str">
        <f>IFERROR(__xludf.DUMMYFUNCTION("""COMPUTED_VALUE"""),"Sakshi Tandon")</f>
        <v>Sakshi Tandon</v>
      </c>
      <c r="D96" s="14" t="str">
        <f>IFERROR(__xludf.DUMMYFUNCTION("""COMPUTED_VALUE"""),"Colaba")</f>
        <v>Colaba</v>
      </c>
      <c r="E96" s="14" t="str">
        <f>IFERROR(__xludf.DUMMYFUNCTION("""COMPUTED_VALUE"""),"Veg Puff+3*Sita T")</f>
        <v>Veg Puff+3*Sita T</v>
      </c>
      <c r="F96" s="14">
        <f>IFERROR(__xludf.DUMMYFUNCTION("""COMPUTED_VALUE"""),10.0)</f>
        <v>10</v>
      </c>
      <c r="G96" s="14">
        <f>IFERROR(__xludf.DUMMYFUNCTION("""COMPUTED_VALUE"""),25.0)</f>
        <v>25</v>
      </c>
      <c r="H96" s="14">
        <f>IFERROR(__xludf.DUMMYFUNCTION("""COMPUTED_VALUE"""),2023.0)</f>
        <v>2023</v>
      </c>
      <c r="I96" s="14" t="str">
        <f>IFERROR(__xludf.DUMMYFUNCTION("""COMPUTED_VALUE"""),"Credit Card")</f>
        <v>Credit Card</v>
      </c>
      <c r="J96" s="14" t="str">
        <f>IFERROR(__xludf.DUMMYFUNCTION("""COMPUTED_VALUE"""),"Delivered*Delivery Experience: Quick and professional")</f>
        <v>Delivered*Delivery Experience: Quick and professional</v>
      </c>
      <c r="K96" s="14" t="str">
        <f>IFERROR(__xludf.DUMMYFUNCTION("split(E96,""+"")"),"Veg Puff")</f>
        <v>Veg Puff</v>
      </c>
      <c r="L96" s="14" t="str">
        <f>IFERROR(__xludf.DUMMYFUNCTION("""COMPUTED_VALUE"""),"3*Sita T")</f>
        <v>3*Sita T</v>
      </c>
      <c r="M96" s="14">
        <f>IFERROR(__xludf.DUMMYFUNCTION("SPLIT(L96,""*"")"),3.0)</f>
        <v>3</v>
      </c>
      <c r="N96" s="14" t="str">
        <f>IFERROR(__xludf.DUMMYFUNCTION("""COMPUTED_VALUE"""),"Sita T")</f>
        <v>Sita T</v>
      </c>
      <c r="O96" s="14" t="str">
        <f>IFERROR(__xludf.DUMMYFUNCTION("split(J96,""*"")"),"Delivered")</f>
        <v>Delivered</v>
      </c>
      <c r="P96" s="14" t="str">
        <f>IFERROR(__xludf.DUMMYFUNCTION("""COMPUTED_VALUE"""),"Delivery Experience: Quick and professional")</f>
        <v>Delivery Experience: Quick and professional</v>
      </c>
      <c r="Q96" s="14" t="str">
        <f>IFERROR(__xludf.DUMMYFUNCTION("split(P96,"":"")"),"Delivery Experience")</f>
        <v>Delivery Experience</v>
      </c>
      <c r="R96" s="14" t="str">
        <f>IFERROR(__xludf.DUMMYFUNCTION("""COMPUTED_VALUE""")," Quick and professional")</f>
        <v> Quick and professional</v>
      </c>
      <c r="S96" s="14" t="str">
        <f t="shared" ref="S96:U96" si="195">trim(B96)</f>
        <v>ord_80509</v>
      </c>
      <c r="T96" s="14" t="str">
        <f t="shared" si="195"/>
        <v>Sakshi Tandon</v>
      </c>
      <c r="U96" s="14" t="str">
        <f t="shared" si="195"/>
        <v>Colaba</v>
      </c>
      <c r="V96" s="14" t="str">
        <f t="shared" si="4"/>
        <v>Veg Puff</v>
      </c>
      <c r="W96" s="14">
        <f t="shared" si="5"/>
        <v>3</v>
      </c>
      <c r="X96" s="14" t="str">
        <f t="shared" si="6"/>
        <v>Sita T</v>
      </c>
      <c r="Y96" s="15">
        <f t="shared" si="7"/>
        <v>45224</v>
      </c>
      <c r="Z96" s="14" t="str">
        <f t="shared" si="8"/>
        <v>Credit Card</v>
      </c>
      <c r="AA96" s="14" t="str">
        <f t="shared" si="9"/>
        <v>Delivered</v>
      </c>
      <c r="AB96" s="14" t="str">
        <f t="shared" ref="AB96:AC96" si="196">trim(Q96)</f>
        <v>Delivery Experience</v>
      </c>
      <c r="AC96" s="14" t="str">
        <f t="shared" si="196"/>
        <v>Quick and professional</v>
      </c>
      <c r="AD96" s="8"/>
    </row>
    <row r="97">
      <c r="A97" s="14" t="str">
        <f>IFERROR(__xludf.DUMMYFUNCTION("""COMPUTED_VALUE"""),"//ord_90603//Aarav Mehta//Andheri//Chilli Cheese Toast+1*Nithin Lal/8/21/2023//Credit Card//Delivered*Convenience: Easy tracking")</f>
        <v>//ord_90603//Aarav Mehta//Andheri//Chilli Cheese Toast+1*Nithin Lal/8/21/2023//Credit Card//Delivered*Convenience: Easy tracking</v>
      </c>
      <c r="B97" s="14" t="str">
        <f>IFERROR(__xludf.DUMMYFUNCTION("split(A97,""//"")"),"ord_90603")</f>
        <v>ord_90603</v>
      </c>
      <c r="C97" s="14" t="str">
        <f>IFERROR(__xludf.DUMMYFUNCTION("""COMPUTED_VALUE"""),"Aarav Mehta")</f>
        <v>Aarav Mehta</v>
      </c>
      <c r="D97" s="14" t="str">
        <f>IFERROR(__xludf.DUMMYFUNCTION("""COMPUTED_VALUE"""),"Andheri")</f>
        <v>Andheri</v>
      </c>
      <c r="E97" s="14" t="str">
        <f>IFERROR(__xludf.DUMMYFUNCTION("""COMPUTED_VALUE"""),"Chilli Cheese Toast+1*Nithin Lal")</f>
        <v>Chilli Cheese Toast+1*Nithin Lal</v>
      </c>
      <c r="F97" s="14">
        <f>IFERROR(__xludf.DUMMYFUNCTION("""COMPUTED_VALUE"""),8.0)</f>
        <v>8</v>
      </c>
      <c r="G97" s="14">
        <f>IFERROR(__xludf.DUMMYFUNCTION("""COMPUTED_VALUE"""),21.0)</f>
        <v>21</v>
      </c>
      <c r="H97" s="14">
        <f>IFERROR(__xludf.DUMMYFUNCTION("""COMPUTED_VALUE"""),2023.0)</f>
        <v>2023</v>
      </c>
      <c r="I97" s="14" t="str">
        <f>IFERROR(__xludf.DUMMYFUNCTION("""COMPUTED_VALUE"""),"Credit Card")</f>
        <v>Credit Card</v>
      </c>
      <c r="J97" s="14" t="str">
        <f>IFERROR(__xludf.DUMMYFUNCTION("""COMPUTED_VALUE"""),"Delivered*Convenience: Easy tracking")</f>
        <v>Delivered*Convenience: Easy tracking</v>
      </c>
      <c r="K97" s="14" t="str">
        <f>IFERROR(__xludf.DUMMYFUNCTION("split(E97,""+"")"),"Chilli Cheese Toast")</f>
        <v>Chilli Cheese Toast</v>
      </c>
      <c r="L97" s="14" t="str">
        <f>IFERROR(__xludf.DUMMYFUNCTION("""COMPUTED_VALUE"""),"1*Nithin Lal")</f>
        <v>1*Nithin Lal</v>
      </c>
      <c r="M97" s="14">
        <f>IFERROR(__xludf.DUMMYFUNCTION("SPLIT(L97,""*"")"),1.0)</f>
        <v>1</v>
      </c>
      <c r="N97" s="14" t="str">
        <f>IFERROR(__xludf.DUMMYFUNCTION("""COMPUTED_VALUE"""),"Nithin Lal")</f>
        <v>Nithin Lal</v>
      </c>
      <c r="O97" s="14" t="str">
        <f>IFERROR(__xludf.DUMMYFUNCTION("split(J97,""*"")"),"Delivered")</f>
        <v>Delivered</v>
      </c>
      <c r="P97" s="14" t="str">
        <f>IFERROR(__xludf.DUMMYFUNCTION("""COMPUTED_VALUE"""),"Convenience: Easy tracking")</f>
        <v>Convenience: Easy tracking</v>
      </c>
      <c r="Q97" s="14" t="str">
        <f>IFERROR(__xludf.DUMMYFUNCTION("split(P97,"":"")"),"Convenience")</f>
        <v>Convenience</v>
      </c>
      <c r="R97" s="14" t="str">
        <f>IFERROR(__xludf.DUMMYFUNCTION("""COMPUTED_VALUE""")," Easy tracking")</f>
        <v> Easy tracking</v>
      </c>
      <c r="S97" s="14" t="str">
        <f t="shared" ref="S97:U97" si="197">trim(B97)</f>
        <v>ord_90603</v>
      </c>
      <c r="T97" s="14" t="str">
        <f t="shared" si="197"/>
        <v>Aarav Mehta</v>
      </c>
      <c r="U97" s="14" t="str">
        <f t="shared" si="197"/>
        <v>Andheri</v>
      </c>
      <c r="V97" s="14" t="str">
        <f t="shared" si="4"/>
        <v>Chilli Cheese Toast</v>
      </c>
      <c r="W97" s="14">
        <f t="shared" si="5"/>
        <v>1</v>
      </c>
      <c r="X97" s="14" t="str">
        <f t="shared" si="6"/>
        <v>Nithin Lal</v>
      </c>
      <c r="Y97" s="15">
        <f t="shared" si="7"/>
        <v>45159</v>
      </c>
      <c r="Z97" s="14" t="str">
        <f t="shared" si="8"/>
        <v>Credit Card</v>
      </c>
      <c r="AA97" s="14" t="str">
        <f t="shared" si="9"/>
        <v>Delivered</v>
      </c>
      <c r="AB97" s="14" t="str">
        <f t="shared" ref="AB97:AC97" si="198">trim(Q97)</f>
        <v>Convenience</v>
      </c>
      <c r="AC97" s="14" t="str">
        <f t="shared" si="198"/>
        <v>Easy tracking</v>
      </c>
      <c r="AD97" s="8"/>
    </row>
    <row r="98">
      <c r="A98" s="14" t="str">
        <f>IFERROR(__xludf.DUMMYFUNCTION("""COMPUTED_VALUE"""),"//ord_10097//Sakshi Tandon//Colaba//Veg Puff+5*Sita T/11/25/2023//Online Payment//Delivered*Overall Satisfaction: Great service will order again")</f>
        <v>//ord_10097//Sakshi Tandon//Colaba//Veg Puff+5*Sita T/11/25/2023//Online Payment//Delivered*Overall Satisfaction: Great service will order again</v>
      </c>
      <c r="B98" s="14" t="str">
        <f>IFERROR(__xludf.DUMMYFUNCTION("split(A98,""//"")"),"ord_10097")</f>
        <v>ord_10097</v>
      </c>
      <c r="C98" s="14" t="str">
        <f>IFERROR(__xludf.DUMMYFUNCTION("""COMPUTED_VALUE"""),"Sakshi Tandon")</f>
        <v>Sakshi Tandon</v>
      </c>
      <c r="D98" s="14" t="str">
        <f>IFERROR(__xludf.DUMMYFUNCTION("""COMPUTED_VALUE"""),"Colaba")</f>
        <v>Colaba</v>
      </c>
      <c r="E98" s="14" t="str">
        <f>IFERROR(__xludf.DUMMYFUNCTION("""COMPUTED_VALUE"""),"Veg Puff+5*Sita T")</f>
        <v>Veg Puff+5*Sita T</v>
      </c>
      <c r="F98" s="14">
        <f>IFERROR(__xludf.DUMMYFUNCTION("""COMPUTED_VALUE"""),11.0)</f>
        <v>11</v>
      </c>
      <c r="G98" s="14">
        <f>IFERROR(__xludf.DUMMYFUNCTION("""COMPUTED_VALUE"""),25.0)</f>
        <v>25</v>
      </c>
      <c r="H98" s="14">
        <f>IFERROR(__xludf.DUMMYFUNCTION("""COMPUTED_VALUE"""),2023.0)</f>
        <v>2023</v>
      </c>
      <c r="I98" s="14" t="str">
        <f>IFERROR(__xludf.DUMMYFUNCTION("""COMPUTED_VALUE"""),"Online Payment")</f>
        <v>Online Payment</v>
      </c>
      <c r="J98" s="14" t="str">
        <f>IFERROR(__xludf.DUMMYFUNCTION("""COMPUTED_VALUE"""),"Delivered*Overall Satisfaction: Great service will order again")</f>
        <v>Delivered*Overall Satisfaction: Great service will order again</v>
      </c>
      <c r="K98" s="14" t="str">
        <f>IFERROR(__xludf.DUMMYFUNCTION("split(E98,""+"")"),"Veg Puff")</f>
        <v>Veg Puff</v>
      </c>
      <c r="L98" s="14" t="str">
        <f>IFERROR(__xludf.DUMMYFUNCTION("""COMPUTED_VALUE"""),"5*Sita T")</f>
        <v>5*Sita T</v>
      </c>
      <c r="M98" s="14">
        <f>IFERROR(__xludf.DUMMYFUNCTION("SPLIT(L98,""*"")"),5.0)</f>
        <v>5</v>
      </c>
      <c r="N98" s="14" t="str">
        <f>IFERROR(__xludf.DUMMYFUNCTION("""COMPUTED_VALUE"""),"Sita T")</f>
        <v>Sita T</v>
      </c>
      <c r="O98" s="14" t="str">
        <f>IFERROR(__xludf.DUMMYFUNCTION("split(J98,""*"")"),"Delivered")</f>
        <v>Delivered</v>
      </c>
      <c r="P98" s="14" t="str">
        <f>IFERROR(__xludf.DUMMYFUNCTION("""COMPUTED_VALUE"""),"Overall Satisfaction: Great service will order again")</f>
        <v>Overall Satisfaction: Great service will order again</v>
      </c>
      <c r="Q98" s="14" t="str">
        <f>IFERROR(__xludf.DUMMYFUNCTION("split(P98,"":"")"),"Overall Satisfaction")</f>
        <v>Overall Satisfaction</v>
      </c>
      <c r="R98" s="14" t="str">
        <f>IFERROR(__xludf.DUMMYFUNCTION("""COMPUTED_VALUE""")," Great service will order again")</f>
        <v> Great service will order again</v>
      </c>
      <c r="S98" s="14" t="str">
        <f t="shared" ref="S98:U98" si="199">trim(B98)</f>
        <v>ord_10097</v>
      </c>
      <c r="T98" s="14" t="str">
        <f t="shared" si="199"/>
        <v>Sakshi Tandon</v>
      </c>
      <c r="U98" s="14" t="str">
        <f t="shared" si="199"/>
        <v>Colaba</v>
      </c>
      <c r="V98" s="14" t="str">
        <f t="shared" si="4"/>
        <v>Veg Puff</v>
      </c>
      <c r="W98" s="14">
        <f t="shared" si="5"/>
        <v>5</v>
      </c>
      <c r="X98" s="14" t="str">
        <f t="shared" si="6"/>
        <v>Sita T</v>
      </c>
      <c r="Y98" s="15">
        <f t="shared" si="7"/>
        <v>45255</v>
      </c>
      <c r="Z98" s="14" t="str">
        <f t="shared" si="8"/>
        <v>Online Payment</v>
      </c>
      <c r="AA98" s="14" t="str">
        <f t="shared" si="9"/>
        <v>Delivered</v>
      </c>
      <c r="AB98" s="14" t="str">
        <f t="shared" ref="AB98:AC98" si="200">trim(Q98)</f>
        <v>Overall Satisfaction</v>
      </c>
      <c r="AC98" s="14" t="str">
        <f t="shared" si="200"/>
        <v>Great service will order again</v>
      </c>
      <c r="AD98" s="8"/>
    </row>
    <row r="99">
      <c r="A99" s="14" t="str">
        <f>IFERROR(__xludf.DUMMYFUNCTION("""COMPUTED_VALUE"""),"//ord_10098//Anaya Rao//Colaba//Icecream+4*Not Assigned/8/22/2023//Credit Card//Cancelled*Payment Issues")</f>
        <v>//ord_10098//Anaya Rao//Colaba//Icecream+4*Not Assigned/8/22/2023//Credit Card//Cancelled*Payment Issues</v>
      </c>
      <c r="B99" s="14" t="str">
        <f>IFERROR(__xludf.DUMMYFUNCTION("split(A99,""//"")"),"ord_10098")</f>
        <v>ord_10098</v>
      </c>
      <c r="C99" s="14" t="str">
        <f>IFERROR(__xludf.DUMMYFUNCTION("""COMPUTED_VALUE"""),"Anaya Rao")</f>
        <v>Anaya Rao</v>
      </c>
      <c r="D99" s="14" t="str">
        <f>IFERROR(__xludf.DUMMYFUNCTION("""COMPUTED_VALUE"""),"Colaba")</f>
        <v>Colaba</v>
      </c>
      <c r="E99" s="14" t="str">
        <f>IFERROR(__xludf.DUMMYFUNCTION("""COMPUTED_VALUE"""),"Icecream+4*Not Assigned")</f>
        <v>Icecream+4*Not Assigned</v>
      </c>
      <c r="F99" s="14">
        <f>IFERROR(__xludf.DUMMYFUNCTION("""COMPUTED_VALUE"""),8.0)</f>
        <v>8</v>
      </c>
      <c r="G99" s="14">
        <f>IFERROR(__xludf.DUMMYFUNCTION("""COMPUTED_VALUE"""),22.0)</f>
        <v>22</v>
      </c>
      <c r="H99" s="14">
        <f>IFERROR(__xludf.DUMMYFUNCTION("""COMPUTED_VALUE"""),2023.0)</f>
        <v>2023</v>
      </c>
      <c r="I99" s="14" t="str">
        <f>IFERROR(__xludf.DUMMYFUNCTION("""COMPUTED_VALUE"""),"Credit Card")</f>
        <v>Credit Card</v>
      </c>
      <c r="J99" s="14" t="str">
        <f>IFERROR(__xludf.DUMMYFUNCTION("""COMPUTED_VALUE"""),"Cancelled*Payment Issues")</f>
        <v>Cancelled*Payment Issues</v>
      </c>
      <c r="K99" s="14" t="str">
        <f>IFERROR(__xludf.DUMMYFUNCTION("split(E99,""+"")"),"Icecream")</f>
        <v>Icecream</v>
      </c>
      <c r="L99" s="14" t="str">
        <f>IFERROR(__xludf.DUMMYFUNCTION("""COMPUTED_VALUE"""),"4*Not Assigned")</f>
        <v>4*Not Assigned</v>
      </c>
      <c r="M99" s="14">
        <f>IFERROR(__xludf.DUMMYFUNCTION("SPLIT(L99,""*"")"),4.0)</f>
        <v>4</v>
      </c>
      <c r="N99" s="14" t="str">
        <f>IFERROR(__xludf.DUMMYFUNCTION("""COMPUTED_VALUE"""),"Not Assigned")</f>
        <v>Not Assigned</v>
      </c>
      <c r="O99" s="14" t="str">
        <f>IFERROR(__xludf.DUMMYFUNCTION("split(J99,""*"")"),"Cancelled")</f>
        <v>Cancelled</v>
      </c>
      <c r="P99" s="14" t="str">
        <f>IFERROR(__xludf.DUMMYFUNCTION("""COMPUTED_VALUE"""),"Payment Issues")</f>
        <v>Payment Issues</v>
      </c>
      <c r="Q99" s="14" t="str">
        <f>IFERROR(__xludf.DUMMYFUNCTION("split(P99,"":"")"),"Payment Issues")</f>
        <v>Payment Issues</v>
      </c>
      <c r="R99" s="14"/>
      <c r="S99" s="14" t="str">
        <f t="shared" ref="S99:U99" si="201">trim(B99)</f>
        <v>ord_10098</v>
      </c>
      <c r="T99" s="14" t="str">
        <f t="shared" si="201"/>
        <v>Anaya Rao</v>
      </c>
      <c r="U99" s="14" t="str">
        <f t="shared" si="201"/>
        <v>Colaba</v>
      </c>
      <c r="V99" s="14" t="str">
        <f t="shared" si="4"/>
        <v>Icecream</v>
      </c>
      <c r="W99" s="14">
        <f t="shared" si="5"/>
        <v>4</v>
      </c>
      <c r="X99" s="14" t="str">
        <f t="shared" si="6"/>
        <v>Not Assigned</v>
      </c>
      <c r="Y99" s="15">
        <f t="shared" si="7"/>
        <v>45160</v>
      </c>
      <c r="Z99" s="14" t="str">
        <f t="shared" si="8"/>
        <v>Credit Card</v>
      </c>
      <c r="AA99" s="14" t="str">
        <f t="shared" si="9"/>
        <v>Cancelled</v>
      </c>
      <c r="AB99" s="14" t="str">
        <f t="shared" ref="AB99:AC99" si="202">trim(Q99)</f>
        <v>Payment Issues</v>
      </c>
      <c r="AC99" s="14" t="str">
        <f t="shared" si="202"/>
        <v/>
      </c>
      <c r="AD99" s="8"/>
    </row>
    <row r="100">
      <c r="A100" s="14" t="str">
        <f>IFERROR(__xludf.DUMMYFUNCTION("""COMPUTED_VALUE"""),"//ord_13099//Omkar Mishra//Powai//Chicken Puff+5*Nithin Lal/9/17/2023//Credit Card//Cancelled*Delayed Delivery:Heavy Traffic")</f>
        <v>//ord_13099//Omkar Mishra//Powai//Chicken Puff+5*Nithin Lal/9/17/2023//Credit Card//Cancelled*Delayed Delivery:Heavy Traffic</v>
      </c>
      <c r="B100" s="14" t="str">
        <f>IFERROR(__xludf.DUMMYFUNCTION("split(A100,""//"")"),"ord_13099")</f>
        <v>ord_13099</v>
      </c>
      <c r="C100" s="14" t="str">
        <f>IFERROR(__xludf.DUMMYFUNCTION("""COMPUTED_VALUE"""),"Omkar Mishra")</f>
        <v>Omkar Mishra</v>
      </c>
      <c r="D100" s="14" t="str">
        <f>IFERROR(__xludf.DUMMYFUNCTION("""COMPUTED_VALUE"""),"Powai")</f>
        <v>Powai</v>
      </c>
      <c r="E100" s="14" t="str">
        <f>IFERROR(__xludf.DUMMYFUNCTION("""COMPUTED_VALUE"""),"Chicken Puff+5*Nithin Lal")</f>
        <v>Chicken Puff+5*Nithin Lal</v>
      </c>
      <c r="F100" s="14">
        <f>IFERROR(__xludf.DUMMYFUNCTION("""COMPUTED_VALUE"""),9.0)</f>
        <v>9</v>
      </c>
      <c r="G100" s="14">
        <f>IFERROR(__xludf.DUMMYFUNCTION("""COMPUTED_VALUE"""),17.0)</f>
        <v>17</v>
      </c>
      <c r="H100" s="14">
        <f>IFERROR(__xludf.DUMMYFUNCTION("""COMPUTED_VALUE"""),2023.0)</f>
        <v>2023</v>
      </c>
      <c r="I100" s="14" t="str">
        <f>IFERROR(__xludf.DUMMYFUNCTION("""COMPUTED_VALUE"""),"Credit Card")</f>
        <v>Credit Card</v>
      </c>
      <c r="J100" s="14" t="str">
        <f>IFERROR(__xludf.DUMMYFUNCTION("""COMPUTED_VALUE"""),"Cancelled*Delayed Delivery:Heavy Traffic")</f>
        <v>Cancelled*Delayed Delivery:Heavy Traffic</v>
      </c>
      <c r="K100" s="14" t="str">
        <f>IFERROR(__xludf.DUMMYFUNCTION("split(E100,""+"")"),"Chicken Puff")</f>
        <v>Chicken Puff</v>
      </c>
      <c r="L100" s="14" t="str">
        <f>IFERROR(__xludf.DUMMYFUNCTION("""COMPUTED_VALUE"""),"5*Nithin Lal")</f>
        <v>5*Nithin Lal</v>
      </c>
      <c r="M100" s="14">
        <f>IFERROR(__xludf.DUMMYFUNCTION("SPLIT(L100,""*"")"),5.0)</f>
        <v>5</v>
      </c>
      <c r="N100" s="14" t="str">
        <f>IFERROR(__xludf.DUMMYFUNCTION("""COMPUTED_VALUE"""),"Nithin Lal")</f>
        <v>Nithin Lal</v>
      </c>
      <c r="O100" s="14" t="str">
        <f>IFERROR(__xludf.DUMMYFUNCTION("split(J100,""*"")"),"Cancelled")</f>
        <v>Cancelled</v>
      </c>
      <c r="P100" s="14" t="str">
        <f>IFERROR(__xludf.DUMMYFUNCTION("""COMPUTED_VALUE"""),"Delayed Delivery:Heavy Traffic")</f>
        <v>Delayed Delivery:Heavy Traffic</v>
      </c>
      <c r="Q100" s="14" t="str">
        <f>IFERROR(__xludf.DUMMYFUNCTION("split(P100,"":"")"),"Delayed Delivery")</f>
        <v>Delayed Delivery</v>
      </c>
      <c r="R100" s="14" t="str">
        <f>IFERROR(__xludf.DUMMYFUNCTION("""COMPUTED_VALUE"""),"Heavy Traffic")</f>
        <v>Heavy Traffic</v>
      </c>
      <c r="S100" s="14" t="str">
        <f t="shared" ref="S100:U100" si="203">trim(B100)</f>
        <v>ord_13099</v>
      </c>
      <c r="T100" s="14" t="str">
        <f t="shared" si="203"/>
        <v>Omkar Mishra</v>
      </c>
      <c r="U100" s="14" t="str">
        <f t="shared" si="203"/>
        <v>Powai</v>
      </c>
      <c r="V100" s="14" t="str">
        <f t="shared" si="4"/>
        <v>Chicken Puff</v>
      </c>
      <c r="W100" s="14">
        <f t="shared" si="5"/>
        <v>5</v>
      </c>
      <c r="X100" s="14" t="str">
        <f t="shared" si="6"/>
        <v>Nithin Lal</v>
      </c>
      <c r="Y100" s="15">
        <f t="shared" si="7"/>
        <v>45186</v>
      </c>
      <c r="Z100" s="14" t="str">
        <f t="shared" si="8"/>
        <v>Credit Card</v>
      </c>
      <c r="AA100" s="14" t="str">
        <f t="shared" si="9"/>
        <v>Cancelled</v>
      </c>
      <c r="AB100" s="14" t="str">
        <f t="shared" ref="AB100:AC100" si="204">trim(Q100)</f>
        <v>Delayed Delivery</v>
      </c>
      <c r="AC100" s="14" t="str">
        <f t="shared" si="204"/>
        <v>Heavy Traffic</v>
      </c>
      <c r="AD100" s="8"/>
    </row>
    <row r="101">
      <c r="A101" s="14" t="str">
        <f>IFERROR(__xludf.DUMMYFUNCTION("""COMPUTED_VALUE"""),"//ord_10100//Nitin Sehgal//Bandra//Cold Coffee+5*Venu R/10/26/2023//Online Payment//Delivered*On-time Delivery: Delivered on time")</f>
        <v>//ord_10100//Nitin Sehgal//Bandra//Cold Coffee+5*Venu R/10/26/2023//Online Payment//Delivered*On-time Delivery: Delivered on time</v>
      </c>
      <c r="B101" s="14" t="str">
        <f>IFERROR(__xludf.DUMMYFUNCTION("split(A101,""//"")"),"ord_10100")</f>
        <v>ord_10100</v>
      </c>
      <c r="C101" s="14" t="str">
        <f>IFERROR(__xludf.DUMMYFUNCTION("""COMPUTED_VALUE"""),"Nitin Sehgal")</f>
        <v>Nitin Sehgal</v>
      </c>
      <c r="D101" s="14" t="str">
        <f>IFERROR(__xludf.DUMMYFUNCTION("""COMPUTED_VALUE"""),"Bandra")</f>
        <v>Bandra</v>
      </c>
      <c r="E101" s="14" t="str">
        <f>IFERROR(__xludf.DUMMYFUNCTION("""COMPUTED_VALUE"""),"Cold Coffee+5*Venu R")</f>
        <v>Cold Coffee+5*Venu R</v>
      </c>
      <c r="F101" s="14">
        <f>IFERROR(__xludf.DUMMYFUNCTION("""COMPUTED_VALUE"""),10.0)</f>
        <v>10</v>
      </c>
      <c r="G101" s="14">
        <f>IFERROR(__xludf.DUMMYFUNCTION("""COMPUTED_VALUE"""),26.0)</f>
        <v>26</v>
      </c>
      <c r="H101" s="14">
        <f>IFERROR(__xludf.DUMMYFUNCTION("""COMPUTED_VALUE"""),2023.0)</f>
        <v>2023</v>
      </c>
      <c r="I101" s="14" t="str">
        <f>IFERROR(__xludf.DUMMYFUNCTION("""COMPUTED_VALUE"""),"Online Payment")</f>
        <v>Online Payment</v>
      </c>
      <c r="J101" s="14" t="str">
        <f>IFERROR(__xludf.DUMMYFUNCTION("""COMPUTED_VALUE"""),"Delivered*On-time Delivery: Delivered on time")</f>
        <v>Delivered*On-time Delivery: Delivered on time</v>
      </c>
      <c r="K101" s="14" t="str">
        <f>IFERROR(__xludf.DUMMYFUNCTION("split(E101,""+"")"),"Cold Coffee")</f>
        <v>Cold Coffee</v>
      </c>
      <c r="L101" s="14" t="str">
        <f>IFERROR(__xludf.DUMMYFUNCTION("""COMPUTED_VALUE"""),"5*Venu R")</f>
        <v>5*Venu R</v>
      </c>
      <c r="M101" s="14">
        <f>IFERROR(__xludf.DUMMYFUNCTION("SPLIT(L101,""*"")"),5.0)</f>
        <v>5</v>
      </c>
      <c r="N101" s="14" t="str">
        <f>IFERROR(__xludf.DUMMYFUNCTION("""COMPUTED_VALUE"""),"Venu R")</f>
        <v>Venu R</v>
      </c>
      <c r="O101" s="14" t="str">
        <f>IFERROR(__xludf.DUMMYFUNCTION("split(J101,""*"")"),"Delivered")</f>
        <v>Delivered</v>
      </c>
      <c r="P101" s="14" t="str">
        <f>IFERROR(__xludf.DUMMYFUNCTION("""COMPUTED_VALUE"""),"On-time Delivery: Delivered on time")</f>
        <v>On-time Delivery: Delivered on time</v>
      </c>
      <c r="Q101" s="14" t="str">
        <f>IFERROR(__xludf.DUMMYFUNCTION("split(P101,"":"")"),"On-time Delivery")</f>
        <v>On-time Delivery</v>
      </c>
      <c r="R101" s="14" t="str">
        <f>IFERROR(__xludf.DUMMYFUNCTION("""COMPUTED_VALUE""")," Delivered on time")</f>
        <v> Delivered on time</v>
      </c>
      <c r="S101" s="14" t="str">
        <f t="shared" ref="S101:U101" si="205">trim(B101)</f>
        <v>ord_10100</v>
      </c>
      <c r="T101" s="14" t="str">
        <f t="shared" si="205"/>
        <v>Nitin Sehgal</v>
      </c>
      <c r="U101" s="14" t="str">
        <f t="shared" si="205"/>
        <v>Bandra</v>
      </c>
      <c r="V101" s="14" t="str">
        <f t="shared" si="4"/>
        <v>Cold Coffee</v>
      </c>
      <c r="W101" s="14">
        <f t="shared" si="5"/>
        <v>5</v>
      </c>
      <c r="X101" s="14" t="str">
        <f t="shared" si="6"/>
        <v>Venu R</v>
      </c>
      <c r="Y101" s="15">
        <f t="shared" si="7"/>
        <v>45225</v>
      </c>
      <c r="Z101" s="14" t="str">
        <f t="shared" si="8"/>
        <v>Online Payment</v>
      </c>
      <c r="AA101" s="14" t="str">
        <f t="shared" si="9"/>
        <v>Delivered</v>
      </c>
      <c r="AB101" s="14" t="str">
        <f t="shared" ref="AB101:AC101" si="206">trim(Q101)</f>
        <v>On-time Delivery</v>
      </c>
      <c r="AC101" s="14" t="str">
        <f t="shared" si="206"/>
        <v>Delivered on time</v>
      </c>
      <c r="AD101" s="8"/>
    </row>
    <row r="102">
      <c r="A102" s="14" t="str">
        <f>IFERROR(__xludf.DUMMYFUNCTION("""COMPUTED_VALUE"""),"//ord_10101//Kritika Shetty//Malad//Orange+1*Not Assigned/1/16/2023//Credit Card//Cancelled*High Delivery Fees")</f>
        <v>//ord_10101//Kritika Shetty//Malad//Orange+1*Not Assigned/1/16/2023//Credit Card//Cancelled*High Delivery Fees</v>
      </c>
      <c r="B102" s="14" t="str">
        <f>IFERROR(__xludf.DUMMYFUNCTION("split(A102,""//"")"),"ord_10101")</f>
        <v>ord_10101</v>
      </c>
      <c r="C102" s="14" t="str">
        <f>IFERROR(__xludf.DUMMYFUNCTION("""COMPUTED_VALUE"""),"Kritika Shetty")</f>
        <v>Kritika Shetty</v>
      </c>
      <c r="D102" s="14" t="str">
        <f>IFERROR(__xludf.DUMMYFUNCTION("""COMPUTED_VALUE"""),"Malad")</f>
        <v>Malad</v>
      </c>
      <c r="E102" s="14" t="str">
        <f>IFERROR(__xludf.DUMMYFUNCTION("""COMPUTED_VALUE"""),"Orange+1*Not Assigned")</f>
        <v>Orange+1*Not Assigned</v>
      </c>
      <c r="F102" s="14">
        <f>IFERROR(__xludf.DUMMYFUNCTION("""COMPUTED_VALUE"""),1.0)</f>
        <v>1</v>
      </c>
      <c r="G102" s="14">
        <f>IFERROR(__xludf.DUMMYFUNCTION("""COMPUTED_VALUE"""),16.0)</f>
        <v>16</v>
      </c>
      <c r="H102" s="14">
        <f>IFERROR(__xludf.DUMMYFUNCTION("""COMPUTED_VALUE"""),2023.0)</f>
        <v>2023</v>
      </c>
      <c r="I102" s="14" t="str">
        <f>IFERROR(__xludf.DUMMYFUNCTION("""COMPUTED_VALUE"""),"Credit Card")</f>
        <v>Credit Card</v>
      </c>
      <c r="J102" s="14" t="str">
        <f>IFERROR(__xludf.DUMMYFUNCTION("""COMPUTED_VALUE"""),"Cancelled*High Delivery Fees")</f>
        <v>Cancelled*High Delivery Fees</v>
      </c>
      <c r="K102" s="14" t="str">
        <f>IFERROR(__xludf.DUMMYFUNCTION("split(E102,""+"")"),"Orange")</f>
        <v>Orange</v>
      </c>
      <c r="L102" s="14" t="str">
        <f>IFERROR(__xludf.DUMMYFUNCTION("""COMPUTED_VALUE"""),"1*Not Assigned")</f>
        <v>1*Not Assigned</v>
      </c>
      <c r="M102" s="14">
        <f>IFERROR(__xludf.DUMMYFUNCTION("SPLIT(L102,""*"")"),1.0)</f>
        <v>1</v>
      </c>
      <c r="N102" s="14" t="str">
        <f>IFERROR(__xludf.DUMMYFUNCTION("""COMPUTED_VALUE"""),"Not Assigned")</f>
        <v>Not Assigned</v>
      </c>
      <c r="O102" s="14" t="str">
        <f>IFERROR(__xludf.DUMMYFUNCTION("split(J102,""*"")"),"Cancelled")</f>
        <v>Cancelled</v>
      </c>
      <c r="P102" s="14" t="str">
        <f>IFERROR(__xludf.DUMMYFUNCTION("""COMPUTED_VALUE"""),"High Delivery Fees")</f>
        <v>High Delivery Fees</v>
      </c>
      <c r="Q102" s="14" t="str">
        <f>IFERROR(__xludf.DUMMYFUNCTION("split(P102,"":"")"),"High Delivery Fees")</f>
        <v>High Delivery Fees</v>
      </c>
      <c r="R102" s="14"/>
      <c r="S102" s="14" t="str">
        <f t="shared" ref="S102:U102" si="207">trim(B102)</f>
        <v>ord_10101</v>
      </c>
      <c r="T102" s="14" t="str">
        <f t="shared" si="207"/>
        <v>Kritika Shetty</v>
      </c>
      <c r="U102" s="14" t="str">
        <f t="shared" si="207"/>
        <v>Malad</v>
      </c>
      <c r="V102" s="14" t="str">
        <f t="shared" si="4"/>
        <v>Orange</v>
      </c>
      <c r="W102" s="14">
        <f t="shared" si="5"/>
        <v>1</v>
      </c>
      <c r="X102" s="14" t="str">
        <f t="shared" si="6"/>
        <v>Not Assigned</v>
      </c>
      <c r="Y102" s="15">
        <f t="shared" si="7"/>
        <v>44942</v>
      </c>
      <c r="Z102" s="14" t="str">
        <f t="shared" si="8"/>
        <v>Credit Card</v>
      </c>
      <c r="AA102" s="14" t="str">
        <f t="shared" si="9"/>
        <v>Cancelled</v>
      </c>
      <c r="AB102" s="14" t="str">
        <f t="shared" ref="AB102:AC102" si="208">trim(Q102)</f>
        <v>High Delivery Fees</v>
      </c>
      <c r="AC102" s="14" t="str">
        <f t="shared" si="208"/>
        <v/>
      </c>
      <c r="AD102" s="8"/>
    </row>
    <row r="103">
      <c r="A103" s="14" t="str">
        <f>IFERROR(__xludf.DUMMYFUNCTION("""COMPUTED_VALUE"""),"//ord_10102//Pranav Joshi//Andheri//Orange+2*Shine Thomas/9/4/2023//COD//Delivered*Quality of Items: Perfect condition")</f>
        <v>//ord_10102//Pranav Joshi//Andheri//Orange+2*Shine Thomas/9/4/2023//COD//Delivered*Quality of Items: Perfect condition</v>
      </c>
      <c r="B103" s="14" t="str">
        <f>IFERROR(__xludf.DUMMYFUNCTION("split(A103,""//"")"),"ord_10102")</f>
        <v>ord_10102</v>
      </c>
      <c r="C103" s="14" t="str">
        <f>IFERROR(__xludf.DUMMYFUNCTION("""COMPUTED_VALUE"""),"Pranav Joshi")</f>
        <v>Pranav Joshi</v>
      </c>
      <c r="D103" s="14" t="str">
        <f>IFERROR(__xludf.DUMMYFUNCTION("""COMPUTED_VALUE"""),"Andheri")</f>
        <v>Andheri</v>
      </c>
      <c r="E103" s="14" t="str">
        <f>IFERROR(__xludf.DUMMYFUNCTION("""COMPUTED_VALUE"""),"Orange+2*Shine Thomas")</f>
        <v>Orange+2*Shine Thomas</v>
      </c>
      <c r="F103" s="14">
        <f>IFERROR(__xludf.DUMMYFUNCTION("""COMPUTED_VALUE"""),9.0)</f>
        <v>9</v>
      </c>
      <c r="G103" s="14">
        <f>IFERROR(__xludf.DUMMYFUNCTION("""COMPUTED_VALUE"""),4.0)</f>
        <v>4</v>
      </c>
      <c r="H103" s="14">
        <f>IFERROR(__xludf.DUMMYFUNCTION("""COMPUTED_VALUE"""),2023.0)</f>
        <v>2023</v>
      </c>
      <c r="I103" s="14" t="str">
        <f>IFERROR(__xludf.DUMMYFUNCTION("""COMPUTED_VALUE"""),"COD")</f>
        <v>COD</v>
      </c>
      <c r="J103" s="14" t="str">
        <f>IFERROR(__xludf.DUMMYFUNCTION("""COMPUTED_VALUE"""),"Delivered*Quality of Items: Perfect condition")</f>
        <v>Delivered*Quality of Items: Perfect condition</v>
      </c>
      <c r="K103" s="14" t="str">
        <f>IFERROR(__xludf.DUMMYFUNCTION("split(E103,""+"")"),"Orange")</f>
        <v>Orange</v>
      </c>
      <c r="L103" s="14" t="str">
        <f>IFERROR(__xludf.DUMMYFUNCTION("""COMPUTED_VALUE"""),"2*Shine Thomas")</f>
        <v>2*Shine Thomas</v>
      </c>
      <c r="M103" s="14">
        <f>IFERROR(__xludf.DUMMYFUNCTION("SPLIT(L103,""*"")"),2.0)</f>
        <v>2</v>
      </c>
      <c r="N103" s="14" t="str">
        <f>IFERROR(__xludf.DUMMYFUNCTION("""COMPUTED_VALUE"""),"Shine Thomas")</f>
        <v>Shine Thomas</v>
      </c>
      <c r="O103" s="14" t="str">
        <f>IFERROR(__xludf.DUMMYFUNCTION("split(J103,""*"")"),"Delivered")</f>
        <v>Delivered</v>
      </c>
      <c r="P103" s="14" t="str">
        <f>IFERROR(__xludf.DUMMYFUNCTION("""COMPUTED_VALUE"""),"Quality of Items: Perfect condition")</f>
        <v>Quality of Items: Perfect condition</v>
      </c>
      <c r="Q103" s="14" t="str">
        <f>IFERROR(__xludf.DUMMYFUNCTION("split(P103,"":"")"),"Quality of Items")</f>
        <v>Quality of Items</v>
      </c>
      <c r="R103" s="14" t="str">
        <f>IFERROR(__xludf.DUMMYFUNCTION("""COMPUTED_VALUE""")," Perfect condition")</f>
        <v> Perfect condition</v>
      </c>
      <c r="S103" s="14" t="str">
        <f t="shared" ref="S103:U103" si="209">trim(B103)</f>
        <v>ord_10102</v>
      </c>
      <c r="T103" s="14" t="str">
        <f t="shared" si="209"/>
        <v>Pranav Joshi</v>
      </c>
      <c r="U103" s="14" t="str">
        <f t="shared" si="209"/>
        <v>Andheri</v>
      </c>
      <c r="V103" s="14" t="str">
        <f t="shared" si="4"/>
        <v>Orange</v>
      </c>
      <c r="W103" s="14">
        <f t="shared" si="5"/>
        <v>2</v>
      </c>
      <c r="X103" s="14" t="str">
        <f t="shared" si="6"/>
        <v>Shine Thomas</v>
      </c>
      <c r="Y103" s="15">
        <f t="shared" si="7"/>
        <v>45173</v>
      </c>
      <c r="Z103" s="14" t="str">
        <f t="shared" si="8"/>
        <v>COD</v>
      </c>
      <c r="AA103" s="14" t="str">
        <f t="shared" si="9"/>
        <v>Delivered</v>
      </c>
      <c r="AB103" s="14" t="str">
        <f t="shared" ref="AB103:AC103" si="210">trim(Q103)</f>
        <v>Quality of Items</v>
      </c>
      <c r="AC103" s="14" t="str">
        <f t="shared" si="210"/>
        <v>Perfect condition</v>
      </c>
      <c r="AD103" s="8"/>
    </row>
    <row r="104">
      <c r="A104" s="14" t="str">
        <f>IFERROR(__xludf.DUMMYFUNCTION("""COMPUTED_VALUE"""),"//ord_10103//Ishita Banerjee//Juhu//Veg Puff+4*Tanvi Jain/11/15/2023//UPI//Cancelled*Delayed Delivery:High Order Volume")</f>
        <v>//ord_10103//Ishita Banerjee//Juhu//Veg Puff+4*Tanvi Jain/11/15/2023//UPI//Cancelled*Delayed Delivery:High Order Volume</v>
      </c>
      <c r="B104" s="14" t="str">
        <f>IFERROR(__xludf.DUMMYFUNCTION("split(A104,""//"")"),"ord_10103")</f>
        <v>ord_10103</v>
      </c>
      <c r="C104" s="14" t="str">
        <f>IFERROR(__xludf.DUMMYFUNCTION("""COMPUTED_VALUE"""),"Ishita Banerjee")</f>
        <v>Ishita Banerjee</v>
      </c>
      <c r="D104" s="14" t="str">
        <f>IFERROR(__xludf.DUMMYFUNCTION("""COMPUTED_VALUE"""),"Juhu")</f>
        <v>Juhu</v>
      </c>
      <c r="E104" s="14" t="str">
        <f>IFERROR(__xludf.DUMMYFUNCTION("""COMPUTED_VALUE"""),"Veg Puff+4*Tanvi Jain")</f>
        <v>Veg Puff+4*Tanvi Jain</v>
      </c>
      <c r="F104" s="14">
        <f>IFERROR(__xludf.DUMMYFUNCTION("""COMPUTED_VALUE"""),11.0)</f>
        <v>11</v>
      </c>
      <c r="G104" s="14">
        <f>IFERROR(__xludf.DUMMYFUNCTION("""COMPUTED_VALUE"""),15.0)</f>
        <v>15</v>
      </c>
      <c r="H104" s="14">
        <f>IFERROR(__xludf.DUMMYFUNCTION("""COMPUTED_VALUE"""),2023.0)</f>
        <v>2023</v>
      </c>
      <c r="I104" s="14" t="str">
        <f>IFERROR(__xludf.DUMMYFUNCTION("""COMPUTED_VALUE"""),"UPI")</f>
        <v>UPI</v>
      </c>
      <c r="J104" s="14" t="str">
        <f>IFERROR(__xludf.DUMMYFUNCTION("""COMPUTED_VALUE"""),"Cancelled*Delayed Delivery:High Order Volume")</f>
        <v>Cancelled*Delayed Delivery:High Order Volume</v>
      </c>
      <c r="K104" s="14" t="str">
        <f>IFERROR(__xludf.DUMMYFUNCTION("split(E104,""+"")"),"Veg Puff")</f>
        <v>Veg Puff</v>
      </c>
      <c r="L104" s="14" t="str">
        <f>IFERROR(__xludf.DUMMYFUNCTION("""COMPUTED_VALUE"""),"4*Tanvi Jain")</f>
        <v>4*Tanvi Jain</v>
      </c>
      <c r="M104" s="14">
        <f>IFERROR(__xludf.DUMMYFUNCTION("SPLIT(L104,""*"")"),4.0)</f>
        <v>4</v>
      </c>
      <c r="N104" s="14" t="str">
        <f>IFERROR(__xludf.DUMMYFUNCTION("""COMPUTED_VALUE"""),"Tanvi Jain")</f>
        <v>Tanvi Jain</v>
      </c>
      <c r="O104" s="14" t="str">
        <f>IFERROR(__xludf.DUMMYFUNCTION("split(J104,""*"")"),"Cancelled")</f>
        <v>Cancelled</v>
      </c>
      <c r="P104" s="14" t="str">
        <f>IFERROR(__xludf.DUMMYFUNCTION("""COMPUTED_VALUE"""),"Delayed Delivery:High Order Volume")</f>
        <v>Delayed Delivery:High Order Volume</v>
      </c>
      <c r="Q104" s="14" t="str">
        <f>IFERROR(__xludf.DUMMYFUNCTION("split(P104,"":"")"),"Delayed Delivery")</f>
        <v>Delayed Delivery</v>
      </c>
      <c r="R104" s="14" t="str">
        <f>IFERROR(__xludf.DUMMYFUNCTION("""COMPUTED_VALUE"""),"High Order Volume")</f>
        <v>High Order Volume</v>
      </c>
      <c r="S104" s="14" t="str">
        <f t="shared" ref="S104:U104" si="211">trim(B104)</f>
        <v>ord_10103</v>
      </c>
      <c r="T104" s="14" t="str">
        <f t="shared" si="211"/>
        <v>Ishita Banerjee</v>
      </c>
      <c r="U104" s="14" t="str">
        <f t="shared" si="211"/>
        <v>Juhu</v>
      </c>
      <c r="V104" s="14" t="str">
        <f t="shared" si="4"/>
        <v>Veg Puff</v>
      </c>
      <c r="W104" s="14">
        <f t="shared" si="5"/>
        <v>4</v>
      </c>
      <c r="X104" s="14" t="str">
        <f t="shared" si="6"/>
        <v>Tanvi Jain</v>
      </c>
      <c r="Y104" s="15">
        <f t="shared" si="7"/>
        <v>45245</v>
      </c>
      <c r="Z104" s="14" t="str">
        <f t="shared" si="8"/>
        <v>UPI</v>
      </c>
      <c r="AA104" s="14" t="str">
        <f t="shared" si="9"/>
        <v>Cancelled</v>
      </c>
      <c r="AB104" s="14" t="str">
        <f t="shared" ref="AB104:AC104" si="212">trim(Q104)</f>
        <v>Delayed Delivery</v>
      </c>
      <c r="AC104" s="14" t="str">
        <f t="shared" si="212"/>
        <v>High Order Volume</v>
      </c>
      <c r="AD104" s="8"/>
    </row>
    <row r="105">
      <c r="A105" s="14" t="str">
        <f>IFERROR(__xludf.DUMMYFUNCTION("""COMPUTED_VALUE"""),"//ord_10104//Sanjay Nair//Dadar//Icecream+3*Ramesh S/9/2/2023//UPI//Delivered*Packaging: Secure and intact")</f>
        <v>//ord_10104//Sanjay Nair//Dadar//Icecream+3*Ramesh S/9/2/2023//UPI//Delivered*Packaging: Secure and intact</v>
      </c>
      <c r="B105" s="14" t="str">
        <f>IFERROR(__xludf.DUMMYFUNCTION("split(A105,""//"")"),"ord_10104")</f>
        <v>ord_10104</v>
      </c>
      <c r="C105" s="14" t="str">
        <f>IFERROR(__xludf.DUMMYFUNCTION("""COMPUTED_VALUE"""),"Sanjay Nair")</f>
        <v>Sanjay Nair</v>
      </c>
      <c r="D105" s="14" t="str">
        <f>IFERROR(__xludf.DUMMYFUNCTION("""COMPUTED_VALUE"""),"Dadar")</f>
        <v>Dadar</v>
      </c>
      <c r="E105" s="14" t="str">
        <f>IFERROR(__xludf.DUMMYFUNCTION("""COMPUTED_VALUE"""),"Icecream+3*Ramesh S")</f>
        <v>Icecream+3*Ramesh S</v>
      </c>
      <c r="F105" s="14">
        <f>IFERROR(__xludf.DUMMYFUNCTION("""COMPUTED_VALUE"""),9.0)</f>
        <v>9</v>
      </c>
      <c r="G105" s="14">
        <f>IFERROR(__xludf.DUMMYFUNCTION("""COMPUTED_VALUE"""),2.0)</f>
        <v>2</v>
      </c>
      <c r="H105" s="14">
        <f>IFERROR(__xludf.DUMMYFUNCTION("""COMPUTED_VALUE"""),2023.0)</f>
        <v>2023</v>
      </c>
      <c r="I105" s="14" t="str">
        <f>IFERROR(__xludf.DUMMYFUNCTION("""COMPUTED_VALUE"""),"UPI")</f>
        <v>UPI</v>
      </c>
      <c r="J105" s="14" t="str">
        <f>IFERROR(__xludf.DUMMYFUNCTION("""COMPUTED_VALUE"""),"Delivered*Packaging: Secure and intact")</f>
        <v>Delivered*Packaging: Secure and intact</v>
      </c>
      <c r="K105" s="14" t="str">
        <f>IFERROR(__xludf.DUMMYFUNCTION("split(E105,""+"")"),"Icecream")</f>
        <v>Icecream</v>
      </c>
      <c r="L105" s="14" t="str">
        <f>IFERROR(__xludf.DUMMYFUNCTION("""COMPUTED_VALUE"""),"3*Ramesh S")</f>
        <v>3*Ramesh S</v>
      </c>
      <c r="M105" s="14">
        <f>IFERROR(__xludf.DUMMYFUNCTION("SPLIT(L105,""*"")"),3.0)</f>
        <v>3</v>
      </c>
      <c r="N105" s="14" t="str">
        <f>IFERROR(__xludf.DUMMYFUNCTION("""COMPUTED_VALUE"""),"Ramesh S")</f>
        <v>Ramesh S</v>
      </c>
      <c r="O105" s="14" t="str">
        <f>IFERROR(__xludf.DUMMYFUNCTION("split(J105,""*"")"),"Delivered")</f>
        <v>Delivered</v>
      </c>
      <c r="P105" s="14" t="str">
        <f>IFERROR(__xludf.DUMMYFUNCTION("""COMPUTED_VALUE"""),"Packaging: Secure and intact")</f>
        <v>Packaging: Secure and intact</v>
      </c>
      <c r="Q105" s="14" t="str">
        <f>IFERROR(__xludf.DUMMYFUNCTION("split(P105,"":"")"),"Packaging")</f>
        <v>Packaging</v>
      </c>
      <c r="R105" s="14" t="str">
        <f>IFERROR(__xludf.DUMMYFUNCTION("""COMPUTED_VALUE""")," Secure and intact")</f>
        <v> Secure and intact</v>
      </c>
      <c r="S105" s="14" t="str">
        <f t="shared" ref="S105:U105" si="213">trim(B105)</f>
        <v>ord_10104</v>
      </c>
      <c r="T105" s="14" t="str">
        <f t="shared" si="213"/>
        <v>Sanjay Nair</v>
      </c>
      <c r="U105" s="14" t="str">
        <f t="shared" si="213"/>
        <v>Dadar</v>
      </c>
      <c r="V105" s="14" t="str">
        <f t="shared" si="4"/>
        <v>Icecream</v>
      </c>
      <c r="W105" s="14">
        <f t="shared" si="5"/>
        <v>3</v>
      </c>
      <c r="X105" s="14" t="str">
        <f t="shared" si="6"/>
        <v>Ramesh S</v>
      </c>
      <c r="Y105" s="15">
        <f t="shared" si="7"/>
        <v>45171</v>
      </c>
      <c r="Z105" s="14" t="str">
        <f t="shared" si="8"/>
        <v>UPI</v>
      </c>
      <c r="AA105" s="14" t="str">
        <f t="shared" si="9"/>
        <v>Delivered</v>
      </c>
      <c r="AB105" s="14" t="str">
        <f t="shared" ref="AB105:AC105" si="214">trim(Q105)</f>
        <v>Packaging</v>
      </c>
      <c r="AC105" s="14" t="str">
        <f t="shared" si="214"/>
        <v>Secure and intact</v>
      </c>
      <c r="AD105" s="8"/>
    </row>
    <row r="106">
      <c r="A106" s="14" t="str">
        <f>IFERROR(__xludf.DUMMYFUNCTION("""COMPUTED_VALUE"""),"//ord_10105//Tanishq Bansal//Powai//Veg Puff+2*Manju Ajay/11/20/2023//Credit Card//Cancelled*Delayed Delivery:Vehicle Breakdown")</f>
        <v>//ord_10105//Tanishq Bansal//Powai//Veg Puff+2*Manju Ajay/11/20/2023//Credit Card//Cancelled*Delayed Delivery:Vehicle Breakdown</v>
      </c>
      <c r="B106" s="14" t="str">
        <f>IFERROR(__xludf.DUMMYFUNCTION("split(A106,""//"")"),"ord_10105")</f>
        <v>ord_10105</v>
      </c>
      <c r="C106" s="14" t="str">
        <f>IFERROR(__xludf.DUMMYFUNCTION("""COMPUTED_VALUE"""),"Tanishq Bansal")</f>
        <v>Tanishq Bansal</v>
      </c>
      <c r="D106" s="14" t="str">
        <f>IFERROR(__xludf.DUMMYFUNCTION("""COMPUTED_VALUE"""),"Powai")</f>
        <v>Powai</v>
      </c>
      <c r="E106" s="14" t="str">
        <f>IFERROR(__xludf.DUMMYFUNCTION("""COMPUTED_VALUE"""),"Veg Puff+2*Manju Ajay")</f>
        <v>Veg Puff+2*Manju Ajay</v>
      </c>
      <c r="F106" s="14">
        <f>IFERROR(__xludf.DUMMYFUNCTION("""COMPUTED_VALUE"""),11.0)</f>
        <v>11</v>
      </c>
      <c r="G106" s="14">
        <f>IFERROR(__xludf.DUMMYFUNCTION("""COMPUTED_VALUE"""),20.0)</f>
        <v>20</v>
      </c>
      <c r="H106" s="14">
        <f>IFERROR(__xludf.DUMMYFUNCTION("""COMPUTED_VALUE"""),2023.0)</f>
        <v>2023</v>
      </c>
      <c r="I106" s="14" t="str">
        <f>IFERROR(__xludf.DUMMYFUNCTION("""COMPUTED_VALUE"""),"Credit Card")</f>
        <v>Credit Card</v>
      </c>
      <c r="J106" s="14" t="str">
        <f>IFERROR(__xludf.DUMMYFUNCTION("""COMPUTED_VALUE"""),"Cancelled*Delayed Delivery:Vehicle Breakdown")</f>
        <v>Cancelled*Delayed Delivery:Vehicle Breakdown</v>
      </c>
      <c r="K106" s="14" t="str">
        <f>IFERROR(__xludf.DUMMYFUNCTION("split(E106,""+"")"),"Veg Puff")</f>
        <v>Veg Puff</v>
      </c>
      <c r="L106" s="14" t="str">
        <f>IFERROR(__xludf.DUMMYFUNCTION("""COMPUTED_VALUE"""),"2*Manju Ajay")</f>
        <v>2*Manju Ajay</v>
      </c>
      <c r="M106" s="14">
        <f>IFERROR(__xludf.DUMMYFUNCTION("SPLIT(L106,""*"")"),2.0)</f>
        <v>2</v>
      </c>
      <c r="N106" s="14" t="str">
        <f>IFERROR(__xludf.DUMMYFUNCTION("""COMPUTED_VALUE"""),"Manju Ajay")</f>
        <v>Manju Ajay</v>
      </c>
      <c r="O106" s="14" t="str">
        <f>IFERROR(__xludf.DUMMYFUNCTION("split(J106,""*"")"),"Cancelled")</f>
        <v>Cancelled</v>
      </c>
      <c r="P106" s="14" t="str">
        <f>IFERROR(__xludf.DUMMYFUNCTION("""COMPUTED_VALUE"""),"Delayed Delivery:Vehicle Breakdown")</f>
        <v>Delayed Delivery:Vehicle Breakdown</v>
      </c>
      <c r="Q106" s="14" t="str">
        <f>IFERROR(__xludf.DUMMYFUNCTION("split(P106,"":"")"),"Delayed Delivery")</f>
        <v>Delayed Delivery</v>
      </c>
      <c r="R106" s="14" t="str">
        <f>IFERROR(__xludf.DUMMYFUNCTION("""COMPUTED_VALUE"""),"Vehicle Breakdown")</f>
        <v>Vehicle Breakdown</v>
      </c>
      <c r="S106" s="14" t="str">
        <f t="shared" ref="S106:U106" si="215">trim(B106)</f>
        <v>ord_10105</v>
      </c>
      <c r="T106" s="14" t="str">
        <f t="shared" si="215"/>
        <v>Tanishq Bansal</v>
      </c>
      <c r="U106" s="14" t="str">
        <f t="shared" si="215"/>
        <v>Powai</v>
      </c>
      <c r="V106" s="14" t="str">
        <f t="shared" si="4"/>
        <v>Veg Puff</v>
      </c>
      <c r="W106" s="14">
        <f t="shared" si="5"/>
        <v>2</v>
      </c>
      <c r="X106" s="14" t="str">
        <f t="shared" si="6"/>
        <v>Manju Ajay</v>
      </c>
      <c r="Y106" s="15">
        <f t="shared" si="7"/>
        <v>45250</v>
      </c>
      <c r="Z106" s="14" t="str">
        <f t="shared" si="8"/>
        <v>Credit Card</v>
      </c>
      <c r="AA106" s="14" t="str">
        <f t="shared" si="9"/>
        <v>Cancelled</v>
      </c>
      <c r="AB106" s="14" t="str">
        <f t="shared" ref="AB106:AC106" si="216">trim(Q106)</f>
        <v>Delayed Delivery</v>
      </c>
      <c r="AC106" s="14" t="str">
        <f t="shared" si="216"/>
        <v>Vehicle Breakdown</v>
      </c>
      <c r="AD106" s="8"/>
    </row>
    <row r="107">
      <c r="A107" s="14" t="str">
        <f>IFERROR(__xludf.DUMMYFUNCTION("""COMPUTED_VALUE"""),"//ord_10106//Aarav Mehta//Andheri//Rasmalai+4*Not Assigned/7/3/2023//UPI//Cancelled*Out of Stock")</f>
        <v>//ord_10106//Aarav Mehta//Andheri//Rasmalai+4*Not Assigned/7/3/2023//UPI//Cancelled*Out of Stock</v>
      </c>
      <c r="B107" s="14" t="str">
        <f>IFERROR(__xludf.DUMMYFUNCTION("split(A107,""//"")"),"ord_10106")</f>
        <v>ord_10106</v>
      </c>
      <c r="C107" s="14" t="str">
        <f>IFERROR(__xludf.DUMMYFUNCTION("""COMPUTED_VALUE"""),"Aarav Mehta")</f>
        <v>Aarav Mehta</v>
      </c>
      <c r="D107" s="14" t="str">
        <f>IFERROR(__xludf.DUMMYFUNCTION("""COMPUTED_VALUE"""),"Andheri")</f>
        <v>Andheri</v>
      </c>
      <c r="E107" s="14" t="str">
        <f>IFERROR(__xludf.DUMMYFUNCTION("""COMPUTED_VALUE"""),"Rasmalai+4*Not Assigned")</f>
        <v>Rasmalai+4*Not Assigned</v>
      </c>
      <c r="F107" s="14">
        <f>IFERROR(__xludf.DUMMYFUNCTION("""COMPUTED_VALUE"""),7.0)</f>
        <v>7</v>
      </c>
      <c r="G107" s="14">
        <f>IFERROR(__xludf.DUMMYFUNCTION("""COMPUTED_VALUE"""),3.0)</f>
        <v>3</v>
      </c>
      <c r="H107" s="14">
        <f>IFERROR(__xludf.DUMMYFUNCTION("""COMPUTED_VALUE"""),2023.0)</f>
        <v>2023</v>
      </c>
      <c r="I107" s="14" t="str">
        <f>IFERROR(__xludf.DUMMYFUNCTION("""COMPUTED_VALUE"""),"UPI")</f>
        <v>UPI</v>
      </c>
      <c r="J107" s="14" t="str">
        <f>IFERROR(__xludf.DUMMYFUNCTION("""COMPUTED_VALUE"""),"Cancelled*Out of Stock")</f>
        <v>Cancelled*Out of Stock</v>
      </c>
      <c r="K107" s="14" t="str">
        <f>IFERROR(__xludf.DUMMYFUNCTION("split(E107,""+"")"),"Rasmalai")</f>
        <v>Rasmalai</v>
      </c>
      <c r="L107" s="14" t="str">
        <f>IFERROR(__xludf.DUMMYFUNCTION("""COMPUTED_VALUE"""),"4*Not Assigned")</f>
        <v>4*Not Assigned</v>
      </c>
      <c r="M107" s="14">
        <f>IFERROR(__xludf.DUMMYFUNCTION("SPLIT(L107,""*"")"),4.0)</f>
        <v>4</v>
      </c>
      <c r="N107" s="14" t="str">
        <f>IFERROR(__xludf.DUMMYFUNCTION("""COMPUTED_VALUE"""),"Not Assigned")</f>
        <v>Not Assigned</v>
      </c>
      <c r="O107" s="14" t="str">
        <f>IFERROR(__xludf.DUMMYFUNCTION("split(J107,""*"")"),"Cancelled")</f>
        <v>Cancelled</v>
      </c>
      <c r="P107" s="14" t="str">
        <f>IFERROR(__xludf.DUMMYFUNCTION("""COMPUTED_VALUE"""),"Out of Stock")</f>
        <v>Out of Stock</v>
      </c>
      <c r="Q107" s="14" t="str">
        <f>IFERROR(__xludf.DUMMYFUNCTION("split(P107,"":"")"),"Out of Stock")</f>
        <v>Out of Stock</v>
      </c>
      <c r="R107" s="14"/>
      <c r="S107" s="14" t="str">
        <f t="shared" ref="S107:U107" si="217">trim(B107)</f>
        <v>ord_10106</v>
      </c>
      <c r="T107" s="14" t="str">
        <f t="shared" si="217"/>
        <v>Aarav Mehta</v>
      </c>
      <c r="U107" s="14" t="str">
        <f t="shared" si="217"/>
        <v>Andheri</v>
      </c>
      <c r="V107" s="14" t="str">
        <f t="shared" si="4"/>
        <v>Rasmalai</v>
      </c>
      <c r="W107" s="14">
        <f t="shared" si="5"/>
        <v>4</v>
      </c>
      <c r="X107" s="14" t="str">
        <f t="shared" si="6"/>
        <v>Not Assigned</v>
      </c>
      <c r="Y107" s="15">
        <f t="shared" si="7"/>
        <v>45110</v>
      </c>
      <c r="Z107" s="14" t="str">
        <f t="shared" si="8"/>
        <v>UPI</v>
      </c>
      <c r="AA107" s="14" t="str">
        <f t="shared" si="9"/>
        <v>Cancelled</v>
      </c>
      <c r="AB107" s="14" t="str">
        <f t="shared" ref="AB107:AC107" si="218">trim(Q107)</f>
        <v>Out of Stock</v>
      </c>
      <c r="AC107" s="14" t="str">
        <f t="shared" si="218"/>
        <v/>
      </c>
      <c r="AD107" s="8"/>
    </row>
    <row r="108">
      <c r="A108" s="14" t="str">
        <f>IFERROR(__xludf.DUMMYFUNCTION("""COMPUTED_VALUE"""),"//ord_10107//Sahil Desai//Lower Parel//Veg Puff+5*Kiran Mehta/7/11/2023//Online Payment//Delivered*Satisfied with the Delivery: Timely and quality")</f>
        <v>//ord_10107//Sahil Desai//Lower Parel//Veg Puff+5*Kiran Mehta/7/11/2023//Online Payment//Delivered*Satisfied with the Delivery: Timely and quality</v>
      </c>
      <c r="B108" s="14" t="str">
        <f>IFERROR(__xludf.DUMMYFUNCTION("split(A108,""//"")"),"ord_10107")</f>
        <v>ord_10107</v>
      </c>
      <c r="C108" s="14" t="str">
        <f>IFERROR(__xludf.DUMMYFUNCTION("""COMPUTED_VALUE"""),"Sahil Desai")</f>
        <v>Sahil Desai</v>
      </c>
      <c r="D108" s="14" t="str">
        <f>IFERROR(__xludf.DUMMYFUNCTION("""COMPUTED_VALUE"""),"Lower Parel")</f>
        <v>Lower Parel</v>
      </c>
      <c r="E108" s="14" t="str">
        <f>IFERROR(__xludf.DUMMYFUNCTION("""COMPUTED_VALUE"""),"Veg Puff+5*Kiran Mehta")</f>
        <v>Veg Puff+5*Kiran Mehta</v>
      </c>
      <c r="F108" s="14">
        <f>IFERROR(__xludf.DUMMYFUNCTION("""COMPUTED_VALUE"""),7.0)</f>
        <v>7</v>
      </c>
      <c r="G108" s="14">
        <f>IFERROR(__xludf.DUMMYFUNCTION("""COMPUTED_VALUE"""),11.0)</f>
        <v>11</v>
      </c>
      <c r="H108" s="14">
        <f>IFERROR(__xludf.DUMMYFUNCTION("""COMPUTED_VALUE"""),2023.0)</f>
        <v>2023</v>
      </c>
      <c r="I108" s="14" t="str">
        <f>IFERROR(__xludf.DUMMYFUNCTION("""COMPUTED_VALUE"""),"Online Payment")</f>
        <v>Online Payment</v>
      </c>
      <c r="J108" s="14" t="str">
        <f>IFERROR(__xludf.DUMMYFUNCTION("""COMPUTED_VALUE"""),"Delivered*Satisfied with the Delivery: Timely and quality")</f>
        <v>Delivered*Satisfied with the Delivery: Timely and quality</v>
      </c>
      <c r="K108" s="14" t="str">
        <f>IFERROR(__xludf.DUMMYFUNCTION("split(E108,""+"")"),"Veg Puff")</f>
        <v>Veg Puff</v>
      </c>
      <c r="L108" s="14" t="str">
        <f>IFERROR(__xludf.DUMMYFUNCTION("""COMPUTED_VALUE"""),"5*Kiran Mehta")</f>
        <v>5*Kiran Mehta</v>
      </c>
      <c r="M108" s="14">
        <f>IFERROR(__xludf.DUMMYFUNCTION("SPLIT(L108,""*"")"),5.0)</f>
        <v>5</v>
      </c>
      <c r="N108" s="14" t="str">
        <f>IFERROR(__xludf.DUMMYFUNCTION("""COMPUTED_VALUE"""),"Kiran Mehta")</f>
        <v>Kiran Mehta</v>
      </c>
      <c r="O108" s="14" t="str">
        <f>IFERROR(__xludf.DUMMYFUNCTION("split(J108,""*"")"),"Delivered")</f>
        <v>Delivered</v>
      </c>
      <c r="P108" s="14" t="str">
        <f>IFERROR(__xludf.DUMMYFUNCTION("""COMPUTED_VALUE"""),"Satisfied with the Delivery: Timely and quality")</f>
        <v>Satisfied with the Delivery: Timely and quality</v>
      </c>
      <c r="Q108" s="14" t="str">
        <f>IFERROR(__xludf.DUMMYFUNCTION("split(P108,"":"")"),"Satisfied with the Delivery")</f>
        <v>Satisfied with the Delivery</v>
      </c>
      <c r="R108" s="14" t="str">
        <f>IFERROR(__xludf.DUMMYFUNCTION("""COMPUTED_VALUE""")," Timely and quality")</f>
        <v> Timely and quality</v>
      </c>
      <c r="S108" s="14" t="str">
        <f t="shared" ref="S108:U108" si="219">trim(B108)</f>
        <v>ord_10107</v>
      </c>
      <c r="T108" s="14" t="str">
        <f t="shared" si="219"/>
        <v>Sahil Desai</v>
      </c>
      <c r="U108" s="14" t="str">
        <f t="shared" si="219"/>
        <v>Lower Parel</v>
      </c>
      <c r="V108" s="14" t="str">
        <f t="shared" si="4"/>
        <v>Veg Puff</v>
      </c>
      <c r="W108" s="14">
        <f t="shared" si="5"/>
        <v>5</v>
      </c>
      <c r="X108" s="14" t="str">
        <f t="shared" si="6"/>
        <v>Kiran Mehta</v>
      </c>
      <c r="Y108" s="15">
        <f t="shared" si="7"/>
        <v>45118</v>
      </c>
      <c r="Z108" s="14" t="str">
        <f t="shared" si="8"/>
        <v>Online Payment</v>
      </c>
      <c r="AA108" s="14" t="str">
        <f t="shared" si="9"/>
        <v>Delivered</v>
      </c>
      <c r="AB108" s="14" t="str">
        <f t="shared" ref="AB108:AC108" si="220">trim(Q108)</f>
        <v>Satisfied with the Delivery</v>
      </c>
      <c r="AC108" s="14" t="str">
        <f t="shared" si="220"/>
        <v>Timely and quality</v>
      </c>
      <c r="AD108" s="8"/>
    </row>
    <row r="109">
      <c r="A109" s="14" t="str">
        <f>IFERROR(__xludf.DUMMYFUNCTION("""COMPUTED_VALUE"""),"//ord_13108//Riya Chakraborty//Juhu//Chicken Puff+2*Ram Gopal/2/13/2023//COD//Delivered*Customer Service: Seamless and easy")</f>
        <v>//ord_13108//Riya Chakraborty//Juhu//Chicken Puff+2*Ram Gopal/2/13/2023//COD//Delivered*Customer Service: Seamless and easy</v>
      </c>
      <c r="B109" s="14" t="str">
        <f>IFERROR(__xludf.DUMMYFUNCTION("split(A109,""//"")"),"ord_13108")</f>
        <v>ord_13108</v>
      </c>
      <c r="C109" s="14" t="str">
        <f>IFERROR(__xludf.DUMMYFUNCTION("""COMPUTED_VALUE"""),"Riya Chakraborty")</f>
        <v>Riya Chakraborty</v>
      </c>
      <c r="D109" s="14" t="str">
        <f>IFERROR(__xludf.DUMMYFUNCTION("""COMPUTED_VALUE"""),"Juhu")</f>
        <v>Juhu</v>
      </c>
      <c r="E109" s="14" t="str">
        <f>IFERROR(__xludf.DUMMYFUNCTION("""COMPUTED_VALUE"""),"Chicken Puff+2*Ram Gopal")</f>
        <v>Chicken Puff+2*Ram Gopal</v>
      </c>
      <c r="F109" s="14">
        <f>IFERROR(__xludf.DUMMYFUNCTION("""COMPUTED_VALUE"""),2.0)</f>
        <v>2</v>
      </c>
      <c r="G109" s="14">
        <f>IFERROR(__xludf.DUMMYFUNCTION("""COMPUTED_VALUE"""),13.0)</f>
        <v>13</v>
      </c>
      <c r="H109" s="14">
        <f>IFERROR(__xludf.DUMMYFUNCTION("""COMPUTED_VALUE"""),2023.0)</f>
        <v>2023</v>
      </c>
      <c r="I109" s="14" t="str">
        <f>IFERROR(__xludf.DUMMYFUNCTION("""COMPUTED_VALUE"""),"COD")</f>
        <v>COD</v>
      </c>
      <c r="J109" s="14" t="str">
        <f>IFERROR(__xludf.DUMMYFUNCTION("""COMPUTED_VALUE"""),"Delivered*Customer Service: Seamless and easy")</f>
        <v>Delivered*Customer Service: Seamless and easy</v>
      </c>
      <c r="K109" s="14" t="str">
        <f>IFERROR(__xludf.DUMMYFUNCTION("split(E109,""+"")"),"Chicken Puff")</f>
        <v>Chicken Puff</v>
      </c>
      <c r="L109" s="14" t="str">
        <f>IFERROR(__xludf.DUMMYFUNCTION("""COMPUTED_VALUE"""),"2*Ram Gopal")</f>
        <v>2*Ram Gopal</v>
      </c>
      <c r="M109" s="14">
        <f>IFERROR(__xludf.DUMMYFUNCTION("SPLIT(L109,""*"")"),2.0)</f>
        <v>2</v>
      </c>
      <c r="N109" s="14" t="str">
        <f>IFERROR(__xludf.DUMMYFUNCTION("""COMPUTED_VALUE"""),"Ram Gopal")</f>
        <v>Ram Gopal</v>
      </c>
      <c r="O109" s="14" t="str">
        <f>IFERROR(__xludf.DUMMYFUNCTION("split(J109,""*"")"),"Delivered")</f>
        <v>Delivered</v>
      </c>
      <c r="P109" s="14" t="str">
        <f>IFERROR(__xludf.DUMMYFUNCTION("""COMPUTED_VALUE"""),"Customer Service: Seamless and easy")</f>
        <v>Customer Service: Seamless and easy</v>
      </c>
      <c r="Q109" s="14" t="str">
        <f>IFERROR(__xludf.DUMMYFUNCTION("split(P109,"":"")"),"Customer Service")</f>
        <v>Customer Service</v>
      </c>
      <c r="R109" s="14" t="str">
        <f>IFERROR(__xludf.DUMMYFUNCTION("""COMPUTED_VALUE""")," Seamless and easy")</f>
        <v> Seamless and easy</v>
      </c>
      <c r="S109" s="14" t="str">
        <f t="shared" ref="S109:U109" si="221">trim(B109)</f>
        <v>ord_13108</v>
      </c>
      <c r="T109" s="14" t="str">
        <f t="shared" si="221"/>
        <v>Riya Chakraborty</v>
      </c>
      <c r="U109" s="14" t="str">
        <f t="shared" si="221"/>
        <v>Juhu</v>
      </c>
      <c r="V109" s="14" t="str">
        <f t="shared" si="4"/>
        <v>Chicken Puff</v>
      </c>
      <c r="W109" s="14">
        <f t="shared" si="5"/>
        <v>2</v>
      </c>
      <c r="X109" s="14" t="str">
        <f t="shared" si="6"/>
        <v>Ram Gopal</v>
      </c>
      <c r="Y109" s="15">
        <f t="shared" si="7"/>
        <v>44970</v>
      </c>
      <c r="Z109" s="14" t="str">
        <f t="shared" si="8"/>
        <v>COD</v>
      </c>
      <c r="AA109" s="14" t="str">
        <f t="shared" si="9"/>
        <v>Delivered</v>
      </c>
      <c r="AB109" s="14" t="str">
        <f t="shared" ref="AB109:AC109" si="222">trim(Q109)</f>
        <v>Customer Service</v>
      </c>
      <c r="AC109" s="14" t="str">
        <f t="shared" si="222"/>
        <v>Seamless and easy</v>
      </c>
      <c r="AD109" s="8"/>
    </row>
    <row r="110">
      <c r="A110" s="14" t="str">
        <f>IFERROR(__xludf.DUMMYFUNCTION("""COMPUTED_VALUE"""),"//ord_10109//Pallavi Ghosh//Bandra//Juice+4*Priya Joshi/1/17/2023//UPI//Cancelled*Delayed Delivery:Heavy Traffic")</f>
        <v>//ord_10109//Pallavi Ghosh//Bandra//Juice+4*Priya Joshi/1/17/2023//UPI//Cancelled*Delayed Delivery:Heavy Traffic</v>
      </c>
      <c r="B110" s="14" t="str">
        <f>IFERROR(__xludf.DUMMYFUNCTION("split(A110,""//"")"),"ord_10109")</f>
        <v>ord_10109</v>
      </c>
      <c r="C110" s="14" t="str">
        <f>IFERROR(__xludf.DUMMYFUNCTION("""COMPUTED_VALUE"""),"Pallavi Ghosh")</f>
        <v>Pallavi Ghosh</v>
      </c>
      <c r="D110" s="14" t="str">
        <f>IFERROR(__xludf.DUMMYFUNCTION("""COMPUTED_VALUE"""),"Bandra")</f>
        <v>Bandra</v>
      </c>
      <c r="E110" s="14" t="str">
        <f>IFERROR(__xludf.DUMMYFUNCTION("""COMPUTED_VALUE"""),"Juice+4*Priya Joshi")</f>
        <v>Juice+4*Priya Joshi</v>
      </c>
      <c r="F110" s="14">
        <f>IFERROR(__xludf.DUMMYFUNCTION("""COMPUTED_VALUE"""),1.0)</f>
        <v>1</v>
      </c>
      <c r="G110" s="14">
        <f>IFERROR(__xludf.DUMMYFUNCTION("""COMPUTED_VALUE"""),17.0)</f>
        <v>17</v>
      </c>
      <c r="H110" s="14">
        <f>IFERROR(__xludf.DUMMYFUNCTION("""COMPUTED_VALUE"""),2023.0)</f>
        <v>2023</v>
      </c>
      <c r="I110" s="14" t="str">
        <f>IFERROR(__xludf.DUMMYFUNCTION("""COMPUTED_VALUE"""),"UPI")</f>
        <v>UPI</v>
      </c>
      <c r="J110" s="14" t="str">
        <f>IFERROR(__xludf.DUMMYFUNCTION("""COMPUTED_VALUE"""),"Cancelled*Delayed Delivery:Heavy Traffic")</f>
        <v>Cancelled*Delayed Delivery:Heavy Traffic</v>
      </c>
      <c r="K110" s="14" t="str">
        <f>IFERROR(__xludf.DUMMYFUNCTION("split(E110,""+"")"),"Juice")</f>
        <v>Juice</v>
      </c>
      <c r="L110" s="14" t="str">
        <f>IFERROR(__xludf.DUMMYFUNCTION("""COMPUTED_VALUE"""),"4*Priya Joshi")</f>
        <v>4*Priya Joshi</v>
      </c>
      <c r="M110" s="14">
        <f>IFERROR(__xludf.DUMMYFUNCTION("SPLIT(L110,""*"")"),4.0)</f>
        <v>4</v>
      </c>
      <c r="N110" s="14" t="str">
        <f>IFERROR(__xludf.DUMMYFUNCTION("""COMPUTED_VALUE"""),"Priya Joshi")</f>
        <v>Priya Joshi</v>
      </c>
      <c r="O110" s="14" t="str">
        <f>IFERROR(__xludf.DUMMYFUNCTION("split(J110,""*"")"),"Cancelled")</f>
        <v>Cancelled</v>
      </c>
      <c r="P110" s="14" t="str">
        <f>IFERROR(__xludf.DUMMYFUNCTION("""COMPUTED_VALUE"""),"Delayed Delivery:Heavy Traffic")</f>
        <v>Delayed Delivery:Heavy Traffic</v>
      </c>
      <c r="Q110" s="14" t="str">
        <f>IFERROR(__xludf.DUMMYFUNCTION("split(P110,"":"")"),"Delayed Delivery")</f>
        <v>Delayed Delivery</v>
      </c>
      <c r="R110" s="14" t="str">
        <f>IFERROR(__xludf.DUMMYFUNCTION("""COMPUTED_VALUE"""),"Heavy Traffic")</f>
        <v>Heavy Traffic</v>
      </c>
      <c r="S110" s="14" t="str">
        <f t="shared" ref="S110:U110" si="223">trim(B110)</f>
        <v>ord_10109</v>
      </c>
      <c r="T110" s="14" t="str">
        <f t="shared" si="223"/>
        <v>Pallavi Ghosh</v>
      </c>
      <c r="U110" s="14" t="str">
        <f t="shared" si="223"/>
        <v>Bandra</v>
      </c>
      <c r="V110" s="14" t="str">
        <f t="shared" si="4"/>
        <v>Juice</v>
      </c>
      <c r="W110" s="14">
        <f t="shared" si="5"/>
        <v>4</v>
      </c>
      <c r="X110" s="14" t="str">
        <f t="shared" si="6"/>
        <v>Priya Joshi</v>
      </c>
      <c r="Y110" s="15">
        <f t="shared" si="7"/>
        <v>44943</v>
      </c>
      <c r="Z110" s="14" t="str">
        <f t="shared" si="8"/>
        <v>UPI</v>
      </c>
      <c r="AA110" s="14" t="str">
        <f t="shared" si="9"/>
        <v>Cancelled</v>
      </c>
      <c r="AB110" s="14" t="str">
        <f t="shared" ref="AB110:AC110" si="224">trim(Q110)</f>
        <v>Delayed Delivery</v>
      </c>
      <c r="AC110" s="14" t="str">
        <f t="shared" si="224"/>
        <v>Heavy Traffic</v>
      </c>
      <c r="AD110" s="8"/>
    </row>
    <row r="111">
      <c r="A111" s="14" t="str">
        <f>IFERROR(__xludf.DUMMYFUNCTION("""COMPUTED_VALUE"""),"//ord_10110//Aditi Iyer//Dadar//Cucumber+2*Vivek Kumar/7/26/2023//UPI//Delivered*Delivery Experience: Quick and professional")</f>
        <v>//ord_10110//Aditi Iyer//Dadar//Cucumber+2*Vivek Kumar/7/26/2023//UPI//Delivered*Delivery Experience: Quick and professional</v>
      </c>
      <c r="B111" s="14" t="str">
        <f>IFERROR(__xludf.DUMMYFUNCTION("split(A111,""//"")"),"ord_10110")</f>
        <v>ord_10110</v>
      </c>
      <c r="C111" s="14" t="str">
        <f>IFERROR(__xludf.DUMMYFUNCTION("""COMPUTED_VALUE"""),"Aditi Iyer")</f>
        <v>Aditi Iyer</v>
      </c>
      <c r="D111" s="14" t="str">
        <f>IFERROR(__xludf.DUMMYFUNCTION("""COMPUTED_VALUE"""),"Dadar")</f>
        <v>Dadar</v>
      </c>
      <c r="E111" s="14" t="str">
        <f>IFERROR(__xludf.DUMMYFUNCTION("""COMPUTED_VALUE"""),"Cucumber+2*Vivek Kumar")</f>
        <v>Cucumber+2*Vivek Kumar</v>
      </c>
      <c r="F111" s="14">
        <f>IFERROR(__xludf.DUMMYFUNCTION("""COMPUTED_VALUE"""),7.0)</f>
        <v>7</v>
      </c>
      <c r="G111" s="14">
        <f>IFERROR(__xludf.DUMMYFUNCTION("""COMPUTED_VALUE"""),26.0)</f>
        <v>26</v>
      </c>
      <c r="H111" s="14">
        <f>IFERROR(__xludf.DUMMYFUNCTION("""COMPUTED_VALUE"""),2023.0)</f>
        <v>2023</v>
      </c>
      <c r="I111" s="14" t="str">
        <f>IFERROR(__xludf.DUMMYFUNCTION("""COMPUTED_VALUE"""),"UPI")</f>
        <v>UPI</v>
      </c>
      <c r="J111" s="14" t="str">
        <f>IFERROR(__xludf.DUMMYFUNCTION("""COMPUTED_VALUE"""),"Delivered*Delivery Experience: Quick and professional")</f>
        <v>Delivered*Delivery Experience: Quick and professional</v>
      </c>
      <c r="K111" s="14" t="str">
        <f>IFERROR(__xludf.DUMMYFUNCTION("split(E111,""+"")"),"Cucumber")</f>
        <v>Cucumber</v>
      </c>
      <c r="L111" s="14" t="str">
        <f>IFERROR(__xludf.DUMMYFUNCTION("""COMPUTED_VALUE"""),"2*Vivek Kumar")</f>
        <v>2*Vivek Kumar</v>
      </c>
      <c r="M111" s="14">
        <f>IFERROR(__xludf.DUMMYFUNCTION("SPLIT(L111,""*"")"),2.0)</f>
        <v>2</v>
      </c>
      <c r="N111" s="14" t="str">
        <f>IFERROR(__xludf.DUMMYFUNCTION("""COMPUTED_VALUE"""),"Vivek Kumar")</f>
        <v>Vivek Kumar</v>
      </c>
      <c r="O111" s="14" t="str">
        <f>IFERROR(__xludf.DUMMYFUNCTION("split(J111,""*"")"),"Delivered")</f>
        <v>Delivered</v>
      </c>
      <c r="P111" s="14" t="str">
        <f>IFERROR(__xludf.DUMMYFUNCTION("""COMPUTED_VALUE"""),"Delivery Experience: Quick and professional")</f>
        <v>Delivery Experience: Quick and professional</v>
      </c>
      <c r="Q111" s="14" t="str">
        <f>IFERROR(__xludf.DUMMYFUNCTION("split(P111,"":"")"),"Delivery Experience")</f>
        <v>Delivery Experience</v>
      </c>
      <c r="R111" s="14" t="str">
        <f>IFERROR(__xludf.DUMMYFUNCTION("""COMPUTED_VALUE""")," Quick and professional")</f>
        <v> Quick and professional</v>
      </c>
      <c r="S111" s="14" t="str">
        <f t="shared" ref="S111:U111" si="225">trim(B111)</f>
        <v>ord_10110</v>
      </c>
      <c r="T111" s="14" t="str">
        <f t="shared" si="225"/>
        <v>Aditi Iyer</v>
      </c>
      <c r="U111" s="14" t="str">
        <f t="shared" si="225"/>
        <v>Dadar</v>
      </c>
      <c r="V111" s="14" t="str">
        <f t="shared" si="4"/>
        <v>Cucumber</v>
      </c>
      <c r="W111" s="14">
        <f t="shared" si="5"/>
        <v>2</v>
      </c>
      <c r="X111" s="14" t="str">
        <f t="shared" si="6"/>
        <v>Vivek Kumar</v>
      </c>
      <c r="Y111" s="15">
        <f t="shared" si="7"/>
        <v>45133</v>
      </c>
      <c r="Z111" s="14" t="str">
        <f t="shared" si="8"/>
        <v>UPI</v>
      </c>
      <c r="AA111" s="14" t="str">
        <f t="shared" si="9"/>
        <v>Delivered</v>
      </c>
      <c r="AB111" s="14" t="str">
        <f t="shared" ref="AB111:AC111" si="226">trim(Q111)</f>
        <v>Delivery Experience</v>
      </c>
      <c r="AC111" s="14" t="str">
        <f t="shared" si="226"/>
        <v>Quick and professional</v>
      </c>
      <c r="AD111" s="8"/>
    </row>
    <row r="112">
      <c r="A112" s="14" t="str">
        <f>IFERROR(__xludf.DUMMYFUNCTION("""COMPUTED_VALUE"""),"//ord_10111//Parth Goel//Juhu//Potato+2*Manju Ajay/5/23/2023//UPI//Cancelled*Delayed Delivery:Bad Weather Conditions ")</f>
        <v>//ord_10111//Parth Goel//Juhu//Potato+2*Manju Ajay/5/23/2023//UPI//Cancelled*Delayed Delivery:Bad Weather Conditions </v>
      </c>
      <c r="B112" s="14" t="str">
        <f>IFERROR(__xludf.DUMMYFUNCTION("split(A112,""//"")"),"ord_10111")</f>
        <v>ord_10111</v>
      </c>
      <c r="C112" s="14" t="str">
        <f>IFERROR(__xludf.DUMMYFUNCTION("""COMPUTED_VALUE"""),"Parth Goel")</f>
        <v>Parth Goel</v>
      </c>
      <c r="D112" s="14" t="str">
        <f>IFERROR(__xludf.DUMMYFUNCTION("""COMPUTED_VALUE"""),"Juhu")</f>
        <v>Juhu</v>
      </c>
      <c r="E112" s="14" t="str">
        <f>IFERROR(__xludf.DUMMYFUNCTION("""COMPUTED_VALUE"""),"Potato+2*Manju Ajay")</f>
        <v>Potato+2*Manju Ajay</v>
      </c>
      <c r="F112" s="14">
        <f>IFERROR(__xludf.DUMMYFUNCTION("""COMPUTED_VALUE"""),5.0)</f>
        <v>5</v>
      </c>
      <c r="G112" s="14">
        <f>IFERROR(__xludf.DUMMYFUNCTION("""COMPUTED_VALUE"""),23.0)</f>
        <v>23</v>
      </c>
      <c r="H112" s="14">
        <f>IFERROR(__xludf.DUMMYFUNCTION("""COMPUTED_VALUE"""),2023.0)</f>
        <v>2023</v>
      </c>
      <c r="I112" s="14" t="str">
        <f>IFERROR(__xludf.DUMMYFUNCTION("""COMPUTED_VALUE"""),"UPI")</f>
        <v>UPI</v>
      </c>
      <c r="J112" s="14" t="str">
        <f>IFERROR(__xludf.DUMMYFUNCTION("""COMPUTED_VALUE"""),"Cancelled*Delayed Delivery:Bad Weather Conditions ")</f>
        <v>Cancelled*Delayed Delivery:Bad Weather Conditions </v>
      </c>
      <c r="K112" s="14" t="str">
        <f>IFERROR(__xludf.DUMMYFUNCTION("split(E112,""+"")"),"Potato")</f>
        <v>Potato</v>
      </c>
      <c r="L112" s="14" t="str">
        <f>IFERROR(__xludf.DUMMYFUNCTION("""COMPUTED_VALUE"""),"2*Manju Ajay")</f>
        <v>2*Manju Ajay</v>
      </c>
      <c r="M112" s="14">
        <f>IFERROR(__xludf.DUMMYFUNCTION("SPLIT(L112,""*"")"),2.0)</f>
        <v>2</v>
      </c>
      <c r="N112" s="14" t="str">
        <f>IFERROR(__xludf.DUMMYFUNCTION("""COMPUTED_VALUE"""),"Manju Ajay")</f>
        <v>Manju Ajay</v>
      </c>
      <c r="O112" s="14" t="str">
        <f>IFERROR(__xludf.DUMMYFUNCTION("split(J112,""*"")"),"Cancelled")</f>
        <v>Cancelled</v>
      </c>
      <c r="P112" s="14" t="str">
        <f>IFERROR(__xludf.DUMMYFUNCTION("""COMPUTED_VALUE"""),"Delayed Delivery:Bad Weather Conditions ")</f>
        <v>Delayed Delivery:Bad Weather Conditions </v>
      </c>
      <c r="Q112" s="14" t="str">
        <f>IFERROR(__xludf.DUMMYFUNCTION("split(P112,"":"")"),"Delayed Delivery")</f>
        <v>Delayed Delivery</v>
      </c>
      <c r="R112" s="14" t="str">
        <f>IFERROR(__xludf.DUMMYFUNCTION("""COMPUTED_VALUE"""),"Bad Weather Conditions ")</f>
        <v>Bad Weather Conditions </v>
      </c>
      <c r="S112" s="14" t="str">
        <f t="shared" ref="S112:U112" si="227">trim(B112)</f>
        <v>ord_10111</v>
      </c>
      <c r="T112" s="14" t="str">
        <f t="shared" si="227"/>
        <v>Parth Goel</v>
      </c>
      <c r="U112" s="14" t="str">
        <f t="shared" si="227"/>
        <v>Juhu</v>
      </c>
      <c r="V112" s="14" t="str">
        <f t="shared" si="4"/>
        <v>Potato</v>
      </c>
      <c r="W112" s="14">
        <f t="shared" si="5"/>
        <v>2</v>
      </c>
      <c r="X112" s="14" t="str">
        <f t="shared" si="6"/>
        <v>Manju Ajay</v>
      </c>
      <c r="Y112" s="15">
        <f t="shared" si="7"/>
        <v>45069</v>
      </c>
      <c r="Z112" s="14" t="str">
        <f t="shared" si="8"/>
        <v>UPI</v>
      </c>
      <c r="AA112" s="14" t="str">
        <f t="shared" si="9"/>
        <v>Cancelled</v>
      </c>
      <c r="AB112" s="14" t="str">
        <f t="shared" ref="AB112:AC112" si="228">trim(Q112)</f>
        <v>Delayed Delivery</v>
      </c>
      <c r="AC112" s="14" t="str">
        <f t="shared" si="228"/>
        <v>Bad Weather Conditions</v>
      </c>
      <c r="AD112" s="8"/>
    </row>
    <row r="113">
      <c r="A113" s="14" t="str">
        <f>IFERROR(__xludf.DUMMYFUNCTION("""COMPUTED_VALUE"""),"//ord_10112//Dev Chauhan//Bandra//Chilli Cheese Toast+5*Ramesh S/11/27/2023//COD//Delivered*Convenience: Easy tracking")</f>
        <v>//ord_10112//Dev Chauhan//Bandra//Chilli Cheese Toast+5*Ramesh S/11/27/2023//COD//Delivered*Convenience: Easy tracking</v>
      </c>
      <c r="B113" s="14" t="str">
        <f>IFERROR(__xludf.DUMMYFUNCTION("split(A113,""//"")"),"ord_10112")</f>
        <v>ord_10112</v>
      </c>
      <c r="C113" s="14" t="str">
        <f>IFERROR(__xludf.DUMMYFUNCTION("""COMPUTED_VALUE"""),"Dev Chauhan")</f>
        <v>Dev Chauhan</v>
      </c>
      <c r="D113" s="14" t="str">
        <f>IFERROR(__xludf.DUMMYFUNCTION("""COMPUTED_VALUE"""),"Bandra")</f>
        <v>Bandra</v>
      </c>
      <c r="E113" s="14" t="str">
        <f>IFERROR(__xludf.DUMMYFUNCTION("""COMPUTED_VALUE"""),"Chilli Cheese Toast+5*Ramesh S")</f>
        <v>Chilli Cheese Toast+5*Ramesh S</v>
      </c>
      <c r="F113" s="14">
        <f>IFERROR(__xludf.DUMMYFUNCTION("""COMPUTED_VALUE"""),11.0)</f>
        <v>11</v>
      </c>
      <c r="G113" s="14">
        <f>IFERROR(__xludf.DUMMYFUNCTION("""COMPUTED_VALUE"""),27.0)</f>
        <v>27</v>
      </c>
      <c r="H113" s="14">
        <f>IFERROR(__xludf.DUMMYFUNCTION("""COMPUTED_VALUE"""),2023.0)</f>
        <v>2023</v>
      </c>
      <c r="I113" s="14" t="str">
        <f>IFERROR(__xludf.DUMMYFUNCTION("""COMPUTED_VALUE"""),"COD")</f>
        <v>COD</v>
      </c>
      <c r="J113" s="14" t="str">
        <f>IFERROR(__xludf.DUMMYFUNCTION("""COMPUTED_VALUE"""),"Delivered*Convenience: Easy tracking")</f>
        <v>Delivered*Convenience: Easy tracking</v>
      </c>
      <c r="K113" s="14" t="str">
        <f>IFERROR(__xludf.DUMMYFUNCTION("split(E113,""+"")"),"Chilli Cheese Toast")</f>
        <v>Chilli Cheese Toast</v>
      </c>
      <c r="L113" s="14" t="str">
        <f>IFERROR(__xludf.DUMMYFUNCTION("""COMPUTED_VALUE"""),"5*Ramesh S")</f>
        <v>5*Ramesh S</v>
      </c>
      <c r="M113" s="14">
        <f>IFERROR(__xludf.DUMMYFUNCTION("SPLIT(L113,""*"")"),5.0)</f>
        <v>5</v>
      </c>
      <c r="N113" s="14" t="str">
        <f>IFERROR(__xludf.DUMMYFUNCTION("""COMPUTED_VALUE"""),"Ramesh S")</f>
        <v>Ramesh S</v>
      </c>
      <c r="O113" s="14" t="str">
        <f>IFERROR(__xludf.DUMMYFUNCTION("split(J113,""*"")"),"Delivered")</f>
        <v>Delivered</v>
      </c>
      <c r="P113" s="14" t="str">
        <f>IFERROR(__xludf.DUMMYFUNCTION("""COMPUTED_VALUE"""),"Convenience: Easy tracking")</f>
        <v>Convenience: Easy tracking</v>
      </c>
      <c r="Q113" s="14" t="str">
        <f>IFERROR(__xludf.DUMMYFUNCTION("split(P113,"":"")"),"Convenience")</f>
        <v>Convenience</v>
      </c>
      <c r="R113" s="14" t="str">
        <f>IFERROR(__xludf.DUMMYFUNCTION("""COMPUTED_VALUE""")," Easy tracking")</f>
        <v> Easy tracking</v>
      </c>
      <c r="S113" s="14" t="str">
        <f t="shared" ref="S113:U113" si="229">trim(B113)</f>
        <v>ord_10112</v>
      </c>
      <c r="T113" s="14" t="str">
        <f t="shared" si="229"/>
        <v>Dev Chauhan</v>
      </c>
      <c r="U113" s="14" t="str">
        <f t="shared" si="229"/>
        <v>Bandra</v>
      </c>
      <c r="V113" s="14" t="str">
        <f t="shared" si="4"/>
        <v>Chilli Cheese Toast</v>
      </c>
      <c r="W113" s="14">
        <f t="shared" si="5"/>
        <v>5</v>
      </c>
      <c r="X113" s="14" t="str">
        <f t="shared" si="6"/>
        <v>Ramesh S</v>
      </c>
      <c r="Y113" s="15">
        <f t="shared" si="7"/>
        <v>45257</v>
      </c>
      <c r="Z113" s="14" t="str">
        <f t="shared" si="8"/>
        <v>COD</v>
      </c>
      <c r="AA113" s="14" t="str">
        <f t="shared" si="9"/>
        <v>Delivered</v>
      </c>
      <c r="AB113" s="14" t="str">
        <f t="shared" ref="AB113:AC113" si="230">trim(Q113)</f>
        <v>Convenience</v>
      </c>
      <c r="AC113" s="14" t="str">
        <f t="shared" si="230"/>
        <v>Easy tracking</v>
      </c>
      <c r="AD113" s="8"/>
    </row>
    <row r="114">
      <c r="A114" s="14" t="str">
        <f>IFERROR(__xludf.DUMMYFUNCTION("""COMPUTED_VALUE"""),"//ord_10113//Mohit Malhotra//Lower Parel//Cold Coffee+2*Kiran Mehta/9/7/2023//Credit Card//Delivered*Overall Satisfaction: Great service will order again")</f>
        <v>//ord_10113//Mohit Malhotra//Lower Parel//Cold Coffee+2*Kiran Mehta/9/7/2023//Credit Card//Delivered*Overall Satisfaction: Great service will order again</v>
      </c>
      <c r="B114" s="14" t="str">
        <f>IFERROR(__xludf.DUMMYFUNCTION("split(A114,""//"")"),"ord_10113")</f>
        <v>ord_10113</v>
      </c>
      <c r="C114" s="14" t="str">
        <f>IFERROR(__xludf.DUMMYFUNCTION("""COMPUTED_VALUE"""),"Mohit Malhotra")</f>
        <v>Mohit Malhotra</v>
      </c>
      <c r="D114" s="14" t="str">
        <f>IFERROR(__xludf.DUMMYFUNCTION("""COMPUTED_VALUE"""),"Lower Parel")</f>
        <v>Lower Parel</v>
      </c>
      <c r="E114" s="14" t="str">
        <f>IFERROR(__xludf.DUMMYFUNCTION("""COMPUTED_VALUE"""),"Cold Coffee+2*Kiran Mehta")</f>
        <v>Cold Coffee+2*Kiran Mehta</v>
      </c>
      <c r="F114" s="14">
        <f>IFERROR(__xludf.DUMMYFUNCTION("""COMPUTED_VALUE"""),9.0)</f>
        <v>9</v>
      </c>
      <c r="G114" s="14">
        <f>IFERROR(__xludf.DUMMYFUNCTION("""COMPUTED_VALUE"""),7.0)</f>
        <v>7</v>
      </c>
      <c r="H114" s="14">
        <f>IFERROR(__xludf.DUMMYFUNCTION("""COMPUTED_VALUE"""),2023.0)</f>
        <v>2023</v>
      </c>
      <c r="I114" s="14" t="str">
        <f>IFERROR(__xludf.DUMMYFUNCTION("""COMPUTED_VALUE"""),"Credit Card")</f>
        <v>Credit Card</v>
      </c>
      <c r="J114" s="14" t="str">
        <f>IFERROR(__xludf.DUMMYFUNCTION("""COMPUTED_VALUE"""),"Delivered*Overall Satisfaction: Great service will order again")</f>
        <v>Delivered*Overall Satisfaction: Great service will order again</v>
      </c>
      <c r="K114" s="14" t="str">
        <f>IFERROR(__xludf.DUMMYFUNCTION("split(E114,""+"")"),"Cold Coffee")</f>
        <v>Cold Coffee</v>
      </c>
      <c r="L114" s="14" t="str">
        <f>IFERROR(__xludf.DUMMYFUNCTION("""COMPUTED_VALUE"""),"2*Kiran Mehta")</f>
        <v>2*Kiran Mehta</v>
      </c>
      <c r="M114" s="14">
        <f>IFERROR(__xludf.DUMMYFUNCTION("SPLIT(L114,""*"")"),2.0)</f>
        <v>2</v>
      </c>
      <c r="N114" s="14" t="str">
        <f>IFERROR(__xludf.DUMMYFUNCTION("""COMPUTED_VALUE"""),"Kiran Mehta")</f>
        <v>Kiran Mehta</v>
      </c>
      <c r="O114" s="14" t="str">
        <f>IFERROR(__xludf.DUMMYFUNCTION("split(J114,""*"")"),"Delivered")</f>
        <v>Delivered</v>
      </c>
      <c r="P114" s="14" t="str">
        <f>IFERROR(__xludf.DUMMYFUNCTION("""COMPUTED_VALUE"""),"Overall Satisfaction: Great service will order again")</f>
        <v>Overall Satisfaction: Great service will order again</v>
      </c>
      <c r="Q114" s="14" t="str">
        <f>IFERROR(__xludf.DUMMYFUNCTION("split(P114,"":"")"),"Overall Satisfaction")</f>
        <v>Overall Satisfaction</v>
      </c>
      <c r="R114" s="14" t="str">
        <f>IFERROR(__xludf.DUMMYFUNCTION("""COMPUTED_VALUE""")," Great service will order again")</f>
        <v> Great service will order again</v>
      </c>
      <c r="S114" s="14" t="str">
        <f t="shared" ref="S114:U114" si="231">trim(B114)</f>
        <v>ord_10113</v>
      </c>
      <c r="T114" s="14" t="str">
        <f t="shared" si="231"/>
        <v>Mohit Malhotra</v>
      </c>
      <c r="U114" s="14" t="str">
        <f t="shared" si="231"/>
        <v>Lower Parel</v>
      </c>
      <c r="V114" s="14" t="str">
        <f t="shared" si="4"/>
        <v>Cold Coffee</v>
      </c>
      <c r="W114" s="14">
        <f t="shared" si="5"/>
        <v>2</v>
      </c>
      <c r="X114" s="14" t="str">
        <f t="shared" si="6"/>
        <v>Kiran Mehta</v>
      </c>
      <c r="Y114" s="15">
        <f t="shared" si="7"/>
        <v>45176</v>
      </c>
      <c r="Z114" s="14" t="str">
        <f t="shared" si="8"/>
        <v>Credit Card</v>
      </c>
      <c r="AA114" s="14" t="str">
        <f t="shared" si="9"/>
        <v>Delivered</v>
      </c>
      <c r="AB114" s="14" t="str">
        <f t="shared" ref="AB114:AC114" si="232">trim(Q114)</f>
        <v>Overall Satisfaction</v>
      </c>
      <c r="AC114" s="14" t="str">
        <f t="shared" si="232"/>
        <v>Great service will order again</v>
      </c>
      <c r="AD114" s="8"/>
    </row>
    <row r="115">
      <c r="A115" s="14" t="str">
        <f>IFERROR(__xludf.DUMMYFUNCTION("""COMPUTED_VALUE"""),"//ord_10114//Aarohi Kapoor//Bandra//Cold Coffee+5*Ram Gopal/10/10/2023//Online Payment//Delivered*On-time Delivery: Delivered on time")</f>
        <v>//ord_10114//Aarohi Kapoor//Bandra//Cold Coffee+5*Ram Gopal/10/10/2023//Online Payment//Delivered*On-time Delivery: Delivered on time</v>
      </c>
      <c r="B115" s="14" t="str">
        <f>IFERROR(__xludf.DUMMYFUNCTION("split(A115,""//"")"),"ord_10114")</f>
        <v>ord_10114</v>
      </c>
      <c r="C115" s="14" t="str">
        <f>IFERROR(__xludf.DUMMYFUNCTION("""COMPUTED_VALUE"""),"Aarohi Kapoor")</f>
        <v>Aarohi Kapoor</v>
      </c>
      <c r="D115" s="14" t="str">
        <f>IFERROR(__xludf.DUMMYFUNCTION("""COMPUTED_VALUE"""),"Bandra")</f>
        <v>Bandra</v>
      </c>
      <c r="E115" s="14" t="str">
        <f>IFERROR(__xludf.DUMMYFUNCTION("""COMPUTED_VALUE"""),"Cold Coffee+5*Ram Gopal")</f>
        <v>Cold Coffee+5*Ram Gopal</v>
      </c>
      <c r="F115" s="14">
        <f>IFERROR(__xludf.DUMMYFUNCTION("""COMPUTED_VALUE"""),10.0)</f>
        <v>10</v>
      </c>
      <c r="G115" s="14">
        <f>IFERROR(__xludf.DUMMYFUNCTION("""COMPUTED_VALUE"""),10.0)</f>
        <v>10</v>
      </c>
      <c r="H115" s="14">
        <f>IFERROR(__xludf.DUMMYFUNCTION("""COMPUTED_VALUE"""),2023.0)</f>
        <v>2023</v>
      </c>
      <c r="I115" s="14" t="str">
        <f>IFERROR(__xludf.DUMMYFUNCTION("""COMPUTED_VALUE"""),"Online Payment")</f>
        <v>Online Payment</v>
      </c>
      <c r="J115" s="14" t="str">
        <f>IFERROR(__xludf.DUMMYFUNCTION("""COMPUTED_VALUE"""),"Delivered*On-time Delivery: Delivered on time")</f>
        <v>Delivered*On-time Delivery: Delivered on time</v>
      </c>
      <c r="K115" s="14" t="str">
        <f>IFERROR(__xludf.DUMMYFUNCTION("split(E115,""+"")"),"Cold Coffee")</f>
        <v>Cold Coffee</v>
      </c>
      <c r="L115" s="14" t="str">
        <f>IFERROR(__xludf.DUMMYFUNCTION("""COMPUTED_VALUE"""),"5*Ram Gopal")</f>
        <v>5*Ram Gopal</v>
      </c>
      <c r="M115" s="14">
        <f>IFERROR(__xludf.DUMMYFUNCTION("SPLIT(L115,""*"")"),5.0)</f>
        <v>5</v>
      </c>
      <c r="N115" s="14" t="str">
        <f>IFERROR(__xludf.DUMMYFUNCTION("""COMPUTED_VALUE"""),"Ram Gopal")</f>
        <v>Ram Gopal</v>
      </c>
      <c r="O115" s="14" t="str">
        <f>IFERROR(__xludf.DUMMYFUNCTION("split(J115,""*"")"),"Delivered")</f>
        <v>Delivered</v>
      </c>
      <c r="P115" s="14" t="str">
        <f>IFERROR(__xludf.DUMMYFUNCTION("""COMPUTED_VALUE"""),"On-time Delivery: Delivered on time")</f>
        <v>On-time Delivery: Delivered on time</v>
      </c>
      <c r="Q115" s="14" t="str">
        <f>IFERROR(__xludf.DUMMYFUNCTION("split(P115,"":"")"),"On-time Delivery")</f>
        <v>On-time Delivery</v>
      </c>
      <c r="R115" s="14" t="str">
        <f>IFERROR(__xludf.DUMMYFUNCTION("""COMPUTED_VALUE""")," Delivered on time")</f>
        <v> Delivered on time</v>
      </c>
      <c r="S115" s="14" t="str">
        <f t="shared" ref="S115:U115" si="233">trim(B115)</f>
        <v>ord_10114</v>
      </c>
      <c r="T115" s="14" t="str">
        <f t="shared" si="233"/>
        <v>Aarohi Kapoor</v>
      </c>
      <c r="U115" s="14" t="str">
        <f t="shared" si="233"/>
        <v>Bandra</v>
      </c>
      <c r="V115" s="14" t="str">
        <f t="shared" si="4"/>
        <v>Cold Coffee</v>
      </c>
      <c r="W115" s="14">
        <f t="shared" si="5"/>
        <v>5</v>
      </c>
      <c r="X115" s="14" t="str">
        <f t="shared" si="6"/>
        <v>Ram Gopal</v>
      </c>
      <c r="Y115" s="15">
        <f t="shared" si="7"/>
        <v>45209</v>
      </c>
      <c r="Z115" s="14" t="str">
        <f t="shared" si="8"/>
        <v>Online Payment</v>
      </c>
      <c r="AA115" s="14" t="str">
        <f t="shared" si="9"/>
        <v>Delivered</v>
      </c>
      <c r="AB115" s="14" t="str">
        <f t="shared" ref="AB115:AC115" si="234">trim(Q115)</f>
        <v>On-time Delivery</v>
      </c>
      <c r="AC115" s="14" t="str">
        <f t="shared" si="234"/>
        <v>Delivered on time</v>
      </c>
      <c r="AD115" s="8"/>
    </row>
    <row r="116">
      <c r="A116" s="14" t="str">
        <f>IFERROR(__xludf.DUMMYFUNCTION("""COMPUTED_VALUE"""),"//ord_10115//Aarohi Kapoor//Bandra//Onion+2*Vivek Kumar/9/13/2023//UPI//Delivered*Quality of Items: Perfect condition")</f>
        <v>//ord_10115//Aarohi Kapoor//Bandra//Onion+2*Vivek Kumar/9/13/2023//UPI//Delivered*Quality of Items: Perfect condition</v>
      </c>
      <c r="B116" s="14" t="str">
        <f>IFERROR(__xludf.DUMMYFUNCTION("split(A116,""//"")"),"ord_10115")</f>
        <v>ord_10115</v>
      </c>
      <c r="C116" s="14" t="str">
        <f>IFERROR(__xludf.DUMMYFUNCTION("""COMPUTED_VALUE"""),"Aarohi Kapoor")</f>
        <v>Aarohi Kapoor</v>
      </c>
      <c r="D116" s="14" t="str">
        <f>IFERROR(__xludf.DUMMYFUNCTION("""COMPUTED_VALUE"""),"Bandra")</f>
        <v>Bandra</v>
      </c>
      <c r="E116" s="14" t="str">
        <f>IFERROR(__xludf.DUMMYFUNCTION("""COMPUTED_VALUE"""),"Onion+2*Vivek Kumar")</f>
        <v>Onion+2*Vivek Kumar</v>
      </c>
      <c r="F116" s="14">
        <f>IFERROR(__xludf.DUMMYFUNCTION("""COMPUTED_VALUE"""),9.0)</f>
        <v>9</v>
      </c>
      <c r="G116" s="14">
        <f>IFERROR(__xludf.DUMMYFUNCTION("""COMPUTED_VALUE"""),13.0)</f>
        <v>13</v>
      </c>
      <c r="H116" s="14">
        <f>IFERROR(__xludf.DUMMYFUNCTION("""COMPUTED_VALUE"""),2023.0)</f>
        <v>2023</v>
      </c>
      <c r="I116" s="14" t="str">
        <f>IFERROR(__xludf.DUMMYFUNCTION("""COMPUTED_VALUE"""),"UPI")</f>
        <v>UPI</v>
      </c>
      <c r="J116" s="14" t="str">
        <f>IFERROR(__xludf.DUMMYFUNCTION("""COMPUTED_VALUE"""),"Delivered*Quality of Items: Perfect condition")</f>
        <v>Delivered*Quality of Items: Perfect condition</v>
      </c>
      <c r="K116" s="14" t="str">
        <f>IFERROR(__xludf.DUMMYFUNCTION("split(E116,""+"")"),"Onion")</f>
        <v>Onion</v>
      </c>
      <c r="L116" s="14" t="str">
        <f>IFERROR(__xludf.DUMMYFUNCTION("""COMPUTED_VALUE"""),"2*Vivek Kumar")</f>
        <v>2*Vivek Kumar</v>
      </c>
      <c r="M116" s="14">
        <f>IFERROR(__xludf.DUMMYFUNCTION("SPLIT(L116,""*"")"),2.0)</f>
        <v>2</v>
      </c>
      <c r="N116" s="14" t="str">
        <f>IFERROR(__xludf.DUMMYFUNCTION("""COMPUTED_VALUE"""),"Vivek Kumar")</f>
        <v>Vivek Kumar</v>
      </c>
      <c r="O116" s="14" t="str">
        <f>IFERROR(__xludf.DUMMYFUNCTION("split(J116,""*"")"),"Delivered")</f>
        <v>Delivered</v>
      </c>
      <c r="P116" s="14" t="str">
        <f>IFERROR(__xludf.DUMMYFUNCTION("""COMPUTED_VALUE"""),"Quality of Items: Perfect condition")</f>
        <v>Quality of Items: Perfect condition</v>
      </c>
      <c r="Q116" s="14" t="str">
        <f>IFERROR(__xludf.DUMMYFUNCTION("split(P116,"":"")"),"Quality of Items")</f>
        <v>Quality of Items</v>
      </c>
      <c r="R116" s="14" t="str">
        <f>IFERROR(__xludf.DUMMYFUNCTION("""COMPUTED_VALUE""")," Perfect condition")</f>
        <v> Perfect condition</v>
      </c>
      <c r="S116" s="14" t="str">
        <f t="shared" ref="S116:U116" si="235">trim(B116)</f>
        <v>ord_10115</v>
      </c>
      <c r="T116" s="14" t="str">
        <f t="shared" si="235"/>
        <v>Aarohi Kapoor</v>
      </c>
      <c r="U116" s="14" t="str">
        <f t="shared" si="235"/>
        <v>Bandra</v>
      </c>
      <c r="V116" s="14" t="str">
        <f t="shared" si="4"/>
        <v>Onion</v>
      </c>
      <c r="W116" s="14">
        <f t="shared" si="5"/>
        <v>2</v>
      </c>
      <c r="X116" s="14" t="str">
        <f t="shared" si="6"/>
        <v>Vivek Kumar</v>
      </c>
      <c r="Y116" s="15">
        <f t="shared" si="7"/>
        <v>45182</v>
      </c>
      <c r="Z116" s="14" t="str">
        <f t="shared" si="8"/>
        <v>UPI</v>
      </c>
      <c r="AA116" s="14" t="str">
        <f t="shared" si="9"/>
        <v>Delivered</v>
      </c>
      <c r="AB116" s="14" t="str">
        <f t="shared" ref="AB116:AC116" si="236">trim(Q116)</f>
        <v>Quality of Items</v>
      </c>
      <c r="AC116" s="14" t="str">
        <f t="shared" si="236"/>
        <v>Perfect condition</v>
      </c>
      <c r="AD116" s="8"/>
    </row>
    <row r="117">
      <c r="A117" s="14" t="str">
        <f>IFERROR(__xludf.DUMMYFUNCTION("""COMPUTED_VALUE"""),"//ord_10116//Aditi Iyer//Dadar//Cucumber+1*Aman Kumar/9/6/2023//COD//Delivered*Packaging: Secure and intact")</f>
        <v>//ord_10116//Aditi Iyer//Dadar//Cucumber+1*Aman Kumar/9/6/2023//COD//Delivered*Packaging: Secure and intact</v>
      </c>
      <c r="B117" s="14" t="str">
        <f>IFERROR(__xludf.DUMMYFUNCTION("split(A117,""//"")"),"ord_10116")</f>
        <v>ord_10116</v>
      </c>
      <c r="C117" s="14" t="str">
        <f>IFERROR(__xludf.DUMMYFUNCTION("""COMPUTED_VALUE"""),"Aditi Iyer")</f>
        <v>Aditi Iyer</v>
      </c>
      <c r="D117" s="14" t="str">
        <f>IFERROR(__xludf.DUMMYFUNCTION("""COMPUTED_VALUE"""),"Dadar")</f>
        <v>Dadar</v>
      </c>
      <c r="E117" s="14" t="str">
        <f>IFERROR(__xludf.DUMMYFUNCTION("""COMPUTED_VALUE"""),"Cucumber+1*Aman Kumar")</f>
        <v>Cucumber+1*Aman Kumar</v>
      </c>
      <c r="F117" s="14">
        <f>IFERROR(__xludf.DUMMYFUNCTION("""COMPUTED_VALUE"""),9.0)</f>
        <v>9</v>
      </c>
      <c r="G117" s="14">
        <f>IFERROR(__xludf.DUMMYFUNCTION("""COMPUTED_VALUE"""),6.0)</f>
        <v>6</v>
      </c>
      <c r="H117" s="14">
        <f>IFERROR(__xludf.DUMMYFUNCTION("""COMPUTED_VALUE"""),2023.0)</f>
        <v>2023</v>
      </c>
      <c r="I117" s="14" t="str">
        <f>IFERROR(__xludf.DUMMYFUNCTION("""COMPUTED_VALUE"""),"COD")</f>
        <v>COD</v>
      </c>
      <c r="J117" s="14" t="str">
        <f>IFERROR(__xludf.DUMMYFUNCTION("""COMPUTED_VALUE"""),"Delivered*Packaging: Secure and intact")</f>
        <v>Delivered*Packaging: Secure and intact</v>
      </c>
      <c r="K117" s="14" t="str">
        <f>IFERROR(__xludf.DUMMYFUNCTION("split(E117,""+"")"),"Cucumber")</f>
        <v>Cucumber</v>
      </c>
      <c r="L117" s="14" t="str">
        <f>IFERROR(__xludf.DUMMYFUNCTION("""COMPUTED_VALUE"""),"1*Aman Kumar")</f>
        <v>1*Aman Kumar</v>
      </c>
      <c r="M117" s="14">
        <f>IFERROR(__xludf.DUMMYFUNCTION("SPLIT(L117,""*"")"),1.0)</f>
        <v>1</v>
      </c>
      <c r="N117" s="14" t="str">
        <f>IFERROR(__xludf.DUMMYFUNCTION("""COMPUTED_VALUE"""),"Aman Kumar")</f>
        <v>Aman Kumar</v>
      </c>
      <c r="O117" s="14" t="str">
        <f>IFERROR(__xludf.DUMMYFUNCTION("split(J117,""*"")"),"Delivered")</f>
        <v>Delivered</v>
      </c>
      <c r="P117" s="14" t="str">
        <f>IFERROR(__xludf.DUMMYFUNCTION("""COMPUTED_VALUE"""),"Packaging: Secure and intact")</f>
        <v>Packaging: Secure and intact</v>
      </c>
      <c r="Q117" s="14" t="str">
        <f>IFERROR(__xludf.DUMMYFUNCTION("split(P117,"":"")"),"Packaging")</f>
        <v>Packaging</v>
      </c>
      <c r="R117" s="14" t="str">
        <f>IFERROR(__xludf.DUMMYFUNCTION("""COMPUTED_VALUE""")," Secure and intact")</f>
        <v> Secure and intact</v>
      </c>
      <c r="S117" s="14" t="str">
        <f t="shared" ref="S117:U117" si="237">trim(B117)</f>
        <v>ord_10116</v>
      </c>
      <c r="T117" s="14" t="str">
        <f t="shared" si="237"/>
        <v>Aditi Iyer</v>
      </c>
      <c r="U117" s="14" t="str">
        <f t="shared" si="237"/>
        <v>Dadar</v>
      </c>
      <c r="V117" s="14" t="str">
        <f t="shared" si="4"/>
        <v>Cucumber</v>
      </c>
      <c r="W117" s="14">
        <f t="shared" si="5"/>
        <v>1</v>
      </c>
      <c r="X117" s="14" t="str">
        <f t="shared" si="6"/>
        <v>Aman Kumar</v>
      </c>
      <c r="Y117" s="15">
        <f t="shared" si="7"/>
        <v>45175</v>
      </c>
      <c r="Z117" s="14" t="str">
        <f t="shared" si="8"/>
        <v>COD</v>
      </c>
      <c r="AA117" s="14" t="str">
        <f t="shared" si="9"/>
        <v>Delivered</v>
      </c>
      <c r="AB117" s="14" t="str">
        <f t="shared" ref="AB117:AC117" si="238">trim(Q117)</f>
        <v>Packaging</v>
      </c>
      <c r="AC117" s="14" t="str">
        <f t="shared" si="238"/>
        <v>Secure and intact</v>
      </c>
      <c r="AD117" s="8"/>
    </row>
    <row r="118">
      <c r="A118" s="14" t="str">
        <f>IFERROR(__xludf.DUMMYFUNCTION("""COMPUTED_VALUE"""),"//ord_13117//Aditya Basu//Juhu//Chilli Cheese Toast+3*Not Assigned/10/28/2023//Credit Card//Cancelled*High Delivery Fees")</f>
        <v>//ord_13117//Aditya Basu//Juhu//Chilli Cheese Toast+3*Not Assigned/10/28/2023//Credit Card//Cancelled*High Delivery Fees</v>
      </c>
      <c r="B118" s="14" t="str">
        <f>IFERROR(__xludf.DUMMYFUNCTION("split(A118,""//"")"),"ord_13117")</f>
        <v>ord_13117</v>
      </c>
      <c r="C118" s="14" t="str">
        <f>IFERROR(__xludf.DUMMYFUNCTION("""COMPUTED_VALUE"""),"Aditya Basu")</f>
        <v>Aditya Basu</v>
      </c>
      <c r="D118" s="14" t="str">
        <f>IFERROR(__xludf.DUMMYFUNCTION("""COMPUTED_VALUE"""),"Juhu")</f>
        <v>Juhu</v>
      </c>
      <c r="E118" s="14" t="str">
        <f>IFERROR(__xludf.DUMMYFUNCTION("""COMPUTED_VALUE"""),"Chilli Cheese Toast+3*Not Assigned")</f>
        <v>Chilli Cheese Toast+3*Not Assigned</v>
      </c>
      <c r="F118" s="14">
        <f>IFERROR(__xludf.DUMMYFUNCTION("""COMPUTED_VALUE"""),10.0)</f>
        <v>10</v>
      </c>
      <c r="G118" s="14">
        <f>IFERROR(__xludf.DUMMYFUNCTION("""COMPUTED_VALUE"""),28.0)</f>
        <v>28</v>
      </c>
      <c r="H118" s="14">
        <f>IFERROR(__xludf.DUMMYFUNCTION("""COMPUTED_VALUE"""),2023.0)</f>
        <v>2023</v>
      </c>
      <c r="I118" s="14" t="str">
        <f>IFERROR(__xludf.DUMMYFUNCTION("""COMPUTED_VALUE"""),"Credit Card")</f>
        <v>Credit Card</v>
      </c>
      <c r="J118" s="14" t="str">
        <f>IFERROR(__xludf.DUMMYFUNCTION("""COMPUTED_VALUE"""),"Cancelled*High Delivery Fees")</f>
        <v>Cancelled*High Delivery Fees</v>
      </c>
      <c r="K118" s="14" t="str">
        <f>IFERROR(__xludf.DUMMYFUNCTION("split(E118,""+"")"),"Chilli Cheese Toast")</f>
        <v>Chilli Cheese Toast</v>
      </c>
      <c r="L118" s="14" t="str">
        <f>IFERROR(__xludf.DUMMYFUNCTION("""COMPUTED_VALUE"""),"3*Not Assigned")</f>
        <v>3*Not Assigned</v>
      </c>
      <c r="M118" s="14">
        <f>IFERROR(__xludf.DUMMYFUNCTION("SPLIT(L118,""*"")"),3.0)</f>
        <v>3</v>
      </c>
      <c r="N118" s="14" t="str">
        <f>IFERROR(__xludf.DUMMYFUNCTION("""COMPUTED_VALUE"""),"Not Assigned")</f>
        <v>Not Assigned</v>
      </c>
      <c r="O118" s="14" t="str">
        <f>IFERROR(__xludf.DUMMYFUNCTION("split(J118,""*"")"),"Cancelled")</f>
        <v>Cancelled</v>
      </c>
      <c r="P118" s="14" t="str">
        <f>IFERROR(__xludf.DUMMYFUNCTION("""COMPUTED_VALUE"""),"High Delivery Fees")</f>
        <v>High Delivery Fees</v>
      </c>
      <c r="Q118" s="14" t="str">
        <f>IFERROR(__xludf.DUMMYFUNCTION("split(P118,"":"")"),"High Delivery Fees")</f>
        <v>High Delivery Fees</v>
      </c>
      <c r="R118" s="14"/>
      <c r="S118" s="14" t="str">
        <f t="shared" ref="S118:U118" si="239">trim(B118)</f>
        <v>ord_13117</v>
      </c>
      <c r="T118" s="14" t="str">
        <f t="shared" si="239"/>
        <v>Aditya Basu</v>
      </c>
      <c r="U118" s="14" t="str">
        <f t="shared" si="239"/>
        <v>Juhu</v>
      </c>
      <c r="V118" s="14" t="str">
        <f t="shared" si="4"/>
        <v>Chilli Cheese Toast</v>
      </c>
      <c r="W118" s="14">
        <f t="shared" si="5"/>
        <v>3</v>
      </c>
      <c r="X118" s="14" t="str">
        <f t="shared" si="6"/>
        <v>Not Assigned</v>
      </c>
      <c r="Y118" s="15">
        <f t="shared" si="7"/>
        <v>45227</v>
      </c>
      <c r="Z118" s="14" t="str">
        <f t="shared" si="8"/>
        <v>Credit Card</v>
      </c>
      <c r="AA118" s="14" t="str">
        <f t="shared" si="9"/>
        <v>Cancelled</v>
      </c>
      <c r="AB118" s="14" t="str">
        <f t="shared" ref="AB118:AC118" si="240">trim(Q118)</f>
        <v>High Delivery Fees</v>
      </c>
      <c r="AC118" s="14" t="str">
        <f t="shared" si="240"/>
        <v/>
      </c>
      <c r="AD118" s="8"/>
    </row>
    <row r="119">
      <c r="A119" s="14" t="str">
        <f>IFERROR(__xludf.DUMMYFUNCTION("""COMPUTED_VALUE"""),"//ord_10118//Aarohi Kapoor//Bandra//Rasmalai+1*Kiran Mehta/5/21/2023//Credit Card//Cancelled*Delayed Delivery:Heavy Traffic")</f>
        <v>//ord_10118//Aarohi Kapoor//Bandra//Rasmalai+1*Kiran Mehta/5/21/2023//Credit Card//Cancelled*Delayed Delivery:Heavy Traffic</v>
      </c>
      <c r="B119" s="14" t="str">
        <f>IFERROR(__xludf.DUMMYFUNCTION("split(A119,""//"")"),"ord_10118")</f>
        <v>ord_10118</v>
      </c>
      <c r="C119" s="14" t="str">
        <f>IFERROR(__xludf.DUMMYFUNCTION("""COMPUTED_VALUE"""),"Aarohi Kapoor")</f>
        <v>Aarohi Kapoor</v>
      </c>
      <c r="D119" s="14" t="str">
        <f>IFERROR(__xludf.DUMMYFUNCTION("""COMPUTED_VALUE"""),"Bandra")</f>
        <v>Bandra</v>
      </c>
      <c r="E119" s="14" t="str">
        <f>IFERROR(__xludf.DUMMYFUNCTION("""COMPUTED_VALUE"""),"Rasmalai+1*Kiran Mehta")</f>
        <v>Rasmalai+1*Kiran Mehta</v>
      </c>
      <c r="F119" s="14">
        <f>IFERROR(__xludf.DUMMYFUNCTION("""COMPUTED_VALUE"""),5.0)</f>
        <v>5</v>
      </c>
      <c r="G119" s="14">
        <f>IFERROR(__xludf.DUMMYFUNCTION("""COMPUTED_VALUE"""),21.0)</f>
        <v>21</v>
      </c>
      <c r="H119" s="14">
        <f>IFERROR(__xludf.DUMMYFUNCTION("""COMPUTED_VALUE"""),2023.0)</f>
        <v>2023</v>
      </c>
      <c r="I119" s="14" t="str">
        <f>IFERROR(__xludf.DUMMYFUNCTION("""COMPUTED_VALUE"""),"Credit Card")</f>
        <v>Credit Card</v>
      </c>
      <c r="J119" s="14" t="str">
        <f>IFERROR(__xludf.DUMMYFUNCTION("""COMPUTED_VALUE"""),"Cancelled*Delayed Delivery:Heavy Traffic")</f>
        <v>Cancelled*Delayed Delivery:Heavy Traffic</v>
      </c>
      <c r="K119" s="14" t="str">
        <f>IFERROR(__xludf.DUMMYFUNCTION("split(E119,""+"")"),"Rasmalai")</f>
        <v>Rasmalai</v>
      </c>
      <c r="L119" s="14" t="str">
        <f>IFERROR(__xludf.DUMMYFUNCTION("""COMPUTED_VALUE"""),"1*Kiran Mehta")</f>
        <v>1*Kiran Mehta</v>
      </c>
      <c r="M119" s="14">
        <f>IFERROR(__xludf.DUMMYFUNCTION("SPLIT(L119,""*"")"),1.0)</f>
        <v>1</v>
      </c>
      <c r="N119" s="14" t="str">
        <f>IFERROR(__xludf.DUMMYFUNCTION("""COMPUTED_VALUE"""),"Kiran Mehta")</f>
        <v>Kiran Mehta</v>
      </c>
      <c r="O119" s="14" t="str">
        <f>IFERROR(__xludf.DUMMYFUNCTION("split(J119,""*"")"),"Cancelled")</f>
        <v>Cancelled</v>
      </c>
      <c r="P119" s="14" t="str">
        <f>IFERROR(__xludf.DUMMYFUNCTION("""COMPUTED_VALUE"""),"Delayed Delivery:Heavy Traffic")</f>
        <v>Delayed Delivery:Heavy Traffic</v>
      </c>
      <c r="Q119" s="14" t="str">
        <f>IFERROR(__xludf.DUMMYFUNCTION("split(P119,"":"")"),"Delayed Delivery")</f>
        <v>Delayed Delivery</v>
      </c>
      <c r="R119" s="14" t="str">
        <f>IFERROR(__xludf.DUMMYFUNCTION("""COMPUTED_VALUE"""),"Heavy Traffic")</f>
        <v>Heavy Traffic</v>
      </c>
      <c r="S119" s="14" t="str">
        <f t="shared" ref="S119:U119" si="241">trim(B119)</f>
        <v>ord_10118</v>
      </c>
      <c r="T119" s="14" t="str">
        <f t="shared" si="241"/>
        <v>Aarohi Kapoor</v>
      </c>
      <c r="U119" s="14" t="str">
        <f t="shared" si="241"/>
        <v>Bandra</v>
      </c>
      <c r="V119" s="14" t="str">
        <f t="shared" si="4"/>
        <v>Rasmalai</v>
      </c>
      <c r="W119" s="14">
        <f t="shared" si="5"/>
        <v>1</v>
      </c>
      <c r="X119" s="14" t="str">
        <f t="shared" si="6"/>
        <v>Kiran Mehta</v>
      </c>
      <c r="Y119" s="15">
        <f t="shared" si="7"/>
        <v>45067</v>
      </c>
      <c r="Z119" s="14" t="str">
        <f t="shared" si="8"/>
        <v>Credit Card</v>
      </c>
      <c r="AA119" s="14" t="str">
        <f t="shared" si="9"/>
        <v>Cancelled</v>
      </c>
      <c r="AB119" s="14" t="str">
        <f t="shared" ref="AB119:AC119" si="242">trim(Q119)</f>
        <v>Delayed Delivery</v>
      </c>
      <c r="AC119" s="14" t="str">
        <f t="shared" si="242"/>
        <v>Heavy Traffic</v>
      </c>
      <c r="AD119" s="8"/>
    </row>
    <row r="120">
      <c r="A120" s="14" t="str">
        <f>IFERROR(__xludf.DUMMYFUNCTION("""COMPUTED_VALUE"""),"//ord_10119//Pranav Joshi//Andheri//Popcorn+4*Vivek Kumar/9/25/2023//Online Payment//Cancelled*Delayed Delivery:Traffic Accidents or Road Closures")</f>
        <v>//ord_10119//Pranav Joshi//Andheri//Popcorn+4*Vivek Kumar/9/25/2023//Online Payment//Cancelled*Delayed Delivery:Traffic Accidents or Road Closures</v>
      </c>
      <c r="B120" s="14" t="str">
        <f>IFERROR(__xludf.DUMMYFUNCTION("split(A120,""//"")"),"ord_10119")</f>
        <v>ord_10119</v>
      </c>
      <c r="C120" s="14" t="str">
        <f>IFERROR(__xludf.DUMMYFUNCTION("""COMPUTED_VALUE"""),"Pranav Joshi")</f>
        <v>Pranav Joshi</v>
      </c>
      <c r="D120" s="14" t="str">
        <f>IFERROR(__xludf.DUMMYFUNCTION("""COMPUTED_VALUE"""),"Andheri")</f>
        <v>Andheri</v>
      </c>
      <c r="E120" s="14" t="str">
        <f>IFERROR(__xludf.DUMMYFUNCTION("""COMPUTED_VALUE"""),"Popcorn+4*Vivek Kumar")</f>
        <v>Popcorn+4*Vivek Kumar</v>
      </c>
      <c r="F120" s="14">
        <f>IFERROR(__xludf.DUMMYFUNCTION("""COMPUTED_VALUE"""),9.0)</f>
        <v>9</v>
      </c>
      <c r="G120" s="14">
        <f>IFERROR(__xludf.DUMMYFUNCTION("""COMPUTED_VALUE"""),25.0)</f>
        <v>25</v>
      </c>
      <c r="H120" s="14">
        <f>IFERROR(__xludf.DUMMYFUNCTION("""COMPUTED_VALUE"""),2023.0)</f>
        <v>2023</v>
      </c>
      <c r="I120" s="14" t="str">
        <f>IFERROR(__xludf.DUMMYFUNCTION("""COMPUTED_VALUE"""),"Online Payment")</f>
        <v>Online Payment</v>
      </c>
      <c r="J120" s="14" t="str">
        <f>IFERROR(__xludf.DUMMYFUNCTION("""COMPUTED_VALUE"""),"Cancelled*Delayed Delivery:Traffic Accidents or Road Closures")</f>
        <v>Cancelled*Delayed Delivery:Traffic Accidents or Road Closures</v>
      </c>
      <c r="K120" s="14" t="str">
        <f>IFERROR(__xludf.DUMMYFUNCTION("split(E120,""+"")"),"Popcorn")</f>
        <v>Popcorn</v>
      </c>
      <c r="L120" s="14" t="str">
        <f>IFERROR(__xludf.DUMMYFUNCTION("""COMPUTED_VALUE"""),"4*Vivek Kumar")</f>
        <v>4*Vivek Kumar</v>
      </c>
      <c r="M120" s="14">
        <f>IFERROR(__xludf.DUMMYFUNCTION("SPLIT(L120,""*"")"),4.0)</f>
        <v>4</v>
      </c>
      <c r="N120" s="14" t="str">
        <f>IFERROR(__xludf.DUMMYFUNCTION("""COMPUTED_VALUE"""),"Vivek Kumar")</f>
        <v>Vivek Kumar</v>
      </c>
      <c r="O120" s="14" t="str">
        <f>IFERROR(__xludf.DUMMYFUNCTION("split(J120,""*"")"),"Cancelled")</f>
        <v>Cancelled</v>
      </c>
      <c r="P120" s="14" t="str">
        <f>IFERROR(__xludf.DUMMYFUNCTION("""COMPUTED_VALUE"""),"Delayed Delivery:Traffic Accidents or Road Closures")</f>
        <v>Delayed Delivery:Traffic Accidents or Road Closures</v>
      </c>
      <c r="Q120" s="14" t="str">
        <f>IFERROR(__xludf.DUMMYFUNCTION("split(P120,"":"")"),"Delayed Delivery")</f>
        <v>Delayed Delivery</v>
      </c>
      <c r="R120" s="14" t="str">
        <f>IFERROR(__xludf.DUMMYFUNCTION("""COMPUTED_VALUE"""),"Traffic Accidents or Road Closures")</f>
        <v>Traffic Accidents or Road Closures</v>
      </c>
      <c r="S120" s="14" t="str">
        <f t="shared" ref="S120:U120" si="243">trim(B120)</f>
        <v>ord_10119</v>
      </c>
      <c r="T120" s="14" t="str">
        <f t="shared" si="243"/>
        <v>Pranav Joshi</v>
      </c>
      <c r="U120" s="14" t="str">
        <f t="shared" si="243"/>
        <v>Andheri</v>
      </c>
      <c r="V120" s="14" t="str">
        <f t="shared" si="4"/>
        <v>Popcorn</v>
      </c>
      <c r="W120" s="14">
        <f t="shared" si="5"/>
        <v>4</v>
      </c>
      <c r="X120" s="14" t="str">
        <f t="shared" si="6"/>
        <v>Vivek Kumar</v>
      </c>
      <c r="Y120" s="15">
        <f t="shared" si="7"/>
        <v>45194</v>
      </c>
      <c r="Z120" s="14" t="str">
        <f t="shared" si="8"/>
        <v>Online Payment</v>
      </c>
      <c r="AA120" s="14" t="str">
        <f t="shared" si="9"/>
        <v>Cancelled</v>
      </c>
      <c r="AB120" s="14" t="str">
        <f t="shared" ref="AB120:AC120" si="244">trim(Q120)</f>
        <v>Delayed Delivery</v>
      </c>
      <c r="AC120" s="14" t="str">
        <f t="shared" si="244"/>
        <v>Traffic Accidents or Road Closures</v>
      </c>
      <c r="AD120" s="8"/>
    </row>
    <row r="121">
      <c r="A121" s="14" t="str">
        <f>IFERROR(__xludf.DUMMYFUNCTION("""COMPUTED_VALUE"""),"//ord_10120//Shruti Aggarwal//Colaba//Onion+3*Sita T/1/10/2023//UPI//Delivered*Satisfied with the Delivery: Timely and quality")</f>
        <v>//ord_10120//Shruti Aggarwal//Colaba//Onion+3*Sita T/1/10/2023//UPI//Delivered*Satisfied with the Delivery: Timely and quality</v>
      </c>
      <c r="B121" s="14" t="str">
        <f>IFERROR(__xludf.DUMMYFUNCTION("split(A121,""//"")"),"ord_10120")</f>
        <v>ord_10120</v>
      </c>
      <c r="C121" s="14" t="str">
        <f>IFERROR(__xludf.DUMMYFUNCTION("""COMPUTED_VALUE"""),"Shruti Aggarwal")</f>
        <v>Shruti Aggarwal</v>
      </c>
      <c r="D121" s="14" t="str">
        <f>IFERROR(__xludf.DUMMYFUNCTION("""COMPUTED_VALUE"""),"Colaba")</f>
        <v>Colaba</v>
      </c>
      <c r="E121" s="14" t="str">
        <f>IFERROR(__xludf.DUMMYFUNCTION("""COMPUTED_VALUE"""),"Onion+3*Sita T")</f>
        <v>Onion+3*Sita T</v>
      </c>
      <c r="F121" s="14">
        <f>IFERROR(__xludf.DUMMYFUNCTION("""COMPUTED_VALUE"""),1.0)</f>
        <v>1</v>
      </c>
      <c r="G121" s="14">
        <f>IFERROR(__xludf.DUMMYFUNCTION("""COMPUTED_VALUE"""),10.0)</f>
        <v>10</v>
      </c>
      <c r="H121" s="14">
        <f>IFERROR(__xludf.DUMMYFUNCTION("""COMPUTED_VALUE"""),2023.0)</f>
        <v>2023</v>
      </c>
      <c r="I121" s="14" t="str">
        <f>IFERROR(__xludf.DUMMYFUNCTION("""COMPUTED_VALUE"""),"UPI")</f>
        <v>UPI</v>
      </c>
      <c r="J121" s="14" t="str">
        <f>IFERROR(__xludf.DUMMYFUNCTION("""COMPUTED_VALUE"""),"Delivered*Satisfied with the Delivery: Timely and quality")</f>
        <v>Delivered*Satisfied with the Delivery: Timely and quality</v>
      </c>
      <c r="K121" s="14" t="str">
        <f>IFERROR(__xludf.DUMMYFUNCTION("split(E121,""+"")"),"Onion")</f>
        <v>Onion</v>
      </c>
      <c r="L121" s="14" t="str">
        <f>IFERROR(__xludf.DUMMYFUNCTION("""COMPUTED_VALUE"""),"3*Sita T")</f>
        <v>3*Sita T</v>
      </c>
      <c r="M121" s="14">
        <f>IFERROR(__xludf.DUMMYFUNCTION("SPLIT(L121,""*"")"),3.0)</f>
        <v>3</v>
      </c>
      <c r="N121" s="14" t="str">
        <f>IFERROR(__xludf.DUMMYFUNCTION("""COMPUTED_VALUE"""),"Sita T")</f>
        <v>Sita T</v>
      </c>
      <c r="O121" s="14" t="str">
        <f>IFERROR(__xludf.DUMMYFUNCTION("split(J121,""*"")"),"Delivered")</f>
        <v>Delivered</v>
      </c>
      <c r="P121" s="14" t="str">
        <f>IFERROR(__xludf.DUMMYFUNCTION("""COMPUTED_VALUE"""),"Satisfied with the Delivery: Timely and quality")</f>
        <v>Satisfied with the Delivery: Timely and quality</v>
      </c>
      <c r="Q121" s="14" t="str">
        <f>IFERROR(__xludf.DUMMYFUNCTION("split(P121,"":"")"),"Satisfied with the Delivery")</f>
        <v>Satisfied with the Delivery</v>
      </c>
      <c r="R121" s="14" t="str">
        <f>IFERROR(__xludf.DUMMYFUNCTION("""COMPUTED_VALUE""")," Timely and quality")</f>
        <v> Timely and quality</v>
      </c>
      <c r="S121" s="14" t="str">
        <f t="shared" ref="S121:U121" si="245">trim(B121)</f>
        <v>ord_10120</v>
      </c>
      <c r="T121" s="14" t="str">
        <f t="shared" si="245"/>
        <v>Shruti Aggarwal</v>
      </c>
      <c r="U121" s="14" t="str">
        <f t="shared" si="245"/>
        <v>Colaba</v>
      </c>
      <c r="V121" s="14" t="str">
        <f t="shared" si="4"/>
        <v>Onion</v>
      </c>
      <c r="W121" s="14">
        <f t="shared" si="5"/>
        <v>3</v>
      </c>
      <c r="X121" s="14" t="str">
        <f t="shared" si="6"/>
        <v>Sita T</v>
      </c>
      <c r="Y121" s="15">
        <f t="shared" si="7"/>
        <v>44936</v>
      </c>
      <c r="Z121" s="14" t="str">
        <f t="shared" si="8"/>
        <v>UPI</v>
      </c>
      <c r="AA121" s="14" t="str">
        <f t="shared" si="9"/>
        <v>Delivered</v>
      </c>
      <c r="AB121" s="14" t="str">
        <f t="shared" ref="AB121:AC121" si="246">trim(Q121)</f>
        <v>Satisfied with the Delivery</v>
      </c>
      <c r="AC121" s="14" t="str">
        <f t="shared" si="246"/>
        <v>Timely and quality</v>
      </c>
      <c r="AD121" s="8"/>
    </row>
    <row r="122">
      <c r="A122" s="14" t="str">
        <f>IFERROR(__xludf.DUMMYFUNCTION("""COMPUTED_VALUE"""),"//ord_10121//Harsh Vardhan//Bandra//Chicken Puff+6*Nithin Lal/2/21/2023//Online Payment//Delivered*Customer Service: Seamless and easy")</f>
        <v>//ord_10121//Harsh Vardhan//Bandra//Chicken Puff+6*Nithin Lal/2/21/2023//Online Payment//Delivered*Customer Service: Seamless and easy</v>
      </c>
      <c r="B122" s="14" t="str">
        <f>IFERROR(__xludf.DUMMYFUNCTION("split(A122,""//"")"),"ord_10121")</f>
        <v>ord_10121</v>
      </c>
      <c r="C122" s="14" t="str">
        <f>IFERROR(__xludf.DUMMYFUNCTION("""COMPUTED_VALUE"""),"Harsh Vardhan")</f>
        <v>Harsh Vardhan</v>
      </c>
      <c r="D122" s="14" t="str">
        <f>IFERROR(__xludf.DUMMYFUNCTION("""COMPUTED_VALUE"""),"Bandra")</f>
        <v>Bandra</v>
      </c>
      <c r="E122" s="14" t="str">
        <f>IFERROR(__xludf.DUMMYFUNCTION("""COMPUTED_VALUE"""),"Chicken Puff+6*Nithin Lal")</f>
        <v>Chicken Puff+6*Nithin Lal</v>
      </c>
      <c r="F122" s="14">
        <f>IFERROR(__xludf.DUMMYFUNCTION("""COMPUTED_VALUE"""),2.0)</f>
        <v>2</v>
      </c>
      <c r="G122" s="14">
        <f>IFERROR(__xludf.DUMMYFUNCTION("""COMPUTED_VALUE"""),21.0)</f>
        <v>21</v>
      </c>
      <c r="H122" s="14">
        <f>IFERROR(__xludf.DUMMYFUNCTION("""COMPUTED_VALUE"""),2023.0)</f>
        <v>2023</v>
      </c>
      <c r="I122" s="14" t="str">
        <f>IFERROR(__xludf.DUMMYFUNCTION("""COMPUTED_VALUE"""),"Online Payment")</f>
        <v>Online Payment</v>
      </c>
      <c r="J122" s="14" t="str">
        <f>IFERROR(__xludf.DUMMYFUNCTION("""COMPUTED_VALUE"""),"Delivered*Customer Service: Seamless and easy")</f>
        <v>Delivered*Customer Service: Seamless and easy</v>
      </c>
      <c r="K122" s="14" t="str">
        <f>IFERROR(__xludf.DUMMYFUNCTION("split(E122,""+"")"),"Chicken Puff")</f>
        <v>Chicken Puff</v>
      </c>
      <c r="L122" s="14" t="str">
        <f>IFERROR(__xludf.DUMMYFUNCTION("""COMPUTED_VALUE"""),"6*Nithin Lal")</f>
        <v>6*Nithin Lal</v>
      </c>
      <c r="M122" s="14">
        <f>IFERROR(__xludf.DUMMYFUNCTION("SPLIT(L122,""*"")"),6.0)</f>
        <v>6</v>
      </c>
      <c r="N122" s="14" t="str">
        <f>IFERROR(__xludf.DUMMYFUNCTION("""COMPUTED_VALUE"""),"Nithin Lal")</f>
        <v>Nithin Lal</v>
      </c>
      <c r="O122" s="14" t="str">
        <f>IFERROR(__xludf.DUMMYFUNCTION("split(J122,""*"")"),"Delivered")</f>
        <v>Delivered</v>
      </c>
      <c r="P122" s="14" t="str">
        <f>IFERROR(__xludf.DUMMYFUNCTION("""COMPUTED_VALUE"""),"Customer Service: Seamless and easy")</f>
        <v>Customer Service: Seamless and easy</v>
      </c>
      <c r="Q122" s="14" t="str">
        <f>IFERROR(__xludf.DUMMYFUNCTION("split(P122,"":"")"),"Customer Service")</f>
        <v>Customer Service</v>
      </c>
      <c r="R122" s="14" t="str">
        <f>IFERROR(__xludf.DUMMYFUNCTION("""COMPUTED_VALUE""")," Seamless and easy")</f>
        <v> Seamless and easy</v>
      </c>
      <c r="S122" s="14" t="str">
        <f t="shared" ref="S122:U122" si="247">trim(B122)</f>
        <v>ord_10121</v>
      </c>
      <c r="T122" s="14" t="str">
        <f t="shared" si="247"/>
        <v>Harsh Vardhan</v>
      </c>
      <c r="U122" s="14" t="str">
        <f t="shared" si="247"/>
        <v>Bandra</v>
      </c>
      <c r="V122" s="14" t="str">
        <f t="shared" si="4"/>
        <v>Chicken Puff</v>
      </c>
      <c r="W122" s="14">
        <f t="shared" si="5"/>
        <v>6</v>
      </c>
      <c r="X122" s="14" t="str">
        <f t="shared" si="6"/>
        <v>Nithin Lal</v>
      </c>
      <c r="Y122" s="15">
        <f t="shared" si="7"/>
        <v>44978</v>
      </c>
      <c r="Z122" s="14" t="str">
        <f t="shared" si="8"/>
        <v>Online Payment</v>
      </c>
      <c r="AA122" s="14" t="str">
        <f t="shared" si="9"/>
        <v>Delivered</v>
      </c>
      <c r="AB122" s="14" t="str">
        <f t="shared" ref="AB122:AC122" si="248">trim(Q122)</f>
        <v>Customer Service</v>
      </c>
      <c r="AC122" s="14" t="str">
        <f t="shared" si="248"/>
        <v>Seamless and easy</v>
      </c>
      <c r="AD122" s="8"/>
    </row>
    <row r="123">
      <c r="A123" s="14" t="str">
        <f>IFERROR(__xludf.DUMMYFUNCTION("""COMPUTED_VALUE"""),"//ord_10122//Sana Malik//Powai//Sweet Corn+3*Vivek Kumar/7/14/2023//Online Payment//Delivered*Delivery Experience: Quick and professional")</f>
        <v>//ord_10122//Sana Malik//Powai//Sweet Corn+3*Vivek Kumar/7/14/2023//Online Payment//Delivered*Delivery Experience: Quick and professional</v>
      </c>
      <c r="B123" s="14" t="str">
        <f>IFERROR(__xludf.DUMMYFUNCTION("split(A123,""//"")"),"ord_10122")</f>
        <v>ord_10122</v>
      </c>
      <c r="C123" s="14" t="str">
        <f>IFERROR(__xludf.DUMMYFUNCTION("""COMPUTED_VALUE"""),"Sana Malik")</f>
        <v>Sana Malik</v>
      </c>
      <c r="D123" s="14" t="str">
        <f>IFERROR(__xludf.DUMMYFUNCTION("""COMPUTED_VALUE"""),"Powai")</f>
        <v>Powai</v>
      </c>
      <c r="E123" s="14" t="str">
        <f>IFERROR(__xludf.DUMMYFUNCTION("""COMPUTED_VALUE"""),"Sweet Corn+3*Vivek Kumar")</f>
        <v>Sweet Corn+3*Vivek Kumar</v>
      </c>
      <c r="F123" s="14">
        <f>IFERROR(__xludf.DUMMYFUNCTION("""COMPUTED_VALUE"""),7.0)</f>
        <v>7</v>
      </c>
      <c r="G123" s="14">
        <f>IFERROR(__xludf.DUMMYFUNCTION("""COMPUTED_VALUE"""),14.0)</f>
        <v>14</v>
      </c>
      <c r="H123" s="14">
        <f>IFERROR(__xludf.DUMMYFUNCTION("""COMPUTED_VALUE"""),2023.0)</f>
        <v>2023</v>
      </c>
      <c r="I123" s="14" t="str">
        <f>IFERROR(__xludf.DUMMYFUNCTION("""COMPUTED_VALUE"""),"Online Payment")</f>
        <v>Online Payment</v>
      </c>
      <c r="J123" s="14" t="str">
        <f>IFERROR(__xludf.DUMMYFUNCTION("""COMPUTED_VALUE"""),"Delivered*Delivery Experience: Quick and professional")</f>
        <v>Delivered*Delivery Experience: Quick and professional</v>
      </c>
      <c r="K123" s="14" t="str">
        <f>IFERROR(__xludf.DUMMYFUNCTION("split(E123,""+"")"),"Sweet Corn")</f>
        <v>Sweet Corn</v>
      </c>
      <c r="L123" s="14" t="str">
        <f>IFERROR(__xludf.DUMMYFUNCTION("""COMPUTED_VALUE"""),"3*Vivek Kumar")</f>
        <v>3*Vivek Kumar</v>
      </c>
      <c r="M123" s="14">
        <f>IFERROR(__xludf.DUMMYFUNCTION("SPLIT(L123,""*"")"),3.0)</f>
        <v>3</v>
      </c>
      <c r="N123" s="14" t="str">
        <f>IFERROR(__xludf.DUMMYFUNCTION("""COMPUTED_VALUE"""),"Vivek Kumar")</f>
        <v>Vivek Kumar</v>
      </c>
      <c r="O123" s="14" t="str">
        <f>IFERROR(__xludf.DUMMYFUNCTION("split(J123,""*"")"),"Delivered")</f>
        <v>Delivered</v>
      </c>
      <c r="P123" s="14" t="str">
        <f>IFERROR(__xludf.DUMMYFUNCTION("""COMPUTED_VALUE"""),"Delivery Experience: Quick and professional")</f>
        <v>Delivery Experience: Quick and professional</v>
      </c>
      <c r="Q123" s="14" t="str">
        <f>IFERROR(__xludf.DUMMYFUNCTION("split(P123,"":"")"),"Delivery Experience")</f>
        <v>Delivery Experience</v>
      </c>
      <c r="R123" s="14" t="str">
        <f>IFERROR(__xludf.DUMMYFUNCTION("""COMPUTED_VALUE""")," Quick and professional")</f>
        <v> Quick and professional</v>
      </c>
      <c r="S123" s="14" t="str">
        <f t="shared" ref="S123:U123" si="249">trim(B123)</f>
        <v>ord_10122</v>
      </c>
      <c r="T123" s="14" t="str">
        <f t="shared" si="249"/>
        <v>Sana Malik</v>
      </c>
      <c r="U123" s="14" t="str">
        <f t="shared" si="249"/>
        <v>Powai</v>
      </c>
      <c r="V123" s="14" t="str">
        <f t="shared" si="4"/>
        <v>Sweet Corn</v>
      </c>
      <c r="W123" s="14">
        <f t="shared" si="5"/>
        <v>3</v>
      </c>
      <c r="X123" s="14" t="str">
        <f t="shared" si="6"/>
        <v>Vivek Kumar</v>
      </c>
      <c r="Y123" s="15">
        <f t="shared" si="7"/>
        <v>45121</v>
      </c>
      <c r="Z123" s="14" t="str">
        <f t="shared" si="8"/>
        <v>Online Payment</v>
      </c>
      <c r="AA123" s="14" t="str">
        <f t="shared" si="9"/>
        <v>Delivered</v>
      </c>
      <c r="AB123" s="14" t="str">
        <f t="shared" ref="AB123:AC123" si="250">trim(Q123)</f>
        <v>Delivery Experience</v>
      </c>
      <c r="AC123" s="14" t="str">
        <f t="shared" si="250"/>
        <v>Quick and professional</v>
      </c>
      <c r="AD123" s="8"/>
    </row>
    <row r="124">
      <c r="A124" s="14" t="str">
        <f>IFERROR(__xludf.DUMMYFUNCTION("""COMPUTED_VALUE"""),"//ord_10123//Yash Verma//Lower Parel//Papaya+2*Venu R/10/10/2023//UPI//Delivered*Convenience: Easy tracking")</f>
        <v>//ord_10123//Yash Verma//Lower Parel//Papaya+2*Venu R/10/10/2023//UPI//Delivered*Convenience: Easy tracking</v>
      </c>
      <c r="B124" s="14" t="str">
        <f>IFERROR(__xludf.DUMMYFUNCTION("split(A124,""//"")"),"ord_10123")</f>
        <v>ord_10123</v>
      </c>
      <c r="C124" s="14" t="str">
        <f>IFERROR(__xludf.DUMMYFUNCTION("""COMPUTED_VALUE"""),"Yash Verma")</f>
        <v>Yash Verma</v>
      </c>
      <c r="D124" s="14" t="str">
        <f>IFERROR(__xludf.DUMMYFUNCTION("""COMPUTED_VALUE"""),"Lower Parel")</f>
        <v>Lower Parel</v>
      </c>
      <c r="E124" s="14" t="str">
        <f>IFERROR(__xludf.DUMMYFUNCTION("""COMPUTED_VALUE"""),"Papaya+2*Venu R")</f>
        <v>Papaya+2*Venu R</v>
      </c>
      <c r="F124" s="14">
        <f>IFERROR(__xludf.DUMMYFUNCTION("""COMPUTED_VALUE"""),10.0)</f>
        <v>10</v>
      </c>
      <c r="G124" s="14">
        <f>IFERROR(__xludf.DUMMYFUNCTION("""COMPUTED_VALUE"""),10.0)</f>
        <v>10</v>
      </c>
      <c r="H124" s="14">
        <f>IFERROR(__xludf.DUMMYFUNCTION("""COMPUTED_VALUE"""),2023.0)</f>
        <v>2023</v>
      </c>
      <c r="I124" s="14" t="str">
        <f>IFERROR(__xludf.DUMMYFUNCTION("""COMPUTED_VALUE"""),"UPI")</f>
        <v>UPI</v>
      </c>
      <c r="J124" s="14" t="str">
        <f>IFERROR(__xludf.DUMMYFUNCTION("""COMPUTED_VALUE"""),"Delivered*Convenience: Easy tracking")</f>
        <v>Delivered*Convenience: Easy tracking</v>
      </c>
      <c r="K124" s="14" t="str">
        <f>IFERROR(__xludf.DUMMYFUNCTION("split(E124,""+"")"),"Papaya")</f>
        <v>Papaya</v>
      </c>
      <c r="L124" s="14" t="str">
        <f>IFERROR(__xludf.DUMMYFUNCTION("""COMPUTED_VALUE"""),"2*Venu R")</f>
        <v>2*Venu R</v>
      </c>
      <c r="M124" s="14">
        <f>IFERROR(__xludf.DUMMYFUNCTION("SPLIT(L124,""*"")"),2.0)</f>
        <v>2</v>
      </c>
      <c r="N124" s="14" t="str">
        <f>IFERROR(__xludf.DUMMYFUNCTION("""COMPUTED_VALUE"""),"Venu R")</f>
        <v>Venu R</v>
      </c>
      <c r="O124" s="14" t="str">
        <f>IFERROR(__xludf.DUMMYFUNCTION("split(J124,""*"")"),"Delivered")</f>
        <v>Delivered</v>
      </c>
      <c r="P124" s="14" t="str">
        <f>IFERROR(__xludf.DUMMYFUNCTION("""COMPUTED_VALUE"""),"Convenience: Easy tracking")</f>
        <v>Convenience: Easy tracking</v>
      </c>
      <c r="Q124" s="14" t="str">
        <f>IFERROR(__xludf.DUMMYFUNCTION("split(P124,"":"")"),"Convenience")</f>
        <v>Convenience</v>
      </c>
      <c r="R124" s="14" t="str">
        <f>IFERROR(__xludf.DUMMYFUNCTION("""COMPUTED_VALUE""")," Easy tracking")</f>
        <v> Easy tracking</v>
      </c>
      <c r="S124" s="14" t="str">
        <f t="shared" ref="S124:U124" si="251">trim(B124)</f>
        <v>ord_10123</v>
      </c>
      <c r="T124" s="14" t="str">
        <f t="shared" si="251"/>
        <v>Yash Verma</v>
      </c>
      <c r="U124" s="14" t="str">
        <f t="shared" si="251"/>
        <v>Lower Parel</v>
      </c>
      <c r="V124" s="14" t="str">
        <f t="shared" si="4"/>
        <v>Papaya</v>
      </c>
      <c r="W124" s="14">
        <f t="shared" si="5"/>
        <v>2</v>
      </c>
      <c r="X124" s="14" t="str">
        <f t="shared" si="6"/>
        <v>Venu R</v>
      </c>
      <c r="Y124" s="15">
        <f t="shared" si="7"/>
        <v>45209</v>
      </c>
      <c r="Z124" s="14" t="str">
        <f t="shared" si="8"/>
        <v>UPI</v>
      </c>
      <c r="AA124" s="14" t="str">
        <f t="shared" si="9"/>
        <v>Delivered</v>
      </c>
      <c r="AB124" s="14" t="str">
        <f t="shared" ref="AB124:AC124" si="252">trim(Q124)</f>
        <v>Convenience</v>
      </c>
      <c r="AC124" s="14" t="str">
        <f t="shared" si="252"/>
        <v>Easy tracking</v>
      </c>
      <c r="AD124" s="8"/>
    </row>
    <row r="125">
      <c r="A125" s="14" t="str">
        <f>IFERROR(__xludf.DUMMYFUNCTION("""COMPUTED_VALUE"""),"//ord_10124//Leena Das//Andheri//Orange+2*Rohan Yadav/8/19/2023//COD//Delivered*Overall Satisfaction: Great service will order again")</f>
        <v>//ord_10124//Leena Das//Andheri//Orange+2*Rohan Yadav/8/19/2023//COD//Delivered*Overall Satisfaction: Great service will order again</v>
      </c>
      <c r="B125" s="14" t="str">
        <f>IFERROR(__xludf.DUMMYFUNCTION("split(A125,""//"")"),"ord_10124")</f>
        <v>ord_10124</v>
      </c>
      <c r="C125" s="14" t="str">
        <f>IFERROR(__xludf.DUMMYFUNCTION("""COMPUTED_VALUE"""),"Leena Das")</f>
        <v>Leena Das</v>
      </c>
      <c r="D125" s="14" t="str">
        <f>IFERROR(__xludf.DUMMYFUNCTION("""COMPUTED_VALUE"""),"Andheri")</f>
        <v>Andheri</v>
      </c>
      <c r="E125" s="14" t="str">
        <f>IFERROR(__xludf.DUMMYFUNCTION("""COMPUTED_VALUE"""),"Orange+2*Rohan Yadav")</f>
        <v>Orange+2*Rohan Yadav</v>
      </c>
      <c r="F125" s="14">
        <f>IFERROR(__xludf.DUMMYFUNCTION("""COMPUTED_VALUE"""),8.0)</f>
        <v>8</v>
      </c>
      <c r="G125" s="14">
        <f>IFERROR(__xludf.DUMMYFUNCTION("""COMPUTED_VALUE"""),19.0)</f>
        <v>19</v>
      </c>
      <c r="H125" s="14">
        <f>IFERROR(__xludf.DUMMYFUNCTION("""COMPUTED_VALUE"""),2023.0)</f>
        <v>2023</v>
      </c>
      <c r="I125" s="14" t="str">
        <f>IFERROR(__xludf.DUMMYFUNCTION("""COMPUTED_VALUE"""),"COD")</f>
        <v>COD</v>
      </c>
      <c r="J125" s="14" t="str">
        <f>IFERROR(__xludf.DUMMYFUNCTION("""COMPUTED_VALUE"""),"Delivered*Overall Satisfaction: Great service will order again")</f>
        <v>Delivered*Overall Satisfaction: Great service will order again</v>
      </c>
      <c r="K125" s="14" t="str">
        <f>IFERROR(__xludf.DUMMYFUNCTION("split(E125,""+"")"),"Orange")</f>
        <v>Orange</v>
      </c>
      <c r="L125" s="14" t="str">
        <f>IFERROR(__xludf.DUMMYFUNCTION("""COMPUTED_VALUE"""),"2*Rohan Yadav")</f>
        <v>2*Rohan Yadav</v>
      </c>
      <c r="M125" s="14">
        <f>IFERROR(__xludf.DUMMYFUNCTION("SPLIT(L125,""*"")"),2.0)</f>
        <v>2</v>
      </c>
      <c r="N125" s="14" t="str">
        <f>IFERROR(__xludf.DUMMYFUNCTION("""COMPUTED_VALUE"""),"Rohan Yadav")</f>
        <v>Rohan Yadav</v>
      </c>
      <c r="O125" s="14" t="str">
        <f>IFERROR(__xludf.DUMMYFUNCTION("split(J125,""*"")"),"Delivered")</f>
        <v>Delivered</v>
      </c>
      <c r="P125" s="14" t="str">
        <f>IFERROR(__xludf.DUMMYFUNCTION("""COMPUTED_VALUE"""),"Overall Satisfaction: Great service will order again")</f>
        <v>Overall Satisfaction: Great service will order again</v>
      </c>
      <c r="Q125" s="14" t="str">
        <f>IFERROR(__xludf.DUMMYFUNCTION("split(P125,"":"")"),"Overall Satisfaction")</f>
        <v>Overall Satisfaction</v>
      </c>
      <c r="R125" s="14" t="str">
        <f>IFERROR(__xludf.DUMMYFUNCTION("""COMPUTED_VALUE""")," Great service will order again")</f>
        <v> Great service will order again</v>
      </c>
      <c r="S125" s="14" t="str">
        <f t="shared" ref="S125:U125" si="253">trim(B125)</f>
        <v>ord_10124</v>
      </c>
      <c r="T125" s="14" t="str">
        <f t="shared" si="253"/>
        <v>Leena Das</v>
      </c>
      <c r="U125" s="14" t="str">
        <f t="shared" si="253"/>
        <v>Andheri</v>
      </c>
      <c r="V125" s="14" t="str">
        <f t="shared" si="4"/>
        <v>Orange</v>
      </c>
      <c r="W125" s="14">
        <f t="shared" si="5"/>
        <v>2</v>
      </c>
      <c r="X125" s="14" t="str">
        <f t="shared" si="6"/>
        <v>Rohan Yadav</v>
      </c>
      <c r="Y125" s="15">
        <f t="shared" si="7"/>
        <v>45157</v>
      </c>
      <c r="Z125" s="14" t="str">
        <f t="shared" si="8"/>
        <v>COD</v>
      </c>
      <c r="AA125" s="14" t="str">
        <f t="shared" si="9"/>
        <v>Delivered</v>
      </c>
      <c r="AB125" s="14" t="str">
        <f t="shared" ref="AB125:AC125" si="254">trim(Q125)</f>
        <v>Overall Satisfaction</v>
      </c>
      <c r="AC125" s="14" t="str">
        <f t="shared" si="254"/>
        <v>Great service will order again</v>
      </c>
      <c r="AD125" s="8"/>
    </row>
    <row r="126">
      <c r="A126" s="14" t="str">
        <f>IFERROR(__xludf.DUMMYFUNCTION("""COMPUTED_VALUE"""),"//ord_10125//Shruti Aggarwal//Colaba//Icecream+8*Sita T/1/27/2023//Credit Card//Delivered*On-time Delivery: Delivered on time")</f>
        <v>//ord_10125//Shruti Aggarwal//Colaba//Icecream+8*Sita T/1/27/2023//Credit Card//Delivered*On-time Delivery: Delivered on time</v>
      </c>
      <c r="B126" s="14" t="str">
        <f>IFERROR(__xludf.DUMMYFUNCTION("split(A126,""//"")"),"ord_10125")</f>
        <v>ord_10125</v>
      </c>
      <c r="C126" s="14" t="str">
        <f>IFERROR(__xludf.DUMMYFUNCTION("""COMPUTED_VALUE"""),"Shruti Aggarwal")</f>
        <v>Shruti Aggarwal</v>
      </c>
      <c r="D126" s="14" t="str">
        <f>IFERROR(__xludf.DUMMYFUNCTION("""COMPUTED_VALUE"""),"Colaba")</f>
        <v>Colaba</v>
      </c>
      <c r="E126" s="14" t="str">
        <f>IFERROR(__xludf.DUMMYFUNCTION("""COMPUTED_VALUE"""),"Icecream+8*Sita T")</f>
        <v>Icecream+8*Sita T</v>
      </c>
      <c r="F126" s="14">
        <f>IFERROR(__xludf.DUMMYFUNCTION("""COMPUTED_VALUE"""),1.0)</f>
        <v>1</v>
      </c>
      <c r="G126" s="14">
        <f>IFERROR(__xludf.DUMMYFUNCTION("""COMPUTED_VALUE"""),27.0)</f>
        <v>27</v>
      </c>
      <c r="H126" s="14">
        <f>IFERROR(__xludf.DUMMYFUNCTION("""COMPUTED_VALUE"""),2023.0)</f>
        <v>2023</v>
      </c>
      <c r="I126" s="14" t="str">
        <f>IFERROR(__xludf.DUMMYFUNCTION("""COMPUTED_VALUE"""),"Credit Card")</f>
        <v>Credit Card</v>
      </c>
      <c r="J126" s="14" t="str">
        <f>IFERROR(__xludf.DUMMYFUNCTION("""COMPUTED_VALUE"""),"Delivered*On-time Delivery: Delivered on time")</f>
        <v>Delivered*On-time Delivery: Delivered on time</v>
      </c>
      <c r="K126" s="14" t="str">
        <f>IFERROR(__xludf.DUMMYFUNCTION("split(E126,""+"")"),"Icecream")</f>
        <v>Icecream</v>
      </c>
      <c r="L126" s="14" t="str">
        <f>IFERROR(__xludf.DUMMYFUNCTION("""COMPUTED_VALUE"""),"8*Sita T")</f>
        <v>8*Sita T</v>
      </c>
      <c r="M126" s="14">
        <f>IFERROR(__xludf.DUMMYFUNCTION("SPLIT(L126,""*"")"),8.0)</f>
        <v>8</v>
      </c>
      <c r="N126" s="14" t="str">
        <f>IFERROR(__xludf.DUMMYFUNCTION("""COMPUTED_VALUE"""),"Sita T")</f>
        <v>Sita T</v>
      </c>
      <c r="O126" s="14" t="str">
        <f>IFERROR(__xludf.DUMMYFUNCTION("split(J126,""*"")"),"Delivered")</f>
        <v>Delivered</v>
      </c>
      <c r="P126" s="14" t="str">
        <f>IFERROR(__xludf.DUMMYFUNCTION("""COMPUTED_VALUE"""),"On-time Delivery: Delivered on time")</f>
        <v>On-time Delivery: Delivered on time</v>
      </c>
      <c r="Q126" s="14" t="str">
        <f>IFERROR(__xludf.DUMMYFUNCTION("split(P126,"":"")"),"On-time Delivery")</f>
        <v>On-time Delivery</v>
      </c>
      <c r="R126" s="14" t="str">
        <f>IFERROR(__xludf.DUMMYFUNCTION("""COMPUTED_VALUE""")," Delivered on time")</f>
        <v> Delivered on time</v>
      </c>
      <c r="S126" s="14" t="str">
        <f t="shared" ref="S126:U126" si="255">trim(B126)</f>
        <v>ord_10125</v>
      </c>
      <c r="T126" s="14" t="str">
        <f t="shared" si="255"/>
        <v>Shruti Aggarwal</v>
      </c>
      <c r="U126" s="14" t="str">
        <f t="shared" si="255"/>
        <v>Colaba</v>
      </c>
      <c r="V126" s="14" t="str">
        <f t="shared" si="4"/>
        <v>Icecream</v>
      </c>
      <c r="W126" s="14">
        <f t="shared" si="5"/>
        <v>8</v>
      </c>
      <c r="X126" s="14" t="str">
        <f t="shared" si="6"/>
        <v>Sita T</v>
      </c>
      <c r="Y126" s="15">
        <f t="shared" si="7"/>
        <v>44953</v>
      </c>
      <c r="Z126" s="14" t="str">
        <f t="shared" si="8"/>
        <v>Credit Card</v>
      </c>
      <c r="AA126" s="14" t="str">
        <f t="shared" si="9"/>
        <v>Delivered</v>
      </c>
      <c r="AB126" s="14" t="str">
        <f t="shared" ref="AB126:AC126" si="256">trim(Q126)</f>
        <v>On-time Delivery</v>
      </c>
      <c r="AC126" s="14" t="str">
        <f t="shared" si="256"/>
        <v>Delivered on time</v>
      </c>
      <c r="AD126" s="8"/>
    </row>
    <row r="127">
      <c r="A127" s="14" t="str">
        <f>IFERROR(__xludf.DUMMYFUNCTION("""COMPUTED_VALUE"""),"//ord_13126//Omkar Mishra//Powai//Cold Coffee+2*Neha Shah/7/22/2023//Online Payment//Cancelled*Delayed Delivery:Heavy Traffic")</f>
        <v>//ord_13126//Omkar Mishra//Powai//Cold Coffee+2*Neha Shah/7/22/2023//Online Payment//Cancelled*Delayed Delivery:Heavy Traffic</v>
      </c>
      <c r="B127" s="14" t="str">
        <f>IFERROR(__xludf.DUMMYFUNCTION("split(A127,""//"")"),"ord_13126")</f>
        <v>ord_13126</v>
      </c>
      <c r="C127" s="14" t="str">
        <f>IFERROR(__xludf.DUMMYFUNCTION("""COMPUTED_VALUE"""),"Omkar Mishra")</f>
        <v>Omkar Mishra</v>
      </c>
      <c r="D127" s="14" t="str">
        <f>IFERROR(__xludf.DUMMYFUNCTION("""COMPUTED_VALUE"""),"Powai")</f>
        <v>Powai</v>
      </c>
      <c r="E127" s="14" t="str">
        <f>IFERROR(__xludf.DUMMYFUNCTION("""COMPUTED_VALUE"""),"Cold Coffee+2*Neha Shah")</f>
        <v>Cold Coffee+2*Neha Shah</v>
      </c>
      <c r="F127" s="14">
        <f>IFERROR(__xludf.DUMMYFUNCTION("""COMPUTED_VALUE"""),7.0)</f>
        <v>7</v>
      </c>
      <c r="G127" s="14">
        <f>IFERROR(__xludf.DUMMYFUNCTION("""COMPUTED_VALUE"""),22.0)</f>
        <v>22</v>
      </c>
      <c r="H127" s="14">
        <f>IFERROR(__xludf.DUMMYFUNCTION("""COMPUTED_VALUE"""),2023.0)</f>
        <v>2023</v>
      </c>
      <c r="I127" s="14" t="str">
        <f>IFERROR(__xludf.DUMMYFUNCTION("""COMPUTED_VALUE"""),"Online Payment")</f>
        <v>Online Payment</v>
      </c>
      <c r="J127" s="14" t="str">
        <f>IFERROR(__xludf.DUMMYFUNCTION("""COMPUTED_VALUE"""),"Cancelled*Delayed Delivery:Heavy Traffic")</f>
        <v>Cancelled*Delayed Delivery:Heavy Traffic</v>
      </c>
      <c r="K127" s="14" t="str">
        <f>IFERROR(__xludf.DUMMYFUNCTION("split(E127,""+"")"),"Cold Coffee")</f>
        <v>Cold Coffee</v>
      </c>
      <c r="L127" s="14" t="str">
        <f>IFERROR(__xludf.DUMMYFUNCTION("""COMPUTED_VALUE"""),"2*Neha Shah")</f>
        <v>2*Neha Shah</v>
      </c>
      <c r="M127" s="14">
        <f>IFERROR(__xludf.DUMMYFUNCTION("SPLIT(L127,""*"")"),2.0)</f>
        <v>2</v>
      </c>
      <c r="N127" s="14" t="str">
        <f>IFERROR(__xludf.DUMMYFUNCTION("""COMPUTED_VALUE"""),"Neha Shah")</f>
        <v>Neha Shah</v>
      </c>
      <c r="O127" s="14" t="str">
        <f>IFERROR(__xludf.DUMMYFUNCTION("split(J127,""*"")"),"Cancelled")</f>
        <v>Cancelled</v>
      </c>
      <c r="P127" s="14" t="str">
        <f>IFERROR(__xludf.DUMMYFUNCTION("""COMPUTED_VALUE"""),"Delayed Delivery:Heavy Traffic")</f>
        <v>Delayed Delivery:Heavy Traffic</v>
      </c>
      <c r="Q127" s="14" t="str">
        <f>IFERROR(__xludf.DUMMYFUNCTION("split(P127,"":"")"),"Delayed Delivery")</f>
        <v>Delayed Delivery</v>
      </c>
      <c r="R127" s="14" t="str">
        <f>IFERROR(__xludf.DUMMYFUNCTION("""COMPUTED_VALUE"""),"Heavy Traffic")</f>
        <v>Heavy Traffic</v>
      </c>
      <c r="S127" s="14" t="str">
        <f t="shared" ref="S127:U127" si="257">trim(B127)</f>
        <v>ord_13126</v>
      </c>
      <c r="T127" s="14" t="str">
        <f t="shared" si="257"/>
        <v>Omkar Mishra</v>
      </c>
      <c r="U127" s="14" t="str">
        <f t="shared" si="257"/>
        <v>Powai</v>
      </c>
      <c r="V127" s="14" t="str">
        <f t="shared" si="4"/>
        <v>Cold Coffee</v>
      </c>
      <c r="W127" s="14">
        <f t="shared" si="5"/>
        <v>2</v>
      </c>
      <c r="X127" s="14" t="str">
        <f t="shared" si="6"/>
        <v>Neha Shah</v>
      </c>
      <c r="Y127" s="15">
        <f t="shared" si="7"/>
        <v>45129</v>
      </c>
      <c r="Z127" s="14" t="str">
        <f t="shared" si="8"/>
        <v>Online Payment</v>
      </c>
      <c r="AA127" s="14" t="str">
        <f t="shared" si="9"/>
        <v>Cancelled</v>
      </c>
      <c r="AB127" s="14" t="str">
        <f t="shared" ref="AB127:AC127" si="258">trim(Q127)</f>
        <v>Delayed Delivery</v>
      </c>
      <c r="AC127" s="14" t="str">
        <f t="shared" si="258"/>
        <v>Heavy Traffic</v>
      </c>
      <c r="AD127" s="8"/>
    </row>
    <row r="128">
      <c r="A128" s="14" t="str">
        <f>IFERROR(__xludf.DUMMYFUNCTION("""COMPUTED_VALUE"""),"//ord_10127//Siya Reddy//Juhu//Orange+2*Venu R/11/15/2023//Online Payment//Cancelled*Delayed Delivery:Vehicle Breakdown")</f>
        <v>//ord_10127//Siya Reddy//Juhu//Orange+2*Venu R/11/15/2023//Online Payment//Cancelled*Delayed Delivery:Vehicle Breakdown</v>
      </c>
      <c r="B128" s="14" t="str">
        <f>IFERROR(__xludf.DUMMYFUNCTION("split(A128,""//"")"),"ord_10127")</f>
        <v>ord_10127</v>
      </c>
      <c r="C128" s="14" t="str">
        <f>IFERROR(__xludf.DUMMYFUNCTION("""COMPUTED_VALUE"""),"Siya Reddy")</f>
        <v>Siya Reddy</v>
      </c>
      <c r="D128" s="14" t="str">
        <f>IFERROR(__xludf.DUMMYFUNCTION("""COMPUTED_VALUE"""),"Juhu")</f>
        <v>Juhu</v>
      </c>
      <c r="E128" s="14" t="str">
        <f>IFERROR(__xludf.DUMMYFUNCTION("""COMPUTED_VALUE"""),"Orange+2*Venu R")</f>
        <v>Orange+2*Venu R</v>
      </c>
      <c r="F128" s="14">
        <f>IFERROR(__xludf.DUMMYFUNCTION("""COMPUTED_VALUE"""),11.0)</f>
        <v>11</v>
      </c>
      <c r="G128" s="14">
        <f>IFERROR(__xludf.DUMMYFUNCTION("""COMPUTED_VALUE"""),15.0)</f>
        <v>15</v>
      </c>
      <c r="H128" s="14">
        <f>IFERROR(__xludf.DUMMYFUNCTION("""COMPUTED_VALUE"""),2023.0)</f>
        <v>2023</v>
      </c>
      <c r="I128" s="14" t="str">
        <f>IFERROR(__xludf.DUMMYFUNCTION("""COMPUTED_VALUE"""),"Online Payment")</f>
        <v>Online Payment</v>
      </c>
      <c r="J128" s="14" t="str">
        <f>IFERROR(__xludf.DUMMYFUNCTION("""COMPUTED_VALUE"""),"Cancelled*Delayed Delivery:Vehicle Breakdown")</f>
        <v>Cancelled*Delayed Delivery:Vehicle Breakdown</v>
      </c>
      <c r="K128" s="14" t="str">
        <f>IFERROR(__xludf.DUMMYFUNCTION("split(E128,""+"")"),"Orange")</f>
        <v>Orange</v>
      </c>
      <c r="L128" s="14" t="str">
        <f>IFERROR(__xludf.DUMMYFUNCTION("""COMPUTED_VALUE"""),"2*Venu R")</f>
        <v>2*Venu R</v>
      </c>
      <c r="M128" s="14">
        <f>IFERROR(__xludf.DUMMYFUNCTION("SPLIT(L128,""*"")"),2.0)</f>
        <v>2</v>
      </c>
      <c r="N128" s="14" t="str">
        <f>IFERROR(__xludf.DUMMYFUNCTION("""COMPUTED_VALUE"""),"Venu R")</f>
        <v>Venu R</v>
      </c>
      <c r="O128" s="14" t="str">
        <f>IFERROR(__xludf.DUMMYFUNCTION("split(J128,""*"")"),"Cancelled")</f>
        <v>Cancelled</v>
      </c>
      <c r="P128" s="14" t="str">
        <f>IFERROR(__xludf.DUMMYFUNCTION("""COMPUTED_VALUE"""),"Delayed Delivery:Vehicle Breakdown")</f>
        <v>Delayed Delivery:Vehicle Breakdown</v>
      </c>
      <c r="Q128" s="14" t="str">
        <f>IFERROR(__xludf.DUMMYFUNCTION("split(P128,"":"")"),"Delayed Delivery")</f>
        <v>Delayed Delivery</v>
      </c>
      <c r="R128" s="14" t="str">
        <f>IFERROR(__xludf.DUMMYFUNCTION("""COMPUTED_VALUE"""),"Vehicle Breakdown")</f>
        <v>Vehicle Breakdown</v>
      </c>
      <c r="S128" s="14" t="str">
        <f t="shared" ref="S128:U128" si="259">trim(B128)</f>
        <v>ord_10127</v>
      </c>
      <c r="T128" s="14" t="str">
        <f t="shared" si="259"/>
        <v>Siya Reddy</v>
      </c>
      <c r="U128" s="14" t="str">
        <f t="shared" si="259"/>
        <v>Juhu</v>
      </c>
      <c r="V128" s="14" t="str">
        <f t="shared" si="4"/>
        <v>Orange</v>
      </c>
      <c r="W128" s="14">
        <f t="shared" si="5"/>
        <v>2</v>
      </c>
      <c r="X128" s="14" t="str">
        <f t="shared" si="6"/>
        <v>Venu R</v>
      </c>
      <c r="Y128" s="15">
        <f t="shared" si="7"/>
        <v>45245</v>
      </c>
      <c r="Z128" s="14" t="str">
        <f t="shared" si="8"/>
        <v>Online Payment</v>
      </c>
      <c r="AA128" s="14" t="str">
        <f t="shared" si="9"/>
        <v>Cancelled</v>
      </c>
      <c r="AB128" s="14" t="str">
        <f t="shared" ref="AB128:AC128" si="260">trim(Q128)</f>
        <v>Delayed Delivery</v>
      </c>
      <c r="AC128" s="14" t="str">
        <f t="shared" si="260"/>
        <v>Vehicle Breakdown</v>
      </c>
      <c r="AD128" s="8"/>
    </row>
    <row r="129">
      <c r="A129" s="14" t="str">
        <f>IFERROR(__xludf.DUMMYFUNCTION("""COMPUTED_VALUE"""),"//ord_10128//Pranav Joshi//Andheri//Tomato+1*Ramesh S/8/19/2023//Credit Card//Delivered*Quality of Items: Perfect condition")</f>
        <v>//ord_10128//Pranav Joshi//Andheri//Tomato+1*Ramesh S/8/19/2023//Credit Card//Delivered*Quality of Items: Perfect condition</v>
      </c>
      <c r="B129" s="14" t="str">
        <f>IFERROR(__xludf.DUMMYFUNCTION("split(A129,""//"")"),"ord_10128")</f>
        <v>ord_10128</v>
      </c>
      <c r="C129" s="14" t="str">
        <f>IFERROR(__xludf.DUMMYFUNCTION("""COMPUTED_VALUE"""),"Pranav Joshi")</f>
        <v>Pranav Joshi</v>
      </c>
      <c r="D129" s="14" t="str">
        <f>IFERROR(__xludf.DUMMYFUNCTION("""COMPUTED_VALUE"""),"Andheri")</f>
        <v>Andheri</v>
      </c>
      <c r="E129" s="14" t="str">
        <f>IFERROR(__xludf.DUMMYFUNCTION("""COMPUTED_VALUE"""),"Tomato+1*Ramesh S")</f>
        <v>Tomato+1*Ramesh S</v>
      </c>
      <c r="F129" s="14">
        <f>IFERROR(__xludf.DUMMYFUNCTION("""COMPUTED_VALUE"""),8.0)</f>
        <v>8</v>
      </c>
      <c r="G129" s="14">
        <f>IFERROR(__xludf.DUMMYFUNCTION("""COMPUTED_VALUE"""),19.0)</f>
        <v>19</v>
      </c>
      <c r="H129" s="14">
        <f>IFERROR(__xludf.DUMMYFUNCTION("""COMPUTED_VALUE"""),2023.0)</f>
        <v>2023</v>
      </c>
      <c r="I129" s="14" t="str">
        <f>IFERROR(__xludf.DUMMYFUNCTION("""COMPUTED_VALUE"""),"Credit Card")</f>
        <v>Credit Card</v>
      </c>
      <c r="J129" s="14" t="str">
        <f>IFERROR(__xludf.DUMMYFUNCTION("""COMPUTED_VALUE"""),"Delivered*Quality of Items: Perfect condition")</f>
        <v>Delivered*Quality of Items: Perfect condition</v>
      </c>
      <c r="K129" s="14" t="str">
        <f>IFERROR(__xludf.DUMMYFUNCTION("split(E129,""+"")"),"Tomato")</f>
        <v>Tomato</v>
      </c>
      <c r="L129" s="14" t="str">
        <f>IFERROR(__xludf.DUMMYFUNCTION("""COMPUTED_VALUE"""),"1*Ramesh S")</f>
        <v>1*Ramesh S</v>
      </c>
      <c r="M129" s="14">
        <f>IFERROR(__xludf.DUMMYFUNCTION("SPLIT(L129,""*"")"),1.0)</f>
        <v>1</v>
      </c>
      <c r="N129" s="14" t="str">
        <f>IFERROR(__xludf.DUMMYFUNCTION("""COMPUTED_VALUE"""),"Ramesh S")</f>
        <v>Ramesh S</v>
      </c>
      <c r="O129" s="14" t="str">
        <f>IFERROR(__xludf.DUMMYFUNCTION("split(J129,""*"")"),"Delivered")</f>
        <v>Delivered</v>
      </c>
      <c r="P129" s="14" t="str">
        <f>IFERROR(__xludf.DUMMYFUNCTION("""COMPUTED_VALUE"""),"Quality of Items: Perfect condition")</f>
        <v>Quality of Items: Perfect condition</v>
      </c>
      <c r="Q129" s="14" t="str">
        <f>IFERROR(__xludf.DUMMYFUNCTION("split(P129,"":"")"),"Quality of Items")</f>
        <v>Quality of Items</v>
      </c>
      <c r="R129" s="14" t="str">
        <f>IFERROR(__xludf.DUMMYFUNCTION("""COMPUTED_VALUE""")," Perfect condition")</f>
        <v> Perfect condition</v>
      </c>
      <c r="S129" s="14" t="str">
        <f t="shared" ref="S129:U129" si="261">trim(B129)</f>
        <v>ord_10128</v>
      </c>
      <c r="T129" s="14" t="str">
        <f t="shared" si="261"/>
        <v>Pranav Joshi</v>
      </c>
      <c r="U129" s="14" t="str">
        <f t="shared" si="261"/>
        <v>Andheri</v>
      </c>
      <c r="V129" s="14" t="str">
        <f t="shared" si="4"/>
        <v>Tomato</v>
      </c>
      <c r="W129" s="14">
        <f t="shared" si="5"/>
        <v>1</v>
      </c>
      <c r="X129" s="14" t="str">
        <f t="shared" si="6"/>
        <v>Ramesh S</v>
      </c>
      <c r="Y129" s="15">
        <f t="shared" si="7"/>
        <v>45157</v>
      </c>
      <c r="Z129" s="14" t="str">
        <f t="shared" si="8"/>
        <v>Credit Card</v>
      </c>
      <c r="AA129" s="14" t="str">
        <f t="shared" si="9"/>
        <v>Delivered</v>
      </c>
      <c r="AB129" s="14" t="str">
        <f t="shared" ref="AB129:AC129" si="262">trim(Q129)</f>
        <v>Quality of Items</v>
      </c>
      <c r="AC129" s="14" t="str">
        <f t="shared" si="262"/>
        <v>Perfect condition</v>
      </c>
      <c r="AD129" s="8"/>
    </row>
    <row r="130">
      <c r="A130" s="14" t="str">
        <f>IFERROR(__xludf.DUMMYFUNCTION("""COMPUTED_VALUE"""),"//ord_10129//Mehul Thakkar//Malad//Banana+2*Kiran Mehta/10/29/2023//Credit Card//Cancelled*Delayed Delivery:Heavy Traffic")</f>
        <v>//ord_10129//Mehul Thakkar//Malad//Banana+2*Kiran Mehta/10/29/2023//Credit Card//Cancelled*Delayed Delivery:Heavy Traffic</v>
      </c>
      <c r="B130" s="14" t="str">
        <f>IFERROR(__xludf.DUMMYFUNCTION("split(A130,""//"")"),"ord_10129")</f>
        <v>ord_10129</v>
      </c>
      <c r="C130" s="14" t="str">
        <f>IFERROR(__xludf.DUMMYFUNCTION("""COMPUTED_VALUE"""),"Mehul Thakkar")</f>
        <v>Mehul Thakkar</v>
      </c>
      <c r="D130" s="14" t="str">
        <f>IFERROR(__xludf.DUMMYFUNCTION("""COMPUTED_VALUE"""),"Malad")</f>
        <v>Malad</v>
      </c>
      <c r="E130" s="14" t="str">
        <f>IFERROR(__xludf.DUMMYFUNCTION("""COMPUTED_VALUE"""),"Banana+2*Kiran Mehta")</f>
        <v>Banana+2*Kiran Mehta</v>
      </c>
      <c r="F130" s="14">
        <f>IFERROR(__xludf.DUMMYFUNCTION("""COMPUTED_VALUE"""),10.0)</f>
        <v>10</v>
      </c>
      <c r="G130" s="14">
        <f>IFERROR(__xludf.DUMMYFUNCTION("""COMPUTED_VALUE"""),29.0)</f>
        <v>29</v>
      </c>
      <c r="H130" s="14">
        <f>IFERROR(__xludf.DUMMYFUNCTION("""COMPUTED_VALUE"""),2023.0)</f>
        <v>2023</v>
      </c>
      <c r="I130" s="14" t="str">
        <f>IFERROR(__xludf.DUMMYFUNCTION("""COMPUTED_VALUE"""),"Credit Card")</f>
        <v>Credit Card</v>
      </c>
      <c r="J130" s="14" t="str">
        <f>IFERROR(__xludf.DUMMYFUNCTION("""COMPUTED_VALUE"""),"Cancelled*Delayed Delivery:Heavy Traffic")</f>
        <v>Cancelled*Delayed Delivery:Heavy Traffic</v>
      </c>
      <c r="K130" s="14" t="str">
        <f>IFERROR(__xludf.DUMMYFUNCTION("split(E130,""+"")"),"Banana")</f>
        <v>Banana</v>
      </c>
      <c r="L130" s="14" t="str">
        <f>IFERROR(__xludf.DUMMYFUNCTION("""COMPUTED_VALUE"""),"2*Kiran Mehta")</f>
        <v>2*Kiran Mehta</v>
      </c>
      <c r="M130" s="14">
        <f>IFERROR(__xludf.DUMMYFUNCTION("SPLIT(L130,""*"")"),2.0)</f>
        <v>2</v>
      </c>
      <c r="N130" s="14" t="str">
        <f>IFERROR(__xludf.DUMMYFUNCTION("""COMPUTED_VALUE"""),"Kiran Mehta")</f>
        <v>Kiran Mehta</v>
      </c>
      <c r="O130" s="14" t="str">
        <f>IFERROR(__xludf.DUMMYFUNCTION("split(J130,""*"")"),"Cancelled")</f>
        <v>Cancelled</v>
      </c>
      <c r="P130" s="14" t="str">
        <f>IFERROR(__xludf.DUMMYFUNCTION("""COMPUTED_VALUE"""),"Delayed Delivery:Heavy Traffic")</f>
        <v>Delayed Delivery:Heavy Traffic</v>
      </c>
      <c r="Q130" s="14" t="str">
        <f>IFERROR(__xludf.DUMMYFUNCTION("split(P130,"":"")"),"Delayed Delivery")</f>
        <v>Delayed Delivery</v>
      </c>
      <c r="R130" s="14" t="str">
        <f>IFERROR(__xludf.DUMMYFUNCTION("""COMPUTED_VALUE"""),"Heavy Traffic")</f>
        <v>Heavy Traffic</v>
      </c>
      <c r="S130" s="14" t="str">
        <f t="shared" ref="S130:U130" si="263">trim(B130)</f>
        <v>ord_10129</v>
      </c>
      <c r="T130" s="14" t="str">
        <f t="shared" si="263"/>
        <v>Mehul Thakkar</v>
      </c>
      <c r="U130" s="14" t="str">
        <f t="shared" si="263"/>
        <v>Malad</v>
      </c>
      <c r="V130" s="14" t="str">
        <f t="shared" si="4"/>
        <v>Banana</v>
      </c>
      <c r="W130" s="14">
        <f t="shared" si="5"/>
        <v>2</v>
      </c>
      <c r="X130" s="14" t="str">
        <f t="shared" si="6"/>
        <v>Kiran Mehta</v>
      </c>
      <c r="Y130" s="15">
        <f t="shared" si="7"/>
        <v>45228</v>
      </c>
      <c r="Z130" s="14" t="str">
        <f t="shared" si="8"/>
        <v>Credit Card</v>
      </c>
      <c r="AA130" s="14" t="str">
        <f t="shared" si="9"/>
        <v>Cancelled</v>
      </c>
      <c r="AB130" s="14" t="str">
        <f t="shared" ref="AB130:AC130" si="264">trim(Q130)</f>
        <v>Delayed Delivery</v>
      </c>
      <c r="AC130" s="14" t="str">
        <f t="shared" si="264"/>
        <v>Heavy Traffic</v>
      </c>
      <c r="AD130" s="8"/>
    </row>
    <row r="131">
      <c r="A131" s="14" t="str">
        <f>IFERROR(__xludf.DUMMYFUNCTION("""COMPUTED_VALUE"""),"//ord_10130//Aarohi Kapoor//Bandra//Potato+1*Not Assigned/8/1/2023//Credit Card//Cancelled*Out of Stock")</f>
        <v>//ord_10130//Aarohi Kapoor//Bandra//Potato+1*Not Assigned/8/1/2023//Credit Card//Cancelled*Out of Stock</v>
      </c>
      <c r="B131" s="14" t="str">
        <f>IFERROR(__xludf.DUMMYFUNCTION("split(A131,""//"")"),"ord_10130")</f>
        <v>ord_10130</v>
      </c>
      <c r="C131" s="14" t="str">
        <f>IFERROR(__xludf.DUMMYFUNCTION("""COMPUTED_VALUE"""),"Aarohi Kapoor")</f>
        <v>Aarohi Kapoor</v>
      </c>
      <c r="D131" s="14" t="str">
        <f>IFERROR(__xludf.DUMMYFUNCTION("""COMPUTED_VALUE"""),"Bandra")</f>
        <v>Bandra</v>
      </c>
      <c r="E131" s="14" t="str">
        <f>IFERROR(__xludf.DUMMYFUNCTION("""COMPUTED_VALUE"""),"Potato+1*Not Assigned")</f>
        <v>Potato+1*Not Assigned</v>
      </c>
      <c r="F131" s="14">
        <f>IFERROR(__xludf.DUMMYFUNCTION("""COMPUTED_VALUE"""),8.0)</f>
        <v>8</v>
      </c>
      <c r="G131" s="14">
        <f>IFERROR(__xludf.DUMMYFUNCTION("""COMPUTED_VALUE"""),1.0)</f>
        <v>1</v>
      </c>
      <c r="H131" s="14">
        <f>IFERROR(__xludf.DUMMYFUNCTION("""COMPUTED_VALUE"""),2023.0)</f>
        <v>2023</v>
      </c>
      <c r="I131" s="14" t="str">
        <f>IFERROR(__xludf.DUMMYFUNCTION("""COMPUTED_VALUE"""),"Credit Card")</f>
        <v>Credit Card</v>
      </c>
      <c r="J131" s="14" t="str">
        <f>IFERROR(__xludf.DUMMYFUNCTION("""COMPUTED_VALUE"""),"Cancelled*Out of Stock")</f>
        <v>Cancelled*Out of Stock</v>
      </c>
      <c r="K131" s="14" t="str">
        <f>IFERROR(__xludf.DUMMYFUNCTION("split(E131,""+"")"),"Potato")</f>
        <v>Potato</v>
      </c>
      <c r="L131" s="14" t="str">
        <f>IFERROR(__xludf.DUMMYFUNCTION("""COMPUTED_VALUE"""),"1*Not Assigned")</f>
        <v>1*Not Assigned</v>
      </c>
      <c r="M131" s="14">
        <f>IFERROR(__xludf.DUMMYFUNCTION("SPLIT(L131,""*"")"),1.0)</f>
        <v>1</v>
      </c>
      <c r="N131" s="14" t="str">
        <f>IFERROR(__xludf.DUMMYFUNCTION("""COMPUTED_VALUE"""),"Not Assigned")</f>
        <v>Not Assigned</v>
      </c>
      <c r="O131" s="14" t="str">
        <f>IFERROR(__xludf.DUMMYFUNCTION("split(J131,""*"")"),"Cancelled")</f>
        <v>Cancelled</v>
      </c>
      <c r="P131" s="14" t="str">
        <f>IFERROR(__xludf.DUMMYFUNCTION("""COMPUTED_VALUE"""),"Out of Stock")</f>
        <v>Out of Stock</v>
      </c>
      <c r="Q131" s="14" t="str">
        <f>IFERROR(__xludf.DUMMYFUNCTION("split(P131,"":"")"),"Out of Stock")</f>
        <v>Out of Stock</v>
      </c>
      <c r="R131" s="14"/>
      <c r="S131" s="14" t="str">
        <f t="shared" ref="S131:U131" si="265">trim(B131)</f>
        <v>ord_10130</v>
      </c>
      <c r="T131" s="14" t="str">
        <f t="shared" si="265"/>
        <v>Aarohi Kapoor</v>
      </c>
      <c r="U131" s="14" t="str">
        <f t="shared" si="265"/>
        <v>Bandra</v>
      </c>
      <c r="V131" s="14" t="str">
        <f t="shared" si="4"/>
        <v>Potato</v>
      </c>
      <c r="W131" s="14">
        <f t="shared" si="5"/>
        <v>1</v>
      </c>
      <c r="X131" s="14" t="str">
        <f t="shared" si="6"/>
        <v>Not Assigned</v>
      </c>
      <c r="Y131" s="15">
        <f t="shared" si="7"/>
        <v>45139</v>
      </c>
      <c r="Z131" s="14" t="str">
        <f t="shared" si="8"/>
        <v>Credit Card</v>
      </c>
      <c r="AA131" s="14" t="str">
        <f t="shared" si="9"/>
        <v>Cancelled</v>
      </c>
      <c r="AB131" s="14" t="str">
        <f t="shared" ref="AB131:AC131" si="266">trim(Q131)</f>
        <v>Out of Stock</v>
      </c>
      <c r="AC131" s="14" t="str">
        <f t="shared" si="266"/>
        <v/>
      </c>
      <c r="AD131" s="8"/>
    </row>
    <row r="132">
      <c r="A132" s="14" t="str">
        <f>IFERROR(__xludf.DUMMYFUNCTION("""COMPUTED_VALUE"""),"//ord_10131//Kritika Shetty//Malad//Apple+2*Vivek Kumar/1/20/2023//Online Payment//Cancelled*Delayed Delivery:Vehicle Breakdown")</f>
        <v>//ord_10131//Kritika Shetty//Malad//Apple+2*Vivek Kumar/1/20/2023//Online Payment//Cancelled*Delayed Delivery:Vehicle Breakdown</v>
      </c>
      <c r="B132" s="14" t="str">
        <f>IFERROR(__xludf.DUMMYFUNCTION("split(A132,""//"")"),"ord_10131")</f>
        <v>ord_10131</v>
      </c>
      <c r="C132" s="14" t="str">
        <f>IFERROR(__xludf.DUMMYFUNCTION("""COMPUTED_VALUE"""),"Kritika Shetty")</f>
        <v>Kritika Shetty</v>
      </c>
      <c r="D132" s="14" t="str">
        <f>IFERROR(__xludf.DUMMYFUNCTION("""COMPUTED_VALUE"""),"Malad")</f>
        <v>Malad</v>
      </c>
      <c r="E132" s="14" t="str">
        <f>IFERROR(__xludf.DUMMYFUNCTION("""COMPUTED_VALUE"""),"Apple+2*Vivek Kumar")</f>
        <v>Apple+2*Vivek Kumar</v>
      </c>
      <c r="F132" s="14">
        <f>IFERROR(__xludf.DUMMYFUNCTION("""COMPUTED_VALUE"""),1.0)</f>
        <v>1</v>
      </c>
      <c r="G132" s="14">
        <f>IFERROR(__xludf.DUMMYFUNCTION("""COMPUTED_VALUE"""),20.0)</f>
        <v>20</v>
      </c>
      <c r="H132" s="14">
        <f>IFERROR(__xludf.DUMMYFUNCTION("""COMPUTED_VALUE"""),2023.0)</f>
        <v>2023</v>
      </c>
      <c r="I132" s="14" t="str">
        <f>IFERROR(__xludf.DUMMYFUNCTION("""COMPUTED_VALUE"""),"Online Payment")</f>
        <v>Online Payment</v>
      </c>
      <c r="J132" s="14" t="str">
        <f>IFERROR(__xludf.DUMMYFUNCTION("""COMPUTED_VALUE"""),"Cancelled*Delayed Delivery:Vehicle Breakdown")</f>
        <v>Cancelled*Delayed Delivery:Vehicle Breakdown</v>
      </c>
      <c r="K132" s="14" t="str">
        <f>IFERROR(__xludf.DUMMYFUNCTION("split(E132,""+"")"),"Apple")</f>
        <v>Apple</v>
      </c>
      <c r="L132" s="14" t="str">
        <f>IFERROR(__xludf.DUMMYFUNCTION("""COMPUTED_VALUE"""),"2*Vivek Kumar")</f>
        <v>2*Vivek Kumar</v>
      </c>
      <c r="M132" s="14">
        <f>IFERROR(__xludf.DUMMYFUNCTION("SPLIT(L132,""*"")"),2.0)</f>
        <v>2</v>
      </c>
      <c r="N132" s="14" t="str">
        <f>IFERROR(__xludf.DUMMYFUNCTION("""COMPUTED_VALUE"""),"Vivek Kumar")</f>
        <v>Vivek Kumar</v>
      </c>
      <c r="O132" s="14" t="str">
        <f>IFERROR(__xludf.DUMMYFUNCTION("split(J132,""*"")"),"Cancelled")</f>
        <v>Cancelled</v>
      </c>
      <c r="P132" s="14" t="str">
        <f>IFERROR(__xludf.DUMMYFUNCTION("""COMPUTED_VALUE"""),"Delayed Delivery:Vehicle Breakdown")</f>
        <v>Delayed Delivery:Vehicle Breakdown</v>
      </c>
      <c r="Q132" s="14" t="str">
        <f>IFERROR(__xludf.DUMMYFUNCTION("split(P132,"":"")"),"Delayed Delivery")</f>
        <v>Delayed Delivery</v>
      </c>
      <c r="R132" s="14" t="str">
        <f>IFERROR(__xludf.DUMMYFUNCTION("""COMPUTED_VALUE"""),"Vehicle Breakdown")</f>
        <v>Vehicle Breakdown</v>
      </c>
      <c r="S132" s="14" t="str">
        <f t="shared" ref="S132:U132" si="267">trim(B132)</f>
        <v>ord_10131</v>
      </c>
      <c r="T132" s="14" t="str">
        <f t="shared" si="267"/>
        <v>Kritika Shetty</v>
      </c>
      <c r="U132" s="14" t="str">
        <f t="shared" si="267"/>
        <v>Malad</v>
      </c>
      <c r="V132" s="14" t="str">
        <f t="shared" si="4"/>
        <v>Apple</v>
      </c>
      <c r="W132" s="14">
        <f t="shared" si="5"/>
        <v>2</v>
      </c>
      <c r="X132" s="14" t="str">
        <f t="shared" si="6"/>
        <v>Vivek Kumar</v>
      </c>
      <c r="Y132" s="15">
        <f t="shared" si="7"/>
        <v>44946</v>
      </c>
      <c r="Z132" s="14" t="str">
        <f t="shared" si="8"/>
        <v>Online Payment</v>
      </c>
      <c r="AA132" s="14" t="str">
        <f t="shared" si="9"/>
        <v>Cancelled</v>
      </c>
      <c r="AB132" s="14" t="str">
        <f t="shared" ref="AB132:AC132" si="268">trim(Q132)</f>
        <v>Delayed Delivery</v>
      </c>
      <c r="AC132" s="14" t="str">
        <f t="shared" si="268"/>
        <v>Vehicle Breakdown</v>
      </c>
      <c r="AD132" s="8"/>
    </row>
    <row r="133">
      <c r="A133" s="14" t="str">
        <f>IFERROR(__xludf.DUMMYFUNCTION("""COMPUTED_VALUE"""),"//ord_10132//Mohit Malhotra//Lower Parel//Onion+2*Not Assigned/11/10/2023//Credit Card//Cancelled*Payment Issues")</f>
        <v>//ord_10132//Mohit Malhotra//Lower Parel//Onion+2*Not Assigned/11/10/2023//Credit Card//Cancelled*Payment Issues</v>
      </c>
      <c r="B133" s="14" t="str">
        <f>IFERROR(__xludf.DUMMYFUNCTION("split(A133,""//"")"),"ord_10132")</f>
        <v>ord_10132</v>
      </c>
      <c r="C133" s="14" t="str">
        <f>IFERROR(__xludf.DUMMYFUNCTION("""COMPUTED_VALUE"""),"Mohit Malhotra")</f>
        <v>Mohit Malhotra</v>
      </c>
      <c r="D133" s="14" t="str">
        <f>IFERROR(__xludf.DUMMYFUNCTION("""COMPUTED_VALUE"""),"Lower Parel")</f>
        <v>Lower Parel</v>
      </c>
      <c r="E133" s="14" t="str">
        <f>IFERROR(__xludf.DUMMYFUNCTION("""COMPUTED_VALUE"""),"Onion+2*Not Assigned")</f>
        <v>Onion+2*Not Assigned</v>
      </c>
      <c r="F133" s="14">
        <f>IFERROR(__xludf.DUMMYFUNCTION("""COMPUTED_VALUE"""),11.0)</f>
        <v>11</v>
      </c>
      <c r="G133" s="14">
        <f>IFERROR(__xludf.DUMMYFUNCTION("""COMPUTED_VALUE"""),10.0)</f>
        <v>10</v>
      </c>
      <c r="H133" s="14">
        <f>IFERROR(__xludf.DUMMYFUNCTION("""COMPUTED_VALUE"""),2023.0)</f>
        <v>2023</v>
      </c>
      <c r="I133" s="14" t="str">
        <f>IFERROR(__xludf.DUMMYFUNCTION("""COMPUTED_VALUE"""),"Credit Card")</f>
        <v>Credit Card</v>
      </c>
      <c r="J133" s="14" t="str">
        <f>IFERROR(__xludf.DUMMYFUNCTION("""COMPUTED_VALUE"""),"Cancelled*Payment Issues")</f>
        <v>Cancelled*Payment Issues</v>
      </c>
      <c r="K133" s="14" t="str">
        <f>IFERROR(__xludf.DUMMYFUNCTION("split(E133,""+"")"),"Onion")</f>
        <v>Onion</v>
      </c>
      <c r="L133" s="14" t="str">
        <f>IFERROR(__xludf.DUMMYFUNCTION("""COMPUTED_VALUE"""),"2*Not Assigned")</f>
        <v>2*Not Assigned</v>
      </c>
      <c r="M133" s="14">
        <f>IFERROR(__xludf.DUMMYFUNCTION("SPLIT(L133,""*"")"),2.0)</f>
        <v>2</v>
      </c>
      <c r="N133" s="14" t="str">
        <f>IFERROR(__xludf.DUMMYFUNCTION("""COMPUTED_VALUE"""),"Not Assigned")</f>
        <v>Not Assigned</v>
      </c>
      <c r="O133" s="14" t="str">
        <f>IFERROR(__xludf.DUMMYFUNCTION("split(J133,""*"")"),"Cancelled")</f>
        <v>Cancelled</v>
      </c>
      <c r="P133" s="14" t="str">
        <f>IFERROR(__xludf.DUMMYFUNCTION("""COMPUTED_VALUE"""),"Payment Issues")</f>
        <v>Payment Issues</v>
      </c>
      <c r="Q133" s="14" t="str">
        <f>IFERROR(__xludf.DUMMYFUNCTION("split(P133,"":"")"),"Payment Issues")</f>
        <v>Payment Issues</v>
      </c>
      <c r="R133" s="14"/>
      <c r="S133" s="14" t="str">
        <f t="shared" ref="S133:U133" si="269">trim(B133)</f>
        <v>ord_10132</v>
      </c>
      <c r="T133" s="14" t="str">
        <f t="shared" si="269"/>
        <v>Mohit Malhotra</v>
      </c>
      <c r="U133" s="14" t="str">
        <f t="shared" si="269"/>
        <v>Lower Parel</v>
      </c>
      <c r="V133" s="14" t="str">
        <f t="shared" si="4"/>
        <v>Onion</v>
      </c>
      <c r="W133" s="14">
        <f t="shared" si="5"/>
        <v>2</v>
      </c>
      <c r="X133" s="14" t="str">
        <f t="shared" si="6"/>
        <v>Not Assigned</v>
      </c>
      <c r="Y133" s="15">
        <f t="shared" si="7"/>
        <v>45240</v>
      </c>
      <c r="Z133" s="14" t="str">
        <f t="shared" si="8"/>
        <v>Credit Card</v>
      </c>
      <c r="AA133" s="14" t="str">
        <f t="shared" si="9"/>
        <v>Cancelled</v>
      </c>
      <c r="AB133" s="14" t="str">
        <f t="shared" ref="AB133:AC133" si="270">trim(Q133)</f>
        <v>Payment Issues</v>
      </c>
      <c r="AC133" s="14" t="str">
        <f t="shared" si="270"/>
        <v/>
      </c>
      <c r="AD133" s="8"/>
    </row>
    <row r="134">
      <c r="A134" s="14" t="str">
        <f>IFERROR(__xludf.DUMMYFUNCTION("""COMPUTED_VALUE"""),"//ord_10133//Anaya Rao//Colaba//Sweet Corn+2*Ram Gopal/5/28/2023//Credit Card//Delivered*Packaging: Secure and intact")</f>
        <v>//ord_10133//Anaya Rao//Colaba//Sweet Corn+2*Ram Gopal/5/28/2023//Credit Card//Delivered*Packaging: Secure and intact</v>
      </c>
      <c r="B134" s="14" t="str">
        <f>IFERROR(__xludf.DUMMYFUNCTION("split(A134,""//"")"),"ord_10133")</f>
        <v>ord_10133</v>
      </c>
      <c r="C134" s="14" t="str">
        <f>IFERROR(__xludf.DUMMYFUNCTION("""COMPUTED_VALUE"""),"Anaya Rao")</f>
        <v>Anaya Rao</v>
      </c>
      <c r="D134" s="14" t="str">
        <f>IFERROR(__xludf.DUMMYFUNCTION("""COMPUTED_VALUE"""),"Colaba")</f>
        <v>Colaba</v>
      </c>
      <c r="E134" s="14" t="str">
        <f>IFERROR(__xludf.DUMMYFUNCTION("""COMPUTED_VALUE"""),"Sweet Corn+2*Ram Gopal")</f>
        <v>Sweet Corn+2*Ram Gopal</v>
      </c>
      <c r="F134" s="14">
        <f>IFERROR(__xludf.DUMMYFUNCTION("""COMPUTED_VALUE"""),5.0)</f>
        <v>5</v>
      </c>
      <c r="G134" s="14">
        <f>IFERROR(__xludf.DUMMYFUNCTION("""COMPUTED_VALUE"""),28.0)</f>
        <v>28</v>
      </c>
      <c r="H134" s="14">
        <f>IFERROR(__xludf.DUMMYFUNCTION("""COMPUTED_VALUE"""),2023.0)</f>
        <v>2023</v>
      </c>
      <c r="I134" s="14" t="str">
        <f>IFERROR(__xludf.DUMMYFUNCTION("""COMPUTED_VALUE"""),"Credit Card")</f>
        <v>Credit Card</v>
      </c>
      <c r="J134" s="14" t="str">
        <f>IFERROR(__xludf.DUMMYFUNCTION("""COMPUTED_VALUE"""),"Delivered*Packaging: Secure and intact")</f>
        <v>Delivered*Packaging: Secure and intact</v>
      </c>
      <c r="K134" s="14" t="str">
        <f>IFERROR(__xludf.DUMMYFUNCTION("split(E134,""+"")"),"Sweet Corn")</f>
        <v>Sweet Corn</v>
      </c>
      <c r="L134" s="14" t="str">
        <f>IFERROR(__xludf.DUMMYFUNCTION("""COMPUTED_VALUE"""),"2*Ram Gopal")</f>
        <v>2*Ram Gopal</v>
      </c>
      <c r="M134" s="14">
        <f>IFERROR(__xludf.DUMMYFUNCTION("SPLIT(L134,""*"")"),2.0)</f>
        <v>2</v>
      </c>
      <c r="N134" s="14" t="str">
        <f>IFERROR(__xludf.DUMMYFUNCTION("""COMPUTED_VALUE"""),"Ram Gopal")</f>
        <v>Ram Gopal</v>
      </c>
      <c r="O134" s="14" t="str">
        <f>IFERROR(__xludf.DUMMYFUNCTION("split(J134,""*"")"),"Delivered")</f>
        <v>Delivered</v>
      </c>
      <c r="P134" s="14" t="str">
        <f>IFERROR(__xludf.DUMMYFUNCTION("""COMPUTED_VALUE"""),"Packaging: Secure and intact")</f>
        <v>Packaging: Secure and intact</v>
      </c>
      <c r="Q134" s="14" t="str">
        <f>IFERROR(__xludf.DUMMYFUNCTION("split(P134,"":"")"),"Packaging")</f>
        <v>Packaging</v>
      </c>
      <c r="R134" s="14" t="str">
        <f>IFERROR(__xludf.DUMMYFUNCTION("""COMPUTED_VALUE""")," Secure and intact")</f>
        <v> Secure and intact</v>
      </c>
      <c r="S134" s="14" t="str">
        <f t="shared" ref="S134:U134" si="271">trim(B134)</f>
        <v>ord_10133</v>
      </c>
      <c r="T134" s="14" t="str">
        <f t="shared" si="271"/>
        <v>Anaya Rao</v>
      </c>
      <c r="U134" s="14" t="str">
        <f t="shared" si="271"/>
        <v>Colaba</v>
      </c>
      <c r="V134" s="14" t="str">
        <f t="shared" si="4"/>
        <v>Sweet Corn</v>
      </c>
      <c r="W134" s="14">
        <f t="shared" si="5"/>
        <v>2</v>
      </c>
      <c r="X134" s="14" t="str">
        <f t="shared" si="6"/>
        <v>Ram Gopal</v>
      </c>
      <c r="Y134" s="15">
        <f t="shared" si="7"/>
        <v>45074</v>
      </c>
      <c r="Z134" s="14" t="str">
        <f t="shared" si="8"/>
        <v>Credit Card</v>
      </c>
      <c r="AA134" s="14" t="str">
        <f t="shared" si="9"/>
        <v>Delivered</v>
      </c>
      <c r="AB134" s="14" t="str">
        <f t="shared" ref="AB134:AC134" si="272">trim(Q134)</f>
        <v>Packaging</v>
      </c>
      <c r="AC134" s="14" t="str">
        <f t="shared" si="272"/>
        <v>Secure and intact</v>
      </c>
      <c r="AD134" s="8"/>
    </row>
    <row r="135">
      <c r="A135" s="14" t="str">
        <f>IFERROR(__xludf.DUMMYFUNCTION("""COMPUTED_VALUE"""),"//ord_10134//Diya Arora//Lower Parel//Cold Coffee+4*Kiran Mehta/12/17/2023//UPI//Delivered*Satisfied with the Delivery: Timely and quality")</f>
        <v>//ord_10134//Diya Arora//Lower Parel//Cold Coffee+4*Kiran Mehta/12/17/2023//UPI//Delivered*Satisfied with the Delivery: Timely and quality</v>
      </c>
      <c r="B135" s="14" t="str">
        <f>IFERROR(__xludf.DUMMYFUNCTION("split(A135,""//"")"),"ord_10134")</f>
        <v>ord_10134</v>
      </c>
      <c r="C135" s="14" t="str">
        <f>IFERROR(__xludf.DUMMYFUNCTION("""COMPUTED_VALUE"""),"Diya Arora")</f>
        <v>Diya Arora</v>
      </c>
      <c r="D135" s="14" t="str">
        <f>IFERROR(__xludf.DUMMYFUNCTION("""COMPUTED_VALUE"""),"Lower Parel")</f>
        <v>Lower Parel</v>
      </c>
      <c r="E135" s="14" t="str">
        <f>IFERROR(__xludf.DUMMYFUNCTION("""COMPUTED_VALUE"""),"Cold Coffee+4*Kiran Mehta")</f>
        <v>Cold Coffee+4*Kiran Mehta</v>
      </c>
      <c r="F135" s="14">
        <f>IFERROR(__xludf.DUMMYFUNCTION("""COMPUTED_VALUE"""),12.0)</f>
        <v>12</v>
      </c>
      <c r="G135" s="14">
        <f>IFERROR(__xludf.DUMMYFUNCTION("""COMPUTED_VALUE"""),17.0)</f>
        <v>17</v>
      </c>
      <c r="H135" s="14">
        <f>IFERROR(__xludf.DUMMYFUNCTION("""COMPUTED_VALUE"""),2023.0)</f>
        <v>2023</v>
      </c>
      <c r="I135" s="14" t="str">
        <f>IFERROR(__xludf.DUMMYFUNCTION("""COMPUTED_VALUE"""),"UPI")</f>
        <v>UPI</v>
      </c>
      <c r="J135" s="14" t="str">
        <f>IFERROR(__xludf.DUMMYFUNCTION("""COMPUTED_VALUE"""),"Delivered*Satisfied with the Delivery: Timely and quality")</f>
        <v>Delivered*Satisfied with the Delivery: Timely and quality</v>
      </c>
      <c r="K135" s="14" t="str">
        <f>IFERROR(__xludf.DUMMYFUNCTION("split(E135,""+"")"),"Cold Coffee")</f>
        <v>Cold Coffee</v>
      </c>
      <c r="L135" s="14" t="str">
        <f>IFERROR(__xludf.DUMMYFUNCTION("""COMPUTED_VALUE"""),"4*Kiran Mehta")</f>
        <v>4*Kiran Mehta</v>
      </c>
      <c r="M135" s="14">
        <f>IFERROR(__xludf.DUMMYFUNCTION("SPLIT(L135,""*"")"),4.0)</f>
        <v>4</v>
      </c>
      <c r="N135" s="14" t="str">
        <f>IFERROR(__xludf.DUMMYFUNCTION("""COMPUTED_VALUE"""),"Kiran Mehta")</f>
        <v>Kiran Mehta</v>
      </c>
      <c r="O135" s="14" t="str">
        <f>IFERROR(__xludf.DUMMYFUNCTION("split(J135,""*"")"),"Delivered")</f>
        <v>Delivered</v>
      </c>
      <c r="P135" s="14" t="str">
        <f>IFERROR(__xludf.DUMMYFUNCTION("""COMPUTED_VALUE"""),"Satisfied with the Delivery: Timely and quality")</f>
        <v>Satisfied with the Delivery: Timely and quality</v>
      </c>
      <c r="Q135" s="14" t="str">
        <f>IFERROR(__xludf.DUMMYFUNCTION("split(P135,"":"")"),"Satisfied with the Delivery")</f>
        <v>Satisfied with the Delivery</v>
      </c>
      <c r="R135" s="14" t="str">
        <f>IFERROR(__xludf.DUMMYFUNCTION("""COMPUTED_VALUE""")," Timely and quality")</f>
        <v> Timely and quality</v>
      </c>
      <c r="S135" s="14" t="str">
        <f t="shared" ref="S135:U135" si="273">trim(B135)</f>
        <v>ord_10134</v>
      </c>
      <c r="T135" s="14" t="str">
        <f t="shared" si="273"/>
        <v>Diya Arora</v>
      </c>
      <c r="U135" s="14" t="str">
        <f t="shared" si="273"/>
        <v>Lower Parel</v>
      </c>
      <c r="V135" s="14" t="str">
        <f t="shared" si="4"/>
        <v>Cold Coffee</v>
      </c>
      <c r="W135" s="14">
        <f t="shared" si="5"/>
        <v>4</v>
      </c>
      <c r="X135" s="14" t="str">
        <f t="shared" si="6"/>
        <v>Kiran Mehta</v>
      </c>
      <c r="Y135" s="15">
        <f t="shared" si="7"/>
        <v>45277</v>
      </c>
      <c r="Z135" s="14" t="str">
        <f t="shared" si="8"/>
        <v>UPI</v>
      </c>
      <c r="AA135" s="14" t="str">
        <f t="shared" si="9"/>
        <v>Delivered</v>
      </c>
      <c r="AB135" s="14" t="str">
        <f t="shared" ref="AB135:AC135" si="274">trim(Q135)</f>
        <v>Satisfied with the Delivery</v>
      </c>
      <c r="AC135" s="14" t="str">
        <f t="shared" si="274"/>
        <v>Timely and quality</v>
      </c>
      <c r="AD135" s="8"/>
    </row>
    <row r="136">
      <c r="A136" s="14" t="str">
        <f>IFERROR(__xludf.DUMMYFUNCTION("""COMPUTED_VALUE"""),"//ord_13135//Tanishq Bansal//Powai//Orange+2*Ram Gopal/7/12/2023//COD//Delivered*Customer Service: Seamless and easy")</f>
        <v>//ord_13135//Tanishq Bansal//Powai//Orange+2*Ram Gopal/7/12/2023//COD//Delivered*Customer Service: Seamless and easy</v>
      </c>
      <c r="B136" s="14" t="str">
        <f>IFERROR(__xludf.DUMMYFUNCTION("split(A136,""//"")"),"ord_13135")</f>
        <v>ord_13135</v>
      </c>
      <c r="C136" s="14" t="str">
        <f>IFERROR(__xludf.DUMMYFUNCTION("""COMPUTED_VALUE"""),"Tanishq Bansal")</f>
        <v>Tanishq Bansal</v>
      </c>
      <c r="D136" s="14" t="str">
        <f>IFERROR(__xludf.DUMMYFUNCTION("""COMPUTED_VALUE"""),"Powai")</f>
        <v>Powai</v>
      </c>
      <c r="E136" s="14" t="str">
        <f>IFERROR(__xludf.DUMMYFUNCTION("""COMPUTED_VALUE"""),"Orange+2*Ram Gopal")</f>
        <v>Orange+2*Ram Gopal</v>
      </c>
      <c r="F136" s="14">
        <f>IFERROR(__xludf.DUMMYFUNCTION("""COMPUTED_VALUE"""),7.0)</f>
        <v>7</v>
      </c>
      <c r="G136" s="14">
        <f>IFERROR(__xludf.DUMMYFUNCTION("""COMPUTED_VALUE"""),12.0)</f>
        <v>12</v>
      </c>
      <c r="H136" s="14">
        <f>IFERROR(__xludf.DUMMYFUNCTION("""COMPUTED_VALUE"""),2023.0)</f>
        <v>2023</v>
      </c>
      <c r="I136" s="14" t="str">
        <f>IFERROR(__xludf.DUMMYFUNCTION("""COMPUTED_VALUE"""),"COD")</f>
        <v>COD</v>
      </c>
      <c r="J136" s="14" t="str">
        <f>IFERROR(__xludf.DUMMYFUNCTION("""COMPUTED_VALUE"""),"Delivered*Customer Service: Seamless and easy")</f>
        <v>Delivered*Customer Service: Seamless and easy</v>
      </c>
      <c r="K136" s="14" t="str">
        <f>IFERROR(__xludf.DUMMYFUNCTION("split(E136,""+"")"),"Orange")</f>
        <v>Orange</v>
      </c>
      <c r="L136" s="14" t="str">
        <f>IFERROR(__xludf.DUMMYFUNCTION("""COMPUTED_VALUE"""),"2*Ram Gopal")</f>
        <v>2*Ram Gopal</v>
      </c>
      <c r="M136" s="14">
        <f>IFERROR(__xludf.DUMMYFUNCTION("SPLIT(L136,""*"")"),2.0)</f>
        <v>2</v>
      </c>
      <c r="N136" s="14" t="str">
        <f>IFERROR(__xludf.DUMMYFUNCTION("""COMPUTED_VALUE"""),"Ram Gopal")</f>
        <v>Ram Gopal</v>
      </c>
      <c r="O136" s="14" t="str">
        <f>IFERROR(__xludf.DUMMYFUNCTION("split(J136,""*"")"),"Delivered")</f>
        <v>Delivered</v>
      </c>
      <c r="P136" s="14" t="str">
        <f>IFERROR(__xludf.DUMMYFUNCTION("""COMPUTED_VALUE"""),"Customer Service: Seamless and easy")</f>
        <v>Customer Service: Seamless and easy</v>
      </c>
      <c r="Q136" s="14" t="str">
        <f>IFERROR(__xludf.DUMMYFUNCTION("split(P136,"":"")"),"Customer Service")</f>
        <v>Customer Service</v>
      </c>
      <c r="R136" s="14" t="str">
        <f>IFERROR(__xludf.DUMMYFUNCTION("""COMPUTED_VALUE""")," Seamless and easy")</f>
        <v> Seamless and easy</v>
      </c>
      <c r="S136" s="14" t="str">
        <f t="shared" ref="S136:U136" si="275">trim(B136)</f>
        <v>ord_13135</v>
      </c>
      <c r="T136" s="14" t="str">
        <f t="shared" si="275"/>
        <v>Tanishq Bansal</v>
      </c>
      <c r="U136" s="14" t="str">
        <f t="shared" si="275"/>
        <v>Powai</v>
      </c>
      <c r="V136" s="14" t="str">
        <f t="shared" si="4"/>
        <v>Orange</v>
      </c>
      <c r="W136" s="14">
        <f t="shared" si="5"/>
        <v>2</v>
      </c>
      <c r="X136" s="14" t="str">
        <f t="shared" si="6"/>
        <v>Ram Gopal</v>
      </c>
      <c r="Y136" s="15">
        <f t="shared" si="7"/>
        <v>45119</v>
      </c>
      <c r="Z136" s="14" t="str">
        <f t="shared" si="8"/>
        <v>COD</v>
      </c>
      <c r="AA136" s="14" t="str">
        <f t="shared" si="9"/>
        <v>Delivered</v>
      </c>
      <c r="AB136" s="14" t="str">
        <f t="shared" ref="AB136:AC136" si="276">trim(Q136)</f>
        <v>Customer Service</v>
      </c>
      <c r="AC136" s="14" t="str">
        <f t="shared" si="276"/>
        <v>Seamless and easy</v>
      </c>
      <c r="AD136" s="8"/>
    </row>
    <row r="137">
      <c r="A137" s="14" t="str">
        <f>IFERROR(__xludf.DUMMYFUNCTION("""COMPUTED_VALUE"""),"//ord_10136//Ishaan Chaturvedi//Bandra//Cold Coffee+3*Not Assigned/5/11/2023//Credit Card//Cancelled*Payment Issues")</f>
        <v>//ord_10136//Ishaan Chaturvedi//Bandra//Cold Coffee+3*Not Assigned/5/11/2023//Credit Card//Cancelled*Payment Issues</v>
      </c>
      <c r="B137" s="14" t="str">
        <f>IFERROR(__xludf.DUMMYFUNCTION("split(A137,""//"")"),"ord_10136")</f>
        <v>ord_10136</v>
      </c>
      <c r="C137" s="14" t="str">
        <f>IFERROR(__xludf.DUMMYFUNCTION("""COMPUTED_VALUE"""),"Ishaan Chaturvedi")</f>
        <v>Ishaan Chaturvedi</v>
      </c>
      <c r="D137" s="14" t="str">
        <f>IFERROR(__xludf.DUMMYFUNCTION("""COMPUTED_VALUE"""),"Bandra")</f>
        <v>Bandra</v>
      </c>
      <c r="E137" s="14" t="str">
        <f>IFERROR(__xludf.DUMMYFUNCTION("""COMPUTED_VALUE"""),"Cold Coffee+3*Not Assigned")</f>
        <v>Cold Coffee+3*Not Assigned</v>
      </c>
      <c r="F137" s="14">
        <f>IFERROR(__xludf.DUMMYFUNCTION("""COMPUTED_VALUE"""),5.0)</f>
        <v>5</v>
      </c>
      <c r="G137" s="14">
        <f>IFERROR(__xludf.DUMMYFUNCTION("""COMPUTED_VALUE"""),11.0)</f>
        <v>11</v>
      </c>
      <c r="H137" s="14">
        <f>IFERROR(__xludf.DUMMYFUNCTION("""COMPUTED_VALUE"""),2023.0)</f>
        <v>2023</v>
      </c>
      <c r="I137" s="14" t="str">
        <f>IFERROR(__xludf.DUMMYFUNCTION("""COMPUTED_VALUE"""),"Credit Card")</f>
        <v>Credit Card</v>
      </c>
      <c r="J137" s="14" t="str">
        <f>IFERROR(__xludf.DUMMYFUNCTION("""COMPUTED_VALUE"""),"Cancelled*Payment Issues")</f>
        <v>Cancelled*Payment Issues</v>
      </c>
      <c r="K137" s="14" t="str">
        <f>IFERROR(__xludf.DUMMYFUNCTION("split(E137,""+"")"),"Cold Coffee")</f>
        <v>Cold Coffee</v>
      </c>
      <c r="L137" s="14" t="str">
        <f>IFERROR(__xludf.DUMMYFUNCTION("""COMPUTED_VALUE"""),"3*Not Assigned")</f>
        <v>3*Not Assigned</v>
      </c>
      <c r="M137" s="14">
        <f>IFERROR(__xludf.DUMMYFUNCTION("SPLIT(L137,""*"")"),3.0)</f>
        <v>3</v>
      </c>
      <c r="N137" s="14" t="str">
        <f>IFERROR(__xludf.DUMMYFUNCTION("""COMPUTED_VALUE"""),"Not Assigned")</f>
        <v>Not Assigned</v>
      </c>
      <c r="O137" s="14" t="str">
        <f>IFERROR(__xludf.DUMMYFUNCTION("split(J137,""*"")"),"Cancelled")</f>
        <v>Cancelled</v>
      </c>
      <c r="P137" s="14" t="str">
        <f>IFERROR(__xludf.DUMMYFUNCTION("""COMPUTED_VALUE"""),"Payment Issues")</f>
        <v>Payment Issues</v>
      </c>
      <c r="Q137" s="14" t="str">
        <f>IFERROR(__xludf.DUMMYFUNCTION("split(P137,"":"")"),"Payment Issues")</f>
        <v>Payment Issues</v>
      </c>
      <c r="R137" s="14"/>
      <c r="S137" s="14" t="str">
        <f t="shared" ref="S137:U137" si="277">trim(B137)</f>
        <v>ord_10136</v>
      </c>
      <c r="T137" s="14" t="str">
        <f t="shared" si="277"/>
        <v>Ishaan Chaturvedi</v>
      </c>
      <c r="U137" s="14" t="str">
        <f t="shared" si="277"/>
        <v>Bandra</v>
      </c>
      <c r="V137" s="14" t="str">
        <f t="shared" si="4"/>
        <v>Cold Coffee</v>
      </c>
      <c r="W137" s="14">
        <f t="shared" si="5"/>
        <v>3</v>
      </c>
      <c r="X137" s="14" t="str">
        <f t="shared" si="6"/>
        <v>Not Assigned</v>
      </c>
      <c r="Y137" s="15">
        <f t="shared" si="7"/>
        <v>45057</v>
      </c>
      <c r="Z137" s="14" t="str">
        <f t="shared" si="8"/>
        <v>Credit Card</v>
      </c>
      <c r="AA137" s="14" t="str">
        <f t="shared" si="9"/>
        <v>Cancelled</v>
      </c>
      <c r="AB137" s="14" t="str">
        <f t="shared" ref="AB137:AC137" si="278">trim(Q137)</f>
        <v>Payment Issues</v>
      </c>
      <c r="AC137" s="14" t="str">
        <f t="shared" si="278"/>
        <v/>
      </c>
      <c r="AD137" s="8"/>
    </row>
    <row r="138">
      <c r="A138" s="14" t="str">
        <f>IFERROR(__xludf.DUMMYFUNCTION("""COMPUTED_VALUE"""),"//ord_10137//Pallavi Ghosh//Bandra//Cucumber+1*Not Assigned/11/27/2023//Credit Card//Cancelled*Payment Issues")</f>
        <v>//ord_10137//Pallavi Ghosh//Bandra//Cucumber+1*Not Assigned/11/27/2023//Credit Card//Cancelled*Payment Issues</v>
      </c>
      <c r="B138" s="14" t="str">
        <f>IFERROR(__xludf.DUMMYFUNCTION("split(A138,""//"")"),"ord_10137")</f>
        <v>ord_10137</v>
      </c>
      <c r="C138" s="14" t="str">
        <f>IFERROR(__xludf.DUMMYFUNCTION("""COMPUTED_VALUE"""),"Pallavi Ghosh")</f>
        <v>Pallavi Ghosh</v>
      </c>
      <c r="D138" s="14" t="str">
        <f>IFERROR(__xludf.DUMMYFUNCTION("""COMPUTED_VALUE"""),"Bandra")</f>
        <v>Bandra</v>
      </c>
      <c r="E138" s="14" t="str">
        <f>IFERROR(__xludf.DUMMYFUNCTION("""COMPUTED_VALUE"""),"Cucumber+1*Not Assigned")</f>
        <v>Cucumber+1*Not Assigned</v>
      </c>
      <c r="F138" s="14">
        <f>IFERROR(__xludf.DUMMYFUNCTION("""COMPUTED_VALUE"""),11.0)</f>
        <v>11</v>
      </c>
      <c r="G138" s="14">
        <f>IFERROR(__xludf.DUMMYFUNCTION("""COMPUTED_VALUE"""),27.0)</f>
        <v>27</v>
      </c>
      <c r="H138" s="14">
        <f>IFERROR(__xludf.DUMMYFUNCTION("""COMPUTED_VALUE"""),2023.0)</f>
        <v>2023</v>
      </c>
      <c r="I138" s="14" t="str">
        <f>IFERROR(__xludf.DUMMYFUNCTION("""COMPUTED_VALUE"""),"Credit Card")</f>
        <v>Credit Card</v>
      </c>
      <c r="J138" s="14" t="str">
        <f>IFERROR(__xludf.DUMMYFUNCTION("""COMPUTED_VALUE"""),"Cancelled*Payment Issues")</f>
        <v>Cancelled*Payment Issues</v>
      </c>
      <c r="K138" s="14" t="str">
        <f>IFERROR(__xludf.DUMMYFUNCTION("split(E138,""+"")"),"Cucumber")</f>
        <v>Cucumber</v>
      </c>
      <c r="L138" s="14" t="str">
        <f>IFERROR(__xludf.DUMMYFUNCTION("""COMPUTED_VALUE"""),"1*Not Assigned")</f>
        <v>1*Not Assigned</v>
      </c>
      <c r="M138" s="14">
        <f>IFERROR(__xludf.DUMMYFUNCTION("SPLIT(L138,""*"")"),1.0)</f>
        <v>1</v>
      </c>
      <c r="N138" s="14" t="str">
        <f>IFERROR(__xludf.DUMMYFUNCTION("""COMPUTED_VALUE"""),"Not Assigned")</f>
        <v>Not Assigned</v>
      </c>
      <c r="O138" s="14" t="str">
        <f>IFERROR(__xludf.DUMMYFUNCTION("split(J138,""*"")"),"Cancelled")</f>
        <v>Cancelled</v>
      </c>
      <c r="P138" s="14" t="str">
        <f>IFERROR(__xludf.DUMMYFUNCTION("""COMPUTED_VALUE"""),"Payment Issues")</f>
        <v>Payment Issues</v>
      </c>
      <c r="Q138" s="14" t="str">
        <f>IFERROR(__xludf.DUMMYFUNCTION("split(P138,"":"")"),"Payment Issues")</f>
        <v>Payment Issues</v>
      </c>
      <c r="R138" s="14"/>
      <c r="S138" s="14" t="str">
        <f t="shared" ref="S138:U138" si="279">trim(B138)</f>
        <v>ord_10137</v>
      </c>
      <c r="T138" s="14" t="str">
        <f t="shared" si="279"/>
        <v>Pallavi Ghosh</v>
      </c>
      <c r="U138" s="14" t="str">
        <f t="shared" si="279"/>
        <v>Bandra</v>
      </c>
      <c r="V138" s="14" t="str">
        <f t="shared" si="4"/>
        <v>Cucumber</v>
      </c>
      <c r="W138" s="14">
        <f t="shared" si="5"/>
        <v>1</v>
      </c>
      <c r="X138" s="14" t="str">
        <f t="shared" si="6"/>
        <v>Not Assigned</v>
      </c>
      <c r="Y138" s="15">
        <f t="shared" si="7"/>
        <v>45257</v>
      </c>
      <c r="Z138" s="14" t="str">
        <f t="shared" si="8"/>
        <v>Credit Card</v>
      </c>
      <c r="AA138" s="14" t="str">
        <f t="shared" si="9"/>
        <v>Cancelled</v>
      </c>
      <c r="AB138" s="14" t="str">
        <f t="shared" ref="AB138:AC138" si="280">trim(Q138)</f>
        <v>Payment Issues</v>
      </c>
      <c r="AC138" s="14" t="str">
        <f t="shared" si="280"/>
        <v/>
      </c>
      <c r="AD138" s="8"/>
    </row>
    <row r="139">
      <c r="A139" s="14" t="str">
        <f>IFERROR(__xludf.DUMMYFUNCTION("""COMPUTED_VALUE"""),"//ord_10138//Tanishq Bansal//Powai//Icecream+2*Vivek Kumar/10/11/2023//Online Payment//Delivered*Delivery Experience: Quick and professional")</f>
        <v>//ord_10138//Tanishq Bansal//Powai//Icecream+2*Vivek Kumar/10/11/2023//Online Payment//Delivered*Delivery Experience: Quick and professional</v>
      </c>
      <c r="B139" s="14" t="str">
        <f>IFERROR(__xludf.DUMMYFUNCTION("split(A139,""//"")"),"ord_10138")</f>
        <v>ord_10138</v>
      </c>
      <c r="C139" s="14" t="str">
        <f>IFERROR(__xludf.DUMMYFUNCTION("""COMPUTED_VALUE"""),"Tanishq Bansal")</f>
        <v>Tanishq Bansal</v>
      </c>
      <c r="D139" s="14" t="str">
        <f>IFERROR(__xludf.DUMMYFUNCTION("""COMPUTED_VALUE"""),"Powai")</f>
        <v>Powai</v>
      </c>
      <c r="E139" s="14" t="str">
        <f>IFERROR(__xludf.DUMMYFUNCTION("""COMPUTED_VALUE"""),"Icecream+2*Vivek Kumar")</f>
        <v>Icecream+2*Vivek Kumar</v>
      </c>
      <c r="F139" s="14">
        <f>IFERROR(__xludf.DUMMYFUNCTION("""COMPUTED_VALUE"""),10.0)</f>
        <v>10</v>
      </c>
      <c r="G139" s="14">
        <f>IFERROR(__xludf.DUMMYFUNCTION("""COMPUTED_VALUE"""),11.0)</f>
        <v>11</v>
      </c>
      <c r="H139" s="14">
        <f>IFERROR(__xludf.DUMMYFUNCTION("""COMPUTED_VALUE"""),2023.0)</f>
        <v>2023</v>
      </c>
      <c r="I139" s="14" t="str">
        <f>IFERROR(__xludf.DUMMYFUNCTION("""COMPUTED_VALUE"""),"Online Payment")</f>
        <v>Online Payment</v>
      </c>
      <c r="J139" s="14" t="str">
        <f>IFERROR(__xludf.DUMMYFUNCTION("""COMPUTED_VALUE"""),"Delivered*Delivery Experience: Quick and professional")</f>
        <v>Delivered*Delivery Experience: Quick and professional</v>
      </c>
      <c r="K139" s="14" t="str">
        <f>IFERROR(__xludf.DUMMYFUNCTION("split(E139,""+"")"),"Icecream")</f>
        <v>Icecream</v>
      </c>
      <c r="L139" s="14" t="str">
        <f>IFERROR(__xludf.DUMMYFUNCTION("""COMPUTED_VALUE"""),"2*Vivek Kumar")</f>
        <v>2*Vivek Kumar</v>
      </c>
      <c r="M139" s="14">
        <f>IFERROR(__xludf.DUMMYFUNCTION("SPLIT(L139,""*"")"),2.0)</f>
        <v>2</v>
      </c>
      <c r="N139" s="14" t="str">
        <f>IFERROR(__xludf.DUMMYFUNCTION("""COMPUTED_VALUE"""),"Vivek Kumar")</f>
        <v>Vivek Kumar</v>
      </c>
      <c r="O139" s="14" t="str">
        <f>IFERROR(__xludf.DUMMYFUNCTION("split(J139,""*"")"),"Delivered")</f>
        <v>Delivered</v>
      </c>
      <c r="P139" s="14" t="str">
        <f>IFERROR(__xludf.DUMMYFUNCTION("""COMPUTED_VALUE"""),"Delivery Experience: Quick and professional")</f>
        <v>Delivery Experience: Quick and professional</v>
      </c>
      <c r="Q139" s="14" t="str">
        <f>IFERROR(__xludf.DUMMYFUNCTION("split(P139,"":"")"),"Delivery Experience")</f>
        <v>Delivery Experience</v>
      </c>
      <c r="R139" s="14" t="str">
        <f>IFERROR(__xludf.DUMMYFUNCTION("""COMPUTED_VALUE""")," Quick and professional")</f>
        <v> Quick and professional</v>
      </c>
      <c r="S139" s="14" t="str">
        <f t="shared" ref="S139:U139" si="281">trim(B139)</f>
        <v>ord_10138</v>
      </c>
      <c r="T139" s="14" t="str">
        <f t="shared" si="281"/>
        <v>Tanishq Bansal</v>
      </c>
      <c r="U139" s="14" t="str">
        <f t="shared" si="281"/>
        <v>Powai</v>
      </c>
      <c r="V139" s="14" t="str">
        <f t="shared" si="4"/>
        <v>Icecream</v>
      </c>
      <c r="W139" s="14">
        <f t="shared" si="5"/>
        <v>2</v>
      </c>
      <c r="X139" s="14" t="str">
        <f t="shared" si="6"/>
        <v>Vivek Kumar</v>
      </c>
      <c r="Y139" s="15">
        <f t="shared" si="7"/>
        <v>45210</v>
      </c>
      <c r="Z139" s="14" t="str">
        <f t="shared" si="8"/>
        <v>Online Payment</v>
      </c>
      <c r="AA139" s="14" t="str">
        <f t="shared" si="9"/>
        <v>Delivered</v>
      </c>
      <c r="AB139" s="14" t="str">
        <f t="shared" ref="AB139:AC139" si="282">trim(Q139)</f>
        <v>Delivery Experience</v>
      </c>
      <c r="AC139" s="14" t="str">
        <f t="shared" si="282"/>
        <v>Quick and professional</v>
      </c>
      <c r="AD139" s="8"/>
    </row>
    <row r="140">
      <c r="A140" s="14" t="str">
        <f>IFERROR(__xludf.DUMMYFUNCTION("""COMPUTED_VALUE"""),"//ord_10139//Mehul Thakkar//Malad//Veg Puff+1*Not Assigned/7/10/2023//UPI//Cancelled*Out of Stock")</f>
        <v>//ord_10139//Mehul Thakkar//Malad//Veg Puff+1*Not Assigned/7/10/2023//UPI//Cancelled*Out of Stock</v>
      </c>
      <c r="B140" s="14" t="str">
        <f>IFERROR(__xludf.DUMMYFUNCTION("split(A140,""//"")"),"ord_10139")</f>
        <v>ord_10139</v>
      </c>
      <c r="C140" s="14" t="str">
        <f>IFERROR(__xludf.DUMMYFUNCTION("""COMPUTED_VALUE"""),"Mehul Thakkar")</f>
        <v>Mehul Thakkar</v>
      </c>
      <c r="D140" s="14" t="str">
        <f>IFERROR(__xludf.DUMMYFUNCTION("""COMPUTED_VALUE"""),"Malad")</f>
        <v>Malad</v>
      </c>
      <c r="E140" s="14" t="str">
        <f>IFERROR(__xludf.DUMMYFUNCTION("""COMPUTED_VALUE"""),"Veg Puff+1*Not Assigned")</f>
        <v>Veg Puff+1*Not Assigned</v>
      </c>
      <c r="F140" s="14">
        <f>IFERROR(__xludf.DUMMYFUNCTION("""COMPUTED_VALUE"""),7.0)</f>
        <v>7</v>
      </c>
      <c r="G140" s="14">
        <f>IFERROR(__xludf.DUMMYFUNCTION("""COMPUTED_VALUE"""),10.0)</f>
        <v>10</v>
      </c>
      <c r="H140" s="14">
        <f>IFERROR(__xludf.DUMMYFUNCTION("""COMPUTED_VALUE"""),2023.0)</f>
        <v>2023</v>
      </c>
      <c r="I140" s="14" t="str">
        <f>IFERROR(__xludf.DUMMYFUNCTION("""COMPUTED_VALUE"""),"UPI")</f>
        <v>UPI</v>
      </c>
      <c r="J140" s="14" t="str">
        <f>IFERROR(__xludf.DUMMYFUNCTION("""COMPUTED_VALUE"""),"Cancelled*Out of Stock")</f>
        <v>Cancelled*Out of Stock</v>
      </c>
      <c r="K140" s="14" t="str">
        <f>IFERROR(__xludf.DUMMYFUNCTION("split(E140,""+"")"),"Veg Puff")</f>
        <v>Veg Puff</v>
      </c>
      <c r="L140" s="14" t="str">
        <f>IFERROR(__xludf.DUMMYFUNCTION("""COMPUTED_VALUE"""),"1*Not Assigned")</f>
        <v>1*Not Assigned</v>
      </c>
      <c r="M140" s="14">
        <f>IFERROR(__xludf.DUMMYFUNCTION("SPLIT(L140,""*"")"),1.0)</f>
        <v>1</v>
      </c>
      <c r="N140" s="14" t="str">
        <f>IFERROR(__xludf.DUMMYFUNCTION("""COMPUTED_VALUE"""),"Not Assigned")</f>
        <v>Not Assigned</v>
      </c>
      <c r="O140" s="14" t="str">
        <f>IFERROR(__xludf.DUMMYFUNCTION("split(J140,""*"")"),"Cancelled")</f>
        <v>Cancelled</v>
      </c>
      <c r="P140" s="14" t="str">
        <f>IFERROR(__xludf.DUMMYFUNCTION("""COMPUTED_VALUE"""),"Out of Stock")</f>
        <v>Out of Stock</v>
      </c>
      <c r="Q140" s="14" t="str">
        <f>IFERROR(__xludf.DUMMYFUNCTION("split(P140,"":"")"),"Out of Stock")</f>
        <v>Out of Stock</v>
      </c>
      <c r="R140" s="14"/>
      <c r="S140" s="14" t="str">
        <f t="shared" ref="S140:U140" si="283">trim(B140)</f>
        <v>ord_10139</v>
      </c>
      <c r="T140" s="14" t="str">
        <f t="shared" si="283"/>
        <v>Mehul Thakkar</v>
      </c>
      <c r="U140" s="14" t="str">
        <f t="shared" si="283"/>
        <v>Malad</v>
      </c>
      <c r="V140" s="14" t="str">
        <f t="shared" si="4"/>
        <v>Veg Puff</v>
      </c>
      <c r="W140" s="14">
        <f t="shared" si="5"/>
        <v>1</v>
      </c>
      <c r="X140" s="14" t="str">
        <f t="shared" si="6"/>
        <v>Not Assigned</v>
      </c>
      <c r="Y140" s="15">
        <f t="shared" si="7"/>
        <v>45117</v>
      </c>
      <c r="Z140" s="14" t="str">
        <f t="shared" si="8"/>
        <v>UPI</v>
      </c>
      <c r="AA140" s="14" t="str">
        <f t="shared" si="9"/>
        <v>Cancelled</v>
      </c>
      <c r="AB140" s="14" t="str">
        <f t="shared" ref="AB140:AC140" si="284">trim(Q140)</f>
        <v>Out of Stock</v>
      </c>
      <c r="AC140" s="14" t="str">
        <f t="shared" si="284"/>
        <v/>
      </c>
      <c r="AD140" s="8"/>
    </row>
    <row r="141">
      <c r="A141" s="14" t="str">
        <f>IFERROR(__xludf.DUMMYFUNCTION("""COMPUTED_VALUE"""),"//ord_10140//Sana Malik//Powai//Tomato+2*Shine Thomas/12/30/2023//UPI//Delivered*Convenience: Easy tracking")</f>
        <v>//ord_10140//Sana Malik//Powai//Tomato+2*Shine Thomas/12/30/2023//UPI//Delivered*Convenience: Easy tracking</v>
      </c>
      <c r="B141" s="14" t="str">
        <f>IFERROR(__xludf.DUMMYFUNCTION("split(A141,""//"")"),"ord_10140")</f>
        <v>ord_10140</v>
      </c>
      <c r="C141" s="14" t="str">
        <f>IFERROR(__xludf.DUMMYFUNCTION("""COMPUTED_VALUE"""),"Sana Malik")</f>
        <v>Sana Malik</v>
      </c>
      <c r="D141" s="14" t="str">
        <f>IFERROR(__xludf.DUMMYFUNCTION("""COMPUTED_VALUE"""),"Powai")</f>
        <v>Powai</v>
      </c>
      <c r="E141" s="14" t="str">
        <f>IFERROR(__xludf.DUMMYFUNCTION("""COMPUTED_VALUE"""),"Tomato+2*Shine Thomas")</f>
        <v>Tomato+2*Shine Thomas</v>
      </c>
      <c r="F141" s="14">
        <f>IFERROR(__xludf.DUMMYFUNCTION("""COMPUTED_VALUE"""),12.0)</f>
        <v>12</v>
      </c>
      <c r="G141" s="14">
        <f>IFERROR(__xludf.DUMMYFUNCTION("""COMPUTED_VALUE"""),30.0)</f>
        <v>30</v>
      </c>
      <c r="H141" s="14">
        <f>IFERROR(__xludf.DUMMYFUNCTION("""COMPUTED_VALUE"""),2023.0)</f>
        <v>2023</v>
      </c>
      <c r="I141" s="14" t="str">
        <f>IFERROR(__xludf.DUMMYFUNCTION("""COMPUTED_VALUE"""),"UPI")</f>
        <v>UPI</v>
      </c>
      <c r="J141" s="14" t="str">
        <f>IFERROR(__xludf.DUMMYFUNCTION("""COMPUTED_VALUE"""),"Delivered*Convenience: Easy tracking")</f>
        <v>Delivered*Convenience: Easy tracking</v>
      </c>
      <c r="K141" s="14" t="str">
        <f>IFERROR(__xludf.DUMMYFUNCTION("split(E141,""+"")"),"Tomato")</f>
        <v>Tomato</v>
      </c>
      <c r="L141" s="14" t="str">
        <f>IFERROR(__xludf.DUMMYFUNCTION("""COMPUTED_VALUE"""),"2*Shine Thomas")</f>
        <v>2*Shine Thomas</v>
      </c>
      <c r="M141" s="14">
        <f>IFERROR(__xludf.DUMMYFUNCTION("SPLIT(L141,""*"")"),2.0)</f>
        <v>2</v>
      </c>
      <c r="N141" s="14" t="str">
        <f>IFERROR(__xludf.DUMMYFUNCTION("""COMPUTED_VALUE"""),"Shine Thomas")</f>
        <v>Shine Thomas</v>
      </c>
      <c r="O141" s="14" t="str">
        <f>IFERROR(__xludf.DUMMYFUNCTION("split(J141,""*"")"),"Delivered")</f>
        <v>Delivered</v>
      </c>
      <c r="P141" s="14" t="str">
        <f>IFERROR(__xludf.DUMMYFUNCTION("""COMPUTED_VALUE"""),"Convenience: Easy tracking")</f>
        <v>Convenience: Easy tracking</v>
      </c>
      <c r="Q141" s="14" t="str">
        <f>IFERROR(__xludf.DUMMYFUNCTION("split(P141,"":"")"),"Convenience")</f>
        <v>Convenience</v>
      </c>
      <c r="R141" s="14" t="str">
        <f>IFERROR(__xludf.DUMMYFUNCTION("""COMPUTED_VALUE""")," Easy tracking")</f>
        <v> Easy tracking</v>
      </c>
      <c r="S141" s="14" t="str">
        <f t="shared" ref="S141:U141" si="285">trim(B141)</f>
        <v>ord_10140</v>
      </c>
      <c r="T141" s="14" t="str">
        <f t="shared" si="285"/>
        <v>Sana Malik</v>
      </c>
      <c r="U141" s="14" t="str">
        <f t="shared" si="285"/>
        <v>Powai</v>
      </c>
      <c r="V141" s="14" t="str">
        <f t="shared" si="4"/>
        <v>Tomato</v>
      </c>
      <c r="W141" s="14">
        <f t="shared" si="5"/>
        <v>2</v>
      </c>
      <c r="X141" s="14" t="str">
        <f t="shared" si="6"/>
        <v>Shine Thomas</v>
      </c>
      <c r="Y141" s="15">
        <f t="shared" si="7"/>
        <v>45290</v>
      </c>
      <c r="Z141" s="14" t="str">
        <f t="shared" si="8"/>
        <v>UPI</v>
      </c>
      <c r="AA141" s="14" t="str">
        <f t="shared" si="9"/>
        <v>Delivered</v>
      </c>
      <c r="AB141" s="14" t="str">
        <f t="shared" ref="AB141:AC141" si="286">trim(Q141)</f>
        <v>Convenience</v>
      </c>
      <c r="AC141" s="14" t="str">
        <f t="shared" si="286"/>
        <v>Easy tracking</v>
      </c>
      <c r="AD141" s="8"/>
    </row>
    <row r="142">
      <c r="A142" s="14" t="str">
        <f>IFERROR(__xludf.DUMMYFUNCTION("""COMPUTED_VALUE"""),"//ord_10141//Yash Verma//Lower Parel//Banana+2*Venu R/12/21/2023//Credit Card//Delivered*Overall Satisfaction: Great service will order again")</f>
        <v>//ord_10141//Yash Verma//Lower Parel//Banana+2*Venu R/12/21/2023//Credit Card//Delivered*Overall Satisfaction: Great service will order again</v>
      </c>
      <c r="B142" s="14" t="str">
        <f>IFERROR(__xludf.DUMMYFUNCTION("split(A142,""//"")"),"ord_10141")</f>
        <v>ord_10141</v>
      </c>
      <c r="C142" s="14" t="str">
        <f>IFERROR(__xludf.DUMMYFUNCTION("""COMPUTED_VALUE"""),"Yash Verma")</f>
        <v>Yash Verma</v>
      </c>
      <c r="D142" s="14" t="str">
        <f>IFERROR(__xludf.DUMMYFUNCTION("""COMPUTED_VALUE"""),"Lower Parel")</f>
        <v>Lower Parel</v>
      </c>
      <c r="E142" s="14" t="str">
        <f>IFERROR(__xludf.DUMMYFUNCTION("""COMPUTED_VALUE"""),"Banana+2*Venu R")</f>
        <v>Banana+2*Venu R</v>
      </c>
      <c r="F142" s="14">
        <f>IFERROR(__xludf.DUMMYFUNCTION("""COMPUTED_VALUE"""),12.0)</f>
        <v>12</v>
      </c>
      <c r="G142" s="14">
        <f>IFERROR(__xludf.DUMMYFUNCTION("""COMPUTED_VALUE"""),21.0)</f>
        <v>21</v>
      </c>
      <c r="H142" s="14">
        <f>IFERROR(__xludf.DUMMYFUNCTION("""COMPUTED_VALUE"""),2023.0)</f>
        <v>2023</v>
      </c>
      <c r="I142" s="14" t="str">
        <f>IFERROR(__xludf.DUMMYFUNCTION("""COMPUTED_VALUE"""),"Credit Card")</f>
        <v>Credit Card</v>
      </c>
      <c r="J142" s="14" t="str">
        <f>IFERROR(__xludf.DUMMYFUNCTION("""COMPUTED_VALUE"""),"Delivered*Overall Satisfaction: Great service will order again")</f>
        <v>Delivered*Overall Satisfaction: Great service will order again</v>
      </c>
      <c r="K142" s="14" t="str">
        <f>IFERROR(__xludf.DUMMYFUNCTION("split(E142,""+"")"),"Banana")</f>
        <v>Banana</v>
      </c>
      <c r="L142" s="14" t="str">
        <f>IFERROR(__xludf.DUMMYFUNCTION("""COMPUTED_VALUE"""),"2*Venu R")</f>
        <v>2*Venu R</v>
      </c>
      <c r="M142" s="14">
        <f>IFERROR(__xludf.DUMMYFUNCTION("SPLIT(L142,""*"")"),2.0)</f>
        <v>2</v>
      </c>
      <c r="N142" s="14" t="str">
        <f>IFERROR(__xludf.DUMMYFUNCTION("""COMPUTED_VALUE"""),"Venu R")</f>
        <v>Venu R</v>
      </c>
      <c r="O142" s="14" t="str">
        <f>IFERROR(__xludf.DUMMYFUNCTION("split(J142,""*"")"),"Delivered")</f>
        <v>Delivered</v>
      </c>
      <c r="P142" s="14" t="str">
        <f>IFERROR(__xludf.DUMMYFUNCTION("""COMPUTED_VALUE"""),"Overall Satisfaction: Great service will order again")</f>
        <v>Overall Satisfaction: Great service will order again</v>
      </c>
      <c r="Q142" s="14" t="str">
        <f>IFERROR(__xludf.DUMMYFUNCTION("split(P142,"":"")"),"Overall Satisfaction")</f>
        <v>Overall Satisfaction</v>
      </c>
      <c r="R142" s="14" t="str">
        <f>IFERROR(__xludf.DUMMYFUNCTION("""COMPUTED_VALUE""")," Great service will order again")</f>
        <v> Great service will order again</v>
      </c>
      <c r="S142" s="14" t="str">
        <f t="shared" ref="S142:U142" si="287">trim(B142)</f>
        <v>ord_10141</v>
      </c>
      <c r="T142" s="14" t="str">
        <f t="shared" si="287"/>
        <v>Yash Verma</v>
      </c>
      <c r="U142" s="14" t="str">
        <f t="shared" si="287"/>
        <v>Lower Parel</v>
      </c>
      <c r="V142" s="14" t="str">
        <f t="shared" si="4"/>
        <v>Banana</v>
      </c>
      <c r="W142" s="14">
        <f t="shared" si="5"/>
        <v>2</v>
      </c>
      <c r="X142" s="14" t="str">
        <f t="shared" si="6"/>
        <v>Venu R</v>
      </c>
      <c r="Y142" s="15">
        <f t="shared" si="7"/>
        <v>45281</v>
      </c>
      <c r="Z142" s="14" t="str">
        <f t="shared" si="8"/>
        <v>Credit Card</v>
      </c>
      <c r="AA142" s="14" t="str">
        <f t="shared" si="9"/>
        <v>Delivered</v>
      </c>
      <c r="AB142" s="14" t="str">
        <f t="shared" ref="AB142:AC142" si="288">trim(Q142)</f>
        <v>Overall Satisfaction</v>
      </c>
      <c r="AC142" s="14" t="str">
        <f t="shared" si="288"/>
        <v>Great service will order again</v>
      </c>
      <c r="AD142" s="8"/>
    </row>
    <row r="143">
      <c r="A143" s="14" t="str">
        <f>IFERROR(__xludf.DUMMYFUNCTION("""COMPUTED_VALUE"""),"//ord_10142//Anaya Rao//Colaba//Cold Coffee+3*Rohan Yadav/9/2/2023//Credit Card//Cancelled*Delayed Delivery:Heavy Traffic")</f>
        <v>//ord_10142//Anaya Rao//Colaba//Cold Coffee+3*Rohan Yadav/9/2/2023//Credit Card//Cancelled*Delayed Delivery:Heavy Traffic</v>
      </c>
      <c r="B143" s="14" t="str">
        <f>IFERROR(__xludf.DUMMYFUNCTION("split(A143,""//"")"),"ord_10142")</f>
        <v>ord_10142</v>
      </c>
      <c r="C143" s="14" t="str">
        <f>IFERROR(__xludf.DUMMYFUNCTION("""COMPUTED_VALUE"""),"Anaya Rao")</f>
        <v>Anaya Rao</v>
      </c>
      <c r="D143" s="14" t="str">
        <f>IFERROR(__xludf.DUMMYFUNCTION("""COMPUTED_VALUE"""),"Colaba")</f>
        <v>Colaba</v>
      </c>
      <c r="E143" s="14" t="str">
        <f>IFERROR(__xludf.DUMMYFUNCTION("""COMPUTED_VALUE"""),"Cold Coffee+3*Rohan Yadav")</f>
        <v>Cold Coffee+3*Rohan Yadav</v>
      </c>
      <c r="F143" s="14">
        <f>IFERROR(__xludf.DUMMYFUNCTION("""COMPUTED_VALUE"""),9.0)</f>
        <v>9</v>
      </c>
      <c r="G143" s="14">
        <f>IFERROR(__xludf.DUMMYFUNCTION("""COMPUTED_VALUE"""),2.0)</f>
        <v>2</v>
      </c>
      <c r="H143" s="14">
        <f>IFERROR(__xludf.DUMMYFUNCTION("""COMPUTED_VALUE"""),2023.0)</f>
        <v>2023</v>
      </c>
      <c r="I143" s="14" t="str">
        <f>IFERROR(__xludf.DUMMYFUNCTION("""COMPUTED_VALUE"""),"Credit Card")</f>
        <v>Credit Card</v>
      </c>
      <c r="J143" s="14" t="str">
        <f>IFERROR(__xludf.DUMMYFUNCTION("""COMPUTED_VALUE"""),"Cancelled*Delayed Delivery:Heavy Traffic")</f>
        <v>Cancelled*Delayed Delivery:Heavy Traffic</v>
      </c>
      <c r="K143" s="14" t="str">
        <f>IFERROR(__xludf.DUMMYFUNCTION("split(E143,""+"")"),"Cold Coffee")</f>
        <v>Cold Coffee</v>
      </c>
      <c r="L143" s="14" t="str">
        <f>IFERROR(__xludf.DUMMYFUNCTION("""COMPUTED_VALUE"""),"3*Rohan Yadav")</f>
        <v>3*Rohan Yadav</v>
      </c>
      <c r="M143" s="14">
        <f>IFERROR(__xludf.DUMMYFUNCTION("SPLIT(L143,""*"")"),3.0)</f>
        <v>3</v>
      </c>
      <c r="N143" s="14" t="str">
        <f>IFERROR(__xludf.DUMMYFUNCTION("""COMPUTED_VALUE"""),"Rohan Yadav")</f>
        <v>Rohan Yadav</v>
      </c>
      <c r="O143" s="14" t="str">
        <f>IFERROR(__xludf.DUMMYFUNCTION("split(J143,""*"")"),"Cancelled")</f>
        <v>Cancelled</v>
      </c>
      <c r="P143" s="14" t="str">
        <f>IFERROR(__xludf.DUMMYFUNCTION("""COMPUTED_VALUE"""),"Delayed Delivery:Heavy Traffic")</f>
        <v>Delayed Delivery:Heavy Traffic</v>
      </c>
      <c r="Q143" s="14" t="str">
        <f>IFERROR(__xludf.DUMMYFUNCTION("split(P143,"":"")"),"Delayed Delivery")</f>
        <v>Delayed Delivery</v>
      </c>
      <c r="R143" s="14" t="str">
        <f>IFERROR(__xludf.DUMMYFUNCTION("""COMPUTED_VALUE"""),"Heavy Traffic")</f>
        <v>Heavy Traffic</v>
      </c>
      <c r="S143" s="14" t="str">
        <f t="shared" ref="S143:U143" si="289">trim(B143)</f>
        <v>ord_10142</v>
      </c>
      <c r="T143" s="14" t="str">
        <f t="shared" si="289"/>
        <v>Anaya Rao</v>
      </c>
      <c r="U143" s="14" t="str">
        <f t="shared" si="289"/>
        <v>Colaba</v>
      </c>
      <c r="V143" s="14" t="str">
        <f t="shared" si="4"/>
        <v>Cold Coffee</v>
      </c>
      <c r="W143" s="14">
        <f t="shared" si="5"/>
        <v>3</v>
      </c>
      <c r="X143" s="14" t="str">
        <f t="shared" si="6"/>
        <v>Rohan Yadav</v>
      </c>
      <c r="Y143" s="15">
        <f t="shared" si="7"/>
        <v>45171</v>
      </c>
      <c r="Z143" s="14" t="str">
        <f t="shared" si="8"/>
        <v>Credit Card</v>
      </c>
      <c r="AA143" s="14" t="str">
        <f t="shared" si="9"/>
        <v>Cancelled</v>
      </c>
      <c r="AB143" s="14" t="str">
        <f t="shared" ref="AB143:AC143" si="290">trim(Q143)</f>
        <v>Delayed Delivery</v>
      </c>
      <c r="AC143" s="14" t="str">
        <f t="shared" si="290"/>
        <v>Heavy Traffic</v>
      </c>
      <c r="AD143" s="8"/>
    </row>
    <row r="144">
      <c r="A144" s="14" t="str">
        <f>IFERROR(__xludf.DUMMYFUNCTION("""COMPUTED_VALUE"""),"//ord_10143//Arvind Kulkarni//Juhu//Rasmalai+4*Nithin Lal/2/17/2023//Credit Card//Cancelled*Delayed Delivery:Heavy Traffic")</f>
        <v>//ord_10143//Arvind Kulkarni//Juhu//Rasmalai+4*Nithin Lal/2/17/2023//Credit Card//Cancelled*Delayed Delivery:Heavy Traffic</v>
      </c>
      <c r="B144" s="14" t="str">
        <f>IFERROR(__xludf.DUMMYFUNCTION("split(A144,""//"")"),"ord_10143")</f>
        <v>ord_10143</v>
      </c>
      <c r="C144" s="14" t="str">
        <f>IFERROR(__xludf.DUMMYFUNCTION("""COMPUTED_VALUE"""),"Arvind Kulkarni")</f>
        <v>Arvind Kulkarni</v>
      </c>
      <c r="D144" s="14" t="str">
        <f>IFERROR(__xludf.DUMMYFUNCTION("""COMPUTED_VALUE"""),"Juhu")</f>
        <v>Juhu</v>
      </c>
      <c r="E144" s="14" t="str">
        <f>IFERROR(__xludf.DUMMYFUNCTION("""COMPUTED_VALUE"""),"Rasmalai+4*Nithin Lal")</f>
        <v>Rasmalai+4*Nithin Lal</v>
      </c>
      <c r="F144" s="14">
        <f>IFERROR(__xludf.DUMMYFUNCTION("""COMPUTED_VALUE"""),2.0)</f>
        <v>2</v>
      </c>
      <c r="G144" s="14">
        <f>IFERROR(__xludf.DUMMYFUNCTION("""COMPUTED_VALUE"""),17.0)</f>
        <v>17</v>
      </c>
      <c r="H144" s="14">
        <f>IFERROR(__xludf.DUMMYFUNCTION("""COMPUTED_VALUE"""),2023.0)</f>
        <v>2023</v>
      </c>
      <c r="I144" s="14" t="str">
        <f>IFERROR(__xludf.DUMMYFUNCTION("""COMPUTED_VALUE"""),"Credit Card")</f>
        <v>Credit Card</v>
      </c>
      <c r="J144" s="14" t="str">
        <f>IFERROR(__xludf.DUMMYFUNCTION("""COMPUTED_VALUE"""),"Cancelled*Delayed Delivery:Heavy Traffic")</f>
        <v>Cancelled*Delayed Delivery:Heavy Traffic</v>
      </c>
      <c r="K144" s="14" t="str">
        <f>IFERROR(__xludf.DUMMYFUNCTION("split(E144,""+"")"),"Rasmalai")</f>
        <v>Rasmalai</v>
      </c>
      <c r="L144" s="14" t="str">
        <f>IFERROR(__xludf.DUMMYFUNCTION("""COMPUTED_VALUE"""),"4*Nithin Lal")</f>
        <v>4*Nithin Lal</v>
      </c>
      <c r="M144" s="14">
        <f>IFERROR(__xludf.DUMMYFUNCTION("SPLIT(L144,""*"")"),4.0)</f>
        <v>4</v>
      </c>
      <c r="N144" s="14" t="str">
        <f>IFERROR(__xludf.DUMMYFUNCTION("""COMPUTED_VALUE"""),"Nithin Lal")</f>
        <v>Nithin Lal</v>
      </c>
      <c r="O144" s="14" t="str">
        <f>IFERROR(__xludf.DUMMYFUNCTION("split(J144,""*"")"),"Cancelled")</f>
        <v>Cancelled</v>
      </c>
      <c r="P144" s="14" t="str">
        <f>IFERROR(__xludf.DUMMYFUNCTION("""COMPUTED_VALUE"""),"Delayed Delivery:Heavy Traffic")</f>
        <v>Delayed Delivery:Heavy Traffic</v>
      </c>
      <c r="Q144" s="14" t="str">
        <f>IFERROR(__xludf.DUMMYFUNCTION("split(P144,"":"")"),"Delayed Delivery")</f>
        <v>Delayed Delivery</v>
      </c>
      <c r="R144" s="14" t="str">
        <f>IFERROR(__xludf.DUMMYFUNCTION("""COMPUTED_VALUE"""),"Heavy Traffic")</f>
        <v>Heavy Traffic</v>
      </c>
      <c r="S144" s="14" t="str">
        <f t="shared" ref="S144:U144" si="291">trim(B144)</f>
        <v>ord_10143</v>
      </c>
      <c r="T144" s="14" t="str">
        <f t="shared" si="291"/>
        <v>Arvind Kulkarni</v>
      </c>
      <c r="U144" s="14" t="str">
        <f t="shared" si="291"/>
        <v>Juhu</v>
      </c>
      <c r="V144" s="14" t="str">
        <f t="shared" si="4"/>
        <v>Rasmalai</v>
      </c>
      <c r="W144" s="14">
        <f t="shared" si="5"/>
        <v>4</v>
      </c>
      <c r="X144" s="14" t="str">
        <f t="shared" si="6"/>
        <v>Nithin Lal</v>
      </c>
      <c r="Y144" s="15">
        <f t="shared" si="7"/>
        <v>44974</v>
      </c>
      <c r="Z144" s="14" t="str">
        <f t="shared" si="8"/>
        <v>Credit Card</v>
      </c>
      <c r="AA144" s="14" t="str">
        <f t="shared" si="9"/>
        <v>Cancelled</v>
      </c>
      <c r="AB144" s="14" t="str">
        <f t="shared" ref="AB144:AC144" si="292">trim(Q144)</f>
        <v>Delayed Delivery</v>
      </c>
      <c r="AC144" s="14" t="str">
        <f t="shared" si="292"/>
        <v>Heavy Traffic</v>
      </c>
      <c r="AD144" s="8"/>
    </row>
    <row r="145">
      <c r="A145" s="14" t="str">
        <f>IFERROR(__xludf.DUMMYFUNCTION("""COMPUTED_VALUE"""),"//ord_13144//Aditya Rao//Lower Parel//Chicken Puff+3*Not Assigned/12/1/2023//UPI//Cancelled*Out of Stock")</f>
        <v>//ord_13144//Aditya Rao//Lower Parel//Chicken Puff+3*Not Assigned/12/1/2023//UPI//Cancelled*Out of Stock</v>
      </c>
      <c r="B145" s="14" t="str">
        <f>IFERROR(__xludf.DUMMYFUNCTION("split(A145,""//"")"),"ord_13144")</f>
        <v>ord_13144</v>
      </c>
      <c r="C145" s="14" t="str">
        <f>IFERROR(__xludf.DUMMYFUNCTION("""COMPUTED_VALUE"""),"Aditya Rao")</f>
        <v>Aditya Rao</v>
      </c>
      <c r="D145" s="14" t="str">
        <f>IFERROR(__xludf.DUMMYFUNCTION("""COMPUTED_VALUE"""),"Lower Parel")</f>
        <v>Lower Parel</v>
      </c>
      <c r="E145" s="14" t="str">
        <f>IFERROR(__xludf.DUMMYFUNCTION("""COMPUTED_VALUE"""),"Chicken Puff+3*Not Assigned")</f>
        <v>Chicken Puff+3*Not Assigned</v>
      </c>
      <c r="F145" s="14">
        <f>IFERROR(__xludf.DUMMYFUNCTION("""COMPUTED_VALUE"""),12.0)</f>
        <v>12</v>
      </c>
      <c r="G145" s="14">
        <f>IFERROR(__xludf.DUMMYFUNCTION("""COMPUTED_VALUE"""),1.0)</f>
        <v>1</v>
      </c>
      <c r="H145" s="14">
        <f>IFERROR(__xludf.DUMMYFUNCTION("""COMPUTED_VALUE"""),2023.0)</f>
        <v>2023</v>
      </c>
      <c r="I145" s="14" t="str">
        <f>IFERROR(__xludf.DUMMYFUNCTION("""COMPUTED_VALUE"""),"UPI")</f>
        <v>UPI</v>
      </c>
      <c r="J145" s="14" t="str">
        <f>IFERROR(__xludf.DUMMYFUNCTION("""COMPUTED_VALUE"""),"Cancelled*Out of Stock")</f>
        <v>Cancelled*Out of Stock</v>
      </c>
      <c r="K145" s="14" t="str">
        <f>IFERROR(__xludf.DUMMYFUNCTION("split(E145,""+"")"),"Chicken Puff")</f>
        <v>Chicken Puff</v>
      </c>
      <c r="L145" s="14" t="str">
        <f>IFERROR(__xludf.DUMMYFUNCTION("""COMPUTED_VALUE"""),"3*Not Assigned")</f>
        <v>3*Not Assigned</v>
      </c>
      <c r="M145" s="14">
        <f>IFERROR(__xludf.DUMMYFUNCTION("SPLIT(L145,""*"")"),3.0)</f>
        <v>3</v>
      </c>
      <c r="N145" s="14" t="str">
        <f>IFERROR(__xludf.DUMMYFUNCTION("""COMPUTED_VALUE"""),"Not Assigned")</f>
        <v>Not Assigned</v>
      </c>
      <c r="O145" s="14" t="str">
        <f>IFERROR(__xludf.DUMMYFUNCTION("split(J145,""*"")"),"Cancelled")</f>
        <v>Cancelled</v>
      </c>
      <c r="P145" s="14" t="str">
        <f>IFERROR(__xludf.DUMMYFUNCTION("""COMPUTED_VALUE"""),"Out of Stock")</f>
        <v>Out of Stock</v>
      </c>
      <c r="Q145" s="14" t="str">
        <f>IFERROR(__xludf.DUMMYFUNCTION("split(P145,"":"")"),"Out of Stock")</f>
        <v>Out of Stock</v>
      </c>
      <c r="R145" s="14"/>
      <c r="S145" s="14" t="str">
        <f t="shared" ref="S145:U145" si="293">trim(B145)</f>
        <v>ord_13144</v>
      </c>
      <c r="T145" s="14" t="str">
        <f t="shared" si="293"/>
        <v>Aditya Rao</v>
      </c>
      <c r="U145" s="14" t="str">
        <f t="shared" si="293"/>
        <v>Lower Parel</v>
      </c>
      <c r="V145" s="14" t="str">
        <f t="shared" si="4"/>
        <v>Chicken Puff</v>
      </c>
      <c r="W145" s="14">
        <f t="shared" si="5"/>
        <v>3</v>
      </c>
      <c r="X145" s="14" t="str">
        <f t="shared" si="6"/>
        <v>Not Assigned</v>
      </c>
      <c r="Y145" s="15">
        <f t="shared" si="7"/>
        <v>45261</v>
      </c>
      <c r="Z145" s="14" t="str">
        <f t="shared" si="8"/>
        <v>UPI</v>
      </c>
      <c r="AA145" s="14" t="str">
        <f t="shared" si="9"/>
        <v>Cancelled</v>
      </c>
      <c r="AB145" s="14" t="str">
        <f t="shared" ref="AB145:AC145" si="294">trim(Q145)</f>
        <v>Out of Stock</v>
      </c>
      <c r="AC145" s="14" t="str">
        <f t="shared" si="294"/>
        <v/>
      </c>
      <c r="AD145" s="8"/>
    </row>
    <row r="146">
      <c r="A146" s="14" t="str">
        <f>IFERROR(__xludf.DUMMYFUNCTION("""COMPUTED_VALUE"""),"//ord_10145//Mehul Thakkar//Malad//Veg Puff+2*Kiran Mehta/7/30/2023//Credit Card//Cancelled*Delayed Delivery:Bad Weather Conditions ")</f>
        <v>//ord_10145//Mehul Thakkar//Malad//Veg Puff+2*Kiran Mehta/7/30/2023//Credit Card//Cancelled*Delayed Delivery:Bad Weather Conditions </v>
      </c>
      <c r="B146" s="14" t="str">
        <f>IFERROR(__xludf.DUMMYFUNCTION("split(A146,""//"")"),"ord_10145")</f>
        <v>ord_10145</v>
      </c>
      <c r="C146" s="14" t="str">
        <f>IFERROR(__xludf.DUMMYFUNCTION("""COMPUTED_VALUE"""),"Mehul Thakkar")</f>
        <v>Mehul Thakkar</v>
      </c>
      <c r="D146" s="14" t="str">
        <f>IFERROR(__xludf.DUMMYFUNCTION("""COMPUTED_VALUE"""),"Malad")</f>
        <v>Malad</v>
      </c>
      <c r="E146" s="14" t="str">
        <f>IFERROR(__xludf.DUMMYFUNCTION("""COMPUTED_VALUE"""),"Veg Puff+2*Kiran Mehta")</f>
        <v>Veg Puff+2*Kiran Mehta</v>
      </c>
      <c r="F146" s="14">
        <f>IFERROR(__xludf.DUMMYFUNCTION("""COMPUTED_VALUE"""),7.0)</f>
        <v>7</v>
      </c>
      <c r="G146" s="14">
        <f>IFERROR(__xludf.DUMMYFUNCTION("""COMPUTED_VALUE"""),30.0)</f>
        <v>30</v>
      </c>
      <c r="H146" s="14">
        <f>IFERROR(__xludf.DUMMYFUNCTION("""COMPUTED_VALUE"""),2023.0)</f>
        <v>2023</v>
      </c>
      <c r="I146" s="14" t="str">
        <f>IFERROR(__xludf.DUMMYFUNCTION("""COMPUTED_VALUE"""),"Credit Card")</f>
        <v>Credit Card</v>
      </c>
      <c r="J146" s="14" t="str">
        <f>IFERROR(__xludf.DUMMYFUNCTION("""COMPUTED_VALUE"""),"Cancelled*Delayed Delivery:Bad Weather Conditions ")</f>
        <v>Cancelled*Delayed Delivery:Bad Weather Conditions </v>
      </c>
      <c r="K146" s="14" t="str">
        <f>IFERROR(__xludf.DUMMYFUNCTION("split(E146,""+"")"),"Veg Puff")</f>
        <v>Veg Puff</v>
      </c>
      <c r="L146" s="14" t="str">
        <f>IFERROR(__xludf.DUMMYFUNCTION("""COMPUTED_VALUE"""),"2*Kiran Mehta")</f>
        <v>2*Kiran Mehta</v>
      </c>
      <c r="M146" s="14">
        <f>IFERROR(__xludf.DUMMYFUNCTION("SPLIT(L146,""*"")"),2.0)</f>
        <v>2</v>
      </c>
      <c r="N146" s="14" t="str">
        <f>IFERROR(__xludf.DUMMYFUNCTION("""COMPUTED_VALUE"""),"Kiran Mehta")</f>
        <v>Kiran Mehta</v>
      </c>
      <c r="O146" s="14" t="str">
        <f>IFERROR(__xludf.DUMMYFUNCTION("split(J146,""*"")"),"Cancelled")</f>
        <v>Cancelled</v>
      </c>
      <c r="P146" s="14" t="str">
        <f>IFERROR(__xludf.DUMMYFUNCTION("""COMPUTED_VALUE"""),"Delayed Delivery:Bad Weather Conditions ")</f>
        <v>Delayed Delivery:Bad Weather Conditions </v>
      </c>
      <c r="Q146" s="14" t="str">
        <f>IFERROR(__xludf.DUMMYFUNCTION("split(P146,"":"")"),"Delayed Delivery")</f>
        <v>Delayed Delivery</v>
      </c>
      <c r="R146" s="14" t="str">
        <f>IFERROR(__xludf.DUMMYFUNCTION("""COMPUTED_VALUE"""),"Bad Weather Conditions ")</f>
        <v>Bad Weather Conditions </v>
      </c>
      <c r="S146" s="14" t="str">
        <f t="shared" ref="S146:U146" si="295">trim(B146)</f>
        <v>ord_10145</v>
      </c>
      <c r="T146" s="14" t="str">
        <f t="shared" si="295"/>
        <v>Mehul Thakkar</v>
      </c>
      <c r="U146" s="14" t="str">
        <f t="shared" si="295"/>
        <v>Malad</v>
      </c>
      <c r="V146" s="14" t="str">
        <f t="shared" si="4"/>
        <v>Veg Puff</v>
      </c>
      <c r="W146" s="14">
        <f t="shared" si="5"/>
        <v>2</v>
      </c>
      <c r="X146" s="14" t="str">
        <f t="shared" si="6"/>
        <v>Kiran Mehta</v>
      </c>
      <c r="Y146" s="15">
        <f t="shared" si="7"/>
        <v>45137</v>
      </c>
      <c r="Z146" s="14" t="str">
        <f t="shared" si="8"/>
        <v>Credit Card</v>
      </c>
      <c r="AA146" s="14" t="str">
        <f t="shared" si="9"/>
        <v>Cancelled</v>
      </c>
      <c r="AB146" s="14" t="str">
        <f t="shared" ref="AB146:AC146" si="296">trim(Q146)</f>
        <v>Delayed Delivery</v>
      </c>
      <c r="AC146" s="14" t="str">
        <f t="shared" si="296"/>
        <v>Bad Weather Conditions</v>
      </c>
      <c r="AD146" s="8"/>
    </row>
    <row r="147">
      <c r="A147" s="14" t="str">
        <f>IFERROR(__xludf.DUMMYFUNCTION("""COMPUTED_VALUE"""),"//ord_10146//Siya Reddy//Juhu//Veg Puff+5*Shine Thomas/7/30/2023//Online Payment//Cancelled*Delayed Delivery:Incorrect Address or Location")</f>
        <v>//ord_10146//Siya Reddy//Juhu//Veg Puff+5*Shine Thomas/7/30/2023//Online Payment//Cancelled*Delayed Delivery:Incorrect Address or Location</v>
      </c>
      <c r="B147" s="14" t="str">
        <f>IFERROR(__xludf.DUMMYFUNCTION("split(A147,""//"")"),"ord_10146")</f>
        <v>ord_10146</v>
      </c>
      <c r="C147" s="14" t="str">
        <f>IFERROR(__xludf.DUMMYFUNCTION("""COMPUTED_VALUE"""),"Siya Reddy")</f>
        <v>Siya Reddy</v>
      </c>
      <c r="D147" s="14" t="str">
        <f>IFERROR(__xludf.DUMMYFUNCTION("""COMPUTED_VALUE"""),"Juhu")</f>
        <v>Juhu</v>
      </c>
      <c r="E147" s="14" t="str">
        <f>IFERROR(__xludf.DUMMYFUNCTION("""COMPUTED_VALUE"""),"Veg Puff+5*Shine Thomas")</f>
        <v>Veg Puff+5*Shine Thomas</v>
      </c>
      <c r="F147" s="14">
        <f>IFERROR(__xludf.DUMMYFUNCTION("""COMPUTED_VALUE"""),7.0)</f>
        <v>7</v>
      </c>
      <c r="G147" s="14">
        <f>IFERROR(__xludf.DUMMYFUNCTION("""COMPUTED_VALUE"""),30.0)</f>
        <v>30</v>
      </c>
      <c r="H147" s="14">
        <f>IFERROR(__xludf.DUMMYFUNCTION("""COMPUTED_VALUE"""),2023.0)</f>
        <v>2023</v>
      </c>
      <c r="I147" s="14" t="str">
        <f>IFERROR(__xludf.DUMMYFUNCTION("""COMPUTED_VALUE"""),"Online Payment")</f>
        <v>Online Payment</v>
      </c>
      <c r="J147" s="14" t="str">
        <f>IFERROR(__xludf.DUMMYFUNCTION("""COMPUTED_VALUE"""),"Cancelled*Delayed Delivery:Incorrect Address or Location")</f>
        <v>Cancelled*Delayed Delivery:Incorrect Address or Location</v>
      </c>
      <c r="K147" s="14" t="str">
        <f>IFERROR(__xludf.DUMMYFUNCTION("split(E147,""+"")"),"Veg Puff")</f>
        <v>Veg Puff</v>
      </c>
      <c r="L147" s="14" t="str">
        <f>IFERROR(__xludf.DUMMYFUNCTION("""COMPUTED_VALUE"""),"5*Shine Thomas")</f>
        <v>5*Shine Thomas</v>
      </c>
      <c r="M147" s="14">
        <f>IFERROR(__xludf.DUMMYFUNCTION("SPLIT(L147,""*"")"),5.0)</f>
        <v>5</v>
      </c>
      <c r="N147" s="14" t="str">
        <f>IFERROR(__xludf.DUMMYFUNCTION("""COMPUTED_VALUE"""),"Shine Thomas")</f>
        <v>Shine Thomas</v>
      </c>
      <c r="O147" s="14" t="str">
        <f>IFERROR(__xludf.DUMMYFUNCTION("split(J147,""*"")"),"Cancelled")</f>
        <v>Cancelled</v>
      </c>
      <c r="P147" s="14" t="str">
        <f>IFERROR(__xludf.DUMMYFUNCTION("""COMPUTED_VALUE"""),"Delayed Delivery:Incorrect Address or Location")</f>
        <v>Delayed Delivery:Incorrect Address or Location</v>
      </c>
      <c r="Q147" s="14" t="str">
        <f>IFERROR(__xludf.DUMMYFUNCTION("split(P147,"":"")"),"Delayed Delivery")</f>
        <v>Delayed Delivery</v>
      </c>
      <c r="R147" s="14" t="str">
        <f>IFERROR(__xludf.DUMMYFUNCTION("""COMPUTED_VALUE"""),"Incorrect Address or Location")</f>
        <v>Incorrect Address or Location</v>
      </c>
      <c r="S147" s="14" t="str">
        <f t="shared" ref="S147:U147" si="297">trim(B147)</f>
        <v>ord_10146</v>
      </c>
      <c r="T147" s="14" t="str">
        <f t="shared" si="297"/>
        <v>Siya Reddy</v>
      </c>
      <c r="U147" s="14" t="str">
        <f t="shared" si="297"/>
        <v>Juhu</v>
      </c>
      <c r="V147" s="14" t="str">
        <f t="shared" si="4"/>
        <v>Veg Puff</v>
      </c>
      <c r="W147" s="14">
        <f t="shared" si="5"/>
        <v>5</v>
      </c>
      <c r="X147" s="14" t="str">
        <f t="shared" si="6"/>
        <v>Shine Thomas</v>
      </c>
      <c r="Y147" s="15">
        <f t="shared" si="7"/>
        <v>45137</v>
      </c>
      <c r="Z147" s="14" t="str">
        <f t="shared" si="8"/>
        <v>Online Payment</v>
      </c>
      <c r="AA147" s="14" t="str">
        <f t="shared" si="9"/>
        <v>Cancelled</v>
      </c>
      <c r="AB147" s="14" t="str">
        <f t="shared" ref="AB147:AC147" si="298">trim(Q147)</f>
        <v>Delayed Delivery</v>
      </c>
      <c r="AC147" s="14" t="str">
        <f t="shared" si="298"/>
        <v>Incorrect Address or Location</v>
      </c>
      <c r="AD147" s="8"/>
    </row>
    <row r="148">
      <c r="A148" s="14" t="str">
        <f>IFERROR(__xludf.DUMMYFUNCTION("""COMPUTED_VALUE"""),"//ord_10147//Aarav Mehta//Andheri//Juice+5*Not Assigned/10/29/2023//UPI//Cancelled*Payment Issues")</f>
        <v>//ord_10147//Aarav Mehta//Andheri//Juice+5*Not Assigned/10/29/2023//UPI//Cancelled*Payment Issues</v>
      </c>
      <c r="B148" s="14" t="str">
        <f>IFERROR(__xludf.DUMMYFUNCTION("split(A148,""//"")"),"ord_10147")</f>
        <v>ord_10147</v>
      </c>
      <c r="C148" s="14" t="str">
        <f>IFERROR(__xludf.DUMMYFUNCTION("""COMPUTED_VALUE"""),"Aarav Mehta")</f>
        <v>Aarav Mehta</v>
      </c>
      <c r="D148" s="14" t="str">
        <f>IFERROR(__xludf.DUMMYFUNCTION("""COMPUTED_VALUE"""),"Andheri")</f>
        <v>Andheri</v>
      </c>
      <c r="E148" s="14" t="str">
        <f>IFERROR(__xludf.DUMMYFUNCTION("""COMPUTED_VALUE"""),"Juice+5*Not Assigned")</f>
        <v>Juice+5*Not Assigned</v>
      </c>
      <c r="F148" s="14">
        <f>IFERROR(__xludf.DUMMYFUNCTION("""COMPUTED_VALUE"""),10.0)</f>
        <v>10</v>
      </c>
      <c r="G148" s="14">
        <f>IFERROR(__xludf.DUMMYFUNCTION("""COMPUTED_VALUE"""),29.0)</f>
        <v>29</v>
      </c>
      <c r="H148" s="14">
        <f>IFERROR(__xludf.DUMMYFUNCTION("""COMPUTED_VALUE"""),2023.0)</f>
        <v>2023</v>
      </c>
      <c r="I148" s="14" t="str">
        <f>IFERROR(__xludf.DUMMYFUNCTION("""COMPUTED_VALUE"""),"UPI")</f>
        <v>UPI</v>
      </c>
      <c r="J148" s="14" t="str">
        <f>IFERROR(__xludf.DUMMYFUNCTION("""COMPUTED_VALUE"""),"Cancelled*Payment Issues")</f>
        <v>Cancelled*Payment Issues</v>
      </c>
      <c r="K148" s="14" t="str">
        <f>IFERROR(__xludf.DUMMYFUNCTION("split(E148,""+"")"),"Juice")</f>
        <v>Juice</v>
      </c>
      <c r="L148" s="14" t="str">
        <f>IFERROR(__xludf.DUMMYFUNCTION("""COMPUTED_VALUE"""),"5*Not Assigned")</f>
        <v>5*Not Assigned</v>
      </c>
      <c r="M148" s="14">
        <f>IFERROR(__xludf.DUMMYFUNCTION("SPLIT(L148,""*"")"),5.0)</f>
        <v>5</v>
      </c>
      <c r="N148" s="14" t="str">
        <f>IFERROR(__xludf.DUMMYFUNCTION("""COMPUTED_VALUE"""),"Not Assigned")</f>
        <v>Not Assigned</v>
      </c>
      <c r="O148" s="14" t="str">
        <f>IFERROR(__xludf.DUMMYFUNCTION("split(J148,""*"")"),"Cancelled")</f>
        <v>Cancelled</v>
      </c>
      <c r="P148" s="14" t="str">
        <f>IFERROR(__xludf.DUMMYFUNCTION("""COMPUTED_VALUE"""),"Payment Issues")</f>
        <v>Payment Issues</v>
      </c>
      <c r="Q148" s="14" t="str">
        <f>IFERROR(__xludf.DUMMYFUNCTION("split(P148,"":"")"),"Payment Issues")</f>
        <v>Payment Issues</v>
      </c>
      <c r="R148" s="14"/>
      <c r="S148" s="14" t="str">
        <f t="shared" ref="S148:U148" si="299">trim(B148)</f>
        <v>ord_10147</v>
      </c>
      <c r="T148" s="14" t="str">
        <f t="shared" si="299"/>
        <v>Aarav Mehta</v>
      </c>
      <c r="U148" s="14" t="str">
        <f t="shared" si="299"/>
        <v>Andheri</v>
      </c>
      <c r="V148" s="14" t="str">
        <f t="shared" si="4"/>
        <v>Juice</v>
      </c>
      <c r="W148" s="14">
        <f t="shared" si="5"/>
        <v>5</v>
      </c>
      <c r="X148" s="14" t="str">
        <f t="shared" si="6"/>
        <v>Not Assigned</v>
      </c>
      <c r="Y148" s="15">
        <f t="shared" si="7"/>
        <v>45228</v>
      </c>
      <c r="Z148" s="14" t="str">
        <f t="shared" si="8"/>
        <v>UPI</v>
      </c>
      <c r="AA148" s="14" t="str">
        <f t="shared" si="9"/>
        <v>Cancelled</v>
      </c>
      <c r="AB148" s="14" t="str">
        <f t="shared" ref="AB148:AC148" si="300">trim(Q148)</f>
        <v>Payment Issues</v>
      </c>
      <c r="AC148" s="14" t="str">
        <f t="shared" si="300"/>
        <v/>
      </c>
      <c r="AD148" s="8"/>
    </row>
    <row r="149">
      <c r="A149" s="14" t="str">
        <f>IFERROR(__xludf.DUMMYFUNCTION("""COMPUTED_VALUE"""),"//ord_10148//Pallavi Ghosh//Bandra//Chicken Puff+3*Sita T/2/3/2023//Credit Card//Delivered*On-time Delivery: Delivered on time")</f>
        <v>//ord_10148//Pallavi Ghosh//Bandra//Chicken Puff+3*Sita T/2/3/2023//Credit Card//Delivered*On-time Delivery: Delivered on time</v>
      </c>
      <c r="B149" s="14" t="str">
        <f>IFERROR(__xludf.DUMMYFUNCTION("split(A149,""//"")"),"ord_10148")</f>
        <v>ord_10148</v>
      </c>
      <c r="C149" s="14" t="str">
        <f>IFERROR(__xludf.DUMMYFUNCTION("""COMPUTED_VALUE"""),"Pallavi Ghosh")</f>
        <v>Pallavi Ghosh</v>
      </c>
      <c r="D149" s="14" t="str">
        <f>IFERROR(__xludf.DUMMYFUNCTION("""COMPUTED_VALUE"""),"Bandra")</f>
        <v>Bandra</v>
      </c>
      <c r="E149" s="14" t="str">
        <f>IFERROR(__xludf.DUMMYFUNCTION("""COMPUTED_VALUE"""),"Chicken Puff+3*Sita T")</f>
        <v>Chicken Puff+3*Sita T</v>
      </c>
      <c r="F149" s="14">
        <f>IFERROR(__xludf.DUMMYFUNCTION("""COMPUTED_VALUE"""),2.0)</f>
        <v>2</v>
      </c>
      <c r="G149" s="14">
        <f>IFERROR(__xludf.DUMMYFUNCTION("""COMPUTED_VALUE"""),3.0)</f>
        <v>3</v>
      </c>
      <c r="H149" s="14">
        <f>IFERROR(__xludf.DUMMYFUNCTION("""COMPUTED_VALUE"""),2023.0)</f>
        <v>2023</v>
      </c>
      <c r="I149" s="14" t="str">
        <f>IFERROR(__xludf.DUMMYFUNCTION("""COMPUTED_VALUE"""),"Credit Card")</f>
        <v>Credit Card</v>
      </c>
      <c r="J149" s="14" t="str">
        <f>IFERROR(__xludf.DUMMYFUNCTION("""COMPUTED_VALUE"""),"Delivered*On-time Delivery: Delivered on time")</f>
        <v>Delivered*On-time Delivery: Delivered on time</v>
      </c>
      <c r="K149" s="14" t="str">
        <f>IFERROR(__xludf.DUMMYFUNCTION("split(E149,""+"")"),"Chicken Puff")</f>
        <v>Chicken Puff</v>
      </c>
      <c r="L149" s="14" t="str">
        <f>IFERROR(__xludf.DUMMYFUNCTION("""COMPUTED_VALUE"""),"3*Sita T")</f>
        <v>3*Sita T</v>
      </c>
      <c r="M149" s="14">
        <f>IFERROR(__xludf.DUMMYFUNCTION("SPLIT(L149,""*"")"),3.0)</f>
        <v>3</v>
      </c>
      <c r="N149" s="14" t="str">
        <f>IFERROR(__xludf.DUMMYFUNCTION("""COMPUTED_VALUE"""),"Sita T")</f>
        <v>Sita T</v>
      </c>
      <c r="O149" s="14" t="str">
        <f>IFERROR(__xludf.DUMMYFUNCTION("split(J149,""*"")"),"Delivered")</f>
        <v>Delivered</v>
      </c>
      <c r="P149" s="14" t="str">
        <f>IFERROR(__xludf.DUMMYFUNCTION("""COMPUTED_VALUE"""),"On-time Delivery: Delivered on time")</f>
        <v>On-time Delivery: Delivered on time</v>
      </c>
      <c r="Q149" s="14" t="str">
        <f>IFERROR(__xludf.DUMMYFUNCTION("split(P149,"":"")"),"On-time Delivery")</f>
        <v>On-time Delivery</v>
      </c>
      <c r="R149" s="14" t="str">
        <f>IFERROR(__xludf.DUMMYFUNCTION("""COMPUTED_VALUE""")," Delivered on time")</f>
        <v> Delivered on time</v>
      </c>
      <c r="S149" s="14" t="str">
        <f t="shared" ref="S149:U149" si="301">trim(B149)</f>
        <v>ord_10148</v>
      </c>
      <c r="T149" s="14" t="str">
        <f t="shared" si="301"/>
        <v>Pallavi Ghosh</v>
      </c>
      <c r="U149" s="14" t="str">
        <f t="shared" si="301"/>
        <v>Bandra</v>
      </c>
      <c r="V149" s="14" t="str">
        <f t="shared" si="4"/>
        <v>Chicken Puff</v>
      </c>
      <c r="W149" s="14">
        <f t="shared" si="5"/>
        <v>3</v>
      </c>
      <c r="X149" s="14" t="str">
        <f t="shared" si="6"/>
        <v>Sita T</v>
      </c>
      <c r="Y149" s="15">
        <f t="shared" si="7"/>
        <v>44960</v>
      </c>
      <c r="Z149" s="14" t="str">
        <f t="shared" si="8"/>
        <v>Credit Card</v>
      </c>
      <c r="AA149" s="14" t="str">
        <f t="shared" si="9"/>
        <v>Delivered</v>
      </c>
      <c r="AB149" s="14" t="str">
        <f t="shared" ref="AB149:AC149" si="302">trim(Q149)</f>
        <v>On-time Delivery</v>
      </c>
      <c r="AC149" s="14" t="str">
        <f t="shared" si="302"/>
        <v>Delivered on time</v>
      </c>
      <c r="AD149" s="8"/>
    </row>
    <row r="150">
      <c r="A150" s="14" t="str">
        <f>IFERROR(__xludf.DUMMYFUNCTION("""COMPUTED_VALUE"""),"//ord_10149//Ishita Banerjee//Juhu//Chicken Puff+4*Not Assigned/10/15/2023//UPI//Cancelled*Out of Stock")</f>
        <v>//ord_10149//Ishita Banerjee//Juhu//Chicken Puff+4*Not Assigned/10/15/2023//UPI//Cancelled*Out of Stock</v>
      </c>
      <c r="B150" s="14" t="str">
        <f>IFERROR(__xludf.DUMMYFUNCTION("split(A150,""//"")"),"ord_10149")</f>
        <v>ord_10149</v>
      </c>
      <c r="C150" s="14" t="str">
        <f>IFERROR(__xludf.DUMMYFUNCTION("""COMPUTED_VALUE"""),"Ishita Banerjee")</f>
        <v>Ishita Banerjee</v>
      </c>
      <c r="D150" s="14" t="str">
        <f>IFERROR(__xludf.DUMMYFUNCTION("""COMPUTED_VALUE"""),"Juhu")</f>
        <v>Juhu</v>
      </c>
      <c r="E150" s="14" t="str">
        <f>IFERROR(__xludf.DUMMYFUNCTION("""COMPUTED_VALUE"""),"Chicken Puff+4*Not Assigned")</f>
        <v>Chicken Puff+4*Not Assigned</v>
      </c>
      <c r="F150" s="14">
        <f>IFERROR(__xludf.DUMMYFUNCTION("""COMPUTED_VALUE"""),10.0)</f>
        <v>10</v>
      </c>
      <c r="G150" s="14">
        <f>IFERROR(__xludf.DUMMYFUNCTION("""COMPUTED_VALUE"""),15.0)</f>
        <v>15</v>
      </c>
      <c r="H150" s="14">
        <f>IFERROR(__xludf.DUMMYFUNCTION("""COMPUTED_VALUE"""),2023.0)</f>
        <v>2023</v>
      </c>
      <c r="I150" s="14" t="str">
        <f>IFERROR(__xludf.DUMMYFUNCTION("""COMPUTED_VALUE"""),"UPI")</f>
        <v>UPI</v>
      </c>
      <c r="J150" s="14" t="str">
        <f>IFERROR(__xludf.DUMMYFUNCTION("""COMPUTED_VALUE"""),"Cancelled*Out of Stock")</f>
        <v>Cancelled*Out of Stock</v>
      </c>
      <c r="K150" s="14" t="str">
        <f>IFERROR(__xludf.DUMMYFUNCTION("split(E150,""+"")"),"Chicken Puff")</f>
        <v>Chicken Puff</v>
      </c>
      <c r="L150" s="14" t="str">
        <f>IFERROR(__xludf.DUMMYFUNCTION("""COMPUTED_VALUE"""),"4*Not Assigned")</f>
        <v>4*Not Assigned</v>
      </c>
      <c r="M150" s="14">
        <f>IFERROR(__xludf.DUMMYFUNCTION("SPLIT(L150,""*"")"),4.0)</f>
        <v>4</v>
      </c>
      <c r="N150" s="14" t="str">
        <f>IFERROR(__xludf.DUMMYFUNCTION("""COMPUTED_VALUE"""),"Not Assigned")</f>
        <v>Not Assigned</v>
      </c>
      <c r="O150" s="14" t="str">
        <f>IFERROR(__xludf.DUMMYFUNCTION("split(J150,""*"")"),"Cancelled")</f>
        <v>Cancelled</v>
      </c>
      <c r="P150" s="14" t="str">
        <f>IFERROR(__xludf.DUMMYFUNCTION("""COMPUTED_VALUE"""),"Out of Stock")</f>
        <v>Out of Stock</v>
      </c>
      <c r="Q150" s="14" t="str">
        <f>IFERROR(__xludf.DUMMYFUNCTION("split(P150,"":"")"),"Out of Stock")</f>
        <v>Out of Stock</v>
      </c>
      <c r="R150" s="14"/>
      <c r="S150" s="14" t="str">
        <f t="shared" ref="S150:U150" si="303">trim(B150)</f>
        <v>ord_10149</v>
      </c>
      <c r="T150" s="14" t="str">
        <f t="shared" si="303"/>
        <v>Ishita Banerjee</v>
      </c>
      <c r="U150" s="14" t="str">
        <f t="shared" si="303"/>
        <v>Juhu</v>
      </c>
      <c r="V150" s="14" t="str">
        <f t="shared" si="4"/>
        <v>Chicken Puff</v>
      </c>
      <c r="W150" s="14">
        <f t="shared" si="5"/>
        <v>4</v>
      </c>
      <c r="X150" s="14" t="str">
        <f t="shared" si="6"/>
        <v>Not Assigned</v>
      </c>
      <c r="Y150" s="15">
        <f t="shared" si="7"/>
        <v>45214</v>
      </c>
      <c r="Z150" s="14" t="str">
        <f t="shared" si="8"/>
        <v>UPI</v>
      </c>
      <c r="AA150" s="14" t="str">
        <f t="shared" si="9"/>
        <v>Cancelled</v>
      </c>
      <c r="AB150" s="14" t="str">
        <f t="shared" ref="AB150:AC150" si="304">trim(Q150)</f>
        <v>Out of Stock</v>
      </c>
      <c r="AC150" s="14" t="str">
        <f t="shared" si="304"/>
        <v/>
      </c>
      <c r="AD150" s="8"/>
    </row>
    <row r="151">
      <c r="A151" s="14" t="str">
        <f>IFERROR(__xludf.DUMMYFUNCTION("""COMPUTED_VALUE"""),"//ord_10150//Diya Arora//Lower Parel//Banana+2*Kiran Mehta/9/27/2023//UPI//Delivered*Quality of Items: Perfect condition")</f>
        <v>//ord_10150//Diya Arora//Lower Parel//Banana+2*Kiran Mehta/9/27/2023//UPI//Delivered*Quality of Items: Perfect condition</v>
      </c>
      <c r="B151" s="14" t="str">
        <f>IFERROR(__xludf.DUMMYFUNCTION("split(A151,""//"")"),"ord_10150")</f>
        <v>ord_10150</v>
      </c>
      <c r="C151" s="14" t="str">
        <f>IFERROR(__xludf.DUMMYFUNCTION("""COMPUTED_VALUE"""),"Diya Arora")</f>
        <v>Diya Arora</v>
      </c>
      <c r="D151" s="14" t="str">
        <f>IFERROR(__xludf.DUMMYFUNCTION("""COMPUTED_VALUE"""),"Lower Parel")</f>
        <v>Lower Parel</v>
      </c>
      <c r="E151" s="14" t="str">
        <f>IFERROR(__xludf.DUMMYFUNCTION("""COMPUTED_VALUE"""),"Banana+2*Kiran Mehta")</f>
        <v>Banana+2*Kiran Mehta</v>
      </c>
      <c r="F151" s="14">
        <f>IFERROR(__xludf.DUMMYFUNCTION("""COMPUTED_VALUE"""),9.0)</f>
        <v>9</v>
      </c>
      <c r="G151" s="14">
        <f>IFERROR(__xludf.DUMMYFUNCTION("""COMPUTED_VALUE"""),27.0)</f>
        <v>27</v>
      </c>
      <c r="H151" s="14">
        <f>IFERROR(__xludf.DUMMYFUNCTION("""COMPUTED_VALUE"""),2023.0)</f>
        <v>2023</v>
      </c>
      <c r="I151" s="14" t="str">
        <f>IFERROR(__xludf.DUMMYFUNCTION("""COMPUTED_VALUE"""),"UPI")</f>
        <v>UPI</v>
      </c>
      <c r="J151" s="14" t="str">
        <f>IFERROR(__xludf.DUMMYFUNCTION("""COMPUTED_VALUE"""),"Delivered*Quality of Items: Perfect condition")</f>
        <v>Delivered*Quality of Items: Perfect condition</v>
      </c>
      <c r="K151" s="14" t="str">
        <f>IFERROR(__xludf.DUMMYFUNCTION("split(E151,""+"")"),"Banana")</f>
        <v>Banana</v>
      </c>
      <c r="L151" s="14" t="str">
        <f>IFERROR(__xludf.DUMMYFUNCTION("""COMPUTED_VALUE"""),"2*Kiran Mehta")</f>
        <v>2*Kiran Mehta</v>
      </c>
      <c r="M151" s="14">
        <f>IFERROR(__xludf.DUMMYFUNCTION("SPLIT(L151,""*"")"),2.0)</f>
        <v>2</v>
      </c>
      <c r="N151" s="14" t="str">
        <f>IFERROR(__xludf.DUMMYFUNCTION("""COMPUTED_VALUE"""),"Kiran Mehta")</f>
        <v>Kiran Mehta</v>
      </c>
      <c r="O151" s="14" t="str">
        <f>IFERROR(__xludf.DUMMYFUNCTION("split(J151,""*"")"),"Delivered")</f>
        <v>Delivered</v>
      </c>
      <c r="P151" s="14" t="str">
        <f>IFERROR(__xludf.DUMMYFUNCTION("""COMPUTED_VALUE"""),"Quality of Items: Perfect condition")</f>
        <v>Quality of Items: Perfect condition</v>
      </c>
      <c r="Q151" s="14" t="str">
        <f>IFERROR(__xludf.DUMMYFUNCTION("split(P151,"":"")"),"Quality of Items")</f>
        <v>Quality of Items</v>
      </c>
      <c r="R151" s="14" t="str">
        <f>IFERROR(__xludf.DUMMYFUNCTION("""COMPUTED_VALUE""")," Perfect condition")</f>
        <v> Perfect condition</v>
      </c>
      <c r="S151" s="14" t="str">
        <f t="shared" ref="S151:U151" si="305">trim(B151)</f>
        <v>ord_10150</v>
      </c>
      <c r="T151" s="14" t="str">
        <f t="shared" si="305"/>
        <v>Diya Arora</v>
      </c>
      <c r="U151" s="14" t="str">
        <f t="shared" si="305"/>
        <v>Lower Parel</v>
      </c>
      <c r="V151" s="14" t="str">
        <f t="shared" si="4"/>
        <v>Banana</v>
      </c>
      <c r="W151" s="14">
        <f t="shared" si="5"/>
        <v>2</v>
      </c>
      <c r="X151" s="14" t="str">
        <f t="shared" si="6"/>
        <v>Kiran Mehta</v>
      </c>
      <c r="Y151" s="15">
        <f t="shared" si="7"/>
        <v>45196</v>
      </c>
      <c r="Z151" s="14" t="str">
        <f t="shared" si="8"/>
        <v>UPI</v>
      </c>
      <c r="AA151" s="14" t="str">
        <f t="shared" si="9"/>
        <v>Delivered</v>
      </c>
      <c r="AB151" s="14" t="str">
        <f t="shared" ref="AB151:AC151" si="306">trim(Q151)</f>
        <v>Quality of Items</v>
      </c>
      <c r="AC151" s="14" t="str">
        <f t="shared" si="306"/>
        <v>Perfect condition</v>
      </c>
      <c r="AD151" s="8"/>
    </row>
    <row r="152">
      <c r="A152" s="14" t="str">
        <f>IFERROR(__xludf.DUMMYFUNCTION("""COMPUTED_VALUE"""),"//ord_10151//Mohit Malhotra//Lower Parel//Papaya+1*Ram Gopal/7/9/2023//COD//Delivered*Packaging: Secure and intact")</f>
        <v>//ord_10151//Mohit Malhotra//Lower Parel//Papaya+1*Ram Gopal/7/9/2023//COD//Delivered*Packaging: Secure and intact</v>
      </c>
      <c r="B152" s="14" t="str">
        <f>IFERROR(__xludf.DUMMYFUNCTION("split(A152,""//"")"),"ord_10151")</f>
        <v>ord_10151</v>
      </c>
      <c r="C152" s="14" t="str">
        <f>IFERROR(__xludf.DUMMYFUNCTION("""COMPUTED_VALUE"""),"Mohit Malhotra")</f>
        <v>Mohit Malhotra</v>
      </c>
      <c r="D152" s="14" t="str">
        <f>IFERROR(__xludf.DUMMYFUNCTION("""COMPUTED_VALUE"""),"Lower Parel")</f>
        <v>Lower Parel</v>
      </c>
      <c r="E152" s="14" t="str">
        <f>IFERROR(__xludf.DUMMYFUNCTION("""COMPUTED_VALUE"""),"Papaya+1*Ram Gopal")</f>
        <v>Papaya+1*Ram Gopal</v>
      </c>
      <c r="F152" s="14">
        <f>IFERROR(__xludf.DUMMYFUNCTION("""COMPUTED_VALUE"""),7.0)</f>
        <v>7</v>
      </c>
      <c r="G152" s="14">
        <f>IFERROR(__xludf.DUMMYFUNCTION("""COMPUTED_VALUE"""),9.0)</f>
        <v>9</v>
      </c>
      <c r="H152" s="14">
        <f>IFERROR(__xludf.DUMMYFUNCTION("""COMPUTED_VALUE"""),2023.0)</f>
        <v>2023</v>
      </c>
      <c r="I152" s="14" t="str">
        <f>IFERROR(__xludf.DUMMYFUNCTION("""COMPUTED_VALUE"""),"COD")</f>
        <v>COD</v>
      </c>
      <c r="J152" s="14" t="str">
        <f>IFERROR(__xludf.DUMMYFUNCTION("""COMPUTED_VALUE"""),"Delivered*Packaging: Secure and intact")</f>
        <v>Delivered*Packaging: Secure and intact</v>
      </c>
      <c r="K152" s="14" t="str">
        <f>IFERROR(__xludf.DUMMYFUNCTION("split(E152,""+"")"),"Papaya")</f>
        <v>Papaya</v>
      </c>
      <c r="L152" s="14" t="str">
        <f>IFERROR(__xludf.DUMMYFUNCTION("""COMPUTED_VALUE"""),"1*Ram Gopal")</f>
        <v>1*Ram Gopal</v>
      </c>
      <c r="M152" s="14">
        <f>IFERROR(__xludf.DUMMYFUNCTION("SPLIT(L152,""*"")"),1.0)</f>
        <v>1</v>
      </c>
      <c r="N152" s="14" t="str">
        <f>IFERROR(__xludf.DUMMYFUNCTION("""COMPUTED_VALUE"""),"Ram Gopal")</f>
        <v>Ram Gopal</v>
      </c>
      <c r="O152" s="14" t="str">
        <f>IFERROR(__xludf.DUMMYFUNCTION("split(J152,""*"")"),"Delivered")</f>
        <v>Delivered</v>
      </c>
      <c r="P152" s="14" t="str">
        <f>IFERROR(__xludf.DUMMYFUNCTION("""COMPUTED_VALUE"""),"Packaging: Secure and intact")</f>
        <v>Packaging: Secure and intact</v>
      </c>
      <c r="Q152" s="14" t="str">
        <f>IFERROR(__xludf.DUMMYFUNCTION("split(P152,"":"")"),"Packaging")</f>
        <v>Packaging</v>
      </c>
      <c r="R152" s="14" t="str">
        <f>IFERROR(__xludf.DUMMYFUNCTION("""COMPUTED_VALUE""")," Secure and intact")</f>
        <v> Secure and intact</v>
      </c>
      <c r="S152" s="14" t="str">
        <f t="shared" ref="S152:U152" si="307">trim(B152)</f>
        <v>ord_10151</v>
      </c>
      <c r="T152" s="14" t="str">
        <f t="shared" si="307"/>
        <v>Mohit Malhotra</v>
      </c>
      <c r="U152" s="14" t="str">
        <f t="shared" si="307"/>
        <v>Lower Parel</v>
      </c>
      <c r="V152" s="14" t="str">
        <f t="shared" si="4"/>
        <v>Papaya</v>
      </c>
      <c r="W152" s="14">
        <f t="shared" si="5"/>
        <v>1</v>
      </c>
      <c r="X152" s="14" t="str">
        <f t="shared" si="6"/>
        <v>Ram Gopal</v>
      </c>
      <c r="Y152" s="15">
        <f t="shared" si="7"/>
        <v>45116</v>
      </c>
      <c r="Z152" s="14" t="str">
        <f t="shared" si="8"/>
        <v>COD</v>
      </c>
      <c r="AA152" s="14" t="str">
        <f t="shared" si="9"/>
        <v>Delivered</v>
      </c>
      <c r="AB152" s="14" t="str">
        <f t="shared" ref="AB152:AC152" si="308">trim(Q152)</f>
        <v>Packaging</v>
      </c>
      <c r="AC152" s="14" t="str">
        <f t="shared" si="308"/>
        <v>Secure and intact</v>
      </c>
      <c r="AD152" s="8"/>
    </row>
    <row r="153">
      <c r="A153" s="14" t="str">
        <f>IFERROR(__xludf.DUMMYFUNCTION("""COMPUTED_VALUE"""),"//ord_10152//Omkar Mishra//Powai//Popcorn+3*Ram Gopal/8/16/2023//UPI//Delivered*Satisfied with the Delivery: Timely and quality")</f>
        <v>//ord_10152//Omkar Mishra//Powai//Popcorn+3*Ram Gopal/8/16/2023//UPI//Delivered*Satisfied with the Delivery: Timely and quality</v>
      </c>
      <c r="B153" s="14" t="str">
        <f>IFERROR(__xludf.DUMMYFUNCTION("split(A153,""//"")"),"ord_10152")</f>
        <v>ord_10152</v>
      </c>
      <c r="C153" s="14" t="str">
        <f>IFERROR(__xludf.DUMMYFUNCTION("""COMPUTED_VALUE"""),"Omkar Mishra")</f>
        <v>Omkar Mishra</v>
      </c>
      <c r="D153" s="14" t="str">
        <f>IFERROR(__xludf.DUMMYFUNCTION("""COMPUTED_VALUE"""),"Powai")</f>
        <v>Powai</v>
      </c>
      <c r="E153" s="14" t="str">
        <f>IFERROR(__xludf.DUMMYFUNCTION("""COMPUTED_VALUE"""),"Popcorn+3*Ram Gopal")</f>
        <v>Popcorn+3*Ram Gopal</v>
      </c>
      <c r="F153" s="14">
        <f>IFERROR(__xludf.DUMMYFUNCTION("""COMPUTED_VALUE"""),8.0)</f>
        <v>8</v>
      </c>
      <c r="G153" s="14">
        <f>IFERROR(__xludf.DUMMYFUNCTION("""COMPUTED_VALUE"""),16.0)</f>
        <v>16</v>
      </c>
      <c r="H153" s="14">
        <f>IFERROR(__xludf.DUMMYFUNCTION("""COMPUTED_VALUE"""),2023.0)</f>
        <v>2023</v>
      </c>
      <c r="I153" s="14" t="str">
        <f>IFERROR(__xludf.DUMMYFUNCTION("""COMPUTED_VALUE"""),"UPI")</f>
        <v>UPI</v>
      </c>
      <c r="J153" s="14" t="str">
        <f>IFERROR(__xludf.DUMMYFUNCTION("""COMPUTED_VALUE"""),"Delivered*Satisfied with the Delivery: Timely and quality")</f>
        <v>Delivered*Satisfied with the Delivery: Timely and quality</v>
      </c>
      <c r="K153" s="14" t="str">
        <f>IFERROR(__xludf.DUMMYFUNCTION("split(E153,""+"")"),"Popcorn")</f>
        <v>Popcorn</v>
      </c>
      <c r="L153" s="14" t="str">
        <f>IFERROR(__xludf.DUMMYFUNCTION("""COMPUTED_VALUE"""),"3*Ram Gopal")</f>
        <v>3*Ram Gopal</v>
      </c>
      <c r="M153" s="14">
        <f>IFERROR(__xludf.DUMMYFUNCTION("SPLIT(L153,""*"")"),3.0)</f>
        <v>3</v>
      </c>
      <c r="N153" s="14" t="str">
        <f>IFERROR(__xludf.DUMMYFUNCTION("""COMPUTED_VALUE"""),"Ram Gopal")</f>
        <v>Ram Gopal</v>
      </c>
      <c r="O153" s="14" t="str">
        <f>IFERROR(__xludf.DUMMYFUNCTION("split(J153,""*"")"),"Delivered")</f>
        <v>Delivered</v>
      </c>
      <c r="P153" s="14" t="str">
        <f>IFERROR(__xludf.DUMMYFUNCTION("""COMPUTED_VALUE"""),"Satisfied with the Delivery: Timely and quality")</f>
        <v>Satisfied with the Delivery: Timely and quality</v>
      </c>
      <c r="Q153" s="14" t="str">
        <f>IFERROR(__xludf.DUMMYFUNCTION("split(P153,"":"")"),"Satisfied with the Delivery")</f>
        <v>Satisfied with the Delivery</v>
      </c>
      <c r="R153" s="14" t="str">
        <f>IFERROR(__xludf.DUMMYFUNCTION("""COMPUTED_VALUE""")," Timely and quality")</f>
        <v> Timely and quality</v>
      </c>
      <c r="S153" s="14" t="str">
        <f t="shared" ref="S153:U153" si="309">trim(B153)</f>
        <v>ord_10152</v>
      </c>
      <c r="T153" s="14" t="str">
        <f t="shared" si="309"/>
        <v>Omkar Mishra</v>
      </c>
      <c r="U153" s="14" t="str">
        <f t="shared" si="309"/>
        <v>Powai</v>
      </c>
      <c r="V153" s="14" t="str">
        <f t="shared" si="4"/>
        <v>Popcorn</v>
      </c>
      <c r="W153" s="14">
        <f t="shared" si="5"/>
        <v>3</v>
      </c>
      <c r="X153" s="14" t="str">
        <f t="shared" si="6"/>
        <v>Ram Gopal</v>
      </c>
      <c r="Y153" s="15">
        <f t="shared" si="7"/>
        <v>45154</v>
      </c>
      <c r="Z153" s="14" t="str">
        <f t="shared" si="8"/>
        <v>UPI</v>
      </c>
      <c r="AA153" s="14" t="str">
        <f t="shared" si="9"/>
        <v>Delivered</v>
      </c>
      <c r="AB153" s="14" t="str">
        <f t="shared" ref="AB153:AC153" si="310">trim(Q153)</f>
        <v>Satisfied with the Delivery</v>
      </c>
      <c r="AC153" s="14" t="str">
        <f t="shared" si="310"/>
        <v>Timely and quality</v>
      </c>
      <c r="AD153" s="8"/>
    </row>
    <row r="154">
      <c r="A154" s="14" t="str">
        <f>IFERROR(__xludf.DUMMYFUNCTION("""COMPUTED_VALUE"""),"//ord_10153//Aarohi Kapoor//Bandra//Rasmalai+4*Priya Joshi/12/14/2023//UPI//Delivered*Customer Service: Seamless and easy")</f>
        <v>//ord_10153//Aarohi Kapoor//Bandra//Rasmalai+4*Priya Joshi/12/14/2023//UPI//Delivered*Customer Service: Seamless and easy</v>
      </c>
      <c r="B154" s="14" t="str">
        <f>IFERROR(__xludf.DUMMYFUNCTION("split(A154,""//"")"),"ord_10153")</f>
        <v>ord_10153</v>
      </c>
      <c r="C154" s="14" t="str">
        <f>IFERROR(__xludf.DUMMYFUNCTION("""COMPUTED_VALUE"""),"Aarohi Kapoor")</f>
        <v>Aarohi Kapoor</v>
      </c>
      <c r="D154" s="14" t="str">
        <f>IFERROR(__xludf.DUMMYFUNCTION("""COMPUTED_VALUE"""),"Bandra")</f>
        <v>Bandra</v>
      </c>
      <c r="E154" s="14" t="str">
        <f>IFERROR(__xludf.DUMMYFUNCTION("""COMPUTED_VALUE"""),"Rasmalai+4*Priya Joshi")</f>
        <v>Rasmalai+4*Priya Joshi</v>
      </c>
      <c r="F154" s="14">
        <f>IFERROR(__xludf.DUMMYFUNCTION("""COMPUTED_VALUE"""),12.0)</f>
        <v>12</v>
      </c>
      <c r="G154" s="14">
        <f>IFERROR(__xludf.DUMMYFUNCTION("""COMPUTED_VALUE"""),14.0)</f>
        <v>14</v>
      </c>
      <c r="H154" s="14">
        <f>IFERROR(__xludf.DUMMYFUNCTION("""COMPUTED_VALUE"""),2023.0)</f>
        <v>2023</v>
      </c>
      <c r="I154" s="14" t="str">
        <f>IFERROR(__xludf.DUMMYFUNCTION("""COMPUTED_VALUE"""),"UPI")</f>
        <v>UPI</v>
      </c>
      <c r="J154" s="14" t="str">
        <f>IFERROR(__xludf.DUMMYFUNCTION("""COMPUTED_VALUE"""),"Delivered*Customer Service: Seamless and easy")</f>
        <v>Delivered*Customer Service: Seamless and easy</v>
      </c>
      <c r="K154" s="14" t="str">
        <f>IFERROR(__xludf.DUMMYFUNCTION("split(E154,""+"")"),"Rasmalai")</f>
        <v>Rasmalai</v>
      </c>
      <c r="L154" s="14" t="str">
        <f>IFERROR(__xludf.DUMMYFUNCTION("""COMPUTED_VALUE"""),"4*Priya Joshi")</f>
        <v>4*Priya Joshi</v>
      </c>
      <c r="M154" s="14">
        <f>IFERROR(__xludf.DUMMYFUNCTION("SPLIT(L154,""*"")"),4.0)</f>
        <v>4</v>
      </c>
      <c r="N154" s="14" t="str">
        <f>IFERROR(__xludf.DUMMYFUNCTION("""COMPUTED_VALUE"""),"Priya Joshi")</f>
        <v>Priya Joshi</v>
      </c>
      <c r="O154" s="14" t="str">
        <f>IFERROR(__xludf.DUMMYFUNCTION("split(J154,""*"")"),"Delivered")</f>
        <v>Delivered</v>
      </c>
      <c r="P154" s="14" t="str">
        <f>IFERROR(__xludf.DUMMYFUNCTION("""COMPUTED_VALUE"""),"Customer Service: Seamless and easy")</f>
        <v>Customer Service: Seamless and easy</v>
      </c>
      <c r="Q154" s="14" t="str">
        <f>IFERROR(__xludf.DUMMYFUNCTION("split(P154,"":"")"),"Customer Service")</f>
        <v>Customer Service</v>
      </c>
      <c r="R154" s="14" t="str">
        <f>IFERROR(__xludf.DUMMYFUNCTION("""COMPUTED_VALUE""")," Seamless and easy")</f>
        <v> Seamless and easy</v>
      </c>
      <c r="S154" s="14" t="str">
        <f t="shared" ref="S154:U154" si="311">trim(B154)</f>
        <v>ord_10153</v>
      </c>
      <c r="T154" s="14" t="str">
        <f t="shared" si="311"/>
        <v>Aarohi Kapoor</v>
      </c>
      <c r="U154" s="14" t="str">
        <f t="shared" si="311"/>
        <v>Bandra</v>
      </c>
      <c r="V154" s="14" t="str">
        <f t="shared" si="4"/>
        <v>Rasmalai</v>
      </c>
      <c r="W154" s="14">
        <f t="shared" si="5"/>
        <v>4</v>
      </c>
      <c r="X154" s="14" t="str">
        <f t="shared" si="6"/>
        <v>Priya Joshi</v>
      </c>
      <c r="Y154" s="15">
        <f t="shared" si="7"/>
        <v>45274</v>
      </c>
      <c r="Z154" s="14" t="str">
        <f t="shared" si="8"/>
        <v>UPI</v>
      </c>
      <c r="AA154" s="14" t="str">
        <f t="shared" si="9"/>
        <v>Delivered</v>
      </c>
      <c r="AB154" s="14" t="str">
        <f t="shared" ref="AB154:AC154" si="312">trim(Q154)</f>
        <v>Customer Service</v>
      </c>
      <c r="AC154" s="14" t="str">
        <f t="shared" si="312"/>
        <v>Seamless and easy</v>
      </c>
      <c r="AD154" s="8"/>
    </row>
    <row r="155">
      <c r="A155" s="14" t="str">
        <f>IFERROR(__xludf.DUMMYFUNCTION("""COMPUTED_VALUE"""),"//ord_10154//Pallavi Ghosh//Bandra//Onion+1*Vivek Kumar/7/10/2023//Online Payment//Delivered*Delivery Experience: Quick and professional")</f>
        <v>//ord_10154//Pallavi Ghosh//Bandra//Onion+1*Vivek Kumar/7/10/2023//Online Payment//Delivered*Delivery Experience: Quick and professional</v>
      </c>
      <c r="B155" s="14" t="str">
        <f>IFERROR(__xludf.DUMMYFUNCTION("split(A155,""//"")"),"ord_10154")</f>
        <v>ord_10154</v>
      </c>
      <c r="C155" s="14" t="str">
        <f>IFERROR(__xludf.DUMMYFUNCTION("""COMPUTED_VALUE"""),"Pallavi Ghosh")</f>
        <v>Pallavi Ghosh</v>
      </c>
      <c r="D155" s="14" t="str">
        <f>IFERROR(__xludf.DUMMYFUNCTION("""COMPUTED_VALUE"""),"Bandra")</f>
        <v>Bandra</v>
      </c>
      <c r="E155" s="14" t="str">
        <f>IFERROR(__xludf.DUMMYFUNCTION("""COMPUTED_VALUE"""),"Onion+1*Vivek Kumar")</f>
        <v>Onion+1*Vivek Kumar</v>
      </c>
      <c r="F155" s="14">
        <f>IFERROR(__xludf.DUMMYFUNCTION("""COMPUTED_VALUE"""),7.0)</f>
        <v>7</v>
      </c>
      <c r="G155" s="14">
        <f>IFERROR(__xludf.DUMMYFUNCTION("""COMPUTED_VALUE"""),10.0)</f>
        <v>10</v>
      </c>
      <c r="H155" s="14">
        <f>IFERROR(__xludf.DUMMYFUNCTION("""COMPUTED_VALUE"""),2023.0)</f>
        <v>2023</v>
      </c>
      <c r="I155" s="14" t="str">
        <f>IFERROR(__xludf.DUMMYFUNCTION("""COMPUTED_VALUE"""),"Online Payment")</f>
        <v>Online Payment</v>
      </c>
      <c r="J155" s="14" t="str">
        <f>IFERROR(__xludf.DUMMYFUNCTION("""COMPUTED_VALUE"""),"Delivered*Delivery Experience: Quick and professional")</f>
        <v>Delivered*Delivery Experience: Quick and professional</v>
      </c>
      <c r="K155" s="14" t="str">
        <f>IFERROR(__xludf.DUMMYFUNCTION("split(E155,""+"")"),"Onion")</f>
        <v>Onion</v>
      </c>
      <c r="L155" s="14" t="str">
        <f>IFERROR(__xludf.DUMMYFUNCTION("""COMPUTED_VALUE"""),"1*Vivek Kumar")</f>
        <v>1*Vivek Kumar</v>
      </c>
      <c r="M155" s="14">
        <f>IFERROR(__xludf.DUMMYFUNCTION("SPLIT(L155,""*"")"),1.0)</f>
        <v>1</v>
      </c>
      <c r="N155" s="14" t="str">
        <f>IFERROR(__xludf.DUMMYFUNCTION("""COMPUTED_VALUE"""),"Vivek Kumar")</f>
        <v>Vivek Kumar</v>
      </c>
      <c r="O155" s="14" t="str">
        <f>IFERROR(__xludf.DUMMYFUNCTION("split(J155,""*"")"),"Delivered")</f>
        <v>Delivered</v>
      </c>
      <c r="P155" s="14" t="str">
        <f>IFERROR(__xludf.DUMMYFUNCTION("""COMPUTED_VALUE"""),"Delivery Experience: Quick and professional")</f>
        <v>Delivery Experience: Quick and professional</v>
      </c>
      <c r="Q155" s="14" t="str">
        <f>IFERROR(__xludf.DUMMYFUNCTION("split(P155,"":"")"),"Delivery Experience")</f>
        <v>Delivery Experience</v>
      </c>
      <c r="R155" s="14" t="str">
        <f>IFERROR(__xludf.DUMMYFUNCTION("""COMPUTED_VALUE""")," Quick and professional")</f>
        <v> Quick and professional</v>
      </c>
      <c r="S155" s="14" t="str">
        <f t="shared" ref="S155:U155" si="313">trim(B155)</f>
        <v>ord_10154</v>
      </c>
      <c r="T155" s="14" t="str">
        <f t="shared" si="313"/>
        <v>Pallavi Ghosh</v>
      </c>
      <c r="U155" s="14" t="str">
        <f t="shared" si="313"/>
        <v>Bandra</v>
      </c>
      <c r="V155" s="14" t="str">
        <f t="shared" si="4"/>
        <v>Onion</v>
      </c>
      <c r="W155" s="14">
        <f t="shared" si="5"/>
        <v>1</v>
      </c>
      <c r="X155" s="14" t="str">
        <f t="shared" si="6"/>
        <v>Vivek Kumar</v>
      </c>
      <c r="Y155" s="15">
        <f t="shared" si="7"/>
        <v>45117</v>
      </c>
      <c r="Z155" s="14" t="str">
        <f t="shared" si="8"/>
        <v>Online Payment</v>
      </c>
      <c r="AA155" s="14" t="str">
        <f t="shared" si="9"/>
        <v>Delivered</v>
      </c>
      <c r="AB155" s="14" t="str">
        <f t="shared" ref="AB155:AC155" si="314">trim(Q155)</f>
        <v>Delivery Experience</v>
      </c>
      <c r="AC155" s="14" t="str">
        <f t="shared" si="314"/>
        <v>Quick and professional</v>
      </c>
      <c r="AD155" s="8"/>
    </row>
    <row r="156">
      <c r="A156" s="14" t="str">
        <f>IFERROR(__xludf.DUMMYFUNCTION("""COMPUTED_VALUE"""),"//ord_10155//Aarav Mehta//Andheri//Orange+1*Vivek Kumar/6/6/2023//UPI//Delivered*Convenience: Easy tracking")</f>
        <v>//ord_10155//Aarav Mehta//Andheri//Orange+1*Vivek Kumar/6/6/2023//UPI//Delivered*Convenience: Easy tracking</v>
      </c>
      <c r="B156" s="14" t="str">
        <f>IFERROR(__xludf.DUMMYFUNCTION("split(A156,""//"")"),"ord_10155")</f>
        <v>ord_10155</v>
      </c>
      <c r="C156" s="14" t="str">
        <f>IFERROR(__xludf.DUMMYFUNCTION("""COMPUTED_VALUE"""),"Aarav Mehta")</f>
        <v>Aarav Mehta</v>
      </c>
      <c r="D156" s="14" t="str">
        <f>IFERROR(__xludf.DUMMYFUNCTION("""COMPUTED_VALUE"""),"Andheri")</f>
        <v>Andheri</v>
      </c>
      <c r="E156" s="14" t="str">
        <f>IFERROR(__xludf.DUMMYFUNCTION("""COMPUTED_VALUE"""),"Orange+1*Vivek Kumar")</f>
        <v>Orange+1*Vivek Kumar</v>
      </c>
      <c r="F156" s="14">
        <f>IFERROR(__xludf.DUMMYFUNCTION("""COMPUTED_VALUE"""),6.0)</f>
        <v>6</v>
      </c>
      <c r="G156" s="14">
        <f>IFERROR(__xludf.DUMMYFUNCTION("""COMPUTED_VALUE"""),6.0)</f>
        <v>6</v>
      </c>
      <c r="H156" s="14">
        <f>IFERROR(__xludf.DUMMYFUNCTION("""COMPUTED_VALUE"""),2023.0)</f>
        <v>2023</v>
      </c>
      <c r="I156" s="14" t="str">
        <f>IFERROR(__xludf.DUMMYFUNCTION("""COMPUTED_VALUE"""),"UPI")</f>
        <v>UPI</v>
      </c>
      <c r="J156" s="14" t="str">
        <f>IFERROR(__xludf.DUMMYFUNCTION("""COMPUTED_VALUE"""),"Delivered*Convenience: Easy tracking")</f>
        <v>Delivered*Convenience: Easy tracking</v>
      </c>
      <c r="K156" s="14" t="str">
        <f>IFERROR(__xludf.DUMMYFUNCTION("split(E156,""+"")"),"Orange")</f>
        <v>Orange</v>
      </c>
      <c r="L156" s="14" t="str">
        <f>IFERROR(__xludf.DUMMYFUNCTION("""COMPUTED_VALUE"""),"1*Vivek Kumar")</f>
        <v>1*Vivek Kumar</v>
      </c>
      <c r="M156" s="14">
        <f>IFERROR(__xludf.DUMMYFUNCTION("SPLIT(L156,""*"")"),1.0)</f>
        <v>1</v>
      </c>
      <c r="N156" s="14" t="str">
        <f>IFERROR(__xludf.DUMMYFUNCTION("""COMPUTED_VALUE"""),"Vivek Kumar")</f>
        <v>Vivek Kumar</v>
      </c>
      <c r="O156" s="14" t="str">
        <f>IFERROR(__xludf.DUMMYFUNCTION("split(J156,""*"")"),"Delivered")</f>
        <v>Delivered</v>
      </c>
      <c r="P156" s="14" t="str">
        <f>IFERROR(__xludf.DUMMYFUNCTION("""COMPUTED_VALUE"""),"Convenience: Easy tracking")</f>
        <v>Convenience: Easy tracking</v>
      </c>
      <c r="Q156" s="14" t="str">
        <f>IFERROR(__xludf.DUMMYFUNCTION("split(P156,"":"")"),"Convenience")</f>
        <v>Convenience</v>
      </c>
      <c r="R156" s="14" t="str">
        <f>IFERROR(__xludf.DUMMYFUNCTION("""COMPUTED_VALUE""")," Easy tracking")</f>
        <v> Easy tracking</v>
      </c>
      <c r="S156" s="14" t="str">
        <f t="shared" ref="S156:U156" si="315">trim(B156)</f>
        <v>ord_10155</v>
      </c>
      <c r="T156" s="14" t="str">
        <f t="shared" si="315"/>
        <v>Aarav Mehta</v>
      </c>
      <c r="U156" s="14" t="str">
        <f t="shared" si="315"/>
        <v>Andheri</v>
      </c>
      <c r="V156" s="14" t="str">
        <f t="shared" si="4"/>
        <v>Orange</v>
      </c>
      <c r="W156" s="14">
        <f t="shared" si="5"/>
        <v>1</v>
      </c>
      <c r="X156" s="14" t="str">
        <f t="shared" si="6"/>
        <v>Vivek Kumar</v>
      </c>
      <c r="Y156" s="15">
        <f t="shared" si="7"/>
        <v>45083</v>
      </c>
      <c r="Z156" s="14" t="str">
        <f t="shared" si="8"/>
        <v>UPI</v>
      </c>
      <c r="AA156" s="14" t="str">
        <f t="shared" si="9"/>
        <v>Delivered</v>
      </c>
      <c r="AB156" s="14" t="str">
        <f t="shared" ref="AB156:AC156" si="316">trim(Q156)</f>
        <v>Convenience</v>
      </c>
      <c r="AC156" s="14" t="str">
        <f t="shared" si="316"/>
        <v>Easy tracking</v>
      </c>
      <c r="AD156" s="8"/>
    </row>
    <row r="157">
      <c r="A157" s="14" t="str">
        <f>IFERROR(__xludf.DUMMYFUNCTION("""COMPUTED_VALUE"""),"//ord_10156//Omkar Mishra//Powai//Papaya+2*Sita T/7/10/2023//Online Payment//Delivered*Overall Satisfaction: Great service will order again")</f>
        <v>//ord_10156//Omkar Mishra//Powai//Papaya+2*Sita T/7/10/2023//Online Payment//Delivered*Overall Satisfaction: Great service will order again</v>
      </c>
      <c r="B157" s="14" t="str">
        <f>IFERROR(__xludf.DUMMYFUNCTION("split(A157,""//"")"),"ord_10156")</f>
        <v>ord_10156</v>
      </c>
      <c r="C157" s="14" t="str">
        <f>IFERROR(__xludf.DUMMYFUNCTION("""COMPUTED_VALUE"""),"Omkar Mishra")</f>
        <v>Omkar Mishra</v>
      </c>
      <c r="D157" s="14" t="str">
        <f>IFERROR(__xludf.DUMMYFUNCTION("""COMPUTED_VALUE"""),"Powai")</f>
        <v>Powai</v>
      </c>
      <c r="E157" s="14" t="str">
        <f>IFERROR(__xludf.DUMMYFUNCTION("""COMPUTED_VALUE"""),"Papaya+2*Sita T")</f>
        <v>Papaya+2*Sita T</v>
      </c>
      <c r="F157" s="14">
        <f>IFERROR(__xludf.DUMMYFUNCTION("""COMPUTED_VALUE"""),7.0)</f>
        <v>7</v>
      </c>
      <c r="G157" s="14">
        <f>IFERROR(__xludf.DUMMYFUNCTION("""COMPUTED_VALUE"""),10.0)</f>
        <v>10</v>
      </c>
      <c r="H157" s="14">
        <f>IFERROR(__xludf.DUMMYFUNCTION("""COMPUTED_VALUE"""),2023.0)</f>
        <v>2023</v>
      </c>
      <c r="I157" s="14" t="str">
        <f>IFERROR(__xludf.DUMMYFUNCTION("""COMPUTED_VALUE"""),"Online Payment")</f>
        <v>Online Payment</v>
      </c>
      <c r="J157" s="14" t="str">
        <f>IFERROR(__xludf.DUMMYFUNCTION("""COMPUTED_VALUE"""),"Delivered*Overall Satisfaction: Great service will order again")</f>
        <v>Delivered*Overall Satisfaction: Great service will order again</v>
      </c>
      <c r="K157" s="14" t="str">
        <f>IFERROR(__xludf.DUMMYFUNCTION("split(E157,""+"")"),"Papaya")</f>
        <v>Papaya</v>
      </c>
      <c r="L157" s="14" t="str">
        <f>IFERROR(__xludf.DUMMYFUNCTION("""COMPUTED_VALUE"""),"2*Sita T")</f>
        <v>2*Sita T</v>
      </c>
      <c r="M157" s="14">
        <f>IFERROR(__xludf.DUMMYFUNCTION("SPLIT(L157,""*"")"),2.0)</f>
        <v>2</v>
      </c>
      <c r="N157" s="14" t="str">
        <f>IFERROR(__xludf.DUMMYFUNCTION("""COMPUTED_VALUE"""),"Sita T")</f>
        <v>Sita T</v>
      </c>
      <c r="O157" s="14" t="str">
        <f>IFERROR(__xludf.DUMMYFUNCTION("split(J157,""*"")"),"Delivered")</f>
        <v>Delivered</v>
      </c>
      <c r="P157" s="14" t="str">
        <f>IFERROR(__xludf.DUMMYFUNCTION("""COMPUTED_VALUE"""),"Overall Satisfaction: Great service will order again")</f>
        <v>Overall Satisfaction: Great service will order again</v>
      </c>
      <c r="Q157" s="14" t="str">
        <f>IFERROR(__xludf.DUMMYFUNCTION("split(P157,"":"")"),"Overall Satisfaction")</f>
        <v>Overall Satisfaction</v>
      </c>
      <c r="R157" s="14" t="str">
        <f>IFERROR(__xludf.DUMMYFUNCTION("""COMPUTED_VALUE""")," Great service will order again")</f>
        <v> Great service will order again</v>
      </c>
      <c r="S157" s="14" t="str">
        <f t="shared" ref="S157:U157" si="317">trim(B157)</f>
        <v>ord_10156</v>
      </c>
      <c r="T157" s="14" t="str">
        <f t="shared" si="317"/>
        <v>Omkar Mishra</v>
      </c>
      <c r="U157" s="14" t="str">
        <f t="shared" si="317"/>
        <v>Powai</v>
      </c>
      <c r="V157" s="14" t="str">
        <f t="shared" si="4"/>
        <v>Papaya</v>
      </c>
      <c r="W157" s="14">
        <f t="shared" si="5"/>
        <v>2</v>
      </c>
      <c r="X157" s="14" t="str">
        <f t="shared" si="6"/>
        <v>Sita T</v>
      </c>
      <c r="Y157" s="15">
        <f t="shared" si="7"/>
        <v>45117</v>
      </c>
      <c r="Z157" s="14" t="str">
        <f t="shared" si="8"/>
        <v>Online Payment</v>
      </c>
      <c r="AA157" s="14" t="str">
        <f t="shared" si="9"/>
        <v>Delivered</v>
      </c>
      <c r="AB157" s="14" t="str">
        <f t="shared" ref="AB157:AC157" si="318">trim(Q157)</f>
        <v>Overall Satisfaction</v>
      </c>
      <c r="AC157" s="14" t="str">
        <f t="shared" si="318"/>
        <v>Great service will order again</v>
      </c>
      <c r="AD157" s="8"/>
    </row>
    <row r="158">
      <c r="A158" s="14" t="str">
        <f>IFERROR(__xludf.DUMMYFUNCTION("""COMPUTED_VALUE"""),"//ord_10157//Tanishq Bansal//Powai//Chocolate Mousse+5*Venu R/9/28/2023//Online Payment//Delivered*On-time Delivery: Delivered on time")</f>
        <v>//ord_10157//Tanishq Bansal//Powai//Chocolate Mousse+5*Venu R/9/28/2023//Online Payment//Delivered*On-time Delivery: Delivered on time</v>
      </c>
      <c r="B158" s="14" t="str">
        <f>IFERROR(__xludf.DUMMYFUNCTION("split(A158,""//"")"),"ord_10157")</f>
        <v>ord_10157</v>
      </c>
      <c r="C158" s="14" t="str">
        <f>IFERROR(__xludf.DUMMYFUNCTION("""COMPUTED_VALUE"""),"Tanishq Bansal")</f>
        <v>Tanishq Bansal</v>
      </c>
      <c r="D158" s="14" t="str">
        <f>IFERROR(__xludf.DUMMYFUNCTION("""COMPUTED_VALUE"""),"Powai")</f>
        <v>Powai</v>
      </c>
      <c r="E158" s="14" t="str">
        <f>IFERROR(__xludf.DUMMYFUNCTION("""COMPUTED_VALUE"""),"Chocolate Mousse+5*Venu R")</f>
        <v>Chocolate Mousse+5*Venu R</v>
      </c>
      <c r="F158" s="14">
        <f>IFERROR(__xludf.DUMMYFUNCTION("""COMPUTED_VALUE"""),9.0)</f>
        <v>9</v>
      </c>
      <c r="G158" s="14">
        <f>IFERROR(__xludf.DUMMYFUNCTION("""COMPUTED_VALUE"""),28.0)</f>
        <v>28</v>
      </c>
      <c r="H158" s="14">
        <f>IFERROR(__xludf.DUMMYFUNCTION("""COMPUTED_VALUE"""),2023.0)</f>
        <v>2023</v>
      </c>
      <c r="I158" s="14" t="str">
        <f>IFERROR(__xludf.DUMMYFUNCTION("""COMPUTED_VALUE"""),"Online Payment")</f>
        <v>Online Payment</v>
      </c>
      <c r="J158" s="14" t="str">
        <f>IFERROR(__xludf.DUMMYFUNCTION("""COMPUTED_VALUE"""),"Delivered*On-time Delivery: Delivered on time")</f>
        <v>Delivered*On-time Delivery: Delivered on time</v>
      </c>
      <c r="K158" s="14" t="str">
        <f>IFERROR(__xludf.DUMMYFUNCTION("split(E158,""+"")"),"Chocolate Mousse")</f>
        <v>Chocolate Mousse</v>
      </c>
      <c r="L158" s="14" t="str">
        <f>IFERROR(__xludf.DUMMYFUNCTION("""COMPUTED_VALUE"""),"5*Venu R")</f>
        <v>5*Venu R</v>
      </c>
      <c r="M158" s="14">
        <f>IFERROR(__xludf.DUMMYFUNCTION("SPLIT(L158,""*"")"),5.0)</f>
        <v>5</v>
      </c>
      <c r="N158" s="14" t="str">
        <f>IFERROR(__xludf.DUMMYFUNCTION("""COMPUTED_VALUE"""),"Venu R")</f>
        <v>Venu R</v>
      </c>
      <c r="O158" s="14" t="str">
        <f>IFERROR(__xludf.DUMMYFUNCTION("split(J158,""*"")"),"Delivered")</f>
        <v>Delivered</v>
      </c>
      <c r="P158" s="14" t="str">
        <f>IFERROR(__xludf.DUMMYFUNCTION("""COMPUTED_VALUE"""),"On-time Delivery: Delivered on time")</f>
        <v>On-time Delivery: Delivered on time</v>
      </c>
      <c r="Q158" s="14" t="str">
        <f>IFERROR(__xludf.DUMMYFUNCTION("split(P158,"":"")"),"On-time Delivery")</f>
        <v>On-time Delivery</v>
      </c>
      <c r="R158" s="14" t="str">
        <f>IFERROR(__xludf.DUMMYFUNCTION("""COMPUTED_VALUE""")," Delivered on time")</f>
        <v> Delivered on time</v>
      </c>
      <c r="S158" s="14" t="str">
        <f t="shared" ref="S158:U158" si="319">trim(B158)</f>
        <v>ord_10157</v>
      </c>
      <c r="T158" s="14" t="str">
        <f t="shared" si="319"/>
        <v>Tanishq Bansal</v>
      </c>
      <c r="U158" s="14" t="str">
        <f t="shared" si="319"/>
        <v>Powai</v>
      </c>
      <c r="V158" s="14" t="str">
        <f t="shared" si="4"/>
        <v>Chocolate Mousse</v>
      </c>
      <c r="W158" s="14">
        <f t="shared" si="5"/>
        <v>5</v>
      </c>
      <c r="X158" s="14" t="str">
        <f t="shared" si="6"/>
        <v>Venu R</v>
      </c>
      <c r="Y158" s="15">
        <f t="shared" si="7"/>
        <v>45197</v>
      </c>
      <c r="Z158" s="14" t="str">
        <f t="shared" si="8"/>
        <v>Online Payment</v>
      </c>
      <c r="AA158" s="14" t="str">
        <f t="shared" si="9"/>
        <v>Delivered</v>
      </c>
      <c r="AB158" s="14" t="str">
        <f t="shared" ref="AB158:AC158" si="320">trim(Q158)</f>
        <v>On-time Delivery</v>
      </c>
      <c r="AC158" s="14" t="str">
        <f t="shared" si="320"/>
        <v>Delivered on time</v>
      </c>
      <c r="AD158" s="8"/>
    </row>
    <row r="159">
      <c r="A159" s="14" t="str">
        <f>IFERROR(__xludf.DUMMYFUNCTION("""COMPUTED_VALUE"""),"//ord_10158//Mohit Malhotra//Lower Parel//Papaya+2*Venu R/9/12/2023//UPI//Delivered*Quality of Items: Perfect condition")</f>
        <v>//ord_10158//Mohit Malhotra//Lower Parel//Papaya+2*Venu R/9/12/2023//UPI//Delivered*Quality of Items: Perfect condition</v>
      </c>
      <c r="B159" s="14" t="str">
        <f>IFERROR(__xludf.DUMMYFUNCTION("split(A159,""//"")"),"ord_10158")</f>
        <v>ord_10158</v>
      </c>
      <c r="C159" s="14" t="str">
        <f>IFERROR(__xludf.DUMMYFUNCTION("""COMPUTED_VALUE"""),"Mohit Malhotra")</f>
        <v>Mohit Malhotra</v>
      </c>
      <c r="D159" s="14" t="str">
        <f>IFERROR(__xludf.DUMMYFUNCTION("""COMPUTED_VALUE"""),"Lower Parel")</f>
        <v>Lower Parel</v>
      </c>
      <c r="E159" s="14" t="str">
        <f>IFERROR(__xludf.DUMMYFUNCTION("""COMPUTED_VALUE"""),"Papaya+2*Venu R")</f>
        <v>Papaya+2*Venu R</v>
      </c>
      <c r="F159" s="14">
        <f>IFERROR(__xludf.DUMMYFUNCTION("""COMPUTED_VALUE"""),9.0)</f>
        <v>9</v>
      </c>
      <c r="G159" s="14">
        <f>IFERROR(__xludf.DUMMYFUNCTION("""COMPUTED_VALUE"""),12.0)</f>
        <v>12</v>
      </c>
      <c r="H159" s="14">
        <f>IFERROR(__xludf.DUMMYFUNCTION("""COMPUTED_VALUE"""),2023.0)</f>
        <v>2023</v>
      </c>
      <c r="I159" s="14" t="str">
        <f>IFERROR(__xludf.DUMMYFUNCTION("""COMPUTED_VALUE"""),"UPI")</f>
        <v>UPI</v>
      </c>
      <c r="J159" s="14" t="str">
        <f>IFERROR(__xludf.DUMMYFUNCTION("""COMPUTED_VALUE"""),"Delivered*Quality of Items: Perfect condition")</f>
        <v>Delivered*Quality of Items: Perfect condition</v>
      </c>
      <c r="K159" s="14" t="str">
        <f>IFERROR(__xludf.DUMMYFUNCTION("split(E159,""+"")"),"Papaya")</f>
        <v>Papaya</v>
      </c>
      <c r="L159" s="14" t="str">
        <f>IFERROR(__xludf.DUMMYFUNCTION("""COMPUTED_VALUE"""),"2*Venu R")</f>
        <v>2*Venu R</v>
      </c>
      <c r="M159" s="14">
        <f>IFERROR(__xludf.DUMMYFUNCTION("SPLIT(L159,""*"")"),2.0)</f>
        <v>2</v>
      </c>
      <c r="N159" s="14" t="str">
        <f>IFERROR(__xludf.DUMMYFUNCTION("""COMPUTED_VALUE"""),"Venu R")</f>
        <v>Venu R</v>
      </c>
      <c r="O159" s="14" t="str">
        <f>IFERROR(__xludf.DUMMYFUNCTION("split(J159,""*"")"),"Delivered")</f>
        <v>Delivered</v>
      </c>
      <c r="P159" s="14" t="str">
        <f>IFERROR(__xludf.DUMMYFUNCTION("""COMPUTED_VALUE"""),"Quality of Items: Perfect condition")</f>
        <v>Quality of Items: Perfect condition</v>
      </c>
      <c r="Q159" s="14" t="str">
        <f>IFERROR(__xludf.DUMMYFUNCTION("split(P159,"":"")"),"Quality of Items")</f>
        <v>Quality of Items</v>
      </c>
      <c r="R159" s="14" t="str">
        <f>IFERROR(__xludf.DUMMYFUNCTION("""COMPUTED_VALUE""")," Perfect condition")</f>
        <v> Perfect condition</v>
      </c>
      <c r="S159" s="14" t="str">
        <f t="shared" ref="S159:U159" si="321">trim(B159)</f>
        <v>ord_10158</v>
      </c>
      <c r="T159" s="14" t="str">
        <f t="shared" si="321"/>
        <v>Mohit Malhotra</v>
      </c>
      <c r="U159" s="14" t="str">
        <f t="shared" si="321"/>
        <v>Lower Parel</v>
      </c>
      <c r="V159" s="14" t="str">
        <f t="shared" si="4"/>
        <v>Papaya</v>
      </c>
      <c r="W159" s="14">
        <f t="shared" si="5"/>
        <v>2</v>
      </c>
      <c r="X159" s="14" t="str">
        <f t="shared" si="6"/>
        <v>Venu R</v>
      </c>
      <c r="Y159" s="15">
        <f t="shared" si="7"/>
        <v>45181</v>
      </c>
      <c r="Z159" s="14" t="str">
        <f t="shared" si="8"/>
        <v>UPI</v>
      </c>
      <c r="AA159" s="14" t="str">
        <f t="shared" si="9"/>
        <v>Delivered</v>
      </c>
      <c r="AB159" s="14" t="str">
        <f t="shared" ref="AB159:AC159" si="322">trim(Q159)</f>
        <v>Quality of Items</v>
      </c>
      <c r="AC159" s="14" t="str">
        <f t="shared" si="322"/>
        <v>Perfect condition</v>
      </c>
      <c r="AD159" s="8"/>
    </row>
    <row r="160">
      <c r="A160" s="14" t="str">
        <f>IFERROR(__xludf.DUMMYFUNCTION("""COMPUTED_VALUE"""),"//ord_10159//Yash Verma//Lower Parel//Icecream+2*Ram Gopal/5/19/2023//UPI//Delivered*Packaging: Secure and intact")</f>
        <v>//ord_10159//Yash Verma//Lower Parel//Icecream+2*Ram Gopal/5/19/2023//UPI//Delivered*Packaging: Secure and intact</v>
      </c>
      <c r="B160" s="14" t="str">
        <f>IFERROR(__xludf.DUMMYFUNCTION("split(A160,""//"")"),"ord_10159")</f>
        <v>ord_10159</v>
      </c>
      <c r="C160" s="14" t="str">
        <f>IFERROR(__xludf.DUMMYFUNCTION("""COMPUTED_VALUE"""),"Yash Verma")</f>
        <v>Yash Verma</v>
      </c>
      <c r="D160" s="14" t="str">
        <f>IFERROR(__xludf.DUMMYFUNCTION("""COMPUTED_VALUE"""),"Lower Parel")</f>
        <v>Lower Parel</v>
      </c>
      <c r="E160" s="14" t="str">
        <f>IFERROR(__xludf.DUMMYFUNCTION("""COMPUTED_VALUE"""),"Icecream+2*Ram Gopal")</f>
        <v>Icecream+2*Ram Gopal</v>
      </c>
      <c r="F160" s="14">
        <f>IFERROR(__xludf.DUMMYFUNCTION("""COMPUTED_VALUE"""),5.0)</f>
        <v>5</v>
      </c>
      <c r="G160" s="14">
        <f>IFERROR(__xludf.DUMMYFUNCTION("""COMPUTED_VALUE"""),19.0)</f>
        <v>19</v>
      </c>
      <c r="H160" s="14">
        <f>IFERROR(__xludf.DUMMYFUNCTION("""COMPUTED_VALUE"""),2023.0)</f>
        <v>2023</v>
      </c>
      <c r="I160" s="14" t="str">
        <f>IFERROR(__xludf.DUMMYFUNCTION("""COMPUTED_VALUE"""),"UPI")</f>
        <v>UPI</v>
      </c>
      <c r="J160" s="14" t="str">
        <f>IFERROR(__xludf.DUMMYFUNCTION("""COMPUTED_VALUE"""),"Delivered*Packaging: Secure and intact")</f>
        <v>Delivered*Packaging: Secure and intact</v>
      </c>
      <c r="K160" s="14" t="str">
        <f>IFERROR(__xludf.DUMMYFUNCTION("split(E160,""+"")"),"Icecream")</f>
        <v>Icecream</v>
      </c>
      <c r="L160" s="14" t="str">
        <f>IFERROR(__xludf.DUMMYFUNCTION("""COMPUTED_VALUE"""),"2*Ram Gopal")</f>
        <v>2*Ram Gopal</v>
      </c>
      <c r="M160" s="14">
        <f>IFERROR(__xludf.DUMMYFUNCTION("SPLIT(L160,""*"")"),2.0)</f>
        <v>2</v>
      </c>
      <c r="N160" s="14" t="str">
        <f>IFERROR(__xludf.DUMMYFUNCTION("""COMPUTED_VALUE"""),"Ram Gopal")</f>
        <v>Ram Gopal</v>
      </c>
      <c r="O160" s="14" t="str">
        <f>IFERROR(__xludf.DUMMYFUNCTION("split(J160,""*"")"),"Delivered")</f>
        <v>Delivered</v>
      </c>
      <c r="P160" s="14" t="str">
        <f>IFERROR(__xludf.DUMMYFUNCTION("""COMPUTED_VALUE"""),"Packaging: Secure and intact")</f>
        <v>Packaging: Secure and intact</v>
      </c>
      <c r="Q160" s="14" t="str">
        <f>IFERROR(__xludf.DUMMYFUNCTION("split(P160,"":"")"),"Packaging")</f>
        <v>Packaging</v>
      </c>
      <c r="R160" s="14" t="str">
        <f>IFERROR(__xludf.DUMMYFUNCTION("""COMPUTED_VALUE""")," Secure and intact")</f>
        <v> Secure and intact</v>
      </c>
      <c r="S160" s="14" t="str">
        <f t="shared" ref="S160:U160" si="323">trim(B160)</f>
        <v>ord_10159</v>
      </c>
      <c r="T160" s="14" t="str">
        <f t="shared" si="323"/>
        <v>Yash Verma</v>
      </c>
      <c r="U160" s="14" t="str">
        <f t="shared" si="323"/>
        <v>Lower Parel</v>
      </c>
      <c r="V160" s="14" t="str">
        <f t="shared" si="4"/>
        <v>Icecream</v>
      </c>
      <c r="W160" s="14">
        <f t="shared" si="5"/>
        <v>2</v>
      </c>
      <c r="X160" s="14" t="str">
        <f t="shared" si="6"/>
        <v>Ram Gopal</v>
      </c>
      <c r="Y160" s="15">
        <f t="shared" si="7"/>
        <v>45065</v>
      </c>
      <c r="Z160" s="14" t="str">
        <f t="shared" si="8"/>
        <v>UPI</v>
      </c>
      <c r="AA160" s="14" t="str">
        <f t="shared" si="9"/>
        <v>Delivered</v>
      </c>
      <c r="AB160" s="14" t="str">
        <f t="shared" ref="AB160:AC160" si="324">trim(Q160)</f>
        <v>Packaging</v>
      </c>
      <c r="AC160" s="14" t="str">
        <f t="shared" si="324"/>
        <v>Secure and intact</v>
      </c>
      <c r="AD160" s="8"/>
    </row>
    <row r="161">
      <c r="A161" s="14" t="str">
        <f>IFERROR(__xludf.DUMMYFUNCTION("""COMPUTED_VALUE"""),"//ord_10160//Arvind Kulkarni//Juhu//Veg Puff+3*Kiran Mehta/12/11/2023//Online Payment//Cancelled*Delayed Delivery:Bad Weather Conditions ")</f>
        <v>//ord_10160//Arvind Kulkarni//Juhu//Veg Puff+3*Kiran Mehta/12/11/2023//Online Payment//Cancelled*Delayed Delivery:Bad Weather Conditions </v>
      </c>
      <c r="B161" s="14" t="str">
        <f>IFERROR(__xludf.DUMMYFUNCTION("split(A161,""//"")"),"ord_10160")</f>
        <v>ord_10160</v>
      </c>
      <c r="C161" s="14" t="str">
        <f>IFERROR(__xludf.DUMMYFUNCTION("""COMPUTED_VALUE"""),"Arvind Kulkarni")</f>
        <v>Arvind Kulkarni</v>
      </c>
      <c r="D161" s="14" t="str">
        <f>IFERROR(__xludf.DUMMYFUNCTION("""COMPUTED_VALUE"""),"Juhu")</f>
        <v>Juhu</v>
      </c>
      <c r="E161" s="14" t="str">
        <f>IFERROR(__xludf.DUMMYFUNCTION("""COMPUTED_VALUE"""),"Veg Puff+3*Kiran Mehta")</f>
        <v>Veg Puff+3*Kiran Mehta</v>
      </c>
      <c r="F161" s="14">
        <f>IFERROR(__xludf.DUMMYFUNCTION("""COMPUTED_VALUE"""),12.0)</f>
        <v>12</v>
      </c>
      <c r="G161" s="14">
        <f>IFERROR(__xludf.DUMMYFUNCTION("""COMPUTED_VALUE"""),11.0)</f>
        <v>11</v>
      </c>
      <c r="H161" s="14">
        <f>IFERROR(__xludf.DUMMYFUNCTION("""COMPUTED_VALUE"""),2023.0)</f>
        <v>2023</v>
      </c>
      <c r="I161" s="14" t="str">
        <f>IFERROR(__xludf.DUMMYFUNCTION("""COMPUTED_VALUE"""),"Online Payment")</f>
        <v>Online Payment</v>
      </c>
      <c r="J161" s="14" t="str">
        <f>IFERROR(__xludf.DUMMYFUNCTION("""COMPUTED_VALUE"""),"Cancelled*Delayed Delivery:Bad Weather Conditions ")</f>
        <v>Cancelled*Delayed Delivery:Bad Weather Conditions </v>
      </c>
      <c r="K161" s="14" t="str">
        <f>IFERROR(__xludf.DUMMYFUNCTION("split(E161,""+"")"),"Veg Puff")</f>
        <v>Veg Puff</v>
      </c>
      <c r="L161" s="14" t="str">
        <f>IFERROR(__xludf.DUMMYFUNCTION("""COMPUTED_VALUE"""),"3*Kiran Mehta")</f>
        <v>3*Kiran Mehta</v>
      </c>
      <c r="M161" s="14">
        <f>IFERROR(__xludf.DUMMYFUNCTION("SPLIT(L161,""*"")"),3.0)</f>
        <v>3</v>
      </c>
      <c r="N161" s="14" t="str">
        <f>IFERROR(__xludf.DUMMYFUNCTION("""COMPUTED_VALUE"""),"Kiran Mehta")</f>
        <v>Kiran Mehta</v>
      </c>
      <c r="O161" s="14" t="str">
        <f>IFERROR(__xludf.DUMMYFUNCTION("split(J161,""*"")"),"Cancelled")</f>
        <v>Cancelled</v>
      </c>
      <c r="P161" s="14" t="str">
        <f>IFERROR(__xludf.DUMMYFUNCTION("""COMPUTED_VALUE"""),"Delayed Delivery:Bad Weather Conditions ")</f>
        <v>Delayed Delivery:Bad Weather Conditions </v>
      </c>
      <c r="Q161" s="14" t="str">
        <f>IFERROR(__xludf.DUMMYFUNCTION("split(P161,"":"")"),"Delayed Delivery")</f>
        <v>Delayed Delivery</v>
      </c>
      <c r="R161" s="14" t="str">
        <f>IFERROR(__xludf.DUMMYFUNCTION("""COMPUTED_VALUE"""),"Bad Weather Conditions ")</f>
        <v>Bad Weather Conditions </v>
      </c>
      <c r="S161" s="14" t="str">
        <f t="shared" ref="S161:U161" si="325">trim(B161)</f>
        <v>ord_10160</v>
      </c>
      <c r="T161" s="14" t="str">
        <f t="shared" si="325"/>
        <v>Arvind Kulkarni</v>
      </c>
      <c r="U161" s="14" t="str">
        <f t="shared" si="325"/>
        <v>Juhu</v>
      </c>
      <c r="V161" s="14" t="str">
        <f t="shared" si="4"/>
        <v>Veg Puff</v>
      </c>
      <c r="W161" s="14">
        <f t="shared" si="5"/>
        <v>3</v>
      </c>
      <c r="X161" s="14" t="str">
        <f t="shared" si="6"/>
        <v>Kiran Mehta</v>
      </c>
      <c r="Y161" s="15">
        <f t="shared" si="7"/>
        <v>45271</v>
      </c>
      <c r="Z161" s="14" t="str">
        <f t="shared" si="8"/>
        <v>Online Payment</v>
      </c>
      <c r="AA161" s="14" t="str">
        <f t="shared" si="9"/>
        <v>Cancelled</v>
      </c>
      <c r="AB161" s="14" t="str">
        <f t="shared" ref="AB161:AC161" si="326">trim(Q161)</f>
        <v>Delayed Delivery</v>
      </c>
      <c r="AC161" s="14" t="str">
        <f t="shared" si="326"/>
        <v>Bad Weather Conditions</v>
      </c>
      <c r="AD161" s="8"/>
    </row>
    <row r="162">
      <c r="A162" s="14" t="str">
        <f>IFERROR(__xludf.DUMMYFUNCTION("""COMPUTED_VALUE"""),"//ord_10161//Mohit Malhotra//Lower Parel//Papaya+2*Kiran Mehta/9/12/2023//Online Payment//Delivered*Satisfied with the Delivery: Timely and quality")</f>
        <v>//ord_10161//Mohit Malhotra//Lower Parel//Papaya+2*Kiran Mehta/9/12/2023//Online Payment//Delivered*Satisfied with the Delivery: Timely and quality</v>
      </c>
      <c r="B162" s="14" t="str">
        <f>IFERROR(__xludf.DUMMYFUNCTION("split(A162,""//"")"),"ord_10161")</f>
        <v>ord_10161</v>
      </c>
      <c r="C162" s="14" t="str">
        <f>IFERROR(__xludf.DUMMYFUNCTION("""COMPUTED_VALUE"""),"Mohit Malhotra")</f>
        <v>Mohit Malhotra</v>
      </c>
      <c r="D162" s="14" t="str">
        <f>IFERROR(__xludf.DUMMYFUNCTION("""COMPUTED_VALUE"""),"Lower Parel")</f>
        <v>Lower Parel</v>
      </c>
      <c r="E162" s="14" t="str">
        <f>IFERROR(__xludf.DUMMYFUNCTION("""COMPUTED_VALUE"""),"Papaya+2*Kiran Mehta")</f>
        <v>Papaya+2*Kiran Mehta</v>
      </c>
      <c r="F162" s="14">
        <f>IFERROR(__xludf.DUMMYFUNCTION("""COMPUTED_VALUE"""),9.0)</f>
        <v>9</v>
      </c>
      <c r="G162" s="14">
        <f>IFERROR(__xludf.DUMMYFUNCTION("""COMPUTED_VALUE"""),12.0)</f>
        <v>12</v>
      </c>
      <c r="H162" s="14">
        <f>IFERROR(__xludf.DUMMYFUNCTION("""COMPUTED_VALUE"""),2023.0)</f>
        <v>2023</v>
      </c>
      <c r="I162" s="14" t="str">
        <f>IFERROR(__xludf.DUMMYFUNCTION("""COMPUTED_VALUE"""),"Online Payment")</f>
        <v>Online Payment</v>
      </c>
      <c r="J162" s="14" t="str">
        <f>IFERROR(__xludf.DUMMYFUNCTION("""COMPUTED_VALUE"""),"Delivered*Satisfied with the Delivery: Timely and quality")</f>
        <v>Delivered*Satisfied with the Delivery: Timely and quality</v>
      </c>
      <c r="K162" s="14" t="str">
        <f>IFERROR(__xludf.DUMMYFUNCTION("split(E162,""+"")"),"Papaya")</f>
        <v>Papaya</v>
      </c>
      <c r="L162" s="14" t="str">
        <f>IFERROR(__xludf.DUMMYFUNCTION("""COMPUTED_VALUE"""),"2*Kiran Mehta")</f>
        <v>2*Kiran Mehta</v>
      </c>
      <c r="M162" s="14">
        <f>IFERROR(__xludf.DUMMYFUNCTION("SPLIT(L162,""*"")"),2.0)</f>
        <v>2</v>
      </c>
      <c r="N162" s="14" t="str">
        <f>IFERROR(__xludf.DUMMYFUNCTION("""COMPUTED_VALUE"""),"Kiran Mehta")</f>
        <v>Kiran Mehta</v>
      </c>
      <c r="O162" s="14" t="str">
        <f>IFERROR(__xludf.DUMMYFUNCTION("split(J162,""*"")"),"Delivered")</f>
        <v>Delivered</v>
      </c>
      <c r="P162" s="14" t="str">
        <f>IFERROR(__xludf.DUMMYFUNCTION("""COMPUTED_VALUE"""),"Satisfied with the Delivery: Timely and quality")</f>
        <v>Satisfied with the Delivery: Timely and quality</v>
      </c>
      <c r="Q162" s="14" t="str">
        <f>IFERROR(__xludf.DUMMYFUNCTION("split(P162,"":"")"),"Satisfied with the Delivery")</f>
        <v>Satisfied with the Delivery</v>
      </c>
      <c r="R162" s="14" t="str">
        <f>IFERROR(__xludf.DUMMYFUNCTION("""COMPUTED_VALUE""")," Timely and quality")</f>
        <v> Timely and quality</v>
      </c>
      <c r="S162" s="14" t="str">
        <f t="shared" ref="S162:U162" si="327">trim(B162)</f>
        <v>ord_10161</v>
      </c>
      <c r="T162" s="14" t="str">
        <f t="shared" si="327"/>
        <v>Mohit Malhotra</v>
      </c>
      <c r="U162" s="14" t="str">
        <f t="shared" si="327"/>
        <v>Lower Parel</v>
      </c>
      <c r="V162" s="14" t="str">
        <f t="shared" si="4"/>
        <v>Papaya</v>
      </c>
      <c r="W162" s="14">
        <f t="shared" si="5"/>
        <v>2</v>
      </c>
      <c r="X162" s="14" t="str">
        <f t="shared" si="6"/>
        <v>Kiran Mehta</v>
      </c>
      <c r="Y162" s="15">
        <f t="shared" si="7"/>
        <v>45181</v>
      </c>
      <c r="Z162" s="14" t="str">
        <f t="shared" si="8"/>
        <v>Online Payment</v>
      </c>
      <c r="AA162" s="14" t="str">
        <f t="shared" si="9"/>
        <v>Delivered</v>
      </c>
      <c r="AB162" s="14" t="str">
        <f t="shared" ref="AB162:AC162" si="328">trim(Q162)</f>
        <v>Satisfied with the Delivery</v>
      </c>
      <c r="AC162" s="14" t="str">
        <f t="shared" si="328"/>
        <v>Timely and quality</v>
      </c>
      <c r="AD162" s="8"/>
    </row>
    <row r="163">
      <c r="A163" s="14" t="str">
        <f>IFERROR(__xludf.DUMMYFUNCTION("""COMPUTED_VALUE"""),"//ord_10162//Ishita Banerjee//Juhu//Onion+2*Ram Gopal/10/6/2023//Online Payment//Delivered*Customer Service: Seamless and easy")</f>
        <v>//ord_10162//Ishita Banerjee//Juhu//Onion+2*Ram Gopal/10/6/2023//Online Payment//Delivered*Customer Service: Seamless and easy</v>
      </c>
      <c r="B163" s="14" t="str">
        <f>IFERROR(__xludf.DUMMYFUNCTION("split(A163,""//"")"),"ord_10162")</f>
        <v>ord_10162</v>
      </c>
      <c r="C163" s="14" t="str">
        <f>IFERROR(__xludf.DUMMYFUNCTION("""COMPUTED_VALUE"""),"Ishita Banerjee")</f>
        <v>Ishita Banerjee</v>
      </c>
      <c r="D163" s="14" t="str">
        <f>IFERROR(__xludf.DUMMYFUNCTION("""COMPUTED_VALUE"""),"Juhu")</f>
        <v>Juhu</v>
      </c>
      <c r="E163" s="14" t="str">
        <f>IFERROR(__xludf.DUMMYFUNCTION("""COMPUTED_VALUE"""),"Onion+2*Ram Gopal")</f>
        <v>Onion+2*Ram Gopal</v>
      </c>
      <c r="F163" s="14">
        <f>IFERROR(__xludf.DUMMYFUNCTION("""COMPUTED_VALUE"""),10.0)</f>
        <v>10</v>
      </c>
      <c r="G163" s="14">
        <f>IFERROR(__xludf.DUMMYFUNCTION("""COMPUTED_VALUE"""),6.0)</f>
        <v>6</v>
      </c>
      <c r="H163" s="14">
        <f>IFERROR(__xludf.DUMMYFUNCTION("""COMPUTED_VALUE"""),2023.0)</f>
        <v>2023</v>
      </c>
      <c r="I163" s="14" t="str">
        <f>IFERROR(__xludf.DUMMYFUNCTION("""COMPUTED_VALUE"""),"Online Payment")</f>
        <v>Online Payment</v>
      </c>
      <c r="J163" s="14" t="str">
        <f>IFERROR(__xludf.DUMMYFUNCTION("""COMPUTED_VALUE"""),"Delivered*Customer Service: Seamless and easy")</f>
        <v>Delivered*Customer Service: Seamless and easy</v>
      </c>
      <c r="K163" s="14" t="str">
        <f>IFERROR(__xludf.DUMMYFUNCTION("split(E163,""+"")"),"Onion")</f>
        <v>Onion</v>
      </c>
      <c r="L163" s="14" t="str">
        <f>IFERROR(__xludf.DUMMYFUNCTION("""COMPUTED_VALUE"""),"2*Ram Gopal")</f>
        <v>2*Ram Gopal</v>
      </c>
      <c r="M163" s="14">
        <f>IFERROR(__xludf.DUMMYFUNCTION("SPLIT(L163,""*"")"),2.0)</f>
        <v>2</v>
      </c>
      <c r="N163" s="14" t="str">
        <f>IFERROR(__xludf.DUMMYFUNCTION("""COMPUTED_VALUE"""),"Ram Gopal")</f>
        <v>Ram Gopal</v>
      </c>
      <c r="O163" s="14" t="str">
        <f>IFERROR(__xludf.DUMMYFUNCTION("split(J163,""*"")"),"Delivered")</f>
        <v>Delivered</v>
      </c>
      <c r="P163" s="14" t="str">
        <f>IFERROR(__xludf.DUMMYFUNCTION("""COMPUTED_VALUE"""),"Customer Service: Seamless and easy")</f>
        <v>Customer Service: Seamless and easy</v>
      </c>
      <c r="Q163" s="14" t="str">
        <f>IFERROR(__xludf.DUMMYFUNCTION("split(P163,"":"")"),"Customer Service")</f>
        <v>Customer Service</v>
      </c>
      <c r="R163" s="14" t="str">
        <f>IFERROR(__xludf.DUMMYFUNCTION("""COMPUTED_VALUE""")," Seamless and easy")</f>
        <v> Seamless and easy</v>
      </c>
      <c r="S163" s="14" t="str">
        <f t="shared" ref="S163:U163" si="329">trim(B163)</f>
        <v>ord_10162</v>
      </c>
      <c r="T163" s="14" t="str">
        <f t="shared" si="329"/>
        <v>Ishita Banerjee</v>
      </c>
      <c r="U163" s="14" t="str">
        <f t="shared" si="329"/>
        <v>Juhu</v>
      </c>
      <c r="V163" s="14" t="str">
        <f t="shared" si="4"/>
        <v>Onion</v>
      </c>
      <c r="W163" s="14">
        <f t="shared" si="5"/>
        <v>2</v>
      </c>
      <c r="X163" s="14" t="str">
        <f t="shared" si="6"/>
        <v>Ram Gopal</v>
      </c>
      <c r="Y163" s="15">
        <f t="shared" si="7"/>
        <v>45205</v>
      </c>
      <c r="Z163" s="14" t="str">
        <f t="shared" si="8"/>
        <v>Online Payment</v>
      </c>
      <c r="AA163" s="14" t="str">
        <f t="shared" si="9"/>
        <v>Delivered</v>
      </c>
      <c r="AB163" s="14" t="str">
        <f t="shared" ref="AB163:AC163" si="330">trim(Q163)</f>
        <v>Customer Service</v>
      </c>
      <c r="AC163" s="14" t="str">
        <f t="shared" si="330"/>
        <v>Seamless and easy</v>
      </c>
      <c r="AD163" s="8"/>
    </row>
    <row r="164">
      <c r="A164" s="14" t="str">
        <f>IFERROR(__xludf.DUMMYFUNCTION("""COMPUTED_VALUE"""),"//ord_10163//Leena Das//Andheri//Tomato+3*Ramesh S/11/3/2023//UPI//Delivered*Delivery Experience: Quick and professional")</f>
        <v>//ord_10163//Leena Das//Andheri//Tomato+3*Ramesh S/11/3/2023//UPI//Delivered*Delivery Experience: Quick and professional</v>
      </c>
      <c r="B164" s="14" t="str">
        <f>IFERROR(__xludf.DUMMYFUNCTION("split(A164,""//"")"),"ord_10163")</f>
        <v>ord_10163</v>
      </c>
      <c r="C164" s="14" t="str">
        <f>IFERROR(__xludf.DUMMYFUNCTION("""COMPUTED_VALUE"""),"Leena Das")</f>
        <v>Leena Das</v>
      </c>
      <c r="D164" s="14" t="str">
        <f>IFERROR(__xludf.DUMMYFUNCTION("""COMPUTED_VALUE"""),"Andheri")</f>
        <v>Andheri</v>
      </c>
      <c r="E164" s="14" t="str">
        <f>IFERROR(__xludf.DUMMYFUNCTION("""COMPUTED_VALUE"""),"Tomato+3*Ramesh S")</f>
        <v>Tomato+3*Ramesh S</v>
      </c>
      <c r="F164" s="14">
        <f>IFERROR(__xludf.DUMMYFUNCTION("""COMPUTED_VALUE"""),11.0)</f>
        <v>11</v>
      </c>
      <c r="G164" s="14">
        <f>IFERROR(__xludf.DUMMYFUNCTION("""COMPUTED_VALUE"""),3.0)</f>
        <v>3</v>
      </c>
      <c r="H164" s="14">
        <f>IFERROR(__xludf.DUMMYFUNCTION("""COMPUTED_VALUE"""),2023.0)</f>
        <v>2023</v>
      </c>
      <c r="I164" s="14" t="str">
        <f>IFERROR(__xludf.DUMMYFUNCTION("""COMPUTED_VALUE"""),"UPI")</f>
        <v>UPI</v>
      </c>
      <c r="J164" s="14" t="str">
        <f>IFERROR(__xludf.DUMMYFUNCTION("""COMPUTED_VALUE"""),"Delivered*Delivery Experience: Quick and professional")</f>
        <v>Delivered*Delivery Experience: Quick and professional</v>
      </c>
      <c r="K164" s="14" t="str">
        <f>IFERROR(__xludf.DUMMYFUNCTION("split(E164,""+"")"),"Tomato")</f>
        <v>Tomato</v>
      </c>
      <c r="L164" s="14" t="str">
        <f>IFERROR(__xludf.DUMMYFUNCTION("""COMPUTED_VALUE"""),"3*Ramesh S")</f>
        <v>3*Ramesh S</v>
      </c>
      <c r="M164" s="14">
        <f>IFERROR(__xludf.DUMMYFUNCTION("SPLIT(L164,""*"")"),3.0)</f>
        <v>3</v>
      </c>
      <c r="N164" s="14" t="str">
        <f>IFERROR(__xludf.DUMMYFUNCTION("""COMPUTED_VALUE"""),"Ramesh S")</f>
        <v>Ramesh S</v>
      </c>
      <c r="O164" s="14" t="str">
        <f>IFERROR(__xludf.DUMMYFUNCTION("split(J164,""*"")"),"Delivered")</f>
        <v>Delivered</v>
      </c>
      <c r="P164" s="14" t="str">
        <f>IFERROR(__xludf.DUMMYFUNCTION("""COMPUTED_VALUE"""),"Delivery Experience: Quick and professional")</f>
        <v>Delivery Experience: Quick and professional</v>
      </c>
      <c r="Q164" s="14" t="str">
        <f>IFERROR(__xludf.DUMMYFUNCTION("split(P164,"":"")"),"Delivery Experience")</f>
        <v>Delivery Experience</v>
      </c>
      <c r="R164" s="14" t="str">
        <f>IFERROR(__xludf.DUMMYFUNCTION("""COMPUTED_VALUE""")," Quick and professional")</f>
        <v> Quick and professional</v>
      </c>
      <c r="S164" s="14" t="str">
        <f t="shared" ref="S164:U164" si="331">trim(B164)</f>
        <v>ord_10163</v>
      </c>
      <c r="T164" s="14" t="str">
        <f t="shared" si="331"/>
        <v>Leena Das</v>
      </c>
      <c r="U164" s="14" t="str">
        <f t="shared" si="331"/>
        <v>Andheri</v>
      </c>
      <c r="V164" s="14" t="str">
        <f t="shared" si="4"/>
        <v>Tomato</v>
      </c>
      <c r="W164" s="14">
        <f t="shared" si="5"/>
        <v>3</v>
      </c>
      <c r="X164" s="14" t="str">
        <f t="shared" si="6"/>
        <v>Ramesh S</v>
      </c>
      <c r="Y164" s="15">
        <f t="shared" si="7"/>
        <v>45233</v>
      </c>
      <c r="Z164" s="14" t="str">
        <f t="shared" si="8"/>
        <v>UPI</v>
      </c>
      <c r="AA164" s="14" t="str">
        <f t="shared" si="9"/>
        <v>Delivered</v>
      </c>
      <c r="AB164" s="14" t="str">
        <f t="shared" ref="AB164:AC164" si="332">trim(Q164)</f>
        <v>Delivery Experience</v>
      </c>
      <c r="AC164" s="14" t="str">
        <f t="shared" si="332"/>
        <v>Quick and professional</v>
      </c>
      <c r="AD164" s="8"/>
    </row>
    <row r="165">
      <c r="A165" s="14" t="str">
        <f>IFERROR(__xludf.DUMMYFUNCTION("""COMPUTED_VALUE"""),"//ord_10164//Sana Malik//Powai//Tiramisu+6*Sandeep Kumar/11/14/2023//Credit Card//Delivered*Convenience: Easy tracking")</f>
        <v>//ord_10164//Sana Malik//Powai//Tiramisu+6*Sandeep Kumar/11/14/2023//Credit Card//Delivered*Convenience: Easy tracking</v>
      </c>
      <c r="B165" s="14" t="str">
        <f>IFERROR(__xludf.DUMMYFUNCTION("split(A165,""//"")"),"ord_10164")</f>
        <v>ord_10164</v>
      </c>
      <c r="C165" s="14" t="str">
        <f>IFERROR(__xludf.DUMMYFUNCTION("""COMPUTED_VALUE"""),"Sana Malik")</f>
        <v>Sana Malik</v>
      </c>
      <c r="D165" s="14" t="str">
        <f>IFERROR(__xludf.DUMMYFUNCTION("""COMPUTED_VALUE"""),"Powai")</f>
        <v>Powai</v>
      </c>
      <c r="E165" s="14" t="str">
        <f>IFERROR(__xludf.DUMMYFUNCTION("""COMPUTED_VALUE"""),"Tiramisu+6*Sandeep Kumar")</f>
        <v>Tiramisu+6*Sandeep Kumar</v>
      </c>
      <c r="F165" s="14">
        <f>IFERROR(__xludf.DUMMYFUNCTION("""COMPUTED_VALUE"""),11.0)</f>
        <v>11</v>
      </c>
      <c r="G165" s="14">
        <f>IFERROR(__xludf.DUMMYFUNCTION("""COMPUTED_VALUE"""),14.0)</f>
        <v>14</v>
      </c>
      <c r="H165" s="14">
        <f>IFERROR(__xludf.DUMMYFUNCTION("""COMPUTED_VALUE"""),2023.0)</f>
        <v>2023</v>
      </c>
      <c r="I165" s="14" t="str">
        <f>IFERROR(__xludf.DUMMYFUNCTION("""COMPUTED_VALUE"""),"Credit Card")</f>
        <v>Credit Card</v>
      </c>
      <c r="J165" s="14" t="str">
        <f>IFERROR(__xludf.DUMMYFUNCTION("""COMPUTED_VALUE"""),"Delivered*Convenience: Easy tracking")</f>
        <v>Delivered*Convenience: Easy tracking</v>
      </c>
      <c r="K165" s="14" t="str">
        <f>IFERROR(__xludf.DUMMYFUNCTION("split(E165,""+"")"),"Tiramisu")</f>
        <v>Tiramisu</v>
      </c>
      <c r="L165" s="14" t="str">
        <f>IFERROR(__xludf.DUMMYFUNCTION("""COMPUTED_VALUE"""),"6*Sandeep Kumar")</f>
        <v>6*Sandeep Kumar</v>
      </c>
      <c r="M165" s="14">
        <f>IFERROR(__xludf.DUMMYFUNCTION("SPLIT(L165,""*"")"),6.0)</f>
        <v>6</v>
      </c>
      <c r="N165" s="14" t="str">
        <f>IFERROR(__xludf.DUMMYFUNCTION("""COMPUTED_VALUE"""),"Sandeep Kumar")</f>
        <v>Sandeep Kumar</v>
      </c>
      <c r="O165" s="14" t="str">
        <f>IFERROR(__xludf.DUMMYFUNCTION("split(J165,""*"")"),"Delivered")</f>
        <v>Delivered</v>
      </c>
      <c r="P165" s="14" t="str">
        <f>IFERROR(__xludf.DUMMYFUNCTION("""COMPUTED_VALUE"""),"Convenience: Easy tracking")</f>
        <v>Convenience: Easy tracking</v>
      </c>
      <c r="Q165" s="14" t="str">
        <f>IFERROR(__xludf.DUMMYFUNCTION("split(P165,"":"")"),"Convenience")</f>
        <v>Convenience</v>
      </c>
      <c r="R165" s="14" t="str">
        <f>IFERROR(__xludf.DUMMYFUNCTION("""COMPUTED_VALUE""")," Easy tracking")</f>
        <v> Easy tracking</v>
      </c>
      <c r="S165" s="14" t="str">
        <f t="shared" ref="S165:U165" si="333">trim(B165)</f>
        <v>ord_10164</v>
      </c>
      <c r="T165" s="14" t="str">
        <f t="shared" si="333"/>
        <v>Sana Malik</v>
      </c>
      <c r="U165" s="14" t="str">
        <f t="shared" si="333"/>
        <v>Powai</v>
      </c>
      <c r="V165" s="14" t="str">
        <f t="shared" si="4"/>
        <v>Tiramisu</v>
      </c>
      <c r="W165" s="14">
        <f t="shared" si="5"/>
        <v>6</v>
      </c>
      <c r="X165" s="14" t="str">
        <f t="shared" si="6"/>
        <v>Sandeep Kumar</v>
      </c>
      <c r="Y165" s="15">
        <f t="shared" si="7"/>
        <v>45244</v>
      </c>
      <c r="Z165" s="14" t="str">
        <f t="shared" si="8"/>
        <v>Credit Card</v>
      </c>
      <c r="AA165" s="14" t="str">
        <f t="shared" si="9"/>
        <v>Delivered</v>
      </c>
      <c r="AB165" s="14" t="str">
        <f t="shared" ref="AB165:AC165" si="334">trim(Q165)</f>
        <v>Convenience</v>
      </c>
      <c r="AC165" s="14" t="str">
        <f t="shared" si="334"/>
        <v>Easy tracking</v>
      </c>
      <c r="AD165" s="8"/>
    </row>
    <row r="166">
      <c r="A166" s="14" t="str">
        <f>IFERROR(__xludf.DUMMYFUNCTION("""COMPUTED_VALUE"""),"//ord_10165//Diya Arora//Lower Parel//Cold Coffee+2*Venu R/10/5/2023//Credit Card//Cancelled*Delayed Delivery:Traffic Accidents or Road Closures")</f>
        <v>//ord_10165//Diya Arora//Lower Parel//Cold Coffee+2*Venu R/10/5/2023//Credit Card//Cancelled*Delayed Delivery:Traffic Accidents or Road Closures</v>
      </c>
      <c r="B166" s="14" t="str">
        <f>IFERROR(__xludf.DUMMYFUNCTION("split(A166,""//"")"),"ord_10165")</f>
        <v>ord_10165</v>
      </c>
      <c r="C166" s="14" t="str">
        <f>IFERROR(__xludf.DUMMYFUNCTION("""COMPUTED_VALUE"""),"Diya Arora")</f>
        <v>Diya Arora</v>
      </c>
      <c r="D166" s="14" t="str">
        <f>IFERROR(__xludf.DUMMYFUNCTION("""COMPUTED_VALUE"""),"Lower Parel")</f>
        <v>Lower Parel</v>
      </c>
      <c r="E166" s="14" t="str">
        <f>IFERROR(__xludf.DUMMYFUNCTION("""COMPUTED_VALUE"""),"Cold Coffee+2*Venu R")</f>
        <v>Cold Coffee+2*Venu R</v>
      </c>
      <c r="F166" s="14">
        <f>IFERROR(__xludf.DUMMYFUNCTION("""COMPUTED_VALUE"""),10.0)</f>
        <v>10</v>
      </c>
      <c r="G166" s="14">
        <f>IFERROR(__xludf.DUMMYFUNCTION("""COMPUTED_VALUE"""),5.0)</f>
        <v>5</v>
      </c>
      <c r="H166" s="14">
        <f>IFERROR(__xludf.DUMMYFUNCTION("""COMPUTED_VALUE"""),2023.0)</f>
        <v>2023</v>
      </c>
      <c r="I166" s="14" t="str">
        <f>IFERROR(__xludf.DUMMYFUNCTION("""COMPUTED_VALUE"""),"Credit Card")</f>
        <v>Credit Card</v>
      </c>
      <c r="J166" s="14" t="str">
        <f>IFERROR(__xludf.DUMMYFUNCTION("""COMPUTED_VALUE"""),"Cancelled*Delayed Delivery:Traffic Accidents or Road Closures")</f>
        <v>Cancelled*Delayed Delivery:Traffic Accidents or Road Closures</v>
      </c>
      <c r="K166" s="14" t="str">
        <f>IFERROR(__xludf.DUMMYFUNCTION("split(E166,""+"")"),"Cold Coffee")</f>
        <v>Cold Coffee</v>
      </c>
      <c r="L166" s="14" t="str">
        <f>IFERROR(__xludf.DUMMYFUNCTION("""COMPUTED_VALUE"""),"2*Venu R")</f>
        <v>2*Venu R</v>
      </c>
      <c r="M166" s="14">
        <f>IFERROR(__xludf.DUMMYFUNCTION("SPLIT(L166,""*"")"),2.0)</f>
        <v>2</v>
      </c>
      <c r="N166" s="14" t="str">
        <f>IFERROR(__xludf.DUMMYFUNCTION("""COMPUTED_VALUE"""),"Venu R")</f>
        <v>Venu R</v>
      </c>
      <c r="O166" s="14" t="str">
        <f>IFERROR(__xludf.DUMMYFUNCTION("split(J166,""*"")"),"Cancelled")</f>
        <v>Cancelled</v>
      </c>
      <c r="P166" s="14" t="str">
        <f>IFERROR(__xludf.DUMMYFUNCTION("""COMPUTED_VALUE"""),"Delayed Delivery:Traffic Accidents or Road Closures")</f>
        <v>Delayed Delivery:Traffic Accidents or Road Closures</v>
      </c>
      <c r="Q166" s="14" t="str">
        <f>IFERROR(__xludf.DUMMYFUNCTION("split(P166,"":"")"),"Delayed Delivery")</f>
        <v>Delayed Delivery</v>
      </c>
      <c r="R166" s="14" t="str">
        <f>IFERROR(__xludf.DUMMYFUNCTION("""COMPUTED_VALUE"""),"Traffic Accidents or Road Closures")</f>
        <v>Traffic Accidents or Road Closures</v>
      </c>
      <c r="S166" s="14" t="str">
        <f t="shared" ref="S166:U166" si="335">trim(B166)</f>
        <v>ord_10165</v>
      </c>
      <c r="T166" s="14" t="str">
        <f t="shared" si="335"/>
        <v>Diya Arora</v>
      </c>
      <c r="U166" s="14" t="str">
        <f t="shared" si="335"/>
        <v>Lower Parel</v>
      </c>
      <c r="V166" s="14" t="str">
        <f t="shared" si="4"/>
        <v>Cold Coffee</v>
      </c>
      <c r="W166" s="14">
        <f t="shared" si="5"/>
        <v>2</v>
      </c>
      <c r="X166" s="14" t="str">
        <f t="shared" si="6"/>
        <v>Venu R</v>
      </c>
      <c r="Y166" s="15">
        <f t="shared" si="7"/>
        <v>45204</v>
      </c>
      <c r="Z166" s="14" t="str">
        <f t="shared" si="8"/>
        <v>Credit Card</v>
      </c>
      <c r="AA166" s="14" t="str">
        <f t="shared" si="9"/>
        <v>Cancelled</v>
      </c>
      <c r="AB166" s="14" t="str">
        <f t="shared" ref="AB166:AC166" si="336">trim(Q166)</f>
        <v>Delayed Delivery</v>
      </c>
      <c r="AC166" s="14" t="str">
        <f t="shared" si="336"/>
        <v>Traffic Accidents or Road Closures</v>
      </c>
      <c r="AD166" s="8"/>
    </row>
    <row r="167">
      <c r="A167" s="14" t="str">
        <f>IFERROR(__xludf.DUMMYFUNCTION("""COMPUTED_VALUE"""),"//ord_10166//Omkar Mishra//Powai//Rasmalai+3*Ram Gopal/5/28/2023//Online Payment//Delivered*Overall Satisfaction: Great service will order again")</f>
        <v>//ord_10166//Omkar Mishra//Powai//Rasmalai+3*Ram Gopal/5/28/2023//Online Payment//Delivered*Overall Satisfaction: Great service will order again</v>
      </c>
      <c r="B167" s="14" t="str">
        <f>IFERROR(__xludf.DUMMYFUNCTION("split(A167,""//"")"),"ord_10166")</f>
        <v>ord_10166</v>
      </c>
      <c r="C167" s="14" t="str">
        <f>IFERROR(__xludf.DUMMYFUNCTION("""COMPUTED_VALUE"""),"Omkar Mishra")</f>
        <v>Omkar Mishra</v>
      </c>
      <c r="D167" s="14" t="str">
        <f>IFERROR(__xludf.DUMMYFUNCTION("""COMPUTED_VALUE"""),"Powai")</f>
        <v>Powai</v>
      </c>
      <c r="E167" s="14" t="str">
        <f>IFERROR(__xludf.DUMMYFUNCTION("""COMPUTED_VALUE"""),"Rasmalai+3*Ram Gopal")</f>
        <v>Rasmalai+3*Ram Gopal</v>
      </c>
      <c r="F167" s="14">
        <f>IFERROR(__xludf.DUMMYFUNCTION("""COMPUTED_VALUE"""),5.0)</f>
        <v>5</v>
      </c>
      <c r="G167" s="14">
        <f>IFERROR(__xludf.DUMMYFUNCTION("""COMPUTED_VALUE"""),28.0)</f>
        <v>28</v>
      </c>
      <c r="H167" s="14">
        <f>IFERROR(__xludf.DUMMYFUNCTION("""COMPUTED_VALUE"""),2023.0)</f>
        <v>2023</v>
      </c>
      <c r="I167" s="14" t="str">
        <f>IFERROR(__xludf.DUMMYFUNCTION("""COMPUTED_VALUE"""),"Online Payment")</f>
        <v>Online Payment</v>
      </c>
      <c r="J167" s="14" t="str">
        <f>IFERROR(__xludf.DUMMYFUNCTION("""COMPUTED_VALUE"""),"Delivered*Overall Satisfaction: Great service will order again")</f>
        <v>Delivered*Overall Satisfaction: Great service will order again</v>
      </c>
      <c r="K167" s="14" t="str">
        <f>IFERROR(__xludf.DUMMYFUNCTION("split(E167,""+"")"),"Rasmalai")</f>
        <v>Rasmalai</v>
      </c>
      <c r="L167" s="14" t="str">
        <f>IFERROR(__xludf.DUMMYFUNCTION("""COMPUTED_VALUE"""),"3*Ram Gopal")</f>
        <v>3*Ram Gopal</v>
      </c>
      <c r="M167" s="14">
        <f>IFERROR(__xludf.DUMMYFUNCTION("SPLIT(L167,""*"")"),3.0)</f>
        <v>3</v>
      </c>
      <c r="N167" s="14" t="str">
        <f>IFERROR(__xludf.DUMMYFUNCTION("""COMPUTED_VALUE"""),"Ram Gopal")</f>
        <v>Ram Gopal</v>
      </c>
      <c r="O167" s="14" t="str">
        <f>IFERROR(__xludf.DUMMYFUNCTION("split(J167,""*"")"),"Delivered")</f>
        <v>Delivered</v>
      </c>
      <c r="P167" s="14" t="str">
        <f>IFERROR(__xludf.DUMMYFUNCTION("""COMPUTED_VALUE"""),"Overall Satisfaction: Great service will order again")</f>
        <v>Overall Satisfaction: Great service will order again</v>
      </c>
      <c r="Q167" s="14" t="str">
        <f>IFERROR(__xludf.DUMMYFUNCTION("split(P167,"":"")"),"Overall Satisfaction")</f>
        <v>Overall Satisfaction</v>
      </c>
      <c r="R167" s="14" t="str">
        <f>IFERROR(__xludf.DUMMYFUNCTION("""COMPUTED_VALUE""")," Great service will order again")</f>
        <v> Great service will order again</v>
      </c>
      <c r="S167" s="14" t="str">
        <f t="shared" ref="S167:U167" si="337">trim(B167)</f>
        <v>ord_10166</v>
      </c>
      <c r="T167" s="14" t="str">
        <f t="shared" si="337"/>
        <v>Omkar Mishra</v>
      </c>
      <c r="U167" s="14" t="str">
        <f t="shared" si="337"/>
        <v>Powai</v>
      </c>
      <c r="V167" s="14" t="str">
        <f t="shared" si="4"/>
        <v>Rasmalai</v>
      </c>
      <c r="W167" s="14">
        <f t="shared" si="5"/>
        <v>3</v>
      </c>
      <c r="X167" s="14" t="str">
        <f t="shared" si="6"/>
        <v>Ram Gopal</v>
      </c>
      <c r="Y167" s="15">
        <f t="shared" si="7"/>
        <v>45074</v>
      </c>
      <c r="Z167" s="14" t="str">
        <f t="shared" si="8"/>
        <v>Online Payment</v>
      </c>
      <c r="AA167" s="14" t="str">
        <f t="shared" si="9"/>
        <v>Delivered</v>
      </c>
      <c r="AB167" s="14" t="str">
        <f t="shared" ref="AB167:AC167" si="338">trim(Q167)</f>
        <v>Overall Satisfaction</v>
      </c>
      <c r="AC167" s="14" t="str">
        <f t="shared" si="338"/>
        <v>Great service will order again</v>
      </c>
      <c r="AD167" s="8"/>
    </row>
    <row r="168">
      <c r="A168" s="14" t="str">
        <f>IFERROR(__xludf.DUMMYFUNCTION("""COMPUTED_VALUE"""),"//ord_10167//Aarohi Kapoor//Bandra//Potato+1*Priya Joshi/9/12/2023//Online Payment//Delivered*On-time Delivery: Delivered on time")</f>
        <v>//ord_10167//Aarohi Kapoor//Bandra//Potato+1*Priya Joshi/9/12/2023//Online Payment//Delivered*On-time Delivery: Delivered on time</v>
      </c>
      <c r="B168" s="14" t="str">
        <f>IFERROR(__xludf.DUMMYFUNCTION("split(A168,""//"")"),"ord_10167")</f>
        <v>ord_10167</v>
      </c>
      <c r="C168" s="14" t="str">
        <f>IFERROR(__xludf.DUMMYFUNCTION("""COMPUTED_VALUE"""),"Aarohi Kapoor")</f>
        <v>Aarohi Kapoor</v>
      </c>
      <c r="D168" s="14" t="str">
        <f>IFERROR(__xludf.DUMMYFUNCTION("""COMPUTED_VALUE"""),"Bandra")</f>
        <v>Bandra</v>
      </c>
      <c r="E168" s="14" t="str">
        <f>IFERROR(__xludf.DUMMYFUNCTION("""COMPUTED_VALUE"""),"Potato+1*Priya Joshi")</f>
        <v>Potato+1*Priya Joshi</v>
      </c>
      <c r="F168" s="14">
        <f>IFERROR(__xludf.DUMMYFUNCTION("""COMPUTED_VALUE"""),9.0)</f>
        <v>9</v>
      </c>
      <c r="G168" s="14">
        <f>IFERROR(__xludf.DUMMYFUNCTION("""COMPUTED_VALUE"""),12.0)</f>
        <v>12</v>
      </c>
      <c r="H168" s="14">
        <f>IFERROR(__xludf.DUMMYFUNCTION("""COMPUTED_VALUE"""),2023.0)</f>
        <v>2023</v>
      </c>
      <c r="I168" s="14" t="str">
        <f>IFERROR(__xludf.DUMMYFUNCTION("""COMPUTED_VALUE"""),"Online Payment")</f>
        <v>Online Payment</v>
      </c>
      <c r="J168" s="14" t="str">
        <f>IFERROR(__xludf.DUMMYFUNCTION("""COMPUTED_VALUE"""),"Delivered*On-time Delivery: Delivered on time")</f>
        <v>Delivered*On-time Delivery: Delivered on time</v>
      </c>
      <c r="K168" s="14" t="str">
        <f>IFERROR(__xludf.DUMMYFUNCTION("split(E168,""+"")"),"Potato")</f>
        <v>Potato</v>
      </c>
      <c r="L168" s="14" t="str">
        <f>IFERROR(__xludf.DUMMYFUNCTION("""COMPUTED_VALUE"""),"1*Priya Joshi")</f>
        <v>1*Priya Joshi</v>
      </c>
      <c r="M168" s="14">
        <f>IFERROR(__xludf.DUMMYFUNCTION("SPLIT(L168,""*"")"),1.0)</f>
        <v>1</v>
      </c>
      <c r="N168" s="14" t="str">
        <f>IFERROR(__xludf.DUMMYFUNCTION("""COMPUTED_VALUE"""),"Priya Joshi")</f>
        <v>Priya Joshi</v>
      </c>
      <c r="O168" s="14" t="str">
        <f>IFERROR(__xludf.DUMMYFUNCTION("split(J168,""*"")"),"Delivered")</f>
        <v>Delivered</v>
      </c>
      <c r="P168" s="14" t="str">
        <f>IFERROR(__xludf.DUMMYFUNCTION("""COMPUTED_VALUE"""),"On-time Delivery: Delivered on time")</f>
        <v>On-time Delivery: Delivered on time</v>
      </c>
      <c r="Q168" s="14" t="str">
        <f>IFERROR(__xludf.DUMMYFUNCTION("split(P168,"":"")"),"On-time Delivery")</f>
        <v>On-time Delivery</v>
      </c>
      <c r="R168" s="14" t="str">
        <f>IFERROR(__xludf.DUMMYFUNCTION("""COMPUTED_VALUE""")," Delivered on time")</f>
        <v> Delivered on time</v>
      </c>
      <c r="S168" s="14" t="str">
        <f t="shared" ref="S168:U168" si="339">trim(B168)</f>
        <v>ord_10167</v>
      </c>
      <c r="T168" s="14" t="str">
        <f t="shared" si="339"/>
        <v>Aarohi Kapoor</v>
      </c>
      <c r="U168" s="14" t="str">
        <f t="shared" si="339"/>
        <v>Bandra</v>
      </c>
      <c r="V168" s="14" t="str">
        <f t="shared" si="4"/>
        <v>Potato</v>
      </c>
      <c r="W168" s="14">
        <f t="shared" si="5"/>
        <v>1</v>
      </c>
      <c r="X168" s="14" t="str">
        <f t="shared" si="6"/>
        <v>Priya Joshi</v>
      </c>
      <c r="Y168" s="15">
        <f t="shared" si="7"/>
        <v>45181</v>
      </c>
      <c r="Z168" s="14" t="str">
        <f t="shared" si="8"/>
        <v>Online Payment</v>
      </c>
      <c r="AA168" s="14" t="str">
        <f t="shared" si="9"/>
        <v>Delivered</v>
      </c>
      <c r="AB168" s="14" t="str">
        <f t="shared" ref="AB168:AC168" si="340">trim(Q168)</f>
        <v>On-time Delivery</v>
      </c>
      <c r="AC168" s="14" t="str">
        <f t="shared" si="340"/>
        <v>Delivered on time</v>
      </c>
      <c r="AD168" s="8"/>
    </row>
    <row r="169">
      <c r="A169" s="14" t="str">
        <f>IFERROR(__xludf.DUMMYFUNCTION("""COMPUTED_VALUE"""),"//ord_10168//Aarav Mehta//Andheri//Chicken Puff+3*Vivek Kumar/10/9/2023//UPI//Delivered*Quality of Items: Perfect condition")</f>
        <v>//ord_10168//Aarav Mehta//Andheri//Chicken Puff+3*Vivek Kumar/10/9/2023//UPI//Delivered*Quality of Items: Perfect condition</v>
      </c>
      <c r="B169" s="14" t="str">
        <f>IFERROR(__xludf.DUMMYFUNCTION("split(A169,""//"")"),"ord_10168")</f>
        <v>ord_10168</v>
      </c>
      <c r="C169" s="14" t="str">
        <f>IFERROR(__xludf.DUMMYFUNCTION("""COMPUTED_VALUE"""),"Aarav Mehta")</f>
        <v>Aarav Mehta</v>
      </c>
      <c r="D169" s="14" t="str">
        <f>IFERROR(__xludf.DUMMYFUNCTION("""COMPUTED_VALUE"""),"Andheri")</f>
        <v>Andheri</v>
      </c>
      <c r="E169" s="14" t="str">
        <f>IFERROR(__xludf.DUMMYFUNCTION("""COMPUTED_VALUE"""),"Chicken Puff+3*Vivek Kumar")</f>
        <v>Chicken Puff+3*Vivek Kumar</v>
      </c>
      <c r="F169" s="14">
        <f>IFERROR(__xludf.DUMMYFUNCTION("""COMPUTED_VALUE"""),10.0)</f>
        <v>10</v>
      </c>
      <c r="G169" s="14">
        <f>IFERROR(__xludf.DUMMYFUNCTION("""COMPUTED_VALUE"""),9.0)</f>
        <v>9</v>
      </c>
      <c r="H169" s="14">
        <f>IFERROR(__xludf.DUMMYFUNCTION("""COMPUTED_VALUE"""),2023.0)</f>
        <v>2023</v>
      </c>
      <c r="I169" s="14" t="str">
        <f>IFERROR(__xludf.DUMMYFUNCTION("""COMPUTED_VALUE"""),"UPI")</f>
        <v>UPI</v>
      </c>
      <c r="J169" s="14" t="str">
        <f>IFERROR(__xludf.DUMMYFUNCTION("""COMPUTED_VALUE"""),"Delivered*Quality of Items: Perfect condition")</f>
        <v>Delivered*Quality of Items: Perfect condition</v>
      </c>
      <c r="K169" s="14" t="str">
        <f>IFERROR(__xludf.DUMMYFUNCTION("split(E169,""+"")"),"Chicken Puff")</f>
        <v>Chicken Puff</v>
      </c>
      <c r="L169" s="14" t="str">
        <f>IFERROR(__xludf.DUMMYFUNCTION("""COMPUTED_VALUE"""),"3*Vivek Kumar")</f>
        <v>3*Vivek Kumar</v>
      </c>
      <c r="M169" s="14">
        <f>IFERROR(__xludf.DUMMYFUNCTION("SPLIT(L169,""*"")"),3.0)</f>
        <v>3</v>
      </c>
      <c r="N169" s="14" t="str">
        <f>IFERROR(__xludf.DUMMYFUNCTION("""COMPUTED_VALUE"""),"Vivek Kumar")</f>
        <v>Vivek Kumar</v>
      </c>
      <c r="O169" s="14" t="str">
        <f>IFERROR(__xludf.DUMMYFUNCTION("split(J169,""*"")"),"Delivered")</f>
        <v>Delivered</v>
      </c>
      <c r="P169" s="14" t="str">
        <f>IFERROR(__xludf.DUMMYFUNCTION("""COMPUTED_VALUE"""),"Quality of Items: Perfect condition")</f>
        <v>Quality of Items: Perfect condition</v>
      </c>
      <c r="Q169" s="14" t="str">
        <f>IFERROR(__xludf.DUMMYFUNCTION("split(P169,"":"")"),"Quality of Items")</f>
        <v>Quality of Items</v>
      </c>
      <c r="R169" s="14" t="str">
        <f>IFERROR(__xludf.DUMMYFUNCTION("""COMPUTED_VALUE""")," Perfect condition")</f>
        <v> Perfect condition</v>
      </c>
      <c r="S169" s="14" t="str">
        <f t="shared" ref="S169:U169" si="341">trim(B169)</f>
        <v>ord_10168</v>
      </c>
      <c r="T169" s="14" t="str">
        <f t="shared" si="341"/>
        <v>Aarav Mehta</v>
      </c>
      <c r="U169" s="14" t="str">
        <f t="shared" si="341"/>
        <v>Andheri</v>
      </c>
      <c r="V169" s="14" t="str">
        <f t="shared" si="4"/>
        <v>Chicken Puff</v>
      </c>
      <c r="W169" s="14">
        <f t="shared" si="5"/>
        <v>3</v>
      </c>
      <c r="X169" s="14" t="str">
        <f t="shared" si="6"/>
        <v>Vivek Kumar</v>
      </c>
      <c r="Y169" s="15">
        <f t="shared" si="7"/>
        <v>45208</v>
      </c>
      <c r="Z169" s="14" t="str">
        <f t="shared" si="8"/>
        <v>UPI</v>
      </c>
      <c r="AA169" s="14" t="str">
        <f t="shared" si="9"/>
        <v>Delivered</v>
      </c>
      <c r="AB169" s="14" t="str">
        <f t="shared" ref="AB169:AC169" si="342">trim(Q169)</f>
        <v>Quality of Items</v>
      </c>
      <c r="AC169" s="14" t="str">
        <f t="shared" si="342"/>
        <v>Perfect condition</v>
      </c>
      <c r="AD169" s="8"/>
    </row>
    <row r="170">
      <c r="A170" s="14" t="str">
        <f>IFERROR(__xludf.DUMMYFUNCTION("""COMPUTED_VALUE"""),"//ord_10169//Mohit Malhotra//Lower Parel//Banana+2*Sita T/10/29/2023//Credit Card//Delivered*Packaging: Secure and intact")</f>
        <v>//ord_10169//Mohit Malhotra//Lower Parel//Banana+2*Sita T/10/29/2023//Credit Card//Delivered*Packaging: Secure and intact</v>
      </c>
      <c r="B170" s="14" t="str">
        <f>IFERROR(__xludf.DUMMYFUNCTION("split(A170,""//"")"),"ord_10169")</f>
        <v>ord_10169</v>
      </c>
      <c r="C170" s="14" t="str">
        <f>IFERROR(__xludf.DUMMYFUNCTION("""COMPUTED_VALUE"""),"Mohit Malhotra")</f>
        <v>Mohit Malhotra</v>
      </c>
      <c r="D170" s="14" t="str">
        <f>IFERROR(__xludf.DUMMYFUNCTION("""COMPUTED_VALUE"""),"Lower Parel")</f>
        <v>Lower Parel</v>
      </c>
      <c r="E170" s="14" t="str">
        <f>IFERROR(__xludf.DUMMYFUNCTION("""COMPUTED_VALUE"""),"Banana+2*Sita T")</f>
        <v>Banana+2*Sita T</v>
      </c>
      <c r="F170" s="14">
        <f>IFERROR(__xludf.DUMMYFUNCTION("""COMPUTED_VALUE"""),10.0)</f>
        <v>10</v>
      </c>
      <c r="G170" s="14">
        <f>IFERROR(__xludf.DUMMYFUNCTION("""COMPUTED_VALUE"""),29.0)</f>
        <v>29</v>
      </c>
      <c r="H170" s="14">
        <f>IFERROR(__xludf.DUMMYFUNCTION("""COMPUTED_VALUE"""),2023.0)</f>
        <v>2023</v>
      </c>
      <c r="I170" s="14" t="str">
        <f>IFERROR(__xludf.DUMMYFUNCTION("""COMPUTED_VALUE"""),"Credit Card")</f>
        <v>Credit Card</v>
      </c>
      <c r="J170" s="14" t="str">
        <f>IFERROR(__xludf.DUMMYFUNCTION("""COMPUTED_VALUE"""),"Delivered*Packaging: Secure and intact")</f>
        <v>Delivered*Packaging: Secure and intact</v>
      </c>
      <c r="K170" s="14" t="str">
        <f>IFERROR(__xludf.DUMMYFUNCTION("split(E170,""+"")"),"Banana")</f>
        <v>Banana</v>
      </c>
      <c r="L170" s="14" t="str">
        <f>IFERROR(__xludf.DUMMYFUNCTION("""COMPUTED_VALUE"""),"2*Sita T")</f>
        <v>2*Sita T</v>
      </c>
      <c r="M170" s="14">
        <f>IFERROR(__xludf.DUMMYFUNCTION("SPLIT(L170,""*"")"),2.0)</f>
        <v>2</v>
      </c>
      <c r="N170" s="14" t="str">
        <f>IFERROR(__xludf.DUMMYFUNCTION("""COMPUTED_VALUE"""),"Sita T")</f>
        <v>Sita T</v>
      </c>
      <c r="O170" s="14" t="str">
        <f>IFERROR(__xludf.DUMMYFUNCTION("split(J170,""*"")"),"Delivered")</f>
        <v>Delivered</v>
      </c>
      <c r="P170" s="14" t="str">
        <f>IFERROR(__xludf.DUMMYFUNCTION("""COMPUTED_VALUE"""),"Packaging: Secure and intact")</f>
        <v>Packaging: Secure and intact</v>
      </c>
      <c r="Q170" s="14" t="str">
        <f>IFERROR(__xludf.DUMMYFUNCTION("split(P170,"":"")"),"Packaging")</f>
        <v>Packaging</v>
      </c>
      <c r="R170" s="14" t="str">
        <f>IFERROR(__xludf.DUMMYFUNCTION("""COMPUTED_VALUE""")," Secure and intact")</f>
        <v> Secure and intact</v>
      </c>
      <c r="S170" s="14" t="str">
        <f t="shared" ref="S170:U170" si="343">trim(B170)</f>
        <v>ord_10169</v>
      </c>
      <c r="T170" s="14" t="str">
        <f t="shared" si="343"/>
        <v>Mohit Malhotra</v>
      </c>
      <c r="U170" s="14" t="str">
        <f t="shared" si="343"/>
        <v>Lower Parel</v>
      </c>
      <c r="V170" s="14" t="str">
        <f t="shared" si="4"/>
        <v>Banana</v>
      </c>
      <c r="W170" s="14">
        <f t="shared" si="5"/>
        <v>2</v>
      </c>
      <c r="X170" s="14" t="str">
        <f t="shared" si="6"/>
        <v>Sita T</v>
      </c>
      <c r="Y170" s="15">
        <f t="shared" si="7"/>
        <v>45228</v>
      </c>
      <c r="Z170" s="14" t="str">
        <f t="shared" si="8"/>
        <v>Credit Card</v>
      </c>
      <c r="AA170" s="14" t="str">
        <f t="shared" si="9"/>
        <v>Delivered</v>
      </c>
      <c r="AB170" s="14" t="str">
        <f t="shared" ref="AB170:AC170" si="344">trim(Q170)</f>
        <v>Packaging</v>
      </c>
      <c r="AC170" s="14" t="str">
        <f t="shared" si="344"/>
        <v>Secure and intact</v>
      </c>
      <c r="AD170" s="8"/>
    </row>
    <row r="171">
      <c r="A171" s="14" t="str">
        <f>IFERROR(__xludf.DUMMYFUNCTION("""COMPUTED_VALUE"""),"//ord_10170//Omkar Mishra//Powai//Tiramisu+3*Ram Gopal/4/19/2023//UPI//Delivered*Satisfied with the Delivery: Timely and quality")</f>
        <v>//ord_10170//Omkar Mishra//Powai//Tiramisu+3*Ram Gopal/4/19/2023//UPI//Delivered*Satisfied with the Delivery: Timely and quality</v>
      </c>
      <c r="B171" s="14" t="str">
        <f>IFERROR(__xludf.DUMMYFUNCTION("split(A171,""//"")"),"ord_10170")</f>
        <v>ord_10170</v>
      </c>
      <c r="C171" s="14" t="str">
        <f>IFERROR(__xludf.DUMMYFUNCTION("""COMPUTED_VALUE"""),"Omkar Mishra")</f>
        <v>Omkar Mishra</v>
      </c>
      <c r="D171" s="14" t="str">
        <f>IFERROR(__xludf.DUMMYFUNCTION("""COMPUTED_VALUE"""),"Powai")</f>
        <v>Powai</v>
      </c>
      <c r="E171" s="14" t="str">
        <f>IFERROR(__xludf.DUMMYFUNCTION("""COMPUTED_VALUE"""),"Tiramisu+3*Ram Gopal")</f>
        <v>Tiramisu+3*Ram Gopal</v>
      </c>
      <c r="F171" s="14">
        <f>IFERROR(__xludf.DUMMYFUNCTION("""COMPUTED_VALUE"""),4.0)</f>
        <v>4</v>
      </c>
      <c r="G171" s="14">
        <f>IFERROR(__xludf.DUMMYFUNCTION("""COMPUTED_VALUE"""),19.0)</f>
        <v>19</v>
      </c>
      <c r="H171" s="14">
        <f>IFERROR(__xludf.DUMMYFUNCTION("""COMPUTED_VALUE"""),2023.0)</f>
        <v>2023</v>
      </c>
      <c r="I171" s="14" t="str">
        <f>IFERROR(__xludf.DUMMYFUNCTION("""COMPUTED_VALUE"""),"UPI")</f>
        <v>UPI</v>
      </c>
      <c r="J171" s="14" t="str">
        <f>IFERROR(__xludf.DUMMYFUNCTION("""COMPUTED_VALUE"""),"Delivered*Satisfied with the Delivery: Timely and quality")</f>
        <v>Delivered*Satisfied with the Delivery: Timely and quality</v>
      </c>
      <c r="K171" s="14" t="str">
        <f>IFERROR(__xludf.DUMMYFUNCTION("split(E171,""+"")"),"Tiramisu")</f>
        <v>Tiramisu</v>
      </c>
      <c r="L171" s="14" t="str">
        <f>IFERROR(__xludf.DUMMYFUNCTION("""COMPUTED_VALUE"""),"3*Ram Gopal")</f>
        <v>3*Ram Gopal</v>
      </c>
      <c r="M171" s="14">
        <f>IFERROR(__xludf.DUMMYFUNCTION("SPLIT(L171,""*"")"),3.0)</f>
        <v>3</v>
      </c>
      <c r="N171" s="14" t="str">
        <f>IFERROR(__xludf.DUMMYFUNCTION("""COMPUTED_VALUE"""),"Ram Gopal")</f>
        <v>Ram Gopal</v>
      </c>
      <c r="O171" s="14" t="str">
        <f>IFERROR(__xludf.DUMMYFUNCTION("split(J171,""*"")"),"Delivered")</f>
        <v>Delivered</v>
      </c>
      <c r="P171" s="14" t="str">
        <f>IFERROR(__xludf.DUMMYFUNCTION("""COMPUTED_VALUE"""),"Satisfied with the Delivery: Timely and quality")</f>
        <v>Satisfied with the Delivery: Timely and quality</v>
      </c>
      <c r="Q171" s="14" t="str">
        <f>IFERROR(__xludf.DUMMYFUNCTION("split(P171,"":"")"),"Satisfied with the Delivery")</f>
        <v>Satisfied with the Delivery</v>
      </c>
      <c r="R171" s="14" t="str">
        <f>IFERROR(__xludf.DUMMYFUNCTION("""COMPUTED_VALUE""")," Timely and quality")</f>
        <v> Timely and quality</v>
      </c>
      <c r="S171" s="14" t="str">
        <f t="shared" ref="S171:U171" si="345">trim(B171)</f>
        <v>ord_10170</v>
      </c>
      <c r="T171" s="14" t="str">
        <f t="shared" si="345"/>
        <v>Omkar Mishra</v>
      </c>
      <c r="U171" s="14" t="str">
        <f t="shared" si="345"/>
        <v>Powai</v>
      </c>
      <c r="V171" s="14" t="str">
        <f t="shared" si="4"/>
        <v>Tiramisu</v>
      </c>
      <c r="W171" s="14">
        <f t="shared" si="5"/>
        <v>3</v>
      </c>
      <c r="X171" s="14" t="str">
        <f t="shared" si="6"/>
        <v>Ram Gopal</v>
      </c>
      <c r="Y171" s="15">
        <f t="shared" si="7"/>
        <v>45035</v>
      </c>
      <c r="Z171" s="14" t="str">
        <f t="shared" si="8"/>
        <v>UPI</v>
      </c>
      <c r="AA171" s="14" t="str">
        <f t="shared" si="9"/>
        <v>Delivered</v>
      </c>
      <c r="AB171" s="14" t="str">
        <f t="shared" ref="AB171:AC171" si="346">trim(Q171)</f>
        <v>Satisfied with the Delivery</v>
      </c>
      <c r="AC171" s="14" t="str">
        <f t="shared" si="346"/>
        <v>Timely and quality</v>
      </c>
      <c r="AD171" s="8"/>
    </row>
    <row r="172">
      <c r="A172" s="14" t="str">
        <f>IFERROR(__xludf.DUMMYFUNCTION("""COMPUTED_VALUE"""),"//ord_10171//Sakshi Tandon//Colaba//Juice+4*Priya Joshi/7/4/2023//Credit Card//Cancelled*Delayed Delivery:High Order Volume")</f>
        <v>//ord_10171//Sakshi Tandon//Colaba//Juice+4*Priya Joshi/7/4/2023//Credit Card//Cancelled*Delayed Delivery:High Order Volume</v>
      </c>
      <c r="B172" s="14" t="str">
        <f>IFERROR(__xludf.DUMMYFUNCTION("split(A172,""//"")"),"ord_10171")</f>
        <v>ord_10171</v>
      </c>
      <c r="C172" s="14" t="str">
        <f>IFERROR(__xludf.DUMMYFUNCTION("""COMPUTED_VALUE"""),"Sakshi Tandon")</f>
        <v>Sakshi Tandon</v>
      </c>
      <c r="D172" s="14" t="str">
        <f>IFERROR(__xludf.DUMMYFUNCTION("""COMPUTED_VALUE"""),"Colaba")</f>
        <v>Colaba</v>
      </c>
      <c r="E172" s="14" t="str">
        <f>IFERROR(__xludf.DUMMYFUNCTION("""COMPUTED_VALUE"""),"Juice+4*Priya Joshi")</f>
        <v>Juice+4*Priya Joshi</v>
      </c>
      <c r="F172" s="14">
        <f>IFERROR(__xludf.DUMMYFUNCTION("""COMPUTED_VALUE"""),7.0)</f>
        <v>7</v>
      </c>
      <c r="G172" s="14">
        <f>IFERROR(__xludf.DUMMYFUNCTION("""COMPUTED_VALUE"""),4.0)</f>
        <v>4</v>
      </c>
      <c r="H172" s="14">
        <f>IFERROR(__xludf.DUMMYFUNCTION("""COMPUTED_VALUE"""),2023.0)</f>
        <v>2023</v>
      </c>
      <c r="I172" s="14" t="str">
        <f>IFERROR(__xludf.DUMMYFUNCTION("""COMPUTED_VALUE"""),"Credit Card")</f>
        <v>Credit Card</v>
      </c>
      <c r="J172" s="14" t="str">
        <f>IFERROR(__xludf.DUMMYFUNCTION("""COMPUTED_VALUE"""),"Cancelled*Delayed Delivery:High Order Volume")</f>
        <v>Cancelled*Delayed Delivery:High Order Volume</v>
      </c>
      <c r="K172" s="14" t="str">
        <f>IFERROR(__xludf.DUMMYFUNCTION("split(E172,""+"")"),"Juice")</f>
        <v>Juice</v>
      </c>
      <c r="L172" s="14" t="str">
        <f>IFERROR(__xludf.DUMMYFUNCTION("""COMPUTED_VALUE"""),"4*Priya Joshi")</f>
        <v>4*Priya Joshi</v>
      </c>
      <c r="M172" s="14">
        <f>IFERROR(__xludf.DUMMYFUNCTION("SPLIT(L172,""*"")"),4.0)</f>
        <v>4</v>
      </c>
      <c r="N172" s="14" t="str">
        <f>IFERROR(__xludf.DUMMYFUNCTION("""COMPUTED_VALUE"""),"Priya Joshi")</f>
        <v>Priya Joshi</v>
      </c>
      <c r="O172" s="14" t="str">
        <f>IFERROR(__xludf.DUMMYFUNCTION("split(J172,""*"")"),"Cancelled")</f>
        <v>Cancelled</v>
      </c>
      <c r="P172" s="14" t="str">
        <f>IFERROR(__xludf.DUMMYFUNCTION("""COMPUTED_VALUE"""),"Delayed Delivery:High Order Volume")</f>
        <v>Delayed Delivery:High Order Volume</v>
      </c>
      <c r="Q172" s="14" t="str">
        <f>IFERROR(__xludf.DUMMYFUNCTION("split(P172,"":"")"),"Delayed Delivery")</f>
        <v>Delayed Delivery</v>
      </c>
      <c r="R172" s="14" t="str">
        <f>IFERROR(__xludf.DUMMYFUNCTION("""COMPUTED_VALUE"""),"High Order Volume")</f>
        <v>High Order Volume</v>
      </c>
      <c r="S172" s="14" t="str">
        <f t="shared" ref="S172:U172" si="347">trim(B172)</f>
        <v>ord_10171</v>
      </c>
      <c r="T172" s="14" t="str">
        <f t="shared" si="347"/>
        <v>Sakshi Tandon</v>
      </c>
      <c r="U172" s="14" t="str">
        <f t="shared" si="347"/>
        <v>Colaba</v>
      </c>
      <c r="V172" s="14" t="str">
        <f t="shared" si="4"/>
        <v>Juice</v>
      </c>
      <c r="W172" s="14">
        <f t="shared" si="5"/>
        <v>4</v>
      </c>
      <c r="X172" s="14" t="str">
        <f t="shared" si="6"/>
        <v>Priya Joshi</v>
      </c>
      <c r="Y172" s="15">
        <f t="shared" si="7"/>
        <v>45111</v>
      </c>
      <c r="Z172" s="14" t="str">
        <f t="shared" si="8"/>
        <v>Credit Card</v>
      </c>
      <c r="AA172" s="14" t="str">
        <f t="shared" si="9"/>
        <v>Cancelled</v>
      </c>
      <c r="AB172" s="14" t="str">
        <f t="shared" ref="AB172:AC172" si="348">trim(Q172)</f>
        <v>Delayed Delivery</v>
      </c>
      <c r="AC172" s="14" t="str">
        <f t="shared" si="348"/>
        <v>High Order Volume</v>
      </c>
      <c r="AD172" s="8"/>
    </row>
    <row r="173">
      <c r="A173" s="14" t="str">
        <f>IFERROR(__xludf.DUMMYFUNCTION("""COMPUTED_VALUE"""),"//ord_10172//Dev Chauhan//Bandra//Juice+3*Nithin Lal/12/19/2023//UPI//Delivered*Customer Service: Seamless and easy")</f>
        <v>//ord_10172//Dev Chauhan//Bandra//Juice+3*Nithin Lal/12/19/2023//UPI//Delivered*Customer Service: Seamless and easy</v>
      </c>
      <c r="B173" s="14" t="str">
        <f>IFERROR(__xludf.DUMMYFUNCTION("split(A173,""//"")"),"ord_10172")</f>
        <v>ord_10172</v>
      </c>
      <c r="C173" s="14" t="str">
        <f>IFERROR(__xludf.DUMMYFUNCTION("""COMPUTED_VALUE"""),"Dev Chauhan")</f>
        <v>Dev Chauhan</v>
      </c>
      <c r="D173" s="14" t="str">
        <f>IFERROR(__xludf.DUMMYFUNCTION("""COMPUTED_VALUE"""),"Bandra")</f>
        <v>Bandra</v>
      </c>
      <c r="E173" s="14" t="str">
        <f>IFERROR(__xludf.DUMMYFUNCTION("""COMPUTED_VALUE"""),"Juice+3*Nithin Lal")</f>
        <v>Juice+3*Nithin Lal</v>
      </c>
      <c r="F173" s="14">
        <f>IFERROR(__xludf.DUMMYFUNCTION("""COMPUTED_VALUE"""),12.0)</f>
        <v>12</v>
      </c>
      <c r="G173" s="14">
        <f>IFERROR(__xludf.DUMMYFUNCTION("""COMPUTED_VALUE"""),19.0)</f>
        <v>19</v>
      </c>
      <c r="H173" s="14">
        <f>IFERROR(__xludf.DUMMYFUNCTION("""COMPUTED_VALUE"""),2023.0)</f>
        <v>2023</v>
      </c>
      <c r="I173" s="14" t="str">
        <f>IFERROR(__xludf.DUMMYFUNCTION("""COMPUTED_VALUE"""),"UPI")</f>
        <v>UPI</v>
      </c>
      <c r="J173" s="14" t="str">
        <f>IFERROR(__xludf.DUMMYFUNCTION("""COMPUTED_VALUE"""),"Delivered*Customer Service: Seamless and easy")</f>
        <v>Delivered*Customer Service: Seamless and easy</v>
      </c>
      <c r="K173" s="14" t="str">
        <f>IFERROR(__xludf.DUMMYFUNCTION("split(E173,""+"")"),"Juice")</f>
        <v>Juice</v>
      </c>
      <c r="L173" s="14" t="str">
        <f>IFERROR(__xludf.DUMMYFUNCTION("""COMPUTED_VALUE"""),"3*Nithin Lal")</f>
        <v>3*Nithin Lal</v>
      </c>
      <c r="M173" s="14">
        <f>IFERROR(__xludf.DUMMYFUNCTION("SPLIT(L173,""*"")"),3.0)</f>
        <v>3</v>
      </c>
      <c r="N173" s="14" t="str">
        <f>IFERROR(__xludf.DUMMYFUNCTION("""COMPUTED_VALUE"""),"Nithin Lal")</f>
        <v>Nithin Lal</v>
      </c>
      <c r="O173" s="14" t="str">
        <f>IFERROR(__xludf.DUMMYFUNCTION("split(J173,""*"")"),"Delivered")</f>
        <v>Delivered</v>
      </c>
      <c r="P173" s="14" t="str">
        <f>IFERROR(__xludf.DUMMYFUNCTION("""COMPUTED_VALUE"""),"Customer Service: Seamless and easy")</f>
        <v>Customer Service: Seamless and easy</v>
      </c>
      <c r="Q173" s="14" t="str">
        <f>IFERROR(__xludf.DUMMYFUNCTION("split(P173,"":"")"),"Customer Service")</f>
        <v>Customer Service</v>
      </c>
      <c r="R173" s="14" t="str">
        <f>IFERROR(__xludf.DUMMYFUNCTION("""COMPUTED_VALUE""")," Seamless and easy")</f>
        <v> Seamless and easy</v>
      </c>
      <c r="S173" s="14" t="str">
        <f t="shared" ref="S173:U173" si="349">trim(B173)</f>
        <v>ord_10172</v>
      </c>
      <c r="T173" s="14" t="str">
        <f t="shared" si="349"/>
        <v>Dev Chauhan</v>
      </c>
      <c r="U173" s="14" t="str">
        <f t="shared" si="349"/>
        <v>Bandra</v>
      </c>
      <c r="V173" s="14" t="str">
        <f t="shared" si="4"/>
        <v>Juice</v>
      </c>
      <c r="W173" s="14">
        <f t="shared" si="5"/>
        <v>3</v>
      </c>
      <c r="X173" s="14" t="str">
        <f t="shared" si="6"/>
        <v>Nithin Lal</v>
      </c>
      <c r="Y173" s="15">
        <f t="shared" si="7"/>
        <v>45279</v>
      </c>
      <c r="Z173" s="14" t="str">
        <f t="shared" si="8"/>
        <v>UPI</v>
      </c>
      <c r="AA173" s="14" t="str">
        <f t="shared" si="9"/>
        <v>Delivered</v>
      </c>
      <c r="AB173" s="14" t="str">
        <f t="shared" ref="AB173:AC173" si="350">trim(Q173)</f>
        <v>Customer Service</v>
      </c>
      <c r="AC173" s="14" t="str">
        <f t="shared" si="350"/>
        <v>Seamless and easy</v>
      </c>
      <c r="AD173" s="8"/>
    </row>
    <row r="174">
      <c r="A174" s="14" t="str">
        <f>IFERROR(__xludf.DUMMYFUNCTION("""COMPUTED_VALUE"""),"//ord_10173//Nitin Sehgal//Bandra//Tiramisu+2*Vivek Kumar/10/6/2023//COD//Delivered*Delivery Experience: Quick and professional")</f>
        <v>//ord_10173//Nitin Sehgal//Bandra//Tiramisu+2*Vivek Kumar/10/6/2023//COD//Delivered*Delivery Experience: Quick and professional</v>
      </c>
      <c r="B174" s="14" t="str">
        <f>IFERROR(__xludf.DUMMYFUNCTION("split(A174,""//"")"),"ord_10173")</f>
        <v>ord_10173</v>
      </c>
      <c r="C174" s="14" t="str">
        <f>IFERROR(__xludf.DUMMYFUNCTION("""COMPUTED_VALUE"""),"Nitin Sehgal")</f>
        <v>Nitin Sehgal</v>
      </c>
      <c r="D174" s="14" t="str">
        <f>IFERROR(__xludf.DUMMYFUNCTION("""COMPUTED_VALUE"""),"Bandra")</f>
        <v>Bandra</v>
      </c>
      <c r="E174" s="14" t="str">
        <f>IFERROR(__xludf.DUMMYFUNCTION("""COMPUTED_VALUE"""),"Tiramisu+2*Vivek Kumar")</f>
        <v>Tiramisu+2*Vivek Kumar</v>
      </c>
      <c r="F174" s="14">
        <f>IFERROR(__xludf.DUMMYFUNCTION("""COMPUTED_VALUE"""),10.0)</f>
        <v>10</v>
      </c>
      <c r="G174" s="14">
        <f>IFERROR(__xludf.DUMMYFUNCTION("""COMPUTED_VALUE"""),6.0)</f>
        <v>6</v>
      </c>
      <c r="H174" s="14">
        <f>IFERROR(__xludf.DUMMYFUNCTION("""COMPUTED_VALUE"""),2023.0)</f>
        <v>2023</v>
      </c>
      <c r="I174" s="14" t="str">
        <f>IFERROR(__xludf.DUMMYFUNCTION("""COMPUTED_VALUE"""),"COD")</f>
        <v>COD</v>
      </c>
      <c r="J174" s="14" t="str">
        <f>IFERROR(__xludf.DUMMYFUNCTION("""COMPUTED_VALUE"""),"Delivered*Delivery Experience: Quick and professional")</f>
        <v>Delivered*Delivery Experience: Quick and professional</v>
      </c>
      <c r="K174" s="14" t="str">
        <f>IFERROR(__xludf.DUMMYFUNCTION("split(E174,""+"")"),"Tiramisu")</f>
        <v>Tiramisu</v>
      </c>
      <c r="L174" s="14" t="str">
        <f>IFERROR(__xludf.DUMMYFUNCTION("""COMPUTED_VALUE"""),"2*Vivek Kumar")</f>
        <v>2*Vivek Kumar</v>
      </c>
      <c r="M174" s="14">
        <f>IFERROR(__xludf.DUMMYFUNCTION("SPLIT(L174,""*"")"),2.0)</f>
        <v>2</v>
      </c>
      <c r="N174" s="14" t="str">
        <f>IFERROR(__xludf.DUMMYFUNCTION("""COMPUTED_VALUE"""),"Vivek Kumar")</f>
        <v>Vivek Kumar</v>
      </c>
      <c r="O174" s="14" t="str">
        <f>IFERROR(__xludf.DUMMYFUNCTION("split(J174,""*"")"),"Delivered")</f>
        <v>Delivered</v>
      </c>
      <c r="P174" s="14" t="str">
        <f>IFERROR(__xludf.DUMMYFUNCTION("""COMPUTED_VALUE"""),"Delivery Experience: Quick and professional")</f>
        <v>Delivery Experience: Quick and professional</v>
      </c>
      <c r="Q174" s="14" t="str">
        <f>IFERROR(__xludf.DUMMYFUNCTION("split(P174,"":"")"),"Delivery Experience")</f>
        <v>Delivery Experience</v>
      </c>
      <c r="R174" s="14" t="str">
        <f>IFERROR(__xludf.DUMMYFUNCTION("""COMPUTED_VALUE""")," Quick and professional")</f>
        <v> Quick and professional</v>
      </c>
      <c r="S174" s="14" t="str">
        <f t="shared" ref="S174:U174" si="351">trim(B174)</f>
        <v>ord_10173</v>
      </c>
      <c r="T174" s="14" t="str">
        <f t="shared" si="351"/>
        <v>Nitin Sehgal</v>
      </c>
      <c r="U174" s="14" t="str">
        <f t="shared" si="351"/>
        <v>Bandra</v>
      </c>
      <c r="V174" s="14" t="str">
        <f t="shared" si="4"/>
        <v>Tiramisu</v>
      </c>
      <c r="W174" s="14">
        <f t="shared" si="5"/>
        <v>2</v>
      </c>
      <c r="X174" s="14" t="str">
        <f t="shared" si="6"/>
        <v>Vivek Kumar</v>
      </c>
      <c r="Y174" s="15">
        <f t="shared" si="7"/>
        <v>45205</v>
      </c>
      <c r="Z174" s="14" t="str">
        <f t="shared" si="8"/>
        <v>COD</v>
      </c>
      <c r="AA174" s="14" t="str">
        <f t="shared" si="9"/>
        <v>Delivered</v>
      </c>
      <c r="AB174" s="14" t="str">
        <f t="shared" ref="AB174:AC174" si="352">trim(Q174)</f>
        <v>Delivery Experience</v>
      </c>
      <c r="AC174" s="14" t="str">
        <f t="shared" si="352"/>
        <v>Quick and professional</v>
      </c>
      <c r="AD174" s="8"/>
    </row>
    <row r="175">
      <c r="A175" s="14" t="str">
        <f>IFERROR(__xludf.DUMMYFUNCTION("""COMPUTED_VALUE"""),"//ord_10174//Omkar Mishra//Powai//Banana+2*Sandeep Kumar/6/3/2023//UPI//Delivered*Convenience: Easy tracking")</f>
        <v>//ord_10174//Omkar Mishra//Powai//Banana+2*Sandeep Kumar/6/3/2023//UPI//Delivered*Convenience: Easy tracking</v>
      </c>
      <c r="B175" s="14" t="str">
        <f>IFERROR(__xludf.DUMMYFUNCTION("split(A175,""//"")"),"ord_10174")</f>
        <v>ord_10174</v>
      </c>
      <c r="C175" s="14" t="str">
        <f>IFERROR(__xludf.DUMMYFUNCTION("""COMPUTED_VALUE"""),"Omkar Mishra")</f>
        <v>Omkar Mishra</v>
      </c>
      <c r="D175" s="14" t="str">
        <f>IFERROR(__xludf.DUMMYFUNCTION("""COMPUTED_VALUE"""),"Powai")</f>
        <v>Powai</v>
      </c>
      <c r="E175" s="14" t="str">
        <f>IFERROR(__xludf.DUMMYFUNCTION("""COMPUTED_VALUE"""),"Banana+2*Sandeep Kumar")</f>
        <v>Banana+2*Sandeep Kumar</v>
      </c>
      <c r="F175" s="14">
        <f>IFERROR(__xludf.DUMMYFUNCTION("""COMPUTED_VALUE"""),6.0)</f>
        <v>6</v>
      </c>
      <c r="G175" s="14">
        <f>IFERROR(__xludf.DUMMYFUNCTION("""COMPUTED_VALUE"""),3.0)</f>
        <v>3</v>
      </c>
      <c r="H175" s="14">
        <f>IFERROR(__xludf.DUMMYFUNCTION("""COMPUTED_VALUE"""),2023.0)</f>
        <v>2023</v>
      </c>
      <c r="I175" s="14" t="str">
        <f>IFERROR(__xludf.DUMMYFUNCTION("""COMPUTED_VALUE"""),"UPI")</f>
        <v>UPI</v>
      </c>
      <c r="J175" s="14" t="str">
        <f>IFERROR(__xludf.DUMMYFUNCTION("""COMPUTED_VALUE"""),"Delivered*Convenience: Easy tracking")</f>
        <v>Delivered*Convenience: Easy tracking</v>
      </c>
      <c r="K175" s="14" t="str">
        <f>IFERROR(__xludf.DUMMYFUNCTION("split(E175,""+"")"),"Banana")</f>
        <v>Banana</v>
      </c>
      <c r="L175" s="14" t="str">
        <f>IFERROR(__xludf.DUMMYFUNCTION("""COMPUTED_VALUE"""),"2*Sandeep Kumar")</f>
        <v>2*Sandeep Kumar</v>
      </c>
      <c r="M175" s="14">
        <f>IFERROR(__xludf.DUMMYFUNCTION("SPLIT(L175,""*"")"),2.0)</f>
        <v>2</v>
      </c>
      <c r="N175" s="14" t="str">
        <f>IFERROR(__xludf.DUMMYFUNCTION("""COMPUTED_VALUE"""),"Sandeep Kumar")</f>
        <v>Sandeep Kumar</v>
      </c>
      <c r="O175" s="14" t="str">
        <f>IFERROR(__xludf.DUMMYFUNCTION("split(J175,""*"")"),"Delivered")</f>
        <v>Delivered</v>
      </c>
      <c r="P175" s="14" t="str">
        <f>IFERROR(__xludf.DUMMYFUNCTION("""COMPUTED_VALUE"""),"Convenience: Easy tracking")</f>
        <v>Convenience: Easy tracking</v>
      </c>
      <c r="Q175" s="14" t="str">
        <f>IFERROR(__xludf.DUMMYFUNCTION("split(P175,"":"")"),"Convenience")</f>
        <v>Convenience</v>
      </c>
      <c r="R175" s="14" t="str">
        <f>IFERROR(__xludf.DUMMYFUNCTION("""COMPUTED_VALUE""")," Easy tracking")</f>
        <v> Easy tracking</v>
      </c>
      <c r="S175" s="14" t="str">
        <f t="shared" ref="S175:U175" si="353">trim(B175)</f>
        <v>ord_10174</v>
      </c>
      <c r="T175" s="14" t="str">
        <f t="shared" si="353"/>
        <v>Omkar Mishra</v>
      </c>
      <c r="U175" s="14" t="str">
        <f t="shared" si="353"/>
        <v>Powai</v>
      </c>
      <c r="V175" s="14" t="str">
        <f t="shared" si="4"/>
        <v>Banana</v>
      </c>
      <c r="W175" s="14">
        <f t="shared" si="5"/>
        <v>2</v>
      </c>
      <c r="X175" s="14" t="str">
        <f t="shared" si="6"/>
        <v>Sandeep Kumar</v>
      </c>
      <c r="Y175" s="15">
        <f t="shared" si="7"/>
        <v>45080</v>
      </c>
      <c r="Z175" s="14" t="str">
        <f t="shared" si="8"/>
        <v>UPI</v>
      </c>
      <c r="AA175" s="14" t="str">
        <f t="shared" si="9"/>
        <v>Delivered</v>
      </c>
      <c r="AB175" s="14" t="str">
        <f t="shared" ref="AB175:AC175" si="354">trim(Q175)</f>
        <v>Convenience</v>
      </c>
      <c r="AC175" s="14" t="str">
        <f t="shared" si="354"/>
        <v>Easy tracking</v>
      </c>
      <c r="AD175" s="8"/>
    </row>
    <row r="176">
      <c r="A176" s="14" t="str">
        <f>IFERROR(__xludf.DUMMYFUNCTION("""COMPUTED_VALUE"""),"//ord_10175//Omkar Mishra//Powai//Apple+2*Venu R/7/10/2023//Online Payment//Cancelled*Delayed Delivery:Vehicle Breakdown")</f>
        <v>//ord_10175//Omkar Mishra//Powai//Apple+2*Venu R/7/10/2023//Online Payment//Cancelled*Delayed Delivery:Vehicle Breakdown</v>
      </c>
      <c r="B176" s="14" t="str">
        <f>IFERROR(__xludf.DUMMYFUNCTION("split(A176,""//"")"),"ord_10175")</f>
        <v>ord_10175</v>
      </c>
      <c r="C176" s="14" t="str">
        <f>IFERROR(__xludf.DUMMYFUNCTION("""COMPUTED_VALUE"""),"Omkar Mishra")</f>
        <v>Omkar Mishra</v>
      </c>
      <c r="D176" s="14" t="str">
        <f>IFERROR(__xludf.DUMMYFUNCTION("""COMPUTED_VALUE"""),"Powai")</f>
        <v>Powai</v>
      </c>
      <c r="E176" s="14" t="str">
        <f>IFERROR(__xludf.DUMMYFUNCTION("""COMPUTED_VALUE"""),"Apple+2*Venu R")</f>
        <v>Apple+2*Venu R</v>
      </c>
      <c r="F176" s="14">
        <f>IFERROR(__xludf.DUMMYFUNCTION("""COMPUTED_VALUE"""),7.0)</f>
        <v>7</v>
      </c>
      <c r="G176" s="14">
        <f>IFERROR(__xludf.DUMMYFUNCTION("""COMPUTED_VALUE"""),10.0)</f>
        <v>10</v>
      </c>
      <c r="H176" s="14">
        <f>IFERROR(__xludf.DUMMYFUNCTION("""COMPUTED_VALUE"""),2023.0)</f>
        <v>2023</v>
      </c>
      <c r="I176" s="14" t="str">
        <f>IFERROR(__xludf.DUMMYFUNCTION("""COMPUTED_VALUE"""),"Online Payment")</f>
        <v>Online Payment</v>
      </c>
      <c r="J176" s="14" t="str">
        <f>IFERROR(__xludf.DUMMYFUNCTION("""COMPUTED_VALUE"""),"Cancelled*Delayed Delivery:Vehicle Breakdown")</f>
        <v>Cancelled*Delayed Delivery:Vehicle Breakdown</v>
      </c>
      <c r="K176" s="14" t="str">
        <f>IFERROR(__xludf.DUMMYFUNCTION("split(E176,""+"")"),"Apple")</f>
        <v>Apple</v>
      </c>
      <c r="L176" s="14" t="str">
        <f>IFERROR(__xludf.DUMMYFUNCTION("""COMPUTED_VALUE"""),"2*Venu R")</f>
        <v>2*Venu R</v>
      </c>
      <c r="M176" s="14">
        <f>IFERROR(__xludf.DUMMYFUNCTION("SPLIT(L176,""*"")"),2.0)</f>
        <v>2</v>
      </c>
      <c r="N176" s="14" t="str">
        <f>IFERROR(__xludf.DUMMYFUNCTION("""COMPUTED_VALUE"""),"Venu R")</f>
        <v>Venu R</v>
      </c>
      <c r="O176" s="14" t="str">
        <f>IFERROR(__xludf.DUMMYFUNCTION("split(J176,""*"")"),"Cancelled")</f>
        <v>Cancelled</v>
      </c>
      <c r="P176" s="14" t="str">
        <f>IFERROR(__xludf.DUMMYFUNCTION("""COMPUTED_VALUE"""),"Delayed Delivery:Vehicle Breakdown")</f>
        <v>Delayed Delivery:Vehicle Breakdown</v>
      </c>
      <c r="Q176" s="14" t="str">
        <f>IFERROR(__xludf.DUMMYFUNCTION("split(P176,"":"")"),"Delayed Delivery")</f>
        <v>Delayed Delivery</v>
      </c>
      <c r="R176" s="14" t="str">
        <f>IFERROR(__xludf.DUMMYFUNCTION("""COMPUTED_VALUE"""),"Vehicle Breakdown")</f>
        <v>Vehicle Breakdown</v>
      </c>
      <c r="S176" s="14" t="str">
        <f t="shared" ref="S176:U176" si="355">trim(B176)</f>
        <v>ord_10175</v>
      </c>
      <c r="T176" s="14" t="str">
        <f t="shared" si="355"/>
        <v>Omkar Mishra</v>
      </c>
      <c r="U176" s="14" t="str">
        <f t="shared" si="355"/>
        <v>Powai</v>
      </c>
      <c r="V176" s="14" t="str">
        <f t="shared" si="4"/>
        <v>Apple</v>
      </c>
      <c r="W176" s="14">
        <f t="shared" si="5"/>
        <v>2</v>
      </c>
      <c r="X176" s="14" t="str">
        <f t="shared" si="6"/>
        <v>Venu R</v>
      </c>
      <c r="Y176" s="15">
        <f t="shared" si="7"/>
        <v>45117</v>
      </c>
      <c r="Z176" s="14" t="str">
        <f t="shared" si="8"/>
        <v>Online Payment</v>
      </c>
      <c r="AA176" s="14" t="str">
        <f t="shared" si="9"/>
        <v>Cancelled</v>
      </c>
      <c r="AB176" s="14" t="str">
        <f t="shared" ref="AB176:AC176" si="356">trim(Q176)</f>
        <v>Delayed Delivery</v>
      </c>
      <c r="AC176" s="14" t="str">
        <f t="shared" si="356"/>
        <v>Vehicle Breakdown</v>
      </c>
      <c r="AD176" s="8"/>
    </row>
    <row r="177">
      <c r="A177" s="14" t="str">
        <f>IFERROR(__xludf.DUMMYFUNCTION("""COMPUTED_VALUE"""),"//ord_10176//Ishaan Chaturvedi//Bandra//Apple+2*Rohan Yadav/8/22/2023//UPI//Cancelled*Delayed Delivery:Heavy Traffic")</f>
        <v>//ord_10176//Ishaan Chaturvedi//Bandra//Apple+2*Rohan Yadav/8/22/2023//UPI//Cancelled*Delayed Delivery:Heavy Traffic</v>
      </c>
      <c r="B177" s="14" t="str">
        <f>IFERROR(__xludf.DUMMYFUNCTION("split(A177,""//"")"),"ord_10176")</f>
        <v>ord_10176</v>
      </c>
      <c r="C177" s="14" t="str">
        <f>IFERROR(__xludf.DUMMYFUNCTION("""COMPUTED_VALUE"""),"Ishaan Chaturvedi")</f>
        <v>Ishaan Chaturvedi</v>
      </c>
      <c r="D177" s="14" t="str">
        <f>IFERROR(__xludf.DUMMYFUNCTION("""COMPUTED_VALUE"""),"Bandra")</f>
        <v>Bandra</v>
      </c>
      <c r="E177" s="14" t="str">
        <f>IFERROR(__xludf.DUMMYFUNCTION("""COMPUTED_VALUE"""),"Apple+2*Rohan Yadav")</f>
        <v>Apple+2*Rohan Yadav</v>
      </c>
      <c r="F177" s="14">
        <f>IFERROR(__xludf.DUMMYFUNCTION("""COMPUTED_VALUE"""),8.0)</f>
        <v>8</v>
      </c>
      <c r="G177" s="14">
        <f>IFERROR(__xludf.DUMMYFUNCTION("""COMPUTED_VALUE"""),22.0)</f>
        <v>22</v>
      </c>
      <c r="H177" s="14">
        <f>IFERROR(__xludf.DUMMYFUNCTION("""COMPUTED_VALUE"""),2023.0)</f>
        <v>2023</v>
      </c>
      <c r="I177" s="14" t="str">
        <f>IFERROR(__xludf.DUMMYFUNCTION("""COMPUTED_VALUE"""),"UPI")</f>
        <v>UPI</v>
      </c>
      <c r="J177" s="14" t="str">
        <f>IFERROR(__xludf.DUMMYFUNCTION("""COMPUTED_VALUE"""),"Cancelled*Delayed Delivery:Heavy Traffic")</f>
        <v>Cancelled*Delayed Delivery:Heavy Traffic</v>
      </c>
      <c r="K177" s="14" t="str">
        <f>IFERROR(__xludf.DUMMYFUNCTION("split(E177,""+"")"),"Apple")</f>
        <v>Apple</v>
      </c>
      <c r="L177" s="14" t="str">
        <f>IFERROR(__xludf.DUMMYFUNCTION("""COMPUTED_VALUE"""),"2*Rohan Yadav")</f>
        <v>2*Rohan Yadav</v>
      </c>
      <c r="M177" s="14">
        <f>IFERROR(__xludf.DUMMYFUNCTION("SPLIT(L177,""*"")"),2.0)</f>
        <v>2</v>
      </c>
      <c r="N177" s="14" t="str">
        <f>IFERROR(__xludf.DUMMYFUNCTION("""COMPUTED_VALUE"""),"Rohan Yadav")</f>
        <v>Rohan Yadav</v>
      </c>
      <c r="O177" s="14" t="str">
        <f>IFERROR(__xludf.DUMMYFUNCTION("split(J177,""*"")"),"Cancelled")</f>
        <v>Cancelled</v>
      </c>
      <c r="P177" s="14" t="str">
        <f>IFERROR(__xludf.DUMMYFUNCTION("""COMPUTED_VALUE"""),"Delayed Delivery:Heavy Traffic")</f>
        <v>Delayed Delivery:Heavy Traffic</v>
      </c>
      <c r="Q177" s="14" t="str">
        <f>IFERROR(__xludf.DUMMYFUNCTION("split(P177,"":"")"),"Delayed Delivery")</f>
        <v>Delayed Delivery</v>
      </c>
      <c r="R177" s="14" t="str">
        <f>IFERROR(__xludf.DUMMYFUNCTION("""COMPUTED_VALUE"""),"Heavy Traffic")</f>
        <v>Heavy Traffic</v>
      </c>
      <c r="S177" s="14" t="str">
        <f t="shared" ref="S177:U177" si="357">trim(B177)</f>
        <v>ord_10176</v>
      </c>
      <c r="T177" s="14" t="str">
        <f t="shared" si="357"/>
        <v>Ishaan Chaturvedi</v>
      </c>
      <c r="U177" s="14" t="str">
        <f t="shared" si="357"/>
        <v>Bandra</v>
      </c>
      <c r="V177" s="14" t="str">
        <f t="shared" si="4"/>
        <v>Apple</v>
      </c>
      <c r="W177" s="14">
        <f t="shared" si="5"/>
        <v>2</v>
      </c>
      <c r="X177" s="14" t="str">
        <f t="shared" si="6"/>
        <v>Rohan Yadav</v>
      </c>
      <c r="Y177" s="15">
        <f t="shared" si="7"/>
        <v>45160</v>
      </c>
      <c r="Z177" s="14" t="str">
        <f t="shared" si="8"/>
        <v>UPI</v>
      </c>
      <c r="AA177" s="14" t="str">
        <f t="shared" si="9"/>
        <v>Cancelled</v>
      </c>
      <c r="AB177" s="14" t="str">
        <f t="shared" ref="AB177:AC177" si="358">trim(Q177)</f>
        <v>Delayed Delivery</v>
      </c>
      <c r="AC177" s="14" t="str">
        <f t="shared" si="358"/>
        <v>Heavy Traffic</v>
      </c>
      <c r="AD177" s="8"/>
    </row>
    <row r="178">
      <c r="A178" s="14" t="str">
        <f>IFERROR(__xludf.DUMMYFUNCTION("""COMPUTED_VALUE"""),"//ord_10177//Diya Arora//Lower Parel//Rasmalai+2*Vivek Kumar/12/17/2023//COD//Delivered*Overall Satisfaction: Great service will order again")</f>
        <v>//ord_10177//Diya Arora//Lower Parel//Rasmalai+2*Vivek Kumar/12/17/2023//COD//Delivered*Overall Satisfaction: Great service will order again</v>
      </c>
      <c r="B178" s="14" t="str">
        <f>IFERROR(__xludf.DUMMYFUNCTION("split(A178,""//"")"),"ord_10177")</f>
        <v>ord_10177</v>
      </c>
      <c r="C178" s="14" t="str">
        <f>IFERROR(__xludf.DUMMYFUNCTION("""COMPUTED_VALUE"""),"Diya Arora")</f>
        <v>Diya Arora</v>
      </c>
      <c r="D178" s="14" t="str">
        <f>IFERROR(__xludf.DUMMYFUNCTION("""COMPUTED_VALUE"""),"Lower Parel")</f>
        <v>Lower Parel</v>
      </c>
      <c r="E178" s="14" t="str">
        <f>IFERROR(__xludf.DUMMYFUNCTION("""COMPUTED_VALUE"""),"Rasmalai+2*Vivek Kumar")</f>
        <v>Rasmalai+2*Vivek Kumar</v>
      </c>
      <c r="F178" s="14">
        <f>IFERROR(__xludf.DUMMYFUNCTION("""COMPUTED_VALUE"""),12.0)</f>
        <v>12</v>
      </c>
      <c r="G178" s="14">
        <f>IFERROR(__xludf.DUMMYFUNCTION("""COMPUTED_VALUE"""),17.0)</f>
        <v>17</v>
      </c>
      <c r="H178" s="14">
        <f>IFERROR(__xludf.DUMMYFUNCTION("""COMPUTED_VALUE"""),2023.0)</f>
        <v>2023</v>
      </c>
      <c r="I178" s="14" t="str">
        <f>IFERROR(__xludf.DUMMYFUNCTION("""COMPUTED_VALUE"""),"COD")</f>
        <v>COD</v>
      </c>
      <c r="J178" s="14" t="str">
        <f>IFERROR(__xludf.DUMMYFUNCTION("""COMPUTED_VALUE"""),"Delivered*Overall Satisfaction: Great service will order again")</f>
        <v>Delivered*Overall Satisfaction: Great service will order again</v>
      </c>
      <c r="K178" s="14" t="str">
        <f>IFERROR(__xludf.DUMMYFUNCTION("split(E178,""+"")"),"Rasmalai")</f>
        <v>Rasmalai</v>
      </c>
      <c r="L178" s="14" t="str">
        <f>IFERROR(__xludf.DUMMYFUNCTION("""COMPUTED_VALUE"""),"2*Vivek Kumar")</f>
        <v>2*Vivek Kumar</v>
      </c>
      <c r="M178" s="14">
        <f>IFERROR(__xludf.DUMMYFUNCTION("SPLIT(L178,""*"")"),2.0)</f>
        <v>2</v>
      </c>
      <c r="N178" s="14" t="str">
        <f>IFERROR(__xludf.DUMMYFUNCTION("""COMPUTED_VALUE"""),"Vivek Kumar")</f>
        <v>Vivek Kumar</v>
      </c>
      <c r="O178" s="14" t="str">
        <f>IFERROR(__xludf.DUMMYFUNCTION("split(J178,""*"")"),"Delivered")</f>
        <v>Delivered</v>
      </c>
      <c r="P178" s="14" t="str">
        <f>IFERROR(__xludf.DUMMYFUNCTION("""COMPUTED_VALUE"""),"Overall Satisfaction: Great service will order again")</f>
        <v>Overall Satisfaction: Great service will order again</v>
      </c>
      <c r="Q178" s="14" t="str">
        <f>IFERROR(__xludf.DUMMYFUNCTION("split(P178,"":"")"),"Overall Satisfaction")</f>
        <v>Overall Satisfaction</v>
      </c>
      <c r="R178" s="14" t="str">
        <f>IFERROR(__xludf.DUMMYFUNCTION("""COMPUTED_VALUE""")," Great service will order again")</f>
        <v> Great service will order again</v>
      </c>
      <c r="S178" s="14" t="str">
        <f t="shared" ref="S178:U178" si="359">trim(B178)</f>
        <v>ord_10177</v>
      </c>
      <c r="T178" s="14" t="str">
        <f t="shared" si="359"/>
        <v>Diya Arora</v>
      </c>
      <c r="U178" s="14" t="str">
        <f t="shared" si="359"/>
        <v>Lower Parel</v>
      </c>
      <c r="V178" s="14" t="str">
        <f t="shared" si="4"/>
        <v>Rasmalai</v>
      </c>
      <c r="W178" s="14">
        <f t="shared" si="5"/>
        <v>2</v>
      </c>
      <c r="X178" s="14" t="str">
        <f t="shared" si="6"/>
        <v>Vivek Kumar</v>
      </c>
      <c r="Y178" s="15">
        <f t="shared" si="7"/>
        <v>45277</v>
      </c>
      <c r="Z178" s="14" t="str">
        <f t="shared" si="8"/>
        <v>COD</v>
      </c>
      <c r="AA178" s="14" t="str">
        <f t="shared" si="9"/>
        <v>Delivered</v>
      </c>
      <c r="AB178" s="14" t="str">
        <f t="shared" ref="AB178:AC178" si="360">trim(Q178)</f>
        <v>Overall Satisfaction</v>
      </c>
      <c r="AC178" s="14" t="str">
        <f t="shared" si="360"/>
        <v>Great service will order again</v>
      </c>
      <c r="AD178" s="8"/>
    </row>
    <row r="179">
      <c r="A179" s="14" t="str">
        <f>IFERROR(__xludf.DUMMYFUNCTION("""COMPUTED_VALUE"""),"//ord_10178//Parth Goel//Juhu//Chocolate Mousse+3*Ram Gopal/6/18/2023//Credit Card//Cancelled*Delayed Delivery:Bad Weather Conditions ")</f>
        <v>//ord_10178//Parth Goel//Juhu//Chocolate Mousse+3*Ram Gopal/6/18/2023//Credit Card//Cancelled*Delayed Delivery:Bad Weather Conditions </v>
      </c>
      <c r="B179" s="14" t="str">
        <f>IFERROR(__xludf.DUMMYFUNCTION("split(A179,""//"")"),"ord_10178")</f>
        <v>ord_10178</v>
      </c>
      <c r="C179" s="14" t="str">
        <f>IFERROR(__xludf.DUMMYFUNCTION("""COMPUTED_VALUE"""),"Parth Goel")</f>
        <v>Parth Goel</v>
      </c>
      <c r="D179" s="14" t="str">
        <f>IFERROR(__xludf.DUMMYFUNCTION("""COMPUTED_VALUE"""),"Juhu")</f>
        <v>Juhu</v>
      </c>
      <c r="E179" s="14" t="str">
        <f>IFERROR(__xludf.DUMMYFUNCTION("""COMPUTED_VALUE"""),"Chocolate Mousse+3*Ram Gopal")</f>
        <v>Chocolate Mousse+3*Ram Gopal</v>
      </c>
      <c r="F179" s="14">
        <f>IFERROR(__xludf.DUMMYFUNCTION("""COMPUTED_VALUE"""),6.0)</f>
        <v>6</v>
      </c>
      <c r="G179" s="14">
        <f>IFERROR(__xludf.DUMMYFUNCTION("""COMPUTED_VALUE"""),18.0)</f>
        <v>18</v>
      </c>
      <c r="H179" s="14">
        <f>IFERROR(__xludf.DUMMYFUNCTION("""COMPUTED_VALUE"""),2023.0)</f>
        <v>2023</v>
      </c>
      <c r="I179" s="14" t="str">
        <f>IFERROR(__xludf.DUMMYFUNCTION("""COMPUTED_VALUE"""),"Credit Card")</f>
        <v>Credit Card</v>
      </c>
      <c r="J179" s="14" t="str">
        <f>IFERROR(__xludf.DUMMYFUNCTION("""COMPUTED_VALUE"""),"Cancelled*Delayed Delivery:Bad Weather Conditions ")</f>
        <v>Cancelled*Delayed Delivery:Bad Weather Conditions </v>
      </c>
      <c r="K179" s="14" t="str">
        <f>IFERROR(__xludf.DUMMYFUNCTION("split(E179,""+"")"),"Chocolate Mousse")</f>
        <v>Chocolate Mousse</v>
      </c>
      <c r="L179" s="14" t="str">
        <f>IFERROR(__xludf.DUMMYFUNCTION("""COMPUTED_VALUE"""),"3*Ram Gopal")</f>
        <v>3*Ram Gopal</v>
      </c>
      <c r="M179" s="14">
        <f>IFERROR(__xludf.DUMMYFUNCTION("SPLIT(L179,""*"")"),3.0)</f>
        <v>3</v>
      </c>
      <c r="N179" s="14" t="str">
        <f>IFERROR(__xludf.DUMMYFUNCTION("""COMPUTED_VALUE"""),"Ram Gopal")</f>
        <v>Ram Gopal</v>
      </c>
      <c r="O179" s="14" t="str">
        <f>IFERROR(__xludf.DUMMYFUNCTION("split(J179,""*"")"),"Cancelled")</f>
        <v>Cancelled</v>
      </c>
      <c r="P179" s="14" t="str">
        <f>IFERROR(__xludf.DUMMYFUNCTION("""COMPUTED_VALUE"""),"Delayed Delivery:Bad Weather Conditions ")</f>
        <v>Delayed Delivery:Bad Weather Conditions </v>
      </c>
      <c r="Q179" s="14" t="str">
        <f>IFERROR(__xludf.DUMMYFUNCTION("split(P179,"":"")"),"Delayed Delivery")</f>
        <v>Delayed Delivery</v>
      </c>
      <c r="R179" s="14" t="str">
        <f>IFERROR(__xludf.DUMMYFUNCTION("""COMPUTED_VALUE"""),"Bad Weather Conditions ")</f>
        <v>Bad Weather Conditions </v>
      </c>
      <c r="S179" s="14" t="str">
        <f t="shared" ref="S179:U179" si="361">trim(B179)</f>
        <v>ord_10178</v>
      </c>
      <c r="T179" s="14" t="str">
        <f t="shared" si="361"/>
        <v>Parth Goel</v>
      </c>
      <c r="U179" s="14" t="str">
        <f t="shared" si="361"/>
        <v>Juhu</v>
      </c>
      <c r="V179" s="14" t="str">
        <f t="shared" si="4"/>
        <v>Chocolate Mousse</v>
      </c>
      <c r="W179" s="14">
        <f t="shared" si="5"/>
        <v>3</v>
      </c>
      <c r="X179" s="14" t="str">
        <f t="shared" si="6"/>
        <v>Ram Gopal</v>
      </c>
      <c r="Y179" s="15">
        <f t="shared" si="7"/>
        <v>45095</v>
      </c>
      <c r="Z179" s="14" t="str">
        <f t="shared" si="8"/>
        <v>Credit Card</v>
      </c>
      <c r="AA179" s="14" t="str">
        <f t="shared" si="9"/>
        <v>Cancelled</v>
      </c>
      <c r="AB179" s="14" t="str">
        <f t="shared" ref="AB179:AC179" si="362">trim(Q179)</f>
        <v>Delayed Delivery</v>
      </c>
      <c r="AC179" s="14" t="str">
        <f t="shared" si="362"/>
        <v>Bad Weather Conditions</v>
      </c>
      <c r="AD179" s="8"/>
    </row>
    <row r="180">
      <c r="A180" s="14" t="str">
        <f>IFERROR(__xludf.DUMMYFUNCTION("""COMPUTED_VALUE"""),"//ord_10179//Siya Reddy//Juhu//Chicken Puff+5*Ramesh S/8/28/2023//COD//Delivered*On-time Delivery: Delivered on time")</f>
        <v>//ord_10179//Siya Reddy//Juhu//Chicken Puff+5*Ramesh S/8/28/2023//COD//Delivered*On-time Delivery: Delivered on time</v>
      </c>
      <c r="B180" s="14" t="str">
        <f>IFERROR(__xludf.DUMMYFUNCTION("split(A180,""//"")"),"ord_10179")</f>
        <v>ord_10179</v>
      </c>
      <c r="C180" s="14" t="str">
        <f>IFERROR(__xludf.DUMMYFUNCTION("""COMPUTED_VALUE"""),"Siya Reddy")</f>
        <v>Siya Reddy</v>
      </c>
      <c r="D180" s="14" t="str">
        <f>IFERROR(__xludf.DUMMYFUNCTION("""COMPUTED_VALUE"""),"Juhu")</f>
        <v>Juhu</v>
      </c>
      <c r="E180" s="14" t="str">
        <f>IFERROR(__xludf.DUMMYFUNCTION("""COMPUTED_VALUE"""),"Chicken Puff+5*Ramesh S")</f>
        <v>Chicken Puff+5*Ramesh S</v>
      </c>
      <c r="F180" s="14">
        <f>IFERROR(__xludf.DUMMYFUNCTION("""COMPUTED_VALUE"""),8.0)</f>
        <v>8</v>
      </c>
      <c r="G180" s="14">
        <f>IFERROR(__xludf.DUMMYFUNCTION("""COMPUTED_VALUE"""),28.0)</f>
        <v>28</v>
      </c>
      <c r="H180" s="14">
        <f>IFERROR(__xludf.DUMMYFUNCTION("""COMPUTED_VALUE"""),2023.0)</f>
        <v>2023</v>
      </c>
      <c r="I180" s="14" t="str">
        <f>IFERROR(__xludf.DUMMYFUNCTION("""COMPUTED_VALUE"""),"COD")</f>
        <v>COD</v>
      </c>
      <c r="J180" s="14" t="str">
        <f>IFERROR(__xludf.DUMMYFUNCTION("""COMPUTED_VALUE"""),"Delivered*On-time Delivery: Delivered on time")</f>
        <v>Delivered*On-time Delivery: Delivered on time</v>
      </c>
      <c r="K180" s="14" t="str">
        <f>IFERROR(__xludf.DUMMYFUNCTION("split(E180,""+"")"),"Chicken Puff")</f>
        <v>Chicken Puff</v>
      </c>
      <c r="L180" s="14" t="str">
        <f>IFERROR(__xludf.DUMMYFUNCTION("""COMPUTED_VALUE"""),"5*Ramesh S")</f>
        <v>5*Ramesh S</v>
      </c>
      <c r="M180" s="14">
        <f>IFERROR(__xludf.DUMMYFUNCTION("SPLIT(L180,""*"")"),5.0)</f>
        <v>5</v>
      </c>
      <c r="N180" s="14" t="str">
        <f>IFERROR(__xludf.DUMMYFUNCTION("""COMPUTED_VALUE"""),"Ramesh S")</f>
        <v>Ramesh S</v>
      </c>
      <c r="O180" s="14" t="str">
        <f>IFERROR(__xludf.DUMMYFUNCTION("split(J180,""*"")"),"Delivered")</f>
        <v>Delivered</v>
      </c>
      <c r="P180" s="14" t="str">
        <f>IFERROR(__xludf.DUMMYFUNCTION("""COMPUTED_VALUE"""),"On-time Delivery: Delivered on time")</f>
        <v>On-time Delivery: Delivered on time</v>
      </c>
      <c r="Q180" s="14" t="str">
        <f>IFERROR(__xludf.DUMMYFUNCTION("split(P180,"":"")"),"On-time Delivery")</f>
        <v>On-time Delivery</v>
      </c>
      <c r="R180" s="14" t="str">
        <f>IFERROR(__xludf.DUMMYFUNCTION("""COMPUTED_VALUE""")," Delivered on time")</f>
        <v> Delivered on time</v>
      </c>
      <c r="S180" s="14" t="str">
        <f t="shared" ref="S180:U180" si="363">trim(B180)</f>
        <v>ord_10179</v>
      </c>
      <c r="T180" s="14" t="str">
        <f t="shared" si="363"/>
        <v>Siya Reddy</v>
      </c>
      <c r="U180" s="14" t="str">
        <f t="shared" si="363"/>
        <v>Juhu</v>
      </c>
      <c r="V180" s="14" t="str">
        <f t="shared" si="4"/>
        <v>Chicken Puff</v>
      </c>
      <c r="W180" s="14">
        <f t="shared" si="5"/>
        <v>5</v>
      </c>
      <c r="X180" s="14" t="str">
        <f t="shared" si="6"/>
        <v>Ramesh S</v>
      </c>
      <c r="Y180" s="15">
        <f t="shared" si="7"/>
        <v>45166</v>
      </c>
      <c r="Z180" s="14" t="str">
        <f t="shared" si="8"/>
        <v>COD</v>
      </c>
      <c r="AA180" s="14" t="str">
        <f t="shared" si="9"/>
        <v>Delivered</v>
      </c>
      <c r="AB180" s="14" t="str">
        <f t="shared" ref="AB180:AC180" si="364">trim(Q180)</f>
        <v>On-time Delivery</v>
      </c>
      <c r="AC180" s="14" t="str">
        <f t="shared" si="364"/>
        <v>Delivered on time</v>
      </c>
      <c r="AD180" s="8"/>
    </row>
    <row r="181">
      <c r="A181" s="14" t="str">
        <f>IFERROR(__xludf.DUMMYFUNCTION("""COMPUTED_VALUE"""),"//ord_10180//Sanjay Nair//Dadar//Chocolate Mousse+5*Ramesh S/8/19/2023//Credit Card//Delivered*Quality of Items: Perfect condition")</f>
        <v>//ord_10180//Sanjay Nair//Dadar//Chocolate Mousse+5*Ramesh S/8/19/2023//Credit Card//Delivered*Quality of Items: Perfect condition</v>
      </c>
      <c r="B181" s="14" t="str">
        <f>IFERROR(__xludf.DUMMYFUNCTION("split(A181,""//"")"),"ord_10180")</f>
        <v>ord_10180</v>
      </c>
      <c r="C181" s="14" t="str">
        <f>IFERROR(__xludf.DUMMYFUNCTION("""COMPUTED_VALUE"""),"Sanjay Nair")</f>
        <v>Sanjay Nair</v>
      </c>
      <c r="D181" s="14" t="str">
        <f>IFERROR(__xludf.DUMMYFUNCTION("""COMPUTED_VALUE"""),"Dadar")</f>
        <v>Dadar</v>
      </c>
      <c r="E181" s="14" t="str">
        <f>IFERROR(__xludf.DUMMYFUNCTION("""COMPUTED_VALUE"""),"Chocolate Mousse+5*Ramesh S")</f>
        <v>Chocolate Mousse+5*Ramesh S</v>
      </c>
      <c r="F181" s="14">
        <f>IFERROR(__xludf.DUMMYFUNCTION("""COMPUTED_VALUE"""),8.0)</f>
        <v>8</v>
      </c>
      <c r="G181" s="14">
        <f>IFERROR(__xludf.DUMMYFUNCTION("""COMPUTED_VALUE"""),19.0)</f>
        <v>19</v>
      </c>
      <c r="H181" s="14">
        <f>IFERROR(__xludf.DUMMYFUNCTION("""COMPUTED_VALUE"""),2023.0)</f>
        <v>2023</v>
      </c>
      <c r="I181" s="14" t="str">
        <f>IFERROR(__xludf.DUMMYFUNCTION("""COMPUTED_VALUE"""),"Credit Card")</f>
        <v>Credit Card</v>
      </c>
      <c r="J181" s="14" t="str">
        <f>IFERROR(__xludf.DUMMYFUNCTION("""COMPUTED_VALUE"""),"Delivered*Quality of Items: Perfect condition")</f>
        <v>Delivered*Quality of Items: Perfect condition</v>
      </c>
      <c r="K181" s="14" t="str">
        <f>IFERROR(__xludf.DUMMYFUNCTION("split(E181,""+"")"),"Chocolate Mousse")</f>
        <v>Chocolate Mousse</v>
      </c>
      <c r="L181" s="14" t="str">
        <f>IFERROR(__xludf.DUMMYFUNCTION("""COMPUTED_VALUE"""),"5*Ramesh S")</f>
        <v>5*Ramesh S</v>
      </c>
      <c r="M181" s="14">
        <f>IFERROR(__xludf.DUMMYFUNCTION("SPLIT(L181,""*"")"),5.0)</f>
        <v>5</v>
      </c>
      <c r="N181" s="14" t="str">
        <f>IFERROR(__xludf.DUMMYFUNCTION("""COMPUTED_VALUE"""),"Ramesh S")</f>
        <v>Ramesh S</v>
      </c>
      <c r="O181" s="14" t="str">
        <f>IFERROR(__xludf.DUMMYFUNCTION("split(J181,""*"")"),"Delivered")</f>
        <v>Delivered</v>
      </c>
      <c r="P181" s="14" t="str">
        <f>IFERROR(__xludf.DUMMYFUNCTION("""COMPUTED_VALUE"""),"Quality of Items: Perfect condition")</f>
        <v>Quality of Items: Perfect condition</v>
      </c>
      <c r="Q181" s="14" t="str">
        <f>IFERROR(__xludf.DUMMYFUNCTION("split(P181,"":"")"),"Quality of Items")</f>
        <v>Quality of Items</v>
      </c>
      <c r="R181" s="14" t="str">
        <f>IFERROR(__xludf.DUMMYFUNCTION("""COMPUTED_VALUE""")," Perfect condition")</f>
        <v> Perfect condition</v>
      </c>
      <c r="S181" s="14" t="str">
        <f t="shared" ref="S181:U181" si="365">trim(B181)</f>
        <v>ord_10180</v>
      </c>
      <c r="T181" s="14" t="str">
        <f t="shared" si="365"/>
        <v>Sanjay Nair</v>
      </c>
      <c r="U181" s="14" t="str">
        <f t="shared" si="365"/>
        <v>Dadar</v>
      </c>
      <c r="V181" s="14" t="str">
        <f t="shared" si="4"/>
        <v>Chocolate Mousse</v>
      </c>
      <c r="W181" s="14">
        <f t="shared" si="5"/>
        <v>5</v>
      </c>
      <c r="X181" s="14" t="str">
        <f t="shared" si="6"/>
        <v>Ramesh S</v>
      </c>
      <c r="Y181" s="15">
        <f t="shared" si="7"/>
        <v>45157</v>
      </c>
      <c r="Z181" s="14" t="str">
        <f t="shared" si="8"/>
        <v>Credit Card</v>
      </c>
      <c r="AA181" s="14" t="str">
        <f t="shared" si="9"/>
        <v>Delivered</v>
      </c>
      <c r="AB181" s="14" t="str">
        <f t="shared" ref="AB181:AC181" si="366">trim(Q181)</f>
        <v>Quality of Items</v>
      </c>
      <c r="AC181" s="14" t="str">
        <f t="shared" si="366"/>
        <v>Perfect condition</v>
      </c>
      <c r="AD181" s="8"/>
    </row>
    <row r="182">
      <c r="A182" s="14" t="str">
        <f>IFERROR(__xludf.DUMMYFUNCTION("""COMPUTED_VALUE"""),"//ord_10181//Aarav Mehta//Andheri//Potato+1*Manju Ajay/12/21/2023//COD//Delivered*Packaging: Secure and intact")</f>
        <v>//ord_10181//Aarav Mehta//Andheri//Potato+1*Manju Ajay/12/21/2023//COD//Delivered*Packaging: Secure and intact</v>
      </c>
      <c r="B182" s="14" t="str">
        <f>IFERROR(__xludf.DUMMYFUNCTION("split(A182,""//"")"),"ord_10181")</f>
        <v>ord_10181</v>
      </c>
      <c r="C182" s="14" t="str">
        <f>IFERROR(__xludf.DUMMYFUNCTION("""COMPUTED_VALUE"""),"Aarav Mehta")</f>
        <v>Aarav Mehta</v>
      </c>
      <c r="D182" s="14" t="str">
        <f>IFERROR(__xludf.DUMMYFUNCTION("""COMPUTED_VALUE"""),"Andheri")</f>
        <v>Andheri</v>
      </c>
      <c r="E182" s="14" t="str">
        <f>IFERROR(__xludf.DUMMYFUNCTION("""COMPUTED_VALUE"""),"Potato+1*Manju Ajay")</f>
        <v>Potato+1*Manju Ajay</v>
      </c>
      <c r="F182" s="14">
        <f>IFERROR(__xludf.DUMMYFUNCTION("""COMPUTED_VALUE"""),12.0)</f>
        <v>12</v>
      </c>
      <c r="G182" s="14">
        <f>IFERROR(__xludf.DUMMYFUNCTION("""COMPUTED_VALUE"""),21.0)</f>
        <v>21</v>
      </c>
      <c r="H182" s="14">
        <f>IFERROR(__xludf.DUMMYFUNCTION("""COMPUTED_VALUE"""),2023.0)</f>
        <v>2023</v>
      </c>
      <c r="I182" s="14" t="str">
        <f>IFERROR(__xludf.DUMMYFUNCTION("""COMPUTED_VALUE"""),"COD")</f>
        <v>COD</v>
      </c>
      <c r="J182" s="14" t="str">
        <f>IFERROR(__xludf.DUMMYFUNCTION("""COMPUTED_VALUE"""),"Delivered*Packaging: Secure and intact")</f>
        <v>Delivered*Packaging: Secure and intact</v>
      </c>
      <c r="K182" s="14" t="str">
        <f>IFERROR(__xludf.DUMMYFUNCTION("split(E182,""+"")"),"Potato")</f>
        <v>Potato</v>
      </c>
      <c r="L182" s="14" t="str">
        <f>IFERROR(__xludf.DUMMYFUNCTION("""COMPUTED_VALUE"""),"1*Manju Ajay")</f>
        <v>1*Manju Ajay</v>
      </c>
      <c r="M182" s="14">
        <f>IFERROR(__xludf.DUMMYFUNCTION("SPLIT(L182,""*"")"),1.0)</f>
        <v>1</v>
      </c>
      <c r="N182" s="14" t="str">
        <f>IFERROR(__xludf.DUMMYFUNCTION("""COMPUTED_VALUE"""),"Manju Ajay")</f>
        <v>Manju Ajay</v>
      </c>
      <c r="O182" s="14" t="str">
        <f>IFERROR(__xludf.DUMMYFUNCTION("split(J182,""*"")"),"Delivered")</f>
        <v>Delivered</v>
      </c>
      <c r="P182" s="14" t="str">
        <f>IFERROR(__xludf.DUMMYFUNCTION("""COMPUTED_VALUE"""),"Packaging: Secure and intact")</f>
        <v>Packaging: Secure and intact</v>
      </c>
      <c r="Q182" s="14" t="str">
        <f>IFERROR(__xludf.DUMMYFUNCTION("split(P182,"":"")"),"Packaging")</f>
        <v>Packaging</v>
      </c>
      <c r="R182" s="14" t="str">
        <f>IFERROR(__xludf.DUMMYFUNCTION("""COMPUTED_VALUE""")," Secure and intact")</f>
        <v> Secure and intact</v>
      </c>
      <c r="S182" s="14" t="str">
        <f t="shared" ref="S182:U182" si="367">trim(B182)</f>
        <v>ord_10181</v>
      </c>
      <c r="T182" s="14" t="str">
        <f t="shared" si="367"/>
        <v>Aarav Mehta</v>
      </c>
      <c r="U182" s="14" t="str">
        <f t="shared" si="367"/>
        <v>Andheri</v>
      </c>
      <c r="V182" s="14" t="str">
        <f t="shared" si="4"/>
        <v>Potato</v>
      </c>
      <c r="W182" s="14">
        <f t="shared" si="5"/>
        <v>1</v>
      </c>
      <c r="X182" s="14" t="str">
        <f t="shared" si="6"/>
        <v>Manju Ajay</v>
      </c>
      <c r="Y182" s="15">
        <f t="shared" si="7"/>
        <v>45281</v>
      </c>
      <c r="Z182" s="14" t="str">
        <f t="shared" si="8"/>
        <v>COD</v>
      </c>
      <c r="AA182" s="14" t="str">
        <f t="shared" si="9"/>
        <v>Delivered</v>
      </c>
      <c r="AB182" s="14" t="str">
        <f t="shared" ref="AB182:AC182" si="368">trim(Q182)</f>
        <v>Packaging</v>
      </c>
      <c r="AC182" s="14" t="str">
        <f t="shared" si="368"/>
        <v>Secure and intact</v>
      </c>
      <c r="AD182" s="8"/>
    </row>
    <row r="183">
      <c r="A183" s="14" t="str">
        <f>IFERROR(__xludf.DUMMYFUNCTION("""COMPUTED_VALUE"""),"//ord_10182//Mohit Malhotra//Lower Parel//Icecream+2*Kiran Mehta/10/23/2023//Credit Card//Delivered*Satisfied with the Delivery: Timely and quality")</f>
        <v>//ord_10182//Mohit Malhotra//Lower Parel//Icecream+2*Kiran Mehta/10/23/2023//Credit Card//Delivered*Satisfied with the Delivery: Timely and quality</v>
      </c>
      <c r="B183" s="14" t="str">
        <f>IFERROR(__xludf.DUMMYFUNCTION("split(A183,""//"")"),"ord_10182")</f>
        <v>ord_10182</v>
      </c>
      <c r="C183" s="14" t="str">
        <f>IFERROR(__xludf.DUMMYFUNCTION("""COMPUTED_VALUE"""),"Mohit Malhotra")</f>
        <v>Mohit Malhotra</v>
      </c>
      <c r="D183" s="14" t="str">
        <f>IFERROR(__xludf.DUMMYFUNCTION("""COMPUTED_VALUE"""),"Lower Parel")</f>
        <v>Lower Parel</v>
      </c>
      <c r="E183" s="14" t="str">
        <f>IFERROR(__xludf.DUMMYFUNCTION("""COMPUTED_VALUE"""),"Icecream+2*Kiran Mehta")</f>
        <v>Icecream+2*Kiran Mehta</v>
      </c>
      <c r="F183" s="14">
        <f>IFERROR(__xludf.DUMMYFUNCTION("""COMPUTED_VALUE"""),10.0)</f>
        <v>10</v>
      </c>
      <c r="G183" s="14">
        <f>IFERROR(__xludf.DUMMYFUNCTION("""COMPUTED_VALUE"""),23.0)</f>
        <v>23</v>
      </c>
      <c r="H183" s="14">
        <f>IFERROR(__xludf.DUMMYFUNCTION("""COMPUTED_VALUE"""),2023.0)</f>
        <v>2023</v>
      </c>
      <c r="I183" s="14" t="str">
        <f>IFERROR(__xludf.DUMMYFUNCTION("""COMPUTED_VALUE"""),"Credit Card")</f>
        <v>Credit Card</v>
      </c>
      <c r="J183" s="14" t="str">
        <f>IFERROR(__xludf.DUMMYFUNCTION("""COMPUTED_VALUE"""),"Delivered*Satisfied with the Delivery: Timely and quality")</f>
        <v>Delivered*Satisfied with the Delivery: Timely and quality</v>
      </c>
      <c r="K183" s="14" t="str">
        <f>IFERROR(__xludf.DUMMYFUNCTION("split(E183,""+"")"),"Icecream")</f>
        <v>Icecream</v>
      </c>
      <c r="L183" s="14" t="str">
        <f>IFERROR(__xludf.DUMMYFUNCTION("""COMPUTED_VALUE"""),"2*Kiran Mehta")</f>
        <v>2*Kiran Mehta</v>
      </c>
      <c r="M183" s="14">
        <f>IFERROR(__xludf.DUMMYFUNCTION("SPLIT(L183,""*"")"),2.0)</f>
        <v>2</v>
      </c>
      <c r="N183" s="14" t="str">
        <f>IFERROR(__xludf.DUMMYFUNCTION("""COMPUTED_VALUE"""),"Kiran Mehta")</f>
        <v>Kiran Mehta</v>
      </c>
      <c r="O183" s="14" t="str">
        <f>IFERROR(__xludf.DUMMYFUNCTION("split(J183,""*"")"),"Delivered")</f>
        <v>Delivered</v>
      </c>
      <c r="P183" s="14" t="str">
        <f>IFERROR(__xludf.DUMMYFUNCTION("""COMPUTED_VALUE"""),"Satisfied with the Delivery: Timely and quality")</f>
        <v>Satisfied with the Delivery: Timely and quality</v>
      </c>
      <c r="Q183" s="14" t="str">
        <f>IFERROR(__xludf.DUMMYFUNCTION("split(P183,"":"")"),"Satisfied with the Delivery")</f>
        <v>Satisfied with the Delivery</v>
      </c>
      <c r="R183" s="14" t="str">
        <f>IFERROR(__xludf.DUMMYFUNCTION("""COMPUTED_VALUE""")," Timely and quality")</f>
        <v> Timely and quality</v>
      </c>
      <c r="S183" s="14" t="str">
        <f t="shared" ref="S183:U183" si="369">trim(B183)</f>
        <v>ord_10182</v>
      </c>
      <c r="T183" s="14" t="str">
        <f t="shared" si="369"/>
        <v>Mohit Malhotra</v>
      </c>
      <c r="U183" s="14" t="str">
        <f t="shared" si="369"/>
        <v>Lower Parel</v>
      </c>
      <c r="V183" s="14" t="str">
        <f t="shared" si="4"/>
        <v>Icecream</v>
      </c>
      <c r="W183" s="14">
        <f t="shared" si="5"/>
        <v>2</v>
      </c>
      <c r="X183" s="14" t="str">
        <f t="shared" si="6"/>
        <v>Kiran Mehta</v>
      </c>
      <c r="Y183" s="15">
        <f t="shared" si="7"/>
        <v>45222</v>
      </c>
      <c r="Z183" s="14" t="str">
        <f t="shared" si="8"/>
        <v>Credit Card</v>
      </c>
      <c r="AA183" s="14" t="str">
        <f t="shared" si="9"/>
        <v>Delivered</v>
      </c>
      <c r="AB183" s="14" t="str">
        <f t="shared" ref="AB183:AC183" si="370">trim(Q183)</f>
        <v>Satisfied with the Delivery</v>
      </c>
      <c r="AC183" s="14" t="str">
        <f t="shared" si="370"/>
        <v>Timely and quality</v>
      </c>
      <c r="AD183" s="8"/>
    </row>
    <row r="184">
      <c r="A184" s="14" t="str">
        <f>IFERROR(__xludf.DUMMYFUNCTION("""COMPUTED_VALUE"""),"//ord_10183//Pallavi Ghosh//Bandra//Tomato+1*Not Assigned/10/30/2023//UPI//Cancelled*Payment Issues")</f>
        <v>//ord_10183//Pallavi Ghosh//Bandra//Tomato+1*Not Assigned/10/30/2023//UPI//Cancelled*Payment Issues</v>
      </c>
      <c r="B184" s="14" t="str">
        <f>IFERROR(__xludf.DUMMYFUNCTION("split(A184,""//"")"),"ord_10183")</f>
        <v>ord_10183</v>
      </c>
      <c r="C184" s="14" t="str">
        <f>IFERROR(__xludf.DUMMYFUNCTION("""COMPUTED_VALUE"""),"Pallavi Ghosh")</f>
        <v>Pallavi Ghosh</v>
      </c>
      <c r="D184" s="14" t="str">
        <f>IFERROR(__xludf.DUMMYFUNCTION("""COMPUTED_VALUE"""),"Bandra")</f>
        <v>Bandra</v>
      </c>
      <c r="E184" s="14" t="str">
        <f>IFERROR(__xludf.DUMMYFUNCTION("""COMPUTED_VALUE"""),"Tomato+1*Not Assigned")</f>
        <v>Tomato+1*Not Assigned</v>
      </c>
      <c r="F184" s="14">
        <f>IFERROR(__xludf.DUMMYFUNCTION("""COMPUTED_VALUE"""),10.0)</f>
        <v>10</v>
      </c>
      <c r="G184" s="14">
        <f>IFERROR(__xludf.DUMMYFUNCTION("""COMPUTED_VALUE"""),30.0)</f>
        <v>30</v>
      </c>
      <c r="H184" s="14">
        <f>IFERROR(__xludf.DUMMYFUNCTION("""COMPUTED_VALUE"""),2023.0)</f>
        <v>2023</v>
      </c>
      <c r="I184" s="14" t="str">
        <f>IFERROR(__xludf.DUMMYFUNCTION("""COMPUTED_VALUE"""),"UPI")</f>
        <v>UPI</v>
      </c>
      <c r="J184" s="14" t="str">
        <f>IFERROR(__xludf.DUMMYFUNCTION("""COMPUTED_VALUE"""),"Cancelled*Payment Issues")</f>
        <v>Cancelled*Payment Issues</v>
      </c>
      <c r="K184" s="14" t="str">
        <f>IFERROR(__xludf.DUMMYFUNCTION("split(E184,""+"")"),"Tomato")</f>
        <v>Tomato</v>
      </c>
      <c r="L184" s="14" t="str">
        <f>IFERROR(__xludf.DUMMYFUNCTION("""COMPUTED_VALUE"""),"1*Not Assigned")</f>
        <v>1*Not Assigned</v>
      </c>
      <c r="M184" s="14">
        <f>IFERROR(__xludf.DUMMYFUNCTION("SPLIT(L184,""*"")"),1.0)</f>
        <v>1</v>
      </c>
      <c r="N184" s="14" t="str">
        <f>IFERROR(__xludf.DUMMYFUNCTION("""COMPUTED_VALUE"""),"Not Assigned")</f>
        <v>Not Assigned</v>
      </c>
      <c r="O184" s="14" t="str">
        <f>IFERROR(__xludf.DUMMYFUNCTION("split(J184,""*"")"),"Cancelled")</f>
        <v>Cancelled</v>
      </c>
      <c r="P184" s="14" t="str">
        <f>IFERROR(__xludf.DUMMYFUNCTION("""COMPUTED_VALUE"""),"Payment Issues")</f>
        <v>Payment Issues</v>
      </c>
      <c r="Q184" s="14" t="str">
        <f>IFERROR(__xludf.DUMMYFUNCTION("split(P184,"":"")"),"Payment Issues")</f>
        <v>Payment Issues</v>
      </c>
      <c r="R184" s="14"/>
      <c r="S184" s="14" t="str">
        <f t="shared" ref="S184:U184" si="371">trim(B184)</f>
        <v>ord_10183</v>
      </c>
      <c r="T184" s="14" t="str">
        <f t="shared" si="371"/>
        <v>Pallavi Ghosh</v>
      </c>
      <c r="U184" s="14" t="str">
        <f t="shared" si="371"/>
        <v>Bandra</v>
      </c>
      <c r="V184" s="14" t="str">
        <f t="shared" si="4"/>
        <v>Tomato</v>
      </c>
      <c r="W184" s="14">
        <f t="shared" si="5"/>
        <v>1</v>
      </c>
      <c r="X184" s="14" t="str">
        <f t="shared" si="6"/>
        <v>Not Assigned</v>
      </c>
      <c r="Y184" s="15">
        <f t="shared" si="7"/>
        <v>45229</v>
      </c>
      <c r="Z184" s="14" t="str">
        <f t="shared" si="8"/>
        <v>UPI</v>
      </c>
      <c r="AA184" s="14" t="str">
        <f t="shared" si="9"/>
        <v>Cancelled</v>
      </c>
      <c r="AB184" s="14" t="str">
        <f t="shared" ref="AB184:AC184" si="372">trim(Q184)</f>
        <v>Payment Issues</v>
      </c>
      <c r="AC184" s="14" t="str">
        <f t="shared" si="372"/>
        <v/>
      </c>
      <c r="AD184" s="8"/>
    </row>
    <row r="185">
      <c r="A185" s="14" t="str">
        <f>IFERROR(__xludf.DUMMYFUNCTION("""COMPUTED_VALUE"""),"//ord_10184//Nitin Sehgal//Bandra//Chilli Cheese Toast+3*Vivek Kumar/11/17/2023//Online Payment//Delivered*Customer Service: Seamless and easy")</f>
        <v>//ord_10184//Nitin Sehgal//Bandra//Chilli Cheese Toast+3*Vivek Kumar/11/17/2023//Online Payment//Delivered*Customer Service: Seamless and easy</v>
      </c>
      <c r="B185" s="14" t="str">
        <f>IFERROR(__xludf.DUMMYFUNCTION("split(A185,""//"")"),"ord_10184")</f>
        <v>ord_10184</v>
      </c>
      <c r="C185" s="14" t="str">
        <f>IFERROR(__xludf.DUMMYFUNCTION("""COMPUTED_VALUE"""),"Nitin Sehgal")</f>
        <v>Nitin Sehgal</v>
      </c>
      <c r="D185" s="14" t="str">
        <f>IFERROR(__xludf.DUMMYFUNCTION("""COMPUTED_VALUE"""),"Bandra")</f>
        <v>Bandra</v>
      </c>
      <c r="E185" s="14" t="str">
        <f>IFERROR(__xludf.DUMMYFUNCTION("""COMPUTED_VALUE"""),"Chilli Cheese Toast+3*Vivek Kumar")</f>
        <v>Chilli Cheese Toast+3*Vivek Kumar</v>
      </c>
      <c r="F185" s="14">
        <f>IFERROR(__xludf.DUMMYFUNCTION("""COMPUTED_VALUE"""),11.0)</f>
        <v>11</v>
      </c>
      <c r="G185" s="14">
        <f>IFERROR(__xludf.DUMMYFUNCTION("""COMPUTED_VALUE"""),17.0)</f>
        <v>17</v>
      </c>
      <c r="H185" s="14">
        <f>IFERROR(__xludf.DUMMYFUNCTION("""COMPUTED_VALUE"""),2023.0)</f>
        <v>2023</v>
      </c>
      <c r="I185" s="14" t="str">
        <f>IFERROR(__xludf.DUMMYFUNCTION("""COMPUTED_VALUE"""),"Online Payment")</f>
        <v>Online Payment</v>
      </c>
      <c r="J185" s="14" t="str">
        <f>IFERROR(__xludf.DUMMYFUNCTION("""COMPUTED_VALUE"""),"Delivered*Customer Service: Seamless and easy")</f>
        <v>Delivered*Customer Service: Seamless and easy</v>
      </c>
      <c r="K185" s="14" t="str">
        <f>IFERROR(__xludf.DUMMYFUNCTION("split(E185,""+"")"),"Chilli Cheese Toast")</f>
        <v>Chilli Cheese Toast</v>
      </c>
      <c r="L185" s="14" t="str">
        <f>IFERROR(__xludf.DUMMYFUNCTION("""COMPUTED_VALUE"""),"3*Vivek Kumar")</f>
        <v>3*Vivek Kumar</v>
      </c>
      <c r="M185" s="14">
        <f>IFERROR(__xludf.DUMMYFUNCTION("SPLIT(L185,""*"")"),3.0)</f>
        <v>3</v>
      </c>
      <c r="N185" s="14" t="str">
        <f>IFERROR(__xludf.DUMMYFUNCTION("""COMPUTED_VALUE"""),"Vivek Kumar")</f>
        <v>Vivek Kumar</v>
      </c>
      <c r="O185" s="14" t="str">
        <f>IFERROR(__xludf.DUMMYFUNCTION("split(J185,""*"")"),"Delivered")</f>
        <v>Delivered</v>
      </c>
      <c r="P185" s="14" t="str">
        <f>IFERROR(__xludf.DUMMYFUNCTION("""COMPUTED_VALUE"""),"Customer Service: Seamless and easy")</f>
        <v>Customer Service: Seamless and easy</v>
      </c>
      <c r="Q185" s="14" t="str">
        <f>IFERROR(__xludf.DUMMYFUNCTION("split(P185,"":"")"),"Customer Service")</f>
        <v>Customer Service</v>
      </c>
      <c r="R185" s="14" t="str">
        <f>IFERROR(__xludf.DUMMYFUNCTION("""COMPUTED_VALUE""")," Seamless and easy")</f>
        <v> Seamless and easy</v>
      </c>
      <c r="S185" s="14" t="str">
        <f t="shared" ref="S185:U185" si="373">trim(B185)</f>
        <v>ord_10184</v>
      </c>
      <c r="T185" s="14" t="str">
        <f t="shared" si="373"/>
        <v>Nitin Sehgal</v>
      </c>
      <c r="U185" s="14" t="str">
        <f t="shared" si="373"/>
        <v>Bandra</v>
      </c>
      <c r="V185" s="14" t="str">
        <f t="shared" si="4"/>
        <v>Chilli Cheese Toast</v>
      </c>
      <c r="W185" s="14">
        <f t="shared" si="5"/>
        <v>3</v>
      </c>
      <c r="X185" s="14" t="str">
        <f t="shared" si="6"/>
        <v>Vivek Kumar</v>
      </c>
      <c r="Y185" s="15">
        <f t="shared" si="7"/>
        <v>45247</v>
      </c>
      <c r="Z185" s="14" t="str">
        <f t="shared" si="8"/>
        <v>Online Payment</v>
      </c>
      <c r="AA185" s="14" t="str">
        <f t="shared" si="9"/>
        <v>Delivered</v>
      </c>
      <c r="AB185" s="14" t="str">
        <f t="shared" ref="AB185:AC185" si="374">trim(Q185)</f>
        <v>Customer Service</v>
      </c>
      <c r="AC185" s="14" t="str">
        <f t="shared" si="374"/>
        <v>Seamless and easy</v>
      </c>
      <c r="AD185" s="8"/>
    </row>
    <row r="186">
      <c r="A186" s="14" t="str">
        <f>IFERROR(__xludf.DUMMYFUNCTION("""COMPUTED_VALUE"""),"//ord_10185//Arvind Kulkarni//Juhu//Chilli Cheese Toast+5*Not Assigned/12/8/2023//Credit Card//Cancelled*Out of Stock")</f>
        <v>//ord_10185//Arvind Kulkarni//Juhu//Chilli Cheese Toast+5*Not Assigned/12/8/2023//Credit Card//Cancelled*Out of Stock</v>
      </c>
      <c r="B186" s="14" t="str">
        <f>IFERROR(__xludf.DUMMYFUNCTION("split(A186,""//"")"),"ord_10185")</f>
        <v>ord_10185</v>
      </c>
      <c r="C186" s="14" t="str">
        <f>IFERROR(__xludf.DUMMYFUNCTION("""COMPUTED_VALUE"""),"Arvind Kulkarni")</f>
        <v>Arvind Kulkarni</v>
      </c>
      <c r="D186" s="14" t="str">
        <f>IFERROR(__xludf.DUMMYFUNCTION("""COMPUTED_VALUE"""),"Juhu")</f>
        <v>Juhu</v>
      </c>
      <c r="E186" s="14" t="str">
        <f>IFERROR(__xludf.DUMMYFUNCTION("""COMPUTED_VALUE"""),"Chilli Cheese Toast+5*Not Assigned")</f>
        <v>Chilli Cheese Toast+5*Not Assigned</v>
      </c>
      <c r="F186" s="14">
        <f>IFERROR(__xludf.DUMMYFUNCTION("""COMPUTED_VALUE"""),12.0)</f>
        <v>12</v>
      </c>
      <c r="G186" s="14">
        <f>IFERROR(__xludf.DUMMYFUNCTION("""COMPUTED_VALUE"""),8.0)</f>
        <v>8</v>
      </c>
      <c r="H186" s="14">
        <f>IFERROR(__xludf.DUMMYFUNCTION("""COMPUTED_VALUE"""),2023.0)</f>
        <v>2023</v>
      </c>
      <c r="I186" s="14" t="str">
        <f>IFERROR(__xludf.DUMMYFUNCTION("""COMPUTED_VALUE"""),"Credit Card")</f>
        <v>Credit Card</v>
      </c>
      <c r="J186" s="14" t="str">
        <f>IFERROR(__xludf.DUMMYFUNCTION("""COMPUTED_VALUE"""),"Cancelled*Out of Stock")</f>
        <v>Cancelled*Out of Stock</v>
      </c>
      <c r="K186" s="14" t="str">
        <f>IFERROR(__xludf.DUMMYFUNCTION("split(E186,""+"")"),"Chilli Cheese Toast")</f>
        <v>Chilli Cheese Toast</v>
      </c>
      <c r="L186" s="14" t="str">
        <f>IFERROR(__xludf.DUMMYFUNCTION("""COMPUTED_VALUE"""),"5*Not Assigned")</f>
        <v>5*Not Assigned</v>
      </c>
      <c r="M186" s="14">
        <f>IFERROR(__xludf.DUMMYFUNCTION("SPLIT(L186,""*"")"),5.0)</f>
        <v>5</v>
      </c>
      <c r="N186" s="14" t="str">
        <f>IFERROR(__xludf.DUMMYFUNCTION("""COMPUTED_VALUE"""),"Not Assigned")</f>
        <v>Not Assigned</v>
      </c>
      <c r="O186" s="14" t="str">
        <f>IFERROR(__xludf.DUMMYFUNCTION("split(J186,""*"")"),"Cancelled")</f>
        <v>Cancelled</v>
      </c>
      <c r="P186" s="14" t="str">
        <f>IFERROR(__xludf.DUMMYFUNCTION("""COMPUTED_VALUE"""),"Out of Stock")</f>
        <v>Out of Stock</v>
      </c>
      <c r="Q186" s="14" t="str">
        <f>IFERROR(__xludf.DUMMYFUNCTION("split(P186,"":"")"),"Out of Stock")</f>
        <v>Out of Stock</v>
      </c>
      <c r="R186" s="14"/>
      <c r="S186" s="14" t="str">
        <f t="shared" ref="S186:U186" si="375">trim(B186)</f>
        <v>ord_10185</v>
      </c>
      <c r="T186" s="14" t="str">
        <f t="shared" si="375"/>
        <v>Arvind Kulkarni</v>
      </c>
      <c r="U186" s="14" t="str">
        <f t="shared" si="375"/>
        <v>Juhu</v>
      </c>
      <c r="V186" s="14" t="str">
        <f t="shared" si="4"/>
        <v>Chilli Cheese Toast</v>
      </c>
      <c r="W186" s="14">
        <f t="shared" si="5"/>
        <v>5</v>
      </c>
      <c r="X186" s="14" t="str">
        <f t="shared" si="6"/>
        <v>Not Assigned</v>
      </c>
      <c r="Y186" s="15">
        <f t="shared" si="7"/>
        <v>45268</v>
      </c>
      <c r="Z186" s="14" t="str">
        <f t="shared" si="8"/>
        <v>Credit Card</v>
      </c>
      <c r="AA186" s="14" t="str">
        <f t="shared" si="9"/>
        <v>Cancelled</v>
      </c>
      <c r="AB186" s="14" t="str">
        <f t="shared" ref="AB186:AC186" si="376">trim(Q186)</f>
        <v>Out of Stock</v>
      </c>
      <c r="AC186" s="14" t="str">
        <f t="shared" si="376"/>
        <v/>
      </c>
      <c r="AD186" s="8"/>
    </row>
    <row r="187">
      <c r="A187" s="14" t="str">
        <f>IFERROR(__xludf.DUMMYFUNCTION("""COMPUTED_VALUE"""),"//ord_10186//Tanishq Bansal//Powai//Chilli Cheese Toast+1*Not Assigned/9/13/2023//Credit Card//Cancelled*High Delivery Fees")</f>
        <v>//ord_10186//Tanishq Bansal//Powai//Chilli Cheese Toast+1*Not Assigned/9/13/2023//Credit Card//Cancelled*High Delivery Fees</v>
      </c>
      <c r="B187" s="14" t="str">
        <f>IFERROR(__xludf.DUMMYFUNCTION("split(A187,""//"")"),"ord_10186")</f>
        <v>ord_10186</v>
      </c>
      <c r="C187" s="14" t="str">
        <f>IFERROR(__xludf.DUMMYFUNCTION("""COMPUTED_VALUE"""),"Tanishq Bansal")</f>
        <v>Tanishq Bansal</v>
      </c>
      <c r="D187" s="14" t="str">
        <f>IFERROR(__xludf.DUMMYFUNCTION("""COMPUTED_VALUE"""),"Powai")</f>
        <v>Powai</v>
      </c>
      <c r="E187" s="14" t="str">
        <f>IFERROR(__xludf.DUMMYFUNCTION("""COMPUTED_VALUE"""),"Chilli Cheese Toast+1*Not Assigned")</f>
        <v>Chilli Cheese Toast+1*Not Assigned</v>
      </c>
      <c r="F187" s="14">
        <f>IFERROR(__xludf.DUMMYFUNCTION("""COMPUTED_VALUE"""),9.0)</f>
        <v>9</v>
      </c>
      <c r="G187" s="14">
        <f>IFERROR(__xludf.DUMMYFUNCTION("""COMPUTED_VALUE"""),13.0)</f>
        <v>13</v>
      </c>
      <c r="H187" s="14">
        <f>IFERROR(__xludf.DUMMYFUNCTION("""COMPUTED_VALUE"""),2023.0)</f>
        <v>2023</v>
      </c>
      <c r="I187" s="14" t="str">
        <f>IFERROR(__xludf.DUMMYFUNCTION("""COMPUTED_VALUE"""),"Credit Card")</f>
        <v>Credit Card</v>
      </c>
      <c r="J187" s="14" t="str">
        <f>IFERROR(__xludf.DUMMYFUNCTION("""COMPUTED_VALUE"""),"Cancelled*High Delivery Fees")</f>
        <v>Cancelled*High Delivery Fees</v>
      </c>
      <c r="K187" s="14" t="str">
        <f>IFERROR(__xludf.DUMMYFUNCTION("split(E187,""+"")"),"Chilli Cheese Toast")</f>
        <v>Chilli Cheese Toast</v>
      </c>
      <c r="L187" s="14" t="str">
        <f>IFERROR(__xludf.DUMMYFUNCTION("""COMPUTED_VALUE"""),"1*Not Assigned")</f>
        <v>1*Not Assigned</v>
      </c>
      <c r="M187" s="14">
        <f>IFERROR(__xludf.DUMMYFUNCTION("SPLIT(L187,""*"")"),1.0)</f>
        <v>1</v>
      </c>
      <c r="N187" s="14" t="str">
        <f>IFERROR(__xludf.DUMMYFUNCTION("""COMPUTED_VALUE"""),"Not Assigned")</f>
        <v>Not Assigned</v>
      </c>
      <c r="O187" s="14" t="str">
        <f>IFERROR(__xludf.DUMMYFUNCTION("split(J187,""*"")"),"Cancelled")</f>
        <v>Cancelled</v>
      </c>
      <c r="P187" s="14" t="str">
        <f>IFERROR(__xludf.DUMMYFUNCTION("""COMPUTED_VALUE"""),"High Delivery Fees")</f>
        <v>High Delivery Fees</v>
      </c>
      <c r="Q187" s="14" t="str">
        <f>IFERROR(__xludf.DUMMYFUNCTION("split(P187,"":"")"),"High Delivery Fees")</f>
        <v>High Delivery Fees</v>
      </c>
      <c r="R187" s="14"/>
      <c r="S187" s="14" t="str">
        <f t="shared" ref="S187:U187" si="377">trim(B187)</f>
        <v>ord_10186</v>
      </c>
      <c r="T187" s="14" t="str">
        <f t="shared" si="377"/>
        <v>Tanishq Bansal</v>
      </c>
      <c r="U187" s="14" t="str">
        <f t="shared" si="377"/>
        <v>Powai</v>
      </c>
      <c r="V187" s="14" t="str">
        <f t="shared" si="4"/>
        <v>Chilli Cheese Toast</v>
      </c>
      <c r="W187" s="14">
        <f t="shared" si="5"/>
        <v>1</v>
      </c>
      <c r="X187" s="14" t="str">
        <f t="shared" si="6"/>
        <v>Not Assigned</v>
      </c>
      <c r="Y187" s="15">
        <f t="shared" si="7"/>
        <v>45182</v>
      </c>
      <c r="Z187" s="14" t="str">
        <f t="shared" si="8"/>
        <v>Credit Card</v>
      </c>
      <c r="AA187" s="14" t="str">
        <f t="shared" si="9"/>
        <v>Cancelled</v>
      </c>
      <c r="AB187" s="14" t="str">
        <f t="shared" ref="AB187:AC187" si="378">trim(Q187)</f>
        <v>High Delivery Fees</v>
      </c>
      <c r="AC187" s="14" t="str">
        <f t="shared" si="378"/>
        <v/>
      </c>
      <c r="AD187" s="8"/>
    </row>
    <row r="188">
      <c r="A188" s="14" t="str">
        <f>IFERROR(__xludf.DUMMYFUNCTION("""COMPUTED_VALUE"""),"//ord_10187//Mohit Malhotra//Lower Parel//Veg Puff+3*Neha Shah/9/13/2023//Credit Card//Cancelled*Delayed Delivery:Heavy Traffic")</f>
        <v>//ord_10187//Mohit Malhotra//Lower Parel//Veg Puff+3*Neha Shah/9/13/2023//Credit Card//Cancelled*Delayed Delivery:Heavy Traffic</v>
      </c>
      <c r="B188" s="14" t="str">
        <f>IFERROR(__xludf.DUMMYFUNCTION("split(A188,""//"")"),"ord_10187")</f>
        <v>ord_10187</v>
      </c>
      <c r="C188" s="14" t="str">
        <f>IFERROR(__xludf.DUMMYFUNCTION("""COMPUTED_VALUE"""),"Mohit Malhotra")</f>
        <v>Mohit Malhotra</v>
      </c>
      <c r="D188" s="14" t="str">
        <f>IFERROR(__xludf.DUMMYFUNCTION("""COMPUTED_VALUE"""),"Lower Parel")</f>
        <v>Lower Parel</v>
      </c>
      <c r="E188" s="14" t="str">
        <f>IFERROR(__xludf.DUMMYFUNCTION("""COMPUTED_VALUE"""),"Veg Puff+3*Neha Shah")</f>
        <v>Veg Puff+3*Neha Shah</v>
      </c>
      <c r="F188" s="14">
        <f>IFERROR(__xludf.DUMMYFUNCTION("""COMPUTED_VALUE"""),9.0)</f>
        <v>9</v>
      </c>
      <c r="G188" s="14">
        <f>IFERROR(__xludf.DUMMYFUNCTION("""COMPUTED_VALUE"""),13.0)</f>
        <v>13</v>
      </c>
      <c r="H188" s="14">
        <f>IFERROR(__xludf.DUMMYFUNCTION("""COMPUTED_VALUE"""),2023.0)</f>
        <v>2023</v>
      </c>
      <c r="I188" s="14" t="str">
        <f>IFERROR(__xludf.DUMMYFUNCTION("""COMPUTED_VALUE"""),"Credit Card")</f>
        <v>Credit Card</v>
      </c>
      <c r="J188" s="14" t="str">
        <f>IFERROR(__xludf.DUMMYFUNCTION("""COMPUTED_VALUE"""),"Cancelled*Delayed Delivery:Heavy Traffic")</f>
        <v>Cancelled*Delayed Delivery:Heavy Traffic</v>
      </c>
      <c r="K188" s="14" t="str">
        <f>IFERROR(__xludf.DUMMYFUNCTION("split(E188,""+"")"),"Veg Puff")</f>
        <v>Veg Puff</v>
      </c>
      <c r="L188" s="14" t="str">
        <f>IFERROR(__xludf.DUMMYFUNCTION("""COMPUTED_VALUE"""),"3*Neha Shah")</f>
        <v>3*Neha Shah</v>
      </c>
      <c r="M188" s="14">
        <f>IFERROR(__xludf.DUMMYFUNCTION("SPLIT(L188,""*"")"),3.0)</f>
        <v>3</v>
      </c>
      <c r="N188" s="14" t="str">
        <f>IFERROR(__xludf.DUMMYFUNCTION("""COMPUTED_VALUE"""),"Neha Shah")</f>
        <v>Neha Shah</v>
      </c>
      <c r="O188" s="14" t="str">
        <f>IFERROR(__xludf.DUMMYFUNCTION("split(J188,""*"")"),"Cancelled")</f>
        <v>Cancelled</v>
      </c>
      <c r="P188" s="14" t="str">
        <f>IFERROR(__xludf.DUMMYFUNCTION("""COMPUTED_VALUE"""),"Delayed Delivery:Heavy Traffic")</f>
        <v>Delayed Delivery:Heavy Traffic</v>
      </c>
      <c r="Q188" s="14" t="str">
        <f>IFERROR(__xludf.DUMMYFUNCTION("split(P188,"":"")"),"Delayed Delivery")</f>
        <v>Delayed Delivery</v>
      </c>
      <c r="R188" s="14" t="str">
        <f>IFERROR(__xludf.DUMMYFUNCTION("""COMPUTED_VALUE"""),"Heavy Traffic")</f>
        <v>Heavy Traffic</v>
      </c>
      <c r="S188" s="14" t="str">
        <f t="shared" ref="S188:U188" si="379">trim(B188)</f>
        <v>ord_10187</v>
      </c>
      <c r="T188" s="14" t="str">
        <f t="shared" si="379"/>
        <v>Mohit Malhotra</v>
      </c>
      <c r="U188" s="14" t="str">
        <f t="shared" si="379"/>
        <v>Lower Parel</v>
      </c>
      <c r="V188" s="14" t="str">
        <f t="shared" si="4"/>
        <v>Veg Puff</v>
      </c>
      <c r="W188" s="14">
        <f t="shared" si="5"/>
        <v>3</v>
      </c>
      <c r="X188" s="14" t="str">
        <f t="shared" si="6"/>
        <v>Neha Shah</v>
      </c>
      <c r="Y188" s="15">
        <f t="shared" si="7"/>
        <v>45182</v>
      </c>
      <c r="Z188" s="14" t="str">
        <f t="shared" si="8"/>
        <v>Credit Card</v>
      </c>
      <c r="AA188" s="14" t="str">
        <f t="shared" si="9"/>
        <v>Cancelled</v>
      </c>
      <c r="AB188" s="14" t="str">
        <f t="shared" ref="AB188:AC188" si="380">trim(Q188)</f>
        <v>Delayed Delivery</v>
      </c>
      <c r="AC188" s="14" t="str">
        <f t="shared" si="380"/>
        <v>Heavy Traffic</v>
      </c>
      <c r="AD188" s="8"/>
    </row>
    <row r="189">
      <c r="A189" s="14" t="str">
        <f>IFERROR(__xludf.DUMMYFUNCTION("""COMPUTED_VALUE"""),"//ord_10188//Parth Goel//Juhu//Icecream+1*Ram Gopal/6/9/2023//Online Payment//Delivered*Delivery Experience: Quick and professional")</f>
        <v>//ord_10188//Parth Goel//Juhu//Icecream+1*Ram Gopal/6/9/2023//Online Payment//Delivered*Delivery Experience: Quick and professional</v>
      </c>
      <c r="B189" s="14" t="str">
        <f>IFERROR(__xludf.DUMMYFUNCTION("split(A189,""//"")"),"ord_10188")</f>
        <v>ord_10188</v>
      </c>
      <c r="C189" s="14" t="str">
        <f>IFERROR(__xludf.DUMMYFUNCTION("""COMPUTED_VALUE"""),"Parth Goel")</f>
        <v>Parth Goel</v>
      </c>
      <c r="D189" s="14" t="str">
        <f>IFERROR(__xludf.DUMMYFUNCTION("""COMPUTED_VALUE"""),"Juhu")</f>
        <v>Juhu</v>
      </c>
      <c r="E189" s="14" t="str">
        <f>IFERROR(__xludf.DUMMYFUNCTION("""COMPUTED_VALUE"""),"Icecream+1*Ram Gopal")</f>
        <v>Icecream+1*Ram Gopal</v>
      </c>
      <c r="F189" s="14">
        <f>IFERROR(__xludf.DUMMYFUNCTION("""COMPUTED_VALUE"""),6.0)</f>
        <v>6</v>
      </c>
      <c r="G189" s="14">
        <f>IFERROR(__xludf.DUMMYFUNCTION("""COMPUTED_VALUE"""),9.0)</f>
        <v>9</v>
      </c>
      <c r="H189" s="14">
        <f>IFERROR(__xludf.DUMMYFUNCTION("""COMPUTED_VALUE"""),2023.0)</f>
        <v>2023</v>
      </c>
      <c r="I189" s="14" t="str">
        <f>IFERROR(__xludf.DUMMYFUNCTION("""COMPUTED_VALUE"""),"Online Payment")</f>
        <v>Online Payment</v>
      </c>
      <c r="J189" s="14" t="str">
        <f>IFERROR(__xludf.DUMMYFUNCTION("""COMPUTED_VALUE"""),"Delivered*Delivery Experience: Quick and professional")</f>
        <v>Delivered*Delivery Experience: Quick and professional</v>
      </c>
      <c r="K189" s="14" t="str">
        <f>IFERROR(__xludf.DUMMYFUNCTION("split(E189,""+"")"),"Icecream")</f>
        <v>Icecream</v>
      </c>
      <c r="L189" s="14" t="str">
        <f>IFERROR(__xludf.DUMMYFUNCTION("""COMPUTED_VALUE"""),"1*Ram Gopal")</f>
        <v>1*Ram Gopal</v>
      </c>
      <c r="M189" s="14">
        <f>IFERROR(__xludf.DUMMYFUNCTION("SPLIT(L189,""*"")"),1.0)</f>
        <v>1</v>
      </c>
      <c r="N189" s="14" t="str">
        <f>IFERROR(__xludf.DUMMYFUNCTION("""COMPUTED_VALUE"""),"Ram Gopal")</f>
        <v>Ram Gopal</v>
      </c>
      <c r="O189" s="14" t="str">
        <f>IFERROR(__xludf.DUMMYFUNCTION("split(J189,""*"")"),"Delivered")</f>
        <v>Delivered</v>
      </c>
      <c r="P189" s="14" t="str">
        <f>IFERROR(__xludf.DUMMYFUNCTION("""COMPUTED_VALUE"""),"Delivery Experience: Quick and professional")</f>
        <v>Delivery Experience: Quick and professional</v>
      </c>
      <c r="Q189" s="14" t="str">
        <f>IFERROR(__xludf.DUMMYFUNCTION("split(P189,"":"")"),"Delivery Experience")</f>
        <v>Delivery Experience</v>
      </c>
      <c r="R189" s="14" t="str">
        <f>IFERROR(__xludf.DUMMYFUNCTION("""COMPUTED_VALUE""")," Quick and professional")</f>
        <v> Quick and professional</v>
      </c>
      <c r="S189" s="14" t="str">
        <f t="shared" ref="S189:U189" si="381">trim(B189)</f>
        <v>ord_10188</v>
      </c>
      <c r="T189" s="14" t="str">
        <f t="shared" si="381"/>
        <v>Parth Goel</v>
      </c>
      <c r="U189" s="14" t="str">
        <f t="shared" si="381"/>
        <v>Juhu</v>
      </c>
      <c r="V189" s="14" t="str">
        <f t="shared" si="4"/>
        <v>Icecream</v>
      </c>
      <c r="W189" s="14">
        <f t="shared" si="5"/>
        <v>1</v>
      </c>
      <c r="X189" s="14" t="str">
        <f t="shared" si="6"/>
        <v>Ram Gopal</v>
      </c>
      <c r="Y189" s="15">
        <f t="shared" si="7"/>
        <v>45086</v>
      </c>
      <c r="Z189" s="14" t="str">
        <f t="shared" si="8"/>
        <v>Online Payment</v>
      </c>
      <c r="AA189" s="14" t="str">
        <f t="shared" si="9"/>
        <v>Delivered</v>
      </c>
      <c r="AB189" s="14" t="str">
        <f t="shared" ref="AB189:AC189" si="382">trim(Q189)</f>
        <v>Delivery Experience</v>
      </c>
      <c r="AC189" s="14" t="str">
        <f t="shared" si="382"/>
        <v>Quick and professional</v>
      </c>
      <c r="AD189" s="8"/>
    </row>
    <row r="190">
      <c r="A190" s="14" t="str">
        <f>IFERROR(__xludf.DUMMYFUNCTION("""COMPUTED_VALUE"""),"//ord_10189//Dev Chauhan//Bandra//Chicken Puff+2*Ramesh S/5/17/2023//Credit Card//Delivered*Convenience: Easy tracking")</f>
        <v>//ord_10189//Dev Chauhan//Bandra//Chicken Puff+2*Ramesh S/5/17/2023//Credit Card//Delivered*Convenience: Easy tracking</v>
      </c>
      <c r="B190" s="14" t="str">
        <f>IFERROR(__xludf.DUMMYFUNCTION("split(A190,""//"")"),"ord_10189")</f>
        <v>ord_10189</v>
      </c>
      <c r="C190" s="14" t="str">
        <f>IFERROR(__xludf.DUMMYFUNCTION("""COMPUTED_VALUE"""),"Dev Chauhan")</f>
        <v>Dev Chauhan</v>
      </c>
      <c r="D190" s="14" t="str">
        <f>IFERROR(__xludf.DUMMYFUNCTION("""COMPUTED_VALUE"""),"Bandra")</f>
        <v>Bandra</v>
      </c>
      <c r="E190" s="14" t="str">
        <f>IFERROR(__xludf.DUMMYFUNCTION("""COMPUTED_VALUE"""),"Chicken Puff+2*Ramesh S")</f>
        <v>Chicken Puff+2*Ramesh S</v>
      </c>
      <c r="F190" s="14">
        <f>IFERROR(__xludf.DUMMYFUNCTION("""COMPUTED_VALUE"""),5.0)</f>
        <v>5</v>
      </c>
      <c r="G190" s="14">
        <f>IFERROR(__xludf.DUMMYFUNCTION("""COMPUTED_VALUE"""),17.0)</f>
        <v>17</v>
      </c>
      <c r="H190" s="14">
        <f>IFERROR(__xludf.DUMMYFUNCTION("""COMPUTED_VALUE"""),2023.0)</f>
        <v>2023</v>
      </c>
      <c r="I190" s="14" t="str">
        <f>IFERROR(__xludf.DUMMYFUNCTION("""COMPUTED_VALUE"""),"Credit Card")</f>
        <v>Credit Card</v>
      </c>
      <c r="J190" s="14" t="str">
        <f>IFERROR(__xludf.DUMMYFUNCTION("""COMPUTED_VALUE"""),"Delivered*Convenience: Easy tracking")</f>
        <v>Delivered*Convenience: Easy tracking</v>
      </c>
      <c r="K190" s="14" t="str">
        <f>IFERROR(__xludf.DUMMYFUNCTION("split(E190,""+"")"),"Chicken Puff")</f>
        <v>Chicken Puff</v>
      </c>
      <c r="L190" s="14" t="str">
        <f>IFERROR(__xludf.DUMMYFUNCTION("""COMPUTED_VALUE"""),"2*Ramesh S")</f>
        <v>2*Ramesh S</v>
      </c>
      <c r="M190" s="14">
        <f>IFERROR(__xludf.DUMMYFUNCTION("SPLIT(L190,""*"")"),2.0)</f>
        <v>2</v>
      </c>
      <c r="N190" s="14" t="str">
        <f>IFERROR(__xludf.DUMMYFUNCTION("""COMPUTED_VALUE"""),"Ramesh S")</f>
        <v>Ramesh S</v>
      </c>
      <c r="O190" s="14" t="str">
        <f>IFERROR(__xludf.DUMMYFUNCTION("split(J190,""*"")"),"Delivered")</f>
        <v>Delivered</v>
      </c>
      <c r="P190" s="14" t="str">
        <f>IFERROR(__xludf.DUMMYFUNCTION("""COMPUTED_VALUE"""),"Convenience: Easy tracking")</f>
        <v>Convenience: Easy tracking</v>
      </c>
      <c r="Q190" s="14" t="str">
        <f>IFERROR(__xludf.DUMMYFUNCTION("split(P190,"":"")"),"Convenience")</f>
        <v>Convenience</v>
      </c>
      <c r="R190" s="14" t="str">
        <f>IFERROR(__xludf.DUMMYFUNCTION("""COMPUTED_VALUE""")," Easy tracking")</f>
        <v> Easy tracking</v>
      </c>
      <c r="S190" s="14" t="str">
        <f t="shared" ref="S190:U190" si="383">trim(B190)</f>
        <v>ord_10189</v>
      </c>
      <c r="T190" s="14" t="str">
        <f t="shared" si="383"/>
        <v>Dev Chauhan</v>
      </c>
      <c r="U190" s="14" t="str">
        <f t="shared" si="383"/>
        <v>Bandra</v>
      </c>
      <c r="V190" s="14" t="str">
        <f t="shared" si="4"/>
        <v>Chicken Puff</v>
      </c>
      <c r="W190" s="14">
        <f t="shared" si="5"/>
        <v>2</v>
      </c>
      <c r="X190" s="14" t="str">
        <f t="shared" si="6"/>
        <v>Ramesh S</v>
      </c>
      <c r="Y190" s="15">
        <f t="shared" si="7"/>
        <v>45063</v>
      </c>
      <c r="Z190" s="14" t="str">
        <f t="shared" si="8"/>
        <v>Credit Card</v>
      </c>
      <c r="AA190" s="14" t="str">
        <f t="shared" si="9"/>
        <v>Delivered</v>
      </c>
      <c r="AB190" s="14" t="str">
        <f t="shared" ref="AB190:AC190" si="384">trim(Q190)</f>
        <v>Convenience</v>
      </c>
      <c r="AC190" s="14" t="str">
        <f t="shared" si="384"/>
        <v>Easy tracking</v>
      </c>
      <c r="AD190" s="8"/>
    </row>
    <row r="191">
      <c r="A191" s="14" t="str">
        <f>IFERROR(__xludf.DUMMYFUNCTION("""COMPUTED_VALUE"""),"//ord_10190//Tanishq Bansal//Powai//Chilli Cheese Toast+3*Vivek Kumar/11/28/2023//Credit Card//Cancelled*Delayed Delivery:Incorrect Address or Location")</f>
        <v>//ord_10190//Tanishq Bansal//Powai//Chilli Cheese Toast+3*Vivek Kumar/11/28/2023//Credit Card//Cancelled*Delayed Delivery:Incorrect Address or Location</v>
      </c>
      <c r="B191" s="14" t="str">
        <f>IFERROR(__xludf.DUMMYFUNCTION("split(A191,""//"")"),"ord_10190")</f>
        <v>ord_10190</v>
      </c>
      <c r="C191" s="14" t="str">
        <f>IFERROR(__xludf.DUMMYFUNCTION("""COMPUTED_VALUE"""),"Tanishq Bansal")</f>
        <v>Tanishq Bansal</v>
      </c>
      <c r="D191" s="14" t="str">
        <f>IFERROR(__xludf.DUMMYFUNCTION("""COMPUTED_VALUE"""),"Powai")</f>
        <v>Powai</v>
      </c>
      <c r="E191" s="14" t="str">
        <f>IFERROR(__xludf.DUMMYFUNCTION("""COMPUTED_VALUE"""),"Chilli Cheese Toast+3*Vivek Kumar")</f>
        <v>Chilli Cheese Toast+3*Vivek Kumar</v>
      </c>
      <c r="F191" s="14">
        <f>IFERROR(__xludf.DUMMYFUNCTION("""COMPUTED_VALUE"""),11.0)</f>
        <v>11</v>
      </c>
      <c r="G191" s="14">
        <f>IFERROR(__xludf.DUMMYFUNCTION("""COMPUTED_VALUE"""),28.0)</f>
        <v>28</v>
      </c>
      <c r="H191" s="14">
        <f>IFERROR(__xludf.DUMMYFUNCTION("""COMPUTED_VALUE"""),2023.0)</f>
        <v>2023</v>
      </c>
      <c r="I191" s="14" t="str">
        <f>IFERROR(__xludf.DUMMYFUNCTION("""COMPUTED_VALUE"""),"Credit Card")</f>
        <v>Credit Card</v>
      </c>
      <c r="J191" s="14" t="str">
        <f>IFERROR(__xludf.DUMMYFUNCTION("""COMPUTED_VALUE"""),"Cancelled*Delayed Delivery:Incorrect Address or Location")</f>
        <v>Cancelled*Delayed Delivery:Incorrect Address or Location</v>
      </c>
      <c r="K191" s="14" t="str">
        <f>IFERROR(__xludf.DUMMYFUNCTION("split(E191,""+"")"),"Chilli Cheese Toast")</f>
        <v>Chilli Cheese Toast</v>
      </c>
      <c r="L191" s="14" t="str">
        <f>IFERROR(__xludf.DUMMYFUNCTION("""COMPUTED_VALUE"""),"3*Vivek Kumar")</f>
        <v>3*Vivek Kumar</v>
      </c>
      <c r="M191" s="14">
        <f>IFERROR(__xludf.DUMMYFUNCTION("SPLIT(L191,""*"")"),3.0)</f>
        <v>3</v>
      </c>
      <c r="N191" s="14" t="str">
        <f>IFERROR(__xludf.DUMMYFUNCTION("""COMPUTED_VALUE"""),"Vivek Kumar")</f>
        <v>Vivek Kumar</v>
      </c>
      <c r="O191" s="14" t="str">
        <f>IFERROR(__xludf.DUMMYFUNCTION("split(J191,""*"")"),"Cancelled")</f>
        <v>Cancelled</v>
      </c>
      <c r="P191" s="14" t="str">
        <f>IFERROR(__xludf.DUMMYFUNCTION("""COMPUTED_VALUE"""),"Delayed Delivery:Incorrect Address or Location")</f>
        <v>Delayed Delivery:Incorrect Address or Location</v>
      </c>
      <c r="Q191" s="14" t="str">
        <f>IFERROR(__xludf.DUMMYFUNCTION("split(P191,"":"")"),"Delayed Delivery")</f>
        <v>Delayed Delivery</v>
      </c>
      <c r="R191" s="14" t="str">
        <f>IFERROR(__xludf.DUMMYFUNCTION("""COMPUTED_VALUE"""),"Incorrect Address or Location")</f>
        <v>Incorrect Address or Location</v>
      </c>
      <c r="S191" s="14" t="str">
        <f t="shared" ref="S191:U191" si="385">trim(B191)</f>
        <v>ord_10190</v>
      </c>
      <c r="T191" s="14" t="str">
        <f t="shared" si="385"/>
        <v>Tanishq Bansal</v>
      </c>
      <c r="U191" s="14" t="str">
        <f t="shared" si="385"/>
        <v>Powai</v>
      </c>
      <c r="V191" s="14" t="str">
        <f t="shared" si="4"/>
        <v>Chilli Cheese Toast</v>
      </c>
      <c r="W191" s="14">
        <f t="shared" si="5"/>
        <v>3</v>
      </c>
      <c r="X191" s="14" t="str">
        <f t="shared" si="6"/>
        <v>Vivek Kumar</v>
      </c>
      <c r="Y191" s="15">
        <f t="shared" si="7"/>
        <v>45258</v>
      </c>
      <c r="Z191" s="14" t="str">
        <f t="shared" si="8"/>
        <v>Credit Card</v>
      </c>
      <c r="AA191" s="14" t="str">
        <f t="shared" si="9"/>
        <v>Cancelled</v>
      </c>
      <c r="AB191" s="14" t="str">
        <f t="shared" ref="AB191:AC191" si="386">trim(Q191)</f>
        <v>Delayed Delivery</v>
      </c>
      <c r="AC191" s="14" t="str">
        <f t="shared" si="386"/>
        <v>Incorrect Address or Location</v>
      </c>
      <c r="AD191" s="8"/>
    </row>
    <row r="192">
      <c r="A192" s="14" t="str">
        <f>IFERROR(__xludf.DUMMYFUNCTION("""COMPUTED_VALUE"""),"//ord_10191//Parth Goel//Juhu//Guava+1*Tanvi Jain/11/11/2023//Online Payment//Cancelled*Delayed Delivery:Traffic Accidents or Road Closures")</f>
        <v>//ord_10191//Parth Goel//Juhu//Guava+1*Tanvi Jain/11/11/2023//Online Payment//Cancelled*Delayed Delivery:Traffic Accidents or Road Closures</v>
      </c>
      <c r="B192" s="14" t="str">
        <f>IFERROR(__xludf.DUMMYFUNCTION("split(A192,""//"")"),"ord_10191")</f>
        <v>ord_10191</v>
      </c>
      <c r="C192" s="14" t="str">
        <f>IFERROR(__xludf.DUMMYFUNCTION("""COMPUTED_VALUE"""),"Parth Goel")</f>
        <v>Parth Goel</v>
      </c>
      <c r="D192" s="14" t="str">
        <f>IFERROR(__xludf.DUMMYFUNCTION("""COMPUTED_VALUE"""),"Juhu")</f>
        <v>Juhu</v>
      </c>
      <c r="E192" s="14" t="str">
        <f>IFERROR(__xludf.DUMMYFUNCTION("""COMPUTED_VALUE"""),"Guava+1*Tanvi Jain")</f>
        <v>Guava+1*Tanvi Jain</v>
      </c>
      <c r="F192" s="14">
        <f>IFERROR(__xludf.DUMMYFUNCTION("""COMPUTED_VALUE"""),11.0)</f>
        <v>11</v>
      </c>
      <c r="G192" s="14">
        <f>IFERROR(__xludf.DUMMYFUNCTION("""COMPUTED_VALUE"""),11.0)</f>
        <v>11</v>
      </c>
      <c r="H192" s="14">
        <f>IFERROR(__xludf.DUMMYFUNCTION("""COMPUTED_VALUE"""),2023.0)</f>
        <v>2023</v>
      </c>
      <c r="I192" s="14" t="str">
        <f>IFERROR(__xludf.DUMMYFUNCTION("""COMPUTED_VALUE"""),"Online Payment")</f>
        <v>Online Payment</v>
      </c>
      <c r="J192" s="14" t="str">
        <f>IFERROR(__xludf.DUMMYFUNCTION("""COMPUTED_VALUE"""),"Cancelled*Delayed Delivery:Traffic Accidents or Road Closures")</f>
        <v>Cancelled*Delayed Delivery:Traffic Accidents or Road Closures</v>
      </c>
      <c r="K192" s="14" t="str">
        <f>IFERROR(__xludf.DUMMYFUNCTION("split(E192,""+"")"),"Guava")</f>
        <v>Guava</v>
      </c>
      <c r="L192" s="14" t="str">
        <f>IFERROR(__xludf.DUMMYFUNCTION("""COMPUTED_VALUE"""),"1*Tanvi Jain")</f>
        <v>1*Tanvi Jain</v>
      </c>
      <c r="M192" s="14">
        <f>IFERROR(__xludf.DUMMYFUNCTION("SPLIT(L192,""*"")"),1.0)</f>
        <v>1</v>
      </c>
      <c r="N192" s="14" t="str">
        <f>IFERROR(__xludf.DUMMYFUNCTION("""COMPUTED_VALUE"""),"Tanvi Jain")</f>
        <v>Tanvi Jain</v>
      </c>
      <c r="O192" s="14" t="str">
        <f>IFERROR(__xludf.DUMMYFUNCTION("split(J192,""*"")"),"Cancelled")</f>
        <v>Cancelled</v>
      </c>
      <c r="P192" s="14" t="str">
        <f>IFERROR(__xludf.DUMMYFUNCTION("""COMPUTED_VALUE"""),"Delayed Delivery:Traffic Accidents or Road Closures")</f>
        <v>Delayed Delivery:Traffic Accidents or Road Closures</v>
      </c>
      <c r="Q192" s="14" t="str">
        <f>IFERROR(__xludf.DUMMYFUNCTION("split(P192,"":"")"),"Delayed Delivery")</f>
        <v>Delayed Delivery</v>
      </c>
      <c r="R192" s="14" t="str">
        <f>IFERROR(__xludf.DUMMYFUNCTION("""COMPUTED_VALUE"""),"Traffic Accidents or Road Closures")</f>
        <v>Traffic Accidents or Road Closures</v>
      </c>
      <c r="S192" s="14" t="str">
        <f t="shared" ref="S192:U192" si="387">trim(B192)</f>
        <v>ord_10191</v>
      </c>
      <c r="T192" s="14" t="str">
        <f t="shared" si="387"/>
        <v>Parth Goel</v>
      </c>
      <c r="U192" s="14" t="str">
        <f t="shared" si="387"/>
        <v>Juhu</v>
      </c>
      <c r="V192" s="14" t="str">
        <f t="shared" si="4"/>
        <v>Guava</v>
      </c>
      <c r="W192" s="14">
        <f t="shared" si="5"/>
        <v>1</v>
      </c>
      <c r="X192" s="14" t="str">
        <f t="shared" si="6"/>
        <v>Tanvi Jain</v>
      </c>
      <c r="Y192" s="15">
        <f t="shared" si="7"/>
        <v>45241</v>
      </c>
      <c r="Z192" s="14" t="str">
        <f t="shared" si="8"/>
        <v>Online Payment</v>
      </c>
      <c r="AA192" s="14" t="str">
        <f t="shared" si="9"/>
        <v>Cancelled</v>
      </c>
      <c r="AB192" s="14" t="str">
        <f t="shared" ref="AB192:AC192" si="388">trim(Q192)</f>
        <v>Delayed Delivery</v>
      </c>
      <c r="AC192" s="14" t="str">
        <f t="shared" si="388"/>
        <v>Traffic Accidents or Road Closures</v>
      </c>
      <c r="AD192" s="8"/>
    </row>
    <row r="193">
      <c r="A193" s="14" t="str">
        <f>IFERROR(__xludf.DUMMYFUNCTION("""COMPUTED_VALUE"""),"//ord_10192//Mehul Thakkar//Malad//Sweet Corn+1*Ramesh S/4/16/2023//Credit Card//Delivered*Overall Satisfaction: Great service will order again")</f>
        <v>//ord_10192//Mehul Thakkar//Malad//Sweet Corn+1*Ramesh S/4/16/2023//Credit Card//Delivered*Overall Satisfaction: Great service will order again</v>
      </c>
      <c r="B193" s="14" t="str">
        <f>IFERROR(__xludf.DUMMYFUNCTION("split(A193,""//"")"),"ord_10192")</f>
        <v>ord_10192</v>
      </c>
      <c r="C193" s="14" t="str">
        <f>IFERROR(__xludf.DUMMYFUNCTION("""COMPUTED_VALUE"""),"Mehul Thakkar")</f>
        <v>Mehul Thakkar</v>
      </c>
      <c r="D193" s="14" t="str">
        <f>IFERROR(__xludf.DUMMYFUNCTION("""COMPUTED_VALUE"""),"Malad")</f>
        <v>Malad</v>
      </c>
      <c r="E193" s="14" t="str">
        <f>IFERROR(__xludf.DUMMYFUNCTION("""COMPUTED_VALUE"""),"Sweet Corn+1*Ramesh S")</f>
        <v>Sweet Corn+1*Ramesh S</v>
      </c>
      <c r="F193" s="14">
        <f>IFERROR(__xludf.DUMMYFUNCTION("""COMPUTED_VALUE"""),4.0)</f>
        <v>4</v>
      </c>
      <c r="G193" s="14">
        <f>IFERROR(__xludf.DUMMYFUNCTION("""COMPUTED_VALUE"""),16.0)</f>
        <v>16</v>
      </c>
      <c r="H193" s="14">
        <f>IFERROR(__xludf.DUMMYFUNCTION("""COMPUTED_VALUE"""),2023.0)</f>
        <v>2023</v>
      </c>
      <c r="I193" s="14" t="str">
        <f>IFERROR(__xludf.DUMMYFUNCTION("""COMPUTED_VALUE"""),"Credit Card")</f>
        <v>Credit Card</v>
      </c>
      <c r="J193" s="14" t="str">
        <f>IFERROR(__xludf.DUMMYFUNCTION("""COMPUTED_VALUE"""),"Delivered*Overall Satisfaction: Great service will order again")</f>
        <v>Delivered*Overall Satisfaction: Great service will order again</v>
      </c>
      <c r="K193" s="14" t="str">
        <f>IFERROR(__xludf.DUMMYFUNCTION("split(E193,""+"")"),"Sweet Corn")</f>
        <v>Sweet Corn</v>
      </c>
      <c r="L193" s="14" t="str">
        <f>IFERROR(__xludf.DUMMYFUNCTION("""COMPUTED_VALUE"""),"1*Ramesh S")</f>
        <v>1*Ramesh S</v>
      </c>
      <c r="M193" s="14">
        <f>IFERROR(__xludf.DUMMYFUNCTION("SPLIT(L193,""*"")"),1.0)</f>
        <v>1</v>
      </c>
      <c r="N193" s="14" t="str">
        <f>IFERROR(__xludf.DUMMYFUNCTION("""COMPUTED_VALUE"""),"Ramesh S")</f>
        <v>Ramesh S</v>
      </c>
      <c r="O193" s="14" t="str">
        <f>IFERROR(__xludf.DUMMYFUNCTION("split(J193,""*"")"),"Delivered")</f>
        <v>Delivered</v>
      </c>
      <c r="P193" s="14" t="str">
        <f>IFERROR(__xludf.DUMMYFUNCTION("""COMPUTED_VALUE"""),"Overall Satisfaction: Great service will order again")</f>
        <v>Overall Satisfaction: Great service will order again</v>
      </c>
      <c r="Q193" s="14" t="str">
        <f>IFERROR(__xludf.DUMMYFUNCTION("split(P193,"":"")"),"Overall Satisfaction")</f>
        <v>Overall Satisfaction</v>
      </c>
      <c r="R193" s="14" t="str">
        <f>IFERROR(__xludf.DUMMYFUNCTION("""COMPUTED_VALUE""")," Great service will order again")</f>
        <v> Great service will order again</v>
      </c>
      <c r="S193" s="14" t="str">
        <f t="shared" ref="S193:U193" si="389">trim(B193)</f>
        <v>ord_10192</v>
      </c>
      <c r="T193" s="14" t="str">
        <f t="shared" si="389"/>
        <v>Mehul Thakkar</v>
      </c>
      <c r="U193" s="14" t="str">
        <f t="shared" si="389"/>
        <v>Malad</v>
      </c>
      <c r="V193" s="14" t="str">
        <f t="shared" si="4"/>
        <v>Sweet Corn</v>
      </c>
      <c r="W193" s="14">
        <f t="shared" si="5"/>
        <v>1</v>
      </c>
      <c r="X193" s="14" t="str">
        <f t="shared" si="6"/>
        <v>Ramesh S</v>
      </c>
      <c r="Y193" s="15">
        <f t="shared" si="7"/>
        <v>45032</v>
      </c>
      <c r="Z193" s="14" t="str">
        <f t="shared" si="8"/>
        <v>Credit Card</v>
      </c>
      <c r="AA193" s="14" t="str">
        <f t="shared" si="9"/>
        <v>Delivered</v>
      </c>
      <c r="AB193" s="14" t="str">
        <f t="shared" ref="AB193:AC193" si="390">trim(Q193)</f>
        <v>Overall Satisfaction</v>
      </c>
      <c r="AC193" s="14" t="str">
        <f t="shared" si="390"/>
        <v>Great service will order again</v>
      </c>
      <c r="AD193" s="8"/>
    </row>
    <row r="194">
      <c r="A194" s="14" t="str">
        <f>IFERROR(__xludf.DUMMYFUNCTION("""COMPUTED_VALUE"""),"//ord_10193//Aditi Iyer//Dadar//Tomato+1*Shine Thomas/8/6/2023//UPI//Delivered*On-time Delivery: Delivered on time")</f>
        <v>//ord_10193//Aditi Iyer//Dadar//Tomato+1*Shine Thomas/8/6/2023//UPI//Delivered*On-time Delivery: Delivered on time</v>
      </c>
      <c r="B194" s="14" t="str">
        <f>IFERROR(__xludf.DUMMYFUNCTION("split(A194,""//"")"),"ord_10193")</f>
        <v>ord_10193</v>
      </c>
      <c r="C194" s="14" t="str">
        <f>IFERROR(__xludf.DUMMYFUNCTION("""COMPUTED_VALUE"""),"Aditi Iyer")</f>
        <v>Aditi Iyer</v>
      </c>
      <c r="D194" s="14" t="str">
        <f>IFERROR(__xludf.DUMMYFUNCTION("""COMPUTED_VALUE"""),"Dadar")</f>
        <v>Dadar</v>
      </c>
      <c r="E194" s="14" t="str">
        <f>IFERROR(__xludf.DUMMYFUNCTION("""COMPUTED_VALUE"""),"Tomato+1*Shine Thomas")</f>
        <v>Tomato+1*Shine Thomas</v>
      </c>
      <c r="F194" s="14">
        <f>IFERROR(__xludf.DUMMYFUNCTION("""COMPUTED_VALUE"""),8.0)</f>
        <v>8</v>
      </c>
      <c r="G194" s="14">
        <f>IFERROR(__xludf.DUMMYFUNCTION("""COMPUTED_VALUE"""),6.0)</f>
        <v>6</v>
      </c>
      <c r="H194" s="14">
        <f>IFERROR(__xludf.DUMMYFUNCTION("""COMPUTED_VALUE"""),2023.0)</f>
        <v>2023</v>
      </c>
      <c r="I194" s="14" t="str">
        <f>IFERROR(__xludf.DUMMYFUNCTION("""COMPUTED_VALUE"""),"UPI")</f>
        <v>UPI</v>
      </c>
      <c r="J194" s="14" t="str">
        <f>IFERROR(__xludf.DUMMYFUNCTION("""COMPUTED_VALUE"""),"Delivered*On-time Delivery: Delivered on time")</f>
        <v>Delivered*On-time Delivery: Delivered on time</v>
      </c>
      <c r="K194" s="14" t="str">
        <f>IFERROR(__xludf.DUMMYFUNCTION("split(E194,""+"")"),"Tomato")</f>
        <v>Tomato</v>
      </c>
      <c r="L194" s="14" t="str">
        <f>IFERROR(__xludf.DUMMYFUNCTION("""COMPUTED_VALUE"""),"1*Shine Thomas")</f>
        <v>1*Shine Thomas</v>
      </c>
      <c r="M194" s="14">
        <f>IFERROR(__xludf.DUMMYFUNCTION("SPLIT(L194,""*"")"),1.0)</f>
        <v>1</v>
      </c>
      <c r="N194" s="14" t="str">
        <f>IFERROR(__xludf.DUMMYFUNCTION("""COMPUTED_VALUE"""),"Shine Thomas")</f>
        <v>Shine Thomas</v>
      </c>
      <c r="O194" s="14" t="str">
        <f>IFERROR(__xludf.DUMMYFUNCTION("split(J194,""*"")"),"Delivered")</f>
        <v>Delivered</v>
      </c>
      <c r="P194" s="14" t="str">
        <f>IFERROR(__xludf.DUMMYFUNCTION("""COMPUTED_VALUE"""),"On-time Delivery: Delivered on time")</f>
        <v>On-time Delivery: Delivered on time</v>
      </c>
      <c r="Q194" s="14" t="str">
        <f>IFERROR(__xludf.DUMMYFUNCTION("split(P194,"":"")"),"On-time Delivery")</f>
        <v>On-time Delivery</v>
      </c>
      <c r="R194" s="14" t="str">
        <f>IFERROR(__xludf.DUMMYFUNCTION("""COMPUTED_VALUE""")," Delivered on time")</f>
        <v> Delivered on time</v>
      </c>
      <c r="S194" s="14" t="str">
        <f t="shared" ref="S194:U194" si="391">trim(B194)</f>
        <v>ord_10193</v>
      </c>
      <c r="T194" s="14" t="str">
        <f t="shared" si="391"/>
        <v>Aditi Iyer</v>
      </c>
      <c r="U194" s="14" t="str">
        <f t="shared" si="391"/>
        <v>Dadar</v>
      </c>
      <c r="V194" s="14" t="str">
        <f t="shared" si="4"/>
        <v>Tomato</v>
      </c>
      <c r="W194" s="14">
        <f t="shared" si="5"/>
        <v>1</v>
      </c>
      <c r="X194" s="14" t="str">
        <f t="shared" si="6"/>
        <v>Shine Thomas</v>
      </c>
      <c r="Y194" s="15">
        <f t="shared" si="7"/>
        <v>45144</v>
      </c>
      <c r="Z194" s="14" t="str">
        <f t="shared" si="8"/>
        <v>UPI</v>
      </c>
      <c r="AA194" s="14" t="str">
        <f t="shared" si="9"/>
        <v>Delivered</v>
      </c>
      <c r="AB194" s="14" t="str">
        <f t="shared" ref="AB194:AC194" si="392">trim(Q194)</f>
        <v>On-time Delivery</v>
      </c>
      <c r="AC194" s="14" t="str">
        <f t="shared" si="392"/>
        <v>Delivered on time</v>
      </c>
      <c r="AD194" s="8"/>
    </row>
    <row r="195">
      <c r="A195" s="14" t="str">
        <f>IFERROR(__xludf.DUMMYFUNCTION("""COMPUTED_VALUE"""),"//ord_10194//Kritika Shetty//Malad//Icecream+5*Neha Shah/7/18/2023//Online Payment//Delivered*Quality of Items: Perfect condition")</f>
        <v>//ord_10194//Kritika Shetty//Malad//Icecream+5*Neha Shah/7/18/2023//Online Payment//Delivered*Quality of Items: Perfect condition</v>
      </c>
      <c r="B195" s="14" t="str">
        <f>IFERROR(__xludf.DUMMYFUNCTION("split(A195,""//"")"),"ord_10194")</f>
        <v>ord_10194</v>
      </c>
      <c r="C195" s="14" t="str">
        <f>IFERROR(__xludf.DUMMYFUNCTION("""COMPUTED_VALUE"""),"Kritika Shetty")</f>
        <v>Kritika Shetty</v>
      </c>
      <c r="D195" s="14" t="str">
        <f>IFERROR(__xludf.DUMMYFUNCTION("""COMPUTED_VALUE"""),"Malad")</f>
        <v>Malad</v>
      </c>
      <c r="E195" s="14" t="str">
        <f>IFERROR(__xludf.DUMMYFUNCTION("""COMPUTED_VALUE"""),"Icecream+5*Neha Shah")</f>
        <v>Icecream+5*Neha Shah</v>
      </c>
      <c r="F195" s="14">
        <f>IFERROR(__xludf.DUMMYFUNCTION("""COMPUTED_VALUE"""),7.0)</f>
        <v>7</v>
      </c>
      <c r="G195" s="14">
        <f>IFERROR(__xludf.DUMMYFUNCTION("""COMPUTED_VALUE"""),18.0)</f>
        <v>18</v>
      </c>
      <c r="H195" s="14">
        <f>IFERROR(__xludf.DUMMYFUNCTION("""COMPUTED_VALUE"""),2023.0)</f>
        <v>2023</v>
      </c>
      <c r="I195" s="14" t="str">
        <f>IFERROR(__xludf.DUMMYFUNCTION("""COMPUTED_VALUE"""),"Online Payment")</f>
        <v>Online Payment</v>
      </c>
      <c r="J195" s="14" t="str">
        <f>IFERROR(__xludf.DUMMYFUNCTION("""COMPUTED_VALUE"""),"Delivered*Quality of Items: Perfect condition")</f>
        <v>Delivered*Quality of Items: Perfect condition</v>
      </c>
      <c r="K195" s="14" t="str">
        <f>IFERROR(__xludf.DUMMYFUNCTION("split(E195,""+"")"),"Icecream")</f>
        <v>Icecream</v>
      </c>
      <c r="L195" s="14" t="str">
        <f>IFERROR(__xludf.DUMMYFUNCTION("""COMPUTED_VALUE"""),"5*Neha Shah")</f>
        <v>5*Neha Shah</v>
      </c>
      <c r="M195" s="14">
        <f>IFERROR(__xludf.DUMMYFUNCTION("SPLIT(L195,""*"")"),5.0)</f>
        <v>5</v>
      </c>
      <c r="N195" s="14" t="str">
        <f>IFERROR(__xludf.DUMMYFUNCTION("""COMPUTED_VALUE"""),"Neha Shah")</f>
        <v>Neha Shah</v>
      </c>
      <c r="O195" s="14" t="str">
        <f>IFERROR(__xludf.DUMMYFUNCTION("split(J195,""*"")"),"Delivered")</f>
        <v>Delivered</v>
      </c>
      <c r="P195" s="14" t="str">
        <f>IFERROR(__xludf.DUMMYFUNCTION("""COMPUTED_VALUE"""),"Quality of Items: Perfect condition")</f>
        <v>Quality of Items: Perfect condition</v>
      </c>
      <c r="Q195" s="14" t="str">
        <f>IFERROR(__xludf.DUMMYFUNCTION("split(P195,"":"")"),"Quality of Items")</f>
        <v>Quality of Items</v>
      </c>
      <c r="R195" s="14" t="str">
        <f>IFERROR(__xludf.DUMMYFUNCTION("""COMPUTED_VALUE""")," Perfect condition")</f>
        <v> Perfect condition</v>
      </c>
      <c r="S195" s="14" t="str">
        <f t="shared" ref="S195:U195" si="393">trim(B195)</f>
        <v>ord_10194</v>
      </c>
      <c r="T195" s="14" t="str">
        <f t="shared" si="393"/>
        <v>Kritika Shetty</v>
      </c>
      <c r="U195" s="14" t="str">
        <f t="shared" si="393"/>
        <v>Malad</v>
      </c>
      <c r="V195" s="14" t="str">
        <f t="shared" si="4"/>
        <v>Icecream</v>
      </c>
      <c r="W195" s="14">
        <f t="shared" si="5"/>
        <v>5</v>
      </c>
      <c r="X195" s="14" t="str">
        <f t="shared" si="6"/>
        <v>Neha Shah</v>
      </c>
      <c r="Y195" s="15">
        <f t="shared" si="7"/>
        <v>45125</v>
      </c>
      <c r="Z195" s="14" t="str">
        <f t="shared" si="8"/>
        <v>Online Payment</v>
      </c>
      <c r="AA195" s="14" t="str">
        <f t="shared" si="9"/>
        <v>Delivered</v>
      </c>
      <c r="AB195" s="14" t="str">
        <f t="shared" ref="AB195:AC195" si="394">trim(Q195)</f>
        <v>Quality of Items</v>
      </c>
      <c r="AC195" s="14" t="str">
        <f t="shared" si="394"/>
        <v>Perfect condition</v>
      </c>
      <c r="AD195" s="8"/>
    </row>
    <row r="196">
      <c r="A196" s="14" t="str">
        <f>IFERROR(__xludf.DUMMYFUNCTION("""COMPUTED_VALUE"""),"//ord_10195//Tanishq Bansal//Powai//Papaya+1*Shine Thomas/5/22/2023//COD//Delivered*Packaging: Secure and intact")</f>
        <v>//ord_10195//Tanishq Bansal//Powai//Papaya+1*Shine Thomas/5/22/2023//COD//Delivered*Packaging: Secure and intact</v>
      </c>
      <c r="B196" s="14" t="str">
        <f>IFERROR(__xludf.DUMMYFUNCTION("split(A196,""//"")"),"ord_10195")</f>
        <v>ord_10195</v>
      </c>
      <c r="C196" s="14" t="str">
        <f>IFERROR(__xludf.DUMMYFUNCTION("""COMPUTED_VALUE"""),"Tanishq Bansal")</f>
        <v>Tanishq Bansal</v>
      </c>
      <c r="D196" s="14" t="str">
        <f>IFERROR(__xludf.DUMMYFUNCTION("""COMPUTED_VALUE"""),"Powai")</f>
        <v>Powai</v>
      </c>
      <c r="E196" s="14" t="str">
        <f>IFERROR(__xludf.DUMMYFUNCTION("""COMPUTED_VALUE"""),"Papaya+1*Shine Thomas")</f>
        <v>Papaya+1*Shine Thomas</v>
      </c>
      <c r="F196" s="14">
        <f>IFERROR(__xludf.DUMMYFUNCTION("""COMPUTED_VALUE"""),5.0)</f>
        <v>5</v>
      </c>
      <c r="G196" s="14">
        <f>IFERROR(__xludf.DUMMYFUNCTION("""COMPUTED_VALUE"""),22.0)</f>
        <v>22</v>
      </c>
      <c r="H196" s="14">
        <f>IFERROR(__xludf.DUMMYFUNCTION("""COMPUTED_VALUE"""),2023.0)</f>
        <v>2023</v>
      </c>
      <c r="I196" s="14" t="str">
        <f>IFERROR(__xludf.DUMMYFUNCTION("""COMPUTED_VALUE"""),"COD")</f>
        <v>COD</v>
      </c>
      <c r="J196" s="14" t="str">
        <f>IFERROR(__xludf.DUMMYFUNCTION("""COMPUTED_VALUE"""),"Delivered*Packaging: Secure and intact")</f>
        <v>Delivered*Packaging: Secure and intact</v>
      </c>
      <c r="K196" s="14" t="str">
        <f>IFERROR(__xludf.DUMMYFUNCTION("split(E196,""+"")"),"Papaya")</f>
        <v>Papaya</v>
      </c>
      <c r="L196" s="14" t="str">
        <f>IFERROR(__xludf.DUMMYFUNCTION("""COMPUTED_VALUE"""),"1*Shine Thomas")</f>
        <v>1*Shine Thomas</v>
      </c>
      <c r="M196" s="14">
        <f>IFERROR(__xludf.DUMMYFUNCTION("SPLIT(L196,""*"")"),1.0)</f>
        <v>1</v>
      </c>
      <c r="N196" s="14" t="str">
        <f>IFERROR(__xludf.DUMMYFUNCTION("""COMPUTED_VALUE"""),"Shine Thomas")</f>
        <v>Shine Thomas</v>
      </c>
      <c r="O196" s="14" t="str">
        <f>IFERROR(__xludf.DUMMYFUNCTION("split(J196,""*"")"),"Delivered")</f>
        <v>Delivered</v>
      </c>
      <c r="P196" s="14" t="str">
        <f>IFERROR(__xludf.DUMMYFUNCTION("""COMPUTED_VALUE"""),"Packaging: Secure and intact")</f>
        <v>Packaging: Secure and intact</v>
      </c>
      <c r="Q196" s="14" t="str">
        <f>IFERROR(__xludf.DUMMYFUNCTION("split(P196,"":"")"),"Packaging")</f>
        <v>Packaging</v>
      </c>
      <c r="R196" s="14" t="str">
        <f>IFERROR(__xludf.DUMMYFUNCTION("""COMPUTED_VALUE""")," Secure and intact")</f>
        <v> Secure and intact</v>
      </c>
      <c r="S196" s="14" t="str">
        <f t="shared" ref="S196:U196" si="395">trim(B196)</f>
        <v>ord_10195</v>
      </c>
      <c r="T196" s="14" t="str">
        <f t="shared" si="395"/>
        <v>Tanishq Bansal</v>
      </c>
      <c r="U196" s="14" t="str">
        <f t="shared" si="395"/>
        <v>Powai</v>
      </c>
      <c r="V196" s="14" t="str">
        <f t="shared" si="4"/>
        <v>Papaya</v>
      </c>
      <c r="W196" s="14">
        <f t="shared" si="5"/>
        <v>1</v>
      </c>
      <c r="X196" s="14" t="str">
        <f t="shared" si="6"/>
        <v>Shine Thomas</v>
      </c>
      <c r="Y196" s="15">
        <f t="shared" si="7"/>
        <v>45068</v>
      </c>
      <c r="Z196" s="14" t="str">
        <f t="shared" si="8"/>
        <v>COD</v>
      </c>
      <c r="AA196" s="14" t="str">
        <f t="shared" si="9"/>
        <v>Delivered</v>
      </c>
      <c r="AB196" s="14" t="str">
        <f t="shared" ref="AB196:AC196" si="396">trim(Q196)</f>
        <v>Packaging</v>
      </c>
      <c r="AC196" s="14" t="str">
        <f t="shared" si="396"/>
        <v>Secure and intact</v>
      </c>
      <c r="AD196" s="8"/>
    </row>
    <row r="197">
      <c r="A197" s="14" t="str">
        <f>IFERROR(__xludf.DUMMYFUNCTION("""COMPUTED_VALUE"""),"//ord_10196//Parth Goel//Juhu//Potato+1*Venu R/12/19/2023//Online Payment//Delivered*Satisfied with the Delivery: Timely and quality")</f>
        <v>//ord_10196//Parth Goel//Juhu//Potato+1*Venu R/12/19/2023//Online Payment//Delivered*Satisfied with the Delivery: Timely and quality</v>
      </c>
      <c r="B197" s="14" t="str">
        <f>IFERROR(__xludf.DUMMYFUNCTION("split(A197,""//"")"),"ord_10196")</f>
        <v>ord_10196</v>
      </c>
      <c r="C197" s="14" t="str">
        <f>IFERROR(__xludf.DUMMYFUNCTION("""COMPUTED_VALUE"""),"Parth Goel")</f>
        <v>Parth Goel</v>
      </c>
      <c r="D197" s="14" t="str">
        <f>IFERROR(__xludf.DUMMYFUNCTION("""COMPUTED_VALUE"""),"Juhu")</f>
        <v>Juhu</v>
      </c>
      <c r="E197" s="14" t="str">
        <f>IFERROR(__xludf.DUMMYFUNCTION("""COMPUTED_VALUE"""),"Potato+1*Venu R")</f>
        <v>Potato+1*Venu R</v>
      </c>
      <c r="F197" s="14">
        <f>IFERROR(__xludf.DUMMYFUNCTION("""COMPUTED_VALUE"""),12.0)</f>
        <v>12</v>
      </c>
      <c r="G197" s="14">
        <f>IFERROR(__xludf.DUMMYFUNCTION("""COMPUTED_VALUE"""),19.0)</f>
        <v>19</v>
      </c>
      <c r="H197" s="14">
        <f>IFERROR(__xludf.DUMMYFUNCTION("""COMPUTED_VALUE"""),2023.0)</f>
        <v>2023</v>
      </c>
      <c r="I197" s="14" t="str">
        <f>IFERROR(__xludf.DUMMYFUNCTION("""COMPUTED_VALUE"""),"Online Payment")</f>
        <v>Online Payment</v>
      </c>
      <c r="J197" s="14" t="str">
        <f>IFERROR(__xludf.DUMMYFUNCTION("""COMPUTED_VALUE"""),"Delivered*Satisfied with the Delivery: Timely and quality")</f>
        <v>Delivered*Satisfied with the Delivery: Timely and quality</v>
      </c>
      <c r="K197" s="14" t="str">
        <f>IFERROR(__xludf.DUMMYFUNCTION("split(E197,""+"")"),"Potato")</f>
        <v>Potato</v>
      </c>
      <c r="L197" s="14" t="str">
        <f>IFERROR(__xludf.DUMMYFUNCTION("""COMPUTED_VALUE"""),"1*Venu R")</f>
        <v>1*Venu R</v>
      </c>
      <c r="M197" s="14">
        <f>IFERROR(__xludf.DUMMYFUNCTION("SPLIT(L197,""*"")"),1.0)</f>
        <v>1</v>
      </c>
      <c r="N197" s="14" t="str">
        <f>IFERROR(__xludf.DUMMYFUNCTION("""COMPUTED_VALUE"""),"Venu R")</f>
        <v>Venu R</v>
      </c>
      <c r="O197" s="14" t="str">
        <f>IFERROR(__xludf.DUMMYFUNCTION("split(J197,""*"")"),"Delivered")</f>
        <v>Delivered</v>
      </c>
      <c r="P197" s="14" t="str">
        <f>IFERROR(__xludf.DUMMYFUNCTION("""COMPUTED_VALUE"""),"Satisfied with the Delivery: Timely and quality")</f>
        <v>Satisfied with the Delivery: Timely and quality</v>
      </c>
      <c r="Q197" s="14" t="str">
        <f>IFERROR(__xludf.DUMMYFUNCTION("split(P197,"":"")"),"Satisfied with the Delivery")</f>
        <v>Satisfied with the Delivery</v>
      </c>
      <c r="R197" s="14" t="str">
        <f>IFERROR(__xludf.DUMMYFUNCTION("""COMPUTED_VALUE""")," Timely and quality")</f>
        <v> Timely and quality</v>
      </c>
      <c r="S197" s="14" t="str">
        <f t="shared" ref="S197:U197" si="397">trim(B197)</f>
        <v>ord_10196</v>
      </c>
      <c r="T197" s="14" t="str">
        <f t="shared" si="397"/>
        <v>Parth Goel</v>
      </c>
      <c r="U197" s="14" t="str">
        <f t="shared" si="397"/>
        <v>Juhu</v>
      </c>
      <c r="V197" s="14" t="str">
        <f t="shared" si="4"/>
        <v>Potato</v>
      </c>
      <c r="W197" s="14">
        <f t="shared" si="5"/>
        <v>1</v>
      </c>
      <c r="X197" s="14" t="str">
        <f t="shared" si="6"/>
        <v>Venu R</v>
      </c>
      <c r="Y197" s="15">
        <f t="shared" si="7"/>
        <v>45279</v>
      </c>
      <c r="Z197" s="14" t="str">
        <f t="shared" si="8"/>
        <v>Online Payment</v>
      </c>
      <c r="AA197" s="14" t="str">
        <f t="shared" si="9"/>
        <v>Delivered</v>
      </c>
      <c r="AB197" s="14" t="str">
        <f t="shared" ref="AB197:AC197" si="398">trim(Q197)</f>
        <v>Satisfied with the Delivery</v>
      </c>
      <c r="AC197" s="14" t="str">
        <f t="shared" si="398"/>
        <v>Timely and quality</v>
      </c>
      <c r="AD197" s="8"/>
    </row>
    <row r="198">
      <c r="A198" s="14" t="str">
        <f>IFERROR(__xludf.DUMMYFUNCTION("""COMPUTED_VALUE"""),"//ord_10197//Tanishq Bansal//Powai//Orange+2*Ramesh S/7/12/2023//UPI//Delivered*Customer Service: Seamless and easy")</f>
        <v>//ord_10197//Tanishq Bansal//Powai//Orange+2*Ramesh S/7/12/2023//UPI//Delivered*Customer Service: Seamless and easy</v>
      </c>
      <c r="B198" s="14" t="str">
        <f>IFERROR(__xludf.DUMMYFUNCTION("split(A198,""//"")"),"ord_10197")</f>
        <v>ord_10197</v>
      </c>
      <c r="C198" s="14" t="str">
        <f>IFERROR(__xludf.DUMMYFUNCTION("""COMPUTED_VALUE"""),"Tanishq Bansal")</f>
        <v>Tanishq Bansal</v>
      </c>
      <c r="D198" s="14" t="str">
        <f>IFERROR(__xludf.DUMMYFUNCTION("""COMPUTED_VALUE"""),"Powai")</f>
        <v>Powai</v>
      </c>
      <c r="E198" s="14" t="str">
        <f>IFERROR(__xludf.DUMMYFUNCTION("""COMPUTED_VALUE"""),"Orange+2*Ramesh S")</f>
        <v>Orange+2*Ramesh S</v>
      </c>
      <c r="F198" s="14">
        <f>IFERROR(__xludf.DUMMYFUNCTION("""COMPUTED_VALUE"""),7.0)</f>
        <v>7</v>
      </c>
      <c r="G198" s="14">
        <f>IFERROR(__xludf.DUMMYFUNCTION("""COMPUTED_VALUE"""),12.0)</f>
        <v>12</v>
      </c>
      <c r="H198" s="14">
        <f>IFERROR(__xludf.DUMMYFUNCTION("""COMPUTED_VALUE"""),2023.0)</f>
        <v>2023</v>
      </c>
      <c r="I198" s="14" t="str">
        <f>IFERROR(__xludf.DUMMYFUNCTION("""COMPUTED_VALUE"""),"UPI")</f>
        <v>UPI</v>
      </c>
      <c r="J198" s="14" t="str">
        <f>IFERROR(__xludf.DUMMYFUNCTION("""COMPUTED_VALUE"""),"Delivered*Customer Service: Seamless and easy")</f>
        <v>Delivered*Customer Service: Seamless and easy</v>
      </c>
      <c r="K198" s="14" t="str">
        <f>IFERROR(__xludf.DUMMYFUNCTION("split(E198,""+"")"),"Orange")</f>
        <v>Orange</v>
      </c>
      <c r="L198" s="14" t="str">
        <f>IFERROR(__xludf.DUMMYFUNCTION("""COMPUTED_VALUE"""),"2*Ramesh S")</f>
        <v>2*Ramesh S</v>
      </c>
      <c r="M198" s="14">
        <f>IFERROR(__xludf.DUMMYFUNCTION("SPLIT(L198,""*"")"),2.0)</f>
        <v>2</v>
      </c>
      <c r="N198" s="14" t="str">
        <f>IFERROR(__xludf.DUMMYFUNCTION("""COMPUTED_VALUE"""),"Ramesh S")</f>
        <v>Ramesh S</v>
      </c>
      <c r="O198" s="14" t="str">
        <f>IFERROR(__xludf.DUMMYFUNCTION("split(J198,""*"")"),"Delivered")</f>
        <v>Delivered</v>
      </c>
      <c r="P198" s="14" t="str">
        <f>IFERROR(__xludf.DUMMYFUNCTION("""COMPUTED_VALUE"""),"Customer Service: Seamless and easy")</f>
        <v>Customer Service: Seamless and easy</v>
      </c>
      <c r="Q198" s="14" t="str">
        <f>IFERROR(__xludf.DUMMYFUNCTION("split(P198,"":"")"),"Customer Service")</f>
        <v>Customer Service</v>
      </c>
      <c r="R198" s="14" t="str">
        <f>IFERROR(__xludf.DUMMYFUNCTION("""COMPUTED_VALUE""")," Seamless and easy")</f>
        <v> Seamless and easy</v>
      </c>
      <c r="S198" s="14" t="str">
        <f t="shared" ref="S198:U198" si="399">trim(B198)</f>
        <v>ord_10197</v>
      </c>
      <c r="T198" s="14" t="str">
        <f t="shared" si="399"/>
        <v>Tanishq Bansal</v>
      </c>
      <c r="U198" s="14" t="str">
        <f t="shared" si="399"/>
        <v>Powai</v>
      </c>
      <c r="V198" s="14" t="str">
        <f t="shared" si="4"/>
        <v>Orange</v>
      </c>
      <c r="W198" s="14">
        <f t="shared" si="5"/>
        <v>2</v>
      </c>
      <c r="X198" s="14" t="str">
        <f t="shared" si="6"/>
        <v>Ramesh S</v>
      </c>
      <c r="Y198" s="15">
        <f t="shared" si="7"/>
        <v>45119</v>
      </c>
      <c r="Z198" s="14" t="str">
        <f t="shared" si="8"/>
        <v>UPI</v>
      </c>
      <c r="AA198" s="14" t="str">
        <f t="shared" si="9"/>
        <v>Delivered</v>
      </c>
      <c r="AB198" s="14" t="str">
        <f t="shared" ref="AB198:AC198" si="400">trim(Q198)</f>
        <v>Customer Service</v>
      </c>
      <c r="AC198" s="14" t="str">
        <f t="shared" si="400"/>
        <v>Seamless and easy</v>
      </c>
      <c r="AD198" s="8"/>
    </row>
    <row r="199">
      <c r="A199" s="14" t="str">
        <f>IFERROR(__xludf.DUMMYFUNCTION("""COMPUTED_VALUE"""),"//ord_10198//Aditi Iyer//Dadar//Veg Puff+2*Venu R/11/5/2023//Online Payment//Delivered*Delivery Experience: Quick and professional")</f>
        <v>//ord_10198//Aditi Iyer//Dadar//Veg Puff+2*Venu R/11/5/2023//Online Payment//Delivered*Delivery Experience: Quick and professional</v>
      </c>
      <c r="B199" s="14" t="str">
        <f>IFERROR(__xludf.DUMMYFUNCTION("split(A199,""//"")"),"ord_10198")</f>
        <v>ord_10198</v>
      </c>
      <c r="C199" s="14" t="str">
        <f>IFERROR(__xludf.DUMMYFUNCTION("""COMPUTED_VALUE"""),"Aditi Iyer")</f>
        <v>Aditi Iyer</v>
      </c>
      <c r="D199" s="14" t="str">
        <f>IFERROR(__xludf.DUMMYFUNCTION("""COMPUTED_VALUE"""),"Dadar")</f>
        <v>Dadar</v>
      </c>
      <c r="E199" s="14" t="str">
        <f>IFERROR(__xludf.DUMMYFUNCTION("""COMPUTED_VALUE"""),"Veg Puff+2*Venu R")</f>
        <v>Veg Puff+2*Venu R</v>
      </c>
      <c r="F199" s="14">
        <f>IFERROR(__xludf.DUMMYFUNCTION("""COMPUTED_VALUE"""),11.0)</f>
        <v>11</v>
      </c>
      <c r="G199" s="14">
        <f>IFERROR(__xludf.DUMMYFUNCTION("""COMPUTED_VALUE"""),5.0)</f>
        <v>5</v>
      </c>
      <c r="H199" s="14">
        <f>IFERROR(__xludf.DUMMYFUNCTION("""COMPUTED_VALUE"""),2023.0)</f>
        <v>2023</v>
      </c>
      <c r="I199" s="14" t="str">
        <f>IFERROR(__xludf.DUMMYFUNCTION("""COMPUTED_VALUE"""),"Online Payment")</f>
        <v>Online Payment</v>
      </c>
      <c r="J199" s="14" t="str">
        <f>IFERROR(__xludf.DUMMYFUNCTION("""COMPUTED_VALUE"""),"Delivered*Delivery Experience: Quick and professional")</f>
        <v>Delivered*Delivery Experience: Quick and professional</v>
      </c>
      <c r="K199" s="14" t="str">
        <f>IFERROR(__xludf.DUMMYFUNCTION("split(E199,""+"")"),"Veg Puff")</f>
        <v>Veg Puff</v>
      </c>
      <c r="L199" s="14" t="str">
        <f>IFERROR(__xludf.DUMMYFUNCTION("""COMPUTED_VALUE"""),"2*Venu R")</f>
        <v>2*Venu R</v>
      </c>
      <c r="M199" s="14">
        <f>IFERROR(__xludf.DUMMYFUNCTION("SPLIT(L199,""*"")"),2.0)</f>
        <v>2</v>
      </c>
      <c r="N199" s="14" t="str">
        <f>IFERROR(__xludf.DUMMYFUNCTION("""COMPUTED_VALUE"""),"Venu R")</f>
        <v>Venu R</v>
      </c>
      <c r="O199" s="14" t="str">
        <f>IFERROR(__xludf.DUMMYFUNCTION("split(J199,""*"")"),"Delivered")</f>
        <v>Delivered</v>
      </c>
      <c r="P199" s="14" t="str">
        <f>IFERROR(__xludf.DUMMYFUNCTION("""COMPUTED_VALUE"""),"Delivery Experience: Quick and professional")</f>
        <v>Delivery Experience: Quick and professional</v>
      </c>
      <c r="Q199" s="14" t="str">
        <f>IFERROR(__xludf.DUMMYFUNCTION("split(P199,"":"")"),"Delivery Experience")</f>
        <v>Delivery Experience</v>
      </c>
      <c r="R199" s="14" t="str">
        <f>IFERROR(__xludf.DUMMYFUNCTION("""COMPUTED_VALUE""")," Quick and professional")</f>
        <v> Quick and professional</v>
      </c>
      <c r="S199" s="14" t="str">
        <f t="shared" ref="S199:U199" si="401">trim(B199)</f>
        <v>ord_10198</v>
      </c>
      <c r="T199" s="14" t="str">
        <f t="shared" si="401"/>
        <v>Aditi Iyer</v>
      </c>
      <c r="U199" s="14" t="str">
        <f t="shared" si="401"/>
        <v>Dadar</v>
      </c>
      <c r="V199" s="14" t="str">
        <f t="shared" si="4"/>
        <v>Veg Puff</v>
      </c>
      <c r="W199" s="14">
        <f t="shared" si="5"/>
        <v>2</v>
      </c>
      <c r="X199" s="14" t="str">
        <f t="shared" si="6"/>
        <v>Venu R</v>
      </c>
      <c r="Y199" s="15">
        <f t="shared" si="7"/>
        <v>45235</v>
      </c>
      <c r="Z199" s="14" t="str">
        <f t="shared" si="8"/>
        <v>Online Payment</v>
      </c>
      <c r="AA199" s="14" t="str">
        <f t="shared" si="9"/>
        <v>Delivered</v>
      </c>
      <c r="AB199" s="14" t="str">
        <f t="shared" ref="AB199:AC199" si="402">trim(Q199)</f>
        <v>Delivery Experience</v>
      </c>
      <c r="AC199" s="14" t="str">
        <f t="shared" si="402"/>
        <v>Quick and professional</v>
      </c>
      <c r="AD199" s="8"/>
    </row>
    <row r="200">
      <c r="A200" s="14" t="str">
        <f>IFERROR(__xludf.DUMMYFUNCTION("""COMPUTED_VALUE"""),"//ord_10199//Mohit Malhotra//Lower Parel//Popcorn+1*Manju Ajay/9/9/2023//Credit Card//Delivered*Convenience: Easy tracking")</f>
        <v>//ord_10199//Mohit Malhotra//Lower Parel//Popcorn+1*Manju Ajay/9/9/2023//Credit Card//Delivered*Convenience: Easy tracking</v>
      </c>
      <c r="B200" s="14" t="str">
        <f>IFERROR(__xludf.DUMMYFUNCTION("split(A200,""//"")"),"ord_10199")</f>
        <v>ord_10199</v>
      </c>
      <c r="C200" s="14" t="str">
        <f>IFERROR(__xludf.DUMMYFUNCTION("""COMPUTED_VALUE"""),"Mohit Malhotra")</f>
        <v>Mohit Malhotra</v>
      </c>
      <c r="D200" s="14" t="str">
        <f>IFERROR(__xludf.DUMMYFUNCTION("""COMPUTED_VALUE"""),"Lower Parel")</f>
        <v>Lower Parel</v>
      </c>
      <c r="E200" s="14" t="str">
        <f>IFERROR(__xludf.DUMMYFUNCTION("""COMPUTED_VALUE"""),"Popcorn+1*Manju Ajay")</f>
        <v>Popcorn+1*Manju Ajay</v>
      </c>
      <c r="F200" s="14">
        <f>IFERROR(__xludf.DUMMYFUNCTION("""COMPUTED_VALUE"""),9.0)</f>
        <v>9</v>
      </c>
      <c r="G200" s="14">
        <f>IFERROR(__xludf.DUMMYFUNCTION("""COMPUTED_VALUE"""),9.0)</f>
        <v>9</v>
      </c>
      <c r="H200" s="14">
        <f>IFERROR(__xludf.DUMMYFUNCTION("""COMPUTED_VALUE"""),2023.0)</f>
        <v>2023</v>
      </c>
      <c r="I200" s="14" t="str">
        <f>IFERROR(__xludf.DUMMYFUNCTION("""COMPUTED_VALUE"""),"Credit Card")</f>
        <v>Credit Card</v>
      </c>
      <c r="J200" s="14" t="str">
        <f>IFERROR(__xludf.DUMMYFUNCTION("""COMPUTED_VALUE"""),"Delivered*Convenience: Easy tracking")</f>
        <v>Delivered*Convenience: Easy tracking</v>
      </c>
      <c r="K200" s="14" t="str">
        <f>IFERROR(__xludf.DUMMYFUNCTION("split(E200,""+"")"),"Popcorn")</f>
        <v>Popcorn</v>
      </c>
      <c r="L200" s="14" t="str">
        <f>IFERROR(__xludf.DUMMYFUNCTION("""COMPUTED_VALUE"""),"1*Manju Ajay")</f>
        <v>1*Manju Ajay</v>
      </c>
      <c r="M200" s="14">
        <f>IFERROR(__xludf.DUMMYFUNCTION("SPLIT(L200,""*"")"),1.0)</f>
        <v>1</v>
      </c>
      <c r="N200" s="14" t="str">
        <f>IFERROR(__xludf.DUMMYFUNCTION("""COMPUTED_VALUE"""),"Manju Ajay")</f>
        <v>Manju Ajay</v>
      </c>
      <c r="O200" s="14" t="str">
        <f>IFERROR(__xludf.DUMMYFUNCTION("split(J200,""*"")"),"Delivered")</f>
        <v>Delivered</v>
      </c>
      <c r="P200" s="14" t="str">
        <f>IFERROR(__xludf.DUMMYFUNCTION("""COMPUTED_VALUE"""),"Convenience: Easy tracking")</f>
        <v>Convenience: Easy tracking</v>
      </c>
      <c r="Q200" s="14" t="str">
        <f>IFERROR(__xludf.DUMMYFUNCTION("split(P200,"":"")"),"Convenience")</f>
        <v>Convenience</v>
      </c>
      <c r="R200" s="14" t="str">
        <f>IFERROR(__xludf.DUMMYFUNCTION("""COMPUTED_VALUE""")," Easy tracking")</f>
        <v> Easy tracking</v>
      </c>
      <c r="S200" s="14" t="str">
        <f t="shared" ref="S200:U200" si="403">trim(B200)</f>
        <v>ord_10199</v>
      </c>
      <c r="T200" s="14" t="str">
        <f t="shared" si="403"/>
        <v>Mohit Malhotra</v>
      </c>
      <c r="U200" s="14" t="str">
        <f t="shared" si="403"/>
        <v>Lower Parel</v>
      </c>
      <c r="V200" s="14" t="str">
        <f t="shared" si="4"/>
        <v>Popcorn</v>
      </c>
      <c r="W200" s="14">
        <f t="shared" si="5"/>
        <v>1</v>
      </c>
      <c r="X200" s="14" t="str">
        <f t="shared" si="6"/>
        <v>Manju Ajay</v>
      </c>
      <c r="Y200" s="15">
        <f t="shared" si="7"/>
        <v>45178</v>
      </c>
      <c r="Z200" s="14" t="str">
        <f t="shared" si="8"/>
        <v>Credit Card</v>
      </c>
      <c r="AA200" s="14" t="str">
        <f t="shared" si="9"/>
        <v>Delivered</v>
      </c>
      <c r="AB200" s="14" t="str">
        <f t="shared" ref="AB200:AC200" si="404">trim(Q200)</f>
        <v>Convenience</v>
      </c>
      <c r="AC200" s="14" t="str">
        <f t="shared" si="404"/>
        <v>Easy tracking</v>
      </c>
      <c r="AD200" s="8"/>
    </row>
    <row r="201">
      <c r="A201" s="14" t="str">
        <f>IFERROR(__xludf.DUMMYFUNCTION("""COMPUTED_VALUE"""),"//ord_10200//Ishaan Chaturvedi//Bandra//Papaya+2*Ram Gopal/4/29/2023//COD//Delivered*Overall Satisfaction: Great service will order again")</f>
        <v>//ord_10200//Ishaan Chaturvedi//Bandra//Papaya+2*Ram Gopal/4/29/2023//COD//Delivered*Overall Satisfaction: Great service will order again</v>
      </c>
      <c r="B201" s="14" t="str">
        <f>IFERROR(__xludf.DUMMYFUNCTION("split(A201,""//"")"),"ord_10200")</f>
        <v>ord_10200</v>
      </c>
      <c r="C201" s="14" t="str">
        <f>IFERROR(__xludf.DUMMYFUNCTION("""COMPUTED_VALUE"""),"Ishaan Chaturvedi")</f>
        <v>Ishaan Chaturvedi</v>
      </c>
      <c r="D201" s="14" t="str">
        <f>IFERROR(__xludf.DUMMYFUNCTION("""COMPUTED_VALUE"""),"Bandra")</f>
        <v>Bandra</v>
      </c>
      <c r="E201" s="14" t="str">
        <f>IFERROR(__xludf.DUMMYFUNCTION("""COMPUTED_VALUE"""),"Papaya+2*Ram Gopal")</f>
        <v>Papaya+2*Ram Gopal</v>
      </c>
      <c r="F201" s="14">
        <f>IFERROR(__xludf.DUMMYFUNCTION("""COMPUTED_VALUE"""),4.0)</f>
        <v>4</v>
      </c>
      <c r="G201" s="14">
        <f>IFERROR(__xludf.DUMMYFUNCTION("""COMPUTED_VALUE"""),29.0)</f>
        <v>29</v>
      </c>
      <c r="H201" s="14">
        <f>IFERROR(__xludf.DUMMYFUNCTION("""COMPUTED_VALUE"""),2023.0)</f>
        <v>2023</v>
      </c>
      <c r="I201" s="14" t="str">
        <f>IFERROR(__xludf.DUMMYFUNCTION("""COMPUTED_VALUE"""),"COD")</f>
        <v>COD</v>
      </c>
      <c r="J201" s="14" t="str">
        <f>IFERROR(__xludf.DUMMYFUNCTION("""COMPUTED_VALUE"""),"Delivered*Overall Satisfaction: Great service will order again")</f>
        <v>Delivered*Overall Satisfaction: Great service will order again</v>
      </c>
      <c r="K201" s="14" t="str">
        <f>IFERROR(__xludf.DUMMYFUNCTION("split(E201,""+"")"),"Papaya")</f>
        <v>Papaya</v>
      </c>
      <c r="L201" s="14" t="str">
        <f>IFERROR(__xludf.DUMMYFUNCTION("""COMPUTED_VALUE"""),"2*Ram Gopal")</f>
        <v>2*Ram Gopal</v>
      </c>
      <c r="M201" s="14">
        <f>IFERROR(__xludf.DUMMYFUNCTION("SPLIT(L201,""*"")"),2.0)</f>
        <v>2</v>
      </c>
      <c r="N201" s="14" t="str">
        <f>IFERROR(__xludf.DUMMYFUNCTION("""COMPUTED_VALUE"""),"Ram Gopal")</f>
        <v>Ram Gopal</v>
      </c>
      <c r="O201" s="14" t="str">
        <f>IFERROR(__xludf.DUMMYFUNCTION("split(J201,""*"")"),"Delivered")</f>
        <v>Delivered</v>
      </c>
      <c r="P201" s="14" t="str">
        <f>IFERROR(__xludf.DUMMYFUNCTION("""COMPUTED_VALUE"""),"Overall Satisfaction: Great service will order again")</f>
        <v>Overall Satisfaction: Great service will order again</v>
      </c>
      <c r="Q201" s="14" t="str">
        <f>IFERROR(__xludf.DUMMYFUNCTION("split(P201,"":"")"),"Overall Satisfaction")</f>
        <v>Overall Satisfaction</v>
      </c>
      <c r="R201" s="14" t="str">
        <f>IFERROR(__xludf.DUMMYFUNCTION("""COMPUTED_VALUE""")," Great service will order again")</f>
        <v> Great service will order again</v>
      </c>
      <c r="S201" s="14" t="str">
        <f t="shared" ref="S201:U201" si="405">trim(B201)</f>
        <v>ord_10200</v>
      </c>
      <c r="T201" s="14" t="str">
        <f t="shared" si="405"/>
        <v>Ishaan Chaturvedi</v>
      </c>
      <c r="U201" s="14" t="str">
        <f t="shared" si="405"/>
        <v>Bandra</v>
      </c>
      <c r="V201" s="14" t="str">
        <f t="shared" si="4"/>
        <v>Papaya</v>
      </c>
      <c r="W201" s="14">
        <f t="shared" si="5"/>
        <v>2</v>
      </c>
      <c r="X201" s="14" t="str">
        <f t="shared" si="6"/>
        <v>Ram Gopal</v>
      </c>
      <c r="Y201" s="15">
        <f t="shared" si="7"/>
        <v>45045</v>
      </c>
      <c r="Z201" s="14" t="str">
        <f t="shared" si="8"/>
        <v>COD</v>
      </c>
      <c r="AA201" s="14" t="str">
        <f t="shared" si="9"/>
        <v>Delivered</v>
      </c>
      <c r="AB201" s="14" t="str">
        <f t="shared" ref="AB201:AC201" si="406">trim(Q201)</f>
        <v>Overall Satisfaction</v>
      </c>
      <c r="AC201" s="14" t="str">
        <f t="shared" si="406"/>
        <v>Great service will order again</v>
      </c>
      <c r="AD201" s="8"/>
    </row>
    <row r="202">
      <c r="A202" s="14" t="str">
        <f>IFERROR(__xludf.DUMMYFUNCTION("""COMPUTED_VALUE"""),"//ord_10201//Aarav Mehta//Andheri//Sweet Corn+2*Rohan Yadav/7/24/2023//Online Payment//Delivered*On-time Delivery: Delivered on time")</f>
        <v>//ord_10201//Aarav Mehta//Andheri//Sweet Corn+2*Rohan Yadav/7/24/2023//Online Payment//Delivered*On-time Delivery: Delivered on time</v>
      </c>
      <c r="B202" s="14" t="str">
        <f>IFERROR(__xludf.DUMMYFUNCTION("split(A202,""//"")"),"ord_10201")</f>
        <v>ord_10201</v>
      </c>
      <c r="C202" s="14" t="str">
        <f>IFERROR(__xludf.DUMMYFUNCTION("""COMPUTED_VALUE"""),"Aarav Mehta")</f>
        <v>Aarav Mehta</v>
      </c>
      <c r="D202" s="14" t="str">
        <f>IFERROR(__xludf.DUMMYFUNCTION("""COMPUTED_VALUE"""),"Andheri")</f>
        <v>Andheri</v>
      </c>
      <c r="E202" s="14" t="str">
        <f>IFERROR(__xludf.DUMMYFUNCTION("""COMPUTED_VALUE"""),"Sweet Corn+2*Rohan Yadav")</f>
        <v>Sweet Corn+2*Rohan Yadav</v>
      </c>
      <c r="F202" s="14">
        <f>IFERROR(__xludf.DUMMYFUNCTION("""COMPUTED_VALUE"""),7.0)</f>
        <v>7</v>
      </c>
      <c r="G202" s="14">
        <f>IFERROR(__xludf.DUMMYFUNCTION("""COMPUTED_VALUE"""),24.0)</f>
        <v>24</v>
      </c>
      <c r="H202" s="14">
        <f>IFERROR(__xludf.DUMMYFUNCTION("""COMPUTED_VALUE"""),2023.0)</f>
        <v>2023</v>
      </c>
      <c r="I202" s="14" t="str">
        <f>IFERROR(__xludf.DUMMYFUNCTION("""COMPUTED_VALUE"""),"Online Payment")</f>
        <v>Online Payment</v>
      </c>
      <c r="J202" s="14" t="str">
        <f>IFERROR(__xludf.DUMMYFUNCTION("""COMPUTED_VALUE"""),"Delivered*On-time Delivery: Delivered on time")</f>
        <v>Delivered*On-time Delivery: Delivered on time</v>
      </c>
      <c r="K202" s="14" t="str">
        <f>IFERROR(__xludf.DUMMYFUNCTION("split(E202,""+"")"),"Sweet Corn")</f>
        <v>Sweet Corn</v>
      </c>
      <c r="L202" s="14" t="str">
        <f>IFERROR(__xludf.DUMMYFUNCTION("""COMPUTED_VALUE"""),"2*Rohan Yadav")</f>
        <v>2*Rohan Yadav</v>
      </c>
      <c r="M202" s="14">
        <f>IFERROR(__xludf.DUMMYFUNCTION("SPLIT(L202,""*"")"),2.0)</f>
        <v>2</v>
      </c>
      <c r="N202" s="14" t="str">
        <f>IFERROR(__xludf.DUMMYFUNCTION("""COMPUTED_VALUE"""),"Rohan Yadav")</f>
        <v>Rohan Yadav</v>
      </c>
      <c r="O202" s="14" t="str">
        <f>IFERROR(__xludf.DUMMYFUNCTION("split(J202,""*"")"),"Delivered")</f>
        <v>Delivered</v>
      </c>
      <c r="P202" s="14" t="str">
        <f>IFERROR(__xludf.DUMMYFUNCTION("""COMPUTED_VALUE"""),"On-time Delivery: Delivered on time")</f>
        <v>On-time Delivery: Delivered on time</v>
      </c>
      <c r="Q202" s="14" t="str">
        <f>IFERROR(__xludf.DUMMYFUNCTION("split(P202,"":"")"),"On-time Delivery")</f>
        <v>On-time Delivery</v>
      </c>
      <c r="R202" s="14" t="str">
        <f>IFERROR(__xludf.DUMMYFUNCTION("""COMPUTED_VALUE""")," Delivered on time")</f>
        <v> Delivered on time</v>
      </c>
      <c r="S202" s="14" t="str">
        <f t="shared" ref="S202:U202" si="407">trim(B202)</f>
        <v>ord_10201</v>
      </c>
      <c r="T202" s="14" t="str">
        <f t="shared" si="407"/>
        <v>Aarav Mehta</v>
      </c>
      <c r="U202" s="14" t="str">
        <f t="shared" si="407"/>
        <v>Andheri</v>
      </c>
      <c r="V202" s="14" t="str">
        <f t="shared" si="4"/>
        <v>Sweet Corn</v>
      </c>
      <c r="W202" s="14">
        <f t="shared" si="5"/>
        <v>2</v>
      </c>
      <c r="X202" s="14" t="str">
        <f t="shared" si="6"/>
        <v>Rohan Yadav</v>
      </c>
      <c r="Y202" s="15">
        <f t="shared" si="7"/>
        <v>45131</v>
      </c>
      <c r="Z202" s="14" t="str">
        <f t="shared" si="8"/>
        <v>Online Payment</v>
      </c>
      <c r="AA202" s="14" t="str">
        <f t="shared" si="9"/>
        <v>Delivered</v>
      </c>
      <c r="AB202" s="14" t="str">
        <f t="shared" ref="AB202:AC202" si="408">trim(Q202)</f>
        <v>On-time Delivery</v>
      </c>
      <c r="AC202" s="14" t="str">
        <f t="shared" si="408"/>
        <v>Delivered on time</v>
      </c>
      <c r="AD202" s="8"/>
    </row>
    <row r="203">
      <c r="A203" s="14" t="str">
        <f>IFERROR(__xludf.DUMMYFUNCTION("""COMPUTED_VALUE"""),"//ord_10202//Mehul Thakkar//Malad//Papaya+1*Sita T/9/15/2023//COD//Delivered*Quality of Items: Perfect condition")</f>
        <v>//ord_10202//Mehul Thakkar//Malad//Papaya+1*Sita T/9/15/2023//COD//Delivered*Quality of Items: Perfect condition</v>
      </c>
      <c r="B203" s="14" t="str">
        <f>IFERROR(__xludf.DUMMYFUNCTION("split(A203,""//"")"),"ord_10202")</f>
        <v>ord_10202</v>
      </c>
      <c r="C203" s="14" t="str">
        <f>IFERROR(__xludf.DUMMYFUNCTION("""COMPUTED_VALUE"""),"Mehul Thakkar")</f>
        <v>Mehul Thakkar</v>
      </c>
      <c r="D203" s="14" t="str">
        <f>IFERROR(__xludf.DUMMYFUNCTION("""COMPUTED_VALUE"""),"Malad")</f>
        <v>Malad</v>
      </c>
      <c r="E203" s="14" t="str">
        <f>IFERROR(__xludf.DUMMYFUNCTION("""COMPUTED_VALUE"""),"Papaya+1*Sita T")</f>
        <v>Papaya+1*Sita T</v>
      </c>
      <c r="F203" s="14">
        <f>IFERROR(__xludf.DUMMYFUNCTION("""COMPUTED_VALUE"""),9.0)</f>
        <v>9</v>
      </c>
      <c r="G203" s="14">
        <f>IFERROR(__xludf.DUMMYFUNCTION("""COMPUTED_VALUE"""),15.0)</f>
        <v>15</v>
      </c>
      <c r="H203" s="14">
        <f>IFERROR(__xludf.DUMMYFUNCTION("""COMPUTED_VALUE"""),2023.0)</f>
        <v>2023</v>
      </c>
      <c r="I203" s="14" t="str">
        <f>IFERROR(__xludf.DUMMYFUNCTION("""COMPUTED_VALUE"""),"COD")</f>
        <v>COD</v>
      </c>
      <c r="J203" s="14" t="str">
        <f>IFERROR(__xludf.DUMMYFUNCTION("""COMPUTED_VALUE"""),"Delivered*Quality of Items: Perfect condition")</f>
        <v>Delivered*Quality of Items: Perfect condition</v>
      </c>
      <c r="K203" s="14" t="str">
        <f>IFERROR(__xludf.DUMMYFUNCTION("split(E203,""+"")"),"Papaya")</f>
        <v>Papaya</v>
      </c>
      <c r="L203" s="14" t="str">
        <f>IFERROR(__xludf.DUMMYFUNCTION("""COMPUTED_VALUE"""),"1*Sita T")</f>
        <v>1*Sita T</v>
      </c>
      <c r="M203" s="14">
        <f>IFERROR(__xludf.DUMMYFUNCTION("SPLIT(L203,""*"")"),1.0)</f>
        <v>1</v>
      </c>
      <c r="N203" s="14" t="str">
        <f>IFERROR(__xludf.DUMMYFUNCTION("""COMPUTED_VALUE"""),"Sita T")</f>
        <v>Sita T</v>
      </c>
      <c r="O203" s="14" t="str">
        <f>IFERROR(__xludf.DUMMYFUNCTION("split(J203,""*"")"),"Delivered")</f>
        <v>Delivered</v>
      </c>
      <c r="P203" s="14" t="str">
        <f>IFERROR(__xludf.DUMMYFUNCTION("""COMPUTED_VALUE"""),"Quality of Items: Perfect condition")</f>
        <v>Quality of Items: Perfect condition</v>
      </c>
      <c r="Q203" s="14" t="str">
        <f>IFERROR(__xludf.DUMMYFUNCTION("split(P203,"":"")"),"Quality of Items")</f>
        <v>Quality of Items</v>
      </c>
      <c r="R203" s="14" t="str">
        <f>IFERROR(__xludf.DUMMYFUNCTION("""COMPUTED_VALUE""")," Perfect condition")</f>
        <v> Perfect condition</v>
      </c>
      <c r="S203" s="14" t="str">
        <f t="shared" ref="S203:U203" si="409">trim(B203)</f>
        <v>ord_10202</v>
      </c>
      <c r="T203" s="14" t="str">
        <f t="shared" si="409"/>
        <v>Mehul Thakkar</v>
      </c>
      <c r="U203" s="14" t="str">
        <f t="shared" si="409"/>
        <v>Malad</v>
      </c>
      <c r="V203" s="14" t="str">
        <f t="shared" si="4"/>
        <v>Papaya</v>
      </c>
      <c r="W203" s="14">
        <f t="shared" si="5"/>
        <v>1</v>
      </c>
      <c r="X203" s="14" t="str">
        <f t="shared" si="6"/>
        <v>Sita T</v>
      </c>
      <c r="Y203" s="15">
        <f t="shared" si="7"/>
        <v>45184</v>
      </c>
      <c r="Z203" s="14" t="str">
        <f t="shared" si="8"/>
        <v>COD</v>
      </c>
      <c r="AA203" s="14" t="str">
        <f t="shared" si="9"/>
        <v>Delivered</v>
      </c>
      <c r="AB203" s="14" t="str">
        <f t="shared" ref="AB203:AC203" si="410">trim(Q203)</f>
        <v>Quality of Items</v>
      </c>
      <c r="AC203" s="14" t="str">
        <f t="shared" si="410"/>
        <v>Perfect condition</v>
      </c>
      <c r="AD203" s="8"/>
    </row>
    <row r="204">
      <c r="A204" s="14" t="str">
        <f>IFERROR(__xludf.DUMMYFUNCTION("""COMPUTED_VALUE"""),"//ord_10203//Kritika Shetty//Malad//Cucumber+2*Shine Thomas/5/30/2023//COD//Delivered*Packaging: Secure and intact")</f>
        <v>//ord_10203//Kritika Shetty//Malad//Cucumber+2*Shine Thomas/5/30/2023//COD//Delivered*Packaging: Secure and intact</v>
      </c>
      <c r="B204" s="14" t="str">
        <f>IFERROR(__xludf.DUMMYFUNCTION("split(A204,""//"")"),"ord_10203")</f>
        <v>ord_10203</v>
      </c>
      <c r="C204" s="14" t="str">
        <f>IFERROR(__xludf.DUMMYFUNCTION("""COMPUTED_VALUE"""),"Kritika Shetty")</f>
        <v>Kritika Shetty</v>
      </c>
      <c r="D204" s="14" t="str">
        <f>IFERROR(__xludf.DUMMYFUNCTION("""COMPUTED_VALUE"""),"Malad")</f>
        <v>Malad</v>
      </c>
      <c r="E204" s="14" t="str">
        <f>IFERROR(__xludf.DUMMYFUNCTION("""COMPUTED_VALUE"""),"Cucumber+2*Shine Thomas")</f>
        <v>Cucumber+2*Shine Thomas</v>
      </c>
      <c r="F204" s="14">
        <f>IFERROR(__xludf.DUMMYFUNCTION("""COMPUTED_VALUE"""),5.0)</f>
        <v>5</v>
      </c>
      <c r="G204" s="14">
        <f>IFERROR(__xludf.DUMMYFUNCTION("""COMPUTED_VALUE"""),30.0)</f>
        <v>30</v>
      </c>
      <c r="H204" s="14">
        <f>IFERROR(__xludf.DUMMYFUNCTION("""COMPUTED_VALUE"""),2023.0)</f>
        <v>2023</v>
      </c>
      <c r="I204" s="14" t="str">
        <f>IFERROR(__xludf.DUMMYFUNCTION("""COMPUTED_VALUE"""),"COD")</f>
        <v>COD</v>
      </c>
      <c r="J204" s="14" t="str">
        <f>IFERROR(__xludf.DUMMYFUNCTION("""COMPUTED_VALUE"""),"Delivered*Packaging: Secure and intact")</f>
        <v>Delivered*Packaging: Secure and intact</v>
      </c>
      <c r="K204" s="14" t="str">
        <f>IFERROR(__xludf.DUMMYFUNCTION("split(E204,""+"")"),"Cucumber")</f>
        <v>Cucumber</v>
      </c>
      <c r="L204" s="14" t="str">
        <f>IFERROR(__xludf.DUMMYFUNCTION("""COMPUTED_VALUE"""),"2*Shine Thomas")</f>
        <v>2*Shine Thomas</v>
      </c>
      <c r="M204" s="14">
        <f>IFERROR(__xludf.DUMMYFUNCTION("SPLIT(L204,""*"")"),2.0)</f>
        <v>2</v>
      </c>
      <c r="N204" s="14" t="str">
        <f>IFERROR(__xludf.DUMMYFUNCTION("""COMPUTED_VALUE"""),"Shine Thomas")</f>
        <v>Shine Thomas</v>
      </c>
      <c r="O204" s="14" t="str">
        <f>IFERROR(__xludf.DUMMYFUNCTION("split(J204,""*"")"),"Delivered")</f>
        <v>Delivered</v>
      </c>
      <c r="P204" s="14" t="str">
        <f>IFERROR(__xludf.DUMMYFUNCTION("""COMPUTED_VALUE"""),"Packaging: Secure and intact")</f>
        <v>Packaging: Secure and intact</v>
      </c>
      <c r="Q204" s="14" t="str">
        <f>IFERROR(__xludf.DUMMYFUNCTION("split(P204,"":"")"),"Packaging")</f>
        <v>Packaging</v>
      </c>
      <c r="R204" s="14" t="str">
        <f>IFERROR(__xludf.DUMMYFUNCTION("""COMPUTED_VALUE""")," Secure and intact")</f>
        <v> Secure and intact</v>
      </c>
      <c r="S204" s="14" t="str">
        <f t="shared" ref="S204:U204" si="411">trim(B204)</f>
        <v>ord_10203</v>
      </c>
      <c r="T204" s="14" t="str">
        <f t="shared" si="411"/>
        <v>Kritika Shetty</v>
      </c>
      <c r="U204" s="14" t="str">
        <f t="shared" si="411"/>
        <v>Malad</v>
      </c>
      <c r="V204" s="14" t="str">
        <f t="shared" si="4"/>
        <v>Cucumber</v>
      </c>
      <c r="W204" s="14">
        <f t="shared" si="5"/>
        <v>2</v>
      </c>
      <c r="X204" s="14" t="str">
        <f t="shared" si="6"/>
        <v>Shine Thomas</v>
      </c>
      <c r="Y204" s="15">
        <f t="shared" si="7"/>
        <v>45076</v>
      </c>
      <c r="Z204" s="14" t="str">
        <f t="shared" si="8"/>
        <v>COD</v>
      </c>
      <c r="AA204" s="14" t="str">
        <f t="shared" si="9"/>
        <v>Delivered</v>
      </c>
      <c r="AB204" s="14" t="str">
        <f t="shared" ref="AB204:AC204" si="412">trim(Q204)</f>
        <v>Packaging</v>
      </c>
      <c r="AC204" s="14" t="str">
        <f t="shared" si="412"/>
        <v>Secure and intact</v>
      </c>
      <c r="AD204" s="8"/>
    </row>
    <row r="205">
      <c r="A205" s="14" t="str">
        <f>IFERROR(__xludf.DUMMYFUNCTION("""COMPUTED_VALUE"""),"//ord_10204//Parth Goel//Juhu//Chocolate Mousse+3*Shine Thomas/2/22/2023//COD//Delivered*Satisfied with the Delivery: Timely and quality")</f>
        <v>//ord_10204//Parth Goel//Juhu//Chocolate Mousse+3*Shine Thomas/2/22/2023//COD//Delivered*Satisfied with the Delivery: Timely and quality</v>
      </c>
      <c r="B205" s="14" t="str">
        <f>IFERROR(__xludf.DUMMYFUNCTION("split(A205,""//"")"),"ord_10204")</f>
        <v>ord_10204</v>
      </c>
      <c r="C205" s="14" t="str">
        <f>IFERROR(__xludf.DUMMYFUNCTION("""COMPUTED_VALUE"""),"Parth Goel")</f>
        <v>Parth Goel</v>
      </c>
      <c r="D205" s="14" t="str">
        <f>IFERROR(__xludf.DUMMYFUNCTION("""COMPUTED_VALUE"""),"Juhu")</f>
        <v>Juhu</v>
      </c>
      <c r="E205" s="14" t="str">
        <f>IFERROR(__xludf.DUMMYFUNCTION("""COMPUTED_VALUE"""),"Chocolate Mousse+3*Shine Thomas")</f>
        <v>Chocolate Mousse+3*Shine Thomas</v>
      </c>
      <c r="F205" s="14">
        <f>IFERROR(__xludf.DUMMYFUNCTION("""COMPUTED_VALUE"""),2.0)</f>
        <v>2</v>
      </c>
      <c r="G205" s="14">
        <f>IFERROR(__xludf.DUMMYFUNCTION("""COMPUTED_VALUE"""),22.0)</f>
        <v>22</v>
      </c>
      <c r="H205" s="14">
        <f>IFERROR(__xludf.DUMMYFUNCTION("""COMPUTED_VALUE"""),2023.0)</f>
        <v>2023</v>
      </c>
      <c r="I205" s="14" t="str">
        <f>IFERROR(__xludf.DUMMYFUNCTION("""COMPUTED_VALUE"""),"COD")</f>
        <v>COD</v>
      </c>
      <c r="J205" s="14" t="str">
        <f>IFERROR(__xludf.DUMMYFUNCTION("""COMPUTED_VALUE"""),"Delivered*Satisfied with the Delivery: Timely and quality")</f>
        <v>Delivered*Satisfied with the Delivery: Timely and quality</v>
      </c>
      <c r="K205" s="14" t="str">
        <f>IFERROR(__xludf.DUMMYFUNCTION("split(E205,""+"")"),"Chocolate Mousse")</f>
        <v>Chocolate Mousse</v>
      </c>
      <c r="L205" s="14" t="str">
        <f>IFERROR(__xludf.DUMMYFUNCTION("""COMPUTED_VALUE"""),"3*Shine Thomas")</f>
        <v>3*Shine Thomas</v>
      </c>
      <c r="M205" s="14">
        <f>IFERROR(__xludf.DUMMYFUNCTION("SPLIT(L205,""*"")"),3.0)</f>
        <v>3</v>
      </c>
      <c r="N205" s="14" t="str">
        <f>IFERROR(__xludf.DUMMYFUNCTION("""COMPUTED_VALUE"""),"Shine Thomas")</f>
        <v>Shine Thomas</v>
      </c>
      <c r="O205" s="14" t="str">
        <f>IFERROR(__xludf.DUMMYFUNCTION("split(J205,""*"")"),"Delivered")</f>
        <v>Delivered</v>
      </c>
      <c r="P205" s="14" t="str">
        <f>IFERROR(__xludf.DUMMYFUNCTION("""COMPUTED_VALUE"""),"Satisfied with the Delivery: Timely and quality")</f>
        <v>Satisfied with the Delivery: Timely and quality</v>
      </c>
      <c r="Q205" s="14" t="str">
        <f>IFERROR(__xludf.DUMMYFUNCTION("split(P205,"":"")"),"Satisfied with the Delivery")</f>
        <v>Satisfied with the Delivery</v>
      </c>
      <c r="R205" s="14" t="str">
        <f>IFERROR(__xludf.DUMMYFUNCTION("""COMPUTED_VALUE""")," Timely and quality")</f>
        <v> Timely and quality</v>
      </c>
      <c r="S205" s="14" t="str">
        <f t="shared" ref="S205:U205" si="413">trim(B205)</f>
        <v>ord_10204</v>
      </c>
      <c r="T205" s="14" t="str">
        <f t="shared" si="413"/>
        <v>Parth Goel</v>
      </c>
      <c r="U205" s="14" t="str">
        <f t="shared" si="413"/>
        <v>Juhu</v>
      </c>
      <c r="V205" s="14" t="str">
        <f t="shared" si="4"/>
        <v>Chocolate Mousse</v>
      </c>
      <c r="W205" s="14">
        <f t="shared" si="5"/>
        <v>3</v>
      </c>
      <c r="X205" s="14" t="str">
        <f t="shared" si="6"/>
        <v>Shine Thomas</v>
      </c>
      <c r="Y205" s="15">
        <f t="shared" si="7"/>
        <v>44979</v>
      </c>
      <c r="Z205" s="14" t="str">
        <f t="shared" si="8"/>
        <v>COD</v>
      </c>
      <c r="AA205" s="14" t="str">
        <f t="shared" si="9"/>
        <v>Delivered</v>
      </c>
      <c r="AB205" s="14" t="str">
        <f t="shared" ref="AB205:AC205" si="414">trim(Q205)</f>
        <v>Satisfied with the Delivery</v>
      </c>
      <c r="AC205" s="14" t="str">
        <f t="shared" si="414"/>
        <v>Timely and quality</v>
      </c>
      <c r="AD205" s="8"/>
    </row>
    <row r="206">
      <c r="A206" s="14" t="str">
        <f>IFERROR(__xludf.DUMMYFUNCTION("""COMPUTED_VALUE"""),"//ord_10205//Sanjay Nair//Dadar//Cucumber+2*Aman Kumar/5/26/2023//Credit Card//Delivered*Customer Service: Seamless and easy")</f>
        <v>//ord_10205//Sanjay Nair//Dadar//Cucumber+2*Aman Kumar/5/26/2023//Credit Card//Delivered*Customer Service: Seamless and easy</v>
      </c>
      <c r="B206" s="14" t="str">
        <f>IFERROR(__xludf.DUMMYFUNCTION("split(A206,""//"")"),"ord_10205")</f>
        <v>ord_10205</v>
      </c>
      <c r="C206" s="14" t="str">
        <f>IFERROR(__xludf.DUMMYFUNCTION("""COMPUTED_VALUE"""),"Sanjay Nair")</f>
        <v>Sanjay Nair</v>
      </c>
      <c r="D206" s="14" t="str">
        <f>IFERROR(__xludf.DUMMYFUNCTION("""COMPUTED_VALUE"""),"Dadar")</f>
        <v>Dadar</v>
      </c>
      <c r="E206" s="14" t="str">
        <f>IFERROR(__xludf.DUMMYFUNCTION("""COMPUTED_VALUE"""),"Cucumber+2*Aman Kumar")</f>
        <v>Cucumber+2*Aman Kumar</v>
      </c>
      <c r="F206" s="14">
        <f>IFERROR(__xludf.DUMMYFUNCTION("""COMPUTED_VALUE"""),5.0)</f>
        <v>5</v>
      </c>
      <c r="G206" s="14">
        <f>IFERROR(__xludf.DUMMYFUNCTION("""COMPUTED_VALUE"""),26.0)</f>
        <v>26</v>
      </c>
      <c r="H206" s="14">
        <f>IFERROR(__xludf.DUMMYFUNCTION("""COMPUTED_VALUE"""),2023.0)</f>
        <v>2023</v>
      </c>
      <c r="I206" s="14" t="str">
        <f>IFERROR(__xludf.DUMMYFUNCTION("""COMPUTED_VALUE"""),"Credit Card")</f>
        <v>Credit Card</v>
      </c>
      <c r="J206" s="14" t="str">
        <f>IFERROR(__xludf.DUMMYFUNCTION("""COMPUTED_VALUE"""),"Delivered*Customer Service: Seamless and easy")</f>
        <v>Delivered*Customer Service: Seamless and easy</v>
      </c>
      <c r="K206" s="14" t="str">
        <f>IFERROR(__xludf.DUMMYFUNCTION("split(E206,""+"")"),"Cucumber")</f>
        <v>Cucumber</v>
      </c>
      <c r="L206" s="14" t="str">
        <f>IFERROR(__xludf.DUMMYFUNCTION("""COMPUTED_VALUE"""),"2*Aman Kumar")</f>
        <v>2*Aman Kumar</v>
      </c>
      <c r="M206" s="14">
        <f>IFERROR(__xludf.DUMMYFUNCTION("SPLIT(L206,""*"")"),2.0)</f>
        <v>2</v>
      </c>
      <c r="N206" s="14" t="str">
        <f>IFERROR(__xludf.DUMMYFUNCTION("""COMPUTED_VALUE"""),"Aman Kumar")</f>
        <v>Aman Kumar</v>
      </c>
      <c r="O206" s="14" t="str">
        <f>IFERROR(__xludf.DUMMYFUNCTION("split(J206,""*"")"),"Delivered")</f>
        <v>Delivered</v>
      </c>
      <c r="P206" s="14" t="str">
        <f>IFERROR(__xludf.DUMMYFUNCTION("""COMPUTED_VALUE"""),"Customer Service: Seamless and easy")</f>
        <v>Customer Service: Seamless and easy</v>
      </c>
      <c r="Q206" s="14" t="str">
        <f>IFERROR(__xludf.DUMMYFUNCTION("split(P206,"":"")"),"Customer Service")</f>
        <v>Customer Service</v>
      </c>
      <c r="R206" s="14" t="str">
        <f>IFERROR(__xludf.DUMMYFUNCTION("""COMPUTED_VALUE""")," Seamless and easy")</f>
        <v> Seamless and easy</v>
      </c>
      <c r="S206" s="14" t="str">
        <f t="shared" ref="S206:U206" si="415">trim(B206)</f>
        <v>ord_10205</v>
      </c>
      <c r="T206" s="14" t="str">
        <f t="shared" si="415"/>
        <v>Sanjay Nair</v>
      </c>
      <c r="U206" s="14" t="str">
        <f t="shared" si="415"/>
        <v>Dadar</v>
      </c>
      <c r="V206" s="14" t="str">
        <f t="shared" si="4"/>
        <v>Cucumber</v>
      </c>
      <c r="W206" s="14">
        <f t="shared" si="5"/>
        <v>2</v>
      </c>
      <c r="X206" s="14" t="str">
        <f t="shared" si="6"/>
        <v>Aman Kumar</v>
      </c>
      <c r="Y206" s="15">
        <f t="shared" si="7"/>
        <v>45072</v>
      </c>
      <c r="Z206" s="14" t="str">
        <f t="shared" si="8"/>
        <v>Credit Card</v>
      </c>
      <c r="AA206" s="14" t="str">
        <f t="shared" si="9"/>
        <v>Delivered</v>
      </c>
      <c r="AB206" s="14" t="str">
        <f t="shared" ref="AB206:AC206" si="416">trim(Q206)</f>
        <v>Customer Service</v>
      </c>
      <c r="AC206" s="14" t="str">
        <f t="shared" si="416"/>
        <v>Seamless and easy</v>
      </c>
      <c r="AD206" s="8"/>
    </row>
    <row r="207">
      <c r="A207" s="14" t="str">
        <f>IFERROR(__xludf.DUMMYFUNCTION("""COMPUTED_VALUE"""),"//ord_10206//Parth Goel//Juhu//Sweet Corn+2*Manju Ajay/11/27/2023//Credit Card//Delivered*Delivery Experience: Quick and professional")</f>
        <v>//ord_10206//Parth Goel//Juhu//Sweet Corn+2*Manju Ajay/11/27/2023//Credit Card//Delivered*Delivery Experience: Quick and professional</v>
      </c>
      <c r="B207" s="14" t="str">
        <f>IFERROR(__xludf.DUMMYFUNCTION("split(A207,""//"")"),"ord_10206")</f>
        <v>ord_10206</v>
      </c>
      <c r="C207" s="14" t="str">
        <f>IFERROR(__xludf.DUMMYFUNCTION("""COMPUTED_VALUE"""),"Parth Goel")</f>
        <v>Parth Goel</v>
      </c>
      <c r="D207" s="14" t="str">
        <f>IFERROR(__xludf.DUMMYFUNCTION("""COMPUTED_VALUE"""),"Juhu")</f>
        <v>Juhu</v>
      </c>
      <c r="E207" s="14" t="str">
        <f>IFERROR(__xludf.DUMMYFUNCTION("""COMPUTED_VALUE"""),"Sweet Corn+2*Manju Ajay")</f>
        <v>Sweet Corn+2*Manju Ajay</v>
      </c>
      <c r="F207" s="14">
        <f>IFERROR(__xludf.DUMMYFUNCTION("""COMPUTED_VALUE"""),11.0)</f>
        <v>11</v>
      </c>
      <c r="G207" s="14">
        <f>IFERROR(__xludf.DUMMYFUNCTION("""COMPUTED_VALUE"""),27.0)</f>
        <v>27</v>
      </c>
      <c r="H207" s="14">
        <f>IFERROR(__xludf.DUMMYFUNCTION("""COMPUTED_VALUE"""),2023.0)</f>
        <v>2023</v>
      </c>
      <c r="I207" s="14" t="str">
        <f>IFERROR(__xludf.DUMMYFUNCTION("""COMPUTED_VALUE"""),"Credit Card")</f>
        <v>Credit Card</v>
      </c>
      <c r="J207" s="14" t="str">
        <f>IFERROR(__xludf.DUMMYFUNCTION("""COMPUTED_VALUE"""),"Delivered*Delivery Experience: Quick and professional")</f>
        <v>Delivered*Delivery Experience: Quick and professional</v>
      </c>
      <c r="K207" s="14" t="str">
        <f>IFERROR(__xludf.DUMMYFUNCTION("split(E207,""+"")"),"Sweet Corn")</f>
        <v>Sweet Corn</v>
      </c>
      <c r="L207" s="14" t="str">
        <f>IFERROR(__xludf.DUMMYFUNCTION("""COMPUTED_VALUE"""),"2*Manju Ajay")</f>
        <v>2*Manju Ajay</v>
      </c>
      <c r="M207" s="14">
        <f>IFERROR(__xludf.DUMMYFUNCTION("SPLIT(L207,""*"")"),2.0)</f>
        <v>2</v>
      </c>
      <c r="N207" s="14" t="str">
        <f>IFERROR(__xludf.DUMMYFUNCTION("""COMPUTED_VALUE"""),"Manju Ajay")</f>
        <v>Manju Ajay</v>
      </c>
      <c r="O207" s="14" t="str">
        <f>IFERROR(__xludf.DUMMYFUNCTION("split(J207,""*"")"),"Delivered")</f>
        <v>Delivered</v>
      </c>
      <c r="P207" s="14" t="str">
        <f>IFERROR(__xludf.DUMMYFUNCTION("""COMPUTED_VALUE"""),"Delivery Experience: Quick and professional")</f>
        <v>Delivery Experience: Quick and professional</v>
      </c>
      <c r="Q207" s="14" t="str">
        <f>IFERROR(__xludf.DUMMYFUNCTION("split(P207,"":"")"),"Delivery Experience")</f>
        <v>Delivery Experience</v>
      </c>
      <c r="R207" s="14" t="str">
        <f>IFERROR(__xludf.DUMMYFUNCTION("""COMPUTED_VALUE""")," Quick and professional")</f>
        <v> Quick and professional</v>
      </c>
      <c r="S207" s="14" t="str">
        <f t="shared" ref="S207:U207" si="417">trim(B207)</f>
        <v>ord_10206</v>
      </c>
      <c r="T207" s="14" t="str">
        <f t="shared" si="417"/>
        <v>Parth Goel</v>
      </c>
      <c r="U207" s="14" t="str">
        <f t="shared" si="417"/>
        <v>Juhu</v>
      </c>
      <c r="V207" s="14" t="str">
        <f t="shared" si="4"/>
        <v>Sweet Corn</v>
      </c>
      <c r="W207" s="14">
        <f t="shared" si="5"/>
        <v>2</v>
      </c>
      <c r="X207" s="14" t="str">
        <f t="shared" si="6"/>
        <v>Manju Ajay</v>
      </c>
      <c r="Y207" s="15">
        <f t="shared" si="7"/>
        <v>45257</v>
      </c>
      <c r="Z207" s="14" t="str">
        <f t="shared" si="8"/>
        <v>Credit Card</v>
      </c>
      <c r="AA207" s="14" t="str">
        <f t="shared" si="9"/>
        <v>Delivered</v>
      </c>
      <c r="AB207" s="14" t="str">
        <f t="shared" ref="AB207:AC207" si="418">trim(Q207)</f>
        <v>Delivery Experience</v>
      </c>
      <c r="AC207" s="14" t="str">
        <f t="shared" si="418"/>
        <v>Quick and professional</v>
      </c>
      <c r="AD207" s="8"/>
    </row>
    <row r="208">
      <c r="A208" s="14" t="str">
        <f>IFERROR(__xludf.DUMMYFUNCTION("""COMPUTED_VALUE"""),"//ord_10207//Ishita Banerjee//Juhu//Juice+3*Ramesh S/6/8/2023//Credit Card//Delivered*Convenience: Easy tracking")</f>
        <v>//ord_10207//Ishita Banerjee//Juhu//Juice+3*Ramesh S/6/8/2023//Credit Card//Delivered*Convenience: Easy tracking</v>
      </c>
      <c r="B208" s="14" t="str">
        <f>IFERROR(__xludf.DUMMYFUNCTION("split(A208,""//"")"),"ord_10207")</f>
        <v>ord_10207</v>
      </c>
      <c r="C208" s="14" t="str">
        <f>IFERROR(__xludf.DUMMYFUNCTION("""COMPUTED_VALUE"""),"Ishita Banerjee")</f>
        <v>Ishita Banerjee</v>
      </c>
      <c r="D208" s="14" t="str">
        <f>IFERROR(__xludf.DUMMYFUNCTION("""COMPUTED_VALUE"""),"Juhu")</f>
        <v>Juhu</v>
      </c>
      <c r="E208" s="14" t="str">
        <f>IFERROR(__xludf.DUMMYFUNCTION("""COMPUTED_VALUE"""),"Juice+3*Ramesh S")</f>
        <v>Juice+3*Ramesh S</v>
      </c>
      <c r="F208" s="14">
        <f>IFERROR(__xludf.DUMMYFUNCTION("""COMPUTED_VALUE"""),6.0)</f>
        <v>6</v>
      </c>
      <c r="G208" s="14">
        <f>IFERROR(__xludf.DUMMYFUNCTION("""COMPUTED_VALUE"""),8.0)</f>
        <v>8</v>
      </c>
      <c r="H208" s="14">
        <f>IFERROR(__xludf.DUMMYFUNCTION("""COMPUTED_VALUE"""),2023.0)</f>
        <v>2023</v>
      </c>
      <c r="I208" s="14" t="str">
        <f>IFERROR(__xludf.DUMMYFUNCTION("""COMPUTED_VALUE"""),"Credit Card")</f>
        <v>Credit Card</v>
      </c>
      <c r="J208" s="14" t="str">
        <f>IFERROR(__xludf.DUMMYFUNCTION("""COMPUTED_VALUE"""),"Delivered*Convenience: Easy tracking")</f>
        <v>Delivered*Convenience: Easy tracking</v>
      </c>
      <c r="K208" s="14" t="str">
        <f>IFERROR(__xludf.DUMMYFUNCTION("split(E208,""+"")"),"Juice")</f>
        <v>Juice</v>
      </c>
      <c r="L208" s="14" t="str">
        <f>IFERROR(__xludf.DUMMYFUNCTION("""COMPUTED_VALUE"""),"3*Ramesh S")</f>
        <v>3*Ramesh S</v>
      </c>
      <c r="M208" s="14">
        <f>IFERROR(__xludf.DUMMYFUNCTION("SPLIT(L208,""*"")"),3.0)</f>
        <v>3</v>
      </c>
      <c r="N208" s="14" t="str">
        <f>IFERROR(__xludf.DUMMYFUNCTION("""COMPUTED_VALUE"""),"Ramesh S")</f>
        <v>Ramesh S</v>
      </c>
      <c r="O208" s="14" t="str">
        <f>IFERROR(__xludf.DUMMYFUNCTION("split(J208,""*"")"),"Delivered")</f>
        <v>Delivered</v>
      </c>
      <c r="P208" s="14" t="str">
        <f>IFERROR(__xludf.DUMMYFUNCTION("""COMPUTED_VALUE"""),"Convenience: Easy tracking")</f>
        <v>Convenience: Easy tracking</v>
      </c>
      <c r="Q208" s="14" t="str">
        <f>IFERROR(__xludf.DUMMYFUNCTION("split(P208,"":"")"),"Convenience")</f>
        <v>Convenience</v>
      </c>
      <c r="R208" s="14" t="str">
        <f>IFERROR(__xludf.DUMMYFUNCTION("""COMPUTED_VALUE""")," Easy tracking")</f>
        <v> Easy tracking</v>
      </c>
      <c r="S208" s="14" t="str">
        <f t="shared" ref="S208:U208" si="419">trim(B208)</f>
        <v>ord_10207</v>
      </c>
      <c r="T208" s="14" t="str">
        <f t="shared" si="419"/>
        <v>Ishita Banerjee</v>
      </c>
      <c r="U208" s="14" t="str">
        <f t="shared" si="419"/>
        <v>Juhu</v>
      </c>
      <c r="V208" s="14" t="str">
        <f t="shared" si="4"/>
        <v>Juice</v>
      </c>
      <c r="W208" s="14">
        <f t="shared" si="5"/>
        <v>3</v>
      </c>
      <c r="X208" s="14" t="str">
        <f t="shared" si="6"/>
        <v>Ramesh S</v>
      </c>
      <c r="Y208" s="15">
        <f t="shared" si="7"/>
        <v>45085</v>
      </c>
      <c r="Z208" s="14" t="str">
        <f t="shared" si="8"/>
        <v>Credit Card</v>
      </c>
      <c r="AA208" s="14" t="str">
        <f t="shared" si="9"/>
        <v>Delivered</v>
      </c>
      <c r="AB208" s="14" t="str">
        <f t="shared" ref="AB208:AC208" si="420">trim(Q208)</f>
        <v>Convenience</v>
      </c>
      <c r="AC208" s="14" t="str">
        <f t="shared" si="420"/>
        <v>Easy tracking</v>
      </c>
      <c r="AD208" s="8"/>
    </row>
    <row r="209">
      <c r="A209" s="14" t="str">
        <f>IFERROR(__xludf.DUMMYFUNCTION("""COMPUTED_VALUE"""),"//ord_10208//Anaya Rao//Colaba//Onion+1*Ramesh S/11/4/2023//Online Payment//Delivered*Overall Satisfaction: Great service will order again")</f>
        <v>//ord_10208//Anaya Rao//Colaba//Onion+1*Ramesh S/11/4/2023//Online Payment//Delivered*Overall Satisfaction: Great service will order again</v>
      </c>
      <c r="B209" s="14" t="str">
        <f>IFERROR(__xludf.DUMMYFUNCTION("split(A209,""//"")"),"ord_10208")</f>
        <v>ord_10208</v>
      </c>
      <c r="C209" s="14" t="str">
        <f>IFERROR(__xludf.DUMMYFUNCTION("""COMPUTED_VALUE"""),"Anaya Rao")</f>
        <v>Anaya Rao</v>
      </c>
      <c r="D209" s="14" t="str">
        <f>IFERROR(__xludf.DUMMYFUNCTION("""COMPUTED_VALUE"""),"Colaba")</f>
        <v>Colaba</v>
      </c>
      <c r="E209" s="14" t="str">
        <f>IFERROR(__xludf.DUMMYFUNCTION("""COMPUTED_VALUE"""),"Onion+1*Ramesh S")</f>
        <v>Onion+1*Ramesh S</v>
      </c>
      <c r="F209" s="14">
        <f>IFERROR(__xludf.DUMMYFUNCTION("""COMPUTED_VALUE"""),11.0)</f>
        <v>11</v>
      </c>
      <c r="G209" s="14">
        <f>IFERROR(__xludf.DUMMYFUNCTION("""COMPUTED_VALUE"""),4.0)</f>
        <v>4</v>
      </c>
      <c r="H209" s="14">
        <f>IFERROR(__xludf.DUMMYFUNCTION("""COMPUTED_VALUE"""),2023.0)</f>
        <v>2023</v>
      </c>
      <c r="I209" s="14" t="str">
        <f>IFERROR(__xludf.DUMMYFUNCTION("""COMPUTED_VALUE"""),"Online Payment")</f>
        <v>Online Payment</v>
      </c>
      <c r="J209" s="14" t="str">
        <f>IFERROR(__xludf.DUMMYFUNCTION("""COMPUTED_VALUE"""),"Delivered*Overall Satisfaction: Great service will order again")</f>
        <v>Delivered*Overall Satisfaction: Great service will order again</v>
      </c>
      <c r="K209" s="14" t="str">
        <f>IFERROR(__xludf.DUMMYFUNCTION("split(E209,""+"")"),"Onion")</f>
        <v>Onion</v>
      </c>
      <c r="L209" s="14" t="str">
        <f>IFERROR(__xludf.DUMMYFUNCTION("""COMPUTED_VALUE"""),"1*Ramesh S")</f>
        <v>1*Ramesh S</v>
      </c>
      <c r="M209" s="14">
        <f>IFERROR(__xludf.DUMMYFUNCTION("SPLIT(L209,""*"")"),1.0)</f>
        <v>1</v>
      </c>
      <c r="N209" s="14" t="str">
        <f>IFERROR(__xludf.DUMMYFUNCTION("""COMPUTED_VALUE"""),"Ramesh S")</f>
        <v>Ramesh S</v>
      </c>
      <c r="O209" s="14" t="str">
        <f>IFERROR(__xludf.DUMMYFUNCTION("split(J209,""*"")"),"Delivered")</f>
        <v>Delivered</v>
      </c>
      <c r="P209" s="14" t="str">
        <f>IFERROR(__xludf.DUMMYFUNCTION("""COMPUTED_VALUE"""),"Overall Satisfaction: Great service will order again")</f>
        <v>Overall Satisfaction: Great service will order again</v>
      </c>
      <c r="Q209" s="14" t="str">
        <f>IFERROR(__xludf.DUMMYFUNCTION("split(P209,"":"")"),"Overall Satisfaction")</f>
        <v>Overall Satisfaction</v>
      </c>
      <c r="R209" s="14" t="str">
        <f>IFERROR(__xludf.DUMMYFUNCTION("""COMPUTED_VALUE""")," Great service will order again")</f>
        <v> Great service will order again</v>
      </c>
      <c r="S209" s="14" t="str">
        <f t="shared" ref="S209:U209" si="421">trim(B209)</f>
        <v>ord_10208</v>
      </c>
      <c r="T209" s="14" t="str">
        <f t="shared" si="421"/>
        <v>Anaya Rao</v>
      </c>
      <c r="U209" s="14" t="str">
        <f t="shared" si="421"/>
        <v>Colaba</v>
      </c>
      <c r="V209" s="14" t="str">
        <f t="shared" si="4"/>
        <v>Onion</v>
      </c>
      <c r="W209" s="14">
        <f t="shared" si="5"/>
        <v>1</v>
      </c>
      <c r="X209" s="14" t="str">
        <f t="shared" si="6"/>
        <v>Ramesh S</v>
      </c>
      <c r="Y209" s="15">
        <f t="shared" si="7"/>
        <v>45234</v>
      </c>
      <c r="Z209" s="14" t="str">
        <f t="shared" si="8"/>
        <v>Online Payment</v>
      </c>
      <c r="AA209" s="14" t="str">
        <f t="shared" si="9"/>
        <v>Delivered</v>
      </c>
      <c r="AB209" s="14" t="str">
        <f t="shared" ref="AB209:AC209" si="422">trim(Q209)</f>
        <v>Overall Satisfaction</v>
      </c>
      <c r="AC209" s="14" t="str">
        <f t="shared" si="422"/>
        <v>Great service will order again</v>
      </c>
      <c r="AD209" s="8"/>
    </row>
    <row r="210">
      <c r="A210" s="14" t="str">
        <f>IFERROR(__xludf.DUMMYFUNCTION("""COMPUTED_VALUE"""),"//ord_10209//Kritika Shetty//Malad//Chocolate Mousse+4*Nithin Lal/4/13/2023//Online Payment//Delivered*On-time Delivery: Delivered on time")</f>
        <v>//ord_10209//Kritika Shetty//Malad//Chocolate Mousse+4*Nithin Lal/4/13/2023//Online Payment//Delivered*On-time Delivery: Delivered on time</v>
      </c>
      <c r="B210" s="14" t="str">
        <f>IFERROR(__xludf.DUMMYFUNCTION("split(A210,""//"")"),"ord_10209")</f>
        <v>ord_10209</v>
      </c>
      <c r="C210" s="14" t="str">
        <f>IFERROR(__xludf.DUMMYFUNCTION("""COMPUTED_VALUE"""),"Kritika Shetty")</f>
        <v>Kritika Shetty</v>
      </c>
      <c r="D210" s="14" t="str">
        <f>IFERROR(__xludf.DUMMYFUNCTION("""COMPUTED_VALUE"""),"Malad")</f>
        <v>Malad</v>
      </c>
      <c r="E210" s="14" t="str">
        <f>IFERROR(__xludf.DUMMYFUNCTION("""COMPUTED_VALUE"""),"Chocolate Mousse+4*Nithin Lal")</f>
        <v>Chocolate Mousse+4*Nithin Lal</v>
      </c>
      <c r="F210" s="14">
        <f>IFERROR(__xludf.DUMMYFUNCTION("""COMPUTED_VALUE"""),4.0)</f>
        <v>4</v>
      </c>
      <c r="G210" s="14">
        <f>IFERROR(__xludf.DUMMYFUNCTION("""COMPUTED_VALUE"""),13.0)</f>
        <v>13</v>
      </c>
      <c r="H210" s="14">
        <f>IFERROR(__xludf.DUMMYFUNCTION("""COMPUTED_VALUE"""),2023.0)</f>
        <v>2023</v>
      </c>
      <c r="I210" s="14" t="str">
        <f>IFERROR(__xludf.DUMMYFUNCTION("""COMPUTED_VALUE"""),"Online Payment")</f>
        <v>Online Payment</v>
      </c>
      <c r="J210" s="14" t="str">
        <f>IFERROR(__xludf.DUMMYFUNCTION("""COMPUTED_VALUE"""),"Delivered*On-time Delivery: Delivered on time")</f>
        <v>Delivered*On-time Delivery: Delivered on time</v>
      </c>
      <c r="K210" s="14" t="str">
        <f>IFERROR(__xludf.DUMMYFUNCTION("split(E210,""+"")"),"Chocolate Mousse")</f>
        <v>Chocolate Mousse</v>
      </c>
      <c r="L210" s="14" t="str">
        <f>IFERROR(__xludf.DUMMYFUNCTION("""COMPUTED_VALUE"""),"4*Nithin Lal")</f>
        <v>4*Nithin Lal</v>
      </c>
      <c r="M210" s="14">
        <f>IFERROR(__xludf.DUMMYFUNCTION("SPLIT(L210,""*"")"),4.0)</f>
        <v>4</v>
      </c>
      <c r="N210" s="14" t="str">
        <f>IFERROR(__xludf.DUMMYFUNCTION("""COMPUTED_VALUE"""),"Nithin Lal")</f>
        <v>Nithin Lal</v>
      </c>
      <c r="O210" s="14" t="str">
        <f>IFERROR(__xludf.DUMMYFUNCTION("split(J210,""*"")"),"Delivered")</f>
        <v>Delivered</v>
      </c>
      <c r="P210" s="14" t="str">
        <f>IFERROR(__xludf.DUMMYFUNCTION("""COMPUTED_VALUE"""),"On-time Delivery: Delivered on time")</f>
        <v>On-time Delivery: Delivered on time</v>
      </c>
      <c r="Q210" s="14" t="str">
        <f>IFERROR(__xludf.DUMMYFUNCTION("split(P210,"":"")"),"On-time Delivery")</f>
        <v>On-time Delivery</v>
      </c>
      <c r="R210" s="14" t="str">
        <f>IFERROR(__xludf.DUMMYFUNCTION("""COMPUTED_VALUE""")," Delivered on time")</f>
        <v> Delivered on time</v>
      </c>
      <c r="S210" s="14" t="str">
        <f t="shared" ref="S210:U210" si="423">trim(B210)</f>
        <v>ord_10209</v>
      </c>
      <c r="T210" s="14" t="str">
        <f t="shared" si="423"/>
        <v>Kritika Shetty</v>
      </c>
      <c r="U210" s="14" t="str">
        <f t="shared" si="423"/>
        <v>Malad</v>
      </c>
      <c r="V210" s="14" t="str">
        <f t="shared" si="4"/>
        <v>Chocolate Mousse</v>
      </c>
      <c r="W210" s="14">
        <f t="shared" si="5"/>
        <v>4</v>
      </c>
      <c r="X210" s="14" t="str">
        <f t="shared" si="6"/>
        <v>Nithin Lal</v>
      </c>
      <c r="Y210" s="15">
        <f t="shared" si="7"/>
        <v>45029</v>
      </c>
      <c r="Z210" s="14" t="str">
        <f t="shared" si="8"/>
        <v>Online Payment</v>
      </c>
      <c r="AA210" s="14" t="str">
        <f t="shared" si="9"/>
        <v>Delivered</v>
      </c>
      <c r="AB210" s="14" t="str">
        <f t="shared" ref="AB210:AC210" si="424">trim(Q210)</f>
        <v>On-time Delivery</v>
      </c>
      <c r="AC210" s="14" t="str">
        <f t="shared" si="424"/>
        <v>Delivered on time</v>
      </c>
      <c r="AD210" s="8"/>
    </row>
    <row r="211">
      <c r="A211" s="14" t="str">
        <f>IFERROR(__xludf.DUMMYFUNCTION("""COMPUTED_VALUE"""),"//ord_10210//Mohit Malhotra//Lower Parel//Rasmalai+3*Shine Thomas/5/24/2023//Online Payment//Delivered*Quality of Items: Perfect condition")</f>
        <v>//ord_10210//Mohit Malhotra//Lower Parel//Rasmalai+3*Shine Thomas/5/24/2023//Online Payment//Delivered*Quality of Items: Perfect condition</v>
      </c>
      <c r="B211" s="14" t="str">
        <f>IFERROR(__xludf.DUMMYFUNCTION("split(A211,""//"")"),"ord_10210")</f>
        <v>ord_10210</v>
      </c>
      <c r="C211" s="14" t="str">
        <f>IFERROR(__xludf.DUMMYFUNCTION("""COMPUTED_VALUE"""),"Mohit Malhotra")</f>
        <v>Mohit Malhotra</v>
      </c>
      <c r="D211" s="14" t="str">
        <f>IFERROR(__xludf.DUMMYFUNCTION("""COMPUTED_VALUE"""),"Lower Parel")</f>
        <v>Lower Parel</v>
      </c>
      <c r="E211" s="14" t="str">
        <f>IFERROR(__xludf.DUMMYFUNCTION("""COMPUTED_VALUE"""),"Rasmalai+3*Shine Thomas")</f>
        <v>Rasmalai+3*Shine Thomas</v>
      </c>
      <c r="F211" s="14">
        <f>IFERROR(__xludf.DUMMYFUNCTION("""COMPUTED_VALUE"""),5.0)</f>
        <v>5</v>
      </c>
      <c r="G211" s="14">
        <f>IFERROR(__xludf.DUMMYFUNCTION("""COMPUTED_VALUE"""),24.0)</f>
        <v>24</v>
      </c>
      <c r="H211" s="14">
        <f>IFERROR(__xludf.DUMMYFUNCTION("""COMPUTED_VALUE"""),2023.0)</f>
        <v>2023</v>
      </c>
      <c r="I211" s="14" t="str">
        <f>IFERROR(__xludf.DUMMYFUNCTION("""COMPUTED_VALUE"""),"Online Payment")</f>
        <v>Online Payment</v>
      </c>
      <c r="J211" s="14" t="str">
        <f>IFERROR(__xludf.DUMMYFUNCTION("""COMPUTED_VALUE"""),"Delivered*Quality of Items: Perfect condition")</f>
        <v>Delivered*Quality of Items: Perfect condition</v>
      </c>
      <c r="K211" s="14" t="str">
        <f>IFERROR(__xludf.DUMMYFUNCTION("split(E211,""+"")"),"Rasmalai")</f>
        <v>Rasmalai</v>
      </c>
      <c r="L211" s="14" t="str">
        <f>IFERROR(__xludf.DUMMYFUNCTION("""COMPUTED_VALUE"""),"3*Shine Thomas")</f>
        <v>3*Shine Thomas</v>
      </c>
      <c r="M211" s="14">
        <f>IFERROR(__xludf.DUMMYFUNCTION("SPLIT(L211,""*"")"),3.0)</f>
        <v>3</v>
      </c>
      <c r="N211" s="14" t="str">
        <f>IFERROR(__xludf.DUMMYFUNCTION("""COMPUTED_VALUE"""),"Shine Thomas")</f>
        <v>Shine Thomas</v>
      </c>
      <c r="O211" s="14" t="str">
        <f>IFERROR(__xludf.DUMMYFUNCTION("split(J211,""*"")"),"Delivered")</f>
        <v>Delivered</v>
      </c>
      <c r="P211" s="14" t="str">
        <f>IFERROR(__xludf.DUMMYFUNCTION("""COMPUTED_VALUE"""),"Quality of Items: Perfect condition")</f>
        <v>Quality of Items: Perfect condition</v>
      </c>
      <c r="Q211" s="14" t="str">
        <f>IFERROR(__xludf.DUMMYFUNCTION("split(P211,"":"")"),"Quality of Items")</f>
        <v>Quality of Items</v>
      </c>
      <c r="R211" s="14" t="str">
        <f>IFERROR(__xludf.DUMMYFUNCTION("""COMPUTED_VALUE""")," Perfect condition")</f>
        <v> Perfect condition</v>
      </c>
      <c r="S211" s="14" t="str">
        <f t="shared" ref="S211:U211" si="425">trim(B211)</f>
        <v>ord_10210</v>
      </c>
      <c r="T211" s="14" t="str">
        <f t="shared" si="425"/>
        <v>Mohit Malhotra</v>
      </c>
      <c r="U211" s="14" t="str">
        <f t="shared" si="425"/>
        <v>Lower Parel</v>
      </c>
      <c r="V211" s="14" t="str">
        <f t="shared" si="4"/>
        <v>Rasmalai</v>
      </c>
      <c r="W211" s="14">
        <f t="shared" si="5"/>
        <v>3</v>
      </c>
      <c r="X211" s="14" t="str">
        <f t="shared" si="6"/>
        <v>Shine Thomas</v>
      </c>
      <c r="Y211" s="15">
        <f t="shared" si="7"/>
        <v>45070</v>
      </c>
      <c r="Z211" s="14" t="str">
        <f t="shared" si="8"/>
        <v>Online Payment</v>
      </c>
      <c r="AA211" s="14" t="str">
        <f t="shared" si="9"/>
        <v>Delivered</v>
      </c>
      <c r="AB211" s="14" t="str">
        <f t="shared" ref="AB211:AC211" si="426">trim(Q211)</f>
        <v>Quality of Items</v>
      </c>
      <c r="AC211" s="14" t="str">
        <f t="shared" si="426"/>
        <v>Perfect condition</v>
      </c>
      <c r="AD211" s="8"/>
    </row>
    <row r="212">
      <c r="A212" s="14" t="str">
        <f>IFERROR(__xludf.DUMMYFUNCTION("""COMPUTED_VALUE"""),"//ord_10211//Tanishq Bansal//Powai//Orange+2*Ram Gopal/7/12/2023//UPI//Delivered*Packaging: Secure and intact")</f>
        <v>//ord_10211//Tanishq Bansal//Powai//Orange+2*Ram Gopal/7/12/2023//UPI//Delivered*Packaging: Secure and intact</v>
      </c>
      <c r="B212" s="14" t="str">
        <f>IFERROR(__xludf.DUMMYFUNCTION("split(A212,""//"")"),"ord_10211")</f>
        <v>ord_10211</v>
      </c>
      <c r="C212" s="14" t="str">
        <f>IFERROR(__xludf.DUMMYFUNCTION("""COMPUTED_VALUE"""),"Tanishq Bansal")</f>
        <v>Tanishq Bansal</v>
      </c>
      <c r="D212" s="14" t="str">
        <f>IFERROR(__xludf.DUMMYFUNCTION("""COMPUTED_VALUE"""),"Powai")</f>
        <v>Powai</v>
      </c>
      <c r="E212" s="14" t="str">
        <f>IFERROR(__xludf.DUMMYFUNCTION("""COMPUTED_VALUE"""),"Orange+2*Ram Gopal")</f>
        <v>Orange+2*Ram Gopal</v>
      </c>
      <c r="F212" s="14">
        <f>IFERROR(__xludf.DUMMYFUNCTION("""COMPUTED_VALUE"""),7.0)</f>
        <v>7</v>
      </c>
      <c r="G212" s="14">
        <f>IFERROR(__xludf.DUMMYFUNCTION("""COMPUTED_VALUE"""),12.0)</f>
        <v>12</v>
      </c>
      <c r="H212" s="14">
        <f>IFERROR(__xludf.DUMMYFUNCTION("""COMPUTED_VALUE"""),2023.0)</f>
        <v>2023</v>
      </c>
      <c r="I212" s="14" t="str">
        <f>IFERROR(__xludf.DUMMYFUNCTION("""COMPUTED_VALUE"""),"UPI")</f>
        <v>UPI</v>
      </c>
      <c r="J212" s="14" t="str">
        <f>IFERROR(__xludf.DUMMYFUNCTION("""COMPUTED_VALUE"""),"Delivered*Packaging: Secure and intact")</f>
        <v>Delivered*Packaging: Secure and intact</v>
      </c>
      <c r="K212" s="14" t="str">
        <f>IFERROR(__xludf.DUMMYFUNCTION("split(E212,""+"")"),"Orange")</f>
        <v>Orange</v>
      </c>
      <c r="L212" s="14" t="str">
        <f>IFERROR(__xludf.DUMMYFUNCTION("""COMPUTED_VALUE"""),"2*Ram Gopal")</f>
        <v>2*Ram Gopal</v>
      </c>
      <c r="M212" s="14">
        <f>IFERROR(__xludf.DUMMYFUNCTION("SPLIT(L212,""*"")"),2.0)</f>
        <v>2</v>
      </c>
      <c r="N212" s="14" t="str">
        <f>IFERROR(__xludf.DUMMYFUNCTION("""COMPUTED_VALUE"""),"Ram Gopal")</f>
        <v>Ram Gopal</v>
      </c>
      <c r="O212" s="14" t="str">
        <f>IFERROR(__xludf.DUMMYFUNCTION("split(J212,""*"")"),"Delivered")</f>
        <v>Delivered</v>
      </c>
      <c r="P212" s="14" t="str">
        <f>IFERROR(__xludf.DUMMYFUNCTION("""COMPUTED_VALUE"""),"Packaging: Secure and intact")</f>
        <v>Packaging: Secure and intact</v>
      </c>
      <c r="Q212" s="14" t="str">
        <f>IFERROR(__xludf.DUMMYFUNCTION("split(P212,"":"")"),"Packaging")</f>
        <v>Packaging</v>
      </c>
      <c r="R212" s="14" t="str">
        <f>IFERROR(__xludf.DUMMYFUNCTION("""COMPUTED_VALUE""")," Secure and intact")</f>
        <v> Secure and intact</v>
      </c>
      <c r="S212" s="14" t="str">
        <f t="shared" ref="S212:U212" si="427">trim(B212)</f>
        <v>ord_10211</v>
      </c>
      <c r="T212" s="14" t="str">
        <f t="shared" si="427"/>
        <v>Tanishq Bansal</v>
      </c>
      <c r="U212" s="14" t="str">
        <f t="shared" si="427"/>
        <v>Powai</v>
      </c>
      <c r="V212" s="14" t="str">
        <f t="shared" si="4"/>
        <v>Orange</v>
      </c>
      <c r="W212" s="14">
        <f t="shared" si="5"/>
        <v>2</v>
      </c>
      <c r="X212" s="14" t="str">
        <f t="shared" si="6"/>
        <v>Ram Gopal</v>
      </c>
      <c r="Y212" s="15">
        <f t="shared" si="7"/>
        <v>45119</v>
      </c>
      <c r="Z212" s="14" t="str">
        <f t="shared" si="8"/>
        <v>UPI</v>
      </c>
      <c r="AA212" s="14" t="str">
        <f t="shared" si="9"/>
        <v>Delivered</v>
      </c>
      <c r="AB212" s="14" t="str">
        <f t="shared" ref="AB212:AC212" si="428">trim(Q212)</f>
        <v>Packaging</v>
      </c>
      <c r="AC212" s="14" t="str">
        <f t="shared" si="428"/>
        <v>Secure and intact</v>
      </c>
      <c r="AD212" s="8"/>
    </row>
    <row r="213">
      <c r="A213" s="14" t="str">
        <f>IFERROR(__xludf.DUMMYFUNCTION("""COMPUTED_VALUE"""),"//ord_10212//Kavya Menon//Andheri//Apple+3*Rohan Yadav/12/24/2023//Online Payment//Delivered*Satisfied with the Delivery: Timely and quality")</f>
        <v>//ord_10212//Kavya Menon//Andheri//Apple+3*Rohan Yadav/12/24/2023//Online Payment//Delivered*Satisfied with the Delivery: Timely and quality</v>
      </c>
      <c r="B213" s="14" t="str">
        <f>IFERROR(__xludf.DUMMYFUNCTION("split(A213,""//"")"),"ord_10212")</f>
        <v>ord_10212</v>
      </c>
      <c r="C213" s="14" t="str">
        <f>IFERROR(__xludf.DUMMYFUNCTION("""COMPUTED_VALUE"""),"Kavya Menon")</f>
        <v>Kavya Menon</v>
      </c>
      <c r="D213" s="14" t="str">
        <f>IFERROR(__xludf.DUMMYFUNCTION("""COMPUTED_VALUE"""),"Andheri")</f>
        <v>Andheri</v>
      </c>
      <c r="E213" s="14" t="str">
        <f>IFERROR(__xludf.DUMMYFUNCTION("""COMPUTED_VALUE"""),"Apple+3*Rohan Yadav")</f>
        <v>Apple+3*Rohan Yadav</v>
      </c>
      <c r="F213" s="14">
        <f>IFERROR(__xludf.DUMMYFUNCTION("""COMPUTED_VALUE"""),12.0)</f>
        <v>12</v>
      </c>
      <c r="G213" s="14">
        <f>IFERROR(__xludf.DUMMYFUNCTION("""COMPUTED_VALUE"""),24.0)</f>
        <v>24</v>
      </c>
      <c r="H213" s="14">
        <f>IFERROR(__xludf.DUMMYFUNCTION("""COMPUTED_VALUE"""),2023.0)</f>
        <v>2023</v>
      </c>
      <c r="I213" s="14" t="str">
        <f>IFERROR(__xludf.DUMMYFUNCTION("""COMPUTED_VALUE"""),"Online Payment")</f>
        <v>Online Payment</v>
      </c>
      <c r="J213" s="14" t="str">
        <f>IFERROR(__xludf.DUMMYFUNCTION("""COMPUTED_VALUE"""),"Delivered*Satisfied with the Delivery: Timely and quality")</f>
        <v>Delivered*Satisfied with the Delivery: Timely and quality</v>
      </c>
      <c r="K213" s="14" t="str">
        <f>IFERROR(__xludf.DUMMYFUNCTION("split(E213,""+"")"),"Apple")</f>
        <v>Apple</v>
      </c>
      <c r="L213" s="14" t="str">
        <f>IFERROR(__xludf.DUMMYFUNCTION("""COMPUTED_VALUE"""),"3*Rohan Yadav")</f>
        <v>3*Rohan Yadav</v>
      </c>
      <c r="M213" s="14">
        <f>IFERROR(__xludf.DUMMYFUNCTION("SPLIT(L213,""*"")"),3.0)</f>
        <v>3</v>
      </c>
      <c r="N213" s="14" t="str">
        <f>IFERROR(__xludf.DUMMYFUNCTION("""COMPUTED_VALUE"""),"Rohan Yadav")</f>
        <v>Rohan Yadav</v>
      </c>
      <c r="O213" s="14" t="str">
        <f>IFERROR(__xludf.DUMMYFUNCTION("split(J213,""*"")"),"Delivered")</f>
        <v>Delivered</v>
      </c>
      <c r="P213" s="14" t="str">
        <f>IFERROR(__xludf.DUMMYFUNCTION("""COMPUTED_VALUE"""),"Satisfied with the Delivery: Timely and quality")</f>
        <v>Satisfied with the Delivery: Timely and quality</v>
      </c>
      <c r="Q213" s="14" t="str">
        <f>IFERROR(__xludf.DUMMYFUNCTION("split(P213,"":"")"),"Satisfied with the Delivery")</f>
        <v>Satisfied with the Delivery</v>
      </c>
      <c r="R213" s="14" t="str">
        <f>IFERROR(__xludf.DUMMYFUNCTION("""COMPUTED_VALUE""")," Timely and quality")</f>
        <v> Timely and quality</v>
      </c>
      <c r="S213" s="14" t="str">
        <f t="shared" ref="S213:U213" si="429">trim(B213)</f>
        <v>ord_10212</v>
      </c>
      <c r="T213" s="14" t="str">
        <f t="shared" si="429"/>
        <v>Kavya Menon</v>
      </c>
      <c r="U213" s="14" t="str">
        <f t="shared" si="429"/>
        <v>Andheri</v>
      </c>
      <c r="V213" s="14" t="str">
        <f t="shared" si="4"/>
        <v>Apple</v>
      </c>
      <c r="W213" s="14">
        <f t="shared" si="5"/>
        <v>3</v>
      </c>
      <c r="X213" s="14" t="str">
        <f t="shared" si="6"/>
        <v>Rohan Yadav</v>
      </c>
      <c r="Y213" s="15">
        <f t="shared" si="7"/>
        <v>45284</v>
      </c>
      <c r="Z213" s="14" t="str">
        <f t="shared" si="8"/>
        <v>Online Payment</v>
      </c>
      <c r="AA213" s="14" t="str">
        <f t="shared" si="9"/>
        <v>Delivered</v>
      </c>
      <c r="AB213" s="14" t="str">
        <f t="shared" ref="AB213:AC213" si="430">trim(Q213)</f>
        <v>Satisfied with the Delivery</v>
      </c>
      <c r="AC213" s="14" t="str">
        <f t="shared" si="430"/>
        <v>Timely and quality</v>
      </c>
      <c r="AD213" s="8"/>
    </row>
    <row r="214">
      <c r="A214" s="14" t="str">
        <f>IFERROR(__xludf.DUMMYFUNCTION("""COMPUTED_VALUE"""),"//ord_10213//Kavya Menon//Andheri//Rasmalai+6*Sita T/7/14/2023//Credit Card//Delivered*Customer Service: Seamless and easy")</f>
        <v>//ord_10213//Kavya Menon//Andheri//Rasmalai+6*Sita T/7/14/2023//Credit Card//Delivered*Customer Service: Seamless and easy</v>
      </c>
      <c r="B214" s="14" t="str">
        <f>IFERROR(__xludf.DUMMYFUNCTION("split(A214,""//"")"),"ord_10213")</f>
        <v>ord_10213</v>
      </c>
      <c r="C214" s="14" t="str">
        <f>IFERROR(__xludf.DUMMYFUNCTION("""COMPUTED_VALUE"""),"Kavya Menon")</f>
        <v>Kavya Menon</v>
      </c>
      <c r="D214" s="14" t="str">
        <f>IFERROR(__xludf.DUMMYFUNCTION("""COMPUTED_VALUE"""),"Andheri")</f>
        <v>Andheri</v>
      </c>
      <c r="E214" s="14" t="str">
        <f>IFERROR(__xludf.DUMMYFUNCTION("""COMPUTED_VALUE"""),"Rasmalai+6*Sita T")</f>
        <v>Rasmalai+6*Sita T</v>
      </c>
      <c r="F214" s="14">
        <f>IFERROR(__xludf.DUMMYFUNCTION("""COMPUTED_VALUE"""),7.0)</f>
        <v>7</v>
      </c>
      <c r="G214" s="14">
        <f>IFERROR(__xludf.DUMMYFUNCTION("""COMPUTED_VALUE"""),14.0)</f>
        <v>14</v>
      </c>
      <c r="H214" s="14">
        <f>IFERROR(__xludf.DUMMYFUNCTION("""COMPUTED_VALUE"""),2023.0)</f>
        <v>2023</v>
      </c>
      <c r="I214" s="14" t="str">
        <f>IFERROR(__xludf.DUMMYFUNCTION("""COMPUTED_VALUE"""),"Credit Card")</f>
        <v>Credit Card</v>
      </c>
      <c r="J214" s="14" t="str">
        <f>IFERROR(__xludf.DUMMYFUNCTION("""COMPUTED_VALUE"""),"Delivered*Customer Service: Seamless and easy")</f>
        <v>Delivered*Customer Service: Seamless and easy</v>
      </c>
      <c r="K214" s="14" t="str">
        <f>IFERROR(__xludf.DUMMYFUNCTION("split(E214,""+"")"),"Rasmalai")</f>
        <v>Rasmalai</v>
      </c>
      <c r="L214" s="14" t="str">
        <f>IFERROR(__xludf.DUMMYFUNCTION("""COMPUTED_VALUE"""),"6*Sita T")</f>
        <v>6*Sita T</v>
      </c>
      <c r="M214" s="14">
        <f>IFERROR(__xludf.DUMMYFUNCTION("SPLIT(L214,""*"")"),6.0)</f>
        <v>6</v>
      </c>
      <c r="N214" s="14" t="str">
        <f>IFERROR(__xludf.DUMMYFUNCTION("""COMPUTED_VALUE"""),"Sita T")</f>
        <v>Sita T</v>
      </c>
      <c r="O214" s="14" t="str">
        <f>IFERROR(__xludf.DUMMYFUNCTION("split(J214,""*"")"),"Delivered")</f>
        <v>Delivered</v>
      </c>
      <c r="P214" s="14" t="str">
        <f>IFERROR(__xludf.DUMMYFUNCTION("""COMPUTED_VALUE"""),"Customer Service: Seamless and easy")</f>
        <v>Customer Service: Seamless and easy</v>
      </c>
      <c r="Q214" s="14" t="str">
        <f>IFERROR(__xludf.DUMMYFUNCTION("split(P214,"":"")"),"Customer Service")</f>
        <v>Customer Service</v>
      </c>
      <c r="R214" s="14" t="str">
        <f>IFERROR(__xludf.DUMMYFUNCTION("""COMPUTED_VALUE""")," Seamless and easy")</f>
        <v> Seamless and easy</v>
      </c>
      <c r="S214" s="14" t="str">
        <f t="shared" ref="S214:U214" si="431">trim(B214)</f>
        <v>ord_10213</v>
      </c>
      <c r="T214" s="14" t="str">
        <f t="shared" si="431"/>
        <v>Kavya Menon</v>
      </c>
      <c r="U214" s="14" t="str">
        <f t="shared" si="431"/>
        <v>Andheri</v>
      </c>
      <c r="V214" s="14" t="str">
        <f t="shared" si="4"/>
        <v>Rasmalai</v>
      </c>
      <c r="W214" s="14">
        <f t="shared" si="5"/>
        <v>6</v>
      </c>
      <c r="X214" s="14" t="str">
        <f t="shared" si="6"/>
        <v>Sita T</v>
      </c>
      <c r="Y214" s="15">
        <f t="shared" si="7"/>
        <v>45121</v>
      </c>
      <c r="Z214" s="14" t="str">
        <f t="shared" si="8"/>
        <v>Credit Card</v>
      </c>
      <c r="AA214" s="14" t="str">
        <f t="shared" si="9"/>
        <v>Delivered</v>
      </c>
      <c r="AB214" s="14" t="str">
        <f t="shared" ref="AB214:AC214" si="432">trim(Q214)</f>
        <v>Customer Service</v>
      </c>
      <c r="AC214" s="14" t="str">
        <f t="shared" si="432"/>
        <v>Seamless and easy</v>
      </c>
      <c r="AD214" s="8"/>
    </row>
    <row r="215">
      <c r="A215" s="14" t="str">
        <f>IFERROR(__xludf.DUMMYFUNCTION("""COMPUTED_VALUE"""),"//ord_10214//Mehul Thakkar//Malad//Guava+1*Not Assigned/6/11/2023//Credit Card//Cancelled*Out of Stock")</f>
        <v>//ord_10214//Mehul Thakkar//Malad//Guava+1*Not Assigned/6/11/2023//Credit Card//Cancelled*Out of Stock</v>
      </c>
      <c r="B215" s="14" t="str">
        <f>IFERROR(__xludf.DUMMYFUNCTION("split(A215,""//"")"),"ord_10214")</f>
        <v>ord_10214</v>
      </c>
      <c r="C215" s="14" t="str">
        <f>IFERROR(__xludf.DUMMYFUNCTION("""COMPUTED_VALUE"""),"Mehul Thakkar")</f>
        <v>Mehul Thakkar</v>
      </c>
      <c r="D215" s="14" t="str">
        <f>IFERROR(__xludf.DUMMYFUNCTION("""COMPUTED_VALUE"""),"Malad")</f>
        <v>Malad</v>
      </c>
      <c r="E215" s="14" t="str">
        <f>IFERROR(__xludf.DUMMYFUNCTION("""COMPUTED_VALUE"""),"Guava+1*Not Assigned")</f>
        <v>Guava+1*Not Assigned</v>
      </c>
      <c r="F215" s="14">
        <f>IFERROR(__xludf.DUMMYFUNCTION("""COMPUTED_VALUE"""),6.0)</f>
        <v>6</v>
      </c>
      <c r="G215" s="14">
        <f>IFERROR(__xludf.DUMMYFUNCTION("""COMPUTED_VALUE"""),11.0)</f>
        <v>11</v>
      </c>
      <c r="H215" s="14">
        <f>IFERROR(__xludf.DUMMYFUNCTION("""COMPUTED_VALUE"""),2023.0)</f>
        <v>2023</v>
      </c>
      <c r="I215" s="14" t="str">
        <f>IFERROR(__xludf.DUMMYFUNCTION("""COMPUTED_VALUE"""),"Credit Card")</f>
        <v>Credit Card</v>
      </c>
      <c r="J215" s="14" t="str">
        <f>IFERROR(__xludf.DUMMYFUNCTION("""COMPUTED_VALUE"""),"Cancelled*Out of Stock")</f>
        <v>Cancelled*Out of Stock</v>
      </c>
      <c r="K215" s="14" t="str">
        <f>IFERROR(__xludf.DUMMYFUNCTION("split(E215,""+"")"),"Guava")</f>
        <v>Guava</v>
      </c>
      <c r="L215" s="14" t="str">
        <f>IFERROR(__xludf.DUMMYFUNCTION("""COMPUTED_VALUE"""),"1*Not Assigned")</f>
        <v>1*Not Assigned</v>
      </c>
      <c r="M215" s="14">
        <f>IFERROR(__xludf.DUMMYFUNCTION("SPLIT(L215,""*"")"),1.0)</f>
        <v>1</v>
      </c>
      <c r="N215" s="14" t="str">
        <f>IFERROR(__xludf.DUMMYFUNCTION("""COMPUTED_VALUE"""),"Not Assigned")</f>
        <v>Not Assigned</v>
      </c>
      <c r="O215" s="14" t="str">
        <f>IFERROR(__xludf.DUMMYFUNCTION("split(J215,""*"")"),"Cancelled")</f>
        <v>Cancelled</v>
      </c>
      <c r="P215" s="14" t="str">
        <f>IFERROR(__xludf.DUMMYFUNCTION("""COMPUTED_VALUE"""),"Out of Stock")</f>
        <v>Out of Stock</v>
      </c>
      <c r="Q215" s="14" t="str">
        <f>IFERROR(__xludf.DUMMYFUNCTION("split(P215,"":"")"),"Out of Stock")</f>
        <v>Out of Stock</v>
      </c>
      <c r="R215" s="14"/>
      <c r="S215" s="14" t="str">
        <f t="shared" ref="S215:U215" si="433">trim(B215)</f>
        <v>ord_10214</v>
      </c>
      <c r="T215" s="14" t="str">
        <f t="shared" si="433"/>
        <v>Mehul Thakkar</v>
      </c>
      <c r="U215" s="14" t="str">
        <f t="shared" si="433"/>
        <v>Malad</v>
      </c>
      <c r="V215" s="14" t="str">
        <f t="shared" si="4"/>
        <v>Guava</v>
      </c>
      <c r="W215" s="14">
        <f t="shared" si="5"/>
        <v>1</v>
      </c>
      <c r="X215" s="14" t="str">
        <f t="shared" si="6"/>
        <v>Not Assigned</v>
      </c>
      <c r="Y215" s="15">
        <f t="shared" si="7"/>
        <v>45088</v>
      </c>
      <c r="Z215" s="14" t="str">
        <f t="shared" si="8"/>
        <v>Credit Card</v>
      </c>
      <c r="AA215" s="14" t="str">
        <f t="shared" si="9"/>
        <v>Cancelled</v>
      </c>
      <c r="AB215" s="14" t="str">
        <f t="shared" ref="AB215:AC215" si="434">trim(Q215)</f>
        <v>Out of Stock</v>
      </c>
      <c r="AC215" s="14" t="str">
        <f t="shared" si="434"/>
        <v/>
      </c>
      <c r="AD215" s="8"/>
    </row>
    <row r="216">
      <c r="A216" s="14" t="str">
        <f>IFERROR(__xludf.DUMMYFUNCTION("""COMPUTED_VALUE"""),"//ord_10215//Mehul Thakkar//Malad//Papaya+2*Neha Shah/9/27/2023//Online Payment//Delivered*Delivery Experience: Quick and professional")</f>
        <v>//ord_10215//Mehul Thakkar//Malad//Papaya+2*Neha Shah/9/27/2023//Online Payment//Delivered*Delivery Experience: Quick and professional</v>
      </c>
      <c r="B216" s="14" t="str">
        <f>IFERROR(__xludf.DUMMYFUNCTION("split(A216,""//"")"),"ord_10215")</f>
        <v>ord_10215</v>
      </c>
      <c r="C216" s="14" t="str">
        <f>IFERROR(__xludf.DUMMYFUNCTION("""COMPUTED_VALUE"""),"Mehul Thakkar")</f>
        <v>Mehul Thakkar</v>
      </c>
      <c r="D216" s="14" t="str">
        <f>IFERROR(__xludf.DUMMYFUNCTION("""COMPUTED_VALUE"""),"Malad")</f>
        <v>Malad</v>
      </c>
      <c r="E216" s="14" t="str">
        <f>IFERROR(__xludf.DUMMYFUNCTION("""COMPUTED_VALUE"""),"Papaya+2*Neha Shah")</f>
        <v>Papaya+2*Neha Shah</v>
      </c>
      <c r="F216" s="14">
        <f>IFERROR(__xludf.DUMMYFUNCTION("""COMPUTED_VALUE"""),9.0)</f>
        <v>9</v>
      </c>
      <c r="G216" s="14">
        <f>IFERROR(__xludf.DUMMYFUNCTION("""COMPUTED_VALUE"""),27.0)</f>
        <v>27</v>
      </c>
      <c r="H216" s="14">
        <f>IFERROR(__xludf.DUMMYFUNCTION("""COMPUTED_VALUE"""),2023.0)</f>
        <v>2023</v>
      </c>
      <c r="I216" s="14" t="str">
        <f>IFERROR(__xludf.DUMMYFUNCTION("""COMPUTED_VALUE"""),"Online Payment")</f>
        <v>Online Payment</v>
      </c>
      <c r="J216" s="14" t="str">
        <f>IFERROR(__xludf.DUMMYFUNCTION("""COMPUTED_VALUE"""),"Delivered*Delivery Experience: Quick and professional")</f>
        <v>Delivered*Delivery Experience: Quick and professional</v>
      </c>
      <c r="K216" s="14" t="str">
        <f>IFERROR(__xludf.DUMMYFUNCTION("split(E216,""+"")"),"Papaya")</f>
        <v>Papaya</v>
      </c>
      <c r="L216" s="14" t="str">
        <f>IFERROR(__xludf.DUMMYFUNCTION("""COMPUTED_VALUE"""),"2*Neha Shah")</f>
        <v>2*Neha Shah</v>
      </c>
      <c r="M216" s="14">
        <f>IFERROR(__xludf.DUMMYFUNCTION("SPLIT(L216,""*"")"),2.0)</f>
        <v>2</v>
      </c>
      <c r="N216" s="14" t="str">
        <f>IFERROR(__xludf.DUMMYFUNCTION("""COMPUTED_VALUE"""),"Neha Shah")</f>
        <v>Neha Shah</v>
      </c>
      <c r="O216" s="14" t="str">
        <f>IFERROR(__xludf.DUMMYFUNCTION("split(J216,""*"")"),"Delivered")</f>
        <v>Delivered</v>
      </c>
      <c r="P216" s="14" t="str">
        <f>IFERROR(__xludf.DUMMYFUNCTION("""COMPUTED_VALUE"""),"Delivery Experience: Quick and professional")</f>
        <v>Delivery Experience: Quick and professional</v>
      </c>
      <c r="Q216" s="14" t="str">
        <f>IFERROR(__xludf.DUMMYFUNCTION("split(P216,"":"")"),"Delivery Experience")</f>
        <v>Delivery Experience</v>
      </c>
      <c r="R216" s="14" t="str">
        <f>IFERROR(__xludf.DUMMYFUNCTION("""COMPUTED_VALUE""")," Quick and professional")</f>
        <v> Quick and professional</v>
      </c>
      <c r="S216" s="14" t="str">
        <f t="shared" ref="S216:U216" si="435">trim(B216)</f>
        <v>ord_10215</v>
      </c>
      <c r="T216" s="14" t="str">
        <f t="shared" si="435"/>
        <v>Mehul Thakkar</v>
      </c>
      <c r="U216" s="14" t="str">
        <f t="shared" si="435"/>
        <v>Malad</v>
      </c>
      <c r="V216" s="14" t="str">
        <f t="shared" si="4"/>
        <v>Papaya</v>
      </c>
      <c r="W216" s="14">
        <f t="shared" si="5"/>
        <v>2</v>
      </c>
      <c r="X216" s="14" t="str">
        <f t="shared" si="6"/>
        <v>Neha Shah</v>
      </c>
      <c r="Y216" s="15">
        <f t="shared" si="7"/>
        <v>45196</v>
      </c>
      <c r="Z216" s="14" t="str">
        <f t="shared" si="8"/>
        <v>Online Payment</v>
      </c>
      <c r="AA216" s="14" t="str">
        <f t="shared" si="9"/>
        <v>Delivered</v>
      </c>
      <c r="AB216" s="14" t="str">
        <f t="shared" ref="AB216:AC216" si="436">trim(Q216)</f>
        <v>Delivery Experience</v>
      </c>
      <c r="AC216" s="14" t="str">
        <f t="shared" si="436"/>
        <v>Quick and professional</v>
      </c>
      <c r="AD216" s="8"/>
    </row>
    <row r="217">
      <c r="A217" s="14" t="str">
        <f>IFERROR(__xludf.DUMMYFUNCTION("""COMPUTED_VALUE"""),"//ord_10216//Aarohi Kapoor//Bandra//Chocolate Mousse+4*Priya Joshi/6/20/2023//Credit Card//Delivered*Convenience: Easy tracking")</f>
        <v>//ord_10216//Aarohi Kapoor//Bandra//Chocolate Mousse+4*Priya Joshi/6/20/2023//Credit Card//Delivered*Convenience: Easy tracking</v>
      </c>
      <c r="B217" s="14" t="str">
        <f>IFERROR(__xludf.DUMMYFUNCTION("split(A217,""//"")"),"ord_10216")</f>
        <v>ord_10216</v>
      </c>
      <c r="C217" s="14" t="str">
        <f>IFERROR(__xludf.DUMMYFUNCTION("""COMPUTED_VALUE"""),"Aarohi Kapoor")</f>
        <v>Aarohi Kapoor</v>
      </c>
      <c r="D217" s="14" t="str">
        <f>IFERROR(__xludf.DUMMYFUNCTION("""COMPUTED_VALUE"""),"Bandra")</f>
        <v>Bandra</v>
      </c>
      <c r="E217" s="14" t="str">
        <f>IFERROR(__xludf.DUMMYFUNCTION("""COMPUTED_VALUE"""),"Chocolate Mousse+4*Priya Joshi")</f>
        <v>Chocolate Mousse+4*Priya Joshi</v>
      </c>
      <c r="F217" s="14">
        <f>IFERROR(__xludf.DUMMYFUNCTION("""COMPUTED_VALUE"""),6.0)</f>
        <v>6</v>
      </c>
      <c r="G217" s="14">
        <f>IFERROR(__xludf.DUMMYFUNCTION("""COMPUTED_VALUE"""),20.0)</f>
        <v>20</v>
      </c>
      <c r="H217" s="14">
        <f>IFERROR(__xludf.DUMMYFUNCTION("""COMPUTED_VALUE"""),2023.0)</f>
        <v>2023</v>
      </c>
      <c r="I217" s="14" t="str">
        <f>IFERROR(__xludf.DUMMYFUNCTION("""COMPUTED_VALUE"""),"Credit Card")</f>
        <v>Credit Card</v>
      </c>
      <c r="J217" s="14" t="str">
        <f>IFERROR(__xludf.DUMMYFUNCTION("""COMPUTED_VALUE"""),"Delivered*Convenience: Easy tracking")</f>
        <v>Delivered*Convenience: Easy tracking</v>
      </c>
      <c r="K217" s="14" t="str">
        <f>IFERROR(__xludf.DUMMYFUNCTION("split(E217,""+"")"),"Chocolate Mousse")</f>
        <v>Chocolate Mousse</v>
      </c>
      <c r="L217" s="14" t="str">
        <f>IFERROR(__xludf.DUMMYFUNCTION("""COMPUTED_VALUE"""),"4*Priya Joshi")</f>
        <v>4*Priya Joshi</v>
      </c>
      <c r="M217" s="14">
        <f>IFERROR(__xludf.DUMMYFUNCTION("SPLIT(L217,""*"")"),4.0)</f>
        <v>4</v>
      </c>
      <c r="N217" s="14" t="str">
        <f>IFERROR(__xludf.DUMMYFUNCTION("""COMPUTED_VALUE"""),"Priya Joshi")</f>
        <v>Priya Joshi</v>
      </c>
      <c r="O217" s="14" t="str">
        <f>IFERROR(__xludf.DUMMYFUNCTION("split(J217,""*"")"),"Delivered")</f>
        <v>Delivered</v>
      </c>
      <c r="P217" s="14" t="str">
        <f>IFERROR(__xludf.DUMMYFUNCTION("""COMPUTED_VALUE"""),"Convenience: Easy tracking")</f>
        <v>Convenience: Easy tracking</v>
      </c>
      <c r="Q217" s="14" t="str">
        <f>IFERROR(__xludf.DUMMYFUNCTION("split(P217,"":"")"),"Convenience")</f>
        <v>Convenience</v>
      </c>
      <c r="R217" s="14" t="str">
        <f>IFERROR(__xludf.DUMMYFUNCTION("""COMPUTED_VALUE""")," Easy tracking")</f>
        <v> Easy tracking</v>
      </c>
      <c r="S217" s="14" t="str">
        <f t="shared" ref="S217:U217" si="437">trim(B217)</f>
        <v>ord_10216</v>
      </c>
      <c r="T217" s="14" t="str">
        <f t="shared" si="437"/>
        <v>Aarohi Kapoor</v>
      </c>
      <c r="U217" s="14" t="str">
        <f t="shared" si="437"/>
        <v>Bandra</v>
      </c>
      <c r="V217" s="14" t="str">
        <f t="shared" si="4"/>
        <v>Chocolate Mousse</v>
      </c>
      <c r="W217" s="14">
        <f t="shared" si="5"/>
        <v>4</v>
      </c>
      <c r="X217" s="14" t="str">
        <f t="shared" si="6"/>
        <v>Priya Joshi</v>
      </c>
      <c r="Y217" s="15">
        <f t="shared" si="7"/>
        <v>45097</v>
      </c>
      <c r="Z217" s="14" t="str">
        <f t="shared" si="8"/>
        <v>Credit Card</v>
      </c>
      <c r="AA217" s="14" t="str">
        <f t="shared" si="9"/>
        <v>Delivered</v>
      </c>
      <c r="AB217" s="14" t="str">
        <f t="shared" ref="AB217:AC217" si="438">trim(Q217)</f>
        <v>Convenience</v>
      </c>
      <c r="AC217" s="14" t="str">
        <f t="shared" si="438"/>
        <v>Easy tracking</v>
      </c>
      <c r="AD217" s="8"/>
    </row>
    <row r="218">
      <c r="A218" s="14" t="str">
        <f>IFERROR(__xludf.DUMMYFUNCTION("""COMPUTED_VALUE"""),"//ord_10217//Kritika Shetty//Malad//Rasmalai+5*Not Assigned/12/15/2023//UPI//Cancelled*High Delivery Fees")</f>
        <v>//ord_10217//Kritika Shetty//Malad//Rasmalai+5*Not Assigned/12/15/2023//UPI//Cancelled*High Delivery Fees</v>
      </c>
      <c r="B218" s="14" t="str">
        <f>IFERROR(__xludf.DUMMYFUNCTION("split(A218,""//"")"),"ord_10217")</f>
        <v>ord_10217</v>
      </c>
      <c r="C218" s="14" t="str">
        <f>IFERROR(__xludf.DUMMYFUNCTION("""COMPUTED_VALUE"""),"Kritika Shetty")</f>
        <v>Kritika Shetty</v>
      </c>
      <c r="D218" s="14" t="str">
        <f>IFERROR(__xludf.DUMMYFUNCTION("""COMPUTED_VALUE"""),"Malad")</f>
        <v>Malad</v>
      </c>
      <c r="E218" s="14" t="str">
        <f>IFERROR(__xludf.DUMMYFUNCTION("""COMPUTED_VALUE"""),"Rasmalai+5*Not Assigned")</f>
        <v>Rasmalai+5*Not Assigned</v>
      </c>
      <c r="F218" s="14">
        <f>IFERROR(__xludf.DUMMYFUNCTION("""COMPUTED_VALUE"""),12.0)</f>
        <v>12</v>
      </c>
      <c r="G218" s="14">
        <f>IFERROR(__xludf.DUMMYFUNCTION("""COMPUTED_VALUE"""),15.0)</f>
        <v>15</v>
      </c>
      <c r="H218" s="14">
        <f>IFERROR(__xludf.DUMMYFUNCTION("""COMPUTED_VALUE"""),2023.0)</f>
        <v>2023</v>
      </c>
      <c r="I218" s="14" t="str">
        <f>IFERROR(__xludf.DUMMYFUNCTION("""COMPUTED_VALUE"""),"UPI")</f>
        <v>UPI</v>
      </c>
      <c r="J218" s="14" t="str">
        <f>IFERROR(__xludf.DUMMYFUNCTION("""COMPUTED_VALUE"""),"Cancelled*High Delivery Fees")</f>
        <v>Cancelled*High Delivery Fees</v>
      </c>
      <c r="K218" s="14" t="str">
        <f>IFERROR(__xludf.DUMMYFUNCTION("split(E218,""+"")"),"Rasmalai")</f>
        <v>Rasmalai</v>
      </c>
      <c r="L218" s="14" t="str">
        <f>IFERROR(__xludf.DUMMYFUNCTION("""COMPUTED_VALUE"""),"5*Not Assigned")</f>
        <v>5*Not Assigned</v>
      </c>
      <c r="M218" s="14">
        <f>IFERROR(__xludf.DUMMYFUNCTION("SPLIT(L218,""*"")"),5.0)</f>
        <v>5</v>
      </c>
      <c r="N218" s="14" t="str">
        <f>IFERROR(__xludf.DUMMYFUNCTION("""COMPUTED_VALUE"""),"Not Assigned")</f>
        <v>Not Assigned</v>
      </c>
      <c r="O218" s="14" t="str">
        <f>IFERROR(__xludf.DUMMYFUNCTION("split(J218,""*"")"),"Cancelled")</f>
        <v>Cancelled</v>
      </c>
      <c r="P218" s="14" t="str">
        <f>IFERROR(__xludf.DUMMYFUNCTION("""COMPUTED_VALUE"""),"High Delivery Fees")</f>
        <v>High Delivery Fees</v>
      </c>
      <c r="Q218" s="14" t="str">
        <f>IFERROR(__xludf.DUMMYFUNCTION("split(P218,"":"")"),"High Delivery Fees")</f>
        <v>High Delivery Fees</v>
      </c>
      <c r="R218" s="14"/>
      <c r="S218" s="14" t="str">
        <f t="shared" ref="S218:U218" si="439">trim(B218)</f>
        <v>ord_10217</v>
      </c>
      <c r="T218" s="14" t="str">
        <f t="shared" si="439"/>
        <v>Kritika Shetty</v>
      </c>
      <c r="U218" s="14" t="str">
        <f t="shared" si="439"/>
        <v>Malad</v>
      </c>
      <c r="V218" s="14" t="str">
        <f t="shared" si="4"/>
        <v>Rasmalai</v>
      </c>
      <c r="W218" s="14">
        <f t="shared" si="5"/>
        <v>5</v>
      </c>
      <c r="X218" s="14" t="str">
        <f t="shared" si="6"/>
        <v>Not Assigned</v>
      </c>
      <c r="Y218" s="15">
        <f t="shared" si="7"/>
        <v>45275</v>
      </c>
      <c r="Z218" s="14" t="str">
        <f t="shared" si="8"/>
        <v>UPI</v>
      </c>
      <c r="AA218" s="14" t="str">
        <f t="shared" si="9"/>
        <v>Cancelled</v>
      </c>
      <c r="AB218" s="14" t="str">
        <f t="shared" ref="AB218:AC218" si="440">trim(Q218)</f>
        <v>High Delivery Fees</v>
      </c>
      <c r="AC218" s="14" t="str">
        <f t="shared" si="440"/>
        <v/>
      </c>
      <c r="AD218" s="8"/>
    </row>
    <row r="219">
      <c r="A219" s="14" t="str">
        <f>IFERROR(__xludf.DUMMYFUNCTION("""COMPUTED_VALUE"""),"//ord_10218//Aarav Mehta//Andheri//Onion+2*Shine Thomas/9/21/2023//Credit Card//Delivered*Overall Satisfaction: Great service will order again")</f>
        <v>//ord_10218//Aarav Mehta//Andheri//Onion+2*Shine Thomas/9/21/2023//Credit Card//Delivered*Overall Satisfaction: Great service will order again</v>
      </c>
      <c r="B219" s="14" t="str">
        <f>IFERROR(__xludf.DUMMYFUNCTION("split(A219,""//"")"),"ord_10218")</f>
        <v>ord_10218</v>
      </c>
      <c r="C219" s="14" t="str">
        <f>IFERROR(__xludf.DUMMYFUNCTION("""COMPUTED_VALUE"""),"Aarav Mehta")</f>
        <v>Aarav Mehta</v>
      </c>
      <c r="D219" s="14" t="str">
        <f>IFERROR(__xludf.DUMMYFUNCTION("""COMPUTED_VALUE"""),"Andheri")</f>
        <v>Andheri</v>
      </c>
      <c r="E219" s="14" t="str">
        <f>IFERROR(__xludf.DUMMYFUNCTION("""COMPUTED_VALUE"""),"Onion+2*Shine Thomas")</f>
        <v>Onion+2*Shine Thomas</v>
      </c>
      <c r="F219" s="14">
        <f>IFERROR(__xludf.DUMMYFUNCTION("""COMPUTED_VALUE"""),9.0)</f>
        <v>9</v>
      </c>
      <c r="G219" s="14">
        <f>IFERROR(__xludf.DUMMYFUNCTION("""COMPUTED_VALUE"""),21.0)</f>
        <v>21</v>
      </c>
      <c r="H219" s="14">
        <f>IFERROR(__xludf.DUMMYFUNCTION("""COMPUTED_VALUE"""),2023.0)</f>
        <v>2023</v>
      </c>
      <c r="I219" s="14" t="str">
        <f>IFERROR(__xludf.DUMMYFUNCTION("""COMPUTED_VALUE"""),"Credit Card")</f>
        <v>Credit Card</v>
      </c>
      <c r="J219" s="14" t="str">
        <f>IFERROR(__xludf.DUMMYFUNCTION("""COMPUTED_VALUE"""),"Delivered*Overall Satisfaction: Great service will order again")</f>
        <v>Delivered*Overall Satisfaction: Great service will order again</v>
      </c>
      <c r="K219" s="14" t="str">
        <f>IFERROR(__xludf.DUMMYFUNCTION("split(E219,""+"")"),"Onion")</f>
        <v>Onion</v>
      </c>
      <c r="L219" s="14" t="str">
        <f>IFERROR(__xludf.DUMMYFUNCTION("""COMPUTED_VALUE"""),"2*Shine Thomas")</f>
        <v>2*Shine Thomas</v>
      </c>
      <c r="M219" s="14">
        <f>IFERROR(__xludf.DUMMYFUNCTION("SPLIT(L219,""*"")"),2.0)</f>
        <v>2</v>
      </c>
      <c r="N219" s="14" t="str">
        <f>IFERROR(__xludf.DUMMYFUNCTION("""COMPUTED_VALUE"""),"Shine Thomas")</f>
        <v>Shine Thomas</v>
      </c>
      <c r="O219" s="14" t="str">
        <f>IFERROR(__xludf.DUMMYFUNCTION("split(J219,""*"")"),"Delivered")</f>
        <v>Delivered</v>
      </c>
      <c r="P219" s="14" t="str">
        <f>IFERROR(__xludf.DUMMYFUNCTION("""COMPUTED_VALUE"""),"Overall Satisfaction: Great service will order again")</f>
        <v>Overall Satisfaction: Great service will order again</v>
      </c>
      <c r="Q219" s="14" t="str">
        <f>IFERROR(__xludf.DUMMYFUNCTION("split(P219,"":"")"),"Overall Satisfaction")</f>
        <v>Overall Satisfaction</v>
      </c>
      <c r="R219" s="14" t="str">
        <f>IFERROR(__xludf.DUMMYFUNCTION("""COMPUTED_VALUE""")," Great service will order again")</f>
        <v> Great service will order again</v>
      </c>
      <c r="S219" s="14" t="str">
        <f t="shared" ref="S219:U219" si="441">trim(B219)</f>
        <v>ord_10218</v>
      </c>
      <c r="T219" s="14" t="str">
        <f t="shared" si="441"/>
        <v>Aarav Mehta</v>
      </c>
      <c r="U219" s="14" t="str">
        <f t="shared" si="441"/>
        <v>Andheri</v>
      </c>
      <c r="V219" s="14" t="str">
        <f t="shared" si="4"/>
        <v>Onion</v>
      </c>
      <c r="W219" s="14">
        <f t="shared" si="5"/>
        <v>2</v>
      </c>
      <c r="X219" s="14" t="str">
        <f t="shared" si="6"/>
        <v>Shine Thomas</v>
      </c>
      <c r="Y219" s="15">
        <f t="shared" si="7"/>
        <v>45190</v>
      </c>
      <c r="Z219" s="14" t="str">
        <f t="shared" si="8"/>
        <v>Credit Card</v>
      </c>
      <c r="AA219" s="14" t="str">
        <f t="shared" si="9"/>
        <v>Delivered</v>
      </c>
      <c r="AB219" s="14" t="str">
        <f t="shared" ref="AB219:AC219" si="442">trim(Q219)</f>
        <v>Overall Satisfaction</v>
      </c>
      <c r="AC219" s="14" t="str">
        <f t="shared" si="442"/>
        <v>Great service will order again</v>
      </c>
      <c r="AD219" s="8"/>
    </row>
    <row r="220">
      <c r="A220" s="14" t="str">
        <f>IFERROR(__xludf.DUMMYFUNCTION("""COMPUTED_VALUE"""),"//ord_10219//Kritika Shetty//Malad//Cold Coffee+4*Sita T/12/29/2023//Online Payment//Delivered*On-time Delivery: Delivered on time")</f>
        <v>//ord_10219//Kritika Shetty//Malad//Cold Coffee+4*Sita T/12/29/2023//Online Payment//Delivered*On-time Delivery: Delivered on time</v>
      </c>
      <c r="B220" s="14" t="str">
        <f>IFERROR(__xludf.DUMMYFUNCTION("split(A220,""//"")"),"ord_10219")</f>
        <v>ord_10219</v>
      </c>
      <c r="C220" s="14" t="str">
        <f>IFERROR(__xludf.DUMMYFUNCTION("""COMPUTED_VALUE"""),"Kritika Shetty")</f>
        <v>Kritika Shetty</v>
      </c>
      <c r="D220" s="14" t="str">
        <f>IFERROR(__xludf.DUMMYFUNCTION("""COMPUTED_VALUE"""),"Malad")</f>
        <v>Malad</v>
      </c>
      <c r="E220" s="14" t="str">
        <f>IFERROR(__xludf.DUMMYFUNCTION("""COMPUTED_VALUE"""),"Cold Coffee+4*Sita T")</f>
        <v>Cold Coffee+4*Sita T</v>
      </c>
      <c r="F220" s="14">
        <f>IFERROR(__xludf.DUMMYFUNCTION("""COMPUTED_VALUE"""),12.0)</f>
        <v>12</v>
      </c>
      <c r="G220" s="14">
        <f>IFERROR(__xludf.DUMMYFUNCTION("""COMPUTED_VALUE"""),29.0)</f>
        <v>29</v>
      </c>
      <c r="H220" s="14">
        <f>IFERROR(__xludf.DUMMYFUNCTION("""COMPUTED_VALUE"""),2023.0)</f>
        <v>2023</v>
      </c>
      <c r="I220" s="14" t="str">
        <f>IFERROR(__xludf.DUMMYFUNCTION("""COMPUTED_VALUE"""),"Online Payment")</f>
        <v>Online Payment</v>
      </c>
      <c r="J220" s="14" t="str">
        <f>IFERROR(__xludf.DUMMYFUNCTION("""COMPUTED_VALUE"""),"Delivered*On-time Delivery: Delivered on time")</f>
        <v>Delivered*On-time Delivery: Delivered on time</v>
      </c>
      <c r="K220" s="14" t="str">
        <f>IFERROR(__xludf.DUMMYFUNCTION("split(E220,""+"")"),"Cold Coffee")</f>
        <v>Cold Coffee</v>
      </c>
      <c r="L220" s="14" t="str">
        <f>IFERROR(__xludf.DUMMYFUNCTION("""COMPUTED_VALUE"""),"4*Sita T")</f>
        <v>4*Sita T</v>
      </c>
      <c r="M220" s="14">
        <f>IFERROR(__xludf.DUMMYFUNCTION("SPLIT(L220,""*"")"),4.0)</f>
        <v>4</v>
      </c>
      <c r="N220" s="14" t="str">
        <f>IFERROR(__xludf.DUMMYFUNCTION("""COMPUTED_VALUE"""),"Sita T")</f>
        <v>Sita T</v>
      </c>
      <c r="O220" s="14" t="str">
        <f>IFERROR(__xludf.DUMMYFUNCTION("split(J220,""*"")"),"Delivered")</f>
        <v>Delivered</v>
      </c>
      <c r="P220" s="14" t="str">
        <f>IFERROR(__xludf.DUMMYFUNCTION("""COMPUTED_VALUE"""),"On-time Delivery: Delivered on time")</f>
        <v>On-time Delivery: Delivered on time</v>
      </c>
      <c r="Q220" s="14" t="str">
        <f>IFERROR(__xludf.DUMMYFUNCTION("split(P220,"":"")"),"On-time Delivery")</f>
        <v>On-time Delivery</v>
      </c>
      <c r="R220" s="14" t="str">
        <f>IFERROR(__xludf.DUMMYFUNCTION("""COMPUTED_VALUE""")," Delivered on time")</f>
        <v> Delivered on time</v>
      </c>
      <c r="S220" s="14" t="str">
        <f t="shared" ref="S220:U220" si="443">trim(B220)</f>
        <v>ord_10219</v>
      </c>
      <c r="T220" s="14" t="str">
        <f t="shared" si="443"/>
        <v>Kritika Shetty</v>
      </c>
      <c r="U220" s="14" t="str">
        <f t="shared" si="443"/>
        <v>Malad</v>
      </c>
      <c r="V220" s="14" t="str">
        <f t="shared" si="4"/>
        <v>Cold Coffee</v>
      </c>
      <c r="W220" s="14">
        <f t="shared" si="5"/>
        <v>4</v>
      </c>
      <c r="X220" s="14" t="str">
        <f t="shared" si="6"/>
        <v>Sita T</v>
      </c>
      <c r="Y220" s="15">
        <f t="shared" si="7"/>
        <v>45289</v>
      </c>
      <c r="Z220" s="14" t="str">
        <f t="shared" si="8"/>
        <v>Online Payment</v>
      </c>
      <c r="AA220" s="14" t="str">
        <f t="shared" si="9"/>
        <v>Delivered</v>
      </c>
      <c r="AB220" s="14" t="str">
        <f t="shared" ref="AB220:AC220" si="444">trim(Q220)</f>
        <v>On-time Delivery</v>
      </c>
      <c r="AC220" s="14" t="str">
        <f t="shared" si="444"/>
        <v>Delivered on time</v>
      </c>
      <c r="AD220" s="8"/>
    </row>
    <row r="221">
      <c r="A221" s="14" t="str">
        <f>IFERROR(__xludf.DUMMYFUNCTION("""COMPUTED_VALUE"""),"//ord_10220//Anaya Rao//Colaba//Cold Coffee+2*Nikhil Deshmukh/6/6/2023//Online Payment//Delivered*Quality of Items: Perfect condition")</f>
        <v>//ord_10220//Anaya Rao//Colaba//Cold Coffee+2*Nikhil Deshmukh/6/6/2023//Online Payment//Delivered*Quality of Items: Perfect condition</v>
      </c>
      <c r="B221" s="14" t="str">
        <f>IFERROR(__xludf.DUMMYFUNCTION("split(A221,""//"")"),"ord_10220")</f>
        <v>ord_10220</v>
      </c>
      <c r="C221" s="14" t="str">
        <f>IFERROR(__xludf.DUMMYFUNCTION("""COMPUTED_VALUE"""),"Anaya Rao")</f>
        <v>Anaya Rao</v>
      </c>
      <c r="D221" s="14" t="str">
        <f>IFERROR(__xludf.DUMMYFUNCTION("""COMPUTED_VALUE"""),"Colaba")</f>
        <v>Colaba</v>
      </c>
      <c r="E221" s="14" t="str">
        <f>IFERROR(__xludf.DUMMYFUNCTION("""COMPUTED_VALUE"""),"Cold Coffee+2*Nikhil Deshmukh")</f>
        <v>Cold Coffee+2*Nikhil Deshmukh</v>
      </c>
      <c r="F221" s="14">
        <f>IFERROR(__xludf.DUMMYFUNCTION("""COMPUTED_VALUE"""),6.0)</f>
        <v>6</v>
      </c>
      <c r="G221" s="14">
        <f>IFERROR(__xludf.DUMMYFUNCTION("""COMPUTED_VALUE"""),6.0)</f>
        <v>6</v>
      </c>
      <c r="H221" s="14">
        <f>IFERROR(__xludf.DUMMYFUNCTION("""COMPUTED_VALUE"""),2023.0)</f>
        <v>2023</v>
      </c>
      <c r="I221" s="14" t="str">
        <f>IFERROR(__xludf.DUMMYFUNCTION("""COMPUTED_VALUE"""),"Online Payment")</f>
        <v>Online Payment</v>
      </c>
      <c r="J221" s="14" t="str">
        <f>IFERROR(__xludf.DUMMYFUNCTION("""COMPUTED_VALUE"""),"Delivered*Quality of Items: Perfect condition")</f>
        <v>Delivered*Quality of Items: Perfect condition</v>
      </c>
      <c r="K221" s="14" t="str">
        <f>IFERROR(__xludf.DUMMYFUNCTION("split(E221,""+"")"),"Cold Coffee")</f>
        <v>Cold Coffee</v>
      </c>
      <c r="L221" s="14" t="str">
        <f>IFERROR(__xludf.DUMMYFUNCTION("""COMPUTED_VALUE"""),"2*Nikhil Deshmukh")</f>
        <v>2*Nikhil Deshmukh</v>
      </c>
      <c r="M221" s="14">
        <f>IFERROR(__xludf.DUMMYFUNCTION("SPLIT(L221,""*"")"),2.0)</f>
        <v>2</v>
      </c>
      <c r="N221" s="14" t="str">
        <f>IFERROR(__xludf.DUMMYFUNCTION("""COMPUTED_VALUE"""),"Nikhil Deshmukh")</f>
        <v>Nikhil Deshmukh</v>
      </c>
      <c r="O221" s="14" t="str">
        <f>IFERROR(__xludf.DUMMYFUNCTION("split(J221,""*"")"),"Delivered")</f>
        <v>Delivered</v>
      </c>
      <c r="P221" s="14" t="str">
        <f>IFERROR(__xludf.DUMMYFUNCTION("""COMPUTED_VALUE"""),"Quality of Items: Perfect condition")</f>
        <v>Quality of Items: Perfect condition</v>
      </c>
      <c r="Q221" s="14" t="str">
        <f>IFERROR(__xludf.DUMMYFUNCTION("split(P221,"":"")"),"Quality of Items")</f>
        <v>Quality of Items</v>
      </c>
      <c r="R221" s="14" t="str">
        <f>IFERROR(__xludf.DUMMYFUNCTION("""COMPUTED_VALUE""")," Perfect condition")</f>
        <v> Perfect condition</v>
      </c>
      <c r="S221" s="14" t="str">
        <f t="shared" ref="S221:U221" si="445">trim(B221)</f>
        <v>ord_10220</v>
      </c>
      <c r="T221" s="14" t="str">
        <f t="shared" si="445"/>
        <v>Anaya Rao</v>
      </c>
      <c r="U221" s="14" t="str">
        <f t="shared" si="445"/>
        <v>Colaba</v>
      </c>
      <c r="V221" s="14" t="str">
        <f t="shared" si="4"/>
        <v>Cold Coffee</v>
      </c>
      <c r="W221" s="14">
        <f t="shared" si="5"/>
        <v>2</v>
      </c>
      <c r="X221" s="14" t="str">
        <f t="shared" si="6"/>
        <v>Nikhil Deshmukh</v>
      </c>
      <c r="Y221" s="15">
        <f t="shared" si="7"/>
        <v>45083</v>
      </c>
      <c r="Z221" s="14" t="str">
        <f t="shared" si="8"/>
        <v>Online Payment</v>
      </c>
      <c r="AA221" s="14" t="str">
        <f t="shared" si="9"/>
        <v>Delivered</v>
      </c>
      <c r="AB221" s="14" t="str">
        <f t="shared" ref="AB221:AC221" si="446">trim(Q221)</f>
        <v>Quality of Items</v>
      </c>
      <c r="AC221" s="14" t="str">
        <f t="shared" si="446"/>
        <v>Perfect condition</v>
      </c>
      <c r="AD221" s="8"/>
    </row>
    <row r="222">
      <c r="A222" s="14" t="str">
        <f>IFERROR(__xludf.DUMMYFUNCTION("""COMPUTED_VALUE"""),"//ord_10221//Aditi Iyer//Dadar//Chicken Puff+4*Nithin Lal/12/1/2023//Online Payment//Delivered*Packaging: Secure and intact")</f>
        <v>//ord_10221//Aditi Iyer//Dadar//Chicken Puff+4*Nithin Lal/12/1/2023//Online Payment//Delivered*Packaging: Secure and intact</v>
      </c>
      <c r="B222" s="14" t="str">
        <f>IFERROR(__xludf.DUMMYFUNCTION("split(A222,""//"")"),"ord_10221")</f>
        <v>ord_10221</v>
      </c>
      <c r="C222" s="14" t="str">
        <f>IFERROR(__xludf.DUMMYFUNCTION("""COMPUTED_VALUE"""),"Aditi Iyer")</f>
        <v>Aditi Iyer</v>
      </c>
      <c r="D222" s="14" t="str">
        <f>IFERROR(__xludf.DUMMYFUNCTION("""COMPUTED_VALUE"""),"Dadar")</f>
        <v>Dadar</v>
      </c>
      <c r="E222" s="14" t="str">
        <f>IFERROR(__xludf.DUMMYFUNCTION("""COMPUTED_VALUE"""),"Chicken Puff+4*Nithin Lal")</f>
        <v>Chicken Puff+4*Nithin Lal</v>
      </c>
      <c r="F222" s="14">
        <f>IFERROR(__xludf.DUMMYFUNCTION("""COMPUTED_VALUE"""),12.0)</f>
        <v>12</v>
      </c>
      <c r="G222" s="14">
        <f>IFERROR(__xludf.DUMMYFUNCTION("""COMPUTED_VALUE"""),1.0)</f>
        <v>1</v>
      </c>
      <c r="H222" s="14">
        <f>IFERROR(__xludf.DUMMYFUNCTION("""COMPUTED_VALUE"""),2023.0)</f>
        <v>2023</v>
      </c>
      <c r="I222" s="14" t="str">
        <f>IFERROR(__xludf.DUMMYFUNCTION("""COMPUTED_VALUE"""),"Online Payment")</f>
        <v>Online Payment</v>
      </c>
      <c r="J222" s="14" t="str">
        <f>IFERROR(__xludf.DUMMYFUNCTION("""COMPUTED_VALUE"""),"Delivered*Packaging: Secure and intact")</f>
        <v>Delivered*Packaging: Secure and intact</v>
      </c>
      <c r="K222" s="14" t="str">
        <f>IFERROR(__xludf.DUMMYFUNCTION("split(E222,""+"")"),"Chicken Puff")</f>
        <v>Chicken Puff</v>
      </c>
      <c r="L222" s="14" t="str">
        <f>IFERROR(__xludf.DUMMYFUNCTION("""COMPUTED_VALUE"""),"4*Nithin Lal")</f>
        <v>4*Nithin Lal</v>
      </c>
      <c r="M222" s="14">
        <f>IFERROR(__xludf.DUMMYFUNCTION("SPLIT(L222,""*"")"),4.0)</f>
        <v>4</v>
      </c>
      <c r="N222" s="14" t="str">
        <f>IFERROR(__xludf.DUMMYFUNCTION("""COMPUTED_VALUE"""),"Nithin Lal")</f>
        <v>Nithin Lal</v>
      </c>
      <c r="O222" s="14" t="str">
        <f>IFERROR(__xludf.DUMMYFUNCTION("split(J222,""*"")"),"Delivered")</f>
        <v>Delivered</v>
      </c>
      <c r="P222" s="14" t="str">
        <f>IFERROR(__xludf.DUMMYFUNCTION("""COMPUTED_VALUE"""),"Packaging: Secure and intact")</f>
        <v>Packaging: Secure and intact</v>
      </c>
      <c r="Q222" s="14" t="str">
        <f>IFERROR(__xludf.DUMMYFUNCTION("split(P222,"":"")"),"Packaging")</f>
        <v>Packaging</v>
      </c>
      <c r="R222" s="14" t="str">
        <f>IFERROR(__xludf.DUMMYFUNCTION("""COMPUTED_VALUE""")," Secure and intact")</f>
        <v> Secure and intact</v>
      </c>
      <c r="S222" s="14" t="str">
        <f t="shared" ref="S222:U222" si="447">trim(B222)</f>
        <v>ord_10221</v>
      </c>
      <c r="T222" s="14" t="str">
        <f t="shared" si="447"/>
        <v>Aditi Iyer</v>
      </c>
      <c r="U222" s="14" t="str">
        <f t="shared" si="447"/>
        <v>Dadar</v>
      </c>
      <c r="V222" s="14" t="str">
        <f t="shared" si="4"/>
        <v>Chicken Puff</v>
      </c>
      <c r="W222" s="14">
        <f t="shared" si="5"/>
        <v>4</v>
      </c>
      <c r="X222" s="14" t="str">
        <f t="shared" si="6"/>
        <v>Nithin Lal</v>
      </c>
      <c r="Y222" s="15">
        <f t="shared" si="7"/>
        <v>45261</v>
      </c>
      <c r="Z222" s="14" t="str">
        <f t="shared" si="8"/>
        <v>Online Payment</v>
      </c>
      <c r="AA222" s="14" t="str">
        <f t="shared" si="9"/>
        <v>Delivered</v>
      </c>
      <c r="AB222" s="14" t="str">
        <f t="shared" ref="AB222:AC222" si="448">trim(Q222)</f>
        <v>Packaging</v>
      </c>
      <c r="AC222" s="14" t="str">
        <f t="shared" si="448"/>
        <v>Secure and intact</v>
      </c>
      <c r="AD222" s="8"/>
    </row>
    <row r="223">
      <c r="A223" s="14" t="str">
        <f>IFERROR(__xludf.DUMMYFUNCTION("""COMPUTED_VALUE"""),"//ord_10222//Omkar Mishra//Powai//Chicken Puff+5*Manju Ajay/10/8/2023//Online Payment//Delivered*Satisfied with the Delivery: Timely and quality")</f>
        <v>//ord_10222//Omkar Mishra//Powai//Chicken Puff+5*Manju Ajay/10/8/2023//Online Payment//Delivered*Satisfied with the Delivery: Timely and quality</v>
      </c>
      <c r="B223" s="14" t="str">
        <f>IFERROR(__xludf.DUMMYFUNCTION("split(A223,""//"")"),"ord_10222")</f>
        <v>ord_10222</v>
      </c>
      <c r="C223" s="14" t="str">
        <f>IFERROR(__xludf.DUMMYFUNCTION("""COMPUTED_VALUE"""),"Omkar Mishra")</f>
        <v>Omkar Mishra</v>
      </c>
      <c r="D223" s="14" t="str">
        <f>IFERROR(__xludf.DUMMYFUNCTION("""COMPUTED_VALUE"""),"Powai")</f>
        <v>Powai</v>
      </c>
      <c r="E223" s="14" t="str">
        <f>IFERROR(__xludf.DUMMYFUNCTION("""COMPUTED_VALUE"""),"Chicken Puff+5*Manju Ajay")</f>
        <v>Chicken Puff+5*Manju Ajay</v>
      </c>
      <c r="F223" s="14">
        <f>IFERROR(__xludf.DUMMYFUNCTION("""COMPUTED_VALUE"""),10.0)</f>
        <v>10</v>
      </c>
      <c r="G223" s="14">
        <f>IFERROR(__xludf.DUMMYFUNCTION("""COMPUTED_VALUE"""),8.0)</f>
        <v>8</v>
      </c>
      <c r="H223" s="14">
        <f>IFERROR(__xludf.DUMMYFUNCTION("""COMPUTED_VALUE"""),2023.0)</f>
        <v>2023</v>
      </c>
      <c r="I223" s="14" t="str">
        <f>IFERROR(__xludf.DUMMYFUNCTION("""COMPUTED_VALUE"""),"Online Payment")</f>
        <v>Online Payment</v>
      </c>
      <c r="J223" s="14" t="str">
        <f>IFERROR(__xludf.DUMMYFUNCTION("""COMPUTED_VALUE"""),"Delivered*Satisfied with the Delivery: Timely and quality")</f>
        <v>Delivered*Satisfied with the Delivery: Timely and quality</v>
      </c>
      <c r="K223" s="14" t="str">
        <f>IFERROR(__xludf.DUMMYFUNCTION("split(E223,""+"")"),"Chicken Puff")</f>
        <v>Chicken Puff</v>
      </c>
      <c r="L223" s="14" t="str">
        <f>IFERROR(__xludf.DUMMYFUNCTION("""COMPUTED_VALUE"""),"5*Manju Ajay")</f>
        <v>5*Manju Ajay</v>
      </c>
      <c r="M223" s="14">
        <f>IFERROR(__xludf.DUMMYFUNCTION("SPLIT(L223,""*"")"),5.0)</f>
        <v>5</v>
      </c>
      <c r="N223" s="14" t="str">
        <f>IFERROR(__xludf.DUMMYFUNCTION("""COMPUTED_VALUE"""),"Manju Ajay")</f>
        <v>Manju Ajay</v>
      </c>
      <c r="O223" s="14" t="str">
        <f>IFERROR(__xludf.DUMMYFUNCTION("split(J223,""*"")"),"Delivered")</f>
        <v>Delivered</v>
      </c>
      <c r="P223" s="14" t="str">
        <f>IFERROR(__xludf.DUMMYFUNCTION("""COMPUTED_VALUE"""),"Satisfied with the Delivery: Timely and quality")</f>
        <v>Satisfied with the Delivery: Timely and quality</v>
      </c>
      <c r="Q223" s="14" t="str">
        <f>IFERROR(__xludf.DUMMYFUNCTION("split(P223,"":"")"),"Satisfied with the Delivery")</f>
        <v>Satisfied with the Delivery</v>
      </c>
      <c r="R223" s="14" t="str">
        <f>IFERROR(__xludf.DUMMYFUNCTION("""COMPUTED_VALUE""")," Timely and quality")</f>
        <v> Timely and quality</v>
      </c>
      <c r="S223" s="14" t="str">
        <f t="shared" ref="S223:U223" si="449">trim(B223)</f>
        <v>ord_10222</v>
      </c>
      <c r="T223" s="14" t="str">
        <f t="shared" si="449"/>
        <v>Omkar Mishra</v>
      </c>
      <c r="U223" s="14" t="str">
        <f t="shared" si="449"/>
        <v>Powai</v>
      </c>
      <c r="V223" s="14" t="str">
        <f t="shared" si="4"/>
        <v>Chicken Puff</v>
      </c>
      <c r="W223" s="14">
        <f t="shared" si="5"/>
        <v>5</v>
      </c>
      <c r="X223" s="14" t="str">
        <f t="shared" si="6"/>
        <v>Manju Ajay</v>
      </c>
      <c r="Y223" s="15">
        <f t="shared" si="7"/>
        <v>45207</v>
      </c>
      <c r="Z223" s="14" t="str">
        <f t="shared" si="8"/>
        <v>Online Payment</v>
      </c>
      <c r="AA223" s="14" t="str">
        <f t="shared" si="9"/>
        <v>Delivered</v>
      </c>
      <c r="AB223" s="14" t="str">
        <f t="shared" ref="AB223:AC223" si="450">trim(Q223)</f>
        <v>Satisfied with the Delivery</v>
      </c>
      <c r="AC223" s="14" t="str">
        <f t="shared" si="450"/>
        <v>Timely and quality</v>
      </c>
      <c r="AD223" s="8"/>
    </row>
    <row r="224">
      <c r="A224" s="14" t="str">
        <f>IFERROR(__xludf.DUMMYFUNCTION("""COMPUTED_VALUE"""),"//ord_10223//Parth Goel//Juhu//Papaya+1*Tanvi Jain/10/22/2023//Online Payment//Delivered*Customer Service: Seamless and easy")</f>
        <v>//ord_10223//Parth Goel//Juhu//Papaya+1*Tanvi Jain/10/22/2023//Online Payment//Delivered*Customer Service: Seamless and easy</v>
      </c>
      <c r="B224" s="14" t="str">
        <f>IFERROR(__xludf.DUMMYFUNCTION("split(A224,""//"")"),"ord_10223")</f>
        <v>ord_10223</v>
      </c>
      <c r="C224" s="14" t="str">
        <f>IFERROR(__xludf.DUMMYFUNCTION("""COMPUTED_VALUE"""),"Parth Goel")</f>
        <v>Parth Goel</v>
      </c>
      <c r="D224" s="14" t="str">
        <f>IFERROR(__xludf.DUMMYFUNCTION("""COMPUTED_VALUE"""),"Juhu")</f>
        <v>Juhu</v>
      </c>
      <c r="E224" s="14" t="str">
        <f>IFERROR(__xludf.DUMMYFUNCTION("""COMPUTED_VALUE"""),"Papaya+1*Tanvi Jain")</f>
        <v>Papaya+1*Tanvi Jain</v>
      </c>
      <c r="F224" s="14">
        <f>IFERROR(__xludf.DUMMYFUNCTION("""COMPUTED_VALUE"""),10.0)</f>
        <v>10</v>
      </c>
      <c r="G224" s="14">
        <f>IFERROR(__xludf.DUMMYFUNCTION("""COMPUTED_VALUE"""),22.0)</f>
        <v>22</v>
      </c>
      <c r="H224" s="14">
        <f>IFERROR(__xludf.DUMMYFUNCTION("""COMPUTED_VALUE"""),2023.0)</f>
        <v>2023</v>
      </c>
      <c r="I224" s="14" t="str">
        <f>IFERROR(__xludf.DUMMYFUNCTION("""COMPUTED_VALUE"""),"Online Payment")</f>
        <v>Online Payment</v>
      </c>
      <c r="J224" s="14" t="str">
        <f>IFERROR(__xludf.DUMMYFUNCTION("""COMPUTED_VALUE"""),"Delivered*Customer Service: Seamless and easy")</f>
        <v>Delivered*Customer Service: Seamless and easy</v>
      </c>
      <c r="K224" s="14" t="str">
        <f>IFERROR(__xludf.DUMMYFUNCTION("split(E224,""+"")"),"Papaya")</f>
        <v>Papaya</v>
      </c>
      <c r="L224" s="14" t="str">
        <f>IFERROR(__xludf.DUMMYFUNCTION("""COMPUTED_VALUE"""),"1*Tanvi Jain")</f>
        <v>1*Tanvi Jain</v>
      </c>
      <c r="M224" s="14">
        <f>IFERROR(__xludf.DUMMYFUNCTION("SPLIT(L224,""*"")"),1.0)</f>
        <v>1</v>
      </c>
      <c r="N224" s="14" t="str">
        <f>IFERROR(__xludf.DUMMYFUNCTION("""COMPUTED_VALUE"""),"Tanvi Jain")</f>
        <v>Tanvi Jain</v>
      </c>
      <c r="O224" s="14" t="str">
        <f>IFERROR(__xludf.DUMMYFUNCTION("split(J224,""*"")"),"Delivered")</f>
        <v>Delivered</v>
      </c>
      <c r="P224" s="14" t="str">
        <f>IFERROR(__xludf.DUMMYFUNCTION("""COMPUTED_VALUE"""),"Customer Service: Seamless and easy")</f>
        <v>Customer Service: Seamless and easy</v>
      </c>
      <c r="Q224" s="14" t="str">
        <f>IFERROR(__xludf.DUMMYFUNCTION("split(P224,"":"")"),"Customer Service")</f>
        <v>Customer Service</v>
      </c>
      <c r="R224" s="14" t="str">
        <f>IFERROR(__xludf.DUMMYFUNCTION("""COMPUTED_VALUE""")," Seamless and easy")</f>
        <v> Seamless and easy</v>
      </c>
      <c r="S224" s="14" t="str">
        <f t="shared" ref="S224:U224" si="451">trim(B224)</f>
        <v>ord_10223</v>
      </c>
      <c r="T224" s="14" t="str">
        <f t="shared" si="451"/>
        <v>Parth Goel</v>
      </c>
      <c r="U224" s="14" t="str">
        <f t="shared" si="451"/>
        <v>Juhu</v>
      </c>
      <c r="V224" s="14" t="str">
        <f t="shared" si="4"/>
        <v>Papaya</v>
      </c>
      <c r="W224" s="14">
        <f t="shared" si="5"/>
        <v>1</v>
      </c>
      <c r="X224" s="14" t="str">
        <f t="shared" si="6"/>
        <v>Tanvi Jain</v>
      </c>
      <c r="Y224" s="15">
        <f t="shared" si="7"/>
        <v>45221</v>
      </c>
      <c r="Z224" s="14" t="str">
        <f t="shared" si="8"/>
        <v>Online Payment</v>
      </c>
      <c r="AA224" s="14" t="str">
        <f t="shared" si="9"/>
        <v>Delivered</v>
      </c>
      <c r="AB224" s="14" t="str">
        <f t="shared" ref="AB224:AC224" si="452">trim(Q224)</f>
        <v>Customer Service</v>
      </c>
      <c r="AC224" s="14" t="str">
        <f t="shared" si="452"/>
        <v>Seamless and easy</v>
      </c>
      <c r="AD224" s="8"/>
    </row>
    <row r="225">
      <c r="A225" s="14" t="str">
        <f>IFERROR(__xludf.DUMMYFUNCTION("""COMPUTED_VALUE"""),"//ord_10224//Kritika Shetty//Malad//Tiramisu+4*Ramesh S/2/19/2023//Credit Card//Cancelled*Delayed Delivery:High Order Volume")</f>
        <v>//ord_10224//Kritika Shetty//Malad//Tiramisu+4*Ramesh S/2/19/2023//Credit Card//Cancelled*Delayed Delivery:High Order Volume</v>
      </c>
      <c r="B225" s="14" t="str">
        <f>IFERROR(__xludf.DUMMYFUNCTION("split(A225,""//"")"),"ord_10224")</f>
        <v>ord_10224</v>
      </c>
      <c r="C225" s="14" t="str">
        <f>IFERROR(__xludf.DUMMYFUNCTION("""COMPUTED_VALUE"""),"Kritika Shetty")</f>
        <v>Kritika Shetty</v>
      </c>
      <c r="D225" s="14" t="str">
        <f>IFERROR(__xludf.DUMMYFUNCTION("""COMPUTED_VALUE"""),"Malad")</f>
        <v>Malad</v>
      </c>
      <c r="E225" s="14" t="str">
        <f>IFERROR(__xludf.DUMMYFUNCTION("""COMPUTED_VALUE"""),"Tiramisu+4*Ramesh S")</f>
        <v>Tiramisu+4*Ramesh S</v>
      </c>
      <c r="F225" s="14">
        <f>IFERROR(__xludf.DUMMYFUNCTION("""COMPUTED_VALUE"""),2.0)</f>
        <v>2</v>
      </c>
      <c r="G225" s="14">
        <f>IFERROR(__xludf.DUMMYFUNCTION("""COMPUTED_VALUE"""),19.0)</f>
        <v>19</v>
      </c>
      <c r="H225" s="14">
        <f>IFERROR(__xludf.DUMMYFUNCTION("""COMPUTED_VALUE"""),2023.0)</f>
        <v>2023</v>
      </c>
      <c r="I225" s="14" t="str">
        <f>IFERROR(__xludf.DUMMYFUNCTION("""COMPUTED_VALUE"""),"Credit Card")</f>
        <v>Credit Card</v>
      </c>
      <c r="J225" s="14" t="str">
        <f>IFERROR(__xludf.DUMMYFUNCTION("""COMPUTED_VALUE"""),"Cancelled*Delayed Delivery:High Order Volume")</f>
        <v>Cancelled*Delayed Delivery:High Order Volume</v>
      </c>
      <c r="K225" s="14" t="str">
        <f>IFERROR(__xludf.DUMMYFUNCTION("split(E225,""+"")"),"Tiramisu")</f>
        <v>Tiramisu</v>
      </c>
      <c r="L225" s="14" t="str">
        <f>IFERROR(__xludf.DUMMYFUNCTION("""COMPUTED_VALUE"""),"4*Ramesh S")</f>
        <v>4*Ramesh S</v>
      </c>
      <c r="M225" s="14">
        <f>IFERROR(__xludf.DUMMYFUNCTION("SPLIT(L225,""*"")"),4.0)</f>
        <v>4</v>
      </c>
      <c r="N225" s="14" t="str">
        <f>IFERROR(__xludf.DUMMYFUNCTION("""COMPUTED_VALUE"""),"Ramesh S")</f>
        <v>Ramesh S</v>
      </c>
      <c r="O225" s="14" t="str">
        <f>IFERROR(__xludf.DUMMYFUNCTION("split(J225,""*"")"),"Cancelled")</f>
        <v>Cancelled</v>
      </c>
      <c r="P225" s="14" t="str">
        <f>IFERROR(__xludf.DUMMYFUNCTION("""COMPUTED_VALUE"""),"Delayed Delivery:High Order Volume")</f>
        <v>Delayed Delivery:High Order Volume</v>
      </c>
      <c r="Q225" s="14" t="str">
        <f>IFERROR(__xludf.DUMMYFUNCTION("split(P225,"":"")"),"Delayed Delivery")</f>
        <v>Delayed Delivery</v>
      </c>
      <c r="R225" s="14" t="str">
        <f>IFERROR(__xludf.DUMMYFUNCTION("""COMPUTED_VALUE"""),"High Order Volume")</f>
        <v>High Order Volume</v>
      </c>
      <c r="S225" s="14" t="str">
        <f t="shared" ref="S225:U225" si="453">trim(B225)</f>
        <v>ord_10224</v>
      </c>
      <c r="T225" s="14" t="str">
        <f t="shared" si="453"/>
        <v>Kritika Shetty</v>
      </c>
      <c r="U225" s="14" t="str">
        <f t="shared" si="453"/>
        <v>Malad</v>
      </c>
      <c r="V225" s="14" t="str">
        <f t="shared" si="4"/>
        <v>Tiramisu</v>
      </c>
      <c r="W225" s="14">
        <f t="shared" si="5"/>
        <v>4</v>
      </c>
      <c r="X225" s="14" t="str">
        <f t="shared" si="6"/>
        <v>Ramesh S</v>
      </c>
      <c r="Y225" s="15">
        <f t="shared" si="7"/>
        <v>44976</v>
      </c>
      <c r="Z225" s="14" t="str">
        <f t="shared" si="8"/>
        <v>Credit Card</v>
      </c>
      <c r="AA225" s="14" t="str">
        <f t="shared" si="9"/>
        <v>Cancelled</v>
      </c>
      <c r="AB225" s="14" t="str">
        <f t="shared" ref="AB225:AC225" si="454">trim(Q225)</f>
        <v>Delayed Delivery</v>
      </c>
      <c r="AC225" s="14" t="str">
        <f t="shared" si="454"/>
        <v>High Order Volume</v>
      </c>
      <c r="AD225" s="8"/>
    </row>
    <row r="226">
      <c r="A226" s="14" t="str">
        <f>IFERROR(__xludf.DUMMYFUNCTION("""COMPUTED_VALUE"""),"//ord_10225//Dev Chauhan//Bandra//Veg Puff+4*Shine Thomas/10/12/2023//Online Payment//Delivered*Delivery Experience: Quick and professional")</f>
        <v>//ord_10225//Dev Chauhan//Bandra//Veg Puff+4*Shine Thomas/10/12/2023//Online Payment//Delivered*Delivery Experience: Quick and professional</v>
      </c>
      <c r="B226" s="14" t="str">
        <f>IFERROR(__xludf.DUMMYFUNCTION("split(A226,""//"")"),"ord_10225")</f>
        <v>ord_10225</v>
      </c>
      <c r="C226" s="14" t="str">
        <f>IFERROR(__xludf.DUMMYFUNCTION("""COMPUTED_VALUE"""),"Dev Chauhan")</f>
        <v>Dev Chauhan</v>
      </c>
      <c r="D226" s="14" t="str">
        <f>IFERROR(__xludf.DUMMYFUNCTION("""COMPUTED_VALUE"""),"Bandra")</f>
        <v>Bandra</v>
      </c>
      <c r="E226" s="14" t="str">
        <f>IFERROR(__xludf.DUMMYFUNCTION("""COMPUTED_VALUE"""),"Veg Puff+4*Shine Thomas")</f>
        <v>Veg Puff+4*Shine Thomas</v>
      </c>
      <c r="F226" s="14">
        <f>IFERROR(__xludf.DUMMYFUNCTION("""COMPUTED_VALUE"""),10.0)</f>
        <v>10</v>
      </c>
      <c r="G226" s="14">
        <f>IFERROR(__xludf.DUMMYFUNCTION("""COMPUTED_VALUE"""),12.0)</f>
        <v>12</v>
      </c>
      <c r="H226" s="14">
        <f>IFERROR(__xludf.DUMMYFUNCTION("""COMPUTED_VALUE"""),2023.0)</f>
        <v>2023</v>
      </c>
      <c r="I226" s="14" t="str">
        <f>IFERROR(__xludf.DUMMYFUNCTION("""COMPUTED_VALUE"""),"Online Payment")</f>
        <v>Online Payment</v>
      </c>
      <c r="J226" s="14" t="str">
        <f>IFERROR(__xludf.DUMMYFUNCTION("""COMPUTED_VALUE"""),"Delivered*Delivery Experience: Quick and professional")</f>
        <v>Delivered*Delivery Experience: Quick and professional</v>
      </c>
      <c r="K226" s="14" t="str">
        <f>IFERROR(__xludf.DUMMYFUNCTION("split(E226,""+"")"),"Veg Puff")</f>
        <v>Veg Puff</v>
      </c>
      <c r="L226" s="14" t="str">
        <f>IFERROR(__xludf.DUMMYFUNCTION("""COMPUTED_VALUE"""),"4*Shine Thomas")</f>
        <v>4*Shine Thomas</v>
      </c>
      <c r="M226" s="14">
        <f>IFERROR(__xludf.DUMMYFUNCTION("SPLIT(L226,""*"")"),4.0)</f>
        <v>4</v>
      </c>
      <c r="N226" s="14" t="str">
        <f>IFERROR(__xludf.DUMMYFUNCTION("""COMPUTED_VALUE"""),"Shine Thomas")</f>
        <v>Shine Thomas</v>
      </c>
      <c r="O226" s="14" t="str">
        <f>IFERROR(__xludf.DUMMYFUNCTION("split(J226,""*"")"),"Delivered")</f>
        <v>Delivered</v>
      </c>
      <c r="P226" s="14" t="str">
        <f>IFERROR(__xludf.DUMMYFUNCTION("""COMPUTED_VALUE"""),"Delivery Experience: Quick and professional")</f>
        <v>Delivery Experience: Quick and professional</v>
      </c>
      <c r="Q226" s="14" t="str">
        <f>IFERROR(__xludf.DUMMYFUNCTION("split(P226,"":"")"),"Delivery Experience")</f>
        <v>Delivery Experience</v>
      </c>
      <c r="R226" s="14" t="str">
        <f>IFERROR(__xludf.DUMMYFUNCTION("""COMPUTED_VALUE""")," Quick and professional")</f>
        <v> Quick and professional</v>
      </c>
      <c r="S226" s="14" t="str">
        <f t="shared" ref="S226:U226" si="455">trim(B226)</f>
        <v>ord_10225</v>
      </c>
      <c r="T226" s="14" t="str">
        <f t="shared" si="455"/>
        <v>Dev Chauhan</v>
      </c>
      <c r="U226" s="14" t="str">
        <f t="shared" si="455"/>
        <v>Bandra</v>
      </c>
      <c r="V226" s="14" t="str">
        <f t="shared" si="4"/>
        <v>Veg Puff</v>
      </c>
      <c r="W226" s="14">
        <f t="shared" si="5"/>
        <v>4</v>
      </c>
      <c r="X226" s="14" t="str">
        <f t="shared" si="6"/>
        <v>Shine Thomas</v>
      </c>
      <c r="Y226" s="15">
        <f t="shared" si="7"/>
        <v>45211</v>
      </c>
      <c r="Z226" s="14" t="str">
        <f t="shared" si="8"/>
        <v>Online Payment</v>
      </c>
      <c r="AA226" s="14" t="str">
        <f t="shared" si="9"/>
        <v>Delivered</v>
      </c>
      <c r="AB226" s="14" t="str">
        <f t="shared" ref="AB226:AC226" si="456">trim(Q226)</f>
        <v>Delivery Experience</v>
      </c>
      <c r="AC226" s="14" t="str">
        <f t="shared" si="456"/>
        <v>Quick and professional</v>
      </c>
      <c r="AD226" s="8"/>
    </row>
    <row r="227">
      <c r="A227" s="14" t="str">
        <f>IFERROR(__xludf.DUMMYFUNCTION("""COMPUTED_VALUE"""),"//ord_10226//Parth Goel//Juhu//Icecream+5*Vivek Kumar/10/15/2023//Online Payment//Delivered*Convenience: Easy tracking")</f>
        <v>//ord_10226//Parth Goel//Juhu//Icecream+5*Vivek Kumar/10/15/2023//Online Payment//Delivered*Convenience: Easy tracking</v>
      </c>
      <c r="B227" s="14" t="str">
        <f>IFERROR(__xludf.DUMMYFUNCTION("split(A227,""//"")"),"ord_10226")</f>
        <v>ord_10226</v>
      </c>
      <c r="C227" s="14" t="str">
        <f>IFERROR(__xludf.DUMMYFUNCTION("""COMPUTED_VALUE"""),"Parth Goel")</f>
        <v>Parth Goel</v>
      </c>
      <c r="D227" s="14" t="str">
        <f>IFERROR(__xludf.DUMMYFUNCTION("""COMPUTED_VALUE"""),"Juhu")</f>
        <v>Juhu</v>
      </c>
      <c r="E227" s="14" t="str">
        <f>IFERROR(__xludf.DUMMYFUNCTION("""COMPUTED_VALUE"""),"Icecream+5*Vivek Kumar")</f>
        <v>Icecream+5*Vivek Kumar</v>
      </c>
      <c r="F227" s="14">
        <f>IFERROR(__xludf.DUMMYFUNCTION("""COMPUTED_VALUE"""),10.0)</f>
        <v>10</v>
      </c>
      <c r="G227" s="14">
        <f>IFERROR(__xludf.DUMMYFUNCTION("""COMPUTED_VALUE"""),15.0)</f>
        <v>15</v>
      </c>
      <c r="H227" s="14">
        <f>IFERROR(__xludf.DUMMYFUNCTION("""COMPUTED_VALUE"""),2023.0)</f>
        <v>2023</v>
      </c>
      <c r="I227" s="14" t="str">
        <f>IFERROR(__xludf.DUMMYFUNCTION("""COMPUTED_VALUE"""),"Online Payment")</f>
        <v>Online Payment</v>
      </c>
      <c r="J227" s="14" t="str">
        <f>IFERROR(__xludf.DUMMYFUNCTION("""COMPUTED_VALUE"""),"Delivered*Convenience: Easy tracking")</f>
        <v>Delivered*Convenience: Easy tracking</v>
      </c>
      <c r="K227" s="14" t="str">
        <f>IFERROR(__xludf.DUMMYFUNCTION("split(E227,""+"")"),"Icecream")</f>
        <v>Icecream</v>
      </c>
      <c r="L227" s="14" t="str">
        <f>IFERROR(__xludf.DUMMYFUNCTION("""COMPUTED_VALUE"""),"5*Vivek Kumar")</f>
        <v>5*Vivek Kumar</v>
      </c>
      <c r="M227" s="14">
        <f>IFERROR(__xludf.DUMMYFUNCTION("SPLIT(L227,""*"")"),5.0)</f>
        <v>5</v>
      </c>
      <c r="N227" s="14" t="str">
        <f>IFERROR(__xludf.DUMMYFUNCTION("""COMPUTED_VALUE"""),"Vivek Kumar")</f>
        <v>Vivek Kumar</v>
      </c>
      <c r="O227" s="14" t="str">
        <f>IFERROR(__xludf.DUMMYFUNCTION("split(J227,""*"")"),"Delivered")</f>
        <v>Delivered</v>
      </c>
      <c r="P227" s="14" t="str">
        <f>IFERROR(__xludf.DUMMYFUNCTION("""COMPUTED_VALUE"""),"Convenience: Easy tracking")</f>
        <v>Convenience: Easy tracking</v>
      </c>
      <c r="Q227" s="14" t="str">
        <f>IFERROR(__xludf.DUMMYFUNCTION("split(P227,"":"")"),"Convenience")</f>
        <v>Convenience</v>
      </c>
      <c r="R227" s="14" t="str">
        <f>IFERROR(__xludf.DUMMYFUNCTION("""COMPUTED_VALUE""")," Easy tracking")</f>
        <v> Easy tracking</v>
      </c>
      <c r="S227" s="14" t="str">
        <f t="shared" ref="S227:U227" si="457">trim(B227)</f>
        <v>ord_10226</v>
      </c>
      <c r="T227" s="14" t="str">
        <f t="shared" si="457"/>
        <v>Parth Goel</v>
      </c>
      <c r="U227" s="14" t="str">
        <f t="shared" si="457"/>
        <v>Juhu</v>
      </c>
      <c r="V227" s="14" t="str">
        <f t="shared" si="4"/>
        <v>Icecream</v>
      </c>
      <c r="W227" s="14">
        <f t="shared" si="5"/>
        <v>5</v>
      </c>
      <c r="X227" s="14" t="str">
        <f t="shared" si="6"/>
        <v>Vivek Kumar</v>
      </c>
      <c r="Y227" s="15">
        <f t="shared" si="7"/>
        <v>45214</v>
      </c>
      <c r="Z227" s="14" t="str">
        <f t="shared" si="8"/>
        <v>Online Payment</v>
      </c>
      <c r="AA227" s="14" t="str">
        <f t="shared" si="9"/>
        <v>Delivered</v>
      </c>
      <c r="AB227" s="14" t="str">
        <f t="shared" ref="AB227:AC227" si="458">trim(Q227)</f>
        <v>Convenience</v>
      </c>
      <c r="AC227" s="14" t="str">
        <f t="shared" si="458"/>
        <v>Easy tracking</v>
      </c>
      <c r="AD227" s="8"/>
    </row>
    <row r="228">
      <c r="A228" s="14" t="str">
        <f>IFERROR(__xludf.DUMMYFUNCTION("""COMPUTED_VALUE"""),"//ord_10227//Pallavi Ghosh//Bandra//Popcorn+4*Ramesh S/3/30/2023//COD//Delivered*On-time Delivery: Delivered on time")</f>
        <v>//ord_10227//Pallavi Ghosh//Bandra//Popcorn+4*Ramesh S/3/30/2023//COD//Delivered*On-time Delivery: Delivered on time</v>
      </c>
      <c r="B228" s="14" t="str">
        <f>IFERROR(__xludf.DUMMYFUNCTION("split(A228,""//"")"),"ord_10227")</f>
        <v>ord_10227</v>
      </c>
      <c r="C228" s="14" t="str">
        <f>IFERROR(__xludf.DUMMYFUNCTION("""COMPUTED_VALUE"""),"Pallavi Ghosh")</f>
        <v>Pallavi Ghosh</v>
      </c>
      <c r="D228" s="14" t="str">
        <f>IFERROR(__xludf.DUMMYFUNCTION("""COMPUTED_VALUE"""),"Bandra")</f>
        <v>Bandra</v>
      </c>
      <c r="E228" s="14" t="str">
        <f>IFERROR(__xludf.DUMMYFUNCTION("""COMPUTED_VALUE"""),"Popcorn+4*Ramesh S")</f>
        <v>Popcorn+4*Ramesh S</v>
      </c>
      <c r="F228" s="14">
        <f>IFERROR(__xludf.DUMMYFUNCTION("""COMPUTED_VALUE"""),3.0)</f>
        <v>3</v>
      </c>
      <c r="G228" s="14">
        <f>IFERROR(__xludf.DUMMYFUNCTION("""COMPUTED_VALUE"""),30.0)</f>
        <v>30</v>
      </c>
      <c r="H228" s="14">
        <f>IFERROR(__xludf.DUMMYFUNCTION("""COMPUTED_VALUE"""),2023.0)</f>
        <v>2023</v>
      </c>
      <c r="I228" s="14" t="str">
        <f>IFERROR(__xludf.DUMMYFUNCTION("""COMPUTED_VALUE"""),"COD")</f>
        <v>COD</v>
      </c>
      <c r="J228" s="14" t="str">
        <f>IFERROR(__xludf.DUMMYFUNCTION("""COMPUTED_VALUE"""),"Delivered*On-time Delivery: Delivered on time")</f>
        <v>Delivered*On-time Delivery: Delivered on time</v>
      </c>
      <c r="K228" s="14" t="str">
        <f>IFERROR(__xludf.DUMMYFUNCTION("split(E228,""+"")"),"Popcorn")</f>
        <v>Popcorn</v>
      </c>
      <c r="L228" s="14" t="str">
        <f>IFERROR(__xludf.DUMMYFUNCTION("""COMPUTED_VALUE"""),"4*Ramesh S")</f>
        <v>4*Ramesh S</v>
      </c>
      <c r="M228" s="14">
        <f>IFERROR(__xludf.DUMMYFUNCTION("SPLIT(L228,""*"")"),4.0)</f>
        <v>4</v>
      </c>
      <c r="N228" s="14" t="str">
        <f>IFERROR(__xludf.DUMMYFUNCTION("""COMPUTED_VALUE"""),"Ramesh S")</f>
        <v>Ramesh S</v>
      </c>
      <c r="O228" s="14" t="str">
        <f>IFERROR(__xludf.DUMMYFUNCTION("split(J228,""*"")"),"Delivered")</f>
        <v>Delivered</v>
      </c>
      <c r="P228" s="14" t="str">
        <f>IFERROR(__xludf.DUMMYFUNCTION("""COMPUTED_VALUE"""),"On-time Delivery: Delivered on time")</f>
        <v>On-time Delivery: Delivered on time</v>
      </c>
      <c r="Q228" s="14" t="str">
        <f>IFERROR(__xludf.DUMMYFUNCTION("split(P228,"":"")"),"On-time Delivery")</f>
        <v>On-time Delivery</v>
      </c>
      <c r="R228" s="14" t="str">
        <f>IFERROR(__xludf.DUMMYFUNCTION("""COMPUTED_VALUE""")," Delivered on time")</f>
        <v> Delivered on time</v>
      </c>
      <c r="S228" s="14" t="str">
        <f t="shared" ref="S228:U228" si="459">trim(B228)</f>
        <v>ord_10227</v>
      </c>
      <c r="T228" s="14" t="str">
        <f t="shared" si="459"/>
        <v>Pallavi Ghosh</v>
      </c>
      <c r="U228" s="14" t="str">
        <f t="shared" si="459"/>
        <v>Bandra</v>
      </c>
      <c r="V228" s="14" t="str">
        <f t="shared" si="4"/>
        <v>Popcorn</v>
      </c>
      <c r="W228" s="14">
        <f t="shared" si="5"/>
        <v>4</v>
      </c>
      <c r="X228" s="14" t="str">
        <f t="shared" si="6"/>
        <v>Ramesh S</v>
      </c>
      <c r="Y228" s="15">
        <f t="shared" si="7"/>
        <v>45015</v>
      </c>
      <c r="Z228" s="14" t="str">
        <f t="shared" si="8"/>
        <v>COD</v>
      </c>
      <c r="AA228" s="14" t="str">
        <f t="shared" si="9"/>
        <v>Delivered</v>
      </c>
      <c r="AB228" s="14" t="str">
        <f t="shared" ref="AB228:AC228" si="460">trim(Q228)</f>
        <v>On-time Delivery</v>
      </c>
      <c r="AC228" s="14" t="str">
        <f t="shared" si="460"/>
        <v>Delivered on time</v>
      </c>
      <c r="AD228" s="8"/>
    </row>
    <row r="229">
      <c r="A229" s="14" t="str">
        <f>IFERROR(__xludf.DUMMYFUNCTION("""COMPUTED_VALUE"""),"//ord_10228//Mohit Malhotra//Lower Parel//Juice+1*Vivek Kumar/3/21/2023//UPI//Delivered*Quality of Items: Perfect condition")</f>
        <v>//ord_10228//Mohit Malhotra//Lower Parel//Juice+1*Vivek Kumar/3/21/2023//UPI//Delivered*Quality of Items: Perfect condition</v>
      </c>
      <c r="B229" s="14" t="str">
        <f>IFERROR(__xludf.DUMMYFUNCTION("split(A229,""//"")"),"ord_10228")</f>
        <v>ord_10228</v>
      </c>
      <c r="C229" s="14" t="str">
        <f>IFERROR(__xludf.DUMMYFUNCTION("""COMPUTED_VALUE"""),"Mohit Malhotra")</f>
        <v>Mohit Malhotra</v>
      </c>
      <c r="D229" s="14" t="str">
        <f>IFERROR(__xludf.DUMMYFUNCTION("""COMPUTED_VALUE"""),"Lower Parel")</f>
        <v>Lower Parel</v>
      </c>
      <c r="E229" s="14" t="str">
        <f>IFERROR(__xludf.DUMMYFUNCTION("""COMPUTED_VALUE"""),"Juice+1*Vivek Kumar")</f>
        <v>Juice+1*Vivek Kumar</v>
      </c>
      <c r="F229" s="14">
        <f>IFERROR(__xludf.DUMMYFUNCTION("""COMPUTED_VALUE"""),3.0)</f>
        <v>3</v>
      </c>
      <c r="G229" s="14">
        <f>IFERROR(__xludf.DUMMYFUNCTION("""COMPUTED_VALUE"""),21.0)</f>
        <v>21</v>
      </c>
      <c r="H229" s="14">
        <f>IFERROR(__xludf.DUMMYFUNCTION("""COMPUTED_VALUE"""),2023.0)</f>
        <v>2023</v>
      </c>
      <c r="I229" s="14" t="str">
        <f>IFERROR(__xludf.DUMMYFUNCTION("""COMPUTED_VALUE"""),"UPI")</f>
        <v>UPI</v>
      </c>
      <c r="J229" s="14" t="str">
        <f>IFERROR(__xludf.DUMMYFUNCTION("""COMPUTED_VALUE"""),"Delivered*Quality of Items: Perfect condition")</f>
        <v>Delivered*Quality of Items: Perfect condition</v>
      </c>
      <c r="K229" s="14" t="str">
        <f>IFERROR(__xludf.DUMMYFUNCTION("split(E229,""+"")"),"Juice")</f>
        <v>Juice</v>
      </c>
      <c r="L229" s="14" t="str">
        <f>IFERROR(__xludf.DUMMYFUNCTION("""COMPUTED_VALUE"""),"1*Vivek Kumar")</f>
        <v>1*Vivek Kumar</v>
      </c>
      <c r="M229" s="14">
        <f>IFERROR(__xludf.DUMMYFUNCTION("SPLIT(L229,""*"")"),1.0)</f>
        <v>1</v>
      </c>
      <c r="N229" s="14" t="str">
        <f>IFERROR(__xludf.DUMMYFUNCTION("""COMPUTED_VALUE"""),"Vivek Kumar")</f>
        <v>Vivek Kumar</v>
      </c>
      <c r="O229" s="14" t="str">
        <f>IFERROR(__xludf.DUMMYFUNCTION("split(J229,""*"")"),"Delivered")</f>
        <v>Delivered</v>
      </c>
      <c r="P229" s="14" t="str">
        <f>IFERROR(__xludf.DUMMYFUNCTION("""COMPUTED_VALUE"""),"Quality of Items: Perfect condition")</f>
        <v>Quality of Items: Perfect condition</v>
      </c>
      <c r="Q229" s="14" t="str">
        <f>IFERROR(__xludf.DUMMYFUNCTION("split(P229,"":"")"),"Quality of Items")</f>
        <v>Quality of Items</v>
      </c>
      <c r="R229" s="14" t="str">
        <f>IFERROR(__xludf.DUMMYFUNCTION("""COMPUTED_VALUE""")," Perfect condition")</f>
        <v> Perfect condition</v>
      </c>
      <c r="S229" s="14" t="str">
        <f t="shared" ref="S229:U229" si="461">trim(B229)</f>
        <v>ord_10228</v>
      </c>
      <c r="T229" s="14" t="str">
        <f t="shared" si="461"/>
        <v>Mohit Malhotra</v>
      </c>
      <c r="U229" s="14" t="str">
        <f t="shared" si="461"/>
        <v>Lower Parel</v>
      </c>
      <c r="V229" s="14" t="str">
        <f t="shared" si="4"/>
        <v>Juice</v>
      </c>
      <c r="W229" s="14">
        <f t="shared" si="5"/>
        <v>1</v>
      </c>
      <c r="X229" s="14" t="str">
        <f t="shared" si="6"/>
        <v>Vivek Kumar</v>
      </c>
      <c r="Y229" s="15">
        <f t="shared" si="7"/>
        <v>45006</v>
      </c>
      <c r="Z229" s="14" t="str">
        <f t="shared" si="8"/>
        <v>UPI</v>
      </c>
      <c r="AA229" s="14" t="str">
        <f t="shared" si="9"/>
        <v>Delivered</v>
      </c>
      <c r="AB229" s="14" t="str">
        <f t="shared" ref="AB229:AC229" si="462">trim(Q229)</f>
        <v>Quality of Items</v>
      </c>
      <c r="AC229" s="14" t="str">
        <f t="shared" si="462"/>
        <v>Perfect condition</v>
      </c>
      <c r="AD229" s="8"/>
    </row>
    <row r="230">
      <c r="A230" s="14" t="str">
        <f>IFERROR(__xludf.DUMMYFUNCTION("""COMPUTED_VALUE"""),"//ord_10229//Sahil Desai//Lower Parel//Orange+2*Ram Gopal/9/6/2023//Online Payment//Delivered*Packaging: Secure and intact")</f>
        <v>//ord_10229//Sahil Desai//Lower Parel//Orange+2*Ram Gopal/9/6/2023//Online Payment//Delivered*Packaging: Secure and intact</v>
      </c>
      <c r="B230" s="14" t="str">
        <f>IFERROR(__xludf.DUMMYFUNCTION("split(A230,""//"")"),"ord_10229")</f>
        <v>ord_10229</v>
      </c>
      <c r="C230" s="14" t="str">
        <f>IFERROR(__xludf.DUMMYFUNCTION("""COMPUTED_VALUE"""),"Sahil Desai")</f>
        <v>Sahil Desai</v>
      </c>
      <c r="D230" s="14" t="str">
        <f>IFERROR(__xludf.DUMMYFUNCTION("""COMPUTED_VALUE"""),"Lower Parel")</f>
        <v>Lower Parel</v>
      </c>
      <c r="E230" s="14" t="str">
        <f>IFERROR(__xludf.DUMMYFUNCTION("""COMPUTED_VALUE"""),"Orange+2*Ram Gopal")</f>
        <v>Orange+2*Ram Gopal</v>
      </c>
      <c r="F230" s="14">
        <f>IFERROR(__xludf.DUMMYFUNCTION("""COMPUTED_VALUE"""),9.0)</f>
        <v>9</v>
      </c>
      <c r="G230" s="14">
        <f>IFERROR(__xludf.DUMMYFUNCTION("""COMPUTED_VALUE"""),6.0)</f>
        <v>6</v>
      </c>
      <c r="H230" s="14">
        <f>IFERROR(__xludf.DUMMYFUNCTION("""COMPUTED_VALUE"""),2023.0)</f>
        <v>2023</v>
      </c>
      <c r="I230" s="14" t="str">
        <f>IFERROR(__xludf.DUMMYFUNCTION("""COMPUTED_VALUE"""),"Online Payment")</f>
        <v>Online Payment</v>
      </c>
      <c r="J230" s="14" t="str">
        <f>IFERROR(__xludf.DUMMYFUNCTION("""COMPUTED_VALUE"""),"Delivered*Packaging: Secure and intact")</f>
        <v>Delivered*Packaging: Secure and intact</v>
      </c>
      <c r="K230" s="14" t="str">
        <f>IFERROR(__xludf.DUMMYFUNCTION("split(E230,""+"")"),"Orange")</f>
        <v>Orange</v>
      </c>
      <c r="L230" s="14" t="str">
        <f>IFERROR(__xludf.DUMMYFUNCTION("""COMPUTED_VALUE"""),"2*Ram Gopal")</f>
        <v>2*Ram Gopal</v>
      </c>
      <c r="M230" s="14">
        <f>IFERROR(__xludf.DUMMYFUNCTION("SPLIT(L230,""*"")"),2.0)</f>
        <v>2</v>
      </c>
      <c r="N230" s="14" t="str">
        <f>IFERROR(__xludf.DUMMYFUNCTION("""COMPUTED_VALUE"""),"Ram Gopal")</f>
        <v>Ram Gopal</v>
      </c>
      <c r="O230" s="14" t="str">
        <f>IFERROR(__xludf.DUMMYFUNCTION("split(J230,""*"")"),"Delivered")</f>
        <v>Delivered</v>
      </c>
      <c r="P230" s="14" t="str">
        <f>IFERROR(__xludf.DUMMYFUNCTION("""COMPUTED_VALUE"""),"Packaging: Secure and intact")</f>
        <v>Packaging: Secure and intact</v>
      </c>
      <c r="Q230" s="14" t="str">
        <f>IFERROR(__xludf.DUMMYFUNCTION("split(P230,"":"")"),"Packaging")</f>
        <v>Packaging</v>
      </c>
      <c r="R230" s="14" t="str">
        <f>IFERROR(__xludf.DUMMYFUNCTION("""COMPUTED_VALUE""")," Secure and intact")</f>
        <v> Secure and intact</v>
      </c>
      <c r="S230" s="14" t="str">
        <f t="shared" ref="S230:U230" si="463">trim(B230)</f>
        <v>ord_10229</v>
      </c>
      <c r="T230" s="14" t="str">
        <f t="shared" si="463"/>
        <v>Sahil Desai</v>
      </c>
      <c r="U230" s="14" t="str">
        <f t="shared" si="463"/>
        <v>Lower Parel</v>
      </c>
      <c r="V230" s="14" t="str">
        <f t="shared" si="4"/>
        <v>Orange</v>
      </c>
      <c r="W230" s="14">
        <f t="shared" si="5"/>
        <v>2</v>
      </c>
      <c r="X230" s="14" t="str">
        <f t="shared" si="6"/>
        <v>Ram Gopal</v>
      </c>
      <c r="Y230" s="15">
        <f t="shared" si="7"/>
        <v>45175</v>
      </c>
      <c r="Z230" s="14" t="str">
        <f t="shared" si="8"/>
        <v>Online Payment</v>
      </c>
      <c r="AA230" s="14" t="str">
        <f t="shared" si="9"/>
        <v>Delivered</v>
      </c>
      <c r="AB230" s="14" t="str">
        <f t="shared" ref="AB230:AC230" si="464">trim(Q230)</f>
        <v>Packaging</v>
      </c>
      <c r="AC230" s="14" t="str">
        <f t="shared" si="464"/>
        <v>Secure and intact</v>
      </c>
      <c r="AD230" s="8"/>
    </row>
    <row r="231">
      <c r="A231" s="14" t="str">
        <f>IFERROR(__xludf.DUMMYFUNCTION("""COMPUTED_VALUE"""),"//ord_10230//Sakshi Tandon//Colaba//Potato+2*Ram Gopal/4/24/2023//Credit Card//Delivered*Satisfied with the Delivery: Timely and quality")</f>
        <v>//ord_10230//Sakshi Tandon//Colaba//Potato+2*Ram Gopal/4/24/2023//Credit Card//Delivered*Satisfied with the Delivery: Timely and quality</v>
      </c>
      <c r="B231" s="14" t="str">
        <f>IFERROR(__xludf.DUMMYFUNCTION("split(A231,""//"")"),"ord_10230")</f>
        <v>ord_10230</v>
      </c>
      <c r="C231" s="14" t="str">
        <f>IFERROR(__xludf.DUMMYFUNCTION("""COMPUTED_VALUE"""),"Sakshi Tandon")</f>
        <v>Sakshi Tandon</v>
      </c>
      <c r="D231" s="14" t="str">
        <f>IFERROR(__xludf.DUMMYFUNCTION("""COMPUTED_VALUE"""),"Colaba")</f>
        <v>Colaba</v>
      </c>
      <c r="E231" s="14" t="str">
        <f>IFERROR(__xludf.DUMMYFUNCTION("""COMPUTED_VALUE"""),"Potato+2*Ram Gopal")</f>
        <v>Potato+2*Ram Gopal</v>
      </c>
      <c r="F231" s="14">
        <f>IFERROR(__xludf.DUMMYFUNCTION("""COMPUTED_VALUE"""),4.0)</f>
        <v>4</v>
      </c>
      <c r="G231" s="14">
        <f>IFERROR(__xludf.DUMMYFUNCTION("""COMPUTED_VALUE"""),24.0)</f>
        <v>24</v>
      </c>
      <c r="H231" s="14">
        <f>IFERROR(__xludf.DUMMYFUNCTION("""COMPUTED_VALUE"""),2023.0)</f>
        <v>2023</v>
      </c>
      <c r="I231" s="14" t="str">
        <f>IFERROR(__xludf.DUMMYFUNCTION("""COMPUTED_VALUE"""),"Credit Card")</f>
        <v>Credit Card</v>
      </c>
      <c r="J231" s="14" t="str">
        <f>IFERROR(__xludf.DUMMYFUNCTION("""COMPUTED_VALUE"""),"Delivered*Satisfied with the Delivery: Timely and quality")</f>
        <v>Delivered*Satisfied with the Delivery: Timely and quality</v>
      </c>
      <c r="K231" s="14" t="str">
        <f>IFERROR(__xludf.DUMMYFUNCTION("split(E231,""+"")"),"Potato")</f>
        <v>Potato</v>
      </c>
      <c r="L231" s="14" t="str">
        <f>IFERROR(__xludf.DUMMYFUNCTION("""COMPUTED_VALUE"""),"2*Ram Gopal")</f>
        <v>2*Ram Gopal</v>
      </c>
      <c r="M231" s="14">
        <f>IFERROR(__xludf.DUMMYFUNCTION("SPLIT(L231,""*"")"),2.0)</f>
        <v>2</v>
      </c>
      <c r="N231" s="14" t="str">
        <f>IFERROR(__xludf.DUMMYFUNCTION("""COMPUTED_VALUE"""),"Ram Gopal")</f>
        <v>Ram Gopal</v>
      </c>
      <c r="O231" s="14" t="str">
        <f>IFERROR(__xludf.DUMMYFUNCTION("split(J231,""*"")"),"Delivered")</f>
        <v>Delivered</v>
      </c>
      <c r="P231" s="14" t="str">
        <f>IFERROR(__xludf.DUMMYFUNCTION("""COMPUTED_VALUE"""),"Satisfied with the Delivery: Timely and quality")</f>
        <v>Satisfied with the Delivery: Timely and quality</v>
      </c>
      <c r="Q231" s="14" t="str">
        <f>IFERROR(__xludf.DUMMYFUNCTION("split(P231,"":"")"),"Satisfied with the Delivery")</f>
        <v>Satisfied with the Delivery</v>
      </c>
      <c r="R231" s="14" t="str">
        <f>IFERROR(__xludf.DUMMYFUNCTION("""COMPUTED_VALUE""")," Timely and quality")</f>
        <v> Timely and quality</v>
      </c>
      <c r="S231" s="14" t="str">
        <f t="shared" ref="S231:U231" si="465">trim(B231)</f>
        <v>ord_10230</v>
      </c>
      <c r="T231" s="14" t="str">
        <f t="shared" si="465"/>
        <v>Sakshi Tandon</v>
      </c>
      <c r="U231" s="14" t="str">
        <f t="shared" si="465"/>
        <v>Colaba</v>
      </c>
      <c r="V231" s="14" t="str">
        <f t="shared" si="4"/>
        <v>Potato</v>
      </c>
      <c r="W231" s="14">
        <f t="shared" si="5"/>
        <v>2</v>
      </c>
      <c r="X231" s="14" t="str">
        <f t="shared" si="6"/>
        <v>Ram Gopal</v>
      </c>
      <c r="Y231" s="15">
        <f t="shared" si="7"/>
        <v>45040</v>
      </c>
      <c r="Z231" s="14" t="str">
        <f t="shared" si="8"/>
        <v>Credit Card</v>
      </c>
      <c r="AA231" s="14" t="str">
        <f t="shared" si="9"/>
        <v>Delivered</v>
      </c>
      <c r="AB231" s="14" t="str">
        <f t="shared" ref="AB231:AC231" si="466">trim(Q231)</f>
        <v>Satisfied with the Delivery</v>
      </c>
      <c r="AC231" s="14" t="str">
        <f t="shared" si="466"/>
        <v>Timely and quality</v>
      </c>
      <c r="AD231" s="8"/>
    </row>
    <row r="232">
      <c r="A232" s="14" t="str">
        <f>IFERROR(__xludf.DUMMYFUNCTION("""COMPUTED_VALUE"""),"//ord_10231//Mehul Thakkar//Malad//Veg Puff+3*Nithin Lal/12/20/2023//Online Payment//Delivered*Customer Service: Seamless and easy")</f>
        <v>//ord_10231//Mehul Thakkar//Malad//Veg Puff+3*Nithin Lal/12/20/2023//Online Payment//Delivered*Customer Service: Seamless and easy</v>
      </c>
      <c r="B232" s="14" t="str">
        <f>IFERROR(__xludf.DUMMYFUNCTION("split(A232,""//"")"),"ord_10231")</f>
        <v>ord_10231</v>
      </c>
      <c r="C232" s="14" t="str">
        <f>IFERROR(__xludf.DUMMYFUNCTION("""COMPUTED_VALUE"""),"Mehul Thakkar")</f>
        <v>Mehul Thakkar</v>
      </c>
      <c r="D232" s="14" t="str">
        <f>IFERROR(__xludf.DUMMYFUNCTION("""COMPUTED_VALUE"""),"Malad")</f>
        <v>Malad</v>
      </c>
      <c r="E232" s="14" t="str">
        <f>IFERROR(__xludf.DUMMYFUNCTION("""COMPUTED_VALUE"""),"Veg Puff+3*Nithin Lal")</f>
        <v>Veg Puff+3*Nithin Lal</v>
      </c>
      <c r="F232" s="14">
        <f>IFERROR(__xludf.DUMMYFUNCTION("""COMPUTED_VALUE"""),12.0)</f>
        <v>12</v>
      </c>
      <c r="G232" s="14">
        <f>IFERROR(__xludf.DUMMYFUNCTION("""COMPUTED_VALUE"""),20.0)</f>
        <v>20</v>
      </c>
      <c r="H232" s="14">
        <f>IFERROR(__xludf.DUMMYFUNCTION("""COMPUTED_VALUE"""),2023.0)</f>
        <v>2023</v>
      </c>
      <c r="I232" s="14" t="str">
        <f>IFERROR(__xludf.DUMMYFUNCTION("""COMPUTED_VALUE"""),"Online Payment")</f>
        <v>Online Payment</v>
      </c>
      <c r="J232" s="14" t="str">
        <f>IFERROR(__xludf.DUMMYFUNCTION("""COMPUTED_VALUE"""),"Delivered*Customer Service: Seamless and easy")</f>
        <v>Delivered*Customer Service: Seamless and easy</v>
      </c>
      <c r="K232" s="14" t="str">
        <f>IFERROR(__xludf.DUMMYFUNCTION("split(E232,""+"")"),"Veg Puff")</f>
        <v>Veg Puff</v>
      </c>
      <c r="L232" s="14" t="str">
        <f>IFERROR(__xludf.DUMMYFUNCTION("""COMPUTED_VALUE"""),"3*Nithin Lal")</f>
        <v>3*Nithin Lal</v>
      </c>
      <c r="M232" s="14">
        <f>IFERROR(__xludf.DUMMYFUNCTION("SPLIT(L232,""*"")"),3.0)</f>
        <v>3</v>
      </c>
      <c r="N232" s="14" t="str">
        <f>IFERROR(__xludf.DUMMYFUNCTION("""COMPUTED_VALUE"""),"Nithin Lal")</f>
        <v>Nithin Lal</v>
      </c>
      <c r="O232" s="14" t="str">
        <f>IFERROR(__xludf.DUMMYFUNCTION("split(J232,""*"")"),"Delivered")</f>
        <v>Delivered</v>
      </c>
      <c r="P232" s="14" t="str">
        <f>IFERROR(__xludf.DUMMYFUNCTION("""COMPUTED_VALUE"""),"Customer Service: Seamless and easy")</f>
        <v>Customer Service: Seamless and easy</v>
      </c>
      <c r="Q232" s="14" t="str">
        <f>IFERROR(__xludf.DUMMYFUNCTION("split(P232,"":"")"),"Customer Service")</f>
        <v>Customer Service</v>
      </c>
      <c r="R232" s="14" t="str">
        <f>IFERROR(__xludf.DUMMYFUNCTION("""COMPUTED_VALUE""")," Seamless and easy")</f>
        <v> Seamless and easy</v>
      </c>
      <c r="S232" s="14" t="str">
        <f t="shared" ref="S232:U232" si="467">trim(B232)</f>
        <v>ord_10231</v>
      </c>
      <c r="T232" s="14" t="str">
        <f t="shared" si="467"/>
        <v>Mehul Thakkar</v>
      </c>
      <c r="U232" s="14" t="str">
        <f t="shared" si="467"/>
        <v>Malad</v>
      </c>
      <c r="V232" s="14" t="str">
        <f t="shared" si="4"/>
        <v>Veg Puff</v>
      </c>
      <c r="W232" s="14">
        <f t="shared" si="5"/>
        <v>3</v>
      </c>
      <c r="X232" s="14" t="str">
        <f t="shared" si="6"/>
        <v>Nithin Lal</v>
      </c>
      <c r="Y232" s="15">
        <f t="shared" si="7"/>
        <v>45280</v>
      </c>
      <c r="Z232" s="14" t="str">
        <f t="shared" si="8"/>
        <v>Online Payment</v>
      </c>
      <c r="AA232" s="14" t="str">
        <f t="shared" si="9"/>
        <v>Delivered</v>
      </c>
      <c r="AB232" s="14" t="str">
        <f t="shared" ref="AB232:AC232" si="468">trim(Q232)</f>
        <v>Customer Service</v>
      </c>
      <c r="AC232" s="14" t="str">
        <f t="shared" si="468"/>
        <v>Seamless and easy</v>
      </c>
      <c r="AD232" s="8"/>
    </row>
    <row r="233">
      <c r="A233" s="14" t="str">
        <f>IFERROR(__xludf.DUMMYFUNCTION("""COMPUTED_VALUE"""),"//ord_10232//Pallavi Ghosh//Bandra//Papaya+1*Priya Joshi/11/12/2023//Credit Card//Delivered*Customer Service: Seamless and easy")</f>
        <v>//ord_10232//Pallavi Ghosh//Bandra//Papaya+1*Priya Joshi/11/12/2023//Credit Card//Delivered*Customer Service: Seamless and easy</v>
      </c>
      <c r="B233" s="14" t="str">
        <f>IFERROR(__xludf.DUMMYFUNCTION("split(A233,""//"")"),"ord_10232")</f>
        <v>ord_10232</v>
      </c>
      <c r="C233" s="14" t="str">
        <f>IFERROR(__xludf.DUMMYFUNCTION("""COMPUTED_VALUE"""),"Pallavi Ghosh")</f>
        <v>Pallavi Ghosh</v>
      </c>
      <c r="D233" s="14" t="str">
        <f>IFERROR(__xludf.DUMMYFUNCTION("""COMPUTED_VALUE"""),"Bandra")</f>
        <v>Bandra</v>
      </c>
      <c r="E233" s="14" t="str">
        <f>IFERROR(__xludf.DUMMYFUNCTION("""COMPUTED_VALUE"""),"Papaya+1*Priya Joshi")</f>
        <v>Papaya+1*Priya Joshi</v>
      </c>
      <c r="F233" s="14">
        <f>IFERROR(__xludf.DUMMYFUNCTION("""COMPUTED_VALUE"""),11.0)</f>
        <v>11</v>
      </c>
      <c r="G233" s="14">
        <f>IFERROR(__xludf.DUMMYFUNCTION("""COMPUTED_VALUE"""),12.0)</f>
        <v>12</v>
      </c>
      <c r="H233" s="14">
        <f>IFERROR(__xludf.DUMMYFUNCTION("""COMPUTED_VALUE"""),2023.0)</f>
        <v>2023</v>
      </c>
      <c r="I233" s="14" t="str">
        <f>IFERROR(__xludf.DUMMYFUNCTION("""COMPUTED_VALUE"""),"Credit Card")</f>
        <v>Credit Card</v>
      </c>
      <c r="J233" s="14" t="str">
        <f>IFERROR(__xludf.DUMMYFUNCTION("""COMPUTED_VALUE"""),"Delivered*Customer Service: Seamless and easy")</f>
        <v>Delivered*Customer Service: Seamless and easy</v>
      </c>
      <c r="K233" s="14" t="str">
        <f>IFERROR(__xludf.DUMMYFUNCTION("split(E233,""+"")"),"Papaya")</f>
        <v>Papaya</v>
      </c>
      <c r="L233" s="14" t="str">
        <f>IFERROR(__xludf.DUMMYFUNCTION("""COMPUTED_VALUE"""),"1*Priya Joshi")</f>
        <v>1*Priya Joshi</v>
      </c>
      <c r="M233" s="14">
        <f>IFERROR(__xludf.DUMMYFUNCTION("SPLIT(L233,""*"")"),1.0)</f>
        <v>1</v>
      </c>
      <c r="N233" s="14" t="str">
        <f>IFERROR(__xludf.DUMMYFUNCTION("""COMPUTED_VALUE"""),"Priya Joshi")</f>
        <v>Priya Joshi</v>
      </c>
      <c r="O233" s="14" t="str">
        <f>IFERROR(__xludf.DUMMYFUNCTION("split(J233,""*"")"),"Delivered")</f>
        <v>Delivered</v>
      </c>
      <c r="P233" s="14" t="str">
        <f>IFERROR(__xludf.DUMMYFUNCTION("""COMPUTED_VALUE"""),"Customer Service: Seamless and easy")</f>
        <v>Customer Service: Seamless and easy</v>
      </c>
      <c r="Q233" s="14" t="str">
        <f>IFERROR(__xludf.DUMMYFUNCTION("split(P233,"":"")"),"Customer Service")</f>
        <v>Customer Service</v>
      </c>
      <c r="R233" s="14" t="str">
        <f>IFERROR(__xludf.DUMMYFUNCTION("""COMPUTED_VALUE""")," Seamless and easy")</f>
        <v> Seamless and easy</v>
      </c>
      <c r="S233" s="14" t="str">
        <f t="shared" ref="S233:U233" si="469">trim(B233)</f>
        <v>ord_10232</v>
      </c>
      <c r="T233" s="14" t="str">
        <f t="shared" si="469"/>
        <v>Pallavi Ghosh</v>
      </c>
      <c r="U233" s="14" t="str">
        <f t="shared" si="469"/>
        <v>Bandra</v>
      </c>
      <c r="V233" s="14" t="str">
        <f t="shared" si="4"/>
        <v>Papaya</v>
      </c>
      <c r="W233" s="14">
        <f t="shared" si="5"/>
        <v>1</v>
      </c>
      <c r="X233" s="14" t="str">
        <f t="shared" si="6"/>
        <v>Priya Joshi</v>
      </c>
      <c r="Y233" s="15">
        <f t="shared" si="7"/>
        <v>45242</v>
      </c>
      <c r="Z233" s="14" t="str">
        <f t="shared" si="8"/>
        <v>Credit Card</v>
      </c>
      <c r="AA233" s="14" t="str">
        <f t="shared" si="9"/>
        <v>Delivered</v>
      </c>
      <c r="AB233" s="14" t="str">
        <f t="shared" ref="AB233:AC233" si="470">trim(Q233)</f>
        <v>Customer Service</v>
      </c>
      <c r="AC233" s="14" t="str">
        <f t="shared" si="470"/>
        <v>Seamless and easy</v>
      </c>
      <c r="AD233" s="8"/>
    </row>
    <row r="234">
      <c r="A234" s="14" t="str">
        <f>IFERROR(__xludf.DUMMYFUNCTION("""COMPUTED_VALUE"""),"//ord_10233//Aditi Iyer//Dadar//Potato+2*Vivek Kumar/11/7/2023//UPI//Delivered*Delivery Experience: Quick and professional")</f>
        <v>//ord_10233//Aditi Iyer//Dadar//Potato+2*Vivek Kumar/11/7/2023//UPI//Delivered*Delivery Experience: Quick and professional</v>
      </c>
      <c r="B234" s="14" t="str">
        <f>IFERROR(__xludf.DUMMYFUNCTION("split(A234,""//"")"),"ord_10233")</f>
        <v>ord_10233</v>
      </c>
      <c r="C234" s="14" t="str">
        <f>IFERROR(__xludf.DUMMYFUNCTION("""COMPUTED_VALUE"""),"Aditi Iyer")</f>
        <v>Aditi Iyer</v>
      </c>
      <c r="D234" s="14" t="str">
        <f>IFERROR(__xludf.DUMMYFUNCTION("""COMPUTED_VALUE"""),"Dadar")</f>
        <v>Dadar</v>
      </c>
      <c r="E234" s="14" t="str">
        <f>IFERROR(__xludf.DUMMYFUNCTION("""COMPUTED_VALUE"""),"Potato+2*Vivek Kumar")</f>
        <v>Potato+2*Vivek Kumar</v>
      </c>
      <c r="F234" s="14">
        <f>IFERROR(__xludf.DUMMYFUNCTION("""COMPUTED_VALUE"""),11.0)</f>
        <v>11</v>
      </c>
      <c r="G234" s="14">
        <f>IFERROR(__xludf.DUMMYFUNCTION("""COMPUTED_VALUE"""),7.0)</f>
        <v>7</v>
      </c>
      <c r="H234" s="14">
        <f>IFERROR(__xludf.DUMMYFUNCTION("""COMPUTED_VALUE"""),2023.0)</f>
        <v>2023</v>
      </c>
      <c r="I234" s="14" t="str">
        <f>IFERROR(__xludf.DUMMYFUNCTION("""COMPUTED_VALUE"""),"UPI")</f>
        <v>UPI</v>
      </c>
      <c r="J234" s="14" t="str">
        <f>IFERROR(__xludf.DUMMYFUNCTION("""COMPUTED_VALUE"""),"Delivered*Delivery Experience: Quick and professional")</f>
        <v>Delivered*Delivery Experience: Quick and professional</v>
      </c>
      <c r="K234" s="14" t="str">
        <f>IFERROR(__xludf.DUMMYFUNCTION("split(E234,""+"")"),"Potato")</f>
        <v>Potato</v>
      </c>
      <c r="L234" s="14" t="str">
        <f>IFERROR(__xludf.DUMMYFUNCTION("""COMPUTED_VALUE"""),"2*Vivek Kumar")</f>
        <v>2*Vivek Kumar</v>
      </c>
      <c r="M234" s="14">
        <f>IFERROR(__xludf.DUMMYFUNCTION("SPLIT(L234,""*"")"),2.0)</f>
        <v>2</v>
      </c>
      <c r="N234" s="14" t="str">
        <f>IFERROR(__xludf.DUMMYFUNCTION("""COMPUTED_VALUE"""),"Vivek Kumar")</f>
        <v>Vivek Kumar</v>
      </c>
      <c r="O234" s="14" t="str">
        <f>IFERROR(__xludf.DUMMYFUNCTION("split(J234,""*"")"),"Delivered")</f>
        <v>Delivered</v>
      </c>
      <c r="P234" s="14" t="str">
        <f>IFERROR(__xludf.DUMMYFUNCTION("""COMPUTED_VALUE"""),"Delivery Experience: Quick and professional")</f>
        <v>Delivery Experience: Quick and professional</v>
      </c>
      <c r="Q234" s="14" t="str">
        <f>IFERROR(__xludf.DUMMYFUNCTION("split(P234,"":"")"),"Delivery Experience")</f>
        <v>Delivery Experience</v>
      </c>
      <c r="R234" s="14" t="str">
        <f>IFERROR(__xludf.DUMMYFUNCTION("""COMPUTED_VALUE""")," Quick and professional")</f>
        <v> Quick and professional</v>
      </c>
      <c r="S234" s="14" t="str">
        <f t="shared" ref="S234:U234" si="471">trim(B234)</f>
        <v>ord_10233</v>
      </c>
      <c r="T234" s="14" t="str">
        <f t="shared" si="471"/>
        <v>Aditi Iyer</v>
      </c>
      <c r="U234" s="14" t="str">
        <f t="shared" si="471"/>
        <v>Dadar</v>
      </c>
      <c r="V234" s="14" t="str">
        <f t="shared" si="4"/>
        <v>Potato</v>
      </c>
      <c r="W234" s="14">
        <f t="shared" si="5"/>
        <v>2</v>
      </c>
      <c r="X234" s="14" t="str">
        <f t="shared" si="6"/>
        <v>Vivek Kumar</v>
      </c>
      <c r="Y234" s="15">
        <f t="shared" si="7"/>
        <v>45237</v>
      </c>
      <c r="Z234" s="14" t="str">
        <f t="shared" si="8"/>
        <v>UPI</v>
      </c>
      <c r="AA234" s="14" t="str">
        <f t="shared" si="9"/>
        <v>Delivered</v>
      </c>
      <c r="AB234" s="14" t="str">
        <f t="shared" ref="AB234:AC234" si="472">trim(Q234)</f>
        <v>Delivery Experience</v>
      </c>
      <c r="AC234" s="14" t="str">
        <f t="shared" si="472"/>
        <v>Quick and professional</v>
      </c>
      <c r="AD234" s="8"/>
    </row>
    <row r="235">
      <c r="A235" s="14" t="str">
        <f>IFERROR(__xludf.DUMMYFUNCTION("""COMPUTED_VALUE"""),"//ord_10234//Arvind Kulkarni//Juhu//Papaya+2*Tanvi Jain/3/20/2023//UPI//Cancelled*Delayed Delivery:Heavy Traffic")</f>
        <v>//ord_10234//Arvind Kulkarni//Juhu//Papaya+2*Tanvi Jain/3/20/2023//UPI//Cancelled*Delayed Delivery:Heavy Traffic</v>
      </c>
      <c r="B235" s="14" t="str">
        <f>IFERROR(__xludf.DUMMYFUNCTION("split(A235,""//"")"),"ord_10234")</f>
        <v>ord_10234</v>
      </c>
      <c r="C235" s="14" t="str">
        <f>IFERROR(__xludf.DUMMYFUNCTION("""COMPUTED_VALUE"""),"Arvind Kulkarni")</f>
        <v>Arvind Kulkarni</v>
      </c>
      <c r="D235" s="14" t="str">
        <f>IFERROR(__xludf.DUMMYFUNCTION("""COMPUTED_VALUE"""),"Juhu")</f>
        <v>Juhu</v>
      </c>
      <c r="E235" s="14" t="str">
        <f>IFERROR(__xludf.DUMMYFUNCTION("""COMPUTED_VALUE"""),"Papaya+2*Tanvi Jain")</f>
        <v>Papaya+2*Tanvi Jain</v>
      </c>
      <c r="F235" s="14">
        <f>IFERROR(__xludf.DUMMYFUNCTION("""COMPUTED_VALUE"""),3.0)</f>
        <v>3</v>
      </c>
      <c r="G235" s="14">
        <f>IFERROR(__xludf.DUMMYFUNCTION("""COMPUTED_VALUE"""),20.0)</f>
        <v>20</v>
      </c>
      <c r="H235" s="14">
        <f>IFERROR(__xludf.DUMMYFUNCTION("""COMPUTED_VALUE"""),2023.0)</f>
        <v>2023</v>
      </c>
      <c r="I235" s="14" t="str">
        <f>IFERROR(__xludf.DUMMYFUNCTION("""COMPUTED_VALUE"""),"UPI")</f>
        <v>UPI</v>
      </c>
      <c r="J235" s="14" t="str">
        <f>IFERROR(__xludf.DUMMYFUNCTION("""COMPUTED_VALUE"""),"Cancelled*Delayed Delivery:Heavy Traffic")</f>
        <v>Cancelled*Delayed Delivery:Heavy Traffic</v>
      </c>
      <c r="K235" s="14" t="str">
        <f>IFERROR(__xludf.DUMMYFUNCTION("split(E235,""+"")"),"Papaya")</f>
        <v>Papaya</v>
      </c>
      <c r="L235" s="14" t="str">
        <f>IFERROR(__xludf.DUMMYFUNCTION("""COMPUTED_VALUE"""),"2*Tanvi Jain")</f>
        <v>2*Tanvi Jain</v>
      </c>
      <c r="M235" s="14">
        <f>IFERROR(__xludf.DUMMYFUNCTION("SPLIT(L235,""*"")"),2.0)</f>
        <v>2</v>
      </c>
      <c r="N235" s="14" t="str">
        <f>IFERROR(__xludf.DUMMYFUNCTION("""COMPUTED_VALUE"""),"Tanvi Jain")</f>
        <v>Tanvi Jain</v>
      </c>
      <c r="O235" s="14" t="str">
        <f>IFERROR(__xludf.DUMMYFUNCTION("split(J235,""*"")"),"Cancelled")</f>
        <v>Cancelled</v>
      </c>
      <c r="P235" s="14" t="str">
        <f>IFERROR(__xludf.DUMMYFUNCTION("""COMPUTED_VALUE"""),"Delayed Delivery:Heavy Traffic")</f>
        <v>Delayed Delivery:Heavy Traffic</v>
      </c>
      <c r="Q235" s="14" t="str">
        <f>IFERROR(__xludf.DUMMYFUNCTION("split(P235,"":"")"),"Delayed Delivery")</f>
        <v>Delayed Delivery</v>
      </c>
      <c r="R235" s="14" t="str">
        <f>IFERROR(__xludf.DUMMYFUNCTION("""COMPUTED_VALUE"""),"Heavy Traffic")</f>
        <v>Heavy Traffic</v>
      </c>
      <c r="S235" s="14" t="str">
        <f t="shared" ref="S235:U235" si="473">trim(B235)</f>
        <v>ord_10234</v>
      </c>
      <c r="T235" s="14" t="str">
        <f t="shared" si="473"/>
        <v>Arvind Kulkarni</v>
      </c>
      <c r="U235" s="14" t="str">
        <f t="shared" si="473"/>
        <v>Juhu</v>
      </c>
      <c r="V235" s="14" t="str">
        <f t="shared" si="4"/>
        <v>Papaya</v>
      </c>
      <c r="W235" s="14">
        <f t="shared" si="5"/>
        <v>2</v>
      </c>
      <c r="X235" s="14" t="str">
        <f t="shared" si="6"/>
        <v>Tanvi Jain</v>
      </c>
      <c r="Y235" s="15">
        <f t="shared" si="7"/>
        <v>45005</v>
      </c>
      <c r="Z235" s="14" t="str">
        <f t="shared" si="8"/>
        <v>UPI</v>
      </c>
      <c r="AA235" s="14" t="str">
        <f t="shared" si="9"/>
        <v>Cancelled</v>
      </c>
      <c r="AB235" s="14" t="str">
        <f t="shared" ref="AB235:AC235" si="474">trim(Q235)</f>
        <v>Delayed Delivery</v>
      </c>
      <c r="AC235" s="14" t="str">
        <f t="shared" si="474"/>
        <v>Heavy Traffic</v>
      </c>
      <c r="AD235" s="8"/>
    </row>
    <row r="236">
      <c r="A236" s="14" t="str">
        <f>IFERROR(__xludf.DUMMYFUNCTION("""COMPUTED_VALUE"""),"//ord_10235//Mohit Malhotra//Lower Parel//Orange+2*Kiran Mehta/8/26/2023//Credit Card//Delivered*Convenience: Easy tracking")</f>
        <v>//ord_10235//Mohit Malhotra//Lower Parel//Orange+2*Kiran Mehta/8/26/2023//Credit Card//Delivered*Convenience: Easy tracking</v>
      </c>
      <c r="B236" s="14" t="str">
        <f>IFERROR(__xludf.DUMMYFUNCTION("split(A236,""//"")"),"ord_10235")</f>
        <v>ord_10235</v>
      </c>
      <c r="C236" s="14" t="str">
        <f>IFERROR(__xludf.DUMMYFUNCTION("""COMPUTED_VALUE"""),"Mohit Malhotra")</f>
        <v>Mohit Malhotra</v>
      </c>
      <c r="D236" s="14" t="str">
        <f>IFERROR(__xludf.DUMMYFUNCTION("""COMPUTED_VALUE"""),"Lower Parel")</f>
        <v>Lower Parel</v>
      </c>
      <c r="E236" s="14" t="str">
        <f>IFERROR(__xludf.DUMMYFUNCTION("""COMPUTED_VALUE"""),"Orange+2*Kiran Mehta")</f>
        <v>Orange+2*Kiran Mehta</v>
      </c>
      <c r="F236" s="14">
        <f>IFERROR(__xludf.DUMMYFUNCTION("""COMPUTED_VALUE"""),8.0)</f>
        <v>8</v>
      </c>
      <c r="G236" s="14">
        <f>IFERROR(__xludf.DUMMYFUNCTION("""COMPUTED_VALUE"""),26.0)</f>
        <v>26</v>
      </c>
      <c r="H236" s="14">
        <f>IFERROR(__xludf.DUMMYFUNCTION("""COMPUTED_VALUE"""),2023.0)</f>
        <v>2023</v>
      </c>
      <c r="I236" s="14" t="str">
        <f>IFERROR(__xludf.DUMMYFUNCTION("""COMPUTED_VALUE"""),"Credit Card")</f>
        <v>Credit Card</v>
      </c>
      <c r="J236" s="14" t="str">
        <f>IFERROR(__xludf.DUMMYFUNCTION("""COMPUTED_VALUE"""),"Delivered*Convenience: Easy tracking")</f>
        <v>Delivered*Convenience: Easy tracking</v>
      </c>
      <c r="K236" s="14" t="str">
        <f>IFERROR(__xludf.DUMMYFUNCTION("split(E236,""+"")"),"Orange")</f>
        <v>Orange</v>
      </c>
      <c r="L236" s="14" t="str">
        <f>IFERROR(__xludf.DUMMYFUNCTION("""COMPUTED_VALUE"""),"2*Kiran Mehta")</f>
        <v>2*Kiran Mehta</v>
      </c>
      <c r="M236" s="14">
        <f>IFERROR(__xludf.DUMMYFUNCTION("SPLIT(L236,""*"")"),2.0)</f>
        <v>2</v>
      </c>
      <c r="N236" s="14" t="str">
        <f>IFERROR(__xludf.DUMMYFUNCTION("""COMPUTED_VALUE"""),"Kiran Mehta")</f>
        <v>Kiran Mehta</v>
      </c>
      <c r="O236" s="14" t="str">
        <f>IFERROR(__xludf.DUMMYFUNCTION("split(J236,""*"")"),"Delivered")</f>
        <v>Delivered</v>
      </c>
      <c r="P236" s="14" t="str">
        <f>IFERROR(__xludf.DUMMYFUNCTION("""COMPUTED_VALUE"""),"Convenience: Easy tracking")</f>
        <v>Convenience: Easy tracking</v>
      </c>
      <c r="Q236" s="14" t="str">
        <f>IFERROR(__xludf.DUMMYFUNCTION("split(P236,"":"")"),"Convenience")</f>
        <v>Convenience</v>
      </c>
      <c r="R236" s="14" t="str">
        <f>IFERROR(__xludf.DUMMYFUNCTION("""COMPUTED_VALUE""")," Easy tracking")</f>
        <v> Easy tracking</v>
      </c>
      <c r="S236" s="14" t="str">
        <f t="shared" ref="S236:U236" si="475">trim(B236)</f>
        <v>ord_10235</v>
      </c>
      <c r="T236" s="14" t="str">
        <f t="shared" si="475"/>
        <v>Mohit Malhotra</v>
      </c>
      <c r="U236" s="14" t="str">
        <f t="shared" si="475"/>
        <v>Lower Parel</v>
      </c>
      <c r="V236" s="14" t="str">
        <f t="shared" si="4"/>
        <v>Orange</v>
      </c>
      <c r="W236" s="14">
        <f t="shared" si="5"/>
        <v>2</v>
      </c>
      <c r="X236" s="14" t="str">
        <f t="shared" si="6"/>
        <v>Kiran Mehta</v>
      </c>
      <c r="Y236" s="15">
        <f t="shared" si="7"/>
        <v>45164</v>
      </c>
      <c r="Z236" s="14" t="str">
        <f t="shared" si="8"/>
        <v>Credit Card</v>
      </c>
      <c r="AA236" s="14" t="str">
        <f t="shared" si="9"/>
        <v>Delivered</v>
      </c>
      <c r="AB236" s="14" t="str">
        <f t="shared" ref="AB236:AC236" si="476">trim(Q236)</f>
        <v>Convenience</v>
      </c>
      <c r="AC236" s="14" t="str">
        <f t="shared" si="476"/>
        <v>Easy tracking</v>
      </c>
      <c r="AD236" s="8"/>
    </row>
    <row r="237">
      <c r="A237" s="14" t="str">
        <f>IFERROR(__xludf.DUMMYFUNCTION("""COMPUTED_VALUE"""),"//ord_10236//Sakshi Tandon//Colaba//Icecream+5*Nikhil Deshmukh/9/18/2023//UPI//Delivered*Overall Satisfaction: Great service will order again")</f>
        <v>//ord_10236//Sakshi Tandon//Colaba//Icecream+5*Nikhil Deshmukh/9/18/2023//UPI//Delivered*Overall Satisfaction: Great service will order again</v>
      </c>
      <c r="B237" s="14" t="str">
        <f>IFERROR(__xludf.DUMMYFUNCTION("split(A237,""//"")"),"ord_10236")</f>
        <v>ord_10236</v>
      </c>
      <c r="C237" s="14" t="str">
        <f>IFERROR(__xludf.DUMMYFUNCTION("""COMPUTED_VALUE"""),"Sakshi Tandon")</f>
        <v>Sakshi Tandon</v>
      </c>
      <c r="D237" s="14" t="str">
        <f>IFERROR(__xludf.DUMMYFUNCTION("""COMPUTED_VALUE"""),"Colaba")</f>
        <v>Colaba</v>
      </c>
      <c r="E237" s="14" t="str">
        <f>IFERROR(__xludf.DUMMYFUNCTION("""COMPUTED_VALUE"""),"Icecream+5*Nikhil Deshmukh")</f>
        <v>Icecream+5*Nikhil Deshmukh</v>
      </c>
      <c r="F237" s="14">
        <f>IFERROR(__xludf.DUMMYFUNCTION("""COMPUTED_VALUE"""),9.0)</f>
        <v>9</v>
      </c>
      <c r="G237" s="14">
        <f>IFERROR(__xludf.DUMMYFUNCTION("""COMPUTED_VALUE"""),18.0)</f>
        <v>18</v>
      </c>
      <c r="H237" s="14">
        <f>IFERROR(__xludf.DUMMYFUNCTION("""COMPUTED_VALUE"""),2023.0)</f>
        <v>2023</v>
      </c>
      <c r="I237" s="14" t="str">
        <f>IFERROR(__xludf.DUMMYFUNCTION("""COMPUTED_VALUE"""),"UPI")</f>
        <v>UPI</v>
      </c>
      <c r="J237" s="14" t="str">
        <f>IFERROR(__xludf.DUMMYFUNCTION("""COMPUTED_VALUE"""),"Delivered*Overall Satisfaction: Great service will order again")</f>
        <v>Delivered*Overall Satisfaction: Great service will order again</v>
      </c>
      <c r="K237" s="14" t="str">
        <f>IFERROR(__xludf.DUMMYFUNCTION("split(E237,""+"")"),"Icecream")</f>
        <v>Icecream</v>
      </c>
      <c r="L237" s="14" t="str">
        <f>IFERROR(__xludf.DUMMYFUNCTION("""COMPUTED_VALUE"""),"5*Nikhil Deshmukh")</f>
        <v>5*Nikhil Deshmukh</v>
      </c>
      <c r="M237" s="14">
        <f>IFERROR(__xludf.DUMMYFUNCTION("SPLIT(L237,""*"")"),5.0)</f>
        <v>5</v>
      </c>
      <c r="N237" s="14" t="str">
        <f>IFERROR(__xludf.DUMMYFUNCTION("""COMPUTED_VALUE"""),"Nikhil Deshmukh")</f>
        <v>Nikhil Deshmukh</v>
      </c>
      <c r="O237" s="14" t="str">
        <f>IFERROR(__xludf.DUMMYFUNCTION("split(J237,""*"")"),"Delivered")</f>
        <v>Delivered</v>
      </c>
      <c r="P237" s="14" t="str">
        <f>IFERROR(__xludf.DUMMYFUNCTION("""COMPUTED_VALUE"""),"Overall Satisfaction: Great service will order again")</f>
        <v>Overall Satisfaction: Great service will order again</v>
      </c>
      <c r="Q237" s="14" t="str">
        <f>IFERROR(__xludf.DUMMYFUNCTION("split(P237,"":"")"),"Overall Satisfaction")</f>
        <v>Overall Satisfaction</v>
      </c>
      <c r="R237" s="14" t="str">
        <f>IFERROR(__xludf.DUMMYFUNCTION("""COMPUTED_VALUE""")," Great service will order again")</f>
        <v> Great service will order again</v>
      </c>
      <c r="S237" s="14" t="str">
        <f t="shared" ref="S237:U237" si="477">trim(B237)</f>
        <v>ord_10236</v>
      </c>
      <c r="T237" s="14" t="str">
        <f t="shared" si="477"/>
        <v>Sakshi Tandon</v>
      </c>
      <c r="U237" s="14" t="str">
        <f t="shared" si="477"/>
        <v>Colaba</v>
      </c>
      <c r="V237" s="14" t="str">
        <f t="shared" si="4"/>
        <v>Icecream</v>
      </c>
      <c r="W237" s="14">
        <f t="shared" si="5"/>
        <v>5</v>
      </c>
      <c r="X237" s="14" t="str">
        <f t="shared" si="6"/>
        <v>Nikhil Deshmukh</v>
      </c>
      <c r="Y237" s="15">
        <f t="shared" si="7"/>
        <v>45187</v>
      </c>
      <c r="Z237" s="14" t="str">
        <f t="shared" si="8"/>
        <v>UPI</v>
      </c>
      <c r="AA237" s="14" t="str">
        <f t="shared" si="9"/>
        <v>Delivered</v>
      </c>
      <c r="AB237" s="14" t="str">
        <f t="shared" ref="AB237:AC237" si="478">trim(Q237)</f>
        <v>Overall Satisfaction</v>
      </c>
      <c r="AC237" s="14" t="str">
        <f t="shared" si="478"/>
        <v>Great service will order again</v>
      </c>
      <c r="AD237" s="8"/>
    </row>
    <row r="238">
      <c r="A238" s="14" t="str">
        <f>IFERROR(__xludf.DUMMYFUNCTION("""COMPUTED_VALUE"""),"//ord_10237//Aarohi Kapoor//Bandra//Chilli Cheese Toast+1*Nithin Lal/4/17/2023//COD//Delivered*On-time Delivery: Delivered on time")</f>
        <v>//ord_10237//Aarohi Kapoor//Bandra//Chilli Cheese Toast+1*Nithin Lal/4/17/2023//COD//Delivered*On-time Delivery: Delivered on time</v>
      </c>
      <c r="B238" s="14" t="str">
        <f>IFERROR(__xludf.DUMMYFUNCTION("split(A238,""//"")"),"ord_10237")</f>
        <v>ord_10237</v>
      </c>
      <c r="C238" s="14" t="str">
        <f>IFERROR(__xludf.DUMMYFUNCTION("""COMPUTED_VALUE"""),"Aarohi Kapoor")</f>
        <v>Aarohi Kapoor</v>
      </c>
      <c r="D238" s="14" t="str">
        <f>IFERROR(__xludf.DUMMYFUNCTION("""COMPUTED_VALUE"""),"Bandra")</f>
        <v>Bandra</v>
      </c>
      <c r="E238" s="14" t="str">
        <f>IFERROR(__xludf.DUMMYFUNCTION("""COMPUTED_VALUE"""),"Chilli Cheese Toast+1*Nithin Lal")</f>
        <v>Chilli Cheese Toast+1*Nithin Lal</v>
      </c>
      <c r="F238" s="14">
        <f>IFERROR(__xludf.DUMMYFUNCTION("""COMPUTED_VALUE"""),4.0)</f>
        <v>4</v>
      </c>
      <c r="G238" s="14">
        <f>IFERROR(__xludf.DUMMYFUNCTION("""COMPUTED_VALUE"""),17.0)</f>
        <v>17</v>
      </c>
      <c r="H238" s="14">
        <f>IFERROR(__xludf.DUMMYFUNCTION("""COMPUTED_VALUE"""),2023.0)</f>
        <v>2023</v>
      </c>
      <c r="I238" s="14" t="str">
        <f>IFERROR(__xludf.DUMMYFUNCTION("""COMPUTED_VALUE"""),"COD")</f>
        <v>COD</v>
      </c>
      <c r="J238" s="14" t="str">
        <f>IFERROR(__xludf.DUMMYFUNCTION("""COMPUTED_VALUE"""),"Delivered*On-time Delivery: Delivered on time")</f>
        <v>Delivered*On-time Delivery: Delivered on time</v>
      </c>
      <c r="K238" s="14" t="str">
        <f>IFERROR(__xludf.DUMMYFUNCTION("split(E238,""+"")"),"Chilli Cheese Toast")</f>
        <v>Chilli Cheese Toast</v>
      </c>
      <c r="L238" s="14" t="str">
        <f>IFERROR(__xludf.DUMMYFUNCTION("""COMPUTED_VALUE"""),"1*Nithin Lal")</f>
        <v>1*Nithin Lal</v>
      </c>
      <c r="M238" s="14">
        <f>IFERROR(__xludf.DUMMYFUNCTION("SPLIT(L238,""*"")"),1.0)</f>
        <v>1</v>
      </c>
      <c r="N238" s="14" t="str">
        <f>IFERROR(__xludf.DUMMYFUNCTION("""COMPUTED_VALUE"""),"Nithin Lal")</f>
        <v>Nithin Lal</v>
      </c>
      <c r="O238" s="14" t="str">
        <f>IFERROR(__xludf.DUMMYFUNCTION("split(J238,""*"")"),"Delivered")</f>
        <v>Delivered</v>
      </c>
      <c r="P238" s="14" t="str">
        <f>IFERROR(__xludf.DUMMYFUNCTION("""COMPUTED_VALUE"""),"On-time Delivery: Delivered on time")</f>
        <v>On-time Delivery: Delivered on time</v>
      </c>
      <c r="Q238" s="14" t="str">
        <f>IFERROR(__xludf.DUMMYFUNCTION("split(P238,"":"")"),"On-time Delivery")</f>
        <v>On-time Delivery</v>
      </c>
      <c r="R238" s="14" t="str">
        <f>IFERROR(__xludf.DUMMYFUNCTION("""COMPUTED_VALUE""")," Delivered on time")</f>
        <v> Delivered on time</v>
      </c>
      <c r="S238" s="14" t="str">
        <f t="shared" ref="S238:U238" si="479">trim(B238)</f>
        <v>ord_10237</v>
      </c>
      <c r="T238" s="14" t="str">
        <f t="shared" si="479"/>
        <v>Aarohi Kapoor</v>
      </c>
      <c r="U238" s="14" t="str">
        <f t="shared" si="479"/>
        <v>Bandra</v>
      </c>
      <c r="V238" s="14" t="str">
        <f t="shared" si="4"/>
        <v>Chilli Cheese Toast</v>
      </c>
      <c r="W238" s="14">
        <f t="shared" si="5"/>
        <v>1</v>
      </c>
      <c r="X238" s="14" t="str">
        <f t="shared" si="6"/>
        <v>Nithin Lal</v>
      </c>
      <c r="Y238" s="15">
        <f t="shared" si="7"/>
        <v>45033</v>
      </c>
      <c r="Z238" s="14" t="str">
        <f t="shared" si="8"/>
        <v>COD</v>
      </c>
      <c r="AA238" s="14" t="str">
        <f t="shared" si="9"/>
        <v>Delivered</v>
      </c>
      <c r="AB238" s="14" t="str">
        <f t="shared" ref="AB238:AC238" si="480">trim(Q238)</f>
        <v>On-time Delivery</v>
      </c>
      <c r="AC238" s="14" t="str">
        <f t="shared" si="480"/>
        <v>Delivered on time</v>
      </c>
      <c r="AD238" s="8"/>
    </row>
    <row r="239">
      <c r="A239" s="14" t="str">
        <f>IFERROR(__xludf.DUMMYFUNCTION("""COMPUTED_VALUE"""),"//ord_10238//Omkar Mishra//Powai//Cold Coffee+4*Vivek Kumar/9/2/2023//UPI//Delivered*Quality of Items: Perfect condition")</f>
        <v>//ord_10238//Omkar Mishra//Powai//Cold Coffee+4*Vivek Kumar/9/2/2023//UPI//Delivered*Quality of Items: Perfect condition</v>
      </c>
      <c r="B239" s="14" t="str">
        <f>IFERROR(__xludf.DUMMYFUNCTION("split(A239,""//"")"),"ord_10238")</f>
        <v>ord_10238</v>
      </c>
      <c r="C239" s="14" t="str">
        <f>IFERROR(__xludf.DUMMYFUNCTION("""COMPUTED_VALUE"""),"Omkar Mishra")</f>
        <v>Omkar Mishra</v>
      </c>
      <c r="D239" s="14" t="str">
        <f>IFERROR(__xludf.DUMMYFUNCTION("""COMPUTED_VALUE"""),"Powai")</f>
        <v>Powai</v>
      </c>
      <c r="E239" s="14" t="str">
        <f>IFERROR(__xludf.DUMMYFUNCTION("""COMPUTED_VALUE"""),"Cold Coffee+4*Vivek Kumar")</f>
        <v>Cold Coffee+4*Vivek Kumar</v>
      </c>
      <c r="F239" s="14">
        <f>IFERROR(__xludf.DUMMYFUNCTION("""COMPUTED_VALUE"""),9.0)</f>
        <v>9</v>
      </c>
      <c r="G239" s="14">
        <f>IFERROR(__xludf.DUMMYFUNCTION("""COMPUTED_VALUE"""),2.0)</f>
        <v>2</v>
      </c>
      <c r="H239" s="14">
        <f>IFERROR(__xludf.DUMMYFUNCTION("""COMPUTED_VALUE"""),2023.0)</f>
        <v>2023</v>
      </c>
      <c r="I239" s="14" t="str">
        <f>IFERROR(__xludf.DUMMYFUNCTION("""COMPUTED_VALUE"""),"UPI")</f>
        <v>UPI</v>
      </c>
      <c r="J239" s="14" t="str">
        <f>IFERROR(__xludf.DUMMYFUNCTION("""COMPUTED_VALUE"""),"Delivered*Quality of Items: Perfect condition")</f>
        <v>Delivered*Quality of Items: Perfect condition</v>
      </c>
      <c r="K239" s="14" t="str">
        <f>IFERROR(__xludf.DUMMYFUNCTION("split(E239,""+"")"),"Cold Coffee")</f>
        <v>Cold Coffee</v>
      </c>
      <c r="L239" s="14" t="str">
        <f>IFERROR(__xludf.DUMMYFUNCTION("""COMPUTED_VALUE"""),"4*Vivek Kumar")</f>
        <v>4*Vivek Kumar</v>
      </c>
      <c r="M239" s="14">
        <f>IFERROR(__xludf.DUMMYFUNCTION("SPLIT(L239,""*"")"),4.0)</f>
        <v>4</v>
      </c>
      <c r="N239" s="14" t="str">
        <f>IFERROR(__xludf.DUMMYFUNCTION("""COMPUTED_VALUE"""),"Vivek Kumar")</f>
        <v>Vivek Kumar</v>
      </c>
      <c r="O239" s="14" t="str">
        <f>IFERROR(__xludf.DUMMYFUNCTION("split(J239,""*"")"),"Delivered")</f>
        <v>Delivered</v>
      </c>
      <c r="P239" s="14" t="str">
        <f>IFERROR(__xludf.DUMMYFUNCTION("""COMPUTED_VALUE"""),"Quality of Items: Perfect condition")</f>
        <v>Quality of Items: Perfect condition</v>
      </c>
      <c r="Q239" s="14" t="str">
        <f>IFERROR(__xludf.DUMMYFUNCTION("split(P239,"":"")"),"Quality of Items")</f>
        <v>Quality of Items</v>
      </c>
      <c r="R239" s="14" t="str">
        <f>IFERROR(__xludf.DUMMYFUNCTION("""COMPUTED_VALUE""")," Perfect condition")</f>
        <v> Perfect condition</v>
      </c>
      <c r="S239" s="14" t="str">
        <f t="shared" ref="S239:U239" si="481">trim(B239)</f>
        <v>ord_10238</v>
      </c>
      <c r="T239" s="14" t="str">
        <f t="shared" si="481"/>
        <v>Omkar Mishra</v>
      </c>
      <c r="U239" s="14" t="str">
        <f t="shared" si="481"/>
        <v>Powai</v>
      </c>
      <c r="V239" s="14" t="str">
        <f t="shared" si="4"/>
        <v>Cold Coffee</v>
      </c>
      <c r="W239" s="14">
        <f t="shared" si="5"/>
        <v>4</v>
      </c>
      <c r="X239" s="14" t="str">
        <f t="shared" si="6"/>
        <v>Vivek Kumar</v>
      </c>
      <c r="Y239" s="15">
        <f t="shared" si="7"/>
        <v>45171</v>
      </c>
      <c r="Z239" s="14" t="str">
        <f t="shared" si="8"/>
        <v>UPI</v>
      </c>
      <c r="AA239" s="14" t="str">
        <f t="shared" si="9"/>
        <v>Delivered</v>
      </c>
      <c r="AB239" s="14" t="str">
        <f t="shared" ref="AB239:AC239" si="482">trim(Q239)</f>
        <v>Quality of Items</v>
      </c>
      <c r="AC239" s="14" t="str">
        <f t="shared" si="482"/>
        <v>Perfect condition</v>
      </c>
      <c r="AD239" s="8"/>
    </row>
    <row r="240">
      <c r="A240" s="14" t="str">
        <f>IFERROR(__xludf.DUMMYFUNCTION("""COMPUTED_VALUE"""),"//ord_10239//Ishita Banerjee//Juhu//Cucumber+2*Venu R/6/9/2023//UPI//Cancelled*Delayed Delivery:High Order Volume")</f>
        <v>//ord_10239//Ishita Banerjee//Juhu//Cucumber+2*Venu R/6/9/2023//UPI//Cancelled*Delayed Delivery:High Order Volume</v>
      </c>
      <c r="B240" s="14" t="str">
        <f>IFERROR(__xludf.DUMMYFUNCTION("split(A240,""//"")"),"ord_10239")</f>
        <v>ord_10239</v>
      </c>
      <c r="C240" s="14" t="str">
        <f>IFERROR(__xludf.DUMMYFUNCTION("""COMPUTED_VALUE"""),"Ishita Banerjee")</f>
        <v>Ishita Banerjee</v>
      </c>
      <c r="D240" s="14" t="str">
        <f>IFERROR(__xludf.DUMMYFUNCTION("""COMPUTED_VALUE"""),"Juhu")</f>
        <v>Juhu</v>
      </c>
      <c r="E240" s="14" t="str">
        <f>IFERROR(__xludf.DUMMYFUNCTION("""COMPUTED_VALUE"""),"Cucumber+2*Venu R")</f>
        <v>Cucumber+2*Venu R</v>
      </c>
      <c r="F240" s="14">
        <f>IFERROR(__xludf.DUMMYFUNCTION("""COMPUTED_VALUE"""),6.0)</f>
        <v>6</v>
      </c>
      <c r="G240" s="14">
        <f>IFERROR(__xludf.DUMMYFUNCTION("""COMPUTED_VALUE"""),9.0)</f>
        <v>9</v>
      </c>
      <c r="H240" s="14">
        <f>IFERROR(__xludf.DUMMYFUNCTION("""COMPUTED_VALUE"""),2023.0)</f>
        <v>2023</v>
      </c>
      <c r="I240" s="14" t="str">
        <f>IFERROR(__xludf.DUMMYFUNCTION("""COMPUTED_VALUE"""),"UPI")</f>
        <v>UPI</v>
      </c>
      <c r="J240" s="14" t="str">
        <f>IFERROR(__xludf.DUMMYFUNCTION("""COMPUTED_VALUE"""),"Cancelled*Delayed Delivery:High Order Volume")</f>
        <v>Cancelled*Delayed Delivery:High Order Volume</v>
      </c>
      <c r="K240" s="14" t="str">
        <f>IFERROR(__xludf.DUMMYFUNCTION("split(E240,""+"")"),"Cucumber")</f>
        <v>Cucumber</v>
      </c>
      <c r="L240" s="14" t="str">
        <f>IFERROR(__xludf.DUMMYFUNCTION("""COMPUTED_VALUE"""),"2*Venu R")</f>
        <v>2*Venu R</v>
      </c>
      <c r="M240" s="14">
        <f>IFERROR(__xludf.DUMMYFUNCTION("SPLIT(L240,""*"")"),2.0)</f>
        <v>2</v>
      </c>
      <c r="N240" s="14" t="str">
        <f>IFERROR(__xludf.DUMMYFUNCTION("""COMPUTED_VALUE"""),"Venu R")</f>
        <v>Venu R</v>
      </c>
      <c r="O240" s="14" t="str">
        <f>IFERROR(__xludf.DUMMYFUNCTION("split(J240,""*"")"),"Cancelled")</f>
        <v>Cancelled</v>
      </c>
      <c r="P240" s="14" t="str">
        <f>IFERROR(__xludf.DUMMYFUNCTION("""COMPUTED_VALUE"""),"Delayed Delivery:High Order Volume")</f>
        <v>Delayed Delivery:High Order Volume</v>
      </c>
      <c r="Q240" s="14" t="str">
        <f>IFERROR(__xludf.DUMMYFUNCTION("split(P240,"":"")"),"Delayed Delivery")</f>
        <v>Delayed Delivery</v>
      </c>
      <c r="R240" s="14" t="str">
        <f>IFERROR(__xludf.DUMMYFUNCTION("""COMPUTED_VALUE"""),"High Order Volume")</f>
        <v>High Order Volume</v>
      </c>
      <c r="S240" s="14" t="str">
        <f t="shared" ref="S240:U240" si="483">trim(B240)</f>
        <v>ord_10239</v>
      </c>
      <c r="T240" s="14" t="str">
        <f t="shared" si="483"/>
        <v>Ishita Banerjee</v>
      </c>
      <c r="U240" s="14" t="str">
        <f t="shared" si="483"/>
        <v>Juhu</v>
      </c>
      <c r="V240" s="14" t="str">
        <f t="shared" si="4"/>
        <v>Cucumber</v>
      </c>
      <c r="W240" s="14">
        <f t="shared" si="5"/>
        <v>2</v>
      </c>
      <c r="X240" s="14" t="str">
        <f t="shared" si="6"/>
        <v>Venu R</v>
      </c>
      <c r="Y240" s="15">
        <f t="shared" si="7"/>
        <v>45086</v>
      </c>
      <c r="Z240" s="14" t="str">
        <f t="shared" si="8"/>
        <v>UPI</v>
      </c>
      <c r="AA240" s="14" t="str">
        <f t="shared" si="9"/>
        <v>Cancelled</v>
      </c>
      <c r="AB240" s="14" t="str">
        <f t="shared" ref="AB240:AC240" si="484">trim(Q240)</f>
        <v>Delayed Delivery</v>
      </c>
      <c r="AC240" s="14" t="str">
        <f t="shared" si="484"/>
        <v>High Order Volume</v>
      </c>
      <c r="AD240" s="8"/>
    </row>
    <row r="241">
      <c r="A241" s="14" t="str">
        <f>IFERROR(__xludf.DUMMYFUNCTION("""COMPUTED_VALUE"""),"//ord_10240//Pranav Joshi//Andheri//Guava+1*Ramesh S/11/15/2023//Credit Card//Delivered*On-time Delivery: Delivered on time")</f>
        <v>//ord_10240//Pranav Joshi//Andheri//Guava+1*Ramesh S/11/15/2023//Credit Card//Delivered*On-time Delivery: Delivered on time</v>
      </c>
      <c r="B241" s="14" t="str">
        <f>IFERROR(__xludf.DUMMYFUNCTION("split(A241,""//"")"),"ord_10240")</f>
        <v>ord_10240</v>
      </c>
      <c r="C241" s="14" t="str">
        <f>IFERROR(__xludf.DUMMYFUNCTION("""COMPUTED_VALUE"""),"Pranav Joshi")</f>
        <v>Pranav Joshi</v>
      </c>
      <c r="D241" s="14" t="str">
        <f>IFERROR(__xludf.DUMMYFUNCTION("""COMPUTED_VALUE"""),"Andheri")</f>
        <v>Andheri</v>
      </c>
      <c r="E241" s="14" t="str">
        <f>IFERROR(__xludf.DUMMYFUNCTION("""COMPUTED_VALUE"""),"Guava+1*Ramesh S")</f>
        <v>Guava+1*Ramesh S</v>
      </c>
      <c r="F241" s="14">
        <f>IFERROR(__xludf.DUMMYFUNCTION("""COMPUTED_VALUE"""),11.0)</f>
        <v>11</v>
      </c>
      <c r="G241" s="14">
        <f>IFERROR(__xludf.DUMMYFUNCTION("""COMPUTED_VALUE"""),15.0)</f>
        <v>15</v>
      </c>
      <c r="H241" s="14">
        <f>IFERROR(__xludf.DUMMYFUNCTION("""COMPUTED_VALUE"""),2023.0)</f>
        <v>2023</v>
      </c>
      <c r="I241" s="14" t="str">
        <f>IFERROR(__xludf.DUMMYFUNCTION("""COMPUTED_VALUE"""),"Credit Card")</f>
        <v>Credit Card</v>
      </c>
      <c r="J241" s="14" t="str">
        <f>IFERROR(__xludf.DUMMYFUNCTION("""COMPUTED_VALUE"""),"Delivered*On-time Delivery: Delivered on time")</f>
        <v>Delivered*On-time Delivery: Delivered on time</v>
      </c>
      <c r="K241" s="14" t="str">
        <f>IFERROR(__xludf.DUMMYFUNCTION("split(E241,""+"")"),"Guava")</f>
        <v>Guava</v>
      </c>
      <c r="L241" s="14" t="str">
        <f>IFERROR(__xludf.DUMMYFUNCTION("""COMPUTED_VALUE"""),"1*Ramesh S")</f>
        <v>1*Ramesh S</v>
      </c>
      <c r="M241" s="14">
        <f>IFERROR(__xludf.DUMMYFUNCTION("SPLIT(L241,""*"")"),1.0)</f>
        <v>1</v>
      </c>
      <c r="N241" s="14" t="str">
        <f>IFERROR(__xludf.DUMMYFUNCTION("""COMPUTED_VALUE"""),"Ramesh S")</f>
        <v>Ramesh S</v>
      </c>
      <c r="O241" s="14" t="str">
        <f>IFERROR(__xludf.DUMMYFUNCTION("split(J241,""*"")"),"Delivered")</f>
        <v>Delivered</v>
      </c>
      <c r="P241" s="14" t="str">
        <f>IFERROR(__xludf.DUMMYFUNCTION("""COMPUTED_VALUE"""),"On-time Delivery: Delivered on time")</f>
        <v>On-time Delivery: Delivered on time</v>
      </c>
      <c r="Q241" s="14" t="str">
        <f>IFERROR(__xludf.DUMMYFUNCTION("split(P241,"":"")"),"On-time Delivery")</f>
        <v>On-time Delivery</v>
      </c>
      <c r="R241" s="14" t="str">
        <f>IFERROR(__xludf.DUMMYFUNCTION("""COMPUTED_VALUE""")," Delivered on time")</f>
        <v> Delivered on time</v>
      </c>
      <c r="S241" s="14" t="str">
        <f t="shared" ref="S241:U241" si="485">trim(B241)</f>
        <v>ord_10240</v>
      </c>
      <c r="T241" s="14" t="str">
        <f t="shared" si="485"/>
        <v>Pranav Joshi</v>
      </c>
      <c r="U241" s="14" t="str">
        <f t="shared" si="485"/>
        <v>Andheri</v>
      </c>
      <c r="V241" s="14" t="str">
        <f t="shared" si="4"/>
        <v>Guava</v>
      </c>
      <c r="W241" s="14">
        <f t="shared" si="5"/>
        <v>1</v>
      </c>
      <c r="X241" s="14" t="str">
        <f t="shared" si="6"/>
        <v>Ramesh S</v>
      </c>
      <c r="Y241" s="15">
        <f t="shared" si="7"/>
        <v>45245</v>
      </c>
      <c r="Z241" s="14" t="str">
        <f t="shared" si="8"/>
        <v>Credit Card</v>
      </c>
      <c r="AA241" s="14" t="str">
        <f t="shared" si="9"/>
        <v>Delivered</v>
      </c>
      <c r="AB241" s="14" t="str">
        <f t="shared" ref="AB241:AC241" si="486">trim(Q241)</f>
        <v>On-time Delivery</v>
      </c>
      <c r="AC241" s="14" t="str">
        <f t="shared" si="486"/>
        <v>Delivered on time</v>
      </c>
      <c r="AD241" s="8"/>
    </row>
    <row r="242">
      <c r="A242" s="14" t="str">
        <f>IFERROR(__xludf.DUMMYFUNCTION("""COMPUTED_VALUE"""),"//ord_10241//Parth Goel//Juhu//Tomato+1*Sita T/3/27/2023//COD//Delivered*Quality of Items: Perfect condition")</f>
        <v>//ord_10241//Parth Goel//Juhu//Tomato+1*Sita T/3/27/2023//COD//Delivered*Quality of Items: Perfect condition</v>
      </c>
      <c r="B242" s="14" t="str">
        <f>IFERROR(__xludf.DUMMYFUNCTION("split(A242,""//"")"),"ord_10241")</f>
        <v>ord_10241</v>
      </c>
      <c r="C242" s="14" t="str">
        <f>IFERROR(__xludf.DUMMYFUNCTION("""COMPUTED_VALUE"""),"Parth Goel")</f>
        <v>Parth Goel</v>
      </c>
      <c r="D242" s="14" t="str">
        <f>IFERROR(__xludf.DUMMYFUNCTION("""COMPUTED_VALUE"""),"Juhu")</f>
        <v>Juhu</v>
      </c>
      <c r="E242" s="14" t="str">
        <f>IFERROR(__xludf.DUMMYFUNCTION("""COMPUTED_VALUE"""),"Tomato+1*Sita T")</f>
        <v>Tomato+1*Sita T</v>
      </c>
      <c r="F242" s="14">
        <f>IFERROR(__xludf.DUMMYFUNCTION("""COMPUTED_VALUE"""),3.0)</f>
        <v>3</v>
      </c>
      <c r="G242" s="14">
        <f>IFERROR(__xludf.DUMMYFUNCTION("""COMPUTED_VALUE"""),27.0)</f>
        <v>27</v>
      </c>
      <c r="H242" s="14">
        <f>IFERROR(__xludf.DUMMYFUNCTION("""COMPUTED_VALUE"""),2023.0)</f>
        <v>2023</v>
      </c>
      <c r="I242" s="14" t="str">
        <f>IFERROR(__xludf.DUMMYFUNCTION("""COMPUTED_VALUE"""),"COD")</f>
        <v>COD</v>
      </c>
      <c r="J242" s="14" t="str">
        <f>IFERROR(__xludf.DUMMYFUNCTION("""COMPUTED_VALUE"""),"Delivered*Quality of Items: Perfect condition")</f>
        <v>Delivered*Quality of Items: Perfect condition</v>
      </c>
      <c r="K242" s="14" t="str">
        <f>IFERROR(__xludf.DUMMYFUNCTION("split(E242,""+"")"),"Tomato")</f>
        <v>Tomato</v>
      </c>
      <c r="L242" s="14" t="str">
        <f>IFERROR(__xludf.DUMMYFUNCTION("""COMPUTED_VALUE"""),"1*Sita T")</f>
        <v>1*Sita T</v>
      </c>
      <c r="M242" s="14">
        <f>IFERROR(__xludf.DUMMYFUNCTION("SPLIT(L242,""*"")"),1.0)</f>
        <v>1</v>
      </c>
      <c r="N242" s="14" t="str">
        <f>IFERROR(__xludf.DUMMYFUNCTION("""COMPUTED_VALUE"""),"Sita T")</f>
        <v>Sita T</v>
      </c>
      <c r="O242" s="14" t="str">
        <f>IFERROR(__xludf.DUMMYFUNCTION("split(J242,""*"")"),"Delivered")</f>
        <v>Delivered</v>
      </c>
      <c r="P242" s="14" t="str">
        <f>IFERROR(__xludf.DUMMYFUNCTION("""COMPUTED_VALUE"""),"Quality of Items: Perfect condition")</f>
        <v>Quality of Items: Perfect condition</v>
      </c>
      <c r="Q242" s="14" t="str">
        <f>IFERROR(__xludf.DUMMYFUNCTION("split(P242,"":"")"),"Quality of Items")</f>
        <v>Quality of Items</v>
      </c>
      <c r="R242" s="14" t="str">
        <f>IFERROR(__xludf.DUMMYFUNCTION("""COMPUTED_VALUE""")," Perfect condition")</f>
        <v> Perfect condition</v>
      </c>
      <c r="S242" s="14" t="str">
        <f t="shared" ref="S242:U242" si="487">trim(B242)</f>
        <v>ord_10241</v>
      </c>
      <c r="T242" s="14" t="str">
        <f t="shared" si="487"/>
        <v>Parth Goel</v>
      </c>
      <c r="U242" s="14" t="str">
        <f t="shared" si="487"/>
        <v>Juhu</v>
      </c>
      <c r="V242" s="14" t="str">
        <f t="shared" si="4"/>
        <v>Tomato</v>
      </c>
      <c r="W242" s="14">
        <f t="shared" si="5"/>
        <v>1</v>
      </c>
      <c r="X242" s="14" t="str">
        <f t="shared" si="6"/>
        <v>Sita T</v>
      </c>
      <c r="Y242" s="15">
        <f t="shared" si="7"/>
        <v>45012</v>
      </c>
      <c r="Z242" s="14" t="str">
        <f t="shared" si="8"/>
        <v>COD</v>
      </c>
      <c r="AA242" s="14" t="str">
        <f t="shared" si="9"/>
        <v>Delivered</v>
      </c>
      <c r="AB242" s="14" t="str">
        <f t="shared" ref="AB242:AC242" si="488">trim(Q242)</f>
        <v>Quality of Items</v>
      </c>
      <c r="AC242" s="14" t="str">
        <f t="shared" si="488"/>
        <v>Perfect condition</v>
      </c>
      <c r="AD242" s="8"/>
    </row>
    <row r="243">
      <c r="A243" s="14" t="str">
        <f>IFERROR(__xludf.DUMMYFUNCTION("""COMPUTED_VALUE"""),"//ord_10242//Anaya Rao//Colaba//Papaya+2*Ramesh S/7/27/2023//Online Payment//Delivered*Packaging: Secure and intact")</f>
        <v>//ord_10242//Anaya Rao//Colaba//Papaya+2*Ramesh S/7/27/2023//Online Payment//Delivered*Packaging: Secure and intact</v>
      </c>
      <c r="B243" s="14" t="str">
        <f>IFERROR(__xludf.DUMMYFUNCTION("split(A243,""//"")"),"ord_10242")</f>
        <v>ord_10242</v>
      </c>
      <c r="C243" s="14" t="str">
        <f>IFERROR(__xludf.DUMMYFUNCTION("""COMPUTED_VALUE"""),"Anaya Rao")</f>
        <v>Anaya Rao</v>
      </c>
      <c r="D243" s="14" t="str">
        <f>IFERROR(__xludf.DUMMYFUNCTION("""COMPUTED_VALUE"""),"Colaba")</f>
        <v>Colaba</v>
      </c>
      <c r="E243" s="14" t="str">
        <f>IFERROR(__xludf.DUMMYFUNCTION("""COMPUTED_VALUE"""),"Papaya+2*Ramesh S")</f>
        <v>Papaya+2*Ramesh S</v>
      </c>
      <c r="F243" s="14">
        <f>IFERROR(__xludf.DUMMYFUNCTION("""COMPUTED_VALUE"""),7.0)</f>
        <v>7</v>
      </c>
      <c r="G243" s="14">
        <f>IFERROR(__xludf.DUMMYFUNCTION("""COMPUTED_VALUE"""),27.0)</f>
        <v>27</v>
      </c>
      <c r="H243" s="14">
        <f>IFERROR(__xludf.DUMMYFUNCTION("""COMPUTED_VALUE"""),2023.0)</f>
        <v>2023</v>
      </c>
      <c r="I243" s="14" t="str">
        <f>IFERROR(__xludf.DUMMYFUNCTION("""COMPUTED_VALUE"""),"Online Payment")</f>
        <v>Online Payment</v>
      </c>
      <c r="J243" s="14" t="str">
        <f>IFERROR(__xludf.DUMMYFUNCTION("""COMPUTED_VALUE"""),"Delivered*Packaging: Secure and intact")</f>
        <v>Delivered*Packaging: Secure and intact</v>
      </c>
      <c r="K243" s="14" t="str">
        <f>IFERROR(__xludf.DUMMYFUNCTION("split(E243,""+"")"),"Papaya")</f>
        <v>Papaya</v>
      </c>
      <c r="L243" s="14" t="str">
        <f>IFERROR(__xludf.DUMMYFUNCTION("""COMPUTED_VALUE"""),"2*Ramesh S")</f>
        <v>2*Ramesh S</v>
      </c>
      <c r="M243" s="14">
        <f>IFERROR(__xludf.DUMMYFUNCTION("SPLIT(L243,""*"")"),2.0)</f>
        <v>2</v>
      </c>
      <c r="N243" s="14" t="str">
        <f>IFERROR(__xludf.DUMMYFUNCTION("""COMPUTED_VALUE"""),"Ramesh S")</f>
        <v>Ramesh S</v>
      </c>
      <c r="O243" s="14" t="str">
        <f>IFERROR(__xludf.DUMMYFUNCTION("split(J243,""*"")"),"Delivered")</f>
        <v>Delivered</v>
      </c>
      <c r="P243" s="14" t="str">
        <f>IFERROR(__xludf.DUMMYFUNCTION("""COMPUTED_VALUE"""),"Packaging: Secure and intact")</f>
        <v>Packaging: Secure and intact</v>
      </c>
      <c r="Q243" s="14" t="str">
        <f>IFERROR(__xludf.DUMMYFUNCTION("split(P243,"":"")"),"Packaging")</f>
        <v>Packaging</v>
      </c>
      <c r="R243" s="14" t="str">
        <f>IFERROR(__xludf.DUMMYFUNCTION("""COMPUTED_VALUE""")," Secure and intact")</f>
        <v> Secure and intact</v>
      </c>
      <c r="S243" s="14" t="str">
        <f t="shared" ref="S243:U243" si="489">trim(B243)</f>
        <v>ord_10242</v>
      </c>
      <c r="T243" s="14" t="str">
        <f t="shared" si="489"/>
        <v>Anaya Rao</v>
      </c>
      <c r="U243" s="14" t="str">
        <f t="shared" si="489"/>
        <v>Colaba</v>
      </c>
      <c r="V243" s="14" t="str">
        <f t="shared" si="4"/>
        <v>Papaya</v>
      </c>
      <c r="W243" s="14">
        <f t="shared" si="5"/>
        <v>2</v>
      </c>
      <c r="X243" s="14" t="str">
        <f t="shared" si="6"/>
        <v>Ramesh S</v>
      </c>
      <c r="Y243" s="15">
        <f t="shared" si="7"/>
        <v>45134</v>
      </c>
      <c r="Z243" s="14" t="str">
        <f t="shared" si="8"/>
        <v>Online Payment</v>
      </c>
      <c r="AA243" s="14" t="str">
        <f t="shared" si="9"/>
        <v>Delivered</v>
      </c>
      <c r="AB243" s="14" t="str">
        <f t="shared" ref="AB243:AC243" si="490">trim(Q243)</f>
        <v>Packaging</v>
      </c>
      <c r="AC243" s="14" t="str">
        <f t="shared" si="490"/>
        <v>Secure and intact</v>
      </c>
      <c r="AD243" s="8"/>
    </row>
    <row r="244">
      <c r="A244" s="14" t="str">
        <f>IFERROR(__xludf.DUMMYFUNCTION("""COMPUTED_VALUE"""),"//ord_10243//Ishita Banerjee//Juhu//Onion+2*Tanvi Jain/4/8/2023//Online Payment//Cancelled*Delayed Delivery:Vehicle Breakdown")</f>
        <v>//ord_10243//Ishita Banerjee//Juhu//Onion+2*Tanvi Jain/4/8/2023//Online Payment//Cancelled*Delayed Delivery:Vehicle Breakdown</v>
      </c>
      <c r="B244" s="14" t="str">
        <f>IFERROR(__xludf.DUMMYFUNCTION("split(A244,""//"")"),"ord_10243")</f>
        <v>ord_10243</v>
      </c>
      <c r="C244" s="14" t="str">
        <f>IFERROR(__xludf.DUMMYFUNCTION("""COMPUTED_VALUE"""),"Ishita Banerjee")</f>
        <v>Ishita Banerjee</v>
      </c>
      <c r="D244" s="14" t="str">
        <f>IFERROR(__xludf.DUMMYFUNCTION("""COMPUTED_VALUE"""),"Juhu")</f>
        <v>Juhu</v>
      </c>
      <c r="E244" s="14" t="str">
        <f>IFERROR(__xludf.DUMMYFUNCTION("""COMPUTED_VALUE"""),"Onion+2*Tanvi Jain")</f>
        <v>Onion+2*Tanvi Jain</v>
      </c>
      <c r="F244" s="14">
        <f>IFERROR(__xludf.DUMMYFUNCTION("""COMPUTED_VALUE"""),4.0)</f>
        <v>4</v>
      </c>
      <c r="G244" s="14">
        <f>IFERROR(__xludf.DUMMYFUNCTION("""COMPUTED_VALUE"""),8.0)</f>
        <v>8</v>
      </c>
      <c r="H244" s="14">
        <f>IFERROR(__xludf.DUMMYFUNCTION("""COMPUTED_VALUE"""),2023.0)</f>
        <v>2023</v>
      </c>
      <c r="I244" s="14" t="str">
        <f>IFERROR(__xludf.DUMMYFUNCTION("""COMPUTED_VALUE"""),"Online Payment")</f>
        <v>Online Payment</v>
      </c>
      <c r="J244" s="14" t="str">
        <f>IFERROR(__xludf.DUMMYFUNCTION("""COMPUTED_VALUE"""),"Cancelled*Delayed Delivery:Vehicle Breakdown")</f>
        <v>Cancelled*Delayed Delivery:Vehicle Breakdown</v>
      </c>
      <c r="K244" s="14" t="str">
        <f>IFERROR(__xludf.DUMMYFUNCTION("split(E244,""+"")"),"Onion")</f>
        <v>Onion</v>
      </c>
      <c r="L244" s="14" t="str">
        <f>IFERROR(__xludf.DUMMYFUNCTION("""COMPUTED_VALUE"""),"2*Tanvi Jain")</f>
        <v>2*Tanvi Jain</v>
      </c>
      <c r="M244" s="14">
        <f>IFERROR(__xludf.DUMMYFUNCTION("SPLIT(L244,""*"")"),2.0)</f>
        <v>2</v>
      </c>
      <c r="N244" s="14" t="str">
        <f>IFERROR(__xludf.DUMMYFUNCTION("""COMPUTED_VALUE"""),"Tanvi Jain")</f>
        <v>Tanvi Jain</v>
      </c>
      <c r="O244" s="14" t="str">
        <f>IFERROR(__xludf.DUMMYFUNCTION("split(J244,""*"")"),"Cancelled")</f>
        <v>Cancelled</v>
      </c>
      <c r="P244" s="14" t="str">
        <f>IFERROR(__xludf.DUMMYFUNCTION("""COMPUTED_VALUE"""),"Delayed Delivery:Vehicle Breakdown")</f>
        <v>Delayed Delivery:Vehicle Breakdown</v>
      </c>
      <c r="Q244" s="14" t="str">
        <f>IFERROR(__xludf.DUMMYFUNCTION("split(P244,"":"")"),"Delayed Delivery")</f>
        <v>Delayed Delivery</v>
      </c>
      <c r="R244" s="14" t="str">
        <f>IFERROR(__xludf.DUMMYFUNCTION("""COMPUTED_VALUE"""),"Vehicle Breakdown")</f>
        <v>Vehicle Breakdown</v>
      </c>
      <c r="S244" s="14" t="str">
        <f t="shared" ref="S244:U244" si="491">trim(B244)</f>
        <v>ord_10243</v>
      </c>
      <c r="T244" s="14" t="str">
        <f t="shared" si="491"/>
        <v>Ishita Banerjee</v>
      </c>
      <c r="U244" s="14" t="str">
        <f t="shared" si="491"/>
        <v>Juhu</v>
      </c>
      <c r="V244" s="14" t="str">
        <f t="shared" si="4"/>
        <v>Onion</v>
      </c>
      <c r="W244" s="14">
        <f t="shared" si="5"/>
        <v>2</v>
      </c>
      <c r="X244" s="14" t="str">
        <f t="shared" si="6"/>
        <v>Tanvi Jain</v>
      </c>
      <c r="Y244" s="15">
        <f t="shared" si="7"/>
        <v>45024</v>
      </c>
      <c r="Z244" s="14" t="str">
        <f t="shared" si="8"/>
        <v>Online Payment</v>
      </c>
      <c r="AA244" s="14" t="str">
        <f t="shared" si="9"/>
        <v>Cancelled</v>
      </c>
      <c r="AB244" s="14" t="str">
        <f t="shared" ref="AB244:AC244" si="492">trim(Q244)</f>
        <v>Delayed Delivery</v>
      </c>
      <c r="AC244" s="14" t="str">
        <f t="shared" si="492"/>
        <v>Vehicle Breakdown</v>
      </c>
      <c r="AD244" s="8"/>
    </row>
    <row r="245">
      <c r="A245" s="14" t="str">
        <f>IFERROR(__xludf.DUMMYFUNCTION("""COMPUTED_VALUE"""),"//ord_10244//Dev Chauhan//Bandra//Icecream+4*Ramesh S/11/26/2023//COD//Delivered*Satisfied with the Delivery: Timely and quality")</f>
        <v>//ord_10244//Dev Chauhan//Bandra//Icecream+4*Ramesh S/11/26/2023//COD//Delivered*Satisfied with the Delivery: Timely and quality</v>
      </c>
      <c r="B245" s="14" t="str">
        <f>IFERROR(__xludf.DUMMYFUNCTION("split(A245,""//"")"),"ord_10244")</f>
        <v>ord_10244</v>
      </c>
      <c r="C245" s="14" t="str">
        <f>IFERROR(__xludf.DUMMYFUNCTION("""COMPUTED_VALUE"""),"Dev Chauhan")</f>
        <v>Dev Chauhan</v>
      </c>
      <c r="D245" s="14" t="str">
        <f>IFERROR(__xludf.DUMMYFUNCTION("""COMPUTED_VALUE"""),"Bandra")</f>
        <v>Bandra</v>
      </c>
      <c r="E245" s="14" t="str">
        <f>IFERROR(__xludf.DUMMYFUNCTION("""COMPUTED_VALUE"""),"Icecream+4*Ramesh S")</f>
        <v>Icecream+4*Ramesh S</v>
      </c>
      <c r="F245" s="14">
        <f>IFERROR(__xludf.DUMMYFUNCTION("""COMPUTED_VALUE"""),11.0)</f>
        <v>11</v>
      </c>
      <c r="G245" s="14">
        <f>IFERROR(__xludf.DUMMYFUNCTION("""COMPUTED_VALUE"""),26.0)</f>
        <v>26</v>
      </c>
      <c r="H245" s="14">
        <f>IFERROR(__xludf.DUMMYFUNCTION("""COMPUTED_VALUE"""),2023.0)</f>
        <v>2023</v>
      </c>
      <c r="I245" s="14" t="str">
        <f>IFERROR(__xludf.DUMMYFUNCTION("""COMPUTED_VALUE"""),"COD")</f>
        <v>COD</v>
      </c>
      <c r="J245" s="14" t="str">
        <f>IFERROR(__xludf.DUMMYFUNCTION("""COMPUTED_VALUE"""),"Delivered*Satisfied with the Delivery: Timely and quality")</f>
        <v>Delivered*Satisfied with the Delivery: Timely and quality</v>
      </c>
      <c r="K245" s="14" t="str">
        <f>IFERROR(__xludf.DUMMYFUNCTION("split(E245,""+"")"),"Icecream")</f>
        <v>Icecream</v>
      </c>
      <c r="L245" s="14" t="str">
        <f>IFERROR(__xludf.DUMMYFUNCTION("""COMPUTED_VALUE"""),"4*Ramesh S")</f>
        <v>4*Ramesh S</v>
      </c>
      <c r="M245" s="14">
        <f>IFERROR(__xludf.DUMMYFUNCTION("SPLIT(L245,""*"")"),4.0)</f>
        <v>4</v>
      </c>
      <c r="N245" s="14" t="str">
        <f>IFERROR(__xludf.DUMMYFUNCTION("""COMPUTED_VALUE"""),"Ramesh S")</f>
        <v>Ramesh S</v>
      </c>
      <c r="O245" s="14" t="str">
        <f>IFERROR(__xludf.DUMMYFUNCTION("split(J245,""*"")"),"Delivered")</f>
        <v>Delivered</v>
      </c>
      <c r="P245" s="14" t="str">
        <f>IFERROR(__xludf.DUMMYFUNCTION("""COMPUTED_VALUE"""),"Satisfied with the Delivery: Timely and quality")</f>
        <v>Satisfied with the Delivery: Timely and quality</v>
      </c>
      <c r="Q245" s="14" t="str">
        <f>IFERROR(__xludf.DUMMYFUNCTION("split(P245,"":"")"),"Satisfied with the Delivery")</f>
        <v>Satisfied with the Delivery</v>
      </c>
      <c r="R245" s="14" t="str">
        <f>IFERROR(__xludf.DUMMYFUNCTION("""COMPUTED_VALUE""")," Timely and quality")</f>
        <v> Timely and quality</v>
      </c>
      <c r="S245" s="14" t="str">
        <f t="shared" ref="S245:U245" si="493">trim(B245)</f>
        <v>ord_10244</v>
      </c>
      <c r="T245" s="14" t="str">
        <f t="shared" si="493"/>
        <v>Dev Chauhan</v>
      </c>
      <c r="U245" s="14" t="str">
        <f t="shared" si="493"/>
        <v>Bandra</v>
      </c>
      <c r="V245" s="14" t="str">
        <f t="shared" si="4"/>
        <v>Icecream</v>
      </c>
      <c r="W245" s="14">
        <f t="shared" si="5"/>
        <v>4</v>
      </c>
      <c r="X245" s="14" t="str">
        <f t="shared" si="6"/>
        <v>Ramesh S</v>
      </c>
      <c r="Y245" s="15">
        <f t="shared" si="7"/>
        <v>45256</v>
      </c>
      <c r="Z245" s="14" t="str">
        <f t="shared" si="8"/>
        <v>COD</v>
      </c>
      <c r="AA245" s="14" t="str">
        <f t="shared" si="9"/>
        <v>Delivered</v>
      </c>
      <c r="AB245" s="14" t="str">
        <f t="shared" ref="AB245:AC245" si="494">trim(Q245)</f>
        <v>Satisfied with the Delivery</v>
      </c>
      <c r="AC245" s="14" t="str">
        <f t="shared" si="494"/>
        <v>Timely and quality</v>
      </c>
      <c r="AD245" s="8"/>
    </row>
    <row r="246">
      <c r="A246" s="14" t="str">
        <f>IFERROR(__xludf.DUMMYFUNCTION("""COMPUTED_VALUE"""),"//ord_10245//Parth Goel//Juhu//Chicken Puff+4*Tanvi Jain/11/11/2023//COD//Delivered*Customer Service: Seamless and easy")</f>
        <v>//ord_10245//Parth Goel//Juhu//Chicken Puff+4*Tanvi Jain/11/11/2023//COD//Delivered*Customer Service: Seamless and easy</v>
      </c>
      <c r="B246" s="14" t="str">
        <f>IFERROR(__xludf.DUMMYFUNCTION("split(A246,""//"")"),"ord_10245")</f>
        <v>ord_10245</v>
      </c>
      <c r="C246" s="14" t="str">
        <f>IFERROR(__xludf.DUMMYFUNCTION("""COMPUTED_VALUE"""),"Parth Goel")</f>
        <v>Parth Goel</v>
      </c>
      <c r="D246" s="14" t="str">
        <f>IFERROR(__xludf.DUMMYFUNCTION("""COMPUTED_VALUE"""),"Juhu")</f>
        <v>Juhu</v>
      </c>
      <c r="E246" s="14" t="str">
        <f>IFERROR(__xludf.DUMMYFUNCTION("""COMPUTED_VALUE"""),"Chicken Puff+4*Tanvi Jain")</f>
        <v>Chicken Puff+4*Tanvi Jain</v>
      </c>
      <c r="F246" s="14">
        <f>IFERROR(__xludf.DUMMYFUNCTION("""COMPUTED_VALUE"""),11.0)</f>
        <v>11</v>
      </c>
      <c r="G246" s="14">
        <f>IFERROR(__xludf.DUMMYFUNCTION("""COMPUTED_VALUE"""),11.0)</f>
        <v>11</v>
      </c>
      <c r="H246" s="14">
        <f>IFERROR(__xludf.DUMMYFUNCTION("""COMPUTED_VALUE"""),2023.0)</f>
        <v>2023</v>
      </c>
      <c r="I246" s="14" t="str">
        <f>IFERROR(__xludf.DUMMYFUNCTION("""COMPUTED_VALUE"""),"COD")</f>
        <v>COD</v>
      </c>
      <c r="J246" s="14" t="str">
        <f>IFERROR(__xludf.DUMMYFUNCTION("""COMPUTED_VALUE"""),"Delivered*Customer Service: Seamless and easy")</f>
        <v>Delivered*Customer Service: Seamless and easy</v>
      </c>
      <c r="K246" s="14" t="str">
        <f>IFERROR(__xludf.DUMMYFUNCTION("split(E246,""+"")"),"Chicken Puff")</f>
        <v>Chicken Puff</v>
      </c>
      <c r="L246" s="14" t="str">
        <f>IFERROR(__xludf.DUMMYFUNCTION("""COMPUTED_VALUE"""),"4*Tanvi Jain")</f>
        <v>4*Tanvi Jain</v>
      </c>
      <c r="M246" s="14">
        <f>IFERROR(__xludf.DUMMYFUNCTION("SPLIT(L246,""*"")"),4.0)</f>
        <v>4</v>
      </c>
      <c r="N246" s="14" t="str">
        <f>IFERROR(__xludf.DUMMYFUNCTION("""COMPUTED_VALUE"""),"Tanvi Jain")</f>
        <v>Tanvi Jain</v>
      </c>
      <c r="O246" s="14" t="str">
        <f>IFERROR(__xludf.DUMMYFUNCTION("split(J246,""*"")"),"Delivered")</f>
        <v>Delivered</v>
      </c>
      <c r="P246" s="14" t="str">
        <f>IFERROR(__xludf.DUMMYFUNCTION("""COMPUTED_VALUE"""),"Customer Service: Seamless and easy")</f>
        <v>Customer Service: Seamless and easy</v>
      </c>
      <c r="Q246" s="14" t="str">
        <f>IFERROR(__xludf.DUMMYFUNCTION("split(P246,"":"")"),"Customer Service")</f>
        <v>Customer Service</v>
      </c>
      <c r="R246" s="14" t="str">
        <f>IFERROR(__xludf.DUMMYFUNCTION("""COMPUTED_VALUE""")," Seamless and easy")</f>
        <v> Seamless and easy</v>
      </c>
      <c r="S246" s="14" t="str">
        <f t="shared" ref="S246:U246" si="495">trim(B246)</f>
        <v>ord_10245</v>
      </c>
      <c r="T246" s="14" t="str">
        <f t="shared" si="495"/>
        <v>Parth Goel</v>
      </c>
      <c r="U246" s="14" t="str">
        <f t="shared" si="495"/>
        <v>Juhu</v>
      </c>
      <c r="V246" s="14" t="str">
        <f t="shared" si="4"/>
        <v>Chicken Puff</v>
      </c>
      <c r="W246" s="14">
        <f t="shared" si="5"/>
        <v>4</v>
      </c>
      <c r="X246" s="14" t="str">
        <f t="shared" si="6"/>
        <v>Tanvi Jain</v>
      </c>
      <c r="Y246" s="15">
        <f t="shared" si="7"/>
        <v>45241</v>
      </c>
      <c r="Z246" s="14" t="str">
        <f t="shared" si="8"/>
        <v>COD</v>
      </c>
      <c r="AA246" s="14" t="str">
        <f t="shared" si="9"/>
        <v>Delivered</v>
      </c>
      <c r="AB246" s="14" t="str">
        <f t="shared" ref="AB246:AC246" si="496">trim(Q246)</f>
        <v>Customer Service</v>
      </c>
      <c r="AC246" s="14" t="str">
        <f t="shared" si="496"/>
        <v>Seamless and easy</v>
      </c>
      <c r="AD246" s="8"/>
    </row>
    <row r="247">
      <c r="A247" s="14" t="str">
        <f>IFERROR(__xludf.DUMMYFUNCTION("""COMPUTED_VALUE"""),"//ord_10246//Tanishq Bansal//Powai//Onion+1*Ramesh S/11/25/2023//Online Payment//Delivered*Delivery Experience: Quick and professional")</f>
        <v>//ord_10246//Tanishq Bansal//Powai//Onion+1*Ramesh S/11/25/2023//Online Payment//Delivered*Delivery Experience: Quick and professional</v>
      </c>
      <c r="B247" s="14" t="str">
        <f>IFERROR(__xludf.DUMMYFUNCTION("split(A247,""//"")"),"ord_10246")</f>
        <v>ord_10246</v>
      </c>
      <c r="C247" s="14" t="str">
        <f>IFERROR(__xludf.DUMMYFUNCTION("""COMPUTED_VALUE"""),"Tanishq Bansal")</f>
        <v>Tanishq Bansal</v>
      </c>
      <c r="D247" s="14" t="str">
        <f>IFERROR(__xludf.DUMMYFUNCTION("""COMPUTED_VALUE"""),"Powai")</f>
        <v>Powai</v>
      </c>
      <c r="E247" s="14" t="str">
        <f>IFERROR(__xludf.DUMMYFUNCTION("""COMPUTED_VALUE"""),"Onion+1*Ramesh S")</f>
        <v>Onion+1*Ramesh S</v>
      </c>
      <c r="F247" s="14">
        <f>IFERROR(__xludf.DUMMYFUNCTION("""COMPUTED_VALUE"""),11.0)</f>
        <v>11</v>
      </c>
      <c r="G247" s="14">
        <f>IFERROR(__xludf.DUMMYFUNCTION("""COMPUTED_VALUE"""),25.0)</f>
        <v>25</v>
      </c>
      <c r="H247" s="14">
        <f>IFERROR(__xludf.DUMMYFUNCTION("""COMPUTED_VALUE"""),2023.0)</f>
        <v>2023</v>
      </c>
      <c r="I247" s="14" t="str">
        <f>IFERROR(__xludf.DUMMYFUNCTION("""COMPUTED_VALUE"""),"Online Payment")</f>
        <v>Online Payment</v>
      </c>
      <c r="J247" s="14" t="str">
        <f>IFERROR(__xludf.DUMMYFUNCTION("""COMPUTED_VALUE"""),"Delivered*Delivery Experience: Quick and professional")</f>
        <v>Delivered*Delivery Experience: Quick and professional</v>
      </c>
      <c r="K247" s="14" t="str">
        <f>IFERROR(__xludf.DUMMYFUNCTION("split(E247,""+"")"),"Onion")</f>
        <v>Onion</v>
      </c>
      <c r="L247" s="14" t="str">
        <f>IFERROR(__xludf.DUMMYFUNCTION("""COMPUTED_VALUE"""),"1*Ramesh S")</f>
        <v>1*Ramesh S</v>
      </c>
      <c r="M247" s="14">
        <f>IFERROR(__xludf.DUMMYFUNCTION("SPLIT(L247,""*"")"),1.0)</f>
        <v>1</v>
      </c>
      <c r="N247" s="14" t="str">
        <f>IFERROR(__xludf.DUMMYFUNCTION("""COMPUTED_VALUE"""),"Ramesh S")</f>
        <v>Ramesh S</v>
      </c>
      <c r="O247" s="14" t="str">
        <f>IFERROR(__xludf.DUMMYFUNCTION("split(J247,""*"")"),"Delivered")</f>
        <v>Delivered</v>
      </c>
      <c r="P247" s="14" t="str">
        <f>IFERROR(__xludf.DUMMYFUNCTION("""COMPUTED_VALUE"""),"Delivery Experience: Quick and professional")</f>
        <v>Delivery Experience: Quick and professional</v>
      </c>
      <c r="Q247" s="14" t="str">
        <f>IFERROR(__xludf.DUMMYFUNCTION("split(P247,"":"")"),"Delivery Experience")</f>
        <v>Delivery Experience</v>
      </c>
      <c r="R247" s="14" t="str">
        <f>IFERROR(__xludf.DUMMYFUNCTION("""COMPUTED_VALUE""")," Quick and professional")</f>
        <v> Quick and professional</v>
      </c>
      <c r="S247" s="14" t="str">
        <f t="shared" ref="S247:U247" si="497">trim(B247)</f>
        <v>ord_10246</v>
      </c>
      <c r="T247" s="14" t="str">
        <f t="shared" si="497"/>
        <v>Tanishq Bansal</v>
      </c>
      <c r="U247" s="14" t="str">
        <f t="shared" si="497"/>
        <v>Powai</v>
      </c>
      <c r="V247" s="14" t="str">
        <f t="shared" si="4"/>
        <v>Onion</v>
      </c>
      <c r="W247" s="14">
        <f t="shared" si="5"/>
        <v>1</v>
      </c>
      <c r="X247" s="14" t="str">
        <f t="shared" si="6"/>
        <v>Ramesh S</v>
      </c>
      <c r="Y247" s="15">
        <f t="shared" si="7"/>
        <v>45255</v>
      </c>
      <c r="Z247" s="14" t="str">
        <f t="shared" si="8"/>
        <v>Online Payment</v>
      </c>
      <c r="AA247" s="14" t="str">
        <f t="shared" si="9"/>
        <v>Delivered</v>
      </c>
      <c r="AB247" s="14" t="str">
        <f t="shared" ref="AB247:AC247" si="498">trim(Q247)</f>
        <v>Delivery Experience</v>
      </c>
      <c r="AC247" s="14" t="str">
        <f t="shared" si="498"/>
        <v>Quick and professional</v>
      </c>
      <c r="AD247" s="8"/>
    </row>
    <row r="248">
      <c r="A248" s="14" t="str">
        <f>IFERROR(__xludf.DUMMYFUNCTION("""COMPUTED_VALUE"""),"//ord_10247//Siya Reddy//Juhu//Banana+1*Tanvi Jain/6/25/2023//Online Payment//Delivered*Convenience: Easy tracking")</f>
        <v>//ord_10247//Siya Reddy//Juhu//Banana+1*Tanvi Jain/6/25/2023//Online Payment//Delivered*Convenience: Easy tracking</v>
      </c>
      <c r="B248" s="14" t="str">
        <f>IFERROR(__xludf.DUMMYFUNCTION("split(A248,""//"")"),"ord_10247")</f>
        <v>ord_10247</v>
      </c>
      <c r="C248" s="14" t="str">
        <f>IFERROR(__xludf.DUMMYFUNCTION("""COMPUTED_VALUE"""),"Siya Reddy")</f>
        <v>Siya Reddy</v>
      </c>
      <c r="D248" s="14" t="str">
        <f>IFERROR(__xludf.DUMMYFUNCTION("""COMPUTED_VALUE"""),"Juhu")</f>
        <v>Juhu</v>
      </c>
      <c r="E248" s="14" t="str">
        <f>IFERROR(__xludf.DUMMYFUNCTION("""COMPUTED_VALUE"""),"Banana+1*Tanvi Jain")</f>
        <v>Banana+1*Tanvi Jain</v>
      </c>
      <c r="F248" s="14">
        <f>IFERROR(__xludf.DUMMYFUNCTION("""COMPUTED_VALUE"""),6.0)</f>
        <v>6</v>
      </c>
      <c r="G248" s="14">
        <f>IFERROR(__xludf.DUMMYFUNCTION("""COMPUTED_VALUE"""),25.0)</f>
        <v>25</v>
      </c>
      <c r="H248" s="14">
        <f>IFERROR(__xludf.DUMMYFUNCTION("""COMPUTED_VALUE"""),2023.0)</f>
        <v>2023</v>
      </c>
      <c r="I248" s="14" t="str">
        <f>IFERROR(__xludf.DUMMYFUNCTION("""COMPUTED_VALUE"""),"Online Payment")</f>
        <v>Online Payment</v>
      </c>
      <c r="J248" s="14" t="str">
        <f>IFERROR(__xludf.DUMMYFUNCTION("""COMPUTED_VALUE"""),"Delivered*Convenience: Easy tracking")</f>
        <v>Delivered*Convenience: Easy tracking</v>
      </c>
      <c r="K248" s="14" t="str">
        <f>IFERROR(__xludf.DUMMYFUNCTION("split(E248,""+"")"),"Banana")</f>
        <v>Banana</v>
      </c>
      <c r="L248" s="14" t="str">
        <f>IFERROR(__xludf.DUMMYFUNCTION("""COMPUTED_VALUE"""),"1*Tanvi Jain")</f>
        <v>1*Tanvi Jain</v>
      </c>
      <c r="M248" s="14">
        <f>IFERROR(__xludf.DUMMYFUNCTION("SPLIT(L248,""*"")"),1.0)</f>
        <v>1</v>
      </c>
      <c r="N248" s="14" t="str">
        <f>IFERROR(__xludf.DUMMYFUNCTION("""COMPUTED_VALUE"""),"Tanvi Jain")</f>
        <v>Tanvi Jain</v>
      </c>
      <c r="O248" s="14" t="str">
        <f>IFERROR(__xludf.DUMMYFUNCTION("split(J248,""*"")"),"Delivered")</f>
        <v>Delivered</v>
      </c>
      <c r="P248" s="14" t="str">
        <f>IFERROR(__xludf.DUMMYFUNCTION("""COMPUTED_VALUE"""),"Convenience: Easy tracking")</f>
        <v>Convenience: Easy tracking</v>
      </c>
      <c r="Q248" s="14" t="str">
        <f>IFERROR(__xludf.DUMMYFUNCTION("split(P248,"":"")"),"Convenience")</f>
        <v>Convenience</v>
      </c>
      <c r="R248" s="14" t="str">
        <f>IFERROR(__xludf.DUMMYFUNCTION("""COMPUTED_VALUE""")," Easy tracking")</f>
        <v> Easy tracking</v>
      </c>
      <c r="S248" s="14" t="str">
        <f t="shared" ref="S248:U248" si="499">trim(B248)</f>
        <v>ord_10247</v>
      </c>
      <c r="T248" s="14" t="str">
        <f t="shared" si="499"/>
        <v>Siya Reddy</v>
      </c>
      <c r="U248" s="14" t="str">
        <f t="shared" si="499"/>
        <v>Juhu</v>
      </c>
      <c r="V248" s="14" t="str">
        <f t="shared" si="4"/>
        <v>Banana</v>
      </c>
      <c r="W248" s="14">
        <f t="shared" si="5"/>
        <v>1</v>
      </c>
      <c r="X248" s="14" t="str">
        <f t="shared" si="6"/>
        <v>Tanvi Jain</v>
      </c>
      <c r="Y248" s="15">
        <f t="shared" si="7"/>
        <v>45102</v>
      </c>
      <c r="Z248" s="14" t="str">
        <f t="shared" si="8"/>
        <v>Online Payment</v>
      </c>
      <c r="AA248" s="14" t="str">
        <f t="shared" si="9"/>
        <v>Delivered</v>
      </c>
      <c r="AB248" s="14" t="str">
        <f t="shared" ref="AB248:AC248" si="500">trim(Q248)</f>
        <v>Convenience</v>
      </c>
      <c r="AC248" s="14" t="str">
        <f t="shared" si="500"/>
        <v>Easy tracking</v>
      </c>
      <c r="AD248" s="8"/>
    </row>
    <row r="249">
      <c r="A249" s="14" t="str">
        <f>IFERROR(__xludf.DUMMYFUNCTION("""COMPUTED_VALUE"""),"//ord_10248//Siya Reddy//Juhu//Popcorn+1*Ramesh S/11/22/2023//UPI//Delivered*Overall Satisfaction: Great service will order again")</f>
        <v>//ord_10248//Siya Reddy//Juhu//Popcorn+1*Ramesh S/11/22/2023//UPI//Delivered*Overall Satisfaction: Great service will order again</v>
      </c>
      <c r="B249" s="14" t="str">
        <f>IFERROR(__xludf.DUMMYFUNCTION("split(A249,""//"")"),"ord_10248")</f>
        <v>ord_10248</v>
      </c>
      <c r="C249" s="14" t="str">
        <f>IFERROR(__xludf.DUMMYFUNCTION("""COMPUTED_VALUE"""),"Siya Reddy")</f>
        <v>Siya Reddy</v>
      </c>
      <c r="D249" s="14" t="str">
        <f>IFERROR(__xludf.DUMMYFUNCTION("""COMPUTED_VALUE"""),"Juhu")</f>
        <v>Juhu</v>
      </c>
      <c r="E249" s="14" t="str">
        <f>IFERROR(__xludf.DUMMYFUNCTION("""COMPUTED_VALUE"""),"Popcorn+1*Ramesh S")</f>
        <v>Popcorn+1*Ramesh S</v>
      </c>
      <c r="F249" s="14">
        <f>IFERROR(__xludf.DUMMYFUNCTION("""COMPUTED_VALUE"""),11.0)</f>
        <v>11</v>
      </c>
      <c r="G249" s="14">
        <f>IFERROR(__xludf.DUMMYFUNCTION("""COMPUTED_VALUE"""),22.0)</f>
        <v>22</v>
      </c>
      <c r="H249" s="14">
        <f>IFERROR(__xludf.DUMMYFUNCTION("""COMPUTED_VALUE"""),2023.0)</f>
        <v>2023</v>
      </c>
      <c r="I249" s="14" t="str">
        <f>IFERROR(__xludf.DUMMYFUNCTION("""COMPUTED_VALUE"""),"UPI")</f>
        <v>UPI</v>
      </c>
      <c r="J249" s="14" t="str">
        <f>IFERROR(__xludf.DUMMYFUNCTION("""COMPUTED_VALUE"""),"Delivered*Overall Satisfaction: Great service will order again")</f>
        <v>Delivered*Overall Satisfaction: Great service will order again</v>
      </c>
      <c r="K249" s="14" t="str">
        <f>IFERROR(__xludf.DUMMYFUNCTION("split(E249,""+"")"),"Popcorn")</f>
        <v>Popcorn</v>
      </c>
      <c r="L249" s="14" t="str">
        <f>IFERROR(__xludf.DUMMYFUNCTION("""COMPUTED_VALUE"""),"1*Ramesh S")</f>
        <v>1*Ramesh S</v>
      </c>
      <c r="M249" s="14">
        <f>IFERROR(__xludf.DUMMYFUNCTION("SPLIT(L249,""*"")"),1.0)</f>
        <v>1</v>
      </c>
      <c r="N249" s="14" t="str">
        <f>IFERROR(__xludf.DUMMYFUNCTION("""COMPUTED_VALUE"""),"Ramesh S")</f>
        <v>Ramesh S</v>
      </c>
      <c r="O249" s="14" t="str">
        <f>IFERROR(__xludf.DUMMYFUNCTION("split(J249,""*"")"),"Delivered")</f>
        <v>Delivered</v>
      </c>
      <c r="P249" s="14" t="str">
        <f>IFERROR(__xludf.DUMMYFUNCTION("""COMPUTED_VALUE"""),"Overall Satisfaction: Great service will order again")</f>
        <v>Overall Satisfaction: Great service will order again</v>
      </c>
      <c r="Q249" s="14" t="str">
        <f>IFERROR(__xludf.DUMMYFUNCTION("split(P249,"":"")"),"Overall Satisfaction")</f>
        <v>Overall Satisfaction</v>
      </c>
      <c r="R249" s="14" t="str">
        <f>IFERROR(__xludf.DUMMYFUNCTION("""COMPUTED_VALUE""")," Great service will order again")</f>
        <v> Great service will order again</v>
      </c>
      <c r="S249" s="14" t="str">
        <f t="shared" ref="S249:U249" si="501">trim(B249)</f>
        <v>ord_10248</v>
      </c>
      <c r="T249" s="14" t="str">
        <f t="shared" si="501"/>
        <v>Siya Reddy</v>
      </c>
      <c r="U249" s="14" t="str">
        <f t="shared" si="501"/>
        <v>Juhu</v>
      </c>
      <c r="V249" s="14" t="str">
        <f t="shared" si="4"/>
        <v>Popcorn</v>
      </c>
      <c r="W249" s="14">
        <f t="shared" si="5"/>
        <v>1</v>
      </c>
      <c r="X249" s="14" t="str">
        <f t="shared" si="6"/>
        <v>Ramesh S</v>
      </c>
      <c r="Y249" s="15">
        <f t="shared" si="7"/>
        <v>45252</v>
      </c>
      <c r="Z249" s="14" t="str">
        <f t="shared" si="8"/>
        <v>UPI</v>
      </c>
      <c r="AA249" s="14" t="str">
        <f t="shared" si="9"/>
        <v>Delivered</v>
      </c>
      <c r="AB249" s="14" t="str">
        <f t="shared" ref="AB249:AC249" si="502">trim(Q249)</f>
        <v>Overall Satisfaction</v>
      </c>
      <c r="AC249" s="14" t="str">
        <f t="shared" si="502"/>
        <v>Great service will order again</v>
      </c>
      <c r="AD249" s="8"/>
    </row>
    <row r="250">
      <c r="A250" s="14" t="str">
        <f>IFERROR(__xludf.DUMMYFUNCTION("""COMPUTED_VALUE"""),"//ord_10249//Aarohi Kapoor//Bandra//Icecream+1*Ramesh S/12/25/2023//UPI//Delivered*On-time Delivery: Delivered on time")</f>
        <v>//ord_10249//Aarohi Kapoor//Bandra//Icecream+1*Ramesh S/12/25/2023//UPI//Delivered*On-time Delivery: Delivered on time</v>
      </c>
      <c r="B250" s="14" t="str">
        <f>IFERROR(__xludf.DUMMYFUNCTION("split(A250,""//"")"),"ord_10249")</f>
        <v>ord_10249</v>
      </c>
      <c r="C250" s="14" t="str">
        <f>IFERROR(__xludf.DUMMYFUNCTION("""COMPUTED_VALUE"""),"Aarohi Kapoor")</f>
        <v>Aarohi Kapoor</v>
      </c>
      <c r="D250" s="14" t="str">
        <f>IFERROR(__xludf.DUMMYFUNCTION("""COMPUTED_VALUE"""),"Bandra")</f>
        <v>Bandra</v>
      </c>
      <c r="E250" s="14" t="str">
        <f>IFERROR(__xludf.DUMMYFUNCTION("""COMPUTED_VALUE"""),"Icecream+1*Ramesh S")</f>
        <v>Icecream+1*Ramesh S</v>
      </c>
      <c r="F250" s="14">
        <f>IFERROR(__xludf.DUMMYFUNCTION("""COMPUTED_VALUE"""),12.0)</f>
        <v>12</v>
      </c>
      <c r="G250" s="14">
        <f>IFERROR(__xludf.DUMMYFUNCTION("""COMPUTED_VALUE"""),25.0)</f>
        <v>25</v>
      </c>
      <c r="H250" s="14">
        <f>IFERROR(__xludf.DUMMYFUNCTION("""COMPUTED_VALUE"""),2023.0)</f>
        <v>2023</v>
      </c>
      <c r="I250" s="14" t="str">
        <f>IFERROR(__xludf.DUMMYFUNCTION("""COMPUTED_VALUE"""),"UPI")</f>
        <v>UPI</v>
      </c>
      <c r="J250" s="14" t="str">
        <f>IFERROR(__xludf.DUMMYFUNCTION("""COMPUTED_VALUE"""),"Delivered*On-time Delivery: Delivered on time")</f>
        <v>Delivered*On-time Delivery: Delivered on time</v>
      </c>
      <c r="K250" s="14" t="str">
        <f>IFERROR(__xludf.DUMMYFUNCTION("split(E250,""+"")"),"Icecream")</f>
        <v>Icecream</v>
      </c>
      <c r="L250" s="14" t="str">
        <f>IFERROR(__xludf.DUMMYFUNCTION("""COMPUTED_VALUE"""),"1*Ramesh S")</f>
        <v>1*Ramesh S</v>
      </c>
      <c r="M250" s="14">
        <f>IFERROR(__xludf.DUMMYFUNCTION("SPLIT(L250,""*"")"),1.0)</f>
        <v>1</v>
      </c>
      <c r="N250" s="14" t="str">
        <f>IFERROR(__xludf.DUMMYFUNCTION("""COMPUTED_VALUE"""),"Ramesh S")</f>
        <v>Ramesh S</v>
      </c>
      <c r="O250" s="14" t="str">
        <f>IFERROR(__xludf.DUMMYFUNCTION("split(J250,""*"")"),"Delivered")</f>
        <v>Delivered</v>
      </c>
      <c r="P250" s="14" t="str">
        <f>IFERROR(__xludf.DUMMYFUNCTION("""COMPUTED_VALUE"""),"On-time Delivery: Delivered on time")</f>
        <v>On-time Delivery: Delivered on time</v>
      </c>
      <c r="Q250" s="14" t="str">
        <f>IFERROR(__xludf.DUMMYFUNCTION("split(P250,"":"")"),"On-time Delivery")</f>
        <v>On-time Delivery</v>
      </c>
      <c r="R250" s="14" t="str">
        <f>IFERROR(__xludf.DUMMYFUNCTION("""COMPUTED_VALUE""")," Delivered on time")</f>
        <v> Delivered on time</v>
      </c>
      <c r="S250" s="14" t="str">
        <f t="shared" ref="S250:U250" si="503">trim(B250)</f>
        <v>ord_10249</v>
      </c>
      <c r="T250" s="14" t="str">
        <f t="shared" si="503"/>
        <v>Aarohi Kapoor</v>
      </c>
      <c r="U250" s="14" t="str">
        <f t="shared" si="503"/>
        <v>Bandra</v>
      </c>
      <c r="V250" s="14" t="str">
        <f t="shared" si="4"/>
        <v>Icecream</v>
      </c>
      <c r="W250" s="14">
        <f t="shared" si="5"/>
        <v>1</v>
      </c>
      <c r="X250" s="14" t="str">
        <f t="shared" si="6"/>
        <v>Ramesh S</v>
      </c>
      <c r="Y250" s="15">
        <f t="shared" si="7"/>
        <v>45285</v>
      </c>
      <c r="Z250" s="14" t="str">
        <f t="shared" si="8"/>
        <v>UPI</v>
      </c>
      <c r="AA250" s="14" t="str">
        <f t="shared" si="9"/>
        <v>Delivered</v>
      </c>
      <c r="AB250" s="14" t="str">
        <f t="shared" ref="AB250:AC250" si="504">trim(Q250)</f>
        <v>On-time Delivery</v>
      </c>
      <c r="AC250" s="14" t="str">
        <f t="shared" si="504"/>
        <v>Delivered on time</v>
      </c>
      <c r="AD250" s="8"/>
    </row>
    <row r="251">
      <c r="A251" s="14" t="str">
        <f>IFERROR(__xludf.DUMMYFUNCTION("""COMPUTED_VALUE"""),"//ord_10250//Siya Reddy//Juhu//Chicken Puff+3*Vivek Kumar/3/23/2023//Online Payment//Delivered*Quality of Items: Perfect condition")</f>
        <v>//ord_10250//Siya Reddy//Juhu//Chicken Puff+3*Vivek Kumar/3/23/2023//Online Payment//Delivered*Quality of Items: Perfect condition</v>
      </c>
      <c r="B251" s="14" t="str">
        <f>IFERROR(__xludf.DUMMYFUNCTION("split(A251,""//"")"),"ord_10250")</f>
        <v>ord_10250</v>
      </c>
      <c r="C251" s="14" t="str">
        <f>IFERROR(__xludf.DUMMYFUNCTION("""COMPUTED_VALUE"""),"Siya Reddy")</f>
        <v>Siya Reddy</v>
      </c>
      <c r="D251" s="14" t="str">
        <f>IFERROR(__xludf.DUMMYFUNCTION("""COMPUTED_VALUE"""),"Juhu")</f>
        <v>Juhu</v>
      </c>
      <c r="E251" s="14" t="str">
        <f>IFERROR(__xludf.DUMMYFUNCTION("""COMPUTED_VALUE"""),"Chicken Puff+3*Vivek Kumar")</f>
        <v>Chicken Puff+3*Vivek Kumar</v>
      </c>
      <c r="F251" s="14">
        <f>IFERROR(__xludf.DUMMYFUNCTION("""COMPUTED_VALUE"""),3.0)</f>
        <v>3</v>
      </c>
      <c r="G251" s="14">
        <f>IFERROR(__xludf.DUMMYFUNCTION("""COMPUTED_VALUE"""),23.0)</f>
        <v>23</v>
      </c>
      <c r="H251" s="14">
        <f>IFERROR(__xludf.DUMMYFUNCTION("""COMPUTED_VALUE"""),2023.0)</f>
        <v>2023</v>
      </c>
      <c r="I251" s="14" t="str">
        <f>IFERROR(__xludf.DUMMYFUNCTION("""COMPUTED_VALUE"""),"Online Payment")</f>
        <v>Online Payment</v>
      </c>
      <c r="J251" s="14" t="str">
        <f>IFERROR(__xludf.DUMMYFUNCTION("""COMPUTED_VALUE"""),"Delivered*Quality of Items: Perfect condition")</f>
        <v>Delivered*Quality of Items: Perfect condition</v>
      </c>
      <c r="K251" s="14" t="str">
        <f>IFERROR(__xludf.DUMMYFUNCTION("split(E251,""+"")"),"Chicken Puff")</f>
        <v>Chicken Puff</v>
      </c>
      <c r="L251" s="14" t="str">
        <f>IFERROR(__xludf.DUMMYFUNCTION("""COMPUTED_VALUE"""),"3*Vivek Kumar")</f>
        <v>3*Vivek Kumar</v>
      </c>
      <c r="M251" s="14">
        <f>IFERROR(__xludf.DUMMYFUNCTION("SPLIT(L251,""*"")"),3.0)</f>
        <v>3</v>
      </c>
      <c r="N251" s="14" t="str">
        <f>IFERROR(__xludf.DUMMYFUNCTION("""COMPUTED_VALUE"""),"Vivek Kumar")</f>
        <v>Vivek Kumar</v>
      </c>
      <c r="O251" s="14" t="str">
        <f>IFERROR(__xludf.DUMMYFUNCTION("split(J251,""*"")"),"Delivered")</f>
        <v>Delivered</v>
      </c>
      <c r="P251" s="14" t="str">
        <f>IFERROR(__xludf.DUMMYFUNCTION("""COMPUTED_VALUE"""),"Quality of Items: Perfect condition")</f>
        <v>Quality of Items: Perfect condition</v>
      </c>
      <c r="Q251" s="14" t="str">
        <f>IFERROR(__xludf.DUMMYFUNCTION("split(P251,"":"")"),"Quality of Items")</f>
        <v>Quality of Items</v>
      </c>
      <c r="R251" s="14" t="str">
        <f>IFERROR(__xludf.DUMMYFUNCTION("""COMPUTED_VALUE""")," Perfect condition")</f>
        <v> Perfect condition</v>
      </c>
      <c r="S251" s="14" t="str">
        <f t="shared" ref="S251:U251" si="505">trim(B251)</f>
        <v>ord_10250</v>
      </c>
      <c r="T251" s="14" t="str">
        <f t="shared" si="505"/>
        <v>Siya Reddy</v>
      </c>
      <c r="U251" s="14" t="str">
        <f t="shared" si="505"/>
        <v>Juhu</v>
      </c>
      <c r="V251" s="14" t="str">
        <f t="shared" si="4"/>
        <v>Chicken Puff</v>
      </c>
      <c r="W251" s="14">
        <f t="shared" si="5"/>
        <v>3</v>
      </c>
      <c r="X251" s="14" t="str">
        <f t="shared" si="6"/>
        <v>Vivek Kumar</v>
      </c>
      <c r="Y251" s="15">
        <f t="shared" si="7"/>
        <v>45008</v>
      </c>
      <c r="Z251" s="14" t="str">
        <f t="shared" si="8"/>
        <v>Online Payment</v>
      </c>
      <c r="AA251" s="14" t="str">
        <f t="shared" si="9"/>
        <v>Delivered</v>
      </c>
      <c r="AB251" s="14" t="str">
        <f t="shared" ref="AB251:AC251" si="506">trim(Q251)</f>
        <v>Quality of Items</v>
      </c>
      <c r="AC251" s="14" t="str">
        <f t="shared" si="506"/>
        <v>Perfect condition</v>
      </c>
      <c r="AD251" s="8"/>
    </row>
    <row r="252">
      <c r="A252" s="14" t="str">
        <f>IFERROR(__xludf.DUMMYFUNCTION("""COMPUTED_VALUE"""),"//ord_10251//Siya Reddy//Juhu//Papaya+1*Ramesh S/2/1/2023//Credit Card//Delivered*On-time Delivery: Delivered on time")</f>
        <v>//ord_10251//Siya Reddy//Juhu//Papaya+1*Ramesh S/2/1/2023//Credit Card//Delivered*On-time Delivery: Delivered on time</v>
      </c>
      <c r="B252" s="14" t="str">
        <f>IFERROR(__xludf.DUMMYFUNCTION("split(A252,""//"")"),"ord_10251")</f>
        <v>ord_10251</v>
      </c>
      <c r="C252" s="14" t="str">
        <f>IFERROR(__xludf.DUMMYFUNCTION("""COMPUTED_VALUE"""),"Siya Reddy")</f>
        <v>Siya Reddy</v>
      </c>
      <c r="D252" s="14" t="str">
        <f>IFERROR(__xludf.DUMMYFUNCTION("""COMPUTED_VALUE"""),"Juhu")</f>
        <v>Juhu</v>
      </c>
      <c r="E252" s="14" t="str">
        <f>IFERROR(__xludf.DUMMYFUNCTION("""COMPUTED_VALUE"""),"Papaya+1*Ramesh S")</f>
        <v>Papaya+1*Ramesh S</v>
      </c>
      <c r="F252" s="14">
        <f>IFERROR(__xludf.DUMMYFUNCTION("""COMPUTED_VALUE"""),2.0)</f>
        <v>2</v>
      </c>
      <c r="G252" s="14">
        <f>IFERROR(__xludf.DUMMYFUNCTION("""COMPUTED_VALUE"""),1.0)</f>
        <v>1</v>
      </c>
      <c r="H252" s="14">
        <f>IFERROR(__xludf.DUMMYFUNCTION("""COMPUTED_VALUE"""),2023.0)</f>
        <v>2023</v>
      </c>
      <c r="I252" s="14" t="str">
        <f>IFERROR(__xludf.DUMMYFUNCTION("""COMPUTED_VALUE"""),"Credit Card")</f>
        <v>Credit Card</v>
      </c>
      <c r="J252" s="14" t="str">
        <f>IFERROR(__xludf.DUMMYFUNCTION("""COMPUTED_VALUE"""),"Delivered*On-time Delivery: Delivered on time")</f>
        <v>Delivered*On-time Delivery: Delivered on time</v>
      </c>
      <c r="K252" s="14" t="str">
        <f>IFERROR(__xludf.DUMMYFUNCTION("split(E252,""+"")"),"Papaya")</f>
        <v>Papaya</v>
      </c>
      <c r="L252" s="14" t="str">
        <f>IFERROR(__xludf.DUMMYFUNCTION("""COMPUTED_VALUE"""),"1*Ramesh S")</f>
        <v>1*Ramesh S</v>
      </c>
      <c r="M252" s="14">
        <f>IFERROR(__xludf.DUMMYFUNCTION("SPLIT(L252,""*"")"),1.0)</f>
        <v>1</v>
      </c>
      <c r="N252" s="14" t="str">
        <f>IFERROR(__xludf.DUMMYFUNCTION("""COMPUTED_VALUE"""),"Ramesh S")</f>
        <v>Ramesh S</v>
      </c>
      <c r="O252" s="14" t="str">
        <f>IFERROR(__xludf.DUMMYFUNCTION("split(J252,""*"")"),"Delivered")</f>
        <v>Delivered</v>
      </c>
      <c r="P252" s="14" t="str">
        <f>IFERROR(__xludf.DUMMYFUNCTION("""COMPUTED_VALUE"""),"On-time Delivery: Delivered on time")</f>
        <v>On-time Delivery: Delivered on time</v>
      </c>
      <c r="Q252" s="14" t="str">
        <f>IFERROR(__xludf.DUMMYFUNCTION("split(P252,"":"")"),"On-time Delivery")</f>
        <v>On-time Delivery</v>
      </c>
      <c r="R252" s="14" t="str">
        <f>IFERROR(__xludf.DUMMYFUNCTION("""COMPUTED_VALUE""")," Delivered on time")</f>
        <v> Delivered on time</v>
      </c>
      <c r="S252" s="14" t="str">
        <f t="shared" ref="S252:U252" si="507">trim(B252)</f>
        <v>ord_10251</v>
      </c>
      <c r="T252" s="14" t="str">
        <f t="shared" si="507"/>
        <v>Siya Reddy</v>
      </c>
      <c r="U252" s="14" t="str">
        <f t="shared" si="507"/>
        <v>Juhu</v>
      </c>
      <c r="V252" s="14" t="str">
        <f t="shared" si="4"/>
        <v>Papaya</v>
      </c>
      <c r="W252" s="14">
        <f t="shared" si="5"/>
        <v>1</v>
      </c>
      <c r="X252" s="14" t="str">
        <f t="shared" si="6"/>
        <v>Ramesh S</v>
      </c>
      <c r="Y252" s="15">
        <f t="shared" si="7"/>
        <v>44958</v>
      </c>
      <c r="Z252" s="14" t="str">
        <f t="shared" si="8"/>
        <v>Credit Card</v>
      </c>
      <c r="AA252" s="14" t="str">
        <f t="shared" si="9"/>
        <v>Delivered</v>
      </c>
      <c r="AB252" s="14" t="str">
        <f t="shared" ref="AB252:AC252" si="508">trim(Q252)</f>
        <v>On-time Delivery</v>
      </c>
      <c r="AC252" s="14" t="str">
        <f t="shared" si="508"/>
        <v>Delivered on time</v>
      </c>
      <c r="AD252" s="8"/>
    </row>
    <row r="253">
      <c r="A253" s="14" t="str">
        <f>IFERROR(__xludf.DUMMYFUNCTION("""COMPUTED_VALUE"""),"//ord_10252//Sakshi Tandon//Colaba//Onion+1*Ramesh S/12/25/2023//Online Payment//Delivered*Quality of Items: Perfect condition")</f>
        <v>//ord_10252//Sakshi Tandon//Colaba//Onion+1*Ramesh S/12/25/2023//Online Payment//Delivered*Quality of Items: Perfect condition</v>
      </c>
      <c r="B253" s="14" t="str">
        <f>IFERROR(__xludf.DUMMYFUNCTION("split(A253,""//"")"),"ord_10252")</f>
        <v>ord_10252</v>
      </c>
      <c r="C253" s="14" t="str">
        <f>IFERROR(__xludf.DUMMYFUNCTION("""COMPUTED_VALUE"""),"Sakshi Tandon")</f>
        <v>Sakshi Tandon</v>
      </c>
      <c r="D253" s="14" t="str">
        <f>IFERROR(__xludf.DUMMYFUNCTION("""COMPUTED_VALUE"""),"Colaba")</f>
        <v>Colaba</v>
      </c>
      <c r="E253" s="14" t="str">
        <f>IFERROR(__xludf.DUMMYFUNCTION("""COMPUTED_VALUE"""),"Onion+1*Ramesh S")</f>
        <v>Onion+1*Ramesh S</v>
      </c>
      <c r="F253" s="14">
        <f>IFERROR(__xludf.DUMMYFUNCTION("""COMPUTED_VALUE"""),12.0)</f>
        <v>12</v>
      </c>
      <c r="G253" s="14">
        <f>IFERROR(__xludf.DUMMYFUNCTION("""COMPUTED_VALUE"""),25.0)</f>
        <v>25</v>
      </c>
      <c r="H253" s="14">
        <f>IFERROR(__xludf.DUMMYFUNCTION("""COMPUTED_VALUE"""),2023.0)</f>
        <v>2023</v>
      </c>
      <c r="I253" s="14" t="str">
        <f>IFERROR(__xludf.DUMMYFUNCTION("""COMPUTED_VALUE"""),"Online Payment")</f>
        <v>Online Payment</v>
      </c>
      <c r="J253" s="14" t="str">
        <f>IFERROR(__xludf.DUMMYFUNCTION("""COMPUTED_VALUE"""),"Delivered*Quality of Items: Perfect condition")</f>
        <v>Delivered*Quality of Items: Perfect condition</v>
      </c>
      <c r="K253" s="14" t="str">
        <f>IFERROR(__xludf.DUMMYFUNCTION("split(E253,""+"")"),"Onion")</f>
        <v>Onion</v>
      </c>
      <c r="L253" s="14" t="str">
        <f>IFERROR(__xludf.DUMMYFUNCTION("""COMPUTED_VALUE"""),"1*Ramesh S")</f>
        <v>1*Ramesh S</v>
      </c>
      <c r="M253" s="14">
        <f>IFERROR(__xludf.DUMMYFUNCTION("SPLIT(L253,""*"")"),1.0)</f>
        <v>1</v>
      </c>
      <c r="N253" s="14" t="str">
        <f>IFERROR(__xludf.DUMMYFUNCTION("""COMPUTED_VALUE"""),"Ramesh S")</f>
        <v>Ramesh S</v>
      </c>
      <c r="O253" s="14" t="str">
        <f>IFERROR(__xludf.DUMMYFUNCTION("split(J253,""*"")"),"Delivered")</f>
        <v>Delivered</v>
      </c>
      <c r="P253" s="14" t="str">
        <f>IFERROR(__xludf.DUMMYFUNCTION("""COMPUTED_VALUE"""),"Quality of Items: Perfect condition")</f>
        <v>Quality of Items: Perfect condition</v>
      </c>
      <c r="Q253" s="14" t="str">
        <f>IFERROR(__xludf.DUMMYFUNCTION("split(P253,"":"")"),"Quality of Items")</f>
        <v>Quality of Items</v>
      </c>
      <c r="R253" s="14" t="str">
        <f>IFERROR(__xludf.DUMMYFUNCTION("""COMPUTED_VALUE""")," Perfect condition")</f>
        <v> Perfect condition</v>
      </c>
      <c r="S253" s="14" t="str">
        <f t="shared" ref="S253:U253" si="509">trim(B253)</f>
        <v>ord_10252</v>
      </c>
      <c r="T253" s="14" t="str">
        <f t="shared" si="509"/>
        <v>Sakshi Tandon</v>
      </c>
      <c r="U253" s="14" t="str">
        <f t="shared" si="509"/>
        <v>Colaba</v>
      </c>
      <c r="V253" s="14" t="str">
        <f t="shared" si="4"/>
        <v>Onion</v>
      </c>
      <c r="W253" s="14">
        <f t="shared" si="5"/>
        <v>1</v>
      </c>
      <c r="X253" s="14" t="str">
        <f t="shared" si="6"/>
        <v>Ramesh S</v>
      </c>
      <c r="Y253" s="15">
        <f t="shared" si="7"/>
        <v>45285</v>
      </c>
      <c r="Z253" s="14" t="str">
        <f t="shared" si="8"/>
        <v>Online Payment</v>
      </c>
      <c r="AA253" s="14" t="str">
        <f t="shared" si="9"/>
        <v>Delivered</v>
      </c>
      <c r="AB253" s="14" t="str">
        <f t="shared" ref="AB253:AC253" si="510">trim(Q253)</f>
        <v>Quality of Items</v>
      </c>
      <c r="AC253" s="14" t="str">
        <f t="shared" si="510"/>
        <v>Perfect condition</v>
      </c>
      <c r="AD253" s="8"/>
    </row>
    <row r="254">
      <c r="A254" s="14" t="str">
        <f>IFERROR(__xludf.DUMMYFUNCTION("""COMPUTED_VALUE"""),"//ord_10253//Mehul Thakkar//Malad//Orange+2*Nithin Lal/7/18/2023//Credit Card//Cancelled*Delayed Delivery:Bad Weather Conditions ")</f>
        <v>//ord_10253//Mehul Thakkar//Malad//Orange+2*Nithin Lal/7/18/2023//Credit Card//Cancelled*Delayed Delivery:Bad Weather Conditions </v>
      </c>
      <c r="B254" s="14" t="str">
        <f>IFERROR(__xludf.DUMMYFUNCTION("split(A254,""//"")"),"ord_10253")</f>
        <v>ord_10253</v>
      </c>
      <c r="C254" s="14" t="str">
        <f>IFERROR(__xludf.DUMMYFUNCTION("""COMPUTED_VALUE"""),"Mehul Thakkar")</f>
        <v>Mehul Thakkar</v>
      </c>
      <c r="D254" s="14" t="str">
        <f>IFERROR(__xludf.DUMMYFUNCTION("""COMPUTED_VALUE"""),"Malad")</f>
        <v>Malad</v>
      </c>
      <c r="E254" s="14" t="str">
        <f>IFERROR(__xludf.DUMMYFUNCTION("""COMPUTED_VALUE"""),"Orange+2*Nithin Lal")</f>
        <v>Orange+2*Nithin Lal</v>
      </c>
      <c r="F254" s="14">
        <f>IFERROR(__xludf.DUMMYFUNCTION("""COMPUTED_VALUE"""),7.0)</f>
        <v>7</v>
      </c>
      <c r="G254" s="14">
        <f>IFERROR(__xludf.DUMMYFUNCTION("""COMPUTED_VALUE"""),18.0)</f>
        <v>18</v>
      </c>
      <c r="H254" s="14">
        <f>IFERROR(__xludf.DUMMYFUNCTION("""COMPUTED_VALUE"""),2023.0)</f>
        <v>2023</v>
      </c>
      <c r="I254" s="14" t="str">
        <f>IFERROR(__xludf.DUMMYFUNCTION("""COMPUTED_VALUE"""),"Credit Card")</f>
        <v>Credit Card</v>
      </c>
      <c r="J254" s="14" t="str">
        <f>IFERROR(__xludf.DUMMYFUNCTION("""COMPUTED_VALUE"""),"Cancelled*Delayed Delivery:Bad Weather Conditions ")</f>
        <v>Cancelled*Delayed Delivery:Bad Weather Conditions </v>
      </c>
      <c r="K254" s="14" t="str">
        <f>IFERROR(__xludf.DUMMYFUNCTION("split(E254,""+"")"),"Orange")</f>
        <v>Orange</v>
      </c>
      <c r="L254" s="14" t="str">
        <f>IFERROR(__xludf.DUMMYFUNCTION("""COMPUTED_VALUE"""),"2*Nithin Lal")</f>
        <v>2*Nithin Lal</v>
      </c>
      <c r="M254" s="14">
        <f>IFERROR(__xludf.DUMMYFUNCTION("SPLIT(L254,""*"")"),2.0)</f>
        <v>2</v>
      </c>
      <c r="N254" s="14" t="str">
        <f>IFERROR(__xludf.DUMMYFUNCTION("""COMPUTED_VALUE"""),"Nithin Lal")</f>
        <v>Nithin Lal</v>
      </c>
      <c r="O254" s="14" t="str">
        <f>IFERROR(__xludf.DUMMYFUNCTION("split(J254,""*"")"),"Cancelled")</f>
        <v>Cancelled</v>
      </c>
      <c r="P254" s="14" t="str">
        <f>IFERROR(__xludf.DUMMYFUNCTION("""COMPUTED_VALUE"""),"Delayed Delivery:Bad Weather Conditions ")</f>
        <v>Delayed Delivery:Bad Weather Conditions </v>
      </c>
      <c r="Q254" s="14" t="str">
        <f>IFERROR(__xludf.DUMMYFUNCTION("split(P254,"":"")"),"Delayed Delivery")</f>
        <v>Delayed Delivery</v>
      </c>
      <c r="R254" s="14" t="str">
        <f>IFERROR(__xludf.DUMMYFUNCTION("""COMPUTED_VALUE"""),"Bad Weather Conditions ")</f>
        <v>Bad Weather Conditions </v>
      </c>
      <c r="S254" s="14" t="str">
        <f t="shared" ref="S254:U254" si="511">trim(B254)</f>
        <v>ord_10253</v>
      </c>
      <c r="T254" s="14" t="str">
        <f t="shared" si="511"/>
        <v>Mehul Thakkar</v>
      </c>
      <c r="U254" s="14" t="str">
        <f t="shared" si="511"/>
        <v>Malad</v>
      </c>
      <c r="V254" s="14" t="str">
        <f t="shared" si="4"/>
        <v>Orange</v>
      </c>
      <c r="W254" s="14">
        <f t="shared" si="5"/>
        <v>2</v>
      </c>
      <c r="X254" s="14" t="str">
        <f t="shared" si="6"/>
        <v>Nithin Lal</v>
      </c>
      <c r="Y254" s="15">
        <f t="shared" si="7"/>
        <v>45125</v>
      </c>
      <c r="Z254" s="14" t="str">
        <f t="shared" si="8"/>
        <v>Credit Card</v>
      </c>
      <c r="AA254" s="14" t="str">
        <f t="shared" si="9"/>
        <v>Cancelled</v>
      </c>
      <c r="AB254" s="14" t="str">
        <f t="shared" ref="AB254:AC254" si="512">trim(Q254)</f>
        <v>Delayed Delivery</v>
      </c>
      <c r="AC254" s="14" t="str">
        <f t="shared" si="512"/>
        <v>Bad Weather Conditions</v>
      </c>
      <c r="AD254" s="8"/>
    </row>
    <row r="255">
      <c r="A255" s="14" t="str">
        <f>IFERROR(__xludf.DUMMYFUNCTION("""COMPUTED_VALUE"""),"//ord_10254//Sakshi Tandon//Colaba//Tomato+1*Shine Thomas/3/12/2023//COD//Delivered*Packaging: Secure and intact")</f>
        <v>//ord_10254//Sakshi Tandon//Colaba//Tomato+1*Shine Thomas/3/12/2023//COD//Delivered*Packaging: Secure and intact</v>
      </c>
      <c r="B255" s="14" t="str">
        <f>IFERROR(__xludf.DUMMYFUNCTION("split(A255,""//"")"),"ord_10254")</f>
        <v>ord_10254</v>
      </c>
      <c r="C255" s="14" t="str">
        <f>IFERROR(__xludf.DUMMYFUNCTION("""COMPUTED_VALUE"""),"Sakshi Tandon")</f>
        <v>Sakshi Tandon</v>
      </c>
      <c r="D255" s="14" t="str">
        <f>IFERROR(__xludf.DUMMYFUNCTION("""COMPUTED_VALUE"""),"Colaba")</f>
        <v>Colaba</v>
      </c>
      <c r="E255" s="14" t="str">
        <f>IFERROR(__xludf.DUMMYFUNCTION("""COMPUTED_VALUE"""),"Tomato+1*Shine Thomas")</f>
        <v>Tomato+1*Shine Thomas</v>
      </c>
      <c r="F255" s="14">
        <f>IFERROR(__xludf.DUMMYFUNCTION("""COMPUTED_VALUE"""),3.0)</f>
        <v>3</v>
      </c>
      <c r="G255" s="14">
        <f>IFERROR(__xludf.DUMMYFUNCTION("""COMPUTED_VALUE"""),12.0)</f>
        <v>12</v>
      </c>
      <c r="H255" s="14">
        <f>IFERROR(__xludf.DUMMYFUNCTION("""COMPUTED_VALUE"""),2023.0)</f>
        <v>2023</v>
      </c>
      <c r="I255" s="14" t="str">
        <f>IFERROR(__xludf.DUMMYFUNCTION("""COMPUTED_VALUE"""),"COD")</f>
        <v>COD</v>
      </c>
      <c r="J255" s="14" t="str">
        <f>IFERROR(__xludf.DUMMYFUNCTION("""COMPUTED_VALUE"""),"Delivered*Packaging: Secure and intact")</f>
        <v>Delivered*Packaging: Secure and intact</v>
      </c>
      <c r="K255" s="14" t="str">
        <f>IFERROR(__xludf.DUMMYFUNCTION("split(E255,""+"")"),"Tomato")</f>
        <v>Tomato</v>
      </c>
      <c r="L255" s="14" t="str">
        <f>IFERROR(__xludf.DUMMYFUNCTION("""COMPUTED_VALUE"""),"1*Shine Thomas")</f>
        <v>1*Shine Thomas</v>
      </c>
      <c r="M255" s="14">
        <f>IFERROR(__xludf.DUMMYFUNCTION("SPLIT(L255,""*"")"),1.0)</f>
        <v>1</v>
      </c>
      <c r="N255" s="14" t="str">
        <f>IFERROR(__xludf.DUMMYFUNCTION("""COMPUTED_VALUE"""),"Shine Thomas")</f>
        <v>Shine Thomas</v>
      </c>
      <c r="O255" s="14" t="str">
        <f>IFERROR(__xludf.DUMMYFUNCTION("split(J255,""*"")"),"Delivered")</f>
        <v>Delivered</v>
      </c>
      <c r="P255" s="14" t="str">
        <f>IFERROR(__xludf.DUMMYFUNCTION("""COMPUTED_VALUE"""),"Packaging: Secure and intact")</f>
        <v>Packaging: Secure and intact</v>
      </c>
      <c r="Q255" s="14" t="str">
        <f>IFERROR(__xludf.DUMMYFUNCTION("split(P255,"":"")"),"Packaging")</f>
        <v>Packaging</v>
      </c>
      <c r="R255" s="14" t="str">
        <f>IFERROR(__xludf.DUMMYFUNCTION("""COMPUTED_VALUE""")," Secure and intact")</f>
        <v> Secure and intact</v>
      </c>
      <c r="S255" s="14" t="str">
        <f t="shared" ref="S255:U255" si="513">trim(B255)</f>
        <v>ord_10254</v>
      </c>
      <c r="T255" s="14" t="str">
        <f t="shared" si="513"/>
        <v>Sakshi Tandon</v>
      </c>
      <c r="U255" s="14" t="str">
        <f t="shared" si="513"/>
        <v>Colaba</v>
      </c>
      <c r="V255" s="14" t="str">
        <f t="shared" si="4"/>
        <v>Tomato</v>
      </c>
      <c r="W255" s="14">
        <f t="shared" si="5"/>
        <v>1</v>
      </c>
      <c r="X255" s="14" t="str">
        <f t="shared" si="6"/>
        <v>Shine Thomas</v>
      </c>
      <c r="Y255" s="15">
        <f t="shared" si="7"/>
        <v>44997</v>
      </c>
      <c r="Z255" s="14" t="str">
        <f t="shared" si="8"/>
        <v>COD</v>
      </c>
      <c r="AA255" s="14" t="str">
        <f t="shared" si="9"/>
        <v>Delivered</v>
      </c>
      <c r="AB255" s="14" t="str">
        <f t="shared" ref="AB255:AC255" si="514">trim(Q255)</f>
        <v>Packaging</v>
      </c>
      <c r="AC255" s="14" t="str">
        <f t="shared" si="514"/>
        <v>Secure and intact</v>
      </c>
      <c r="AD255" s="8"/>
    </row>
    <row r="256">
      <c r="A256" s="14" t="str">
        <f>IFERROR(__xludf.DUMMYFUNCTION("""COMPUTED_VALUE"""),"//ord_10255//Sanjay Nair//Dadar//Sweet Corn+1*Nithin Lal/7/24/2023//UPI//Delivered*Satisfied with the Delivery: Timely and quality")</f>
        <v>//ord_10255//Sanjay Nair//Dadar//Sweet Corn+1*Nithin Lal/7/24/2023//UPI//Delivered*Satisfied with the Delivery: Timely and quality</v>
      </c>
      <c r="B256" s="14" t="str">
        <f>IFERROR(__xludf.DUMMYFUNCTION("split(A256,""//"")"),"ord_10255")</f>
        <v>ord_10255</v>
      </c>
      <c r="C256" s="14" t="str">
        <f>IFERROR(__xludf.DUMMYFUNCTION("""COMPUTED_VALUE"""),"Sanjay Nair")</f>
        <v>Sanjay Nair</v>
      </c>
      <c r="D256" s="14" t="str">
        <f>IFERROR(__xludf.DUMMYFUNCTION("""COMPUTED_VALUE"""),"Dadar")</f>
        <v>Dadar</v>
      </c>
      <c r="E256" s="14" t="str">
        <f>IFERROR(__xludf.DUMMYFUNCTION("""COMPUTED_VALUE"""),"Sweet Corn+1*Nithin Lal")</f>
        <v>Sweet Corn+1*Nithin Lal</v>
      </c>
      <c r="F256" s="14">
        <f>IFERROR(__xludf.DUMMYFUNCTION("""COMPUTED_VALUE"""),7.0)</f>
        <v>7</v>
      </c>
      <c r="G256" s="14">
        <f>IFERROR(__xludf.DUMMYFUNCTION("""COMPUTED_VALUE"""),24.0)</f>
        <v>24</v>
      </c>
      <c r="H256" s="14">
        <f>IFERROR(__xludf.DUMMYFUNCTION("""COMPUTED_VALUE"""),2023.0)</f>
        <v>2023</v>
      </c>
      <c r="I256" s="14" t="str">
        <f>IFERROR(__xludf.DUMMYFUNCTION("""COMPUTED_VALUE"""),"UPI")</f>
        <v>UPI</v>
      </c>
      <c r="J256" s="14" t="str">
        <f>IFERROR(__xludf.DUMMYFUNCTION("""COMPUTED_VALUE"""),"Delivered*Satisfied with the Delivery: Timely and quality")</f>
        <v>Delivered*Satisfied with the Delivery: Timely and quality</v>
      </c>
      <c r="K256" s="14" t="str">
        <f>IFERROR(__xludf.DUMMYFUNCTION("split(E256,""+"")"),"Sweet Corn")</f>
        <v>Sweet Corn</v>
      </c>
      <c r="L256" s="14" t="str">
        <f>IFERROR(__xludf.DUMMYFUNCTION("""COMPUTED_VALUE"""),"1*Nithin Lal")</f>
        <v>1*Nithin Lal</v>
      </c>
      <c r="M256" s="14">
        <f>IFERROR(__xludf.DUMMYFUNCTION("SPLIT(L256,""*"")"),1.0)</f>
        <v>1</v>
      </c>
      <c r="N256" s="14" t="str">
        <f>IFERROR(__xludf.DUMMYFUNCTION("""COMPUTED_VALUE"""),"Nithin Lal")</f>
        <v>Nithin Lal</v>
      </c>
      <c r="O256" s="14" t="str">
        <f>IFERROR(__xludf.DUMMYFUNCTION("split(J256,""*"")"),"Delivered")</f>
        <v>Delivered</v>
      </c>
      <c r="P256" s="14" t="str">
        <f>IFERROR(__xludf.DUMMYFUNCTION("""COMPUTED_VALUE"""),"Satisfied with the Delivery: Timely and quality")</f>
        <v>Satisfied with the Delivery: Timely and quality</v>
      </c>
      <c r="Q256" s="14" t="str">
        <f>IFERROR(__xludf.DUMMYFUNCTION("split(P256,"":"")"),"Satisfied with the Delivery")</f>
        <v>Satisfied with the Delivery</v>
      </c>
      <c r="R256" s="14" t="str">
        <f>IFERROR(__xludf.DUMMYFUNCTION("""COMPUTED_VALUE""")," Timely and quality")</f>
        <v> Timely and quality</v>
      </c>
      <c r="S256" s="14" t="str">
        <f t="shared" ref="S256:U256" si="515">trim(B256)</f>
        <v>ord_10255</v>
      </c>
      <c r="T256" s="14" t="str">
        <f t="shared" si="515"/>
        <v>Sanjay Nair</v>
      </c>
      <c r="U256" s="14" t="str">
        <f t="shared" si="515"/>
        <v>Dadar</v>
      </c>
      <c r="V256" s="14" t="str">
        <f t="shared" si="4"/>
        <v>Sweet Corn</v>
      </c>
      <c r="W256" s="14">
        <f t="shared" si="5"/>
        <v>1</v>
      </c>
      <c r="X256" s="14" t="str">
        <f t="shared" si="6"/>
        <v>Nithin Lal</v>
      </c>
      <c r="Y256" s="15">
        <f t="shared" si="7"/>
        <v>45131</v>
      </c>
      <c r="Z256" s="14" t="str">
        <f t="shared" si="8"/>
        <v>UPI</v>
      </c>
      <c r="AA256" s="14" t="str">
        <f t="shared" si="9"/>
        <v>Delivered</v>
      </c>
      <c r="AB256" s="14" t="str">
        <f t="shared" ref="AB256:AC256" si="516">trim(Q256)</f>
        <v>Satisfied with the Delivery</v>
      </c>
      <c r="AC256" s="14" t="str">
        <f t="shared" si="516"/>
        <v>Timely and quality</v>
      </c>
      <c r="AD256" s="8"/>
    </row>
    <row r="257">
      <c r="A257" s="14" t="str">
        <f>IFERROR(__xludf.DUMMYFUNCTION("""COMPUTED_VALUE"""),"//ord_10256//Diya Arora//Lower Parel//Cold Coffee+3*Manju Ajay/12/13/2023//Online Payment//Delivered*Customer Service: Seamless and easy")</f>
        <v>//ord_10256//Diya Arora//Lower Parel//Cold Coffee+3*Manju Ajay/12/13/2023//Online Payment//Delivered*Customer Service: Seamless and easy</v>
      </c>
      <c r="B257" s="14" t="str">
        <f>IFERROR(__xludf.DUMMYFUNCTION("split(A257,""//"")"),"ord_10256")</f>
        <v>ord_10256</v>
      </c>
      <c r="C257" s="14" t="str">
        <f>IFERROR(__xludf.DUMMYFUNCTION("""COMPUTED_VALUE"""),"Diya Arora")</f>
        <v>Diya Arora</v>
      </c>
      <c r="D257" s="14" t="str">
        <f>IFERROR(__xludf.DUMMYFUNCTION("""COMPUTED_VALUE"""),"Lower Parel")</f>
        <v>Lower Parel</v>
      </c>
      <c r="E257" s="14" t="str">
        <f>IFERROR(__xludf.DUMMYFUNCTION("""COMPUTED_VALUE"""),"Cold Coffee+3*Manju Ajay")</f>
        <v>Cold Coffee+3*Manju Ajay</v>
      </c>
      <c r="F257" s="14">
        <f>IFERROR(__xludf.DUMMYFUNCTION("""COMPUTED_VALUE"""),12.0)</f>
        <v>12</v>
      </c>
      <c r="G257" s="14">
        <f>IFERROR(__xludf.DUMMYFUNCTION("""COMPUTED_VALUE"""),13.0)</f>
        <v>13</v>
      </c>
      <c r="H257" s="14">
        <f>IFERROR(__xludf.DUMMYFUNCTION("""COMPUTED_VALUE"""),2023.0)</f>
        <v>2023</v>
      </c>
      <c r="I257" s="14" t="str">
        <f>IFERROR(__xludf.DUMMYFUNCTION("""COMPUTED_VALUE"""),"Online Payment")</f>
        <v>Online Payment</v>
      </c>
      <c r="J257" s="14" t="str">
        <f>IFERROR(__xludf.DUMMYFUNCTION("""COMPUTED_VALUE"""),"Delivered*Customer Service: Seamless and easy")</f>
        <v>Delivered*Customer Service: Seamless and easy</v>
      </c>
      <c r="K257" s="14" t="str">
        <f>IFERROR(__xludf.DUMMYFUNCTION("split(E257,""+"")"),"Cold Coffee")</f>
        <v>Cold Coffee</v>
      </c>
      <c r="L257" s="14" t="str">
        <f>IFERROR(__xludf.DUMMYFUNCTION("""COMPUTED_VALUE"""),"3*Manju Ajay")</f>
        <v>3*Manju Ajay</v>
      </c>
      <c r="M257" s="14">
        <f>IFERROR(__xludf.DUMMYFUNCTION("SPLIT(L257,""*"")"),3.0)</f>
        <v>3</v>
      </c>
      <c r="N257" s="14" t="str">
        <f>IFERROR(__xludf.DUMMYFUNCTION("""COMPUTED_VALUE"""),"Manju Ajay")</f>
        <v>Manju Ajay</v>
      </c>
      <c r="O257" s="14" t="str">
        <f>IFERROR(__xludf.DUMMYFUNCTION("split(J257,""*"")"),"Delivered")</f>
        <v>Delivered</v>
      </c>
      <c r="P257" s="14" t="str">
        <f>IFERROR(__xludf.DUMMYFUNCTION("""COMPUTED_VALUE"""),"Customer Service: Seamless and easy")</f>
        <v>Customer Service: Seamless and easy</v>
      </c>
      <c r="Q257" s="14" t="str">
        <f>IFERROR(__xludf.DUMMYFUNCTION("split(P257,"":"")"),"Customer Service")</f>
        <v>Customer Service</v>
      </c>
      <c r="R257" s="14" t="str">
        <f>IFERROR(__xludf.DUMMYFUNCTION("""COMPUTED_VALUE""")," Seamless and easy")</f>
        <v> Seamless and easy</v>
      </c>
      <c r="S257" s="14" t="str">
        <f t="shared" ref="S257:U257" si="517">trim(B257)</f>
        <v>ord_10256</v>
      </c>
      <c r="T257" s="14" t="str">
        <f t="shared" si="517"/>
        <v>Diya Arora</v>
      </c>
      <c r="U257" s="14" t="str">
        <f t="shared" si="517"/>
        <v>Lower Parel</v>
      </c>
      <c r="V257" s="14" t="str">
        <f t="shared" si="4"/>
        <v>Cold Coffee</v>
      </c>
      <c r="W257" s="14">
        <f t="shared" si="5"/>
        <v>3</v>
      </c>
      <c r="X257" s="14" t="str">
        <f t="shared" si="6"/>
        <v>Manju Ajay</v>
      </c>
      <c r="Y257" s="15">
        <f t="shared" si="7"/>
        <v>45273</v>
      </c>
      <c r="Z257" s="14" t="str">
        <f t="shared" si="8"/>
        <v>Online Payment</v>
      </c>
      <c r="AA257" s="14" t="str">
        <f t="shared" si="9"/>
        <v>Delivered</v>
      </c>
      <c r="AB257" s="14" t="str">
        <f t="shared" ref="AB257:AC257" si="518">trim(Q257)</f>
        <v>Customer Service</v>
      </c>
      <c r="AC257" s="14" t="str">
        <f t="shared" si="518"/>
        <v>Seamless and easy</v>
      </c>
      <c r="AD257" s="8"/>
    </row>
    <row r="258">
      <c r="A258" s="14" t="str">
        <f>IFERROR(__xludf.DUMMYFUNCTION("""COMPUTED_VALUE"""),"//ord_10257//Arvind Kulkarni//Juhu//Papaya+2*Tanvi Jain/4/26/2023//Online Payment//Cancelled*Delayed Delivery:Heavy Traffic")</f>
        <v>//ord_10257//Arvind Kulkarni//Juhu//Papaya+2*Tanvi Jain/4/26/2023//Online Payment//Cancelled*Delayed Delivery:Heavy Traffic</v>
      </c>
      <c r="B258" s="14" t="str">
        <f>IFERROR(__xludf.DUMMYFUNCTION("split(A258,""//"")"),"ord_10257")</f>
        <v>ord_10257</v>
      </c>
      <c r="C258" s="14" t="str">
        <f>IFERROR(__xludf.DUMMYFUNCTION("""COMPUTED_VALUE"""),"Arvind Kulkarni")</f>
        <v>Arvind Kulkarni</v>
      </c>
      <c r="D258" s="14" t="str">
        <f>IFERROR(__xludf.DUMMYFUNCTION("""COMPUTED_VALUE"""),"Juhu")</f>
        <v>Juhu</v>
      </c>
      <c r="E258" s="14" t="str">
        <f>IFERROR(__xludf.DUMMYFUNCTION("""COMPUTED_VALUE"""),"Papaya+2*Tanvi Jain")</f>
        <v>Papaya+2*Tanvi Jain</v>
      </c>
      <c r="F258" s="14">
        <f>IFERROR(__xludf.DUMMYFUNCTION("""COMPUTED_VALUE"""),4.0)</f>
        <v>4</v>
      </c>
      <c r="G258" s="14">
        <f>IFERROR(__xludf.DUMMYFUNCTION("""COMPUTED_VALUE"""),26.0)</f>
        <v>26</v>
      </c>
      <c r="H258" s="14">
        <f>IFERROR(__xludf.DUMMYFUNCTION("""COMPUTED_VALUE"""),2023.0)</f>
        <v>2023</v>
      </c>
      <c r="I258" s="14" t="str">
        <f>IFERROR(__xludf.DUMMYFUNCTION("""COMPUTED_VALUE"""),"Online Payment")</f>
        <v>Online Payment</v>
      </c>
      <c r="J258" s="14" t="str">
        <f>IFERROR(__xludf.DUMMYFUNCTION("""COMPUTED_VALUE"""),"Cancelled*Delayed Delivery:Heavy Traffic")</f>
        <v>Cancelled*Delayed Delivery:Heavy Traffic</v>
      </c>
      <c r="K258" s="14" t="str">
        <f>IFERROR(__xludf.DUMMYFUNCTION("split(E258,""+"")"),"Papaya")</f>
        <v>Papaya</v>
      </c>
      <c r="L258" s="14" t="str">
        <f>IFERROR(__xludf.DUMMYFUNCTION("""COMPUTED_VALUE"""),"2*Tanvi Jain")</f>
        <v>2*Tanvi Jain</v>
      </c>
      <c r="M258" s="14">
        <f>IFERROR(__xludf.DUMMYFUNCTION("SPLIT(L258,""*"")"),2.0)</f>
        <v>2</v>
      </c>
      <c r="N258" s="14" t="str">
        <f>IFERROR(__xludf.DUMMYFUNCTION("""COMPUTED_VALUE"""),"Tanvi Jain")</f>
        <v>Tanvi Jain</v>
      </c>
      <c r="O258" s="14" t="str">
        <f>IFERROR(__xludf.DUMMYFUNCTION("split(J258,""*"")"),"Cancelled")</f>
        <v>Cancelled</v>
      </c>
      <c r="P258" s="14" t="str">
        <f>IFERROR(__xludf.DUMMYFUNCTION("""COMPUTED_VALUE"""),"Delayed Delivery:Heavy Traffic")</f>
        <v>Delayed Delivery:Heavy Traffic</v>
      </c>
      <c r="Q258" s="14" t="str">
        <f>IFERROR(__xludf.DUMMYFUNCTION("split(P258,"":"")"),"Delayed Delivery")</f>
        <v>Delayed Delivery</v>
      </c>
      <c r="R258" s="14" t="str">
        <f>IFERROR(__xludf.DUMMYFUNCTION("""COMPUTED_VALUE"""),"Heavy Traffic")</f>
        <v>Heavy Traffic</v>
      </c>
      <c r="S258" s="14" t="str">
        <f t="shared" ref="S258:U258" si="519">trim(B258)</f>
        <v>ord_10257</v>
      </c>
      <c r="T258" s="14" t="str">
        <f t="shared" si="519"/>
        <v>Arvind Kulkarni</v>
      </c>
      <c r="U258" s="14" t="str">
        <f t="shared" si="519"/>
        <v>Juhu</v>
      </c>
      <c r="V258" s="14" t="str">
        <f t="shared" si="4"/>
        <v>Papaya</v>
      </c>
      <c r="W258" s="14">
        <f t="shared" si="5"/>
        <v>2</v>
      </c>
      <c r="X258" s="14" t="str">
        <f t="shared" si="6"/>
        <v>Tanvi Jain</v>
      </c>
      <c r="Y258" s="15">
        <f t="shared" si="7"/>
        <v>45042</v>
      </c>
      <c r="Z258" s="14" t="str">
        <f t="shared" si="8"/>
        <v>Online Payment</v>
      </c>
      <c r="AA258" s="14" t="str">
        <f t="shared" si="9"/>
        <v>Cancelled</v>
      </c>
      <c r="AB258" s="14" t="str">
        <f t="shared" ref="AB258:AC258" si="520">trim(Q258)</f>
        <v>Delayed Delivery</v>
      </c>
      <c r="AC258" s="14" t="str">
        <f t="shared" si="520"/>
        <v>Heavy Traffic</v>
      </c>
      <c r="AD258" s="8"/>
    </row>
    <row r="259">
      <c r="A259" s="14" t="str">
        <f>IFERROR(__xludf.DUMMYFUNCTION("""COMPUTED_VALUE"""),"//ord_10258//Ishita Banerjee//Juhu//Juice+3*Ramesh S/12/11/2023//Credit Card//Cancelled*Delayed Delivery:Heavy Traffic")</f>
        <v>//ord_10258//Ishita Banerjee//Juhu//Juice+3*Ramesh S/12/11/2023//Credit Card//Cancelled*Delayed Delivery:Heavy Traffic</v>
      </c>
      <c r="B259" s="14" t="str">
        <f>IFERROR(__xludf.DUMMYFUNCTION("split(A259,""//"")"),"ord_10258")</f>
        <v>ord_10258</v>
      </c>
      <c r="C259" s="14" t="str">
        <f>IFERROR(__xludf.DUMMYFUNCTION("""COMPUTED_VALUE"""),"Ishita Banerjee")</f>
        <v>Ishita Banerjee</v>
      </c>
      <c r="D259" s="14" t="str">
        <f>IFERROR(__xludf.DUMMYFUNCTION("""COMPUTED_VALUE"""),"Juhu")</f>
        <v>Juhu</v>
      </c>
      <c r="E259" s="14" t="str">
        <f>IFERROR(__xludf.DUMMYFUNCTION("""COMPUTED_VALUE"""),"Juice+3*Ramesh S")</f>
        <v>Juice+3*Ramesh S</v>
      </c>
      <c r="F259" s="14">
        <f>IFERROR(__xludf.DUMMYFUNCTION("""COMPUTED_VALUE"""),12.0)</f>
        <v>12</v>
      </c>
      <c r="G259" s="14">
        <f>IFERROR(__xludf.DUMMYFUNCTION("""COMPUTED_VALUE"""),11.0)</f>
        <v>11</v>
      </c>
      <c r="H259" s="14">
        <f>IFERROR(__xludf.DUMMYFUNCTION("""COMPUTED_VALUE"""),2023.0)</f>
        <v>2023</v>
      </c>
      <c r="I259" s="14" t="str">
        <f>IFERROR(__xludf.DUMMYFUNCTION("""COMPUTED_VALUE"""),"Credit Card")</f>
        <v>Credit Card</v>
      </c>
      <c r="J259" s="14" t="str">
        <f>IFERROR(__xludf.DUMMYFUNCTION("""COMPUTED_VALUE"""),"Cancelled*Delayed Delivery:Heavy Traffic")</f>
        <v>Cancelled*Delayed Delivery:Heavy Traffic</v>
      </c>
      <c r="K259" s="14" t="str">
        <f>IFERROR(__xludf.DUMMYFUNCTION("split(E259,""+"")"),"Juice")</f>
        <v>Juice</v>
      </c>
      <c r="L259" s="14" t="str">
        <f>IFERROR(__xludf.DUMMYFUNCTION("""COMPUTED_VALUE"""),"3*Ramesh S")</f>
        <v>3*Ramesh S</v>
      </c>
      <c r="M259" s="14">
        <f>IFERROR(__xludf.DUMMYFUNCTION("SPLIT(L259,""*"")"),3.0)</f>
        <v>3</v>
      </c>
      <c r="N259" s="14" t="str">
        <f>IFERROR(__xludf.DUMMYFUNCTION("""COMPUTED_VALUE"""),"Ramesh S")</f>
        <v>Ramesh S</v>
      </c>
      <c r="O259" s="14" t="str">
        <f>IFERROR(__xludf.DUMMYFUNCTION("split(J259,""*"")"),"Cancelled")</f>
        <v>Cancelled</v>
      </c>
      <c r="P259" s="14" t="str">
        <f>IFERROR(__xludf.DUMMYFUNCTION("""COMPUTED_VALUE"""),"Delayed Delivery:Heavy Traffic")</f>
        <v>Delayed Delivery:Heavy Traffic</v>
      </c>
      <c r="Q259" s="14" t="str">
        <f>IFERROR(__xludf.DUMMYFUNCTION("split(P259,"":"")"),"Delayed Delivery")</f>
        <v>Delayed Delivery</v>
      </c>
      <c r="R259" s="14" t="str">
        <f>IFERROR(__xludf.DUMMYFUNCTION("""COMPUTED_VALUE"""),"Heavy Traffic")</f>
        <v>Heavy Traffic</v>
      </c>
      <c r="S259" s="14" t="str">
        <f t="shared" ref="S259:U259" si="521">trim(B259)</f>
        <v>ord_10258</v>
      </c>
      <c r="T259" s="14" t="str">
        <f t="shared" si="521"/>
        <v>Ishita Banerjee</v>
      </c>
      <c r="U259" s="14" t="str">
        <f t="shared" si="521"/>
        <v>Juhu</v>
      </c>
      <c r="V259" s="14" t="str">
        <f t="shared" si="4"/>
        <v>Juice</v>
      </c>
      <c r="W259" s="14">
        <f t="shared" si="5"/>
        <v>3</v>
      </c>
      <c r="X259" s="14" t="str">
        <f t="shared" si="6"/>
        <v>Ramesh S</v>
      </c>
      <c r="Y259" s="15">
        <f t="shared" si="7"/>
        <v>45271</v>
      </c>
      <c r="Z259" s="14" t="str">
        <f t="shared" si="8"/>
        <v>Credit Card</v>
      </c>
      <c r="AA259" s="14" t="str">
        <f t="shared" si="9"/>
        <v>Cancelled</v>
      </c>
      <c r="AB259" s="14" t="str">
        <f t="shared" ref="AB259:AC259" si="522">trim(Q259)</f>
        <v>Delayed Delivery</v>
      </c>
      <c r="AC259" s="14" t="str">
        <f t="shared" si="522"/>
        <v>Heavy Traffic</v>
      </c>
      <c r="AD259" s="8"/>
    </row>
    <row r="260">
      <c r="A260" s="14" t="str">
        <f>IFERROR(__xludf.DUMMYFUNCTION("""COMPUTED_VALUE"""),"//ord_10259//Ishaan Chaturvedi//Bandra//Banana+2*Ramesh S/7/15/2023//Credit Card//Delivered*Delivery Experience: Quick and professional")</f>
        <v>//ord_10259//Ishaan Chaturvedi//Bandra//Banana+2*Ramesh S/7/15/2023//Credit Card//Delivered*Delivery Experience: Quick and professional</v>
      </c>
      <c r="B260" s="14" t="str">
        <f>IFERROR(__xludf.DUMMYFUNCTION("split(A260,""//"")"),"ord_10259")</f>
        <v>ord_10259</v>
      </c>
      <c r="C260" s="14" t="str">
        <f>IFERROR(__xludf.DUMMYFUNCTION("""COMPUTED_VALUE"""),"Ishaan Chaturvedi")</f>
        <v>Ishaan Chaturvedi</v>
      </c>
      <c r="D260" s="14" t="str">
        <f>IFERROR(__xludf.DUMMYFUNCTION("""COMPUTED_VALUE"""),"Bandra")</f>
        <v>Bandra</v>
      </c>
      <c r="E260" s="14" t="str">
        <f>IFERROR(__xludf.DUMMYFUNCTION("""COMPUTED_VALUE"""),"Banana+2*Ramesh S")</f>
        <v>Banana+2*Ramesh S</v>
      </c>
      <c r="F260" s="14">
        <f>IFERROR(__xludf.DUMMYFUNCTION("""COMPUTED_VALUE"""),7.0)</f>
        <v>7</v>
      </c>
      <c r="G260" s="14">
        <f>IFERROR(__xludf.DUMMYFUNCTION("""COMPUTED_VALUE"""),15.0)</f>
        <v>15</v>
      </c>
      <c r="H260" s="14">
        <f>IFERROR(__xludf.DUMMYFUNCTION("""COMPUTED_VALUE"""),2023.0)</f>
        <v>2023</v>
      </c>
      <c r="I260" s="14" t="str">
        <f>IFERROR(__xludf.DUMMYFUNCTION("""COMPUTED_VALUE"""),"Credit Card")</f>
        <v>Credit Card</v>
      </c>
      <c r="J260" s="14" t="str">
        <f>IFERROR(__xludf.DUMMYFUNCTION("""COMPUTED_VALUE"""),"Delivered*Delivery Experience: Quick and professional")</f>
        <v>Delivered*Delivery Experience: Quick and professional</v>
      </c>
      <c r="K260" s="14" t="str">
        <f>IFERROR(__xludf.DUMMYFUNCTION("split(E260,""+"")"),"Banana")</f>
        <v>Banana</v>
      </c>
      <c r="L260" s="14" t="str">
        <f>IFERROR(__xludf.DUMMYFUNCTION("""COMPUTED_VALUE"""),"2*Ramesh S")</f>
        <v>2*Ramesh S</v>
      </c>
      <c r="M260" s="14">
        <f>IFERROR(__xludf.DUMMYFUNCTION("SPLIT(L260,""*"")"),2.0)</f>
        <v>2</v>
      </c>
      <c r="N260" s="14" t="str">
        <f>IFERROR(__xludf.DUMMYFUNCTION("""COMPUTED_VALUE"""),"Ramesh S")</f>
        <v>Ramesh S</v>
      </c>
      <c r="O260" s="14" t="str">
        <f>IFERROR(__xludf.DUMMYFUNCTION("split(J260,""*"")"),"Delivered")</f>
        <v>Delivered</v>
      </c>
      <c r="P260" s="14" t="str">
        <f>IFERROR(__xludf.DUMMYFUNCTION("""COMPUTED_VALUE"""),"Delivery Experience: Quick and professional")</f>
        <v>Delivery Experience: Quick and professional</v>
      </c>
      <c r="Q260" s="14" t="str">
        <f>IFERROR(__xludf.DUMMYFUNCTION("split(P260,"":"")"),"Delivery Experience")</f>
        <v>Delivery Experience</v>
      </c>
      <c r="R260" s="14" t="str">
        <f>IFERROR(__xludf.DUMMYFUNCTION("""COMPUTED_VALUE""")," Quick and professional")</f>
        <v> Quick and professional</v>
      </c>
      <c r="S260" s="14" t="str">
        <f t="shared" ref="S260:U260" si="523">trim(B260)</f>
        <v>ord_10259</v>
      </c>
      <c r="T260" s="14" t="str">
        <f t="shared" si="523"/>
        <v>Ishaan Chaturvedi</v>
      </c>
      <c r="U260" s="14" t="str">
        <f t="shared" si="523"/>
        <v>Bandra</v>
      </c>
      <c r="V260" s="14" t="str">
        <f t="shared" si="4"/>
        <v>Banana</v>
      </c>
      <c r="W260" s="14">
        <f t="shared" si="5"/>
        <v>2</v>
      </c>
      <c r="X260" s="14" t="str">
        <f t="shared" si="6"/>
        <v>Ramesh S</v>
      </c>
      <c r="Y260" s="15">
        <f t="shared" si="7"/>
        <v>45122</v>
      </c>
      <c r="Z260" s="14" t="str">
        <f t="shared" si="8"/>
        <v>Credit Card</v>
      </c>
      <c r="AA260" s="14" t="str">
        <f t="shared" si="9"/>
        <v>Delivered</v>
      </c>
      <c r="AB260" s="14" t="str">
        <f t="shared" ref="AB260:AC260" si="524">trim(Q260)</f>
        <v>Delivery Experience</v>
      </c>
      <c r="AC260" s="14" t="str">
        <f t="shared" si="524"/>
        <v>Quick and professional</v>
      </c>
      <c r="AD260" s="8"/>
    </row>
    <row r="261">
      <c r="A261" s="14" t="str">
        <f>IFERROR(__xludf.DUMMYFUNCTION("""COMPUTED_VALUE"""),"//ord_10260//Siya Reddy//Juhu//Guava+1*Vivek Kumar/10/5/2023//Online Payment//Delivered*Convenience: Easy tracking")</f>
        <v>//ord_10260//Siya Reddy//Juhu//Guava+1*Vivek Kumar/10/5/2023//Online Payment//Delivered*Convenience: Easy tracking</v>
      </c>
      <c r="B261" s="14" t="str">
        <f>IFERROR(__xludf.DUMMYFUNCTION("split(A261,""//"")"),"ord_10260")</f>
        <v>ord_10260</v>
      </c>
      <c r="C261" s="14" t="str">
        <f>IFERROR(__xludf.DUMMYFUNCTION("""COMPUTED_VALUE"""),"Siya Reddy")</f>
        <v>Siya Reddy</v>
      </c>
      <c r="D261" s="14" t="str">
        <f>IFERROR(__xludf.DUMMYFUNCTION("""COMPUTED_VALUE"""),"Juhu")</f>
        <v>Juhu</v>
      </c>
      <c r="E261" s="14" t="str">
        <f>IFERROR(__xludf.DUMMYFUNCTION("""COMPUTED_VALUE"""),"Guava+1*Vivek Kumar")</f>
        <v>Guava+1*Vivek Kumar</v>
      </c>
      <c r="F261" s="14">
        <f>IFERROR(__xludf.DUMMYFUNCTION("""COMPUTED_VALUE"""),10.0)</f>
        <v>10</v>
      </c>
      <c r="G261" s="14">
        <f>IFERROR(__xludf.DUMMYFUNCTION("""COMPUTED_VALUE"""),5.0)</f>
        <v>5</v>
      </c>
      <c r="H261" s="14">
        <f>IFERROR(__xludf.DUMMYFUNCTION("""COMPUTED_VALUE"""),2023.0)</f>
        <v>2023</v>
      </c>
      <c r="I261" s="14" t="str">
        <f>IFERROR(__xludf.DUMMYFUNCTION("""COMPUTED_VALUE"""),"Online Payment")</f>
        <v>Online Payment</v>
      </c>
      <c r="J261" s="14" t="str">
        <f>IFERROR(__xludf.DUMMYFUNCTION("""COMPUTED_VALUE"""),"Delivered*Convenience: Easy tracking")</f>
        <v>Delivered*Convenience: Easy tracking</v>
      </c>
      <c r="K261" s="14" t="str">
        <f>IFERROR(__xludf.DUMMYFUNCTION("split(E261,""+"")"),"Guava")</f>
        <v>Guava</v>
      </c>
      <c r="L261" s="14" t="str">
        <f>IFERROR(__xludf.DUMMYFUNCTION("""COMPUTED_VALUE"""),"1*Vivek Kumar")</f>
        <v>1*Vivek Kumar</v>
      </c>
      <c r="M261" s="14">
        <f>IFERROR(__xludf.DUMMYFUNCTION("SPLIT(L261,""*"")"),1.0)</f>
        <v>1</v>
      </c>
      <c r="N261" s="14" t="str">
        <f>IFERROR(__xludf.DUMMYFUNCTION("""COMPUTED_VALUE"""),"Vivek Kumar")</f>
        <v>Vivek Kumar</v>
      </c>
      <c r="O261" s="14" t="str">
        <f>IFERROR(__xludf.DUMMYFUNCTION("split(J261,""*"")"),"Delivered")</f>
        <v>Delivered</v>
      </c>
      <c r="P261" s="14" t="str">
        <f>IFERROR(__xludf.DUMMYFUNCTION("""COMPUTED_VALUE"""),"Convenience: Easy tracking")</f>
        <v>Convenience: Easy tracking</v>
      </c>
      <c r="Q261" s="14" t="str">
        <f>IFERROR(__xludf.DUMMYFUNCTION("split(P261,"":"")"),"Convenience")</f>
        <v>Convenience</v>
      </c>
      <c r="R261" s="14" t="str">
        <f>IFERROR(__xludf.DUMMYFUNCTION("""COMPUTED_VALUE""")," Easy tracking")</f>
        <v> Easy tracking</v>
      </c>
      <c r="S261" s="14" t="str">
        <f t="shared" ref="S261:U261" si="525">trim(B261)</f>
        <v>ord_10260</v>
      </c>
      <c r="T261" s="14" t="str">
        <f t="shared" si="525"/>
        <v>Siya Reddy</v>
      </c>
      <c r="U261" s="14" t="str">
        <f t="shared" si="525"/>
        <v>Juhu</v>
      </c>
      <c r="V261" s="14" t="str">
        <f t="shared" si="4"/>
        <v>Guava</v>
      </c>
      <c r="W261" s="14">
        <f t="shared" si="5"/>
        <v>1</v>
      </c>
      <c r="X261" s="14" t="str">
        <f t="shared" si="6"/>
        <v>Vivek Kumar</v>
      </c>
      <c r="Y261" s="15">
        <f t="shared" si="7"/>
        <v>45204</v>
      </c>
      <c r="Z261" s="14" t="str">
        <f t="shared" si="8"/>
        <v>Online Payment</v>
      </c>
      <c r="AA261" s="14" t="str">
        <f t="shared" si="9"/>
        <v>Delivered</v>
      </c>
      <c r="AB261" s="14" t="str">
        <f t="shared" ref="AB261:AC261" si="526">trim(Q261)</f>
        <v>Convenience</v>
      </c>
      <c r="AC261" s="14" t="str">
        <f t="shared" si="526"/>
        <v>Easy tracking</v>
      </c>
      <c r="AD261" s="8"/>
    </row>
    <row r="262">
      <c r="A262" s="14" t="str">
        <f>IFERROR(__xludf.DUMMYFUNCTION("""COMPUTED_VALUE"""),"//ord_10261//Arvind Kulkarni//Juhu//Icecream+4*Ramesh S/1/10/2023//Credit Card//Delivered*Overall Satisfaction: Great service will order again")</f>
        <v>//ord_10261//Arvind Kulkarni//Juhu//Icecream+4*Ramesh S/1/10/2023//Credit Card//Delivered*Overall Satisfaction: Great service will order again</v>
      </c>
      <c r="B262" s="14" t="str">
        <f>IFERROR(__xludf.DUMMYFUNCTION("split(A262,""//"")"),"ord_10261")</f>
        <v>ord_10261</v>
      </c>
      <c r="C262" s="14" t="str">
        <f>IFERROR(__xludf.DUMMYFUNCTION("""COMPUTED_VALUE"""),"Arvind Kulkarni")</f>
        <v>Arvind Kulkarni</v>
      </c>
      <c r="D262" s="14" t="str">
        <f>IFERROR(__xludf.DUMMYFUNCTION("""COMPUTED_VALUE"""),"Juhu")</f>
        <v>Juhu</v>
      </c>
      <c r="E262" s="14" t="str">
        <f>IFERROR(__xludf.DUMMYFUNCTION("""COMPUTED_VALUE"""),"Icecream+4*Ramesh S")</f>
        <v>Icecream+4*Ramesh S</v>
      </c>
      <c r="F262" s="14">
        <f>IFERROR(__xludf.DUMMYFUNCTION("""COMPUTED_VALUE"""),1.0)</f>
        <v>1</v>
      </c>
      <c r="G262" s="14">
        <f>IFERROR(__xludf.DUMMYFUNCTION("""COMPUTED_VALUE"""),10.0)</f>
        <v>10</v>
      </c>
      <c r="H262" s="14">
        <f>IFERROR(__xludf.DUMMYFUNCTION("""COMPUTED_VALUE"""),2023.0)</f>
        <v>2023</v>
      </c>
      <c r="I262" s="14" t="str">
        <f>IFERROR(__xludf.DUMMYFUNCTION("""COMPUTED_VALUE"""),"Credit Card")</f>
        <v>Credit Card</v>
      </c>
      <c r="J262" s="14" t="str">
        <f>IFERROR(__xludf.DUMMYFUNCTION("""COMPUTED_VALUE"""),"Delivered*Overall Satisfaction: Great service will order again")</f>
        <v>Delivered*Overall Satisfaction: Great service will order again</v>
      </c>
      <c r="K262" s="14" t="str">
        <f>IFERROR(__xludf.DUMMYFUNCTION("split(E262,""+"")"),"Icecream")</f>
        <v>Icecream</v>
      </c>
      <c r="L262" s="14" t="str">
        <f>IFERROR(__xludf.DUMMYFUNCTION("""COMPUTED_VALUE"""),"4*Ramesh S")</f>
        <v>4*Ramesh S</v>
      </c>
      <c r="M262" s="14">
        <f>IFERROR(__xludf.DUMMYFUNCTION("SPLIT(L262,""*"")"),4.0)</f>
        <v>4</v>
      </c>
      <c r="N262" s="14" t="str">
        <f>IFERROR(__xludf.DUMMYFUNCTION("""COMPUTED_VALUE"""),"Ramesh S")</f>
        <v>Ramesh S</v>
      </c>
      <c r="O262" s="14" t="str">
        <f>IFERROR(__xludf.DUMMYFUNCTION("split(J262,""*"")"),"Delivered")</f>
        <v>Delivered</v>
      </c>
      <c r="P262" s="14" t="str">
        <f>IFERROR(__xludf.DUMMYFUNCTION("""COMPUTED_VALUE"""),"Overall Satisfaction: Great service will order again")</f>
        <v>Overall Satisfaction: Great service will order again</v>
      </c>
      <c r="Q262" s="14" t="str">
        <f>IFERROR(__xludf.DUMMYFUNCTION("split(P262,"":"")"),"Overall Satisfaction")</f>
        <v>Overall Satisfaction</v>
      </c>
      <c r="R262" s="14" t="str">
        <f>IFERROR(__xludf.DUMMYFUNCTION("""COMPUTED_VALUE""")," Great service will order again")</f>
        <v> Great service will order again</v>
      </c>
      <c r="S262" s="14" t="str">
        <f t="shared" ref="S262:U262" si="527">trim(B262)</f>
        <v>ord_10261</v>
      </c>
      <c r="T262" s="14" t="str">
        <f t="shared" si="527"/>
        <v>Arvind Kulkarni</v>
      </c>
      <c r="U262" s="14" t="str">
        <f t="shared" si="527"/>
        <v>Juhu</v>
      </c>
      <c r="V262" s="14" t="str">
        <f t="shared" si="4"/>
        <v>Icecream</v>
      </c>
      <c r="W262" s="14">
        <f t="shared" si="5"/>
        <v>4</v>
      </c>
      <c r="X262" s="14" t="str">
        <f t="shared" si="6"/>
        <v>Ramesh S</v>
      </c>
      <c r="Y262" s="15">
        <f t="shared" si="7"/>
        <v>44936</v>
      </c>
      <c r="Z262" s="14" t="str">
        <f t="shared" si="8"/>
        <v>Credit Card</v>
      </c>
      <c r="AA262" s="14" t="str">
        <f t="shared" si="9"/>
        <v>Delivered</v>
      </c>
      <c r="AB262" s="14" t="str">
        <f t="shared" ref="AB262:AC262" si="528">trim(Q262)</f>
        <v>Overall Satisfaction</v>
      </c>
      <c r="AC262" s="14" t="str">
        <f t="shared" si="528"/>
        <v>Great service will order again</v>
      </c>
      <c r="AD262" s="8"/>
    </row>
    <row r="263">
      <c r="A263" s="14" t="str">
        <f>IFERROR(__xludf.DUMMYFUNCTION("""COMPUTED_VALUE"""),"//ord_10262//Siya Reddy//Juhu//Tiramisu+4*Aman Kumar/2/18/2023//Credit Card//Cancelled*Delayed Delivery:Bad Weather Conditions ")</f>
        <v>//ord_10262//Siya Reddy//Juhu//Tiramisu+4*Aman Kumar/2/18/2023//Credit Card//Cancelled*Delayed Delivery:Bad Weather Conditions </v>
      </c>
      <c r="B263" s="14" t="str">
        <f>IFERROR(__xludf.DUMMYFUNCTION("split(A263,""//"")"),"ord_10262")</f>
        <v>ord_10262</v>
      </c>
      <c r="C263" s="14" t="str">
        <f>IFERROR(__xludf.DUMMYFUNCTION("""COMPUTED_VALUE"""),"Siya Reddy")</f>
        <v>Siya Reddy</v>
      </c>
      <c r="D263" s="14" t="str">
        <f>IFERROR(__xludf.DUMMYFUNCTION("""COMPUTED_VALUE"""),"Juhu")</f>
        <v>Juhu</v>
      </c>
      <c r="E263" s="14" t="str">
        <f>IFERROR(__xludf.DUMMYFUNCTION("""COMPUTED_VALUE"""),"Tiramisu+4*Aman Kumar")</f>
        <v>Tiramisu+4*Aman Kumar</v>
      </c>
      <c r="F263" s="14">
        <f>IFERROR(__xludf.DUMMYFUNCTION("""COMPUTED_VALUE"""),2.0)</f>
        <v>2</v>
      </c>
      <c r="G263" s="14">
        <f>IFERROR(__xludf.DUMMYFUNCTION("""COMPUTED_VALUE"""),18.0)</f>
        <v>18</v>
      </c>
      <c r="H263" s="14">
        <f>IFERROR(__xludf.DUMMYFUNCTION("""COMPUTED_VALUE"""),2023.0)</f>
        <v>2023</v>
      </c>
      <c r="I263" s="14" t="str">
        <f>IFERROR(__xludf.DUMMYFUNCTION("""COMPUTED_VALUE"""),"Credit Card")</f>
        <v>Credit Card</v>
      </c>
      <c r="J263" s="14" t="str">
        <f>IFERROR(__xludf.DUMMYFUNCTION("""COMPUTED_VALUE"""),"Cancelled*Delayed Delivery:Bad Weather Conditions ")</f>
        <v>Cancelled*Delayed Delivery:Bad Weather Conditions </v>
      </c>
      <c r="K263" s="14" t="str">
        <f>IFERROR(__xludf.DUMMYFUNCTION("split(E263,""+"")"),"Tiramisu")</f>
        <v>Tiramisu</v>
      </c>
      <c r="L263" s="14" t="str">
        <f>IFERROR(__xludf.DUMMYFUNCTION("""COMPUTED_VALUE"""),"4*Aman Kumar")</f>
        <v>4*Aman Kumar</v>
      </c>
      <c r="M263" s="14">
        <f>IFERROR(__xludf.DUMMYFUNCTION("SPLIT(L263,""*"")"),4.0)</f>
        <v>4</v>
      </c>
      <c r="N263" s="14" t="str">
        <f>IFERROR(__xludf.DUMMYFUNCTION("""COMPUTED_VALUE"""),"Aman Kumar")</f>
        <v>Aman Kumar</v>
      </c>
      <c r="O263" s="14" t="str">
        <f>IFERROR(__xludf.DUMMYFUNCTION("split(J263,""*"")"),"Cancelled")</f>
        <v>Cancelled</v>
      </c>
      <c r="P263" s="14" t="str">
        <f>IFERROR(__xludf.DUMMYFUNCTION("""COMPUTED_VALUE"""),"Delayed Delivery:Bad Weather Conditions ")</f>
        <v>Delayed Delivery:Bad Weather Conditions </v>
      </c>
      <c r="Q263" s="14" t="str">
        <f>IFERROR(__xludf.DUMMYFUNCTION("split(P263,"":"")"),"Delayed Delivery")</f>
        <v>Delayed Delivery</v>
      </c>
      <c r="R263" s="14" t="str">
        <f>IFERROR(__xludf.DUMMYFUNCTION("""COMPUTED_VALUE"""),"Bad Weather Conditions ")</f>
        <v>Bad Weather Conditions </v>
      </c>
      <c r="S263" s="14" t="str">
        <f t="shared" ref="S263:U263" si="529">trim(B263)</f>
        <v>ord_10262</v>
      </c>
      <c r="T263" s="14" t="str">
        <f t="shared" si="529"/>
        <v>Siya Reddy</v>
      </c>
      <c r="U263" s="14" t="str">
        <f t="shared" si="529"/>
        <v>Juhu</v>
      </c>
      <c r="V263" s="14" t="str">
        <f t="shared" si="4"/>
        <v>Tiramisu</v>
      </c>
      <c r="W263" s="14">
        <f t="shared" si="5"/>
        <v>4</v>
      </c>
      <c r="X263" s="14" t="str">
        <f t="shared" si="6"/>
        <v>Aman Kumar</v>
      </c>
      <c r="Y263" s="15">
        <f t="shared" si="7"/>
        <v>44975</v>
      </c>
      <c r="Z263" s="14" t="str">
        <f t="shared" si="8"/>
        <v>Credit Card</v>
      </c>
      <c r="AA263" s="14" t="str">
        <f t="shared" si="9"/>
        <v>Cancelled</v>
      </c>
      <c r="AB263" s="14" t="str">
        <f t="shared" ref="AB263:AC263" si="530">trim(Q263)</f>
        <v>Delayed Delivery</v>
      </c>
      <c r="AC263" s="14" t="str">
        <f t="shared" si="530"/>
        <v>Bad Weather Conditions</v>
      </c>
      <c r="AD263" s="8"/>
    </row>
    <row r="264">
      <c r="A264" s="14" t="str">
        <f>IFERROR(__xludf.DUMMYFUNCTION("""COMPUTED_VALUE"""),"//ord_10263//Aditi Iyer//Dadar//Chilli Cheese Toast+3*Aman Kumar/1/12/2023//Credit Card//Delivered*On-time Delivery: Delivered on time")</f>
        <v>//ord_10263//Aditi Iyer//Dadar//Chilli Cheese Toast+3*Aman Kumar/1/12/2023//Credit Card//Delivered*On-time Delivery: Delivered on time</v>
      </c>
      <c r="B264" s="14" t="str">
        <f>IFERROR(__xludf.DUMMYFUNCTION("split(A264,""//"")"),"ord_10263")</f>
        <v>ord_10263</v>
      </c>
      <c r="C264" s="14" t="str">
        <f>IFERROR(__xludf.DUMMYFUNCTION("""COMPUTED_VALUE"""),"Aditi Iyer")</f>
        <v>Aditi Iyer</v>
      </c>
      <c r="D264" s="14" t="str">
        <f>IFERROR(__xludf.DUMMYFUNCTION("""COMPUTED_VALUE"""),"Dadar")</f>
        <v>Dadar</v>
      </c>
      <c r="E264" s="14" t="str">
        <f>IFERROR(__xludf.DUMMYFUNCTION("""COMPUTED_VALUE"""),"Chilli Cheese Toast+3*Aman Kumar")</f>
        <v>Chilli Cheese Toast+3*Aman Kumar</v>
      </c>
      <c r="F264" s="14">
        <f>IFERROR(__xludf.DUMMYFUNCTION("""COMPUTED_VALUE"""),1.0)</f>
        <v>1</v>
      </c>
      <c r="G264" s="14">
        <f>IFERROR(__xludf.DUMMYFUNCTION("""COMPUTED_VALUE"""),12.0)</f>
        <v>12</v>
      </c>
      <c r="H264" s="14">
        <f>IFERROR(__xludf.DUMMYFUNCTION("""COMPUTED_VALUE"""),2023.0)</f>
        <v>2023</v>
      </c>
      <c r="I264" s="14" t="str">
        <f>IFERROR(__xludf.DUMMYFUNCTION("""COMPUTED_VALUE"""),"Credit Card")</f>
        <v>Credit Card</v>
      </c>
      <c r="J264" s="14" t="str">
        <f>IFERROR(__xludf.DUMMYFUNCTION("""COMPUTED_VALUE"""),"Delivered*On-time Delivery: Delivered on time")</f>
        <v>Delivered*On-time Delivery: Delivered on time</v>
      </c>
      <c r="K264" s="14" t="str">
        <f>IFERROR(__xludf.DUMMYFUNCTION("split(E264,""+"")"),"Chilli Cheese Toast")</f>
        <v>Chilli Cheese Toast</v>
      </c>
      <c r="L264" s="14" t="str">
        <f>IFERROR(__xludf.DUMMYFUNCTION("""COMPUTED_VALUE"""),"3*Aman Kumar")</f>
        <v>3*Aman Kumar</v>
      </c>
      <c r="M264" s="14">
        <f>IFERROR(__xludf.DUMMYFUNCTION("SPLIT(L264,""*"")"),3.0)</f>
        <v>3</v>
      </c>
      <c r="N264" s="14" t="str">
        <f>IFERROR(__xludf.DUMMYFUNCTION("""COMPUTED_VALUE"""),"Aman Kumar")</f>
        <v>Aman Kumar</v>
      </c>
      <c r="O264" s="14" t="str">
        <f>IFERROR(__xludf.DUMMYFUNCTION("split(J264,""*"")"),"Delivered")</f>
        <v>Delivered</v>
      </c>
      <c r="P264" s="14" t="str">
        <f>IFERROR(__xludf.DUMMYFUNCTION("""COMPUTED_VALUE"""),"On-time Delivery: Delivered on time")</f>
        <v>On-time Delivery: Delivered on time</v>
      </c>
      <c r="Q264" s="14" t="str">
        <f>IFERROR(__xludf.DUMMYFUNCTION("split(P264,"":"")"),"On-time Delivery")</f>
        <v>On-time Delivery</v>
      </c>
      <c r="R264" s="14" t="str">
        <f>IFERROR(__xludf.DUMMYFUNCTION("""COMPUTED_VALUE""")," Delivered on time")</f>
        <v> Delivered on time</v>
      </c>
      <c r="S264" s="14" t="str">
        <f t="shared" ref="S264:U264" si="531">trim(B264)</f>
        <v>ord_10263</v>
      </c>
      <c r="T264" s="14" t="str">
        <f t="shared" si="531"/>
        <v>Aditi Iyer</v>
      </c>
      <c r="U264" s="14" t="str">
        <f t="shared" si="531"/>
        <v>Dadar</v>
      </c>
      <c r="V264" s="14" t="str">
        <f t="shared" si="4"/>
        <v>Chilli Cheese Toast</v>
      </c>
      <c r="W264" s="14">
        <f t="shared" si="5"/>
        <v>3</v>
      </c>
      <c r="X264" s="14" t="str">
        <f t="shared" si="6"/>
        <v>Aman Kumar</v>
      </c>
      <c r="Y264" s="15">
        <f t="shared" si="7"/>
        <v>44938</v>
      </c>
      <c r="Z264" s="14" t="str">
        <f t="shared" si="8"/>
        <v>Credit Card</v>
      </c>
      <c r="AA264" s="14" t="str">
        <f t="shared" si="9"/>
        <v>Delivered</v>
      </c>
      <c r="AB264" s="14" t="str">
        <f t="shared" ref="AB264:AC264" si="532">trim(Q264)</f>
        <v>On-time Delivery</v>
      </c>
      <c r="AC264" s="14" t="str">
        <f t="shared" si="532"/>
        <v>Delivered on time</v>
      </c>
      <c r="AD264" s="8"/>
    </row>
    <row r="265">
      <c r="A265" s="14" t="str">
        <f>IFERROR(__xludf.DUMMYFUNCTION("""COMPUTED_VALUE"""),"//ord_10264//Aarav Mehta//Andheri//Chicken Puff+3*Manju Ajay/2/23/2023//Credit Card//Delivered*Quality of Items: Perfect condition")</f>
        <v>//ord_10264//Aarav Mehta//Andheri//Chicken Puff+3*Manju Ajay/2/23/2023//Credit Card//Delivered*Quality of Items: Perfect condition</v>
      </c>
      <c r="B265" s="14" t="str">
        <f>IFERROR(__xludf.DUMMYFUNCTION("split(A265,""//"")"),"ord_10264")</f>
        <v>ord_10264</v>
      </c>
      <c r="C265" s="14" t="str">
        <f>IFERROR(__xludf.DUMMYFUNCTION("""COMPUTED_VALUE"""),"Aarav Mehta")</f>
        <v>Aarav Mehta</v>
      </c>
      <c r="D265" s="14" t="str">
        <f>IFERROR(__xludf.DUMMYFUNCTION("""COMPUTED_VALUE"""),"Andheri")</f>
        <v>Andheri</v>
      </c>
      <c r="E265" s="14" t="str">
        <f>IFERROR(__xludf.DUMMYFUNCTION("""COMPUTED_VALUE"""),"Chicken Puff+3*Manju Ajay")</f>
        <v>Chicken Puff+3*Manju Ajay</v>
      </c>
      <c r="F265" s="14">
        <f>IFERROR(__xludf.DUMMYFUNCTION("""COMPUTED_VALUE"""),2.0)</f>
        <v>2</v>
      </c>
      <c r="G265" s="14">
        <f>IFERROR(__xludf.DUMMYFUNCTION("""COMPUTED_VALUE"""),23.0)</f>
        <v>23</v>
      </c>
      <c r="H265" s="14">
        <f>IFERROR(__xludf.DUMMYFUNCTION("""COMPUTED_VALUE"""),2023.0)</f>
        <v>2023</v>
      </c>
      <c r="I265" s="14" t="str">
        <f>IFERROR(__xludf.DUMMYFUNCTION("""COMPUTED_VALUE"""),"Credit Card")</f>
        <v>Credit Card</v>
      </c>
      <c r="J265" s="14" t="str">
        <f>IFERROR(__xludf.DUMMYFUNCTION("""COMPUTED_VALUE"""),"Delivered*Quality of Items: Perfect condition")</f>
        <v>Delivered*Quality of Items: Perfect condition</v>
      </c>
      <c r="K265" s="14" t="str">
        <f>IFERROR(__xludf.DUMMYFUNCTION("split(E265,""+"")"),"Chicken Puff")</f>
        <v>Chicken Puff</v>
      </c>
      <c r="L265" s="14" t="str">
        <f>IFERROR(__xludf.DUMMYFUNCTION("""COMPUTED_VALUE"""),"3*Manju Ajay")</f>
        <v>3*Manju Ajay</v>
      </c>
      <c r="M265" s="14">
        <f>IFERROR(__xludf.DUMMYFUNCTION("SPLIT(L265,""*"")"),3.0)</f>
        <v>3</v>
      </c>
      <c r="N265" s="14" t="str">
        <f>IFERROR(__xludf.DUMMYFUNCTION("""COMPUTED_VALUE"""),"Manju Ajay")</f>
        <v>Manju Ajay</v>
      </c>
      <c r="O265" s="14" t="str">
        <f>IFERROR(__xludf.DUMMYFUNCTION("split(J265,""*"")"),"Delivered")</f>
        <v>Delivered</v>
      </c>
      <c r="P265" s="14" t="str">
        <f>IFERROR(__xludf.DUMMYFUNCTION("""COMPUTED_VALUE"""),"Quality of Items: Perfect condition")</f>
        <v>Quality of Items: Perfect condition</v>
      </c>
      <c r="Q265" s="14" t="str">
        <f>IFERROR(__xludf.DUMMYFUNCTION("split(P265,"":"")"),"Quality of Items")</f>
        <v>Quality of Items</v>
      </c>
      <c r="R265" s="14" t="str">
        <f>IFERROR(__xludf.DUMMYFUNCTION("""COMPUTED_VALUE""")," Perfect condition")</f>
        <v> Perfect condition</v>
      </c>
      <c r="S265" s="14" t="str">
        <f t="shared" ref="S265:U265" si="533">trim(B265)</f>
        <v>ord_10264</v>
      </c>
      <c r="T265" s="14" t="str">
        <f t="shared" si="533"/>
        <v>Aarav Mehta</v>
      </c>
      <c r="U265" s="14" t="str">
        <f t="shared" si="533"/>
        <v>Andheri</v>
      </c>
      <c r="V265" s="14" t="str">
        <f t="shared" si="4"/>
        <v>Chicken Puff</v>
      </c>
      <c r="W265" s="14">
        <f t="shared" si="5"/>
        <v>3</v>
      </c>
      <c r="X265" s="14" t="str">
        <f t="shared" si="6"/>
        <v>Manju Ajay</v>
      </c>
      <c r="Y265" s="15">
        <f t="shared" si="7"/>
        <v>44980</v>
      </c>
      <c r="Z265" s="14" t="str">
        <f t="shared" si="8"/>
        <v>Credit Card</v>
      </c>
      <c r="AA265" s="14" t="str">
        <f t="shared" si="9"/>
        <v>Delivered</v>
      </c>
      <c r="AB265" s="14" t="str">
        <f t="shared" ref="AB265:AC265" si="534">trim(Q265)</f>
        <v>Quality of Items</v>
      </c>
      <c r="AC265" s="14" t="str">
        <f t="shared" si="534"/>
        <v>Perfect condition</v>
      </c>
      <c r="AD265" s="8"/>
    </row>
    <row r="266">
      <c r="A266" s="14" t="str">
        <f>IFERROR(__xludf.DUMMYFUNCTION("""COMPUTED_VALUE"""),"//ord_10265//Omkar Mishra//Powai//Potato+2*Sita T/12/26/2023//COD//Delivered*On-time Delivery: Delivered on time")</f>
        <v>//ord_10265//Omkar Mishra//Powai//Potato+2*Sita T/12/26/2023//COD//Delivered*On-time Delivery: Delivered on time</v>
      </c>
      <c r="B266" s="14" t="str">
        <f>IFERROR(__xludf.DUMMYFUNCTION("split(A266,""//"")"),"ord_10265")</f>
        <v>ord_10265</v>
      </c>
      <c r="C266" s="14" t="str">
        <f>IFERROR(__xludf.DUMMYFUNCTION("""COMPUTED_VALUE"""),"Omkar Mishra")</f>
        <v>Omkar Mishra</v>
      </c>
      <c r="D266" s="14" t="str">
        <f>IFERROR(__xludf.DUMMYFUNCTION("""COMPUTED_VALUE"""),"Powai")</f>
        <v>Powai</v>
      </c>
      <c r="E266" s="14" t="str">
        <f>IFERROR(__xludf.DUMMYFUNCTION("""COMPUTED_VALUE"""),"Potato+2*Sita T")</f>
        <v>Potato+2*Sita T</v>
      </c>
      <c r="F266" s="14">
        <f>IFERROR(__xludf.DUMMYFUNCTION("""COMPUTED_VALUE"""),12.0)</f>
        <v>12</v>
      </c>
      <c r="G266" s="14">
        <f>IFERROR(__xludf.DUMMYFUNCTION("""COMPUTED_VALUE"""),26.0)</f>
        <v>26</v>
      </c>
      <c r="H266" s="14">
        <f>IFERROR(__xludf.DUMMYFUNCTION("""COMPUTED_VALUE"""),2023.0)</f>
        <v>2023</v>
      </c>
      <c r="I266" s="14" t="str">
        <f>IFERROR(__xludf.DUMMYFUNCTION("""COMPUTED_VALUE"""),"COD")</f>
        <v>COD</v>
      </c>
      <c r="J266" s="14" t="str">
        <f>IFERROR(__xludf.DUMMYFUNCTION("""COMPUTED_VALUE"""),"Delivered*On-time Delivery: Delivered on time")</f>
        <v>Delivered*On-time Delivery: Delivered on time</v>
      </c>
      <c r="K266" s="14" t="str">
        <f>IFERROR(__xludf.DUMMYFUNCTION("split(E266,""+"")"),"Potato")</f>
        <v>Potato</v>
      </c>
      <c r="L266" s="14" t="str">
        <f>IFERROR(__xludf.DUMMYFUNCTION("""COMPUTED_VALUE"""),"2*Sita T")</f>
        <v>2*Sita T</v>
      </c>
      <c r="M266" s="14">
        <f>IFERROR(__xludf.DUMMYFUNCTION("SPLIT(L266,""*"")"),2.0)</f>
        <v>2</v>
      </c>
      <c r="N266" s="14" t="str">
        <f>IFERROR(__xludf.DUMMYFUNCTION("""COMPUTED_VALUE"""),"Sita T")</f>
        <v>Sita T</v>
      </c>
      <c r="O266" s="14" t="str">
        <f>IFERROR(__xludf.DUMMYFUNCTION("split(J266,""*"")"),"Delivered")</f>
        <v>Delivered</v>
      </c>
      <c r="P266" s="14" t="str">
        <f>IFERROR(__xludf.DUMMYFUNCTION("""COMPUTED_VALUE"""),"On-time Delivery: Delivered on time")</f>
        <v>On-time Delivery: Delivered on time</v>
      </c>
      <c r="Q266" s="14" t="str">
        <f>IFERROR(__xludf.DUMMYFUNCTION("split(P266,"":"")"),"On-time Delivery")</f>
        <v>On-time Delivery</v>
      </c>
      <c r="R266" s="14" t="str">
        <f>IFERROR(__xludf.DUMMYFUNCTION("""COMPUTED_VALUE""")," Delivered on time")</f>
        <v> Delivered on time</v>
      </c>
      <c r="S266" s="14" t="str">
        <f t="shared" ref="S266:U266" si="535">trim(B266)</f>
        <v>ord_10265</v>
      </c>
      <c r="T266" s="14" t="str">
        <f t="shared" si="535"/>
        <v>Omkar Mishra</v>
      </c>
      <c r="U266" s="14" t="str">
        <f t="shared" si="535"/>
        <v>Powai</v>
      </c>
      <c r="V266" s="14" t="str">
        <f t="shared" si="4"/>
        <v>Potato</v>
      </c>
      <c r="W266" s="14">
        <f t="shared" si="5"/>
        <v>2</v>
      </c>
      <c r="X266" s="14" t="str">
        <f t="shared" si="6"/>
        <v>Sita T</v>
      </c>
      <c r="Y266" s="15">
        <f t="shared" si="7"/>
        <v>45286</v>
      </c>
      <c r="Z266" s="14" t="str">
        <f t="shared" si="8"/>
        <v>COD</v>
      </c>
      <c r="AA266" s="14" t="str">
        <f t="shared" si="9"/>
        <v>Delivered</v>
      </c>
      <c r="AB266" s="14" t="str">
        <f t="shared" ref="AB266:AC266" si="536">trim(Q266)</f>
        <v>On-time Delivery</v>
      </c>
      <c r="AC266" s="14" t="str">
        <f t="shared" si="536"/>
        <v>Delivered on time</v>
      </c>
      <c r="AD266" s="8"/>
    </row>
    <row r="267">
      <c r="A267" s="14" t="str">
        <f>IFERROR(__xludf.DUMMYFUNCTION("""COMPUTED_VALUE"""),"//ord_10266//Diya Arora//Lower Parel//Onion+2*Venu R/3/25/2023//Online Payment//Delivered*Quality of Items: Perfect condition")</f>
        <v>//ord_10266//Diya Arora//Lower Parel//Onion+2*Venu R/3/25/2023//Online Payment//Delivered*Quality of Items: Perfect condition</v>
      </c>
      <c r="B267" s="14" t="str">
        <f>IFERROR(__xludf.DUMMYFUNCTION("split(A267,""//"")"),"ord_10266")</f>
        <v>ord_10266</v>
      </c>
      <c r="C267" s="14" t="str">
        <f>IFERROR(__xludf.DUMMYFUNCTION("""COMPUTED_VALUE"""),"Diya Arora")</f>
        <v>Diya Arora</v>
      </c>
      <c r="D267" s="14" t="str">
        <f>IFERROR(__xludf.DUMMYFUNCTION("""COMPUTED_VALUE"""),"Lower Parel")</f>
        <v>Lower Parel</v>
      </c>
      <c r="E267" s="14" t="str">
        <f>IFERROR(__xludf.DUMMYFUNCTION("""COMPUTED_VALUE"""),"Onion+2*Venu R")</f>
        <v>Onion+2*Venu R</v>
      </c>
      <c r="F267" s="14">
        <f>IFERROR(__xludf.DUMMYFUNCTION("""COMPUTED_VALUE"""),3.0)</f>
        <v>3</v>
      </c>
      <c r="G267" s="14">
        <f>IFERROR(__xludf.DUMMYFUNCTION("""COMPUTED_VALUE"""),25.0)</f>
        <v>25</v>
      </c>
      <c r="H267" s="14">
        <f>IFERROR(__xludf.DUMMYFUNCTION("""COMPUTED_VALUE"""),2023.0)</f>
        <v>2023</v>
      </c>
      <c r="I267" s="14" t="str">
        <f>IFERROR(__xludf.DUMMYFUNCTION("""COMPUTED_VALUE"""),"Online Payment")</f>
        <v>Online Payment</v>
      </c>
      <c r="J267" s="14" t="str">
        <f>IFERROR(__xludf.DUMMYFUNCTION("""COMPUTED_VALUE"""),"Delivered*Quality of Items: Perfect condition")</f>
        <v>Delivered*Quality of Items: Perfect condition</v>
      </c>
      <c r="K267" s="14" t="str">
        <f>IFERROR(__xludf.DUMMYFUNCTION("split(E267,""+"")"),"Onion")</f>
        <v>Onion</v>
      </c>
      <c r="L267" s="14" t="str">
        <f>IFERROR(__xludf.DUMMYFUNCTION("""COMPUTED_VALUE"""),"2*Venu R")</f>
        <v>2*Venu R</v>
      </c>
      <c r="M267" s="14">
        <f>IFERROR(__xludf.DUMMYFUNCTION("SPLIT(L267,""*"")"),2.0)</f>
        <v>2</v>
      </c>
      <c r="N267" s="14" t="str">
        <f>IFERROR(__xludf.DUMMYFUNCTION("""COMPUTED_VALUE"""),"Venu R")</f>
        <v>Venu R</v>
      </c>
      <c r="O267" s="14" t="str">
        <f>IFERROR(__xludf.DUMMYFUNCTION("split(J267,""*"")"),"Delivered")</f>
        <v>Delivered</v>
      </c>
      <c r="P267" s="14" t="str">
        <f>IFERROR(__xludf.DUMMYFUNCTION("""COMPUTED_VALUE"""),"Quality of Items: Perfect condition")</f>
        <v>Quality of Items: Perfect condition</v>
      </c>
      <c r="Q267" s="14" t="str">
        <f>IFERROR(__xludf.DUMMYFUNCTION("split(P267,"":"")"),"Quality of Items")</f>
        <v>Quality of Items</v>
      </c>
      <c r="R267" s="14" t="str">
        <f>IFERROR(__xludf.DUMMYFUNCTION("""COMPUTED_VALUE""")," Perfect condition")</f>
        <v> Perfect condition</v>
      </c>
      <c r="S267" s="14" t="str">
        <f t="shared" ref="S267:U267" si="537">trim(B267)</f>
        <v>ord_10266</v>
      </c>
      <c r="T267" s="14" t="str">
        <f t="shared" si="537"/>
        <v>Diya Arora</v>
      </c>
      <c r="U267" s="14" t="str">
        <f t="shared" si="537"/>
        <v>Lower Parel</v>
      </c>
      <c r="V267" s="14" t="str">
        <f t="shared" si="4"/>
        <v>Onion</v>
      </c>
      <c r="W267" s="14">
        <f t="shared" si="5"/>
        <v>2</v>
      </c>
      <c r="X267" s="14" t="str">
        <f t="shared" si="6"/>
        <v>Venu R</v>
      </c>
      <c r="Y267" s="15">
        <f t="shared" si="7"/>
        <v>45010</v>
      </c>
      <c r="Z267" s="14" t="str">
        <f t="shared" si="8"/>
        <v>Online Payment</v>
      </c>
      <c r="AA267" s="14" t="str">
        <f t="shared" si="9"/>
        <v>Delivered</v>
      </c>
      <c r="AB267" s="14" t="str">
        <f t="shared" ref="AB267:AC267" si="538">trim(Q267)</f>
        <v>Quality of Items</v>
      </c>
      <c r="AC267" s="14" t="str">
        <f t="shared" si="538"/>
        <v>Perfect condition</v>
      </c>
      <c r="AD267" s="8"/>
    </row>
    <row r="268">
      <c r="A268" s="14" t="str">
        <f>IFERROR(__xludf.DUMMYFUNCTION("""COMPUTED_VALUE"""),"//ord_10267//Aditi Iyer//Dadar//Papaya+2*Aman Kumar/3/18/2023//COD//Delivered*Packaging: Secure and intact")</f>
        <v>//ord_10267//Aditi Iyer//Dadar//Papaya+2*Aman Kumar/3/18/2023//COD//Delivered*Packaging: Secure and intact</v>
      </c>
      <c r="B268" s="14" t="str">
        <f>IFERROR(__xludf.DUMMYFUNCTION("split(A268,""//"")"),"ord_10267")</f>
        <v>ord_10267</v>
      </c>
      <c r="C268" s="14" t="str">
        <f>IFERROR(__xludf.DUMMYFUNCTION("""COMPUTED_VALUE"""),"Aditi Iyer")</f>
        <v>Aditi Iyer</v>
      </c>
      <c r="D268" s="14" t="str">
        <f>IFERROR(__xludf.DUMMYFUNCTION("""COMPUTED_VALUE"""),"Dadar")</f>
        <v>Dadar</v>
      </c>
      <c r="E268" s="14" t="str">
        <f>IFERROR(__xludf.DUMMYFUNCTION("""COMPUTED_VALUE"""),"Papaya+2*Aman Kumar")</f>
        <v>Papaya+2*Aman Kumar</v>
      </c>
      <c r="F268" s="14">
        <f>IFERROR(__xludf.DUMMYFUNCTION("""COMPUTED_VALUE"""),3.0)</f>
        <v>3</v>
      </c>
      <c r="G268" s="14">
        <f>IFERROR(__xludf.DUMMYFUNCTION("""COMPUTED_VALUE"""),18.0)</f>
        <v>18</v>
      </c>
      <c r="H268" s="14">
        <f>IFERROR(__xludf.DUMMYFUNCTION("""COMPUTED_VALUE"""),2023.0)</f>
        <v>2023</v>
      </c>
      <c r="I268" s="14" t="str">
        <f>IFERROR(__xludf.DUMMYFUNCTION("""COMPUTED_VALUE"""),"COD")</f>
        <v>COD</v>
      </c>
      <c r="J268" s="14" t="str">
        <f>IFERROR(__xludf.DUMMYFUNCTION("""COMPUTED_VALUE"""),"Delivered*Packaging: Secure and intact")</f>
        <v>Delivered*Packaging: Secure and intact</v>
      </c>
      <c r="K268" s="14" t="str">
        <f>IFERROR(__xludf.DUMMYFUNCTION("split(E268,""+"")"),"Papaya")</f>
        <v>Papaya</v>
      </c>
      <c r="L268" s="14" t="str">
        <f>IFERROR(__xludf.DUMMYFUNCTION("""COMPUTED_VALUE"""),"2*Aman Kumar")</f>
        <v>2*Aman Kumar</v>
      </c>
      <c r="M268" s="14">
        <f>IFERROR(__xludf.DUMMYFUNCTION("SPLIT(L268,""*"")"),2.0)</f>
        <v>2</v>
      </c>
      <c r="N268" s="14" t="str">
        <f>IFERROR(__xludf.DUMMYFUNCTION("""COMPUTED_VALUE"""),"Aman Kumar")</f>
        <v>Aman Kumar</v>
      </c>
      <c r="O268" s="14" t="str">
        <f>IFERROR(__xludf.DUMMYFUNCTION("split(J268,""*"")"),"Delivered")</f>
        <v>Delivered</v>
      </c>
      <c r="P268" s="14" t="str">
        <f>IFERROR(__xludf.DUMMYFUNCTION("""COMPUTED_VALUE"""),"Packaging: Secure and intact")</f>
        <v>Packaging: Secure and intact</v>
      </c>
      <c r="Q268" s="14" t="str">
        <f>IFERROR(__xludf.DUMMYFUNCTION("split(P268,"":"")"),"Packaging")</f>
        <v>Packaging</v>
      </c>
      <c r="R268" s="14" t="str">
        <f>IFERROR(__xludf.DUMMYFUNCTION("""COMPUTED_VALUE""")," Secure and intact")</f>
        <v> Secure and intact</v>
      </c>
      <c r="S268" s="14" t="str">
        <f t="shared" ref="S268:U268" si="539">trim(B268)</f>
        <v>ord_10267</v>
      </c>
      <c r="T268" s="14" t="str">
        <f t="shared" si="539"/>
        <v>Aditi Iyer</v>
      </c>
      <c r="U268" s="14" t="str">
        <f t="shared" si="539"/>
        <v>Dadar</v>
      </c>
      <c r="V268" s="14" t="str">
        <f t="shared" si="4"/>
        <v>Papaya</v>
      </c>
      <c r="W268" s="14">
        <f t="shared" si="5"/>
        <v>2</v>
      </c>
      <c r="X268" s="14" t="str">
        <f t="shared" si="6"/>
        <v>Aman Kumar</v>
      </c>
      <c r="Y268" s="15">
        <f t="shared" si="7"/>
        <v>45003</v>
      </c>
      <c r="Z268" s="14" t="str">
        <f t="shared" si="8"/>
        <v>COD</v>
      </c>
      <c r="AA268" s="14" t="str">
        <f t="shared" si="9"/>
        <v>Delivered</v>
      </c>
      <c r="AB268" s="14" t="str">
        <f t="shared" ref="AB268:AC268" si="540">trim(Q268)</f>
        <v>Packaging</v>
      </c>
      <c r="AC268" s="14" t="str">
        <f t="shared" si="540"/>
        <v>Secure and intact</v>
      </c>
      <c r="AD268" s="8"/>
    </row>
    <row r="269">
      <c r="A269" s="14" t="str">
        <f>IFERROR(__xludf.DUMMYFUNCTION("""COMPUTED_VALUE"""),"//ord_10268//Aditya Rao//Lower Parel//Icecream+4*Not Assigned/10/17/2023//UPI//Cancelled*High Delivery Fees")</f>
        <v>//ord_10268//Aditya Rao//Lower Parel//Icecream+4*Not Assigned/10/17/2023//UPI//Cancelled*High Delivery Fees</v>
      </c>
      <c r="B269" s="14" t="str">
        <f>IFERROR(__xludf.DUMMYFUNCTION("split(A269,""//"")"),"ord_10268")</f>
        <v>ord_10268</v>
      </c>
      <c r="C269" s="14" t="str">
        <f>IFERROR(__xludf.DUMMYFUNCTION("""COMPUTED_VALUE"""),"Aditya Rao")</f>
        <v>Aditya Rao</v>
      </c>
      <c r="D269" s="14" t="str">
        <f>IFERROR(__xludf.DUMMYFUNCTION("""COMPUTED_VALUE"""),"Lower Parel")</f>
        <v>Lower Parel</v>
      </c>
      <c r="E269" s="14" t="str">
        <f>IFERROR(__xludf.DUMMYFUNCTION("""COMPUTED_VALUE"""),"Icecream+4*Not Assigned")</f>
        <v>Icecream+4*Not Assigned</v>
      </c>
      <c r="F269" s="14">
        <f>IFERROR(__xludf.DUMMYFUNCTION("""COMPUTED_VALUE"""),10.0)</f>
        <v>10</v>
      </c>
      <c r="G269" s="14">
        <f>IFERROR(__xludf.DUMMYFUNCTION("""COMPUTED_VALUE"""),17.0)</f>
        <v>17</v>
      </c>
      <c r="H269" s="14">
        <f>IFERROR(__xludf.DUMMYFUNCTION("""COMPUTED_VALUE"""),2023.0)</f>
        <v>2023</v>
      </c>
      <c r="I269" s="14" t="str">
        <f>IFERROR(__xludf.DUMMYFUNCTION("""COMPUTED_VALUE"""),"UPI")</f>
        <v>UPI</v>
      </c>
      <c r="J269" s="14" t="str">
        <f>IFERROR(__xludf.DUMMYFUNCTION("""COMPUTED_VALUE"""),"Cancelled*High Delivery Fees")</f>
        <v>Cancelled*High Delivery Fees</v>
      </c>
      <c r="K269" s="14" t="str">
        <f>IFERROR(__xludf.DUMMYFUNCTION("split(E269,""+"")"),"Icecream")</f>
        <v>Icecream</v>
      </c>
      <c r="L269" s="14" t="str">
        <f>IFERROR(__xludf.DUMMYFUNCTION("""COMPUTED_VALUE"""),"4*Not Assigned")</f>
        <v>4*Not Assigned</v>
      </c>
      <c r="M269" s="14">
        <f>IFERROR(__xludf.DUMMYFUNCTION("SPLIT(L269,""*"")"),4.0)</f>
        <v>4</v>
      </c>
      <c r="N269" s="14" t="str">
        <f>IFERROR(__xludf.DUMMYFUNCTION("""COMPUTED_VALUE"""),"Not Assigned")</f>
        <v>Not Assigned</v>
      </c>
      <c r="O269" s="14" t="str">
        <f>IFERROR(__xludf.DUMMYFUNCTION("split(J269,""*"")"),"Cancelled")</f>
        <v>Cancelled</v>
      </c>
      <c r="P269" s="14" t="str">
        <f>IFERROR(__xludf.DUMMYFUNCTION("""COMPUTED_VALUE"""),"High Delivery Fees")</f>
        <v>High Delivery Fees</v>
      </c>
      <c r="Q269" s="14" t="str">
        <f>IFERROR(__xludf.DUMMYFUNCTION("split(P269,"":"")"),"High Delivery Fees")</f>
        <v>High Delivery Fees</v>
      </c>
      <c r="R269" s="14"/>
      <c r="S269" s="14" t="str">
        <f t="shared" ref="S269:U269" si="541">trim(B269)</f>
        <v>ord_10268</v>
      </c>
      <c r="T269" s="14" t="str">
        <f t="shared" si="541"/>
        <v>Aditya Rao</v>
      </c>
      <c r="U269" s="14" t="str">
        <f t="shared" si="541"/>
        <v>Lower Parel</v>
      </c>
      <c r="V269" s="14" t="str">
        <f t="shared" si="4"/>
        <v>Icecream</v>
      </c>
      <c r="W269" s="14">
        <f t="shared" si="5"/>
        <v>4</v>
      </c>
      <c r="X269" s="14" t="str">
        <f t="shared" si="6"/>
        <v>Not Assigned</v>
      </c>
      <c r="Y269" s="15">
        <f t="shared" si="7"/>
        <v>45216</v>
      </c>
      <c r="Z269" s="14" t="str">
        <f t="shared" si="8"/>
        <v>UPI</v>
      </c>
      <c r="AA269" s="14" t="str">
        <f t="shared" si="9"/>
        <v>Cancelled</v>
      </c>
      <c r="AB269" s="14" t="str">
        <f t="shared" ref="AB269:AC269" si="542">trim(Q269)</f>
        <v>High Delivery Fees</v>
      </c>
      <c r="AC269" s="14" t="str">
        <f t="shared" si="542"/>
        <v/>
      </c>
      <c r="AD269" s="8"/>
    </row>
    <row r="270">
      <c r="A270" s="14" t="str">
        <f>IFERROR(__xludf.DUMMYFUNCTION("""COMPUTED_VALUE"""),"//ord_10269//Pallavi Ghosh//Bandra//Cold Coffee+5*Priya Joshi/6/15/2023//COD//Delivered*Satisfied with the Delivery: Timely and quality")</f>
        <v>//ord_10269//Pallavi Ghosh//Bandra//Cold Coffee+5*Priya Joshi/6/15/2023//COD//Delivered*Satisfied with the Delivery: Timely and quality</v>
      </c>
      <c r="B270" s="14" t="str">
        <f>IFERROR(__xludf.DUMMYFUNCTION("split(A270,""//"")"),"ord_10269")</f>
        <v>ord_10269</v>
      </c>
      <c r="C270" s="14" t="str">
        <f>IFERROR(__xludf.DUMMYFUNCTION("""COMPUTED_VALUE"""),"Pallavi Ghosh")</f>
        <v>Pallavi Ghosh</v>
      </c>
      <c r="D270" s="14" t="str">
        <f>IFERROR(__xludf.DUMMYFUNCTION("""COMPUTED_VALUE"""),"Bandra")</f>
        <v>Bandra</v>
      </c>
      <c r="E270" s="14" t="str">
        <f>IFERROR(__xludf.DUMMYFUNCTION("""COMPUTED_VALUE"""),"Cold Coffee+5*Priya Joshi")</f>
        <v>Cold Coffee+5*Priya Joshi</v>
      </c>
      <c r="F270" s="14">
        <f>IFERROR(__xludf.DUMMYFUNCTION("""COMPUTED_VALUE"""),6.0)</f>
        <v>6</v>
      </c>
      <c r="G270" s="14">
        <f>IFERROR(__xludf.DUMMYFUNCTION("""COMPUTED_VALUE"""),15.0)</f>
        <v>15</v>
      </c>
      <c r="H270" s="14">
        <f>IFERROR(__xludf.DUMMYFUNCTION("""COMPUTED_VALUE"""),2023.0)</f>
        <v>2023</v>
      </c>
      <c r="I270" s="14" t="str">
        <f>IFERROR(__xludf.DUMMYFUNCTION("""COMPUTED_VALUE"""),"COD")</f>
        <v>COD</v>
      </c>
      <c r="J270" s="14" t="str">
        <f>IFERROR(__xludf.DUMMYFUNCTION("""COMPUTED_VALUE"""),"Delivered*Satisfied with the Delivery: Timely and quality")</f>
        <v>Delivered*Satisfied with the Delivery: Timely and quality</v>
      </c>
      <c r="K270" s="14" t="str">
        <f>IFERROR(__xludf.DUMMYFUNCTION("split(E270,""+"")"),"Cold Coffee")</f>
        <v>Cold Coffee</v>
      </c>
      <c r="L270" s="14" t="str">
        <f>IFERROR(__xludf.DUMMYFUNCTION("""COMPUTED_VALUE"""),"5*Priya Joshi")</f>
        <v>5*Priya Joshi</v>
      </c>
      <c r="M270" s="14">
        <f>IFERROR(__xludf.DUMMYFUNCTION("SPLIT(L270,""*"")"),5.0)</f>
        <v>5</v>
      </c>
      <c r="N270" s="14" t="str">
        <f>IFERROR(__xludf.DUMMYFUNCTION("""COMPUTED_VALUE"""),"Priya Joshi")</f>
        <v>Priya Joshi</v>
      </c>
      <c r="O270" s="14" t="str">
        <f>IFERROR(__xludf.DUMMYFUNCTION("split(J270,""*"")"),"Delivered")</f>
        <v>Delivered</v>
      </c>
      <c r="P270" s="14" t="str">
        <f>IFERROR(__xludf.DUMMYFUNCTION("""COMPUTED_VALUE"""),"Satisfied with the Delivery: Timely and quality")</f>
        <v>Satisfied with the Delivery: Timely and quality</v>
      </c>
      <c r="Q270" s="14" t="str">
        <f>IFERROR(__xludf.DUMMYFUNCTION("split(P270,"":"")"),"Satisfied with the Delivery")</f>
        <v>Satisfied with the Delivery</v>
      </c>
      <c r="R270" s="14" t="str">
        <f>IFERROR(__xludf.DUMMYFUNCTION("""COMPUTED_VALUE""")," Timely and quality")</f>
        <v> Timely and quality</v>
      </c>
      <c r="S270" s="14" t="str">
        <f t="shared" ref="S270:U270" si="543">trim(B270)</f>
        <v>ord_10269</v>
      </c>
      <c r="T270" s="14" t="str">
        <f t="shared" si="543"/>
        <v>Pallavi Ghosh</v>
      </c>
      <c r="U270" s="14" t="str">
        <f t="shared" si="543"/>
        <v>Bandra</v>
      </c>
      <c r="V270" s="14" t="str">
        <f t="shared" si="4"/>
        <v>Cold Coffee</v>
      </c>
      <c r="W270" s="14">
        <f t="shared" si="5"/>
        <v>5</v>
      </c>
      <c r="X270" s="14" t="str">
        <f t="shared" si="6"/>
        <v>Priya Joshi</v>
      </c>
      <c r="Y270" s="15">
        <f t="shared" si="7"/>
        <v>45092</v>
      </c>
      <c r="Z270" s="14" t="str">
        <f t="shared" si="8"/>
        <v>COD</v>
      </c>
      <c r="AA270" s="14" t="str">
        <f t="shared" si="9"/>
        <v>Delivered</v>
      </c>
      <c r="AB270" s="14" t="str">
        <f t="shared" ref="AB270:AC270" si="544">trim(Q270)</f>
        <v>Satisfied with the Delivery</v>
      </c>
      <c r="AC270" s="14" t="str">
        <f t="shared" si="544"/>
        <v>Timely and quality</v>
      </c>
      <c r="AD270" s="8"/>
    </row>
    <row r="271">
      <c r="A271" s="14" t="str">
        <f>IFERROR(__xludf.DUMMYFUNCTION("""COMPUTED_VALUE"""),"//ord_10270//Aditi Iyer//Dadar//Juice+5*Vivek Kumar/9/15/2023//Credit Card//Delivered*Customer Service: Seamless and easy")</f>
        <v>//ord_10270//Aditi Iyer//Dadar//Juice+5*Vivek Kumar/9/15/2023//Credit Card//Delivered*Customer Service: Seamless and easy</v>
      </c>
      <c r="B271" s="14" t="str">
        <f>IFERROR(__xludf.DUMMYFUNCTION("split(A271,""//"")"),"ord_10270")</f>
        <v>ord_10270</v>
      </c>
      <c r="C271" s="14" t="str">
        <f>IFERROR(__xludf.DUMMYFUNCTION("""COMPUTED_VALUE"""),"Aditi Iyer")</f>
        <v>Aditi Iyer</v>
      </c>
      <c r="D271" s="14" t="str">
        <f>IFERROR(__xludf.DUMMYFUNCTION("""COMPUTED_VALUE"""),"Dadar")</f>
        <v>Dadar</v>
      </c>
      <c r="E271" s="14" t="str">
        <f>IFERROR(__xludf.DUMMYFUNCTION("""COMPUTED_VALUE"""),"Juice+5*Vivek Kumar")</f>
        <v>Juice+5*Vivek Kumar</v>
      </c>
      <c r="F271" s="14">
        <f>IFERROR(__xludf.DUMMYFUNCTION("""COMPUTED_VALUE"""),9.0)</f>
        <v>9</v>
      </c>
      <c r="G271" s="14">
        <f>IFERROR(__xludf.DUMMYFUNCTION("""COMPUTED_VALUE"""),15.0)</f>
        <v>15</v>
      </c>
      <c r="H271" s="14">
        <f>IFERROR(__xludf.DUMMYFUNCTION("""COMPUTED_VALUE"""),2023.0)</f>
        <v>2023</v>
      </c>
      <c r="I271" s="14" t="str">
        <f>IFERROR(__xludf.DUMMYFUNCTION("""COMPUTED_VALUE"""),"Credit Card")</f>
        <v>Credit Card</v>
      </c>
      <c r="J271" s="14" t="str">
        <f>IFERROR(__xludf.DUMMYFUNCTION("""COMPUTED_VALUE"""),"Delivered*Customer Service: Seamless and easy")</f>
        <v>Delivered*Customer Service: Seamless and easy</v>
      </c>
      <c r="K271" s="14" t="str">
        <f>IFERROR(__xludf.DUMMYFUNCTION("split(E271,""+"")"),"Juice")</f>
        <v>Juice</v>
      </c>
      <c r="L271" s="14" t="str">
        <f>IFERROR(__xludf.DUMMYFUNCTION("""COMPUTED_VALUE"""),"5*Vivek Kumar")</f>
        <v>5*Vivek Kumar</v>
      </c>
      <c r="M271" s="14">
        <f>IFERROR(__xludf.DUMMYFUNCTION("SPLIT(L271,""*"")"),5.0)</f>
        <v>5</v>
      </c>
      <c r="N271" s="14" t="str">
        <f>IFERROR(__xludf.DUMMYFUNCTION("""COMPUTED_VALUE"""),"Vivek Kumar")</f>
        <v>Vivek Kumar</v>
      </c>
      <c r="O271" s="14" t="str">
        <f>IFERROR(__xludf.DUMMYFUNCTION("split(J271,""*"")"),"Delivered")</f>
        <v>Delivered</v>
      </c>
      <c r="P271" s="14" t="str">
        <f>IFERROR(__xludf.DUMMYFUNCTION("""COMPUTED_VALUE"""),"Customer Service: Seamless and easy")</f>
        <v>Customer Service: Seamless and easy</v>
      </c>
      <c r="Q271" s="14" t="str">
        <f>IFERROR(__xludf.DUMMYFUNCTION("split(P271,"":"")"),"Customer Service")</f>
        <v>Customer Service</v>
      </c>
      <c r="R271" s="14" t="str">
        <f>IFERROR(__xludf.DUMMYFUNCTION("""COMPUTED_VALUE""")," Seamless and easy")</f>
        <v> Seamless and easy</v>
      </c>
      <c r="S271" s="14" t="str">
        <f t="shared" ref="S271:U271" si="545">trim(B271)</f>
        <v>ord_10270</v>
      </c>
      <c r="T271" s="14" t="str">
        <f t="shared" si="545"/>
        <v>Aditi Iyer</v>
      </c>
      <c r="U271" s="14" t="str">
        <f t="shared" si="545"/>
        <v>Dadar</v>
      </c>
      <c r="V271" s="14" t="str">
        <f t="shared" si="4"/>
        <v>Juice</v>
      </c>
      <c r="W271" s="14">
        <f t="shared" si="5"/>
        <v>5</v>
      </c>
      <c r="X271" s="14" t="str">
        <f t="shared" si="6"/>
        <v>Vivek Kumar</v>
      </c>
      <c r="Y271" s="15">
        <f t="shared" si="7"/>
        <v>45184</v>
      </c>
      <c r="Z271" s="14" t="str">
        <f t="shared" si="8"/>
        <v>Credit Card</v>
      </c>
      <c r="AA271" s="14" t="str">
        <f t="shared" si="9"/>
        <v>Delivered</v>
      </c>
      <c r="AB271" s="14" t="str">
        <f t="shared" ref="AB271:AC271" si="546">trim(Q271)</f>
        <v>Customer Service</v>
      </c>
      <c r="AC271" s="14" t="str">
        <f t="shared" si="546"/>
        <v>Seamless and easy</v>
      </c>
      <c r="AD271" s="8"/>
    </row>
    <row r="272">
      <c r="A272" s="14" t="str">
        <f>IFERROR(__xludf.DUMMYFUNCTION("""COMPUTED_VALUE"""),"//ord_10271//Aditi Iyer//Dadar//Juice+3*Manju Ajay/4/1/2023//Online Payment//Cancelled*Delayed Delivery:Bad Weather Conditions ")</f>
        <v>//ord_10271//Aditi Iyer//Dadar//Juice+3*Manju Ajay/4/1/2023//Online Payment//Cancelled*Delayed Delivery:Bad Weather Conditions </v>
      </c>
      <c r="B272" s="14" t="str">
        <f>IFERROR(__xludf.DUMMYFUNCTION("split(A272,""//"")"),"ord_10271")</f>
        <v>ord_10271</v>
      </c>
      <c r="C272" s="14" t="str">
        <f>IFERROR(__xludf.DUMMYFUNCTION("""COMPUTED_VALUE"""),"Aditi Iyer")</f>
        <v>Aditi Iyer</v>
      </c>
      <c r="D272" s="14" t="str">
        <f>IFERROR(__xludf.DUMMYFUNCTION("""COMPUTED_VALUE"""),"Dadar")</f>
        <v>Dadar</v>
      </c>
      <c r="E272" s="14" t="str">
        <f>IFERROR(__xludf.DUMMYFUNCTION("""COMPUTED_VALUE"""),"Juice+3*Manju Ajay")</f>
        <v>Juice+3*Manju Ajay</v>
      </c>
      <c r="F272" s="14">
        <f>IFERROR(__xludf.DUMMYFUNCTION("""COMPUTED_VALUE"""),4.0)</f>
        <v>4</v>
      </c>
      <c r="G272" s="14">
        <f>IFERROR(__xludf.DUMMYFUNCTION("""COMPUTED_VALUE"""),1.0)</f>
        <v>1</v>
      </c>
      <c r="H272" s="14">
        <f>IFERROR(__xludf.DUMMYFUNCTION("""COMPUTED_VALUE"""),2023.0)</f>
        <v>2023</v>
      </c>
      <c r="I272" s="14" t="str">
        <f>IFERROR(__xludf.DUMMYFUNCTION("""COMPUTED_VALUE"""),"Online Payment")</f>
        <v>Online Payment</v>
      </c>
      <c r="J272" s="14" t="str">
        <f>IFERROR(__xludf.DUMMYFUNCTION("""COMPUTED_VALUE"""),"Cancelled*Delayed Delivery:Bad Weather Conditions ")</f>
        <v>Cancelled*Delayed Delivery:Bad Weather Conditions </v>
      </c>
      <c r="K272" s="14" t="str">
        <f>IFERROR(__xludf.DUMMYFUNCTION("split(E272,""+"")"),"Juice")</f>
        <v>Juice</v>
      </c>
      <c r="L272" s="14" t="str">
        <f>IFERROR(__xludf.DUMMYFUNCTION("""COMPUTED_VALUE"""),"3*Manju Ajay")</f>
        <v>3*Manju Ajay</v>
      </c>
      <c r="M272" s="14">
        <f>IFERROR(__xludf.DUMMYFUNCTION("SPLIT(L272,""*"")"),3.0)</f>
        <v>3</v>
      </c>
      <c r="N272" s="14" t="str">
        <f>IFERROR(__xludf.DUMMYFUNCTION("""COMPUTED_VALUE"""),"Manju Ajay")</f>
        <v>Manju Ajay</v>
      </c>
      <c r="O272" s="14" t="str">
        <f>IFERROR(__xludf.DUMMYFUNCTION("split(J272,""*"")"),"Cancelled")</f>
        <v>Cancelled</v>
      </c>
      <c r="P272" s="14" t="str">
        <f>IFERROR(__xludf.DUMMYFUNCTION("""COMPUTED_VALUE"""),"Delayed Delivery:Bad Weather Conditions ")</f>
        <v>Delayed Delivery:Bad Weather Conditions </v>
      </c>
      <c r="Q272" s="14" t="str">
        <f>IFERROR(__xludf.DUMMYFUNCTION("split(P272,"":"")"),"Delayed Delivery")</f>
        <v>Delayed Delivery</v>
      </c>
      <c r="R272" s="14" t="str">
        <f>IFERROR(__xludf.DUMMYFUNCTION("""COMPUTED_VALUE"""),"Bad Weather Conditions ")</f>
        <v>Bad Weather Conditions </v>
      </c>
      <c r="S272" s="14" t="str">
        <f t="shared" ref="S272:U272" si="547">trim(B272)</f>
        <v>ord_10271</v>
      </c>
      <c r="T272" s="14" t="str">
        <f t="shared" si="547"/>
        <v>Aditi Iyer</v>
      </c>
      <c r="U272" s="14" t="str">
        <f t="shared" si="547"/>
        <v>Dadar</v>
      </c>
      <c r="V272" s="14" t="str">
        <f t="shared" si="4"/>
        <v>Juice</v>
      </c>
      <c r="W272" s="14">
        <f t="shared" si="5"/>
        <v>3</v>
      </c>
      <c r="X272" s="14" t="str">
        <f t="shared" si="6"/>
        <v>Manju Ajay</v>
      </c>
      <c r="Y272" s="15">
        <f t="shared" si="7"/>
        <v>45017</v>
      </c>
      <c r="Z272" s="14" t="str">
        <f t="shared" si="8"/>
        <v>Online Payment</v>
      </c>
      <c r="AA272" s="14" t="str">
        <f t="shared" si="9"/>
        <v>Cancelled</v>
      </c>
      <c r="AB272" s="14" t="str">
        <f t="shared" ref="AB272:AC272" si="548">trim(Q272)</f>
        <v>Delayed Delivery</v>
      </c>
      <c r="AC272" s="14" t="str">
        <f t="shared" si="548"/>
        <v>Bad Weather Conditions</v>
      </c>
      <c r="AD272" s="8"/>
    </row>
    <row r="273">
      <c r="A273" s="14" t="str">
        <f>IFERROR(__xludf.DUMMYFUNCTION("""COMPUTED_VALUE"""),"//ord_10272//Parth Goel//Juhu//Juice+1*Kiran Mehta/9/6/2023//Credit Card//Cancelled*Delayed Delivery:Heavy Traffic")</f>
        <v>//ord_10272//Parth Goel//Juhu//Juice+1*Kiran Mehta/9/6/2023//Credit Card//Cancelled*Delayed Delivery:Heavy Traffic</v>
      </c>
      <c r="B273" s="14" t="str">
        <f>IFERROR(__xludf.DUMMYFUNCTION("split(A273,""//"")"),"ord_10272")</f>
        <v>ord_10272</v>
      </c>
      <c r="C273" s="14" t="str">
        <f>IFERROR(__xludf.DUMMYFUNCTION("""COMPUTED_VALUE"""),"Parth Goel")</f>
        <v>Parth Goel</v>
      </c>
      <c r="D273" s="14" t="str">
        <f>IFERROR(__xludf.DUMMYFUNCTION("""COMPUTED_VALUE"""),"Juhu")</f>
        <v>Juhu</v>
      </c>
      <c r="E273" s="14" t="str">
        <f>IFERROR(__xludf.DUMMYFUNCTION("""COMPUTED_VALUE"""),"Juice+1*Kiran Mehta")</f>
        <v>Juice+1*Kiran Mehta</v>
      </c>
      <c r="F273" s="14">
        <f>IFERROR(__xludf.DUMMYFUNCTION("""COMPUTED_VALUE"""),9.0)</f>
        <v>9</v>
      </c>
      <c r="G273" s="14">
        <f>IFERROR(__xludf.DUMMYFUNCTION("""COMPUTED_VALUE"""),6.0)</f>
        <v>6</v>
      </c>
      <c r="H273" s="14">
        <f>IFERROR(__xludf.DUMMYFUNCTION("""COMPUTED_VALUE"""),2023.0)</f>
        <v>2023</v>
      </c>
      <c r="I273" s="14" t="str">
        <f>IFERROR(__xludf.DUMMYFUNCTION("""COMPUTED_VALUE"""),"Credit Card")</f>
        <v>Credit Card</v>
      </c>
      <c r="J273" s="14" t="str">
        <f>IFERROR(__xludf.DUMMYFUNCTION("""COMPUTED_VALUE"""),"Cancelled*Delayed Delivery:Heavy Traffic")</f>
        <v>Cancelled*Delayed Delivery:Heavy Traffic</v>
      </c>
      <c r="K273" s="14" t="str">
        <f>IFERROR(__xludf.DUMMYFUNCTION("split(E273,""+"")"),"Juice")</f>
        <v>Juice</v>
      </c>
      <c r="L273" s="14" t="str">
        <f>IFERROR(__xludf.DUMMYFUNCTION("""COMPUTED_VALUE"""),"1*Kiran Mehta")</f>
        <v>1*Kiran Mehta</v>
      </c>
      <c r="M273" s="14">
        <f>IFERROR(__xludf.DUMMYFUNCTION("SPLIT(L273,""*"")"),1.0)</f>
        <v>1</v>
      </c>
      <c r="N273" s="14" t="str">
        <f>IFERROR(__xludf.DUMMYFUNCTION("""COMPUTED_VALUE"""),"Kiran Mehta")</f>
        <v>Kiran Mehta</v>
      </c>
      <c r="O273" s="14" t="str">
        <f>IFERROR(__xludf.DUMMYFUNCTION("split(J273,""*"")"),"Cancelled")</f>
        <v>Cancelled</v>
      </c>
      <c r="P273" s="14" t="str">
        <f>IFERROR(__xludf.DUMMYFUNCTION("""COMPUTED_VALUE"""),"Delayed Delivery:Heavy Traffic")</f>
        <v>Delayed Delivery:Heavy Traffic</v>
      </c>
      <c r="Q273" s="14" t="str">
        <f>IFERROR(__xludf.DUMMYFUNCTION("split(P273,"":"")"),"Delayed Delivery")</f>
        <v>Delayed Delivery</v>
      </c>
      <c r="R273" s="14" t="str">
        <f>IFERROR(__xludf.DUMMYFUNCTION("""COMPUTED_VALUE"""),"Heavy Traffic")</f>
        <v>Heavy Traffic</v>
      </c>
      <c r="S273" s="14" t="str">
        <f t="shared" ref="S273:U273" si="549">trim(B273)</f>
        <v>ord_10272</v>
      </c>
      <c r="T273" s="14" t="str">
        <f t="shared" si="549"/>
        <v>Parth Goel</v>
      </c>
      <c r="U273" s="14" t="str">
        <f t="shared" si="549"/>
        <v>Juhu</v>
      </c>
      <c r="V273" s="14" t="str">
        <f t="shared" si="4"/>
        <v>Juice</v>
      </c>
      <c r="W273" s="14">
        <f t="shared" si="5"/>
        <v>1</v>
      </c>
      <c r="X273" s="14" t="str">
        <f t="shared" si="6"/>
        <v>Kiran Mehta</v>
      </c>
      <c r="Y273" s="15">
        <f t="shared" si="7"/>
        <v>45175</v>
      </c>
      <c r="Z273" s="14" t="str">
        <f t="shared" si="8"/>
        <v>Credit Card</v>
      </c>
      <c r="AA273" s="14" t="str">
        <f t="shared" si="9"/>
        <v>Cancelled</v>
      </c>
      <c r="AB273" s="14" t="str">
        <f t="shared" ref="AB273:AC273" si="550">trim(Q273)</f>
        <v>Delayed Delivery</v>
      </c>
      <c r="AC273" s="14" t="str">
        <f t="shared" si="550"/>
        <v>Heavy Traffic</v>
      </c>
      <c r="AD273" s="8"/>
    </row>
    <row r="274">
      <c r="A274" s="14" t="str">
        <f>IFERROR(__xludf.DUMMYFUNCTION("""COMPUTED_VALUE"""),"//ord_10273//Mehul Thakkar//Malad//Juice+4*Ramesh S/1/16/2023//Credit Card//Cancelled*Delayed Delivery:Incorrect Address or Location")</f>
        <v>//ord_10273//Mehul Thakkar//Malad//Juice+4*Ramesh S/1/16/2023//Credit Card//Cancelled*Delayed Delivery:Incorrect Address or Location</v>
      </c>
      <c r="B274" s="14" t="str">
        <f>IFERROR(__xludf.DUMMYFUNCTION("split(A274,""//"")"),"ord_10273")</f>
        <v>ord_10273</v>
      </c>
      <c r="C274" s="14" t="str">
        <f>IFERROR(__xludf.DUMMYFUNCTION("""COMPUTED_VALUE"""),"Mehul Thakkar")</f>
        <v>Mehul Thakkar</v>
      </c>
      <c r="D274" s="14" t="str">
        <f>IFERROR(__xludf.DUMMYFUNCTION("""COMPUTED_VALUE"""),"Malad")</f>
        <v>Malad</v>
      </c>
      <c r="E274" s="14" t="str">
        <f>IFERROR(__xludf.DUMMYFUNCTION("""COMPUTED_VALUE"""),"Juice+4*Ramesh S")</f>
        <v>Juice+4*Ramesh S</v>
      </c>
      <c r="F274" s="14">
        <f>IFERROR(__xludf.DUMMYFUNCTION("""COMPUTED_VALUE"""),1.0)</f>
        <v>1</v>
      </c>
      <c r="G274" s="14">
        <f>IFERROR(__xludf.DUMMYFUNCTION("""COMPUTED_VALUE"""),16.0)</f>
        <v>16</v>
      </c>
      <c r="H274" s="14">
        <f>IFERROR(__xludf.DUMMYFUNCTION("""COMPUTED_VALUE"""),2023.0)</f>
        <v>2023</v>
      </c>
      <c r="I274" s="14" t="str">
        <f>IFERROR(__xludf.DUMMYFUNCTION("""COMPUTED_VALUE"""),"Credit Card")</f>
        <v>Credit Card</v>
      </c>
      <c r="J274" s="14" t="str">
        <f>IFERROR(__xludf.DUMMYFUNCTION("""COMPUTED_VALUE"""),"Cancelled*Delayed Delivery:Incorrect Address or Location")</f>
        <v>Cancelled*Delayed Delivery:Incorrect Address or Location</v>
      </c>
      <c r="K274" s="14" t="str">
        <f>IFERROR(__xludf.DUMMYFUNCTION("split(E274,""+"")"),"Juice")</f>
        <v>Juice</v>
      </c>
      <c r="L274" s="14" t="str">
        <f>IFERROR(__xludf.DUMMYFUNCTION("""COMPUTED_VALUE"""),"4*Ramesh S")</f>
        <v>4*Ramesh S</v>
      </c>
      <c r="M274" s="14">
        <f>IFERROR(__xludf.DUMMYFUNCTION("SPLIT(L274,""*"")"),4.0)</f>
        <v>4</v>
      </c>
      <c r="N274" s="14" t="str">
        <f>IFERROR(__xludf.DUMMYFUNCTION("""COMPUTED_VALUE"""),"Ramesh S")</f>
        <v>Ramesh S</v>
      </c>
      <c r="O274" s="14" t="str">
        <f>IFERROR(__xludf.DUMMYFUNCTION("split(J274,""*"")"),"Cancelled")</f>
        <v>Cancelled</v>
      </c>
      <c r="P274" s="14" t="str">
        <f>IFERROR(__xludf.DUMMYFUNCTION("""COMPUTED_VALUE"""),"Delayed Delivery:Incorrect Address or Location")</f>
        <v>Delayed Delivery:Incorrect Address or Location</v>
      </c>
      <c r="Q274" s="14" t="str">
        <f>IFERROR(__xludf.DUMMYFUNCTION("split(P274,"":"")"),"Delayed Delivery")</f>
        <v>Delayed Delivery</v>
      </c>
      <c r="R274" s="14" t="str">
        <f>IFERROR(__xludf.DUMMYFUNCTION("""COMPUTED_VALUE"""),"Incorrect Address or Location")</f>
        <v>Incorrect Address or Location</v>
      </c>
      <c r="S274" s="14" t="str">
        <f t="shared" ref="S274:U274" si="551">trim(B274)</f>
        <v>ord_10273</v>
      </c>
      <c r="T274" s="14" t="str">
        <f t="shared" si="551"/>
        <v>Mehul Thakkar</v>
      </c>
      <c r="U274" s="14" t="str">
        <f t="shared" si="551"/>
        <v>Malad</v>
      </c>
      <c r="V274" s="14" t="str">
        <f t="shared" si="4"/>
        <v>Juice</v>
      </c>
      <c r="W274" s="14">
        <f t="shared" si="5"/>
        <v>4</v>
      </c>
      <c r="X274" s="14" t="str">
        <f t="shared" si="6"/>
        <v>Ramesh S</v>
      </c>
      <c r="Y274" s="15">
        <f t="shared" si="7"/>
        <v>44942</v>
      </c>
      <c r="Z274" s="14" t="str">
        <f t="shared" si="8"/>
        <v>Credit Card</v>
      </c>
      <c r="AA274" s="14" t="str">
        <f t="shared" si="9"/>
        <v>Cancelled</v>
      </c>
      <c r="AB274" s="14" t="str">
        <f t="shared" ref="AB274:AC274" si="552">trim(Q274)</f>
        <v>Delayed Delivery</v>
      </c>
      <c r="AC274" s="14" t="str">
        <f t="shared" si="552"/>
        <v>Incorrect Address or Location</v>
      </c>
      <c r="AD274" s="8"/>
    </row>
    <row r="275">
      <c r="A275" s="14" t="str">
        <f>IFERROR(__xludf.DUMMYFUNCTION("""COMPUTED_VALUE"""),"//ord_10274//Aarav Mehta//Andheri//Popcorn+1*Not Assigned/8/15/2023//Credit Card//Cancelled*High Delivery Fees")</f>
        <v>//ord_10274//Aarav Mehta//Andheri//Popcorn+1*Not Assigned/8/15/2023//Credit Card//Cancelled*High Delivery Fees</v>
      </c>
      <c r="B275" s="14" t="str">
        <f>IFERROR(__xludf.DUMMYFUNCTION("split(A275,""//"")"),"ord_10274")</f>
        <v>ord_10274</v>
      </c>
      <c r="C275" s="14" t="str">
        <f>IFERROR(__xludf.DUMMYFUNCTION("""COMPUTED_VALUE"""),"Aarav Mehta")</f>
        <v>Aarav Mehta</v>
      </c>
      <c r="D275" s="14" t="str">
        <f>IFERROR(__xludf.DUMMYFUNCTION("""COMPUTED_VALUE"""),"Andheri")</f>
        <v>Andheri</v>
      </c>
      <c r="E275" s="14" t="str">
        <f>IFERROR(__xludf.DUMMYFUNCTION("""COMPUTED_VALUE"""),"Popcorn+1*Not Assigned")</f>
        <v>Popcorn+1*Not Assigned</v>
      </c>
      <c r="F275" s="14">
        <f>IFERROR(__xludf.DUMMYFUNCTION("""COMPUTED_VALUE"""),8.0)</f>
        <v>8</v>
      </c>
      <c r="G275" s="14">
        <f>IFERROR(__xludf.DUMMYFUNCTION("""COMPUTED_VALUE"""),15.0)</f>
        <v>15</v>
      </c>
      <c r="H275" s="14">
        <f>IFERROR(__xludf.DUMMYFUNCTION("""COMPUTED_VALUE"""),2023.0)</f>
        <v>2023</v>
      </c>
      <c r="I275" s="14" t="str">
        <f>IFERROR(__xludf.DUMMYFUNCTION("""COMPUTED_VALUE"""),"Credit Card")</f>
        <v>Credit Card</v>
      </c>
      <c r="J275" s="14" t="str">
        <f>IFERROR(__xludf.DUMMYFUNCTION("""COMPUTED_VALUE"""),"Cancelled*High Delivery Fees")</f>
        <v>Cancelled*High Delivery Fees</v>
      </c>
      <c r="K275" s="14" t="str">
        <f>IFERROR(__xludf.DUMMYFUNCTION("split(E275,""+"")"),"Popcorn")</f>
        <v>Popcorn</v>
      </c>
      <c r="L275" s="14" t="str">
        <f>IFERROR(__xludf.DUMMYFUNCTION("""COMPUTED_VALUE"""),"1*Not Assigned")</f>
        <v>1*Not Assigned</v>
      </c>
      <c r="M275" s="14">
        <f>IFERROR(__xludf.DUMMYFUNCTION("SPLIT(L275,""*"")"),1.0)</f>
        <v>1</v>
      </c>
      <c r="N275" s="14" t="str">
        <f>IFERROR(__xludf.DUMMYFUNCTION("""COMPUTED_VALUE"""),"Not Assigned")</f>
        <v>Not Assigned</v>
      </c>
      <c r="O275" s="14" t="str">
        <f>IFERROR(__xludf.DUMMYFUNCTION("split(J275,""*"")"),"Cancelled")</f>
        <v>Cancelled</v>
      </c>
      <c r="P275" s="14" t="str">
        <f>IFERROR(__xludf.DUMMYFUNCTION("""COMPUTED_VALUE"""),"High Delivery Fees")</f>
        <v>High Delivery Fees</v>
      </c>
      <c r="Q275" s="14" t="str">
        <f>IFERROR(__xludf.DUMMYFUNCTION("split(P275,"":"")"),"High Delivery Fees")</f>
        <v>High Delivery Fees</v>
      </c>
      <c r="R275" s="14"/>
      <c r="S275" s="14" t="str">
        <f t="shared" ref="S275:U275" si="553">trim(B275)</f>
        <v>ord_10274</v>
      </c>
      <c r="T275" s="14" t="str">
        <f t="shared" si="553"/>
        <v>Aarav Mehta</v>
      </c>
      <c r="U275" s="14" t="str">
        <f t="shared" si="553"/>
        <v>Andheri</v>
      </c>
      <c r="V275" s="14" t="str">
        <f t="shared" si="4"/>
        <v>Popcorn</v>
      </c>
      <c r="W275" s="14">
        <f t="shared" si="5"/>
        <v>1</v>
      </c>
      <c r="X275" s="14" t="str">
        <f t="shared" si="6"/>
        <v>Not Assigned</v>
      </c>
      <c r="Y275" s="15">
        <f t="shared" si="7"/>
        <v>45153</v>
      </c>
      <c r="Z275" s="14" t="str">
        <f t="shared" si="8"/>
        <v>Credit Card</v>
      </c>
      <c r="AA275" s="14" t="str">
        <f t="shared" si="9"/>
        <v>Cancelled</v>
      </c>
      <c r="AB275" s="14" t="str">
        <f t="shared" ref="AB275:AC275" si="554">trim(Q275)</f>
        <v>High Delivery Fees</v>
      </c>
      <c r="AC275" s="14" t="str">
        <f t="shared" si="554"/>
        <v/>
      </c>
      <c r="AD275" s="8"/>
    </row>
    <row r="276">
      <c r="A276" s="14" t="str">
        <f>IFERROR(__xludf.DUMMYFUNCTION("""COMPUTED_VALUE"""),"//ord_10275//Ishita Banerjee//Juhu//Onion+1*Sita T/3/12/2023//Online Payment//Delivered*Delivery Experience: Quick and professional")</f>
        <v>//ord_10275//Ishita Banerjee//Juhu//Onion+1*Sita T/3/12/2023//Online Payment//Delivered*Delivery Experience: Quick and professional</v>
      </c>
      <c r="B276" s="14" t="str">
        <f>IFERROR(__xludf.DUMMYFUNCTION("split(A276,""//"")"),"ord_10275")</f>
        <v>ord_10275</v>
      </c>
      <c r="C276" s="14" t="str">
        <f>IFERROR(__xludf.DUMMYFUNCTION("""COMPUTED_VALUE"""),"Ishita Banerjee")</f>
        <v>Ishita Banerjee</v>
      </c>
      <c r="D276" s="14" t="str">
        <f>IFERROR(__xludf.DUMMYFUNCTION("""COMPUTED_VALUE"""),"Juhu")</f>
        <v>Juhu</v>
      </c>
      <c r="E276" s="14" t="str">
        <f>IFERROR(__xludf.DUMMYFUNCTION("""COMPUTED_VALUE"""),"Onion+1*Sita T")</f>
        <v>Onion+1*Sita T</v>
      </c>
      <c r="F276" s="14">
        <f>IFERROR(__xludf.DUMMYFUNCTION("""COMPUTED_VALUE"""),3.0)</f>
        <v>3</v>
      </c>
      <c r="G276" s="14">
        <f>IFERROR(__xludf.DUMMYFUNCTION("""COMPUTED_VALUE"""),12.0)</f>
        <v>12</v>
      </c>
      <c r="H276" s="14">
        <f>IFERROR(__xludf.DUMMYFUNCTION("""COMPUTED_VALUE"""),2023.0)</f>
        <v>2023</v>
      </c>
      <c r="I276" s="14" t="str">
        <f>IFERROR(__xludf.DUMMYFUNCTION("""COMPUTED_VALUE"""),"Online Payment")</f>
        <v>Online Payment</v>
      </c>
      <c r="J276" s="14" t="str">
        <f>IFERROR(__xludf.DUMMYFUNCTION("""COMPUTED_VALUE"""),"Delivered*Delivery Experience: Quick and professional")</f>
        <v>Delivered*Delivery Experience: Quick and professional</v>
      </c>
      <c r="K276" s="14" t="str">
        <f>IFERROR(__xludf.DUMMYFUNCTION("split(E276,""+"")"),"Onion")</f>
        <v>Onion</v>
      </c>
      <c r="L276" s="14" t="str">
        <f>IFERROR(__xludf.DUMMYFUNCTION("""COMPUTED_VALUE"""),"1*Sita T")</f>
        <v>1*Sita T</v>
      </c>
      <c r="M276" s="14">
        <f>IFERROR(__xludf.DUMMYFUNCTION("SPLIT(L276,""*"")"),1.0)</f>
        <v>1</v>
      </c>
      <c r="N276" s="14" t="str">
        <f>IFERROR(__xludf.DUMMYFUNCTION("""COMPUTED_VALUE"""),"Sita T")</f>
        <v>Sita T</v>
      </c>
      <c r="O276" s="14" t="str">
        <f>IFERROR(__xludf.DUMMYFUNCTION("split(J276,""*"")"),"Delivered")</f>
        <v>Delivered</v>
      </c>
      <c r="P276" s="14" t="str">
        <f>IFERROR(__xludf.DUMMYFUNCTION("""COMPUTED_VALUE"""),"Delivery Experience: Quick and professional")</f>
        <v>Delivery Experience: Quick and professional</v>
      </c>
      <c r="Q276" s="14" t="str">
        <f>IFERROR(__xludf.DUMMYFUNCTION("split(P276,"":"")"),"Delivery Experience")</f>
        <v>Delivery Experience</v>
      </c>
      <c r="R276" s="14" t="str">
        <f>IFERROR(__xludf.DUMMYFUNCTION("""COMPUTED_VALUE""")," Quick and professional")</f>
        <v> Quick and professional</v>
      </c>
      <c r="S276" s="14" t="str">
        <f t="shared" ref="S276:U276" si="555">trim(B276)</f>
        <v>ord_10275</v>
      </c>
      <c r="T276" s="14" t="str">
        <f t="shared" si="555"/>
        <v>Ishita Banerjee</v>
      </c>
      <c r="U276" s="14" t="str">
        <f t="shared" si="555"/>
        <v>Juhu</v>
      </c>
      <c r="V276" s="14" t="str">
        <f t="shared" si="4"/>
        <v>Onion</v>
      </c>
      <c r="W276" s="14">
        <f t="shared" si="5"/>
        <v>1</v>
      </c>
      <c r="X276" s="14" t="str">
        <f t="shared" si="6"/>
        <v>Sita T</v>
      </c>
      <c r="Y276" s="15">
        <f t="shared" si="7"/>
        <v>44997</v>
      </c>
      <c r="Z276" s="14" t="str">
        <f t="shared" si="8"/>
        <v>Online Payment</v>
      </c>
      <c r="AA276" s="14" t="str">
        <f t="shared" si="9"/>
        <v>Delivered</v>
      </c>
      <c r="AB276" s="14" t="str">
        <f t="shared" ref="AB276:AC276" si="556">trim(Q276)</f>
        <v>Delivery Experience</v>
      </c>
      <c r="AC276" s="14" t="str">
        <f t="shared" si="556"/>
        <v>Quick and professional</v>
      </c>
      <c r="AD276" s="8"/>
    </row>
    <row r="277">
      <c r="A277" s="14" t="str">
        <f>IFERROR(__xludf.DUMMYFUNCTION("""COMPUTED_VALUE"""),"//ord_10276//Kritika Shetty//Malad//Rasmalai+3*Tanvi Jain/3/30/2023//Credit Card//Cancelled*Delayed Delivery:Bad Weather Conditions ")</f>
        <v>//ord_10276//Kritika Shetty//Malad//Rasmalai+3*Tanvi Jain/3/30/2023//Credit Card//Cancelled*Delayed Delivery:Bad Weather Conditions </v>
      </c>
      <c r="B277" s="14" t="str">
        <f>IFERROR(__xludf.DUMMYFUNCTION("split(A277,""//"")"),"ord_10276")</f>
        <v>ord_10276</v>
      </c>
      <c r="C277" s="14" t="str">
        <f>IFERROR(__xludf.DUMMYFUNCTION("""COMPUTED_VALUE"""),"Kritika Shetty")</f>
        <v>Kritika Shetty</v>
      </c>
      <c r="D277" s="14" t="str">
        <f>IFERROR(__xludf.DUMMYFUNCTION("""COMPUTED_VALUE"""),"Malad")</f>
        <v>Malad</v>
      </c>
      <c r="E277" s="14" t="str">
        <f>IFERROR(__xludf.DUMMYFUNCTION("""COMPUTED_VALUE"""),"Rasmalai+3*Tanvi Jain")</f>
        <v>Rasmalai+3*Tanvi Jain</v>
      </c>
      <c r="F277" s="14">
        <f>IFERROR(__xludf.DUMMYFUNCTION("""COMPUTED_VALUE"""),3.0)</f>
        <v>3</v>
      </c>
      <c r="G277" s="14">
        <f>IFERROR(__xludf.DUMMYFUNCTION("""COMPUTED_VALUE"""),30.0)</f>
        <v>30</v>
      </c>
      <c r="H277" s="14">
        <f>IFERROR(__xludf.DUMMYFUNCTION("""COMPUTED_VALUE"""),2023.0)</f>
        <v>2023</v>
      </c>
      <c r="I277" s="14" t="str">
        <f>IFERROR(__xludf.DUMMYFUNCTION("""COMPUTED_VALUE"""),"Credit Card")</f>
        <v>Credit Card</v>
      </c>
      <c r="J277" s="14" t="str">
        <f>IFERROR(__xludf.DUMMYFUNCTION("""COMPUTED_VALUE"""),"Cancelled*Delayed Delivery:Bad Weather Conditions ")</f>
        <v>Cancelled*Delayed Delivery:Bad Weather Conditions </v>
      </c>
      <c r="K277" s="14" t="str">
        <f>IFERROR(__xludf.DUMMYFUNCTION("split(E277,""+"")"),"Rasmalai")</f>
        <v>Rasmalai</v>
      </c>
      <c r="L277" s="14" t="str">
        <f>IFERROR(__xludf.DUMMYFUNCTION("""COMPUTED_VALUE"""),"3*Tanvi Jain")</f>
        <v>3*Tanvi Jain</v>
      </c>
      <c r="M277" s="14">
        <f>IFERROR(__xludf.DUMMYFUNCTION("SPLIT(L277,""*"")"),3.0)</f>
        <v>3</v>
      </c>
      <c r="N277" s="14" t="str">
        <f>IFERROR(__xludf.DUMMYFUNCTION("""COMPUTED_VALUE"""),"Tanvi Jain")</f>
        <v>Tanvi Jain</v>
      </c>
      <c r="O277" s="14" t="str">
        <f>IFERROR(__xludf.DUMMYFUNCTION("split(J277,""*"")"),"Cancelled")</f>
        <v>Cancelled</v>
      </c>
      <c r="P277" s="14" t="str">
        <f>IFERROR(__xludf.DUMMYFUNCTION("""COMPUTED_VALUE"""),"Delayed Delivery:Bad Weather Conditions ")</f>
        <v>Delayed Delivery:Bad Weather Conditions </v>
      </c>
      <c r="Q277" s="14" t="str">
        <f>IFERROR(__xludf.DUMMYFUNCTION("split(P277,"":"")"),"Delayed Delivery")</f>
        <v>Delayed Delivery</v>
      </c>
      <c r="R277" s="14" t="str">
        <f>IFERROR(__xludf.DUMMYFUNCTION("""COMPUTED_VALUE"""),"Bad Weather Conditions ")</f>
        <v>Bad Weather Conditions </v>
      </c>
      <c r="S277" s="14" t="str">
        <f t="shared" ref="S277:U277" si="557">trim(B277)</f>
        <v>ord_10276</v>
      </c>
      <c r="T277" s="14" t="str">
        <f t="shared" si="557"/>
        <v>Kritika Shetty</v>
      </c>
      <c r="U277" s="14" t="str">
        <f t="shared" si="557"/>
        <v>Malad</v>
      </c>
      <c r="V277" s="14" t="str">
        <f t="shared" si="4"/>
        <v>Rasmalai</v>
      </c>
      <c r="W277" s="14">
        <f t="shared" si="5"/>
        <v>3</v>
      </c>
      <c r="X277" s="14" t="str">
        <f t="shared" si="6"/>
        <v>Tanvi Jain</v>
      </c>
      <c r="Y277" s="15">
        <f t="shared" si="7"/>
        <v>45015</v>
      </c>
      <c r="Z277" s="14" t="str">
        <f t="shared" si="8"/>
        <v>Credit Card</v>
      </c>
      <c r="AA277" s="14" t="str">
        <f t="shared" si="9"/>
        <v>Cancelled</v>
      </c>
      <c r="AB277" s="14" t="str">
        <f t="shared" ref="AB277:AC277" si="558">trim(Q277)</f>
        <v>Delayed Delivery</v>
      </c>
      <c r="AC277" s="14" t="str">
        <f t="shared" si="558"/>
        <v>Bad Weather Conditions</v>
      </c>
      <c r="AD277" s="8"/>
    </row>
    <row r="278">
      <c r="A278" s="14" t="str">
        <f>IFERROR(__xludf.DUMMYFUNCTION("""COMPUTED_VALUE"""),"//ord_10277//Diya Arora//Lower Parel//Chocolate Mousse+3*Shine Thomas/12/6/2023//UPI//Delivered*Convenience: Easy tracking")</f>
        <v>//ord_10277//Diya Arora//Lower Parel//Chocolate Mousse+3*Shine Thomas/12/6/2023//UPI//Delivered*Convenience: Easy tracking</v>
      </c>
      <c r="B278" s="14" t="str">
        <f>IFERROR(__xludf.DUMMYFUNCTION("split(A278,""//"")"),"ord_10277")</f>
        <v>ord_10277</v>
      </c>
      <c r="C278" s="14" t="str">
        <f>IFERROR(__xludf.DUMMYFUNCTION("""COMPUTED_VALUE"""),"Diya Arora")</f>
        <v>Diya Arora</v>
      </c>
      <c r="D278" s="14" t="str">
        <f>IFERROR(__xludf.DUMMYFUNCTION("""COMPUTED_VALUE"""),"Lower Parel")</f>
        <v>Lower Parel</v>
      </c>
      <c r="E278" s="14" t="str">
        <f>IFERROR(__xludf.DUMMYFUNCTION("""COMPUTED_VALUE"""),"Chocolate Mousse+3*Shine Thomas")</f>
        <v>Chocolate Mousse+3*Shine Thomas</v>
      </c>
      <c r="F278" s="14">
        <f>IFERROR(__xludf.DUMMYFUNCTION("""COMPUTED_VALUE"""),12.0)</f>
        <v>12</v>
      </c>
      <c r="G278" s="14">
        <f>IFERROR(__xludf.DUMMYFUNCTION("""COMPUTED_VALUE"""),6.0)</f>
        <v>6</v>
      </c>
      <c r="H278" s="14">
        <f>IFERROR(__xludf.DUMMYFUNCTION("""COMPUTED_VALUE"""),2023.0)</f>
        <v>2023</v>
      </c>
      <c r="I278" s="14" t="str">
        <f>IFERROR(__xludf.DUMMYFUNCTION("""COMPUTED_VALUE"""),"UPI")</f>
        <v>UPI</v>
      </c>
      <c r="J278" s="14" t="str">
        <f>IFERROR(__xludf.DUMMYFUNCTION("""COMPUTED_VALUE"""),"Delivered*Convenience: Easy tracking")</f>
        <v>Delivered*Convenience: Easy tracking</v>
      </c>
      <c r="K278" s="14" t="str">
        <f>IFERROR(__xludf.DUMMYFUNCTION("split(E278,""+"")"),"Chocolate Mousse")</f>
        <v>Chocolate Mousse</v>
      </c>
      <c r="L278" s="14" t="str">
        <f>IFERROR(__xludf.DUMMYFUNCTION("""COMPUTED_VALUE"""),"3*Shine Thomas")</f>
        <v>3*Shine Thomas</v>
      </c>
      <c r="M278" s="14">
        <f>IFERROR(__xludf.DUMMYFUNCTION("SPLIT(L278,""*"")"),3.0)</f>
        <v>3</v>
      </c>
      <c r="N278" s="14" t="str">
        <f>IFERROR(__xludf.DUMMYFUNCTION("""COMPUTED_VALUE"""),"Shine Thomas")</f>
        <v>Shine Thomas</v>
      </c>
      <c r="O278" s="14" t="str">
        <f>IFERROR(__xludf.DUMMYFUNCTION("split(J278,""*"")"),"Delivered")</f>
        <v>Delivered</v>
      </c>
      <c r="P278" s="14" t="str">
        <f>IFERROR(__xludf.DUMMYFUNCTION("""COMPUTED_VALUE"""),"Convenience: Easy tracking")</f>
        <v>Convenience: Easy tracking</v>
      </c>
      <c r="Q278" s="14" t="str">
        <f>IFERROR(__xludf.DUMMYFUNCTION("split(P278,"":"")"),"Convenience")</f>
        <v>Convenience</v>
      </c>
      <c r="R278" s="14" t="str">
        <f>IFERROR(__xludf.DUMMYFUNCTION("""COMPUTED_VALUE""")," Easy tracking")</f>
        <v> Easy tracking</v>
      </c>
      <c r="S278" s="14" t="str">
        <f t="shared" ref="S278:U278" si="559">trim(B278)</f>
        <v>ord_10277</v>
      </c>
      <c r="T278" s="14" t="str">
        <f t="shared" si="559"/>
        <v>Diya Arora</v>
      </c>
      <c r="U278" s="14" t="str">
        <f t="shared" si="559"/>
        <v>Lower Parel</v>
      </c>
      <c r="V278" s="14" t="str">
        <f t="shared" si="4"/>
        <v>Chocolate Mousse</v>
      </c>
      <c r="W278" s="14">
        <f t="shared" si="5"/>
        <v>3</v>
      </c>
      <c r="X278" s="14" t="str">
        <f t="shared" si="6"/>
        <v>Shine Thomas</v>
      </c>
      <c r="Y278" s="15">
        <f t="shared" si="7"/>
        <v>45266</v>
      </c>
      <c r="Z278" s="14" t="str">
        <f t="shared" si="8"/>
        <v>UPI</v>
      </c>
      <c r="AA278" s="14" t="str">
        <f t="shared" si="9"/>
        <v>Delivered</v>
      </c>
      <c r="AB278" s="14" t="str">
        <f t="shared" ref="AB278:AC278" si="560">trim(Q278)</f>
        <v>Convenience</v>
      </c>
      <c r="AC278" s="14" t="str">
        <f t="shared" si="560"/>
        <v>Easy tracking</v>
      </c>
      <c r="AD278" s="8"/>
    </row>
    <row r="279">
      <c r="A279" s="14" t="str">
        <f>IFERROR(__xludf.DUMMYFUNCTION("""COMPUTED_VALUE"""),"//ord_10278//Siya Reddy//Juhu//Chicken Puff+4*Ram Gopal/11/16/2023//Credit Card//Cancelled*Delayed Delivery:Heavy Traffic")</f>
        <v>//ord_10278//Siya Reddy//Juhu//Chicken Puff+4*Ram Gopal/11/16/2023//Credit Card//Cancelled*Delayed Delivery:Heavy Traffic</v>
      </c>
      <c r="B279" s="14" t="str">
        <f>IFERROR(__xludf.DUMMYFUNCTION("split(A279,""//"")"),"ord_10278")</f>
        <v>ord_10278</v>
      </c>
      <c r="C279" s="14" t="str">
        <f>IFERROR(__xludf.DUMMYFUNCTION("""COMPUTED_VALUE"""),"Siya Reddy")</f>
        <v>Siya Reddy</v>
      </c>
      <c r="D279" s="14" t="str">
        <f>IFERROR(__xludf.DUMMYFUNCTION("""COMPUTED_VALUE"""),"Juhu")</f>
        <v>Juhu</v>
      </c>
      <c r="E279" s="14" t="str">
        <f>IFERROR(__xludf.DUMMYFUNCTION("""COMPUTED_VALUE"""),"Chicken Puff+4*Ram Gopal")</f>
        <v>Chicken Puff+4*Ram Gopal</v>
      </c>
      <c r="F279" s="14">
        <f>IFERROR(__xludf.DUMMYFUNCTION("""COMPUTED_VALUE"""),11.0)</f>
        <v>11</v>
      </c>
      <c r="G279" s="14">
        <f>IFERROR(__xludf.DUMMYFUNCTION("""COMPUTED_VALUE"""),16.0)</f>
        <v>16</v>
      </c>
      <c r="H279" s="14">
        <f>IFERROR(__xludf.DUMMYFUNCTION("""COMPUTED_VALUE"""),2023.0)</f>
        <v>2023</v>
      </c>
      <c r="I279" s="14" t="str">
        <f>IFERROR(__xludf.DUMMYFUNCTION("""COMPUTED_VALUE"""),"Credit Card")</f>
        <v>Credit Card</v>
      </c>
      <c r="J279" s="14" t="str">
        <f>IFERROR(__xludf.DUMMYFUNCTION("""COMPUTED_VALUE"""),"Cancelled*Delayed Delivery:Heavy Traffic")</f>
        <v>Cancelled*Delayed Delivery:Heavy Traffic</v>
      </c>
      <c r="K279" s="14" t="str">
        <f>IFERROR(__xludf.DUMMYFUNCTION("split(E279,""+"")"),"Chicken Puff")</f>
        <v>Chicken Puff</v>
      </c>
      <c r="L279" s="14" t="str">
        <f>IFERROR(__xludf.DUMMYFUNCTION("""COMPUTED_VALUE"""),"4*Ram Gopal")</f>
        <v>4*Ram Gopal</v>
      </c>
      <c r="M279" s="14">
        <f>IFERROR(__xludf.DUMMYFUNCTION("SPLIT(L279,""*"")"),4.0)</f>
        <v>4</v>
      </c>
      <c r="N279" s="14" t="str">
        <f>IFERROR(__xludf.DUMMYFUNCTION("""COMPUTED_VALUE"""),"Ram Gopal")</f>
        <v>Ram Gopal</v>
      </c>
      <c r="O279" s="14" t="str">
        <f>IFERROR(__xludf.DUMMYFUNCTION("split(J279,""*"")"),"Cancelled")</f>
        <v>Cancelled</v>
      </c>
      <c r="P279" s="14" t="str">
        <f>IFERROR(__xludf.DUMMYFUNCTION("""COMPUTED_VALUE"""),"Delayed Delivery:Heavy Traffic")</f>
        <v>Delayed Delivery:Heavy Traffic</v>
      </c>
      <c r="Q279" s="14" t="str">
        <f>IFERROR(__xludf.DUMMYFUNCTION("split(P279,"":"")"),"Delayed Delivery")</f>
        <v>Delayed Delivery</v>
      </c>
      <c r="R279" s="14" t="str">
        <f>IFERROR(__xludf.DUMMYFUNCTION("""COMPUTED_VALUE"""),"Heavy Traffic")</f>
        <v>Heavy Traffic</v>
      </c>
      <c r="S279" s="14" t="str">
        <f t="shared" ref="S279:U279" si="561">trim(B279)</f>
        <v>ord_10278</v>
      </c>
      <c r="T279" s="14" t="str">
        <f t="shared" si="561"/>
        <v>Siya Reddy</v>
      </c>
      <c r="U279" s="14" t="str">
        <f t="shared" si="561"/>
        <v>Juhu</v>
      </c>
      <c r="V279" s="14" t="str">
        <f t="shared" si="4"/>
        <v>Chicken Puff</v>
      </c>
      <c r="W279" s="14">
        <f t="shared" si="5"/>
        <v>4</v>
      </c>
      <c r="X279" s="14" t="str">
        <f t="shared" si="6"/>
        <v>Ram Gopal</v>
      </c>
      <c r="Y279" s="15">
        <f t="shared" si="7"/>
        <v>45246</v>
      </c>
      <c r="Z279" s="14" t="str">
        <f t="shared" si="8"/>
        <v>Credit Card</v>
      </c>
      <c r="AA279" s="14" t="str">
        <f t="shared" si="9"/>
        <v>Cancelled</v>
      </c>
      <c r="AB279" s="14" t="str">
        <f t="shared" ref="AB279:AC279" si="562">trim(Q279)</f>
        <v>Delayed Delivery</v>
      </c>
      <c r="AC279" s="14" t="str">
        <f t="shared" si="562"/>
        <v>Heavy Traffic</v>
      </c>
      <c r="AD279" s="8"/>
    </row>
    <row r="280">
      <c r="A280" s="14" t="str">
        <f>IFERROR(__xludf.DUMMYFUNCTION("""COMPUTED_VALUE"""),"//ord_10279//Diya Arora//Lower Parel//Popcorn+1*Not Assigned/3/20/2023//Credit Card//Cancelled*Payment Issues")</f>
        <v>//ord_10279//Diya Arora//Lower Parel//Popcorn+1*Not Assigned/3/20/2023//Credit Card//Cancelled*Payment Issues</v>
      </c>
      <c r="B280" s="14" t="str">
        <f>IFERROR(__xludf.DUMMYFUNCTION("split(A280,""//"")"),"ord_10279")</f>
        <v>ord_10279</v>
      </c>
      <c r="C280" s="14" t="str">
        <f>IFERROR(__xludf.DUMMYFUNCTION("""COMPUTED_VALUE"""),"Diya Arora")</f>
        <v>Diya Arora</v>
      </c>
      <c r="D280" s="14" t="str">
        <f>IFERROR(__xludf.DUMMYFUNCTION("""COMPUTED_VALUE"""),"Lower Parel")</f>
        <v>Lower Parel</v>
      </c>
      <c r="E280" s="14" t="str">
        <f>IFERROR(__xludf.DUMMYFUNCTION("""COMPUTED_VALUE"""),"Popcorn+1*Not Assigned")</f>
        <v>Popcorn+1*Not Assigned</v>
      </c>
      <c r="F280" s="14">
        <f>IFERROR(__xludf.DUMMYFUNCTION("""COMPUTED_VALUE"""),3.0)</f>
        <v>3</v>
      </c>
      <c r="G280" s="14">
        <f>IFERROR(__xludf.DUMMYFUNCTION("""COMPUTED_VALUE"""),20.0)</f>
        <v>20</v>
      </c>
      <c r="H280" s="14">
        <f>IFERROR(__xludf.DUMMYFUNCTION("""COMPUTED_VALUE"""),2023.0)</f>
        <v>2023</v>
      </c>
      <c r="I280" s="14" t="str">
        <f>IFERROR(__xludf.DUMMYFUNCTION("""COMPUTED_VALUE"""),"Credit Card")</f>
        <v>Credit Card</v>
      </c>
      <c r="J280" s="14" t="str">
        <f>IFERROR(__xludf.DUMMYFUNCTION("""COMPUTED_VALUE"""),"Cancelled*Payment Issues")</f>
        <v>Cancelled*Payment Issues</v>
      </c>
      <c r="K280" s="14" t="str">
        <f>IFERROR(__xludf.DUMMYFUNCTION("split(E280,""+"")"),"Popcorn")</f>
        <v>Popcorn</v>
      </c>
      <c r="L280" s="14" t="str">
        <f>IFERROR(__xludf.DUMMYFUNCTION("""COMPUTED_VALUE"""),"1*Not Assigned")</f>
        <v>1*Not Assigned</v>
      </c>
      <c r="M280" s="14">
        <f>IFERROR(__xludf.DUMMYFUNCTION("SPLIT(L280,""*"")"),1.0)</f>
        <v>1</v>
      </c>
      <c r="N280" s="14" t="str">
        <f>IFERROR(__xludf.DUMMYFUNCTION("""COMPUTED_VALUE"""),"Not Assigned")</f>
        <v>Not Assigned</v>
      </c>
      <c r="O280" s="14" t="str">
        <f>IFERROR(__xludf.DUMMYFUNCTION("split(J280,""*"")"),"Cancelled")</f>
        <v>Cancelled</v>
      </c>
      <c r="P280" s="14" t="str">
        <f>IFERROR(__xludf.DUMMYFUNCTION("""COMPUTED_VALUE"""),"Payment Issues")</f>
        <v>Payment Issues</v>
      </c>
      <c r="Q280" s="14" t="str">
        <f>IFERROR(__xludf.DUMMYFUNCTION("split(P280,"":"")"),"Payment Issues")</f>
        <v>Payment Issues</v>
      </c>
      <c r="R280" s="14"/>
      <c r="S280" s="14" t="str">
        <f t="shared" ref="S280:U280" si="563">trim(B280)</f>
        <v>ord_10279</v>
      </c>
      <c r="T280" s="14" t="str">
        <f t="shared" si="563"/>
        <v>Diya Arora</v>
      </c>
      <c r="U280" s="14" t="str">
        <f t="shared" si="563"/>
        <v>Lower Parel</v>
      </c>
      <c r="V280" s="14" t="str">
        <f t="shared" si="4"/>
        <v>Popcorn</v>
      </c>
      <c r="W280" s="14">
        <f t="shared" si="5"/>
        <v>1</v>
      </c>
      <c r="X280" s="14" t="str">
        <f t="shared" si="6"/>
        <v>Not Assigned</v>
      </c>
      <c r="Y280" s="15">
        <f t="shared" si="7"/>
        <v>45005</v>
      </c>
      <c r="Z280" s="14" t="str">
        <f t="shared" si="8"/>
        <v>Credit Card</v>
      </c>
      <c r="AA280" s="14" t="str">
        <f t="shared" si="9"/>
        <v>Cancelled</v>
      </c>
      <c r="AB280" s="14" t="str">
        <f t="shared" ref="AB280:AC280" si="564">trim(Q280)</f>
        <v>Payment Issues</v>
      </c>
      <c r="AC280" s="14" t="str">
        <f t="shared" si="564"/>
        <v/>
      </c>
      <c r="AD280" s="8"/>
    </row>
    <row r="281">
      <c r="A281" s="14" t="str">
        <f>IFERROR(__xludf.DUMMYFUNCTION("""COMPUTED_VALUE"""),"//ord_10280//Ishita Banerjee//Juhu//Banana+2*Kiran Mehta/2/28/2023//Online Payment//Cancelled*Delayed Delivery:High Order Volume")</f>
        <v>//ord_10280//Ishita Banerjee//Juhu//Banana+2*Kiran Mehta/2/28/2023//Online Payment//Cancelled*Delayed Delivery:High Order Volume</v>
      </c>
      <c r="B281" s="14" t="str">
        <f>IFERROR(__xludf.DUMMYFUNCTION("split(A281,""//"")"),"ord_10280")</f>
        <v>ord_10280</v>
      </c>
      <c r="C281" s="14" t="str">
        <f>IFERROR(__xludf.DUMMYFUNCTION("""COMPUTED_VALUE"""),"Ishita Banerjee")</f>
        <v>Ishita Banerjee</v>
      </c>
      <c r="D281" s="14" t="str">
        <f>IFERROR(__xludf.DUMMYFUNCTION("""COMPUTED_VALUE"""),"Juhu")</f>
        <v>Juhu</v>
      </c>
      <c r="E281" s="14" t="str">
        <f>IFERROR(__xludf.DUMMYFUNCTION("""COMPUTED_VALUE"""),"Banana+2*Kiran Mehta")</f>
        <v>Banana+2*Kiran Mehta</v>
      </c>
      <c r="F281" s="14">
        <f>IFERROR(__xludf.DUMMYFUNCTION("""COMPUTED_VALUE"""),2.0)</f>
        <v>2</v>
      </c>
      <c r="G281" s="14">
        <f>IFERROR(__xludf.DUMMYFUNCTION("""COMPUTED_VALUE"""),28.0)</f>
        <v>28</v>
      </c>
      <c r="H281" s="14">
        <f>IFERROR(__xludf.DUMMYFUNCTION("""COMPUTED_VALUE"""),2023.0)</f>
        <v>2023</v>
      </c>
      <c r="I281" s="14" t="str">
        <f>IFERROR(__xludf.DUMMYFUNCTION("""COMPUTED_VALUE"""),"Online Payment")</f>
        <v>Online Payment</v>
      </c>
      <c r="J281" s="14" t="str">
        <f>IFERROR(__xludf.DUMMYFUNCTION("""COMPUTED_VALUE"""),"Cancelled*Delayed Delivery:High Order Volume")</f>
        <v>Cancelled*Delayed Delivery:High Order Volume</v>
      </c>
      <c r="K281" s="14" t="str">
        <f>IFERROR(__xludf.DUMMYFUNCTION("split(E281,""+"")"),"Banana")</f>
        <v>Banana</v>
      </c>
      <c r="L281" s="14" t="str">
        <f>IFERROR(__xludf.DUMMYFUNCTION("""COMPUTED_VALUE"""),"2*Kiran Mehta")</f>
        <v>2*Kiran Mehta</v>
      </c>
      <c r="M281" s="14">
        <f>IFERROR(__xludf.DUMMYFUNCTION("SPLIT(L281,""*"")"),2.0)</f>
        <v>2</v>
      </c>
      <c r="N281" s="14" t="str">
        <f>IFERROR(__xludf.DUMMYFUNCTION("""COMPUTED_VALUE"""),"Kiran Mehta")</f>
        <v>Kiran Mehta</v>
      </c>
      <c r="O281" s="14" t="str">
        <f>IFERROR(__xludf.DUMMYFUNCTION("split(J281,""*"")"),"Cancelled")</f>
        <v>Cancelled</v>
      </c>
      <c r="P281" s="14" t="str">
        <f>IFERROR(__xludf.DUMMYFUNCTION("""COMPUTED_VALUE"""),"Delayed Delivery:High Order Volume")</f>
        <v>Delayed Delivery:High Order Volume</v>
      </c>
      <c r="Q281" s="14" t="str">
        <f>IFERROR(__xludf.DUMMYFUNCTION("split(P281,"":"")"),"Delayed Delivery")</f>
        <v>Delayed Delivery</v>
      </c>
      <c r="R281" s="14" t="str">
        <f>IFERROR(__xludf.DUMMYFUNCTION("""COMPUTED_VALUE"""),"High Order Volume")</f>
        <v>High Order Volume</v>
      </c>
      <c r="S281" s="14" t="str">
        <f t="shared" ref="S281:U281" si="565">trim(B281)</f>
        <v>ord_10280</v>
      </c>
      <c r="T281" s="14" t="str">
        <f t="shared" si="565"/>
        <v>Ishita Banerjee</v>
      </c>
      <c r="U281" s="14" t="str">
        <f t="shared" si="565"/>
        <v>Juhu</v>
      </c>
      <c r="V281" s="14" t="str">
        <f t="shared" si="4"/>
        <v>Banana</v>
      </c>
      <c r="W281" s="14">
        <f t="shared" si="5"/>
        <v>2</v>
      </c>
      <c r="X281" s="14" t="str">
        <f t="shared" si="6"/>
        <v>Kiran Mehta</v>
      </c>
      <c r="Y281" s="15">
        <f t="shared" si="7"/>
        <v>44985</v>
      </c>
      <c r="Z281" s="14" t="str">
        <f t="shared" si="8"/>
        <v>Online Payment</v>
      </c>
      <c r="AA281" s="14" t="str">
        <f t="shared" si="9"/>
        <v>Cancelled</v>
      </c>
      <c r="AB281" s="14" t="str">
        <f t="shared" ref="AB281:AC281" si="566">trim(Q281)</f>
        <v>Delayed Delivery</v>
      </c>
      <c r="AC281" s="14" t="str">
        <f t="shared" si="566"/>
        <v>High Order Volume</v>
      </c>
      <c r="AD281" s="8"/>
    </row>
    <row r="282">
      <c r="A282" s="14" t="str">
        <f>IFERROR(__xludf.DUMMYFUNCTION("""COMPUTED_VALUE"""),"//ord_10281//Parth Goel//Juhu//Cucumber+1*Tanvi Jain/3/22/2023//UPI//Delivered*Overall Satisfaction: Great service will order again")</f>
        <v>//ord_10281//Parth Goel//Juhu//Cucumber+1*Tanvi Jain/3/22/2023//UPI//Delivered*Overall Satisfaction: Great service will order again</v>
      </c>
      <c r="B282" s="14" t="str">
        <f>IFERROR(__xludf.DUMMYFUNCTION("split(A282,""//"")"),"ord_10281")</f>
        <v>ord_10281</v>
      </c>
      <c r="C282" s="14" t="str">
        <f>IFERROR(__xludf.DUMMYFUNCTION("""COMPUTED_VALUE"""),"Parth Goel")</f>
        <v>Parth Goel</v>
      </c>
      <c r="D282" s="14" t="str">
        <f>IFERROR(__xludf.DUMMYFUNCTION("""COMPUTED_VALUE"""),"Juhu")</f>
        <v>Juhu</v>
      </c>
      <c r="E282" s="14" t="str">
        <f>IFERROR(__xludf.DUMMYFUNCTION("""COMPUTED_VALUE"""),"Cucumber+1*Tanvi Jain")</f>
        <v>Cucumber+1*Tanvi Jain</v>
      </c>
      <c r="F282" s="14">
        <f>IFERROR(__xludf.DUMMYFUNCTION("""COMPUTED_VALUE"""),3.0)</f>
        <v>3</v>
      </c>
      <c r="G282" s="14">
        <f>IFERROR(__xludf.DUMMYFUNCTION("""COMPUTED_VALUE"""),22.0)</f>
        <v>22</v>
      </c>
      <c r="H282" s="14">
        <f>IFERROR(__xludf.DUMMYFUNCTION("""COMPUTED_VALUE"""),2023.0)</f>
        <v>2023</v>
      </c>
      <c r="I282" s="14" t="str">
        <f>IFERROR(__xludf.DUMMYFUNCTION("""COMPUTED_VALUE"""),"UPI")</f>
        <v>UPI</v>
      </c>
      <c r="J282" s="14" t="str">
        <f>IFERROR(__xludf.DUMMYFUNCTION("""COMPUTED_VALUE"""),"Delivered*Overall Satisfaction: Great service will order again")</f>
        <v>Delivered*Overall Satisfaction: Great service will order again</v>
      </c>
      <c r="K282" s="14" t="str">
        <f>IFERROR(__xludf.DUMMYFUNCTION("split(E282,""+"")"),"Cucumber")</f>
        <v>Cucumber</v>
      </c>
      <c r="L282" s="14" t="str">
        <f>IFERROR(__xludf.DUMMYFUNCTION("""COMPUTED_VALUE"""),"1*Tanvi Jain")</f>
        <v>1*Tanvi Jain</v>
      </c>
      <c r="M282" s="14">
        <f>IFERROR(__xludf.DUMMYFUNCTION("SPLIT(L282,""*"")"),1.0)</f>
        <v>1</v>
      </c>
      <c r="N282" s="14" t="str">
        <f>IFERROR(__xludf.DUMMYFUNCTION("""COMPUTED_VALUE"""),"Tanvi Jain")</f>
        <v>Tanvi Jain</v>
      </c>
      <c r="O282" s="14" t="str">
        <f>IFERROR(__xludf.DUMMYFUNCTION("split(J282,""*"")"),"Delivered")</f>
        <v>Delivered</v>
      </c>
      <c r="P282" s="14" t="str">
        <f>IFERROR(__xludf.DUMMYFUNCTION("""COMPUTED_VALUE"""),"Overall Satisfaction: Great service will order again")</f>
        <v>Overall Satisfaction: Great service will order again</v>
      </c>
      <c r="Q282" s="14" t="str">
        <f>IFERROR(__xludf.DUMMYFUNCTION("split(P282,"":"")"),"Overall Satisfaction")</f>
        <v>Overall Satisfaction</v>
      </c>
      <c r="R282" s="14" t="str">
        <f>IFERROR(__xludf.DUMMYFUNCTION("""COMPUTED_VALUE""")," Great service will order again")</f>
        <v> Great service will order again</v>
      </c>
      <c r="S282" s="14" t="str">
        <f t="shared" ref="S282:U282" si="567">trim(B282)</f>
        <v>ord_10281</v>
      </c>
      <c r="T282" s="14" t="str">
        <f t="shared" si="567"/>
        <v>Parth Goel</v>
      </c>
      <c r="U282" s="14" t="str">
        <f t="shared" si="567"/>
        <v>Juhu</v>
      </c>
      <c r="V282" s="14" t="str">
        <f t="shared" si="4"/>
        <v>Cucumber</v>
      </c>
      <c r="W282" s="14">
        <f t="shared" si="5"/>
        <v>1</v>
      </c>
      <c r="X282" s="14" t="str">
        <f t="shared" si="6"/>
        <v>Tanvi Jain</v>
      </c>
      <c r="Y282" s="15">
        <f t="shared" si="7"/>
        <v>45007</v>
      </c>
      <c r="Z282" s="14" t="str">
        <f t="shared" si="8"/>
        <v>UPI</v>
      </c>
      <c r="AA282" s="14" t="str">
        <f t="shared" si="9"/>
        <v>Delivered</v>
      </c>
      <c r="AB282" s="14" t="str">
        <f t="shared" ref="AB282:AC282" si="568">trim(Q282)</f>
        <v>Overall Satisfaction</v>
      </c>
      <c r="AC282" s="14" t="str">
        <f t="shared" si="568"/>
        <v>Great service will order again</v>
      </c>
      <c r="AD282" s="8"/>
    </row>
    <row r="283">
      <c r="A283" s="14" t="str">
        <f>IFERROR(__xludf.DUMMYFUNCTION("""COMPUTED_VALUE"""),"//ord_10282//Anaya Rao//Colaba//Icecream+3*Ramesh S/1/12/2023//Credit Card//Cancelled*Delayed Delivery:Vehicle Breakdown")</f>
        <v>//ord_10282//Anaya Rao//Colaba//Icecream+3*Ramesh S/1/12/2023//Credit Card//Cancelled*Delayed Delivery:Vehicle Breakdown</v>
      </c>
      <c r="B283" s="14" t="str">
        <f>IFERROR(__xludf.DUMMYFUNCTION("split(A283,""//"")"),"ord_10282")</f>
        <v>ord_10282</v>
      </c>
      <c r="C283" s="14" t="str">
        <f>IFERROR(__xludf.DUMMYFUNCTION("""COMPUTED_VALUE"""),"Anaya Rao")</f>
        <v>Anaya Rao</v>
      </c>
      <c r="D283" s="14" t="str">
        <f>IFERROR(__xludf.DUMMYFUNCTION("""COMPUTED_VALUE"""),"Colaba")</f>
        <v>Colaba</v>
      </c>
      <c r="E283" s="14" t="str">
        <f>IFERROR(__xludf.DUMMYFUNCTION("""COMPUTED_VALUE"""),"Icecream+3*Ramesh S")</f>
        <v>Icecream+3*Ramesh S</v>
      </c>
      <c r="F283" s="14">
        <f>IFERROR(__xludf.DUMMYFUNCTION("""COMPUTED_VALUE"""),1.0)</f>
        <v>1</v>
      </c>
      <c r="G283" s="14">
        <f>IFERROR(__xludf.DUMMYFUNCTION("""COMPUTED_VALUE"""),12.0)</f>
        <v>12</v>
      </c>
      <c r="H283" s="14">
        <f>IFERROR(__xludf.DUMMYFUNCTION("""COMPUTED_VALUE"""),2023.0)</f>
        <v>2023</v>
      </c>
      <c r="I283" s="14" t="str">
        <f>IFERROR(__xludf.DUMMYFUNCTION("""COMPUTED_VALUE"""),"Credit Card")</f>
        <v>Credit Card</v>
      </c>
      <c r="J283" s="14" t="str">
        <f>IFERROR(__xludf.DUMMYFUNCTION("""COMPUTED_VALUE"""),"Cancelled*Delayed Delivery:Vehicle Breakdown")</f>
        <v>Cancelled*Delayed Delivery:Vehicle Breakdown</v>
      </c>
      <c r="K283" s="14" t="str">
        <f>IFERROR(__xludf.DUMMYFUNCTION("split(E283,""+"")"),"Icecream")</f>
        <v>Icecream</v>
      </c>
      <c r="L283" s="14" t="str">
        <f>IFERROR(__xludf.DUMMYFUNCTION("""COMPUTED_VALUE"""),"3*Ramesh S")</f>
        <v>3*Ramesh S</v>
      </c>
      <c r="M283" s="14">
        <f>IFERROR(__xludf.DUMMYFUNCTION("SPLIT(L283,""*"")"),3.0)</f>
        <v>3</v>
      </c>
      <c r="N283" s="14" t="str">
        <f>IFERROR(__xludf.DUMMYFUNCTION("""COMPUTED_VALUE"""),"Ramesh S")</f>
        <v>Ramesh S</v>
      </c>
      <c r="O283" s="14" t="str">
        <f>IFERROR(__xludf.DUMMYFUNCTION("split(J283,""*"")"),"Cancelled")</f>
        <v>Cancelled</v>
      </c>
      <c r="P283" s="14" t="str">
        <f>IFERROR(__xludf.DUMMYFUNCTION("""COMPUTED_VALUE"""),"Delayed Delivery:Vehicle Breakdown")</f>
        <v>Delayed Delivery:Vehicle Breakdown</v>
      </c>
      <c r="Q283" s="14" t="str">
        <f>IFERROR(__xludf.DUMMYFUNCTION("split(P283,"":"")"),"Delayed Delivery")</f>
        <v>Delayed Delivery</v>
      </c>
      <c r="R283" s="14" t="str">
        <f>IFERROR(__xludf.DUMMYFUNCTION("""COMPUTED_VALUE"""),"Vehicle Breakdown")</f>
        <v>Vehicle Breakdown</v>
      </c>
      <c r="S283" s="14" t="str">
        <f t="shared" ref="S283:U283" si="569">trim(B283)</f>
        <v>ord_10282</v>
      </c>
      <c r="T283" s="14" t="str">
        <f t="shared" si="569"/>
        <v>Anaya Rao</v>
      </c>
      <c r="U283" s="14" t="str">
        <f t="shared" si="569"/>
        <v>Colaba</v>
      </c>
      <c r="V283" s="14" t="str">
        <f t="shared" si="4"/>
        <v>Icecream</v>
      </c>
      <c r="W283" s="14">
        <f t="shared" si="5"/>
        <v>3</v>
      </c>
      <c r="X283" s="14" t="str">
        <f t="shared" si="6"/>
        <v>Ramesh S</v>
      </c>
      <c r="Y283" s="15">
        <f t="shared" si="7"/>
        <v>44938</v>
      </c>
      <c r="Z283" s="14" t="str">
        <f t="shared" si="8"/>
        <v>Credit Card</v>
      </c>
      <c r="AA283" s="14" t="str">
        <f t="shared" si="9"/>
        <v>Cancelled</v>
      </c>
      <c r="AB283" s="14" t="str">
        <f t="shared" ref="AB283:AC283" si="570">trim(Q283)</f>
        <v>Delayed Delivery</v>
      </c>
      <c r="AC283" s="14" t="str">
        <f t="shared" si="570"/>
        <v>Vehicle Breakdown</v>
      </c>
      <c r="AD283" s="8"/>
    </row>
    <row r="284">
      <c r="A284" s="14" t="str">
        <f>IFERROR(__xludf.DUMMYFUNCTION("""COMPUTED_VALUE"""),"//ord_10283//Anaya Rao//Colaba//Rasmalai+4*Nithin Lal/4/21/2023//Online Payment//Delivered*On-time Delivery: Delivered on time")</f>
        <v>//ord_10283//Anaya Rao//Colaba//Rasmalai+4*Nithin Lal/4/21/2023//Online Payment//Delivered*On-time Delivery: Delivered on time</v>
      </c>
      <c r="B284" s="14" t="str">
        <f>IFERROR(__xludf.DUMMYFUNCTION("split(A284,""//"")"),"ord_10283")</f>
        <v>ord_10283</v>
      </c>
      <c r="C284" s="14" t="str">
        <f>IFERROR(__xludf.DUMMYFUNCTION("""COMPUTED_VALUE"""),"Anaya Rao")</f>
        <v>Anaya Rao</v>
      </c>
      <c r="D284" s="14" t="str">
        <f>IFERROR(__xludf.DUMMYFUNCTION("""COMPUTED_VALUE"""),"Colaba")</f>
        <v>Colaba</v>
      </c>
      <c r="E284" s="14" t="str">
        <f>IFERROR(__xludf.DUMMYFUNCTION("""COMPUTED_VALUE"""),"Rasmalai+4*Nithin Lal")</f>
        <v>Rasmalai+4*Nithin Lal</v>
      </c>
      <c r="F284" s="14">
        <f>IFERROR(__xludf.DUMMYFUNCTION("""COMPUTED_VALUE"""),4.0)</f>
        <v>4</v>
      </c>
      <c r="G284" s="14">
        <f>IFERROR(__xludf.DUMMYFUNCTION("""COMPUTED_VALUE"""),21.0)</f>
        <v>21</v>
      </c>
      <c r="H284" s="14">
        <f>IFERROR(__xludf.DUMMYFUNCTION("""COMPUTED_VALUE"""),2023.0)</f>
        <v>2023</v>
      </c>
      <c r="I284" s="14" t="str">
        <f>IFERROR(__xludf.DUMMYFUNCTION("""COMPUTED_VALUE"""),"Online Payment")</f>
        <v>Online Payment</v>
      </c>
      <c r="J284" s="14" t="str">
        <f>IFERROR(__xludf.DUMMYFUNCTION("""COMPUTED_VALUE"""),"Delivered*On-time Delivery: Delivered on time")</f>
        <v>Delivered*On-time Delivery: Delivered on time</v>
      </c>
      <c r="K284" s="14" t="str">
        <f>IFERROR(__xludf.DUMMYFUNCTION("split(E284,""+"")"),"Rasmalai")</f>
        <v>Rasmalai</v>
      </c>
      <c r="L284" s="14" t="str">
        <f>IFERROR(__xludf.DUMMYFUNCTION("""COMPUTED_VALUE"""),"4*Nithin Lal")</f>
        <v>4*Nithin Lal</v>
      </c>
      <c r="M284" s="14">
        <f>IFERROR(__xludf.DUMMYFUNCTION("SPLIT(L284,""*"")"),4.0)</f>
        <v>4</v>
      </c>
      <c r="N284" s="14" t="str">
        <f>IFERROR(__xludf.DUMMYFUNCTION("""COMPUTED_VALUE"""),"Nithin Lal")</f>
        <v>Nithin Lal</v>
      </c>
      <c r="O284" s="14" t="str">
        <f>IFERROR(__xludf.DUMMYFUNCTION("split(J284,""*"")"),"Delivered")</f>
        <v>Delivered</v>
      </c>
      <c r="P284" s="14" t="str">
        <f>IFERROR(__xludf.DUMMYFUNCTION("""COMPUTED_VALUE"""),"On-time Delivery: Delivered on time")</f>
        <v>On-time Delivery: Delivered on time</v>
      </c>
      <c r="Q284" s="14" t="str">
        <f>IFERROR(__xludf.DUMMYFUNCTION("split(P284,"":"")"),"On-time Delivery")</f>
        <v>On-time Delivery</v>
      </c>
      <c r="R284" s="14" t="str">
        <f>IFERROR(__xludf.DUMMYFUNCTION("""COMPUTED_VALUE""")," Delivered on time")</f>
        <v> Delivered on time</v>
      </c>
      <c r="S284" s="14" t="str">
        <f t="shared" ref="S284:U284" si="571">trim(B284)</f>
        <v>ord_10283</v>
      </c>
      <c r="T284" s="14" t="str">
        <f t="shared" si="571"/>
        <v>Anaya Rao</v>
      </c>
      <c r="U284" s="14" t="str">
        <f t="shared" si="571"/>
        <v>Colaba</v>
      </c>
      <c r="V284" s="14" t="str">
        <f t="shared" si="4"/>
        <v>Rasmalai</v>
      </c>
      <c r="W284" s="14">
        <f t="shared" si="5"/>
        <v>4</v>
      </c>
      <c r="X284" s="14" t="str">
        <f t="shared" si="6"/>
        <v>Nithin Lal</v>
      </c>
      <c r="Y284" s="15">
        <f t="shared" si="7"/>
        <v>45037</v>
      </c>
      <c r="Z284" s="14" t="str">
        <f t="shared" si="8"/>
        <v>Online Payment</v>
      </c>
      <c r="AA284" s="14" t="str">
        <f t="shared" si="9"/>
        <v>Delivered</v>
      </c>
      <c r="AB284" s="14" t="str">
        <f t="shared" ref="AB284:AC284" si="572">trim(Q284)</f>
        <v>On-time Delivery</v>
      </c>
      <c r="AC284" s="14" t="str">
        <f t="shared" si="572"/>
        <v>Delivered on time</v>
      </c>
      <c r="AD284" s="8"/>
    </row>
    <row r="285">
      <c r="A285" s="14" t="str">
        <f>IFERROR(__xludf.DUMMYFUNCTION("""COMPUTED_VALUE"""),"//ord_10284//Siya Reddy//Juhu//Chilli Cheese Toast+2*Not Assigned/12/19/2023//Online Payment//Cancelled*Out of Stock")</f>
        <v>//ord_10284//Siya Reddy//Juhu//Chilli Cheese Toast+2*Not Assigned/12/19/2023//Online Payment//Cancelled*Out of Stock</v>
      </c>
      <c r="B285" s="14" t="str">
        <f>IFERROR(__xludf.DUMMYFUNCTION("split(A285,""//"")"),"ord_10284")</f>
        <v>ord_10284</v>
      </c>
      <c r="C285" s="14" t="str">
        <f>IFERROR(__xludf.DUMMYFUNCTION("""COMPUTED_VALUE"""),"Siya Reddy")</f>
        <v>Siya Reddy</v>
      </c>
      <c r="D285" s="14" t="str">
        <f>IFERROR(__xludf.DUMMYFUNCTION("""COMPUTED_VALUE"""),"Juhu")</f>
        <v>Juhu</v>
      </c>
      <c r="E285" s="14" t="str">
        <f>IFERROR(__xludf.DUMMYFUNCTION("""COMPUTED_VALUE"""),"Chilli Cheese Toast+2*Not Assigned")</f>
        <v>Chilli Cheese Toast+2*Not Assigned</v>
      </c>
      <c r="F285" s="14">
        <f>IFERROR(__xludf.DUMMYFUNCTION("""COMPUTED_VALUE"""),12.0)</f>
        <v>12</v>
      </c>
      <c r="G285" s="14">
        <f>IFERROR(__xludf.DUMMYFUNCTION("""COMPUTED_VALUE"""),19.0)</f>
        <v>19</v>
      </c>
      <c r="H285" s="14">
        <f>IFERROR(__xludf.DUMMYFUNCTION("""COMPUTED_VALUE"""),2023.0)</f>
        <v>2023</v>
      </c>
      <c r="I285" s="14" t="str">
        <f>IFERROR(__xludf.DUMMYFUNCTION("""COMPUTED_VALUE"""),"Online Payment")</f>
        <v>Online Payment</v>
      </c>
      <c r="J285" s="14" t="str">
        <f>IFERROR(__xludf.DUMMYFUNCTION("""COMPUTED_VALUE"""),"Cancelled*Out of Stock")</f>
        <v>Cancelled*Out of Stock</v>
      </c>
      <c r="K285" s="14" t="str">
        <f>IFERROR(__xludf.DUMMYFUNCTION("split(E285,""+"")"),"Chilli Cheese Toast")</f>
        <v>Chilli Cheese Toast</v>
      </c>
      <c r="L285" s="14" t="str">
        <f>IFERROR(__xludf.DUMMYFUNCTION("""COMPUTED_VALUE"""),"2*Not Assigned")</f>
        <v>2*Not Assigned</v>
      </c>
      <c r="M285" s="14">
        <f>IFERROR(__xludf.DUMMYFUNCTION("SPLIT(L285,""*"")"),2.0)</f>
        <v>2</v>
      </c>
      <c r="N285" s="14" t="str">
        <f>IFERROR(__xludf.DUMMYFUNCTION("""COMPUTED_VALUE"""),"Not Assigned")</f>
        <v>Not Assigned</v>
      </c>
      <c r="O285" s="14" t="str">
        <f>IFERROR(__xludf.DUMMYFUNCTION("split(J285,""*"")"),"Cancelled")</f>
        <v>Cancelled</v>
      </c>
      <c r="P285" s="14" t="str">
        <f>IFERROR(__xludf.DUMMYFUNCTION("""COMPUTED_VALUE"""),"Out of Stock")</f>
        <v>Out of Stock</v>
      </c>
      <c r="Q285" s="14" t="str">
        <f>IFERROR(__xludf.DUMMYFUNCTION("split(P285,"":"")"),"Out of Stock")</f>
        <v>Out of Stock</v>
      </c>
      <c r="R285" s="14"/>
      <c r="S285" s="14" t="str">
        <f t="shared" ref="S285:U285" si="573">trim(B285)</f>
        <v>ord_10284</v>
      </c>
      <c r="T285" s="14" t="str">
        <f t="shared" si="573"/>
        <v>Siya Reddy</v>
      </c>
      <c r="U285" s="14" t="str">
        <f t="shared" si="573"/>
        <v>Juhu</v>
      </c>
      <c r="V285" s="14" t="str">
        <f t="shared" si="4"/>
        <v>Chilli Cheese Toast</v>
      </c>
      <c r="W285" s="14">
        <f t="shared" si="5"/>
        <v>2</v>
      </c>
      <c r="X285" s="14" t="str">
        <f t="shared" si="6"/>
        <v>Not Assigned</v>
      </c>
      <c r="Y285" s="15">
        <f t="shared" si="7"/>
        <v>45279</v>
      </c>
      <c r="Z285" s="14" t="str">
        <f t="shared" si="8"/>
        <v>Online Payment</v>
      </c>
      <c r="AA285" s="14" t="str">
        <f t="shared" si="9"/>
        <v>Cancelled</v>
      </c>
      <c r="AB285" s="14" t="str">
        <f t="shared" ref="AB285:AC285" si="574">trim(Q285)</f>
        <v>Out of Stock</v>
      </c>
      <c r="AC285" s="14" t="str">
        <f t="shared" si="574"/>
        <v/>
      </c>
      <c r="AD285" s="8"/>
    </row>
    <row r="286">
      <c r="A286" s="14" t="str">
        <f>IFERROR(__xludf.DUMMYFUNCTION("""COMPUTED_VALUE"""),"//ord_10285//Aditya Rao//Lower Parel//Apple+2*Ramesh S/12/24/2023//Online Payment//Delivered*Quality of Items: Perfect condition")</f>
        <v>//ord_10285//Aditya Rao//Lower Parel//Apple+2*Ramesh S/12/24/2023//Online Payment//Delivered*Quality of Items: Perfect condition</v>
      </c>
      <c r="B286" s="14" t="str">
        <f>IFERROR(__xludf.DUMMYFUNCTION("split(A286,""//"")"),"ord_10285")</f>
        <v>ord_10285</v>
      </c>
      <c r="C286" s="14" t="str">
        <f>IFERROR(__xludf.DUMMYFUNCTION("""COMPUTED_VALUE"""),"Aditya Rao")</f>
        <v>Aditya Rao</v>
      </c>
      <c r="D286" s="14" t="str">
        <f>IFERROR(__xludf.DUMMYFUNCTION("""COMPUTED_VALUE"""),"Lower Parel")</f>
        <v>Lower Parel</v>
      </c>
      <c r="E286" s="14" t="str">
        <f>IFERROR(__xludf.DUMMYFUNCTION("""COMPUTED_VALUE"""),"Apple+2*Ramesh S")</f>
        <v>Apple+2*Ramesh S</v>
      </c>
      <c r="F286" s="14">
        <f>IFERROR(__xludf.DUMMYFUNCTION("""COMPUTED_VALUE"""),12.0)</f>
        <v>12</v>
      </c>
      <c r="G286" s="14">
        <f>IFERROR(__xludf.DUMMYFUNCTION("""COMPUTED_VALUE"""),24.0)</f>
        <v>24</v>
      </c>
      <c r="H286" s="14">
        <f>IFERROR(__xludf.DUMMYFUNCTION("""COMPUTED_VALUE"""),2023.0)</f>
        <v>2023</v>
      </c>
      <c r="I286" s="14" t="str">
        <f>IFERROR(__xludf.DUMMYFUNCTION("""COMPUTED_VALUE"""),"Online Payment")</f>
        <v>Online Payment</v>
      </c>
      <c r="J286" s="14" t="str">
        <f>IFERROR(__xludf.DUMMYFUNCTION("""COMPUTED_VALUE"""),"Delivered*Quality of Items: Perfect condition")</f>
        <v>Delivered*Quality of Items: Perfect condition</v>
      </c>
      <c r="K286" s="14" t="str">
        <f>IFERROR(__xludf.DUMMYFUNCTION("split(E286,""+"")"),"Apple")</f>
        <v>Apple</v>
      </c>
      <c r="L286" s="14" t="str">
        <f>IFERROR(__xludf.DUMMYFUNCTION("""COMPUTED_VALUE"""),"2*Ramesh S")</f>
        <v>2*Ramesh S</v>
      </c>
      <c r="M286" s="14">
        <f>IFERROR(__xludf.DUMMYFUNCTION("SPLIT(L286,""*"")"),2.0)</f>
        <v>2</v>
      </c>
      <c r="N286" s="14" t="str">
        <f>IFERROR(__xludf.DUMMYFUNCTION("""COMPUTED_VALUE"""),"Ramesh S")</f>
        <v>Ramesh S</v>
      </c>
      <c r="O286" s="14" t="str">
        <f>IFERROR(__xludf.DUMMYFUNCTION("split(J286,""*"")"),"Delivered")</f>
        <v>Delivered</v>
      </c>
      <c r="P286" s="14" t="str">
        <f>IFERROR(__xludf.DUMMYFUNCTION("""COMPUTED_VALUE"""),"Quality of Items: Perfect condition")</f>
        <v>Quality of Items: Perfect condition</v>
      </c>
      <c r="Q286" s="14" t="str">
        <f>IFERROR(__xludf.DUMMYFUNCTION("split(P286,"":"")"),"Quality of Items")</f>
        <v>Quality of Items</v>
      </c>
      <c r="R286" s="14" t="str">
        <f>IFERROR(__xludf.DUMMYFUNCTION("""COMPUTED_VALUE""")," Perfect condition")</f>
        <v> Perfect condition</v>
      </c>
      <c r="S286" s="14" t="str">
        <f t="shared" ref="S286:U286" si="575">trim(B286)</f>
        <v>ord_10285</v>
      </c>
      <c r="T286" s="14" t="str">
        <f t="shared" si="575"/>
        <v>Aditya Rao</v>
      </c>
      <c r="U286" s="14" t="str">
        <f t="shared" si="575"/>
        <v>Lower Parel</v>
      </c>
      <c r="V286" s="14" t="str">
        <f t="shared" si="4"/>
        <v>Apple</v>
      </c>
      <c r="W286" s="14">
        <f t="shared" si="5"/>
        <v>2</v>
      </c>
      <c r="X286" s="14" t="str">
        <f t="shared" si="6"/>
        <v>Ramesh S</v>
      </c>
      <c r="Y286" s="15">
        <f t="shared" si="7"/>
        <v>45284</v>
      </c>
      <c r="Z286" s="14" t="str">
        <f t="shared" si="8"/>
        <v>Online Payment</v>
      </c>
      <c r="AA286" s="14" t="str">
        <f t="shared" si="9"/>
        <v>Delivered</v>
      </c>
      <c r="AB286" s="14" t="str">
        <f t="shared" ref="AB286:AC286" si="576">trim(Q286)</f>
        <v>Quality of Items</v>
      </c>
      <c r="AC286" s="14" t="str">
        <f t="shared" si="576"/>
        <v>Perfect condition</v>
      </c>
      <c r="AD286" s="8"/>
    </row>
    <row r="287">
      <c r="A287" s="14" t="str">
        <f>IFERROR(__xludf.DUMMYFUNCTION("""COMPUTED_VALUE"""),"//ord_10286//Mohit Malhotra//Lower Parel//Banana+1*Not Assigned/7/16/2023//Online Payment//Cancelled*High Delivery Fees")</f>
        <v>//ord_10286//Mohit Malhotra//Lower Parel//Banana+1*Not Assigned/7/16/2023//Online Payment//Cancelled*High Delivery Fees</v>
      </c>
      <c r="B287" s="14" t="str">
        <f>IFERROR(__xludf.DUMMYFUNCTION("split(A287,""//"")"),"ord_10286")</f>
        <v>ord_10286</v>
      </c>
      <c r="C287" s="14" t="str">
        <f>IFERROR(__xludf.DUMMYFUNCTION("""COMPUTED_VALUE"""),"Mohit Malhotra")</f>
        <v>Mohit Malhotra</v>
      </c>
      <c r="D287" s="14" t="str">
        <f>IFERROR(__xludf.DUMMYFUNCTION("""COMPUTED_VALUE"""),"Lower Parel")</f>
        <v>Lower Parel</v>
      </c>
      <c r="E287" s="14" t="str">
        <f>IFERROR(__xludf.DUMMYFUNCTION("""COMPUTED_VALUE"""),"Banana+1*Not Assigned")</f>
        <v>Banana+1*Not Assigned</v>
      </c>
      <c r="F287" s="14">
        <f>IFERROR(__xludf.DUMMYFUNCTION("""COMPUTED_VALUE"""),7.0)</f>
        <v>7</v>
      </c>
      <c r="G287" s="14">
        <f>IFERROR(__xludf.DUMMYFUNCTION("""COMPUTED_VALUE"""),16.0)</f>
        <v>16</v>
      </c>
      <c r="H287" s="14">
        <f>IFERROR(__xludf.DUMMYFUNCTION("""COMPUTED_VALUE"""),2023.0)</f>
        <v>2023</v>
      </c>
      <c r="I287" s="14" t="str">
        <f>IFERROR(__xludf.DUMMYFUNCTION("""COMPUTED_VALUE"""),"Online Payment")</f>
        <v>Online Payment</v>
      </c>
      <c r="J287" s="14" t="str">
        <f>IFERROR(__xludf.DUMMYFUNCTION("""COMPUTED_VALUE"""),"Cancelled*High Delivery Fees")</f>
        <v>Cancelled*High Delivery Fees</v>
      </c>
      <c r="K287" s="14" t="str">
        <f>IFERROR(__xludf.DUMMYFUNCTION("split(E287,""+"")"),"Banana")</f>
        <v>Banana</v>
      </c>
      <c r="L287" s="14" t="str">
        <f>IFERROR(__xludf.DUMMYFUNCTION("""COMPUTED_VALUE"""),"1*Not Assigned")</f>
        <v>1*Not Assigned</v>
      </c>
      <c r="M287" s="14">
        <f>IFERROR(__xludf.DUMMYFUNCTION("SPLIT(L287,""*"")"),1.0)</f>
        <v>1</v>
      </c>
      <c r="N287" s="14" t="str">
        <f>IFERROR(__xludf.DUMMYFUNCTION("""COMPUTED_VALUE"""),"Not Assigned")</f>
        <v>Not Assigned</v>
      </c>
      <c r="O287" s="14" t="str">
        <f>IFERROR(__xludf.DUMMYFUNCTION("split(J287,""*"")"),"Cancelled")</f>
        <v>Cancelled</v>
      </c>
      <c r="P287" s="14" t="str">
        <f>IFERROR(__xludf.DUMMYFUNCTION("""COMPUTED_VALUE"""),"High Delivery Fees")</f>
        <v>High Delivery Fees</v>
      </c>
      <c r="Q287" s="14" t="str">
        <f>IFERROR(__xludf.DUMMYFUNCTION("split(P287,"":"")"),"High Delivery Fees")</f>
        <v>High Delivery Fees</v>
      </c>
      <c r="R287" s="14"/>
      <c r="S287" s="14" t="str">
        <f t="shared" ref="S287:U287" si="577">trim(B287)</f>
        <v>ord_10286</v>
      </c>
      <c r="T287" s="14" t="str">
        <f t="shared" si="577"/>
        <v>Mohit Malhotra</v>
      </c>
      <c r="U287" s="14" t="str">
        <f t="shared" si="577"/>
        <v>Lower Parel</v>
      </c>
      <c r="V287" s="14" t="str">
        <f t="shared" si="4"/>
        <v>Banana</v>
      </c>
      <c r="W287" s="14">
        <f t="shared" si="5"/>
        <v>1</v>
      </c>
      <c r="X287" s="14" t="str">
        <f t="shared" si="6"/>
        <v>Not Assigned</v>
      </c>
      <c r="Y287" s="15">
        <f t="shared" si="7"/>
        <v>45123</v>
      </c>
      <c r="Z287" s="14" t="str">
        <f t="shared" si="8"/>
        <v>Online Payment</v>
      </c>
      <c r="AA287" s="14" t="str">
        <f t="shared" si="9"/>
        <v>Cancelled</v>
      </c>
      <c r="AB287" s="14" t="str">
        <f t="shared" ref="AB287:AC287" si="578">trim(Q287)</f>
        <v>High Delivery Fees</v>
      </c>
      <c r="AC287" s="14" t="str">
        <f t="shared" si="578"/>
        <v/>
      </c>
      <c r="AD287" s="8"/>
    </row>
    <row r="288">
      <c r="A288" s="14" t="str">
        <f>IFERROR(__xludf.DUMMYFUNCTION("""COMPUTED_VALUE"""),"//ord_10287//Diya Arora//Lower Parel//Chicken Puff+1*Not Assigned/1/4/2023//Online Payment//Cancelled*High Delivery Fees")</f>
        <v>//ord_10287//Diya Arora//Lower Parel//Chicken Puff+1*Not Assigned/1/4/2023//Online Payment//Cancelled*High Delivery Fees</v>
      </c>
      <c r="B288" s="14" t="str">
        <f>IFERROR(__xludf.DUMMYFUNCTION("split(A288,""//"")"),"ord_10287")</f>
        <v>ord_10287</v>
      </c>
      <c r="C288" s="14" t="str">
        <f>IFERROR(__xludf.DUMMYFUNCTION("""COMPUTED_VALUE"""),"Diya Arora")</f>
        <v>Diya Arora</v>
      </c>
      <c r="D288" s="14" t="str">
        <f>IFERROR(__xludf.DUMMYFUNCTION("""COMPUTED_VALUE"""),"Lower Parel")</f>
        <v>Lower Parel</v>
      </c>
      <c r="E288" s="14" t="str">
        <f>IFERROR(__xludf.DUMMYFUNCTION("""COMPUTED_VALUE"""),"Chicken Puff+1*Not Assigned")</f>
        <v>Chicken Puff+1*Not Assigned</v>
      </c>
      <c r="F288" s="14">
        <f>IFERROR(__xludf.DUMMYFUNCTION("""COMPUTED_VALUE"""),1.0)</f>
        <v>1</v>
      </c>
      <c r="G288" s="14">
        <f>IFERROR(__xludf.DUMMYFUNCTION("""COMPUTED_VALUE"""),4.0)</f>
        <v>4</v>
      </c>
      <c r="H288" s="14">
        <f>IFERROR(__xludf.DUMMYFUNCTION("""COMPUTED_VALUE"""),2023.0)</f>
        <v>2023</v>
      </c>
      <c r="I288" s="14" t="str">
        <f>IFERROR(__xludf.DUMMYFUNCTION("""COMPUTED_VALUE"""),"Online Payment")</f>
        <v>Online Payment</v>
      </c>
      <c r="J288" s="14" t="str">
        <f>IFERROR(__xludf.DUMMYFUNCTION("""COMPUTED_VALUE"""),"Cancelled*High Delivery Fees")</f>
        <v>Cancelled*High Delivery Fees</v>
      </c>
      <c r="K288" s="14" t="str">
        <f>IFERROR(__xludf.DUMMYFUNCTION("split(E288,""+"")"),"Chicken Puff")</f>
        <v>Chicken Puff</v>
      </c>
      <c r="L288" s="14" t="str">
        <f>IFERROR(__xludf.DUMMYFUNCTION("""COMPUTED_VALUE"""),"1*Not Assigned")</f>
        <v>1*Not Assigned</v>
      </c>
      <c r="M288" s="14">
        <f>IFERROR(__xludf.DUMMYFUNCTION("SPLIT(L288,""*"")"),1.0)</f>
        <v>1</v>
      </c>
      <c r="N288" s="14" t="str">
        <f>IFERROR(__xludf.DUMMYFUNCTION("""COMPUTED_VALUE"""),"Not Assigned")</f>
        <v>Not Assigned</v>
      </c>
      <c r="O288" s="14" t="str">
        <f>IFERROR(__xludf.DUMMYFUNCTION("split(J288,""*"")"),"Cancelled")</f>
        <v>Cancelled</v>
      </c>
      <c r="P288" s="14" t="str">
        <f>IFERROR(__xludf.DUMMYFUNCTION("""COMPUTED_VALUE"""),"High Delivery Fees")</f>
        <v>High Delivery Fees</v>
      </c>
      <c r="Q288" s="14" t="str">
        <f>IFERROR(__xludf.DUMMYFUNCTION("split(P288,"":"")"),"High Delivery Fees")</f>
        <v>High Delivery Fees</v>
      </c>
      <c r="R288" s="14"/>
      <c r="S288" s="14" t="str">
        <f t="shared" ref="S288:U288" si="579">trim(B288)</f>
        <v>ord_10287</v>
      </c>
      <c r="T288" s="14" t="str">
        <f t="shared" si="579"/>
        <v>Diya Arora</v>
      </c>
      <c r="U288" s="14" t="str">
        <f t="shared" si="579"/>
        <v>Lower Parel</v>
      </c>
      <c r="V288" s="14" t="str">
        <f t="shared" si="4"/>
        <v>Chicken Puff</v>
      </c>
      <c r="W288" s="14">
        <f t="shared" si="5"/>
        <v>1</v>
      </c>
      <c r="X288" s="14" t="str">
        <f t="shared" si="6"/>
        <v>Not Assigned</v>
      </c>
      <c r="Y288" s="15">
        <f t="shared" si="7"/>
        <v>44930</v>
      </c>
      <c r="Z288" s="14" t="str">
        <f t="shared" si="8"/>
        <v>Online Payment</v>
      </c>
      <c r="AA288" s="14" t="str">
        <f t="shared" si="9"/>
        <v>Cancelled</v>
      </c>
      <c r="AB288" s="14" t="str">
        <f t="shared" ref="AB288:AC288" si="580">trim(Q288)</f>
        <v>High Delivery Fees</v>
      </c>
      <c r="AC288" s="14" t="str">
        <f t="shared" si="580"/>
        <v/>
      </c>
      <c r="AD288" s="8"/>
    </row>
    <row r="289">
      <c r="A289" s="14" t="str">
        <f>IFERROR(__xludf.DUMMYFUNCTION("""COMPUTED_VALUE"""),"//ord_10288//Aditya Basu//Juhu//Icecream+8*Not Assigned/6/15/2023//Credit Card//Cancelled*Payment Issues")</f>
        <v>//ord_10288//Aditya Basu//Juhu//Icecream+8*Not Assigned/6/15/2023//Credit Card//Cancelled*Payment Issues</v>
      </c>
      <c r="B289" s="14" t="str">
        <f>IFERROR(__xludf.DUMMYFUNCTION("split(A289,""//"")"),"ord_10288")</f>
        <v>ord_10288</v>
      </c>
      <c r="C289" s="14" t="str">
        <f>IFERROR(__xludf.DUMMYFUNCTION("""COMPUTED_VALUE"""),"Aditya Basu")</f>
        <v>Aditya Basu</v>
      </c>
      <c r="D289" s="14" t="str">
        <f>IFERROR(__xludf.DUMMYFUNCTION("""COMPUTED_VALUE"""),"Juhu")</f>
        <v>Juhu</v>
      </c>
      <c r="E289" s="14" t="str">
        <f>IFERROR(__xludf.DUMMYFUNCTION("""COMPUTED_VALUE"""),"Icecream+8*Not Assigned")</f>
        <v>Icecream+8*Not Assigned</v>
      </c>
      <c r="F289" s="14">
        <f>IFERROR(__xludf.DUMMYFUNCTION("""COMPUTED_VALUE"""),6.0)</f>
        <v>6</v>
      </c>
      <c r="G289" s="14">
        <f>IFERROR(__xludf.DUMMYFUNCTION("""COMPUTED_VALUE"""),15.0)</f>
        <v>15</v>
      </c>
      <c r="H289" s="14">
        <f>IFERROR(__xludf.DUMMYFUNCTION("""COMPUTED_VALUE"""),2023.0)</f>
        <v>2023</v>
      </c>
      <c r="I289" s="14" t="str">
        <f>IFERROR(__xludf.DUMMYFUNCTION("""COMPUTED_VALUE"""),"Credit Card")</f>
        <v>Credit Card</v>
      </c>
      <c r="J289" s="14" t="str">
        <f>IFERROR(__xludf.DUMMYFUNCTION("""COMPUTED_VALUE"""),"Cancelled*Payment Issues")</f>
        <v>Cancelled*Payment Issues</v>
      </c>
      <c r="K289" s="14" t="str">
        <f>IFERROR(__xludf.DUMMYFUNCTION("split(E289,""+"")"),"Icecream")</f>
        <v>Icecream</v>
      </c>
      <c r="L289" s="14" t="str">
        <f>IFERROR(__xludf.DUMMYFUNCTION("""COMPUTED_VALUE"""),"8*Not Assigned")</f>
        <v>8*Not Assigned</v>
      </c>
      <c r="M289" s="14">
        <f>IFERROR(__xludf.DUMMYFUNCTION("SPLIT(L289,""*"")"),8.0)</f>
        <v>8</v>
      </c>
      <c r="N289" s="14" t="str">
        <f>IFERROR(__xludf.DUMMYFUNCTION("""COMPUTED_VALUE"""),"Not Assigned")</f>
        <v>Not Assigned</v>
      </c>
      <c r="O289" s="14" t="str">
        <f>IFERROR(__xludf.DUMMYFUNCTION("split(J289,""*"")"),"Cancelled")</f>
        <v>Cancelled</v>
      </c>
      <c r="P289" s="14" t="str">
        <f>IFERROR(__xludf.DUMMYFUNCTION("""COMPUTED_VALUE"""),"Payment Issues")</f>
        <v>Payment Issues</v>
      </c>
      <c r="Q289" s="14" t="str">
        <f>IFERROR(__xludf.DUMMYFUNCTION("split(P289,"":"")"),"Payment Issues")</f>
        <v>Payment Issues</v>
      </c>
      <c r="R289" s="14"/>
      <c r="S289" s="14" t="str">
        <f t="shared" ref="S289:U289" si="581">trim(B289)</f>
        <v>ord_10288</v>
      </c>
      <c r="T289" s="14" t="str">
        <f t="shared" si="581"/>
        <v>Aditya Basu</v>
      </c>
      <c r="U289" s="14" t="str">
        <f t="shared" si="581"/>
        <v>Juhu</v>
      </c>
      <c r="V289" s="14" t="str">
        <f t="shared" si="4"/>
        <v>Icecream</v>
      </c>
      <c r="W289" s="14">
        <f t="shared" si="5"/>
        <v>8</v>
      </c>
      <c r="X289" s="14" t="str">
        <f t="shared" si="6"/>
        <v>Not Assigned</v>
      </c>
      <c r="Y289" s="15">
        <f t="shared" si="7"/>
        <v>45092</v>
      </c>
      <c r="Z289" s="14" t="str">
        <f t="shared" si="8"/>
        <v>Credit Card</v>
      </c>
      <c r="AA289" s="14" t="str">
        <f t="shared" si="9"/>
        <v>Cancelled</v>
      </c>
      <c r="AB289" s="14" t="str">
        <f t="shared" ref="AB289:AC289" si="582">trim(Q289)</f>
        <v>Payment Issues</v>
      </c>
      <c r="AC289" s="14" t="str">
        <f t="shared" si="582"/>
        <v/>
      </c>
      <c r="AD289" s="8"/>
    </row>
    <row r="290">
      <c r="A290" s="14" t="str">
        <f>IFERROR(__xludf.DUMMYFUNCTION("""COMPUTED_VALUE"""),"//ord_10289//Sakshi Tandon//Colaba//Chocolate Mousse+1*Not Assigned/12/14/2023//Credit Card//Cancelled*High Delivery Fees")</f>
        <v>//ord_10289//Sakshi Tandon//Colaba//Chocolate Mousse+1*Not Assigned/12/14/2023//Credit Card//Cancelled*High Delivery Fees</v>
      </c>
      <c r="B290" s="14" t="str">
        <f>IFERROR(__xludf.DUMMYFUNCTION("split(A290,""//"")"),"ord_10289")</f>
        <v>ord_10289</v>
      </c>
      <c r="C290" s="14" t="str">
        <f>IFERROR(__xludf.DUMMYFUNCTION("""COMPUTED_VALUE"""),"Sakshi Tandon")</f>
        <v>Sakshi Tandon</v>
      </c>
      <c r="D290" s="14" t="str">
        <f>IFERROR(__xludf.DUMMYFUNCTION("""COMPUTED_VALUE"""),"Colaba")</f>
        <v>Colaba</v>
      </c>
      <c r="E290" s="14" t="str">
        <f>IFERROR(__xludf.DUMMYFUNCTION("""COMPUTED_VALUE"""),"Chocolate Mousse+1*Not Assigned")</f>
        <v>Chocolate Mousse+1*Not Assigned</v>
      </c>
      <c r="F290" s="14">
        <f>IFERROR(__xludf.DUMMYFUNCTION("""COMPUTED_VALUE"""),12.0)</f>
        <v>12</v>
      </c>
      <c r="G290" s="14">
        <f>IFERROR(__xludf.DUMMYFUNCTION("""COMPUTED_VALUE"""),14.0)</f>
        <v>14</v>
      </c>
      <c r="H290" s="14">
        <f>IFERROR(__xludf.DUMMYFUNCTION("""COMPUTED_VALUE"""),2023.0)</f>
        <v>2023</v>
      </c>
      <c r="I290" s="14" t="str">
        <f>IFERROR(__xludf.DUMMYFUNCTION("""COMPUTED_VALUE"""),"Credit Card")</f>
        <v>Credit Card</v>
      </c>
      <c r="J290" s="14" t="str">
        <f>IFERROR(__xludf.DUMMYFUNCTION("""COMPUTED_VALUE"""),"Cancelled*High Delivery Fees")</f>
        <v>Cancelled*High Delivery Fees</v>
      </c>
      <c r="K290" s="14" t="str">
        <f>IFERROR(__xludf.DUMMYFUNCTION("split(E290,""+"")"),"Chocolate Mousse")</f>
        <v>Chocolate Mousse</v>
      </c>
      <c r="L290" s="14" t="str">
        <f>IFERROR(__xludf.DUMMYFUNCTION("""COMPUTED_VALUE"""),"1*Not Assigned")</f>
        <v>1*Not Assigned</v>
      </c>
      <c r="M290" s="14">
        <f>IFERROR(__xludf.DUMMYFUNCTION("SPLIT(L290,""*"")"),1.0)</f>
        <v>1</v>
      </c>
      <c r="N290" s="14" t="str">
        <f>IFERROR(__xludf.DUMMYFUNCTION("""COMPUTED_VALUE"""),"Not Assigned")</f>
        <v>Not Assigned</v>
      </c>
      <c r="O290" s="14" t="str">
        <f>IFERROR(__xludf.DUMMYFUNCTION("split(J290,""*"")"),"Cancelled")</f>
        <v>Cancelled</v>
      </c>
      <c r="P290" s="14" t="str">
        <f>IFERROR(__xludf.DUMMYFUNCTION("""COMPUTED_VALUE"""),"High Delivery Fees")</f>
        <v>High Delivery Fees</v>
      </c>
      <c r="Q290" s="14" t="str">
        <f>IFERROR(__xludf.DUMMYFUNCTION("split(P290,"":"")"),"High Delivery Fees")</f>
        <v>High Delivery Fees</v>
      </c>
      <c r="R290" s="14"/>
      <c r="S290" s="14" t="str">
        <f t="shared" ref="S290:U290" si="583">trim(B290)</f>
        <v>ord_10289</v>
      </c>
      <c r="T290" s="14" t="str">
        <f t="shared" si="583"/>
        <v>Sakshi Tandon</v>
      </c>
      <c r="U290" s="14" t="str">
        <f t="shared" si="583"/>
        <v>Colaba</v>
      </c>
      <c r="V290" s="14" t="str">
        <f t="shared" si="4"/>
        <v>Chocolate Mousse</v>
      </c>
      <c r="W290" s="14">
        <f t="shared" si="5"/>
        <v>1</v>
      </c>
      <c r="X290" s="14" t="str">
        <f t="shared" si="6"/>
        <v>Not Assigned</v>
      </c>
      <c r="Y290" s="15">
        <f t="shared" si="7"/>
        <v>45274</v>
      </c>
      <c r="Z290" s="14" t="str">
        <f t="shared" si="8"/>
        <v>Credit Card</v>
      </c>
      <c r="AA290" s="14" t="str">
        <f t="shared" si="9"/>
        <v>Cancelled</v>
      </c>
      <c r="AB290" s="14" t="str">
        <f t="shared" ref="AB290:AC290" si="584">trim(Q290)</f>
        <v>High Delivery Fees</v>
      </c>
      <c r="AC290" s="14" t="str">
        <f t="shared" si="584"/>
        <v/>
      </c>
      <c r="AD290" s="8"/>
    </row>
    <row r="291">
      <c r="A291" s="14" t="str">
        <f>IFERROR(__xludf.DUMMYFUNCTION("""COMPUTED_VALUE"""),"//ord_10290//Parth Goel//Juhu//Apple+1*Tanvi Jain/11/1/2023//COD//Delivered*On-time Delivery: Delivered on time")</f>
        <v>//ord_10290//Parth Goel//Juhu//Apple+1*Tanvi Jain/11/1/2023//COD//Delivered*On-time Delivery: Delivered on time</v>
      </c>
      <c r="B291" s="14" t="str">
        <f>IFERROR(__xludf.DUMMYFUNCTION("split(A291,""//"")"),"ord_10290")</f>
        <v>ord_10290</v>
      </c>
      <c r="C291" s="14" t="str">
        <f>IFERROR(__xludf.DUMMYFUNCTION("""COMPUTED_VALUE"""),"Parth Goel")</f>
        <v>Parth Goel</v>
      </c>
      <c r="D291" s="14" t="str">
        <f>IFERROR(__xludf.DUMMYFUNCTION("""COMPUTED_VALUE"""),"Juhu")</f>
        <v>Juhu</v>
      </c>
      <c r="E291" s="14" t="str">
        <f>IFERROR(__xludf.DUMMYFUNCTION("""COMPUTED_VALUE"""),"Apple+1*Tanvi Jain")</f>
        <v>Apple+1*Tanvi Jain</v>
      </c>
      <c r="F291" s="14">
        <f>IFERROR(__xludf.DUMMYFUNCTION("""COMPUTED_VALUE"""),11.0)</f>
        <v>11</v>
      </c>
      <c r="G291" s="14">
        <f>IFERROR(__xludf.DUMMYFUNCTION("""COMPUTED_VALUE"""),1.0)</f>
        <v>1</v>
      </c>
      <c r="H291" s="14">
        <f>IFERROR(__xludf.DUMMYFUNCTION("""COMPUTED_VALUE"""),2023.0)</f>
        <v>2023</v>
      </c>
      <c r="I291" s="14" t="str">
        <f>IFERROR(__xludf.DUMMYFUNCTION("""COMPUTED_VALUE"""),"COD")</f>
        <v>COD</v>
      </c>
      <c r="J291" s="14" t="str">
        <f>IFERROR(__xludf.DUMMYFUNCTION("""COMPUTED_VALUE"""),"Delivered*On-time Delivery: Delivered on time")</f>
        <v>Delivered*On-time Delivery: Delivered on time</v>
      </c>
      <c r="K291" s="14" t="str">
        <f>IFERROR(__xludf.DUMMYFUNCTION("split(E291,""+"")"),"Apple")</f>
        <v>Apple</v>
      </c>
      <c r="L291" s="14" t="str">
        <f>IFERROR(__xludf.DUMMYFUNCTION("""COMPUTED_VALUE"""),"1*Tanvi Jain")</f>
        <v>1*Tanvi Jain</v>
      </c>
      <c r="M291" s="14">
        <f>IFERROR(__xludf.DUMMYFUNCTION("SPLIT(L291,""*"")"),1.0)</f>
        <v>1</v>
      </c>
      <c r="N291" s="14" t="str">
        <f>IFERROR(__xludf.DUMMYFUNCTION("""COMPUTED_VALUE"""),"Tanvi Jain")</f>
        <v>Tanvi Jain</v>
      </c>
      <c r="O291" s="14" t="str">
        <f>IFERROR(__xludf.DUMMYFUNCTION("split(J291,""*"")"),"Delivered")</f>
        <v>Delivered</v>
      </c>
      <c r="P291" s="14" t="str">
        <f>IFERROR(__xludf.DUMMYFUNCTION("""COMPUTED_VALUE"""),"On-time Delivery: Delivered on time")</f>
        <v>On-time Delivery: Delivered on time</v>
      </c>
      <c r="Q291" s="14" t="str">
        <f>IFERROR(__xludf.DUMMYFUNCTION("split(P291,"":"")"),"On-time Delivery")</f>
        <v>On-time Delivery</v>
      </c>
      <c r="R291" s="14" t="str">
        <f>IFERROR(__xludf.DUMMYFUNCTION("""COMPUTED_VALUE""")," Delivered on time")</f>
        <v> Delivered on time</v>
      </c>
      <c r="S291" s="14" t="str">
        <f t="shared" ref="S291:U291" si="585">trim(B291)</f>
        <v>ord_10290</v>
      </c>
      <c r="T291" s="14" t="str">
        <f t="shared" si="585"/>
        <v>Parth Goel</v>
      </c>
      <c r="U291" s="14" t="str">
        <f t="shared" si="585"/>
        <v>Juhu</v>
      </c>
      <c r="V291" s="14" t="str">
        <f t="shared" si="4"/>
        <v>Apple</v>
      </c>
      <c r="W291" s="14">
        <f t="shared" si="5"/>
        <v>1</v>
      </c>
      <c r="X291" s="14" t="str">
        <f t="shared" si="6"/>
        <v>Tanvi Jain</v>
      </c>
      <c r="Y291" s="15">
        <f t="shared" si="7"/>
        <v>45231</v>
      </c>
      <c r="Z291" s="14" t="str">
        <f t="shared" si="8"/>
        <v>COD</v>
      </c>
      <c r="AA291" s="14" t="str">
        <f t="shared" si="9"/>
        <v>Delivered</v>
      </c>
      <c r="AB291" s="14" t="str">
        <f t="shared" ref="AB291:AC291" si="586">trim(Q291)</f>
        <v>On-time Delivery</v>
      </c>
      <c r="AC291" s="14" t="str">
        <f t="shared" si="586"/>
        <v>Delivered on time</v>
      </c>
      <c r="AD291" s="8"/>
    </row>
    <row r="292">
      <c r="A292" s="14" t="str">
        <f>IFERROR(__xludf.DUMMYFUNCTION("""COMPUTED_VALUE"""),"//ord_10291//Pallavi Ghosh//Bandra//Popcorn+4*Ramesh S/10/2/2023//COD//Delivered*Quality of Items: Perfect condition")</f>
        <v>//ord_10291//Pallavi Ghosh//Bandra//Popcorn+4*Ramesh S/10/2/2023//COD//Delivered*Quality of Items: Perfect condition</v>
      </c>
      <c r="B292" s="14" t="str">
        <f>IFERROR(__xludf.DUMMYFUNCTION("split(A292,""//"")"),"ord_10291")</f>
        <v>ord_10291</v>
      </c>
      <c r="C292" s="14" t="str">
        <f>IFERROR(__xludf.DUMMYFUNCTION("""COMPUTED_VALUE"""),"Pallavi Ghosh")</f>
        <v>Pallavi Ghosh</v>
      </c>
      <c r="D292" s="14" t="str">
        <f>IFERROR(__xludf.DUMMYFUNCTION("""COMPUTED_VALUE"""),"Bandra")</f>
        <v>Bandra</v>
      </c>
      <c r="E292" s="14" t="str">
        <f>IFERROR(__xludf.DUMMYFUNCTION("""COMPUTED_VALUE"""),"Popcorn+4*Ramesh S")</f>
        <v>Popcorn+4*Ramesh S</v>
      </c>
      <c r="F292" s="14">
        <f>IFERROR(__xludf.DUMMYFUNCTION("""COMPUTED_VALUE"""),10.0)</f>
        <v>10</v>
      </c>
      <c r="G292" s="14">
        <f>IFERROR(__xludf.DUMMYFUNCTION("""COMPUTED_VALUE"""),2.0)</f>
        <v>2</v>
      </c>
      <c r="H292" s="14">
        <f>IFERROR(__xludf.DUMMYFUNCTION("""COMPUTED_VALUE"""),2023.0)</f>
        <v>2023</v>
      </c>
      <c r="I292" s="14" t="str">
        <f>IFERROR(__xludf.DUMMYFUNCTION("""COMPUTED_VALUE"""),"COD")</f>
        <v>COD</v>
      </c>
      <c r="J292" s="14" t="str">
        <f>IFERROR(__xludf.DUMMYFUNCTION("""COMPUTED_VALUE"""),"Delivered*Quality of Items: Perfect condition")</f>
        <v>Delivered*Quality of Items: Perfect condition</v>
      </c>
      <c r="K292" s="14" t="str">
        <f>IFERROR(__xludf.DUMMYFUNCTION("split(E292,""+"")"),"Popcorn")</f>
        <v>Popcorn</v>
      </c>
      <c r="L292" s="14" t="str">
        <f>IFERROR(__xludf.DUMMYFUNCTION("""COMPUTED_VALUE"""),"4*Ramesh S")</f>
        <v>4*Ramesh S</v>
      </c>
      <c r="M292" s="14">
        <f>IFERROR(__xludf.DUMMYFUNCTION("SPLIT(L292,""*"")"),4.0)</f>
        <v>4</v>
      </c>
      <c r="N292" s="14" t="str">
        <f>IFERROR(__xludf.DUMMYFUNCTION("""COMPUTED_VALUE"""),"Ramesh S")</f>
        <v>Ramesh S</v>
      </c>
      <c r="O292" s="14" t="str">
        <f>IFERROR(__xludf.DUMMYFUNCTION("split(J292,""*"")"),"Delivered")</f>
        <v>Delivered</v>
      </c>
      <c r="P292" s="14" t="str">
        <f>IFERROR(__xludf.DUMMYFUNCTION("""COMPUTED_VALUE"""),"Quality of Items: Perfect condition")</f>
        <v>Quality of Items: Perfect condition</v>
      </c>
      <c r="Q292" s="14" t="str">
        <f>IFERROR(__xludf.DUMMYFUNCTION("split(P292,"":"")"),"Quality of Items")</f>
        <v>Quality of Items</v>
      </c>
      <c r="R292" s="14" t="str">
        <f>IFERROR(__xludf.DUMMYFUNCTION("""COMPUTED_VALUE""")," Perfect condition")</f>
        <v> Perfect condition</v>
      </c>
      <c r="S292" s="14" t="str">
        <f t="shared" ref="S292:U292" si="587">trim(B292)</f>
        <v>ord_10291</v>
      </c>
      <c r="T292" s="14" t="str">
        <f t="shared" si="587"/>
        <v>Pallavi Ghosh</v>
      </c>
      <c r="U292" s="14" t="str">
        <f t="shared" si="587"/>
        <v>Bandra</v>
      </c>
      <c r="V292" s="14" t="str">
        <f t="shared" si="4"/>
        <v>Popcorn</v>
      </c>
      <c r="W292" s="14">
        <f t="shared" si="5"/>
        <v>4</v>
      </c>
      <c r="X292" s="14" t="str">
        <f t="shared" si="6"/>
        <v>Ramesh S</v>
      </c>
      <c r="Y292" s="15">
        <f t="shared" si="7"/>
        <v>45201</v>
      </c>
      <c r="Z292" s="14" t="str">
        <f t="shared" si="8"/>
        <v>COD</v>
      </c>
      <c r="AA292" s="14" t="str">
        <f t="shared" si="9"/>
        <v>Delivered</v>
      </c>
      <c r="AB292" s="14" t="str">
        <f t="shared" ref="AB292:AC292" si="588">trim(Q292)</f>
        <v>Quality of Items</v>
      </c>
      <c r="AC292" s="14" t="str">
        <f t="shared" si="588"/>
        <v>Perfect condition</v>
      </c>
      <c r="AD292" s="8"/>
    </row>
    <row r="293">
      <c r="A293" s="14" t="str">
        <f>IFERROR(__xludf.DUMMYFUNCTION("""COMPUTED_VALUE"""),"//ord_10292//Tanishq Bansal//Powai//Banana+2*Vivek Kumar/2/23/2023//UPI//Delivered*Packaging: Secure and intact")</f>
        <v>//ord_10292//Tanishq Bansal//Powai//Banana+2*Vivek Kumar/2/23/2023//UPI//Delivered*Packaging: Secure and intact</v>
      </c>
      <c r="B293" s="14" t="str">
        <f>IFERROR(__xludf.DUMMYFUNCTION("split(A293,""//"")"),"ord_10292")</f>
        <v>ord_10292</v>
      </c>
      <c r="C293" s="14" t="str">
        <f>IFERROR(__xludf.DUMMYFUNCTION("""COMPUTED_VALUE"""),"Tanishq Bansal")</f>
        <v>Tanishq Bansal</v>
      </c>
      <c r="D293" s="14" t="str">
        <f>IFERROR(__xludf.DUMMYFUNCTION("""COMPUTED_VALUE"""),"Powai")</f>
        <v>Powai</v>
      </c>
      <c r="E293" s="14" t="str">
        <f>IFERROR(__xludf.DUMMYFUNCTION("""COMPUTED_VALUE"""),"Banana+2*Vivek Kumar")</f>
        <v>Banana+2*Vivek Kumar</v>
      </c>
      <c r="F293" s="14">
        <f>IFERROR(__xludf.DUMMYFUNCTION("""COMPUTED_VALUE"""),2.0)</f>
        <v>2</v>
      </c>
      <c r="G293" s="14">
        <f>IFERROR(__xludf.DUMMYFUNCTION("""COMPUTED_VALUE"""),23.0)</f>
        <v>23</v>
      </c>
      <c r="H293" s="14">
        <f>IFERROR(__xludf.DUMMYFUNCTION("""COMPUTED_VALUE"""),2023.0)</f>
        <v>2023</v>
      </c>
      <c r="I293" s="14" t="str">
        <f>IFERROR(__xludf.DUMMYFUNCTION("""COMPUTED_VALUE"""),"UPI")</f>
        <v>UPI</v>
      </c>
      <c r="J293" s="14" t="str">
        <f>IFERROR(__xludf.DUMMYFUNCTION("""COMPUTED_VALUE"""),"Delivered*Packaging: Secure and intact")</f>
        <v>Delivered*Packaging: Secure and intact</v>
      </c>
      <c r="K293" s="14" t="str">
        <f>IFERROR(__xludf.DUMMYFUNCTION("split(E293,""+"")"),"Banana")</f>
        <v>Banana</v>
      </c>
      <c r="L293" s="14" t="str">
        <f>IFERROR(__xludf.DUMMYFUNCTION("""COMPUTED_VALUE"""),"2*Vivek Kumar")</f>
        <v>2*Vivek Kumar</v>
      </c>
      <c r="M293" s="14">
        <f>IFERROR(__xludf.DUMMYFUNCTION("SPLIT(L293,""*"")"),2.0)</f>
        <v>2</v>
      </c>
      <c r="N293" s="14" t="str">
        <f>IFERROR(__xludf.DUMMYFUNCTION("""COMPUTED_VALUE"""),"Vivek Kumar")</f>
        <v>Vivek Kumar</v>
      </c>
      <c r="O293" s="14" t="str">
        <f>IFERROR(__xludf.DUMMYFUNCTION("split(J293,""*"")"),"Delivered")</f>
        <v>Delivered</v>
      </c>
      <c r="P293" s="14" t="str">
        <f>IFERROR(__xludf.DUMMYFUNCTION("""COMPUTED_VALUE"""),"Packaging: Secure and intact")</f>
        <v>Packaging: Secure and intact</v>
      </c>
      <c r="Q293" s="14" t="str">
        <f>IFERROR(__xludf.DUMMYFUNCTION("split(P293,"":"")"),"Packaging")</f>
        <v>Packaging</v>
      </c>
      <c r="R293" s="14" t="str">
        <f>IFERROR(__xludf.DUMMYFUNCTION("""COMPUTED_VALUE""")," Secure and intact")</f>
        <v> Secure and intact</v>
      </c>
      <c r="S293" s="14" t="str">
        <f t="shared" ref="S293:U293" si="589">trim(B293)</f>
        <v>ord_10292</v>
      </c>
      <c r="T293" s="14" t="str">
        <f t="shared" si="589"/>
        <v>Tanishq Bansal</v>
      </c>
      <c r="U293" s="14" t="str">
        <f t="shared" si="589"/>
        <v>Powai</v>
      </c>
      <c r="V293" s="14" t="str">
        <f t="shared" si="4"/>
        <v>Banana</v>
      </c>
      <c r="W293" s="14">
        <f t="shared" si="5"/>
        <v>2</v>
      </c>
      <c r="X293" s="14" t="str">
        <f t="shared" si="6"/>
        <v>Vivek Kumar</v>
      </c>
      <c r="Y293" s="15">
        <f t="shared" si="7"/>
        <v>44980</v>
      </c>
      <c r="Z293" s="14" t="str">
        <f t="shared" si="8"/>
        <v>UPI</v>
      </c>
      <c r="AA293" s="14" t="str">
        <f t="shared" si="9"/>
        <v>Delivered</v>
      </c>
      <c r="AB293" s="14" t="str">
        <f t="shared" ref="AB293:AC293" si="590">trim(Q293)</f>
        <v>Packaging</v>
      </c>
      <c r="AC293" s="14" t="str">
        <f t="shared" si="590"/>
        <v>Secure and intact</v>
      </c>
      <c r="AD293" s="8"/>
    </row>
    <row r="294">
      <c r="A294" s="14" t="str">
        <f>IFERROR(__xludf.DUMMYFUNCTION("""COMPUTED_VALUE"""),"//ord_10293//Aarav Mehta//Andheri//Potato+1*Priya Joshi/10/1/2023//Online Payment//Cancelled*Delayed Delivery:Heavy Traffic")</f>
        <v>//ord_10293//Aarav Mehta//Andheri//Potato+1*Priya Joshi/10/1/2023//Online Payment//Cancelled*Delayed Delivery:Heavy Traffic</v>
      </c>
      <c r="B294" s="14" t="str">
        <f>IFERROR(__xludf.DUMMYFUNCTION("split(A294,""//"")"),"ord_10293")</f>
        <v>ord_10293</v>
      </c>
      <c r="C294" s="14" t="str">
        <f>IFERROR(__xludf.DUMMYFUNCTION("""COMPUTED_VALUE"""),"Aarav Mehta")</f>
        <v>Aarav Mehta</v>
      </c>
      <c r="D294" s="14" t="str">
        <f>IFERROR(__xludf.DUMMYFUNCTION("""COMPUTED_VALUE"""),"Andheri")</f>
        <v>Andheri</v>
      </c>
      <c r="E294" s="14" t="str">
        <f>IFERROR(__xludf.DUMMYFUNCTION("""COMPUTED_VALUE"""),"Potato+1*Priya Joshi")</f>
        <v>Potato+1*Priya Joshi</v>
      </c>
      <c r="F294" s="14">
        <f>IFERROR(__xludf.DUMMYFUNCTION("""COMPUTED_VALUE"""),10.0)</f>
        <v>10</v>
      </c>
      <c r="G294" s="14">
        <f>IFERROR(__xludf.DUMMYFUNCTION("""COMPUTED_VALUE"""),1.0)</f>
        <v>1</v>
      </c>
      <c r="H294" s="14">
        <f>IFERROR(__xludf.DUMMYFUNCTION("""COMPUTED_VALUE"""),2023.0)</f>
        <v>2023</v>
      </c>
      <c r="I294" s="14" t="str">
        <f>IFERROR(__xludf.DUMMYFUNCTION("""COMPUTED_VALUE"""),"Online Payment")</f>
        <v>Online Payment</v>
      </c>
      <c r="J294" s="14" t="str">
        <f>IFERROR(__xludf.DUMMYFUNCTION("""COMPUTED_VALUE"""),"Cancelled*Delayed Delivery:Heavy Traffic")</f>
        <v>Cancelled*Delayed Delivery:Heavy Traffic</v>
      </c>
      <c r="K294" s="14" t="str">
        <f>IFERROR(__xludf.DUMMYFUNCTION("split(E294,""+"")"),"Potato")</f>
        <v>Potato</v>
      </c>
      <c r="L294" s="14" t="str">
        <f>IFERROR(__xludf.DUMMYFUNCTION("""COMPUTED_VALUE"""),"1*Priya Joshi")</f>
        <v>1*Priya Joshi</v>
      </c>
      <c r="M294" s="14">
        <f>IFERROR(__xludf.DUMMYFUNCTION("SPLIT(L294,""*"")"),1.0)</f>
        <v>1</v>
      </c>
      <c r="N294" s="14" t="str">
        <f>IFERROR(__xludf.DUMMYFUNCTION("""COMPUTED_VALUE"""),"Priya Joshi")</f>
        <v>Priya Joshi</v>
      </c>
      <c r="O294" s="14" t="str">
        <f>IFERROR(__xludf.DUMMYFUNCTION("split(J294,""*"")"),"Cancelled")</f>
        <v>Cancelled</v>
      </c>
      <c r="P294" s="14" t="str">
        <f>IFERROR(__xludf.DUMMYFUNCTION("""COMPUTED_VALUE"""),"Delayed Delivery:Heavy Traffic")</f>
        <v>Delayed Delivery:Heavy Traffic</v>
      </c>
      <c r="Q294" s="14" t="str">
        <f>IFERROR(__xludf.DUMMYFUNCTION("split(P294,"":"")"),"Delayed Delivery")</f>
        <v>Delayed Delivery</v>
      </c>
      <c r="R294" s="14" t="str">
        <f>IFERROR(__xludf.DUMMYFUNCTION("""COMPUTED_VALUE"""),"Heavy Traffic")</f>
        <v>Heavy Traffic</v>
      </c>
      <c r="S294" s="14" t="str">
        <f t="shared" ref="S294:U294" si="591">trim(B294)</f>
        <v>ord_10293</v>
      </c>
      <c r="T294" s="14" t="str">
        <f t="shared" si="591"/>
        <v>Aarav Mehta</v>
      </c>
      <c r="U294" s="14" t="str">
        <f t="shared" si="591"/>
        <v>Andheri</v>
      </c>
      <c r="V294" s="14" t="str">
        <f t="shared" si="4"/>
        <v>Potato</v>
      </c>
      <c r="W294" s="14">
        <f t="shared" si="5"/>
        <v>1</v>
      </c>
      <c r="X294" s="14" t="str">
        <f t="shared" si="6"/>
        <v>Priya Joshi</v>
      </c>
      <c r="Y294" s="15">
        <f t="shared" si="7"/>
        <v>45200</v>
      </c>
      <c r="Z294" s="14" t="str">
        <f t="shared" si="8"/>
        <v>Online Payment</v>
      </c>
      <c r="AA294" s="14" t="str">
        <f t="shared" si="9"/>
        <v>Cancelled</v>
      </c>
      <c r="AB294" s="14" t="str">
        <f t="shared" ref="AB294:AC294" si="592">trim(Q294)</f>
        <v>Delayed Delivery</v>
      </c>
      <c r="AC294" s="14" t="str">
        <f t="shared" si="592"/>
        <v>Heavy Traffic</v>
      </c>
      <c r="AD294" s="8"/>
    </row>
    <row r="295">
      <c r="A295" s="14" t="str">
        <f>IFERROR(__xludf.DUMMYFUNCTION("""COMPUTED_VALUE"""),"//ord_10294//Sanjay Nair//Dadar//Cucumber+2*Sita T/3/10/2023//UPI//Cancelled*Delayed Delivery:Bad Weather Conditions ")</f>
        <v>//ord_10294//Sanjay Nair//Dadar//Cucumber+2*Sita T/3/10/2023//UPI//Cancelled*Delayed Delivery:Bad Weather Conditions </v>
      </c>
      <c r="B295" s="14" t="str">
        <f>IFERROR(__xludf.DUMMYFUNCTION("split(A295,""//"")"),"ord_10294")</f>
        <v>ord_10294</v>
      </c>
      <c r="C295" s="14" t="str">
        <f>IFERROR(__xludf.DUMMYFUNCTION("""COMPUTED_VALUE"""),"Sanjay Nair")</f>
        <v>Sanjay Nair</v>
      </c>
      <c r="D295" s="14" t="str">
        <f>IFERROR(__xludf.DUMMYFUNCTION("""COMPUTED_VALUE"""),"Dadar")</f>
        <v>Dadar</v>
      </c>
      <c r="E295" s="14" t="str">
        <f>IFERROR(__xludf.DUMMYFUNCTION("""COMPUTED_VALUE"""),"Cucumber+2*Sita T")</f>
        <v>Cucumber+2*Sita T</v>
      </c>
      <c r="F295" s="14">
        <f>IFERROR(__xludf.DUMMYFUNCTION("""COMPUTED_VALUE"""),3.0)</f>
        <v>3</v>
      </c>
      <c r="G295" s="14">
        <f>IFERROR(__xludf.DUMMYFUNCTION("""COMPUTED_VALUE"""),10.0)</f>
        <v>10</v>
      </c>
      <c r="H295" s="14">
        <f>IFERROR(__xludf.DUMMYFUNCTION("""COMPUTED_VALUE"""),2023.0)</f>
        <v>2023</v>
      </c>
      <c r="I295" s="14" t="str">
        <f>IFERROR(__xludf.DUMMYFUNCTION("""COMPUTED_VALUE"""),"UPI")</f>
        <v>UPI</v>
      </c>
      <c r="J295" s="14" t="str">
        <f>IFERROR(__xludf.DUMMYFUNCTION("""COMPUTED_VALUE"""),"Cancelled*Delayed Delivery:Bad Weather Conditions ")</f>
        <v>Cancelled*Delayed Delivery:Bad Weather Conditions </v>
      </c>
      <c r="K295" s="14" t="str">
        <f>IFERROR(__xludf.DUMMYFUNCTION("split(E295,""+"")"),"Cucumber")</f>
        <v>Cucumber</v>
      </c>
      <c r="L295" s="14" t="str">
        <f>IFERROR(__xludf.DUMMYFUNCTION("""COMPUTED_VALUE"""),"2*Sita T")</f>
        <v>2*Sita T</v>
      </c>
      <c r="M295" s="14">
        <f>IFERROR(__xludf.DUMMYFUNCTION("SPLIT(L295,""*"")"),2.0)</f>
        <v>2</v>
      </c>
      <c r="N295" s="14" t="str">
        <f>IFERROR(__xludf.DUMMYFUNCTION("""COMPUTED_VALUE"""),"Sita T")</f>
        <v>Sita T</v>
      </c>
      <c r="O295" s="14" t="str">
        <f>IFERROR(__xludf.DUMMYFUNCTION("split(J295,""*"")"),"Cancelled")</f>
        <v>Cancelled</v>
      </c>
      <c r="P295" s="14" t="str">
        <f>IFERROR(__xludf.DUMMYFUNCTION("""COMPUTED_VALUE"""),"Delayed Delivery:Bad Weather Conditions ")</f>
        <v>Delayed Delivery:Bad Weather Conditions </v>
      </c>
      <c r="Q295" s="14" t="str">
        <f>IFERROR(__xludf.DUMMYFUNCTION("split(P295,"":"")"),"Delayed Delivery")</f>
        <v>Delayed Delivery</v>
      </c>
      <c r="R295" s="14" t="str">
        <f>IFERROR(__xludf.DUMMYFUNCTION("""COMPUTED_VALUE"""),"Bad Weather Conditions ")</f>
        <v>Bad Weather Conditions </v>
      </c>
      <c r="S295" s="14" t="str">
        <f t="shared" ref="S295:U295" si="593">trim(B295)</f>
        <v>ord_10294</v>
      </c>
      <c r="T295" s="14" t="str">
        <f t="shared" si="593"/>
        <v>Sanjay Nair</v>
      </c>
      <c r="U295" s="14" t="str">
        <f t="shared" si="593"/>
        <v>Dadar</v>
      </c>
      <c r="V295" s="14" t="str">
        <f t="shared" si="4"/>
        <v>Cucumber</v>
      </c>
      <c r="W295" s="14">
        <f t="shared" si="5"/>
        <v>2</v>
      </c>
      <c r="X295" s="14" t="str">
        <f t="shared" si="6"/>
        <v>Sita T</v>
      </c>
      <c r="Y295" s="15">
        <f t="shared" si="7"/>
        <v>44995</v>
      </c>
      <c r="Z295" s="14" t="str">
        <f t="shared" si="8"/>
        <v>UPI</v>
      </c>
      <c r="AA295" s="14" t="str">
        <f t="shared" si="9"/>
        <v>Cancelled</v>
      </c>
      <c r="AB295" s="14" t="str">
        <f t="shared" ref="AB295:AC295" si="594">trim(Q295)</f>
        <v>Delayed Delivery</v>
      </c>
      <c r="AC295" s="14" t="str">
        <f t="shared" si="594"/>
        <v>Bad Weather Conditions</v>
      </c>
      <c r="AD295" s="8"/>
    </row>
    <row r="296">
      <c r="A296" s="14" t="str">
        <f>IFERROR(__xludf.DUMMYFUNCTION("""COMPUTED_VALUE"""),"//ord_10295//Mehul Thakkar//Malad//Chocolate Mousse+5*Neha Shah/7/10/2023//Online Payment//Cancelled*Delayed Delivery:Incorrect Address or Location")</f>
        <v>//ord_10295//Mehul Thakkar//Malad//Chocolate Mousse+5*Neha Shah/7/10/2023//Online Payment//Cancelled*Delayed Delivery:Incorrect Address or Location</v>
      </c>
      <c r="B296" s="14" t="str">
        <f>IFERROR(__xludf.DUMMYFUNCTION("split(A296,""//"")"),"ord_10295")</f>
        <v>ord_10295</v>
      </c>
      <c r="C296" s="14" t="str">
        <f>IFERROR(__xludf.DUMMYFUNCTION("""COMPUTED_VALUE"""),"Mehul Thakkar")</f>
        <v>Mehul Thakkar</v>
      </c>
      <c r="D296" s="14" t="str">
        <f>IFERROR(__xludf.DUMMYFUNCTION("""COMPUTED_VALUE"""),"Malad")</f>
        <v>Malad</v>
      </c>
      <c r="E296" s="14" t="str">
        <f>IFERROR(__xludf.DUMMYFUNCTION("""COMPUTED_VALUE"""),"Chocolate Mousse+5*Neha Shah")</f>
        <v>Chocolate Mousse+5*Neha Shah</v>
      </c>
      <c r="F296" s="14">
        <f>IFERROR(__xludf.DUMMYFUNCTION("""COMPUTED_VALUE"""),7.0)</f>
        <v>7</v>
      </c>
      <c r="G296" s="14">
        <f>IFERROR(__xludf.DUMMYFUNCTION("""COMPUTED_VALUE"""),10.0)</f>
        <v>10</v>
      </c>
      <c r="H296" s="14">
        <f>IFERROR(__xludf.DUMMYFUNCTION("""COMPUTED_VALUE"""),2023.0)</f>
        <v>2023</v>
      </c>
      <c r="I296" s="14" t="str">
        <f>IFERROR(__xludf.DUMMYFUNCTION("""COMPUTED_VALUE"""),"Online Payment")</f>
        <v>Online Payment</v>
      </c>
      <c r="J296" s="14" t="str">
        <f>IFERROR(__xludf.DUMMYFUNCTION("""COMPUTED_VALUE"""),"Cancelled*Delayed Delivery:Incorrect Address or Location")</f>
        <v>Cancelled*Delayed Delivery:Incorrect Address or Location</v>
      </c>
      <c r="K296" s="14" t="str">
        <f>IFERROR(__xludf.DUMMYFUNCTION("split(E296,""+"")"),"Chocolate Mousse")</f>
        <v>Chocolate Mousse</v>
      </c>
      <c r="L296" s="14" t="str">
        <f>IFERROR(__xludf.DUMMYFUNCTION("""COMPUTED_VALUE"""),"5*Neha Shah")</f>
        <v>5*Neha Shah</v>
      </c>
      <c r="M296" s="14">
        <f>IFERROR(__xludf.DUMMYFUNCTION("SPLIT(L296,""*"")"),5.0)</f>
        <v>5</v>
      </c>
      <c r="N296" s="14" t="str">
        <f>IFERROR(__xludf.DUMMYFUNCTION("""COMPUTED_VALUE"""),"Neha Shah")</f>
        <v>Neha Shah</v>
      </c>
      <c r="O296" s="14" t="str">
        <f>IFERROR(__xludf.DUMMYFUNCTION("split(J296,""*"")"),"Cancelled")</f>
        <v>Cancelled</v>
      </c>
      <c r="P296" s="14" t="str">
        <f>IFERROR(__xludf.DUMMYFUNCTION("""COMPUTED_VALUE"""),"Delayed Delivery:Incorrect Address or Location")</f>
        <v>Delayed Delivery:Incorrect Address or Location</v>
      </c>
      <c r="Q296" s="14" t="str">
        <f>IFERROR(__xludf.DUMMYFUNCTION("split(P296,"":"")"),"Delayed Delivery")</f>
        <v>Delayed Delivery</v>
      </c>
      <c r="R296" s="14" t="str">
        <f>IFERROR(__xludf.DUMMYFUNCTION("""COMPUTED_VALUE"""),"Incorrect Address or Location")</f>
        <v>Incorrect Address or Location</v>
      </c>
      <c r="S296" s="14" t="str">
        <f t="shared" ref="S296:U296" si="595">trim(B296)</f>
        <v>ord_10295</v>
      </c>
      <c r="T296" s="14" t="str">
        <f t="shared" si="595"/>
        <v>Mehul Thakkar</v>
      </c>
      <c r="U296" s="14" t="str">
        <f t="shared" si="595"/>
        <v>Malad</v>
      </c>
      <c r="V296" s="14" t="str">
        <f t="shared" si="4"/>
        <v>Chocolate Mousse</v>
      </c>
      <c r="W296" s="14">
        <f t="shared" si="5"/>
        <v>5</v>
      </c>
      <c r="X296" s="14" t="str">
        <f t="shared" si="6"/>
        <v>Neha Shah</v>
      </c>
      <c r="Y296" s="15">
        <f t="shared" si="7"/>
        <v>45117</v>
      </c>
      <c r="Z296" s="14" t="str">
        <f t="shared" si="8"/>
        <v>Online Payment</v>
      </c>
      <c r="AA296" s="14" t="str">
        <f t="shared" si="9"/>
        <v>Cancelled</v>
      </c>
      <c r="AB296" s="14" t="str">
        <f t="shared" ref="AB296:AC296" si="596">trim(Q296)</f>
        <v>Delayed Delivery</v>
      </c>
      <c r="AC296" s="14" t="str">
        <f t="shared" si="596"/>
        <v>Incorrect Address or Location</v>
      </c>
      <c r="AD296" s="8"/>
    </row>
    <row r="297">
      <c r="A297" s="14" t="str">
        <f>IFERROR(__xludf.DUMMYFUNCTION("""COMPUTED_VALUE"""),"//ord_10296//Sanjay Nair//Dadar//Onion+2*Shine Thomas/9/17/2023//COD//Delivered*Satisfied with the Delivery: Timely and quality")</f>
        <v>//ord_10296//Sanjay Nair//Dadar//Onion+2*Shine Thomas/9/17/2023//COD//Delivered*Satisfied with the Delivery: Timely and quality</v>
      </c>
      <c r="B297" s="14" t="str">
        <f>IFERROR(__xludf.DUMMYFUNCTION("split(A297,""//"")"),"ord_10296")</f>
        <v>ord_10296</v>
      </c>
      <c r="C297" s="14" t="str">
        <f>IFERROR(__xludf.DUMMYFUNCTION("""COMPUTED_VALUE"""),"Sanjay Nair")</f>
        <v>Sanjay Nair</v>
      </c>
      <c r="D297" s="14" t="str">
        <f>IFERROR(__xludf.DUMMYFUNCTION("""COMPUTED_VALUE"""),"Dadar")</f>
        <v>Dadar</v>
      </c>
      <c r="E297" s="14" t="str">
        <f>IFERROR(__xludf.DUMMYFUNCTION("""COMPUTED_VALUE"""),"Onion+2*Shine Thomas")</f>
        <v>Onion+2*Shine Thomas</v>
      </c>
      <c r="F297" s="14">
        <f>IFERROR(__xludf.DUMMYFUNCTION("""COMPUTED_VALUE"""),9.0)</f>
        <v>9</v>
      </c>
      <c r="G297" s="14">
        <f>IFERROR(__xludf.DUMMYFUNCTION("""COMPUTED_VALUE"""),17.0)</f>
        <v>17</v>
      </c>
      <c r="H297" s="14">
        <f>IFERROR(__xludf.DUMMYFUNCTION("""COMPUTED_VALUE"""),2023.0)</f>
        <v>2023</v>
      </c>
      <c r="I297" s="14" t="str">
        <f>IFERROR(__xludf.DUMMYFUNCTION("""COMPUTED_VALUE"""),"COD")</f>
        <v>COD</v>
      </c>
      <c r="J297" s="14" t="str">
        <f>IFERROR(__xludf.DUMMYFUNCTION("""COMPUTED_VALUE"""),"Delivered*Satisfied with the Delivery: Timely and quality")</f>
        <v>Delivered*Satisfied with the Delivery: Timely and quality</v>
      </c>
      <c r="K297" s="14" t="str">
        <f>IFERROR(__xludf.DUMMYFUNCTION("split(E297,""+"")"),"Onion")</f>
        <v>Onion</v>
      </c>
      <c r="L297" s="14" t="str">
        <f>IFERROR(__xludf.DUMMYFUNCTION("""COMPUTED_VALUE"""),"2*Shine Thomas")</f>
        <v>2*Shine Thomas</v>
      </c>
      <c r="M297" s="14">
        <f>IFERROR(__xludf.DUMMYFUNCTION("SPLIT(L297,""*"")"),2.0)</f>
        <v>2</v>
      </c>
      <c r="N297" s="14" t="str">
        <f>IFERROR(__xludf.DUMMYFUNCTION("""COMPUTED_VALUE"""),"Shine Thomas")</f>
        <v>Shine Thomas</v>
      </c>
      <c r="O297" s="14" t="str">
        <f>IFERROR(__xludf.DUMMYFUNCTION("split(J297,""*"")"),"Delivered")</f>
        <v>Delivered</v>
      </c>
      <c r="P297" s="14" t="str">
        <f>IFERROR(__xludf.DUMMYFUNCTION("""COMPUTED_VALUE"""),"Satisfied with the Delivery: Timely and quality")</f>
        <v>Satisfied with the Delivery: Timely and quality</v>
      </c>
      <c r="Q297" s="14" t="str">
        <f>IFERROR(__xludf.DUMMYFUNCTION("split(P297,"":"")"),"Satisfied with the Delivery")</f>
        <v>Satisfied with the Delivery</v>
      </c>
      <c r="R297" s="14" t="str">
        <f>IFERROR(__xludf.DUMMYFUNCTION("""COMPUTED_VALUE""")," Timely and quality")</f>
        <v> Timely and quality</v>
      </c>
      <c r="S297" s="14" t="str">
        <f t="shared" ref="S297:U297" si="597">trim(B297)</f>
        <v>ord_10296</v>
      </c>
      <c r="T297" s="14" t="str">
        <f t="shared" si="597"/>
        <v>Sanjay Nair</v>
      </c>
      <c r="U297" s="14" t="str">
        <f t="shared" si="597"/>
        <v>Dadar</v>
      </c>
      <c r="V297" s="14" t="str">
        <f t="shared" si="4"/>
        <v>Onion</v>
      </c>
      <c r="W297" s="14">
        <f t="shared" si="5"/>
        <v>2</v>
      </c>
      <c r="X297" s="14" t="str">
        <f t="shared" si="6"/>
        <v>Shine Thomas</v>
      </c>
      <c r="Y297" s="15">
        <f t="shared" si="7"/>
        <v>45186</v>
      </c>
      <c r="Z297" s="14" t="str">
        <f t="shared" si="8"/>
        <v>COD</v>
      </c>
      <c r="AA297" s="14" t="str">
        <f t="shared" si="9"/>
        <v>Delivered</v>
      </c>
      <c r="AB297" s="14" t="str">
        <f t="shared" ref="AB297:AC297" si="598">trim(Q297)</f>
        <v>Satisfied with the Delivery</v>
      </c>
      <c r="AC297" s="14" t="str">
        <f t="shared" si="598"/>
        <v>Timely and quality</v>
      </c>
      <c r="AD297" s="8"/>
    </row>
    <row r="298">
      <c r="A298" s="14" t="str">
        <f>IFERROR(__xludf.DUMMYFUNCTION("""COMPUTED_VALUE"""),"//ord_10297//Ishaan Chaturvedi//Bandra//Onion+1*Priya Joshi/7/18/2023//COD//Delivered*Customer Service: Seamless and easy")</f>
        <v>//ord_10297//Ishaan Chaturvedi//Bandra//Onion+1*Priya Joshi/7/18/2023//COD//Delivered*Customer Service: Seamless and easy</v>
      </c>
      <c r="B298" s="14" t="str">
        <f>IFERROR(__xludf.DUMMYFUNCTION("split(A298,""//"")"),"ord_10297")</f>
        <v>ord_10297</v>
      </c>
      <c r="C298" s="14" t="str">
        <f>IFERROR(__xludf.DUMMYFUNCTION("""COMPUTED_VALUE"""),"Ishaan Chaturvedi")</f>
        <v>Ishaan Chaturvedi</v>
      </c>
      <c r="D298" s="14" t="str">
        <f>IFERROR(__xludf.DUMMYFUNCTION("""COMPUTED_VALUE"""),"Bandra")</f>
        <v>Bandra</v>
      </c>
      <c r="E298" s="14" t="str">
        <f>IFERROR(__xludf.DUMMYFUNCTION("""COMPUTED_VALUE"""),"Onion+1*Priya Joshi")</f>
        <v>Onion+1*Priya Joshi</v>
      </c>
      <c r="F298" s="14">
        <f>IFERROR(__xludf.DUMMYFUNCTION("""COMPUTED_VALUE"""),7.0)</f>
        <v>7</v>
      </c>
      <c r="G298" s="14">
        <f>IFERROR(__xludf.DUMMYFUNCTION("""COMPUTED_VALUE"""),18.0)</f>
        <v>18</v>
      </c>
      <c r="H298" s="14">
        <f>IFERROR(__xludf.DUMMYFUNCTION("""COMPUTED_VALUE"""),2023.0)</f>
        <v>2023</v>
      </c>
      <c r="I298" s="14" t="str">
        <f>IFERROR(__xludf.DUMMYFUNCTION("""COMPUTED_VALUE"""),"COD")</f>
        <v>COD</v>
      </c>
      <c r="J298" s="14" t="str">
        <f>IFERROR(__xludf.DUMMYFUNCTION("""COMPUTED_VALUE"""),"Delivered*Customer Service: Seamless and easy")</f>
        <v>Delivered*Customer Service: Seamless and easy</v>
      </c>
      <c r="K298" s="14" t="str">
        <f>IFERROR(__xludf.DUMMYFUNCTION("split(E298,""+"")"),"Onion")</f>
        <v>Onion</v>
      </c>
      <c r="L298" s="14" t="str">
        <f>IFERROR(__xludf.DUMMYFUNCTION("""COMPUTED_VALUE"""),"1*Priya Joshi")</f>
        <v>1*Priya Joshi</v>
      </c>
      <c r="M298" s="14">
        <f>IFERROR(__xludf.DUMMYFUNCTION("SPLIT(L298,""*"")"),1.0)</f>
        <v>1</v>
      </c>
      <c r="N298" s="14" t="str">
        <f>IFERROR(__xludf.DUMMYFUNCTION("""COMPUTED_VALUE"""),"Priya Joshi")</f>
        <v>Priya Joshi</v>
      </c>
      <c r="O298" s="14" t="str">
        <f>IFERROR(__xludf.DUMMYFUNCTION("split(J298,""*"")"),"Delivered")</f>
        <v>Delivered</v>
      </c>
      <c r="P298" s="14" t="str">
        <f>IFERROR(__xludf.DUMMYFUNCTION("""COMPUTED_VALUE"""),"Customer Service: Seamless and easy")</f>
        <v>Customer Service: Seamless and easy</v>
      </c>
      <c r="Q298" s="14" t="str">
        <f>IFERROR(__xludf.DUMMYFUNCTION("split(P298,"":"")"),"Customer Service")</f>
        <v>Customer Service</v>
      </c>
      <c r="R298" s="14" t="str">
        <f>IFERROR(__xludf.DUMMYFUNCTION("""COMPUTED_VALUE""")," Seamless and easy")</f>
        <v> Seamless and easy</v>
      </c>
      <c r="S298" s="14" t="str">
        <f t="shared" ref="S298:U298" si="599">trim(B298)</f>
        <v>ord_10297</v>
      </c>
      <c r="T298" s="14" t="str">
        <f t="shared" si="599"/>
        <v>Ishaan Chaturvedi</v>
      </c>
      <c r="U298" s="14" t="str">
        <f t="shared" si="599"/>
        <v>Bandra</v>
      </c>
      <c r="V298" s="14" t="str">
        <f t="shared" si="4"/>
        <v>Onion</v>
      </c>
      <c r="W298" s="14">
        <f t="shared" si="5"/>
        <v>1</v>
      </c>
      <c r="X298" s="14" t="str">
        <f t="shared" si="6"/>
        <v>Priya Joshi</v>
      </c>
      <c r="Y298" s="15">
        <f t="shared" si="7"/>
        <v>45125</v>
      </c>
      <c r="Z298" s="14" t="str">
        <f t="shared" si="8"/>
        <v>COD</v>
      </c>
      <c r="AA298" s="14" t="str">
        <f t="shared" si="9"/>
        <v>Delivered</v>
      </c>
      <c r="AB298" s="14" t="str">
        <f t="shared" ref="AB298:AC298" si="600">trim(Q298)</f>
        <v>Customer Service</v>
      </c>
      <c r="AC298" s="14" t="str">
        <f t="shared" si="600"/>
        <v>Seamless and easy</v>
      </c>
      <c r="AD298" s="8"/>
    </row>
    <row r="299">
      <c r="A299" s="14" t="str">
        <f>IFERROR(__xludf.DUMMYFUNCTION("""COMPUTED_VALUE"""),"//ord_10298//Dev Chauhan//Bandra//Juice+2*Not Assigned/7/24/2023//Credit Card//Cancelled*Payment Issues")</f>
        <v>//ord_10298//Dev Chauhan//Bandra//Juice+2*Not Assigned/7/24/2023//Credit Card//Cancelled*Payment Issues</v>
      </c>
      <c r="B299" s="14" t="str">
        <f>IFERROR(__xludf.DUMMYFUNCTION("split(A299,""//"")"),"ord_10298")</f>
        <v>ord_10298</v>
      </c>
      <c r="C299" s="14" t="str">
        <f>IFERROR(__xludf.DUMMYFUNCTION("""COMPUTED_VALUE"""),"Dev Chauhan")</f>
        <v>Dev Chauhan</v>
      </c>
      <c r="D299" s="14" t="str">
        <f>IFERROR(__xludf.DUMMYFUNCTION("""COMPUTED_VALUE"""),"Bandra")</f>
        <v>Bandra</v>
      </c>
      <c r="E299" s="14" t="str">
        <f>IFERROR(__xludf.DUMMYFUNCTION("""COMPUTED_VALUE"""),"Juice+2*Not Assigned")</f>
        <v>Juice+2*Not Assigned</v>
      </c>
      <c r="F299" s="14">
        <f>IFERROR(__xludf.DUMMYFUNCTION("""COMPUTED_VALUE"""),7.0)</f>
        <v>7</v>
      </c>
      <c r="G299" s="14">
        <f>IFERROR(__xludf.DUMMYFUNCTION("""COMPUTED_VALUE"""),24.0)</f>
        <v>24</v>
      </c>
      <c r="H299" s="14">
        <f>IFERROR(__xludf.DUMMYFUNCTION("""COMPUTED_VALUE"""),2023.0)</f>
        <v>2023</v>
      </c>
      <c r="I299" s="14" t="str">
        <f>IFERROR(__xludf.DUMMYFUNCTION("""COMPUTED_VALUE"""),"Credit Card")</f>
        <v>Credit Card</v>
      </c>
      <c r="J299" s="14" t="str">
        <f>IFERROR(__xludf.DUMMYFUNCTION("""COMPUTED_VALUE"""),"Cancelled*Payment Issues")</f>
        <v>Cancelled*Payment Issues</v>
      </c>
      <c r="K299" s="14" t="str">
        <f>IFERROR(__xludf.DUMMYFUNCTION("split(E299,""+"")"),"Juice")</f>
        <v>Juice</v>
      </c>
      <c r="L299" s="14" t="str">
        <f>IFERROR(__xludf.DUMMYFUNCTION("""COMPUTED_VALUE"""),"2*Not Assigned")</f>
        <v>2*Not Assigned</v>
      </c>
      <c r="M299" s="14">
        <f>IFERROR(__xludf.DUMMYFUNCTION("SPLIT(L299,""*"")"),2.0)</f>
        <v>2</v>
      </c>
      <c r="N299" s="14" t="str">
        <f>IFERROR(__xludf.DUMMYFUNCTION("""COMPUTED_VALUE"""),"Not Assigned")</f>
        <v>Not Assigned</v>
      </c>
      <c r="O299" s="14" t="str">
        <f>IFERROR(__xludf.DUMMYFUNCTION("split(J299,""*"")"),"Cancelled")</f>
        <v>Cancelled</v>
      </c>
      <c r="P299" s="14" t="str">
        <f>IFERROR(__xludf.DUMMYFUNCTION("""COMPUTED_VALUE"""),"Payment Issues")</f>
        <v>Payment Issues</v>
      </c>
      <c r="Q299" s="14" t="str">
        <f>IFERROR(__xludf.DUMMYFUNCTION("split(P299,"":"")"),"Payment Issues")</f>
        <v>Payment Issues</v>
      </c>
      <c r="R299" s="14"/>
      <c r="S299" s="14" t="str">
        <f t="shared" ref="S299:U299" si="601">trim(B299)</f>
        <v>ord_10298</v>
      </c>
      <c r="T299" s="14" t="str">
        <f t="shared" si="601"/>
        <v>Dev Chauhan</v>
      </c>
      <c r="U299" s="14" t="str">
        <f t="shared" si="601"/>
        <v>Bandra</v>
      </c>
      <c r="V299" s="14" t="str">
        <f t="shared" si="4"/>
        <v>Juice</v>
      </c>
      <c r="W299" s="14">
        <f t="shared" si="5"/>
        <v>2</v>
      </c>
      <c r="X299" s="14" t="str">
        <f t="shared" si="6"/>
        <v>Not Assigned</v>
      </c>
      <c r="Y299" s="15">
        <f t="shared" si="7"/>
        <v>45131</v>
      </c>
      <c r="Z299" s="14" t="str">
        <f t="shared" si="8"/>
        <v>Credit Card</v>
      </c>
      <c r="AA299" s="14" t="str">
        <f t="shared" si="9"/>
        <v>Cancelled</v>
      </c>
      <c r="AB299" s="14" t="str">
        <f t="shared" ref="AB299:AC299" si="602">trim(Q299)</f>
        <v>Payment Issues</v>
      </c>
      <c r="AC299" s="14" t="str">
        <f t="shared" si="602"/>
        <v/>
      </c>
      <c r="AD299" s="8"/>
    </row>
    <row r="300">
      <c r="A300" s="14" t="str">
        <f>IFERROR(__xludf.DUMMYFUNCTION("""COMPUTED_VALUE"""),"//ord_10299//Tanishq Bansal//Powai//Cucumber+2*Vivek Kumar/6/6/2023//Online Payment//Delivered*Delivery Experience: Quick and professional")</f>
        <v>//ord_10299//Tanishq Bansal//Powai//Cucumber+2*Vivek Kumar/6/6/2023//Online Payment//Delivered*Delivery Experience: Quick and professional</v>
      </c>
      <c r="B300" s="14" t="str">
        <f>IFERROR(__xludf.DUMMYFUNCTION("split(A300,""//"")"),"ord_10299")</f>
        <v>ord_10299</v>
      </c>
      <c r="C300" s="14" t="str">
        <f>IFERROR(__xludf.DUMMYFUNCTION("""COMPUTED_VALUE"""),"Tanishq Bansal")</f>
        <v>Tanishq Bansal</v>
      </c>
      <c r="D300" s="14" t="str">
        <f>IFERROR(__xludf.DUMMYFUNCTION("""COMPUTED_VALUE"""),"Powai")</f>
        <v>Powai</v>
      </c>
      <c r="E300" s="14" t="str">
        <f>IFERROR(__xludf.DUMMYFUNCTION("""COMPUTED_VALUE"""),"Cucumber+2*Vivek Kumar")</f>
        <v>Cucumber+2*Vivek Kumar</v>
      </c>
      <c r="F300" s="14">
        <f>IFERROR(__xludf.DUMMYFUNCTION("""COMPUTED_VALUE"""),6.0)</f>
        <v>6</v>
      </c>
      <c r="G300" s="14">
        <f>IFERROR(__xludf.DUMMYFUNCTION("""COMPUTED_VALUE"""),6.0)</f>
        <v>6</v>
      </c>
      <c r="H300" s="14">
        <f>IFERROR(__xludf.DUMMYFUNCTION("""COMPUTED_VALUE"""),2023.0)</f>
        <v>2023</v>
      </c>
      <c r="I300" s="14" t="str">
        <f>IFERROR(__xludf.DUMMYFUNCTION("""COMPUTED_VALUE"""),"Online Payment")</f>
        <v>Online Payment</v>
      </c>
      <c r="J300" s="14" t="str">
        <f>IFERROR(__xludf.DUMMYFUNCTION("""COMPUTED_VALUE"""),"Delivered*Delivery Experience: Quick and professional")</f>
        <v>Delivered*Delivery Experience: Quick and professional</v>
      </c>
      <c r="K300" s="14" t="str">
        <f>IFERROR(__xludf.DUMMYFUNCTION("split(E300,""+"")"),"Cucumber")</f>
        <v>Cucumber</v>
      </c>
      <c r="L300" s="14" t="str">
        <f>IFERROR(__xludf.DUMMYFUNCTION("""COMPUTED_VALUE"""),"2*Vivek Kumar")</f>
        <v>2*Vivek Kumar</v>
      </c>
      <c r="M300" s="14">
        <f>IFERROR(__xludf.DUMMYFUNCTION("SPLIT(L300,""*"")"),2.0)</f>
        <v>2</v>
      </c>
      <c r="N300" s="14" t="str">
        <f>IFERROR(__xludf.DUMMYFUNCTION("""COMPUTED_VALUE"""),"Vivek Kumar")</f>
        <v>Vivek Kumar</v>
      </c>
      <c r="O300" s="14" t="str">
        <f>IFERROR(__xludf.DUMMYFUNCTION("split(J300,""*"")"),"Delivered")</f>
        <v>Delivered</v>
      </c>
      <c r="P300" s="14" t="str">
        <f>IFERROR(__xludf.DUMMYFUNCTION("""COMPUTED_VALUE"""),"Delivery Experience: Quick and professional")</f>
        <v>Delivery Experience: Quick and professional</v>
      </c>
      <c r="Q300" s="14" t="str">
        <f>IFERROR(__xludf.DUMMYFUNCTION("split(P300,"":"")"),"Delivery Experience")</f>
        <v>Delivery Experience</v>
      </c>
      <c r="R300" s="14" t="str">
        <f>IFERROR(__xludf.DUMMYFUNCTION("""COMPUTED_VALUE""")," Quick and professional")</f>
        <v> Quick and professional</v>
      </c>
      <c r="S300" s="14" t="str">
        <f t="shared" ref="S300:U300" si="603">trim(B300)</f>
        <v>ord_10299</v>
      </c>
      <c r="T300" s="14" t="str">
        <f t="shared" si="603"/>
        <v>Tanishq Bansal</v>
      </c>
      <c r="U300" s="14" t="str">
        <f t="shared" si="603"/>
        <v>Powai</v>
      </c>
      <c r="V300" s="14" t="str">
        <f t="shared" si="4"/>
        <v>Cucumber</v>
      </c>
      <c r="W300" s="14">
        <f t="shared" si="5"/>
        <v>2</v>
      </c>
      <c r="X300" s="14" t="str">
        <f t="shared" si="6"/>
        <v>Vivek Kumar</v>
      </c>
      <c r="Y300" s="15">
        <f t="shared" si="7"/>
        <v>45083</v>
      </c>
      <c r="Z300" s="14" t="str">
        <f t="shared" si="8"/>
        <v>Online Payment</v>
      </c>
      <c r="AA300" s="14" t="str">
        <f t="shared" si="9"/>
        <v>Delivered</v>
      </c>
      <c r="AB300" s="14" t="str">
        <f t="shared" ref="AB300:AC300" si="604">trim(Q300)</f>
        <v>Delivery Experience</v>
      </c>
      <c r="AC300" s="14" t="str">
        <f t="shared" si="604"/>
        <v>Quick and professional</v>
      </c>
      <c r="AD300" s="8"/>
    </row>
    <row r="301">
      <c r="A301" s="14" t="str">
        <f>IFERROR(__xludf.DUMMYFUNCTION("""COMPUTED_VALUE"""),"//ord_10300//Kritika Shetty//Malad//Potato+1*Venu R/7/9/2023//Credit Card//Cancelled*Delayed Delivery:Heavy Traffic")</f>
        <v>//ord_10300//Kritika Shetty//Malad//Potato+1*Venu R/7/9/2023//Credit Card//Cancelled*Delayed Delivery:Heavy Traffic</v>
      </c>
      <c r="B301" s="14" t="str">
        <f>IFERROR(__xludf.DUMMYFUNCTION("split(A301,""//"")"),"ord_10300")</f>
        <v>ord_10300</v>
      </c>
      <c r="C301" s="14" t="str">
        <f>IFERROR(__xludf.DUMMYFUNCTION("""COMPUTED_VALUE"""),"Kritika Shetty")</f>
        <v>Kritika Shetty</v>
      </c>
      <c r="D301" s="14" t="str">
        <f>IFERROR(__xludf.DUMMYFUNCTION("""COMPUTED_VALUE"""),"Malad")</f>
        <v>Malad</v>
      </c>
      <c r="E301" s="14" t="str">
        <f>IFERROR(__xludf.DUMMYFUNCTION("""COMPUTED_VALUE"""),"Potato+1*Venu R")</f>
        <v>Potato+1*Venu R</v>
      </c>
      <c r="F301" s="14">
        <f>IFERROR(__xludf.DUMMYFUNCTION("""COMPUTED_VALUE"""),7.0)</f>
        <v>7</v>
      </c>
      <c r="G301" s="14">
        <f>IFERROR(__xludf.DUMMYFUNCTION("""COMPUTED_VALUE"""),9.0)</f>
        <v>9</v>
      </c>
      <c r="H301" s="14">
        <f>IFERROR(__xludf.DUMMYFUNCTION("""COMPUTED_VALUE"""),2023.0)</f>
        <v>2023</v>
      </c>
      <c r="I301" s="14" t="str">
        <f>IFERROR(__xludf.DUMMYFUNCTION("""COMPUTED_VALUE"""),"Credit Card")</f>
        <v>Credit Card</v>
      </c>
      <c r="J301" s="14" t="str">
        <f>IFERROR(__xludf.DUMMYFUNCTION("""COMPUTED_VALUE"""),"Cancelled*Delayed Delivery:Heavy Traffic")</f>
        <v>Cancelled*Delayed Delivery:Heavy Traffic</v>
      </c>
      <c r="K301" s="14" t="str">
        <f>IFERROR(__xludf.DUMMYFUNCTION("split(E301,""+"")"),"Potato")</f>
        <v>Potato</v>
      </c>
      <c r="L301" s="14" t="str">
        <f>IFERROR(__xludf.DUMMYFUNCTION("""COMPUTED_VALUE"""),"1*Venu R")</f>
        <v>1*Venu R</v>
      </c>
      <c r="M301" s="14">
        <f>IFERROR(__xludf.DUMMYFUNCTION("SPLIT(L301,""*"")"),1.0)</f>
        <v>1</v>
      </c>
      <c r="N301" s="14" t="str">
        <f>IFERROR(__xludf.DUMMYFUNCTION("""COMPUTED_VALUE"""),"Venu R")</f>
        <v>Venu R</v>
      </c>
      <c r="O301" s="14" t="str">
        <f>IFERROR(__xludf.DUMMYFUNCTION("split(J301,""*"")"),"Cancelled")</f>
        <v>Cancelled</v>
      </c>
      <c r="P301" s="14" t="str">
        <f>IFERROR(__xludf.DUMMYFUNCTION("""COMPUTED_VALUE"""),"Delayed Delivery:Heavy Traffic")</f>
        <v>Delayed Delivery:Heavy Traffic</v>
      </c>
      <c r="Q301" s="14" t="str">
        <f>IFERROR(__xludf.DUMMYFUNCTION("split(P301,"":"")"),"Delayed Delivery")</f>
        <v>Delayed Delivery</v>
      </c>
      <c r="R301" s="14" t="str">
        <f>IFERROR(__xludf.DUMMYFUNCTION("""COMPUTED_VALUE"""),"Heavy Traffic")</f>
        <v>Heavy Traffic</v>
      </c>
      <c r="S301" s="14" t="str">
        <f t="shared" ref="S301:U301" si="605">trim(B301)</f>
        <v>ord_10300</v>
      </c>
      <c r="T301" s="14" t="str">
        <f t="shared" si="605"/>
        <v>Kritika Shetty</v>
      </c>
      <c r="U301" s="14" t="str">
        <f t="shared" si="605"/>
        <v>Malad</v>
      </c>
      <c r="V301" s="14" t="str">
        <f t="shared" si="4"/>
        <v>Potato</v>
      </c>
      <c r="W301" s="14">
        <f t="shared" si="5"/>
        <v>1</v>
      </c>
      <c r="X301" s="14" t="str">
        <f t="shared" si="6"/>
        <v>Venu R</v>
      </c>
      <c r="Y301" s="15">
        <f t="shared" si="7"/>
        <v>45116</v>
      </c>
      <c r="Z301" s="14" t="str">
        <f t="shared" si="8"/>
        <v>Credit Card</v>
      </c>
      <c r="AA301" s="14" t="str">
        <f t="shared" si="9"/>
        <v>Cancelled</v>
      </c>
      <c r="AB301" s="14" t="str">
        <f t="shared" ref="AB301:AC301" si="606">trim(Q301)</f>
        <v>Delayed Delivery</v>
      </c>
      <c r="AC301" s="14" t="str">
        <f t="shared" si="606"/>
        <v>Heavy Traffic</v>
      </c>
      <c r="AD301" s="8"/>
    </row>
    <row r="302">
      <c r="A302" s="14" t="str">
        <f>IFERROR(__xludf.DUMMYFUNCTION("""COMPUTED_VALUE"""),"//ord_10301//Kunal Sharma//Powai//Chicken Puff+8*Shine Thomas/1/20/2023//Credit Card//Delivered*Convenience: Easy tracking")</f>
        <v>//ord_10301//Kunal Sharma//Powai//Chicken Puff+8*Shine Thomas/1/20/2023//Credit Card//Delivered*Convenience: Easy tracking</v>
      </c>
      <c r="B302" s="14" t="str">
        <f>IFERROR(__xludf.DUMMYFUNCTION("split(A302,""//"")"),"ord_10301")</f>
        <v>ord_10301</v>
      </c>
      <c r="C302" s="14" t="str">
        <f>IFERROR(__xludf.DUMMYFUNCTION("""COMPUTED_VALUE"""),"Kunal Sharma")</f>
        <v>Kunal Sharma</v>
      </c>
      <c r="D302" s="14" t="str">
        <f>IFERROR(__xludf.DUMMYFUNCTION("""COMPUTED_VALUE"""),"Powai")</f>
        <v>Powai</v>
      </c>
      <c r="E302" s="14" t="str">
        <f>IFERROR(__xludf.DUMMYFUNCTION("""COMPUTED_VALUE"""),"Chicken Puff+8*Shine Thomas")</f>
        <v>Chicken Puff+8*Shine Thomas</v>
      </c>
      <c r="F302" s="14">
        <f>IFERROR(__xludf.DUMMYFUNCTION("""COMPUTED_VALUE"""),1.0)</f>
        <v>1</v>
      </c>
      <c r="G302" s="14">
        <f>IFERROR(__xludf.DUMMYFUNCTION("""COMPUTED_VALUE"""),20.0)</f>
        <v>20</v>
      </c>
      <c r="H302" s="14">
        <f>IFERROR(__xludf.DUMMYFUNCTION("""COMPUTED_VALUE"""),2023.0)</f>
        <v>2023</v>
      </c>
      <c r="I302" s="14" t="str">
        <f>IFERROR(__xludf.DUMMYFUNCTION("""COMPUTED_VALUE"""),"Credit Card")</f>
        <v>Credit Card</v>
      </c>
      <c r="J302" s="14" t="str">
        <f>IFERROR(__xludf.DUMMYFUNCTION("""COMPUTED_VALUE"""),"Delivered*Convenience: Easy tracking")</f>
        <v>Delivered*Convenience: Easy tracking</v>
      </c>
      <c r="K302" s="14" t="str">
        <f>IFERROR(__xludf.DUMMYFUNCTION("split(E302,""+"")"),"Chicken Puff")</f>
        <v>Chicken Puff</v>
      </c>
      <c r="L302" s="14" t="str">
        <f>IFERROR(__xludf.DUMMYFUNCTION("""COMPUTED_VALUE"""),"8*Shine Thomas")</f>
        <v>8*Shine Thomas</v>
      </c>
      <c r="M302" s="14">
        <f>IFERROR(__xludf.DUMMYFUNCTION("SPLIT(L302,""*"")"),8.0)</f>
        <v>8</v>
      </c>
      <c r="N302" s="14" t="str">
        <f>IFERROR(__xludf.DUMMYFUNCTION("""COMPUTED_VALUE"""),"Shine Thomas")</f>
        <v>Shine Thomas</v>
      </c>
      <c r="O302" s="14" t="str">
        <f>IFERROR(__xludf.DUMMYFUNCTION("split(J302,""*"")"),"Delivered")</f>
        <v>Delivered</v>
      </c>
      <c r="P302" s="14" t="str">
        <f>IFERROR(__xludf.DUMMYFUNCTION("""COMPUTED_VALUE"""),"Convenience: Easy tracking")</f>
        <v>Convenience: Easy tracking</v>
      </c>
      <c r="Q302" s="14" t="str">
        <f>IFERROR(__xludf.DUMMYFUNCTION("split(P302,"":"")"),"Convenience")</f>
        <v>Convenience</v>
      </c>
      <c r="R302" s="14" t="str">
        <f>IFERROR(__xludf.DUMMYFUNCTION("""COMPUTED_VALUE""")," Easy tracking")</f>
        <v> Easy tracking</v>
      </c>
      <c r="S302" s="14" t="str">
        <f t="shared" ref="S302:U302" si="607">trim(B302)</f>
        <v>ord_10301</v>
      </c>
      <c r="T302" s="14" t="str">
        <f t="shared" si="607"/>
        <v>Kunal Sharma</v>
      </c>
      <c r="U302" s="14" t="str">
        <f t="shared" si="607"/>
        <v>Powai</v>
      </c>
      <c r="V302" s="14" t="str">
        <f t="shared" si="4"/>
        <v>Chicken Puff</v>
      </c>
      <c r="W302" s="14">
        <f t="shared" si="5"/>
        <v>8</v>
      </c>
      <c r="X302" s="14" t="str">
        <f t="shared" si="6"/>
        <v>Shine Thomas</v>
      </c>
      <c r="Y302" s="15">
        <f t="shared" si="7"/>
        <v>44946</v>
      </c>
      <c r="Z302" s="14" t="str">
        <f t="shared" si="8"/>
        <v>Credit Card</v>
      </c>
      <c r="AA302" s="14" t="str">
        <f t="shared" si="9"/>
        <v>Delivered</v>
      </c>
      <c r="AB302" s="14" t="str">
        <f t="shared" ref="AB302:AC302" si="608">trim(Q302)</f>
        <v>Convenience</v>
      </c>
      <c r="AC302" s="14" t="str">
        <f t="shared" si="608"/>
        <v>Easy tracking</v>
      </c>
      <c r="AD302" s="8"/>
    </row>
    <row r="303">
      <c r="A303" s="14" t="str">
        <f>IFERROR(__xludf.DUMMYFUNCTION("""COMPUTED_VALUE"""),"//ord_10302//Kunal Sharma//Powai//Cold Coffee+8*Sandeep Kumar/2/27/2023//COD//Delivered*Overall Satisfaction: Great service will order again")</f>
        <v>//ord_10302//Kunal Sharma//Powai//Cold Coffee+8*Sandeep Kumar/2/27/2023//COD//Delivered*Overall Satisfaction: Great service will order again</v>
      </c>
      <c r="B303" s="14" t="str">
        <f>IFERROR(__xludf.DUMMYFUNCTION("split(A303,""//"")"),"ord_10302")</f>
        <v>ord_10302</v>
      </c>
      <c r="C303" s="14" t="str">
        <f>IFERROR(__xludf.DUMMYFUNCTION("""COMPUTED_VALUE"""),"Kunal Sharma")</f>
        <v>Kunal Sharma</v>
      </c>
      <c r="D303" s="14" t="str">
        <f>IFERROR(__xludf.DUMMYFUNCTION("""COMPUTED_VALUE"""),"Powai")</f>
        <v>Powai</v>
      </c>
      <c r="E303" s="14" t="str">
        <f>IFERROR(__xludf.DUMMYFUNCTION("""COMPUTED_VALUE"""),"Cold Coffee+8*Sandeep Kumar")</f>
        <v>Cold Coffee+8*Sandeep Kumar</v>
      </c>
      <c r="F303" s="14">
        <f>IFERROR(__xludf.DUMMYFUNCTION("""COMPUTED_VALUE"""),2.0)</f>
        <v>2</v>
      </c>
      <c r="G303" s="14">
        <f>IFERROR(__xludf.DUMMYFUNCTION("""COMPUTED_VALUE"""),27.0)</f>
        <v>27</v>
      </c>
      <c r="H303" s="14">
        <f>IFERROR(__xludf.DUMMYFUNCTION("""COMPUTED_VALUE"""),2023.0)</f>
        <v>2023</v>
      </c>
      <c r="I303" s="14" t="str">
        <f>IFERROR(__xludf.DUMMYFUNCTION("""COMPUTED_VALUE"""),"COD")</f>
        <v>COD</v>
      </c>
      <c r="J303" s="14" t="str">
        <f>IFERROR(__xludf.DUMMYFUNCTION("""COMPUTED_VALUE"""),"Delivered*Overall Satisfaction: Great service will order again")</f>
        <v>Delivered*Overall Satisfaction: Great service will order again</v>
      </c>
      <c r="K303" s="14" t="str">
        <f>IFERROR(__xludf.DUMMYFUNCTION("split(E303,""+"")"),"Cold Coffee")</f>
        <v>Cold Coffee</v>
      </c>
      <c r="L303" s="14" t="str">
        <f>IFERROR(__xludf.DUMMYFUNCTION("""COMPUTED_VALUE"""),"8*Sandeep Kumar")</f>
        <v>8*Sandeep Kumar</v>
      </c>
      <c r="M303" s="14">
        <f>IFERROR(__xludf.DUMMYFUNCTION("SPLIT(L303,""*"")"),8.0)</f>
        <v>8</v>
      </c>
      <c r="N303" s="14" t="str">
        <f>IFERROR(__xludf.DUMMYFUNCTION("""COMPUTED_VALUE"""),"Sandeep Kumar")</f>
        <v>Sandeep Kumar</v>
      </c>
      <c r="O303" s="14" t="str">
        <f>IFERROR(__xludf.DUMMYFUNCTION("split(J303,""*"")"),"Delivered")</f>
        <v>Delivered</v>
      </c>
      <c r="P303" s="14" t="str">
        <f>IFERROR(__xludf.DUMMYFUNCTION("""COMPUTED_VALUE"""),"Overall Satisfaction: Great service will order again")</f>
        <v>Overall Satisfaction: Great service will order again</v>
      </c>
      <c r="Q303" s="14" t="str">
        <f>IFERROR(__xludf.DUMMYFUNCTION("split(P303,"":"")"),"Overall Satisfaction")</f>
        <v>Overall Satisfaction</v>
      </c>
      <c r="R303" s="14" t="str">
        <f>IFERROR(__xludf.DUMMYFUNCTION("""COMPUTED_VALUE""")," Great service will order again")</f>
        <v> Great service will order again</v>
      </c>
      <c r="S303" s="14" t="str">
        <f t="shared" ref="S303:U303" si="609">trim(B303)</f>
        <v>ord_10302</v>
      </c>
      <c r="T303" s="14" t="str">
        <f t="shared" si="609"/>
        <v>Kunal Sharma</v>
      </c>
      <c r="U303" s="14" t="str">
        <f t="shared" si="609"/>
        <v>Powai</v>
      </c>
      <c r="V303" s="14" t="str">
        <f t="shared" si="4"/>
        <v>Cold Coffee</v>
      </c>
      <c r="W303" s="14">
        <f t="shared" si="5"/>
        <v>8</v>
      </c>
      <c r="X303" s="14" t="str">
        <f t="shared" si="6"/>
        <v>Sandeep Kumar</v>
      </c>
      <c r="Y303" s="15">
        <f t="shared" si="7"/>
        <v>44984</v>
      </c>
      <c r="Z303" s="14" t="str">
        <f t="shared" si="8"/>
        <v>COD</v>
      </c>
      <c r="AA303" s="14" t="str">
        <f t="shared" si="9"/>
        <v>Delivered</v>
      </c>
      <c r="AB303" s="14" t="str">
        <f t="shared" ref="AB303:AC303" si="610">trim(Q303)</f>
        <v>Overall Satisfaction</v>
      </c>
      <c r="AC303" s="14" t="str">
        <f t="shared" si="610"/>
        <v>Great service will order again</v>
      </c>
      <c r="AD303" s="8"/>
    </row>
    <row r="304">
      <c r="A304" s="14" t="str">
        <f>IFERROR(__xludf.DUMMYFUNCTION("""COMPUTED_VALUE"""),"//ord_10303//Arvind Kulkarni//Juhu//Juice+3*Tanvi Jain/4/17/2023//UPI//Cancelled*Delayed Delivery:Traffic Accidents or Road Closures")</f>
        <v>//ord_10303//Arvind Kulkarni//Juhu//Juice+3*Tanvi Jain/4/17/2023//UPI//Cancelled*Delayed Delivery:Traffic Accidents or Road Closures</v>
      </c>
      <c r="B304" s="14" t="str">
        <f>IFERROR(__xludf.DUMMYFUNCTION("split(A304,""//"")"),"ord_10303")</f>
        <v>ord_10303</v>
      </c>
      <c r="C304" s="14" t="str">
        <f>IFERROR(__xludf.DUMMYFUNCTION("""COMPUTED_VALUE"""),"Arvind Kulkarni")</f>
        <v>Arvind Kulkarni</v>
      </c>
      <c r="D304" s="14" t="str">
        <f>IFERROR(__xludf.DUMMYFUNCTION("""COMPUTED_VALUE"""),"Juhu")</f>
        <v>Juhu</v>
      </c>
      <c r="E304" s="14" t="str">
        <f>IFERROR(__xludf.DUMMYFUNCTION("""COMPUTED_VALUE"""),"Juice+3*Tanvi Jain")</f>
        <v>Juice+3*Tanvi Jain</v>
      </c>
      <c r="F304" s="14">
        <f>IFERROR(__xludf.DUMMYFUNCTION("""COMPUTED_VALUE"""),4.0)</f>
        <v>4</v>
      </c>
      <c r="G304" s="14">
        <f>IFERROR(__xludf.DUMMYFUNCTION("""COMPUTED_VALUE"""),17.0)</f>
        <v>17</v>
      </c>
      <c r="H304" s="14">
        <f>IFERROR(__xludf.DUMMYFUNCTION("""COMPUTED_VALUE"""),2023.0)</f>
        <v>2023</v>
      </c>
      <c r="I304" s="14" t="str">
        <f>IFERROR(__xludf.DUMMYFUNCTION("""COMPUTED_VALUE"""),"UPI")</f>
        <v>UPI</v>
      </c>
      <c r="J304" s="14" t="str">
        <f>IFERROR(__xludf.DUMMYFUNCTION("""COMPUTED_VALUE"""),"Cancelled*Delayed Delivery:Traffic Accidents or Road Closures")</f>
        <v>Cancelled*Delayed Delivery:Traffic Accidents or Road Closures</v>
      </c>
      <c r="K304" s="14" t="str">
        <f>IFERROR(__xludf.DUMMYFUNCTION("split(E304,""+"")"),"Juice")</f>
        <v>Juice</v>
      </c>
      <c r="L304" s="14" t="str">
        <f>IFERROR(__xludf.DUMMYFUNCTION("""COMPUTED_VALUE"""),"3*Tanvi Jain")</f>
        <v>3*Tanvi Jain</v>
      </c>
      <c r="M304" s="14">
        <f>IFERROR(__xludf.DUMMYFUNCTION("SPLIT(L304,""*"")"),3.0)</f>
        <v>3</v>
      </c>
      <c r="N304" s="14" t="str">
        <f>IFERROR(__xludf.DUMMYFUNCTION("""COMPUTED_VALUE"""),"Tanvi Jain")</f>
        <v>Tanvi Jain</v>
      </c>
      <c r="O304" s="14" t="str">
        <f>IFERROR(__xludf.DUMMYFUNCTION("split(J304,""*"")"),"Cancelled")</f>
        <v>Cancelled</v>
      </c>
      <c r="P304" s="14" t="str">
        <f>IFERROR(__xludf.DUMMYFUNCTION("""COMPUTED_VALUE"""),"Delayed Delivery:Traffic Accidents or Road Closures")</f>
        <v>Delayed Delivery:Traffic Accidents or Road Closures</v>
      </c>
      <c r="Q304" s="14" t="str">
        <f>IFERROR(__xludf.DUMMYFUNCTION("split(P304,"":"")"),"Delayed Delivery")</f>
        <v>Delayed Delivery</v>
      </c>
      <c r="R304" s="14" t="str">
        <f>IFERROR(__xludf.DUMMYFUNCTION("""COMPUTED_VALUE"""),"Traffic Accidents or Road Closures")</f>
        <v>Traffic Accidents or Road Closures</v>
      </c>
      <c r="S304" s="14" t="str">
        <f t="shared" ref="S304:U304" si="611">trim(B304)</f>
        <v>ord_10303</v>
      </c>
      <c r="T304" s="14" t="str">
        <f t="shared" si="611"/>
        <v>Arvind Kulkarni</v>
      </c>
      <c r="U304" s="14" t="str">
        <f t="shared" si="611"/>
        <v>Juhu</v>
      </c>
      <c r="V304" s="14" t="str">
        <f t="shared" si="4"/>
        <v>Juice</v>
      </c>
      <c r="W304" s="14">
        <f t="shared" si="5"/>
        <v>3</v>
      </c>
      <c r="X304" s="14" t="str">
        <f t="shared" si="6"/>
        <v>Tanvi Jain</v>
      </c>
      <c r="Y304" s="15">
        <f t="shared" si="7"/>
        <v>45033</v>
      </c>
      <c r="Z304" s="14" t="str">
        <f t="shared" si="8"/>
        <v>UPI</v>
      </c>
      <c r="AA304" s="14" t="str">
        <f t="shared" si="9"/>
        <v>Cancelled</v>
      </c>
      <c r="AB304" s="14" t="str">
        <f t="shared" ref="AB304:AC304" si="612">trim(Q304)</f>
        <v>Delayed Delivery</v>
      </c>
      <c r="AC304" s="14" t="str">
        <f t="shared" si="612"/>
        <v>Traffic Accidents or Road Closures</v>
      </c>
      <c r="AD304" s="8"/>
    </row>
    <row r="305">
      <c r="A305" s="14" t="str">
        <f>IFERROR(__xludf.DUMMYFUNCTION("""COMPUTED_VALUE"""),"//ord_10304//Harsh Vardhan//Bandra//Tiramisu+4*Ramesh S/4/27/2023//UPI//Delivered*On-time Delivery: Delivered on time")</f>
        <v>//ord_10304//Harsh Vardhan//Bandra//Tiramisu+4*Ramesh S/4/27/2023//UPI//Delivered*On-time Delivery: Delivered on time</v>
      </c>
      <c r="B305" s="14" t="str">
        <f>IFERROR(__xludf.DUMMYFUNCTION("split(A305,""//"")"),"ord_10304")</f>
        <v>ord_10304</v>
      </c>
      <c r="C305" s="14" t="str">
        <f>IFERROR(__xludf.DUMMYFUNCTION("""COMPUTED_VALUE"""),"Harsh Vardhan")</f>
        <v>Harsh Vardhan</v>
      </c>
      <c r="D305" s="14" t="str">
        <f>IFERROR(__xludf.DUMMYFUNCTION("""COMPUTED_VALUE"""),"Bandra")</f>
        <v>Bandra</v>
      </c>
      <c r="E305" s="14" t="str">
        <f>IFERROR(__xludf.DUMMYFUNCTION("""COMPUTED_VALUE"""),"Tiramisu+4*Ramesh S")</f>
        <v>Tiramisu+4*Ramesh S</v>
      </c>
      <c r="F305" s="14">
        <f>IFERROR(__xludf.DUMMYFUNCTION("""COMPUTED_VALUE"""),4.0)</f>
        <v>4</v>
      </c>
      <c r="G305" s="14">
        <f>IFERROR(__xludf.DUMMYFUNCTION("""COMPUTED_VALUE"""),27.0)</f>
        <v>27</v>
      </c>
      <c r="H305" s="14">
        <f>IFERROR(__xludf.DUMMYFUNCTION("""COMPUTED_VALUE"""),2023.0)</f>
        <v>2023</v>
      </c>
      <c r="I305" s="14" t="str">
        <f>IFERROR(__xludf.DUMMYFUNCTION("""COMPUTED_VALUE"""),"UPI")</f>
        <v>UPI</v>
      </c>
      <c r="J305" s="14" t="str">
        <f>IFERROR(__xludf.DUMMYFUNCTION("""COMPUTED_VALUE"""),"Delivered*On-time Delivery: Delivered on time")</f>
        <v>Delivered*On-time Delivery: Delivered on time</v>
      </c>
      <c r="K305" s="14" t="str">
        <f>IFERROR(__xludf.DUMMYFUNCTION("split(E305,""+"")"),"Tiramisu")</f>
        <v>Tiramisu</v>
      </c>
      <c r="L305" s="14" t="str">
        <f>IFERROR(__xludf.DUMMYFUNCTION("""COMPUTED_VALUE"""),"4*Ramesh S")</f>
        <v>4*Ramesh S</v>
      </c>
      <c r="M305" s="14">
        <f>IFERROR(__xludf.DUMMYFUNCTION("SPLIT(L305,""*"")"),4.0)</f>
        <v>4</v>
      </c>
      <c r="N305" s="14" t="str">
        <f>IFERROR(__xludf.DUMMYFUNCTION("""COMPUTED_VALUE"""),"Ramesh S")</f>
        <v>Ramesh S</v>
      </c>
      <c r="O305" s="14" t="str">
        <f>IFERROR(__xludf.DUMMYFUNCTION("split(J305,""*"")"),"Delivered")</f>
        <v>Delivered</v>
      </c>
      <c r="P305" s="14" t="str">
        <f>IFERROR(__xludf.DUMMYFUNCTION("""COMPUTED_VALUE"""),"On-time Delivery: Delivered on time")</f>
        <v>On-time Delivery: Delivered on time</v>
      </c>
      <c r="Q305" s="14" t="str">
        <f>IFERROR(__xludf.DUMMYFUNCTION("split(P305,"":"")"),"On-time Delivery")</f>
        <v>On-time Delivery</v>
      </c>
      <c r="R305" s="14" t="str">
        <f>IFERROR(__xludf.DUMMYFUNCTION("""COMPUTED_VALUE""")," Delivered on time")</f>
        <v> Delivered on time</v>
      </c>
      <c r="S305" s="14" t="str">
        <f t="shared" ref="S305:U305" si="613">trim(B305)</f>
        <v>ord_10304</v>
      </c>
      <c r="T305" s="14" t="str">
        <f t="shared" si="613"/>
        <v>Harsh Vardhan</v>
      </c>
      <c r="U305" s="14" t="str">
        <f t="shared" si="613"/>
        <v>Bandra</v>
      </c>
      <c r="V305" s="14" t="str">
        <f t="shared" si="4"/>
        <v>Tiramisu</v>
      </c>
      <c r="W305" s="14">
        <f t="shared" si="5"/>
        <v>4</v>
      </c>
      <c r="X305" s="14" t="str">
        <f t="shared" si="6"/>
        <v>Ramesh S</v>
      </c>
      <c r="Y305" s="15">
        <f t="shared" si="7"/>
        <v>45043</v>
      </c>
      <c r="Z305" s="14" t="str">
        <f t="shared" si="8"/>
        <v>UPI</v>
      </c>
      <c r="AA305" s="14" t="str">
        <f t="shared" si="9"/>
        <v>Delivered</v>
      </c>
      <c r="AB305" s="14" t="str">
        <f t="shared" ref="AB305:AC305" si="614">trim(Q305)</f>
        <v>On-time Delivery</v>
      </c>
      <c r="AC305" s="14" t="str">
        <f t="shared" si="614"/>
        <v>Delivered on time</v>
      </c>
      <c r="AD305" s="8"/>
    </row>
    <row r="306">
      <c r="A306" s="14" t="str">
        <f>IFERROR(__xludf.DUMMYFUNCTION("""COMPUTED_VALUE"""),"//ord_10305//Leena Das//Andheri//Potato+5*Vivek Kumar/11/21/2023//Credit Card//Delivered*Quality of Items: Perfect condition")</f>
        <v>//ord_10305//Leena Das//Andheri//Potato+5*Vivek Kumar/11/21/2023//Credit Card//Delivered*Quality of Items: Perfect condition</v>
      </c>
      <c r="B306" s="14" t="str">
        <f>IFERROR(__xludf.DUMMYFUNCTION("split(A306,""//"")"),"ord_10305")</f>
        <v>ord_10305</v>
      </c>
      <c r="C306" s="14" t="str">
        <f>IFERROR(__xludf.DUMMYFUNCTION("""COMPUTED_VALUE"""),"Leena Das")</f>
        <v>Leena Das</v>
      </c>
      <c r="D306" s="14" t="str">
        <f>IFERROR(__xludf.DUMMYFUNCTION("""COMPUTED_VALUE"""),"Andheri")</f>
        <v>Andheri</v>
      </c>
      <c r="E306" s="14" t="str">
        <f>IFERROR(__xludf.DUMMYFUNCTION("""COMPUTED_VALUE"""),"Potato+5*Vivek Kumar")</f>
        <v>Potato+5*Vivek Kumar</v>
      </c>
      <c r="F306" s="14">
        <f>IFERROR(__xludf.DUMMYFUNCTION("""COMPUTED_VALUE"""),11.0)</f>
        <v>11</v>
      </c>
      <c r="G306" s="14">
        <f>IFERROR(__xludf.DUMMYFUNCTION("""COMPUTED_VALUE"""),21.0)</f>
        <v>21</v>
      </c>
      <c r="H306" s="14">
        <f>IFERROR(__xludf.DUMMYFUNCTION("""COMPUTED_VALUE"""),2023.0)</f>
        <v>2023</v>
      </c>
      <c r="I306" s="14" t="str">
        <f>IFERROR(__xludf.DUMMYFUNCTION("""COMPUTED_VALUE"""),"Credit Card")</f>
        <v>Credit Card</v>
      </c>
      <c r="J306" s="14" t="str">
        <f>IFERROR(__xludf.DUMMYFUNCTION("""COMPUTED_VALUE"""),"Delivered*Quality of Items: Perfect condition")</f>
        <v>Delivered*Quality of Items: Perfect condition</v>
      </c>
      <c r="K306" s="14" t="str">
        <f>IFERROR(__xludf.DUMMYFUNCTION("split(E306,""+"")"),"Potato")</f>
        <v>Potato</v>
      </c>
      <c r="L306" s="14" t="str">
        <f>IFERROR(__xludf.DUMMYFUNCTION("""COMPUTED_VALUE"""),"5*Vivek Kumar")</f>
        <v>5*Vivek Kumar</v>
      </c>
      <c r="M306" s="14">
        <f>IFERROR(__xludf.DUMMYFUNCTION("SPLIT(L306,""*"")"),5.0)</f>
        <v>5</v>
      </c>
      <c r="N306" s="14" t="str">
        <f>IFERROR(__xludf.DUMMYFUNCTION("""COMPUTED_VALUE"""),"Vivek Kumar")</f>
        <v>Vivek Kumar</v>
      </c>
      <c r="O306" s="14" t="str">
        <f>IFERROR(__xludf.DUMMYFUNCTION("split(J306,""*"")"),"Delivered")</f>
        <v>Delivered</v>
      </c>
      <c r="P306" s="14" t="str">
        <f>IFERROR(__xludf.DUMMYFUNCTION("""COMPUTED_VALUE"""),"Quality of Items: Perfect condition")</f>
        <v>Quality of Items: Perfect condition</v>
      </c>
      <c r="Q306" s="14" t="str">
        <f>IFERROR(__xludf.DUMMYFUNCTION("split(P306,"":"")"),"Quality of Items")</f>
        <v>Quality of Items</v>
      </c>
      <c r="R306" s="14" t="str">
        <f>IFERROR(__xludf.DUMMYFUNCTION("""COMPUTED_VALUE""")," Perfect condition")</f>
        <v> Perfect condition</v>
      </c>
      <c r="S306" s="14" t="str">
        <f t="shared" ref="S306:U306" si="615">trim(B306)</f>
        <v>ord_10305</v>
      </c>
      <c r="T306" s="14" t="str">
        <f t="shared" si="615"/>
        <v>Leena Das</v>
      </c>
      <c r="U306" s="14" t="str">
        <f t="shared" si="615"/>
        <v>Andheri</v>
      </c>
      <c r="V306" s="14" t="str">
        <f t="shared" si="4"/>
        <v>Potato</v>
      </c>
      <c r="W306" s="14">
        <f t="shared" si="5"/>
        <v>5</v>
      </c>
      <c r="X306" s="14" t="str">
        <f t="shared" si="6"/>
        <v>Vivek Kumar</v>
      </c>
      <c r="Y306" s="15">
        <f t="shared" si="7"/>
        <v>45251</v>
      </c>
      <c r="Z306" s="14" t="str">
        <f t="shared" si="8"/>
        <v>Credit Card</v>
      </c>
      <c r="AA306" s="14" t="str">
        <f t="shared" si="9"/>
        <v>Delivered</v>
      </c>
      <c r="AB306" s="14" t="str">
        <f t="shared" ref="AB306:AC306" si="616">trim(Q306)</f>
        <v>Quality of Items</v>
      </c>
      <c r="AC306" s="14" t="str">
        <f t="shared" si="616"/>
        <v>Perfect condition</v>
      </c>
      <c r="AD306" s="8"/>
    </row>
    <row r="307">
      <c r="A307" s="14" t="str">
        <f>IFERROR(__xludf.DUMMYFUNCTION("""COMPUTED_VALUE"""),"//ord_10306//Kritika Shetty//Malad//Popcorn+4*Sita T/6/20/2023//Online Payment//Cancelled*Delayed Delivery:High Order Volume")</f>
        <v>//ord_10306//Kritika Shetty//Malad//Popcorn+4*Sita T/6/20/2023//Online Payment//Cancelled*Delayed Delivery:High Order Volume</v>
      </c>
      <c r="B307" s="14" t="str">
        <f>IFERROR(__xludf.DUMMYFUNCTION("split(A307,""//"")"),"ord_10306")</f>
        <v>ord_10306</v>
      </c>
      <c r="C307" s="14" t="str">
        <f>IFERROR(__xludf.DUMMYFUNCTION("""COMPUTED_VALUE"""),"Kritika Shetty")</f>
        <v>Kritika Shetty</v>
      </c>
      <c r="D307" s="14" t="str">
        <f>IFERROR(__xludf.DUMMYFUNCTION("""COMPUTED_VALUE"""),"Malad")</f>
        <v>Malad</v>
      </c>
      <c r="E307" s="14" t="str">
        <f>IFERROR(__xludf.DUMMYFUNCTION("""COMPUTED_VALUE"""),"Popcorn+4*Sita T")</f>
        <v>Popcorn+4*Sita T</v>
      </c>
      <c r="F307" s="14">
        <f>IFERROR(__xludf.DUMMYFUNCTION("""COMPUTED_VALUE"""),6.0)</f>
        <v>6</v>
      </c>
      <c r="G307" s="14">
        <f>IFERROR(__xludf.DUMMYFUNCTION("""COMPUTED_VALUE"""),20.0)</f>
        <v>20</v>
      </c>
      <c r="H307" s="14">
        <f>IFERROR(__xludf.DUMMYFUNCTION("""COMPUTED_VALUE"""),2023.0)</f>
        <v>2023</v>
      </c>
      <c r="I307" s="14" t="str">
        <f>IFERROR(__xludf.DUMMYFUNCTION("""COMPUTED_VALUE"""),"Online Payment")</f>
        <v>Online Payment</v>
      </c>
      <c r="J307" s="14" t="str">
        <f>IFERROR(__xludf.DUMMYFUNCTION("""COMPUTED_VALUE"""),"Cancelled*Delayed Delivery:High Order Volume")</f>
        <v>Cancelled*Delayed Delivery:High Order Volume</v>
      </c>
      <c r="K307" s="14" t="str">
        <f>IFERROR(__xludf.DUMMYFUNCTION("split(E307,""+"")"),"Popcorn")</f>
        <v>Popcorn</v>
      </c>
      <c r="L307" s="14" t="str">
        <f>IFERROR(__xludf.DUMMYFUNCTION("""COMPUTED_VALUE"""),"4*Sita T")</f>
        <v>4*Sita T</v>
      </c>
      <c r="M307" s="14">
        <f>IFERROR(__xludf.DUMMYFUNCTION("SPLIT(L307,""*"")"),4.0)</f>
        <v>4</v>
      </c>
      <c r="N307" s="14" t="str">
        <f>IFERROR(__xludf.DUMMYFUNCTION("""COMPUTED_VALUE"""),"Sita T")</f>
        <v>Sita T</v>
      </c>
      <c r="O307" s="14" t="str">
        <f>IFERROR(__xludf.DUMMYFUNCTION("split(J307,""*"")"),"Cancelled")</f>
        <v>Cancelled</v>
      </c>
      <c r="P307" s="14" t="str">
        <f>IFERROR(__xludf.DUMMYFUNCTION("""COMPUTED_VALUE"""),"Delayed Delivery:High Order Volume")</f>
        <v>Delayed Delivery:High Order Volume</v>
      </c>
      <c r="Q307" s="14" t="str">
        <f>IFERROR(__xludf.DUMMYFUNCTION("split(P307,"":"")"),"Delayed Delivery")</f>
        <v>Delayed Delivery</v>
      </c>
      <c r="R307" s="14" t="str">
        <f>IFERROR(__xludf.DUMMYFUNCTION("""COMPUTED_VALUE"""),"High Order Volume")</f>
        <v>High Order Volume</v>
      </c>
      <c r="S307" s="14" t="str">
        <f t="shared" ref="S307:U307" si="617">trim(B307)</f>
        <v>ord_10306</v>
      </c>
      <c r="T307" s="14" t="str">
        <f t="shared" si="617"/>
        <v>Kritika Shetty</v>
      </c>
      <c r="U307" s="14" t="str">
        <f t="shared" si="617"/>
        <v>Malad</v>
      </c>
      <c r="V307" s="14" t="str">
        <f t="shared" si="4"/>
        <v>Popcorn</v>
      </c>
      <c r="W307" s="14">
        <f t="shared" si="5"/>
        <v>4</v>
      </c>
      <c r="X307" s="14" t="str">
        <f t="shared" si="6"/>
        <v>Sita T</v>
      </c>
      <c r="Y307" s="15">
        <f t="shared" si="7"/>
        <v>45097</v>
      </c>
      <c r="Z307" s="14" t="str">
        <f t="shared" si="8"/>
        <v>Online Payment</v>
      </c>
      <c r="AA307" s="14" t="str">
        <f t="shared" si="9"/>
        <v>Cancelled</v>
      </c>
      <c r="AB307" s="14" t="str">
        <f t="shared" ref="AB307:AC307" si="618">trim(Q307)</f>
        <v>Delayed Delivery</v>
      </c>
      <c r="AC307" s="14" t="str">
        <f t="shared" si="618"/>
        <v>High Order Volume</v>
      </c>
      <c r="AD307" s="8"/>
    </row>
    <row r="308">
      <c r="A308" s="14" t="str">
        <f>IFERROR(__xludf.DUMMYFUNCTION("""COMPUTED_VALUE"""),"//ord_10307//Arvind Kulkarni//Juhu//Guava+2*Nikhil Deshmukh/10/11/2023//UPI//Cancelled*Delayed Delivery:Vehicle Breakdown")</f>
        <v>//ord_10307//Arvind Kulkarni//Juhu//Guava+2*Nikhil Deshmukh/10/11/2023//UPI//Cancelled*Delayed Delivery:Vehicle Breakdown</v>
      </c>
      <c r="B308" s="14" t="str">
        <f>IFERROR(__xludf.DUMMYFUNCTION("split(A308,""//"")"),"ord_10307")</f>
        <v>ord_10307</v>
      </c>
      <c r="C308" s="14" t="str">
        <f>IFERROR(__xludf.DUMMYFUNCTION("""COMPUTED_VALUE"""),"Arvind Kulkarni")</f>
        <v>Arvind Kulkarni</v>
      </c>
      <c r="D308" s="14" t="str">
        <f>IFERROR(__xludf.DUMMYFUNCTION("""COMPUTED_VALUE"""),"Juhu")</f>
        <v>Juhu</v>
      </c>
      <c r="E308" s="14" t="str">
        <f>IFERROR(__xludf.DUMMYFUNCTION("""COMPUTED_VALUE"""),"Guava+2*Nikhil Deshmukh")</f>
        <v>Guava+2*Nikhil Deshmukh</v>
      </c>
      <c r="F308" s="14">
        <f>IFERROR(__xludf.DUMMYFUNCTION("""COMPUTED_VALUE"""),10.0)</f>
        <v>10</v>
      </c>
      <c r="G308" s="14">
        <f>IFERROR(__xludf.DUMMYFUNCTION("""COMPUTED_VALUE"""),11.0)</f>
        <v>11</v>
      </c>
      <c r="H308" s="14">
        <f>IFERROR(__xludf.DUMMYFUNCTION("""COMPUTED_VALUE"""),2023.0)</f>
        <v>2023</v>
      </c>
      <c r="I308" s="14" t="str">
        <f>IFERROR(__xludf.DUMMYFUNCTION("""COMPUTED_VALUE"""),"UPI")</f>
        <v>UPI</v>
      </c>
      <c r="J308" s="14" t="str">
        <f>IFERROR(__xludf.DUMMYFUNCTION("""COMPUTED_VALUE"""),"Cancelled*Delayed Delivery:Vehicle Breakdown")</f>
        <v>Cancelled*Delayed Delivery:Vehicle Breakdown</v>
      </c>
      <c r="K308" s="14" t="str">
        <f>IFERROR(__xludf.DUMMYFUNCTION("split(E308,""+"")"),"Guava")</f>
        <v>Guava</v>
      </c>
      <c r="L308" s="14" t="str">
        <f>IFERROR(__xludf.DUMMYFUNCTION("""COMPUTED_VALUE"""),"2*Nikhil Deshmukh")</f>
        <v>2*Nikhil Deshmukh</v>
      </c>
      <c r="M308" s="14">
        <f>IFERROR(__xludf.DUMMYFUNCTION("SPLIT(L308,""*"")"),2.0)</f>
        <v>2</v>
      </c>
      <c r="N308" s="14" t="str">
        <f>IFERROR(__xludf.DUMMYFUNCTION("""COMPUTED_VALUE"""),"Nikhil Deshmukh")</f>
        <v>Nikhil Deshmukh</v>
      </c>
      <c r="O308" s="14" t="str">
        <f>IFERROR(__xludf.DUMMYFUNCTION("split(J308,""*"")"),"Cancelled")</f>
        <v>Cancelled</v>
      </c>
      <c r="P308" s="14" t="str">
        <f>IFERROR(__xludf.DUMMYFUNCTION("""COMPUTED_VALUE"""),"Delayed Delivery:Vehicle Breakdown")</f>
        <v>Delayed Delivery:Vehicle Breakdown</v>
      </c>
      <c r="Q308" s="14" t="str">
        <f>IFERROR(__xludf.DUMMYFUNCTION("split(P308,"":"")"),"Delayed Delivery")</f>
        <v>Delayed Delivery</v>
      </c>
      <c r="R308" s="14" t="str">
        <f>IFERROR(__xludf.DUMMYFUNCTION("""COMPUTED_VALUE"""),"Vehicle Breakdown")</f>
        <v>Vehicle Breakdown</v>
      </c>
      <c r="S308" s="14" t="str">
        <f t="shared" ref="S308:U308" si="619">trim(B308)</f>
        <v>ord_10307</v>
      </c>
      <c r="T308" s="14" t="str">
        <f t="shared" si="619"/>
        <v>Arvind Kulkarni</v>
      </c>
      <c r="U308" s="14" t="str">
        <f t="shared" si="619"/>
        <v>Juhu</v>
      </c>
      <c r="V308" s="14" t="str">
        <f t="shared" si="4"/>
        <v>Guava</v>
      </c>
      <c r="W308" s="14">
        <f t="shared" si="5"/>
        <v>2</v>
      </c>
      <c r="X308" s="14" t="str">
        <f t="shared" si="6"/>
        <v>Nikhil Deshmukh</v>
      </c>
      <c r="Y308" s="15">
        <f t="shared" si="7"/>
        <v>45210</v>
      </c>
      <c r="Z308" s="14" t="str">
        <f t="shared" si="8"/>
        <v>UPI</v>
      </c>
      <c r="AA308" s="14" t="str">
        <f t="shared" si="9"/>
        <v>Cancelled</v>
      </c>
      <c r="AB308" s="14" t="str">
        <f t="shared" ref="AB308:AC308" si="620">trim(Q308)</f>
        <v>Delayed Delivery</v>
      </c>
      <c r="AC308" s="14" t="str">
        <f t="shared" si="620"/>
        <v>Vehicle Breakdown</v>
      </c>
      <c r="AD308" s="8"/>
    </row>
    <row r="309">
      <c r="A309" s="14" t="str">
        <f>IFERROR(__xludf.DUMMYFUNCTION("""COMPUTED_VALUE"""),"//ord_10308//Ishita Banerjee//Juhu//Chilli Cheese Toast+3*Ramesh S/12/17/2023//Credit Card//Delivered*On-time Delivery: Delivered on time")</f>
        <v>//ord_10308//Ishita Banerjee//Juhu//Chilli Cheese Toast+3*Ramesh S/12/17/2023//Credit Card//Delivered*On-time Delivery: Delivered on time</v>
      </c>
      <c r="B309" s="14" t="str">
        <f>IFERROR(__xludf.DUMMYFUNCTION("split(A309,""//"")"),"ord_10308")</f>
        <v>ord_10308</v>
      </c>
      <c r="C309" s="14" t="str">
        <f>IFERROR(__xludf.DUMMYFUNCTION("""COMPUTED_VALUE"""),"Ishita Banerjee")</f>
        <v>Ishita Banerjee</v>
      </c>
      <c r="D309" s="14" t="str">
        <f>IFERROR(__xludf.DUMMYFUNCTION("""COMPUTED_VALUE"""),"Juhu")</f>
        <v>Juhu</v>
      </c>
      <c r="E309" s="14" t="str">
        <f>IFERROR(__xludf.DUMMYFUNCTION("""COMPUTED_VALUE"""),"Chilli Cheese Toast+3*Ramesh S")</f>
        <v>Chilli Cheese Toast+3*Ramesh S</v>
      </c>
      <c r="F309" s="14">
        <f>IFERROR(__xludf.DUMMYFUNCTION("""COMPUTED_VALUE"""),12.0)</f>
        <v>12</v>
      </c>
      <c r="G309" s="14">
        <f>IFERROR(__xludf.DUMMYFUNCTION("""COMPUTED_VALUE"""),17.0)</f>
        <v>17</v>
      </c>
      <c r="H309" s="14">
        <f>IFERROR(__xludf.DUMMYFUNCTION("""COMPUTED_VALUE"""),2023.0)</f>
        <v>2023</v>
      </c>
      <c r="I309" s="14" t="str">
        <f>IFERROR(__xludf.DUMMYFUNCTION("""COMPUTED_VALUE"""),"Credit Card")</f>
        <v>Credit Card</v>
      </c>
      <c r="J309" s="14" t="str">
        <f>IFERROR(__xludf.DUMMYFUNCTION("""COMPUTED_VALUE"""),"Delivered*On-time Delivery: Delivered on time")</f>
        <v>Delivered*On-time Delivery: Delivered on time</v>
      </c>
      <c r="K309" s="14" t="str">
        <f>IFERROR(__xludf.DUMMYFUNCTION("split(E309,""+"")"),"Chilli Cheese Toast")</f>
        <v>Chilli Cheese Toast</v>
      </c>
      <c r="L309" s="14" t="str">
        <f>IFERROR(__xludf.DUMMYFUNCTION("""COMPUTED_VALUE"""),"3*Ramesh S")</f>
        <v>3*Ramesh S</v>
      </c>
      <c r="M309" s="14">
        <f>IFERROR(__xludf.DUMMYFUNCTION("SPLIT(L309,""*"")"),3.0)</f>
        <v>3</v>
      </c>
      <c r="N309" s="14" t="str">
        <f>IFERROR(__xludf.DUMMYFUNCTION("""COMPUTED_VALUE"""),"Ramesh S")</f>
        <v>Ramesh S</v>
      </c>
      <c r="O309" s="14" t="str">
        <f>IFERROR(__xludf.DUMMYFUNCTION("split(J309,""*"")"),"Delivered")</f>
        <v>Delivered</v>
      </c>
      <c r="P309" s="14" t="str">
        <f>IFERROR(__xludf.DUMMYFUNCTION("""COMPUTED_VALUE"""),"On-time Delivery: Delivered on time")</f>
        <v>On-time Delivery: Delivered on time</v>
      </c>
      <c r="Q309" s="14" t="str">
        <f>IFERROR(__xludf.DUMMYFUNCTION("split(P309,"":"")"),"On-time Delivery")</f>
        <v>On-time Delivery</v>
      </c>
      <c r="R309" s="14" t="str">
        <f>IFERROR(__xludf.DUMMYFUNCTION("""COMPUTED_VALUE""")," Delivered on time")</f>
        <v> Delivered on time</v>
      </c>
      <c r="S309" s="14" t="str">
        <f t="shared" ref="S309:U309" si="621">trim(B309)</f>
        <v>ord_10308</v>
      </c>
      <c r="T309" s="14" t="str">
        <f t="shared" si="621"/>
        <v>Ishita Banerjee</v>
      </c>
      <c r="U309" s="14" t="str">
        <f t="shared" si="621"/>
        <v>Juhu</v>
      </c>
      <c r="V309" s="14" t="str">
        <f t="shared" si="4"/>
        <v>Chilli Cheese Toast</v>
      </c>
      <c r="W309" s="14">
        <f t="shared" si="5"/>
        <v>3</v>
      </c>
      <c r="X309" s="14" t="str">
        <f t="shared" si="6"/>
        <v>Ramesh S</v>
      </c>
      <c r="Y309" s="15">
        <f t="shared" si="7"/>
        <v>45277</v>
      </c>
      <c r="Z309" s="14" t="str">
        <f t="shared" si="8"/>
        <v>Credit Card</v>
      </c>
      <c r="AA309" s="14" t="str">
        <f t="shared" si="9"/>
        <v>Delivered</v>
      </c>
      <c r="AB309" s="14" t="str">
        <f t="shared" ref="AB309:AC309" si="622">trim(Q309)</f>
        <v>On-time Delivery</v>
      </c>
      <c r="AC309" s="14" t="str">
        <f t="shared" si="622"/>
        <v>Delivered on time</v>
      </c>
      <c r="AD309" s="8"/>
    </row>
    <row r="310">
      <c r="A310" s="14" t="str">
        <f>IFERROR(__xludf.DUMMYFUNCTION("""COMPUTED_VALUE"""),"//ord_10309//Sakshi Tandon//Colaba//Onion+2*Ramesh S/7/25/2023//Credit Card//Cancelled*Delayed Delivery:Heavy Traffic")</f>
        <v>//ord_10309//Sakshi Tandon//Colaba//Onion+2*Ramesh S/7/25/2023//Credit Card//Cancelled*Delayed Delivery:Heavy Traffic</v>
      </c>
      <c r="B310" s="14" t="str">
        <f>IFERROR(__xludf.DUMMYFUNCTION("split(A310,""//"")"),"ord_10309")</f>
        <v>ord_10309</v>
      </c>
      <c r="C310" s="14" t="str">
        <f>IFERROR(__xludf.DUMMYFUNCTION("""COMPUTED_VALUE"""),"Sakshi Tandon")</f>
        <v>Sakshi Tandon</v>
      </c>
      <c r="D310" s="14" t="str">
        <f>IFERROR(__xludf.DUMMYFUNCTION("""COMPUTED_VALUE"""),"Colaba")</f>
        <v>Colaba</v>
      </c>
      <c r="E310" s="14" t="str">
        <f>IFERROR(__xludf.DUMMYFUNCTION("""COMPUTED_VALUE"""),"Onion+2*Ramesh S")</f>
        <v>Onion+2*Ramesh S</v>
      </c>
      <c r="F310" s="14">
        <f>IFERROR(__xludf.DUMMYFUNCTION("""COMPUTED_VALUE"""),7.0)</f>
        <v>7</v>
      </c>
      <c r="G310" s="14">
        <f>IFERROR(__xludf.DUMMYFUNCTION("""COMPUTED_VALUE"""),25.0)</f>
        <v>25</v>
      </c>
      <c r="H310" s="14">
        <f>IFERROR(__xludf.DUMMYFUNCTION("""COMPUTED_VALUE"""),2023.0)</f>
        <v>2023</v>
      </c>
      <c r="I310" s="14" t="str">
        <f>IFERROR(__xludf.DUMMYFUNCTION("""COMPUTED_VALUE"""),"Credit Card")</f>
        <v>Credit Card</v>
      </c>
      <c r="J310" s="14" t="str">
        <f>IFERROR(__xludf.DUMMYFUNCTION("""COMPUTED_VALUE"""),"Cancelled*Delayed Delivery:Heavy Traffic")</f>
        <v>Cancelled*Delayed Delivery:Heavy Traffic</v>
      </c>
      <c r="K310" s="14" t="str">
        <f>IFERROR(__xludf.DUMMYFUNCTION("split(E310,""+"")"),"Onion")</f>
        <v>Onion</v>
      </c>
      <c r="L310" s="14" t="str">
        <f>IFERROR(__xludf.DUMMYFUNCTION("""COMPUTED_VALUE"""),"2*Ramesh S")</f>
        <v>2*Ramesh S</v>
      </c>
      <c r="M310" s="14">
        <f>IFERROR(__xludf.DUMMYFUNCTION("SPLIT(L310,""*"")"),2.0)</f>
        <v>2</v>
      </c>
      <c r="N310" s="14" t="str">
        <f>IFERROR(__xludf.DUMMYFUNCTION("""COMPUTED_VALUE"""),"Ramesh S")</f>
        <v>Ramesh S</v>
      </c>
      <c r="O310" s="14" t="str">
        <f>IFERROR(__xludf.DUMMYFUNCTION("split(J310,""*"")"),"Cancelled")</f>
        <v>Cancelled</v>
      </c>
      <c r="P310" s="14" t="str">
        <f>IFERROR(__xludf.DUMMYFUNCTION("""COMPUTED_VALUE"""),"Delayed Delivery:Heavy Traffic")</f>
        <v>Delayed Delivery:Heavy Traffic</v>
      </c>
      <c r="Q310" s="14" t="str">
        <f>IFERROR(__xludf.DUMMYFUNCTION("split(P310,"":"")"),"Delayed Delivery")</f>
        <v>Delayed Delivery</v>
      </c>
      <c r="R310" s="14" t="str">
        <f>IFERROR(__xludf.DUMMYFUNCTION("""COMPUTED_VALUE"""),"Heavy Traffic")</f>
        <v>Heavy Traffic</v>
      </c>
      <c r="S310" s="14" t="str">
        <f t="shared" ref="S310:U310" si="623">trim(B310)</f>
        <v>ord_10309</v>
      </c>
      <c r="T310" s="14" t="str">
        <f t="shared" si="623"/>
        <v>Sakshi Tandon</v>
      </c>
      <c r="U310" s="14" t="str">
        <f t="shared" si="623"/>
        <v>Colaba</v>
      </c>
      <c r="V310" s="14" t="str">
        <f t="shared" si="4"/>
        <v>Onion</v>
      </c>
      <c r="W310" s="14">
        <f t="shared" si="5"/>
        <v>2</v>
      </c>
      <c r="X310" s="14" t="str">
        <f t="shared" si="6"/>
        <v>Ramesh S</v>
      </c>
      <c r="Y310" s="15">
        <f t="shared" si="7"/>
        <v>45132</v>
      </c>
      <c r="Z310" s="14" t="str">
        <f t="shared" si="8"/>
        <v>Credit Card</v>
      </c>
      <c r="AA310" s="14" t="str">
        <f t="shared" si="9"/>
        <v>Cancelled</v>
      </c>
      <c r="AB310" s="14" t="str">
        <f t="shared" ref="AB310:AC310" si="624">trim(Q310)</f>
        <v>Delayed Delivery</v>
      </c>
      <c r="AC310" s="14" t="str">
        <f t="shared" si="624"/>
        <v>Heavy Traffic</v>
      </c>
      <c r="AD310" s="8"/>
    </row>
    <row r="311">
      <c r="A311" s="14" t="str">
        <f>IFERROR(__xludf.DUMMYFUNCTION("""COMPUTED_VALUE"""),"//ord_10310//Dev Chauhan//Bandra//Veg Puff+3*Not Assigned/7/11/2023//Credit Card//Cancelled*Payment Issues")</f>
        <v>//ord_10310//Dev Chauhan//Bandra//Veg Puff+3*Not Assigned/7/11/2023//Credit Card//Cancelled*Payment Issues</v>
      </c>
      <c r="B311" s="14" t="str">
        <f>IFERROR(__xludf.DUMMYFUNCTION("split(A311,""//"")"),"ord_10310")</f>
        <v>ord_10310</v>
      </c>
      <c r="C311" s="14" t="str">
        <f>IFERROR(__xludf.DUMMYFUNCTION("""COMPUTED_VALUE"""),"Dev Chauhan")</f>
        <v>Dev Chauhan</v>
      </c>
      <c r="D311" s="14" t="str">
        <f>IFERROR(__xludf.DUMMYFUNCTION("""COMPUTED_VALUE"""),"Bandra")</f>
        <v>Bandra</v>
      </c>
      <c r="E311" s="14" t="str">
        <f>IFERROR(__xludf.DUMMYFUNCTION("""COMPUTED_VALUE"""),"Veg Puff+3*Not Assigned")</f>
        <v>Veg Puff+3*Not Assigned</v>
      </c>
      <c r="F311" s="14">
        <f>IFERROR(__xludf.DUMMYFUNCTION("""COMPUTED_VALUE"""),7.0)</f>
        <v>7</v>
      </c>
      <c r="G311" s="14">
        <f>IFERROR(__xludf.DUMMYFUNCTION("""COMPUTED_VALUE"""),11.0)</f>
        <v>11</v>
      </c>
      <c r="H311" s="14">
        <f>IFERROR(__xludf.DUMMYFUNCTION("""COMPUTED_VALUE"""),2023.0)</f>
        <v>2023</v>
      </c>
      <c r="I311" s="14" t="str">
        <f>IFERROR(__xludf.DUMMYFUNCTION("""COMPUTED_VALUE"""),"Credit Card")</f>
        <v>Credit Card</v>
      </c>
      <c r="J311" s="14" t="str">
        <f>IFERROR(__xludf.DUMMYFUNCTION("""COMPUTED_VALUE"""),"Cancelled*Payment Issues")</f>
        <v>Cancelled*Payment Issues</v>
      </c>
      <c r="K311" s="14" t="str">
        <f>IFERROR(__xludf.DUMMYFUNCTION("split(E311,""+"")"),"Veg Puff")</f>
        <v>Veg Puff</v>
      </c>
      <c r="L311" s="14" t="str">
        <f>IFERROR(__xludf.DUMMYFUNCTION("""COMPUTED_VALUE"""),"3*Not Assigned")</f>
        <v>3*Not Assigned</v>
      </c>
      <c r="M311" s="14">
        <f>IFERROR(__xludf.DUMMYFUNCTION("SPLIT(L311,""*"")"),3.0)</f>
        <v>3</v>
      </c>
      <c r="N311" s="14" t="str">
        <f>IFERROR(__xludf.DUMMYFUNCTION("""COMPUTED_VALUE"""),"Not Assigned")</f>
        <v>Not Assigned</v>
      </c>
      <c r="O311" s="14" t="str">
        <f>IFERROR(__xludf.DUMMYFUNCTION("split(J311,""*"")"),"Cancelled")</f>
        <v>Cancelled</v>
      </c>
      <c r="P311" s="14" t="str">
        <f>IFERROR(__xludf.DUMMYFUNCTION("""COMPUTED_VALUE"""),"Payment Issues")</f>
        <v>Payment Issues</v>
      </c>
      <c r="Q311" s="14" t="str">
        <f>IFERROR(__xludf.DUMMYFUNCTION("split(P311,"":"")"),"Payment Issues")</f>
        <v>Payment Issues</v>
      </c>
      <c r="R311" s="14"/>
      <c r="S311" s="14" t="str">
        <f t="shared" ref="S311:U311" si="625">trim(B311)</f>
        <v>ord_10310</v>
      </c>
      <c r="T311" s="14" t="str">
        <f t="shared" si="625"/>
        <v>Dev Chauhan</v>
      </c>
      <c r="U311" s="14" t="str">
        <f t="shared" si="625"/>
        <v>Bandra</v>
      </c>
      <c r="V311" s="14" t="str">
        <f t="shared" si="4"/>
        <v>Veg Puff</v>
      </c>
      <c r="W311" s="14">
        <f t="shared" si="5"/>
        <v>3</v>
      </c>
      <c r="X311" s="14" t="str">
        <f t="shared" si="6"/>
        <v>Not Assigned</v>
      </c>
      <c r="Y311" s="15">
        <f t="shared" si="7"/>
        <v>45118</v>
      </c>
      <c r="Z311" s="14" t="str">
        <f t="shared" si="8"/>
        <v>Credit Card</v>
      </c>
      <c r="AA311" s="14" t="str">
        <f t="shared" si="9"/>
        <v>Cancelled</v>
      </c>
      <c r="AB311" s="14" t="str">
        <f t="shared" ref="AB311:AC311" si="626">trim(Q311)</f>
        <v>Payment Issues</v>
      </c>
      <c r="AC311" s="14" t="str">
        <f t="shared" si="626"/>
        <v/>
      </c>
      <c r="AD311" s="8"/>
    </row>
    <row r="312">
      <c r="A312" s="14" t="str">
        <f>IFERROR(__xludf.DUMMYFUNCTION("""COMPUTED_VALUE"""),"//ord_10311//Dev Chauhan//Bandra//Cucumber+2*Not Assigned/6/13/2023//UPI//Cancelled*Out of Stock")</f>
        <v>//ord_10311//Dev Chauhan//Bandra//Cucumber+2*Not Assigned/6/13/2023//UPI//Cancelled*Out of Stock</v>
      </c>
      <c r="B312" s="14" t="str">
        <f>IFERROR(__xludf.DUMMYFUNCTION("split(A312,""//"")"),"ord_10311")</f>
        <v>ord_10311</v>
      </c>
      <c r="C312" s="14" t="str">
        <f>IFERROR(__xludf.DUMMYFUNCTION("""COMPUTED_VALUE"""),"Dev Chauhan")</f>
        <v>Dev Chauhan</v>
      </c>
      <c r="D312" s="14" t="str">
        <f>IFERROR(__xludf.DUMMYFUNCTION("""COMPUTED_VALUE"""),"Bandra")</f>
        <v>Bandra</v>
      </c>
      <c r="E312" s="14" t="str">
        <f>IFERROR(__xludf.DUMMYFUNCTION("""COMPUTED_VALUE"""),"Cucumber+2*Not Assigned")</f>
        <v>Cucumber+2*Not Assigned</v>
      </c>
      <c r="F312" s="14">
        <f>IFERROR(__xludf.DUMMYFUNCTION("""COMPUTED_VALUE"""),6.0)</f>
        <v>6</v>
      </c>
      <c r="G312" s="14">
        <f>IFERROR(__xludf.DUMMYFUNCTION("""COMPUTED_VALUE"""),13.0)</f>
        <v>13</v>
      </c>
      <c r="H312" s="14">
        <f>IFERROR(__xludf.DUMMYFUNCTION("""COMPUTED_VALUE"""),2023.0)</f>
        <v>2023</v>
      </c>
      <c r="I312" s="14" t="str">
        <f>IFERROR(__xludf.DUMMYFUNCTION("""COMPUTED_VALUE"""),"UPI")</f>
        <v>UPI</v>
      </c>
      <c r="J312" s="14" t="str">
        <f>IFERROR(__xludf.DUMMYFUNCTION("""COMPUTED_VALUE"""),"Cancelled*Out of Stock")</f>
        <v>Cancelled*Out of Stock</v>
      </c>
      <c r="K312" s="14" t="str">
        <f>IFERROR(__xludf.DUMMYFUNCTION("split(E312,""+"")"),"Cucumber")</f>
        <v>Cucumber</v>
      </c>
      <c r="L312" s="14" t="str">
        <f>IFERROR(__xludf.DUMMYFUNCTION("""COMPUTED_VALUE"""),"2*Not Assigned")</f>
        <v>2*Not Assigned</v>
      </c>
      <c r="M312" s="14">
        <f>IFERROR(__xludf.DUMMYFUNCTION("SPLIT(L312,""*"")"),2.0)</f>
        <v>2</v>
      </c>
      <c r="N312" s="14" t="str">
        <f>IFERROR(__xludf.DUMMYFUNCTION("""COMPUTED_VALUE"""),"Not Assigned")</f>
        <v>Not Assigned</v>
      </c>
      <c r="O312" s="14" t="str">
        <f>IFERROR(__xludf.DUMMYFUNCTION("split(J312,""*"")"),"Cancelled")</f>
        <v>Cancelled</v>
      </c>
      <c r="P312" s="14" t="str">
        <f>IFERROR(__xludf.DUMMYFUNCTION("""COMPUTED_VALUE"""),"Out of Stock")</f>
        <v>Out of Stock</v>
      </c>
      <c r="Q312" s="14" t="str">
        <f>IFERROR(__xludf.DUMMYFUNCTION("split(P312,"":"")"),"Out of Stock")</f>
        <v>Out of Stock</v>
      </c>
      <c r="R312" s="14"/>
      <c r="S312" s="14" t="str">
        <f t="shared" ref="S312:U312" si="627">trim(B312)</f>
        <v>ord_10311</v>
      </c>
      <c r="T312" s="14" t="str">
        <f t="shared" si="627"/>
        <v>Dev Chauhan</v>
      </c>
      <c r="U312" s="14" t="str">
        <f t="shared" si="627"/>
        <v>Bandra</v>
      </c>
      <c r="V312" s="14" t="str">
        <f t="shared" si="4"/>
        <v>Cucumber</v>
      </c>
      <c r="W312" s="14">
        <f t="shared" si="5"/>
        <v>2</v>
      </c>
      <c r="X312" s="14" t="str">
        <f t="shared" si="6"/>
        <v>Not Assigned</v>
      </c>
      <c r="Y312" s="15">
        <f t="shared" si="7"/>
        <v>45090</v>
      </c>
      <c r="Z312" s="14" t="str">
        <f t="shared" si="8"/>
        <v>UPI</v>
      </c>
      <c r="AA312" s="14" t="str">
        <f t="shared" si="9"/>
        <v>Cancelled</v>
      </c>
      <c r="AB312" s="14" t="str">
        <f t="shared" ref="AB312:AC312" si="628">trim(Q312)</f>
        <v>Out of Stock</v>
      </c>
      <c r="AC312" s="14" t="str">
        <f t="shared" si="628"/>
        <v/>
      </c>
      <c r="AD312" s="8"/>
    </row>
    <row r="313">
      <c r="A313" s="14" t="str">
        <f>IFERROR(__xludf.DUMMYFUNCTION("""COMPUTED_VALUE"""),"//ord_10312//Anaya Rao//Colaba//Guava+1*Vivek Kumar/5/27/2023//Online Payment//Delivered*Quality of Items: Perfect condition")</f>
        <v>//ord_10312//Anaya Rao//Colaba//Guava+1*Vivek Kumar/5/27/2023//Online Payment//Delivered*Quality of Items: Perfect condition</v>
      </c>
      <c r="B313" s="14" t="str">
        <f>IFERROR(__xludf.DUMMYFUNCTION("split(A313,""//"")"),"ord_10312")</f>
        <v>ord_10312</v>
      </c>
      <c r="C313" s="14" t="str">
        <f>IFERROR(__xludf.DUMMYFUNCTION("""COMPUTED_VALUE"""),"Anaya Rao")</f>
        <v>Anaya Rao</v>
      </c>
      <c r="D313" s="14" t="str">
        <f>IFERROR(__xludf.DUMMYFUNCTION("""COMPUTED_VALUE"""),"Colaba")</f>
        <v>Colaba</v>
      </c>
      <c r="E313" s="14" t="str">
        <f>IFERROR(__xludf.DUMMYFUNCTION("""COMPUTED_VALUE"""),"Guava+1*Vivek Kumar")</f>
        <v>Guava+1*Vivek Kumar</v>
      </c>
      <c r="F313" s="14">
        <f>IFERROR(__xludf.DUMMYFUNCTION("""COMPUTED_VALUE"""),5.0)</f>
        <v>5</v>
      </c>
      <c r="G313" s="14">
        <f>IFERROR(__xludf.DUMMYFUNCTION("""COMPUTED_VALUE"""),27.0)</f>
        <v>27</v>
      </c>
      <c r="H313" s="14">
        <f>IFERROR(__xludf.DUMMYFUNCTION("""COMPUTED_VALUE"""),2023.0)</f>
        <v>2023</v>
      </c>
      <c r="I313" s="14" t="str">
        <f>IFERROR(__xludf.DUMMYFUNCTION("""COMPUTED_VALUE"""),"Online Payment")</f>
        <v>Online Payment</v>
      </c>
      <c r="J313" s="14" t="str">
        <f>IFERROR(__xludf.DUMMYFUNCTION("""COMPUTED_VALUE"""),"Delivered*Quality of Items: Perfect condition")</f>
        <v>Delivered*Quality of Items: Perfect condition</v>
      </c>
      <c r="K313" s="14" t="str">
        <f>IFERROR(__xludf.DUMMYFUNCTION("split(E313,""+"")"),"Guava")</f>
        <v>Guava</v>
      </c>
      <c r="L313" s="14" t="str">
        <f>IFERROR(__xludf.DUMMYFUNCTION("""COMPUTED_VALUE"""),"1*Vivek Kumar")</f>
        <v>1*Vivek Kumar</v>
      </c>
      <c r="M313" s="14">
        <f>IFERROR(__xludf.DUMMYFUNCTION("SPLIT(L313,""*"")"),1.0)</f>
        <v>1</v>
      </c>
      <c r="N313" s="14" t="str">
        <f>IFERROR(__xludf.DUMMYFUNCTION("""COMPUTED_VALUE"""),"Vivek Kumar")</f>
        <v>Vivek Kumar</v>
      </c>
      <c r="O313" s="14" t="str">
        <f>IFERROR(__xludf.DUMMYFUNCTION("split(J313,""*"")"),"Delivered")</f>
        <v>Delivered</v>
      </c>
      <c r="P313" s="14" t="str">
        <f>IFERROR(__xludf.DUMMYFUNCTION("""COMPUTED_VALUE"""),"Quality of Items: Perfect condition")</f>
        <v>Quality of Items: Perfect condition</v>
      </c>
      <c r="Q313" s="14" t="str">
        <f>IFERROR(__xludf.DUMMYFUNCTION("split(P313,"":"")"),"Quality of Items")</f>
        <v>Quality of Items</v>
      </c>
      <c r="R313" s="14" t="str">
        <f>IFERROR(__xludf.DUMMYFUNCTION("""COMPUTED_VALUE""")," Perfect condition")</f>
        <v> Perfect condition</v>
      </c>
      <c r="S313" s="14" t="str">
        <f t="shared" ref="S313:U313" si="629">trim(B313)</f>
        <v>ord_10312</v>
      </c>
      <c r="T313" s="14" t="str">
        <f t="shared" si="629"/>
        <v>Anaya Rao</v>
      </c>
      <c r="U313" s="14" t="str">
        <f t="shared" si="629"/>
        <v>Colaba</v>
      </c>
      <c r="V313" s="14" t="str">
        <f t="shared" si="4"/>
        <v>Guava</v>
      </c>
      <c r="W313" s="14">
        <f t="shared" si="5"/>
        <v>1</v>
      </c>
      <c r="X313" s="14" t="str">
        <f t="shared" si="6"/>
        <v>Vivek Kumar</v>
      </c>
      <c r="Y313" s="15">
        <f t="shared" si="7"/>
        <v>45073</v>
      </c>
      <c r="Z313" s="14" t="str">
        <f t="shared" si="8"/>
        <v>Online Payment</v>
      </c>
      <c r="AA313" s="14" t="str">
        <f t="shared" si="9"/>
        <v>Delivered</v>
      </c>
      <c r="AB313" s="14" t="str">
        <f t="shared" ref="AB313:AC313" si="630">trim(Q313)</f>
        <v>Quality of Items</v>
      </c>
      <c r="AC313" s="14" t="str">
        <f t="shared" si="630"/>
        <v>Perfect condition</v>
      </c>
      <c r="AD313" s="8"/>
    </row>
    <row r="314">
      <c r="A314" s="14" t="str">
        <f>IFERROR(__xludf.DUMMYFUNCTION("""COMPUTED_VALUE"""),"//ord_10018//Pranav Joshi//Andheri//Cold Coffee+4*Nithin Lal/8/14/2023//Online Payment//Delivered*On-time Delivery: Delivered on time")</f>
        <v>//ord_10018//Pranav Joshi//Andheri//Cold Coffee+4*Nithin Lal/8/14/2023//Online Payment//Delivered*On-time Delivery: Delivered on time</v>
      </c>
      <c r="B314" s="14" t="str">
        <f>IFERROR(__xludf.DUMMYFUNCTION("split(A314,""//"")"),"ord_10018")</f>
        <v>ord_10018</v>
      </c>
      <c r="C314" s="14" t="str">
        <f>IFERROR(__xludf.DUMMYFUNCTION("""COMPUTED_VALUE"""),"Pranav Joshi")</f>
        <v>Pranav Joshi</v>
      </c>
      <c r="D314" s="14" t="str">
        <f>IFERROR(__xludf.DUMMYFUNCTION("""COMPUTED_VALUE"""),"Andheri")</f>
        <v>Andheri</v>
      </c>
      <c r="E314" s="14" t="str">
        <f>IFERROR(__xludf.DUMMYFUNCTION("""COMPUTED_VALUE"""),"Cold Coffee+4*Nithin Lal")</f>
        <v>Cold Coffee+4*Nithin Lal</v>
      </c>
      <c r="F314" s="14">
        <f>IFERROR(__xludf.DUMMYFUNCTION("""COMPUTED_VALUE"""),8.0)</f>
        <v>8</v>
      </c>
      <c r="G314" s="14">
        <f>IFERROR(__xludf.DUMMYFUNCTION("""COMPUTED_VALUE"""),14.0)</f>
        <v>14</v>
      </c>
      <c r="H314" s="14">
        <f>IFERROR(__xludf.DUMMYFUNCTION("""COMPUTED_VALUE"""),2023.0)</f>
        <v>2023</v>
      </c>
      <c r="I314" s="14" t="str">
        <f>IFERROR(__xludf.DUMMYFUNCTION("""COMPUTED_VALUE"""),"Online Payment")</f>
        <v>Online Payment</v>
      </c>
      <c r="J314" s="14" t="str">
        <f>IFERROR(__xludf.DUMMYFUNCTION("""COMPUTED_VALUE"""),"Delivered*On-time Delivery: Delivered on time")</f>
        <v>Delivered*On-time Delivery: Delivered on time</v>
      </c>
      <c r="K314" s="14" t="str">
        <f>IFERROR(__xludf.DUMMYFUNCTION("split(E314,""+"")"),"Cold Coffee")</f>
        <v>Cold Coffee</v>
      </c>
      <c r="L314" s="14" t="str">
        <f>IFERROR(__xludf.DUMMYFUNCTION("""COMPUTED_VALUE"""),"4*Nithin Lal")</f>
        <v>4*Nithin Lal</v>
      </c>
      <c r="M314" s="14">
        <f>IFERROR(__xludf.DUMMYFUNCTION("SPLIT(L314,""*"")"),4.0)</f>
        <v>4</v>
      </c>
      <c r="N314" s="14" t="str">
        <f>IFERROR(__xludf.DUMMYFUNCTION("""COMPUTED_VALUE"""),"Nithin Lal")</f>
        <v>Nithin Lal</v>
      </c>
      <c r="O314" s="14" t="str">
        <f>IFERROR(__xludf.DUMMYFUNCTION("split(J314,""*"")"),"Delivered")</f>
        <v>Delivered</v>
      </c>
      <c r="P314" s="14" t="str">
        <f>IFERROR(__xludf.DUMMYFUNCTION("""COMPUTED_VALUE"""),"On-time Delivery: Delivered on time")</f>
        <v>On-time Delivery: Delivered on time</v>
      </c>
      <c r="Q314" s="14" t="str">
        <f>IFERROR(__xludf.DUMMYFUNCTION("split(P314,"":"")"),"On-time Delivery")</f>
        <v>On-time Delivery</v>
      </c>
      <c r="R314" s="14" t="str">
        <f>IFERROR(__xludf.DUMMYFUNCTION("""COMPUTED_VALUE""")," Delivered on time")</f>
        <v> Delivered on time</v>
      </c>
      <c r="S314" s="14" t="str">
        <f t="shared" ref="S314:U314" si="631">trim(B314)</f>
        <v>ord_10018</v>
      </c>
      <c r="T314" s="14" t="str">
        <f t="shared" si="631"/>
        <v>Pranav Joshi</v>
      </c>
      <c r="U314" s="14" t="str">
        <f t="shared" si="631"/>
        <v>Andheri</v>
      </c>
      <c r="V314" s="14" t="str">
        <f t="shared" si="4"/>
        <v>Cold Coffee</v>
      </c>
      <c r="W314" s="14">
        <f t="shared" si="5"/>
        <v>4</v>
      </c>
      <c r="X314" s="14" t="str">
        <f t="shared" si="6"/>
        <v>Nithin Lal</v>
      </c>
      <c r="Y314" s="15">
        <f t="shared" si="7"/>
        <v>45152</v>
      </c>
      <c r="Z314" s="14" t="str">
        <f t="shared" si="8"/>
        <v>Online Payment</v>
      </c>
      <c r="AA314" s="14" t="str">
        <f t="shared" si="9"/>
        <v>Delivered</v>
      </c>
      <c r="AB314" s="14" t="str">
        <f t="shared" ref="AB314:AC314" si="632">trim(Q314)</f>
        <v>On-time Delivery</v>
      </c>
      <c r="AC314" s="14" t="str">
        <f t="shared" si="632"/>
        <v>Delivered on time</v>
      </c>
      <c r="AD314" s="8"/>
    </row>
    <row r="315">
      <c r="A315" s="14" t="str">
        <f>IFERROR(__xludf.DUMMYFUNCTION("""COMPUTED_VALUE"""),"//ord_10027//Shruti Aggarwal//Colaba//Banana+2*Nikhil Deshmukh/6/6/2023//UPI//Delivered*Quality of Items: Perfect condition")</f>
        <v>//ord_10027//Shruti Aggarwal//Colaba//Banana+2*Nikhil Deshmukh/6/6/2023//UPI//Delivered*Quality of Items: Perfect condition</v>
      </c>
      <c r="B315" s="14" t="str">
        <f>IFERROR(__xludf.DUMMYFUNCTION("split(A315,""//"")"),"ord_10027")</f>
        <v>ord_10027</v>
      </c>
      <c r="C315" s="14" t="str">
        <f>IFERROR(__xludf.DUMMYFUNCTION("""COMPUTED_VALUE"""),"Shruti Aggarwal")</f>
        <v>Shruti Aggarwal</v>
      </c>
      <c r="D315" s="14" t="str">
        <f>IFERROR(__xludf.DUMMYFUNCTION("""COMPUTED_VALUE"""),"Colaba")</f>
        <v>Colaba</v>
      </c>
      <c r="E315" s="14" t="str">
        <f>IFERROR(__xludf.DUMMYFUNCTION("""COMPUTED_VALUE"""),"Banana+2*Nikhil Deshmukh")</f>
        <v>Banana+2*Nikhil Deshmukh</v>
      </c>
      <c r="F315" s="14">
        <f>IFERROR(__xludf.DUMMYFUNCTION("""COMPUTED_VALUE"""),6.0)</f>
        <v>6</v>
      </c>
      <c r="G315" s="14">
        <f>IFERROR(__xludf.DUMMYFUNCTION("""COMPUTED_VALUE"""),6.0)</f>
        <v>6</v>
      </c>
      <c r="H315" s="14">
        <f>IFERROR(__xludf.DUMMYFUNCTION("""COMPUTED_VALUE"""),2023.0)</f>
        <v>2023</v>
      </c>
      <c r="I315" s="14" t="str">
        <f>IFERROR(__xludf.DUMMYFUNCTION("""COMPUTED_VALUE"""),"UPI")</f>
        <v>UPI</v>
      </c>
      <c r="J315" s="14" t="str">
        <f>IFERROR(__xludf.DUMMYFUNCTION("""COMPUTED_VALUE"""),"Delivered*Quality of Items: Perfect condition")</f>
        <v>Delivered*Quality of Items: Perfect condition</v>
      </c>
      <c r="K315" s="14" t="str">
        <f>IFERROR(__xludf.DUMMYFUNCTION("split(E315,""+"")"),"Banana")</f>
        <v>Banana</v>
      </c>
      <c r="L315" s="14" t="str">
        <f>IFERROR(__xludf.DUMMYFUNCTION("""COMPUTED_VALUE"""),"2*Nikhil Deshmukh")</f>
        <v>2*Nikhil Deshmukh</v>
      </c>
      <c r="M315" s="14">
        <f>IFERROR(__xludf.DUMMYFUNCTION("SPLIT(L315,""*"")"),2.0)</f>
        <v>2</v>
      </c>
      <c r="N315" s="14" t="str">
        <f>IFERROR(__xludf.DUMMYFUNCTION("""COMPUTED_VALUE"""),"Nikhil Deshmukh")</f>
        <v>Nikhil Deshmukh</v>
      </c>
      <c r="O315" s="14" t="str">
        <f>IFERROR(__xludf.DUMMYFUNCTION("split(J315,""*"")"),"Delivered")</f>
        <v>Delivered</v>
      </c>
      <c r="P315" s="14" t="str">
        <f>IFERROR(__xludf.DUMMYFUNCTION("""COMPUTED_VALUE"""),"Quality of Items: Perfect condition")</f>
        <v>Quality of Items: Perfect condition</v>
      </c>
      <c r="Q315" s="14" t="str">
        <f>IFERROR(__xludf.DUMMYFUNCTION("split(P315,"":"")"),"Quality of Items")</f>
        <v>Quality of Items</v>
      </c>
      <c r="R315" s="14" t="str">
        <f>IFERROR(__xludf.DUMMYFUNCTION("""COMPUTED_VALUE""")," Perfect condition")</f>
        <v> Perfect condition</v>
      </c>
      <c r="S315" s="14" t="str">
        <f t="shared" ref="S315:U315" si="633">trim(B315)</f>
        <v>ord_10027</v>
      </c>
      <c r="T315" s="14" t="str">
        <f t="shared" si="633"/>
        <v>Shruti Aggarwal</v>
      </c>
      <c r="U315" s="14" t="str">
        <f t="shared" si="633"/>
        <v>Colaba</v>
      </c>
      <c r="V315" s="14" t="str">
        <f t="shared" si="4"/>
        <v>Banana</v>
      </c>
      <c r="W315" s="14">
        <f t="shared" si="5"/>
        <v>2</v>
      </c>
      <c r="X315" s="14" t="str">
        <f t="shared" si="6"/>
        <v>Nikhil Deshmukh</v>
      </c>
      <c r="Y315" s="15">
        <f t="shared" si="7"/>
        <v>45083</v>
      </c>
      <c r="Z315" s="14" t="str">
        <f t="shared" si="8"/>
        <v>UPI</v>
      </c>
      <c r="AA315" s="14" t="str">
        <f t="shared" si="9"/>
        <v>Delivered</v>
      </c>
      <c r="AB315" s="14" t="str">
        <f t="shared" ref="AB315:AC315" si="634">trim(Q315)</f>
        <v>Quality of Items</v>
      </c>
      <c r="AC315" s="14" t="str">
        <f t="shared" si="634"/>
        <v>Perfect condition</v>
      </c>
      <c r="AD315" s="8"/>
    </row>
    <row r="316">
      <c r="A316" s="14" t="str">
        <f>IFERROR(__xludf.DUMMYFUNCTION("""COMPUTED_VALUE"""),"//ord_10036//Harsh Vardhan//Bandra//Cold Coffee+5*Nithin Lal/5/3/2023//Online Payment//Delivered*Packaging: Secure and intact")</f>
        <v>//ord_10036//Harsh Vardhan//Bandra//Cold Coffee+5*Nithin Lal/5/3/2023//Online Payment//Delivered*Packaging: Secure and intact</v>
      </c>
      <c r="B316" s="14" t="str">
        <f>IFERROR(__xludf.DUMMYFUNCTION("split(A316,""//"")"),"ord_10036")</f>
        <v>ord_10036</v>
      </c>
      <c r="C316" s="14" t="str">
        <f>IFERROR(__xludf.DUMMYFUNCTION("""COMPUTED_VALUE"""),"Harsh Vardhan")</f>
        <v>Harsh Vardhan</v>
      </c>
      <c r="D316" s="14" t="str">
        <f>IFERROR(__xludf.DUMMYFUNCTION("""COMPUTED_VALUE"""),"Bandra")</f>
        <v>Bandra</v>
      </c>
      <c r="E316" s="14" t="str">
        <f>IFERROR(__xludf.DUMMYFUNCTION("""COMPUTED_VALUE"""),"Cold Coffee+5*Nithin Lal")</f>
        <v>Cold Coffee+5*Nithin Lal</v>
      </c>
      <c r="F316" s="14">
        <f>IFERROR(__xludf.DUMMYFUNCTION("""COMPUTED_VALUE"""),5.0)</f>
        <v>5</v>
      </c>
      <c r="G316" s="14">
        <f>IFERROR(__xludf.DUMMYFUNCTION("""COMPUTED_VALUE"""),3.0)</f>
        <v>3</v>
      </c>
      <c r="H316" s="14">
        <f>IFERROR(__xludf.DUMMYFUNCTION("""COMPUTED_VALUE"""),2023.0)</f>
        <v>2023</v>
      </c>
      <c r="I316" s="14" t="str">
        <f>IFERROR(__xludf.DUMMYFUNCTION("""COMPUTED_VALUE"""),"Online Payment")</f>
        <v>Online Payment</v>
      </c>
      <c r="J316" s="14" t="str">
        <f>IFERROR(__xludf.DUMMYFUNCTION("""COMPUTED_VALUE"""),"Delivered*Packaging: Secure and intact")</f>
        <v>Delivered*Packaging: Secure and intact</v>
      </c>
      <c r="K316" s="14" t="str">
        <f>IFERROR(__xludf.DUMMYFUNCTION("split(E316,""+"")"),"Cold Coffee")</f>
        <v>Cold Coffee</v>
      </c>
      <c r="L316" s="14" t="str">
        <f>IFERROR(__xludf.DUMMYFUNCTION("""COMPUTED_VALUE"""),"5*Nithin Lal")</f>
        <v>5*Nithin Lal</v>
      </c>
      <c r="M316" s="14">
        <f>IFERROR(__xludf.DUMMYFUNCTION("SPLIT(L316,""*"")"),5.0)</f>
        <v>5</v>
      </c>
      <c r="N316" s="14" t="str">
        <f>IFERROR(__xludf.DUMMYFUNCTION("""COMPUTED_VALUE"""),"Nithin Lal")</f>
        <v>Nithin Lal</v>
      </c>
      <c r="O316" s="14" t="str">
        <f>IFERROR(__xludf.DUMMYFUNCTION("split(J316,""*"")"),"Delivered")</f>
        <v>Delivered</v>
      </c>
      <c r="P316" s="14" t="str">
        <f>IFERROR(__xludf.DUMMYFUNCTION("""COMPUTED_VALUE"""),"Packaging: Secure and intact")</f>
        <v>Packaging: Secure and intact</v>
      </c>
      <c r="Q316" s="14" t="str">
        <f>IFERROR(__xludf.DUMMYFUNCTION("split(P316,"":"")"),"Packaging")</f>
        <v>Packaging</v>
      </c>
      <c r="R316" s="14" t="str">
        <f>IFERROR(__xludf.DUMMYFUNCTION("""COMPUTED_VALUE""")," Secure and intact")</f>
        <v> Secure and intact</v>
      </c>
      <c r="S316" s="14" t="str">
        <f t="shared" ref="S316:U316" si="635">trim(B316)</f>
        <v>ord_10036</v>
      </c>
      <c r="T316" s="14" t="str">
        <f t="shared" si="635"/>
        <v>Harsh Vardhan</v>
      </c>
      <c r="U316" s="14" t="str">
        <f t="shared" si="635"/>
        <v>Bandra</v>
      </c>
      <c r="V316" s="14" t="str">
        <f t="shared" si="4"/>
        <v>Cold Coffee</v>
      </c>
      <c r="W316" s="14">
        <f t="shared" si="5"/>
        <v>5</v>
      </c>
      <c r="X316" s="14" t="str">
        <f t="shared" si="6"/>
        <v>Nithin Lal</v>
      </c>
      <c r="Y316" s="15">
        <f t="shared" si="7"/>
        <v>45049</v>
      </c>
      <c r="Z316" s="14" t="str">
        <f t="shared" si="8"/>
        <v>Online Payment</v>
      </c>
      <c r="AA316" s="14" t="str">
        <f t="shared" si="9"/>
        <v>Delivered</v>
      </c>
      <c r="AB316" s="14" t="str">
        <f t="shared" ref="AB316:AC316" si="636">trim(Q316)</f>
        <v>Packaging</v>
      </c>
      <c r="AC316" s="14" t="str">
        <f t="shared" si="636"/>
        <v>Secure and intact</v>
      </c>
      <c r="AD316" s="8"/>
    </row>
    <row r="317">
      <c r="A317" s="14" t="str">
        <f>IFERROR(__xludf.DUMMYFUNCTION("""COMPUTED_VALUE"""),"//ord_10045//Sana Malik//Powai//Banana+2*Vivek Kumar/10/6/2023//Online Payment//Delivered*Satisfied with the Delivery: Timely and quality")</f>
        <v>//ord_10045//Sana Malik//Powai//Banana+2*Vivek Kumar/10/6/2023//Online Payment//Delivered*Satisfied with the Delivery: Timely and quality</v>
      </c>
      <c r="B317" s="14" t="str">
        <f>IFERROR(__xludf.DUMMYFUNCTION("split(A317,""//"")"),"ord_10045")</f>
        <v>ord_10045</v>
      </c>
      <c r="C317" s="14" t="str">
        <f>IFERROR(__xludf.DUMMYFUNCTION("""COMPUTED_VALUE"""),"Sana Malik")</f>
        <v>Sana Malik</v>
      </c>
      <c r="D317" s="14" t="str">
        <f>IFERROR(__xludf.DUMMYFUNCTION("""COMPUTED_VALUE"""),"Powai")</f>
        <v>Powai</v>
      </c>
      <c r="E317" s="14" t="str">
        <f>IFERROR(__xludf.DUMMYFUNCTION("""COMPUTED_VALUE"""),"Banana+2*Vivek Kumar")</f>
        <v>Banana+2*Vivek Kumar</v>
      </c>
      <c r="F317" s="14">
        <f>IFERROR(__xludf.DUMMYFUNCTION("""COMPUTED_VALUE"""),10.0)</f>
        <v>10</v>
      </c>
      <c r="G317" s="14">
        <f>IFERROR(__xludf.DUMMYFUNCTION("""COMPUTED_VALUE"""),6.0)</f>
        <v>6</v>
      </c>
      <c r="H317" s="14">
        <f>IFERROR(__xludf.DUMMYFUNCTION("""COMPUTED_VALUE"""),2023.0)</f>
        <v>2023</v>
      </c>
      <c r="I317" s="14" t="str">
        <f>IFERROR(__xludf.DUMMYFUNCTION("""COMPUTED_VALUE"""),"Online Payment")</f>
        <v>Online Payment</v>
      </c>
      <c r="J317" s="14" t="str">
        <f>IFERROR(__xludf.DUMMYFUNCTION("""COMPUTED_VALUE"""),"Delivered*Satisfied with the Delivery: Timely and quality")</f>
        <v>Delivered*Satisfied with the Delivery: Timely and quality</v>
      </c>
      <c r="K317" s="14" t="str">
        <f>IFERROR(__xludf.DUMMYFUNCTION("split(E317,""+"")"),"Banana")</f>
        <v>Banana</v>
      </c>
      <c r="L317" s="14" t="str">
        <f>IFERROR(__xludf.DUMMYFUNCTION("""COMPUTED_VALUE"""),"2*Vivek Kumar")</f>
        <v>2*Vivek Kumar</v>
      </c>
      <c r="M317" s="14">
        <f>IFERROR(__xludf.DUMMYFUNCTION("SPLIT(L317,""*"")"),2.0)</f>
        <v>2</v>
      </c>
      <c r="N317" s="14" t="str">
        <f>IFERROR(__xludf.DUMMYFUNCTION("""COMPUTED_VALUE"""),"Vivek Kumar")</f>
        <v>Vivek Kumar</v>
      </c>
      <c r="O317" s="14" t="str">
        <f>IFERROR(__xludf.DUMMYFUNCTION("split(J317,""*"")"),"Delivered")</f>
        <v>Delivered</v>
      </c>
      <c r="P317" s="14" t="str">
        <f>IFERROR(__xludf.DUMMYFUNCTION("""COMPUTED_VALUE"""),"Satisfied with the Delivery: Timely and quality")</f>
        <v>Satisfied with the Delivery: Timely and quality</v>
      </c>
      <c r="Q317" s="14" t="str">
        <f>IFERROR(__xludf.DUMMYFUNCTION("split(P317,"":"")"),"Satisfied with the Delivery")</f>
        <v>Satisfied with the Delivery</v>
      </c>
      <c r="R317" s="14" t="str">
        <f>IFERROR(__xludf.DUMMYFUNCTION("""COMPUTED_VALUE""")," Timely and quality")</f>
        <v> Timely and quality</v>
      </c>
      <c r="S317" s="14" t="str">
        <f t="shared" ref="S317:U317" si="637">trim(B317)</f>
        <v>ord_10045</v>
      </c>
      <c r="T317" s="14" t="str">
        <f t="shared" si="637"/>
        <v>Sana Malik</v>
      </c>
      <c r="U317" s="14" t="str">
        <f t="shared" si="637"/>
        <v>Powai</v>
      </c>
      <c r="V317" s="14" t="str">
        <f t="shared" si="4"/>
        <v>Banana</v>
      </c>
      <c r="W317" s="14">
        <f t="shared" si="5"/>
        <v>2</v>
      </c>
      <c r="X317" s="14" t="str">
        <f t="shared" si="6"/>
        <v>Vivek Kumar</v>
      </c>
      <c r="Y317" s="15">
        <f t="shared" si="7"/>
        <v>45205</v>
      </c>
      <c r="Z317" s="14" t="str">
        <f t="shared" si="8"/>
        <v>Online Payment</v>
      </c>
      <c r="AA317" s="14" t="str">
        <f t="shared" si="9"/>
        <v>Delivered</v>
      </c>
      <c r="AB317" s="14" t="str">
        <f t="shared" ref="AB317:AC317" si="638">trim(Q317)</f>
        <v>Satisfied with the Delivery</v>
      </c>
      <c r="AC317" s="14" t="str">
        <f t="shared" si="638"/>
        <v>Timely and quality</v>
      </c>
      <c r="AD317" s="8"/>
    </row>
    <row r="318">
      <c r="A318" s="14" t="str">
        <f>IFERROR(__xludf.DUMMYFUNCTION("""COMPUTED_VALUE"""),"//ord_10054//Yash Verma//Lower Parel//Apple+2*Venu R/2/4/2023//UPI//Delivered*Customer Service: Seamless and easy")</f>
        <v>//ord_10054//Yash Verma//Lower Parel//Apple+2*Venu R/2/4/2023//UPI//Delivered*Customer Service: Seamless and easy</v>
      </c>
      <c r="B318" s="14" t="str">
        <f>IFERROR(__xludf.DUMMYFUNCTION("split(A318,""//"")"),"ord_10054")</f>
        <v>ord_10054</v>
      </c>
      <c r="C318" s="14" t="str">
        <f>IFERROR(__xludf.DUMMYFUNCTION("""COMPUTED_VALUE"""),"Yash Verma")</f>
        <v>Yash Verma</v>
      </c>
      <c r="D318" s="14" t="str">
        <f>IFERROR(__xludf.DUMMYFUNCTION("""COMPUTED_VALUE"""),"Lower Parel")</f>
        <v>Lower Parel</v>
      </c>
      <c r="E318" s="14" t="str">
        <f>IFERROR(__xludf.DUMMYFUNCTION("""COMPUTED_VALUE"""),"Apple+2*Venu R")</f>
        <v>Apple+2*Venu R</v>
      </c>
      <c r="F318" s="14">
        <f>IFERROR(__xludf.DUMMYFUNCTION("""COMPUTED_VALUE"""),2.0)</f>
        <v>2</v>
      </c>
      <c r="G318" s="14">
        <f>IFERROR(__xludf.DUMMYFUNCTION("""COMPUTED_VALUE"""),4.0)</f>
        <v>4</v>
      </c>
      <c r="H318" s="14">
        <f>IFERROR(__xludf.DUMMYFUNCTION("""COMPUTED_VALUE"""),2023.0)</f>
        <v>2023</v>
      </c>
      <c r="I318" s="14" t="str">
        <f>IFERROR(__xludf.DUMMYFUNCTION("""COMPUTED_VALUE"""),"UPI")</f>
        <v>UPI</v>
      </c>
      <c r="J318" s="14" t="str">
        <f>IFERROR(__xludf.DUMMYFUNCTION("""COMPUTED_VALUE"""),"Delivered*Customer Service: Seamless and easy")</f>
        <v>Delivered*Customer Service: Seamless and easy</v>
      </c>
      <c r="K318" s="14" t="str">
        <f>IFERROR(__xludf.DUMMYFUNCTION("split(E318,""+"")"),"Apple")</f>
        <v>Apple</v>
      </c>
      <c r="L318" s="14" t="str">
        <f>IFERROR(__xludf.DUMMYFUNCTION("""COMPUTED_VALUE"""),"2*Venu R")</f>
        <v>2*Venu R</v>
      </c>
      <c r="M318" s="14">
        <f>IFERROR(__xludf.DUMMYFUNCTION("SPLIT(L318,""*"")"),2.0)</f>
        <v>2</v>
      </c>
      <c r="N318" s="14" t="str">
        <f>IFERROR(__xludf.DUMMYFUNCTION("""COMPUTED_VALUE"""),"Venu R")</f>
        <v>Venu R</v>
      </c>
      <c r="O318" s="14" t="str">
        <f>IFERROR(__xludf.DUMMYFUNCTION("split(J318,""*"")"),"Delivered")</f>
        <v>Delivered</v>
      </c>
      <c r="P318" s="14" t="str">
        <f>IFERROR(__xludf.DUMMYFUNCTION("""COMPUTED_VALUE"""),"Customer Service: Seamless and easy")</f>
        <v>Customer Service: Seamless and easy</v>
      </c>
      <c r="Q318" s="14" t="str">
        <f>IFERROR(__xludf.DUMMYFUNCTION("split(P318,"":"")"),"Customer Service")</f>
        <v>Customer Service</v>
      </c>
      <c r="R318" s="14" t="str">
        <f>IFERROR(__xludf.DUMMYFUNCTION("""COMPUTED_VALUE""")," Seamless and easy")</f>
        <v> Seamless and easy</v>
      </c>
      <c r="S318" s="14" t="str">
        <f t="shared" ref="S318:U318" si="639">trim(B318)</f>
        <v>ord_10054</v>
      </c>
      <c r="T318" s="14" t="str">
        <f t="shared" si="639"/>
        <v>Yash Verma</v>
      </c>
      <c r="U318" s="14" t="str">
        <f t="shared" si="639"/>
        <v>Lower Parel</v>
      </c>
      <c r="V318" s="14" t="str">
        <f t="shared" si="4"/>
        <v>Apple</v>
      </c>
      <c r="W318" s="14">
        <f t="shared" si="5"/>
        <v>2</v>
      </c>
      <c r="X318" s="14" t="str">
        <f t="shared" si="6"/>
        <v>Venu R</v>
      </c>
      <c r="Y318" s="15">
        <f t="shared" si="7"/>
        <v>44961</v>
      </c>
      <c r="Z318" s="14" t="str">
        <f t="shared" si="8"/>
        <v>UPI</v>
      </c>
      <c r="AA318" s="14" t="str">
        <f t="shared" si="9"/>
        <v>Delivered</v>
      </c>
      <c r="AB318" s="14" t="str">
        <f t="shared" ref="AB318:AC318" si="640">trim(Q318)</f>
        <v>Customer Service</v>
      </c>
      <c r="AC318" s="14" t="str">
        <f t="shared" si="640"/>
        <v>Seamless and easy</v>
      </c>
      <c r="AD318" s="8"/>
    </row>
    <row r="319">
      <c r="A319" s="14" t="str">
        <f>IFERROR(__xludf.DUMMYFUNCTION("""COMPUTED_VALUE"""),"//ord_10063//Leena Das//Andheri//Tiramisu+6*Ram Gopal/9/16/2023//COD//Delivered*Delivery Experience: Quick and professional")</f>
        <v>//ord_10063//Leena Das//Andheri//Tiramisu+6*Ram Gopal/9/16/2023//COD//Delivered*Delivery Experience: Quick and professional</v>
      </c>
      <c r="B319" s="14" t="str">
        <f>IFERROR(__xludf.DUMMYFUNCTION("split(A319,""//"")"),"ord_10063")</f>
        <v>ord_10063</v>
      </c>
      <c r="C319" s="14" t="str">
        <f>IFERROR(__xludf.DUMMYFUNCTION("""COMPUTED_VALUE"""),"Leena Das")</f>
        <v>Leena Das</v>
      </c>
      <c r="D319" s="14" t="str">
        <f>IFERROR(__xludf.DUMMYFUNCTION("""COMPUTED_VALUE"""),"Andheri")</f>
        <v>Andheri</v>
      </c>
      <c r="E319" s="14" t="str">
        <f>IFERROR(__xludf.DUMMYFUNCTION("""COMPUTED_VALUE"""),"Tiramisu+6*Ram Gopal")</f>
        <v>Tiramisu+6*Ram Gopal</v>
      </c>
      <c r="F319" s="14">
        <f>IFERROR(__xludf.DUMMYFUNCTION("""COMPUTED_VALUE"""),9.0)</f>
        <v>9</v>
      </c>
      <c r="G319" s="14">
        <f>IFERROR(__xludf.DUMMYFUNCTION("""COMPUTED_VALUE"""),16.0)</f>
        <v>16</v>
      </c>
      <c r="H319" s="14">
        <f>IFERROR(__xludf.DUMMYFUNCTION("""COMPUTED_VALUE"""),2023.0)</f>
        <v>2023</v>
      </c>
      <c r="I319" s="14" t="str">
        <f>IFERROR(__xludf.DUMMYFUNCTION("""COMPUTED_VALUE"""),"COD")</f>
        <v>COD</v>
      </c>
      <c r="J319" s="14" t="str">
        <f>IFERROR(__xludf.DUMMYFUNCTION("""COMPUTED_VALUE"""),"Delivered*Delivery Experience: Quick and professional")</f>
        <v>Delivered*Delivery Experience: Quick and professional</v>
      </c>
      <c r="K319" s="14" t="str">
        <f>IFERROR(__xludf.DUMMYFUNCTION("split(E319,""+"")"),"Tiramisu")</f>
        <v>Tiramisu</v>
      </c>
      <c r="L319" s="14" t="str">
        <f>IFERROR(__xludf.DUMMYFUNCTION("""COMPUTED_VALUE"""),"6*Ram Gopal")</f>
        <v>6*Ram Gopal</v>
      </c>
      <c r="M319" s="14">
        <f>IFERROR(__xludf.DUMMYFUNCTION("SPLIT(L319,""*"")"),6.0)</f>
        <v>6</v>
      </c>
      <c r="N319" s="14" t="str">
        <f>IFERROR(__xludf.DUMMYFUNCTION("""COMPUTED_VALUE"""),"Ram Gopal")</f>
        <v>Ram Gopal</v>
      </c>
      <c r="O319" s="14" t="str">
        <f>IFERROR(__xludf.DUMMYFUNCTION("split(J319,""*"")"),"Delivered")</f>
        <v>Delivered</v>
      </c>
      <c r="P319" s="14" t="str">
        <f>IFERROR(__xludf.DUMMYFUNCTION("""COMPUTED_VALUE"""),"Delivery Experience: Quick and professional")</f>
        <v>Delivery Experience: Quick and professional</v>
      </c>
      <c r="Q319" s="14" t="str">
        <f>IFERROR(__xludf.DUMMYFUNCTION("split(P319,"":"")"),"Delivery Experience")</f>
        <v>Delivery Experience</v>
      </c>
      <c r="R319" s="14" t="str">
        <f>IFERROR(__xludf.DUMMYFUNCTION("""COMPUTED_VALUE""")," Quick and professional")</f>
        <v> Quick and professional</v>
      </c>
      <c r="S319" s="14" t="str">
        <f t="shared" ref="S319:U319" si="641">trim(B319)</f>
        <v>ord_10063</v>
      </c>
      <c r="T319" s="14" t="str">
        <f t="shared" si="641"/>
        <v>Leena Das</v>
      </c>
      <c r="U319" s="14" t="str">
        <f t="shared" si="641"/>
        <v>Andheri</v>
      </c>
      <c r="V319" s="14" t="str">
        <f t="shared" si="4"/>
        <v>Tiramisu</v>
      </c>
      <c r="W319" s="14">
        <f t="shared" si="5"/>
        <v>6</v>
      </c>
      <c r="X319" s="14" t="str">
        <f t="shared" si="6"/>
        <v>Ram Gopal</v>
      </c>
      <c r="Y319" s="15">
        <f t="shared" si="7"/>
        <v>45185</v>
      </c>
      <c r="Z319" s="14" t="str">
        <f t="shared" si="8"/>
        <v>COD</v>
      </c>
      <c r="AA319" s="14" t="str">
        <f t="shared" si="9"/>
        <v>Delivered</v>
      </c>
      <c r="AB319" s="14" t="str">
        <f t="shared" ref="AB319:AC319" si="642">trim(Q319)</f>
        <v>Delivery Experience</v>
      </c>
      <c r="AC319" s="14" t="str">
        <f t="shared" si="642"/>
        <v>Quick and professional</v>
      </c>
      <c r="AD319" s="8"/>
    </row>
    <row r="320">
      <c r="A320" s="14" t="str">
        <f>IFERROR(__xludf.DUMMYFUNCTION("""COMPUTED_VALUE"""),"//ord_10072//Shruti Aggarwal//Colaba//Chocolate Mousse+6*Sita T/7/14/2023//Credit Card//Delivered*Convenience: Easy tracking")</f>
        <v>//ord_10072//Shruti Aggarwal//Colaba//Chocolate Mousse+6*Sita T/7/14/2023//Credit Card//Delivered*Convenience: Easy tracking</v>
      </c>
      <c r="B320" s="14" t="str">
        <f>IFERROR(__xludf.DUMMYFUNCTION("split(A320,""//"")"),"ord_10072")</f>
        <v>ord_10072</v>
      </c>
      <c r="C320" s="14" t="str">
        <f>IFERROR(__xludf.DUMMYFUNCTION("""COMPUTED_VALUE"""),"Shruti Aggarwal")</f>
        <v>Shruti Aggarwal</v>
      </c>
      <c r="D320" s="14" t="str">
        <f>IFERROR(__xludf.DUMMYFUNCTION("""COMPUTED_VALUE"""),"Colaba")</f>
        <v>Colaba</v>
      </c>
      <c r="E320" s="14" t="str">
        <f>IFERROR(__xludf.DUMMYFUNCTION("""COMPUTED_VALUE"""),"Chocolate Mousse+6*Sita T")</f>
        <v>Chocolate Mousse+6*Sita T</v>
      </c>
      <c r="F320" s="14">
        <f>IFERROR(__xludf.DUMMYFUNCTION("""COMPUTED_VALUE"""),7.0)</f>
        <v>7</v>
      </c>
      <c r="G320" s="14">
        <f>IFERROR(__xludf.DUMMYFUNCTION("""COMPUTED_VALUE"""),14.0)</f>
        <v>14</v>
      </c>
      <c r="H320" s="14">
        <f>IFERROR(__xludf.DUMMYFUNCTION("""COMPUTED_VALUE"""),2023.0)</f>
        <v>2023</v>
      </c>
      <c r="I320" s="14" t="str">
        <f>IFERROR(__xludf.DUMMYFUNCTION("""COMPUTED_VALUE"""),"Credit Card")</f>
        <v>Credit Card</v>
      </c>
      <c r="J320" s="14" t="str">
        <f>IFERROR(__xludf.DUMMYFUNCTION("""COMPUTED_VALUE"""),"Delivered*Convenience: Easy tracking")</f>
        <v>Delivered*Convenience: Easy tracking</v>
      </c>
      <c r="K320" s="14" t="str">
        <f>IFERROR(__xludf.DUMMYFUNCTION("split(E320,""+"")"),"Chocolate Mousse")</f>
        <v>Chocolate Mousse</v>
      </c>
      <c r="L320" s="14" t="str">
        <f>IFERROR(__xludf.DUMMYFUNCTION("""COMPUTED_VALUE"""),"6*Sita T")</f>
        <v>6*Sita T</v>
      </c>
      <c r="M320" s="14">
        <f>IFERROR(__xludf.DUMMYFUNCTION("SPLIT(L320,""*"")"),6.0)</f>
        <v>6</v>
      </c>
      <c r="N320" s="14" t="str">
        <f>IFERROR(__xludf.DUMMYFUNCTION("""COMPUTED_VALUE"""),"Sita T")</f>
        <v>Sita T</v>
      </c>
      <c r="O320" s="14" t="str">
        <f>IFERROR(__xludf.DUMMYFUNCTION("split(J320,""*"")"),"Delivered")</f>
        <v>Delivered</v>
      </c>
      <c r="P320" s="14" t="str">
        <f>IFERROR(__xludf.DUMMYFUNCTION("""COMPUTED_VALUE"""),"Convenience: Easy tracking")</f>
        <v>Convenience: Easy tracking</v>
      </c>
      <c r="Q320" s="14" t="str">
        <f>IFERROR(__xludf.DUMMYFUNCTION("split(P320,"":"")"),"Convenience")</f>
        <v>Convenience</v>
      </c>
      <c r="R320" s="14" t="str">
        <f>IFERROR(__xludf.DUMMYFUNCTION("""COMPUTED_VALUE""")," Easy tracking")</f>
        <v> Easy tracking</v>
      </c>
      <c r="S320" s="14" t="str">
        <f t="shared" ref="S320:U320" si="643">trim(B320)</f>
        <v>ord_10072</v>
      </c>
      <c r="T320" s="14" t="str">
        <f t="shared" si="643"/>
        <v>Shruti Aggarwal</v>
      </c>
      <c r="U320" s="14" t="str">
        <f t="shared" si="643"/>
        <v>Colaba</v>
      </c>
      <c r="V320" s="14" t="str">
        <f t="shared" si="4"/>
        <v>Chocolate Mousse</v>
      </c>
      <c r="W320" s="14">
        <f t="shared" si="5"/>
        <v>6</v>
      </c>
      <c r="X320" s="14" t="str">
        <f t="shared" si="6"/>
        <v>Sita T</v>
      </c>
      <c r="Y320" s="15">
        <f t="shared" si="7"/>
        <v>45121</v>
      </c>
      <c r="Z320" s="14" t="str">
        <f t="shared" si="8"/>
        <v>Credit Card</v>
      </c>
      <c r="AA320" s="14" t="str">
        <f t="shared" si="9"/>
        <v>Delivered</v>
      </c>
      <c r="AB320" s="14" t="str">
        <f t="shared" ref="AB320:AC320" si="644">trim(Q320)</f>
        <v>Convenience</v>
      </c>
      <c r="AC320" s="14" t="str">
        <f t="shared" si="644"/>
        <v>Easy tracking</v>
      </c>
      <c r="AD320" s="8"/>
    </row>
    <row r="321">
      <c r="A321" s="14" t="str">
        <f>IFERROR(__xludf.DUMMYFUNCTION("""COMPUTED_VALUE"""),"//ord_10081//Omkar Mishra//Powai//Cold Coffee+2*Sandeep Kumar/2/20/2023//Online Payment//Delivered*Overall Satisfaction: Great service will order again")</f>
        <v>//ord_10081//Omkar Mishra//Powai//Cold Coffee+2*Sandeep Kumar/2/20/2023//Online Payment//Delivered*Overall Satisfaction: Great service will order again</v>
      </c>
      <c r="B321" s="14" t="str">
        <f>IFERROR(__xludf.DUMMYFUNCTION("split(A321,""//"")"),"ord_10081")</f>
        <v>ord_10081</v>
      </c>
      <c r="C321" s="14" t="str">
        <f>IFERROR(__xludf.DUMMYFUNCTION("""COMPUTED_VALUE"""),"Omkar Mishra")</f>
        <v>Omkar Mishra</v>
      </c>
      <c r="D321" s="14" t="str">
        <f>IFERROR(__xludf.DUMMYFUNCTION("""COMPUTED_VALUE"""),"Powai")</f>
        <v>Powai</v>
      </c>
      <c r="E321" s="14" t="str">
        <f>IFERROR(__xludf.DUMMYFUNCTION("""COMPUTED_VALUE"""),"Cold Coffee+2*Sandeep Kumar")</f>
        <v>Cold Coffee+2*Sandeep Kumar</v>
      </c>
      <c r="F321" s="14">
        <f>IFERROR(__xludf.DUMMYFUNCTION("""COMPUTED_VALUE"""),2.0)</f>
        <v>2</v>
      </c>
      <c r="G321" s="14">
        <f>IFERROR(__xludf.DUMMYFUNCTION("""COMPUTED_VALUE"""),20.0)</f>
        <v>20</v>
      </c>
      <c r="H321" s="14">
        <f>IFERROR(__xludf.DUMMYFUNCTION("""COMPUTED_VALUE"""),2023.0)</f>
        <v>2023</v>
      </c>
      <c r="I321" s="14" t="str">
        <f>IFERROR(__xludf.DUMMYFUNCTION("""COMPUTED_VALUE"""),"Online Payment")</f>
        <v>Online Payment</v>
      </c>
      <c r="J321" s="14" t="str">
        <f>IFERROR(__xludf.DUMMYFUNCTION("""COMPUTED_VALUE"""),"Delivered*Overall Satisfaction: Great service will order again")</f>
        <v>Delivered*Overall Satisfaction: Great service will order again</v>
      </c>
      <c r="K321" s="14" t="str">
        <f>IFERROR(__xludf.DUMMYFUNCTION("split(E321,""+"")"),"Cold Coffee")</f>
        <v>Cold Coffee</v>
      </c>
      <c r="L321" s="14" t="str">
        <f>IFERROR(__xludf.DUMMYFUNCTION("""COMPUTED_VALUE"""),"2*Sandeep Kumar")</f>
        <v>2*Sandeep Kumar</v>
      </c>
      <c r="M321" s="14">
        <f>IFERROR(__xludf.DUMMYFUNCTION("SPLIT(L321,""*"")"),2.0)</f>
        <v>2</v>
      </c>
      <c r="N321" s="14" t="str">
        <f>IFERROR(__xludf.DUMMYFUNCTION("""COMPUTED_VALUE"""),"Sandeep Kumar")</f>
        <v>Sandeep Kumar</v>
      </c>
      <c r="O321" s="14" t="str">
        <f>IFERROR(__xludf.DUMMYFUNCTION("split(J321,""*"")"),"Delivered")</f>
        <v>Delivered</v>
      </c>
      <c r="P321" s="14" t="str">
        <f>IFERROR(__xludf.DUMMYFUNCTION("""COMPUTED_VALUE"""),"Overall Satisfaction: Great service will order again")</f>
        <v>Overall Satisfaction: Great service will order again</v>
      </c>
      <c r="Q321" s="14" t="str">
        <f>IFERROR(__xludf.DUMMYFUNCTION("split(P321,"":"")"),"Overall Satisfaction")</f>
        <v>Overall Satisfaction</v>
      </c>
      <c r="R321" s="14" t="str">
        <f>IFERROR(__xludf.DUMMYFUNCTION("""COMPUTED_VALUE""")," Great service will order again")</f>
        <v> Great service will order again</v>
      </c>
      <c r="S321" s="14" t="str">
        <f t="shared" ref="S321:U321" si="645">trim(B321)</f>
        <v>ord_10081</v>
      </c>
      <c r="T321" s="14" t="str">
        <f t="shared" si="645"/>
        <v>Omkar Mishra</v>
      </c>
      <c r="U321" s="14" t="str">
        <f t="shared" si="645"/>
        <v>Powai</v>
      </c>
      <c r="V321" s="14" t="str">
        <f t="shared" si="4"/>
        <v>Cold Coffee</v>
      </c>
      <c r="W321" s="14">
        <f t="shared" si="5"/>
        <v>2</v>
      </c>
      <c r="X321" s="14" t="str">
        <f t="shared" si="6"/>
        <v>Sandeep Kumar</v>
      </c>
      <c r="Y321" s="15">
        <f t="shared" si="7"/>
        <v>44977</v>
      </c>
      <c r="Z321" s="14" t="str">
        <f t="shared" si="8"/>
        <v>Online Payment</v>
      </c>
      <c r="AA321" s="14" t="str">
        <f t="shared" si="9"/>
        <v>Delivered</v>
      </c>
      <c r="AB321" s="14" t="str">
        <f t="shared" ref="AB321:AC321" si="646">trim(Q321)</f>
        <v>Overall Satisfaction</v>
      </c>
      <c r="AC321" s="14" t="str">
        <f t="shared" si="646"/>
        <v>Great service will order again</v>
      </c>
      <c r="AD321" s="8"/>
    </row>
    <row r="322">
      <c r="A322" s="14" t="str">
        <f>IFERROR(__xludf.DUMMYFUNCTION("""COMPUTED_VALUE"""),"//ord_10313//Aarav Mehta//Andheri//Potato+1*Priya Joshi/1/20/2023//Credit Card//Cancelled*Delayed Delivery:Bad Weather Conditions ")</f>
        <v>//ord_10313//Aarav Mehta//Andheri//Potato+1*Priya Joshi/1/20/2023//Credit Card//Cancelled*Delayed Delivery:Bad Weather Conditions </v>
      </c>
      <c r="B322" s="14" t="str">
        <f>IFERROR(__xludf.DUMMYFUNCTION("split(A322,""//"")"),"ord_10313")</f>
        <v>ord_10313</v>
      </c>
      <c r="C322" s="14" t="str">
        <f>IFERROR(__xludf.DUMMYFUNCTION("""COMPUTED_VALUE"""),"Aarav Mehta")</f>
        <v>Aarav Mehta</v>
      </c>
      <c r="D322" s="14" t="str">
        <f>IFERROR(__xludf.DUMMYFUNCTION("""COMPUTED_VALUE"""),"Andheri")</f>
        <v>Andheri</v>
      </c>
      <c r="E322" s="14" t="str">
        <f>IFERROR(__xludf.DUMMYFUNCTION("""COMPUTED_VALUE"""),"Potato+1*Priya Joshi")</f>
        <v>Potato+1*Priya Joshi</v>
      </c>
      <c r="F322" s="14">
        <f>IFERROR(__xludf.DUMMYFUNCTION("""COMPUTED_VALUE"""),1.0)</f>
        <v>1</v>
      </c>
      <c r="G322" s="14">
        <f>IFERROR(__xludf.DUMMYFUNCTION("""COMPUTED_VALUE"""),20.0)</f>
        <v>20</v>
      </c>
      <c r="H322" s="14">
        <f>IFERROR(__xludf.DUMMYFUNCTION("""COMPUTED_VALUE"""),2023.0)</f>
        <v>2023</v>
      </c>
      <c r="I322" s="14" t="str">
        <f>IFERROR(__xludf.DUMMYFUNCTION("""COMPUTED_VALUE"""),"Credit Card")</f>
        <v>Credit Card</v>
      </c>
      <c r="J322" s="14" t="str">
        <f>IFERROR(__xludf.DUMMYFUNCTION("""COMPUTED_VALUE"""),"Cancelled*Delayed Delivery:Bad Weather Conditions ")</f>
        <v>Cancelled*Delayed Delivery:Bad Weather Conditions </v>
      </c>
      <c r="K322" s="14" t="str">
        <f>IFERROR(__xludf.DUMMYFUNCTION("split(E322,""+"")"),"Potato")</f>
        <v>Potato</v>
      </c>
      <c r="L322" s="14" t="str">
        <f>IFERROR(__xludf.DUMMYFUNCTION("""COMPUTED_VALUE"""),"1*Priya Joshi")</f>
        <v>1*Priya Joshi</v>
      </c>
      <c r="M322" s="14">
        <f>IFERROR(__xludf.DUMMYFUNCTION("SPLIT(L322,""*"")"),1.0)</f>
        <v>1</v>
      </c>
      <c r="N322" s="14" t="str">
        <f>IFERROR(__xludf.DUMMYFUNCTION("""COMPUTED_VALUE"""),"Priya Joshi")</f>
        <v>Priya Joshi</v>
      </c>
      <c r="O322" s="14" t="str">
        <f>IFERROR(__xludf.DUMMYFUNCTION("split(J322,""*"")"),"Cancelled")</f>
        <v>Cancelled</v>
      </c>
      <c r="P322" s="14" t="str">
        <f>IFERROR(__xludf.DUMMYFUNCTION("""COMPUTED_VALUE"""),"Delayed Delivery:Bad Weather Conditions ")</f>
        <v>Delayed Delivery:Bad Weather Conditions </v>
      </c>
      <c r="Q322" s="14" t="str">
        <f>IFERROR(__xludf.DUMMYFUNCTION("split(P322,"":"")"),"Delayed Delivery")</f>
        <v>Delayed Delivery</v>
      </c>
      <c r="R322" s="14" t="str">
        <f>IFERROR(__xludf.DUMMYFUNCTION("""COMPUTED_VALUE"""),"Bad Weather Conditions ")</f>
        <v>Bad Weather Conditions </v>
      </c>
      <c r="S322" s="14" t="str">
        <f t="shared" ref="S322:U322" si="647">trim(B322)</f>
        <v>ord_10313</v>
      </c>
      <c r="T322" s="14" t="str">
        <f t="shared" si="647"/>
        <v>Aarav Mehta</v>
      </c>
      <c r="U322" s="14" t="str">
        <f t="shared" si="647"/>
        <v>Andheri</v>
      </c>
      <c r="V322" s="14" t="str">
        <f t="shared" si="4"/>
        <v>Potato</v>
      </c>
      <c r="W322" s="14">
        <f t="shared" si="5"/>
        <v>1</v>
      </c>
      <c r="X322" s="14" t="str">
        <f t="shared" si="6"/>
        <v>Priya Joshi</v>
      </c>
      <c r="Y322" s="15">
        <f t="shared" si="7"/>
        <v>44946</v>
      </c>
      <c r="Z322" s="14" t="str">
        <f t="shared" si="8"/>
        <v>Credit Card</v>
      </c>
      <c r="AA322" s="14" t="str">
        <f t="shared" si="9"/>
        <v>Cancelled</v>
      </c>
      <c r="AB322" s="14" t="str">
        <f t="shared" ref="AB322:AC322" si="648">trim(Q322)</f>
        <v>Delayed Delivery</v>
      </c>
      <c r="AC322" s="14" t="str">
        <f t="shared" si="648"/>
        <v>Bad Weather Conditions</v>
      </c>
      <c r="AD322" s="8"/>
    </row>
    <row r="323">
      <c r="A323" s="14" t="str">
        <f>IFERROR(__xludf.DUMMYFUNCTION("""COMPUTED_VALUE"""),"//ord_10314//Nitin Sehgal//Bandra//Sweet Corn+1*Sita T/12/14/2023//Credit Card//Delivered*Packaging: Secure and intact")</f>
        <v>//ord_10314//Nitin Sehgal//Bandra//Sweet Corn+1*Sita T/12/14/2023//Credit Card//Delivered*Packaging: Secure and intact</v>
      </c>
      <c r="B323" s="14" t="str">
        <f>IFERROR(__xludf.DUMMYFUNCTION("split(A323,""//"")"),"ord_10314")</f>
        <v>ord_10314</v>
      </c>
      <c r="C323" s="14" t="str">
        <f>IFERROR(__xludf.DUMMYFUNCTION("""COMPUTED_VALUE"""),"Nitin Sehgal")</f>
        <v>Nitin Sehgal</v>
      </c>
      <c r="D323" s="14" t="str">
        <f>IFERROR(__xludf.DUMMYFUNCTION("""COMPUTED_VALUE"""),"Bandra")</f>
        <v>Bandra</v>
      </c>
      <c r="E323" s="14" t="str">
        <f>IFERROR(__xludf.DUMMYFUNCTION("""COMPUTED_VALUE"""),"Sweet Corn+1*Sita T")</f>
        <v>Sweet Corn+1*Sita T</v>
      </c>
      <c r="F323" s="14">
        <f>IFERROR(__xludf.DUMMYFUNCTION("""COMPUTED_VALUE"""),12.0)</f>
        <v>12</v>
      </c>
      <c r="G323" s="14">
        <f>IFERROR(__xludf.DUMMYFUNCTION("""COMPUTED_VALUE"""),14.0)</f>
        <v>14</v>
      </c>
      <c r="H323" s="14">
        <f>IFERROR(__xludf.DUMMYFUNCTION("""COMPUTED_VALUE"""),2023.0)</f>
        <v>2023</v>
      </c>
      <c r="I323" s="14" t="str">
        <f>IFERROR(__xludf.DUMMYFUNCTION("""COMPUTED_VALUE"""),"Credit Card")</f>
        <v>Credit Card</v>
      </c>
      <c r="J323" s="14" t="str">
        <f>IFERROR(__xludf.DUMMYFUNCTION("""COMPUTED_VALUE"""),"Delivered*Packaging: Secure and intact")</f>
        <v>Delivered*Packaging: Secure and intact</v>
      </c>
      <c r="K323" s="14" t="str">
        <f>IFERROR(__xludf.DUMMYFUNCTION("split(E323,""+"")"),"Sweet Corn")</f>
        <v>Sweet Corn</v>
      </c>
      <c r="L323" s="14" t="str">
        <f>IFERROR(__xludf.DUMMYFUNCTION("""COMPUTED_VALUE"""),"1*Sita T")</f>
        <v>1*Sita T</v>
      </c>
      <c r="M323" s="14">
        <f>IFERROR(__xludf.DUMMYFUNCTION("SPLIT(L323,""*"")"),1.0)</f>
        <v>1</v>
      </c>
      <c r="N323" s="14" t="str">
        <f>IFERROR(__xludf.DUMMYFUNCTION("""COMPUTED_VALUE"""),"Sita T")</f>
        <v>Sita T</v>
      </c>
      <c r="O323" s="14" t="str">
        <f>IFERROR(__xludf.DUMMYFUNCTION("split(J323,""*"")"),"Delivered")</f>
        <v>Delivered</v>
      </c>
      <c r="P323" s="14" t="str">
        <f>IFERROR(__xludf.DUMMYFUNCTION("""COMPUTED_VALUE"""),"Packaging: Secure and intact")</f>
        <v>Packaging: Secure and intact</v>
      </c>
      <c r="Q323" s="14" t="str">
        <f>IFERROR(__xludf.DUMMYFUNCTION("split(P323,"":"")"),"Packaging")</f>
        <v>Packaging</v>
      </c>
      <c r="R323" s="14" t="str">
        <f>IFERROR(__xludf.DUMMYFUNCTION("""COMPUTED_VALUE""")," Secure and intact")</f>
        <v> Secure and intact</v>
      </c>
      <c r="S323" s="14" t="str">
        <f t="shared" ref="S323:U323" si="649">trim(B323)</f>
        <v>ord_10314</v>
      </c>
      <c r="T323" s="14" t="str">
        <f t="shared" si="649"/>
        <v>Nitin Sehgal</v>
      </c>
      <c r="U323" s="14" t="str">
        <f t="shared" si="649"/>
        <v>Bandra</v>
      </c>
      <c r="V323" s="14" t="str">
        <f t="shared" si="4"/>
        <v>Sweet Corn</v>
      </c>
      <c r="W323" s="14">
        <f t="shared" si="5"/>
        <v>1</v>
      </c>
      <c r="X323" s="14" t="str">
        <f t="shared" si="6"/>
        <v>Sita T</v>
      </c>
      <c r="Y323" s="15">
        <f t="shared" si="7"/>
        <v>45274</v>
      </c>
      <c r="Z323" s="14" t="str">
        <f t="shared" si="8"/>
        <v>Credit Card</v>
      </c>
      <c r="AA323" s="14" t="str">
        <f t="shared" si="9"/>
        <v>Delivered</v>
      </c>
      <c r="AB323" s="14" t="str">
        <f t="shared" ref="AB323:AC323" si="650">trim(Q323)</f>
        <v>Packaging</v>
      </c>
      <c r="AC323" s="14" t="str">
        <f t="shared" si="650"/>
        <v>Secure and intact</v>
      </c>
      <c r="AD323" s="8"/>
    </row>
    <row r="324">
      <c r="A324" s="14" t="str">
        <f>IFERROR(__xludf.DUMMYFUNCTION("""COMPUTED_VALUE"""),"//ord_10315//Parth Goel//Juhu//Onion+2*Vivek Kumar/12/24/2023//UPI//Delivered*Satisfied with the Delivery: Timely and quality")</f>
        <v>//ord_10315//Parth Goel//Juhu//Onion+2*Vivek Kumar/12/24/2023//UPI//Delivered*Satisfied with the Delivery: Timely and quality</v>
      </c>
      <c r="B324" s="14" t="str">
        <f>IFERROR(__xludf.DUMMYFUNCTION("split(A324,""//"")"),"ord_10315")</f>
        <v>ord_10315</v>
      </c>
      <c r="C324" s="14" t="str">
        <f>IFERROR(__xludf.DUMMYFUNCTION("""COMPUTED_VALUE"""),"Parth Goel")</f>
        <v>Parth Goel</v>
      </c>
      <c r="D324" s="14" t="str">
        <f>IFERROR(__xludf.DUMMYFUNCTION("""COMPUTED_VALUE"""),"Juhu")</f>
        <v>Juhu</v>
      </c>
      <c r="E324" s="14" t="str">
        <f>IFERROR(__xludf.DUMMYFUNCTION("""COMPUTED_VALUE"""),"Onion+2*Vivek Kumar")</f>
        <v>Onion+2*Vivek Kumar</v>
      </c>
      <c r="F324" s="14">
        <f>IFERROR(__xludf.DUMMYFUNCTION("""COMPUTED_VALUE"""),12.0)</f>
        <v>12</v>
      </c>
      <c r="G324" s="14">
        <f>IFERROR(__xludf.DUMMYFUNCTION("""COMPUTED_VALUE"""),24.0)</f>
        <v>24</v>
      </c>
      <c r="H324" s="14">
        <f>IFERROR(__xludf.DUMMYFUNCTION("""COMPUTED_VALUE"""),2023.0)</f>
        <v>2023</v>
      </c>
      <c r="I324" s="14" t="str">
        <f>IFERROR(__xludf.DUMMYFUNCTION("""COMPUTED_VALUE"""),"UPI")</f>
        <v>UPI</v>
      </c>
      <c r="J324" s="14" t="str">
        <f>IFERROR(__xludf.DUMMYFUNCTION("""COMPUTED_VALUE"""),"Delivered*Satisfied with the Delivery: Timely and quality")</f>
        <v>Delivered*Satisfied with the Delivery: Timely and quality</v>
      </c>
      <c r="K324" s="14" t="str">
        <f>IFERROR(__xludf.DUMMYFUNCTION("split(E324,""+"")"),"Onion")</f>
        <v>Onion</v>
      </c>
      <c r="L324" s="14" t="str">
        <f>IFERROR(__xludf.DUMMYFUNCTION("""COMPUTED_VALUE"""),"2*Vivek Kumar")</f>
        <v>2*Vivek Kumar</v>
      </c>
      <c r="M324" s="14">
        <f>IFERROR(__xludf.DUMMYFUNCTION("SPLIT(L324,""*"")"),2.0)</f>
        <v>2</v>
      </c>
      <c r="N324" s="14" t="str">
        <f>IFERROR(__xludf.DUMMYFUNCTION("""COMPUTED_VALUE"""),"Vivek Kumar")</f>
        <v>Vivek Kumar</v>
      </c>
      <c r="O324" s="14" t="str">
        <f>IFERROR(__xludf.DUMMYFUNCTION("split(J324,""*"")"),"Delivered")</f>
        <v>Delivered</v>
      </c>
      <c r="P324" s="14" t="str">
        <f>IFERROR(__xludf.DUMMYFUNCTION("""COMPUTED_VALUE"""),"Satisfied with the Delivery: Timely and quality")</f>
        <v>Satisfied with the Delivery: Timely and quality</v>
      </c>
      <c r="Q324" s="14" t="str">
        <f>IFERROR(__xludf.DUMMYFUNCTION("split(P324,"":"")"),"Satisfied with the Delivery")</f>
        <v>Satisfied with the Delivery</v>
      </c>
      <c r="R324" s="14" t="str">
        <f>IFERROR(__xludf.DUMMYFUNCTION("""COMPUTED_VALUE""")," Timely and quality")</f>
        <v> Timely and quality</v>
      </c>
      <c r="S324" s="14" t="str">
        <f t="shared" ref="S324:U324" si="651">trim(B324)</f>
        <v>ord_10315</v>
      </c>
      <c r="T324" s="14" t="str">
        <f t="shared" si="651"/>
        <v>Parth Goel</v>
      </c>
      <c r="U324" s="14" t="str">
        <f t="shared" si="651"/>
        <v>Juhu</v>
      </c>
      <c r="V324" s="14" t="str">
        <f t="shared" si="4"/>
        <v>Onion</v>
      </c>
      <c r="W324" s="14">
        <f t="shared" si="5"/>
        <v>2</v>
      </c>
      <c r="X324" s="14" t="str">
        <f t="shared" si="6"/>
        <v>Vivek Kumar</v>
      </c>
      <c r="Y324" s="15">
        <f t="shared" si="7"/>
        <v>45284</v>
      </c>
      <c r="Z324" s="14" t="str">
        <f t="shared" si="8"/>
        <v>UPI</v>
      </c>
      <c r="AA324" s="14" t="str">
        <f t="shared" si="9"/>
        <v>Delivered</v>
      </c>
      <c r="AB324" s="14" t="str">
        <f t="shared" ref="AB324:AC324" si="652">trim(Q324)</f>
        <v>Satisfied with the Delivery</v>
      </c>
      <c r="AC324" s="14" t="str">
        <f t="shared" si="652"/>
        <v>Timely and quality</v>
      </c>
      <c r="AD324" s="8"/>
    </row>
    <row r="325">
      <c r="A325" s="14" t="str">
        <f>IFERROR(__xludf.DUMMYFUNCTION("""COMPUTED_VALUE"""),"//ord_10316//Diya Arora//Lower Parel//Cucumber+1*Kiran Mehta/9/22/2023//COD//Delivered*Customer Service: Seamless and easy")</f>
        <v>//ord_10316//Diya Arora//Lower Parel//Cucumber+1*Kiran Mehta/9/22/2023//COD//Delivered*Customer Service: Seamless and easy</v>
      </c>
      <c r="B325" s="14" t="str">
        <f>IFERROR(__xludf.DUMMYFUNCTION("split(A325,""//"")"),"ord_10316")</f>
        <v>ord_10316</v>
      </c>
      <c r="C325" s="14" t="str">
        <f>IFERROR(__xludf.DUMMYFUNCTION("""COMPUTED_VALUE"""),"Diya Arora")</f>
        <v>Diya Arora</v>
      </c>
      <c r="D325" s="14" t="str">
        <f>IFERROR(__xludf.DUMMYFUNCTION("""COMPUTED_VALUE"""),"Lower Parel")</f>
        <v>Lower Parel</v>
      </c>
      <c r="E325" s="14" t="str">
        <f>IFERROR(__xludf.DUMMYFUNCTION("""COMPUTED_VALUE"""),"Cucumber+1*Kiran Mehta")</f>
        <v>Cucumber+1*Kiran Mehta</v>
      </c>
      <c r="F325" s="14">
        <f>IFERROR(__xludf.DUMMYFUNCTION("""COMPUTED_VALUE"""),9.0)</f>
        <v>9</v>
      </c>
      <c r="G325" s="14">
        <f>IFERROR(__xludf.DUMMYFUNCTION("""COMPUTED_VALUE"""),22.0)</f>
        <v>22</v>
      </c>
      <c r="H325" s="14">
        <f>IFERROR(__xludf.DUMMYFUNCTION("""COMPUTED_VALUE"""),2023.0)</f>
        <v>2023</v>
      </c>
      <c r="I325" s="14" t="str">
        <f>IFERROR(__xludf.DUMMYFUNCTION("""COMPUTED_VALUE"""),"COD")</f>
        <v>COD</v>
      </c>
      <c r="J325" s="14" t="str">
        <f>IFERROR(__xludf.DUMMYFUNCTION("""COMPUTED_VALUE"""),"Delivered*Customer Service: Seamless and easy")</f>
        <v>Delivered*Customer Service: Seamless and easy</v>
      </c>
      <c r="K325" s="14" t="str">
        <f>IFERROR(__xludf.DUMMYFUNCTION("split(E325,""+"")"),"Cucumber")</f>
        <v>Cucumber</v>
      </c>
      <c r="L325" s="14" t="str">
        <f>IFERROR(__xludf.DUMMYFUNCTION("""COMPUTED_VALUE"""),"1*Kiran Mehta")</f>
        <v>1*Kiran Mehta</v>
      </c>
      <c r="M325" s="14">
        <f>IFERROR(__xludf.DUMMYFUNCTION("SPLIT(L325,""*"")"),1.0)</f>
        <v>1</v>
      </c>
      <c r="N325" s="14" t="str">
        <f>IFERROR(__xludf.DUMMYFUNCTION("""COMPUTED_VALUE"""),"Kiran Mehta")</f>
        <v>Kiran Mehta</v>
      </c>
      <c r="O325" s="14" t="str">
        <f>IFERROR(__xludf.DUMMYFUNCTION("split(J325,""*"")"),"Delivered")</f>
        <v>Delivered</v>
      </c>
      <c r="P325" s="14" t="str">
        <f>IFERROR(__xludf.DUMMYFUNCTION("""COMPUTED_VALUE"""),"Customer Service: Seamless and easy")</f>
        <v>Customer Service: Seamless and easy</v>
      </c>
      <c r="Q325" s="14" t="str">
        <f>IFERROR(__xludf.DUMMYFUNCTION("split(P325,"":"")"),"Customer Service")</f>
        <v>Customer Service</v>
      </c>
      <c r="R325" s="14" t="str">
        <f>IFERROR(__xludf.DUMMYFUNCTION("""COMPUTED_VALUE""")," Seamless and easy")</f>
        <v> Seamless and easy</v>
      </c>
      <c r="S325" s="14" t="str">
        <f t="shared" ref="S325:U325" si="653">trim(B325)</f>
        <v>ord_10316</v>
      </c>
      <c r="T325" s="14" t="str">
        <f t="shared" si="653"/>
        <v>Diya Arora</v>
      </c>
      <c r="U325" s="14" t="str">
        <f t="shared" si="653"/>
        <v>Lower Parel</v>
      </c>
      <c r="V325" s="14" t="str">
        <f t="shared" si="4"/>
        <v>Cucumber</v>
      </c>
      <c r="W325" s="14">
        <f t="shared" si="5"/>
        <v>1</v>
      </c>
      <c r="X325" s="14" t="str">
        <f t="shared" si="6"/>
        <v>Kiran Mehta</v>
      </c>
      <c r="Y325" s="15">
        <f t="shared" si="7"/>
        <v>45191</v>
      </c>
      <c r="Z325" s="14" t="str">
        <f t="shared" si="8"/>
        <v>COD</v>
      </c>
      <c r="AA325" s="14" t="str">
        <f t="shared" si="9"/>
        <v>Delivered</v>
      </c>
      <c r="AB325" s="14" t="str">
        <f t="shared" ref="AB325:AC325" si="654">trim(Q325)</f>
        <v>Customer Service</v>
      </c>
      <c r="AC325" s="14" t="str">
        <f t="shared" si="654"/>
        <v>Seamless and easy</v>
      </c>
      <c r="AD325" s="8"/>
    </row>
    <row r="326">
      <c r="A326" s="14" t="str">
        <f>IFERROR(__xludf.DUMMYFUNCTION("""COMPUTED_VALUE"""),"//ord_10317//Kritika Shetty//Malad//Tomato+1*Not Assigned/9/30/2023//Credit Card//Cancelled*Payment Issues")</f>
        <v>//ord_10317//Kritika Shetty//Malad//Tomato+1*Not Assigned/9/30/2023//Credit Card//Cancelled*Payment Issues</v>
      </c>
      <c r="B326" s="14" t="str">
        <f>IFERROR(__xludf.DUMMYFUNCTION("split(A326,""//"")"),"ord_10317")</f>
        <v>ord_10317</v>
      </c>
      <c r="C326" s="14" t="str">
        <f>IFERROR(__xludf.DUMMYFUNCTION("""COMPUTED_VALUE"""),"Kritika Shetty")</f>
        <v>Kritika Shetty</v>
      </c>
      <c r="D326" s="14" t="str">
        <f>IFERROR(__xludf.DUMMYFUNCTION("""COMPUTED_VALUE"""),"Malad")</f>
        <v>Malad</v>
      </c>
      <c r="E326" s="14" t="str">
        <f>IFERROR(__xludf.DUMMYFUNCTION("""COMPUTED_VALUE"""),"Tomato+1*Not Assigned")</f>
        <v>Tomato+1*Not Assigned</v>
      </c>
      <c r="F326" s="14">
        <f>IFERROR(__xludf.DUMMYFUNCTION("""COMPUTED_VALUE"""),9.0)</f>
        <v>9</v>
      </c>
      <c r="G326" s="14">
        <f>IFERROR(__xludf.DUMMYFUNCTION("""COMPUTED_VALUE"""),30.0)</f>
        <v>30</v>
      </c>
      <c r="H326" s="14">
        <f>IFERROR(__xludf.DUMMYFUNCTION("""COMPUTED_VALUE"""),2023.0)</f>
        <v>2023</v>
      </c>
      <c r="I326" s="14" t="str">
        <f>IFERROR(__xludf.DUMMYFUNCTION("""COMPUTED_VALUE"""),"Credit Card")</f>
        <v>Credit Card</v>
      </c>
      <c r="J326" s="14" t="str">
        <f>IFERROR(__xludf.DUMMYFUNCTION("""COMPUTED_VALUE"""),"Cancelled*Payment Issues")</f>
        <v>Cancelled*Payment Issues</v>
      </c>
      <c r="K326" s="14" t="str">
        <f>IFERROR(__xludf.DUMMYFUNCTION("split(E326,""+"")"),"Tomato")</f>
        <v>Tomato</v>
      </c>
      <c r="L326" s="14" t="str">
        <f>IFERROR(__xludf.DUMMYFUNCTION("""COMPUTED_VALUE"""),"1*Not Assigned")</f>
        <v>1*Not Assigned</v>
      </c>
      <c r="M326" s="14">
        <f>IFERROR(__xludf.DUMMYFUNCTION("SPLIT(L326,""*"")"),1.0)</f>
        <v>1</v>
      </c>
      <c r="N326" s="14" t="str">
        <f>IFERROR(__xludf.DUMMYFUNCTION("""COMPUTED_VALUE"""),"Not Assigned")</f>
        <v>Not Assigned</v>
      </c>
      <c r="O326" s="14" t="str">
        <f>IFERROR(__xludf.DUMMYFUNCTION("split(J326,""*"")"),"Cancelled")</f>
        <v>Cancelled</v>
      </c>
      <c r="P326" s="14" t="str">
        <f>IFERROR(__xludf.DUMMYFUNCTION("""COMPUTED_VALUE"""),"Payment Issues")</f>
        <v>Payment Issues</v>
      </c>
      <c r="Q326" s="14" t="str">
        <f>IFERROR(__xludf.DUMMYFUNCTION("split(P326,"":"")"),"Payment Issues")</f>
        <v>Payment Issues</v>
      </c>
      <c r="R326" s="14"/>
      <c r="S326" s="14" t="str">
        <f t="shared" ref="S326:U326" si="655">trim(B326)</f>
        <v>ord_10317</v>
      </c>
      <c r="T326" s="14" t="str">
        <f t="shared" si="655"/>
        <v>Kritika Shetty</v>
      </c>
      <c r="U326" s="14" t="str">
        <f t="shared" si="655"/>
        <v>Malad</v>
      </c>
      <c r="V326" s="14" t="str">
        <f t="shared" si="4"/>
        <v>Tomato</v>
      </c>
      <c r="W326" s="14">
        <f t="shared" si="5"/>
        <v>1</v>
      </c>
      <c r="X326" s="14" t="str">
        <f t="shared" si="6"/>
        <v>Not Assigned</v>
      </c>
      <c r="Y326" s="15">
        <f t="shared" si="7"/>
        <v>45199</v>
      </c>
      <c r="Z326" s="14" t="str">
        <f t="shared" si="8"/>
        <v>Credit Card</v>
      </c>
      <c r="AA326" s="14" t="str">
        <f t="shared" si="9"/>
        <v>Cancelled</v>
      </c>
      <c r="AB326" s="14" t="str">
        <f t="shared" ref="AB326:AC326" si="656">trim(Q326)</f>
        <v>Payment Issues</v>
      </c>
      <c r="AC326" s="14" t="str">
        <f t="shared" si="656"/>
        <v/>
      </c>
      <c r="AD326" s="8"/>
    </row>
    <row r="327">
      <c r="A327" s="14" t="str">
        <f>IFERROR(__xludf.DUMMYFUNCTION("""COMPUTED_VALUE"""),"//ord_10318//Aarohi Kapoor//Bandra//Sweet Corn+1*Shine Thomas/4/2/2023//Credit Card//Delivered*Delivery Experience: Quick and professional")</f>
        <v>//ord_10318//Aarohi Kapoor//Bandra//Sweet Corn+1*Shine Thomas/4/2/2023//Credit Card//Delivered*Delivery Experience: Quick and professional</v>
      </c>
      <c r="B327" s="14" t="str">
        <f>IFERROR(__xludf.DUMMYFUNCTION("split(A327,""//"")"),"ord_10318")</f>
        <v>ord_10318</v>
      </c>
      <c r="C327" s="14" t="str">
        <f>IFERROR(__xludf.DUMMYFUNCTION("""COMPUTED_VALUE"""),"Aarohi Kapoor")</f>
        <v>Aarohi Kapoor</v>
      </c>
      <c r="D327" s="14" t="str">
        <f>IFERROR(__xludf.DUMMYFUNCTION("""COMPUTED_VALUE"""),"Bandra")</f>
        <v>Bandra</v>
      </c>
      <c r="E327" s="14" t="str">
        <f>IFERROR(__xludf.DUMMYFUNCTION("""COMPUTED_VALUE"""),"Sweet Corn+1*Shine Thomas")</f>
        <v>Sweet Corn+1*Shine Thomas</v>
      </c>
      <c r="F327" s="14">
        <f>IFERROR(__xludf.DUMMYFUNCTION("""COMPUTED_VALUE"""),4.0)</f>
        <v>4</v>
      </c>
      <c r="G327" s="14">
        <f>IFERROR(__xludf.DUMMYFUNCTION("""COMPUTED_VALUE"""),2.0)</f>
        <v>2</v>
      </c>
      <c r="H327" s="14">
        <f>IFERROR(__xludf.DUMMYFUNCTION("""COMPUTED_VALUE"""),2023.0)</f>
        <v>2023</v>
      </c>
      <c r="I327" s="14" t="str">
        <f>IFERROR(__xludf.DUMMYFUNCTION("""COMPUTED_VALUE"""),"Credit Card")</f>
        <v>Credit Card</v>
      </c>
      <c r="J327" s="14" t="str">
        <f>IFERROR(__xludf.DUMMYFUNCTION("""COMPUTED_VALUE"""),"Delivered*Delivery Experience: Quick and professional")</f>
        <v>Delivered*Delivery Experience: Quick and professional</v>
      </c>
      <c r="K327" s="14" t="str">
        <f>IFERROR(__xludf.DUMMYFUNCTION("split(E327,""+"")"),"Sweet Corn")</f>
        <v>Sweet Corn</v>
      </c>
      <c r="L327" s="14" t="str">
        <f>IFERROR(__xludf.DUMMYFUNCTION("""COMPUTED_VALUE"""),"1*Shine Thomas")</f>
        <v>1*Shine Thomas</v>
      </c>
      <c r="M327" s="14">
        <f>IFERROR(__xludf.DUMMYFUNCTION("SPLIT(L327,""*"")"),1.0)</f>
        <v>1</v>
      </c>
      <c r="N327" s="14" t="str">
        <f>IFERROR(__xludf.DUMMYFUNCTION("""COMPUTED_VALUE"""),"Shine Thomas")</f>
        <v>Shine Thomas</v>
      </c>
      <c r="O327" s="14" t="str">
        <f>IFERROR(__xludf.DUMMYFUNCTION("split(J327,""*"")"),"Delivered")</f>
        <v>Delivered</v>
      </c>
      <c r="P327" s="14" t="str">
        <f>IFERROR(__xludf.DUMMYFUNCTION("""COMPUTED_VALUE"""),"Delivery Experience: Quick and professional")</f>
        <v>Delivery Experience: Quick and professional</v>
      </c>
      <c r="Q327" s="14" t="str">
        <f>IFERROR(__xludf.DUMMYFUNCTION("split(P327,"":"")"),"Delivery Experience")</f>
        <v>Delivery Experience</v>
      </c>
      <c r="R327" s="14" t="str">
        <f>IFERROR(__xludf.DUMMYFUNCTION("""COMPUTED_VALUE""")," Quick and professional")</f>
        <v> Quick and professional</v>
      </c>
      <c r="S327" s="14" t="str">
        <f t="shared" ref="S327:U327" si="657">trim(B327)</f>
        <v>ord_10318</v>
      </c>
      <c r="T327" s="14" t="str">
        <f t="shared" si="657"/>
        <v>Aarohi Kapoor</v>
      </c>
      <c r="U327" s="14" t="str">
        <f t="shared" si="657"/>
        <v>Bandra</v>
      </c>
      <c r="V327" s="14" t="str">
        <f t="shared" si="4"/>
        <v>Sweet Corn</v>
      </c>
      <c r="W327" s="14">
        <f t="shared" si="5"/>
        <v>1</v>
      </c>
      <c r="X327" s="14" t="str">
        <f t="shared" si="6"/>
        <v>Shine Thomas</v>
      </c>
      <c r="Y327" s="15">
        <f t="shared" si="7"/>
        <v>45018</v>
      </c>
      <c r="Z327" s="14" t="str">
        <f t="shared" si="8"/>
        <v>Credit Card</v>
      </c>
      <c r="AA327" s="14" t="str">
        <f t="shared" si="9"/>
        <v>Delivered</v>
      </c>
      <c r="AB327" s="14" t="str">
        <f t="shared" ref="AB327:AC327" si="658">trim(Q327)</f>
        <v>Delivery Experience</v>
      </c>
      <c r="AC327" s="14" t="str">
        <f t="shared" si="658"/>
        <v>Quick and professional</v>
      </c>
      <c r="AD327" s="8"/>
    </row>
    <row r="328">
      <c r="A328" s="14" t="str">
        <f>IFERROR(__xludf.DUMMYFUNCTION("""COMPUTED_VALUE"""),"//ord_10319//Anaya Rao//Colaba//Orange+1*Vivek Kumar/10/9/2023//Online Payment//Delivered*Convenience: Easy tracking")</f>
        <v>//ord_10319//Anaya Rao//Colaba//Orange+1*Vivek Kumar/10/9/2023//Online Payment//Delivered*Convenience: Easy tracking</v>
      </c>
      <c r="B328" s="14" t="str">
        <f>IFERROR(__xludf.DUMMYFUNCTION("split(A328,""//"")"),"ord_10319")</f>
        <v>ord_10319</v>
      </c>
      <c r="C328" s="14" t="str">
        <f>IFERROR(__xludf.DUMMYFUNCTION("""COMPUTED_VALUE"""),"Anaya Rao")</f>
        <v>Anaya Rao</v>
      </c>
      <c r="D328" s="14" t="str">
        <f>IFERROR(__xludf.DUMMYFUNCTION("""COMPUTED_VALUE"""),"Colaba")</f>
        <v>Colaba</v>
      </c>
      <c r="E328" s="14" t="str">
        <f>IFERROR(__xludf.DUMMYFUNCTION("""COMPUTED_VALUE"""),"Orange+1*Vivek Kumar")</f>
        <v>Orange+1*Vivek Kumar</v>
      </c>
      <c r="F328" s="14">
        <f>IFERROR(__xludf.DUMMYFUNCTION("""COMPUTED_VALUE"""),10.0)</f>
        <v>10</v>
      </c>
      <c r="G328" s="14">
        <f>IFERROR(__xludf.DUMMYFUNCTION("""COMPUTED_VALUE"""),9.0)</f>
        <v>9</v>
      </c>
      <c r="H328" s="14">
        <f>IFERROR(__xludf.DUMMYFUNCTION("""COMPUTED_VALUE"""),2023.0)</f>
        <v>2023</v>
      </c>
      <c r="I328" s="14" t="str">
        <f>IFERROR(__xludf.DUMMYFUNCTION("""COMPUTED_VALUE"""),"Online Payment")</f>
        <v>Online Payment</v>
      </c>
      <c r="J328" s="14" t="str">
        <f>IFERROR(__xludf.DUMMYFUNCTION("""COMPUTED_VALUE"""),"Delivered*Convenience: Easy tracking")</f>
        <v>Delivered*Convenience: Easy tracking</v>
      </c>
      <c r="K328" s="14" t="str">
        <f>IFERROR(__xludf.DUMMYFUNCTION("split(E328,""+"")"),"Orange")</f>
        <v>Orange</v>
      </c>
      <c r="L328" s="14" t="str">
        <f>IFERROR(__xludf.DUMMYFUNCTION("""COMPUTED_VALUE"""),"1*Vivek Kumar")</f>
        <v>1*Vivek Kumar</v>
      </c>
      <c r="M328" s="14">
        <f>IFERROR(__xludf.DUMMYFUNCTION("SPLIT(L328,""*"")"),1.0)</f>
        <v>1</v>
      </c>
      <c r="N328" s="14" t="str">
        <f>IFERROR(__xludf.DUMMYFUNCTION("""COMPUTED_VALUE"""),"Vivek Kumar")</f>
        <v>Vivek Kumar</v>
      </c>
      <c r="O328" s="14" t="str">
        <f>IFERROR(__xludf.DUMMYFUNCTION("split(J328,""*"")"),"Delivered")</f>
        <v>Delivered</v>
      </c>
      <c r="P328" s="14" t="str">
        <f>IFERROR(__xludf.DUMMYFUNCTION("""COMPUTED_VALUE"""),"Convenience: Easy tracking")</f>
        <v>Convenience: Easy tracking</v>
      </c>
      <c r="Q328" s="14" t="str">
        <f>IFERROR(__xludf.DUMMYFUNCTION("split(P328,"":"")"),"Convenience")</f>
        <v>Convenience</v>
      </c>
      <c r="R328" s="14" t="str">
        <f>IFERROR(__xludf.DUMMYFUNCTION("""COMPUTED_VALUE""")," Easy tracking")</f>
        <v> Easy tracking</v>
      </c>
      <c r="S328" s="14" t="str">
        <f t="shared" ref="S328:U328" si="659">trim(B328)</f>
        <v>ord_10319</v>
      </c>
      <c r="T328" s="14" t="str">
        <f t="shared" si="659"/>
        <v>Anaya Rao</v>
      </c>
      <c r="U328" s="14" t="str">
        <f t="shared" si="659"/>
        <v>Colaba</v>
      </c>
      <c r="V328" s="14" t="str">
        <f t="shared" si="4"/>
        <v>Orange</v>
      </c>
      <c r="W328" s="14">
        <f t="shared" si="5"/>
        <v>1</v>
      </c>
      <c r="X328" s="14" t="str">
        <f t="shared" si="6"/>
        <v>Vivek Kumar</v>
      </c>
      <c r="Y328" s="15">
        <f t="shared" si="7"/>
        <v>45208</v>
      </c>
      <c r="Z328" s="14" t="str">
        <f t="shared" si="8"/>
        <v>Online Payment</v>
      </c>
      <c r="AA328" s="14" t="str">
        <f t="shared" si="9"/>
        <v>Delivered</v>
      </c>
      <c r="AB328" s="14" t="str">
        <f t="shared" ref="AB328:AC328" si="660">trim(Q328)</f>
        <v>Convenience</v>
      </c>
      <c r="AC328" s="14" t="str">
        <f t="shared" si="660"/>
        <v>Easy tracking</v>
      </c>
      <c r="AD328" s="8"/>
    </row>
    <row r="329">
      <c r="A329" s="14" t="str">
        <f>IFERROR(__xludf.DUMMYFUNCTION("""COMPUTED_VALUE"""),"//ord_10320//Aarohi Kapoor//Bandra//Icecream+1*Priya Joshi/12/28/2023//UPI//Delivered*Overall Satisfaction: Great service will order again")</f>
        <v>//ord_10320//Aarohi Kapoor//Bandra//Icecream+1*Priya Joshi/12/28/2023//UPI//Delivered*Overall Satisfaction: Great service will order again</v>
      </c>
      <c r="B329" s="14" t="str">
        <f>IFERROR(__xludf.DUMMYFUNCTION("split(A329,""//"")"),"ord_10320")</f>
        <v>ord_10320</v>
      </c>
      <c r="C329" s="14" t="str">
        <f>IFERROR(__xludf.DUMMYFUNCTION("""COMPUTED_VALUE"""),"Aarohi Kapoor")</f>
        <v>Aarohi Kapoor</v>
      </c>
      <c r="D329" s="14" t="str">
        <f>IFERROR(__xludf.DUMMYFUNCTION("""COMPUTED_VALUE"""),"Bandra")</f>
        <v>Bandra</v>
      </c>
      <c r="E329" s="14" t="str">
        <f>IFERROR(__xludf.DUMMYFUNCTION("""COMPUTED_VALUE"""),"Icecream+1*Priya Joshi")</f>
        <v>Icecream+1*Priya Joshi</v>
      </c>
      <c r="F329" s="14">
        <f>IFERROR(__xludf.DUMMYFUNCTION("""COMPUTED_VALUE"""),12.0)</f>
        <v>12</v>
      </c>
      <c r="G329" s="14">
        <f>IFERROR(__xludf.DUMMYFUNCTION("""COMPUTED_VALUE"""),28.0)</f>
        <v>28</v>
      </c>
      <c r="H329" s="14">
        <f>IFERROR(__xludf.DUMMYFUNCTION("""COMPUTED_VALUE"""),2023.0)</f>
        <v>2023</v>
      </c>
      <c r="I329" s="14" t="str">
        <f>IFERROR(__xludf.DUMMYFUNCTION("""COMPUTED_VALUE"""),"UPI")</f>
        <v>UPI</v>
      </c>
      <c r="J329" s="14" t="str">
        <f>IFERROR(__xludf.DUMMYFUNCTION("""COMPUTED_VALUE"""),"Delivered*Overall Satisfaction: Great service will order again")</f>
        <v>Delivered*Overall Satisfaction: Great service will order again</v>
      </c>
      <c r="K329" s="14" t="str">
        <f>IFERROR(__xludf.DUMMYFUNCTION("split(E329,""+"")"),"Icecream")</f>
        <v>Icecream</v>
      </c>
      <c r="L329" s="14" t="str">
        <f>IFERROR(__xludf.DUMMYFUNCTION("""COMPUTED_VALUE"""),"1*Priya Joshi")</f>
        <v>1*Priya Joshi</v>
      </c>
      <c r="M329" s="14">
        <f>IFERROR(__xludf.DUMMYFUNCTION("SPLIT(L329,""*"")"),1.0)</f>
        <v>1</v>
      </c>
      <c r="N329" s="14" t="str">
        <f>IFERROR(__xludf.DUMMYFUNCTION("""COMPUTED_VALUE"""),"Priya Joshi")</f>
        <v>Priya Joshi</v>
      </c>
      <c r="O329" s="14" t="str">
        <f>IFERROR(__xludf.DUMMYFUNCTION("split(J329,""*"")"),"Delivered")</f>
        <v>Delivered</v>
      </c>
      <c r="P329" s="14" t="str">
        <f>IFERROR(__xludf.DUMMYFUNCTION("""COMPUTED_VALUE"""),"Overall Satisfaction: Great service will order again")</f>
        <v>Overall Satisfaction: Great service will order again</v>
      </c>
      <c r="Q329" s="14" t="str">
        <f>IFERROR(__xludf.DUMMYFUNCTION("split(P329,"":"")"),"Overall Satisfaction")</f>
        <v>Overall Satisfaction</v>
      </c>
      <c r="R329" s="14" t="str">
        <f>IFERROR(__xludf.DUMMYFUNCTION("""COMPUTED_VALUE""")," Great service will order again")</f>
        <v> Great service will order again</v>
      </c>
      <c r="S329" s="14" t="str">
        <f t="shared" ref="S329:U329" si="661">trim(B329)</f>
        <v>ord_10320</v>
      </c>
      <c r="T329" s="14" t="str">
        <f t="shared" si="661"/>
        <v>Aarohi Kapoor</v>
      </c>
      <c r="U329" s="14" t="str">
        <f t="shared" si="661"/>
        <v>Bandra</v>
      </c>
      <c r="V329" s="14" t="str">
        <f t="shared" si="4"/>
        <v>Icecream</v>
      </c>
      <c r="W329" s="14">
        <f t="shared" si="5"/>
        <v>1</v>
      </c>
      <c r="X329" s="14" t="str">
        <f t="shared" si="6"/>
        <v>Priya Joshi</v>
      </c>
      <c r="Y329" s="15">
        <f t="shared" si="7"/>
        <v>45288</v>
      </c>
      <c r="Z329" s="14" t="str">
        <f t="shared" si="8"/>
        <v>UPI</v>
      </c>
      <c r="AA329" s="14" t="str">
        <f t="shared" si="9"/>
        <v>Delivered</v>
      </c>
      <c r="AB329" s="14" t="str">
        <f t="shared" ref="AB329:AC329" si="662">trim(Q329)</f>
        <v>Overall Satisfaction</v>
      </c>
      <c r="AC329" s="14" t="str">
        <f t="shared" si="662"/>
        <v>Great service will order again</v>
      </c>
      <c r="AD329" s="8"/>
    </row>
    <row r="330">
      <c r="A330" s="14" t="str">
        <f>IFERROR(__xludf.DUMMYFUNCTION("""COMPUTED_VALUE"""),"//ord_10321//Parth Goel//Juhu//Chocolate Mousse+4*Tanvi Jain/8/8/2023//Credit Card//Delivered*On-time Delivery: Delivered on time")</f>
        <v>//ord_10321//Parth Goel//Juhu//Chocolate Mousse+4*Tanvi Jain/8/8/2023//Credit Card//Delivered*On-time Delivery: Delivered on time</v>
      </c>
      <c r="B330" s="14" t="str">
        <f>IFERROR(__xludf.DUMMYFUNCTION("split(A330,""//"")"),"ord_10321")</f>
        <v>ord_10321</v>
      </c>
      <c r="C330" s="14" t="str">
        <f>IFERROR(__xludf.DUMMYFUNCTION("""COMPUTED_VALUE"""),"Parth Goel")</f>
        <v>Parth Goel</v>
      </c>
      <c r="D330" s="14" t="str">
        <f>IFERROR(__xludf.DUMMYFUNCTION("""COMPUTED_VALUE"""),"Juhu")</f>
        <v>Juhu</v>
      </c>
      <c r="E330" s="14" t="str">
        <f>IFERROR(__xludf.DUMMYFUNCTION("""COMPUTED_VALUE"""),"Chocolate Mousse+4*Tanvi Jain")</f>
        <v>Chocolate Mousse+4*Tanvi Jain</v>
      </c>
      <c r="F330" s="14">
        <f>IFERROR(__xludf.DUMMYFUNCTION("""COMPUTED_VALUE"""),8.0)</f>
        <v>8</v>
      </c>
      <c r="G330" s="14">
        <f>IFERROR(__xludf.DUMMYFUNCTION("""COMPUTED_VALUE"""),8.0)</f>
        <v>8</v>
      </c>
      <c r="H330" s="14">
        <f>IFERROR(__xludf.DUMMYFUNCTION("""COMPUTED_VALUE"""),2023.0)</f>
        <v>2023</v>
      </c>
      <c r="I330" s="14" t="str">
        <f>IFERROR(__xludf.DUMMYFUNCTION("""COMPUTED_VALUE"""),"Credit Card")</f>
        <v>Credit Card</v>
      </c>
      <c r="J330" s="14" t="str">
        <f>IFERROR(__xludf.DUMMYFUNCTION("""COMPUTED_VALUE"""),"Delivered*On-time Delivery: Delivered on time")</f>
        <v>Delivered*On-time Delivery: Delivered on time</v>
      </c>
      <c r="K330" s="14" t="str">
        <f>IFERROR(__xludf.DUMMYFUNCTION("split(E330,""+"")"),"Chocolate Mousse")</f>
        <v>Chocolate Mousse</v>
      </c>
      <c r="L330" s="14" t="str">
        <f>IFERROR(__xludf.DUMMYFUNCTION("""COMPUTED_VALUE"""),"4*Tanvi Jain")</f>
        <v>4*Tanvi Jain</v>
      </c>
      <c r="M330" s="14">
        <f>IFERROR(__xludf.DUMMYFUNCTION("SPLIT(L330,""*"")"),4.0)</f>
        <v>4</v>
      </c>
      <c r="N330" s="14" t="str">
        <f>IFERROR(__xludf.DUMMYFUNCTION("""COMPUTED_VALUE"""),"Tanvi Jain")</f>
        <v>Tanvi Jain</v>
      </c>
      <c r="O330" s="14" t="str">
        <f>IFERROR(__xludf.DUMMYFUNCTION("split(J330,""*"")"),"Delivered")</f>
        <v>Delivered</v>
      </c>
      <c r="P330" s="14" t="str">
        <f>IFERROR(__xludf.DUMMYFUNCTION("""COMPUTED_VALUE"""),"On-time Delivery: Delivered on time")</f>
        <v>On-time Delivery: Delivered on time</v>
      </c>
      <c r="Q330" s="14" t="str">
        <f>IFERROR(__xludf.DUMMYFUNCTION("split(P330,"":"")"),"On-time Delivery")</f>
        <v>On-time Delivery</v>
      </c>
      <c r="R330" s="14" t="str">
        <f>IFERROR(__xludf.DUMMYFUNCTION("""COMPUTED_VALUE""")," Delivered on time")</f>
        <v> Delivered on time</v>
      </c>
      <c r="S330" s="14" t="str">
        <f t="shared" ref="S330:U330" si="663">trim(B330)</f>
        <v>ord_10321</v>
      </c>
      <c r="T330" s="14" t="str">
        <f t="shared" si="663"/>
        <v>Parth Goel</v>
      </c>
      <c r="U330" s="14" t="str">
        <f t="shared" si="663"/>
        <v>Juhu</v>
      </c>
      <c r="V330" s="14" t="str">
        <f t="shared" si="4"/>
        <v>Chocolate Mousse</v>
      </c>
      <c r="W330" s="14">
        <f t="shared" si="5"/>
        <v>4</v>
      </c>
      <c r="X330" s="14" t="str">
        <f t="shared" si="6"/>
        <v>Tanvi Jain</v>
      </c>
      <c r="Y330" s="15">
        <f t="shared" si="7"/>
        <v>45146</v>
      </c>
      <c r="Z330" s="14" t="str">
        <f t="shared" si="8"/>
        <v>Credit Card</v>
      </c>
      <c r="AA330" s="14" t="str">
        <f t="shared" si="9"/>
        <v>Delivered</v>
      </c>
      <c r="AB330" s="14" t="str">
        <f t="shared" ref="AB330:AC330" si="664">trim(Q330)</f>
        <v>On-time Delivery</v>
      </c>
      <c r="AC330" s="14" t="str">
        <f t="shared" si="664"/>
        <v>Delivered on time</v>
      </c>
      <c r="AD330" s="8"/>
    </row>
    <row r="331">
      <c r="A331" s="14" t="str">
        <f>IFERROR(__xludf.DUMMYFUNCTION("""COMPUTED_VALUE"""),"//ord_10322//Dev Chauhan//Bandra//Apple+2*Priya Joshi/12/17/2023//Online Payment//Delivered*Quality of Items: Perfect condition")</f>
        <v>//ord_10322//Dev Chauhan//Bandra//Apple+2*Priya Joshi/12/17/2023//Online Payment//Delivered*Quality of Items: Perfect condition</v>
      </c>
      <c r="B331" s="14" t="str">
        <f>IFERROR(__xludf.DUMMYFUNCTION("split(A331,""//"")"),"ord_10322")</f>
        <v>ord_10322</v>
      </c>
      <c r="C331" s="14" t="str">
        <f>IFERROR(__xludf.DUMMYFUNCTION("""COMPUTED_VALUE"""),"Dev Chauhan")</f>
        <v>Dev Chauhan</v>
      </c>
      <c r="D331" s="14" t="str">
        <f>IFERROR(__xludf.DUMMYFUNCTION("""COMPUTED_VALUE"""),"Bandra")</f>
        <v>Bandra</v>
      </c>
      <c r="E331" s="14" t="str">
        <f>IFERROR(__xludf.DUMMYFUNCTION("""COMPUTED_VALUE"""),"Apple+2*Priya Joshi")</f>
        <v>Apple+2*Priya Joshi</v>
      </c>
      <c r="F331" s="14">
        <f>IFERROR(__xludf.DUMMYFUNCTION("""COMPUTED_VALUE"""),12.0)</f>
        <v>12</v>
      </c>
      <c r="G331" s="14">
        <f>IFERROR(__xludf.DUMMYFUNCTION("""COMPUTED_VALUE"""),17.0)</f>
        <v>17</v>
      </c>
      <c r="H331" s="14">
        <f>IFERROR(__xludf.DUMMYFUNCTION("""COMPUTED_VALUE"""),2023.0)</f>
        <v>2023</v>
      </c>
      <c r="I331" s="14" t="str">
        <f>IFERROR(__xludf.DUMMYFUNCTION("""COMPUTED_VALUE"""),"Online Payment")</f>
        <v>Online Payment</v>
      </c>
      <c r="J331" s="14" t="str">
        <f>IFERROR(__xludf.DUMMYFUNCTION("""COMPUTED_VALUE"""),"Delivered*Quality of Items: Perfect condition")</f>
        <v>Delivered*Quality of Items: Perfect condition</v>
      </c>
      <c r="K331" s="14" t="str">
        <f>IFERROR(__xludf.DUMMYFUNCTION("split(E331,""+"")"),"Apple")</f>
        <v>Apple</v>
      </c>
      <c r="L331" s="14" t="str">
        <f>IFERROR(__xludf.DUMMYFUNCTION("""COMPUTED_VALUE"""),"2*Priya Joshi")</f>
        <v>2*Priya Joshi</v>
      </c>
      <c r="M331" s="14">
        <f>IFERROR(__xludf.DUMMYFUNCTION("SPLIT(L331,""*"")"),2.0)</f>
        <v>2</v>
      </c>
      <c r="N331" s="14" t="str">
        <f>IFERROR(__xludf.DUMMYFUNCTION("""COMPUTED_VALUE"""),"Priya Joshi")</f>
        <v>Priya Joshi</v>
      </c>
      <c r="O331" s="14" t="str">
        <f>IFERROR(__xludf.DUMMYFUNCTION("split(J331,""*"")"),"Delivered")</f>
        <v>Delivered</v>
      </c>
      <c r="P331" s="14" t="str">
        <f>IFERROR(__xludf.DUMMYFUNCTION("""COMPUTED_VALUE"""),"Quality of Items: Perfect condition")</f>
        <v>Quality of Items: Perfect condition</v>
      </c>
      <c r="Q331" s="14" t="str">
        <f>IFERROR(__xludf.DUMMYFUNCTION("split(P331,"":"")"),"Quality of Items")</f>
        <v>Quality of Items</v>
      </c>
      <c r="R331" s="14" t="str">
        <f>IFERROR(__xludf.DUMMYFUNCTION("""COMPUTED_VALUE""")," Perfect condition")</f>
        <v> Perfect condition</v>
      </c>
      <c r="S331" s="14" t="str">
        <f t="shared" ref="S331:U331" si="665">trim(B331)</f>
        <v>ord_10322</v>
      </c>
      <c r="T331" s="14" t="str">
        <f t="shared" si="665"/>
        <v>Dev Chauhan</v>
      </c>
      <c r="U331" s="14" t="str">
        <f t="shared" si="665"/>
        <v>Bandra</v>
      </c>
      <c r="V331" s="14" t="str">
        <f t="shared" si="4"/>
        <v>Apple</v>
      </c>
      <c r="W331" s="14">
        <f t="shared" si="5"/>
        <v>2</v>
      </c>
      <c r="X331" s="14" t="str">
        <f t="shared" si="6"/>
        <v>Priya Joshi</v>
      </c>
      <c r="Y331" s="15">
        <f t="shared" si="7"/>
        <v>45277</v>
      </c>
      <c r="Z331" s="14" t="str">
        <f t="shared" si="8"/>
        <v>Online Payment</v>
      </c>
      <c r="AA331" s="14" t="str">
        <f t="shared" si="9"/>
        <v>Delivered</v>
      </c>
      <c r="AB331" s="14" t="str">
        <f t="shared" ref="AB331:AC331" si="666">trim(Q331)</f>
        <v>Quality of Items</v>
      </c>
      <c r="AC331" s="14" t="str">
        <f t="shared" si="666"/>
        <v>Perfect condition</v>
      </c>
      <c r="AD331" s="8"/>
    </row>
    <row r="332">
      <c r="A332" s="14" t="str">
        <f>IFERROR(__xludf.DUMMYFUNCTION("""COMPUTED_VALUE"""),"//ord_10323//Kritika Shetty//Malad//Rasmalai+3*Vivek Kumar/4/2/2023//COD//Delivered*On-time Delivery: Delivered on time")</f>
        <v>//ord_10323//Kritika Shetty//Malad//Rasmalai+3*Vivek Kumar/4/2/2023//COD//Delivered*On-time Delivery: Delivered on time</v>
      </c>
      <c r="B332" s="14" t="str">
        <f>IFERROR(__xludf.DUMMYFUNCTION("split(A332,""//"")"),"ord_10323")</f>
        <v>ord_10323</v>
      </c>
      <c r="C332" s="14" t="str">
        <f>IFERROR(__xludf.DUMMYFUNCTION("""COMPUTED_VALUE"""),"Kritika Shetty")</f>
        <v>Kritika Shetty</v>
      </c>
      <c r="D332" s="14" t="str">
        <f>IFERROR(__xludf.DUMMYFUNCTION("""COMPUTED_VALUE"""),"Malad")</f>
        <v>Malad</v>
      </c>
      <c r="E332" s="14" t="str">
        <f>IFERROR(__xludf.DUMMYFUNCTION("""COMPUTED_VALUE"""),"Rasmalai+3*Vivek Kumar")</f>
        <v>Rasmalai+3*Vivek Kumar</v>
      </c>
      <c r="F332" s="14">
        <f>IFERROR(__xludf.DUMMYFUNCTION("""COMPUTED_VALUE"""),4.0)</f>
        <v>4</v>
      </c>
      <c r="G332" s="14">
        <f>IFERROR(__xludf.DUMMYFUNCTION("""COMPUTED_VALUE"""),2.0)</f>
        <v>2</v>
      </c>
      <c r="H332" s="14">
        <f>IFERROR(__xludf.DUMMYFUNCTION("""COMPUTED_VALUE"""),2023.0)</f>
        <v>2023</v>
      </c>
      <c r="I332" s="14" t="str">
        <f>IFERROR(__xludf.DUMMYFUNCTION("""COMPUTED_VALUE"""),"COD")</f>
        <v>COD</v>
      </c>
      <c r="J332" s="14" t="str">
        <f>IFERROR(__xludf.DUMMYFUNCTION("""COMPUTED_VALUE"""),"Delivered*On-time Delivery: Delivered on time")</f>
        <v>Delivered*On-time Delivery: Delivered on time</v>
      </c>
      <c r="K332" s="14" t="str">
        <f>IFERROR(__xludf.DUMMYFUNCTION("split(E332,""+"")"),"Rasmalai")</f>
        <v>Rasmalai</v>
      </c>
      <c r="L332" s="14" t="str">
        <f>IFERROR(__xludf.DUMMYFUNCTION("""COMPUTED_VALUE"""),"3*Vivek Kumar")</f>
        <v>3*Vivek Kumar</v>
      </c>
      <c r="M332" s="14">
        <f>IFERROR(__xludf.DUMMYFUNCTION("SPLIT(L332,""*"")"),3.0)</f>
        <v>3</v>
      </c>
      <c r="N332" s="14" t="str">
        <f>IFERROR(__xludf.DUMMYFUNCTION("""COMPUTED_VALUE"""),"Vivek Kumar")</f>
        <v>Vivek Kumar</v>
      </c>
      <c r="O332" s="14" t="str">
        <f>IFERROR(__xludf.DUMMYFUNCTION("split(J332,""*"")"),"Delivered")</f>
        <v>Delivered</v>
      </c>
      <c r="P332" s="14" t="str">
        <f>IFERROR(__xludf.DUMMYFUNCTION("""COMPUTED_VALUE"""),"On-time Delivery: Delivered on time")</f>
        <v>On-time Delivery: Delivered on time</v>
      </c>
      <c r="Q332" s="14" t="str">
        <f>IFERROR(__xludf.DUMMYFUNCTION("split(P332,"":"")"),"On-time Delivery")</f>
        <v>On-time Delivery</v>
      </c>
      <c r="R332" s="14" t="str">
        <f>IFERROR(__xludf.DUMMYFUNCTION("""COMPUTED_VALUE""")," Delivered on time")</f>
        <v> Delivered on time</v>
      </c>
      <c r="S332" s="14" t="str">
        <f t="shared" ref="S332:U332" si="667">trim(B332)</f>
        <v>ord_10323</v>
      </c>
      <c r="T332" s="14" t="str">
        <f t="shared" si="667"/>
        <v>Kritika Shetty</v>
      </c>
      <c r="U332" s="14" t="str">
        <f t="shared" si="667"/>
        <v>Malad</v>
      </c>
      <c r="V332" s="14" t="str">
        <f t="shared" si="4"/>
        <v>Rasmalai</v>
      </c>
      <c r="W332" s="14">
        <f t="shared" si="5"/>
        <v>3</v>
      </c>
      <c r="X332" s="14" t="str">
        <f t="shared" si="6"/>
        <v>Vivek Kumar</v>
      </c>
      <c r="Y332" s="15">
        <f t="shared" si="7"/>
        <v>45018</v>
      </c>
      <c r="Z332" s="14" t="str">
        <f t="shared" si="8"/>
        <v>COD</v>
      </c>
      <c r="AA332" s="14" t="str">
        <f t="shared" si="9"/>
        <v>Delivered</v>
      </c>
      <c r="AB332" s="14" t="str">
        <f t="shared" ref="AB332:AC332" si="668">trim(Q332)</f>
        <v>On-time Delivery</v>
      </c>
      <c r="AC332" s="14" t="str">
        <f t="shared" si="668"/>
        <v>Delivered on time</v>
      </c>
      <c r="AD332" s="8"/>
    </row>
    <row r="333">
      <c r="A333" s="14" t="str">
        <f>IFERROR(__xludf.DUMMYFUNCTION("""COMPUTED_VALUE"""),"//ord_10324//Mohit Malhotra//Lower Parel//Cold Coffee+2*Not Assigned/7/1/2023//UPI//Cancelled*Payment Issues")</f>
        <v>//ord_10324//Mohit Malhotra//Lower Parel//Cold Coffee+2*Not Assigned/7/1/2023//UPI//Cancelled*Payment Issues</v>
      </c>
      <c r="B333" s="14" t="str">
        <f>IFERROR(__xludf.DUMMYFUNCTION("split(A333,""//"")"),"ord_10324")</f>
        <v>ord_10324</v>
      </c>
      <c r="C333" s="14" t="str">
        <f>IFERROR(__xludf.DUMMYFUNCTION("""COMPUTED_VALUE"""),"Mohit Malhotra")</f>
        <v>Mohit Malhotra</v>
      </c>
      <c r="D333" s="14" t="str">
        <f>IFERROR(__xludf.DUMMYFUNCTION("""COMPUTED_VALUE"""),"Lower Parel")</f>
        <v>Lower Parel</v>
      </c>
      <c r="E333" s="14" t="str">
        <f>IFERROR(__xludf.DUMMYFUNCTION("""COMPUTED_VALUE"""),"Cold Coffee+2*Not Assigned")</f>
        <v>Cold Coffee+2*Not Assigned</v>
      </c>
      <c r="F333" s="14">
        <f>IFERROR(__xludf.DUMMYFUNCTION("""COMPUTED_VALUE"""),7.0)</f>
        <v>7</v>
      </c>
      <c r="G333" s="14">
        <f>IFERROR(__xludf.DUMMYFUNCTION("""COMPUTED_VALUE"""),1.0)</f>
        <v>1</v>
      </c>
      <c r="H333" s="14">
        <f>IFERROR(__xludf.DUMMYFUNCTION("""COMPUTED_VALUE"""),2023.0)</f>
        <v>2023</v>
      </c>
      <c r="I333" s="14" t="str">
        <f>IFERROR(__xludf.DUMMYFUNCTION("""COMPUTED_VALUE"""),"UPI")</f>
        <v>UPI</v>
      </c>
      <c r="J333" s="14" t="str">
        <f>IFERROR(__xludf.DUMMYFUNCTION("""COMPUTED_VALUE"""),"Cancelled*Payment Issues")</f>
        <v>Cancelled*Payment Issues</v>
      </c>
      <c r="K333" s="14" t="str">
        <f>IFERROR(__xludf.DUMMYFUNCTION("split(E333,""+"")"),"Cold Coffee")</f>
        <v>Cold Coffee</v>
      </c>
      <c r="L333" s="14" t="str">
        <f>IFERROR(__xludf.DUMMYFUNCTION("""COMPUTED_VALUE"""),"2*Not Assigned")</f>
        <v>2*Not Assigned</v>
      </c>
      <c r="M333" s="14">
        <f>IFERROR(__xludf.DUMMYFUNCTION("SPLIT(L333,""*"")"),2.0)</f>
        <v>2</v>
      </c>
      <c r="N333" s="14" t="str">
        <f>IFERROR(__xludf.DUMMYFUNCTION("""COMPUTED_VALUE"""),"Not Assigned")</f>
        <v>Not Assigned</v>
      </c>
      <c r="O333" s="14" t="str">
        <f>IFERROR(__xludf.DUMMYFUNCTION("split(J333,""*"")"),"Cancelled")</f>
        <v>Cancelled</v>
      </c>
      <c r="P333" s="14" t="str">
        <f>IFERROR(__xludf.DUMMYFUNCTION("""COMPUTED_VALUE"""),"Payment Issues")</f>
        <v>Payment Issues</v>
      </c>
      <c r="Q333" s="14" t="str">
        <f>IFERROR(__xludf.DUMMYFUNCTION("split(P333,"":"")"),"Payment Issues")</f>
        <v>Payment Issues</v>
      </c>
      <c r="R333" s="14"/>
      <c r="S333" s="14" t="str">
        <f t="shared" ref="S333:U333" si="669">trim(B333)</f>
        <v>ord_10324</v>
      </c>
      <c r="T333" s="14" t="str">
        <f t="shared" si="669"/>
        <v>Mohit Malhotra</v>
      </c>
      <c r="U333" s="14" t="str">
        <f t="shared" si="669"/>
        <v>Lower Parel</v>
      </c>
      <c r="V333" s="14" t="str">
        <f t="shared" si="4"/>
        <v>Cold Coffee</v>
      </c>
      <c r="W333" s="14">
        <f t="shared" si="5"/>
        <v>2</v>
      </c>
      <c r="X333" s="14" t="str">
        <f t="shared" si="6"/>
        <v>Not Assigned</v>
      </c>
      <c r="Y333" s="15">
        <f t="shared" si="7"/>
        <v>45108</v>
      </c>
      <c r="Z333" s="14" t="str">
        <f t="shared" si="8"/>
        <v>UPI</v>
      </c>
      <c r="AA333" s="14" t="str">
        <f t="shared" si="9"/>
        <v>Cancelled</v>
      </c>
      <c r="AB333" s="14" t="str">
        <f t="shared" ref="AB333:AC333" si="670">trim(Q333)</f>
        <v>Payment Issues</v>
      </c>
      <c r="AC333" s="14" t="str">
        <f t="shared" si="670"/>
        <v/>
      </c>
      <c r="AD333" s="8"/>
    </row>
    <row r="334">
      <c r="A334" s="14" t="str">
        <f>IFERROR(__xludf.DUMMYFUNCTION("""COMPUTED_VALUE"""),"//ord_10325//Aditi Iyer//Dadar//Banana+2*Not Assigned/4/17/2023//UPI//Cancelled*Payment Issues")</f>
        <v>//ord_10325//Aditi Iyer//Dadar//Banana+2*Not Assigned/4/17/2023//UPI//Cancelled*Payment Issues</v>
      </c>
      <c r="B334" s="14" t="str">
        <f>IFERROR(__xludf.DUMMYFUNCTION("split(A334,""//"")"),"ord_10325")</f>
        <v>ord_10325</v>
      </c>
      <c r="C334" s="14" t="str">
        <f>IFERROR(__xludf.DUMMYFUNCTION("""COMPUTED_VALUE"""),"Aditi Iyer")</f>
        <v>Aditi Iyer</v>
      </c>
      <c r="D334" s="14" t="str">
        <f>IFERROR(__xludf.DUMMYFUNCTION("""COMPUTED_VALUE"""),"Dadar")</f>
        <v>Dadar</v>
      </c>
      <c r="E334" s="14" t="str">
        <f>IFERROR(__xludf.DUMMYFUNCTION("""COMPUTED_VALUE"""),"Banana+2*Not Assigned")</f>
        <v>Banana+2*Not Assigned</v>
      </c>
      <c r="F334" s="14">
        <f>IFERROR(__xludf.DUMMYFUNCTION("""COMPUTED_VALUE"""),4.0)</f>
        <v>4</v>
      </c>
      <c r="G334" s="14">
        <f>IFERROR(__xludf.DUMMYFUNCTION("""COMPUTED_VALUE"""),17.0)</f>
        <v>17</v>
      </c>
      <c r="H334" s="14">
        <f>IFERROR(__xludf.DUMMYFUNCTION("""COMPUTED_VALUE"""),2023.0)</f>
        <v>2023</v>
      </c>
      <c r="I334" s="14" t="str">
        <f>IFERROR(__xludf.DUMMYFUNCTION("""COMPUTED_VALUE"""),"UPI")</f>
        <v>UPI</v>
      </c>
      <c r="J334" s="14" t="str">
        <f>IFERROR(__xludf.DUMMYFUNCTION("""COMPUTED_VALUE"""),"Cancelled*Payment Issues")</f>
        <v>Cancelled*Payment Issues</v>
      </c>
      <c r="K334" s="14" t="str">
        <f>IFERROR(__xludf.DUMMYFUNCTION("split(E334,""+"")"),"Banana")</f>
        <v>Banana</v>
      </c>
      <c r="L334" s="14" t="str">
        <f>IFERROR(__xludf.DUMMYFUNCTION("""COMPUTED_VALUE"""),"2*Not Assigned")</f>
        <v>2*Not Assigned</v>
      </c>
      <c r="M334" s="14">
        <f>IFERROR(__xludf.DUMMYFUNCTION("SPLIT(L334,""*"")"),2.0)</f>
        <v>2</v>
      </c>
      <c r="N334" s="14" t="str">
        <f>IFERROR(__xludf.DUMMYFUNCTION("""COMPUTED_VALUE"""),"Not Assigned")</f>
        <v>Not Assigned</v>
      </c>
      <c r="O334" s="14" t="str">
        <f>IFERROR(__xludf.DUMMYFUNCTION("split(J334,""*"")"),"Cancelled")</f>
        <v>Cancelled</v>
      </c>
      <c r="P334" s="14" t="str">
        <f>IFERROR(__xludf.DUMMYFUNCTION("""COMPUTED_VALUE"""),"Payment Issues")</f>
        <v>Payment Issues</v>
      </c>
      <c r="Q334" s="14" t="str">
        <f>IFERROR(__xludf.DUMMYFUNCTION("split(P334,"":"")"),"Payment Issues")</f>
        <v>Payment Issues</v>
      </c>
      <c r="R334" s="14"/>
      <c r="S334" s="14" t="str">
        <f t="shared" ref="S334:U334" si="671">trim(B334)</f>
        <v>ord_10325</v>
      </c>
      <c r="T334" s="14" t="str">
        <f t="shared" si="671"/>
        <v>Aditi Iyer</v>
      </c>
      <c r="U334" s="14" t="str">
        <f t="shared" si="671"/>
        <v>Dadar</v>
      </c>
      <c r="V334" s="14" t="str">
        <f t="shared" si="4"/>
        <v>Banana</v>
      </c>
      <c r="W334" s="14">
        <f t="shared" si="5"/>
        <v>2</v>
      </c>
      <c r="X334" s="14" t="str">
        <f t="shared" si="6"/>
        <v>Not Assigned</v>
      </c>
      <c r="Y334" s="15">
        <f t="shared" si="7"/>
        <v>45033</v>
      </c>
      <c r="Z334" s="14" t="str">
        <f t="shared" si="8"/>
        <v>UPI</v>
      </c>
      <c r="AA334" s="14" t="str">
        <f t="shared" si="9"/>
        <v>Cancelled</v>
      </c>
      <c r="AB334" s="14" t="str">
        <f t="shared" ref="AB334:AC334" si="672">trim(Q334)</f>
        <v>Payment Issues</v>
      </c>
      <c r="AC334" s="14" t="str">
        <f t="shared" si="672"/>
        <v/>
      </c>
      <c r="AD334" s="8"/>
    </row>
    <row r="335">
      <c r="A335" s="14" t="str">
        <f>IFERROR(__xludf.DUMMYFUNCTION("""COMPUTED_VALUE"""),"//ord_10326//Anaya Rao//Malad//Banana+1*Neha Shah/7/21/2023//Online Payment//Delivered*Quality of Items: Perfect condition")</f>
        <v>//ord_10326//Anaya Rao//Malad//Banana+1*Neha Shah/7/21/2023//Online Payment//Delivered*Quality of Items: Perfect condition</v>
      </c>
      <c r="B335" s="14" t="str">
        <f>IFERROR(__xludf.DUMMYFUNCTION("split(A335,""//"")"),"ord_10326")</f>
        <v>ord_10326</v>
      </c>
      <c r="C335" s="14" t="str">
        <f>IFERROR(__xludf.DUMMYFUNCTION("""COMPUTED_VALUE"""),"Anaya Rao")</f>
        <v>Anaya Rao</v>
      </c>
      <c r="D335" s="14" t="str">
        <f>IFERROR(__xludf.DUMMYFUNCTION("""COMPUTED_VALUE"""),"Malad")</f>
        <v>Malad</v>
      </c>
      <c r="E335" s="14" t="str">
        <f>IFERROR(__xludf.DUMMYFUNCTION("""COMPUTED_VALUE"""),"Banana+1*Neha Shah")</f>
        <v>Banana+1*Neha Shah</v>
      </c>
      <c r="F335" s="14">
        <f>IFERROR(__xludf.DUMMYFUNCTION("""COMPUTED_VALUE"""),7.0)</f>
        <v>7</v>
      </c>
      <c r="G335" s="14">
        <f>IFERROR(__xludf.DUMMYFUNCTION("""COMPUTED_VALUE"""),21.0)</f>
        <v>21</v>
      </c>
      <c r="H335" s="14">
        <f>IFERROR(__xludf.DUMMYFUNCTION("""COMPUTED_VALUE"""),2023.0)</f>
        <v>2023</v>
      </c>
      <c r="I335" s="14" t="str">
        <f>IFERROR(__xludf.DUMMYFUNCTION("""COMPUTED_VALUE"""),"Online Payment")</f>
        <v>Online Payment</v>
      </c>
      <c r="J335" s="14" t="str">
        <f>IFERROR(__xludf.DUMMYFUNCTION("""COMPUTED_VALUE"""),"Delivered*Quality of Items: Perfect condition")</f>
        <v>Delivered*Quality of Items: Perfect condition</v>
      </c>
      <c r="K335" s="14" t="str">
        <f>IFERROR(__xludf.DUMMYFUNCTION("split(E335,""+"")"),"Banana")</f>
        <v>Banana</v>
      </c>
      <c r="L335" s="14" t="str">
        <f>IFERROR(__xludf.DUMMYFUNCTION("""COMPUTED_VALUE"""),"1*Neha Shah")</f>
        <v>1*Neha Shah</v>
      </c>
      <c r="M335" s="14">
        <f>IFERROR(__xludf.DUMMYFUNCTION("SPLIT(L335,""*"")"),1.0)</f>
        <v>1</v>
      </c>
      <c r="N335" s="14" t="str">
        <f>IFERROR(__xludf.DUMMYFUNCTION("""COMPUTED_VALUE"""),"Neha Shah")</f>
        <v>Neha Shah</v>
      </c>
      <c r="O335" s="14" t="str">
        <f>IFERROR(__xludf.DUMMYFUNCTION("split(J335,""*"")"),"Delivered")</f>
        <v>Delivered</v>
      </c>
      <c r="P335" s="14" t="str">
        <f>IFERROR(__xludf.DUMMYFUNCTION("""COMPUTED_VALUE"""),"Quality of Items: Perfect condition")</f>
        <v>Quality of Items: Perfect condition</v>
      </c>
      <c r="Q335" s="14" t="str">
        <f>IFERROR(__xludf.DUMMYFUNCTION("split(P335,"":"")"),"Quality of Items")</f>
        <v>Quality of Items</v>
      </c>
      <c r="R335" s="14" t="str">
        <f>IFERROR(__xludf.DUMMYFUNCTION("""COMPUTED_VALUE""")," Perfect condition")</f>
        <v> Perfect condition</v>
      </c>
      <c r="S335" s="14" t="str">
        <f t="shared" ref="S335:U335" si="673">trim(B335)</f>
        <v>ord_10326</v>
      </c>
      <c r="T335" s="14" t="str">
        <f t="shared" si="673"/>
        <v>Anaya Rao</v>
      </c>
      <c r="U335" s="14" t="str">
        <f t="shared" si="673"/>
        <v>Malad</v>
      </c>
      <c r="V335" s="14" t="str">
        <f t="shared" si="4"/>
        <v>Banana</v>
      </c>
      <c r="W335" s="14">
        <f t="shared" si="5"/>
        <v>1</v>
      </c>
      <c r="X335" s="14" t="str">
        <f t="shared" si="6"/>
        <v>Neha Shah</v>
      </c>
      <c r="Y335" s="15">
        <f t="shared" si="7"/>
        <v>45128</v>
      </c>
      <c r="Z335" s="14" t="str">
        <f t="shared" si="8"/>
        <v>Online Payment</v>
      </c>
      <c r="AA335" s="14" t="str">
        <f t="shared" si="9"/>
        <v>Delivered</v>
      </c>
      <c r="AB335" s="14" t="str">
        <f t="shared" ref="AB335:AC335" si="674">trim(Q335)</f>
        <v>Quality of Items</v>
      </c>
      <c r="AC335" s="14" t="str">
        <f t="shared" si="674"/>
        <v>Perfect condition</v>
      </c>
      <c r="AD335" s="8"/>
    </row>
    <row r="336">
      <c r="A336" s="14" t="str">
        <f>IFERROR(__xludf.DUMMYFUNCTION("""COMPUTED_VALUE"""),"//ord_10327//Arvind Kulkarni//Juhu//Chicken Puff+2*Tanvi Jain/6/4/2023//Online Payment//Delivered*Packaging: Secure and intact")</f>
        <v>//ord_10327//Arvind Kulkarni//Juhu//Chicken Puff+2*Tanvi Jain/6/4/2023//Online Payment//Delivered*Packaging: Secure and intact</v>
      </c>
      <c r="B336" s="14" t="str">
        <f>IFERROR(__xludf.DUMMYFUNCTION("split(A336,""//"")"),"ord_10327")</f>
        <v>ord_10327</v>
      </c>
      <c r="C336" s="14" t="str">
        <f>IFERROR(__xludf.DUMMYFUNCTION("""COMPUTED_VALUE"""),"Arvind Kulkarni")</f>
        <v>Arvind Kulkarni</v>
      </c>
      <c r="D336" s="14" t="str">
        <f>IFERROR(__xludf.DUMMYFUNCTION("""COMPUTED_VALUE"""),"Juhu")</f>
        <v>Juhu</v>
      </c>
      <c r="E336" s="14" t="str">
        <f>IFERROR(__xludf.DUMMYFUNCTION("""COMPUTED_VALUE"""),"Chicken Puff+2*Tanvi Jain")</f>
        <v>Chicken Puff+2*Tanvi Jain</v>
      </c>
      <c r="F336" s="14">
        <f>IFERROR(__xludf.DUMMYFUNCTION("""COMPUTED_VALUE"""),6.0)</f>
        <v>6</v>
      </c>
      <c r="G336" s="14">
        <f>IFERROR(__xludf.DUMMYFUNCTION("""COMPUTED_VALUE"""),4.0)</f>
        <v>4</v>
      </c>
      <c r="H336" s="14">
        <f>IFERROR(__xludf.DUMMYFUNCTION("""COMPUTED_VALUE"""),2023.0)</f>
        <v>2023</v>
      </c>
      <c r="I336" s="14" t="str">
        <f>IFERROR(__xludf.DUMMYFUNCTION("""COMPUTED_VALUE"""),"Online Payment")</f>
        <v>Online Payment</v>
      </c>
      <c r="J336" s="14" t="str">
        <f>IFERROR(__xludf.DUMMYFUNCTION("""COMPUTED_VALUE"""),"Delivered*Packaging: Secure and intact")</f>
        <v>Delivered*Packaging: Secure and intact</v>
      </c>
      <c r="K336" s="14" t="str">
        <f>IFERROR(__xludf.DUMMYFUNCTION("split(E336,""+"")"),"Chicken Puff")</f>
        <v>Chicken Puff</v>
      </c>
      <c r="L336" s="14" t="str">
        <f>IFERROR(__xludf.DUMMYFUNCTION("""COMPUTED_VALUE"""),"2*Tanvi Jain")</f>
        <v>2*Tanvi Jain</v>
      </c>
      <c r="M336" s="14">
        <f>IFERROR(__xludf.DUMMYFUNCTION("SPLIT(L336,""*"")"),2.0)</f>
        <v>2</v>
      </c>
      <c r="N336" s="14" t="str">
        <f>IFERROR(__xludf.DUMMYFUNCTION("""COMPUTED_VALUE"""),"Tanvi Jain")</f>
        <v>Tanvi Jain</v>
      </c>
      <c r="O336" s="14" t="str">
        <f>IFERROR(__xludf.DUMMYFUNCTION("split(J336,""*"")"),"Delivered")</f>
        <v>Delivered</v>
      </c>
      <c r="P336" s="14" t="str">
        <f>IFERROR(__xludf.DUMMYFUNCTION("""COMPUTED_VALUE"""),"Packaging: Secure and intact")</f>
        <v>Packaging: Secure and intact</v>
      </c>
      <c r="Q336" s="14" t="str">
        <f>IFERROR(__xludf.DUMMYFUNCTION("split(P336,"":"")"),"Packaging")</f>
        <v>Packaging</v>
      </c>
      <c r="R336" s="14" t="str">
        <f>IFERROR(__xludf.DUMMYFUNCTION("""COMPUTED_VALUE""")," Secure and intact")</f>
        <v> Secure and intact</v>
      </c>
      <c r="S336" s="14" t="str">
        <f t="shared" ref="S336:U336" si="675">trim(B336)</f>
        <v>ord_10327</v>
      </c>
      <c r="T336" s="14" t="str">
        <f t="shared" si="675"/>
        <v>Arvind Kulkarni</v>
      </c>
      <c r="U336" s="14" t="str">
        <f t="shared" si="675"/>
        <v>Juhu</v>
      </c>
      <c r="V336" s="14" t="str">
        <f t="shared" si="4"/>
        <v>Chicken Puff</v>
      </c>
      <c r="W336" s="14">
        <f t="shared" si="5"/>
        <v>2</v>
      </c>
      <c r="X336" s="14" t="str">
        <f t="shared" si="6"/>
        <v>Tanvi Jain</v>
      </c>
      <c r="Y336" s="15">
        <f t="shared" si="7"/>
        <v>45081</v>
      </c>
      <c r="Z336" s="14" t="str">
        <f t="shared" si="8"/>
        <v>Online Payment</v>
      </c>
      <c r="AA336" s="14" t="str">
        <f t="shared" si="9"/>
        <v>Delivered</v>
      </c>
      <c r="AB336" s="14" t="str">
        <f t="shared" ref="AB336:AC336" si="676">trim(Q336)</f>
        <v>Packaging</v>
      </c>
      <c r="AC336" s="14" t="str">
        <f t="shared" si="676"/>
        <v>Secure and intact</v>
      </c>
      <c r="AD336" s="8"/>
    </row>
    <row r="337">
      <c r="A337" s="14" t="str">
        <f>IFERROR(__xludf.DUMMYFUNCTION("""COMPUTED_VALUE"""),"//ord_10328//Aarohi Kapoor//Bandra//Sweet Corn+1*Priya Joshi/10/12/2023//Credit Card//Delivered*Satisfied with the Delivery: Timely and quality")</f>
        <v>//ord_10328//Aarohi Kapoor//Bandra//Sweet Corn+1*Priya Joshi/10/12/2023//Credit Card//Delivered*Satisfied with the Delivery: Timely and quality</v>
      </c>
      <c r="B337" s="14" t="str">
        <f>IFERROR(__xludf.DUMMYFUNCTION("split(A337,""//"")"),"ord_10328")</f>
        <v>ord_10328</v>
      </c>
      <c r="C337" s="14" t="str">
        <f>IFERROR(__xludf.DUMMYFUNCTION("""COMPUTED_VALUE"""),"Aarohi Kapoor")</f>
        <v>Aarohi Kapoor</v>
      </c>
      <c r="D337" s="14" t="str">
        <f>IFERROR(__xludf.DUMMYFUNCTION("""COMPUTED_VALUE"""),"Bandra")</f>
        <v>Bandra</v>
      </c>
      <c r="E337" s="14" t="str">
        <f>IFERROR(__xludf.DUMMYFUNCTION("""COMPUTED_VALUE"""),"Sweet Corn+1*Priya Joshi")</f>
        <v>Sweet Corn+1*Priya Joshi</v>
      </c>
      <c r="F337" s="14">
        <f>IFERROR(__xludf.DUMMYFUNCTION("""COMPUTED_VALUE"""),10.0)</f>
        <v>10</v>
      </c>
      <c r="G337" s="14">
        <f>IFERROR(__xludf.DUMMYFUNCTION("""COMPUTED_VALUE"""),12.0)</f>
        <v>12</v>
      </c>
      <c r="H337" s="14">
        <f>IFERROR(__xludf.DUMMYFUNCTION("""COMPUTED_VALUE"""),2023.0)</f>
        <v>2023</v>
      </c>
      <c r="I337" s="14" t="str">
        <f>IFERROR(__xludf.DUMMYFUNCTION("""COMPUTED_VALUE"""),"Credit Card")</f>
        <v>Credit Card</v>
      </c>
      <c r="J337" s="14" t="str">
        <f>IFERROR(__xludf.DUMMYFUNCTION("""COMPUTED_VALUE"""),"Delivered*Satisfied with the Delivery: Timely and quality")</f>
        <v>Delivered*Satisfied with the Delivery: Timely and quality</v>
      </c>
      <c r="K337" s="14" t="str">
        <f>IFERROR(__xludf.DUMMYFUNCTION("split(E337,""+"")"),"Sweet Corn")</f>
        <v>Sweet Corn</v>
      </c>
      <c r="L337" s="14" t="str">
        <f>IFERROR(__xludf.DUMMYFUNCTION("""COMPUTED_VALUE"""),"1*Priya Joshi")</f>
        <v>1*Priya Joshi</v>
      </c>
      <c r="M337" s="14">
        <f>IFERROR(__xludf.DUMMYFUNCTION("SPLIT(L337,""*"")"),1.0)</f>
        <v>1</v>
      </c>
      <c r="N337" s="14" t="str">
        <f>IFERROR(__xludf.DUMMYFUNCTION("""COMPUTED_VALUE"""),"Priya Joshi")</f>
        <v>Priya Joshi</v>
      </c>
      <c r="O337" s="14" t="str">
        <f>IFERROR(__xludf.DUMMYFUNCTION("split(J337,""*"")"),"Delivered")</f>
        <v>Delivered</v>
      </c>
      <c r="P337" s="14" t="str">
        <f>IFERROR(__xludf.DUMMYFUNCTION("""COMPUTED_VALUE"""),"Satisfied with the Delivery: Timely and quality")</f>
        <v>Satisfied with the Delivery: Timely and quality</v>
      </c>
      <c r="Q337" s="14" t="str">
        <f>IFERROR(__xludf.DUMMYFUNCTION("split(P337,"":"")"),"Satisfied with the Delivery")</f>
        <v>Satisfied with the Delivery</v>
      </c>
      <c r="R337" s="14" t="str">
        <f>IFERROR(__xludf.DUMMYFUNCTION("""COMPUTED_VALUE""")," Timely and quality")</f>
        <v> Timely and quality</v>
      </c>
      <c r="S337" s="14" t="str">
        <f t="shared" ref="S337:U337" si="677">trim(B337)</f>
        <v>ord_10328</v>
      </c>
      <c r="T337" s="14" t="str">
        <f t="shared" si="677"/>
        <v>Aarohi Kapoor</v>
      </c>
      <c r="U337" s="14" t="str">
        <f t="shared" si="677"/>
        <v>Bandra</v>
      </c>
      <c r="V337" s="14" t="str">
        <f t="shared" si="4"/>
        <v>Sweet Corn</v>
      </c>
      <c r="W337" s="14">
        <f t="shared" si="5"/>
        <v>1</v>
      </c>
      <c r="X337" s="14" t="str">
        <f t="shared" si="6"/>
        <v>Priya Joshi</v>
      </c>
      <c r="Y337" s="15">
        <f t="shared" si="7"/>
        <v>45211</v>
      </c>
      <c r="Z337" s="14" t="str">
        <f t="shared" si="8"/>
        <v>Credit Card</v>
      </c>
      <c r="AA337" s="14" t="str">
        <f t="shared" si="9"/>
        <v>Delivered</v>
      </c>
      <c r="AB337" s="14" t="str">
        <f t="shared" ref="AB337:AC337" si="678">trim(Q337)</f>
        <v>Satisfied with the Delivery</v>
      </c>
      <c r="AC337" s="14" t="str">
        <f t="shared" si="678"/>
        <v>Timely and quality</v>
      </c>
      <c r="AD337" s="8"/>
    </row>
    <row r="338">
      <c r="A338" s="14" t="str">
        <f>IFERROR(__xludf.DUMMYFUNCTION("""COMPUTED_VALUE"""),"//ord_10329//Ishita Banerjee//Juhu//Banana+1*Tanvi Jain/7/7/2023//UPI//Delivered*Customer Service: Seamless and easy")</f>
        <v>//ord_10329//Ishita Banerjee//Juhu//Banana+1*Tanvi Jain/7/7/2023//UPI//Delivered*Customer Service: Seamless and easy</v>
      </c>
      <c r="B338" s="14" t="str">
        <f>IFERROR(__xludf.DUMMYFUNCTION("split(A338,""//"")"),"ord_10329")</f>
        <v>ord_10329</v>
      </c>
      <c r="C338" s="14" t="str">
        <f>IFERROR(__xludf.DUMMYFUNCTION("""COMPUTED_VALUE"""),"Ishita Banerjee")</f>
        <v>Ishita Banerjee</v>
      </c>
      <c r="D338" s="14" t="str">
        <f>IFERROR(__xludf.DUMMYFUNCTION("""COMPUTED_VALUE"""),"Juhu")</f>
        <v>Juhu</v>
      </c>
      <c r="E338" s="14" t="str">
        <f>IFERROR(__xludf.DUMMYFUNCTION("""COMPUTED_VALUE"""),"Banana+1*Tanvi Jain")</f>
        <v>Banana+1*Tanvi Jain</v>
      </c>
      <c r="F338" s="14">
        <f>IFERROR(__xludf.DUMMYFUNCTION("""COMPUTED_VALUE"""),7.0)</f>
        <v>7</v>
      </c>
      <c r="G338" s="14">
        <f>IFERROR(__xludf.DUMMYFUNCTION("""COMPUTED_VALUE"""),7.0)</f>
        <v>7</v>
      </c>
      <c r="H338" s="14">
        <f>IFERROR(__xludf.DUMMYFUNCTION("""COMPUTED_VALUE"""),2023.0)</f>
        <v>2023</v>
      </c>
      <c r="I338" s="14" t="str">
        <f>IFERROR(__xludf.DUMMYFUNCTION("""COMPUTED_VALUE"""),"UPI")</f>
        <v>UPI</v>
      </c>
      <c r="J338" s="14" t="str">
        <f>IFERROR(__xludf.DUMMYFUNCTION("""COMPUTED_VALUE"""),"Delivered*Customer Service: Seamless and easy")</f>
        <v>Delivered*Customer Service: Seamless and easy</v>
      </c>
      <c r="K338" s="14" t="str">
        <f>IFERROR(__xludf.DUMMYFUNCTION("split(E338,""+"")"),"Banana")</f>
        <v>Banana</v>
      </c>
      <c r="L338" s="14" t="str">
        <f>IFERROR(__xludf.DUMMYFUNCTION("""COMPUTED_VALUE"""),"1*Tanvi Jain")</f>
        <v>1*Tanvi Jain</v>
      </c>
      <c r="M338" s="14">
        <f>IFERROR(__xludf.DUMMYFUNCTION("SPLIT(L338,""*"")"),1.0)</f>
        <v>1</v>
      </c>
      <c r="N338" s="14" t="str">
        <f>IFERROR(__xludf.DUMMYFUNCTION("""COMPUTED_VALUE"""),"Tanvi Jain")</f>
        <v>Tanvi Jain</v>
      </c>
      <c r="O338" s="14" t="str">
        <f>IFERROR(__xludf.DUMMYFUNCTION("split(J338,""*"")"),"Delivered")</f>
        <v>Delivered</v>
      </c>
      <c r="P338" s="14" t="str">
        <f>IFERROR(__xludf.DUMMYFUNCTION("""COMPUTED_VALUE"""),"Customer Service: Seamless and easy")</f>
        <v>Customer Service: Seamless and easy</v>
      </c>
      <c r="Q338" s="14" t="str">
        <f>IFERROR(__xludf.DUMMYFUNCTION("split(P338,"":"")"),"Customer Service")</f>
        <v>Customer Service</v>
      </c>
      <c r="R338" s="14" t="str">
        <f>IFERROR(__xludf.DUMMYFUNCTION("""COMPUTED_VALUE""")," Seamless and easy")</f>
        <v> Seamless and easy</v>
      </c>
      <c r="S338" s="14" t="str">
        <f t="shared" ref="S338:U338" si="679">trim(B338)</f>
        <v>ord_10329</v>
      </c>
      <c r="T338" s="14" t="str">
        <f t="shared" si="679"/>
        <v>Ishita Banerjee</v>
      </c>
      <c r="U338" s="14" t="str">
        <f t="shared" si="679"/>
        <v>Juhu</v>
      </c>
      <c r="V338" s="14" t="str">
        <f t="shared" si="4"/>
        <v>Banana</v>
      </c>
      <c r="W338" s="14">
        <f t="shared" si="5"/>
        <v>1</v>
      </c>
      <c r="X338" s="14" t="str">
        <f t="shared" si="6"/>
        <v>Tanvi Jain</v>
      </c>
      <c r="Y338" s="15">
        <f t="shared" si="7"/>
        <v>45114</v>
      </c>
      <c r="Z338" s="14" t="str">
        <f t="shared" si="8"/>
        <v>UPI</v>
      </c>
      <c r="AA338" s="14" t="str">
        <f t="shared" si="9"/>
        <v>Delivered</v>
      </c>
      <c r="AB338" s="14" t="str">
        <f t="shared" ref="AB338:AC338" si="680">trim(Q338)</f>
        <v>Customer Service</v>
      </c>
      <c r="AC338" s="14" t="str">
        <f t="shared" si="680"/>
        <v>Seamless and easy</v>
      </c>
      <c r="AD338" s="8"/>
    </row>
    <row r="339">
      <c r="A339" s="14" t="str">
        <f>IFERROR(__xludf.DUMMYFUNCTION("""COMPUTED_VALUE"""),"//ord_10330//Pranav Joshi//Andheri//Banana+1*Not Assigned/4/7/2023//Credit Card//Cancelled*Payment Issues")</f>
        <v>//ord_10330//Pranav Joshi//Andheri//Banana+1*Not Assigned/4/7/2023//Credit Card//Cancelled*Payment Issues</v>
      </c>
      <c r="B339" s="14" t="str">
        <f>IFERROR(__xludf.DUMMYFUNCTION("split(A339,""//"")"),"ord_10330")</f>
        <v>ord_10330</v>
      </c>
      <c r="C339" s="14" t="str">
        <f>IFERROR(__xludf.DUMMYFUNCTION("""COMPUTED_VALUE"""),"Pranav Joshi")</f>
        <v>Pranav Joshi</v>
      </c>
      <c r="D339" s="14" t="str">
        <f>IFERROR(__xludf.DUMMYFUNCTION("""COMPUTED_VALUE"""),"Andheri")</f>
        <v>Andheri</v>
      </c>
      <c r="E339" s="14" t="str">
        <f>IFERROR(__xludf.DUMMYFUNCTION("""COMPUTED_VALUE"""),"Banana+1*Not Assigned")</f>
        <v>Banana+1*Not Assigned</v>
      </c>
      <c r="F339" s="14">
        <f>IFERROR(__xludf.DUMMYFUNCTION("""COMPUTED_VALUE"""),4.0)</f>
        <v>4</v>
      </c>
      <c r="G339" s="14">
        <f>IFERROR(__xludf.DUMMYFUNCTION("""COMPUTED_VALUE"""),7.0)</f>
        <v>7</v>
      </c>
      <c r="H339" s="14">
        <f>IFERROR(__xludf.DUMMYFUNCTION("""COMPUTED_VALUE"""),2023.0)</f>
        <v>2023</v>
      </c>
      <c r="I339" s="14" t="str">
        <f>IFERROR(__xludf.DUMMYFUNCTION("""COMPUTED_VALUE"""),"Credit Card")</f>
        <v>Credit Card</v>
      </c>
      <c r="J339" s="14" t="str">
        <f>IFERROR(__xludf.DUMMYFUNCTION("""COMPUTED_VALUE"""),"Cancelled*Payment Issues")</f>
        <v>Cancelled*Payment Issues</v>
      </c>
      <c r="K339" s="14" t="str">
        <f>IFERROR(__xludf.DUMMYFUNCTION("split(E339,""+"")"),"Banana")</f>
        <v>Banana</v>
      </c>
      <c r="L339" s="14" t="str">
        <f>IFERROR(__xludf.DUMMYFUNCTION("""COMPUTED_VALUE"""),"1*Not Assigned")</f>
        <v>1*Not Assigned</v>
      </c>
      <c r="M339" s="14">
        <f>IFERROR(__xludf.DUMMYFUNCTION("SPLIT(L339,""*"")"),1.0)</f>
        <v>1</v>
      </c>
      <c r="N339" s="14" t="str">
        <f>IFERROR(__xludf.DUMMYFUNCTION("""COMPUTED_VALUE"""),"Not Assigned")</f>
        <v>Not Assigned</v>
      </c>
      <c r="O339" s="14" t="str">
        <f>IFERROR(__xludf.DUMMYFUNCTION("split(J339,""*"")"),"Cancelled")</f>
        <v>Cancelled</v>
      </c>
      <c r="P339" s="14" t="str">
        <f>IFERROR(__xludf.DUMMYFUNCTION("""COMPUTED_VALUE"""),"Payment Issues")</f>
        <v>Payment Issues</v>
      </c>
      <c r="Q339" s="14" t="str">
        <f>IFERROR(__xludf.DUMMYFUNCTION("split(P339,"":"")"),"Payment Issues")</f>
        <v>Payment Issues</v>
      </c>
      <c r="R339" s="14"/>
      <c r="S339" s="14" t="str">
        <f t="shared" ref="S339:U339" si="681">trim(B339)</f>
        <v>ord_10330</v>
      </c>
      <c r="T339" s="14" t="str">
        <f t="shared" si="681"/>
        <v>Pranav Joshi</v>
      </c>
      <c r="U339" s="14" t="str">
        <f t="shared" si="681"/>
        <v>Andheri</v>
      </c>
      <c r="V339" s="14" t="str">
        <f t="shared" si="4"/>
        <v>Banana</v>
      </c>
      <c r="W339" s="14">
        <f t="shared" si="5"/>
        <v>1</v>
      </c>
      <c r="X339" s="14" t="str">
        <f t="shared" si="6"/>
        <v>Not Assigned</v>
      </c>
      <c r="Y339" s="15">
        <f t="shared" si="7"/>
        <v>45023</v>
      </c>
      <c r="Z339" s="14" t="str">
        <f t="shared" si="8"/>
        <v>Credit Card</v>
      </c>
      <c r="AA339" s="14" t="str">
        <f t="shared" si="9"/>
        <v>Cancelled</v>
      </c>
      <c r="AB339" s="14" t="str">
        <f t="shared" ref="AB339:AC339" si="682">trim(Q339)</f>
        <v>Payment Issues</v>
      </c>
      <c r="AC339" s="14" t="str">
        <f t="shared" si="682"/>
        <v/>
      </c>
      <c r="AD339" s="8"/>
    </row>
    <row r="340">
      <c r="A340" s="14" t="str">
        <f>IFERROR(__xludf.DUMMYFUNCTION("""COMPUTED_VALUE"""),"//ord_10331//Dev Chauhan//Bandra//Popcorn+2*Priya Joshi/7/14/2023//Credit Card//Delivered*Delivery Experience: Quick and professional")</f>
        <v>//ord_10331//Dev Chauhan//Bandra//Popcorn+2*Priya Joshi/7/14/2023//Credit Card//Delivered*Delivery Experience: Quick and professional</v>
      </c>
      <c r="B340" s="14" t="str">
        <f>IFERROR(__xludf.DUMMYFUNCTION("split(A340,""//"")"),"ord_10331")</f>
        <v>ord_10331</v>
      </c>
      <c r="C340" s="14" t="str">
        <f>IFERROR(__xludf.DUMMYFUNCTION("""COMPUTED_VALUE"""),"Dev Chauhan")</f>
        <v>Dev Chauhan</v>
      </c>
      <c r="D340" s="14" t="str">
        <f>IFERROR(__xludf.DUMMYFUNCTION("""COMPUTED_VALUE"""),"Bandra")</f>
        <v>Bandra</v>
      </c>
      <c r="E340" s="14" t="str">
        <f>IFERROR(__xludf.DUMMYFUNCTION("""COMPUTED_VALUE"""),"Popcorn+2*Priya Joshi")</f>
        <v>Popcorn+2*Priya Joshi</v>
      </c>
      <c r="F340" s="14">
        <f>IFERROR(__xludf.DUMMYFUNCTION("""COMPUTED_VALUE"""),7.0)</f>
        <v>7</v>
      </c>
      <c r="G340" s="14">
        <f>IFERROR(__xludf.DUMMYFUNCTION("""COMPUTED_VALUE"""),14.0)</f>
        <v>14</v>
      </c>
      <c r="H340" s="14">
        <f>IFERROR(__xludf.DUMMYFUNCTION("""COMPUTED_VALUE"""),2023.0)</f>
        <v>2023</v>
      </c>
      <c r="I340" s="14" t="str">
        <f>IFERROR(__xludf.DUMMYFUNCTION("""COMPUTED_VALUE"""),"Credit Card")</f>
        <v>Credit Card</v>
      </c>
      <c r="J340" s="14" t="str">
        <f>IFERROR(__xludf.DUMMYFUNCTION("""COMPUTED_VALUE"""),"Delivered*Delivery Experience: Quick and professional")</f>
        <v>Delivered*Delivery Experience: Quick and professional</v>
      </c>
      <c r="K340" s="14" t="str">
        <f>IFERROR(__xludf.DUMMYFUNCTION("split(E340,""+"")"),"Popcorn")</f>
        <v>Popcorn</v>
      </c>
      <c r="L340" s="14" t="str">
        <f>IFERROR(__xludf.DUMMYFUNCTION("""COMPUTED_VALUE"""),"2*Priya Joshi")</f>
        <v>2*Priya Joshi</v>
      </c>
      <c r="M340" s="14">
        <f>IFERROR(__xludf.DUMMYFUNCTION("SPLIT(L340,""*"")"),2.0)</f>
        <v>2</v>
      </c>
      <c r="N340" s="14" t="str">
        <f>IFERROR(__xludf.DUMMYFUNCTION("""COMPUTED_VALUE"""),"Priya Joshi")</f>
        <v>Priya Joshi</v>
      </c>
      <c r="O340" s="14" t="str">
        <f>IFERROR(__xludf.DUMMYFUNCTION("split(J340,""*"")"),"Delivered")</f>
        <v>Delivered</v>
      </c>
      <c r="P340" s="14" t="str">
        <f>IFERROR(__xludf.DUMMYFUNCTION("""COMPUTED_VALUE"""),"Delivery Experience: Quick and professional")</f>
        <v>Delivery Experience: Quick and professional</v>
      </c>
      <c r="Q340" s="14" t="str">
        <f>IFERROR(__xludf.DUMMYFUNCTION("split(P340,"":"")"),"Delivery Experience")</f>
        <v>Delivery Experience</v>
      </c>
      <c r="R340" s="14" t="str">
        <f>IFERROR(__xludf.DUMMYFUNCTION("""COMPUTED_VALUE""")," Quick and professional")</f>
        <v> Quick and professional</v>
      </c>
      <c r="S340" s="14" t="str">
        <f t="shared" ref="S340:U340" si="683">trim(B340)</f>
        <v>ord_10331</v>
      </c>
      <c r="T340" s="14" t="str">
        <f t="shared" si="683"/>
        <v>Dev Chauhan</v>
      </c>
      <c r="U340" s="14" t="str">
        <f t="shared" si="683"/>
        <v>Bandra</v>
      </c>
      <c r="V340" s="14" t="str">
        <f t="shared" si="4"/>
        <v>Popcorn</v>
      </c>
      <c r="W340" s="14">
        <f t="shared" si="5"/>
        <v>2</v>
      </c>
      <c r="X340" s="14" t="str">
        <f t="shared" si="6"/>
        <v>Priya Joshi</v>
      </c>
      <c r="Y340" s="15">
        <f t="shared" si="7"/>
        <v>45121</v>
      </c>
      <c r="Z340" s="14" t="str">
        <f t="shared" si="8"/>
        <v>Credit Card</v>
      </c>
      <c r="AA340" s="14" t="str">
        <f t="shared" si="9"/>
        <v>Delivered</v>
      </c>
      <c r="AB340" s="14" t="str">
        <f t="shared" ref="AB340:AC340" si="684">trim(Q340)</f>
        <v>Delivery Experience</v>
      </c>
      <c r="AC340" s="14" t="str">
        <f t="shared" si="684"/>
        <v>Quick and professional</v>
      </c>
      <c r="AD340" s="8"/>
    </row>
    <row r="341">
      <c r="A341" s="14" t="str">
        <f>IFERROR(__xludf.DUMMYFUNCTION("""COMPUTED_VALUE"""),"//ord_10332//Aditya Basu//Juhu//Guava+3*Tanvi Jain/8/5/2023//UPI//Delivered*Convenience: Easy tracking")</f>
        <v>//ord_10332//Aditya Basu//Juhu//Guava+3*Tanvi Jain/8/5/2023//UPI//Delivered*Convenience: Easy tracking</v>
      </c>
      <c r="B341" s="14" t="str">
        <f>IFERROR(__xludf.DUMMYFUNCTION("split(A341,""//"")"),"ord_10332")</f>
        <v>ord_10332</v>
      </c>
      <c r="C341" s="14" t="str">
        <f>IFERROR(__xludf.DUMMYFUNCTION("""COMPUTED_VALUE"""),"Aditya Basu")</f>
        <v>Aditya Basu</v>
      </c>
      <c r="D341" s="14" t="str">
        <f>IFERROR(__xludf.DUMMYFUNCTION("""COMPUTED_VALUE"""),"Juhu")</f>
        <v>Juhu</v>
      </c>
      <c r="E341" s="14" t="str">
        <f>IFERROR(__xludf.DUMMYFUNCTION("""COMPUTED_VALUE"""),"Guava+3*Tanvi Jain")</f>
        <v>Guava+3*Tanvi Jain</v>
      </c>
      <c r="F341" s="14">
        <f>IFERROR(__xludf.DUMMYFUNCTION("""COMPUTED_VALUE"""),8.0)</f>
        <v>8</v>
      </c>
      <c r="G341" s="14">
        <f>IFERROR(__xludf.DUMMYFUNCTION("""COMPUTED_VALUE"""),5.0)</f>
        <v>5</v>
      </c>
      <c r="H341" s="14">
        <f>IFERROR(__xludf.DUMMYFUNCTION("""COMPUTED_VALUE"""),2023.0)</f>
        <v>2023</v>
      </c>
      <c r="I341" s="14" t="str">
        <f>IFERROR(__xludf.DUMMYFUNCTION("""COMPUTED_VALUE"""),"UPI")</f>
        <v>UPI</v>
      </c>
      <c r="J341" s="14" t="str">
        <f>IFERROR(__xludf.DUMMYFUNCTION("""COMPUTED_VALUE"""),"Delivered*Convenience: Easy tracking")</f>
        <v>Delivered*Convenience: Easy tracking</v>
      </c>
      <c r="K341" s="14" t="str">
        <f>IFERROR(__xludf.DUMMYFUNCTION("split(E341,""+"")"),"Guava")</f>
        <v>Guava</v>
      </c>
      <c r="L341" s="14" t="str">
        <f>IFERROR(__xludf.DUMMYFUNCTION("""COMPUTED_VALUE"""),"3*Tanvi Jain")</f>
        <v>3*Tanvi Jain</v>
      </c>
      <c r="M341" s="14">
        <f>IFERROR(__xludf.DUMMYFUNCTION("SPLIT(L341,""*"")"),3.0)</f>
        <v>3</v>
      </c>
      <c r="N341" s="14" t="str">
        <f>IFERROR(__xludf.DUMMYFUNCTION("""COMPUTED_VALUE"""),"Tanvi Jain")</f>
        <v>Tanvi Jain</v>
      </c>
      <c r="O341" s="14" t="str">
        <f>IFERROR(__xludf.DUMMYFUNCTION("split(J341,""*"")"),"Delivered")</f>
        <v>Delivered</v>
      </c>
      <c r="P341" s="14" t="str">
        <f>IFERROR(__xludf.DUMMYFUNCTION("""COMPUTED_VALUE"""),"Convenience: Easy tracking")</f>
        <v>Convenience: Easy tracking</v>
      </c>
      <c r="Q341" s="14" t="str">
        <f>IFERROR(__xludf.DUMMYFUNCTION("split(P341,"":"")"),"Convenience")</f>
        <v>Convenience</v>
      </c>
      <c r="R341" s="14" t="str">
        <f>IFERROR(__xludf.DUMMYFUNCTION("""COMPUTED_VALUE""")," Easy tracking")</f>
        <v> Easy tracking</v>
      </c>
      <c r="S341" s="14" t="str">
        <f t="shared" ref="S341:U341" si="685">trim(B341)</f>
        <v>ord_10332</v>
      </c>
      <c r="T341" s="14" t="str">
        <f t="shared" si="685"/>
        <v>Aditya Basu</v>
      </c>
      <c r="U341" s="14" t="str">
        <f t="shared" si="685"/>
        <v>Juhu</v>
      </c>
      <c r="V341" s="14" t="str">
        <f t="shared" si="4"/>
        <v>Guava</v>
      </c>
      <c r="W341" s="14">
        <f t="shared" si="5"/>
        <v>3</v>
      </c>
      <c r="X341" s="14" t="str">
        <f t="shared" si="6"/>
        <v>Tanvi Jain</v>
      </c>
      <c r="Y341" s="15">
        <f t="shared" si="7"/>
        <v>45143</v>
      </c>
      <c r="Z341" s="14" t="str">
        <f t="shared" si="8"/>
        <v>UPI</v>
      </c>
      <c r="AA341" s="14" t="str">
        <f t="shared" si="9"/>
        <v>Delivered</v>
      </c>
      <c r="AB341" s="14" t="str">
        <f t="shared" ref="AB341:AC341" si="686">trim(Q341)</f>
        <v>Convenience</v>
      </c>
      <c r="AC341" s="14" t="str">
        <f t="shared" si="686"/>
        <v>Easy tracking</v>
      </c>
      <c r="AD341" s="8"/>
    </row>
    <row r="342">
      <c r="A342" s="14" t="str">
        <f>IFERROR(__xludf.DUMMYFUNCTION("""COMPUTED_VALUE"""),"//ord_10333//Mehul Thakkar//Malad//Potato+2*Ramesh S/6/23/2023//UPI//Cancelled*Delayed Delivery:Bad Weather Conditions ")</f>
        <v>//ord_10333//Mehul Thakkar//Malad//Potato+2*Ramesh S/6/23/2023//UPI//Cancelled*Delayed Delivery:Bad Weather Conditions </v>
      </c>
      <c r="B342" s="14" t="str">
        <f>IFERROR(__xludf.DUMMYFUNCTION("split(A342,""//"")"),"ord_10333")</f>
        <v>ord_10333</v>
      </c>
      <c r="C342" s="14" t="str">
        <f>IFERROR(__xludf.DUMMYFUNCTION("""COMPUTED_VALUE"""),"Mehul Thakkar")</f>
        <v>Mehul Thakkar</v>
      </c>
      <c r="D342" s="14" t="str">
        <f>IFERROR(__xludf.DUMMYFUNCTION("""COMPUTED_VALUE"""),"Malad")</f>
        <v>Malad</v>
      </c>
      <c r="E342" s="14" t="str">
        <f>IFERROR(__xludf.DUMMYFUNCTION("""COMPUTED_VALUE"""),"Potato+2*Ramesh S")</f>
        <v>Potato+2*Ramesh S</v>
      </c>
      <c r="F342" s="14">
        <f>IFERROR(__xludf.DUMMYFUNCTION("""COMPUTED_VALUE"""),6.0)</f>
        <v>6</v>
      </c>
      <c r="G342" s="14">
        <f>IFERROR(__xludf.DUMMYFUNCTION("""COMPUTED_VALUE"""),23.0)</f>
        <v>23</v>
      </c>
      <c r="H342" s="14">
        <f>IFERROR(__xludf.DUMMYFUNCTION("""COMPUTED_VALUE"""),2023.0)</f>
        <v>2023</v>
      </c>
      <c r="I342" s="14" t="str">
        <f>IFERROR(__xludf.DUMMYFUNCTION("""COMPUTED_VALUE"""),"UPI")</f>
        <v>UPI</v>
      </c>
      <c r="J342" s="14" t="str">
        <f>IFERROR(__xludf.DUMMYFUNCTION("""COMPUTED_VALUE"""),"Cancelled*Delayed Delivery:Bad Weather Conditions ")</f>
        <v>Cancelled*Delayed Delivery:Bad Weather Conditions </v>
      </c>
      <c r="K342" s="14" t="str">
        <f>IFERROR(__xludf.DUMMYFUNCTION("split(E342,""+"")"),"Potato")</f>
        <v>Potato</v>
      </c>
      <c r="L342" s="14" t="str">
        <f>IFERROR(__xludf.DUMMYFUNCTION("""COMPUTED_VALUE"""),"2*Ramesh S")</f>
        <v>2*Ramesh S</v>
      </c>
      <c r="M342" s="14">
        <f>IFERROR(__xludf.DUMMYFUNCTION("SPLIT(L342,""*"")"),2.0)</f>
        <v>2</v>
      </c>
      <c r="N342" s="14" t="str">
        <f>IFERROR(__xludf.DUMMYFUNCTION("""COMPUTED_VALUE"""),"Ramesh S")</f>
        <v>Ramesh S</v>
      </c>
      <c r="O342" s="14" t="str">
        <f>IFERROR(__xludf.DUMMYFUNCTION("split(J342,""*"")"),"Cancelled")</f>
        <v>Cancelled</v>
      </c>
      <c r="P342" s="14" t="str">
        <f>IFERROR(__xludf.DUMMYFUNCTION("""COMPUTED_VALUE"""),"Delayed Delivery:Bad Weather Conditions ")</f>
        <v>Delayed Delivery:Bad Weather Conditions </v>
      </c>
      <c r="Q342" s="14" t="str">
        <f>IFERROR(__xludf.DUMMYFUNCTION("split(P342,"":"")"),"Delayed Delivery")</f>
        <v>Delayed Delivery</v>
      </c>
      <c r="R342" s="14" t="str">
        <f>IFERROR(__xludf.DUMMYFUNCTION("""COMPUTED_VALUE"""),"Bad Weather Conditions ")</f>
        <v>Bad Weather Conditions </v>
      </c>
      <c r="S342" s="14" t="str">
        <f t="shared" ref="S342:U342" si="687">trim(B342)</f>
        <v>ord_10333</v>
      </c>
      <c r="T342" s="14" t="str">
        <f t="shared" si="687"/>
        <v>Mehul Thakkar</v>
      </c>
      <c r="U342" s="14" t="str">
        <f t="shared" si="687"/>
        <v>Malad</v>
      </c>
      <c r="V342" s="14" t="str">
        <f t="shared" si="4"/>
        <v>Potato</v>
      </c>
      <c r="W342" s="14">
        <f t="shared" si="5"/>
        <v>2</v>
      </c>
      <c r="X342" s="14" t="str">
        <f t="shared" si="6"/>
        <v>Ramesh S</v>
      </c>
      <c r="Y342" s="15">
        <f t="shared" si="7"/>
        <v>45100</v>
      </c>
      <c r="Z342" s="14" t="str">
        <f t="shared" si="8"/>
        <v>UPI</v>
      </c>
      <c r="AA342" s="14" t="str">
        <f t="shared" si="9"/>
        <v>Cancelled</v>
      </c>
      <c r="AB342" s="14" t="str">
        <f t="shared" ref="AB342:AC342" si="688">trim(Q342)</f>
        <v>Delayed Delivery</v>
      </c>
      <c r="AC342" s="14" t="str">
        <f t="shared" si="688"/>
        <v>Bad Weather Conditions</v>
      </c>
      <c r="AD342" s="8"/>
    </row>
    <row r="343">
      <c r="A343" s="14" t="str">
        <f>IFERROR(__xludf.DUMMYFUNCTION("""COMPUTED_VALUE"""),"//ord_10334//Tanishq Bansal//Powai//Rasmalai+5*Shine Thomas/11/23/2023//COD//Delivered*Overall Satisfaction: Great service will order again")</f>
        <v>//ord_10334//Tanishq Bansal//Powai//Rasmalai+5*Shine Thomas/11/23/2023//COD//Delivered*Overall Satisfaction: Great service will order again</v>
      </c>
      <c r="B343" s="14" t="str">
        <f>IFERROR(__xludf.DUMMYFUNCTION("split(A343,""//"")"),"ord_10334")</f>
        <v>ord_10334</v>
      </c>
      <c r="C343" s="14" t="str">
        <f>IFERROR(__xludf.DUMMYFUNCTION("""COMPUTED_VALUE"""),"Tanishq Bansal")</f>
        <v>Tanishq Bansal</v>
      </c>
      <c r="D343" s="14" t="str">
        <f>IFERROR(__xludf.DUMMYFUNCTION("""COMPUTED_VALUE"""),"Powai")</f>
        <v>Powai</v>
      </c>
      <c r="E343" s="14" t="str">
        <f>IFERROR(__xludf.DUMMYFUNCTION("""COMPUTED_VALUE"""),"Rasmalai+5*Shine Thomas")</f>
        <v>Rasmalai+5*Shine Thomas</v>
      </c>
      <c r="F343" s="14">
        <f>IFERROR(__xludf.DUMMYFUNCTION("""COMPUTED_VALUE"""),11.0)</f>
        <v>11</v>
      </c>
      <c r="G343" s="14">
        <f>IFERROR(__xludf.DUMMYFUNCTION("""COMPUTED_VALUE"""),23.0)</f>
        <v>23</v>
      </c>
      <c r="H343" s="14">
        <f>IFERROR(__xludf.DUMMYFUNCTION("""COMPUTED_VALUE"""),2023.0)</f>
        <v>2023</v>
      </c>
      <c r="I343" s="14" t="str">
        <f>IFERROR(__xludf.DUMMYFUNCTION("""COMPUTED_VALUE"""),"COD")</f>
        <v>COD</v>
      </c>
      <c r="J343" s="14" t="str">
        <f>IFERROR(__xludf.DUMMYFUNCTION("""COMPUTED_VALUE"""),"Delivered*Overall Satisfaction: Great service will order again")</f>
        <v>Delivered*Overall Satisfaction: Great service will order again</v>
      </c>
      <c r="K343" s="14" t="str">
        <f>IFERROR(__xludf.DUMMYFUNCTION("split(E343,""+"")"),"Rasmalai")</f>
        <v>Rasmalai</v>
      </c>
      <c r="L343" s="14" t="str">
        <f>IFERROR(__xludf.DUMMYFUNCTION("""COMPUTED_VALUE"""),"5*Shine Thomas")</f>
        <v>5*Shine Thomas</v>
      </c>
      <c r="M343" s="14">
        <f>IFERROR(__xludf.DUMMYFUNCTION("SPLIT(L343,""*"")"),5.0)</f>
        <v>5</v>
      </c>
      <c r="N343" s="14" t="str">
        <f>IFERROR(__xludf.DUMMYFUNCTION("""COMPUTED_VALUE"""),"Shine Thomas")</f>
        <v>Shine Thomas</v>
      </c>
      <c r="O343" s="14" t="str">
        <f>IFERROR(__xludf.DUMMYFUNCTION("split(J343,""*"")"),"Delivered")</f>
        <v>Delivered</v>
      </c>
      <c r="P343" s="14" t="str">
        <f>IFERROR(__xludf.DUMMYFUNCTION("""COMPUTED_VALUE"""),"Overall Satisfaction: Great service will order again")</f>
        <v>Overall Satisfaction: Great service will order again</v>
      </c>
      <c r="Q343" s="14" t="str">
        <f>IFERROR(__xludf.DUMMYFUNCTION("split(P343,"":"")"),"Overall Satisfaction")</f>
        <v>Overall Satisfaction</v>
      </c>
      <c r="R343" s="14" t="str">
        <f>IFERROR(__xludf.DUMMYFUNCTION("""COMPUTED_VALUE""")," Great service will order again")</f>
        <v> Great service will order again</v>
      </c>
      <c r="S343" s="14" t="str">
        <f t="shared" ref="S343:U343" si="689">trim(B343)</f>
        <v>ord_10334</v>
      </c>
      <c r="T343" s="14" t="str">
        <f t="shared" si="689"/>
        <v>Tanishq Bansal</v>
      </c>
      <c r="U343" s="14" t="str">
        <f t="shared" si="689"/>
        <v>Powai</v>
      </c>
      <c r="V343" s="14" t="str">
        <f t="shared" si="4"/>
        <v>Rasmalai</v>
      </c>
      <c r="W343" s="14">
        <f t="shared" si="5"/>
        <v>5</v>
      </c>
      <c r="X343" s="14" t="str">
        <f t="shared" si="6"/>
        <v>Shine Thomas</v>
      </c>
      <c r="Y343" s="15">
        <f t="shared" si="7"/>
        <v>45253</v>
      </c>
      <c r="Z343" s="14" t="str">
        <f t="shared" si="8"/>
        <v>COD</v>
      </c>
      <c r="AA343" s="14" t="str">
        <f t="shared" si="9"/>
        <v>Delivered</v>
      </c>
      <c r="AB343" s="14" t="str">
        <f t="shared" ref="AB343:AC343" si="690">trim(Q343)</f>
        <v>Overall Satisfaction</v>
      </c>
      <c r="AC343" s="14" t="str">
        <f t="shared" si="690"/>
        <v>Great service will order again</v>
      </c>
      <c r="AD343" s="8"/>
    </row>
    <row r="344">
      <c r="A344" s="14" t="str">
        <f>IFERROR(__xludf.DUMMYFUNCTION("""COMPUTED_VALUE"""),"//ord_10335//Mehul Thakkar//Malad//Potato+2*Venu R/5/26/2023//UPI//Delivered*On-time Delivery: Delivered on time")</f>
        <v>//ord_10335//Mehul Thakkar//Malad//Potato+2*Venu R/5/26/2023//UPI//Delivered*On-time Delivery: Delivered on time</v>
      </c>
      <c r="B344" s="14" t="str">
        <f>IFERROR(__xludf.DUMMYFUNCTION("split(A344,""//"")"),"ord_10335")</f>
        <v>ord_10335</v>
      </c>
      <c r="C344" s="14" t="str">
        <f>IFERROR(__xludf.DUMMYFUNCTION("""COMPUTED_VALUE"""),"Mehul Thakkar")</f>
        <v>Mehul Thakkar</v>
      </c>
      <c r="D344" s="14" t="str">
        <f>IFERROR(__xludf.DUMMYFUNCTION("""COMPUTED_VALUE"""),"Malad")</f>
        <v>Malad</v>
      </c>
      <c r="E344" s="14" t="str">
        <f>IFERROR(__xludf.DUMMYFUNCTION("""COMPUTED_VALUE"""),"Potato+2*Venu R")</f>
        <v>Potato+2*Venu R</v>
      </c>
      <c r="F344" s="14">
        <f>IFERROR(__xludf.DUMMYFUNCTION("""COMPUTED_VALUE"""),5.0)</f>
        <v>5</v>
      </c>
      <c r="G344" s="14">
        <f>IFERROR(__xludf.DUMMYFUNCTION("""COMPUTED_VALUE"""),26.0)</f>
        <v>26</v>
      </c>
      <c r="H344" s="14">
        <f>IFERROR(__xludf.DUMMYFUNCTION("""COMPUTED_VALUE"""),2023.0)</f>
        <v>2023</v>
      </c>
      <c r="I344" s="14" t="str">
        <f>IFERROR(__xludf.DUMMYFUNCTION("""COMPUTED_VALUE"""),"UPI")</f>
        <v>UPI</v>
      </c>
      <c r="J344" s="14" t="str">
        <f>IFERROR(__xludf.DUMMYFUNCTION("""COMPUTED_VALUE"""),"Delivered*On-time Delivery: Delivered on time")</f>
        <v>Delivered*On-time Delivery: Delivered on time</v>
      </c>
      <c r="K344" s="14" t="str">
        <f>IFERROR(__xludf.DUMMYFUNCTION("split(E344,""+"")"),"Potato")</f>
        <v>Potato</v>
      </c>
      <c r="L344" s="14" t="str">
        <f>IFERROR(__xludf.DUMMYFUNCTION("""COMPUTED_VALUE"""),"2*Venu R")</f>
        <v>2*Venu R</v>
      </c>
      <c r="M344" s="14">
        <f>IFERROR(__xludf.DUMMYFUNCTION("SPLIT(L344,""*"")"),2.0)</f>
        <v>2</v>
      </c>
      <c r="N344" s="14" t="str">
        <f>IFERROR(__xludf.DUMMYFUNCTION("""COMPUTED_VALUE"""),"Venu R")</f>
        <v>Venu R</v>
      </c>
      <c r="O344" s="14" t="str">
        <f>IFERROR(__xludf.DUMMYFUNCTION("split(J344,""*"")"),"Delivered")</f>
        <v>Delivered</v>
      </c>
      <c r="P344" s="14" t="str">
        <f>IFERROR(__xludf.DUMMYFUNCTION("""COMPUTED_VALUE"""),"On-time Delivery: Delivered on time")</f>
        <v>On-time Delivery: Delivered on time</v>
      </c>
      <c r="Q344" s="14" t="str">
        <f>IFERROR(__xludf.DUMMYFUNCTION("split(P344,"":"")"),"On-time Delivery")</f>
        <v>On-time Delivery</v>
      </c>
      <c r="R344" s="14" t="str">
        <f>IFERROR(__xludf.DUMMYFUNCTION("""COMPUTED_VALUE""")," Delivered on time")</f>
        <v> Delivered on time</v>
      </c>
      <c r="S344" s="14" t="str">
        <f t="shared" ref="S344:U344" si="691">trim(B344)</f>
        <v>ord_10335</v>
      </c>
      <c r="T344" s="14" t="str">
        <f t="shared" si="691"/>
        <v>Mehul Thakkar</v>
      </c>
      <c r="U344" s="14" t="str">
        <f t="shared" si="691"/>
        <v>Malad</v>
      </c>
      <c r="V344" s="14" t="str">
        <f t="shared" si="4"/>
        <v>Potato</v>
      </c>
      <c r="W344" s="14">
        <f t="shared" si="5"/>
        <v>2</v>
      </c>
      <c r="X344" s="14" t="str">
        <f t="shared" si="6"/>
        <v>Venu R</v>
      </c>
      <c r="Y344" s="15">
        <f t="shared" si="7"/>
        <v>45072</v>
      </c>
      <c r="Z344" s="14" t="str">
        <f t="shared" si="8"/>
        <v>UPI</v>
      </c>
      <c r="AA344" s="14" t="str">
        <f t="shared" si="9"/>
        <v>Delivered</v>
      </c>
      <c r="AB344" s="14" t="str">
        <f t="shared" ref="AB344:AC344" si="692">trim(Q344)</f>
        <v>On-time Delivery</v>
      </c>
      <c r="AC344" s="14" t="str">
        <f t="shared" si="692"/>
        <v>Delivered on time</v>
      </c>
      <c r="AD344" s="8"/>
    </row>
    <row r="345">
      <c r="A345" s="14" t="str">
        <f>IFERROR(__xludf.DUMMYFUNCTION("""COMPUTED_VALUE"""),"//ord_10336//Sakshi Tandon//Colaba//Veg Puff+1*Rohan Yadav/7/30/2023//Online Payment//Cancelled*Delayed Delivery:Heavy Traffic")</f>
        <v>//ord_10336//Sakshi Tandon//Colaba//Veg Puff+1*Rohan Yadav/7/30/2023//Online Payment//Cancelled*Delayed Delivery:Heavy Traffic</v>
      </c>
      <c r="B345" s="14" t="str">
        <f>IFERROR(__xludf.DUMMYFUNCTION("split(A345,""//"")"),"ord_10336")</f>
        <v>ord_10336</v>
      </c>
      <c r="C345" s="14" t="str">
        <f>IFERROR(__xludf.DUMMYFUNCTION("""COMPUTED_VALUE"""),"Sakshi Tandon")</f>
        <v>Sakshi Tandon</v>
      </c>
      <c r="D345" s="14" t="str">
        <f>IFERROR(__xludf.DUMMYFUNCTION("""COMPUTED_VALUE"""),"Colaba")</f>
        <v>Colaba</v>
      </c>
      <c r="E345" s="14" t="str">
        <f>IFERROR(__xludf.DUMMYFUNCTION("""COMPUTED_VALUE"""),"Veg Puff+1*Rohan Yadav")</f>
        <v>Veg Puff+1*Rohan Yadav</v>
      </c>
      <c r="F345" s="14">
        <f>IFERROR(__xludf.DUMMYFUNCTION("""COMPUTED_VALUE"""),7.0)</f>
        <v>7</v>
      </c>
      <c r="G345" s="14">
        <f>IFERROR(__xludf.DUMMYFUNCTION("""COMPUTED_VALUE"""),30.0)</f>
        <v>30</v>
      </c>
      <c r="H345" s="14">
        <f>IFERROR(__xludf.DUMMYFUNCTION("""COMPUTED_VALUE"""),2023.0)</f>
        <v>2023</v>
      </c>
      <c r="I345" s="14" t="str">
        <f>IFERROR(__xludf.DUMMYFUNCTION("""COMPUTED_VALUE"""),"Online Payment")</f>
        <v>Online Payment</v>
      </c>
      <c r="J345" s="14" t="str">
        <f>IFERROR(__xludf.DUMMYFUNCTION("""COMPUTED_VALUE"""),"Cancelled*Delayed Delivery:Heavy Traffic")</f>
        <v>Cancelled*Delayed Delivery:Heavy Traffic</v>
      </c>
      <c r="K345" s="14" t="str">
        <f>IFERROR(__xludf.DUMMYFUNCTION("split(E345,""+"")"),"Veg Puff")</f>
        <v>Veg Puff</v>
      </c>
      <c r="L345" s="14" t="str">
        <f>IFERROR(__xludf.DUMMYFUNCTION("""COMPUTED_VALUE"""),"1*Rohan Yadav")</f>
        <v>1*Rohan Yadav</v>
      </c>
      <c r="M345" s="14">
        <f>IFERROR(__xludf.DUMMYFUNCTION("SPLIT(L345,""*"")"),1.0)</f>
        <v>1</v>
      </c>
      <c r="N345" s="14" t="str">
        <f>IFERROR(__xludf.DUMMYFUNCTION("""COMPUTED_VALUE"""),"Rohan Yadav")</f>
        <v>Rohan Yadav</v>
      </c>
      <c r="O345" s="14" t="str">
        <f>IFERROR(__xludf.DUMMYFUNCTION("split(J345,""*"")"),"Cancelled")</f>
        <v>Cancelled</v>
      </c>
      <c r="P345" s="14" t="str">
        <f>IFERROR(__xludf.DUMMYFUNCTION("""COMPUTED_VALUE"""),"Delayed Delivery:Heavy Traffic")</f>
        <v>Delayed Delivery:Heavy Traffic</v>
      </c>
      <c r="Q345" s="14" t="str">
        <f>IFERROR(__xludf.DUMMYFUNCTION("split(P345,"":"")"),"Delayed Delivery")</f>
        <v>Delayed Delivery</v>
      </c>
      <c r="R345" s="14" t="str">
        <f>IFERROR(__xludf.DUMMYFUNCTION("""COMPUTED_VALUE"""),"Heavy Traffic")</f>
        <v>Heavy Traffic</v>
      </c>
      <c r="S345" s="14" t="str">
        <f t="shared" ref="S345:U345" si="693">trim(B345)</f>
        <v>ord_10336</v>
      </c>
      <c r="T345" s="14" t="str">
        <f t="shared" si="693"/>
        <v>Sakshi Tandon</v>
      </c>
      <c r="U345" s="14" t="str">
        <f t="shared" si="693"/>
        <v>Colaba</v>
      </c>
      <c r="V345" s="14" t="str">
        <f t="shared" si="4"/>
        <v>Veg Puff</v>
      </c>
      <c r="W345" s="14">
        <f t="shared" si="5"/>
        <v>1</v>
      </c>
      <c r="X345" s="14" t="str">
        <f t="shared" si="6"/>
        <v>Rohan Yadav</v>
      </c>
      <c r="Y345" s="15">
        <f t="shared" si="7"/>
        <v>45137</v>
      </c>
      <c r="Z345" s="14" t="str">
        <f t="shared" si="8"/>
        <v>Online Payment</v>
      </c>
      <c r="AA345" s="14" t="str">
        <f t="shared" si="9"/>
        <v>Cancelled</v>
      </c>
      <c r="AB345" s="14" t="str">
        <f t="shared" ref="AB345:AC345" si="694">trim(Q345)</f>
        <v>Delayed Delivery</v>
      </c>
      <c r="AC345" s="14" t="str">
        <f t="shared" si="694"/>
        <v>Heavy Traffic</v>
      </c>
      <c r="AD345" s="8"/>
    </row>
    <row r="346">
      <c r="A346" s="14" t="str">
        <f>IFERROR(__xludf.DUMMYFUNCTION("""COMPUTED_VALUE"""),"//ord_10337//Mehul Thakkar//Malad//Orange+2*Nithin Lal/10/24/2023//COD//Delivered*Quality of Items: Perfect condition")</f>
        <v>//ord_10337//Mehul Thakkar//Malad//Orange+2*Nithin Lal/10/24/2023//COD//Delivered*Quality of Items: Perfect condition</v>
      </c>
      <c r="B346" s="14" t="str">
        <f>IFERROR(__xludf.DUMMYFUNCTION("split(A346,""//"")"),"ord_10337")</f>
        <v>ord_10337</v>
      </c>
      <c r="C346" s="14" t="str">
        <f>IFERROR(__xludf.DUMMYFUNCTION("""COMPUTED_VALUE"""),"Mehul Thakkar")</f>
        <v>Mehul Thakkar</v>
      </c>
      <c r="D346" s="14" t="str">
        <f>IFERROR(__xludf.DUMMYFUNCTION("""COMPUTED_VALUE"""),"Malad")</f>
        <v>Malad</v>
      </c>
      <c r="E346" s="14" t="str">
        <f>IFERROR(__xludf.DUMMYFUNCTION("""COMPUTED_VALUE"""),"Orange+2*Nithin Lal")</f>
        <v>Orange+2*Nithin Lal</v>
      </c>
      <c r="F346" s="14">
        <f>IFERROR(__xludf.DUMMYFUNCTION("""COMPUTED_VALUE"""),10.0)</f>
        <v>10</v>
      </c>
      <c r="G346" s="14">
        <f>IFERROR(__xludf.DUMMYFUNCTION("""COMPUTED_VALUE"""),24.0)</f>
        <v>24</v>
      </c>
      <c r="H346" s="14">
        <f>IFERROR(__xludf.DUMMYFUNCTION("""COMPUTED_VALUE"""),2023.0)</f>
        <v>2023</v>
      </c>
      <c r="I346" s="14" t="str">
        <f>IFERROR(__xludf.DUMMYFUNCTION("""COMPUTED_VALUE"""),"COD")</f>
        <v>COD</v>
      </c>
      <c r="J346" s="14" t="str">
        <f>IFERROR(__xludf.DUMMYFUNCTION("""COMPUTED_VALUE"""),"Delivered*Quality of Items: Perfect condition")</f>
        <v>Delivered*Quality of Items: Perfect condition</v>
      </c>
      <c r="K346" s="14" t="str">
        <f>IFERROR(__xludf.DUMMYFUNCTION("split(E346,""+"")"),"Orange")</f>
        <v>Orange</v>
      </c>
      <c r="L346" s="14" t="str">
        <f>IFERROR(__xludf.DUMMYFUNCTION("""COMPUTED_VALUE"""),"2*Nithin Lal")</f>
        <v>2*Nithin Lal</v>
      </c>
      <c r="M346" s="14">
        <f>IFERROR(__xludf.DUMMYFUNCTION("SPLIT(L346,""*"")"),2.0)</f>
        <v>2</v>
      </c>
      <c r="N346" s="14" t="str">
        <f>IFERROR(__xludf.DUMMYFUNCTION("""COMPUTED_VALUE"""),"Nithin Lal")</f>
        <v>Nithin Lal</v>
      </c>
      <c r="O346" s="14" t="str">
        <f>IFERROR(__xludf.DUMMYFUNCTION("split(J346,""*"")"),"Delivered")</f>
        <v>Delivered</v>
      </c>
      <c r="P346" s="14" t="str">
        <f>IFERROR(__xludf.DUMMYFUNCTION("""COMPUTED_VALUE"""),"Quality of Items: Perfect condition")</f>
        <v>Quality of Items: Perfect condition</v>
      </c>
      <c r="Q346" s="14" t="str">
        <f>IFERROR(__xludf.DUMMYFUNCTION("split(P346,"":"")"),"Quality of Items")</f>
        <v>Quality of Items</v>
      </c>
      <c r="R346" s="14" t="str">
        <f>IFERROR(__xludf.DUMMYFUNCTION("""COMPUTED_VALUE""")," Perfect condition")</f>
        <v> Perfect condition</v>
      </c>
      <c r="S346" s="14" t="str">
        <f t="shared" ref="S346:U346" si="695">trim(B346)</f>
        <v>ord_10337</v>
      </c>
      <c r="T346" s="14" t="str">
        <f t="shared" si="695"/>
        <v>Mehul Thakkar</v>
      </c>
      <c r="U346" s="14" t="str">
        <f t="shared" si="695"/>
        <v>Malad</v>
      </c>
      <c r="V346" s="14" t="str">
        <f t="shared" si="4"/>
        <v>Orange</v>
      </c>
      <c r="W346" s="14">
        <f t="shared" si="5"/>
        <v>2</v>
      </c>
      <c r="X346" s="14" t="str">
        <f t="shared" si="6"/>
        <v>Nithin Lal</v>
      </c>
      <c r="Y346" s="15">
        <f t="shared" si="7"/>
        <v>45223</v>
      </c>
      <c r="Z346" s="14" t="str">
        <f t="shared" si="8"/>
        <v>COD</v>
      </c>
      <c r="AA346" s="14" t="str">
        <f t="shared" si="9"/>
        <v>Delivered</v>
      </c>
      <c r="AB346" s="14" t="str">
        <f t="shared" ref="AB346:AC346" si="696">trim(Q346)</f>
        <v>Quality of Items</v>
      </c>
      <c r="AC346" s="14" t="str">
        <f t="shared" si="696"/>
        <v>Perfect condition</v>
      </c>
      <c r="AD346" s="8"/>
    </row>
    <row r="347">
      <c r="A347" s="14" t="str">
        <f>IFERROR(__xludf.DUMMYFUNCTION("""COMPUTED_VALUE"""),"//ord_10338//Diya Arora//Lower Parel//Papaya+1*Shine Thomas/4/3/2023//Credit Card//Cancelled*Delayed Delivery:Heavy Traffic")</f>
        <v>//ord_10338//Diya Arora//Lower Parel//Papaya+1*Shine Thomas/4/3/2023//Credit Card//Cancelled*Delayed Delivery:Heavy Traffic</v>
      </c>
      <c r="B347" s="14" t="str">
        <f>IFERROR(__xludf.DUMMYFUNCTION("split(A347,""//"")"),"ord_10338")</f>
        <v>ord_10338</v>
      </c>
      <c r="C347" s="14" t="str">
        <f>IFERROR(__xludf.DUMMYFUNCTION("""COMPUTED_VALUE"""),"Diya Arora")</f>
        <v>Diya Arora</v>
      </c>
      <c r="D347" s="14" t="str">
        <f>IFERROR(__xludf.DUMMYFUNCTION("""COMPUTED_VALUE"""),"Lower Parel")</f>
        <v>Lower Parel</v>
      </c>
      <c r="E347" s="14" t="str">
        <f>IFERROR(__xludf.DUMMYFUNCTION("""COMPUTED_VALUE"""),"Papaya+1*Shine Thomas")</f>
        <v>Papaya+1*Shine Thomas</v>
      </c>
      <c r="F347" s="14">
        <f>IFERROR(__xludf.DUMMYFUNCTION("""COMPUTED_VALUE"""),4.0)</f>
        <v>4</v>
      </c>
      <c r="G347" s="14">
        <f>IFERROR(__xludf.DUMMYFUNCTION("""COMPUTED_VALUE"""),3.0)</f>
        <v>3</v>
      </c>
      <c r="H347" s="14">
        <f>IFERROR(__xludf.DUMMYFUNCTION("""COMPUTED_VALUE"""),2023.0)</f>
        <v>2023</v>
      </c>
      <c r="I347" s="14" t="str">
        <f>IFERROR(__xludf.DUMMYFUNCTION("""COMPUTED_VALUE"""),"Credit Card")</f>
        <v>Credit Card</v>
      </c>
      <c r="J347" s="14" t="str">
        <f>IFERROR(__xludf.DUMMYFUNCTION("""COMPUTED_VALUE"""),"Cancelled*Delayed Delivery:Heavy Traffic")</f>
        <v>Cancelled*Delayed Delivery:Heavy Traffic</v>
      </c>
      <c r="K347" s="14" t="str">
        <f>IFERROR(__xludf.DUMMYFUNCTION("split(E347,""+"")"),"Papaya")</f>
        <v>Papaya</v>
      </c>
      <c r="L347" s="14" t="str">
        <f>IFERROR(__xludf.DUMMYFUNCTION("""COMPUTED_VALUE"""),"1*Shine Thomas")</f>
        <v>1*Shine Thomas</v>
      </c>
      <c r="M347" s="14">
        <f>IFERROR(__xludf.DUMMYFUNCTION("SPLIT(L347,""*"")"),1.0)</f>
        <v>1</v>
      </c>
      <c r="N347" s="14" t="str">
        <f>IFERROR(__xludf.DUMMYFUNCTION("""COMPUTED_VALUE"""),"Shine Thomas")</f>
        <v>Shine Thomas</v>
      </c>
      <c r="O347" s="14" t="str">
        <f>IFERROR(__xludf.DUMMYFUNCTION("split(J347,""*"")"),"Cancelled")</f>
        <v>Cancelled</v>
      </c>
      <c r="P347" s="14" t="str">
        <f>IFERROR(__xludf.DUMMYFUNCTION("""COMPUTED_VALUE"""),"Delayed Delivery:Heavy Traffic")</f>
        <v>Delayed Delivery:Heavy Traffic</v>
      </c>
      <c r="Q347" s="14" t="str">
        <f>IFERROR(__xludf.DUMMYFUNCTION("split(P347,"":"")"),"Delayed Delivery")</f>
        <v>Delayed Delivery</v>
      </c>
      <c r="R347" s="14" t="str">
        <f>IFERROR(__xludf.DUMMYFUNCTION("""COMPUTED_VALUE"""),"Heavy Traffic")</f>
        <v>Heavy Traffic</v>
      </c>
      <c r="S347" s="14" t="str">
        <f t="shared" ref="S347:U347" si="697">trim(B347)</f>
        <v>ord_10338</v>
      </c>
      <c r="T347" s="14" t="str">
        <f t="shared" si="697"/>
        <v>Diya Arora</v>
      </c>
      <c r="U347" s="14" t="str">
        <f t="shared" si="697"/>
        <v>Lower Parel</v>
      </c>
      <c r="V347" s="14" t="str">
        <f t="shared" si="4"/>
        <v>Papaya</v>
      </c>
      <c r="W347" s="14">
        <f t="shared" si="5"/>
        <v>1</v>
      </c>
      <c r="X347" s="14" t="str">
        <f t="shared" si="6"/>
        <v>Shine Thomas</v>
      </c>
      <c r="Y347" s="15">
        <f t="shared" si="7"/>
        <v>45019</v>
      </c>
      <c r="Z347" s="14" t="str">
        <f t="shared" si="8"/>
        <v>Credit Card</v>
      </c>
      <c r="AA347" s="14" t="str">
        <f t="shared" si="9"/>
        <v>Cancelled</v>
      </c>
      <c r="AB347" s="14" t="str">
        <f t="shared" ref="AB347:AC347" si="698">trim(Q347)</f>
        <v>Delayed Delivery</v>
      </c>
      <c r="AC347" s="14" t="str">
        <f t="shared" si="698"/>
        <v>Heavy Traffic</v>
      </c>
      <c r="AD347" s="8"/>
    </row>
    <row r="348">
      <c r="A348" s="14" t="str">
        <f>IFERROR(__xludf.DUMMYFUNCTION("""COMPUTED_VALUE"""),"//ord_10339//Aarohi Kapoor//Bandra//Juice+3*Nikhil Deshmukh/4/13/2023//UPI//Cancelled*Delayed Delivery:Traffic Accidents or Road Closures")</f>
        <v>//ord_10339//Aarohi Kapoor//Bandra//Juice+3*Nikhil Deshmukh/4/13/2023//UPI//Cancelled*Delayed Delivery:Traffic Accidents or Road Closures</v>
      </c>
      <c r="B348" s="14" t="str">
        <f>IFERROR(__xludf.DUMMYFUNCTION("split(A348,""//"")"),"ord_10339")</f>
        <v>ord_10339</v>
      </c>
      <c r="C348" s="14" t="str">
        <f>IFERROR(__xludf.DUMMYFUNCTION("""COMPUTED_VALUE"""),"Aarohi Kapoor")</f>
        <v>Aarohi Kapoor</v>
      </c>
      <c r="D348" s="14" t="str">
        <f>IFERROR(__xludf.DUMMYFUNCTION("""COMPUTED_VALUE"""),"Bandra")</f>
        <v>Bandra</v>
      </c>
      <c r="E348" s="14" t="str">
        <f>IFERROR(__xludf.DUMMYFUNCTION("""COMPUTED_VALUE"""),"Juice+3*Nikhil Deshmukh")</f>
        <v>Juice+3*Nikhil Deshmukh</v>
      </c>
      <c r="F348" s="14">
        <f>IFERROR(__xludf.DUMMYFUNCTION("""COMPUTED_VALUE"""),4.0)</f>
        <v>4</v>
      </c>
      <c r="G348" s="14">
        <f>IFERROR(__xludf.DUMMYFUNCTION("""COMPUTED_VALUE"""),13.0)</f>
        <v>13</v>
      </c>
      <c r="H348" s="14">
        <f>IFERROR(__xludf.DUMMYFUNCTION("""COMPUTED_VALUE"""),2023.0)</f>
        <v>2023</v>
      </c>
      <c r="I348" s="14" t="str">
        <f>IFERROR(__xludf.DUMMYFUNCTION("""COMPUTED_VALUE"""),"UPI")</f>
        <v>UPI</v>
      </c>
      <c r="J348" s="14" t="str">
        <f>IFERROR(__xludf.DUMMYFUNCTION("""COMPUTED_VALUE"""),"Cancelled*Delayed Delivery:Traffic Accidents or Road Closures")</f>
        <v>Cancelled*Delayed Delivery:Traffic Accidents or Road Closures</v>
      </c>
      <c r="K348" s="14" t="str">
        <f>IFERROR(__xludf.DUMMYFUNCTION("split(E348,""+"")"),"Juice")</f>
        <v>Juice</v>
      </c>
      <c r="L348" s="14" t="str">
        <f>IFERROR(__xludf.DUMMYFUNCTION("""COMPUTED_VALUE"""),"3*Nikhil Deshmukh")</f>
        <v>3*Nikhil Deshmukh</v>
      </c>
      <c r="M348" s="14">
        <f>IFERROR(__xludf.DUMMYFUNCTION("SPLIT(L348,""*"")"),3.0)</f>
        <v>3</v>
      </c>
      <c r="N348" s="14" t="str">
        <f>IFERROR(__xludf.DUMMYFUNCTION("""COMPUTED_VALUE"""),"Nikhil Deshmukh")</f>
        <v>Nikhil Deshmukh</v>
      </c>
      <c r="O348" s="14" t="str">
        <f>IFERROR(__xludf.DUMMYFUNCTION("split(J348,""*"")"),"Cancelled")</f>
        <v>Cancelled</v>
      </c>
      <c r="P348" s="14" t="str">
        <f>IFERROR(__xludf.DUMMYFUNCTION("""COMPUTED_VALUE"""),"Delayed Delivery:Traffic Accidents or Road Closures")</f>
        <v>Delayed Delivery:Traffic Accidents or Road Closures</v>
      </c>
      <c r="Q348" s="14" t="str">
        <f>IFERROR(__xludf.DUMMYFUNCTION("split(P348,"":"")"),"Delayed Delivery")</f>
        <v>Delayed Delivery</v>
      </c>
      <c r="R348" s="14" t="str">
        <f>IFERROR(__xludf.DUMMYFUNCTION("""COMPUTED_VALUE"""),"Traffic Accidents or Road Closures")</f>
        <v>Traffic Accidents or Road Closures</v>
      </c>
      <c r="S348" s="14" t="str">
        <f t="shared" ref="S348:U348" si="699">trim(B348)</f>
        <v>ord_10339</v>
      </c>
      <c r="T348" s="14" t="str">
        <f t="shared" si="699"/>
        <v>Aarohi Kapoor</v>
      </c>
      <c r="U348" s="14" t="str">
        <f t="shared" si="699"/>
        <v>Bandra</v>
      </c>
      <c r="V348" s="14" t="str">
        <f t="shared" si="4"/>
        <v>Juice</v>
      </c>
      <c r="W348" s="14">
        <f t="shared" si="5"/>
        <v>3</v>
      </c>
      <c r="X348" s="14" t="str">
        <f t="shared" si="6"/>
        <v>Nikhil Deshmukh</v>
      </c>
      <c r="Y348" s="15">
        <f t="shared" si="7"/>
        <v>45029</v>
      </c>
      <c r="Z348" s="14" t="str">
        <f t="shared" si="8"/>
        <v>UPI</v>
      </c>
      <c r="AA348" s="14" t="str">
        <f t="shared" si="9"/>
        <v>Cancelled</v>
      </c>
      <c r="AB348" s="14" t="str">
        <f t="shared" ref="AB348:AC348" si="700">trim(Q348)</f>
        <v>Delayed Delivery</v>
      </c>
      <c r="AC348" s="14" t="str">
        <f t="shared" si="700"/>
        <v>Traffic Accidents or Road Closures</v>
      </c>
      <c r="AD348" s="8"/>
    </row>
    <row r="349">
      <c r="A349" s="14" t="str">
        <f>IFERROR(__xludf.DUMMYFUNCTION("""COMPUTED_VALUE"""),"//ord_10340//Siya Reddy//Juhu//Onion+1*Not Assigned/2/9/2023//UPI//Cancelled*High Delivery Fees")</f>
        <v>//ord_10340//Siya Reddy//Juhu//Onion+1*Not Assigned/2/9/2023//UPI//Cancelled*High Delivery Fees</v>
      </c>
      <c r="B349" s="14" t="str">
        <f>IFERROR(__xludf.DUMMYFUNCTION("split(A349,""//"")"),"ord_10340")</f>
        <v>ord_10340</v>
      </c>
      <c r="C349" s="14" t="str">
        <f>IFERROR(__xludf.DUMMYFUNCTION("""COMPUTED_VALUE"""),"Siya Reddy")</f>
        <v>Siya Reddy</v>
      </c>
      <c r="D349" s="14" t="str">
        <f>IFERROR(__xludf.DUMMYFUNCTION("""COMPUTED_VALUE"""),"Juhu")</f>
        <v>Juhu</v>
      </c>
      <c r="E349" s="14" t="str">
        <f>IFERROR(__xludf.DUMMYFUNCTION("""COMPUTED_VALUE"""),"Onion+1*Not Assigned")</f>
        <v>Onion+1*Not Assigned</v>
      </c>
      <c r="F349" s="14">
        <f>IFERROR(__xludf.DUMMYFUNCTION("""COMPUTED_VALUE"""),2.0)</f>
        <v>2</v>
      </c>
      <c r="G349" s="14">
        <f>IFERROR(__xludf.DUMMYFUNCTION("""COMPUTED_VALUE"""),9.0)</f>
        <v>9</v>
      </c>
      <c r="H349" s="14">
        <f>IFERROR(__xludf.DUMMYFUNCTION("""COMPUTED_VALUE"""),2023.0)</f>
        <v>2023</v>
      </c>
      <c r="I349" s="14" t="str">
        <f>IFERROR(__xludf.DUMMYFUNCTION("""COMPUTED_VALUE"""),"UPI")</f>
        <v>UPI</v>
      </c>
      <c r="J349" s="14" t="str">
        <f>IFERROR(__xludf.DUMMYFUNCTION("""COMPUTED_VALUE"""),"Cancelled*High Delivery Fees")</f>
        <v>Cancelled*High Delivery Fees</v>
      </c>
      <c r="K349" s="14" t="str">
        <f>IFERROR(__xludf.DUMMYFUNCTION("split(E349,""+"")"),"Onion")</f>
        <v>Onion</v>
      </c>
      <c r="L349" s="14" t="str">
        <f>IFERROR(__xludf.DUMMYFUNCTION("""COMPUTED_VALUE"""),"1*Not Assigned")</f>
        <v>1*Not Assigned</v>
      </c>
      <c r="M349" s="14">
        <f>IFERROR(__xludf.DUMMYFUNCTION("SPLIT(L349,""*"")"),1.0)</f>
        <v>1</v>
      </c>
      <c r="N349" s="14" t="str">
        <f>IFERROR(__xludf.DUMMYFUNCTION("""COMPUTED_VALUE"""),"Not Assigned")</f>
        <v>Not Assigned</v>
      </c>
      <c r="O349" s="14" t="str">
        <f>IFERROR(__xludf.DUMMYFUNCTION("split(J349,""*"")"),"Cancelled")</f>
        <v>Cancelled</v>
      </c>
      <c r="P349" s="14" t="str">
        <f>IFERROR(__xludf.DUMMYFUNCTION("""COMPUTED_VALUE"""),"High Delivery Fees")</f>
        <v>High Delivery Fees</v>
      </c>
      <c r="Q349" s="14" t="str">
        <f>IFERROR(__xludf.DUMMYFUNCTION("split(P349,"":"")"),"High Delivery Fees")</f>
        <v>High Delivery Fees</v>
      </c>
      <c r="R349" s="14"/>
      <c r="S349" s="14" t="str">
        <f t="shared" ref="S349:U349" si="701">trim(B349)</f>
        <v>ord_10340</v>
      </c>
      <c r="T349" s="14" t="str">
        <f t="shared" si="701"/>
        <v>Siya Reddy</v>
      </c>
      <c r="U349" s="14" t="str">
        <f t="shared" si="701"/>
        <v>Juhu</v>
      </c>
      <c r="V349" s="14" t="str">
        <f t="shared" si="4"/>
        <v>Onion</v>
      </c>
      <c r="W349" s="14">
        <f t="shared" si="5"/>
        <v>1</v>
      </c>
      <c r="X349" s="14" t="str">
        <f t="shared" si="6"/>
        <v>Not Assigned</v>
      </c>
      <c r="Y349" s="15">
        <f t="shared" si="7"/>
        <v>44966</v>
      </c>
      <c r="Z349" s="14" t="str">
        <f t="shared" si="8"/>
        <v>UPI</v>
      </c>
      <c r="AA349" s="14" t="str">
        <f t="shared" si="9"/>
        <v>Cancelled</v>
      </c>
      <c r="AB349" s="14" t="str">
        <f t="shared" ref="AB349:AC349" si="702">trim(Q349)</f>
        <v>High Delivery Fees</v>
      </c>
      <c r="AC349" s="14" t="str">
        <f t="shared" si="702"/>
        <v/>
      </c>
      <c r="AD349" s="8"/>
    </row>
    <row r="350">
      <c r="A350" s="14" t="str">
        <f>IFERROR(__xludf.DUMMYFUNCTION("""COMPUTED_VALUE"""),"//ord_10341//Aarav Mehta//Andheri//Banana+2*Not Assigned/12/8/2023//Credit Card//Cancelled*High Delivery Fees")</f>
        <v>//ord_10341//Aarav Mehta//Andheri//Banana+2*Not Assigned/12/8/2023//Credit Card//Cancelled*High Delivery Fees</v>
      </c>
      <c r="B350" s="14" t="str">
        <f>IFERROR(__xludf.DUMMYFUNCTION("split(A350,""//"")"),"ord_10341")</f>
        <v>ord_10341</v>
      </c>
      <c r="C350" s="14" t="str">
        <f>IFERROR(__xludf.DUMMYFUNCTION("""COMPUTED_VALUE"""),"Aarav Mehta")</f>
        <v>Aarav Mehta</v>
      </c>
      <c r="D350" s="14" t="str">
        <f>IFERROR(__xludf.DUMMYFUNCTION("""COMPUTED_VALUE"""),"Andheri")</f>
        <v>Andheri</v>
      </c>
      <c r="E350" s="14" t="str">
        <f>IFERROR(__xludf.DUMMYFUNCTION("""COMPUTED_VALUE"""),"Banana+2*Not Assigned")</f>
        <v>Banana+2*Not Assigned</v>
      </c>
      <c r="F350" s="14">
        <f>IFERROR(__xludf.DUMMYFUNCTION("""COMPUTED_VALUE"""),12.0)</f>
        <v>12</v>
      </c>
      <c r="G350" s="14">
        <f>IFERROR(__xludf.DUMMYFUNCTION("""COMPUTED_VALUE"""),8.0)</f>
        <v>8</v>
      </c>
      <c r="H350" s="14">
        <f>IFERROR(__xludf.DUMMYFUNCTION("""COMPUTED_VALUE"""),2023.0)</f>
        <v>2023</v>
      </c>
      <c r="I350" s="14" t="str">
        <f>IFERROR(__xludf.DUMMYFUNCTION("""COMPUTED_VALUE"""),"Credit Card")</f>
        <v>Credit Card</v>
      </c>
      <c r="J350" s="14" t="str">
        <f>IFERROR(__xludf.DUMMYFUNCTION("""COMPUTED_VALUE"""),"Cancelled*High Delivery Fees")</f>
        <v>Cancelled*High Delivery Fees</v>
      </c>
      <c r="K350" s="14" t="str">
        <f>IFERROR(__xludf.DUMMYFUNCTION("split(E350,""+"")"),"Banana")</f>
        <v>Banana</v>
      </c>
      <c r="L350" s="14" t="str">
        <f>IFERROR(__xludf.DUMMYFUNCTION("""COMPUTED_VALUE"""),"2*Not Assigned")</f>
        <v>2*Not Assigned</v>
      </c>
      <c r="M350" s="14">
        <f>IFERROR(__xludf.DUMMYFUNCTION("SPLIT(L350,""*"")"),2.0)</f>
        <v>2</v>
      </c>
      <c r="N350" s="14" t="str">
        <f>IFERROR(__xludf.DUMMYFUNCTION("""COMPUTED_VALUE"""),"Not Assigned")</f>
        <v>Not Assigned</v>
      </c>
      <c r="O350" s="14" t="str">
        <f>IFERROR(__xludf.DUMMYFUNCTION("split(J350,""*"")"),"Cancelled")</f>
        <v>Cancelled</v>
      </c>
      <c r="P350" s="14" t="str">
        <f>IFERROR(__xludf.DUMMYFUNCTION("""COMPUTED_VALUE"""),"High Delivery Fees")</f>
        <v>High Delivery Fees</v>
      </c>
      <c r="Q350" s="14" t="str">
        <f>IFERROR(__xludf.DUMMYFUNCTION("split(P350,"":"")"),"High Delivery Fees")</f>
        <v>High Delivery Fees</v>
      </c>
      <c r="R350" s="14"/>
      <c r="S350" s="14" t="str">
        <f t="shared" ref="S350:U350" si="703">trim(B350)</f>
        <v>ord_10341</v>
      </c>
      <c r="T350" s="14" t="str">
        <f t="shared" si="703"/>
        <v>Aarav Mehta</v>
      </c>
      <c r="U350" s="14" t="str">
        <f t="shared" si="703"/>
        <v>Andheri</v>
      </c>
      <c r="V350" s="14" t="str">
        <f t="shared" si="4"/>
        <v>Banana</v>
      </c>
      <c r="W350" s="14">
        <f t="shared" si="5"/>
        <v>2</v>
      </c>
      <c r="X350" s="14" t="str">
        <f t="shared" si="6"/>
        <v>Not Assigned</v>
      </c>
      <c r="Y350" s="15">
        <f t="shared" si="7"/>
        <v>45268</v>
      </c>
      <c r="Z350" s="14" t="str">
        <f t="shared" si="8"/>
        <v>Credit Card</v>
      </c>
      <c r="AA350" s="14" t="str">
        <f t="shared" si="9"/>
        <v>Cancelled</v>
      </c>
      <c r="AB350" s="14" t="str">
        <f t="shared" ref="AB350:AC350" si="704">trim(Q350)</f>
        <v>High Delivery Fees</v>
      </c>
      <c r="AC350" s="14" t="str">
        <f t="shared" si="704"/>
        <v/>
      </c>
      <c r="AD350" s="8"/>
    </row>
    <row r="351">
      <c r="A351" s="14" t="str">
        <f>IFERROR(__xludf.DUMMYFUNCTION("""COMPUTED_VALUE"""),"//ord_10342//Sakshi Tandon//Colaba//Popcorn+1*Nikhil Deshmukh/7/14/2023//Online Payment//Delivered*On-time Delivery: Delivered on time")</f>
        <v>//ord_10342//Sakshi Tandon//Colaba//Popcorn+1*Nikhil Deshmukh/7/14/2023//Online Payment//Delivered*On-time Delivery: Delivered on time</v>
      </c>
      <c r="B351" s="14" t="str">
        <f>IFERROR(__xludf.DUMMYFUNCTION("split(A351,""//"")"),"ord_10342")</f>
        <v>ord_10342</v>
      </c>
      <c r="C351" s="14" t="str">
        <f>IFERROR(__xludf.DUMMYFUNCTION("""COMPUTED_VALUE"""),"Sakshi Tandon")</f>
        <v>Sakshi Tandon</v>
      </c>
      <c r="D351" s="14" t="str">
        <f>IFERROR(__xludf.DUMMYFUNCTION("""COMPUTED_VALUE"""),"Colaba")</f>
        <v>Colaba</v>
      </c>
      <c r="E351" s="14" t="str">
        <f>IFERROR(__xludf.DUMMYFUNCTION("""COMPUTED_VALUE"""),"Popcorn+1*Nikhil Deshmukh")</f>
        <v>Popcorn+1*Nikhil Deshmukh</v>
      </c>
      <c r="F351" s="14">
        <f>IFERROR(__xludf.DUMMYFUNCTION("""COMPUTED_VALUE"""),7.0)</f>
        <v>7</v>
      </c>
      <c r="G351" s="14">
        <f>IFERROR(__xludf.DUMMYFUNCTION("""COMPUTED_VALUE"""),14.0)</f>
        <v>14</v>
      </c>
      <c r="H351" s="14">
        <f>IFERROR(__xludf.DUMMYFUNCTION("""COMPUTED_VALUE"""),2023.0)</f>
        <v>2023</v>
      </c>
      <c r="I351" s="14" t="str">
        <f>IFERROR(__xludf.DUMMYFUNCTION("""COMPUTED_VALUE"""),"Online Payment")</f>
        <v>Online Payment</v>
      </c>
      <c r="J351" s="14" t="str">
        <f>IFERROR(__xludf.DUMMYFUNCTION("""COMPUTED_VALUE"""),"Delivered*On-time Delivery: Delivered on time")</f>
        <v>Delivered*On-time Delivery: Delivered on time</v>
      </c>
      <c r="K351" s="14" t="str">
        <f>IFERROR(__xludf.DUMMYFUNCTION("split(E351,""+"")"),"Popcorn")</f>
        <v>Popcorn</v>
      </c>
      <c r="L351" s="14" t="str">
        <f>IFERROR(__xludf.DUMMYFUNCTION("""COMPUTED_VALUE"""),"1*Nikhil Deshmukh")</f>
        <v>1*Nikhil Deshmukh</v>
      </c>
      <c r="M351" s="14">
        <f>IFERROR(__xludf.DUMMYFUNCTION("SPLIT(L351,""*"")"),1.0)</f>
        <v>1</v>
      </c>
      <c r="N351" s="14" t="str">
        <f>IFERROR(__xludf.DUMMYFUNCTION("""COMPUTED_VALUE"""),"Nikhil Deshmukh")</f>
        <v>Nikhil Deshmukh</v>
      </c>
      <c r="O351" s="14" t="str">
        <f>IFERROR(__xludf.DUMMYFUNCTION("split(J351,""*"")"),"Delivered")</f>
        <v>Delivered</v>
      </c>
      <c r="P351" s="14" t="str">
        <f>IFERROR(__xludf.DUMMYFUNCTION("""COMPUTED_VALUE"""),"On-time Delivery: Delivered on time")</f>
        <v>On-time Delivery: Delivered on time</v>
      </c>
      <c r="Q351" s="14" t="str">
        <f>IFERROR(__xludf.DUMMYFUNCTION("split(P351,"":"")"),"On-time Delivery")</f>
        <v>On-time Delivery</v>
      </c>
      <c r="R351" s="14" t="str">
        <f>IFERROR(__xludf.DUMMYFUNCTION("""COMPUTED_VALUE""")," Delivered on time")</f>
        <v> Delivered on time</v>
      </c>
      <c r="S351" s="14" t="str">
        <f t="shared" ref="S351:U351" si="705">trim(B351)</f>
        <v>ord_10342</v>
      </c>
      <c r="T351" s="14" t="str">
        <f t="shared" si="705"/>
        <v>Sakshi Tandon</v>
      </c>
      <c r="U351" s="14" t="str">
        <f t="shared" si="705"/>
        <v>Colaba</v>
      </c>
      <c r="V351" s="14" t="str">
        <f t="shared" si="4"/>
        <v>Popcorn</v>
      </c>
      <c r="W351" s="14">
        <f t="shared" si="5"/>
        <v>1</v>
      </c>
      <c r="X351" s="14" t="str">
        <f t="shared" si="6"/>
        <v>Nikhil Deshmukh</v>
      </c>
      <c r="Y351" s="15">
        <f t="shared" si="7"/>
        <v>45121</v>
      </c>
      <c r="Z351" s="14" t="str">
        <f t="shared" si="8"/>
        <v>Online Payment</v>
      </c>
      <c r="AA351" s="14" t="str">
        <f t="shared" si="9"/>
        <v>Delivered</v>
      </c>
      <c r="AB351" s="14" t="str">
        <f t="shared" ref="AB351:AC351" si="706">trim(Q351)</f>
        <v>On-time Delivery</v>
      </c>
      <c r="AC351" s="14" t="str">
        <f t="shared" si="706"/>
        <v>Delivered on time</v>
      </c>
      <c r="AD351" s="8"/>
    </row>
    <row r="352">
      <c r="A352" s="14" t="str">
        <f>IFERROR(__xludf.DUMMYFUNCTION("""COMPUTED_VALUE"""),"//ord_10343//Ishita Banerjee//Juhu//Tomato+1*Tanvi Jain/3/2/2023//COD//Delivered*Quality of Items: Perfect condition")</f>
        <v>//ord_10343//Ishita Banerjee//Juhu//Tomato+1*Tanvi Jain/3/2/2023//COD//Delivered*Quality of Items: Perfect condition</v>
      </c>
      <c r="B352" s="14" t="str">
        <f>IFERROR(__xludf.DUMMYFUNCTION("split(A352,""//"")"),"ord_10343")</f>
        <v>ord_10343</v>
      </c>
      <c r="C352" s="14" t="str">
        <f>IFERROR(__xludf.DUMMYFUNCTION("""COMPUTED_VALUE"""),"Ishita Banerjee")</f>
        <v>Ishita Banerjee</v>
      </c>
      <c r="D352" s="14" t="str">
        <f>IFERROR(__xludf.DUMMYFUNCTION("""COMPUTED_VALUE"""),"Juhu")</f>
        <v>Juhu</v>
      </c>
      <c r="E352" s="14" t="str">
        <f>IFERROR(__xludf.DUMMYFUNCTION("""COMPUTED_VALUE"""),"Tomato+1*Tanvi Jain")</f>
        <v>Tomato+1*Tanvi Jain</v>
      </c>
      <c r="F352" s="14">
        <f>IFERROR(__xludf.DUMMYFUNCTION("""COMPUTED_VALUE"""),3.0)</f>
        <v>3</v>
      </c>
      <c r="G352" s="14">
        <f>IFERROR(__xludf.DUMMYFUNCTION("""COMPUTED_VALUE"""),2.0)</f>
        <v>2</v>
      </c>
      <c r="H352" s="14">
        <f>IFERROR(__xludf.DUMMYFUNCTION("""COMPUTED_VALUE"""),2023.0)</f>
        <v>2023</v>
      </c>
      <c r="I352" s="14" t="str">
        <f>IFERROR(__xludf.DUMMYFUNCTION("""COMPUTED_VALUE"""),"COD")</f>
        <v>COD</v>
      </c>
      <c r="J352" s="14" t="str">
        <f>IFERROR(__xludf.DUMMYFUNCTION("""COMPUTED_VALUE"""),"Delivered*Quality of Items: Perfect condition")</f>
        <v>Delivered*Quality of Items: Perfect condition</v>
      </c>
      <c r="K352" s="14" t="str">
        <f>IFERROR(__xludf.DUMMYFUNCTION("split(E352,""+"")"),"Tomato")</f>
        <v>Tomato</v>
      </c>
      <c r="L352" s="14" t="str">
        <f>IFERROR(__xludf.DUMMYFUNCTION("""COMPUTED_VALUE"""),"1*Tanvi Jain")</f>
        <v>1*Tanvi Jain</v>
      </c>
      <c r="M352" s="14">
        <f>IFERROR(__xludf.DUMMYFUNCTION("SPLIT(L352,""*"")"),1.0)</f>
        <v>1</v>
      </c>
      <c r="N352" s="14" t="str">
        <f>IFERROR(__xludf.DUMMYFUNCTION("""COMPUTED_VALUE"""),"Tanvi Jain")</f>
        <v>Tanvi Jain</v>
      </c>
      <c r="O352" s="14" t="str">
        <f>IFERROR(__xludf.DUMMYFUNCTION("split(J352,""*"")"),"Delivered")</f>
        <v>Delivered</v>
      </c>
      <c r="P352" s="14" t="str">
        <f>IFERROR(__xludf.DUMMYFUNCTION("""COMPUTED_VALUE"""),"Quality of Items: Perfect condition")</f>
        <v>Quality of Items: Perfect condition</v>
      </c>
      <c r="Q352" s="14" t="str">
        <f>IFERROR(__xludf.DUMMYFUNCTION("split(P352,"":"")"),"Quality of Items")</f>
        <v>Quality of Items</v>
      </c>
      <c r="R352" s="14" t="str">
        <f>IFERROR(__xludf.DUMMYFUNCTION("""COMPUTED_VALUE""")," Perfect condition")</f>
        <v> Perfect condition</v>
      </c>
      <c r="S352" s="14" t="str">
        <f t="shared" ref="S352:U352" si="707">trim(B352)</f>
        <v>ord_10343</v>
      </c>
      <c r="T352" s="14" t="str">
        <f t="shared" si="707"/>
        <v>Ishita Banerjee</v>
      </c>
      <c r="U352" s="14" t="str">
        <f t="shared" si="707"/>
        <v>Juhu</v>
      </c>
      <c r="V352" s="14" t="str">
        <f t="shared" si="4"/>
        <v>Tomato</v>
      </c>
      <c r="W352" s="14">
        <f t="shared" si="5"/>
        <v>1</v>
      </c>
      <c r="X352" s="14" t="str">
        <f t="shared" si="6"/>
        <v>Tanvi Jain</v>
      </c>
      <c r="Y352" s="15">
        <f t="shared" si="7"/>
        <v>44987</v>
      </c>
      <c r="Z352" s="14" t="str">
        <f t="shared" si="8"/>
        <v>COD</v>
      </c>
      <c r="AA352" s="14" t="str">
        <f t="shared" si="9"/>
        <v>Delivered</v>
      </c>
      <c r="AB352" s="14" t="str">
        <f t="shared" ref="AB352:AC352" si="708">trim(Q352)</f>
        <v>Quality of Items</v>
      </c>
      <c r="AC352" s="14" t="str">
        <f t="shared" si="708"/>
        <v>Perfect condition</v>
      </c>
      <c r="AD352" s="8"/>
    </row>
    <row r="353">
      <c r="A353" s="14" t="str">
        <f>IFERROR(__xludf.DUMMYFUNCTION("""COMPUTED_VALUE"""),"//ord_10344//Sakshi Tandon//Colaba//Orange+2*Nikhil Deshmukh/11/21/2023//Credit Card//Delivered*Packaging: Secure and intact")</f>
        <v>//ord_10344//Sakshi Tandon//Colaba//Orange+2*Nikhil Deshmukh/11/21/2023//Credit Card//Delivered*Packaging: Secure and intact</v>
      </c>
      <c r="B353" s="14" t="str">
        <f>IFERROR(__xludf.DUMMYFUNCTION("split(A353,""//"")"),"ord_10344")</f>
        <v>ord_10344</v>
      </c>
      <c r="C353" s="14" t="str">
        <f>IFERROR(__xludf.DUMMYFUNCTION("""COMPUTED_VALUE"""),"Sakshi Tandon")</f>
        <v>Sakshi Tandon</v>
      </c>
      <c r="D353" s="14" t="str">
        <f>IFERROR(__xludf.DUMMYFUNCTION("""COMPUTED_VALUE"""),"Colaba")</f>
        <v>Colaba</v>
      </c>
      <c r="E353" s="14" t="str">
        <f>IFERROR(__xludf.DUMMYFUNCTION("""COMPUTED_VALUE"""),"Orange+2*Nikhil Deshmukh")</f>
        <v>Orange+2*Nikhil Deshmukh</v>
      </c>
      <c r="F353" s="14">
        <f>IFERROR(__xludf.DUMMYFUNCTION("""COMPUTED_VALUE"""),11.0)</f>
        <v>11</v>
      </c>
      <c r="G353" s="14">
        <f>IFERROR(__xludf.DUMMYFUNCTION("""COMPUTED_VALUE"""),21.0)</f>
        <v>21</v>
      </c>
      <c r="H353" s="14">
        <f>IFERROR(__xludf.DUMMYFUNCTION("""COMPUTED_VALUE"""),2023.0)</f>
        <v>2023</v>
      </c>
      <c r="I353" s="14" t="str">
        <f>IFERROR(__xludf.DUMMYFUNCTION("""COMPUTED_VALUE"""),"Credit Card")</f>
        <v>Credit Card</v>
      </c>
      <c r="J353" s="14" t="str">
        <f>IFERROR(__xludf.DUMMYFUNCTION("""COMPUTED_VALUE"""),"Delivered*Packaging: Secure and intact")</f>
        <v>Delivered*Packaging: Secure and intact</v>
      </c>
      <c r="K353" s="14" t="str">
        <f>IFERROR(__xludf.DUMMYFUNCTION("split(E353,""+"")"),"Orange")</f>
        <v>Orange</v>
      </c>
      <c r="L353" s="14" t="str">
        <f>IFERROR(__xludf.DUMMYFUNCTION("""COMPUTED_VALUE"""),"2*Nikhil Deshmukh")</f>
        <v>2*Nikhil Deshmukh</v>
      </c>
      <c r="M353" s="14">
        <f>IFERROR(__xludf.DUMMYFUNCTION("SPLIT(L353,""*"")"),2.0)</f>
        <v>2</v>
      </c>
      <c r="N353" s="14" t="str">
        <f>IFERROR(__xludf.DUMMYFUNCTION("""COMPUTED_VALUE"""),"Nikhil Deshmukh")</f>
        <v>Nikhil Deshmukh</v>
      </c>
      <c r="O353" s="14" t="str">
        <f>IFERROR(__xludf.DUMMYFUNCTION("split(J353,""*"")"),"Delivered")</f>
        <v>Delivered</v>
      </c>
      <c r="P353" s="14" t="str">
        <f>IFERROR(__xludf.DUMMYFUNCTION("""COMPUTED_VALUE"""),"Packaging: Secure and intact")</f>
        <v>Packaging: Secure and intact</v>
      </c>
      <c r="Q353" s="14" t="str">
        <f>IFERROR(__xludf.DUMMYFUNCTION("split(P353,"":"")"),"Packaging")</f>
        <v>Packaging</v>
      </c>
      <c r="R353" s="14" t="str">
        <f>IFERROR(__xludf.DUMMYFUNCTION("""COMPUTED_VALUE""")," Secure and intact")</f>
        <v> Secure and intact</v>
      </c>
      <c r="S353" s="14" t="str">
        <f t="shared" ref="S353:U353" si="709">trim(B353)</f>
        <v>ord_10344</v>
      </c>
      <c r="T353" s="14" t="str">
        <f t="shared" si="709"/>
        <v>Sakshi Tandon</v>
      </c>
      <c r="U353" s="14" t="str">
        <f t="shared" si="709"/>
        <v>Colaba</v>
      </c>
      <c r="V353" s="14" t="str">
        <f t="shared" si="4"/>
        <v>Orange</v>
      </c>
      <c r="W353" s="14">
        <f t="shared" si="5"/>
        <v>2</v>
      </c>
      <c r="X353" s="14" t="str">
        <f t="shared" si="6"/>
        <v>Nikhil Deshmukh</v>
      </c>
      <c r="Y353" s="15">
        <f t="shared" si="7"/>
        <v>45251</v>
      </c>
      <c r="Z353" s="14" t="str">
        <f t="shared" si="8"/>
        <v>Credit Card</v>
      </c>
      <c r="AA353" s="14" t="str">
        <f t="shared" si="9"/>
        <v>Delivered</v>
      </c>
      <c r="AB353" s="14" t="str">
        <f t="shared" ref="AB353:AC353" si="710">trim(Q353)</f>
        <v>Packaging</v>
      </c>
      <c r="AC353" s="14" t="str">
        <f t="shared" si="710"/>
        <v>Secure and intact</v>
      </c>
      <c r="AD353" s="8"/>
    </row>
    <row r="354">
      <c r="A354" s="14" t="str">
        <f>IFERROR(__xludf.DUMMYFUNCTION("""COMPUTED_VALUE"""),"//ord_10345//Kritika Shetty//Malad//Juice+4*Nithin Lal/1/7/2023//Online Payment//Cancelled*Delayed Delivery:Heavy Traffic")</f>
        <v>//ord_10345//Kritika Shetty//Malad//Juice+4*Nithin Lal/1/7/2023//Online Payment//Cancelled*Delayed Delivery:Heavy Traffic</v>
      </c>
      <c r="B354" s="14" t="str">
        <f>IFERROR(__xludf.DUMMYFUNCTION("split(A354,""//"")"),"ord_10345")</f>
        <v>ord_10345</v>
      </c>
      <c r="C354" s="14" t="str">
        <f>IFERROR(__xludf.DUMMYFUNCTION("""COMPUTED_VALUE"""),"Kritika Shetty")</f>
        <v>Kritika Shetty</v>
      </c>
      <c r="D354" s="14" t="str">
        <f>IFERROR(__xludf.DUMMYFUNCTION("""COMPUTED_VALUE"""),"Malad")</f>
        <v>Malad</v>
      </c>
      <c r="E354" s="14" t="str">
        <f>IFERROR(__xludf.DUMMYFUNCTION("""COMPUTED_VALUE"""),"Juice+4*Nithin Lal")</f>
        <v>Juice+4*Nithin Lal</v>
      </c>
      <c r="F354" s="14">
        <f>IFERROR(__xludf.DUMMYFUNCTION("""COMPUTED_VALUE"""),1.0)</f>
        <v>1</v>
      </c>
      <c r="G354" s="14">
        <f>IFERROR(__xludf.DUMMYFUNCTION("""COMPUTED_VALUE"""),7.0)</f>
        <v>7</v>
      </c>
      <c r="H354" s="14">
        <f>IFERROR(__xludf.DUMMYFUNCTION("""COMPUTED_VALUE"""),2023.0)</f>
        <v>2023</v>
      </c>
      <c r="I354" s="14" t="str">
        <f>IFERROR(__xludf.DUMMYFUNCTION("""COMPUTED_VALUE"""),"Online Payment")</f>
        <v>Online Payment</v>
      </c>
      <c r="J354" s="14" t="str">
        <f>IFERROR(__xludf.DUMMYFUNCTION("""COMPUTED_VALUE"""),"Cancelled*Delayed Delivery:Heavy Traffic")</f>
        <v>Cancelled*Delayed Delivery:Heavy Traffic</v>
      </c>
      <c r="K354" s="14" t="str">
        <f>IFERROR(__xludf.DUMMYFUNCTION("split(E354,""+"")"),"Juice")</f>
        <v>Juice</v>
      </c>
      <c r="L354" s="14" t="str">
        <f>IFERROR(__xludf.DUMMYFUNCTION("""COMPUTED_VALUE"""),"4*Nithin Lal")</f>
        <v>4*Nithin Lal</v>
      </c>
      <c r="M354" s="14">
        <f>IFERROR(__xludf.DUMMYFUNCTION("SPLIT(L354,""*"")"),4.0)</f>
        <v>4</v>
      </c>
      <c r="N354" s="14" t="str">
        <f>IFERROR(__xludf.DUMMYFUNCTION("""COMPUTED_VALUE"""),"Nithin Lal")</f>
        <v>Nithin Lal</v>
      </c>
      <c r="O354" s="14" t="str">
        <f>IFERROR(__xludf.DUMMYFUNCTION("split(J354,""*"")"),"Cancelled")</f>
        <v>Cancelled</v>
      </c>
      <c r="P354" s="14" t="str">
        <f>IFERROR(__xludf.DUMMYFUNCTION("""COMPUTED_VALUE"""),"Delayed Delivery:Heavy Traffic")</f>
        <v>Delayed Delivery:Heavy Traffic</v>
      </c>
      <c r="Q354" s="14" t="str">
        <f>IFERROR(__xludf.DUMMYFUNCTION("split(P354,"":"")"),"Delayed Delivery")</f>
        <v>Delayed Delivery</v>
      </c>
      <c r="R354" s="14" t="str">
        <f>IFERROR(__xludf.DUMMYFUNCTION("""COMPUTED_VALUE"""),"Heavy Traffic")</f>
        <v>Heavy Traffic</v>
      </c>
      <c r="S354" s="14" t="str">
        <f t="shared" ref="S354:U354" si="711">trim(B354)</f>
        <v>ord_10345</v>
      </c>
      <c r="T354" s="14" t="str">
        <f t="shared" si="711"/>
        <v>Kritika Shetty</v>
      </c>
      <c r="U354" s="14" t="str">
        <f t="shared" si="711"/>
        <v>Malad</v>
      </c>
      <c r="V354" s="14" t="str">
        <f t="shared" si="4"/>
        <v>Juice</v>
      </c>
      <c r="W354" s="14">
        <f t="shared" si="5"/>
        <v>4</v>
      </c>
      <c r="X354" s="14" t="str">
        <f t="shared" si="6"/>
        <v>Nithin Lal</v>
      </c>
      <c r="Y354" s="15">
        <f t="shared" si="7"/>
        <v>44933</v>
      </c>
      <c r="Z354" s="14" t="str">
        <f t="shared" si="8"/>
        <v>Online Payment</v>
      </c>
      <c r="AA354" s="14" t="str">
        <f t="shared" si="9"/>
        <v>Cancelled</v>
      </c>
      <c r="AB354" s="14" t="str">
        <f t="shared" ref="AB354:AC354" si="712">trim(Q354)</f>
        <v>Delayed Delivery</v>
      </c>
      <c r="AC354" s="14" t="str">
        <f t="shared" si="712"/>
        <v>Heavy Traffic</v>
      </c>
      <c r="AD354" s="8"/>
    </row>
    <row r="355">
      <c r="A355" s="14" t="str">
        <f>IFERROR(__xludf.DUMMYFUNCTION("""COMPUTED_VALUE"""),"//ord_10346//Sanjay Nair//Dadar//Apple+2*Aman Kumar/10/29/2023//Credit Card//Delivered*Satisfied with the Delivery: Timely and quality")</f>
        <v>//ord_10346//Sanjay Nair//Dadar//Apple+2*Aman Kumar/10/29/2023//Credit Card//Delivered*Satisfied with the Delivery: Timely and quality</v>
      </c>
      <c r="B355" s="14" t="str">
        <f>IFERROR(__xludf.DUMMYFUNCTION("split(A355,""//"")"),"ord_10346")</f>
        <v>ord_10346</v>
      </c>
      <c r="C355" s="14" t="str">
        <f>IFERROR(__xludf.DUMMYFUNCTION("""COMPUTED_VALUE"""),"Sanjay Nair")</f>
        <v>Sanjay Nair</v>
      </c>
      <c r="D355" s="14" t="str">
        <f>IFERROR(__xludf.DUMMYFUNCTION("""COMPUTED_VALUE"""),"Dadar")</f>
        <v>Dadar</v>
      </c>
      <c r="E355" s="14" t="str">
        <f>IFERROR(__xludf.DUMMYFUNCTION("""COMPUTED_VALUE"""),"Apple+2*Aman Kumar")</f>
        <v>Apple+2*Aman Kumar</v>
      </c>
      <c r="F355" s="14">
        <f>IFERROR(__xludf.DUMMYFUNCTION("""COMPUTED_VALUE"""),10.0)</f>
        <v>10</v>
      </c>
      <c r="G355" s="14">
        <f>IFERROR(__xludf.DUMMYFUNCTION("""COMPUTED_VALUE"""),29.0)</f>
        <v>29</v>
      </c>
      <c r="H355" s="14">
        <f>IFERROR(__xludf.DUMMYFUNCTION("""COMPUTED_VALUE"""),2023.0)</f>
        <v>2023</v>
      </c>
      <c r="I355" s="14" t="str">
        <f>IFERROR(__xludf.DUMMYFUNCTION("""COMPUTED_VALUE"""),"Credit Card")</f>
        <v>Credit Card</v>
      </c>
      <c r="J355" s="14" t="str">
        <f>IFERROR(__xludf.DUMMYFUNCTION("""COMPUTED_VALUE"""),"Delivered*Satisfied with the Delivery: Timely and quality")</f>
        <v>Delivered*Satisfied with the Delivery: Timely and quality</v>
      </c>
      <c r="K355" s="14" t="str">
        <f>IFERROR(__xludf.DUMMYFUNCTION("split(E355,""+"")"),"Apple")</f>
        <v>Apple</v>
      </c>
      <c r="L355" s="14" t="str">
        <f>IFERROR(__xludf.DUMMYFUNCTION("""COMPUTED_VALUE"""),"2*Aman Kumar")</f>
        <v>2*Aman Kumar</v>
      </c>
      <c r="M355" s="14">
        <f>IFERROR(__xludf.DUMMYFUNCTION("SPLIT(L355,""*"")"),2.0)</f>
        <v>2</v>
      </c>
      <c r="N355" s="14" t="str">
        <f>IFERROR(__xludf.DUMMYFUNCTION("""COMPUTED_VALUE"""),"Aman Kumar")</f>
        <v>Aman Kumar</v>
      </c>
      <c r="O355" s="14" t="str">
        <f>IFERROR(__xludf.DUMMYFUNCTION("split(J355,""*"")"),"Delivered")</f>
        <v>Delivered</v>
      </c>
      <c r="P355" s="14" t="str">
        <f>IFERROR(__xludf.DUMMYFUNCTION("""COMPUTED_VALUE"""),"Satisfied with the Delivery: Timely and quality")</f>
        <v>Satisfied with the Delivery: Timely and quality</v>
      </c>
      <c r="Q355" s="14" t="str">
        <f>IFERROR(__xludf.DUMMYFUNCTION("split(P355,"":"")"),"Satisfied with the Delivery")</f>
        <v>Satisfied with the Delivery</v>
      </c>
      <c r="R355" s="14" t="str">
        <f>IFERROR(__xludf.DUMMYFUNCTION("""COMPUTED_VALUE""")," Timely and quality")</f>
        <v> Timely and quality</v>
      </c>
      <c r="S355" s="14" t="str">
        <f t="shared" ref="S355:U355" si="713">trim(B355)</f>
        <v>ord_10346</v>
      </c>
      <c r="T355" s="14" t="str">
        <f t="shared" si="713"/>
        <v>Sanjay Nair</v>
      </c>
      <c r="U355" s="14" t="str">
        <f t="shared" si="713"/>
        <v>Dadar</v>
      </c>
      <c r="V355" s="14" t="str">
        <f t="shared" si="4"/>
        <v>Apple</v>
      </c>
      <c r="W355" s="14">
        <f t="shared" si="5"/>
        <v>2</v>
      </c>
      <c r="X355" s="14" t="str">
        <f t="shared" si="6"/>
        <v>Aman Kumar</v>
      </c>
      <c r="Y355" s="15">
        <f t="shared" si="7"/>
        <v>45228</v>
      </c>
      <c r="Z355" s="14" t="str">
        <f t="shared" si="8"/>
        <v>Credit Card</v>
      </c>
      <c r="AA355" s="14" t="str">
        <f t="shared" si="9"/>
        <v>Delivered</v>
      </c>
      <c r="AB355" s="14" t="str">
        <f t="shared" ref="AB355:AC355" si="714">trim(Q355)</f>
        <v>Satisfied with the Delivery</v>
      </c>
      <c r="AC355" s="14" t="str">
        <f t="shared" si="714"/>
        <v>Timely and quality</v>
      </c>
      <c r="AD355" s="8"/>
    </row>
    <row r="356">
      <c r="A356" s="14" t="str">
        <f>IFERROR(__xludf.DUMMYFUNCTION("""COMPUTED_VALUE"""),"//ord_10347//Aditi Iyer//Dadar//Cold Coffee+4*Aman Kumar/11/9/2023//Credit Card//Cancelled*Delayed Delivery:Vehicle Breakdown")</f>
        <v>//ord_10347//Aditi Iyer//Dadar//Cold Coffee+4*Aman Kumar/11/9/2023//Credit Card//Cancelled*Delayed Delivery:Vehicle Breakdown</v>
      </c>
      <c r="B356" s="14" t="str">
        <f>IFERROR(__xludf.DUMMYFUNCTION("split(A356,""//"")"),"ord_10347")</f>
        <v>ord_10347</v>
      </c>
      <c r="C356" s="14" t="str">
        <f>IFERROR(__xludf.DUMMYFUNCTION("""COMPUTED_VALUE"""),"Aditi Iyer")</f>
        <v>Aditi Iyer</v>
      </c>
      <c r="D356" s="14" t="str">
        <f>IFERROR(__xludf.DUMMYFUNCTION("""COMPUTED_VALUE"""),"Dadar")</f>
        <v>Dadar</v>
      </c>
      <c r="E356" s="14" t="str">
        <f>IFERROR(__xludf.DUMMYFUNCTION("""COMPUTED_VALUE"""),"Cold Coffee+4*Aman Kumar")</f>
        <v>Cold Coffee+4*Aman Kumar</v>
      </c>
      <c r="F356" s="14">
        <f>IFERROR(__xludf.DUMMYFUNCTION("""COMPUTED_VALUE"""),11.0)</f>
        <v>11</v>
      </c>
      <c r="G356" s="14">
        <f>IFERROR(__xludf.DUMMYFUNCTION("""COMPUTED_VALUE"""),9.0)</f>
        <v>9</v>
      </c>
      <c r="H356" s="14">
        <f>IFERROR(__xludf.DUMMYFUNCTION("""COMPUTED_VALUE"""),2023.0)</f>
        <v>2023</v>
      </c>
      <c r="I356" s="14" t="str">
        <f>IFERROR(__xludf.DUMMYFUNCTION("""COMPUTED_VALUE"""),"Credit Card")</f>
        <v>Credit Card</v>
      </c>
      <c r="J356" s="14" t="str">
        <f>IFERROR(__xludf.DUMMYFUNCTION("""COMPUTED_VALUE"""),"Cancelled*Delayed Delivery:Vehicle Breakdown")</f>
        <v>Cancelled*Delayed Delivery:Vehicle Breakdown</v>
      </c>
      <c r="K356" s="14" t="str">
        <f>IFERROR(__xludf.DUMMYFUNCTION("split(E356,""+"")"),"Cold Coffee")</f>
        <v>Cold Coffee</v>
      </c>
      <c r="L356" s="14" t="str">
        <f>IFERROR(__xludf.DUMMYFUNCTION("""COMPUTED_VALUE"""),"4*Aman Kumar")</f>
        <v>4*Aman Kumar</v>
      </c>
      <c r="M356" s="14">
        <f>IFERROR(__xludf.DUMMYFUNCTION("SPLIT(L356,""*"")"),4.0)</f>
        <v>4</v>
      </c>
      <c r="N356" s="14" t="str">
        <f>IFERROR(__xludf.DUMMYFUNCTION("""COMPUTED_VALUE"""),"Aman Kumar")</f>
        <v>Aman Kumar</v>
      </c>
      <c r="O356" s="14" t="str">
        <f>IFERROR(__xludf.DUMMYFUNCTION("split(J356,""*"")"),"Cancelled")</f>
        <v>Cancelled</v>
      </c>
      <c r="P356" s="14" t="str">
        <f>IFERROR(__xludf.DUMMYFUNCTION("""COMPUTED_VALUE"""),"Delayed Delivery:Vehicle Breakdown")</f>
        <v>Delayed Delivery:Vehicle Breakdown</v>
      </c>
      <c r="Q356" s="14" t="str">
        <f>IFERROR(__xludf.DUMMYFUNCTION("split(P356,"":"")"),"Delayed Delivery")</f>
        <v>Delayed Delivery</v>
      </c>
      <c r="R356" s="14" t="str">
        <f>IFERROR(__xludf.DUMMYFUNCTION("""COMPUTED_VALUE"""),"Vehicle Breakdown")</f>
        <v>Vehicle Breakdown</v>
      </c>
      <c r="S356" s="14" t="str">
        <f t="shared" ref="S356:U356" si="715">trim(B356)</f>
        <v>ord_10347</v>
      </c>
      <c r="T356" s="14" t="str">
        <f t="shared" si="715"/>
        <v>Aditi Iyer</v>
      </c>
      <c r="U356" s="14" t="str">
        <f t="shared" si="715"/>
        <v>Dadar</v>
      </c>
      <c r="V356" s="14" t="str">
        <f t="shared" si="4"/>
        <v>Cold Coffee</v>
      </c>
      <c r="W356" s="14">
        <f t="shared" si="5"/>
        <v>4</v>
      </c>
      <c r="X356" s="14" t="str">
        <f t="shared" si="6"/>
        <v>Aman Kumar</v>
      </c>
      <c r="Y356" s="15">
        <f t="shared" si="7"/>
        <v>45239</v>
      </c>
      <c r="Z356" s="14" t="str">
        <f t="shared" si="8"/>
        <v>Credit Card</v>
      </c>
      <c r="AA356" s="14" t="str">
        <f t="shared" si="9"/>
        <v>Cancelled</v>
      </c>
      <c r="AB356" s="14" t="str">
        <f t="shared" ref="AB356:AC356" si="716">trim(Q356)</f>
        <v>Delayed Delivery</v>
      </c>
      <c r="AC356" s="14" t="str">
        <f t="shared" si="716"/>
        <v>Vehicle Breakdown</v>
      </c>
      <c r="AD356" s="8"/>
    </row>
    <row r="357">
      <c r="A357" s="14" t="str">
        <f>IFERROR(__xludf.DUMMYFUNCTION("""COMPUTED_VALUE"""),"//ord_10348//Omkar Mishra//Powai//Sweet Corn+2*Sandeep Kumar/9/2/2023//Online Payment//Delivered*Customer Service: Seamless and easy")</f>
        <v>//ord_10348//Omkar Mishra//Powai//Sweet Corn+2*Sandeep Kumar/9/2/2023//Online Payment//Delivered*Customer Service: Seamless and easy</v>
      </c>
      <c r="B357" s="14" t="str">
        <f>IFERROR(__xludf.DUMMYFUNCTION("split(A357,""//"")"),"ord_10348")</f>
        <v>ord_10348</v>
      </c>
      <c r="C357" s="14" t="str">
        <f>IFERROR(__xludf.DUMMYFUNCTION("""COMPUTED_VALUE"""),"Omkar Mishra")</f>
        <v>Omkar Mishra</v>
      </c>
      <c r="D357" s="14" t="str">
        <f>IFERROR(__xludf.DUMMYFUNCTION("""COMPUTED_VALUE"""),"Powai")</f>
        <v>Powai</v>
      </c>
      <c r="E357" s="14" t="str">
        <f>IFERROR(__xludf.DUMMYFUNCTION("""COMPUTED_VALUE"""),"Sweet Corn+2*Sandeep Kumar")</f>
        <v>Sweet Corn+2*Sandeep Kumar</v>
      </c>
      <c r="F357" s="14">
        <f>IFERROR(__xludf.DUMMYFUNCTION("""COMPUTED_VALUE"""),9.0)</f>
        <v>9</v>
      </c>
      <c r="G357" s="14">
        <f>IFERROR(__xludf.DUMMYFUNCTION("""COMPUTED_VALUE"""),2.0)</f>
        <v>2</v>
      </c>
      <c r="H357" s="14">
        <f>IFERROR(__xludf.DUMMYFUNCTION("""COMPUTED_VALUE"""),2023.0)</f>
        <v>2023</v>
      </c>
      <c r="I357" s="14" t="str">
        <f>IFERROR(__xludf.DUMMYFUNCTION("""COMPUTED_VALUE"""),"Online Payment")</f>
        <v>Online Payment</v>
      </c>
      <c r="J357" s="14" t="str">
        <f>IFERROR(__xludf.DUMMYFUNCTION("""COMPUTED_VALUE"""),"Delivered*Customer Service: Seamless and easy")</f>
        <v>Delivered*Customer Service: Seamless and easy</v>
      </c>
      <c r="K357" s="14" t="str">
        <f>IFERROR(__xludf.DUMMYFUNCTION("split(E357,""+"")"),"Sweet Corn")</f>
        <v>Sweet Corn</v>
      </c>
      <c r="L357" s="14" t="str">
        <f>IFERROR(__xludf.DUMMYFUNCTION("""COMPUTED_VALUE"""),"2*Sandeep Kumar")</f>
        <v>2*Sandeep Kumar</v>
      </c>
      <c r="M357" s="14">
        <f>IFERROR(__xludf.DUMMYFUNCTION("SPLIT(L357,""*"")"),2.0)</f>
        <v>2</v>
      </c>
      <c r="N357" s="14" t="str">
        <f>IFERROR(__xludf.DUMMYFUNCTION("""COMPUTED_VALUE"""),"Sandeep Kumar")</f>
        <v>Sandeep Kumar</v>
      </c>
      <c r="O357" s="14" t="str">
        <f>IFERROR(__xludf.DUMMYFUNCTION("split(J357,""*"")"),"Delivered")</f>
        <v>Delivered</v>
      </c>
      <c r="P357" s="14" t="str">
        <f>IFERROR(__xludf.DUMMYFUNCTION("""COMPUTED_VALUE"""),"Customer Service: Seamless and easy")</f>
        <v>Customer Service: Seamless and easy</v>
      </c>
      <c r="Q357" s="14" t="str">
        <f>IFERROR(__xludf.DUMMYFUNCTION("split(P357,"":"")"),"Customer Service")</f>
        <v>Customer Service</v>
      </c>
      <c r="R357" s="14" t="str">
        <f>IFERROR(__xludf.DUMMYFUNCTION("""COMPUTED_VALUE""")," Seamless and easy")</f>
        <v> Seamless and easy</v>
      </c>
      <c r="S357" s="14" t="str">
        <f t="shared" ref="S357:U357" si="717">trim(B357)</f>
        <v>ord_10348</v>
      </c>
      <c r="T357" s="14" t="str">
        <f t="shared" si="717"/>
        <v>Omkar Mishra</v>
      </c>
      <c r="U357" s="14" t="str">
        <f t="shared" si="717"/>
        <v>Powai</v>
      </c>
      <c r="V357" s="14" t="str">
        <f t="shared" si="4"/>
        <v>Sweet Corn</v>
      </c>
      <c r="W357" s="14">
        <f t="shared" si="5"/>
        <v>2</v>
      </c>
      <c r="X357" s="14" t="str">
        <f t="shared" si="6"/>
        <v>Sandeep Kumar</v>
      </c>
      <c r="Y357" s="15">
        <f t="shared" si="7"/>
        <v>45171</v>
      </c>
      <c r="Z357" s="14" t="str">
        <f t="shared" si="8"/>
        <v>Online Payment</v>
      </c>
      <c r="AA357" s="14" t="str">
        <f t="shared" si="9"/>
        <v>Delivered</v>
      </c>
      <c r="AB357" s="14" t="str">
        <f t="shared" ref="AB357:AC357" si="718">trim(Q357)</f>
        <v>Customer Service</v>
      </c>
      <c r="AC357" s="14" t="str">
        <f t="shared" si="718"/>
        <v>Seamless and easy</v>
      </c>
      <c r="AD357" s="8"/>
    </row>
    <row r="358">
      <c r="A358" s="14" t="str">
        <f>IFERROR(__xludf.DUMMYFUNCTION("""COMPUTED_VALUE"""),"//ord_10349//Arvind Kulkarni//Juhu//Potato+2*Venu R/7/28/2023//Credit Card//Delivered*Delivery Experience: Quick and professional")</f>
        <v>//ord_10349//Arvind Kulkarni//Juhu//Potato+2*Venu R/7/28/2023//Credit Card//Delivered*Delivery Experience: Quick and professional</v>
      </c>
      <c r="B358" s="14" t="str">
        <f>IFERROR(__xludf.DUMMYFUNCTION("split(A358,""//"")"),"ord_10349")</f>
        <v>ord_10349</v>
      </c>
      <c r="C358" s="14" t="str">
        <f>IFERROR(__xludf.DUMMYFUNCTION("""COMPUTED_VALUE"""),"Arvind Kulkarni")</f>
        <v>Arvind Kulkarni</v>
      </c>
      <c r="D358" s="14" t="str">
        <f>IFERROR(__xludf.DUMMYFUNCTION("""COMPUTED_VALUE"""),"Juhu")</f>
        <v>Juhu</v>
      </c>
      <c r="E358" s="14" t="str">
        <f>IFERROR(__xludf.DUMMYFUNCTION("""COMPUTED_VALUE"""),"Potato+2*Venu R")</f>
        <v>Potato+2*Venu R</v>
      </c>
      <c r="F358" s="14">
        <f>IFERROR(__xludf.DUMMYFUNCTION("""COMPUTED_VALUE"""),7.0)</f>
        <v>7</v>
      </c>
      <c r="G358" s="14">
        <f>IFERROR(__xludf.DUMMYFUNCTION("""COMPUTED_VALUE"""),28.0)</f>
        <v>28</v>
      </c>
      <c r="H358" s="14">
        <f>IFERROR(__xludf.DUMMYFUNCTION("""COMPUTED_VALUE"""),2023.0)</f>
        <v>2023</v>
      </c>
      <c r="I358" s="14" t="str">
        <f>IFERROR(__xludf.DUMMYFUNCTION("""COMPUTED_VALUE"""),"Credit Card")</f>
        <v>Credit Card</v>
      </c>
      <c r="J358" s="14" t="str">
        <f>IFERROR(__xludf.DUMMYFUNCTION("""COMPUTED_VALUE"""),"Delivered*Delivery Experience: Quick and professional")</f>
        <v>Delivered*Delivery Experience: Quick and professional</v>
      </c>
      <c r="K358" s="14" t="str">
        <f>IFERROR(__xludf.DUMMYFUNCTION("split(E358,""+"")"),"Potato")</f>
        <v>Potato</v>
      </c>
      <c r="L358" s="14" t="str">
        <f>IFERROR(__xludf.DUMMYFUNCTION("""COMPUTED_VALUE"""),"2*Venu R")</f>
        <v>2*Venu R</v>
      </c>
      <c r="M358" s="14">
        <f>IFERROR(__xludf.DUMMYFUNCTION("SPLIT(L358,""*"")"),2.0)</f>
        <v>2</v>
      </c>
      <c r="N358" s="14" t="str">
        <f>IFERROR(__xludf.DUMMYFUNCTION("""COMPUTED_VALUE"""),"Venu R")</f>
        <v>Venu R</v>
      </c>
      <c r="O358" s="14" t="str">
        <f>IFERROR(__xludf.DUMMYFUNCTION("split(J358,""*"")"),"Delivered")</f>
        <v>Delivered</v>
      </c>
      <c r="P358" s="14" t="str">
        <f>IFERROR(__xludf.DUMMYFUNCTION("""COMPUTED_VALUE"""),"Delivery Experience: Quick and professional")</f>
        <v>Delivery Experience: Quick and professional</v>
      </c>
      <c r="Q358" s="14" t="str">
        <f>IFERROR(__xludf.DUMMYFUNCTION("split(P358,"":"")"),"Delivery Experience")</f>
        <v>Delivery Experience</v>
      </c>
      <c r="R358" s="14" t="str">
        <f>IFERROR(__xludf.DUMMYFUNCTION("""COMPUTED_VALUE""")," Quick and professional")</f>
        <v> Quick and professional</v>
      </c>
      <c r="S358" s="14" t="str">
        <f t="shared" ref="S358:U358" si="719">trim(B358)</f>
        <v>ord_10349</v>
      </c>
      <c r="T358" s="14" t="str">
        <f t="shared" si="719"/>
        <v>Arvind Kulkarni</v>
      </c>
      <c r="U358" s="14" t="str">
        <f t="shared" si="719"/>
        <v>Juhu</v>
      </c>
      <c r="V358" s="14" t="str">
        <f t="shared" si="4"/>
        <v>Potato</v>
      </c>
      <c r="W358" s="14">
        <f t="shared" si="5"/>
        <v>2</v>
      </c>
      <c r="X358" s="14" t="str">
        <f t="shared" si="6"/>
        <v>Venu R</v>
      </c>
      <c r="Y358" s="15">
        <f t="shared" si="7"/>
        <v>45135</v>
      </c>
      <c r="Z358" s="14" t="str">
        <f t="shared" si="8"/>
        <v>Credit Card</v>
      </c>
      <c r="AA358" s="14" t="str">
        <f t="shared" si="9"/>
        <v>Delivered</v>
      </c>
      <c r="AB358" s="14" t="str">
        <f t="shared" ref="AB358:AC358" si="720">trim(Q358)</f>
        <v>Delivery Experience</v>
      </c>
      <c r="AC358" s="14" t="str">
        <f t="shared" si="720"/>
        <v>Quick and professional</v>
      </c>
      <c r="AD358" s="8"/>
    </row>
    <row r="359">
      <c r="A359" s="14" t="str">
        <f>IFERROR(__xludf.DUMMYFUNCTION("""COMPUTED_VALUE"""),"//ord_10350//Pallavi Ghosh//Bandra//Papaya+1*Not Assigned/10/11/2023//UPI//Cancelled*Payment Issues")</f>
        <v>//ord_10350//Pallavi Ghosh//Bandra//Papaya+1*Not Assigned/10/11/2023//UPI//Cancelled*Payment Issues</v>
      </c>
      <c r="B359" s="14" t="str">
        <f>IFERROR(__xludf.DUMMYFUNCTION("split(A359,""//"")"),"ord_10350")</f>
        <v>ord_10350</v>
      </c>
      <c r="C359" s="14" t="str">
        <f>IFERROR(__xludf.DUMMYFUNCTION("""COMPUTED_VALUE"""),"Pallavi Ghosh")</f>
        <v>Pallavi Ghosh</v>
      </c>
      <c r="D359" s="14" t="str">
        <f>IFERROR(__xludf.DUMMYFUNCTION("""COMPUTED_VALUE"""),"Bandra")</f>
        <v>Bandra</v>
      </c>
      <c r="E359" s="14" t="str">
        <f>IFERROR(__xludf.DUMMYFUNCTION("""COMPUTED_VALUE"""),"Papaya+1*Not Assigned")</f>
        <v>Papaya+1*Not Assigned</v>
      </c>
      <c r="F359" s="14">
        <f>IFERROR(__xludf.DUMMYFUNCTION("""COMPUTED_VALUE"""),10.0)</f>
        <v>10</v>
      </c>
      <c r="G359" s="14">
        <f>IFERROR(__xludf.DUMMYFUNCTION("""COMPUTED_VALUE"""),11.0)</f>
        <v>11</v>
      </c>
      <c r="H359" s="14">
        <f>IFERROR(__xludf.DUMMYFUNCTION("""COMPUTED_VALUE"""),2023.0)</f>
        <v>2023</v>
      </c>
      <c r="I359" s="14" t="str">
        <f>IFERROR(__xludf.DUMMYFUNCTION("""COMPUTED_VALUE"""),"UPI")</f>
        <v>UPI</v>
      </c>
      <c r="J359" s="14" t="str">
        <f>IFERROR(__xludf.DUMMYFUNCTION("""COMPUTED_VALUE"""),"Cancelled*Payment Issues")</f>
        <v>Cancelled*Payment Issues</v>
      </c>
      <c r="K359" s="14" t="str">
        <f>IFERROR(__xludf.DUMMYFUNCTION("split(E359,""+"")"),"Papaya")</f>
        <v>Papaya</v>
      </c>
      <c r="L359" s="14" t="str">
        <f>IFERROR(__xludf.DUMMYFUNCTION("""COMPUTED_VALUE"""),"1*Not Assigned")</f>
        <v>1*Not Assigned</v>
      </c>
      <c r="M359" s="14">
        <f>IFERROR(__xludf.DUMMYFUNCTION("SPLIT(L359,""*"")"),1.0)</f>
        <v>1</v>
      </c>
      <c r="N359" s="14" t="str">
        <f>IFERROR(__xludf.DUMMYFUNCTION("""COMPUTED_VALUE"""),"Not Assigned")</f>
        <v>Not Assigned</v>
      </c>
      <c r="O359" s="14" t="str">
        <f>IFERROR(__xludf.DUMMYFUNCTION("split(J359,""*"")"),"Cancelled")</f>
        <v>Cancelled</v>
      </c>
      <c r="P359" s="14" t="str">
        <f>IFERROR(__xludf.DUMMYFUNCTION("""COMPUTED_VALUE"""),"Payment Issues")</f>
        <v>Payment Issues</v>
      </c>
      <c r="Q359" s="14" t="str">
        <f>IFERROR(__xludf.DUMMYFUNCTION("split(P359,"":"")"),"Payment Issues")</f>
        <v>Payment Issues</v>
      </c>
      <c r="R359" s="14"/>
      <c r="S359" s="14" t="str">
        <f t="shared" ref="S359:U359" si="721">trim(B359)</f>
        <v>ord_10350</v>
      </c>
      <c r="T359" s="14" t="str">
        <f t="shared" si="721"/>
        <v>Pallavi Ghosh</v>
      </c>
      <c r="U359" s="14" t="str">
        <f t="shared" si="721"/>
        <v>Bandra</v>
      </c>
      <c r="V359" s="14" t="str">
        <f t="shared" si="4"/>
        <v>Papaya</v>
      </c>
      <c r="W359" s="14">
        <f t="shared" si="5"/>
        <v>1</v>
      </c>
      <c r="X359" s="14" t="str">
        <f t="shared" si="6"/>
        <v>Not Assigned</v>
      </c>
      <c r="Y359" s="15">
        <f t="shared" si="7"/>
        <v>45210</v>
      </c>
      <c r="Z359" s="14" t="str">
        <f t="shared" si="8"/>
        <v>UPI</v>
      </c>
      <c r="AA359" s="14" t="str">
        <f t="shared" si="9"/>
        <v>Cancelled</v>
      </c>
      <c r="AB359" s="14" t="str">
        <f t="shared" ref="AB359:AC359" si="722">trim(Q359)</f>
        <v>Payment Issues</v>
      </c>
      <c r="AC359" s="14" t="str">
        <f t="shared" si="722"/>
        <v/>
      </c>
      <c r="AD359" s="8"/>
    </row>
    <row r="360">
      <c r="A360" s="14" t="str">
        <f>IFERROR(__xludf.DUMMYFUNCTION("""COMPUTED_VALUE"""),"//ord_10351//Pallavi Ghosh//Bandra//Tiramisu+1*Vivek Kumar/1/23/2023//COD//Delivered*Convenience: Easy tracking")</f>
        <v>//ord_10351//Pallavi Ghosh//Bandra//Tiramisu+1*Vivek Kumar/1/23/2023//COD//Delivered*Convenience: Easy tracking</v>
      </c>
      <c r="B360" s="14" t="str">
        <f>IFERROR(__xludf.DUMMYFUNCTION("split(A360,""//"")"),"ord_10351")</f>
        <v>ord_10351</v>
      </c>
      <c r="C360" s="14" t="str">
        <f>IFERROR(__xludf.DUMMYFUNCTION("""COMPUTED_VALUE"""),"Pallavi Ghosh")</f>
        <v>Pallavi Ghosh</v>
      </c>
      <c r="D360" s="14" t="str">
        <f>IFERROR(__xludf.DUMMYFUNCTION("""COMPUTED_VALUE"""),"Bandra")</f>
        <v>Bandra</v>
      </c>
      <c r="E360" s="14" t="str">
        <f>IFERROR(__xludf.DUMMYFUNCTION("""COMPUTED_VALUE"""),"Tiramisu+1*Vivek Kumar")</f>
        <v>Tiramisu+1*Vivek Kumar</v>
      </c>
      <c r="F360" s="14">
        <f>IFERROR(__xludf.DUMMYFUNCTION("""COMPUTED_VALUE"""),1.0)</f>
        <v>1</v>
      </c>
      <c r="G360" s="14">
        <f>IFERROR(__xludf.DUMMYFUNCTION("""COMPUTED_VALUE"""),23.0)</f>
        <v>23</v>
      </c>
      <c r="H360" s="14">
        <f>IFERROR(__xludf.DUMMYFUNCTION("""COMPUTED_VALUE"""),2023.0)</f>
        <v>2023</v>
      </c>
      <c r="I360" s="14" t="str">
        <f>IFERROR(__xludf.DUMMYFUNCTION("""COMPUTED_VALUE"""),"COD")</f>
        <v>COD</v>
      </c>
      <c r="J360" s="14" t="str">
        <f>IFERROR(__xludf.DUMMYFUNCTION("""COMPUTED_VALUE"""),"Delivered*Convenience: Easy tracking")</f>
        <v>Delivered*Convenience: Easy tracking</v>
      </c>
      <c r="K360" s="14" t="str">
        <f>IFERROR(__xludf.DUMMYFUNCTION("split(E360,""+"")"),"Tiramisu")</f>
        <v>Tiramisu</v>
      </c>
      <c r="L360" s="14" t="str">
        <f>IFERROR(__xludf.DUMMYFUNCTION("""COMPUTED_VALUE"""),"1*Vivek Kumar")</f>
        <v>1*Vivek Kumar</v>
      </c>
      <c r="M360" s="14">
        <f>IFERROR(__xludf.DUMMYFUNCTION("SPLIT(L360,""*"")"),1.0)</f>
        <v>1</v>
      </c>
      <c r="N360" s="14" t="str">
        <f>IFERROR(__xludf.DUMMYFUNCTION("""COMPUTED_VALUE"""),"Vivek Kumar")</f>
        <v>Vivek Kumar</v>
      </c>
      <c r="O360" s="14" t="str">
        <f>IFERROR(__xludf.DUMMYFUNCTION("split(J360,""*"")"),"Delivered")</f>
        <v>Delivered</v>
      </c>
      <c r="P360" s="14" t="str">
        <f>IFERROR(__xludf.DUMMYFUNCTION("""COMPUTED_VALUE"""),"Convenience: Easy tracking")</f>
        <v>Convenience: Easy tracking</v>
      </c>
      <c r="Q360" s="14" t="str">
        <f>IFERROR(__xludf.DUMMYFUNCTION("split(P360,"":"")"),"Convenience")</f>
        <v>Convenience</v>
      </c>
      <c r="R360" s="14" t="str">
        <f>IFERROR(__xludf.DUMMYFUNCTION("""COMPUTED_VALUE""")," Easy tracking")</f>
        <v> Easy tracking</v>
      </c>
      <c r="S360" s="14" t="str">
        <f t="shared" ref="S360:U360" si="723">trim(B360)</f>
        <v>ord_10351</v>
      </c>
      <c r="T360" s="14" t="str">
        <f t="shared" si="723"/>
        <v>Pallavi Ghosh</v>
      </c>
      <c r="U360" s="14" t="str">
        <f t="shared" si="723"/>
        <v>Bandra</v>
      </c>
      <c r="V360" s="14" t="str">
        <f t="shared" si="4"/>
        <v>Tiramisu</v>
      </c>
      <c r="W360" s="14">
        <f t="shared" si="5"/>
        <v>1</v>
      </c>
      <c r="X360" s="14" t="str">
        <f t="shared" si="6"/>
        <v>Vivek Kumar</v>
      </c>
      <c r="Y360" s="15">
        <f t="shared" si="7"/>
        <v>44949</v>
      </c>
      <c r="Z360" s="14" t="str">
        <f t="shared" si="8"/>
        <v>COD</v>
      </c>
      <c r="AA360" s="14" t="str">
        <f t="shared" si="9"/>
        <v>Delivered</v>
      </c>
      <c r="AB360" s="14" t="str">
        <f t="shared" ref="AB360:AC360" si="724">trim(Q360)</f>
        <v>Convenience</v>
      </c>
      <c r="AC360" s="14" t="str">
        <f t="shared" si="724"/>
        <v>Easy tracking</v>
      </c>
      <c r="AD360" s="8"/>
    </row>
    <row r="361">
      <c r="A361" s="14" t="str">
        <f>IFERROR(__xludf.DUMMYFUNCTION("""COMPUTED_VALUE"""),"//ord_10352//Sanjay Nair//Dadar//Cucumber+1*Vivek Kumar/5/16/2023//Credit Card//Delivered*Overall Satisfaction: Great service will order again")</f>
        <v>//ord_10352//Sanjay Nair//Dadar//Cucumber+1*Vivek Kumar/5/16/2023//Credit Card//Delivered*Overall Satisfaction: Great service will order again</v>
      </c>
      <c r="B361" s="14" t="str">
        <f>IFERROR(__xludf.DUMMYFUNCTION("split(A361,""//"")"),"ord_10352")</f>
        <v>ord_10352</v>
      </c>
      <c r="C361" s="14" t="str">
        <f>IFERROR(__xludf.DUMMYFUNCTION("""COMPUTED_VALUE"""),"Sanjay Nair")</f>
        <v>Sanjay Nair</v>
      </c>
      <c r="D361" s="14" t="str">
        <f>IFERROR(__xludf.DUMMYFUNCTION("""COMPUTED_VALUE"""),"Dadar")</f>
        <v>Dadar</v>
      </c>
      <c r="E361" s="14" t="str">
        <f>IFERROR(__xludf.DUMMYFUNCTION("""COMPUTED_VALUE"""),"Cucumber+1*Vivek Kumar")</f>
        <v>Cucumber+1*Vivek Kumar</v>
      </c>
      <c r="F361" s="14">
        <f>IFERROR(__xludf.DUMMYFUNCTION("""COMPUTED_VALUE"""),5.0)</f>
        <v>5</v>
      </c>
      <c r="G361" s="14">
        <f>IFERROR(__xludf.DUMMYFUNCTION("""COMPUTED_VALUE"""),16.0)</f>
        <v>16</v>
      </c>
      <c r="H361" s="14">
        <f>IFERROR(__xludf.DUMMYFUNCTION("""COMPUTED_VALUE"""),2023.0)</f>
        <v>2023</v>
      </c>
      <c r="I361" s="14" t="str">
        <f>IFERROR(__xludf.DUMMYFUNCTION("""COMPUTED_VALUE"""),"Credit Card")</f>
        <v>Credit Card</v>
      </c>
      <c r="J361" s="14" t="str">
        <f>IFERROR(__xludf.DUMMYFUNCTION("""COMPUTED_VALUE"""),"Delivered*Overall Satisfaction: Great service will order again")</f>
        <v>Delivered*Overall Satisfaction: Great service will order again</v>
      </c>
      <c r="K361" s="14" t="str">
        <f>IFERROR(__xludf.DUMMYFUNCTION("split(E361,""+"")"),"Cucumber")</f>
        <v>Cucumber</v>
      </c>
      <c r="L361" s="14" t="str">
        <f>IFERROR(__xludf.DUMMYFUNCTION("""COMPUTED_VALUE"""),"1*Vivek Kumar")</f>
        <v>1*Vivek Kumar</v>
      </c>
      <c r="M361" s="14">
        <f>IFERROR(__xludf.DUMMYFUNCTION("SPLIT(L361,""*"")"),1.0)</f>
        <v>1</v>
      </c>
      <c r="N361" s="14" t="str">
        <f>IFERROR(__xludf.DUMMYFUNCTION("""COMPUTED_VALUE"""),"Vivek Kumar")</f>
        <v>Vivek Kumar</v>
      </c>
      <c r="O361" s="14" t="str">
        <f>IFERROR(__xludf.DUMMYFUNCTION("split(J361,""*"")"),"Delivered")</f>
        <v>Delivered</v>
      </c>
      <c r="P361" s="14" t="str">
        <f>IFERROR(__xludf.DUMMYFUNCTION("""COMPUTED_VALUE"""),"Overall Satisfaction: Great service will order again")</f>
        <v>Overall Satisfaction: Great service will order again</v>
      </c>
      <c r="Q361" s="14" t="str">
        <f>IFERROR(__xludf.DUMMYFUNCTION("split(P361,"":"")"),"Overall Satisfaction")</f>
        <v>Overall Satisfaction</v>
      </c>
      <c r="R361" s="14" t="str">
        <f>IFERROR(__xludf.DUMMYFUNCTION("""COMPUTED_VALUE""")," Great service will order again")</f>
        <v> Great service will order again</v>
      </c>
      <c r="S361" s="14" t="str">
        <f t="shared" ref="S361:U361" si="725">trim(B361)</f>
        <v>ord_10352</v>
      </c>
      <c r="T361" s="14" t="str">
        <f t="shared" si="725"/>
        <v>Sanjay Nair</v>
      </c>
      <c r="U361" s="14" t="str">
        <f t="shared" si="725"/>
        <v>Dadar</v>
      </c>
      <c r="V361" s="14" t="str">
        <f t="shared" si="4"/>
        <v>Cucumber</v>
      </c>
      <c r="W361" s="14">
        <f t="shared" si="5"/>
        <v>1</v>
      </c>
      <c r="X361" s="14" t="str">
        <f t="shared" si="6"/>
        <v>Vivek Kumar</v>
      </c>
      <c r="Y361" s="15">
        <f t="shared" si="7"/>
        <v>45062</v>
      </c>
      <c r="Z361" s="14" t="str">
        <f t="shared" si="8"/>
        <v>Credit Card</v>
      </c>
      <c r="AA361" s="14" t="str">
        <f t="shared" si="9"/>
        <v>Delivered</v>
      </c>
      <c r="AB361" s="14" t="str">
        <f t="shared" ref="AB361:AC361" si="726">trim(Q361)</f>
        <v>Overall Satisfaction</v>
      </c>
      <c r="AC361" s="14" t="str">
        <f t="shared" si="726"/>
        <v>Great service will order again</v>
      </c>
      <c r="AD361" s="8"/>
    </row>
    <row r="362">
      <c r="A362" s="14" t="str">
        <f>IFERROR(__xludf.DUMMYFUNCTION("""COMPUTED_VALUE"""),"//ord_10353//Diya Arora//Lower Parel//Rasmalai+5*Manju Ajay/11/2/2023//UPI//Delivered*On-time Delivery: Delivered on time")</f>
        <v>//ord_10353//Diya Arora//Lower Parel//Rasmalai+5*Manju Ajay/11/2/2023//UPI//Delivered*On-time Delivery: Delivered on time</v>
      </c>
      <c r="B362" s="14" t="str">
        <f>IFERROR(__xludf.DUMMYFUNCTION("split(A362,""//"")"),"ord_10353")</f>
        <v>ord_10353</v>
      </c>
      <c r="C362" s="14" t="str">
        <f>IFERROR(__xludf.DUMMYFUNCTION("""COMPUTED_VALUE"""),"Diya Arora")</f>
        <v>Diya Arora</v>
      </c>
      <c r="D362" s="14" t="str">
        <f>IFERROR(__xludf.DUMMYFUNCTION("""COMPUTED_VALUE"""),"Lower Parel")</f>
        <v>Lower Parel</v>
      </c>
      <c r="E362" s="14" t="str">
        <f>IFERROR(__xludf.DUMMYFUNCTION("""COMPUTED_VALUE"""),"Rasmalai+5*Manju Ajay")</f>
        <v>Rasmalai+5*Manju Ajay</v>
      </c>
      <c r="F362" s="14">
        <f>IFERROR(__xludf.DUMMYFUNCTION("""COMPUTED_VALUE"""),11.0)</f>
        <v>11</v>
      </c>
      <c r="G362" s="14">
        <f>IFERROR(__xludf.DUMMYFUNCTION("""COMPUTED_VALUE"""),2.0)</f>
        <v>2</v>
      </c>
      <c r="H362" s="14">
        <f>IFERROR(__xludf.DUMMYFUNCTION("""COMPUTED_VALUE"""),2023.0)</f>
        <v>2023</v>
      </c>
      <c r="I362" s="14" t="str">
        <f>IFERROR(__xludf.DUMMYFUNCTION("""COMPUTED_VALUE"""),"UPI")</f>
        <v>UPI</v>
      </c>
      <c r="J362" s="14" t="str">
        <f>IFERROR(__xludf.DUMMYFUNCTION("""COMPUTED_VALUE"""),"Delivered*On-time Delivery: Delivered on time")</f>
        <v>Delivered*On-time Delivery: Delivered on time</v>
      </c>
      <c r="K362" s="14" t="str">
        <f>IFERROR(__xludf.DUMMYFUNCTION("split(E362,""+"")"),"Rasmalai")</f>
        <v>Rasmalai</v>
      </c>
      <c r="L362" s="14" t="str">
        <f>IFERROR(__xludf.DUMMYFUNCTION("""COMPUTED_VALUE"""),"5*Manju Ajay")</f>
        <v>5*Manju Ajay</v>
      </c>
      <c r="M362" s="14">
        <f>IFERROR(__xludf.DUMMYFUNCTION("SPLIT(L362,""*"")"),5.0)</f>
        <v>5</v>
      </c>
      <c r="N362" s="14" t="str">
        <f>IFERROR(__xludf.DUMMYFUNCTION("""COMPUTED_VALUE"""),"Manju Ajay")</f>
        <v>Manju Ajay</v>
      </c>
      <c r="O362" s="14" t="str">
        <f>IFERROR(__xludf.DUMMYFUNCTION("split(J362,""*"")"),"Delivered")</f>
        <v>Delivered</v>
      </c>
      <c r="P362" s="14" t="str">
        <f>IFERROR(__xludf.DUMMYFUNCTION("""COMPUTED_VALUE"""),"On-time Delivery: Delivered on time")</f>
        <v>On-time Delivery: Delivered on time</v>
      </c>
      <c r="Q362" s="14" t="str">
        <f>IFERROR(__xludf.DUMMYFUNCTION("split(P362,"":"")"),"On-time Delivery")</f>
        <v>On-time Delivery</v>
      </c>
      <c r="R362" s="14" t="str">
        <f>IFERROR(__xludf.DUMMYFUNCTION("""COMPUTED_VALUE""")," Delivered on time")</f>
        <v> Delivered on time</v>
      </c>
      <c r="S362" s="14" t="str">
        <f t="shared" ref="S362:U362" si="727">trim(B362)</f>
        <v>ord_10353</v>
      </c>
      <c r="T362" s="14" t="str">
        <f t="shared" si="727"/>
        <v>Diya Arora</v>
      </c>
      <c r="U362" s="14" t="str">
        <f t="shared" si="727"/>
        <v>Lower Parel</v>
      </c>
      <c r="V362" s="14" t="str">
        <f t="shared" si="4"/>
        <v>Rasmalai</v>
      </c>
      <c r="W362" s="14">
        <f t="shared" si="5"/>
        <v>5</v>
      </c>
      <c r="X362" s="14" t="str">
        <f t="shared" si="6"/>
        <v>Manju Ajay</v>
      </c>
      <c r="Y362" s="15">
        <f t="shared" si="7"/>
        <v>45232</v>
      </c>
      <c r="Z362" s="14" t="str">
        <f t="shared" si="8"/>
        <v>UPI</v>
      </c>
      <c r="AA362" s="14" t="str">
        <f t="shared" si="9"/>
        <v>Delivered</v>
      </c>
      <c r="AB362" s="14" t="str">
        <f t="shared" ref="AB362:AC362" si="728">trim(Q362)</f>
        <v>On-time Delivery</v>
      </c>
      <c r="AC362" s="14" t="str">
        <f t="shared" si="728"/>
        <v>Delivered on time</v>
      </c>
      <c r="AD362" s="8"/>
    </row>
    <row r="363">
      <c r="A363" s="14" t="str">
        <f>IFERROR(__xludf.DUMMYFUNCTION("""COMPUTED_VALUE"""),"//ord_10354//Mehul Thakkar//Malad//Tomato+1*Ram Gopal/7/30/2023//Credit Card//Cancelled*Delayed Delivery:Heavy Traffic")</f>
        <v>//ord_10354//Mehul Thakkar//Malad//Tomato+1*Ram Gopal/7/30/2023//Credit Card//Cancelled*Delayed Delivery:Heavy Traffic</v>
      </c>
      <c r="B363" s="14" t="str">
        <f>IFERROR(__xludf.DUMMYFUNCTION("split(A363,""//"")"),"ord_10354")</f>
        <v>ord_10354</v>
      </c>
      <c r="C363" s="14" t="str">
        <f>IFERROR(__xludf.DUMMYFUNCTION("""COMPUTED_VALUE"""),"Mehul Thakkar")</f>
        <v>Mehul Thakkar</v>
      </c>
      <c r="D363" s="14" t="str">
        <f>IFERROR(__xludf.DUMMYFUNCTION("""COMPUTED_VALUE"""),"Malad")</f>
        <v>Malad</v>
      </c>
      <c r="E363" s="14" t="str">
        <f>IFERROR(__xludf.DUMMYFUNCTION("""COMPUTED_VALUE"""),"Tomato+1*Ram Gopal")</f>
        <v>Tomato+1*Ram Gopal</v>
      </c>
      <c r="F363" s="14">
        <f>IFERROR(__xludf.DUMMYFUNCTION("""COMPUTED_VALUE"""),7.0)</f>
        <v>7</v>
      </c>
      <c r="G363" s="14">
        <f>IFERROR(__xludf.DUMMYFUNCTION("""COMPUTED_VALUE"""),30.0)</f>
        <v>30</v>
      </c>
      <c r="H363" s="14">
        <f>IFERROR(__xludf.DUMMYFUNCTION("""COMPUTED_VALUE"""),2023.0)</f>
        <v>2023</v>
      </c>
      <c r="I363" s="14" t="str">
        <f>IFERROR(__xludf.DUMMYFUNCTION("""COMPUTED_VALUE"""),"Credit Card")</f>
        <v>Credit Card</v>
      </c>
      <c r="J363" s="14" t="str">
        <f>IFERROR(__xludf.DUMMYFUNCTION("""COMPUTED_VALUE"""),"Cancelled*Delayed Delivery:Heavy Traffic")</f>
        <v>Cancelled*Delayed Delivery:Heavy Traffic</v>
      </c>
      <c r="K363" s="14" t="str">
        <f>IFERROR(__xludf.DUMMYFUNCTION("split(E363,""+"")"),"Tomato")</f>
        <v>Tomato</v>
      </c>
      <c r="L363" s="14" t="str">
        <f>IFERROR(__xludf.DUMMYFUNCTION("""COMPUTED_VALUE"""),"1*Ram Gopal")</f>
        <v>1*Ram Gopal</v>
      </c>
      <c r="M363" s="14">
        <f>IFERROR(__xludf.DUMMYFUNCTION("SPLIT(L363,""*"")"),1.0)</f>
        <v>1</v>
      </c>
      <c r="N363" s="14" t="str">
        <f>IFERROR(__xludf.DUMMYFUNCTION("""COMPUTED_VALUE"""),"Ram Gopal")</f>
        <v>Ram Gopal</v>
      </c>
      <c r="O363" s="14" t="str">
        <f>IFERROR(__xludf.DUMMYFUNCTION("split(J363,""*"")"),"Cancelled")</f>
        <v>Cancelled</v>
      </c>
      <c r="P363" s="14" t="str">
        <f>IFERROR(__xludf.DUMMYFUNCTION("""COMPUTED_VALUE"""),"Delayed Delivery:Heavy Traffic")</f>
        <v>Delayed Delivery:Heavy Traffic</v>
      </c>
      <c r="Q363" s="14" t="str">
        <f>IFERROR(__xludf.DUMMYFUNCTION("split(P363,"":"")"),"Delayed Delivery")</f>
        <v>Delayed Delivery</v>
      </c>
      <c r="R363" s="14" t="str">
        <f>IFERROR(__xludf.DUMMYFUNCTION("""COMPUTED_VALUE"""),"Heavy Traffic")</f>
        <v>Heavy Traffic</v>
      </c>
      <c r="S363" s="14" t="str">
        <f t="shared" ref="S363:U363" si="729">trim(B363)</f>
        <v>ord_10354</v>
      </c>
      <c r="T363" s="14" t="str">
        <f t="shared" si="729"/>
        <v>Mehul Thakkar</v>
      </c>
      <c r="U363" s="14" t="str">
        <f t="shared" si="729"/>
        <v>Malad</v>
      </c>
      <c r="V363" s="14" t="str">
        <f t="shared" si="4"/>
        <v>Tomato</v>
      </c>
      <c r="W363" s="14">
        <f t="shared" si="5"/>
        <v>1</v>
      </c>
      <c r="X363" s="14" t="str">
        <f t="shared" si="6"/>
        <v>Ram Gopal</v>
      </c>
      <c r="Y363" s="15">
        <f t="shared" si="7"/>
        <v>45137</v>
      </c>
      <c r="Z363" s="14" t="str">
        <f t="shared" si="8"/>
        <v>Credit Card</v>
      </c>
      <c r="AA363" s="14" t="str">
        <f t="shared" si="9"/>
        <v>Cancelled</v>
      </c>
      <c r="AB363" s="14" t="str">
        <f t="shared" ref="AB363:AC363" si="730">trim(Q363)</f>
        <v>Delayed Delivery</v>
      </c>
      <c r="AC363" s="14" t="str">
        <f t="shared" si="730"/>
        <v>Heavy Traffic</v>
      </c>
      <c r="AD363" s="8"/>
    </row>
    <row r="364">
      <c r="A364" s="14" t="str">
        <f>IFERROR(__xludf.DUMMYFUNCTION("""COMPUTED_VALUE"""),"//ord_10355//Simran Bhatt//Juhu//Banana+2*Shine Thomas/4/27/2023//UPI//Delivered*Quality of Items: Perfect condition")</f>
        <v>//ord_10355//Simran Bhatt//Juhu//Banana+2*Shine Thomas/4/27/2023//UPI//Delivered*Quality of Items: Perfect condition</v>
      </c>
      <c r="B364" s="14" t="str">
        <f>IFERROR(__xludf.DUMMYFUNCTION("split(A364,""//"")"),"ord_10355")</f>
        <v>ord_10355</v>
      </c>
      <c r="C364" s="14" t="str">
        <f>IFERROR(__xludf.DUMMYFUNCTION("""COMPUTED_VALUE"""),"Simran Bhatt")</f>
        <v>Simran Bhatt</v>
      </c>
      <c r="D364" s="14" t="str">
        <f>IFERROR(__xludf.DUMMYFUNCTION("""COMPUTED_VALUE"""),"Juhu")</f>
        <v>Juhu</v>
      </c>
      <c r="E364" s="14" t="str">
        <f>IFERROR(__xludf.DUMMYFUNCTION("""COMPUTED_VALUE"""),"Banana+2*Shine Thomas")</f>
        <v>Banana+2*Shine Thomas</v>
      </c>
      <c r="F364" s="14">
        <f>IFERROR(__xludf.DUMMYFUNCTION("""COMPUTED_VALUE"""),4.0)</f>
        <v>4</v>
      </c>
      <c r="G364" s="14">
        <f>IFERROR(__xludf.DUMMYFUNCTION("""COMPUTED_VALUE"""),27.0)</f>
        <v>27</v>
      </c>
      <c r="H364" s="14">
        <f>IFERROR(__xludf.DUMMYFUNCTION("""COMPUTED_VALUE"""),2023.0)</f>
        <v>2023</v>
      </c>
      <c r="I364" s="14" t="str">
        <f>IFERROR(__xludf.DUMMYFUNCTION("""COMPUTED_VALUE"""),"UPI")</f>
        <v>UPI</v>
      </c>
      <c r="J364" s="14" t="str">
        <f>IFERROR(__xludf.DUMMYFUNCTION("""COMPUTED_VALUE"""),"Delivered*Quality of Items: Perfect condition")</f>
        <v>Delivered*Quality of Items: Perfect condition</v>
      </c>
      <c r="K364" s="14" t="str">
        <f>IFERROR(__xludf.DUMMYFUNCTION("split(E364,""+"")"),"Banana")</f>
        <v>Banana</v>
      </c>
      <c r="L364" s="14" t="str">
        <f>IFERROR(__xludf.DUMMYFUNCTION("""COMPUTED_VALUE"""),"2*Shine Thomas")</f>
        <v>2*Shine Thomas</v>
      </c>
      <c r="M364" s="14">
        <f>IFERROR(__xludf.DUMMYFUNCTION("SPLIT(L364,""*"")"),2.0)</f>
        <v>2</v>
      </c>
      <c r="N364" s="14" t="str">
        <f>IFERROR(__xludf.DUMMYFUNCTION("""COMPUTED_VALUE"""),"Shine Thomas")</f>
        <v>Shine Thomas</v>
      </c>
      <c r="O364" s="14" t="str">
        <f>IFERROR(__xludf.DUMMYFUNCTION("split(J364,""*"")"),"Delivered")</f>
        <v>Delivered</v>
      </c>
      <c r="P364" s="14" t="str">
        <f>IFERROR(__xludf.DUMMYFUNCTION("""COMPUTED_VALUE"""),"Quality of Items: Perfect condition")</f>
        <v>Quality of Items: Perfect condition</v>
      </c>
      <c r="Q364" s="14" t="str">
        <f>IFERROR(__xludf.DUMMYFUNCTION("split(P364,"":"")"),"Quality of Items")</f>
        <v>Quality of Items</v>
      </c>
      <c r="R364" s="14" t="str">
        <f>IFERROR(__xludf.DUMMYFUNCTION("""COMPUTED_VALUE""")," Perfect condition")</f>
        <v> Perfect condition</v>
      </c>
      <c r="S364" s="14" t="str">
        <f t="shared" ref="S364:U364" si="731">trim(B364)</f>
        <v>ord_10355</v>
      </c>
      <c r="T364" s="14" t="str">
        <f t="shared" si="731"/>
        <v>Simran Bhatt</v>
      </c>
      <c r="U364" s="14" t="str">
        <f t="shared" si="731"/>
        <v>Juhu</v>
      </c>
      <c r="V364" s="14" t="str">
        <f t="shared" si="4"/>
        <v>Banana</v>
      </c>
      <c r="W364" s="14">
        <f t="shared" si="5"/>
        <v>2</v>
      </c>
      <c r="X364" s="14" t="str">
        <f t="shared" si="6"/>
        <v>Shine Thomas</v>
      </c>
      <c r="Y364" s="15">
        <f t="shared" si="7"/>
        <v>45043</v>
      </c>
      <c r="Z364" s="14" t="str">
        <f t="shared" si="8"/>
        <v>UPI</v>
      </c>
      <c r="AA364" s="14" t="str">
        <f t="shared" si="9"/>
        <v>Delivered</v>
      </c>
      <c r="AB364" s="14" t="str">
        <f t="shared" ref="AB364:AC364" si="732">trim(Q364)</f>
        <v>Quality of Items</v>
      </c>
      <c r="AC364" s="14" t="str">
        <f t="shared" si="732"/>
        <v>Perfect condition</v>
      </c>
      <c r="AD364" s="8"/>
    </row>
    <row r="365">
      <c r="A365" s="14" t="str">
        <f>IFERROR(__xludf.DUMMYFUNCTION("""COMPUTED_VALUE"""),"//ord_10356//Arvind Kulkarni//Juhu//Orange+2*Ramesh S/12/10/2023//COD//Delivered*On-time Delivery: Delivered on time")</f>
        <v>//ord_10356//Arvind Kulkarni//Juhu//Orange+2*Ramesh S/12/10/2023//COD//Delivered*On-time Delivery: Delivered on time</v>
      </c>
      <c r="B365" s="14" t="str">
        <f>IFERROR(__xludf.DUMMYFUNCTION("split(A365,""//"")"),"ord_10356")</f>
        <v>ord_10356</v>
      </c>
      <c r="C365" s="14" t="str">
        <f>IFERROR(__xludf.DUMMYFUNCTION("""COMPUTED_VALUE"""),"Arvind Kulkarni")</f>
        <v>Arvind Kulkarni</v>
      </c>
      <c r="D365" s="14" t="str">
        <f>IFERROR(__xludf.DUMMYFUNCTION("""COMPUTED_VALUE"""),"Juhu")</f>
        <v>Juhu</v>
      </c>
      <c r="E365" s="14" t="str">
        <f>IFERROR(__xludf.DUMMYFUNCTION("""COMPUTED_VALUE"""),"Orange+2*Ramesh S")</f>
        <v>Orange+2*Ramesh S</v>
      </c>
      <c r="F365" s="14">
        <f>IFERROR(__xludf.DUMMYFUNCTION("""COMPUTED_VALUE"""),12.0)</f>
        <v>12</v>
      </c>
      <c r="G365" s="14">
        <f>IFERROR(__xludf.DUMMYFUNCTION("""COMPUTED_VALUE"""),10.0)</f>
        <v>10</v>
      </c>
      <c r="H365" s="14">
        <f>IFERROR(__xludf.DUMMYFUNCTION("""COMPUTED_VALUE"""),2023.0)</f>
        <v>2023</v>
      </c>
      <c r="I365" s="14" t="str">
        <f>IFERROR(__xludf.DUMMYFUNCTION("""COMPUTED_VALUE"""),"COD")</f>
        <v>COD</v>
      </c>
      <c r="J365" s="14" t="str">
        <f>IFERROR(__xludf.DUMMYFUNCTION("""COMPUTED_VALUE"""),"Delivered*On-time Delivery: Delivered on time")</f>
        <v>Delivered*On-time Delivery: Delivered on time</v>
      </c>
      <c r="K365" s="14" t="str">
        <f>IFERROR(__xludf.DUMMYFUNCTION("split(E365,""+"")"),"Orange")</f>
        <v>Orange</v>
      </c>
      <c r="L365" s="14" t="str">
        <f>IFERROR(__xludf.DUMMYFUNCTION("""COMPUTED_VALUE"""),"2*Ramesh S")</f>
        <v>2*Ramesh S</v>
      </c>
      <c r="M365" s="14">
        <f>IFERROR(__xludf.DUMMYFUNCTION("SPLIT(L365,""*"")"),2.0)</f>
        <v>2</v>
      </c>
      <c r="N365" s="14" t="str">
        <f>IFERROR(__xludf.DUMMYFUNCTION("""COMPUTED_VALUE"""),"Ramesh S")</f>
        <v>Ramesh S</v>
      </c>
      <c r="O365" s="14" t="str">
        <f>IFERROR(__xludf.DUMMYFUNCTION("split(J365,""*"")"),"Delivered")</f>
        <v>Delivered</v>
      </c>
      <c r="P365" s="14" t="str">
        <f>IFERROR(__xludf.DUMMYFUNCTION("""COMPUTED_VALUE"""),"On-time Delivery: Delivered on time")</f>
        <v>On-time Delivery: Delivered on time</v>
      </c>
      <c r="Q365" s="14" t="str">
        <f>IFERROR(__xludf.DUMMYFUNCTION("split(P365,"":"")"),"On-time Delivery")</f>
        <v>On-time Delivery</v>
      </c>
      <c r="R365" s="14" t="str">
        <f>IFERROR(__xludf.DUMMYFUNCTION("""COMPUTED_VALUE""")," Delivered on time")</f>
        <v> Delivered on time</v>
      </c>
      <c r="S365" s="14" t="str">
        <f t="shared" ref="S365:U365" si="733">trim(B365)</f>
        <v>ord_10356</v>
      </c>
      <c r="T365" s="14" t="str">
        <f t="shared" si="733"/>
        <v>Arvind Kulkarni</v>
      </c>
      <c r="U365" s="14" t="str">
        <f t="shared" si="733"/>
        <v>Juhu</v>
      </c>
      <c r="V365" s="14" t="str">
        <f t="shared" si="4"/>
        <v>Orange</v>
      </c>
      <c r="W365" s="14">
        <f t="shared" si="5"/>
        <v>2</v>
      </c>
      <c r="X365" s="14" t="str">
        <f t="shared" si="6"/>
        <v>Ramesh S</v>
      </c>
      <c r="Y365" s="15">
        <f t="shared" si="7"/>
        <v>45270</v>
      </c>
      <c r="Z365" s="14" t="str">
        <f t="shared" si="8"/>
        <v>COD</v>
      </c>
      <c r="AA365" s="14" t="str">
        <f t="shared" si="9"/>
        <v>Delivered</v>
      </c>
      <c r="AB365" s="14" t="str">
        <f t="shared" ref="AB365:AC365" si="734">trim(Q365)</f>
        <v>On-time Delivery</v>
      </c>
      <c r="AC365" s="14" t="str">
        <f t="shared" si="734"/>
        <v>Delivered on time</v>
      </c>
      <c r="AD365" s="8"/>
    </row>
    <row r="366">
      <c r="A366" s="14" t="str">
        <f>IFERROR(__xludf.DUMMYFUNCTION("""COMPUTED_VALUE"""),"//ord_10357//Omkar Mishra//Powai//Icecream+3*Ramesh S/11/25/2023//Credit Card//Delivered*Quality of Items: Perfect condition")</f>
        <v>//ord_10357//Omkar Mishra//Powai//Icecream+3*Ramesh S/11/25/2023//Credit Card//Delivered*Quality of Items: Perfect condition</v>
      </c>
      <c r="B366" s="14" t="str">
        <f>IFERROR(__xludf.DUMMYFUNCTION("split(A366,""//"")"),"ord_10357")</f>
        <v>ord_10357</v>
      </c>
      <c r="C366" s="14" t="str">
        <f>IFERROR(__xludf.DUMMYFUNCTION("""COMPUTED_VALUE"""),"Omkar Mishra")</f>
        <v>Omkar Mishra</v>
      </c>
      <c r="D366" s="14" t="str">
        <f>IFERROR(__xludf.DUMMYFUNCTION("""COMPUTED_VALUE"""),"Powai")</f>
        <v>Powai</v>
      </c>
      <c r="E366" s="14" t="str">
        <f>IFERROR(__xludf.DUMMYFUNCTION("""COMPUTED_VALUE"""),"Icecream+3*Ramesh S")</f>
        <v>Icecream+3*Ramesh S</v>
      </c>
      <c r="F366" s="14">
        <f>IFERROR(__xludf.DUMMYFUNCTION("""COMPUTED_VALUE"""),11.0)</f>
        <v>11</v>
      </c>
      <c r="G366" s="14">
        <f>IFERROR(__xludf.DUMMYFUNCTION("""COMPUTED_VALUE"""),25.0)</f>
        <v>25</v>
      </c>
      <c r="H366" s="14">
        <f>IFERROR(__xludf.DUMMYFUNCTION("""COMPUTED_VALUE"""),2023.0)</f>
        <v>2023</v>
      </c>
      <c r="I366" s="14" t="str">
        <f>IFERROR(__xludf.DUMMYFUNCTION("""COMPUTED_VALUE"""),"Credit Card")</f>
        <v>Credit Card</v>
      </c>
      <c r="J366" s="14" t="str">
        <f>IFERROR(__xludf.DUMMYFUNCTION("""COMPUTED_VALUE"""),"Delivered*Quality of Items: Perfect condition")</f>
        <v>Delivered*Quality of Items: Perfect condition</v>
      </c>
      <c r="K366" s="14" t="str">
        <f>IFERROR(__xludf.DUMMYFUNCTION("split(E366,""+"")"),"Icecream")</f>
        <v>Icecream</v>
      </c>
      <c r="L366" s="14" t="str">
        <f>IFERROR(__xludf.DUMMYFUNCTION("""COMPUTED_VALUE"""),"3*Ramesh S")</f>
        <v>3*Ramesh S</v>
      </c>
      <c r="M366" s="14">
        <f>IFERROR(__xludf.DUMMYFUNCTION("SPLIT(L366,""*"")"),3.0)</f>
        <v>3</v>
      </c>
      <c r="N366" s="14" t="str">
        <f>IFERROR(__xludf.DUMMYFUNCTION("""COMPUTED_VALUE"""),"Ramesh S")</f>
        <v>Ramesh S</v>
      </c>
      <c r="O366" s="14" t="str">
        <f>IFERROR(__xludf.DUMMYFUNCTION("split(J366,""*"")"),"Delivered")</f>
        <v>Delivered</v>
      </c>
      <c r="P366" s="14" t="str">
        <f>IFERROR(__xludf.DUMMYFUNCTION("""COMPUTED_VALUE"""),"Quality of Items: Perfect condition")</f>
        <v>Quality of Items: Perfect condition</v>
      </c>
      <c r="Q366" s="14" t="str">
        <f>IFERROR(__xludf.DUMMYFUNCTION("split(P366,"":"")"),"Quality of Items")</f>
        <v>Quality of Items</v>
      </c>
      <c r="R366" s="14" t="str">
        <f>IFERROR(__xludf.DUMMYFUNCTION("""COMPUTED_VALUE""")," Perfect condition")</f>
        <v> Perfect condition</v>
      </c>
      <c r="S366" s="14" t="str">
        <f t="shared" ref="S366:U366" si="735">trim(B366)</f>
        <v>ord_10357</v>
      </c>
      <c r="T366" s="14" t="str">
        <f t="shared" si="735"/>
        <v>Omkar Mishra</v>
      </c>
      <c r="U366" s="14" t="str">
        <f t="shared" si="735"/>
        <v>Powai</v>
      </c>
      <c r="V366" s="14" t="str">
        <f t="shared" si="4"/>
        <v>Icecream</v>
      </c>
      <c r="W366" s="14">
        <f t="shared" si="5"/>
        <v>3</v>
      </c>
      <c r="X366" s="14" t="str">
        <f t="shared" si="6"/>
        <v>Ramesh S</v>
      </c>
      <c r="Y366" s="15">
        <f t="shared" si="7"/>
        <v>45255</v>
      </c>
      <c r="Z366" s="14" t="str">
        <f t="shared" si="8"/>
        <v>Credit Card</v>
      </c>
      <c r="AA366" s="14" t="str">
        <f t="shared" si="9"/>
        <v>Delivered</v>
      </c>
      <c r="AB366" s="14" t="str">
        <f t="shared" ref="AB366:AC366" si="736">trim(Q366)</f>
        <v>Quality of Items</v>
      </c>
      <c r="AC366" s="14" t="str">
        <f t="shared" si="736"/>
        <v>Perfect condition</v>
      </c>
      <c r="AD366" s="8"/>
    </row>
    <row r="367">
      <c r="A367" s="14" t="str">
        <f>IFERROR(__xludf.DUMMYFUNCTION("""COMPUTED_VALUE"""),"//ord_10358//Parth Goel//Juhu//Popcorn+3*Tanvi Jain/10/25/2023//COD//Delivered*Packaging: Secure and intact")</f>
        <v>//ord_10358//Parth Goel//Juhu//Popcorn+3*Tanvi Jain/10/25/2023//COD//Delivered*Packaging: Secure and intact</v>
      </c>
      <c r="B367" s="14" t="str">
        <f>IFERROR(__xludf.DUMMYFUNCTION("split(A367,""//"")"),"ord_10358")</f>
        <v>ord_10358</v>
      </c>
      <c r="C367" s="14" t="str">
        <f>IFERROR(__xludf.DUMMYFUNCTION("""COMPUTED_VALUE"""),"Parth Goel")</f>
        <v>Parth Goel</v>
      </c>
      <c r="D367" s="14" t="str">
        <f>IFERROR(__xludf.DUMMYFUNCTION("""COMPUTED_VALUE"""),"Juhu")</f>
        <v>Juhu</v>
      </c>
      <c r="E367" s="14" t="str">
        <f>IFERROR(__xludf.DUMMYFUNCTION("""COMPUTED_VALUE"""),"Popcorn+3*Tanvi Jain")</f>
        <v>Popcorn+3*Tanvi Jain</v>
      </c>
      <c r="F367" s="14">
        <f>IFERROR(__xludf.DUMMYFUNCTION("""COMPUTED_VALUE"""),10.0)</f>
        <v>10</v>
      </c>
      <c r="G367" s="14">
        <f>IFERROR(__xludf.DUMMYFUNCTION("""COMPUTED_VALUE"""),25.0)</f>
        <v>25</v>
      </c>
      <c r="H367" s="14">
        <f>IFERROR(__xludf.DUMMYFUNCTION("""COMPUTED_VALUE"""),2023.0)</f>
        <v>2023</v>
      </c>
      <c r="I367" s="14" t="str">
        <f>IFERROR(__xludf.DUMMYFUNCTION("""COMPUTED_VALUE"""),"COD")</f>
        <v>COD</v>
      </c>
      <c r="J367" s="14" t="str">
        <f>IFERROR(__xludf.DUMMYFUNCTION("""COMPUTED_VALUE"""),"Delivered*Packaging: Secure and intact")</f>
        <v>Delivered*Packaging: Secure and intact</v>
      </c>
      <c r="K367" s="14" t="str">
        <f>IFERROR(__xludf.DUMMYFUNCTION("split(E367,""+"")"),"Popcorn")</f>
        <v>Popcorn</v>
      </c>
      <c r="L367" s="14" t="str">
        <f>IFERROR(__xludf.DUMMYFUNCTION("""COMPUTED_VALUE"""),"3*Tanvi Jain")</f>
        <v>3*Tanvi Jain</v>
      </c>
      <c r="M367" s="14">
        <f>IFERROR(__xludf.DUMMYFUNCTION("SPLIT(L367,""*"")"),3.0)</f>
        <v>3</v>
      </c>
      <c r="N367" s="14" t="str">
        <f>IFERROR(__xludf.DUMMYFUNCTION("""COMPUTED_VALUE"""),"Tanvi Jain")</f>
        <v>Tanvi Jain</v>
      </c>
      <c r="O367" s="14" t="str">
        <f>IFERROR(__xludf.DUMMYFUNCTION("split(J367,""*"")"),"Delivered")</f>
        <v>Delivered</v>
      </c>
      <c r="P367" s="14" t="str">
        <f>IFERROR(__xludf.DUMMYFUNCTION("""COMPUTED_VALUE"""),"Packaging: Secure and intact")</f>
        <v>Packaging: Secure and intact</v>
      </c>
      <c r="Q367" s="14" t="str">
        <f>IFERROR(__xludf.DUMMYFUNCTION("split(P367,"":"")"),"Packaging")</f>
        <v>Packaging</v>
      </c>
      <c r="R367" s="14" t="str">
        <f>IFERROR(__xludf.DUMMYFUNCTION("""COMPUTED_VALUE""")," Secure and intact")</f>
        <v> Secure and intact</v>
      </c>
      <c r="S367" s="14" t="str">
        <f t="shared" ref="S367:U367" si="737">trim(B367)</f>
        <v>ord_10358</v>
      </c>
      <c r="T367" s="14" t="str">
        <f t="shared" si="737"/>
        <v>Parth Goel</v>
      </c>
      <c r="U367" s="14" t="str">
        <f t="shared" si="737"/>
        <v>Juhu</v>
      </c>
      <c r="V367" s="14" t="str">
        <f t="shared" si="4"/>
        <v>Popcorn</v>
      </c>
      <c r="W367" s="14">
        <f t="shared" si="5"/>
        <v>3</v>
      </c>
      <c r="X367" s="14" t="str">
        <f t="shared" si="6"/>
        <v>Tanvi Jain</v>
      </c>
      <c r="Y367" s="15">
        <f t="shared" si="7"/>
        <v>45224</v>
      </c>
      <c r="Z367" s="14" t="str">
        <f t="shared" si="8"/>
        <v>COD</v>
      </c>
      <c r="AA367" s="14" t="str">
        <f t="shared" si="9"/>
        <v>Delivered</v>
      </c>
      <c r="AB367" s="14" t="str">
        <f t="shared" ref="AB367:AC367" si="738">trim(Q367)</f>
        <v>Packaging</v>
      </c>
      <c r="AC367" s="14" t="str">
        <f t="shared" si="738"/>
        <v>Secure and intact</v>
      </c>
      <c r="AD367" s="8"/>
    </row>
    <row r="368">
      <c r="A368" s="14" t="str">
        <f>IFERROR(__xludf.DUMMYFUNCTION("""COMPUTED_VALUE"""),"//ord_10359//Mehul Thakkar//Malad//Popcorn+5*Sandeep Kumar/4/21/2023//Online Payment//Cancelled*Delayed Delivery:Bad Weather Conditions ")</f>
        <v>//ord_10359//Mehul Thakkar//Malad//Popcorn+5*Sandeep Kumar/4/21/2023//Online Payment//Cancelled*Delayed Delivery:Bad Weather Conditions </v>
      </c>
      <c r="B368" s="14" t="str">
        <f>IFERROR(__xludf.DUMMYFUNCTION("split(A368,""//"")"),"ord_10359")</f>
        <v>ord_10359</v>
      </c>
      <c r="C368" s="14" t="str">
        <f>IFERROR(__xludf.DUMMYFUNCTION("""COMPUTED_VALUE"""),"Mehul Thakkar")</f>
        <v>Mehul Thakkar</v>
      </c>
      <c r="D368" s="14" t="str">
        <f>IFERROR(__xludf.DUMMYFUNCTION("""COMPUTED_VALUE"""),"Malad")</f>
        <v>Malad</v>
      </c>
      <c r="E368" s="14" t="str">
        <f>IFERROR(__xludf.DUMMYFUNCTION("""COMPUTED_VALUE"""),"Popcorn+5*Sandeep Kumar")</f>
        <v>Popcorn+5*Sandeep Kumar</v>
      </c>
      <c r="F368" s="14">
        <f>IFERROR(__xludf.DUMMYFUNCTION("""COMPUTED_VALUE"""),4.0)</f>
        <v>4</v>
      </c>
      <c r="G368" s="14">
        <f>IFERROR(__xludf.DUMMYFUNCTION("""COMPUTED_VALUE"""),21.0)</f>
        <v>21</v>
      </c>
      <c r="H368" s="14">
        <f>IFERROR(__xludf.DUMMYFUNCTION("""COMPUTED_VALUE"""),2023.0)</f>
        <v>2023</v>
      </c>
      <c r="I368" s="14" t="str">
        <f>IFERROR(__xludf.DUMMYFUNCTION("""COMPUTED_VALUE"""),"Online Payment")</f>
        <v>Online Payment</v>
      </c>
      <c r="J368" s="14" t="str">
        <f>IFERROR(__xludf.DUMMYFUNCTION("""COMPUTED_VALUE"""),"Cancelled*Delayed Delivery:Bad Weather Conditions ")</f>
        <v>Cancelled*Delayed Delivery:Bad Weather Conditions </v>
      </c>
      <c r="K368" s="14" t="str">
        <f>IFERROR(__xludf.DUMMYFUNCTION("split(E368,""+"")"),"Popcorn")</f>
        <v>Popcorn</v>
      </c>
      <c r="L368" s="14" t="str">
        <f>IFERROR(__xludf.DUMMYFUNCTION("""COMPUTED_VALUE"""),"5*Sandeep Kumar")</f>
        <v>5*Sandeep Kumar</v>
      </c>
      <c r="M368" s="14">
        <f>IFERROR(__xludf.DUMMYFUNCTION("SPLIT(L368,""*"")"),5.0)</f>
        <v>5</v>
      </c>
      <c r="N368" s="14" t="str">
        <f>IFERROR(__xludf.DUMMYFUNCTION("""COMPUTED_VALUE"""),"Sandeep Kumar")</f>
        <v>Sandeep Kumar</v>
      </c>
      <c r="O368" s="14" t="str">
        <f>IFERROR(__xludf.DUMMYFUNCTION("split(J368,""*"")"),"Cancelled")</f>
        <v>Cancelled</v>
      </c>
      <c r="P368" s="14" t="str">
        <f>IFERROR(__xludf.DUMMYFUNCTION("""COMPUTED_VALUE"""),"Delayed Delivery:Bad Weather Conditions ")</f>
        <v>Delayed Delivery:Bad Weather Conditions </v>
      </c>
      <c r="Q368" s="14" t="str">
        <f>IFERROR(__xludf.DUMMYFUNCTION("split(P368,"":"")"),"Delayed Delivery")</f>
        <v>Delayed Delivery</v>
      </c>
      <c r="R368" s="14" t="str">
        <f>IFERROR(__xludf.DUMMYFUNCTION("""COMPUTED_VALUE"""),"Bad Weather Conditions ")</f>
        <v>Bad Weather Conditions </v>
      </c>
      <c r="S368" s="14" t="str">
        <f t="shared" ref="S368:U368" si="739">trim(B368)</f>
        <v>ord_10359</v>
      </c>
      <c r="T368" s="14" t="str">
        <f t="shared" si="739"/>
        <v>Mehul Thakkar</v>
      </c>
      <c r="U368" s="14" t="str">
        <f t="shared" si="739"/>
        <v>Malad</v>
      </c>
      <c r="V368" s="14" t="str">
        <f t="shared" si="4"/>
        <v>Popcorn</v>
      </c>
      <c r="W368" s="14">
        <f t="shared" si="5"/>
        <v>5</v>
      </c>
      <c r="X368" s="14" t="str">
        <f t="shared" si="6"/>
        <v>Sandeep Kumar</v>
      </c>
      <c r="Y368" s="15">
        <f t="shared" si="7"/>
        <v>45037</v>
      </c>
      <c r="Z368" s="14" t="str">
        <f t="shared" si="8"/>
        <v>Online Payment</v>
      </c>
      <c r="AA368" s="14" t="str">
        <f t="shared" si="9"/>
        <v>Cancelled</v>
      </c>
      <c r="AB368" s="14" t="str">
        <f t="shared" ref="AB368:AC368" si="740">trim(Q368)</f>
        <v>Delayed Delivery</v>
      </c>
      <c r="AC368" s="14" t="str">
        <f t="shared" si="740"/>
        <v>Bad Weather Conditions</v>
      </c>
      <c r="AD368" s="8"/>
    </row>
    <row r="369">
      <c r="A369" s="14" t="str">
        <f>IFERROR(__xludf.DUMMYFUNCTION("""COMPUTED_VALUE"""),"//ord_10360//Omkar Mishra//Powai//Juice+4*Sandeep Kumar/8/27/2023//Online Payment//Delivered*Satisfied with the Delivery: Timely and quality")</f>
        <v>//ord_10360//Omkar Mishra//Powai//Juice+4*Sandeep Kumar/8/27/2023//Online Payment//Delivered*Satisfied with the Delivery: Timely and quality</v>
      </c>
      <c r="B369" s="14" t="str">
        <f>IFERROR(__xludf.DUMMYFUNCTION("split(A369,""//"")"),"ord_10360")</f>
        <v>ord_10360</v>
      </c>
      <c r="C369" s="14" t="str">
        <f>IFERROR(__xludf.DUMMYFUNCTION("""COMPUTED_VALUE"""),"Omkar Mishra")</f>
        <v>Omkar Mishra</v>
      </c>
      <c r="D369" s="14" t="str">
        <f>IFERROR(__xludf.DUMMYFUNCTION("""COMPUTED_VALUE"""),"Powai")</f>
        <v>Powai</v>
      </c>
      <c r="E369" s="14" t="str">
        <f>IFERROR(__xludf.DUMMYFUNCTION("""COMPUTED_VALUE"""),"Juice+4*Sandeep Kumar")</f>
        <v>Juice+4*Sandeep Kumar</v>
      </c>
      <c r="F369" s="14">
        <f>IFERROR(__xludf.DUMMYFUNCTION("""COMPUTED_VALUE"""),8.0)</f>
        <v>8</v>
      </c>
      <c r="G369" s="14">
        <f>IFERROR(__xludf.DUMMYFUNCTION("""COMPUTED_VALUE"""),27.0)</f>
        <v>27</v>
      </c>
      <c r="H369" s="14">
        <f>IFERROR(__xludf.DUMMYFUNCTION("""COMPUTED_VALUE"""),2023.0)</f>
        <v>2023</v>
      </c>
      <c r="I369" s="14" t="str">
        <f>IFERROR(__xludf.DUMMYFUNCTION("""COMPUTED_VALUE"""),"Online Payment")</f>
        <v>Online Payment</v>
      </c>
      <c r="J369" s="14" t="str">
        <f>IFERROR(__xludf.DUMMYFUNCTION("""COMPUTED_VALUE"""),"Delivered*Satisfied with the Delivery: Timely and quality")</f>
        <v>Delivered*Satisfied with the Delivery: Timely and quality</v>
      </c>
      <c r="K369" s="14" t="str">
        <f>IFERROR(__xludf.DUMMYFUNCTION("split(E369,""+"")"),"Juice")</f>
        <v>Juice</v>
      </c>
      <c r="L369" s="14" t="str">
        <f>IFERROR(__xludf.DUMMYFUNCTION("""COMPUTED_VALUE"""),"4*Sandeep Kumar")</f>
        <v>4*Sandeep Kumar</v>
      </c>
      <c r="M369" s="14">
        <f>IFERROR(__xludf.DUMMYFUNCTION("SPLIT(L369,""*"")"),4.0)</f>
        <v>4</v>
      </c>
      <c r="N369" s="14" t="str">
        <f>IFERROR(__xludf.DUMMYFUNCTION("""COMPUTED_VALUE"""),"Sandeep Kumar")</f>
        <v>Sandeep Kumar</v>
      </c>
      <c r="O369" s="14" t="str">
        <f>IFERROR(__xludf.DUMMYFUNCTION("split(J369,""*"")"),"Delivered")</f>
        <v>Delivered</v>
      </c>
      <c r="P369" s="14" t="str">
        <f>IFERROR(__xludf.DUMMYFUNCTION("""COMPUTED_VALUE"""),"Satisfied with the Delivery: Timely and quality")</f>
        <v>Satisfied with the Delivery: Timely and quality</v>
      </c>
      <c r="Q369" s="14" t="str">
        <f>IFERROR(__xludf.DUMMYFUNCTION("split(P369,"":"")"),"Satisfied with the Delivery")</f>
        <v>Satisfied with the Delivery</v>
      </c>
      <c r="R369" s="14" t="str">
        <f>IFERROR(__xludf.DUMMYFUNCTION("""COMPUTED_VALUE""")," Timely and quality")</f>
        <v> Timely and quality</v>
      </c>
      <c r="S369" s="14" t="str">
        <f t="shared" ref="S369:U369" si="741">trim(B369)</f>
        <v>ord_10360</v>
      </c>
      <c r="T369" s="14" t="str">
        <f t="shared" si="741"/>
        <v>Omkar Mishra</v>
      </c>
      <c r="U369" s="14" t="str">
        <f t="shared" si="741"/>
        <v>Powai</v>
      </c>
      <c r="V369" s="14" t="str">
        <f t="shared" si="4"/>
        <v>Juice</v>
      </c>
      <c r="W369" s="14">
        <f t="shared" si="5"/>
        <v>4</v>
      </c>
      <c r="X369" s="14" t="str">
        <f t="shared" si="6"/>
        <v>Sandeep Kumar</v>
      </c>
      <c r="Y369" s="15">
        <f t="shared" si="7"/>
        <v>45165</v>
      </c>
      <c r="Z369" s="14" t="str">
        <f t="shared" si="8"/>
        <v>Online Payment</v>
      </c>
      <c r="AA369" s="14" t="str">
        <f t="shared" si="9"/>
        <v>Delivered</v>
      </c>
      <c r="AB369" s="14" t="str">
        <f t="shared" ref="AB369:AC369" si="742">trim(Q369)</f>
        <v>Satisfied with the Delivery</v>
      </c>
      <c r="AC369" s="14" t="str">
        <f t="shared" si="742"/>
        <v>Timely and quality</v>
      </c>
      <c r="AD369" s="8"/>
    </row>
    <row r="370">
      <c r="A370" s="14" t="str">
        <f>IFERROR(__xludf.DUMMYFUNCTION("""COMPUTED_VALUE"""),"//ord_10361//Aarohi Kapoor//Bandra//Popcorn+5*Priya Joshi/4/9/2023//Credit Card//Delivered*Customer Service: Seamless and easy")</f>
        <v>//ord_10361//Aarohi Kapoor//Bandra//Popcorn+5*Priya Joshi/4/9/2023//Credit Card//Delivered*Customer Service: Seamless and easy</v>
      </c>
      <c r="B370" s="14" t="str">
        <f>IFERROR(__xludf.DUMMYFUNCTION("split(A370,""//"")"),"ord_10361")</f>
        <v>ord_10361</v>
      </c>
      <c r="C370" s="14" t="str">
        <f>IFERROR(__xludf.DUMMYFUNCTION("""COMPUTED_VALUE"""),"Aarohi Kapoor")</f>
        <v>Aarohi Kapoor</v>
      </c>
      <c r="D370" s="14" t="str">
        <f>IFERROR(__xludf.DUMMYFUNCTION("""COMPUTED_VALUE"""),"Bandra")</f>
        <v>Bandra</v>
      </c>
      <c r="E370" s="14" t="str">
        <f>IFERROR(__xludf.DUMMYFUNCTION("""COMPUTED_VALUE"""),"Popcorn+5*Priya Joshi")</f>
        <v>Popcorn+5*Priya Joshi</v>
      </c>
      <c r="F370" s="14">
        <f>IFERROR(__xludf.DUMMYFUNCTION("""COMPUTED_VALUE"""),4.0)</f>
        <v>4</v>
      </c>
      <c r="G370" s="14">
        <f>IFERROR(__xludf.DUMMYFUNCTION("""COMPUTED_VALUE"""),9.0)</f>
        <v>9</v>
      </c>
      <c r="H370" s="14">
        <f>IFERROR(__xludf.DUMMYFUNCTION("""COMPUTED_VALUE"""),2023.0)</f>
        <v>2023</v>
      </c>
      <c r="I370" s="14" t="str">
        <f>IFERROR(__xludf.DUMMYFUNCTION("""COMPUTED_VALUE"""),"Credit Card")</f>
        <v>Credit Card</v>
      </c>
      <c r="J370" s="14" t="str">
        <f>IFERROR(__xludf.DUMMYFUNCTION("""COMPUTED_VALUE"""),"Delivered*Customer Service: Seamless and easy")</f>
        <v>Delivered*Customer Service: Seamless and easy</v>
      </c>
      <c r="K370" s="14" t="str">
        <f>IFERROR(__xludf.DUMMYFUNCTION("split(E370,""+"")"),"Popcorn")</f>
        <v>Popcorn</v>
      </c>
      <c r="L370" s="14" t="str">
        <f>IFERROR(__xludf.DUMMYFUNCTION("""COMPUTED_VALUE"""),"5*Priya Joshi")</f>
        <v>5*Priya Joshi</v>
      </c>
      <c r="M370" s="14">
        <f>IFERROR(__xludf.DUMMYFUNCTION("SPLIT(L370,""*"")"),5.0)</f>
        <v>5</v>
      </c>
      <c r="N370" s="14" t="str">
        <f>IFERROR(__xludf.DUMMYFUNCTION("""COMPUTED_VALUE"""),"Priya Joshi")</f>
        <v>Priya Joshi</v>
      </c>
      <c r="O370" s="14" t="str">
        <f>IFERROR(__xludf.DUMMYFUNCTION("split(J370,""*"")"),"Delivered")</f>
        <v>Delivered</v>
      </c>
      <c r="P370" s="14" t="str">
        <f>IFERROR(__xludf.DUMMYFUNCTION("""COMPUTED_VALUE"""),"Customer Service: Seamless and easy")</f>
        <v>Customer Service: Seamless and easy</v>
      </c>
      <c r="Q370" s="14" t="str">
        <f>IFERROR(__xludf.DUMMYFUNCTION("split(P370,"":"")"),"Customer Service")</f>
        <v>Customer Service</v>
      </c>
      <c r="R370" s="14" t="str">
        <f>IFERROR(__xludf.DUMMYFUNCTION("""COMPUTED_VALUE""")," Seamless and easy")</f>
        <v> Seamless and easy</v>
      </c>
      <c r="S370" s="14" t="str">
        <f t="shared" ref="S370:U370" si="743">trim(B370)</f>
        <v>ord_10361</v>
      </c>
      <c r="T370" s="14" t="str">
        <f t="shared" si="743"/>
        <v>Aarohi Kapoor</v>
      </c>
      <c r="U370" s="14" t="str">
        <f t="shared" si="743"/>
        <v>Bandra</v>
      </c>
      <c r="V370" s="14" t="str">
        <f t="shared" si="4"/>
        <v>Popcorn</v>
      </c>
      <c r="W370" s="14">
        <f t="shared" si="5"/>
        <v>5</v>
      </c>
      <c r="X370" s="14" t="str">
        <f t="shared" si="6"/>
        <v>Priya Joshi</v>
      </c>
      <c r="Y370" s="15">
        <f t="shared" si="7"/>
        <v>45025</v>
      </c>
      <c r="Z370" s="14" t="str">
        <f t="shared" si="8"/>
        <v>Credit Card</v>
      </c>
      <c r="AA370" s="14" t="str">
        <f t="shared" si="9"/>
        <v>Delivered</v>
      </c>
      <c r="AB370" s="14" t="str">
        <f t="shared" ref="AB370:AC370" si="744">trim(Q370)</f>
        <v>Customer Service</v>
      </c>
      <c r="AC370" s="14" t="str">
        <f t="shared" si="744"/>
        <v>Seamless and easy</v>
      </c>
      <c r="AD370" s="8"/>
    </row>
    <row r="371">
      <c r="A371" s="14" t="str">
        <f>IFERROR(__xludf.DUMMYFUNCTION("""COMPUTED_VALUE"""),"//ord_10362//Diya Arora//Lower Parel//Onion+2*Kiran Mehta/2/1/2023//COD//Delivered*Delivery Experience: Quick and professional")</f>
        <v>//ord_10362//Diya Arora//Lower Parel//Onion+2*Kiran Mehta/2/1/2023//COD//Delivered*Delivery Experience: Quick and professional</v>
      </c>
      <c r="B371" s="14" t="str">
        <f>IFERROR(__xludf.DUMMYFUNCTION("split(A371,""//"")"),"ord_10362")</f>
        <v>ord_10362</v>
      </c>
      <c r="C371" s="14" t="str">
        <f>IFERROR(__xludf.DUMMYFUNCTION("""COMPUTED_VALUE"""),"Diya Arora")</f>
        <v>Diya Arora</v>
      </c>
      <c r="D371" s="14" t="str">
        <f>IFERROR(__xludf.DUMMYFUNCTION("""COMPUTED_VALUE"""),"Lower Parel")</f>
        <v>Lower Parel</v>
      </c>
      <c r="E371" s="14" t="str">
        <f>IFERROR(__xludf.DUMMYFUNCTION("""COMPUTED_VALUE"""),"Onion+2*Kiran Mehta")</f>
        <v>Onion+2*Kiran Mehta</v>
      </c>
      <c r="F371" s="14">
        <f>IFERROR(__xludf.DUMMYFUNCTION("""COMPUTED_VALUE"""),2.0)</f>
        <v>2</v>
      </c>
      <c r="G371" s="14">
        <f>IFERROR(__xludf.DUMMYFUNCTION("""COMPUTED_VALUE"""),1.0)</f>
        <v>1</v>
      </c>
      <c r="H371" s="14">
        <f>IFERROR(__xludf.DUMMYFUNCTION("""COMPUTED_VALUE"""),2023.0)</f>
        <v>2023</v>
      </c>
      <c r="I371" s="14" t="str">
        <f>IFERROR(__xludf.DUMMYFUNCTION("""COMPUTED_VALUE"""),"COD")</f>
        <v>COD</v>
      </c>
      <c r="J371" s="14" t="str">
        <f>IFERROR(__xludf.DUMMYFUNCTION("""COMPUTED_VALUE"""),"Delivered*Delivery Experience: Quick and professional")</f>
        <v>Delivered*Delivery Experience: Quick and professional</v>
      </c>
      <c r="K371" s="14" t="str">
        <f>IFERROR(__xludf.DUMMYFUNCTION("split(E371,""+"")"),"Onion")</f>
        <v>Onion</v>
      </c>
      <c r="L371" s="14" t="str">
        <f>IFERROR(__xludf.DUMMYFUNCTION("""COMPUTED_VALUE"""),"2*Kiran Mehta")</f>
        <v>2*Kiran Mehta</v>
      </c>
      <c r="M371" s="14">
        <f>IFERROR(__xludf.DUMMYFUNCTION("SPLIT(L371,""*"")"),2.0)</f>
        <v>2</v>
      </c>
      <c r="N371" s="14" t="str">
        <f>IFERROR(__xludf.DUMMYFUNCTION("""COMPUTED_VALUE"""),"Kiran Mehta")</f>
        <v>Kiran Mehta</v>
      </c>
      <c r="O371" s="14" t="str">
        <f>IFERROR(__xludf.DUMMYFUNCTION("split(J371,""*"")"),"Delivered")</f>
        <v>Delivered</v>
      </c>
      <c r="P371" s="14" t="str">
        <f>IFERROR(__xludf.DUMMYFUNCTION("""COMPUTED_VALUE"""),"Delivery Experience: Quick and professional")</f>
        <v>Delivery Experience: Quick and professional</v>
      </c>
      <c r="Q371" s="14" t="str">
        <f>IFERROR(__xludf.DUMMYFUNCTION("split(P371,"":"")"),"Delivery Experience")</f>
        <v>Delivery Experience</v>
      </c>
      <c r="R371" s="14" t="str">
        <f>IFERROR(__xludf.DUMMYFUNCTION("""COMPUTED_VALUE""")," Quick and professional")</f>
        <v> Quick and professional</v>
      </c>
      <c r="S371" s="14" t="str">
        <f t="shared" ref="S371:U371" si="745">trim(B371)</f>
        <v>ord_10362</v>
      </c>
      <c r="T371" s="14" t="str">
        <f t="shared" si="745"/>
        <v>Diya Arora</v>
      </c>
      <c r="U371" s="14" t="str">
        <f t="shared" si="745"/>
        <v>Lower Parel</v>
      </c>
      <c r="V371" s="14" t="str">
        <f t="shared" si="4"/>
        <v>Onion</v>
      </c>
      <c r="W371" s="14">
        <f t="shared" si="5"/>
        <v>2</v>
      </c>
      <c r="X371" s="14" t="str">
        <f t="shared" si="6"/>
        <v>Kiran Mehta</v>
      </c>
      <c r="Y371" s="15">
        <f t="shared" si="7"/>
        <v>44958</v>
      </c>
      <c r="Z371" s="14" t="str">
        <f t="shared" si="8"/>
        <v>COD</v>
      </c>
      <c r="AA371" s="14" t="str">
        <f t="shared" si="9"/>
        <v>Delivered</v>
      </c>
      <c r="AB371" s="14" t="str">
        <f t="shared" ref="AB371:AC371" si="746">trim(Q371)</f>
        <v>Delivery Experience</v>
      </c>
      <c r="AC371" s="14" t="str">
        <f t="shared" si="746"/>
        <v>Quick and professional</v>
      </c>
      <c r="AD371" s="8"/>
    </row>
    <row r="372">
      <c r="A372" s="14" t="str">
        <f>IFERROR(__xludf.DUMMYFUNCTION("""COMPUTED_VALUE"""),"//ord_10363//Ishita Banerjee//Juhu//Banana+1*Ram Gopal/6/26/2023//Credit Card//Cancelled*Delayed Delivery:Incorrect Address or Location")</f>
        <v>//ord_10363//Ishita Banerjee//Juhu//Banana+1*Ram Gopal/6/26/2023//Credit Card//Cancelled*Delayed Delivery:Incorrect Address or Location</v>
      </c>
      <c r="B372" s="14" t="str">
        <f>IFERROR(__xludf.DUMMYFUNCTION("split(A372,""//"")"),"ord_10363")</f>
        <v>ord_10363</v>
      </c>
      <c r="C372" s="14" t="str">
        <f>IFERROR(__xludf.DUMMYFUNCTION("""COMPUTED_VALUE"""),"Ishita Banerjee")</f>
        <v>Ishita Banerjee</v>
      </c>
      <c r="D372" s="14" t="str">
        <f>IFERROR(__xludf.DUMMYFUNCTION("""COMPUTED_VALUE"""),"Juhu")</f>
        <v>Juhu</v>
      </c>
      <c r="E372" s="14" t="str">
        <f>IFERROR(__xludf.DUMMYFUNCTION("""COMPUTED_VALUE"""),"Banana+1*Ram Gopal")</f>
        <v>Banana+1*Ram Gopal</v>
      </c>
      <c r="F372" s="14">
        <f>IFERROR(__xludf.DUMMYFUNCTION("""COMPUTED_VALUE"""),6.0)</f>
        <v>6</v>
      </c>
      <c r="G372" s="14">
        <f>IFERROR(__xludf.DUMMYFUNCTION("""COMPUTED_VALUE"""),26.0)</f>
        <v>26</v>
      </c>
      <c r="H372" s="14">
        <f>IFERROR(__xludf.DUMMYFUNCTION("""COMPUTED_VALUE"""),2023.0)</f>
        <v>2023</v>
      </c>
      <c r="I372" s="14" t="str">
        <f>IFERROR(__xludf.DUMMYFUNCTION("""COMPUTED_VALUE"""),"Credit Card")</f>
        <v>Credit Card</v>
      </c>
      <c r="J372" s="14" t="str">
        <f>IFERROR(__xludf.DUMMYFUNCTION("""COMPUTED_VALUE"""),"Cancelled*Delayed Delivery:Incorrect Address or Location")</f>
        <v>Cancelled*Delayed Delivery:Incorrect Address or Location</v>
      </c>
      <c r="K372" s="14" t="str">
        <f>IFERROR(__xludf.DUMMYFUNCTION("split(E372,""+"")"),"Banana")</f>
        <v>Banana</v>
      </c>
      <c r="L372" s="14" t="str">
        <f>IFERROR(__xludf.DUMMYFUNCTION("""COMPUTED_VALUE"""),"1*Ram Gopal")</f>
        <v>1*Ram Gopal</v>
      </c>
      <c r="M372" s="14">
        <f>IFERROR(__xludf.DUMMYFUNCTION("SPLIT(L372,""*"")"),1.0)</f>
        <v>1</v>
      </c>
      <c r="N372" s="14" t="str">
        <f>IFERROR(__xludf.DUMMYFUNCTION("""COMPUTED_VALUE"""),"Ram Gopal")</f>
        <v>Ram Gopal</v>
      </c>
      <c r="O372" s="14" t="str">
        <f>IFERROR(__xludf.DUMMYFUNCTION("split(J372,""*"")"),"Cancelled")</f>
        <v>Cancelled</v>
      </c>
      <c r="P372" s="14" t="str">
        <f>IFERROR(__xludf.DUMMYFUNCTION("""COMPUTED_VALUE"""),"Delayed Delivery:Incorrect Address or Location")</f>
        <v>Delayed Delivery:Incorrect Address or Location</v>
      </c>
      <c r="Q372" s="14" t="str">
        <f>IFERROR(__xludf.DUMMYFUNCTION("split(P372,"":"")"),"Delayed Delivery")</f>
        <v>Delayed Delivery</v>
      </c>
      <c r="R372" s="14" t="str">
        <f>IFERROR(__xludf.DUMMYFUNCTION("""COMPUTED_VALUE"""),"Incorrect Address or Location")</f>
        <v>Incorrect Address or Location</v>
      </c>
      <c r="S372" s="14" t="str">
        <f t="shared" ref="S372:U372" si="747">trim(B372)</f>
        <v>ord_10363</v>
      </c>
      <c r="T372" s="14" t="str">
        <f t="shared" si="747"/>
        <v>Ishita Banerjee</v>
      </c>
      <c r="U372" s="14" t="str">
        <f t="shared" si="747"/>
        <v>Juhu</v>
      </c>
      <c r="V372" s="14" t="str">
        <f t="shared" si="4"/>
        <v>Banana</v>
      </c>
      <c r="W372" s="14">
        <f t="shared" si="5"/>
        <v>1</v>
      </c>
      <c r="X372" s="14" t="str">
        <f t="shared" si="6"/>
        <v>Ram Gopal</v>
      </c>
      <c r="Y372" s="15">
        <f t="shared" si="7"/>
        <v>45103</v>
      </c>
      <c r="Z372" s="14" t="str">
        <f t="shared" si="8"/>
        <v>Credit Card</v>
      </c>
      <c r="AA372" s="14" t="str">
        <f t="shared" si="9"/>
        <v>Cancelled</v>
      </c>
      <c r="AB372" s="14" t="str">
        <f t="shared" ref="AB372:AC372" si="748">trim(Q372)</f>
        <v>Delayed Delivery</v>
      </c>
      <c r="AC372" s="14" t="str">
        <f t="shared" si="748"/>
        <v>Incorrect Address or Location</v>
      </c>
      <c r="AD372" s="8"/>
    </row>
    <row r="373">
      <c r="A373" s="14" t="str">
        <f>IFERROR(__xludf.DUMMYFUNCTION("""COMPUTED_VALUE"""),"//ord_10364//Omkar Mishra//Powai//Chocolate Mousse+5*Ramesh S/11/6/2023//UPI//Delivered*Convenience: Easy tracking")</f>
        <v>//ord_10364//Omkar Mishra//Powai//Chocolate Mousse+5*Ramesh S/11/6/2023//UPI//Delivered*Convenience: Easy tracking</v>
      </c>
      <c r="B373" s="14" t="str">
        <f>IFERROR(__xludf.DUMMYFUNCTION("split(A373,""//"")"),"ord_10364")</f>
        <v>ord_10364</v>
      </c>
      <c r="C373" s="14" t="str">
        <f>IFERROR(__xludf.DUMMYFUNCTION("""COMPUTED_VALUE"""),"Omkar Mishra")</f>
        <v>Omkar Mishra</v>
      </c>
      <c r="D373" s="14" t="str">
        <f>IFERROR(__xludf.DUMMYFUNCTION("""COMPUTED_VALUE"""),"Powai")</f>
        <v>Powai</v>
      </c>
      <c r="E373" s="14" t="str">
        <f>IFERROR(__xludf.DUMMYFUNCTION("""COMPUTED_VALUE"""),"Chocolate Mousse+5*Ramesh S")</f>
        <v>Chocolate Mousse+5*Ramesh S</v>
      </c>
      <c r="F373" s="14">
        <f>IFERROR(__xludf.DUMMYFUNCTION("""COMPUTED_VALUE"""),11.0)</f>
        <v>11</v>
      </c>
      <c r="G373" s="14">
        <f>IFERROR(__xludf.DUMMYFUNCTION("""COMPUTED_VALUE"""),6.0)</f>
        <v>6</v>
      </c>
      <c r="H373" s="14">
        <f>IFERROR(__xludf.DUMMYFUNCTION("""COMPUTED_VALUE"""),2023.0)</f>
        <v>2023</v>
      </c>
      <c r="I373" s="14" t="str">
        <f>IFERROR(__xludf.DUMMYFUNCTION("""COMPUTED_VALUE"""),"UPI")</f>
        <v>UPI</v>
      </c>
      <c r="J373" s="14" t="str">
        <f>IFERROR(__xludf.DUMMYFUNCTION("""COMPUTED_VALUE"""),"Delivered*Convenience: Easy tracking")</f>
        <v>Delivered*Convenience: Easy tracking</v>
      </c>
      <c r="K373" s="14" t="str">
        <f>IFERROR(__xludf.DUMMYFUNCTION("split(E373,""+"")"),"Chocolate Mousse")</f>
        <v>Chocolate Mousse</v>
      </c>
      <c r="L373" s="14" t="str">
        <f>IFERROR(__xludf.DUMMYFUNCTION("""COMPUTED_VALUE"""),"5*Ramesh S")</f>
        <v>5*Ramesh S</v>
      </c>
      <c r="M373" s="14">
        <f>IFERROR(__xludf.DUMMYFUNCTION("SPLIT(L373,""*"")"),5.0)</f>
        <v>5</v>
      </c>
      <c r="N373" s="14" t="str">
        <f>IFERROR(__xludf.DUMMYFUNCTION("""COMPUTED_VALUE"""),"Ramesh S")</f>
        <v>Ramesh S</v>
      </c>
      <c r="O373" s="14" t="str">
        <f>IFERROR(__xludf.DUMMYFUNCTION("split(J373,""*"")"),"Delivered")</f>
        <v>Delivered</v>
      </c>
      <c r="P373" s="14" t="str">
        <f>IFERROR(__xludf.DUMMYFUNCTION("""COMPUTED_VALUE"""),"Convenience: Easy tracking")</f>
        <v>Convenience: Easy tracking</v>
      </c>
      <c r="Q373" s="14" t="str">
        <f>IFERROR(__xludf.DUMMYFUNCTION("split(P373,"":"")"),"Convenience")</f>
        <v>Convenience</v>
      </c>
      <c r="R373" s="14" t="str">
        <f>IFERROR(__xludf.DUMMYFUNCTION("""COMPUTED_VALUE""")," Easy tracking")</f>
        <v> Easy tracking</v>
      </c>
      <c r="S373" s="14" t="str">
        <f t="shared" ref="S373:U373" si="749">trim(B373)</f>
        <v>ord_10364</v>
      </c>
      <c r="T373" s="14" t="str">
        <f t="shared" si="749"/>
        <v>Omkar Mishra</v>
      </c>
      <c r="U373" s="14" t="str">
        <f t="shared" si="749"/>
        <v>Powai</v>
      </c>
      <c r="V373" s="14" t="str">
        <f t="shared" si="4"/>
        <v>Chocolate Mousse</v>
      </c>
      <c r="W373" s="14">
        <f t="shared" si="5"/>
        <v>5</v>
      </c>
      <c r="X373" s="14" t="str">
        <f t="shared" si="6"/>
        <v>Ramesh S</v>
      </c>
      <c r="Y373" s="15">
        <f t="shared" si="7"/>
        <v>45236</v>
      </c>
      <c r="Z373" s="14" t="str">
        <f t="shared" si="8"/>
        <v>UPI</v>
      </c>
      <c r="AA373" s="14" t="str">
        <f t="shared" si="9"/>
        <v>Delivered</v>
      </c>
      <c r="AB373" s="14" t="str">
        <f t="shared" ref="AB373:AC373" si="750">trim(Q373)</f>
        <v>Convenience</v>
      </c>
      <c r="AC373" s="14" t="str">
        <f t="shared" si="750"/>
        <v>Easy tracking</v>
      </c>
      <c r="AD373" s="8"/>
    </row>
    <row r="374">
      <c r="A374" s="14" t="str">
        <f>IFERROR(__xludf.DUMMYFUNCTION("""COMPUTED_VALUE"""),"//ord_10365//Mohit Malhotra//Lower Parel//Tomato+2*Venu R/5/5/2023//UPI//Delivered*Overall Satisfaction: Great service will order again")</f>
        <v>//ord_10365//Mohit Malhotra//Lower Parel//Tomato+2*Venu R/5/5/2023//UPI//Delivered*Overall Satisfaction: Great service will order again</v>
      </c>
      <c r="B374" s="14" t="str">
        <f>IFERROR(__xludf.DUMMYFUNCTION("split(A374,""//"")"),"ord_10365")</f>
        <v>ord_10365</v>
      </c>
      <c r="C374" s="14" t="str">
        <f>IFERROR(__xludf.DUMMYFUNCTION("""COMPUTED_VALUE"""),"Mohit Malhotra")</f>
        <v>Mohit Malhotra</v>
      </c>
      <c r="D374" s="14" t="str">
        <f>IFERROR(__xludf.DUMMYFUNCTION("""COMPUTED_VALUE"""),"Lower Parel")</f>
        <v>Lower Parel</v>
      </c>
      <c r="E374" s="14" t="str">
        <f>IFERROR(__xludf.DUMMYFUNCTION("""COMPUTED_VALUE"""),"Tomato+2*Venu R")</f>
        <v>Tomato+2*Venu R</v>
      </c>
      <c r="F374" s="14">
        <f>IFERROR(__xludf.DUMMYFUNCTION("""COMPUTED_VALUE"""),5.0)</f>
        <v>5</v>
      </c>
      <c r="G374" s="14">
        <f>IFERROR(__xludf.DUMMYFUNCTION("""COMPUTED_VALUE"""),5.0)</f>
        <v>5</v>
      </c>
      <c r="H374" s="14">
        <f>IFERROR(__xludf.DUMMYFUNCTION("""COMPUTED_VALUE"""),2023.0)</f>
        <v>2023</v>
      </c>
      <c r="I374" s="14" t="str">
        <f>IFERROR(__xludf.DUMMYFUNCTION("""COMPUTED_VALUE"""),"UPI")</f>
        <v>UPI</v>
      </c>
      <c r="J374" s="14" t="str">
        <f>IFERROR(__xludf.DUMMYFUNCTION("""COMPUTED_VALUE"""),"Delivered*Overall Satisfaction: Great service will order again")</f>
        <v>Delivered*Overall Satisfaction: Great service will order again</v>
      </c>
      <c r="K374" s="14" t="str">
        <f>IFERROR(__xludf.DUMMYFUNCTION("split(E374,""+"")"),"Tomato")</f>
        <v>Tomato</v>
      </c>
      <c r="L374" s="14" t="str">
        <f>IFERROR(__xludf.DUMMYFUNCTION("""COMPUTED_VALUE"""),"2*Venu R")</f>
        <v>2*Venu R</v>
      </c>
      <c r="M374" s="14">
        <f>IFERROR(__xludf.DUMMYFUNCTION("SPLIT(L374,""*"")"),2.0)</f>
        <v>2</v>
      </c>
      <c r="N374" s="14" t="str">
        <f>IFERROR(__xludf.DUMMYFUNCTION("""COMPUTED_VALUE"""),"Venu R")</f>
        <v>Venu R</v>
      </c>
      <c r="O374" s="14" t="str">
        <f>IFERROR(__xludf.DUMMYFUNCTION("split(J374,""*"")"),"Delivered")</f>
        <v>Delivered</v>
      </c>
      <c r="P374" s="14" t="str">
        <f>IFERROR(__xludf.DUMMYFUNCTION("""COMPUTED_VALUE"""),"Overall Satisfaction: Great service will order again")</f>
        <v>Overall Satisfaction: Great service will order again</v>
      </c>
      <c r="Q374" s="14" t="str">
        <f>IFERROR(__xludf.DUMMYFUNCTION("split(P374,"":"")"),"Overall Satisfaction")</f>
        <v>Overall Satisfaction</v>
      </c>
      <c r="R374" s="14" t="str">
        <f>IFERROR(__xludf.DUMMYFUNCTION("""COMPUTED_VALUE""")," Great service will order again")</f>
        <v> Great service will order again</v>
      </c>
      <c r="S374" s="14" t="str">
        <f t="shared" ref="S374:U374" si="751">trim(B374)</f>
        <v>ord_10365</v>
      </c>
      <c r="T374" s="14" t="str">
        <f t="shared" si="751"/>
        <v>Mohit Malhotra</v>
      </c>
      <c r="U374" s="14" t="str">
        <f t="shared" si="751"/>
        <v>Lower Parel</v>
      </c>
      <c r="V374" s="14" t="str">
        <f t="shared" si="4"/>
        <v>Tomato</v>
      </c>
      <c r="W374" s="14">
        <f t="shared" si="5"/>
        <v>2</v>
      </c>
      <c r="X374" s="14" t="str">
        <f t="shared" si="6"/>
        <v>Venu R</v>
      </c>
      <c r="Y374" s="15">
        <f t="shared" si="7"/>
        <v>45051</v>
      </c>
      <c r="Z374" s="14" t="str">
        <f t="shared" si="8"/>
        <v>UPI</v>
      </c>
      <c r="AA374" s="14" t="str">
        <f t="shared" si="9"/>
        <v>Delivered</v>
      </c>
      <c r="AB374" s="14" t="str">
        <f t="shared" ref="AB374:AC374" si="752">trim(Q374)</f>
        <v>Overall Satisfaction</v>
      </c>
      <c r="AC374" s="14" t="str">
        <f t="shared" si="752"/>
        <v>Great service will order again</v>
      </c>
      <c r="AD374" s="8"/>
    </row>
    <row r="375">
      <c r="A375" s="14" t="str">
        <f>IFERROR(__xludf.DUMMYFUNCTION("""COMPUTED_VALUE"""),"//ord_10366//Tanishq Bansal//Powai//Guava+2*Ram Gopal/7/3/2023//UPI//Delivered*On-time Delivery: Delivered on time")</f>
        <v>//ord_10366//Tanishq Bansal//Powai//Guava+2*Ram Gopal/7/3/2023//UPI//Delivered*On-time Delivery: Delivered on time</v>
      </c>
      <c r="B375" s="14" t="str">
        <f>IFERROR(__xludf.DUMMYFUNCTION("split(A375,""//"")"),"ord_10366")</f>
        <v>ord_10366</v>
      </c>
      <c r="C375" s="14" t="str">
        <f>IFERROR(__xludf.DUMMYFUNCTION("""COMPUTED_VALUE"""),"Tanishq Bansal")</f>
        <v>Tanishq Bansal</v>
      </c>
      <c r="D375" s="14" t="str">
        <f>IFERROR(__xludf.DUMMYFUNCTION("""COMPUTED_VALUE"""),"Powai")</f>
        <v>Powai</v>
      </c>
      <c r="E375" s="14" t="str">
        <f>IFERROR(__xludf.DUMMYFUNCTION("""COMPUTED_VALUE"""),"Guava+2*Ram Gopal")</f>
        <v>Guava+2*Ram Gopal</v>
      </c>
      <c r="F375" s="14">
        <f>IFERROR(__xludf.DUMMYFUNCTION("""COMPUTED_VALUE"""),7.0)</f>
        <v>7</v>
      </c>
      <c r="G375" s="14">
        <f>IFERROR(__xludf.DUMMYFUNCTION("""COMPUTED_VALUE"""),3.0)</f>
        <v>3</v>
      </c>
      <c r="H375" s="14">
        <f>IFERROR(__xludf.DUMMYFUNCTION("""COMPUTED_VALUE"""),2023.0)</f>
        <v>2023</v>
      </c>
      <c r="I375" s="14" t="str">
        <f>IFERROR(__xludf.DUMMYFUNCTION("""COMPUTED_VALUE"""),"UPI")</f>
        <v>UPI</v>
      </c>
      <c r="J375" s="14" t="str">
        <f>IFERROR(__xludf.DUMMYFUNCTION("""COMPUTED_VALUE"""),"Delivered*On-time Delivery: Delivered on time")</f>
        <v>Delivered*On-time Delivery: Delivered on time</v>
      </c>
      <c r="K375" s="14" t="str">
        <f>IFERROR(__xludf.DUMMYFUNCTION("split(E375,""+"")"),"Guava")</f>
        <v>Guava</v>
      </c>
      <c r="L375" s="14" t="str">
        <f>IFERROR(__xludf.DUMMYFUNCTION("""COMPUTED_VALUE"""),"2*Ram Gopal")</f>
        <v>2*Ram Gopal</v>
      </c>
      <c r="M375" s="14">
        <f>IFERROR(__xludf.DUMMYFUNCTION("SPLIT(L375,""*"")"),2.0)</f>
        <v>2</v>
      </c>
      <c r="N375" s="14" t="str">
        <f>IFERROR(__xludf.DUMMYFUNCTION("""COMPUTED_VALUE"""),"Ram Gopal")</f>
        <v>Ram Gopal</v>
      </c>
      <c r="O375" s="14" t="str">
        <f>IFERROR(__xludf.DUMMYFUNCTION("split(J375,""*"")"),"Delivered")</f>
        <v>Delivered</v>
      </c>
      <c r="P375" s="14" t="str">
        <f>IFERROR(__xludf.DUMMYFUNCTION("""COMPUTED_VALUE"""),"On-time Delivery: Delivered on time")</f>
        <v>On-time Delivery: Delivered on time</v>
      </c>
      <c r="Q375" s="14" t="str">
        <f>IFERROR(__xludf.DUMMYFUNCTION("split(P375,"":"")"),"On-time Delivery")</f>
        <v>On-time Delivery</v>
      </c>
      <c r="R375" s="14" t="str">
        <f>IFERROR(__xludf.DUMMYFUNCTION("""COMPUTED_VALUE""")," Delivered on time")</f>
        <v> Delivered on time</v>
      </c>
      <c r="S375" s="14" t="str">
        <f t="shared" ref="S375:U375" si="753">trim(B375)</f>
        <v>ord_10366</v>
      </c>
      <c r="T375" s="14" t="str">
        <f t="shared" si="753"/>
        <v>Tanishq Bansal</v>
      </c>
      <c r="U375" s="14" t="str">
        <f t="shared" si="753"/>
        <v>Powai</v>
      </c>
      <c r="V375" s="14" t="str">
        <f t="shared" si="4"/>
        <v>Guava</v>
      </c>
      <c r="W375" s="14">
        <f t="shared" si="5"/>
        <v>2</v>
      </c>
      <c r="X375" s="14" t="str">
        <f t="shared" si="6"/>
        <v>Ram Gopal</v>
      </c>
      <c r="Y375" s="15">
        <f t="shared" si="7"/>
        <v>45110</v>
      </c>
      <c r="Z375" s="14" t="str">
        <f t="shared" si="8"/>
        <v>UPI</v>
      </c>
      <c r="AA375" s="14" t="str">
        <f t="shared" si="9"/>
        <v>Delivered</v>
      </c>
      <c r="AB375" s="14" t="str">
        <f t="shared" ref="AB375:AC375" si="754">trim(Q375)</f>
        <v>On-time Delivery</v>
      </c>
      <c r="AC375" s="14" t="str">
        <f t="shared" si="754"/>
        <v>Delivered on time</v>
      </c>
      <c r="AD375" s="8"/>
    </row>
    <row r="376">
      <c r="A376" s="14" t="str">
        <f>IFERROR(__xludf.DUMMYFUNCTION("""COMPUTED_VALUE"""),"//ord_10367//Siya Reddy//Juhu//Potato+1*Priya Joshi/8/8/2023//Online Payment//Cancelled*Delayed Delivery:Traffic Accidents or Road Closures")</f>
        <v>//ord_10367//Siya Reddy//Juhu//Potato+1*Priya Joshi/8/8/2023//Online Payment//Cancelled*Delayed Delivery:Traffic Accidents or Road Closures</v>
      </c>
      <c r="B376" s="14" t="str">
        <f>IFERROR(__xludf.DUMMYFUNCTION("split(A376,""//"")"),"ord_10367")</f>
        <v>ord_10367</v>
      </c>
      <c r="C376" s="14" t="str">
        <f>IFERROR(__xludf.DUMMYFUNCTION("""COMPUTED_VALUE"""),"Siya Reddy")</f>
        <v>Siya Reddy</v>
      </c>
      <c r="D376" s="14" t="str">
        <f>IFERROR(__xludf.DUMMYFUNCTION("""COMPUTED_VALUE"""),"Juhu")</f>
        <v>Juhu</v>
      </c>
      <c r="E376" s="14" t="str">
        <f>IFERROR(__xludf.DUMMYFUNCTION("""COMPUTED_VALUE"""),"Potato+1*Priya Joshi")</f>
        <v>Potato+1*Priya Joshi</v>
      </c>
      <c r="F376" s="14">
        <f>IFERROR(__xludf.DUMMYFUNCTION("""COMPUTED_VALUE"""),8.0)</f>
        <v>8</v>
      </c>
      <c r="G376" s="14">
        <f>IFERROR(__xludf.DUMMYFUNCTION("""COMPUTED_VALUE"""),8.0)</f>
        <v>8</v>
      </c>
      <c r="H376" s="14">
        <f>IFERROR(__xludf.DUMMYFUNCTION("""COMPUTED_VALUE"""),2023.0)</f>
        <v>2023</v>
      </c>
      <c r="I376" s="14" t="str">
        <f>IFERROR(__xludf.DUMMYFUNCTION("""COMPUTED_VALUE"""),"Online Payment")</f>
        <v>Online Payment</v>
      </c>
      <c r="J376" s="14" t="str">
        <f>IFERROR(__xludf.DUMMYFUNCTION("""COMPUTED_VALUE"""),"Cancelled*Delayed Delivery:Traffic Accidents or Road Closures")</f>
        <v>Cancelled*Delayed Delivery:Traffic Accidents or Road Closures</v>
      </c>
      <c r="K376" s="14" t="str">
        <f>IFERROR(__xludf.DUMMYFUNCTION("split(E376,""+"")"),"Potato")</f>
        <v>Potato</v>
      </c>
      <c r="L376" s="14" t="str">
        <f>IFERROR(__xludf.DUMMYFUNCTION("""COMPUTED_VALUE"""),"1*Priya Joshi")</f>
        <v>1*Priya Joshi</v>
      </c>
      <c r="M376" s="14">
        <f>IFERROR(__xludf.DUMMYFUNCTION("SPLIT(L376,""*"")"),1.0)</f>
        <v>1</v>
      </c>
      <c r="N376" s="14" t="str">
        <f>IFERROR(__xludf.DUMMYFUNCTION("""COMPUTED_VALUE"""),"Priya Joshi")</f>
        <v>Priya Joshi</v>
      </c>
      <c r="O376" s="14" t="str">
        <f>IFERROR(__xludf.DUMMYFUNCTION("split(J376,""*"")"),"Cancelled")</f>
        <v>Cancelled</v>
      </c>
      <c r="P376" s="14" t="str">
        <f>IFERROR(__xludf.DUMMYFUNCTION("""COMPUTED_VALUE"""),"Delayed Delivery:Traffic Accidents or Road Closures")</f>
        <v>Delayed Delivery:Traffic Accidents or Road Closures</v>
      </c>
      <c r="Q376" s="14" t="str">
        <f>IFERROR(__xludf.DUMMYFUNCTION("split(P376,"":"")"),"Delayed Delivery")</f>
        <v>Delayed Delivery</v>
      </c>
      <c r="R376" s="14" t="str">
        <f>IFERROR(__xludf.DUMMYFUNCTION("""COMPUTED_VALUE"""),"Traffic Accidents or Road Closures")</f>
        <v>Traffic Accidents or Road Closures</v>
      </c>
      <c r="S376" s="14" t="str">
        <f t="shared" ref="S376:U376" si="755">trim(B376)</f>
        <v>ord_10367</v>
      </c>
      <c r="T376" s="14" t="str">
        <f t="shared" si="755"/>
        <v>Siya Reddy</v>
      </c>
      <c r="U376" s="14" t="str">
        <f t="shared" si="755"/>
        <v>Juhu</v>
      </c>
      <c r="V376" s="14" t="str">
        <f t="shared" si="4"/>
        <v>Potato</v>
      </c>
      <c r="W376" s="14">
        <f t="shared" si="5"/>
        <v>1</v>
      </c>
      <c r="X376" s="14" t="str">
        <f t="shared" si="6"/>
        <v>Priya Joshi</v>
      </c>
      <c r="Y376" s="15">
        <f t="shared" si="7"/>
        <v>45146</v>
      </c>
      <c r="Z376" s="14" t="str">
        <f t="shared" si="8"/>
        <v>Online Payment</v>
      </c>
      <c r="AA376" s="14" t="str">
        <f t="shared" si="9"/>
        <v>Cancelled</v>
      </c>
      <c r="AB376" s="14" t="str">
        <f t="shared" ref="AB376:AC376" si="756">trim(Q376)</f>
        <v>Delayed Delivery</v>
      </c>
      <c r="AC376" s="14" t="str">
        <f t="shared" si="756"/>
        <v>Traffic Accidents or Road Closures</v>
      </c>
      <c r="AD376" s="8"/>
    </row>
    <row r="377">
      <c r="A377" s="14" t="str">
        <f>IFERROR(__xludf.DUMMYFUNCTION("""COMPUTED_VALUE"""),"//ord_10368//Sanjay Nair//Dadar//Cold Coffee+4*Ramesh S/10/8/2023//UPI//Delivered*Quality of Items: Perfect condition")</f>
        <v>//ord_10368//Sanjay Nair//Dadar//Cold Coffee+4*Ramesh S/10/8/2023//UPI//Delivered*Quality of Items: Perfect condition</v>
      </c>
      <c r="B377" s="14" t="str">
        <f>IFERROR(__xludf.DUMMYFUNCTION("split(A377,""//"")"),"ord_10368")</f>
        <v>ord_10368</v>
      </c>
      <c r="C377" s="14" t="str">
        <f>IFERROR(__xludf.DUMMYFUNCTION("""COMPUTED_VALUE"""),"Sanjay Nair")</f>
        <v>Sanjay Nair</v>
      </c>
      <c r="D377" s="14" t="str">
        <f>IFERROR(__xludf.DUMMYFUNCTION("""COMPUTED_VALUE"""),"Dadar")</f>
        <v>Dadar</v>
      </c>
      <c r="E377" s="14" t="str">
        <f>IFERROR(__xludf.DUMMYFUNCTION("""COMPUTED_VALUE"""),"Cold Coffee+4*Ramesh S")</f>
        <v>Cold Coffee+4*Ramesh S</v>
      </c>
      <c r="F377" s="14">
        <f>IFERROR(__xludf.DUMMYFUNCTION("""COMPUTED_VALUE"""),10.0)</f>
        <v>10</v>
      </c>
      <c r="G377" s="14">
        <f>IFERROR(__xludf.DUMMYFUNCTION("""COMPUTED_VALUE"""),8.0)</f>
        <v>8</v>
      </c>
      <c r="H377" s="14">
        <f>IFERROR(__xludf.DUMMYFUNCTION("""COMPUTED_VALUE"""),2023.0)</f>
        <v>2023</v>
      </c>
      <c r="I377" s="14" t="str">
        <f>IFERROR(__xludf.DUMMYFUNCTION("""COMPUTED_VALUE"""),"UPI")</f>
        <v>UPI</v>
      </c>
      <c r="J377" s="14" t="str">
        <f>IFERROR(__xludf.DUMMYFUNCTION("""COMPUTED_VALUE"""),"Delivered*Quality of Items: Perfect condition")</f>
        <v>Delivered*Quality of Items: Perfect condition</v>
      </c>
      <c r="K377" s="14" t="str">
        <f>IFERROR(__xludf.DUMMYFUNCTION("split(E377,""+"")"),"Cold Coffee")</f>
        <v>Cold Coffee</v>
      </c>
      <c r="L377" s="14" t="str">
        <f>IFERROR(__xludf.DUMMYFUNCTION("""COMPUTED_VALUE"""),"4*Ramesh S")</f>
        <v>4*Ramesh S</v>
      </c>
      <c r="M377" s="14">
        <f>IFERROR(__xludf.DUMMYFUNCTION("SPLIT(L377,""*"")"),4.0)</f>
        <v>4</v>
      </c>
      <c r="N377" s="14" t="str">
        <f>IFERROR(__xludf.DUMMYFUNCTION("""COMPUTED_VALUE"""),"Ramesh S")</f>
        <v>Ramesh S</v>
      </c>
      <c r="O377" s="14" t="str">
        <f>IFERROR(__xludf.DUMMYFUNCTION("split(J377,""*"")"),"Delivered")</f>
        <v>Delivered</v>
      </c>
      <c r="P377" s="14" t="str">
        <f>IFERROR(__xludf.DUMMYFUNCTION("""COMPUTED_VALUE"""),"Quality of Items: Perfect condition")</f>
        <v>Quality of Items: Perfect condition</v>
      </c>
      <c r="Q377" s="14" t="str">
        <f>IFERROR(__xludf.DUMMYFUNCTION("split(P377,"":"")"),"Quality of Items")</f>
        <v>Quality of Items</v>
      </c>
      <c r="R377" s="14" t="str">
        <f>IFERROR(__xludf.DUMMYFUNCTION("""COMPUTED_VALUE""")," Perfect condition")</f>
        <v> Perfect condition</v>
      </c>
      <c r="S377" s="14" t="str">
        <f t="shared" ref="S377:U377" si="757">trim(B377)</f>
        <v>ord_10368</v>
      </c>
      <c r="T377" s="14" t="str">
        <f t="shared" si="757"/>
        <v>Sanjay Nair</v>
      </c>
      <c r="U377" s="14" t="str">
        <f t="shared" si="757"/>
        <v>Dadar</v>
      </c>
      <c r="V377" s="14" t="str">
        <f t="shared" si="4"/>
        <v>Cold Coffee</v>
      </c>
      <c r="W377" s="14">
        <f t="shared" si="5"/>
        <v>4</v>
      </c>
      <c r="X377" s="14" t="str">
        <f t="shared" si="6"/>
        <v>Ramesh S</v>
      </c>
      <c r="Y377" s="15">
        <f t="shared" si="7"/>
        <v>45207</v>
      </c>
      <c r="Z377" s="14" t="str">
        <f t="shared" si="8"/>
        <v>UPI</v>
      </c>
      <c r="AA377" s="14" t="str">
        <f t="shared" si="9"/>
        <v>Delivered</v>
      </c>
      <c r="AB377" s="14" t="str">
        <f t="shared" ref="AB377:AC377" si="758">trim(Q377)</f>
        <v>Quality of Items</v>
      </c>
      <c r="AC377" s="14" t="str">
        <f t="shared" si="758"/>
        <v>Perfect condition</v>
      </c>
      <c r="AD377" s="8"/>
    </row>
    <row r="378">
      <c r="A378" s="14" t="str">
        <f>IFERROR(__xludf.DUMMYFUNCTION("""COMPUTED_VALUE"""),"//ord_10369//Siya Reddy//Juhu//Banana+2*Manju Ajay/4/5/2023//UPI//Cancelled*Delayed Delivery:High Order Volume")</f>
        <v>//ord_10369//Siya Reddy//Juhu//Banana+2*Manju Ajay/4/5/2023//UPI//Cancelled*Delayed Delivery:High Order Volume</v>
      </c>
      <c r="B378" s="14" t="str">
        <f>IFERROR(__xludf.DUMMYFUNCTION("split(A378,""//"")"),"ord_10369")</f>
        <v>ord_10369</v>
      </c>
      <c r="C378" s="14" t="str">
        <f>IFERROR(__xludf.DUMMYFUNCTION("""COMPUTED_VALUE"""),"Siya Reddy")</f>
        <v>Siya Reddy</v>
      </c>
      <c r="D378" s="14" t="str">
        <f>IFERROR(__xludf.DUMMYFUNCTION("""COMPUTED_VALUE"""),"Juhu")</f>
        <v>Juhu</v>
      </c>
      <c r="E378" s="14" t="str">
        <f>IFERROR(__xludf.DUMMYFUNCTION("""COMPUTED_VALUE"""),"Banana+2*Manju Ajay")</f>
        <v>Banana+2*Manju Ajay</v>
      </c>
      <c r="F378" s="14">
        <f>IFERROR(__xludf.DUMMYFUNCTION("""COMPUTED_VALUE"""),4.0)</f>
        <v>4</v>
      </c>
      <c r="G378" s="14">
        <f>IFERROR(__xludf.DUMMYFUNCTION("""COMPUTED_VALUE"""),5.0)</f>
        <v>5</v>
      </c>
      <c r="H378" s="14">
        <f>IFERROR(__xludf.DUMMYFUNCTION("""COMPUTED_VALUE"""),2023.0)</f>
        <v>2023</v>
      </c>
      <c r="I378" s="14" t="str">
        <f>IFERROR(__xludf.DUMMYFUNCTION("""COMPUTED_VALUE"""),"UPI")</f>
        <v>UPI</v>
      </c>
      <c r="J378" s="14" t="str">
        <f>IFERROR(__xludf.DUMMYFUNCTION("""COMPUTED_VALUE"""),"Cancelled*Delayed Delivery:High Order Volume")</f>
        <v>Cancelled*Delayed Delivery:High Order Volume</v>
      </c>
      <c r="K378" s="14" t="str">
        <f>IFERROR(__xludf.DUMMYFUNCTION("split(E378,""+"")"),"Banana")</f>
        <v>Banana</v>
      </c>
      <c r="L378" s="14" t="str">
        <f>IFERROR(__xludf.DUMMYFUNCTION("""COMPUTED_VALUE"""),"2*Manju Ajay")</f>
        <v>2*Manju Ajay</v>
      </c>
      <c r="M378" s="14">
        <f>IFERROR(__xludf.DUMMYFUNCTION("SPLIT(L378,""*"")"),2.0)</f>
        <v>2</v>
      </c>
      <c r="N378" s="14" t="str">
        <f>IFERROR(__xludf.DUMMYFUNCTION("""COMPUTED_VALUE"""),"Manju Ajay")</f>
        <v>Manju Ajay</v>
      </c>
      <c r="O378" s="14" t="str">
        <f>IFERROR(__xludf.DUMMYFUNCTION("split(J378,""*"")"),"Cancelled")</f>
        <v>Cancelled</v>
      </c>
      <c r="P378" s="14" t="str">
        <f>IFERROR(__xludf.DUMMYFUNCTION("""COMPUTED_VALUE"""),"Delayed Delivery:High Order Volume")</f>
        <v>Delayed Delivery:High Order Volume</v>
      </c>
      <c r="Q378" s="14" t="str">
        <f>IFERROR(__xludf.DUMMYFUNCTION("split(P378,"":"")"),"Delayed Delivery")</f>
        <v>Delayed Delivery</v>
      </c>
      <c r="R378" s="14" t="str">
        <f>IFERROR(__xludf.DUMMYFUNCTION("""COMPUTED_VALUE"""),"High Order Volume")</f>
        <v>High Order Volume</v>
      </c>
      <c r="S378" s="14" t="str">
        <f t="shared" ref="S378:U378" si="759">trim(B378)</f>
        <v>ord_10369</v>
      </c>
      <c r="T378" s="14" t="str">
        <f t="shared" si="759"/>
        <v>Siya Reddy</v>
      </c>
      <c r="U378" s="14" t="str">
        <f t="shared" si="759"/>
        <v>Juhu</v>
      </c>
      <c r="V378" s="14" t="str">
        <f t="shared" si="4"/>
        <v>Banana</v>
      </c>
      <c r="W378" s="14">
        <f t="shared" si="5"/>
        <v>2</v>
      </c>
      <c r="X378" s="14" t="str">
        <f t="shared" si="6"/>
        <v>Manju Ajay</v>
      </c>
      <c r="Y378" s="15">
        <f t="shared" si="7"/>
        <v>45021</v>
      </c>
      <c r="Z378" s="14" t="str">
        <f t="shared" si="8"/>
        <v>UPI</v>
      </c>
      <c r="AA378" s="14" t="str">
        <f t="shared" si="9"/>
        <v>Cancelled</v>
      </c>
      <c r="AB378" s="14" t="str">
        <f t="shared" ref="AB378:AC378" si="760">trim(Q378)</f>
        <v>Delayed Delivery</v>
      </c>
      <c r="AC378" s="14" t="str">
        <f t="shared" si="760"/>
        <v>High Order Volume</v>
      </c>
      <c r="AD378" s="8"/>
    </row>
    <row r="379">
      <c r="A379" s="14" t="str">
        <f>IFERROR(__xludf.DUMMYFUNCTION("""COMPUTED_VALUE"""),"//ord_10370//Mehul Thakkar//Malad//Veg Puff+2*Ramesh S/7/22/2023//Credit Card//Delivered*On-time Delivery: Delivered on time")</f>
        <v>//ord_10370//Mehul Thakkar//Malad//Veg Puff+2*Ramesh S/7/22/2023//Credit Card//Delivered*On-time Delivery: Delivered on time</v>
      </c>
      <c r="B379" s="14" t="str">
        <f>IFERROR(__xludf.DUMMYFUNCTION("split(A379,""//"")"),"ord_10370")</f>
        <v>ord_10370</v>
      </c>
      <c r="C379" s="14" t="str">
        <f>IFERROR(__xludf.DUMMYFUNCTION("""COMPUTED_VALUE"""),"Mehul Thakkar")</f>
        <v>Mehul Thakkar</v>
      </c>
      <c r="D379" s="14" t="str">
        <f>IFERROR(__xludf.DUMMYFUNCTION("""COMPUTED_VALUE"""),"Malad")</f>
        <v>Malad</v>
      </c>
      <c r="E379" s="14" t="str">
        <f>IFERROR(__xludf.DUMMYFUNCTION("""COMPUTED_VALUE"""),"Veg Puff+2*Ramesh S")</f>
        <v>Veg Puff+2*Ramesh S</v>
      </c>
      <c r="F379" s="14">
        <f>IFERROR(__xludf.DUMMYFUNCTION("""COMPUTED_VALUE"""),7.0)</f>
        <v>7</v>
      </c>
      <c r="G379" s="14">
        <f>IFERROR(__xludf.DUMMYFUNCTION("""COMPUTED_VALUE"""),22.0)</f>
        <v>22</v>
      </c>
      <c r="H379" s="14">
        <f>IFERROR(__xludf.DUMMYFUNCTION("""COMPUTED_VALUE"""),2023.0)</f>
        <v>2023</v>
      </c>
      <c r="I379" s="14" t="str">
        <f>IFERROR(__xludf.DUMMYFUNCTION("""COMPUTED_VALUE"""),"Credit Card")</f>
        <v>Credit Card</v>
      </c>
      <c r="J379" s="14" t="str">
        <f>IFERROR(__xludf.DUMMYFUNCTION("""COMPUTED_VALUE"""),"Delivered*On-time Delivery: Delivered on time")</f>
        <v>Delivered*On-time Delivery: Delivered on time</v>
      </c>
      <c r="K379" s="14" t="str">
        <f>IFERROR(__xludf.DUMMYFUNCTION("split(E379,""+"")"),"Veg Puff")</f>
        <v>Veg Puff</v>
      </c>
      <c r="L379" s="14" t="str">
        <f>IFERROR(__xludf.DUMMYFUNCTION("""COMPUTED_VALUE"""),"2*Ramesh S")</f>
        <v>2*Ramesh S</v>
      </c>
      <c r="M379" s="14">
        <f>IFERROR(__xludf.DUMMYFUNCTION("SPLIT(L379,""*"")"),2.0)</f>
        <v>2</v>
      </c>
      <c r="N379" s="14" t="str">
        <f>IFERROR(__xludf.DUMMYFUNCTION("""COMPUTED_VALUE"""),"Ramesh S")</f>
        <v>Ramesh S</v>
      </c>
      <c r="O379" s="14" t="str">
        <f>IFERROR(__xludf.DUMMYFUNCTION("split(J379,""*"")"),"Delivered")</f>
        <v>Delivered</v>
      </c>
      <c r="P379" s="14" t="str">
        <f>IFERROR(__xludf.DUMMYFUNCTION("""COMPUTED_VALUE"""),"On-time Delivery: Delivered on time")</f>
        <v>On-time Delivery: Delivered on time</v>
      </c>
      <c r="Q379" s="14" t="str">
        <f>IFERROR(__xludf.DUMMYFUNCTION("split(P379,"":"")"),"On-time Delivery")</f>
        <v>On-time Delivery</v>
      </c>
      <c r="R379" s="14" t="str">
        <f>IFERROR(__xludf.DUMMYFUNCTION("""COMPUTED_VALUE""")," Delivered on time")</f>
        <v> Delivered on time</v>
      </c>
      <c r="S379" s="14" t="str">
        <f t="shared" ref="S379:U379" si="761">trim(B379)</f>
        <v>ord_10370</v>
      </c>
      <c r="T379" s="14" t="str">
        <f t="shared" si="761"/>
        <v>Mehul Thakkar</v>
      </c>
      <c r="U379" s="14" t="str">
        <f t="shared" si="761"/>
        <v>Malad</v>
      </c>
      <c r="V379" s="14" t="str">
        <f t="shared" si="4"/>
        <v>Veg Puff</v>
      </c>
      <c r="W379" s="14">
        <f t="shared" si="5"/>
        <v>2</v>
      </c>
      <c r="X379" s="14" t="str">
        <f t="shared" si="6"/>
        <v>Ramesh S</v>
      </c>
      <c r="Y379" s="15">
        <f t="shared" si="7"/>
        <v>45129</v>
      </c>
      <c r="Z379" s="14" t="str">
        <f t="shared" si="8"/>
        <v>Credit Card</v>
      </c>
      <c r="AA379" s="14" t="str">
        <f t="shared" si="9"/>
        <v>Delivered</v>
      </c>
      <c r="AB379" s="14" t="str">
        <f t="shared" ref="AB379:AC379" si="762">trim(Q379)</f>
        <v>On-time Delivery</v>
      </c>
      <c r="AC379" s="14" t="str">
        <f t="shared" si="762"/>
        <v>Delivered on time</v>
      </c>
      <c r="AD379" s="8"/>
    </row>
    <row r="380">
      <c r="A380" s="14" t="str">
        <f>IFERROR(__xludf.DUMMYFUNCTION("""COMPUTED_VALUE"""),"//ord_10371//Aditi Iyer//Dadar//Cucumber+2*Shine Thomas/7/20/2023//UPI//Delivered*Quality of Items: Perfect condition")</f>
        <v>//ord_10371//Aditi Iyer//Dadar//Cucumber+2*Shine Thomas/7/20/2023//UPI//Delivered*Quality of Items: Perfect condition</v>
      </c>
      <c r="B380" s="14" t="str">
        <f>IFERROR(__xludf.DUMMYFUNCTION("split(A380,""//"")"),"ord_10371")</f>
        <v>ord_10371</v>
      </c>
      <c r="C380" s="14" t="str">
        <f>IFERROR(__xludf.DUMMYFUNCTION("""COMPUTED_VALUE"""),"Aditi Iyer")</f>
        <v>Aditi Iyer</v>
      </c>
      <c r="D380" s="14" t="str">
        <f>IFERROR(__xludf.DUMMYFUNCTION("""COMPUTED_VALUE"""),"Dadar")</f>
        <v>Dadar</v>
      </c>
      <c r="E380" s="14" t="str">
        <f>IFERROR(__xludf.DUMMYFUNCTION("""COMPUTED_VALUE"""),"Cucumber+2*Shine Thomas")</f>
        <v>Cucumber+2*Shine Thomas</v>
      </c>
      <c r="F380" s="14">
        <f>IFERROR(__xludf.DUMMYFUNCTION("""COMPUTED_VALUE"""),7.0)</f>
        <v>7</v>
      </c>
      <c r="G380" s="14">
        <f>IFERROR(__xludf.DUMMYFUNCTION("""COMPUTED_VALUE"""),20.0)</f>
        <v>20</v>
      </c>
      <c r="H380" s="14">
        <f>IFERROR(__xludf.DUMMYFUNCTION("""COMPUTED_VALUE"""),2023.0)</f>
        <v>2023</v>
      </c>
      <c r="I380" s="14" t="str">
        <f>IFERROR(__xludf.DUMMYFUNCTION("""COMPUTED_VALUE"""),"UPI")</f>
        <v>UPI</v>
      </c>
      <c r="J380" s="14" t="str">
        <f>IFERROR(__xludf.DUMMYFUNCTION("""COMPUTED_VALUE"""),"Delivered*Quality of Items: Perfect condition")</f>
        <v>Delivered*Quality of Items: Perfect condition</v>
      </c>
      <c r="K380" s="14" t="str">
        <f>IFERROR(__xludf.DUMMYFUNCTION("split(E380,""+"")"),"Cucumber")</f>
        <v>Cucumber</v>
      </c>
      <c r="L380" s="14" t="str">
        <f>IFERROR(__xludf.DUMMYFUNCTION("""COMPUTED_VALUE"""),"2*Shine Thomas")</f>
        <v>2*Shine Thomas</v>
      </c>
      <c r="M380" s="14">
        <f>IFERROR(__xludf.DUMMYFUNCTION("SPLIT(L380,""*"")"),2.0)</f>
        <v>2</v>
      </c>
      <c r="N380" s="14" t="str">
        <f>IFERROR(__xludf.DUMMYFUNCTION("""COMPUTED_VALUE"""),"Shine Thomas")</f>
        <v>Shine Thomas</v>
      </c>
      <c r="O380" s="14" t="str">
        <f>IFERROR(__xludf.DUMMYFUNCTION("split(J380,""*"")"),"Delivered")</f>
        <v>Delivered</v>
      </c>
      <c r="P380" s="14" t="str">
        <f>IFERROR(__xludf.DUMMYFUNCTION("""COMPUTED_VALUE"""),"Quality of Items: Perfect condition")</f>
        <v>Quality of Items: Perfect condition</v>
      </c>
      <c r="Q380" s="14" t="str">
        <f>IFERROR(__xludf.DUMMYFUNCTION("split(P380,"":"")"),"Quality of Items")</f>
        <v>Quality of Items</v>
      </c>
      <c r="R380" s="14" t="str">
        <f>IFERROR(__xludf.DUMMYFUNCTION("""COMPUTED_VALUE""")," Perfect condition")</f>
        <v> Perfect condition</v>
      </c>
      <c r="S380" s="14" t="str">
        <f t="shared" ref="S380:U380" si="763">trim(B380)</f>
        <v>ord_10371</v>
      </c>
      <c r="T380" s="14" t="str">
        <f t="shared" si="763"/>
        <v>Aditi Iyer</v>
      </c>
      <c r="U380" s="14" t="str">
        <f t="shared" si="763"/>
        <v>Dadar</v>
      </c>
      <c r="V380" s="14" t="str">
        <f t="shared" si="4"/>
        <v>Cucumber</v>
      </c>
      <c r="W380" s="14">
        <f t="shared" si="5"/>
        <v>2</v>
      </c>
      <c r="X380" s="14" t="str">
        <f t="shared" si="6"/>
        <v>Shine Thomas</v>
      </c>
      <c r="Y380" s="15">
        <f t="shared" si="7"/>
        <v>45127</v>
      </c>
      <c r="Z380" s="14" t="str">
        <f t="shared" si="8"/>
        <v>UPI</v>
      </c>
      <c r="AA380" s="14" t="str">
        <f t="shared" si="9"/>
        <v>Delivered</v>
      </c>
      <c r="AB380" s="14" t="str">
        <f t="shared" ref="AB380:AC380" si="764">trim(Q380)</f>
        <v>Quality of Items</v>
      </c>
      <c r="AC380" s="14" t="str">
        <f t="shared" si="764"/>
        <v>Perfect condition</v>
      </c>
      <c r="AD380" s="8"/>
    </row>
    <row r="381">
      <c r="A381" s="14" t="str">
        <f>IFERROR(__xludf.DUMMYFUNCTION("""COMPUTED_VALUE"""),"//ord_10372//Ishaan Chaturvedi//Bandra//Potato+1*Priya Joshi/10/2/2023//Online Payment//Delivered*Packaging: Secure and intact")</f>
        <v>//ord_10372//Ishaan Chaturvedi//Bandra//Potato+1*Priya Joshi/10/2/2023//Online Payment//Delivered*Packaging: Secure and intact</v>
      </c>
      <c r="B381" s="14" t="str">
        <f>IFERROR(__xludf.DUMMYFUNCTION("split(A381,""//"")"),"ord_10372")</f>
        <v>ord_10372</v>
      </c>
      <c r="C381" s="14" t="str">
        <f>IFERROR(__xludf.DUMMYFUNCTION("""COMPUTED_VALUE"""),"Ishaan Chaturvedi")</f>
        <v>Ishaan Chaturvedi</v>
      </c>
      <c r="D381" s="14" t="str">
        <f>IFERROR(__xludf.DUMMYFUNCTION("""COMPUTED_VALUE"""),"Bandra")</f>
        <v>Bandra</v>
      </c>
      <c r="E381" s="14" t="str">
        <f>IFERROR(__xludf.DUMMYFUNCTION("""COMPUTED_VALUE"""),"Potato+1*Priya Joshi")</f>
        <v>Potato+1*Priya Joshi</v>
      </c>
      <c r="F381" s="14">
        <f>IFERROR(__xludf.DUMMYFUNCTION("""COMPUTED_VALUE"""),10.0)</f>
        <v>10</v>
      </c>
      <c r="G381" s="14">
        <f>IFERROR(__xludf.DUMMYFUNCTION("""COMPUTED_VALUE"""),2.0)</f>
        <v>2</v>
      </c>
      <c r="H381" s="14">
        <f>IFERROR(__xludf.DUMMYFUNCTION("""COMPUTED_VALUE"""),2023.0)</f>
        <v>2023</v>
      </c>
      <c r="I381" s="14" t="str">
        <f>IFERROR(__xludf.DUMMYFUNCTION("""COMPUTED_VALUE"""),"Online Payment")</f>
        <v>Online Payment</v>
      </c>
      <c r="J381" s="14" t="str">
        <f>IFERROR(__xludf.DUMMYFUNCTION("""COMPUTED_VALUE"""),"Delivered*Packaging: Secure and intact")</f>
        <v>Delivered*Packaging: Secure and intact</v>
      </c>
      <c r="K381" s="14" t="str">
        <f>IFERROR(__xludf.DUMMYFUNCTION("split(E381,""+"")"),"Potato")</f>
        <v>Potato</v>
      </c>
      <c r="L381" s="14" t="str">
        <f>IFERROR(__xludf.DUMMYFUNCTION("""COMPUTED_VALUE"""),"1*Priya Joshi")</f>
        <v>1*Priya Joshi</v>
      </c>
      <c r="M381" s="14">
        <f>IFERROR(__xludf.DUMMYFUNCTION("SPLIT(L381,""*"")"),1.0)</f>
        <v>1</v>
      </c>
      <c r="N381" s="14" t="str">
        <f>IFERROR(__xludf.DUMMYFUNCTION("""COMPUTED_VALUE"""),"Priya Joshi")</f>
        <v>Priya Joshi</v>
      </c>
      <c r="O381" s="14" t="str">
        <f>IFERROR(__xludf.DUMMYFUNCTION("split(J381,""*"")"),"Delivered")</f>
        <v>Delivered</v>
      </c>
      <c r="P381" s="14" t="str">
        <f>IFERROR(__xludf.DUMMYFUNCTION("""COMPUTED_VALUE"""),"Packaging: Secure and intact")</f>
        <v>Packaging: Secure and intact</v>
      </c>
      <c r="Q381" s="14" t="str">
        <f>IFERROR(__xludf.DUMMYFUNCTION("split(P381,"":"")"),"Packaging")</f>
        <v>Packaging</v>
      </c>
      <c r="R381" s="14" t="str">
        <f>IFERROR(__xludf.DUMMYFUNCTION("""COMPUTED_VALUE""")," Secure and intact")</f>
        <v> Secure and intact</v>
      </c>
      <c r="S381" s="14" t="str">
        <f t="shared" ref="S381:U381" si="765">trim(B381)</f>
        <v>ord_10372</v>
      </c>
      <c r="T381" s="14" t="str">
        <f t="shared" si="765"/>
        <v>Ishaan Chaturvedi</v>
      </c>
      <c r="U381" s="14" t="str">
        <f t="shared" si="765"/>
        <v>Bandra</v>
      </c>
      <c r="V381" s="14" t="str">
        <f t="shared" si="4"/>
        <v>Potato</v>
      </c>
      <c r="W381" s="14">
        <f t="shared" si="5"/>
        <v>1</v>
      </c>
      <c r="X381" s="14" t="str">
        <f t="shared" si="6"/>
        <v>Priya Joshi</v>
      </c>
      <c r="Y381" s="15">
        <f t="shared" si="7"/>
        <v>45201</v>
      </c>
      <c r="Z381" s="14" t="str">
        <f t="shared" si="8"/>
        <v>Online Payment</v>
      </c>
      <c r="AA381" s="14" t="str">
        <f t="shared" si="9"/>
        <v>Delivered</v>
      </c>
      <c r="AB381" s="14" t="str">
        <f t="shared" ref="AB381:AC381" si="766">trim(Q381)</f>
        <v>Packaging</v>
      </c>
      <c r="AC381" s="14" t="str">
        <f t="shared" si="766"/>
        <v>Secure and intact</v>
      </c>
      <c r="AD381" s="8"/>
    </row>
    <row r="382">
      <c r="A382" s="14" t="str">
        <f>IFERROR(__xludf.DUMMYFUNCTION("""COMPUTED_VALUE"""),"//ord_10373//Pranav Joshi//Andheri//Sweet Corn+1*Rohan Yadav/3/2/2023//Online Payment//Delivered*Satisfied with the Delivery: Timely and quality")</f>
        <v>//ord_10373//Pranav Joshi//Andheri//Sweet Corn+1*Rohan Yadav/3/2/2023//Online Payment//Delivered*Satisfied with the Delivery: Timely and quality</v>
      </c>
      <c r="B382" s="14" t="str">
        <f>IFERROR(__xludf.DUMMYFUNCTION("split(A382,""//"")"),"ord_10373")</f>
        <v>ord_10373</v>
      </c>
      <c r="C382" s="14" t="str">
        <f>IFERROR(__xludf.DUMMYFUNCTION("""COMPUTED_VALUE"""),"Pranav Joshi")</f>
        <v>Pranav Joshi</v>
      </c>
      <c r="D382" s="14" t="str">
        <f>IFERROR(__xludf.DUMMYFUNCTION("""COMPUTED_VALUE"""),"Andheri")</f>
        <v>Andheri</v>
      </c>
      <c r="E382" s="14" t="str">
        <f>IFERROR(__xludf.DUMMYFUNCTION("""COMPUTED_VALUE"""),"Sweet Corn+1*Rohan Yadav")</f>
        <v>Sweet Corn+1*Rohan Yadav</v>
      </c>
      <c r="F382" s="14">
        <f>IFERROR(__xludf.DUMMYFUNCTION("""COMPUTED_VALUE"""),3.0)</f>
        <v>3</v>
      </c>
      <c r="G382" s="14">
        <f>IFERROR(__xludf.DUMMYFUNCTION("""COMPUTED_VALUE"""),2.0)</f>
        <v>2</v>
      </c>
      <c r="H382" s="14">
        <f>IFERROR(__xludf.DUMMYFUNCTION("""COMPUTED_VALUE"""),2023.0)</f>
        <v>2023</v>
      </c>
      <c r="I382" s="14" t="str">
        <f>IFERROR(__xludf.DUMMYFUNCTION("""COMPUTED_VALUE"""),"Online Payment")</f>
        <v>Online Payment</v>
      </c>
      <c r="J382" s="14" t="str">
        <f>IFERROR(__xludf.DUMMYFUNCTION("""COMPUTED_VALUE"""),"Delivered*Satisfied with the Delivery: Timely and quality")</f>
        <v>Delivered*Satisfied with the Delivery: Timely and quality</v>
      </c>
      <c r="K382" s="14" t="str">
        <f>IFERROR(__xludf.DUMMYFUNCTION("split(E382,""+"")"),"Sweet Corn")</f>
        <v>Sweet Corn</v>
      </c>
      <c r="L382" s="14" t="str">
        <f>IFERROR(__xludf.DUMMYFUNCTION("""COMPUTED_VALUE"""),"1*Rohan Yadav")</f>
        <v>1*Rohan Yadav</v>
      </c>
      <c r="M382" s="14">
        <f>IFERROR(__xludf.DUMMYFUNCTION("SPLIT(L382,""*"")"),1.0)</f>
        <v>1</v>
      </c>
      <c r="N382" s="14" t="str">
        <f>IFERROR(__xludf.DUMMYFUNCTION("""COMPUTED_VALUE"""),"Rohan Yadav")</f>
        <v>Rohan Yadav</v>
      </c>
      <c r="O382" s="14" t="str">
        <f>IFERROR(__xludf.DUMMYFUNCTION("split(J382,""*"")"),"Delivered")</f>
        <v>Delivered</v>
      </c>
      <c r="P382" s="14" t="str">
        <f>IFERROR(__xludf.DUMMYFUNCTION("""COMPUTED_VALUE"""),"Satisfied with the Delivery: Timely and quality")</f>
        <v>Satisfied with the Delivery: Timely and quality</v>
      </c>
      <c r="Q382" s="14" t="str">
        <f>IFERROR(__xludf.DUMMYFUNCTION("split(P382,"":"")"),"Satisfied with the Delivery")</f>
        <v>Satisfied with the Delivery</v>
      </c>
      <c r="R382" s="14" t="str">
        <f>IFERROR(__xludf.DUMMYFUNCTION("""COMPUTED_VALUE""")," Timely and quality")</f>
        <v> Timely and quality</v>
      </c>
      <c r="S382" s="14" t="str">
        <f t="shared" ref="S382:U382" si="767">trim(B382)</f>
        <v>ord_10373</v>
      </c>
      <c r="T382" s="14" t="str">
        <f t="shared" si="767"/>
        <v>Pranav Joshi</v>
      </c>
      <c r="U382" s="14" t="str">
        <f t="shared" si="767"/>
        <v>Andheri</v>
      </c>
      <c r="V382" s="14" t="str">
        <f t="shared" si="4"/>
        <v>Sweet Corn</v>
      </c>
      <c r="W382" s="14">
        <f t="shared" si="5"/>
        <v>1</v>
      </c>
      <c r="X382" s="14" t="str">
        <f t="shared" si="6"/>
        <v>Rohan Yadav</v>
      </c>
      <c r="Y382" s="15">
        <f t="shared" si="7"/>
        <v>44987</v>
      </c>
      <c r="Z382" s="14" t="str">
        <f t="shared" si="8"/>
        <v>Online Payment</v>
      </c>
      <c r="AA382" s="14" t="str">
        <f t="shared" si="9"/>
        <v>Delivered</v>
      </c>
      <c r="AB382" s="14" t="str">
        <f t="shared" ref="AB382:AC382" si="768">trim(Q382)</f>
        <v>Satisfied with the Delivery</v>
      </c>
      <c r="AC382" s="14" t="str">
        <f t="shared" si="768"/>
        <v>Timely and quality</v>
      </c>
      <c r="AD382" s="8"/>
    </row>
    <row r="383">
      <c r="A383" s="14" t="str">
        <f>IFERROR(__xludf.DUMMYFUNCTION("""COMPUTED_VALUE"""),"//ord_10374//Kritika Shetty//Malad//Potato+1*Rohan Yadav/12/9/2023//UPI//Cancelled*Delayed Delivery:Bad Weather Conditions ")</f>
        <v>//ord_10374//Kritika Shetty//Malad//Potato+1*Rohan Yadav/12/9/2023//UPI//Cancelled*Delayed Delivery:Bad Weather Conditions </v>
      </c>
      <c r="B383" s="14" t="str">
        <f>IFERROR(__xludf.DUMMYFUNCTION("split(A383,""//"")"),"ord_10374")</f>
        <v>ord_10374</v>
      </c>
      <c r="C383" s="14" t="str">
        <f>IFERROR(__xludf.DUMMYFUNCTION("""COMPUTED_VALUE"""),"Kritika Shetty")</f>
        <v>Kritika Shetty</v>
      </c>
      <c r="D383" s="14" t="str">
        <f>IFERROR(__xludf.DUMMYFUNCTION("""COMPUTED_VALUE"""),"Malad")</f>
        <v>Malad</v>
      </c>
      <c r="E383" s="14" t="str">
        <f>IFERROR(__xludf.DUMMYFUNCTION("""COMPUTED_VALUE"""),"Potato+1*Rohan Yadav")</f>
        <v>Potato+1*Rohan Yadav</v>
      </c>
      <c r="F383" s="14">
        <f>IFERROR(__xludf.DUMMYFUNCTION("""COMPUTED_VALUE"""),12.0)</f>
        <v>12</v>
      </c>
      <c r="G383" s="14">
        <f>IFERROR(__xludf.DUMMYFUNCTION("""COMPUTED_VALUE"""),9.0)</f>
        <v>9</v>
      </c>
      <c r="H383" s="14">
        <f>IFERROR(__xludf.DUMMYFUNCTION("""COMPUTED_VALUE"""),2023.0)</f>
        <v>2023</v>
      </c>
      <c r="I383" s="14" t="str">
        <f>IFERROR(__xludf.DUMMYFUNCTION("""COMPUTED_VALUE"""),"UPI")</f>
        <v>UPI</v>
      </c>
      <c r="J383" s="14" t="str">
        <f>IFERROR(__xludf.DUMMYFUNCTION("""COMPUTED_VALUE"""),"Cancelled*Delayed Delivery:Bad Weather Conditions ")</f>
        <v>Cancelled*Delayed Delivery:Bad Weather Conditions </v>
      </c>
      <c r="K383" s="14" t="str">
        <f>IFERROR(__xludf.DUMMYFUNCTION("split(E383,""+"")"),"Potato")</f>
        <v>Potato</v>
      </c>
      <c r="L383" s="14" t="str">
        <f>IFERROR(__xludf.DUMMYFUNCTION("""COMPUTED_VALUE"""),"1*Rohan Yadav")</f>
        <v>1*Rohan Yadav</v>
      </c>
      <c r="M383" s="14">
        <f>IFERROR(__xludf.DUMMYFUNCTION("SPLIT(L383,""*"")"),1.0)</f>
        <v>1</v>
      </c>
      <c r="N383" s="14" t="str">
        <f>IFERROR(__xludf.DUMMYFUNCTION("""COMPUTED_VALUE"""),"Rohan Yadav")</f>
        <v>Rohan Yadav</v>
      </c>
      <c r="O383" s="14" t="str">
        <f>IFERROR(__xludf.DUMMYFUNCTION("split(J383,""*"")"),"Cancelled")</f>
        <v>Cancelled</v>
      </c>
      <c r="P383" s="14" t="str">
        <f>IFERROR(__xludf.DUMMYFUNCTION("""COMPUTED_VALUE"""),"Delayed Delivery:Bad Weather Conditions ")</f>
        <v>Delayed Delivery:Bad Weather Conditions </v>
      </c>
      <c r="Q383" s="14" t="str">
        <f>IFERROR(__xludf.DUMMYFUNCTION("split(P383,"":"")"),"Delayed Delivery")</f>
        <v>Delayed Delivery</v>
      </c>
      <c r="R383" s="14" t="str">
        <f>IFERROR(__xludf.DUMMYFUNCTION("""COMPUTED_VALUE"""),"Bad Weather Conditions ")</f>
        <v>Bad Weather Conditions </v>
      </c>
      <c r="S383" s="14" t="str">
        <f t="shared" ref="S383:U383" si="769">trim(B383)</f>
        <v>ord_10374</v>
      </c>
      <c r="T383" s="14" t="str">
        <f t="shared" si="769"/>
        <v>Kritika Shetty</v>
      </c>
      <c r="U383" s="14" t="str">
        <f t="shared" si="769"/>
        <v>Malad</v>
      </c>
      <c r="V383" s="14" t="str">
        <f t="shared" si="4"/>
        <v>Potato</v>
      </c>
      <c r="W383" s="14">
        <f t="shared" si="5"/>
        <v>1</v>
      </c>
      <c r="X383" s="14" t="str">
        <f t="shared" si="6"/>
        <v>Rohan Yadav</v>
      </c>
      <c r="Y383" s="15">
        <f t="shared" si="7"/>
        <v>45269</v>
      </c>
      <c r="Z383" s="14" t="str">
        <f t="shared" si="8"/>
        <v>UPI</v>
      </c>
      <c r="AA383" s="14" t="str">
        <f t="shared" si="9"/>
        <v>Cancelled</v>
      </c>
      <c r="AB383" s="14" t="str">
        <f t="shared" ref="AB383:AC383" si="770">trim(Q383)</f>
        <v>Delayed Delivery</v>
      </c>
      <c r="AC383" s="14" t="str">
        <f t="shared" si="770"/>
        <v>Bad Weather Conditions</v>
      </c>
      <c r="AD383" s="8"/>
    </row>
    <row r="384">
      <c r="A384" s="14" t="str">
        <f>IFERROR(__xludf.DUMMYFUNCTION("""COMPUTED_VALUE"""),"//ord_10375//Siya Reddy//Juhu//Chilli Cheese Toast+4*Shine Thomas/4/4/2023//Online Payment//Cancelled*Delayed Delivery:Vehicle Breakdown")</f>
        <v>//ord_10375//Siya Reddy//Juhu//Chilli Cheese Toast+4*Shine Thomas/4/4/2023//Online Payment//Cancelled*Delayed Delivery:Vehicle Breakdown</v>
      </c>
      <c r="B384" s="14" t="str">
        <f>IFERROR(__xludf.DUMMYFUNCTION("split(A384,""//"")"),"ord_10375")</f>
        <v>ord_10375</v>
      </c>
      <c r="C384" s="14" t="str">
        <f>IFERROR(__xludf.DUMMYFUNCTION("""COMPUTED_VALUE"""),"Siya Reddy")</f>
        <v>Siya Reddy</v>
      </c>
      <c r="D384" s="14" t="str">
        <f>IFERROR(__xludf.DUMMYFUNCTION("""COMPUTED_VALUE"""),"Juhu")</f>
        <v>Juhu</v>
      </c>
      <c r="E384" s="14" t="str">
        <f>IFERROR(__xludf.DUMMYFUNCTION("""COMPUTED_VALUE"""),"Chilli Cheese Toast+4*Shine Thomas")</f>
        <v>Chilli Cheese Toast+4*Shine Thomas</v>
      </c>
      <c r="F384" s="14">
        <f>IFERROR(__xludf.DUMMYFUNCTION("""COMPUTED_VALUE"""),4.0)</f>
        <v>4</v>
      </c>
      <c r="G384" s="14">
        <f>IFERROR(__xludf.DUMMYFUNCTION("""COMPUTED_VALUE"""),4.0)</f>
        <v>4</v>
      </c>
      <c r="H384" s="14">
        <f>IFERROR(__xludf.DUMMYFUNCTION("""COMPUTED_VALUE"""),2023.0)</f>
        <v>2023</v>
      </c>
      <c r="I384" s="14" t="str">
        <f>IFERROR(__xludf.DUMMYFUNCTION("""COMPUTED_VALUE"""),"Online Payment")</f>
        <v>Online Payment</v>
      </c>
      <c r="J384" s="14" t="str">
        <f>IFERROR(__xludf.DUMMYFUNCTION("""COMPUTED_VALUE"""),"Cancelled*Delayed Delivery:Vehicle Breakdown")</f>
        <v>Cancelled*Delayed Delivery:Vehicle Breakdown</v>
      </c>
      <c r="K384" s="14" t="str">
        <f>IFERROR(__xludf.DUMMYFUNCTION("split(E384,""+"")"),"Chilli Cheese Toast")</f>
        <v>Chilli Cheese Toast</v>
      </c>
      <c r="L384" s="14" t="str">
        <f>IFERROR(__xludf.DUMMYFUNCTION("""COMPUTED_VALUE"""),"4*Shine Thomas")</f>
        <v>4*Shine Thomas</v>
      </c>
      <c r="M384" s="14">
        <f>IFERROR(__xludf.DUMMYFUNCTION("SPLIT(L384,""*"")"),4.0)</f>
        <v>4</v>
      </c>
      <c r="N384" s="14" t="str">
        <f>IFERROR(__xludf.DUMMYFUNCTION("""COMPUTED_VALUE"""),"Shine Thomas")</f>
        <v>Shine Thomas</v>
      </c>
      <c r="O384" s="14" t="str">
        <f>IFERROR(__xludf.DUMMYFUNCTION("split(J384,""*"")"),"Cancelled")</f>
        <v>Cancelled</v>
      </c>
      <c r="P384" s="14" t="str">
        <f>IFERROR(__xludf.DUMMYFUNCTION("""COMPUTED_VALUE"""),"Delayed Delivery:Vehicle Breakdown")</f>
        <v>Delayed Delivery:Vehicle Breakdown</v>
      </c>
      <c r="Q384" s="14" t="str">
        <f>IFERROR(__xludf.DUMMYFUNCTION("split(P384,"":"")"),"Delayed Delivery")</f>
        <v>Delayed Delivery</v>
      </c>
      <c r="R384" s="14" t="str">
        <f>IFERROR(__xludf.DUMMYFUNCTION("""COMPUTED_VALUE"""),"Vehicle Breakdown")</f>
        <v>Vehicle Breakdown</v>
      </c>
      <c r="S384" s="14" t="str">
        <f t="shared" ref="S384:U384" si="771">trim(B384)</f>
        <v>ord_10375</v>
      </c>
      <c r="T384" s="14" t="str">
        <f t="shared" si="771"/>
        <v>Siya Reddy</v>
      </c>
      <c r="U384" s="14" t="str">
        <f t="shared" si="771"/>
        <v>Juhu</v>
      </c>
      <c r="V384" s="14" t="str">
        <f t="shared" si="4"/>
        <v>Chilli Cheese Toast</v>
      </c>
      <c r="W384" s="14">
        <f t="shared" si="5"/>
        <v>4</v>
      </c>
      <c r="X384" s="14" t="str">
        <f t="shared" si="6"/>
        <v>Shine Thomas</v>
      </c>
      <c r="Y384" s="15">
        <f t="shared" si="7"/>
        <v>45020</v>
      </c>
      <c r="Z384" s="14" t="str">
        <f t="shared" si="8"/>
        <v>Online Payment</v>
      </c>
      <c r="AA384" s="14" t="str">
        <f t="shared" si="9"/>
        <v>Cancelled</v>
      </c>
      <c r="AB384" s="14" t="str">
        <f t="shared" ref="AB384:AC384" si="772">trim(Q384)</f>
        <v>Delayed Delivery</v>
      </c>
      <c r="AC384" s="14" t="str">
        <f t="shared" si="772"/>
        <v>Vehicle Breakdown</v>
      </c>
      <c r="AD384" s="8"/>
    </row>
    <row r="385">
      <c r="A385" s="14" t="str">
        <f>IFERROR(__xludf.DUMMYFUNCTION("""COMPUTED_VALUE"""),"//ord_10376//Dev Chauhan//Bandra//Sweet Corn+2*Priya Joshi/8/18/2023//Credit Card//Delivered*Customer Service: Seamless and easy")</f>
        <v>//ord_10376//Dev Chauhan//Bandra//Sweet Corn+2*Priya Joshi/8/18/2023//Credit Card//Delivered*Customer Service: Seamless and easy</v>
      </c>
      <c r="B385" s="14" t="str">
        <f>IFERROR(__xludf.DUMMYFUNCTION("split(A385,""//"")"),"ord_10376")</f>
        <v>ord_10376</v>
      </c>
      <c r="C385" s="14" t="str">
        <f>IFERROR(__xludf.DUMMYFUNCTION("""COMPUTED_VALUE"""),"Dev Chauhan")</f>
        <v>Dev Chauhan</v>
      </c>
      <c r="D385" s="14" t="str">
        <f>IFERROR(__xludf.DUMMYFUNCTION("""COMPUTED_VALUE"""),"Bandra")</f>
        <v>Bandra</v>
      </c>
      <c r="E385" s="14" t="str">
        <f>IFERROR(__xludf.DUMMYFUNCTION("""COMPUTED_VALUE"""),"Sweet Corn+2*Priya Joshi")</f>
        <v>Sweet Corn+2*Priya Joshi</v>
      </c>
      <c r="F385" s="14">
        <f>IFERROR(__xludf.DUMMYFUNCTION("""COMPUTED_VALUE"""),8.0)</f>
        <v>8</v>
      </c>
      <c r="G385" s="14">
        <f>IFERROR(__xludf.DUMMYFUNCTION("""COMPUTED_VALUE"""),18.0)</f>
        <v>18</v>
      </c>
      <c r="H385" s="14">
        <f>IFERROR(__xludf.DUMMYFUNCTION("""COMPUTED_VALUE"""),2023.0)</f>
        <v>2023</v>
      </c>
      <c r="I385" s="14" t="str">
        <f>IFERROR(__xludf.DUMMYFUNCTION("""COMPUTED_VALUE"""),"Credit Card")</f>
        <v>Credit Card</v>
      </c>
      <c r="J385" s="14" t="str">
        <f>IFERROR(__xludf.DUMMYFUNCTION("""COMPUTED_VALUE"""),"Delivered*Customer Service: Seamless and easy")</f>
        <v>Delivered*Customer Service: Seamless and easy</v>
      </c>
      <c r="K385" s="14" t="str">
        <f>IFERROR(__xludf.DUMMYFUNCTION("split(E385,""+"")"),"Sweet Corn")</f>
        <v>Sweet Corn</v>
      </c>
      <c r="L385" s="14" t="str">
        <f>IFERROR(__xludf.DUMMYFUNCTION("""COMPUTED_VALUE"""),"2*Priya Joshi")</f>
        <v>2*Priya Joshi</v>
      </c>
      <c r="M385" s="14">
        <f>IFERROR(__xludf.DUMMYFUNCTION("SPLIT(L385,""*"")"),2.0)</f>
        <v>2</v>
      </c>
      <c r="N385" s="14" t="str">
        <f>IFERROR(__xludf.DUMMYFUNCTION("""COMPUTED_VALUE"""),"Priya Joshi")</f>
        <v>Priya Joshi</v>
      </c>
      <c r="O385" s="14" t="str">
        <f>IFERROR(__xludf.DUMMYFUNCTION("split(J385,""*"")"),"Delivered")</f>
        <v>Delivered</v>
      </c>
      <c r="P385" s="14" t="str">
        <f>IFERROR(__xludf.DUMMYFUNCTION("""COMPUTED_VALUE"""),"Customer Service: Seamless and easy")</f>
        <v>Customer Service: Seamless and easy</v>
      </c>
      <c r="Q385" s="14" t="str">
        <f>IFERROR(__xludf.DUMMYFUNCTION("split(P385,"":"")"),"Customer Service")</f>
        <v>Customer Service</v>
      </c>
      <c r="R385" s="14" t="str">
        <f>IFERROR(__xludf.DUMMYFUNCTION("""COMPUTED_VALUE""")," Seamless and easy")</f>
        <v> Seamless and easy</v>
      </c>
      <c r="S385" s="14" t="str">
        <f t="shared" ref="S385:U385" si="773">trim(B385)</f>
        <v>ord_10376</v>
      </c>
      <c r="T385" s="14" t="str">
        <f t="shared" si="773"/>
        <v>Dev Chauhan</v>
      </c>
      <c r="U385" s="14" t="str">
        <f t="shared" si="773"/>
        <v>Bandra</v>
      </c>
      <c r="V385" s="14" t="str">
        <f t="shared" si="4"/>
        <v>Sweet Corn</v>
      </c>
      <c r="W385" s="14">
        <f t="shared" si="5"/>
        <v>2</v>
      </c>
      <c r="X385" s="14" t="str">
        <f t="shared" si="6"/>
        <v>Priya Joshi</v>
      </c>
      <c r="Y385" s="15">
        <f t="shared" si="7"/>
        <v>45156</v>
      </c>
      <c r="Z385" s="14" t="str">
        <f t="shared" si="8"/>
        <v>Credit Card</v>
      </c>
      <c r="AA385" s="14" t="str">
        <f t="shared" si="9"/>
        <v>Delivered</v>
      </c>
      <c r="AB385" s="14" t="str">
        <f t="shared" ref="AB385:AC385" si="774">trim(Q385)</f>
        <v>Customer Service</v>
      </c>
      <c r="AC385" s="14" t="str">
        <f t="shared" si="774"/>
        <v>Seamless and easy</v>
      </c>
      <c r="AD385" s="8"/>
    </row>
    <row r="386">
      <c r="A386" s="14" t="str">
        <f>IFERROR(__xludf.DUMMYFUNCTION("""COMPUTED_VALUE"""),"//ord_10377//Pallavi Ghosh//Bandra//Orange+2*Priya Joshi/4/21/2023//Credit Card//Delivered*Delivery Experience: Quick and professional")</f>
        <v>//ord_10377//Pallavi Ghosh//Bandra//Orange+2*Priya Joshi/4/21/2023//Credit Card//Delivered*Delivery Experience: Quick and professional</v>
      </c>
      <c r="B386" s="14" t="str">
        <f>IFERROR(__xludf.DUMMYFUNCTION("split(A386,""//"")"),"ord_10377")</f>
        <v>ord_10377</v>
      </c>
      <c r="C386" s="14" t="str">
        <f>IFERROR(__xludf.DUMMYFUNCTION("""COMPUTED_VALUE"""),"Pallavi Ghosh")</f>
        <v>Pallavi Ghosh</v>
      </c>
      <c r="D386" s="14" t="str">
        <f>IFERROR(__xludf.DUMMYFUNCTION("""COMPUTED_VALUE"""),"Bandra")</f>
        <v>Bandra</v>
      </c>
      <c r="E386" s="14" t="str">
        <f>IFERROR(__xludf.DUMMYFUNCTION("""COMPUTED_VALUE"""),"Orange+2*Priya Joshi")</f>
        <v>Orange+2*Priya Joshi</v>
      </c>
      <c r="F386" s="14">
        <f>IFERROR(__xludf.DUMMYFUNCTION("""COMPUTED_VALUE"""),4.0)</f>
        <v>4</v>
      </c>
      <c r="G386" s="14">
        <f>IFERROR(__xludf.DUMMYFUNCTION("""COMPUTED_VALUE"""),21.0)</f>
        <v>21</v>
      </c>
      <c r="H386" s="14">
        <f>IFERROR(__xludf.DUMMYFUNCTION("""COMPUTED_VALUE"""),2023.0)</f>
        <v>2023</v>
      </c>
      <c r="I386" s="14" t="str">
        <f>IFERROR(__xludf.DUMMYFUNCTION("""COMPUTED_VALUE"""),"Credit Card")</f>
        <v>Credit Card</v>
      </c>
      <c r="J386" s="14" t="str">
        <f>IFERROR(__xludf.DUMMYFUNCTION("""COMPUTED_VALUE"""),"Delivered*Delivery Experience: Quick and professional")</f>
        <v>Delivered*Delivery Experience: Quick and professional</v>
      </c>
      <c r="K386" s="14" t="str">
        <f>IFERROR(__xludf.DUMMYFUNCTION("split(E386,""+"")"),"Orange")</f>
        <v>Orange</v>
      </c>
      <c r="L386" s="14" t="str">
        <f>IFERROR(__xludf.DUMMYFUNCTION("""COMPUTED_VALUE"""),"2*Priya Joshi")</f>
        <v>2*Priya Joshi</v>
      </c>
      <c r="M386" s="14">
        <f>IFERROR(__xludf.DUMMYFUNCTION("SPLIT(L386,""*"")"),2.0)</f>
        <v>2</v>
      </c>
      <c r="N386" s="14" t="str">
        <f>IFERROR(__xludf.DUMMYFUNCTION("""COMPUTED_VALUE"""),"Priya Joshi")</f>
        <v>Priya Joshi</v>
      </c>
      <c r="O386" s="14" t="str">
        <f>IFERROR(__xludf.DUMMYFUNCTION("split(J386,""*"")"),"Delivered")</f>
        <v>Delivered</v>
      </c>
      <c r="P386" s="14" t="str">
        <f>IFERROR(__xludf.DUMMYFUNCTION("""COMPUTED_VALUE"""),"Delivery Experience: Quick and professional")</f>
        <v>Delivery Experience: Quick and professional</v>
      </c>
      <c r="Q386" s="14" t="str">
        <f>IFERROR(__xludf.DUMMYFUNCTION("split(P386,"":"")"),"Delivery Experience")</f>
        <v>Delivery Experience</v>
      </c>
      <c r="R386" s="14" t="str">
        <f>IFERROR(__xludf.DUMMYFUNCTION("""COMPUTED_VALUE""")," Quick and professional")</f>
        <v> Quick and professional</v>
      </c>
      <c r="S386" s="14" t="str">
        <f t="shared" ref="S386:U386" si="775">trim(B386)</f>
        <v>ord_10377</v>
      </c>
      <c r="T386" s="14" t="str">
        <f t="shared" si="775"/>
        <v>Pallavi Ghosh</v>
      </c>
      <c r="U386" s="14" t="str">
        <f t="shared" si="775"/>
        <v>Bandra</v>
      </c>
      <c r="V386" s="14" t="str">
        <f t="shared" si="4"/>
        <v>Orange</v>
      </c>
      <c r="W386" s="14">
        <f t="shared" si="5"/>
        <v>2</v>
      </c>
      <c r="X386" s="14" t="str">
        <f t="shared" si="6"/>
        <v>Priya Joshi</v>
      </c>
      <c r="Y386" s="15">
        <f t="shared" si="7"/>
        <v>45037</v>
      </c>
      <c r="Z386" s="14" t="str">
        <f t="shared" si="8"/>
        <v>Credit Card</v>
      </c>
      <c r="AA386" s="14" t="str">
        <f t="shared" si="9"/>
        <v>Delivered</v>
      </c>
      <c r="AB386" s="14" t="str">
        <f t="shared" ref="AB386:AC386" si="776">trim(Q386)</f>
        <v>Delivery Experience</v>
      </c>
      <c r="AC386" s="14" t="str">
        <f t="shared" si="776"/>
        <v>Quick and professional</v>
      </c>
      <c r="AD386" s="8"/>
    </row>
    <row r="387">
      <c r="A387" s="14" t="str">
        <f>IFERROR(__xludf.DUMMYFUNCTION("""COMPUTED_VALUE"""),"//ord_10378//Aarohi Kapoor//Bandra//Juice+2*Vivek Kumar/1/8/2023//Online Payment//Delivered*Convenience: Easy tracking")</f>
        <v>//ord_10378//Aarohi Kapoor//Bandra//Juice+2*Vivek Kumar/1/8/2023//Online Payment//Delivered*Convenience: Easy tracking</v>
      </c>
      <c r="B387" s="14" t="str">
        <f>IFERROR(__xludf.DUMMYFUNCTION("split(A387,""//"")"),"ord_10378")</f>
        <v>ord_10378</v>
      </c>
      <c r="C387" s="14" t="str">
        <f>IFERROR(__xludf.DUMMYFUNCTION("""COMPUTED_VALUE"""),"Aarohi Kapoor")</f>
        <v>Aarohi Kapoor</v>
      </c>
      <c r="D387" s="14" t="str">
        <f>IFERROR(__xludf.DUMMYFUNCTION("""COMPUTED_VALUE"""),"Bandra")</f>
        <v>Bandra</v>
      </c>
      <c r="E387" s="14" t="str">
        <f>IFERROR(__xludf.DUMMYFUNCTION("""COMPUTED_VALUE"""),"Juice+2*Vivek Kumar")</f>
        <v>Juice+2*Vivek Kumar</v>
      </c>
      <c r="F387" s="14">
        <f>IFERROR(__xludf.DUMMYFUNCTION("""COMPUTED_VALUE"""),1.0)</f>
        <v>1</v>
      </c>
      <c r="G387" s="14">
        <f>IFERROR(__xludf.DUMMYFUNCTION("""COMPUTED_VALUE"""),8.0)</f>
        <v>8</v>
      </c>
      <c r="H387" s="14">
        <f>IFERROR(__xludf.DUMMYFUNCTION("""COMPUTED_VALUE"""),2023.0)</f>
        <v>2023</v>
      </c>
      <c r="I387" s="14" t="str">
        <f>IFERROR(__xludf.DUMMYFUNCTION("""COMPUTED_VALUE"""),"Online Payment")</f>
        <v>Online Payment</v>
      </c>
      <c r="J387" s="14" t="str">
        <f>IFERROR(__xludf.DUMMYFUNCTION("""COMPUTED_VALUE"""),"Delivered*Convenience: Easy tracking")</f>
        <v>Delivered*Convenience: Easy tracking</v>
      </c>
      <c r="K387" s="14" t="str">
        <f>IFERROR(__xludf.DUMMYFUNCTION("split(E387,""+"")"),"Juice")</f>
        <v>Juice</v>
      </c>
      <c r="L387" s="14" t="str">
        <f>IFERROR(__xludf.DUMMYFUNCTION("""COMPUTED_VALUE"""),"2*Vivek Kumar")</f>
        <v>2*Vivek Kumar</v>
      </c>
      <c r="M387" s="14">
        <f>IFERROR(__xludf.DUMMYFUNCTION("SPLIT(L387,""*"")"),2.0)</f>
        <v>2</v>
      </c>
      <c r="N387" s="14" t="str">
        <f>IFERROR(__xludf.DUMMYFUNCTION("""COMPUTED_VALUE"""),"Vivek Kumar")</f>
        <v>Vivek Kumar</v>
      </c>
      <c r="O387" s="14" t="str">
        <f>IFERROR(__xludf.DUMMYFUNCTION("split(J387,""*"")"),"Delivered")</f>
        <v>Delivered</v>
      </c>
      <c r="P387" s="14" t="str">
        <f>IFERROR(__xludf.DUMMYFUNCTION("""COMPUTED_VALUE"""),"Convenience: Easy tracking")</f>
        <v>Convenience: Easy tracking</v>
      </c>
      <c r="Q387" s="14" t="str">
        <f>IFERROR(__xludf.DUMMYFUNCTION("split(P387,"":"")"),"Convenience")</f>
        <v>Convenience</v>
      </c>
      <c r="R387" s="14" t="str">
        <f>IFERROR(__xludf.DUMMYFUNCTION("""COMPUTED_VALUE""")," Easy tracking")</f>
        <v> Easy tracking</v>
      </c>
      <c r="S387" s="14" t="str">
        <f t="shared" ref="S387:U387" si="777">trim(B387)</f>
        <v>ord_10378</v>
      </c>
      <c r="T387" s="14" t="str">
        <f t="shared" si="777"/>
        <v>Aarohi Kapoor</v>
      </c>
      <c r="U387" s="14" t="str">
        <f t="shared" si="777"/>
        <v>Bandra</v>
      </c>
      <c r="V387" s="14" t="str">
        <f t="shared" si="4"/>
        <v>Juice</v>
      </c>
      <c r="W387" s="14">
        <f t="shared" si="5"/>
        <v>2</v>
      </c>
      <c r="X387" s="14" t="str">
        <f t="shared" si="6"/>
        <v>Vivek Kumar</v>
      </c>
      <c r="Y387" s="15">
        <f t="shared" si="7"/>
        <v>44934</v>
      </c>
      <c r="Z387" s="14" t="str">
        <f t="shared" si="8"/>
        <v>Online Payment</v>
      </c>
      <c r="AA387" s="14" t="str">
        <f t="shared" si="9"/>
        <v>Delivered</v>
      </c>
      <c r="AB387" s="14" t="str">
        <f t="shared" ref="AB387:AC387" si="778">trim(Q387)</f>
        <v>Convenience</v>
      </c>
      <c r="AC387" s="14" t="str">
        <f t="shared" si="778"/>
        <v>Easy tracking</v>
      </c>
      <c r="AD387" s="8"/>
    </row>
    <row r="388">
      <c r="A388" s="14" t="str">
        <f>IFERROR(__xludf.DUMMYFUNCTION("""COMPUTED_VALUE"""),"//ord_10379//Pranav Joshi//Andheri//Icecream+1*Vivek Kumar/11/21/2023//Online Payment//Delivered*Overall Satisfaction: Great service will order again")</f>
        <v>//ord_10379//Pranav Joshi//Andheri//Icecream+1*Vivek Kumar/11/21/2023//Online Payment//Delivered*Overall Satisfaction: Great service will order again</v>
      </c>
      <c r="B388" s="14" t="str">
        <f>IFERROR(__xludf.DUMMYFUNCTION("split(A388,""//"")"),"ord_10379")</f>
        <v>ord_10379</v>
      </c>
      <c r="C388" s="14" t="str">
        <f>IFERROR(__xludf.DUMMYFUNCTION("""COMPUTED_VALUE"""),"Pranav Joshi")</f>
        <v>Pranav Joshi</v>
      </c>
      <c r="D388" s="14" t="str">
        <f>IFERROR(__xludf.DUMMYFUNCTION("""COMPUTED_VALUE"""),"Andheri")</f>
        <v>Andheri</v>
      </c>
      <c r="E388" s="14" t="str">
        <f>IFERROR(__xludf.DUMMYFUNCTION("""COMPUTED_VALUE"""),"Icecream+1*Vivek Kumar")</f>
        <v>Icecream+1*Vivek Kumar</v>
      </c>
      <c r="F388" s="14">
        <f>IFERROR(__xludf.DUMMYFUNCTION("""COMPUTED_VALUE"""),11.0)</f>
        <v>11</v>
      </c>
      <c r="G388" s="14">
        <f>IFERROR(__xludf.DUMMYFUNCTION("""COMPUTED_VALUE"""),21.0)</f>
        <v>21</v>
      </c>
      <c r="H388" s="14">
        <f>IFERROR(__xludf.DUMMYFUNCTION("""COMPUTED_VALUE"""),2023.0)</f>
        <v>2023</v>
      </c>
      <c r="I388" s="14" t="str">
        <f>IFERROR(__xludf.DUMMYFUNCTION("""COMPUTED_VALUE"""),"Online Payment")</f>
        <v>Online Payment</v>
      </c>
      <c r="J388" s="14" t="str">
        <f>IFERROR(__xludf.DUMMYFUNCTION("""COMPUTED_VALUE"""),"Delivered*Overall Satisfaction: Great service will order again")</f>
        <v>Delivered*Overall Satisfaction: Great service will order again</v>
      </c>
      <c r="K388" s="14" t="str">
        <f>IFERROR(__xludf.DUMMYFUNCTION("split(E388,""+"")"),"Icecream")</f>
        <v>Icecream</v>
      </c>
      <c r="L388" s="14" t="str">
        <f>IFERROR(__xludf.DUMMYFUNCTION("""COMPUTED_VALUE"""),"1*Vivek Kumar")</f>
        <v>1*Vivek Kumar</v>
      </c>
      <c r="M388" s="14">
        <f>IFERROR(__xludf.DUMMYFUNCTION("SPLIT(L388,""*"")"),1.0)</f>
        <v>1</v>
      </c>
      <c r="N388" s="14" t="str">
        <f>IFERROR(__xludf.DUMMYFUNCTION("""COMPUTED_VALUE"""),"Vivek Kumar")</f>
        <v>Vivek Kumar</v>
      </c>
      <c r="O388" s="14" t="str">
        <f>IFERROR(__xludf.DUMMYFUNCTION("split(J388,""*"")"),"Delivered")</f>
        <v>Delivered</v>
      </c>
      <c r="P388" s="14" t="str">
        <f>IFERROR(__xludf.DUMMYFUNCTION("""COMPUTED_VALUE"""),"Overall Satisfaction: Great service will order again")</f>
        <v>Overall Satisfaction: Great service will order again</v>
      </c>
      <c r="Q388" s="14" t="str">
        <f>IFERROR(__xludf.DUMMYFUNCTION("split(P388,"":"")"),"Overall Satisfaction")</f>
        <v>Overall Satisfaction</v>
      </c>
      <c r="R388" s="14" t="str">
        <f>IFERROR(__xludf.DUMMYFUNCTION("""COMPUTED_VALUE""")," Great service will order again")</f>
        <v> Great service will order again</v>
      </c>
      <c r="S388" s="14" t="str">
        <f t="shared" ref="S388:U388" si="779">trim(B388)</f>
        <v>ord_10379</v>
      </c>
      <c r="T388" s="14" t="str">
        <f t="shared" si="779"/>
        <v>Pranav Joshi</v>
      </c>
      <c r="U388" s="14" t="str">
        <f t="shared" si="779"/>
        <v>Andheri</v>
      </c>
      <c r="V388" s="14" t="str">
        <f t="shared" si="4"/>
        <v>Icecream</v>
      </c>
      <c r="W388" s="14">
        <f t="shared" si="5"/>
        <v>1</v>
      </c>
      <c r="X388" s="14" t="str">
        <f t="shared" si="6"/>
        <v>Vivek Kumar</v>
      </c>
      <c r="Y388" s="15">
        <f t="shared" si="7"/>
        <v>45251</v>
      </c>
      <c r="Z388" s="14" t="str">
        <f t="shared" si="8"/>
        <v>Online Payment</v>
      </c>
      <c r="AA388" s="14" t="str">
        <f t="shared" si="9"/>
        <v>Delivered</v>
      </c>
      <c r="AB388" s="14" t="str">
        <f t="shared" ref="AB388:AC388" si="780">trim(Q388)</f>
        <v>Overall Satisfaction</v>
      </c>
      <c r="AC388" s="14" t="str">
        <f t="shared" si="780"/>
        <v>Great service will order again</v>
      </c>
      <c r="AD388" s="8"/>
    </row>
    <row r="389">
      <c r="A389" s="14" t="str">
        <f>IFERROR(__xludf.DUMMYFUNCTION("""COMPUTED_VALUE"""),"//ord_10380//Aditya Rao//Lower Parel//Orange+2*Sita T/7/22/2023//UPI//Delivered*On-time Delivery: Delivered on time")</f>
        <v>//ord_10380//Aditya Rao//Lower Parel//Orange+2*Sita T/7/22/2023//UPI//Delivered*On-time Delivery: Delivered on time</v>
      </c>
      <c r="B389" s="14" t="str">
        <f>IFERROR(__xludf.DUMMYFUNCTION("split(A389,""//"")"),"ord_10380")</f>
        <v>ord_10380</v>
      </c>
      <c r="C389" s="14" t="str">
        <f>IFERROR(__xludf.DUMMYFUNCTION("""COMPUTED_VALUE"""),"Aditya Rao")</f>
        <v>Aditya Rao</v>
      </c>
      <c r="D389" s="14" t="str">
        <f>IFERROR(__xludf.DUMMYFUNCTION("""COMPUTED_VALUE"""),"Lower Parel")</f>
        <v>Lower Parel</v>
      </c>
      <c r="E389" s="14" t="str">
        <f>IFERROR(__xludf.DUMMYFUNCTION("""COMPUTED_VALUE"""),"Orange+2*Sita T")</f>
        <v>Orange+2*Sita T</v>
      </c>
      <c r="F389" s="14">
        <f>IFERROR(__xludf.DUMMYFUNCTION("""COMPUTED_VALUE"""),7.0)</f>
        <v>7</v>
      </c>
      <c r="G389" s="14">
        <f>IFERROR(__xludf.DUMMYFUNCTION("""COMPUTED_VALUE"""),22.0)</f>
        <v>22</v>
      </c>
      <c r="H389" s="14">
        <f>IFERROR(__xludf.DUMMYFUNCTION("""COMPUTED_VALUE"""),2023.0)</f>
        <v>2023</v>
      </c>
      <c r="I389" s="14" t="str">
        <f>IFERROR(__xludf.DUMMYFUNCTION("""COMPUTED_VALUE"""),"UPI")</f>
        <v>UPI</v>
      </c>
      <c r="J389" s="14" t="str">
        <f>IFERROR(__xludf.DUMMYFUNCTION("""COMPUTED_VALUE"""),"Delivered*On-time Delivery: Delivered on time")</f>
        <v>Delivered*On-time Delivery: Delivered on time</v>
      </c>
      <c r="K389" s="14" t="str">
        <f>IFERROR(__xludf.DUMMYFUNCTION("split(E389,""+"")"),"Orange")</f>
        <v>Orange</v>
      </c>
      <c r="L389" s="14" t="str">
        <f>IFERROR(__xludf.DUMMYFUNCTION("""COMPUTED_VALUE"""),"2*Sita T")</f>
        <v>2*Sita T</v>
      </c>
      <c r="M389" s="14">
        <f>IFERROR(__xludf.DUMMYFUNCTION("SPLIT(L389,""*"")"),2.0)</f>
        <v>2</v>
      </c>
      <c r="N389" s="14" t="str">
        <f>IFERROR(__xludf.DUMMYFUNCTION("""COMPUTED_VALUE"""),"Sita T")</f>
        <v>Sita T</v>
      </c>
      <c r="O389" s="14" t="str">
        <f>IFERROR(__xludf.DUMMYFUNCTION("split(J389,""*"")"),"Delivered")</f>
        <v>Delivered</v>
      </c>
      <c r="P389" s="14" t="str">
        <f>IFERROR(__xludf.DUMMYFUNCTION("""COMPUTED_VALUE"""),"On-time Delivery: Delivered on time")</f>
        <v>On-time Delivery: Delivered on time</v>
      </c>
      <c r="Q389" s="14" t="str">
        <f>IFERROR(__xludf.DUMMYFUNCTION("split(P389,"":"")"),"On-time Delivery")</f>
        <v>On-time Delivery</v>
      </c>
      <c r="R389" s="14" t="str">
        <f>IFERROR(__xludf.DUMMYFUNCTION("""COMPUTED_VALUE""")," Delivered on time")</f>
        <v> Delivered on time</v>
      </c>
      <c r="S389" s="14" t="str">
        <f t="shared" ref="S389:U389" si="781">trim(B389)</f>
        <v>ord_10380</v>
      </c>
      <c r="T389" s="14" t="str">
        <f t="shared" si="781"/>
        <v>Aditya Rao</v>
      </c>
      <c r="U389" s="14" t="str">
        <f t="shared" si="781"/>
        <v>Lower Parel</v>
      </c>
      <c r="V389" s="14" t="str">
        <f t="shared" si="4"/>
        <v>Orange</v>
      </c>
      <c r="W389" s="14">
        <f t="shared" si="5"/>
        <v>2</v>
      </c>
      <c r="X389" s="14" t="str">
        <f t="shared" si="6"/>
        <v>Sita T</v>
      </c>
      <c r="Y389" s="15">
        <f t="shared" si="7"/>
        <v>45129</v>
      </c>
      <c r="Z389" s="14" t="str">
        <f t="shared" si="8"/>
        <v>UPI</v>
      </c>
      <c r="AA389" s="14" t="str">
        <f t="shared" si="9"/>
        <v>Delivered</v>
      </c>
      <c r="AB389" s="14" t="str">
        <f t="shared" ref="AB389:AC389" si="782">trim(Q389)</f>
        <v>On-time Delivery</v>
      </c>
      <c r="AC389" s="14" t="str">
        <f t="shared" si="782"/>
        <v>Delivered on time</v>
      </c>
      <c r="AD389" s="8"/>
    </row>
    <row r="390">
      <c r="A390" s="14" t="str">
        <f>IFERROR(__xludf.DUMMYFUNCTION("""COMPUTED_VALUE"""),"//ord_10381//Mehul Thakkar//Malad//Chicken Puff+1*Neha Shah/5/10/2023//Credit Card//Cancelled*Delayed Delivery:Heavy Traffic")</f>
        <v>//ord_10381//Mehul Thakkar//Malad//Chicken Puff+1*Neha Shah/5/10/2023//Credit Card//Cancelled*Delayed Delivery:Heavy Traffic</v>
      </c>
      <c r="B390" s="14" t="str">
        <f>IFERROR(__xludf.DUMMYFUNCTION("split(A390,""//"")"),"ord_10381")</f>
        <v>ord_10381</v>
      </c>
      <c r="C390" s="14" t="str">
        <f>IFERROR(__xludf.DUMMYFUNCTION("""COMPUTED_VALUE"""),"Mehul Thakkar")</f>
        <v>Mehul Thakkar</v>
      </c>
      <c r="D390" s="14" t="str">
        <f>IFERROR(__xludf.DUMMYFUNCTION("""COMPUTED_VALUE"""),"Malad")</f>
        <v>Malad</v>
      </c>
      <c r="E390" s="14" t="str">
        <f>IFERROR(__xludf.DUMMYFUNCTION("""COMPUTED_VALUE"""),"Chicken Puff+1*Neha Shah")</f>
        <v>Chicken Puff+1*Neha Shah</v>
      </c>
      <c r="F390" s="14">
        <f>IFERROR(__xludf.DUMMYFUNCTION("""COMPUTED_VALUE"""),5.0)</f>
        <v>5</v>
      </c>
      <c r="G390" s="14">
        <f>IFERROR(__xludf.DUMMYFUNCTION("""COMPUTED_VALUE"""),10.0)</f>
        <v>10</v>
      </c>
      <c r="H390" s="14">
        <f>IFERROR(__xludf.DUMMYFUNCTION("""COMPUTED_VALUE"""),2023.0)</f>
        <v>2023</v>
      </c>
      <c r="I390" s="14" t="str">
        <f>IFERROR(__xludf.DUMMYFUNCTION("""COMPUTED_VALUE"""),"Credit Card")</f>
        <v>Credit Card</v>
      </c>
      <c r="J390" s="14" t="str">
        <f>IFERROR(__xludf.DUMMYFUNCTION("""COMPUTED_VALUE"""),"Cancelled*Delayed Delivery:Heavy Traffic")</f>
        <v>Cancelled*Delayed Delivery:Heavy Traffic</v>
      </c>
      <c r="K390" s="14" t="str">
        <f>IFERROR(__xludf.DUMMYFUNCTION("split(E390,""+"")"),"Chicken Puff")</f>
        <v>Chicken Puff</v>
      </c>
      <c r="L390" s="14" t="str">
        <f>IFERROR(__xludf.DUMMYFUNCTION("""COMPUTED_VALUE"""),"1*Neha Shah")</f>
        <v>1*Neha Shah</v>
      </c>
      <c r="M390" s="14">
        <f>IFERROR(__xludf.DUMMYFUNCTION("SPLIT(L390,""*"")"),1.0)</f>
        <v>1</v>
      </c>
      <c r="N390" s="14" t="str">
        <f>IFERROR(__xludf.DUMMYFUNCTION("""COMPUTED_VALUE"""),"Neha Shah")</f>
        <v>Neha Shah</v>
      </c>
      <c r="O390" s="14" t="str">
        <f>IFERROR(__xludf.DUMMYFUNCTION("split(J390,""*"")"),"Cancelled")</f>
        <v>Cancelled</v>
      </c>
      <c r="P390" s="14" t="str">
        <f>IFERROR(__xludf.DUMMYFUNCTION("""COMPUTED_VALUE"""),"Delayed Delivery:Heavy Traffic")</f>
        <v>Delayed Delivery:Heavy Traffic</v>
      </c>
      <c r="Q390" s="14" t="str">
        <f>IFERROR(__xludf.DUMMYFUNCTION("split(P390,"":"")"),"Delayed Delivery")</f>
        <v>Delayed Delivery</v>
      </c>
      <c r="R390" s="14" t="str">
        <f>IFERROR(__xludf.DUMMYFUNCTION("""COMPUTED_VALUE"""),"Heavy Traffic")</f>
        <v>Heavy Traffic</v>
      </c>
      <c r="S390" s="14" t="str">
        <f t="shared" ref="S390:U390" si="783">trim(B390)</f>
        <v>ord_10381</v>
      </c>
      <c r="T390" s="14" t="str">
        <f t="shared" si="783"/>
        <v>Mehul Thakkar</v>
      </c>
      <c r="U390" s="14" t="str">
        <f t="shared" si="783"/>
        <v>Malad</v>
      </c>
      <c r="V390" s="14" t="str">
        <f t="shared" si="4"/>
        <v>Chicken Puff</v>
      </c>
      <c r="W390" s="14">
        <f t="shared" si="5"/>
        <v>1</v>
      </c>
      <c r="X390" s="14" t="str">
        <f t="shared" si="6"/>
        <v>Neha Shah</v>
      </c>
      <c r="Y390" s="15">
        <f t="shared" si="7"/>
        <v>45056</v>
      </c>
      <c r="Z390" s="14" t="str">
        <f t="shared" si="8"/>
        <v>Credit Card</v>
      </c>
      <c r="AA390" s="14" t="str">
        <f t="shared" si="9"/>
        <v>Cancelled</v>
      </c>
      <c r="AB390" s="14" t="str">
        <f t="shared" ref="AB390:AC390" si="784">trim(Q390)</f>
        <v>Delayed Delivery</v>
      </c>
      <c r="AC390" s="14" t="str">
        <f t="shared" si="784"/>
        <v>Heavy Traffic</v>
      </c>
      <c r="AD390" s="8"/>
    </row>
    <row r="391">
      <c r="A391" s="14" t="str">
        <f>IFERROR(__xludf.DUMMYFUNCTION("""COMPUTED_VALUE"""),"//ord_10382//Pallavi Ghosh//Bandra//Juice+1*Shine Thomas/6/9/2023//Online Payment//Delivered*Quality of Items: Perfect condition")</f>
        <v>//ord_10382//Pallavi Ghosh//Bandra//Juice+1*Shine Thomas/6/9/2023//Online Payment//Delivered*Quality of Items: Perfect condition</v>
      </c>
      <c r="B391" s="14" t="str">
        <f>IFERROR(__xludf.DUMMYFUNCTION("split(A391,""//"")"),"ord_10382")</f>
        <v>ord_10382</v>
      </c>
      <c r="C391" s="14" t="str">
        <f>IFERROR(__xludf.DUMMYFUNCTION("""COMPUTED_VALUE"""),"Pallavi Ghosh")</f>
        <v>Pallavi Ghosh</v>
      </c>
      <c r="D391" s="14" t="str">
        <f>IFERROR(__xludf.DUMMYFUNCTION("""COMPUTED_VALUE"""),"Bandra")</f>
        <v>Bandra</v>
      </c>
      <c r="E391" s="14" t="str">
        <f>IFERROR(__xludf.DUMMYFUNCTION("""COMPUTED_VALUE"""),"Juice+1*Shine Thomas")</f>
        <v>Juice+1*Shine Thomas</v>
      </c>
      <c r="F391" s="14">
        <f>IFERROR(__xludf.DUMMYFUNCTION("""COMPUTED_VALUE"""),6.0)</f>
        <v>6</v>
      </c>
      <c r="G391" s="14">
        <f>IFERROR(__xludf.DUMMYFUNCTION("""COMPUTED_VALUE"""),9.0)</f>
        <v>9</v>
      </c>
      <c r="H391" s="14">
        <f>IFERROR(__xludf.DUMMYFUNCTION("""COMPUTED_VALUE"""),2023.0)</f>
        <v>2023</v>
      </c>
      <c r="I391" s="14" t="str">
        <f>IFERROR(__xludf.DUMMYFUNCTION("""COMPUTED_VALUE"""),"Online Payment")</f>
        <v>Online Payment</v>
      </c>
      <c r="J391" s="14" t="str">
        <f>IFERROR(__xludf.DUMMYFUNCTION("""COMPUTED_VALUE"""),"Delivered*Quality of Items: Perfect condition")</f>
        <v>Delivered*Quality of Items: Perfect condition</v>
      </c>
      <c r="K391" s="14" t="str">
        <f>IFERROR(__xludf.DUMMYFUNCTION("split(E391,""+"")"),"Juice")</f>
        <v>Juice</v>
      </c>
      <c r="L391" s="14" t="str">
        <f>IFERROR(__xludf.DUMMYFUNCTION("""COMPUTED_VALUE"""),"1*Shine Thomas")</f>
        <v>1*Shine Thomas</v>
      </c>
      <c r="M391" s="14">
        <f>IFERROR(__xludf.DUMMYFUNCTION("SPLIT(L391,""*"")"),1.0)</f>
        <v>1</v>
      </c>
      <c r="N391" s="14" t="str">
        <f>IFERROR(__xludf.DUMMYFUNCTION("""COMPUTED_VALUE"""),"Shine Thomas")</f>
        <v>Shine Thomas</v>
      </c>
      <c r="O391" s="14" t="str">
        <f>IFERROR(__xludf.DUMMYFUNCTION("split(J391,""*"")"),"Delivered")</f>
        <v>Delivered</v>
      </c>
      <c r="P391" s="14" t="str">
        <f>IFERROR(__xludf.DUMMYFUNCTION("""COMPUTED_VALUE"""),"Quality of Items: Perfect condition")</f>
        <v>Quality of Items: Perfect condition</v>
      </c>
      <c r="Q391" s="14" t="str">
        <f>IFERROR(__xludf.DUMMYFUNCTION("split(P391,"":"")"),"Quality of Items")</f>
        <v>Quality of Items</v>
      </c>
      <c r="R391" s="14" t="str">
        <f>IFERROR(__xludf.DUMMYFUNCTION("""COMPUTED_VALUE""")," Perfect condition")</f>
        <v> Perfect condition</v>
      </c>
      <c r="S391" s="14" t="str">
        <f t="shared" ref="S391:U391" si="785">trim(B391)</f>
        <v>ord_10382</v>
      </c>
      <c r="T391" s="14" t="str">
        <f t="shared" si="785"/>
        <v>Pallavi Ghosh</v>
      </c>
      <c r="U391" s="14" t="str">
        <f t="shared" si="785"/>
        <v>Bandra</v>
      </c>
      <c r="V391" s="14" t="str">
        <f t="shared" si="4"/>
        <v>Juice</v>
      </c>
      <c r="W391" s="14">
        <f t="shared" si="5"/>
        <v>1</v>
      </c>
      <c r="X391" s="14" t="str">
        <f t="shared" si="6"/>
        <v>Shine Thomas</v>
      </c>
      <c r="Y391" s="15">
        <f t="shared" si="7"/>
        <v>45086</v>
      </c>
      <c r="Z391" s="14" t="str">
        <f t="shared" si="8"/>
        <v>Online Payment</v>
      </c>
      <c r="AA391" s="14" t="str">
        <f t="shared" si="9"/>
        <v>Delivered</v>
      </c>
      <c r="AB391" s="14" t="str">
        <f t="shared" ref="AB391:AC391" si="786">trim(Q391)</f>
        <v>Quality of Items</v>
      </c>
      <c r="AC391" s="14" t="str">
        <f t="shared" si="786"/>
        <v>Perfect condition</v>
      </c>
      <c r="AD391" s="8"/>
    </row>
    <row r="392">
      <c r="A392" s="14" t="str">
        <f>IFERROR(__xludf.DUMMYFUNCTION("""COMPUTED_VALUE"""),"//ord_10383//Aarohi Kapoor//Bandra//Cold Coffee+4*Vivek Kumar/9/1/2023//Credit Card//Delivered*On-time Delivery: Delivered on time")</f>
        <v>//ord_10383//Aarohi Kapoor//Bandra//Cold Coffee+4*Vivek Kumar/9/1/2023//Credit Card//Delivered*On-time Delivery: Delivered on time</v>
      </c>
      <c r="B392" s="14" t="str">
        <f>IFERROR(__xludf.DUMMYFUNCTION("split(A392,""//"")"),"ord_10383")</f>
        <v>ord_10383</v>
      </c>
      <c r="C392" s="14" t="str">
        <f>IFERROR(__xludf.DUMMYFUNCTION("""COMPUTED_VALUE"""),"Aarohi Kapoor")</f>
        <v>Aarohi Kapoor</v>
      </c>
      <c r="D392" s="14" t="str">
        <f>IFERROR(__xludf.DUMMYFUNCTION("""COMPUTED_VALUE"""),"Bandra")</f>
        <v>Bandra</v>
      </c>
      <c r="E392" s="14" t="str">
        <f>IFERROR(__xludf.DUMMYFUNCTION("""COMPUTED_VALUE"""),"Cold Coffee+4*Vivek Kumar")</f>
        <v>Cold Coffee+4*Vivek Kumar</v>
      </c>
      <c r="F392" s="14">
        <f>IFERROR(__xludf.DUMMYFUNCTION("""COMPUTED_VALUE"""),9.0)</f>
        <v>9</v>
      </c>
      <c r="G392" s="14">
        <f>IFERROR(__xludf.DUMMYFUNCTION("""COMPUTED_VALUE"""),1.0)</f>
        <v>1</v>
      </c>
      <c r="H392" s="14">
        <f>IFERROR(__xludf.DUMMYFUNCTION("""COMPUTED_VALUE"""),2023.0)</f>
        <v>2023</v>
      </c>
      <c r="I392" s="14" t="str">
        <f>IFERROR(__xludf.DUMMYFUNCTION("""COMPUTED_VALUE"""),"Credit Card")</f>
        <v>Credit Card</v>
      </c>
      <c r="J392" s="14" t="str">
        <f>IFERROR(__xludf.DUMMYFUNCTION("""COMPUTED_VALUE"""),"Delivered*On-time Delivery: Delivered on time")</f>
        <v>Delivered*On-time Delivery: Delivered on time</v>
      </c>
      <c r="K392" s="14" t="str">
        <f>IFERROR(__xludf.DUMMYFUNCTION("split(E392,""+"")"),"Cold Coffee")</f>
        <v>Cold Coffee</v>
      </c>
      <c r="L392" s="14" t="str">
        <f>IFERROR(__xludf.DUMMYFUNCTION("""COMPUTED_VALUE"""),"4*Vivek Kumar")</f>
        <v>4*Vivek Kumar</v>
      </c>
      <c r="M392" s="14">
        <f>IFERROR(__xludf.DUMMYFUNCTION("SPLIT(L392,""*"")"),4.0)</f>
        <v>4</v>
      </c>
      <c r="N392" s="14" t="str">
        <f>IFERROR(__xludf.DUMMYFUNCTION("""COMPUTED_VALUE"""),"Vivek Kumar")</f>
        <v>Vivek Kumar</v>
      </c>
      <c r="O392" s="14" t="str">
        <f>IFERROR(__xludf.DUMMYFUNCTION("split(J392,""*"")"),"Delivered")</f>
        <v>Delivered</v>
      </c>
      <c r="P392" s="14" t="str">
        <f>IFERROR(__xludf.DUMMYFUNCTION("""COMPUTED_VALUE"""),"On-time Delivery: Delivered on time")</f>
        <v>On-time Delivery: Delivered on time</v>
      </c>
      <c r="Q392" s="14" t="str">
        <f>IFERROR(__xludf.DUMMYFUNCTION("split(P392,"":"")"),"On-time Delivery")</f>
        <v>On-time Delivery</v>
      </c>
      <c r="R392" s="14" t="str">
        <f>IFERROR(__xludf.DUMMYFUNCTION("""COMPUTED_VALUE""")," Delivered on time")</f>
        <v> Delivered on time</v>
      </c>
      <c r="S392" s="14" t="str">
        <f t="shared" ref="S392:U392" si="787">trim(B392)</f>
        <v>ord_10383</v>
      </c>
      <c r="T392" s="14" t="str">
        <f t="shared" si="787"/>
        <v>Aarohi Kapoor</v>
      </c>
      <c r="U392" s="14" t="str">
        <f t="shared" si="787"/>
        <v>Bandra</v>
      </c>
      <c r="V392" s="14" t="str">
        <f t="shared" si="4"/>
        <v>Cold Coffee</v>
      </c>
      <c r="W392" s="14">
        <f t="shared" si="5"/>
        <v>4</v>
      </c>
      <c r="X392" s="14" t="str">
        <f t="shared" si="6"/>
        <v>Vivek Kumar</v>
      </c>
      <c r="Y392" s="15">
        <f t="shared" si="7"/>
        <v>45170</v>
      </c>
      <c r="Z392" s="14" t="str">
        <f t="shared" si="8"/>
        <v>Credit Card</v>
      </c>
      <c r="AA392" s="14" t="str">
        <f t="shared" si="9"/>
        <v>Delivered</v>
      </c>
      <c r="AB392" s="14" t="str">
        <f t="shared" ref="AB392:AC392" si="788">trim(Q392)</f>
        <v>On-time Delivery</v>
      </c>
      <c r="AC392" s="14" t="str">
        <f t="shared" si="788"/>
        <v>Delivered on time</v>
      </c>
      <c r="AD392" s="8"/>
    </row>
    <row r="393">
      <c r="A393" s="14" t="str">
        <f>IFERROR(__xludf.DUMMYFUNCTION("""COMPUTED_VALUE"""),"//ord_10384//Simran Bhatt//Juhu//Tiramisu+1*Tanvi Jain/11/5/2023//Credit Card//Delivered*Quality of Items: Perfect condition")</f>
        <v>//ord_10384//Simran Bhatt//Juhu//Tiramisu+1*Tanvi Jain/11/5/2023//Credit Card//Delivered*Quality of Items: Perfect condition</v>
      </c>
      <c r="B393" s="14" t="str">
        <f>IFERROR(__xludf.DUMMYFUNCTION("split(A393,""//"")"),"ord_10384")</f>
        <v>ord_10384</v>
      </c>
      <c r="C393" s="14" t="str">
        <f>IFERROR(__xludf.DUMMYFUNCTION("""COMPUTED_VALUE"""),"Simran Bhatt")</f>
        <v>Simran Bhatt</v>
      </c>
      <c r="D393" s="14" t="str">
        <f>IFERROR(__xludf.DUMMYFUNCTION("""COMPUTED_VALUE"""),"Juhu")</f>
        <v>Juhu</v>
      </c>
      <c r="E393" s="14" t="str">
        <f>IFERROR(__xludf.DUMMYFUNCTION("""COMPUTED_VALUE"""),"Tiramisu+1*Tanvi Jain")</f>
        <v>Tiramisu+1*Tanvi Jain</v>
      </c>
      <c r="F393" s="14">
        <f>IFERROR(__xludf.DUMMYFUNCTION("""COMPUTED_VALUE"""),11.0)</f>
        <v>11</v>
      </c>
      <c r="G393" s="14">
        <f>IFERROR(__xludf.DUMMYFUNCTION("""COMPUTED_VALUE"""),5.0)</f>
        <v>5</v>
      </c>
      <c r="H393" s="14">
        <f>IFERROR(__xludf.DUMMYFUNCTION("""COMPUTED_VALUE"""),2023.0)</f>
        <v>2023</v>
      </c>
      <c r="I393" s="14" t="str">
        <f>IFERROR(__xludf.DUMMYFUNCTION("""COMPUTED_VALUE"""),"Credit Card")</f>
        <v>Credit Card</v>
      </c>
      <c r="J393" s="14" t="str">
        <f>IFERROR(__xludf.DUMMYFUNCTION("""COMPUTED_VALUE"""),"Delivered*Quality of Items: Perfect condition")</f>
        <v>Delivered*Quality of Items: Perfect condition</v>
      </c>
      <c r="K393" s="14" t="str">
        <f>IFERROR(__xludf.DUMMYFUNCTION("split(E393,""+"")"),"Tiramisu")</f>
        <v>Tiramisu</v>
      </c>
      <c r="L393" s="14" t="str">
        <f>IFERROR(__xludf.DUMMYFUNCTION("""COMPUTED_VALUE"""),"1*Tanvi Jain")</f>
        <v>1*Tanvi Jain</v>
      </c>
      <c r="M393" s="14">
        <f>IFERROR(__xludf.DUMMYFUNCTION("SPLIT(L393,""*"")"),1.0)</f>
        <v>1</v>
      </c>
      <c r="N393" s="14" t="str">
        <f>IFERROR(__xludf.DUMMYFUNCTION("""COMPUTED_VALUE"""),"Tanvi Jain")</f>
        <v>Tanvi Jain</v>
      </c>
      <c r="O393" s="14" t="str">
        <f>IFERROR(__xludf.DUMMYFUNCTION("split(J393,""*"")"),"Delivered")</f>
        <v>Delivered</v>
      </c>
      <c r="P393" s="14" t="str">
        <f>IFERROR(__xludf.DUMMYFUNCTION("""COMPUTED_VALUE"""),"Quality of Items: Perfect condition")</f>
        <v>Quality of Items: Perfect condition</v>
      </c>
      <c r="Q393" s="14" t="str">
        <f>IFERROR(__xludf.DUMMYFUNCTION("split(P393,"":"")"),"Quality of Items")</f>
        <v>Quality of Items</v>
      </c>
      <c r="R393" s="14" t="str">
        <f>IFERROR(__xludf.DUMMYFUNCTION("""COMPUTED_VALUE""")," Perfect condition")</f>
        <v> Perfect condition</v>
      </c>
      <c r="S393" s="14" t="str">
        <f t="shared" ref="S393:U393" si="789">trim(B393)</f>
        <v>ord_10384</v>
      </c>
      <c r="T393" s="14" t="str">
        <f t="shared" si="789"/>
        <v>Simran Bhatt</v>
      </c>
      <c r="U393" s="14" t="str">
        <f t="shared" si="789"/>
        <v>Juhu</v>
      </c>
      <c r="V393" s="14" t="str">
        <f t="shared" si="4"/>
        <v>Tiramisu</v>
      </c>
      <c r="W393" s="14">
        <f t="shared" si="5"/>
        <v>1</v>
      </c>
      <c r="X393" s="14" t="str">
        <f t="shared" si="6"/>
        <v>Tanvi Jain</v>
      </c>
      <c r="Y393" s="15">
        <f t="shared" si="7"/>
        <v>45235</v>
      </c>
      <c r="Z393" s="14" t="str">
        <f t="shared" si="8"/>
        <v>Credit Card</v>
      </c>
      <c r="AA393" s="14" t="str">
        <f t="shared" si="9"/>
        <v>Delivered</v>
      </c>
      <c r="AB393" s="14" t="str">
        <f t="shared" ref="AB393:AC393" si="790">trim(Q393)</f>
        <v>Quality of Items</v>
      </c>
      <c r="AC393" s="14" t="str">
        <f t="shared" si="790"/>
        <v>Perfect condition</v>
      </c>
      <c r="AD393" s="8"/>
    </row>
    <row r="394">
      <c r="A394" s="14" t="str">
        <f>IFERROR(__xludf.DUMMYFUNCTION("""COMPUTED_VALUE"""),"//ord_10385//Diya Arora//Lower Parel//Veg Puff+5*Kiran Mehta/3/14/2023//Online Payment//Delivered*Packaging: Secure and intact")</f>
        <v>//ord_10385//Diya Arora//Lower Parel//Veg Puff+5*Kiran Mehta/3/14/2023//Online Payment//Delivered*Packaging: Secure and intact</v>
      </c>
      <c r="B394" s="14" t="str">
        <f>IFERROR(__xludf.DUMMYFUNCTION("split(A394,""//"")"),"ord_10385")</f>
        <v>ord_10385</v>
      </c>
      <c r="C394" s="14" t="str">
        <f>IFERROR(__xludf.DUMMYFUNCTION("""COMPUTED_VALUE"""),"Diya Arora")</f>
        <v>Diya Arora</v>
      </c>
      <c r="D394" s="14" t="str">
        <f>IFERROR(__xludf.DUMMYFUNCTION("""COMPUTED_VALUE"""),"Lower Parel")</f>
        <v>Lower Parel</v>
      </c>
      <c r="E394" s="14" t="str">
        <f>IFERROR(__xludf.DUMMYFUNCTION("""COMPUTED_VALUE"""),"Veg Puff+5*Kiran Mehta")</f>
        <v>Veg Puff+5*Kiran Mehta</v>
      </c>
      <c r="F394" s="14">
        <f>IFERROR(__xludf.DUMMYFUNCTION("""COMPUTED_VALUE"""),3.0)</f>
        <v>3</v>
      </c>
      <c r="G394" s="14">
        <f>IFERROR(__xludf.DUMMYFUNCTION("""COMPUTED_VALUE"""),14.0)</f>
        <v>14</v>
      </c>
      <c r="H394" s="14">
        <f>IFERROR(__xludf.DUMMYFUNCTION("""COMPUTED_VALUE"""),2023.0)</f>
        <v>2023</v>
      </c>
      <c r="I394" s="14" t="str">
        <f>IFERROR(__xludf.DUMMYFUNCTION("""COMPUTED_VALUE"""),"Online Payment")</f>
        <v>Online Payment</v>
      </c>
      <c r="J394" s="14" t="str">
        <f>IFERROR(__xludf.DUMMYFUNCTION("""COMPUTED_VALUE"""),"Delivered*Packaging: Secure and intact")</f>
        <v>Delivered*Packaging: Secure and intact</v>
      </c>
      <c r="K394" s="14" t="str">
        <f>IFERROR(__xludf.DUMMYFUNCTION("split(E394,""+"")"),"Veg Puff")</f>
        <v>Veg Puff</v>
      </c>
      <c r="L394" s="14" t="str">
        <f>IFERROR(__xludf.DUMMYFUNCTION("""COMPUTED_VALUE"""),"5*Kiran Mehta")</f>
        <v>5*Kiran Mehta</v>
      </c>
      <c r="M394" s="14">
        <f>IFERROR(__xludf.DUMMYFUNCTION("SPLIT(L394,""*"")"),5.0)</f>
        <v>5</v>
      </c>
      <c r="N394" s="14" t="str">
        <f>IFERROR(__xludf.DUMMYFUNCTION("""COMPUTED_VALUE"""),"Kiran Mehta")</f>
        <v>Kiran Mehta</v>
      </c>
      <c r="O394" s="14" t="str">
        <f>IFERROR(__xludf.DUMMYFUNCTION("split(J394,""*"")"),"Delivered")</f>
        <v>Delivered</v>
      </c>
      <c r="P394" s="14" t="str">
        <f>IFERROR(__xludf.DUMMYFUNCTION("""COMPUTED_VALUE"""),"Packaging: Secure and intact")</f>
        <v>Packaging: Secure and intact</v>
      </c>
      <c r="Q394" s="14" t="str">
        <f>IFERROR(__xludf.DUMMYFUNCTION("split(P394,"":"")"),"Packaging")</f>
        <v>Packaging</v>
      </c>
      <c r="R394" s="14" t="str">
        <f>IFERROR(__xludf.DUMMYFUNCTION("""COMPUTED_VALUE""")," Secure and intact")</f>
        <v> Secure and intact</v>
      </c>
      <c r="S394" s="14" t="str">
        <f t="shared" ref="S394:U394" si="791">trim(B394)</f>
        <v>ord_10385</v>
      </c>
      <c r="T394" s="14" t="str">
        <f t="shared" si="791"/>
        <v>Diya Arora</v>
      </c>
      <c r="U394" s="14" t="str">
        <f t="shared" si="791"/>
        <v>Lower Parel</v>
      </c>
      <c r="V394" s="14" t="str">
        <f t="shared" si="4"/>
        <v>Veg Puff</v>
      </c>
      <c r="W394" s="14">
        <f t="shared" si="5"/>
        <v>5</v>
      </c>
      <c r="X394" s="14" t="str">
        <f t="shared" si="6"/>
        <v>Kiran Mehta</v>
      </c>
      <c r="Y394" s="15">
        <f t="shared" si="7"/>
        <v>44999</v>
      </c>
      <c r="Z394" s="14" t="str">
        <f t="shared" si="8"/>
        <v>Online Payment</v>
      </c>
      <c r="AA394" s="14" t="str">
        <f t="shared" si="9"/>
        <v>Delivered</v>
      </c>
      <c r="AB394" s="14" t="str">
        <f t="shared" ref="AB394:AC394" si="792">trim(Q394)</f>
        <v>Packaging</v>
      </c>
      <c r="AC394" s="14" t="str">
        <f t="shared" si="792"/>
        <v>Secure and intact</v>
      </c>
      <c r="AD394" s="8"/>
    </row>
    <row r="395">
      <c r="A395" s="14" t="str">
        <f>IFERROR(__xludf.DUMMYFUNCTION("""COMPUTED_VALUE"""),"//ord_10386//Mehul Thakkar//Malad//Cucumber+2*Ram Gopal/4/17/2023//Credit Card//Cancelled*Delayed Delivery:Incorrect Address or Location")</f>
        <v>//ord_10386//Mehul Thakkar//Malad//Cucumber+2*Ram Gopal/4/17/2023//Credit Card//Cancelled*Delayed Delivery:Incorrect Address or Location</v>
      </c>
      <c r="B395" s="14" t="str">
        <f>IFERROR(__xludf.DUMMYFUNCTION("split(A395,""//"")"),"ord_10386")</f>
        <v>ord_10386</v>
      </c>
      <c r="C395" s="14" t="str">
        <f>IFERROR(__xludf.DUMMYFUNCTION("""COMPUTED_VALUE"""),"Mehul Thakkar")</f>
        <v>Mehul Thakkar</v>
      </c>
      <c r="D395" s="14" t="str">
        <f>IFERROR(__xludf.DUMMYFUNCTION("""COMPUTED_VALUE"""),"Malad")</f>
        <v>Malad</v>
      </c>
      <c r="E395" s="14" t="str">
        <f>IFERROR(__xludf.DUMMYFUNCTION("""COMPUTED_VALUE"""),"Cucumber+2*Ram Gopal")</f>
        <v>Cucumber+2*Ram Gopal</v>
      </c>
      <c r="F395" s="14">
        <f>IFERROR(__xludf.DUMMYFUNCTION("""COMPUTED_VALUE"""),4.0)</f>
        <v>4</v>
      </c>
      <c r="G395" s="14">
        <f>IFERROR(__xludf.DUMMYFUNCTION("""COMPUTED_VALUE"""),17.0)</f>
        <v>17</v>
      </c>
      <c r="H395" s="14">
        <f>IFERROR(__xludf.DUMMYFUNCTION("""COMPUTED_VALUE"""),2023.0)</f>
        <v>2023</v>
      </c>
      <c r="I395" s="14" t="str">
        <f>IFERROR(__xludf.DUMMYFUNCTION("""COMPUTED_VALUE"""),"Credit Card")</f>
        <v>Credit Card</v>
      </c>
      <c r="J395" s="14" t="str">
        <f>IFERROR(__xludf.DUMMYFUNCTION("""COMPUTED_VALUE"""),"Cancelled*Delayed Delivery:Incorrect Address or Location")</f>
        <v>Cancelled*Delayed Delivery:Incorrect Address or Location</v>
      </c>
      <c r="K395" s="14" t="str">
        <f>IFERROR(__xludf.DUMMYFUNCTION("split(E395,""+"")"),"Cucumber")</f>
        <v>Cucumber</v>
      </c>
      <c r="L395" s="14" t="str">
        <f>IFERROR(__xludf.DUMMYFUNCTION("""COMPUTED_VALUE"""),"2*Ram Gopal")</f>
        <v>2*Ram Gopal</v>
      </c>
      <c r="M395" s="14">
        <f>IFERROR(__xludf.DUMMYFUNCTION("SPLIT(L395,""*"")"),2.0)</f>
        <v>2</v>
      </c>
      <c r="N395" s="14" t="str">
        <f>IFERROR(__xludf.DUMMYFUNCTION("""COMPUTED_VALUE"""),"Ram Gopal")</f>
        <v>Ram Gopal</v>
      </c>
      <c r="O395" s="14" t="str">
        <f>IFERROR(__xludf.DUMMYFUNCTION("split(J395,""*"")"),"Cancelled")</f>
        <v>Cancelled</v>
      </c>
      <c r="P395" s="14" t="str">
        <f>IFERROR(__xludf.DUMMYFUNCTION("""COMPUTED_VALUE"""),"Delayed Delivery:Incorrect Address or Location")</f>
        <v>Delayed Delivery:Incorrect Address or Location</v>
      </c>
      <c r="Q395" s="14" t="str">
        <f>IFERROR(__xludf.DUMMYFUNCTION("split(P395,"":"")"),"Delayed Delivery")</f>
        <v>Delayed Delivery</v>
      </c>
      <c r="R395" s="14" t="str">
        <f>IFERROR(__xludf.DUMMYFUNCTION("""COMPUTED_VALUE"""),"Incorrect Address or Location")</f>
        <v>Incorrect Address or Location</v>
      </c>
      <c r="S395" s="14" t="str">
        <f t="shared" ref="S395:U395" si="793">trim(B395)</f>
        <v>ord_10386</v>
      </c>
      <c r="T395" s="14" t="str">
        <f t="shared" si="793"/>
        <v>Mehul Thakkar</v>
      </c>
      <c r="U395" s="14" t="str">
        <f t="shared" si="793"/>
        <v>Malad</v>
      </c>
      <c r="V395" s="14" t="str">
        <f t="shared" si="4"/>
        <v>Cucumber</v>
      </c>
      <c r="W395" s="14">
        <f t="shared" si="5"/>
        <v>2</v>
      </c>
      <c r="X395" s="14" t="str">
        <f t="shared" si="6"/>
        <v>Ram Gopal</v>
      </c>
      <c r="Y395" s="15">
        <f t="shared" si="7"/>
        <v>45033</v>
      </c>
      <c r="Z395" s="14" t="str">
        <f t="shared" si="8"/>
        <v>Credit Card</v>
      </c>
      <c r="AA395" s="14" t="str">
        <f t="shared" si="9"/>
        <v>Cancelled</v>
      </c>
      <c r="AB395" s="14" t="str">
        <f t="shared" ref="AB395:AC395" si="794">trim(Q395)</f>
        <v>Delayed Delivery</v>
      </c>
      <c r="AC395" s="14" t="str">
        <f t="shared" si="794"/>
        <v>Incorrect Address or Location</v>
      </c>
      <c r="AD395" s="8"/>
    </row>
    <row r="396">
      <c r="A396" s="14" t="str">
        <f>IFERROR(__xludf.DUMMYFUNCTION("""COMPUTED_VALUE"""),"//ord_10387//Diya Arora//Lower Parel//Onion+1*Kiran Mehta/3/24/2023//COD//Delivered*Satisfied with the Delivery: Timely and quality")</f>
        <v>//ord_10387//Diya Arora//Lower Parel//Onion+1*Kiran Mehta/3/24/2023//COD//Delivered*Satisfied with the Delivery: Timely and quality</v>
      </c>
      <c r="B396" s="14" t="str">
        <f>IFERROR(__xludf.DUMMYFUNCTION("split(A396,""//"")"),"ord_10387")</f>
        <v>ord_10387</v>
      </c>
      <c r="C396" s="14" t="str">
        <f>IFERROR(__xludf.DUMMYFUNCTION("""COMPUTED_VALUE"""),"Diya Arora")</f>
        <v>Diya Arora</v>
      </c>
      <c r="D396" s="14" t="str">
        <f>IFERROR(__xludf.DUMMYFUNCTION("""COMPUTED_VALUE"""),"Lower Parel")</f>
        <v>Lower Parel</v>
      </c>
      <c r="E396" s="14" t="str">
        <f>IFERROR(__xludf.DUMMYFUNCTION("""COMPUTED_VALUE"""),"Onion+1*Kiran Mehta")</f>
        <v>Onion+1*Kiran Mehta</v>
      </c>
      <c r="F396" s="14">
        <f>IFERROR(__xludf.DUMMYFUNCTION("""COMPUTED_VALUE"""),3.0)</f>
        <v>3</v>
      </c>
      <c r="G396" s="14">
        <f>IFERROR(__xludf.DUMMYFUNCTION("""COMPUTED_VALUE"""),24.0)</f>
        <v>24</v>
      </c>
      <c r="H396" s="14">
        <f>IFERROR(__xludf.DUMMYFUNCTION("""COMPUTED_VALUE"""),2023.0)</f>
        <v>2023</v>
      </c>
      <c r="I396" s="14" t="str">
        <f>IFERROR(__xludf.DUMMYFUNCTION("""COMPUTED_VALUE"""),"COD")</f>
        <v>COD</v>
      </c>
      <c r="J396" s="14" t="str">
        <f>IFERROR(__xludf.DUMMYFUNCTION("""COMPUTED_VALUE"""),"Delivered*Satisfied with the Delivery: Timely and quality")</f>
        <v>Delivered*Satisfied with the Delivery: Timely and quality</v>
      </c>
      <c r="K396" s="14" t="str">
        <f>IFERROR(__xludf.DUMMYFUNCTION("split(E396,""+"")"),"Onion")</f>
        <v>Onion</v>
      </c>
      <c r="L396" s="14" t="str">
        <f>IFERROR(__xludf.DUMMYFUNCTION("""COMPUTED_VALUE"""),"1*Kiran Mehta")</f>
        <v>1*Kiran Mehta</v>
      </c>
      <c r="M396" s="14">
        <f>IFERROR(__xludf.DUMMYFUNCTION("SPLIT(L396,""*"")"),1.0)</f>
        <v>1</v>
      </c>
      <c r="N396" s="14" t="str">
        <f>IFERROR(__xludf.DUMMYFUNCTION("""COMPUTED_VALUE"""),"Kiran Mehta")</f>
        <v>Kiran Mehta</v>
      </c>
      <c r="O396" s="14" t="str">
        <f>IFERROR(__xludf.DUMMYFUNCTION("split(J396,""*"")"),"Delivered")</f>
        <v>Delivered</v>
      </c>
      <c r="P396" s="14" t="str">
        <f>IFERROR(__xludf.DUMMYFUNCTION("""COMPUTED_VALUE"""),"Satisfied with the Delivery: Timely and quality")</f>
        <v>Satisfied with the Delivery: Timely and quality</v>
      </c>
      <c r="Q396" s="14" t="str">
        <f>IFERROR(__xludf.DUMMYFUNCTION("split(P396,"":"")"),"Satisfied with the Delivery")</f>
        <v>Satisfied with the Delivery</v>
      </c>
      <c r="R396" s="14" t="str">
        <f>IFERROR(__xludf.DUMMYFUNCTION("""COMPUTED_VALUE""")," Timely and quality")</f>
        <v> Timely and quality</v>
      </c>
      <c r="S396" s="14" t="str">
        <f t="shared" ref="S396:U396" si="795">trim(B396)</f>
        <v>ord_10387</v>
      </c>
      <c r="T396" s="14" t="str">
        <f t="shared" si="795"/>
        <v>Diya Arora</v>
      </c>
      <c r="U396" s="14" t="str">
        <f t="shared" si="795"/>
        <v>Lower Parel</v>
      </c>
      <c r="V396" s="14" t="str">
        <f t="shared" si="4"/>
        <v>Onion</v>
      </c>
      <c r="W396" s="14">
        <f t="shared" si="5"/>
        <v>1</v>
      </c>
      <c r="X396" s="14" t="str">
        <f t="shared" si="6"/>
        <v>Kiran Mehta</v>
      </c>
      <c r="Y396" s="15">
        <f t="shared" si="7"/>
        <v>45009</v>
      </c>
      <c r="Z396" s="14" t="str">
        <f t="shared" si="8"/>
        <v>COD</v>
      </c>
      <c r="AA396" s="14" t="str">
        <f t="shared" si="9"/>
        <v>Delivered</v>
      </c>
      <c r="AB396" s="14" t="str">
        <f t="shared" ref="AB396:AC396" si="796">trim(Q396)</f>
        <v>Satisfied with the Delivery</v>
      </c>
      <c r="AC396" s="14" t="str">
        <f t="shared" si="796"/>
        <v>Timely and quality</v>
      </c>
      <c r="AD396" s="8"/>
    </row>
    <row r="397">
      <c r="A397" s="14" t="str">
        <f>IFERROR(__xludf.DUMMYFUNCTION("""COMPUTED_VALUE"""),"//ord_10388//Mehul Thakkar//Malad//Rasmalai+5*Priya Joshi/6/5/2023//Online Payment//Cancelled*Delayed Delivery:Bad Weather Conditions ")</f>
        <v>//ord_10388//Mehul Thakkar//Malad//Rasmalai+5*Priya Joshi/6/5/2023//Online Payment//Cancelled*Delayed Delivery:Bad Weather Conditions </v>
      </c>
      <c r="B397" s="14" t="str">
        <f>IFERROR(__xludf.DUMMYFUNCTION("split(A397,""//"")"),"ord_10388")</f>
        <v>ord_10388</v>
      </c>
      <c r="C397" s="14" t="str">
        <f>IFERROR(__xludf.DUMMYFUNCTION("""COMPUTED_VALUE"""),"Mehul Thakkar")</f>
        <v>Mehul Thakkar</v>
      </c>
      <c r="D397" s="14" t="str">
        <f>IFERROR(__xludf.DUMMYFUNCTION("""COMPUTED_VALUE"""),"Malad")</f>
        <v>Malad</v>
      </c>
      <c r="E397" s="14" t="str">
        <f>IFERROR(__xludf.DUMMYFUNCTION("""COMPUTED_VALUE"""),"Rasmalai+5*Priya Joshi")</f>
        <v>Rasmalai+5*Priya Joshi</v>
      </c>
      <c r="F397" s="14">
        <f>IFERROR(__xludf.DUMMYFUNCTION("""COMPUTED_VALUE"""),6.0)</f>
        <v>6</v>
      </c>
      <c r="G397" s="14">
        <f>IFERROR(__xludf.DUMMYFUNCTION("""COMPUTED_VALUE"""),5.0)</f>
        <v>5</v>
      </c>
      <c r="H397" s="14">
        <f>IFERROR(__xludf.DUMMYFUNCTION("""COMPUTED_VALUE"""),2023.0)</f>
        <v>2023</v>
      </c>
      <c r="I397" s="14" t="str">
        <f>IFERROR(__xludf.DUMMYFUNCTION("""COMPUTED_VALUE"""),"Online Payment")</f>
        <v>Online Payment</v>
      </c>
      <c r="J397" s="14" t="str">
        <f>IFERROR(__xludf.DUMMYFUNCTION("""COMPUTED_VALUE"""),"Cancelled*Delayed Delivery:Bad Weather Conditions ")</f>
        <v>Cancelled*Delayed Delivery:Bad Weather Conditions </v>
      </c>
      <c r="K397" s="14" t="str">
        <f>IFERROR(__xludf.DUMMYFUNCTION("split(E397,""+"")"),"Rasmalai")</f>
        <v>Rasmalai</v>
      </c>
      <c r="L397" s="14" t="str">
        <f>IFERROR(__xludf.DUMMYFUNCTION("""COMPUTED_VALUE"""),"5*Priya Joshi")</f>
        <v>5*Priya Joshi</v>
      </c>
      <c r="M397" s="14">
        <f>IFERROR(__xludf.DUMMYFUNCTION("SPLIT(L397,""*"")"),5.0)</f>
        <v>5</v>
      </c>
      <c r="N397" s="14" t="str">
        <f>IFERROR(__xludf.DUMMYFUNCTION("""COMPUTED_VALUE"""),"Priya Joshi")</f>
        <v>Priya Joshi</v>
      </c>
      <c r="O397" s="14" t="str">
        <f>IFERROR(__xludf.DUMMYFUNCTION("split(J397,""*"")"),"Cancelled")</f>
        <v>Cancelled</v>
      </c>
      <c r="P397" s="14" t="str">
        <f>IFERROR(__xludf.DUMMYFUNCTION("""COMPUTED_VALUE"""),"Delayed Delivery:Bad Weather Conditions ")</f>
        <v>Delayed Delivery:Bad Weather Conditions </v>
      </c>
      <c r="Q397" s="14" t="str">
        <f>IFERROR(__xludf.DUMMYFUNCTION("split(P397,"":"")"),"Delayed Delivery")</f>
        <v>Delayed Delivery</v>
      </c>
      <c r="R397" s="14" t="str">
        <f>IFERROR(__xludf.DUMMYFUNCTION("""COMPUTED_VALUE"""),"Bad Weather Conditions ")</f>
        <v>Bad Weather Conditions </v>
      </c>
      <c r="S397" s="14" t="str">
        <f t="shared" ref="S397:U397" si="797">trim(B397)</f>
        <v>ord_10388</v>
      </c>
      <c r="T397" s="14" t="str">
        <f t="shared" si="797"/>
        <v>Mehul Thakkar</v>
      </c>
      <c r="U397" s="14" t="str">
        <f t="shared" si="797"/>
        <v>Malad</v>
      </c>
      <c r="V397" s="14" t="str">
        <f t="shared" si="4"/>
        <v>Rasmalai</v>
      </c>
      <c r="W397" s="14">
        <f t="shared" si="5"/>
        <v>5</v>
      </c>
      <c r="X397" s="14" t="str">
        <f t="shared" si="6"/>
        <v>Priya Joshi</v>
      </c>
      <c r="Y397" s="15">
        <f t="shared" si="7"/>
        <v>45082</v>
      </c>
      <c r="Z397" s="14" t="str">
        <f t="shared" si="8"/>
        <v>Online Payment</v>
      </c>
      <c r="AA397" s="14" t="str">
        <f t="shared" si="9"/>
        <v>Cancelled</v>
      </c>
      <c r="AB397" s="14" t="str">
        <f t="shared" ref="AB397:AC397" si="798">trim(Q397)</f>
        <v>Delayed Delivery</v>
      </c>
      <c r="AC397" s="14" t="str">
        <f t="shared" si="798"/>
        <v>Bad Weather Conditions</v>
      </c>
      <c r="AD397" s="8"/>
    </row>
    <row r="398">
      <c r="A398" s="14" t="str">
        <f>IFERROR(__xludf.DUMMYFUNCTION("""COMPUTED_VALUE"""),"//ord_10389//Dev Chauhan//Bandra//Cold Coffee+2*Shine Thomas/1/13/2023//Online Payment//Delivered*Customer Service: Seamless and easy")</f>
        <v>//ord_10389//Dev Chauhan//Bandra//Cold Coffee+2*Shine Thomas/1/13/2023//Online Payment//Delivered*Customer Service: Seamless and easy</v>
      </c>
      <c r="B398" s="14" t="str">
        <f>IFERROR(__xludf.DUMMYFUNCTION("split(A398,""//"")"),"ord_10389")</f>
        <v>ord_10389</v>
      </c>
      <c r="C398" s="14" t="str">
        <f>IFERROR(__xludf.DUMMYFUNCTION("""COMPUTED_VALUE"""),"Dev Chauhan")</f>
        <v>Dev Chauhan</v>
      </c>
      <c r="D398" s="14" t="str">
        <f>IFERROR(__xludf.DUMMYFUNCTION("""COMPUTED_VALUE"""),"Bandra")</f>
        <v>Bandra</v>
      </c>
      <c r="E398" s="14" t="str">
        <f>IFERROR(__xludf.DUMMYFUNCTION("""COMPUTED_VALUE"""),"Cold Coffee+2*Shine Thomas")</f>
        <v>Cold Coffee+2*Shine Thomas</v>
      </c>
      <c r="F398" s="14">
        <f>IFERROR(__xludf.DUMMYFUNCTION("""COMPUTED_VALUE"""),1.0)</f>
        <v>1</v>
      </c>
      <c r="G398" s="14">
        <f>IFERROR(__xludf.DUMMYFUNCTION("""COMPUTED_VALUE"""),13.0)</f>
        <v>13</v>
      </c>
      <c r="H398" s="14">
        <f>IFERROR(__xludf.DUMMYFUNCTION("""COMPUTED_VALUE"""),2023.0)</f>
        <v>2023</v>
      </c>
      <c r="I398" s="14" t="str">
        <f>IFERROR(__xludf.DUMMYFUNCTION("""COMPUTED_VALUE"""),"Online Payment")</f>
        <v>Online Payment</v>
      </c>
      <c r="J398" s="14" t="str">
        <f>IFERROR(__xludf.DUMMYFUNCTION("""COMPUTED_VALUE"""),"Delivered*Customer Service: Seamless and easy")</f>
        <v>Delivered*Customer Service: Seamless and easy</v>
      </c>
      <c r="K398" s="14" t="str">
        <f>IFERROR(__xludf.DUMMYFUNCTION("split(E398,""+"")"),"Cold Coffee")</f>
        <v>Cold Coffee</v>
      </c>
      <c r="L398" s="14" t="str">
        <f>IFERROR(__xludf.DUMMYFUNCTION("""COMPUTED_VALUE"""),"2*Shine Thomas")</f>
        <v>2*Shine Thomas</v>
      </c>
      <c r="M398" s="14">
        <f>IFERROR(__xludf.DUMMYFUNCTION("SPLIT(L398,""*"")"),2.0)</f>
        <v>2</v>
      </c>
      <c r="N398" s="14" t="str">
        <f>IFERROR(__xludf.DUMMYFUNCTION("""COMPUTED_VALUE"""),"Shine Thomas")</f>
        <v>Shine Thomas</v>
      </c>
      <c r="O398" s="14" t="str">
        <f>IFERROR(__xludf.DUMMYFUNCTION("split(J398,""*"")"),"Delivered")</f>
        <v>Delivered</v>
      </c>
      <c r="P398" s="14" t="str">
        <f>IFERROR(__xludf.DUMMYFUNCTION("""COMPUTED_VALUE"""),"Customer Service: Seamless and easy")</f>
        <v>Customer Service: Seamless and easy</v>
      </c>
      <c r="Q398" s="14" t="str">
        <f>IFERROR(__xludf.DUMMYFUNCTION("split(P398,"":"")"),"Customer Service")</f>
        <v>Customer Service</v>
      </c>
      <c r="R398" s="14" t="str">
        <f>IFERROR(__xludf.DUMMYFUNCTION("""COMPUTED_VALUE""")," Seamless and easy")</f>
        <v> Seamless and easy</v>
      </c>
      <c r="S398" s="14" t="str">
        <f t="shared" ref="S398:U398" si="799">trim(B398)</f>
        <v>ord_10389</v>
      </c>
      <c r="T398" s="14" t="str">
        <f t="shared" si="799"/>
        <v>Dev Chauhan</v>
      </c>
      <c r="U398" s="14" t="str">
        <f t="shared" si="799"/>
        <v>Bandra</v>
      </c>
      <c r="V398" s="14" t="str">
        <f t="shared" si="4"/>
        <v>Cold Coffee</v>
      </c>
      <c r="W398" s="14">
        <f t="shared" si="5"/>
        <v>2</v>
      </c>
      <c r="X398" s="14" t="str">
        <f t="shared" si="6"/>
        <v>Shine Thomas</v>
      </c>
      <c r="Y398" s="15">
        <f t="shared" si="7"/>
        <v>44939</v>
      </c>
      <c r="Z398" s="14" t="str">
        <f t="shared" si="8"/>
        <v>Online Payment</v>
      </c>
      <c r="AA398" s="14" t="str">
        <f t="shared" si="9"/>
        <v>Delivered</v>
      </c>
      <c r="AB398" s="14" t="str">
        <f t="shared" ref="AB398:AC398" si="800">trim(Q398)</f>
        <v>Customer Service</v>
      </c>
      <c r="AC398" s="14" t="str">
        <f t="shared" si="800"/>
        <v>Seamless and easy</v>
      </c>
      <c r="AD398" s="8"/>
    </row>
    <row r="399">
      <c r="A399" s="14" t="str">
        <f>IFERROR(__xludf.DUMMYFUNCTION("""COMPUTED_VALUE"""),"//ord_10390//Ishaan Chaturvedi//Bandra//Juice+4*Vivek Kumar/5/21/2023//UPI//Delivered*Delivery Experience: Quick and professional")</f>
        <v>//ord_10390//Ishaan Chaturvedi//Bandra//Juice+4*Vivek Kumar/5/21/2023//UPI//Delivered*Delivery Experience: Quick and professional</v>
      </c>
      <c r="B399" s="14" t="str">
        <f>IFERROR(__xludf.DUMMYFUNCTION("split(A399,""//"")"),"ord_10390")</f>
        <v>ord_10390</v>
      </c>
      <c r="C399" s="14" t="str">
        <f>IFERROR(__xludf.DUMMYFUNCTION("""COMPUTED_VALUE"""),"Ishaan Chaturvedi")</f>
        <v>Ishaan Chaturvedi</v>
      </c>
      <c r="D399" s="14" t="str">
        <f>IFERROR(__xludf.DUMMYFUNCTION("""COMPUTED_VALUE"""),"Bandra")</f>
        <v>Bandra</v>
      </c>
      <c r="E399" s="14" t="str">
        <f>IFERROR(__xludf.DUMMYFUNCTION("""COMPUTED_VALUE"""),"Juice+4*Vivek Kumar")</f>
        <v>Juice+4*Vivek Kumar</v>
      </c>
      <c r="F399" s="14">
        <f>IFERROR(__xludf.DUMMYFUNCTION("""COMPUTED_VALUE"""),5.0)</f>
        <v>5</v>
      </c>
      <c r="G399" s="14">
        <f>IFERROR(__xludf.DUMMYFUNCTION("""COMPUTED_VALUE"""),21.0)</f>
        <v>21</v>
      </c>
      <c r="H399" s="14">
        <f>IFERROR(__xludf.DUMMYFUNCTION("""COMPUTED_VALUE"""),2023.0)</f>
        <v>2023</v>
      </c>
      <c r="I399" s="14" t="str">
        <f>IFERROR(__xludf.DUMMYFUNCTION("""COMPUTED_VALUE"""),"UPI")</f>
        <v>UPI</v>
      </c>
      <c r="J399" s="14" t="str">
        <f>IFERROR(__xludf.DUMMYFUNCTION("""COMPUTED_VALUE"""),"Delivered*Delivery Experience: Quick and professional")</f>
        <v>Delivered*Delivery Experience: Quick and professional</v>
      </c>
      <c r="K399" s="14" t="str">
        <f>IFERROR(__xludf.DUMMYFUNCTION("split(E399,""+"")"),"Juice")</f>
        <v>Juice</v>
      </c>
      <c r="L399" s="14" t="str">
        <f>IFERROR(__xludf.DUMMYFUNCTION("""COMPUTED_VALUE"""),"4*Vivek Kumar")</f>
        <v>4*Vivek Kumar</v>
      </c>
      <c r="M399" s="14">
        <f>IFERROR(__xludf.DUMMYFUNCTION("SPLIT(L399,""*"")"),4.0)</f>
        <v>4</v>
      </c>
      <c r="N399" s="14" t="str">
        <f>IFERROR(__xludf.DUMMYFUNCTION("""COMPUTED_VALUE"""),"Vivek Kumar")</f>
        <v>Vivek Kumar</v>
      </c>
      <c r="O399" s="14" t="str">
        <f>IFERROR(__xludf.DUMMYFUNCTION("split(J399,""*"")"),"Delivered")</f>
        <v>Delivered</v>
      </c>
      <c r="P399" s="14" t="str">
        <f>IFERROR(__xludf.DUMMYFUNCTION("""COMPUTED_VALUE"""),"Delivery Experience: Quick and professional")</f>
        <v>Delivery Experience: Quick and professional</v>
      </c>
      <c r="Q399" s="14" t="str">
        <f>IFERROR(__xludf.DUMMYFUNCTION("split(P399,"":"")"),"Delivery Experience")</f>
        <v>Delivery Experience</v>
      </c>
      <c r="R399" s="14" t="str">
        <f>IFERROR(__xludf.DUMMYFUNCTION("""COMPUTED_VALUE""")," Quick and professional")</f>
        <v> Quick and professional</v>
      </c>
      <c r="S399" s="14" t="str">
        <f t="shared" ref="S399:U399" si="801">trim(B399)</f>
        <v>ord_10390</v>
      </c>
      <c r="T399" s="14" t="str">
        <f t="shared" si="801"/>
        <v>Ishaan Chaturvedi</v>
      </c>
      <c r="U399" s="14" t="str">
        <f t="shared" si="801"/>
        <v>Bandra</v>
      </c>
      <c r="V399" s="14" t="str">
        <f t="shared" si="4"/>
        <v>Juice</v>
      </c>
      <c r="W399" s="14">
        <f t="shared" si="5"/>
        <v>4</v>
      </c>
      <c r="X399" s="14" t="str">
        <f t="shared" si="6"/>
        <v>Vivek Kumar</v>
      </c>
      <c r="Y399" s="15">
        <f t="shared" si="7"/>
        <v>45067</v>
      </c>
      <c r="Z399" s="14" t="str">
        <f t="shared" si="8"/>
        <v>UPI</v>
      </c>
      <c r="AA399" s="14" t="str">
        <f t="shared" si="9"/>
        <v>Delivered</v>
      </c>
      <c r="AB399" s="14" t="str">
        <f t="shared" ref="AB399:AC399" si="802">trim(Q399)</f>
        <v>Delivery Experience</v>
      </c>
      <c r="AC399" s="14" t="str">
        <f t="shared" si="802"/>
        <v>Quick and professional</v>
      </c>
      <c r="AD399" s="8"/>
    </row>
    <row r="400">
      <c r="A400" s="14" t="str">
        <f>IFERROR(__xludf.DUMMYFUNCTION("""COMPUTED_VALUE"""),"//ord_10391//Sanjay Nair//Dadar//Juice+2*Vivek Kumar/6/8/2023//Credit Card//Delivered*Convenience: Easy tracking")</f>
        <v>//ord_10391//Sanjay Nair//Dadar//Juice+2*Vivek Kumar/6/8/2023//Credit Card//Delivered*Convenience: Easy tracking</v>
      </c>
      <c r="B400" s="14" t="str">
        <f>IFERROR(__xludf.DUMMYFUNCTION("split(A400,""//"")"),"ord_10391")</f>
        <v>ord_10391</v>
      </c>
      <c r="C400" s="14" t="str">
        <f>IFERROR(__xludf.DUMMYFUNCTION("""COMPUTED_VALUE"""),"Sanjay Nair")</f>
        <v>Sanjay Nair</v>
      </c>
      <c r="D400" s="14" t="str">
        <f>IFERROR(__xludf.DUMMYFUNCTION("""COMPUTED_VALUE"""),"Dadar")</f>
        <v>Dadar</v>
      </c>
      <c r="E400" s="14" t="str">
        <f>IFERROR(__xludf.DUMMYFUNCTION("""COMPUTED_VALUE"""),"Juice+2*Vivek Kumar")</f>
        <v>Juice+2*Vivek Kumar</v>
      </c>
      <c r="F400" s="14">
        <f>IFERROR(__xludf.DUMMYFUNCTION("""COMPUTED_VALUE"""),6.0)</f>
        <v>6</v>
      </c>
      <c r="G400" s="14">
        <f>IFERROR(__xludf.DUMMYFUNCTION("""COMPUTED_VALUE"""),8.0)</f>
        <v>8</v>
      </c>
      <c r="H400" s="14">
        <f>IFERROR(__xludf.DUMMYFUNCTION("""COMPUTED_VALUE"""),2023.0)</f>
        <v>2023</v>
      </c>
      <c r="I400" s="14" t="str">
        <f>IFERROR(__xludf.DUMMYFUNCTION("""COMPUTED_VALUE"""),"Credit Card")</f>
        <v>Credit Card</v>
      </c>
      <c r="J400" s="14" t="str">
        <f>IFERROR(__xludf.DUMMYFUNCTION("""COMPUTED_VALUE"""),"Delivered*Convenience: Easy tracking")</f>
        <v>Delivered*Convenience: Easy tracking</v>
      </c>
      <c r="K400" s="14" t="str">
        <f>IFERROR(__xludf.DUMMYFUNCTION("split(E400,""+"")"),"Juice")</f>
        <v>Juice</v>
      </c>
      <c r="L400" s="14" t="str">
        <f>IFERROR(__xludf.DUMMYFUNCTION("""COMPUTED_VALUE"""),"2*Vivek Kumar")</f>
        <v>2*Vivek Kumar</v>
      </c>
      <c r="M400" s="14">
        <f>IFERROR(__xludf.DUMMYFUNCTION("SPLIT(L400,""*"")"),2.0)</f>
        <v>2</v>
      </c>
      <c r="N400" s="14" t="str">
        <f>IFERROR(__xludf.DUMMYFUNCTION("""COMPUTED_VALUE"""),"Vivek Kumar")</f>
        <v>Vivek Kumar</v>
      </c>
      <c r="O400" s="14" t="str">
        <f>IFERROR(__xludf.DUMMYFUNCTION("split(J400,""*"")"),"Delivered")</f>
        <v>Delivered</v>
      </c>
      <c r="P400" s="14" t="str">
        <f>IFERROR(__xludf.DUMMYFUNCTION("""COMPUTED_VALUE"""),"Convenience: Easy tracking")</f>
        <v>Convenience: Easy tracking</v>
      </c>
      <c r="Q400" s="14" t="str">
        <f>IFERROR(__xludf.DUMMYFUNCTION("split(P400,"":"")"),"Convenience")</f>
        <v>Convenience</v>
      </c>
      <c r="R400" s="14" t="str">
        <f>IFERROR(__xludf.DUMMYFUNCTION("""COMPUTED_VALUE""")," Easy tracking")</f>
        <v> Easy tracking</v>
      </c>
      <c r="S400" s="14" t="str">
        <f t="shared" ref="S400:U400" si="803">trim(B400)</f>
        <v>ord_10391</v>
      </c>
      <c r="T400" s="14" t="str">
        <f t="shared" si="803"/>
        <v>Sanjay Nair</v>
      </c>
      <c r="U400" s="14" t="str">
        <f t="shared" si="803"/>
        <v>Dadar</v>
      </c>
      <c r="V400" s="14" t="str">
        <f t="shared" si="4"/>
        <v>Juice</v>
      </c>
      <c r="W400" s="14">
        <f t="shared" si="5"/>
        <v>2</v>
      </c>
      <c r="X400" s="14" t="str">
        <f t="shared" si="6"/>
        <v>Vivek Kumar</v>
      </c>
      <c r="Y400" s="15">
        <f t="shared" si="7"/>
        <v>45085</v>
      </c>
      <c r="Z400" s="14" t="str">
        <f t="shared" si="8"/>
        <v>Credit Card</v>
      </c>
      <c r="AA400" s="14" t="str">
        <f t="shared" si="9"/>
        <v>Delivered</v>
      </c>
      <c r="AB400" s="14" t="str">
        <f t="shared" ref="AB400:AC400" si="804">trim(Q400)</f>
        <v>Convenience</v>
      </c>
      <c r="AC400" s="14" t="str">
        <f t="shared" si="804"/>
        <v>Easy tracking</v>
      </c>
      <c r="AD400" s="8"/>
    </row>
    <row r="401">
      <c r="A401" s="14" t="str">
        <f>IFERROR(__xludf.DUMMYFUNCTION("""COMPUTED_VALUE"""),"//ord_10392//Ishita Banerjee//Juhu//Chicken Puff+3*Manju Ajay/10/19/2023//UPI//Delivered*Overall Satisfaction: Great service will order again")</f>
        <v>//ord_10392//Ishita Banerjee//Juhu//Chicken Puff+3*Manju Ajay/10/19/2023//UPI//Delivered*Overall Satisfaction: Great service will order again</v>
      </c>
      <c r="B401" s="14" t="str">
        <f>IFERROR(__xludf.DUMMYFUNCTION("split(A401,""//"")"),"ord_10392")</f>
        <v>ord_10392</v>
      </c>
      <c r="C401" s="14" t="str">
        <f>IFERROR(__xludf.DUMMYFUNCTION("""COMPUTED_VALUE"""),"Ishita Banerjee")</f>
        <v>Ishita Banerjee</v>
      </c>
      <c r="D401" s="14" t="str">
        <f>IFERROR(__xludf.DUMMYFUNCTION("""COMPUTED_VALUE"""),"Juhu")</f>
        <v>Juhu</v>
      </c>
      <c r="E401" s="14" t="str">
        <f>IFERROR(__xludf.DUMMYFUNCTION("""COMPUTED_VALUE"""),"Chicken Puff+3*Manju Ajay")</f>
        <v>Chicken Puff+3*Manju Ajay</v>
      </c>
      <c r="F401" s="14">
        <f>IFERROR(__xludf.DUMMYFUNCTION("""COMPUTED_VALUE"""),10.0)</f>
        <v>10</v>
      </c>
      <c r="G401" s="14">
        <f>IFERROR(__xludf.DUMMYFUNCTION("""COMPUTED_VALUE"""),19.0)</f>
        <v>19</v>
      </c>
      <c r="H401" s="14">
        <f>IFERROR(__xludf.DUMMYFUNCTION("""COMPUTED_VALUE"""),2023.0)</f>
        <v>2023</v>
      </c>
      <c r="I401" s="14" t="str">
        <f>IFERROR(__xludf.DUMMYFUNCTION("""COMPUTED_VALUE"""),"UPI")</f>
        <v>UPI</v>
      </c>
      <c r="J401" s="14" t="str">
        <f>IFERROR(__xludf.DUMMYFUNCTION("""COMPUTED_VALUE"""),"Delivered*Overall Satisfaction: Great service will order again")</f>
        <v>Delivered*Overall Satisfaction: Great service will order again</v>
      </c>
      <c r="K401" s="14" t="str">
        <f>IFERROR(__xludf.DUMMYFUNCTION("split(E401,""+"")"),"Chicken Puff")</f>
        <v>Chicken Puff</v>
      </c>
      <c r="L401" s="14" t="str">
        <f>IFERROR(__xludf.DUMMYFUNCTION("""COMPUTED_VALUE"""),"3*Manju Ajay")</f>
        <v>3*Manju Ajay</v>
      </c>
      <c r="M401" s="14">
        <f>IFERROR(__xludf.DUMMYFUNCTION("SPLIT(L401,""*"")"),3.0)</f>
        <v>3</v>
      </c>
      <c r="N401" s="14" t="str">
        <f>IFERROR(__xludf.DUMMYFUNCTION("""COMPUTED_VALUE"""),"Manju Ajay")</f>
        <v>Manju Ajay</v>
      </c>
      <c r="O401" s="14" t="str">
        <f>IFERROR(__xludf.DUMMYFUNCTION("split(J401,""*"")"),"Delivered")</f>
        <v>Delivered</v>
      </c>
      <c r="P401" s="14" t="str">
        <f>IFERROR(__xludf.DUMMYFUNCTION("""COMPUTED_VALUE"""),"Overall Satisfaction: Great service will order again")</f>
        <v>Overall Satisfaction: Great service will order again</v>
      </c>
      <c r="Q401" s="14" t="str">
        <f>IFERROR(__xludf.DUMMYFUNCTION("split(P401,"":"")"),"Overall Satisfaction")</f>
        <v>Overall Satisfaction</v>
      </c>
      <c r="R401" s="14" t="str">
        <f>IFERROR(__xludf.DUMMYFUNCTION("""COMPUTED_VALUE""")," Great service will order again")</f>
        <v> Great service will order again</v>
      </c>
      <c r="S401" s="14" t="str">
        <f t="shared" ref="S401:U401" si="805">trim(B401)</f>
        <v>ord_10392</v>
      </c>
      <c r="T401" s="14" t="str">
        <f t="shared" si="805"/>
        <v>Ishita Banerjee</v>
      </c>
      <c r="U401" s="14" t="str">
        <f t="shared" si="805"/>
        <v>Juhu</v>
      </c>
      <c r="V401" s="14" t="str">
        <f t="shared" si="4"/>
        <v>Chicken Puff</v>
      </c>
      <c r="W401" s="14">
        <f t="shared" si="5"/>
        <v>3</v>
      </c>
      <c r="X401" s="14" t="str">
        <f t="shared" si="6"/>
        <v>Manju Ajay</v>
      </c>
      <c r="Y401" s="15">
        <f t="shared" si="7"/>
        <v>45218</v>
      </c>
      <c r="Z401" s="14" t="str">
        <f t="shared" si="8"/>
        <v>UPI</v>
      </c>
      <c r="AA401" s="14" t="str">
        <f t="shared" si="9"/>
        <v>Delivered</v>
      </c>
      <c r="AB401" s="14" t="str">
        <f t="shared" ref="AB401:AC401" si="806">trim(Q401)</f>
        <v>Overall Satisfaction</v>
      </c>
      <c r="AC401" s="14" t="str">
        <f t="shared" si="806"/>
        <v>Great service will order again</v>
      </c>
      <c r="AD401" s="8"/>
    </row>
    <row r="402">
      <c r="A402" s="14" t="str">
        <f>IFERROR(__xludf.DUMMYFUNCTION("""COMPUTED_VALUE"""),"//ord_10393//Dev Chauhan//Bandra//Papaya+1*Ramesh S/10/10/2023//COD//Delivered*On-time Delivery: Delivered on time")</f>
        <v>//ord_10393//Dev Chauhan//Bandra//Papaya+1*Ramesh S/10/10/2023//COD//Delivered*On-time Delivery: Delivered on time</v>
      </c>
      <c r="B402" s="14" t="str">
        <f>IFERROR(__xludf.DUMMYFUNCTION("split(A402,""//"")"),"ord_10393")</f>
        <v>ord_10393</v>
      </c>
      <c r="C402" s="14" t="str">
        <f>IFERROR(__xludf.DUMMYFUNCTION("""COMPUTED_VALUE"""),"Dev Chauhan")</f>
        <v>Dev Chauhan</v>
      </c>
      <c r="D402" s="14" t="str">
        <f>IFERROR(__xludf.DUMMYFUNCTION("""COMPUTED_VALUE"""),"Bandra")</f>
        <v>Bandra</v>
      </c>
      <c r="E402" s="14" t="str">
        <f>IFERROR(__xludf.DUMMYFUNCTION("""COMPUTED_VALUE"""),"Papaya+1*Ramesh S")</f>
        <v>Papaya+1*Ramesh S</v>
      </c>
      <c r="F402" s="14">
        <f>IFERROR(__xludf.DUMMYFUNCTION("""COMPUTED_VALUE"""),10.0)</f>
        <v>10</v>
      </c>
      <c r="G402" s="14">
        <f>IFERROR(__xludf.DUMMYFUNCTION("""COMPUTED_VALUE"""),10.0)</f>
        <v>10</v>
      </c>
      <c r="H402" s="14">
        <f>IFERROR(__xludf.DUMMYFUNCTION("""COMPUTED_VALUE"""),2023.0)</f>
        <v>2023</v>
      </c>
      <c r="I402" s="14" t="str">
        <f>IFERROR(__xludf.DUMMYFUNCTION("""COMPUTED_VALUE"""),"COD")</f>
        <v>COD</v>
      </c>
      <c r="J402" s="14" t="str">
        <f>IFERROR(__xludf.DUMMYFUNCTION("""COMPUTED_VALUE"""),"Delivered*On-time Delivery: Delivered on time")</f>
        <v>Delivered*On-time Delivery: Delivered on time</v>
      </c>
      <c r="K402" s="14" t="str">
        <f>IFERROR(__xludf.DUMMYFUNCTION("split(E402,""+"")"),"Papaya")</f>
        <v>Papaya</v>
      </c>
      <c r="L402" s="14" t="str">
        <f>IFERROR(__xludf.DUMMYFUNCTION("""COMPUTED_VALUE"""),"1*Ramesh S")</f>
        <v>1*Ramesh S</v>
      </c>
      <c r="M402" s="14">
        <f>IFERROR(__xludf.DUMMYFUNCTION("SPLIT(L402,""*"")"),1.0)</f>
        <v>1</v>
      </c>
      <c r="N402" s="14" t="str">
        <f>IFERROR(__xludf.DUMMYFUNCTION("""COMPUTED_VALUE"""),"Ramesh S")</f>
        <v>Ramesh S</v>
      </c>
      <c r="O402" s="14" t="str">
        <f>IFERROR(__xludf.DUMMYFUNCTION("split(J402,""*"")"),"Delivered")</f>
        <v>Delivered</v>
      </c>
      <c r="P402" s="14" t="str">
        <f>IFERROR(__xludf.DUMMYFUNCTION("""COMPUTED_VALUE"""),"On-time Delivery: Delivered on time")</f>
        <v>On-time Delivery: Delivered on time</v>
      </c>
      <c r="Q402" s="14" t="str">
        <f>IFERROR(__xludf.DUMMYFUNCTION("split(P402,"":"")"),"On-time Delivery")</f>
        <v>On-time Delivery</v>
      </c>
      <c r="R402" s="14" t="str">
        <f>IFERROR(__xludf.DUMMYFUNCTION("""COMPUTED_VALUE""")," Delivered on time")</f>
        <v> Delivered on time</v>
      </c>
      <c r="S402" s="14" t="str">
        <f t="shared" ref="S402:U402" si="807">trim(B402)</f>
        <v>ord_10393</v>
      </c>
      <c r="T402" s="14" t="str">
        <f t="shared" si="807"/>
        <v>Dev Chauhan</v>
      </c>
      <c r="U402" s="14" t="str">
        <f t="shared" si="807"/>
        <v>Bandra</v>
      </c>
      <c r="V402" s="14" t="str">
        <f t="shared" si="4"/>
        <v>Papaya</v>
      </c>
      <c r="W402" s="14">
        <f t="shared" si="5"/>
        <v>1</v>
      </c>
      <c r="X402" s="14" t="str">
        <f t="shared" si="6"/>
        <v>Ramesh S</v>
      </c>
      <c r="Y402" s="15">
        <f t="shared" si="7"/>
        <v>45209</v>
      </c>
      <c r="Z402" s="14" t="str">
        <f t="shared" si="8"/>
        <v>COD</v>
      </c>
      <c r="AA402" s="14" t="str">
        <f t="shared" si="9"/>
        <v>Delivered</v>
      </c>
      <c r="AB402" s="14" t="str">
        <f t="shared" ref="AB402:AC402" si="808">trim(Q402)</f>
        <v>On-time Delivery</v>
      </c>
      <c r="AC402" s="14" t="str">
        <f t="shared" si="808"/>
        <v>Delivered on time</v>
      </c>
      <c r="AD402" s="8"/>
    </row>
    <row r="403">
      <c r="A403" s="14" t="str">
        <f>IFERROR(__xludf.DUMMYFUNCTION("""COMPUTED_VALUE"""),"//ord_10394//Aarav Mehta//Andheri//Apple+1*Vivek Kumar/12/15/2023//UPI//Delivered*Quality of Items: Perfect condition")</f>
        <v>//ord_10394//Aarav Mehta//Andheri//Apple+1*Vivek Kumar/12/15/2023//UPI//Delivered*Quality of Items: Perfect condition</v>
      </c>
      <c r="B403" s="14" t="str">
        <f>IFERROR(__xludf.DUMMYFUNCTION("split(A403,""//"")"),"ord_10394")</f>
        <v>ord_10394</v>
      </c>
      <c r="C403" s="14" t="str">
        <f>IFERROR(__xludf.DUMMYFUNCTION("""COMPUTED_VALUE"""),"Aarav Mehta")</f>
        <v>Aarav Mehta</v>
      </c>
      <c r="D403" s="14" t="str">
        <f>IFERROR(__xludf.DUMMYFUNCTION("""COMPUTED_VALUE"""),"Andheri")</f>
        <v>Andheri</v>
      </c>
      <c r="E403" s="14" t="str">
        <f>IFERROR(__xludf.DUMMYFUNCTION("""COMPUTED_VALUE"""),"Apple+1*Vivek Kumar")</f>
        <v>Apple+1*Vivek Kumar</v>
      </c>
      <c r="F403" s="14">
        <f>IFERROR(__xludf.DUMMYFUNCTION("""COMPUTED_VALUE"""),12.0)</f>
        <v>12</v>
      </c>
      <c r="G403" s="14">
        <f>IFERROR(__xludf.DUMMYFUNCTION("""COMPUTED_VALUE"""),15.0)</f>
        <v>15</v>
      </c>
      <c r="H403" s="14">
        <f>IFERROR(__xludf.DUMMYFUNCTION("""COMPUTED_VALUE"""),2023.0)</f>
        <v>2023</v>
      </c>
      <c r="I403" s="14" t="str">
        <f>IFERROR(__xludf.DUMMYFUNCTION("""COMPUTED_VALUE"""),"UPI")</f>
        <v>UPI</v>
      </c>
      <c r="J403" s="14" t="str">
        <f>IFERROR(__xludf.DUMMYFUNCTION("""COMPUTED_VALUE"""),"Delivered*Quality of Items: Perfect condition")</f>
        <v>Delivered*Quality of Items: Perfect condition</v>
      </c>
      <c r="K403" s="14" t="str">
        <f>IFERROR(__xludf.DUMMYFUNCTION("split(E403,""+"")"),"Apple")</f>
        <v>Apple</v>
      </c>
      <c r="L403" s="14" t="str">
        <f>IFERROR(__xludf.DUMMYFUNCTION("""COMPUTED_VALUE"""),"1*Vivek Kumar")</f>
        <v>1*Vivek Kumar</v>
      </c>
      <c r="M403" s="14">
        <f>IFERROR(__xludf.DUMMYFUNCTION("SPLIT(L403,""*"")"),1.0)</f>
        <v>1</v>
      </c>
      <c r="N403" s="14" t="str">
        <f>IFERROR(__xludf.DUMMYFUNCTION("""COMPUTED_VALUE"""),"Vivek Kumar")</f>
        <v>Vivek Kumar</v>
      </c>
      <c r="O403" s="14" t="str">
        <f>IFERROR(__xludf.DUMMYFUNCTION("split(J403,""*"")"),"Delivered")</f>
        <v>Delivered</v>
      </c>
      <c r="P403" s="14" t="str">
        <f>IFERROR(__xludf.DUMMYFUNCTION("""COMPUTED_VALUE"""),"Quality of Items: Perfect condition")</f>
        <v>Quality of Items: Perfect condition</v>
      </c>
      <c r="Q403" s="14" t="str">
        <f>IFERROR(__xludf.DUMMYFUNCTION("split(P403,"":"")"),"Quality of Items")</f>
        <v>Quality of Items</v>
      </c>
      <c r="R403" s="14" t="str">
        <f>IFERROR(__xludf.DUMMYFUNCTION("""COMPUTED_VALUE""")," Perfect condition")</f>
        <v> Perfect condition</v>
      </c>
      <c r="S403" s="14" t="str">
        <f t="shared" ref="S403:U403" si="809">trim(B403)</f>
        <v>ord_10394</v>
      </c>
      <c r="T403" s="14" t="str">
        <f t="shared" si="809"/>
        <v>Aarav Mehta</v>
      </c>
      <c r="U403" s="14" t="str">
        <f t="shared" si="809"/>
        <v>Andheri</v>
      </c>
      <c r="V403" s="14" t="str">
        <f t="shared" si="4"/>
        <v>Apple</v>
      </c>
      <c r="W403" s="14">
        <f t="shared" si="5"/>
        <v>1</v>
      </c>
      <c r="X403" s="14" t="str">
        <f t="shared" si="6"/>
        <v>Vivek Kumar</v>
      </c>
      <c r="Y403" s="15">
        <f t="shared" si="7"/>
        <v>45275</v>
      </c>
      <c r="Z403" s="14" t="str">
        <f t="shared" si="8"/>
        <v>UPI</v>
      </c>
      <c r="AA403" s="14" t="str">
        <f t="shared" si="9"/>
        <v>Delivered</v>
      </c>
      <c r="AB403" s="14" t="str">
        <f t="shared" ref="AB403:AC403" si="810">trim(Q403)</f>
        <v>Quality of Items</v>
      </c>
      <c r="AC403" s="14" t="str">
        <f t="shared" si="810"/>
        <v>Perfect condition</v>
      </c>
      <c r="AD403" s="8"/>
    </row>
    <row r="404">
      <c r="A404" s="14" t="str">
        <f>IFERROR(__xludf.DUMMYFUNCTION("""COMPUTED_VALUE"""),"//ord_10395//Anaya Rao//Colaba//Chicken Puff+2*Sita T/12/16/2023//Online Payment//Delivered*On-time Delivery: Delivered on time")</f>
        <v>//ord_10395//Anaya Rao//Colaba//Chicken Puff+2*Sita T/12/16/2023//Online Payment//Delivered*On-time Delivery: Delivered on time</v>
      </c>
      <c r="B404" s="14" t="str">
        <f>IFERROR(__xludf.DUMMYFUNCTION("split(A404,""//"")"),"ord_10395")</f>
        <v>ord_10395</v>
      </c>
      <c r="C404" s="14" t="str">
        <f>IFERROR(__xludf.DUMMYFUNCTION("""COMPUTED_VALUE"""),"Anaya Rao")</f>
        <v>Anaya Rao</v>
      </c>
      <c r="D404" s="14" t="str">
        <f>IFERROR(__xludf.DUMMYFUNCTION("""COMPUTED_VALUE"""),"Colaba")</f>
        <v>Colaba</v>
      </c>
      <c r="E404" s="14" t="str">
        <f>IFERROR(__xludf.DUMMYFUNCTION("""COMPUTED_VALUE"""),"Chicken Puff+2*Sita T")</f>
        <v>Chicken Puff+2*Sita T</v>
      </c>
      <c r="F404" s="14">
        <f>IFERROR(__xludf.DUMMYFUNCTION("""COMPUTED_VALUE"""),12.0)</f>
        <v>12</v>
      </c>
      <c r="G404" s="14">
        <f>IFERROR(__xludf.DUMMYFUNCTION("""COMPUTED_VALUE"""),16.0)</f>
        <v>16</v>
      </c>
      <c r="H404" s="14">
        <f>IFERROR(__xludf.DUMMYFUNCTION("""COMPUTED_VALUE"""),2023.0)</f>
        <v>2023</v>
      </c>
      <c r="I404" s="14" t="str">
        <f>IFERROR(__xludf.DUMMYFUNCTION("""COMPUTED_VALUE"""),"Online Payment")</f>
        <v>Online Payment</v>
      </c>
      <c r="J404" s="14" t="str">
        <f>IFERROR(__xludf.DUMMYFUNCTION("""COMPUTED_VALUE"""),"Delivered*On-time Delivery: Delivered on time")</f>
        <v>Delivered*On-time Delivery: Delivered on time</v>
      </c>
      <c r="K404" s="14" t="str">
        <f>IFERROR(__xludf.DUMMYFUNCTION("split(E404,""+"")"),"Chicken Puff")</f>
        <v>Chicken Puff</v>
      </c>
      <c r="L404" s="14" t="str">
        <f>IFERROR(__xludf.DUMMYFUNCTION("""COMPUTED_VALUE"""),"2*Sita T")</f>
        <v>2*Sita T</v>
      </c>
      <c r="M404" s="14">
        <f>IFERROR(__xludf.DUMMYFUNCTION("SPLIT(L404,""*"")"),2.0)</f>
        <v>2</v>
      </c>
      <c r="N404" s="14" t="str">
        <f>IFERROR(__xludf.DUMMYFUNCTION("""COMPUTED_VALUE"""),"Sita T")</f>
        <v>Sita T</v>
      </c>
      <c r="O404" s="14" t="str">
        <f>IFERROR(__xludf.DUMMYFUNCTION("split(J404,""*"")"),"Delivered")</f>
        <v>Delivered</v>
      </c>
      <c r="P404" s="14" t="str">
        <f>IFERROR(__xludf.DUMMYFUNCTION("""COMPUTED_VALUE"""),"On-time Delivery: Delivered on time")</f>
        <v>On-time Delivery: Delivered on time</v>
      </c>
      <c r="Q404" s="14" t="str">
        <f>IFERROR(__xludf.DUMMYFUNCTION("split(P404,"":"")"),"On-time Delivery")</f>
        <v>On-time Delivery</v>
      </c>
      <c r="R404" s="14" t="str">
        <f>IFERROR(__xludf.DUMMYFUNCTION("""COMPUTED_VALUE""")," Delivered on time")</f>
        <v> Delivered on time</v>
      </c>
      <c r="S404" s="14" t="str">
        <f t="shared" ref="S404:U404" si="811">trim(B404)</f>
        <v>ord_10395</v>
      </c>
      <c r="T404" s="14" t="str">
        <f t="shared" si="811"/>
        <v>Anaya Rao</v>
      </c>
      <c r="U404" s="14" t="str">
        <f t="shared" si="811"/>
        <v>Colaba</v>
      </c>
      <c r="V404" s="14" t="str">
        <f t="shared" si="4"/>
        <v>Chicken Puff</v>
      </c>
      <c r="W404" s="14">
        <f t="shared" si="5"/>
        <v>2</v>
      </c>
      <c r="X404" s="14" t="str">
        <f t="shared" si="6"/>
        <v>Sita T</v>
      </c>
      <c r="Y404" s="15">
        <f t="shared" si="7"/>
        <v>45276</v>
      </c>
      <c r="Z404" s="14" t="str">
        <f t="shared" si="8"/>
        <v>Online Payment</v>
      </c>
      <c r="AA404" s="14" t="str">
        <f t="shared" si="9"/>
        <v>Delivered</v>
      </c>
      <c r="AB404" s="14" t="str">
        <f t="shared" ref="AB404:AC404" si="812">trim(Q404)</f>
        <v>On-time Delivery</v>
      </c>
      <c r="AC404" s="14" t="str">
        <f t="shared" si="812"/>
        <v>Delivered on time</v>
      </c>
      <c r="AD404" s="8"/>
    </row>
    <row r="405">
      <c r="A405" s="14" t="str">
        <f>IFERROR(__xludf.DUMMYFUNCTION("""COMPUTED_VALUE"""),"//ord_10396//Dev Chauhan//Bandra//Orange+2*Nithin Lal/12/2/2023//Credit Card//Delivered*Quality of Items: Perfect condition")</f>
        <v>//ord_10396//Dev Chauhan//Bandra//Orange+2*Nithin Lal/12/2/2023//Credit Card//Delivered*Quality of Items: Perfect condition</v>
      </c>
      <c r="B405" s="14" t="str">
        <f>IFERROR(__xludf.DUMMYFUNCTION("split(A405,""//"")"),"ord_10396")</f>
        <v>ord_10396</v>
      </c>
      <c r="C405" s="14" t="str">
        <f>IFERROR(__xludf.DUMMYFUNCTION("""COMPUTED_VALUE"""),"Dev Chauhan")</f>
        <v>Dev Chauhan</v>
      </c>
      <c r="D405" s="14" t="str">
        <f>IFERROR(__xludf.DUMMYFUNCTION("""COMPUTED_VALUE"""),"Bandra")</f>
        <v>Bandra</v>
      </c>
      <c r="E405" s="14" t="str">
        <f>IFERROR(__xludf.DUMMYFUNCTION("""COMPUTED_VALUE"""),"Orange+2*Nithin Lal")</f>
        <v>Orange+2*Nithin Lal</v>
      </c>
      <c r="F405" s="14">
        <f>IFERROR(__xludf.DUMMYFUNCTION("""COMPUTED_VALUE"""),12.0)</f>
        <v>12</v>
      </c>
      <c r="G405" s="14">
        <f>IFERROR(__xludf.DUMMYFUNCTION("""COMPUTED_VALUE"""),2.0)</f>
        <v>2</v>
      </c>
      <c r="H405" s="14">
        <f>IFERROR(__xludf.DUMMYFUNCTION("""COMPUTED_VALUE"""),2023.0)</f>
        <v>2023</v>
      </c>
      <c r="I405" s="14" t="str">
        <f>IFERROR(__xludf.DUMMYFUNCTION("""COMPUTED_VALUE"""),"Credit Card")</f>
        <v>Credit Card</v>
      </c>
      <c r="J405" s="14" t="str">
        <f>IFERROR(__xludf.DUMMYFUNCTION("""COMPUTED_VALUE"""),"Delivered*Quality of Items: Perfect condition")</f>
        <v>Delivered*Quality of Items: Perfect condition</v>
      </c>
      <c r="K405" s="14" t="str">
        <f>IFERROR(__xludf.DUMMYFUNCTION("split(E405,""+"")"),"Orange")</f>
        <v>Orange</v>
      </c>
      <c r="L405" s="14" t="str">
        <f>IFERROR(__xludf.DUMMYFUNCTION("""COMPUTED_VALUE"""),"2*Nithin Lal")</f>
        <v>2*Nithin Lal</v>
      </c>
      <c r="M405" s="14">
        <f>IFERROR(__xludf.DUMMYFUNCTION("SPLIT(L405,""*"")"),2.0)</f>
        <v>2</v>
      </c>
      <c r="N405" s="14" t="str">
        <f>IFERROR(__xludf.DUMMYFUNCTION("""COMPUTED_VALUE"""),"Nithin Lal")</f>
        <v>Nithin Lal</v>
      </c>
      <c r="O405" s="14" t="str">
        <f>IFERROR(__xludf.DUMMYFUNCTION("split(J405,""*"")"),"Delivered")</f>
        <v>Delivered</v>
      </c>
      <c r="P405" s="14" t="str">
        <f>IFERROR(__xludf.DUMMYFUNCTION("""COMPUTED_VALUE"""),"Quality of Items: Perfect condition")</f>
        <v>Quality of Items: Perfect condition</v>
      </c>
      <c r="Q405" s="14" t="str">
        <f>IFERROR(__xludf.DUMMYFUNCTION("split(P405,"":"")"),"Quality of Items")</f>
        <v>Quality of Items</v>
      </c>
      <c r="R405" s="14" t="str">
        <f>IFERROR(__xludf.DUMMYFUNCTION("""COMPUTED_VALUE""")," Perfect condition")</f>
        <v> Perfect condition</v>
      </c>
      <c r="S405" s="14" t="str">
        <f t="shared" ref="S405:U405" si="813">trim(B405)</f>
        <v>ord_10396</v>
      </c>
      <c r="T405" s="14" t="str">
        <f t="shared" si="813"/>
        <v>Dev Chauhan</v>
      </c>
      <c r="U405" s="14" t="str">
        <f t="shared" si="813"/>
        <v>Bandra</v>
      </c>
      <c r="V405" s="14" t="str">
        <f t="shared" si="4"/>
        <v>Orange</v>
      </c>
      <c r="W405" s="14">
        <f t="shared" si="5"/>
        <v>2</v>
      </c>
      <c r="X405" s="14" t="str">
        <f t="shared" si="6"/>
        <v>Nithin Lal</v>
      </c>
      <c r="Y405" s="15">
        <f t="shared" si="7"/>
        <v>45262</v>
      </c>
      <c r="Z405" s="14" t="str">
        <f t="shared" si="8"/>
        <v>Credit Card</v>
      </c>
      <c r="AA405" s="14" t="str">
        <f t="shared" si="9"/>
        <v>Delivered</v>
      </c>
      <c r="AB405" s="14" t="str">
        <f t="shared" ref="AB405:AC405" si="814">trim(Q405)</f>
        <v>Quality of Items</v>
      </c>
      <c r="AC405" s="14" t="str">
        <f t="shared" si="814"/>
        <v>Perfect condition</v>
      </c>
      <c r="AD405" s="8"/>
    </row>
    <row r="406">
      <c r="A406" s="14" t="str">
        <f>IFERROR(__xludf.DUMMYFUNCTION("""COMPUTED_VALUE"""),"//ord_10397//Dev Chauhan//Bandra//Cucumber+1*Priya Joshi/10/7/2023//Online Payment//Delivered*Packaging: Secure and intact")</f>
        <v>//ord_10397//Dev Chauhan//Bandra//Cucumber+1*Priya Joshi/10/7/2023//Online Payment//Delivered*Packaging: Secure and intact</v>
      </c>
      <c r="B406" s="14" t="str">
        <f>IFERROR(__xludf.DUMMYFUNCTION("split(A406,""//"")"),"ord_10397")</f>
        <v>ord_10397</v>
      </c>
      <c r="C406" s="14" t="str">
        <f>IFERROR(__xludf.DUMMYFUNCTION("""COMPUTED_VALUE"""),"Dev Chauhan")</f>
        <v>Dev Chauhan</v>
      </c>
      <c r="D406" s="14" t="str">
        <f>IFERROR(__xludf.DUMMYFUNCTION("""COMPUTED_VALUE"""),"Bandra")</f>
        <v>Bandra</v>
      </c>
      <c r="E406" s="14" t="str">
        <f>IFERROR(__xludf.DUMMYFUNCTION("""COMPUTED_VALUE"""),"Cucumber+1*Priya Joshi")</f>
        <v>Cucumber+1*Priya Joshi</v>
      </c>
      <c r="F406" s="14">
        <f>IFERROR(__xludf.DUMMYFUNCTION("""COMPUTED_VALUE"""),10.0)</f>
        <v>10</v>
      </c>
      <c r="G406" s="14">
        <f>IFERROR(__xludf.DUMMYFUNCTION("""COMPUTED_VALUE"""),7.0)</f>
        <v>7</v>
      </c>
      <c r="H406" s="14">
        <f>IFERROR(__xludf.DUMMYFUNCTION("""COMPUTED_VALUE"""),2023.0)</f>
        <v>2023</v>
      </c>
      <c r="I406" s="14" t="str">
        <f>IFERROR(__xludf.DUMMYFUNCTION("""COMPUTED_VALUE"""),"Online Payment")</f>
        <v>Online Payment</v>
      </c>
      <c r="J406" s="14" t="str">
        <f>IFERROR(__xludf.DUMMYFUNCTION("""COMPUTED_VALUE"""),"Delivered*Packaging: Secure and intact")</f>
        <v>Delivered*Packaging: Secure and intact</v>
      </c>
      <c r="K406" s="14" t="str">
        <f>IFERROR(__xludf.DUMMYFUNCTION("split(E406,""+"")"),"Cucumber")</f>
        <v>Cucumber</v>
      </c>
      <c r="L406" s="14" t="str">
        <f>IFERROR(__xludf.DUMMYFUNCTION("""COMPUTED_VALUE"""),"1*Priya Joshi")</f>
        <v>1*Priya Joshi</v>
      </c>
      <c r="M406" s="14">
        <f>IFERROR(__xludf.DUMMYFUNCTION("SPLIT(L406,""*"")"),1.0)</f>
        <v>1</v>
      </c>
      <c r="N406" s="14" t="str">
        <f>IFERROR(__xludf.DUMMYFUNCTION("""COMPUTED_VALUE"""),"Priya Joshi")</f>
        <v>Priya Joshi</v>
      </c>
      <c r="O406" s="14" t="str">
        <f>IFERROR(__xludf.DUMMYFUNCTION("split(J406,""*"")"),"Delivered")</f>
        <v>Delivered</v>
      </c>
      <c r="P406" s="14" t="str">
        <f>IFERROR(__xludf.DUMMYFUNCTION("""COMPUTED_VALUE"""),"Packaging: Secure and intact")</f>
        <v>Packaging: Secure and intact</v>
      </c>
      <c r="Q406" s="14" t="str">
        <f>IFERROR(__xludf.DUMMYFUNCTION("split(P406,"":"")"),"Packaging")</f>
        <v>Packaging</v>
      </c>
      <c r="R406" s="14" t="str">
        <f>IFERROR(__xludf.DUMMYFUNCTION("""COMPUTED_VALUE""")," Secure and intact")</f>
        <v> Secure and intact</v>
      </c>
      <c r="S406" s="14" t="str">
        <f t="shared" ref="S406:U406" si="815">trim(B406)</f>
        <v>ord_10397</v>
      </c>
      <c r="T406" s="14" t="str">
        <f t="shared" si="815"/>
        <v>Dev Chauhan</v>
      </c>
      <c r="U406" s="14" t="str">
        <f t="shared" si="815"/>
        <v>Bandra</v>
      </c>
      <c r="V406" s="14" t="str">
        <f t="shared" si="4"/>
        <v>Cucumber</v>
      </c>
      <c r="W406" s="14">
        <f t="shared" si="5"/>
        <v>1</v>
      </c>
      <c r="X406" s="14" t="str">
        <f t="shared" si="6"/>
        <v>Priya Joshi</v>
      </c>
      <c r="Y406" s="15">
        <f t="shared" si="7"/>
        <v>45206</v>
      </c>
      <c r="Z406" s="14" t="str">
        <f t="shared" si="8"/>
        <v>Online Payment</v>
      </c>
      <c r="AA406" s="14" t="str">
        <f t="shared" si="9"/>
        <v>Delivered</v>
      </c>
      <c r="AB406" s="14" t="str">
        <f t="shared" ref="AB406:AC406" si="816">trim(Q406)</f>
        <v>Packaging</v>
      </c>
      <c r="AC406" s="14" t="str">
        <f t="shared" si="816"/>
        <v>Secure and intact</v>
      </c>
      <c r="AD406" s="8"/>
    </row>
    <row r="407">
      <c r="A407" s="14" t="str">
        <f>IFERROR(__xludf.DUMMYFUNCTION("""COMPUTED_VALUE"""),"//ord_10398//Simran Bhatt//Juhu//Orange+2*Tanvi Jain/1/9/2023//Credit Card//Delivered*Satisfied with the Delivery: Timely and quality")</f>
        <v>//ord_10398//Simran Bhatt//Juhu//Orange+2*Tanvi Jain/1/9/2023//Credit Card//Delivered*Satisfied with the Delivery: Timely and quality</v>
      </c>
      <c r="B407" s="14" t="str">
        <f>IFERROR(__xludf.DUMMYFUNCTION("split(A407,""//"")"),"ord_10398")</f>
        <v>ord_10398</v>
      </c>
      <c r="C407" s="14" t="str">
        <f>IFERROR(__xludf.DUMMYFUNCTION("""COMPUTED_VALUE"""),"Simran Bhatt")</f>
        <v>Simran Bhatt</v>
      </c>
      <c r="D407" s="14" t="str">
        <f>IFERROR(__xludf.DUMMYFUNCTION("""COMPUTED_VALUE"""),"Juhu")</f>
        <v>Juhu</v>
      </c>
      <c r="E407" s="14" t="str">
        <f>IFERROR(__xludf.DUMMYFUNCTION("""COMPUTED_VALUE"""),"Orange+2*Tanvi Jain")</f>
        <v>Orange+2*Tanvi Jain</v>
      </c>
      <c r="F407" s="14">
        <f>IFERROR(__xludf.DUMMYFUNCTION("""COMPUTED_VALUE"""),1.0)</f>
        <v>1</v>
      </c>
      <c r="G407" s="14">
        <f>IFERROR(__xludf.DUMMYFUNCTION("""COMPUTED_VALUE"""),9.0)</f>
        <v>9</v>
      </c>
      <c r="H407" s="14">
        <f>IFERROR(__xludf.DUMMYFUNCTION("""COMPUTED_VALUE"""),2023.0)</f>
        <v>2023</v>
      </c>
      <c r="I407" s="14" t="str">
        <f>IFERROR(__xludf.DUMMYFUNCTION("""COMPUTED_VALUE"""),"Credit Card")</f>
        <v>Credit Card</v>
      </c>
      <c r="J407" s="14" t="str">
        <f>IFERROR(__xludf.DUMMYFUNCTION("""COMPUTED_VALUE"""),"Delivered*Satisfied with the Delivery: Timely and quality")</f>
        <v>Delivered*Satisfied with the Delivery: Timely and quality</v>
      </c>
      <c r="K407" s="14" t="str">
        <f>IFERROR(__xludf.DUMMYFUNCTION("split(E407,""+"")"),"Orange")</f>
        <v>Orange</v>
      </c>
      <c r="L407" s="14" t="str">
        <f>IFERROR(__xludf.DUMMYFUNCTION("""COMPUTED_VALUE"""),"2*Tanvi Jain")</f>
        <v>2*Tanvi Jain</v>
      </c>
      <c r="M407" s="14">
        <f>IFERROR(__xludf.DUMMYFUNCTION("SPLIT(L407,""*"")"),2.0)</f>
        <v>2</v>
      </c>
      <c r="N407" s="14" t="str">
        <f>IFERROR(__xludf.DUMMYFUNCTION("""COMPUTED_VALUE"""),"Tanvi Jain")</f>
        <v>Tanvi Jain</v>
      </c>
      <c r="O407" s="14" t="str">
        <f>IFERROR(__xludf.DUMMYFUNCTION("split(J407,""*"")"),"Delivered")</f>
        <v>Delivered</v>
      </c>
      <c r="P407" s="14" t="str">
        <f>IFERROR(__xludf.DUMMYFUNCTION("""COMPUTED_VALUE"""),"Satisfied with the Delivery: Timely and quality")</f>
        <v>Satisfied with the Delivery: Timely and quality</v>
      </c>
      <c r="Q407" s="14" t="str">
        <f>IFERROR(__xludf.DUMMYFUNCTION("split(P407,"":"")"),"Satisfied with the Delivery")</f>
        <v>Satisfied with the Delivery</v>
      </c>
      <c r="R407" s="14" t="str">
        <f>IFERROR(__xludf.DUMMYFUNCTION("""COMPUTED_VALUE""")," Timely and quality")</f>
        <v> Timely and quality</v>
      </c>
      <c r="S407" s="14" t="str">
        <f t="shared" ref="S407:U407" si="817">trim(B407)</f>
        <v>ord_10398</v>
      </c>
      <c r="T407" s="14" t="str">
        <f t="shared" si="817"/>
        <v>Simran Bhatt</v>
      </c>
      <c r="U407" s="14" t="str">
        <f t="shared" si="817"/>
        <v>Juhu</v>
      </c>
      <c r="V407" s="14" t="str">
        <f t="shared" si="4"/>
        <v>Orange</v>
      </c>
      <c r="W407" s="14">
        <f t="shared" si="5"/>
        <v>2</v>
      </c>
      <c r="X407" s="14" t="str">
        <f t="shared" si="6"/>
        <v>Tanvi Jain</v>
      </c>
      <c r="Y407" s="15">
        <f t="shared" si="7"/>
        <v>44935</v>
      </c>
      <c r="Z407" s="14" t="str">
        <f t="shared" si="8"/>
        <v>Credit Card</v>
      </c>
      <c r="AA407" s="14" t="str">
        <f t="shared" si="9"/>
        <v>Delivered</v>
      </c>
      <c r="AB407" s="14" t="str">
        <f t="shared" ref="AB407:AC407" si="818">trim(Q407)</f>
        <v>Satisfied with the Delivery</v>
      </c>
      <c r="AC407" s="14" t="str">
        <f t="shared" si="818"/>
        <v>Timely and quality</v>
      </c>
      <c r="AD407" s="8"/>
    </row>
    <row r="408">
      <c r="A408" s="14" t="str">
        <f>IFERROR(__xludf.DUMMYFUNCTION("""COMPUTED_VALUE"""),"//ord_10399//Pranav Joshi//Andheri//Juice+5*Rohan Yadav/9/2/2023//Credit Card//Delivered*Customer Service: Seamless and easy")</f>
        <v>//ord_10399//Pranav Joshi//Andheri//Juice+5*Rohan Yadav/9/2/2023//Credit Card//Delivered*Customer Service: Seamless and easy</v>
      </c>
      <c r="B408" s="14" t="str">
        <f>IFERROR(__xludf.DUMMYFUNCTION("split(A408,""//"")"),"ord_10399")</f>
        <v>ord_10399</v>
      </c>
      <c r="C408" s="14" t="str">
        <f>IFERROR(__xludf.DUMMYFUNCTION("""COMPUTED_VALUE"""),"Pranav Joshi")</f>
        <v>Pranav Joshi</v>
      </c>
      <c r="D408" s="14" t="str">
        <f>IFERROR(__xludf.DUMMYFUNCTION("""COMPUTED_VALUE"""),"Andheri")</f>
        <v>Andheri</v>
      </c>
      <c r="E408" s="14" t="str">
        <f>IFERROR(__xludf.DUMMYFUNCTION("""COMPUTED_VALUE"""),"Juice+5*Rohan Yadav")</f>
        <v>Juice+5*Rohan Yadav</v>
      </c>
      <c r="F408" s="14">
        <f>IFERROR(__xludf.DUMMYFUNCTION("""COMPUTED_VALUE"""),9.0)</f>
        <v>9</v>
      </c>
      <c r="G408" s="14">
        <f>IFERROR(__xludf.DUMMYFUNCTION("""COMPUTED_VALUE"""),2.0)</f>
        <v>2</v>
      </c>
      <c r="H408" s="14">
        <f>IFERROR(__xludf.DUMMYFUNCTION("""COMPUTED_VALUE"""),2023.0)</f>
        <v>2023</v>
      </c>
      <c r="I408" s="14" t="str">
        <f>IFERROR(__xludf.DUMMYFUNCTION("""COMPUTED_VALUE"""),"Credit Card")</f>
        <v>Credit Card</v>
      </c>
      <c r="J408" s="14" t="str">
        <f>IFERROR(__xludf.DUMMYFUNCTION("""COMPUTED_VALUE"""),"Delivered*Customer Service: Seamless and easy")</f>
        <v>Delivered*Customer Service: Seamless and easy</v>
      </c>
      <c r="K408" s="14" t="str">
        <f>IFERROR(__xludf.DUMMYFUNCTION("split(E408,""+"")"),"Juice")</f>
        <v>Juice</v>
      </c>
      <c r="L408" s="14" t="str">
        <f>IFERROR(__xludf.DUMMYFUNCTION("""COMPUTED_VALUE"""),"5*Rohan Yadav")</f>
        <v>5*Rohan Yadav</v>
      </c>
      <c r="M408" s="14">
        <f>IFERROR(__xludf.DUMMYFUNCTION("SPLIT(L408,""*"")"),5.0)</f>
        <v>5</v>
      </c>
      <c r="N408" s="14" t="str">
        <f>IFERROR(__xludf.DUMMYFUNCTION("""COMPUTED_VALUE"""),"Rohan Yadav")</f>
        <v>Rohan Yadav</v>
      </c>
      <c r="O408" s="14" t="str">
        <f>IFERROR(__xludf.DUMMYFUNCTION("split(J408,""*"")"),"Delivered")</f>
        <v>Delivered</v>
      </c>
      <c r="P408" s="14" t="str">
        <f>IFERROR(__xludf.DUMMYFUNCTION("""COMPUTED_VALUE"""),"Customer Service: Seamless and easy")</f>
        <v>Customer Service: Seamless and easy</v>
      </c>
      <c r="Q408" s="14" t="str">
        <f>IFERROR(__xludf.DUMMYFUNCTION("split(P408,"":"")"),"Customer Service")</f>
        <v>Customer Service</v>
      </c>
      <c r="R408" s="14" t="str">
        <f>IFERROR(__xludf.DUMMYFUNCTION("""COMPUTED_VALUE""")," Seamless and easy")</f>
        <v> Seamless and easy</v>
      </c>
      <c r="S408" s="14" t="str">
        <f t="shared" ref="S408:U408" si="819">trim(B408)</f>
        <v>ord_10399</v>
      </c>
      <c r="T408" s="14" t="str">
        <f t="shared" si="819"/>
        <v>Pranav Joshi</v>
      </c>
      <c r="U408" s="14" t="str">
        <f t="shared" si="819"/>
        <v>Andheri</v>
      </c>
      <c r="V408" s="14" t="str">
        <f t="shared" si="4"/>
        <v>Juice</v>
      </c>
      <c r="W408" s="14">
        <f t="shared" si="5"/>
        <v>5</v>
      </c>
      <c r="X408" s="14" t="str">
        <f t="shared" si="6"/>
        <v>Rohan Yadav</v>
      </c>
      <c r="Y408" s="15">
        <f t="shared" si="7"/>
        <v>45171</v>
      </c>
      <c r="Z408" s="14" t="str">
        <f t="shared" si="8"/>
        <v>Credit Card</v>
      </c>
      <c r="AA408" s="14" t="str">
        <f t="shared" si="9"/>
        <v>Delivered</v>
      </c>
      <c r="AB408" s="14" t="str">
        <f t="shared" ref="AB408:AC408" si="820">trim(Q408)</f>
        <v>Customer Service</v>
      </c>
      <c r="AC408" s="14" t="str">
        <f t="shared" si="820"/>
        <v>Seamless and easy</v>
      </c>
      <c r="AD408" s="8"/>
    </row>
    <row r="409">
      <c r="A409" s="14" t="str">
        <f>IFERROR(__xludf.DUMMYFUNCTION("""COMPUTED_VALUE"""),"//ord_10400//Aarohi Kapoor//Bandra//Rasmalai+1*Priya Joshi/2/28/2023//COD//Delivered*Delivery Experience: Quick and professional")</f>
        <v>//ord_10400//Aarohi Kapoor//Bandra//Rasmalai+1*Priya Joshi/2/28/2023//COD//Delivered*Delivery Experience: Quick and professional</v>
      </c>
      <c r="B409" s="14" t="str">
        <f>IFERROR(__xludf.DUMMYFUNCTION("split(A409,""//"")"),"ord_10400")</f>
        <v>ord_10400</v>
      </c>
      <c r="C409" s="14" t="str">
        <f>IFERROR(__xludf.DUMMYFUNCTION("""COMPUTED_VALUE"""),"Aarohi Kapoor")</f>
        <v>Aarohi Kapoor</v>
      </c>
      <c r="D409" s="14" t="str">
        <f>IFERROR(__xludf.DUMMYFUNCTION("""COMPUTED_VALUE"""),"Bandra")</f>
        <v>Bandra</v>
      </c>
      <c r="E409" s="14" t="str">
        <f>IFERROR(__xludf.DUMMYFUNCTION("""COMPUTED_VALUE"""),"Rasmalai+1*Priya Joshi")</f>
        <v>Rasmalai+1*Priya Joshi</v>
      </c>
      <c r="F409" s="14">
        <f>IFERROR(__xludf.DUMMYFUNCTION("""COMPUTED_VALUE"""),2.0)</f>
        <v>2</v>
      </c>
      <c r="G409" s="14">
        <f>IFERROR(__xludf.DUMMYFUNCTION("""COMPUTED_VALUE"""),28.0)</f>
        <v>28</v>
      </c>
      <c r="H409" s="14">
        <f>IFERROR(__xludf.DUMMYFUNCTION("""COMPUTED_VALUE"""),2023.0)</f>
        <v>2023</v>
      </c>
      <c r="I409" s="14" t="str">
        <f>IFERROR(__xludf.DUMMYFUNCTION("""COMPUTED_VALUE"""),"COD")</f>
        <v>COD</v>
      </c>
      <c r="J409" s="14" t="str">
        <f>IFERROR(__xludf.DUMMYFUNCTION("""COMPUTED_VALUE"""),"Delivered*Delivery Experience: Quick and professional")</f>
        <v>Delivered*Delivery Experience: Quick and professional</v>
      </c>
      <c r="K409" s="14" t="str">
        <f>IFERROR(__xludf.DUMMYFUNCTION("split(E409,""+"")"),"Rasmalai")</f>
        <v>Rasmalai</v>
      </c>
      <c r="L409" s="14" t="str">
        <f>IFERROR(__xludf.DUMMYFUNCTION("""COMPUTED_VALUE"""),"1*Priya Joshi")</f>
        <v>1*Priya Joshi</v>
      </c>
      <c r="M409" s="14">
        <f>IFERROR(__xludf.DUMMYFUNCTION("SPLIT(L409,""*"")"),1.0)</f>
        <v>1</v>
      </c>
      <c r="N409" s="14" t="str">
        <f>IFERROR(__xludf.DUMMYFUNCTION("""COMPUTED_VALUE"""),"Priya Joshi")</f>
        <v>Priya Joshi</v>
      </c>
      <c r="O409" s="14" t="str">
        <f>IFERROR(__xludf.DUMMYFUNCTION("split(J409,""*"")"),"Delivered")</f>
        <v>Delivered</v>
      </c>
      <c r="P409" s="14" t="str">
        <f>IFERROR(__xludf.DUMMYFUNCTION("""COMPUTED_VALUE"""),"Delivery Experience: Quick and professional")</f>
        <v>Delivery Experience: Quick and professional</v>
      </c>
      <c r="Q409" s="14" t="str">
        <f>IFERROR(__xludf.DUMMYFUNCTION("split(P409,"":"")"),"Delivery Experience")</f>
        <v>Delivery Experience</v>
      </c>
      <c r="R409" s="14" t="str">
        <f>IFERROR(__xludf.DUMMYFUNCTION("""COMPUTED_VALUE""")," Quick and professional")</f>
        <v> Quick and professional</v>
      </c>
      <c r="S409" s="14" t="str">
        <f t="shared" ref="S409:U409" si="821">trim(B409)</f>
        <v>ord_10400</v>
      </c>
      <c r="T409" s="14" t="str">
        <f t="shared" si="821"/>
        <v>Aarohi Kapoor</v>
      </c>
      <c r="U409" s="14" t="str">
        <f t="shared" si="821"/>
        <v>Bandra</v>
      </c>
      <c r="V409" s="14" t="str">
        <f t="shared" si="4"/>
        <v>Rasmalai</v>
      </c>
      <c r="W409" s="14">
        <f t="shared" si="5"/>
        <v>1</v>
      </c>
      <c r="X409" s="14" t="str">
        <f t="shared" si="6"/>
        <v>Priya Joshi</v>
      </c>
      <c r="Y409" s="15">
        <f t="shared" si="7"/>
        <v>44985</v>
      </c>
      <c r="Z409" s="14" t="str">
        <f t="shared" si="8"/>
        <v>COD</v>
      </c>
      <c r="AA409" s="14" t="str">
        <f t="shared" si="9"/>
        <v>Delivered</v>
      </c>
      <c r="AB409" s="14" t="str">
        <f t="shared" ref="AB409:AC409" si="822">trim(Q409)</f>
        <v>Delivery Experience</v>
      </c>
      <c r="AC409" s="14" t="str">
        <f t="shared" si="822"/>
        <v>Quick and professional</v>
      </c>
      <c r="AD409" s="8"/>
    </row>
    <row r="410">
      <c r="A410" s="14" t="str">
        <f>IFERROR(__xludf.DUMMYFUNCTION("""COMPUTED_VALUE"""),"//ord_10401//Ishita Banerjee//Juhu//Apple+2*Not Assigned/3/22/2023//Credit Card//Cancelled*High Delivery Fees")</f>
        <v>//ord_10401//Ishita Banerjee//Juhu//Apple+2*Not Assigned/3/22/2023//Credit Card//Cancelled*High Delivery Fees</v>
      </c>
      <c r="B410" s="14" t="str">
        <f>IFERROR(__xludf.DUMMYFUNCTION("split(A410,""//"")"),"ord_10401")</f>
        <v>ord_10401</v>
      </c>
      <c r="C410" s="14" t="str">
        <f>IFERROR(__xludf.DUMMYFUNCTION("""COMPUTED_VALUE"""),"Ishita Banerjee")</f>
        <v>Ishita Banerjee</v>
      </c>
      <c r="D410" s="14" t="str">
        <f>IFERROR(__xludf.DUMMYFUNCTION("""COMPUTED_VALUE"""),"Juhu")</f>
        <v>Juhu</v>
      </c>
      <c r="E410" s="14" t="str">
        <f>IFERROR(__xludf.DUMMYFUNCTION("""COMPUTED_VALUE"""),"Apple+2*Not Assigned")</f>
        <v>Apple+2*Not Assigned</v>
      </c>
      <c r="F410" s="14">
        <f>IFERROR(__xludf.DUMMYFUNCTION("""COMPUTED_VALUE"""),3.0)</f>
        <v>3</v>
      </c>
      <c r="G410" s="14">
        <f>IFERROR(__xludf.DUMMYFUNCTION("""COMPUTED_VALUE"""),22.0)</f>
        <v>22</v>
      </c>
      <c r="H410" s="14">
        <f>IFERROR(__xludf.DUMMYFUNCTION("""COMPUTED_VALUE"""),2023.0)</f>
        <v>2023</v>
      </c>
      <c r="I410" s="14" t="str">
        <f>IFERROR(__xludf.DUMMYFUNCTION("""COMPUTED_VALUE"""),"Credit Card")</f>
        <v>Credit Card</v>
      </c>
      <c r="J410" s="14" t="str">
        <f>IFERROR(__xludf.DUMMYFUNCTION("""COMPUTED_VALUE"""),"Cancelled*High Delivery Fees")</f>
        <v>Cancelled*High Delivery Fees</v>
      </c>
      <c r="K410" s="14" t="str">
        <f>IFERROR(__xludf.DUMMYFUNCTION("split(E410,""+"")"),"Apple")</f>
        <v>Apple</v>
      </c>
      <c r="L410" s="14" t="str">
        <f>IFERROR(__xludf.DUMMYFUNCTION("""COMPUTED_VALUE"""),"2*Not Assigned")</f>
        <v>2*Not Assigned</v>
      </c>
      <c r="M410" s="14">
        <f>IFERROR(__xludf.DUMMYFUNCTION("SPLIT(L410,""*"")"),2.0)</f>
        <v>2</v>
      </c>
      <c r="N410" s="14" t="str">
        <f>IFERROR(__xludf.DUMMYFUNCTION("""COMPUTED_VALUE"""),"Not Assigned")</f>
        <v>Not Assigned</v>
      </c>
      <c r="O410" s="14" t="str">
        <f>IFERROR(__xludf.DUMMYFUNCTION("split(J410,""*"")"),"Cancelled")</f>
        <v>Cancelled</v>
      </c>
      <c r="P410" s="14" t="str">
        <f>IFERROR(__xludf.DUMMYFUNCTION("""COMPUTED_VALUE"""),"High Delivery Fees")</f>
        <v>High Delivery Fees</v>
      </c>
      <c r="Q410" s="14" t="str">
        <f>IFERROR(__xludf.DUMMYFUNCTION("split(P410,"":"")"),"High Delivery Fees")</f>
        <v>High Delivery Fees</v>
      </c>
      <c r="R410" s="14"/>
      <c r="S410" s="14" t="str">
        <f t="shared" ref="S410:U410" si="823">trim(B410)</f>
        <v>ord_10401</v>
      </c>
      <c r="T410" s="14" t="str">
        <f t="shared" si="823"/>
        <v>Ishita Banerjee</v>
      </c>
      <c r="U410" s="14" t="str">
        <f t="shared" si="823"/>
        <v>Juhu</v>
      </c>
      <c r="V410" s="14" t="str">
        <f t="shared" si="4"/>
        <v>Apple</v>
      </c>
      <c r="W410" s="14">
        <f t="shared" si="5"/>
        <v>2</v>
      </c>
      <c r="X410" s="14" t="str">
        <f t="shared" si="6"/>
        <v>Not Assigned</v>
      </c>
      <c r="Y410" s="15">
        <f t="shared" si="7"/>
        <v>45007</v>
      </c>
      <c r="Z410" s="14" t="str">
        <f t="shared" si="8"/>
        <v>Credit Card</v>
      </c>
      <c r="AA410" s="14" t="str">
        <f t="shared" si="9"/>
        <v>Cancelled</v>
      </c>
      <c r="AB410" s="14" t="str">
        <f t="shared" ref="AB410:AC410" si="824">trim(Q410)</f>
        <v>High Delivery Fees</v>
      </c>
      <c r="AC410" s="14" t="str">
        <f t="shared" si="824"/>
        <v/>
      </c>
      <c r="AD410" s="8"/>
    </row>
    <row r="411">
      <c r="A411" s="14" t="str">
        <f>IFERROR(__xludf.DUMMYFUNCTION("""COMPUTED_VALUE"""),"//ord_10402//Ishita Banerjee//Juhu//Banana+2*Tanvi Jain/6/14/2023//COD//Delivered*Convenience: Easy tracking")</f>
        <v>//ord_10402//Ishita Banerjee//Juhu//Banana+2*Tanvi Jain/6/14/2023//COD//Delivered*Convenience: Easy tracking</v>
      </c>
      <c r="B411" s="14" t="str">
        <f>IFERROR(__xludf.DUMMYFUNCTION("split(A411,""//"")"),"ord_10402")</f>
        <v>ord_10402</v>
      </c>
      <c r="C411" s="14" t="str">
        <f>IFERROR(__xludf.DUMMYFUNCTION("""COMPUTED_VALUE"""),"Ishita Banerjee")</f>
        <v>Ishita Banerjee</v>
      </c>
      <c r="D411" s="14" t="str">
        <f>IFERROR(__xludf.DUMMYFUNCTION("""COMPUTED_VALUE"""),"Juhu")</f>
        <v>Juhu</v>
      </c>
      <c r="E411" s="14" t="str">
        <f>IFERROR(__xludf.DUMMYFUNCTION("""COMPUTED_VALUE"""),"Banana+2*Tanvi Jain")</f>
        <v>Banana+2*Tanvi Jain</v>
      </c>
      <c r="F411" s="14">
        <f>IFERROR(__xludf.DUMMYFUNCTION("""COMPUTED_VALUE"""),6.0)</f>
        <v>6</v>
      </c>
      <c r="G411" s="14">
        <f>IFERROR(__xludf.DUMMYFUNCTION("""COMPUTED_VALUE"""),14.0)</f>
        <v>14</v>
      </c>
      <c r="H411" s="14">
        <f>IFERROR(__xludf.DUMMYFUNCTION("""COMPUTED_VALUE"""),2023.0)</f>
        <v>2023</v>
      </c>
      <c r="I411" s="14" t="str">
        <f>IFERROR(__xludf.DUMMYFUNCTION("""COMPUTED_VALUE"""),"COD")</f>
        <v>COD</v>
      </c>
      <c r="J411" s="14" t="str">
        <f>IFERROR(__xludf.DUMMYFUNCTION("""COMPUTED_VALUE"""),"Delivered*Convenience: Easy tracking")</f>
        <v>Delivered*Convenience: Easy tracking</v>
      </c>
      <c r="K411" s="14" t="str">
        <f>IFERROR(__xludf.DUMMYFUNCTION("split(E411,""+"")"),"Banana")</f>
        <v>Banana</v>
      </c>
      <c r="L411" s="14" t="str">
        <f>IFERROR(__xludf.DUMMYFUNCTION("""COMPUTED_VALUE"""),"2*Tanvi Jain")</f>
        <v>2*Tanvi Jain</v>
      </c>
      <c r="M411" s="14">
        <f>IFERROR(__xludf.DUMMYFUNCTION("SPLIT(L411,""*"")"),2.0)</f>
        <v>2</v>
      </c>
      <c r="N411" s="14" t="str">
        <f>IFERROR(__xludf.DUMMYFUNCTION("""COMPUTED_VALUE"""),"Tanvi Jain")</f>
        <v>Tanvi Jain</v>
      </c>
      <c r="O411" s="14" t="str">
        <f>IFERROR(__xludf.DUMMYFUNCTION("split(J411,""*"")"),"Delivered")</f>
        <v>Delivered</v>
      </c>
      <c r="P411" s="14" t="str">
        <f>IFERROR(__xludf.DUMMYFUNCTION("""COMPUTED_VALUE"""),"Convenience: Easy tracking")</f>
        <v>Convenience: Easy tracking</v>
      </c>
      <c r="Q411" s="14" t="str">
        <f>IFERROR(__xludf.DUMMYFUNCTION("split(P411,"":"")"),"Convenience")</f>
        <v>Convenience</v>
      </c>
      <c r="R411" s="14" t="str">
        <f>IFERROR(__xludf.DUMMYFUNCTION("""COMPUTED_VALUE""")," Easy tracking")</f>
        <v> Easy tracking</v>
      </c>
      <c r="S411" s="14" t="str">
        <f t="shared" ref="S411:U411" si="825">trim(B411)</f>
        <v>ord_10402</v>
      </c>
      <c r="T411" s="14" t="str">
        <f t="shared" si="825"/>
        <v>Ishita Banerjee</v>
      </c>
      <c r="U411" s="14" t="str">
        <f t="shared" si="825"/>
        <v>Juhu</v>
      </c>
      <c r="V411" s="14" t="str">
        <f t="shared" si="4"/>
        <v>Banana</v>
      </c>
      <c r="W411" s="14">
        <f t="shared" si="5"/>
        <v>2</v>
      </c>
      <c r="X411" s="14" t="str">
        <f t="shared" si="6"/>
        <v>Tanvi Jain</v>
      </c>
      <c r="Y411" s="15">
        <f t="shared" si="7"/>
        <v>45091</v>
      </c>
      <c r="Z411" s="14" t="str">
        <f t="shared" si="8"/>
        <v>COD</v>
      </c>
      <c r="AA411" s="14" t="str">
        <f t="shared" si="9"/>
        <v>Delivered</v>
      </c>
      <c r="AB411" s="14" t="str">
        <f t="shared" ref="AB411:AC411" si="826">trim(Q411)</f>
        <v>Convenience</v>
      </c>
      <c r="AC411" s="14" t="str">
        <f t="shared" si="826"/>
        <v>Easy tracking</v>
      </c>
      <c r="AD411" s="8"/>
    </row>
    <row r="412">
      <c r="A412" s="14" t="str">
        <f>IFERROR(__xludf.DUMMYFUNCTION("""COMPUTED_VALUE"""),"//ord_10403//Omkar Mishra//Powai//Sweet Corn+2*Sandeep Kumar/7/7/2023//Credit Card//Delivered*Overall Satisfaction: Great service will order again")</f>
        <v>//ord_10403//Omkar Mishra//Powai//Sweet Corn+2*Sandeep Kumar/7/7/2023//Credit Card//Delivered*Overall Satisfaction: Great service will order again</v>
      </c>
      <c r="B412" s="14" t="str">
        <f>IFERROR(__xludf.DUMMYFUNCTION("split(A412,""//"")"),"ord_10403")</f>
        <v>ord_10403</v>
      </c>
      <c r="C412" s="14" t="str">
        <f>IFERROR(__xludf.DUMMYFUNCTION("""COMPUTED_VALUE"""),"Omkar Mishra")</f>
        <v>Omkar Mishra</v>
      </c>
      <c r="D412" s="14" t="str">
        <f>IFERROR(__xludf.DUMMYFUNCTION("""COMPUTED_VALUE"""),"Powai")</f>
        <v>Powai</v>
      </c>
      <c r="E412" s="14" t="str">
        <f>IFERROR(__xludf.DUMMYFUNCTION("""COMPUTED_VALUE"""),"Sweet Corn+2*Sandeep Kumar")</f>
        <v>Sweet Corn+2*Sandeep Kumar</v>
      </c>
      <c r="F412" s="14">
        <f>IFERROR(__xludf.DUMMYFUNCTION("""COMPUTED_VALUE"""),7.0)</f>
        <v>7</v>
      </c>
      <c r="G412" s="14">
        <f>IFERROR(__xludf.DUMMYFUNCTION("""COMPUTED_VALUE"""),7.0)</f>
        <v>7</v>
      </c>
      <c r="H412" s="14">
        <f>IFERROR(__xludf.DUMMYFUNCTION("""COMPUTED_VALUE"""),2023.0)</f>
        <v>2023</v>
      </c>
      <c r="I412" s="14" t="str">
        <f>IFERROR(__xludf.DUMMYFUNCTION("""COMPUTED_VALUE"""),"Credit Card")</f>
        <v>Credit Card</v>
      </c>
      <c r="J412" s="14" t="str">
        <f>IFERROR(__xludf.DUMMYFUNCTION("""COMPUTED_VALUE"""),"Delivered*Overall Satisfaction: Great service will order again")</f>
        <v>Delivered*Overall Satisfaction: Great service will order again</v>
      </c>
      <c r="K412" s="14" t="str">
        <f>IFERROR(__xludf.DUMMYFUNCTION("split(E412,""+"")"),"Sweet Corn")</f>
        <v>Sweet Corn</v>
      </c>
      <c r="L412" s="14" t="str">
        <f>IFERROR(__xludf.DUMMYFUNCTION("""COMPUTED_VALUE"""),"2*Sandeep Kumar")</f>
        <v>2*Sandeep Kumar</v>
      </c>
      <c r="M412" s="14">
        <f>IFERROR(__xludf.DUMMYFUNCTION("SPLIT(L412,""*"")"),2.0)</f>
        <v>2</v>
      </c>
      <c r="N412" s="14" t="str">
        <f>IFERROR(__xludf.DUMMYFUNCTION("""COMPUTED_VALUE"""),"Sandeep Kumar")</f>
        <v>Sandeep Kumar</v>
      </c>
      <c r="O412" s="14" t="str">
        <f>IFERROR(__xludf.DUMMYFUNCTION("split(J412,""*"")"),"Delivered")</f>
        <v>Delivered</v>
      </c>
      <c r="P412" s="14" t="str">
        <f>IFERROR(__xludf.DUMMYFUNCTION("""COMPUTED_VALUE"""),"Overall Satisfaction: Great service will order again")</f>
        <v>Overall Satisfaction: Great service will order again</v>
      </c>
      <c r="Q412" s="14" t="str">
        <f>IFERROR(__xludf.DUMMYFUNCTION("split(P412,"":"")"),"Overall Satisfaction")</f>
        <v>Overall Satisfaction</v>
      </c>
      <c r="R412" s="14" t="str">
        <f>IFERROR(__xludf.DUMMYFUNCTION("""COMPUTED_VALUE""")," Great service will order again")</f>
        <v> Great service will order again</v>
      </c>
      <c r="S412" s="14" t="str">
        <f t="shared" ref="S412:U412" si="827">trim(B412)</f>
        <v>ord_10403</v>
      </c>
      <c r="T412" s="14" t="str">
        <f t="shared" si="827"/>
        <v>Omkar Mishra</v>
      </c>
      <c r="U412" s="14" t="str">
        <f t="shared" si="827"/>
        <v>Powai</v>
      </c>
      <c r="V412" s="14" t="str">
        <f t="shared" si="4"/>
        <v>Sweet Corn</v>
      </c>
      <c r="W412" s="14">
        <f t="shared" si="5"/>
        <v>2</v>
      </c>
      <c r="X412" s="14" t="str">
        <f t="shared" si="6"/>
        <v>Sandeep Kumar</v>
      </c>
      <c r="Y412" s="15">
        <f t="shared" si="7"/>
        <v>45114</v>
      </c>
      <c r="Z412" s="14" t="str">
        <f t="shared" si="8"/>
        <v>Credit Card</v>
      </c>
      <c r="AA412" s="14" t="str">
        <f t="shared" si="9"/>
        <v>Delivered</v>
      </c>
      <c r="AB412" s="14" t="str">
        <f t="shared" ref="AB412:AC412" si="828">trim(Q412)</f>
        <v>Overall Satisfaction</v>
      </c>
      <c r="AC412" s="14" t="str">
        <f t="shared" si="828"/>
        <v>Great service will order again</v>
      </c>
      <c r="AD412" s="8"/>
    </row>
    <row r="413">
      <c r="A413" s="14" t="str">
        <f>IFERROR(__xludf.DUMMYFUNCTION("""COMPUTED_VALUE"""),"//ord_10404//Aarohi Kapoor//Bandra//Chocolate Mousse+5*Priya Joshi/6/17/2023//COD//Delivered*On-time Delivery: Delivered on time")</f>
        <v>//ord_10404//Aarohi Kapoor//Bandra//Chocolate Mousse+5*Priya Joshi/6/17/2023//COD//Delivered*On-time Delivery: Delivered on time</v>
      </c>
      <c r="B413" s="14" t="str">
        <f>IFERROR(__xludf.DUMMYFUNCTION("split(A413,""//"")"),"ord_10404")</f>
        <v>ord_10404</v>
      </c>
      <c r="C413" s="14" t="str">
        <f>IFERROR(__xludf.DUMMYFUNCTION("""COMPUTED_VALUE"""),"Aarohi Kapoor")</f>
        <v>Aarohi Kapoor</v>
      </c>
      <c r="D413" s="14" t="str">
        <f>IFERROR(__xludf.DUMMYFUNCTION("""COMPUTED_VALUE"""),"Bandra")</f>
        <v>Bandra</v>
      </c>
      <c r="E413" s="14" t="str">
        <f>IFERROR(__xludf.DUMMYFUNCTION("""COMPUTED_VALUE"""),"Chocolate Mousse+5*Priya Joshi")</f>
        <v>Chocolate Mousse+5*Priya Joshi</v>
      </c>
      <c r="F413" s="14">
        <f>IFERROR(__xludf.DUMMYFUNCTION("""COMPUTED_VALUE"""),6.0)</f>
        <v>6</v>
      </c>
      <c r="G413" s="14">
        <f>IFERROR(__xludf.DUMMYFUNCTION("""COMPUTED_VALUE"""),17.0)</f>
        <v>17</v>
      </c>
      <c r="H413" s="14">
        <f>IFERROR(__xludf.DUMMYFUNCTION("""COMPUTED_VALUE"""),2023.0)</f>
        <v>2023</v>
      </c>
      <c r="I413" s="14" t="str">
        <f>IFERROR(__xludf.DUMMYFUNCTION("""COMPUTED_VALUE"""),"COD")</f>
        <v>COD</v>
      </c>
      <c r="J413" s="14" t="str">
        <f>IFERROR(__xludf.DUMMYFUNCTION("""COMPUTED_VALUE"""),"Delivered*On-time Delivery: Delivered on time")</f>
        <v>Delivered*On-time Delivery: Delivered on time</v>
      </c>
      <c r="K413" s="14" t="str">
        <f>IFERROR(__xludf.DUMMYFUNCTION("split(E413,""+"")"),"Chocolate Mousse")</f>
        <v>Chocolate Mousse</v>
      </c>
      <c r="L413" s="14" t="str">
        <f>IFERROR(__xludf.DUMMYFUNCTION("""COMPUTED_VALUE"""),"5*Priya Joshi")</f>
        <v>5*Priya Joshi</v>
      </c>
      <c r="M413" s="14">
        <f>IFERROR(__xludf.DUMMYFUNCTION("SPLIT(L413,""*"")"),5.0)</f>
        <v>5</v>
      </c>
      <c r="N413" s="14" t="str">
        <f>IFERROR(__xludf.DUMMYFUNCTION("""COMPUTED_VALUE"""),"Priya Joshi")</f>
        <v>Priya Joshi</v>
      </c>
      <c r="O413" s="14" t="str">
        <f>IFERROR(__xludf.DUMMYFUNCTION("split(J413,""*"")"),"Delivered")</f>
        <v>Delivered</v>
      </c>
      <c r="P413" s="14" t="str">
        <f>IFERROR(__xludf.DUMMYFUNCTION("""COMPUTED_VALUE"""),"On-time Delivery: Delivered on time")</f>
        <v>On-time Delivery: Delivered on time</v>
      </c>
      <c r="Q413" s="14" t="str">
        <f>IFERROR(__xludf.DUMMYFUNCTION("split(P413,"":"")"),"On-time Delivery")</f>
        <v>On-time Delivery</v>
      </c>
      <c r="R413" s="14" t="str">
        <f>IFERROR(__xludf.DUMMYFUNCTION("""COMPUTED_VALUE""")," Delivered on time")</f>
        <v> Delivered on time</v>
      </c>
      <c r="S413" s="14" t="str">
        <f t="shared" ref="S413:U413" si="829">trim(B413)</f>
        <v>ord_10404</v>
      </c>
      <c r="T413" s="14" t="str">
        <f t="shared" si="829"/>
        <v>Aarohi Kapoor</v>
      </c>
      <c r="U413" s="14" t="str">
        <f t="shared" si="829"/>
        <v>Bandra</v>
      </c>
      <c r="V413" s="14" t="str">
        <f t="shared" si="4"/>
        <v>Chocolate Mousse</v>
      </c>
      <c r="W413" s="14">
        <f t="shared" si="5"/>
        <v>5</v>
      </c>
      <c r="X413" s="14" t="str">
        <f t="shared" si="6"/>
        <v>Priya Joshi</v>
      </c>
      <c r="Y413" s="15">
        <f t="shared" si="7"/>
        <v>45094</v>
      </c>
      <c r="Z413" s="14" t="str">
        <f t="shared" si="8"/>
        <v>COD</v>
      </c>
      <c r="AA413" s="14" t="str">
        <f t="shared" si="9"/>
        <v>Delivered</v>
      </c>
      <c r="AB413" s="14" t="str">
        <f t="shared" ref="AB413:AC413" si="830">trim(Q413)</f>
        <v>On-time Delivery</v>
      </c>
      <c r="AC413" s="14" t="str">
        <f t="shared" si="830"/>
        <v>Delivered on time</v>
      </c>
      <c r="AD413" s="8"/>
    </row>
    <row r="414">
      <c r="A414" s="14" t="str">
        <f>IFERROR(__xludf.DUMMYFUNCTION("""COMPUTED_VALUE"""),"//ord_10405//Ishaan Chaturvedi//Bandra//Tiramisu+2*Priya Joshi/9/28/2023//UPI//Delivered*Quality of Items: Perfect condition")</f>
        <v>//ord_10405//Ishaan Chaturvedi//Bandra//Tiramisu+2*Priya Joshi/9/28/2023//UPI//Delivered*Quality of Items: Perfect condition</v>
      </c>
      <c r="B414" s="14" t="str">
        <f>IFERROR(__xludf.DUMMYFUNCTION("split(A414,""//"")"),"ord_10405")</f>
        <v>ord_10405</v>
      </c>
      <c r="C414" s="14" t="str">
        <f>IFERROR(__xludf.DUMMYFUNCTION("""COMPUTED_VALUE"""),"Ishaan Chaturvedi")</f>
        <v>Ishaan Chaturvedi</v>
      </c>
      <c r="D414" s="14" t="str">
        <f>IFERROR(__xludf.DUMMYFUNCTION("""COMPUTED_VALUE"""),"Bandra")</f>
        <v>Bandra</v>
      </c>
      <c r="E414" s="14" t="str">
        <f>IFERROR(__xludf.DUMMYFUNCTION("""COMPUTED_VALUE"""),"Tiramisu+2*Priya Joshi")</f>
        <v>Tiramisu+2*Priya Joshi</v>
      </c>
      <c r="F414" s="14">
        <f>IFERROR(__xludf.DUMMYFUNCTION("""COMPUTED_VALUE"""),9.0)</f>
        <v>9</v>
      </c>
      <c r="G414" s="14">
        <f>IFERROR(__xludf.DUMMYFUNCTION("""COMPUTED_VALUE"""),28.0)</f>
        <v>28</v>
      </c>
      <c r="H414" s="14">
        <f>IFERROR(__xludf.DUMMYFUNCTION("""COMPUTED_VALUE"""),2023.0)</f>
        <v>2023</v>
      </c>
      <c r="I414" s="14" t="str">
        <f>IFERROR(__xludf.DUMMYFUNCTION("""COMPUTED_VALUE"""),"UPI")</f>
        <v>UPI</v>
      </c>
      <c r="J414" s="14" t="str">
        <f>IFERROR(__xludf.DUMMYFUNCTION("""COMPUTED_VALUE"""),"Delivered*Quality of Items: Perfect condition")</f>
        <v>Delivered*Quality of Items: Perfect condition</v>
      </c>
      <c r="K414" s="14" t="str">
        <f>IFERROR(__xludf.DUMMYFUNCTION("split(E414,""+"")"),"Tiramisu")</f>
        <v>Tiramisu</v>
      </c>
      <c r="L414" s="14" t="str">
        <f>IFERROR(__xludf.DUMMYFUNCTION("""COMPUTED_VALUE"""),"2*Priya Joshi")</f>
        <v>2*Priya Joshi</v>
      </c>
      <c r="M414" s="14">
        <f>IFERROR(__xludf.DUMMYFUNCTION("SPLIT(L414,""*"")"),2.0)</f>
        <v>2</v>
      </c>
      <c r="N414" s="14" t="str">
        <f>IFERROR(__xludf.DUMMYFUNCTION("""COMPUTED_VALUE"""),"Priya Joshi")</f>
        <v>Priya Joshi</v>
      </c>
      <c r="O414" s="14" t="str">
        <f>IFERROR(__xludf.DUMMYFUNCTION("split(J414,""*"")"),"Delivered")</f>
        <v>Delivered</v>
      </c>
      <c r="P414" s="14" t="str">
        <f>IFERROR(__xludf.DUMMYFUNCTION("""COMPUTED_VALUE"""),"Quality of Items: Perfect condition")</f>
        <v>Quality of Items: Perfect condition</v>
      </c>
      <c r="Q414" s="14" t="str">
        <f>IFERROR(__xludf.DUMMYFUNCTION("split(P414,"":"")"),"Quality of Items")</f>
        <v>Quality of Items</v>
      </c>
      <c r="R414" s="14" t="str">
        <f>IFERROR(__xludf.DUMMYFUNCTION("""COMPUTED_VALUE""")," Perfect condition")</f>
        <v> Perfect condition</v>
      </c>
      <c r="S414" s="14" t="str">
        <f t="shared" ref="S414:U414" si="831">trim(B414)</f>
        <v>ord_10405</v>
      </c>
      <c r="T414" s="14" t="str">
        <f t="shared" si="831"/>
        <v>Ishaan Chaturvedi</v>
      </c>
      <c r="U414" s="14" t="str">
        <f t="shared" si="831"/>
        <v>Bandra</v>
      </c>
      <c r="V414" s="14" t="str">
        <f t="shared" si="4"/>
        <v>Tiramisu</v>
      </c>
      <c r="W414" s="14">
        <f t="shared" si="5"/>
        <v>2</v>
      </c>
      <c r="X414" s="14" t="str">
        <f t="shared" si="6"/>
        <v>Priya Joshi</v>
      </c>
      <c r="Y414" s="15">
        <f t="shared" si="7"/>
        <v>45197</v>
      </c>
      <c r="Z414" s="14" t="str">
        <f t="shared" si="8"/>
        <v>UPI</v>
      </c>
      <c r="AA414" s="14" t="str">
        <f t="shared" si="9"/>
        <v>Delivered</v>
      </c>
      <c r="AB414" s="14" t="str">
        <f t="shared" ref="AB414:AC414" si="832">trim(Q414)</f>
        <v>Quality of Items</v>
      </c>
      <c r="AC414" s="14" t="str">
        <f t="shared" si="832"/>
        <v>Perfect condition</v>
      </c>
      <c r="AD414" s="8"/>
    </row>
    <row r="415">
      <c r="A415" s="14" t="str">
        <f>IFERROR(__xludf.DUMMYFUNCTION("""COMPUTED_VALUE"""),"//ord_10406//Mehul Thakkar//Malad//Apple+1*Vivek Kumar/11/18/2023//Credit Card//Cancelled*Delayed Delivery:Traffic Accidents or Road Closures")</f>
        <v>//ord_10406//Mehul Thakkar//Malad//Apple+1*Vivek Kumar/11/18/2023//Credit Card//Cancelled*Delayed Delivery:Traffic Accidents or Road Closures</v>
      </c>
      <c r="B415" s="14" t="str">
        <f>IFERROR(__xludf.DUMMYFUNCTION("split(A415,""//"")"),"ord_10406")</f>
        <v>ord_10406</v>
      </c>
      <c r="C415" s="14" t="str">
        <f>IFERROR(__xludf.DUMMYFUNCTION("""COMPUTED_VALUE"""),"Mehul Thakkar")</f>
        <v>Mehul Thakkar</v>
      </c>
      <c r="D415" s="14" t="str">
        <f>IFERROR(__xludf.DUMMYFUNCTION("""COMPUTED_VALUE"""),"Malad")</f>
        <v>Malad</v>
      </c>
      <c r="E415" s="14" t="str">
        <f>IFERROR(__xludf.DUMMYFUNCTION("""COMPUTED_VALUE"""),"Apple+1*Vivek Kumar")</f>
        <v>Apple+1*Vivek Kumar</v>
      </c>
      <c r="F415" s="14">
        <f>IFERROR(__xludf.DUMMYFUNCTION("""COMPUTED_VALUE"""),11.0)</f>
        <v>11</v>
      </c>
      <c r="G415" s="14">
        <f>IFERROR(__xludf.DUMMYFUNCTION("""COMPUTED_VALUE"""),18.0)</f>
        <v>18</v>
      </c>
      <c r="H415" s="14">
        <f>IFERROR(__xludf.DUMMYFUNCTION("""COMPUTED_VALUE"""),2023.0)</f>
        <v>2023</v>
      </c>
      <c r="I415" s="14" t="str">
        <f>IFERROR(__xludf.DUMMYFUNCTION("""COMPUTED_VALUE"""),"Credit Card")</f>
        <v>Credit Card</v>
      </c>
      <c r="J415" s="14" t="str">
        <f>IFERROR(__xludf.DUMMYFUNCTION("""COMPUTED_VALUE"""),"Cancelled*Delayed Delivery:Traffic Accidents or Road Closures")</f>
        <v>Cancelled*Delayed Delivery:Traffic Accidents or Road Closures</v>
      </c>
      <c r="K415" s="14" t="str">
        <f>IFERROR(__xludf.DUMMYFUNCTION("split(E415,""+"")"),"Apple")</f>
        <v>Apple</v>
      </c>
      <c r="L415" s="14" t="str">
        <f>IFERROR(__xludf.DUMMYFUNCTION("""COMPUTED_VALUE"""),"1*Vivek Kumar")</f>
        <v>1*Vivek Kumar</v>
      </c>
      <c r="M415" s="14">
        <f>IFERROR(__xludf.DUMMYFUNCTION("SPLIT(L415,""*"")"),1.0)</f>
        <v>1</v>
      </c>
      <c r="N415" s="14" t="str">
        <f>IFERROR(__xludf.DUMMYFUNCTION("""COMPUTED_VALUE"""),"Vivek Kumar")</f>
        <v>Vivek Kumar</v>
      </c>
      <c r="O415" s="14" t="str">
        <f>IFERROR(__xludf.DUMMYFUNCTION("split(J415,""*"")"),"Cancelled")</f>
        <v>Cancelled</v>
      </c>
      <c r="P415" s="14" t="str">
        <f>IFERROR(__xludf.DUMMYFUNCTION("""COMPUTED_VALUE"""),"Delayed Delivery:Traffic Accidents or Road Closures")</f>
        <v>Delayed Delivery:Traffic Accidents or Road Closures</v>
      </c>
      <c r="Q415" s="14" t="str">
        <f>IFERROR(__xludf.DUMMYFUNCTION("split(P415,"":"")"),"Delayed Delivery")</f>
        <v>Delayed Delivery</v>
      </c>
      <c r="R415" s="14" t="str">
        <f>IFERROR(__xludf.DUMMYFUNCTION("""COMPUTED_VALUE"""),"Traffic Accidents or Road Closures")</f>
        <v>Traffic Accidents or Road Closures</v>
      </c>
      <c r="S415" s="14" t="str">
        <f t="shared" ref="S415:U415" si="833">trim(B415)</f>
        <v>ord_10406</v>
      </c>
      <c r="T415" s="14" t="str">
        <f t="shared" si="833"/>
        <v>Mehul Thakkar</v>
      </c>
      <c r="U415" s="14" t="str">
        <f t="shared" si="833"/>
        <v>Malad</v>
      </c>
      <c r="V415" s="14" t="str">
        <f t="shared" si="4"/>
        <v>Apple</v>
      </c>
      <c r="W415" s="14">
        <f t="shared" si="5"/>
        <v>1</v>
      </c>
      <c r="X415" s="14" t="str">
        <f t="shared" si="6"/>
        <v>Vivek Kumar</v>
      </c>
      <c r="Y415" s="15">
        <f t="shared" si="7"/>
        <v>45248</v>
      </c>
      <c r="Z415" s="14" t="str">
        <f t="shared" si="8"/>
        <v>Credit Card</v>
      </c>
      <c r="AA415" s="14" t="str">
        <f t="shared" si="9"/>
        <v>Cancelled</v>
      </c>
      <c r="AB415" s="14" t="str">
        <f t="shared" ref="AB415:AC415" si="834">trim(Q415)</f>
        <v>Delayed Delivery</v>
      </c>
      <c r="AC415" s="14" t="str">
        <f t="shared" si="834"/>
        <v>Traffic Accidents or Road Closures</v>
      </c>
      <c r="AD415" s="8"/>
    </row>
    <row r="416">
      <c r="A416" s="14" t="str">
        <f>IFERROR(__xludf.DUMMYFUNCTION("""COMPUTED_VALUE"""),"//ord_10407//Omkar Mishra//Powai//Juice+5*Shine Thomas/1/27/2023//Credit Card//Delivered*On-time Delivery: Delivered on time")</f>
        <v>//ord_10407//Omkar Mishra//Powai//Juice+5*Shine Thomas/1/27/2023//Credit Card//Delivered*On-time Delivery: Delivered on time</v>
      </c>
      <c r="B416" s="14" t="str">
        <f>IFERROR(__xludf.DUMMYFUNCTION("split(A416,""//"")"),"ord_10407")</f>
        <v>ord_10407</v>
      </c>
      <c r="C416" s="14" t="str">
        <f>IFERROR(__xludf.DUMMYFUNCTION("""COMPUTED_VALUE"""),"Omkar Mishra")</f>
        <v>Omkar Mishra</v>
      </c>
      <c r="D416" s="14" t="str">
        <f>IFERROR(__xludf.DUMMYFUNCTION("""COMPUTED_VALUE"""),"Powai")</f>
        <v>Powai</v>
      </c>
      <c r="E416" s="14" t="str">
        <f>IFERROR(__xludf.DUMMYFUNCTION("""COMPUTED_VALUE"""),"Juice+5*Shine Thomas")</f>
        <v>Juice+5*Shine Thomas</v>
      </c>
      <c r="F416" s="14">
        <f>IFERROR(__xludf.DUMMYFUNCTION("""COMPUTED_VALUE"""),1.0)</f>
        <v>1</v>
      </c>
      <c r="G416" s="14">
        <f>IFERROR(__xludf.DUMMYFUNCTION("""COMPUTED_VALUE"""),27.0)</f>
        <v>27</v>
      </c>
      <c r="H416" s="14">
        <f>IFERROR(__xludf.DUMMYFUNCTION("""COMPUTED_VALUE"""),2023.0)</f>
        <v>2023</v>
      </c>
      <c r="I416" s="14" t="str">
        <f>IFERROR(__xludf.DUMMYFUNCTION("""COMPUTED_VALUE"""),"Credit Card")</f>
        <v>Credit Card</v>
      </c>
      <c r="J416" s="14" t="str">
        <f>IFERROR(__xludf.DUMMYFUNCTION("""COMPUTED_VALUE"""),"Delivered*On-time Delivery: Delivered on time")</f>
        <v>Delivered*On-time Delivery: Delivered on time</v>
      </c>
      <c r="K416" s="14" t="str">
        <f>IFERROR(__xludf.DUMMYFUNCTION("split(E416,""+"")"),"Juice")</f>
        <v>Juice</v>
      </c>
      <c r="L416" s="14" t="str">
        <f>IFERROR(__xludf.DUMMYFUNCTION("""COMPUTED_VALUE"""),"5*Shine Thomas")</f>
        <v>5*Shine Thomas</v>
      </c>
      <c r="M416" s="14">
        <f>IFERROR(__xludf.DUMMYFUNCTION("SPLIT(L416,""*"")"),5.0)</f>
        <v>5</v>
      </c>
      <c r="N416" s="14" t="str">
        <f>IFERROR(__xludf.DUMMYFUNCTION("""COMPUTED_VALUE"""),"Shine Thomas")</f>
        <v>Shine Thomas</v>
      </c>
      <c r="O416" s="14" t="str">
        <f>IFERROR(__xludf.DUMMYFUNCTION("split(J416,""*"")"),"Delivered")</f>
        <v>Delivered</v>
      </c>
      <c r="P416" s="14" t="str">
        <f>IFERROR(__xludf.DUMMYFUNCTION("""COMPUTED_VALUE"""),"On-time Delivery: Delivered on time")</f>
        <v>On-time Delivery: Delivered on time</v>
      </c>
      <c r="Q416" s="14" t="str">
        <f>IFERROR(__xludf.DUMMYFUNCTION("split(P416,"":"")"),"On-time Delivery")</f>
        <v>On-time Delivery</v>
      </c>
      <c r="R416" s="14" t="str">
        <f>IFERROR(__xludf.DUMMYFUNCTION("""COMPUTED_VALUE""")," Delivered on time")</f>
        <v> Delivered on time</v>
      </c>
      <c r="S416" s="14" t="str">
        <f t="shared" ref="S416:U416" si="835">trim(B416)</f>
        <v>ord_10407</v>
      </c>
      <c r="T416" s="14" t="str">
        <f t="shared" si="835"/>
        <v>Omkar Mishra</v>
      </c>
      <c r="U416" s="14" t="str">
        <f t="shared" si="835"/>
        <v>Powai</v>
      </c>
      <c r="V416" s="14" t="str">
        <f t="shared" si="4"/>
        <v>Juice</v>
      </c>
      <c r="W416" s="14">
        <f t="shared" si="5"/>
        <v>5</v>
      </c>
      <c r="X416" s="14" t="str">
        <f t="shared" si="6"/>
        <v>Shine Thomas</v>
      </c>
      <c r="Y416" s="15">
        <f t="shared" si="7"/>
        <v>44953</v>
      </c>
      <c r="Z416" s="14" t="str">
        <f t="shared" si="8"/>
        <v>Credit Card</v>
      </c>
      <c r="AA416" s="14" t="str">
        <f t="shared" si="9"/>
        <v>Delivered</v>
      </c>
      <c r="AB416" s="14" t="str">
        <f t="shared" ref="AB416:AC416" si="836">trim(Q416)</f>
        <v>On-time Delivery</v>
      </c>
      <c r="AC416" s="14" t="str">
        <f t="shared" si="836"/>
        <v>Delivered on time</v>
      </c>
      <c r="AD416" s="8"/>
    </row>
    <row r="417">
      <c r="A417" s="14" t="str">
        <f>IFERROR(__xludf.DUMMYFUNCTION("""COMPUTED_VALUE"""),"//ord_10408//Omkar Mishra//Powai//Banana+1*Venu R/8/22/2023//UPI//Delivered*Quality of Items: Perfect condition")</f>
        <v>//ord_10408//Omkar Mishra//Powai//Banana+1*Venu R/8/22/2023//UPI//Delivered*Quality of Items: Perfect condition</v>
      </c>
      <c r="B417" s="14" t="str">
        <f>IFERROR(__xludf.DUMMYFUNCTION("split(A417,""//"")"),"ord_10408")</f>
        <v>ord_10408</v>
      </c>
      <c r="C417" s="14" t="str">
        <f>IFERROR(__xludf.DUMMYFUNCTION("""COMPUTED_VALUE"""),"Omkar Mishra")</f>
        <v>Omkar Mishra</v>
      </c>
      <c r="D417" s="14" t="str">
        <f>IFERROR(__xludf.DUMMYFUNCTION("""COMPUTED_VALUE"""),"Powai")</f>
        <v>Powai</v>
      </c>
      <c r="E417" s="14" t="str">
        <f>IFERROR(__xludf.DUMMYFUNCTION("""COMPUTED_VALUE"""),"Banana+1*Venu R")</f>
        <v>Banana+1*Venu R</v>
      </c>
      <c r="F417" s="14">
        <f>IFERROR(__xludf.DUMMYFUNCTION("""COMPUTED_VALUE"""),8.0)</f>
        <v>8</v>
      </c>
      <c r="G417" s="14">
        <f>IFERROR(__xludf.DUMMYFUNCTION("""COMPUTED_VALUE"""),22.0)</f>
        <v>22</v>
      </c>
      <c r="H417" s="14">
        <f>IFERROR(__xludf.DUMMYFUNCTION("""COMPUTED_VALUE"""),2023.0)</f>
        <v>2023</v>
      </c>
      <c r="I417" s="14" t="str">
        <f>IFERROR(__xludf.DUMMYFUNCTION("""COMPUTED_VALUE"""),"UPI")</f>
        <v>UPI</v>
      </c>
      <c r="J417" s="14" t="str">
        <f>IFERROR(__xludf.DUMMYFUNCTION("""COMPUTED_VALUE"""),"Delivered*Quality of Items: Perfect condition")</f>
        <v>Delivered*Quality of Items: Perfect condition</v>
      </c>
      <c r="K417" s="14" t="str">
        <f>IFERROR(__xludf.DUMMYFUNCTION("split(E417,""+"")"),"Banana")</f>
        <v>Banana</v>
      </c>
      <c r="L417" s="14" t="str">
        <f>IFERROR(__xludf.DUMMYFUNCTION("""COMPUTED_VALUE"""),"1*Venu R")</f>
        <v>1*Venu R</v>
      </c>
      <c r="M417" s="14">
        <f>IFERROR(__xludf.DUMMYFUNCTION("SPLIT(L417,""*"")"),1.0)</f>
        <v>1</v>
      </c>
      <c r="N417" s="14" t="str">
        <f>IFERROR(__xludf.DUMMYFUNCTION("""COMPUTED_VALUE"""),"Venu R")</f>
        <v>Venu R</v>
      </c>
      <c r="O417" s="14" t="str">
        <f>IFERROR(__xludf.DUMMYFUNCTION("split(J417,""*"")"),"Delivered")</f>
        <v>Delivered</v>
      </c>
      <c r="P417" s="14" t="str">
        <f>IFERROR(__xludf.DUMMYFUNCTION("""COMPUTED_VALUE"""),"Quality of Items: Perfect condition")</f>
        <v>Quality of Items: Perfect condition</v>
      </c>
      <c r="Q417" s="14" t="str">
        <f>IFERROR(__xludf.DUMMYFUNCTION("split(P417,"":"")"),"Quality of Items")</f>
        <v>Quality of Items</v>
      </c>
      <c r="R417" s="14" t="str">
        <f>IFERROR(__xludf.DUMMYFUNCTION("""COMPUTED_VALUE""")," Perfect condition")</f>
        <v> Perfect condition</v>
      </c>
      <c r="S417" s="14" t="str">
        <f t="shared" ref="S417:U417" si="837">trim(B417)</f>
        <v>ord_10408</v>
      </c>
      <c r="T417" s="14" t="str">
        <f t="shared" si="837"/>
        <v>Omkar Mishra</v>
      </c>
      <c r="U417" s="14" t="str">
        <f t="shared" si="837"/>
        <v>Powai</v>
      </c>
      <c r="V417" s="14" t="str">
        <f t="shared" si="4"/>
        <v>Banana</v>
      </c>
      <c r="W417" s="14">
        <f t="shared" si="5"/>
        <v>1</v>
      </c>
      <c r="X417" s="14" t="str">
        <f t="shared" si="6"/>
        <v>Venu R</v>
      </c>
      <c r="Y417" s="15">
        <f t="shared" si="7"/>
        <v>45160</v>
      </c>
      <c r="Z417" s="14" t="str">
        <f t="shared" si="8"/>
        <v>UPI</v>
      </c>
      <c r="AA417" s="14" t="str">
        <f t="shared" si="9"/>
        <v>Delivered</v>
      </c>
      <c r="AB417" s="14" t="str">
        <f t="shared" ref="AB417:AC417" si="838">trim(Q417)</f>
        <v>Quality of Items</v>
      </c>
      <c r="AC417" s="14" t="str">
        <f t="shared" si="838"/>
        <v>Perfect condition</v>
      </c>
      <c r="AD417" s="8"/>
    </row>
    <row r="418">
      <c r="A418" s="14" t="str">
        <f>IFERROR(__xludf.DUMMYFUNCTION("""COMPUTED_VALUE"""),"//ord_10409//Sanjay Nair//Dadar//Potato+1*Venu R/7/26/2023//UPI//Delivered*Packaging: Secure and intact")</f>
        <v>//ord_10409//Sanjay Nair//Dadar//Potato+1*Venu R/7/26/2023//UPI//Delivered*Packaging: Secure and intact</v>
      </c>
      <c r="B418" s="14" t="str">
        <f>IFERROR(__xludf.DUMMYFUNCTION("split(A418,""//"")"),"ord_10409")</f>
        <v>ord_10409</v>
      </c>
      <c r="C418" s="14" t="str">
        <f>IFERROR(__xludf.DUMMYFUNCTION("""COMPUTED_VALUE"""),"Sanjay Nair")</f>
        <v>Sanjay Nair</v>
      </c>
      <c r="D418" s="14" t="str">
        <f>IFERROR(__xludf.DUMMYFUNCTION("""COMPUTED_VALUE"""),"Dadar")</f>
        <v>Dadar</v>
      </c>
      <c r="E418" s="14" t="str">
        <f>IFERROR(__xludf.DUMMYFUNCTION("""COMPUTED_VALUE"""),"Potato+1*Venu R")</f>
        <v>Potato+1*Venu R</v>
      </c>
      <c r="F418" s="14">
        <f>IFERROR(__xludf.DUMMYFUNCTION("""COMPUTED_VALUE"""),7.0)</f>
        <v>7</v>
      </c>
      <c r="G418" s="14">
        <f>IFERROR(__xludf.DUMMYFUNCTION("""COMPUTED_VALUE"""),26.0)</f>
        <v>26</v>
      </c>
      <c r="H418" s="14">
        <f>IFERROR(__xludf.DUMMYFUNCTION("""COMPUTED_VALUE"""),2023.0)</f>
        <v>2023</v>
      </c>
      <c r="I418" s="14" t="str">
        <f>IFERROR(__xludf.DUMMYFUNCTION("""COMPUTED_VALUE"""),"UPI")</f>
        <v>UPI</v>
      </c>
      <c r="J418" s="14" t="str">
        <f>IFERROR(__xludf.DUMMYFUNCTION("""COMPUTED_VALUE"""),"Delivered*Packaging: Secure and intact")</f>
        <v>Delivered*Packaging: Secure and intact</v>
      </c>
      <c r="K418" s="14" t="str">
        <f>IFERROR(__xludf.DUMMYFUNCTION("split(E418,""+"")"),"Potato")</f>
        <v>Potato</v>
      </c>
      <c r="L418" s="14" t="str">
        <f>IFERROR(__xludf.DUMMYFUNCTION("""COMPUTED_VALUE"""),"1*Venu R")</f>
        <v>1*Venu R</v>
      </c>
      <c r="M418" s="14">
        <f>IFERROR(__xludf.DUMMYFUNCTION("SPLIT(L418,""*"")"),1.0)</f>
        <v>1</v>
      </c>
      <c r="N418" s="14" t="str">
        <f>IFERROR(__xludf.DUMMYFUNCTION("""COMPUTED_VALUE"""),"Venu R")</f>
        <v>Venu R</v>
      </c>
      <c r="O418" s="14" t="str">
        <f>IFERROR(__xludf.DUMMYFUNCTION("split(J418,""*"")"),"Delivered")</f>
        <v>Delivered</v>
      </c>
      <c r="P418" s="14" t="str">
        <f>IFERROR(__xludf.DUMMYFUNCTION("""COMPUTED_VALUE"""),"Packaging: Secure and intact")</f>
        <v>Packaging: Secure and intact</v>
      </c>
      <c r="Q418" s="14" t="str">
        <f>IFERROR(__xludf.DUMMYFUNCTION("split(P418,"":"")"),"Packaging")</f>
        <v>Packaging</v>
      </c>
      <c r="R418" s="14" t="str">
        <f>IFERROR(__xludf.DUMMYFUNCTION("""COMPUTED_VALUE""")," Secure and intact")</f>
        <v> Secure and intact</v>
      </c>
      <c r="S418" s="14" t="str">
        <f t="shared" ref="S418:U418" si="839">trim(B418)</f>
        <v>ord_10409</v>
      </c>
      <c r="T418" s="14" t="str">
        <f t="shared" si="839"/>
        <v>Sanjay Nair</v>
      </c>
      <c r="U418" s="14" t="str">
        <f t="shared" si="839"/>
        <v>Dadar</v>
      </c>
      <c r="V418" s="14" t="str">
        <f t="shared" si="4"/>
        <v>Potato</v>
      </c>
      <c r="W418" s="14">
        <f t="shared" si="5"/>
        <v>1</v>
      </c>
      <c r="X418" s="14" t="str">
        <f t="shared" si="6"/>
        <v>Venu R</v>
      </c>
      <c r="Y418" s="15">
        <f t="shared" si="7"/>
        <v>45133</v>
      </c>
      <c r="Z418" s="14" t="str">
        <f t="shared" si="8"/>
        <v>UPI</v>
      </c>
      <c r="AA418" s="14" t="str">
        <f t="shared" si="9"/>
        <v>Delivered</v>
      </c>
      <c r="AB418" s="14" t="str">
        <f t="shared" ref="AB418:AC418" si="840">trim(Q418)</f>
        <v>Packaging</v>
      </c>
      <c r="AC418" s="14" t="str">
        <f t="shared" si="840"/>
        <v>Secure and intact</v>
      </c>
      <c r="AD418" s="8"/>
    </row>
    <row r="419">
      <c r="A419" s="14" t="str">
        <f>IFERROR(__xludf.DUMMYFUNCTION("""COMPUTED_VALUE"""),"//ord_10410//Aarav Mehta//Andheri//Chicken Puff+5*Rohan Yadav/3/25/2023//Credit Card//Delivered*Satisfied with the Delivery: Timely and quality")</f>
        <v>//ord_10410//Aarav Mehta//Andheri//Chicken Puff+5*Rohan Yadav/3/25/2023//Credit Card//Delivered*Satisfied with the Delivery: Timely and quality</v>
      </c>
      <c r="B419" s="14" t="str">
        <f>IFERROR(__xludf.DUMMYFUNCTION("split(A419,""//"")"),"ord_10410")</f>
        <v>ord_10410</v>
      </c>
      <c r="C419" s="14" t="str">
        <f>IFERROR(__xludf.DUMMYFUNCTION("""COMPUTED_VALUE"""),"Aarav Mehta")</f>
        <v>Aarav Mehta</v>
      </c>
      <c r="D419" s="14" t="str">
        <f>IFERROR(__xludf.DUMMYFUNCTION("""COMPUTED_VALUE"""),"Andheri")</f>
        <v>Andheri</v>
      </c>
      <c r="E419" s="14" t="str">
        <f>IFERROR(__xludf.DUMMYFUNCTION("""COMPUTED_VALUE"""),"Chicken Puff+5*Rohan Yadav")</f>
        <v>Chicken Puff+5*Rohan Yadav</v>
      </c>
      <c r="F419" s="14">
        <f>IFERROR(__xludf.DUMMYFUNCTION("""COMPUTED_VALUE"""),3.0)</f>
        <v>3</v>
      </c>
      <c r="G419" s="14">
        <f>IFERROR(__xludf.DUMMYFUNCTION("""COMPUTED_VALUE"""),25.0)</f>
        <v>25</v>
      </c>
      <c r="H419" s="14">
        <f>IFERROR(__xludf.DUMMYFUNCTION("""COMPUTED_VALUE"""),2023.0)</f>
        <v>2023</v>
      </c>
      <c r="I419" s="14" t="str">
        <f>IFERROR(__xludf.DUMMYFUNCTION("""COMPUTED_VALUE"""),"Credit Card")</f>
        <v>Credit Card</v>
      </c>
      <c r="J419" s="14" t="str">
        <f>IFERROR(__xludf.DUMMYFUNCTION("""COMPUTED_VALUE"""),"Delivered*Satisfied with the Delivery: Timely and quality")</f>
        <v>Delivered*Satisfied with the Delivery: Timely and quality</v>
      </c>
      <c r="K419" s="14" t="str">
        <f>IFERROR(__xludf.DUMMYFUNCTION("split(E419,""+"")"),"Chicken Puff")</f>
        <v>Chicken Puff</v>
      </c>
      <c r="L419" s="14" t="str">
        <f>IFERROR(__xludf.DUMMYFUNCTION("""COMPUTED_VALUE"""),"5*Rohan Yadav")</f>
        <v>5*Rohan Yadav</v>
      </c>
      <c r="M419" s="14">
        <f>IFERROR(__xludf.DUMMYFUNCTION("SPLIT(L419,""*"")"),5.0)</f>
        <v>5</v>
      </c>
      <c r="N419" s="14" t="str">
        <f>IFERROR(__xludf.DUMMYFUNCTION("""COMPUTED_VALUE"""),"Rohan Yadav")</f>
        <v>Rohan Yadav</v>
      </c>
      <c r="O419" s="14" t="str">
        <f>IFERROR(__xludf.DUMMYFUNCTION("split(J419,""*"")"),"Delivered")</f>
        <v>Delivered</v>
      </c>
      <c r="P419" s="14" t="str">
        <f>IFERROR(__xludf.DUMMYFUNCTION("""COMPUTED_VALUE"""),"Satisfied with the Delivery: Timely and quality")</f>
        <v>Satisfied with the Delivery: Timely and quality</v>
      </c>
      <c r="Q419" s="14" t="str">
        <f>IFERROR(__xludf.DUMMYFUNCTION("split(P419,"":"")"),"Satisfied with the Delivery")</f>
        <v>Satisfied with the Delivery</v>
      </c>
      <c r="R419" s="14" t="str">
        <f>IFERROR(__xludf.DUMMYFUNCTION("""COMPUTED_VALUE""")," Timely and quality")</f>
        <v> Timely and quality</v>
      </c>
      <c r="S419" s="14" t="str">
        <f t="shared" ref="S419:U419" si="841">trim(B419)</f>
        <v>ord_10410</v>
      </c>
      <c r="T419" s="14" t="str">
        <f t="shared" si="841"/>
        <v>Aarav Mehta</v>
      </c>
      <c r="U419" s="14" t="str">
        <f t="shared" si="841"/>
        <v>Andheri</v>
      </c>
      <c r="V419" s="14" t="str">
        <f t="shared" si="4"/>
        <v>Chicken Puff</v>
      </c>
      <c r="W419" s="14">
        <f t="shared" si="5"/>
        <v>5</v>
      </c>
      <c r="X419" s="14" t="str">
        <f t="shared" si="6"/>
        <v>Rohan Yadav</v>
      </c>
      <c r="Y419" s="15">
        <f t="shared" si="7"/>
        <v>45010</v>
      </c>
      <c r="Z419" s="14" t="str">
        <f t="shared" si="8"/>
        <v>Credit Card</v>
      </c>
      <c r="AA419" s="14" t="str">
        <f t="shared" si="9"/>
        <v>Delivered</v>
      </c>
      <c r="AB419" s="14" t="str">
        <f t="shared" ref="AB419:AC419" si="842">trim(Q419)</f>
        <v>Satisfied with the Delivery</v>
      </c>
      <c r="AC419" s="14" t="str">
        <f t="shared" si="842"/>
        <v>Timely and quality</v>
      </c>
      <c r="AD419" s="8"/>
    </row>
    <row r="420">
      <c r="A420" s="14" t="str">
        <f>IFERROR(__xludf.DUMMYFUNCTION("""COMPUTED_VALUE"""),"//ord_10411//Tanishq Bansal//Powai//Guava+2*Sandeep Kumar/2/18/2023//COD//Delivered*Customer Service: Seamless and easy")</f>
        <v>//ord_10411//Tanishq Bansal//Powai//Guava+2*Sandeep Kumar/2/18/2023//COD//Delivered*Customer Service: Seamless and easy</v>
      </c>
      <c r="B420" s="14" t="str">
        <f>IFERROR(__xludf.DUMMYFUNCTION("split(A420,""//"")"),"ord_10411")</f>
        <v>ord_10411</v>
      </c>
      <c r="C420" s="14" t="str">
        <f>IFERROR(__xludf.DUMMYFUNCTION("""COMPUTED_VALUE"""),"Tanishq Bansal")</f>
        <v>Tanishq Bansal</v>
      </c>
      <c r="D420" s="14" t="str">
        <f>IFERROR(__xludf.DUMMYFUNCTION("""COMPUTED_VALUE"""),"Powai")</f>
        <v>Powai</v>
      </c>
      <c r="E420" s="14" t="str">
        <f>IFERROR(__xludf.DUMMYFUNCTION("""COMPUTED_VALUE"""),"Guava+2*Sandeep Kumar")</f>
        <v>Guava+2*Sandeep Kumar</v>
      </c>
      <c r="F420" s="14">
        <f>IFERROR(__xludf.DUMMYFUNCTION("""COMPUTED_VALUE"""),2.0)</f>
        <v>2</v>
      </c>
      <c r="G420" s="14">
        <f>IFERROR(__xludf.DUMMYFUNCTION("""COMPUTED_VALUE"""),18.0)</f>
        <v>18</v>
      </c>
      <c r="H420" s="14">
        <f>IFERROR(__xludf.DUMMYFUNCTION("""COMPUTED_VALUE"""),2023.0)</f>
        <v>2023</v>
      </c>
      <c r="I420" s="14" t="str">
        <f>IFERROR(__xludf.DUMMYFUNCTION("""COMPUTED_VALUE"""),"COD")</f>
        <v>COD</v>
      </c>
      <c r="J420" s="14" t="str">
        <f>IFERROR(__xludf.DUMMYFUNCTION("""COMPUTED_VALUE"""),"Delivered*Customer Service: Seamless and easy")</f>
        <v>Delivered*Customer Service: Seamless and easy</v>
      </c>
      <c r="K420" s="14" t="str">
        <f>IFERROR(__xludf.DUMMYFUNCTION("split(E420,""+"")"),"Guava")</f>
        <v>Guava</v>
      </c>
      <c r="L420" s="14" t="str">
        <f>IFERROR(__xludf.DUMMYFUNCTION("""COMPUTED_VALUE"""),"2*Sandeep Kumar")</f>
        <v>2*Sandeep Kumar</v>
      </c>
      <c r="M420" s="14">
        <f>IFERROR(__xludf.DUMMYFUNCTION("SPLIT(L420,""*"")"),2.0)</f>
        <v>2</v>
      </c>
      <c r="N420" s="14" t="str">
        <f>IFERROR(__xludf.DUMMYFUNCTION("""COMPUTED_VALUE"""),"Sandeep Kumar")</f>
        <v>Sandeep Kumar</v>
      </c>
      <c r="O420" s="14" t="str">
        <f>IFERROR(__xludf.DUMMYFUNCTION("split(J420,""*"")"),"Delivered")</f>
        <v>Delivered</v>
      </c>
      <c r="P420" s="14" t="str">
        <f>IFERROR(__xludf.DUMMYFUNCTION("""COMPUTED_VALUE"""),"Customer Service: Seamless and easy")</f>
        <v>Customer Service: Seamless and easy</v>
      </c>
      <c r="Q420" s="14" t="str">
        <f>IFERROR(__xludf.DUMMYFUNCTION("split(P420,"":"")"),"Customer Service")</f>
        <v>Customer Service</v>
      </c>
      <c r="R420" s="14" t="str">
        <f>IFERROR(__xludf.DUMMYFUNCTION("""COMPUTED_VALUE""")," Seamless and easy")</f>
        <v> Seamless and easy</v>
      </c>
      <c r="S420" s="14" t="str">
        <f t="shared" ref="S420:U420" si="843">trim(B420)</f>
        <v>ord_10411</v>
      </c>
      <c r="T420" s="14" t="str">
        <f t="shared" si="843"/>
        <v>Tanishq Bansal</v>
      </c>
      <c r="U420" s="14" t="str">
        <f t="shared" si="843"/>
        <v>Powai</v>
      </c>
      <c r="V420" s="14" t="str">
        <f t="shared" si="4"/>
        <v>Guava</v>
      </c>
      <c r="W420" s="14">
        <f t="shared" si="5"/>
        <v>2</v>
      </c>
      <c r="X420" s="14" t="str">
        <f t="shared" si="6"/>
        <v>Sandeep Kumar</v>
      </c>
      <c r="Y420" s="15">
        <f t="shared" si="7"/>
        <v>44975</v>
      </c>
      <c r="Z420" s="14" t="str">
        <f t="shared" si="8"/>
        <v>COD</v>
      </c>
      <c r="AA420" s="14" t="str">
        <f t="shared" si="9"/>
        <v>Delivered</v>
      </c>
      <c r="AB420" s="14" t="str">
        <f t="shared" ref="AB420:AC420" si="844">trim(Q420)</f>
        <v>Customer Service</v>
      </c>
      <c r="AC420" s="14" t="str">
        <f t="shared" si="844"/>
        <v>Seamless and easy</v>
      </c>
      <c r="AD420" s="8"/>
    </row>
    <row r="421">
      <c r="A421" s="14" t="str">
        <f>IFERROR(__xludf.DUMMYFUNCTION("""COMPUTED_VALUE"""),"//ord_10412//Anaya Rao//Malad//Tiramisu+4*Neha Shah/6/23/2023//Credit Card//Delivered*Delivery Experience: Quick and professional")</f>
        <v>//ord_10412//Anaya Rao//Malad//Tiramisu+4*Neha Shah/6/23/2023//Credit Card//Delivered*Delivery Experience: Quick and professional</v>
      </c>
      <c r="B421" s="14" t="str">
        <f>IFERROR(__xludf.DUMMYFUNCTION("split(A421,""//"")"),"ord_10412")</f>
        <v>ord_10412</v>
      </c>
      <c r="C421" s="14" t="str">
        <f>IFERROR(__xludf.DUMMYFUNCTION("""COMPUTED_VALUE"""),"Anaya Rao")</f>
        <v>Anaya Rao</v>
      </c>
      <c r="D421" s="14" t="str">
        <f>IFERROR(__xludf.DUMMYFUNCTION("""COMPUTED_VALUE"""),"Malad")</f>
        <v>Malad</v>
      </c>
      <c r="E421" s="14" t="str">
        <f>IFERROR(__xludf.DUMMYFUNCTION("""COMPUTED_VALUE"""),"Tiramisu+4*Neha Shah")</f>
        <v>Tiramisu+4*Neha Shah</v>
      </c>
      <c r="F421" s="14">
        <f>IFERROR(__xludf.DUMMYFUNCTION("""COMPUTED_VALUE"""),6.0)</f>
        <v>6</v>
      </c>
      <c r="G421" s="14">
        <f>IFERROR(__xludf.DUMMYFUNCTION("""COMPUTED_VALUE"""),23.0)</f>
        <v>23</v>
      </c>
      <c r="H421" s="14">
        <f>IFERROR(__xludf.DUMMYFUNCTION("""COMPUTED_VALUE"""),2023.0)</f>
        <v>2023</v>
      </c>
      <c r="I421" s="14" t="str">
        <f>IFERROR(__xludf.DUMMYFUNCTION("""COMPUTED_VALUE"""),"Credit Card")</f>
        <v>Credit Card</v>
      </c>
      <c r="J421" s="14" t="str">
        <f>IFERROR(__xludf.DUMMYFUNCTION("""COMPUTED_VALUE"""),"Delivered*Delivery Experience: Quick and professional")</f>
        <v>Delivered*Delivery Experience: Quick and professional</v>
      </c>
      <c r="K421" s="14" t="str">
        <f>IFERROR(__xludf.DUMMYFUNCTION("split(E421,""+"")"),"Tiramisu")</f>
        <v>Tiramisu</v>
      </c>
      <c r="L421" s="14" t="str">
        <f>IFERROR(__xludf.DUMMYFUNCTION("""COMPUTED_VALUE"""),"4*Neha Shah")</f>
        <v>4*Neha Shah</v>
      </c>
      <c r="M421" s="14">
        <f>IFERROR(__xludf.DUMMYFUNCTION("SPLIT(L421,""*"")"),4.0)</f>
        <v>4</v>
      </c>
      <c r="N421" s="14" t="str">
        <f>IFERROR(__xludf.DUMMYFUNCTION("""COMPUTED_VALUE"""),"Neha Shah")</f>
        <v>Neha Shah</v>
      </c>
      <c r="O421" s="14" t="str">
        <f>IFERROR(__xludf.DUMMYFUNCTION("split(J421,""*"")"),"Delivered")</f>
        <v>Delivered</v>
      </c>
      <c r="P421" s="14" t="str">
        <f>IFERROR(__xludf.DUMMYFUNCTION("""COMPUTED_VALUE"""),"Delivery Experience: Quick and professional")</f>
        <v>Delivery Experience: Quick and professional</v>
      </c>
      <c r="Q421" s="14" t="str">
        <f>IFERROR(__xludf.DUMMYFUNCTION("split(P421,"":"")"),"Delivery Experience")</f>
        <v>Delivery Experience</v>
      </c>
      <c r="R421" s="14" t="str">
        <f>IFERROR(__xludf.DUMMYFUNCTION("""COMPUTED_VALUE""")," Quick and professional")</f>
        <v> Quick and professional</v>
      </c>
      <c r="S421" s="14" t="str">
        <f t="shared" ref="S421:U421" si="845">trim(B421)</f>
        <v>ord_10412</v>
      </c>
      <c r="T421" s="14" t="str">
        <f t="shared" si="845"/>
        <v>Anaya Rao</v>
      </c>
      <c r="U421" s="14" t="str">
        <f t="shared" si="845"/>
        <v>Malad</v>
      </c>
      <c r="V421" s="14" t="str">
        <f t="shared" si="4"/>
        <v>Tiramisu</v>
      </c>
      <c r="W421" s="14">
        <f t="shared" si="5"/>
        <v>4</v>
      </c>
      <c r="X421" s="14" t="str">
        <f t="shared" si="6"/>
        <v>Neha Shah</v>
      </c>
      <c r="Y421" s="15">
        <f t="shared" si="7"/>
        <v>45100</v>
      </c>
      <c r="Z421" s="14" t="str">
        <f t="shared" si="8"/>
        <v>Credit Card</v>
      </c>
      <c r="AA421" s="14" t="str">
        <f t="shared" si="9"/>
        <v>Delivered</v>
      </c>
      <c r="AB421" s="14" t="str">
        <f t="shared" ref="AB421:AC421" si="846">trim(Q421)</f>
        <v>Delivery Experience</v>
      </c>
      <c r="AC421" s="14" t="str">
        <f t="shared" si="846"/>
        <v>Quick and professional</v>
      </c>
      <c r="AD421" s="8"/>
    </row>
    <row r="422">
      <c r="A422" s="14" t="str">
        <f>IFERROR(__xludf.DUMMYFUNCTION("""COMPUTED_VALUE"""),"//ord_10413//Dev Chauhan//Bandra//Tomato+2*Priya Joshi/2/10/2023//Online Payment//Delivered*Convenience: Easy tracking")</f>
        <v>//ord_10413//Dev Chauhan//Bandra//Tomato+2*Priya Joshi/2/10/2023//Online Payment//Delivered*Convenience: Easy tracking</v>
      </c>
      <c r="B422" s="14" t="str">
        <f>IFERROR(__xludf.DUMMYFUNCTION("split(A422,""//"")"),"ord_10413")</f>
        <v>ord_10413</v>
      </c>
      <c r="C422" s="14" t="str">
        <f>IFERROR(__xludf.DUMMYFUNCTION("""COMPUTED_VALUE"""),"Dev Chauhan")</f>
        <v>Dev Chauhan</v>
      </c>
      <c r="D422" s="14" t="str">
        <f>IFERROR(__xludf.DUMMYFUNCTION("""COMPUTED_VALUE"""),"Bandra")</f>
        <v>Bandra</v>
      </c>
      <c r="E422" s="14" t="str">
        <f>IFERROR(__xludf.DUMMYFUNCTION("""COMPUTED_VALUE"""),"Tomato+2*Priya Joshi")</f>
        <v>Tomato+2*Priya Joshi</v>
      </c>
      <c r="F422" s="14">
        <f>IFERROR(__xludf.DUMMYFUNCTION("""COMPUTED_VALUE"""),2.0)</f>
        <v>2</v>
      </c>
      <c r="G422" s="14">
        <f>IFERROR(__xludf.DUMMYFUNCTION("""COMPUTED_VALUE"""),10.0)</f>
        <v>10</v>
      </c>
      <c r="H422" s="14">
        <f>IFERROR(__xludf.DUMMYFUNCTION("""COMPUTED_VALUE"""),2023.0)</f>
        <v>2023</v>
      </c>
      <c r="I422" s="14" t="str">
        <f>IFERROR(__xludf.DUMMYFUNCTION("""COMPUTED_VALUE"""),"Online Payment")</f>
        <v>Online Payment</v>
      </c>
      <c r="J422" s="14" t="str">
        <f>IFERROR(__xludf.DUMMYFUNCTION("""COMPUTED_VALUE"""),"Delivered*Convenience: Easy tracking")</f>
        <v>Delivered*Convenience: Easy tracking</v>
      </c>
      <c r="K422" s="14" t="str">
        <f>IFERROR(__xludf.DUMMYFUNCTION("split(E422,""+"")"),"Tomato")</f>
        <v>Tomato</v>
      </c>
      <c r="L422" s="14" t="str">
        <f>IFERROR(__xludf.DUMMYFUNCTION("""COMPUTED_VALUE"""),"2*Priya Joshi")</f>
        <v>2*Priya Joshi</v>
      </c>
      <c r="M422" s="14">
        <f>IFERROR(__xludf.DUMMYFUNCTION("SPLIT(L422,""*"")"),2.0)</f>
        <v>2</v>
      </c>
      <c r="N422" s="14" t="str">
        <f>IFERROR(__xludf.DUMMYFUNCTION("""COMPUTED_VALUE"""),"Priya Joshi")</f>
        <v>Priya Joshi</v>
      </c>
      <c r="O422" s="14" t="str">
        <f>IFERROR(__xludf.DUMMYFUNCTION("split(J422,""*"")"),"Delivered")</f>
        <v>Delivered</v>
      </c>
      <c r="P422" s="14" t="str">
        <f>IFERROR(__xludf.DUMMYFUNCTION("""COMPUTED_VALUE"""),"Convenience: Easy tracking")</f>
        <v>Convenience: Easy tracking</v>
      </c>
      <c r="Q422" s="14" t="str">
        <f>IFERROR(__xludf.DUMMYFUNCTION("split(P422,"":"")"),"Convenience")</f>
        <v>Convenience</v>
      </c>
      <c r="R422" s="14" t="str">
        <f>IFERROR(__xludf.DUMMYFUNCTION("""COMPUTED_VALUE""")," Easy tracking")</f>
        <v> Easy tracking</v>
      </c>
      <c r="S422" s="14" t="str">
        <f t="shared" ref="S422:U422" si="847">trim(B422)</f>
        <v>ord_10413</v>
      </c>
      <c r="T422" s="14" t="str">
        <f t="shared" si="847"/>
        <v>Dev Chauhan</v>
      </c>
      <c r="U422" s="14" t="str">
        <f t="shared" si="847"/>
        <v>Bandra</v>
      </c>
      <c r="V422" s="14" t="str">
        <f t="shared" si="4"/>
        <v>Tomato</v>
      </c>
      <c r="W422" s="14">
        <f t="shared" si="5"/>
        <v>2</v>
      </c>
      <c r="X422" s="14" t="str">
        <f t="shared" si="6"/>
        <v>Priya Joshi</v>
      </c>
      <c r="Y422" s="15">
        <f t="shared" si="7"/>
        <v>44967</v>
      </c>
      <c r="Z422" s="14" t="str">
        <f t="shared" si="8"/>
        <v>Online Payment</v>
      </c>
      <c r="AA422" s="14" t="str">
        <f t="shared" si="9"/>
        <v>Delivered</v>
      </c>
      <c r="AB422" s="14" t="str">
        <f t="shared" ref="AB422:AC422" si="848">trim(Q422)</f>
        <v>Convenience</v>
      </c>
      <c r="AC422" s="14" t="str">
        <f t="shared" si="848"/>
        <v>Easy tracking</v>
      </c>
      <c r="AD422" s="8"/>
    </row>
    <row r="423">
      <c r="A423" s="14" t="str">
        <f>IFERROR(__xludf.DUMMYFUNCTION("""COMPUTED_VALUE"""),"//ord_10414//Sakshi Tandon//Colaba//Orange+2*Nikhil Deshmukh/7/9/2023//COD//Delivered*Overall Satisfaction: Great service will order again")</f>
        <v>//ord_10414//Sakshi Tandon//Colaba//Orange+2*Nikhil Deshmukh/7/9/2023//COD//Delivered*Overall Satisfaction: Great service will order again</v>
      </c>
      <c r="B423" s="14" t="str">
        <f>IFERROR(__xludf.DUMMYFUNCTION("split(A423,""//"")"),"ord_10414")</f>
        <v>ord_10414</v>
      </c>
      <c r="C423" s="14" t="str">
        <f>IFERROR(__xludf.DUMMYFUNCTION("""COMPUTED_VALUE"""),"Sakshi Tandon")</f>
        <v>Sakshi Tandon</v>
      </c>
      <c r="D423" s="14" t="str">
        <f>IFERROR(__xludf.DUMMYFUNCTION("""COMPUTED_VALUE"""),"Colaba")</f>
        <v>Colaba</v>
      </c>
      <c r="E423" s="14" t="str">
        <f>IFERROR(__xludf.DUMMYFUNCTION("""COMPUTED_VALUE"""),"Orange+2*Nikhil Deshmukh")</f>
        <v>Orange+2*Nikhil Deshmukh</v>
      </c>
      <c r="F423" s="14">
        <f>IFERROR(__xludf.DUMMYFUNCTION("""COMPUTED_VALUE"""),7.0)</f>
        <v>7</v>
      </c>
      <c r="G423" s="14">
        <f>IFERROR(__xludf.DUMMYFUNCTION("""COMPUTED_VALUE"""),9.0)</f>
        <v>9</v>
      </c>
      <c r="H423" s="14">
        <f>IFERROR(__xludf.DUMMYFUNCTION("""COMPUTED_VALUE"""),2023.0)</f>
        <v>2023</v>
      </c>
      <c r="I423" s="14" t="str">
        <f>IFERROR(__xludf.DUMMYFUNCTION("""COMPUTED_VALUE"""),"COD")</f>
        <v>COD</v>
      </c>
      <c r="J423" s="14" t="str">
        <f>IFERROR(__xludf.DUMMYFUNCTION("""COMPUTED_VALUE"""),"Delivered*Overall Satisfaction: Great service will order again")</f>
        <v>Delivered*Overall Satisfaction: Great service will order again</v>
      </c>
      <c r="K423" s="14" t="str">
        <f>IFERROR(__xludf.DUMMYFUNCTION("split(E423,""+"")"),"Orange")</f>
        <v>Orange</v>
      </c>
      <c r="L423" s="14" t="str">
        <f>IFERROR(__xludf.DUMMYFUNCTION("""COMPUTED_VALUE"""),"2*Nikhil Deshmukh")</f>
        <v>2*Nikhil Deshmukh</v>
      </c>
      <c r="M423" s="14">
        <f>IFERROR(__xludf.DUMMYFUNCTION("SPLIT(L423,""*"")"),2.0)</f>
        <v>2</v>
      </c>
      <c r="N423" s="14" t="str">
        <f>IFERROR(__xludf.DUMMYFUNCTION("""COMPUTED_VALUE"""),"Nikhil Deshmukh")</f>
        <v>Nikhil Deshmukh</v>
      </c>
      <c r="O423" s="14" t="str">
        <f>IFERROR(__xludf.DUMMYFUNCTION("split(J423,""*"")"),"Delivered")</f>
        <v>Delivered</v>
      </c>
      <c r="P423" s="14" t="str">
        <f>IFERROR(__xludf.DUMMYFUNCTION("""COMPUTED_VALUE"""),"Overall Satisfaction: Great service will order again")</f>
        <v>Overall Satisfaction: Great service will order again</v>
      </c>
      <c r="Q423" s="14" t="str">
        <f>IFERROR(__xludf.DUMMYFUNCTION("split(P423,"":"")"),"Overall Satisfaction")</f>
        <v>Overall Satisfaction</v>
      </c>
      <c r="R423" s="14" t="str">
        <f>IFERROR(__xludf.DUMMYFUNCTION("""COMPUTED_VALUE""")," Great service will order again")</f>
        <v> Great service will order again</v>
      </c>
      <c r="S423" s="14" t="str">
        <f t="shared" ref="S423:U423" si="849">trim(B423)</f>
        <v>ord_10414</v>
      </c>
      <c r="T423" s="14" t="str">
        <f t="shared" si="849"/>
        <v>Sakshi Tandon</v>
      </c>
      <c r="U423" s="14" t="str">
        <f t="shared" si="849"/>
        <v>Colaba</v>
      </c>
      <c r="V423" s="14" t="str">
        <f t="shared" si="4"/>
        <v>Orange</v>
      </c>
      <c r="W423" s="14">
        <f t="shared" si="5"/>
        <v>2</v>
      </c>
      <c r="X423" s="14" t="str">
        <f t="shared" si="6"/>
        <v>Nikhil Deshmukh</v>
      </c>
      <c r="Y423" s="15">
        <f t="shared" si="7"/>
        <v>45116</v>
      </c>
      <c r="Z423" s="14" t="str">
        <f t="shared" si="8"/>
        <v>COD</v>
      </c>
      <c r="AA423" s="14" t="str">
        <f t="shared" si="9"/>
        <v>Delivered</v>
      </c>
      <c r="AB423" s="14" t="str">
        <f t="shared" ref="AB423:AC423" si="850">trim(Q423)</f>
        <v>Overall Satisfaction</v>
      </c>
      <c r="AC423" s="14" t="str">
        <f t="shared" si="850"/>
        <v>Great service will order again</v>
      </c>
      <c r="AD423" s="8"/>
    </row>
    <row r="424">
      <c r="A424" s="14" t="str">
        <f>IFERROR(__xludf.DUMMYFUNCTION("""COMPUTED_VALUE"""),"//ord_10415//Mohit Malhotra//Lower Parel//Juice+1*Kiran Mehta/1/3/2023//Credit Card//Delivered*On-time Delivery: Delivered on time")</f>
        <v>//ord_10415//Mohit Malhotra//Lower Parel//Juice+1*Kiran Mehta/1/3/2023//Credit Card//Delivered*On-time Delivery: Delivered on time</v>
      </c>
      <c r="B424" s="14" t="str">
        <f>IFERROR(__xludf.DUMMYFUNCTION("split(A424,""//"")"),"ord_10415")</f>
        <v>ord_10415</v>
      </c>
      <c r="C424" s="14" t="str">
        <f>IFERROR(__xludf.DUMMYFUNCTION("""COMPUTED_VALUE"""),"Mohit Malhotra")</f>
        <v>Mohit Malhotra</v>
      </c>
      <c r="D424" s="14" t="str">
        <f>IFERROR(__xludf.DUMMYFUNCTION("""COMPUTED_VALUE"""),"Lower Parel")</f>
        <v>Lower Parel</v>
      </c>
      <c r="E424" s="14" t="str">
        <f>IFERROR(__xludf.DUMMYFUNCTION("""COMPUTED_VALUE"""),"Juice+1*Kiran Mehta")</f>
        <v>Juice+1*Kiran Mehta</v>
      </c>
      <c r="F424" s="14">
        <f>IFERROR(__xludf.DUMMYFUNCTION("""COMPUTED_VALUE"""),1.0)</f>
        <v>1</v>
      </c>
      <c r="G424" s="14">
        <f>IFERROR(__xludf.DUMMYFUNCTION("""COMPUTED_VALUE"""),3.0)</f>
        <v>3</v>
      </c>
      <c r="H424" s="14">
        <f>IFERROR(__xludf.DUMMYFUNCTION("""COMPUTED_VALUE"""),2023.0)</f>
        <v>2023</v>
      </c>
      <c r="I424" s="14" t="str">
        <f>IFERROR(__xludf.DUMMYFUNCTION("""COMPUTED_VALUE"""),"Credit Card")</f>
        <v>Credit Card</v>
      </c>
      <c r="J424" s="14" t="str">
        <f>IFERROR(__xludf.DUMMYFUNCTION("""COMPUTED_VALUE"""),"Delivered*On-time Delivery: Delivered on time")</f>
        <v>Delivered*On-time Delivery: Delivered on time</v>
      </c>
      <c r="K424" s="14" t="str">
        <f>IFERROR(__xludf.DUMMYFUNCTION("split(E424,""+"")"),"Juice")</f>
        <v>Juice</v>
      </c>
      <c r="L424" s="14" t="str">
        <f>IFERROR(__xludf.DUMMYFUNCTION("""COMPUTED_VALUE"""),"1*Kiran Mehta")</f>
        <v>1*Kiran Mehta</v>
      </c>
      <c r="M424" s="14">
        <f>IFERROR(__xludf.DUMMYFUNCTION("SPLIT(L424,""*"")"),1.0)</f>
        <v>1</v>
      </c>
      <c r="N424" s="14" t="str">
        <f>IFERROR(__xludf.DUMMYFUNCTION("""COMPUTED_VALUE"""),"Kiran Mehta")</f>
        <v>Kiran Mehta</v>
      </c>
      <c r="O424" s="14" t="str">
        <f>IFERROR(__xludf.DUMMYFUNCTION("split(J424,""*"")"),"Delivered")</f>
        <v>Delivered</v>
      </c>
      <c r="P424" s="14" t="str">
        <f>IFERROR(__xludf.DUMMYFUNCTION("""COMPUTED_VALUE"""),"On-time Delivery: Delivered on time")</f>
        <v>On-time Delivery: Delivered on time</v>
      </c>
      <c r="Q424" s="14" t="str">
        <f>IFERROR(__xludf.DUMMYFUNCTION("split(P424,"":"")"),"On-time Delivery")</f>
        <v>On-time Delivery</v>
      </c>
      <c r="R424" s="14" t="str">
        <f>IFERROR(__xludf.DUMMYFUNCTION("""COMPUTED_VALUE""")," Delivered on time")</f>
        <v> Delivered on time</v>
      </c>
      <c r="S424" s="14" t="str">
        <f t="shared" ref="S424:U424" si="851">trim(B424)</f>
        <v>ord_10415</v>
      </c>
      <c r="T424" s="14" t="str">
        <f t="shared" si="851"/>
        <v>Mohit Malhotra</v>
      </c>
      <c r="U424" s="14" t="str">
        <f t="shared" si="851"/>
        <v>Lower Parel</v>
      </c>
      <c r="V424" s="14" t="str">
        <f t="shared" si="4"/>
        <v>Juice</v>
      </c>
      <c r="W424" s="14">
        <f t="shared" si="5"/>
        <v>1</v>
      </c>
      <c r="X424" s="14" t="str">
        <f t="shared" si="6"/>
        <v>Kiran Mehta</v>
      </c>
      <c r="Y424" s="15">
        <f t="shared" si="7"/>
        <v>44929</v>
      </c>
      <c r="Z424" s="14" t="str">
        <f t="shared" si="8"/>
        <v>Credit Card</v>
      </c>
      <c r="AA424" s="14" t="str">
        <f t="shared" si="9"/>
        <v>Delivered</v>
      </c>
      <c r="AB424" s="14" t="str">
        <f t="shared" ref="AB424:AC424" si="852">trim(Q424)</f>
        <v>On-time Delivery</v>
      </c>
      <c r="AC424" s="14" t="str">
        <f t="shared" si="852"/>
        <v>Delivered on time</v>
      </c>
      <c r="AD424" s="8"/>
    </row>
    <row r="425">
      <c r="A425" s="14" t="str">
        <f>IFERROR(__xludf.DUMMYFUNCTION("""COMPUTED_VALUE"""),"//ord_10416//Arvind Kulkarni//Juhu//Potato+1*Tanvi Jain/6/4/2023//Credit Card//Delivered*Quality of Items: Perfect condition")</f>
        <v>//ord_10416//Arvind Kulkarni//Juhu//Potato+1*Tanvi Jain/6/4/2023//Credit Card//Delivered*Quality of Items: Perfect condition</v>
      </c>
      <c r="B425" s="14" t="str">
        <f>IFERROR(__xludf.DUMMYFUNCTION("split(A425,""//"")"),"ord_10416")</f>
        <v>ord_10416</v>
      </c>
      <c r="C425" s="14" t="str">
        <f>IFERROR(__xludf.DUMMYFUNCTION("""COMPUTED_VALUE"""),"Arvind Kulkarni")</f>
        <v>Arvind Kulkarni</v>
      </c>
      <c r="D425" s="14" t="str">
        <f>IFERROR(__xludf.DUMMYFUNCTION("""COMPUTED_VALUE"""),"Juhu")</f>
        <v>Juhu</v>
      </c>
      <c r="E425" s="14" t="str">
        <f>IFERROR(__xludf.DUMMYFUNCTION("""COMPUTED_VALUE"""),"Potato+1*Tanvi Jain")</f>
        <v>Potato+1*Tanvi Jain</v>
      </c>
      <c r="F425" s="14">
        <f>IFERROR(__xludf.DUMMYFUNCTION("""COMPUTED_VALUE"""),6.0)</f>
        <v>6</v>
      </c>
      <c r="G425" s="14">
        <f>IFERROR(__xludf.DUMMYFUNCTION("""COMPUTED_VALUE"""),4.0)</f>
        <v>4</v>
      </c>
      <c r="H425" s="14">
        <f>IFERROR(__xludf.DUMMYFUNCTION("""COMPUTED_VALUE"""),2023.0)</f>
        <v>2023</v>
      </c>
      <c r="I425" s="14" t="str">
        <f>IFERROR(__xludf.DUMMYFUNCTION("""COMPUTED_VALUE"""),"Credit Card")</f>
        <v>Credit Card</v>
      </c>
      <c r="J425" s="14" t="str">
        <f>IFERROR(__xludf.DUMMYFUNCTION("""COMPUTED_VALUE"""),"Delivered*Quality of Items: Perfect condition")</f>
        <v>Delivered*Quality of Items: Perfect condition</v>
      </c>
      <c r="K425" s="14" t="str">
        <f>IFERROR(__xludf.DUMMYFUNCTION("split(E425,""+"")"),"Potato")</f>
        <v>Potato</v>
      </c>
      <c r="L425" s="14" t="str">
        <f>IFERROR(__xludf.DUMMYFUNCTION("""COMPUTED_VALUE"""),"1*Tanvi Jain")</f>
        <v>1*Tanvi Jain</v>
      </c>
      <c r="M425" s="14">
        <f>IFERROR(__xludf.DUMMYFUNCTION("SPLIT(L425,""*"")"),1.0)</f>
        <v>1</v>
      </c>
      <c r="N425" s="14" t="str">
        <f>IFERROR(__xludf.DUMMYFUNCTION("""COMPUTED_VALUE"""),"Tanvi Jain")</f>
        <v>Tanvi Jain</v>
      </c>
      <c r="O425" s="14" t="str">
        <f>IFERROR(__xludf.DUMMYFUNCTION("split(J425,""*"")"),"Delivered")</f>
        <v>Delivered</v>
      </c>
      <c r="P425" s="14" t="str">
        <f>IFERROR(__xludf.DUMMYFUNCTION("""COMPUTED_VALUE"""),"Quality of Items: Perfect condition")</f>
        <v>Quality of Items: Perfect condition</v>
      </c>
      <c r="Q425" s="14" t="str">
        <f>IFERROR(__xludf.DUMMYFUNCTION("split(P425,"":"")"),"Quality of Items")</f>
        <v>Quality of Items</v>
      </c>
      <c r="R425" s="14" t="str">
        <f>IFERROR(__xludf.DUMMYFUNCTION("""COMPUTED_VALUE""")," Perfect condition")</f>
        <v> Perfect condition</v>
      </c>
      <c r="S425" s="14" t="str">
        <f t="shared" ref="S425:U425" si="853">trim(B425)</f>
        <v>ord_10416</v>
      </c>
      <c r="T425" s="14" t="str">
        <f t="shared" si="853"/>
        <v>Arvind Kulkarni</v>
      </c>
      <c r="U425" s="14" t="str">
        <f t="shared" si="853"/>
        <v>Juhu</v>
      </c>
      <c r="V425" s="14" t="str">
        <f t="shared" si="4"/>
        <v>Potato</v>
      </c>
      <c r="W425" s="14">
        <f t="shared" si="5"/>
        <v>1</v>
      </c>
      <c r="X425" s="14" t="str">
        <f t="shared" si="6"/>
        <v>Tanvi Jain</v>
      </c>
      <c r="Y425" s="15">
        <f t="shared" si="7"/>
        <v>45081</v>
      </c>
      <c r="Z425" s="14" t="str">
        <f t="shared" si="8"/>
        <v>Credit Card</v>
      </c>
      <c r="AA425" s="14" t="str">
        <f t="shared" si="9"/>
        <v>Delivered</v>
      </c>
      <c r="AB425" s="14" t="str">
        <f t="shared" ref="AB425:AC425" si="854">trim(Q425)</f>
        <v>Quality of Items</v>
      </c>
      <c r="AC425" s="14" t="str">
        <f t="shared" si="854"/>
        <v>Perfect condition</v>
      </c>
      <c r="AD425" s="8"/>
    </row>
    <row r="426">
      <c r="A426" s="14" t="str">
        <f>IFERROR(__xludf.DUMMYFUNCTION("""COMPUTED_VALUE"""),"//ord_10417//Diya Arora//Lower Parel//Apple+2*Kiran Mehta/7/20/2023//COD//Delivered*On-time Delivery: Delivered on time")</f>
        <v>//ord_10417//Diya Arora//Lower Parel//Apple+2*Kiran Mehta/7/20/2023//COD//Delivered*On-time Delivery: Delivered on time</v>
      </c>
      <c r="B426" s="14" t="str">
        <f>IFERROR(__xludf.DUMMYFUNCTION("split(A426,""//"")"),"ord_10417")</f>
        <v>ord_10417</v>
      </c>
      <c r="C426" s="14" t="str">
        <f>IFERROR(__xludf.DUMMYFUNCTION("""COMPUTED_VALUE"""),"Diya Arora")</f>
        <v>Diya Arora</v>
      </c>
      <c r="D426" s="14" t="str">
        <f>IFERROR(__xludf.DUMMYFUNCTION("""COMPUTED_VALUE"""),"Lower Parel")</f>
        <v>Lower Parel</v>
      </c>
      <c r="E426" s="14" t="str">
        <f>IFERROR(__xludf.DUMMYFUNCTION("""COMPUTED_VALUE"""),"Apple+2*Kiran Mehta")</f>
        <v>Apple+2*Kiran Mehta</v>
      </c>
      <c r="F426" s="14">
        <f>IFERROR(__xludf.DUMMYFUNCTION("""COMPUTED_VALUE"""),7.0)</f>
        <v>7</v>
      </c>
      <c r="G426" s="14">
        <f>IFERROR(__xludf.DUMMYFUNCTION("""COMPUTED_VALUE"""),20.0)</f>
        <v>20</v>
      </c>
      <c r="H426" s="14">
        <f>IFERROR(__xludf.DUMMYFUNCTION("""COMPUTED_VALUE"""),2023.0)</f>
        <v>2023</v>
      </c>
      <c r="I426" s="14" t="str">
        <f>IFERROR(__xludf.DUMMYFUNCTION("""COMPUTED_VALUE"""),"COD")</f>
        <v>COD</v>
      </c>
      <c r="J426" s="14" t="str">
        <f>IFERROR(__xludf.DUMMYFUNCTION("""COMPUTED_VALUE"""),"Delivered*On-time Delivery: Delivered on time")</f>
        <v>Delivered*On-time Delivery: Delivered on time</v>
      </c>
      <c r="K426" s="14" t="str">
        <f>IFERROR(__xludf.DUMMYFUNCTION("split(E426,""+"")"),"Apple")</f>
        <v>Apple</v>
      </c>
      <c r="L426" s="14" t="str">
        <f>IFERROR(__xludf.DUMMYFUNCTION("""COMPUTED_VALUE"""),"2*Kiran Mehta")</f>
        <v>2*Kiran Mehta</v>
      </c>
      <c r="M426" s="14">
        <f>IFERROR(__xludf.DUMMYFUNCTION("SPLIT(L426,""*"")"),2.0)</f>
        <v>2</v>
      </c>
      <c r="N426" s="14" t="str">
        <f>IFERROR(__xludf.DUMMYFUNCTION("""COMPUTED_VALUE"""),"Kiran Mehta")</f>
        <v>Kiran Mehta</v>
      </c>
      <c r="O426" s="14" t="str">
        <f>IFERROR(__xludf.DUMMYFUNCTION("split(J426,""*"")"),"Delivered")</f>
        <v>Delivered</v>
      </c>
      <c r="P426" s="14" t="str">
        <f>IFERROR(__xludf.DUMMYFUNCTION("""COMPUTED_VALUE"""),"On-time Delivery: Delivered on time")</f>
        <v>On-time Delivery: Delivered on time</v>
      </c>
      <c r="Q426" s="14" t="str">
        <f>IFERROR(__xludf.DUMMYFUNCTION("split(P426,"":"")"),"On-time Delivery")</f>
        <v>On-time Delivery</v>
      </c>
      <c r="R426" s="14" t="str">
        <f>IFERROR(__xludf.DUMMYFUNCTION("""COMPUTED_VALUE""")," Delivered on time")</f>
        <v> Delivered on time</v>
      </c>
      <c r="S426" s="14" t="str">
        <f t="shared" ref="S426:U426" si="855">trim(B426)</f>
        <v>ord_10417</v>
      </c>
      <c r="T426" s="14" t="str">
        <f t="shared" si="855"/>
        <v>Diya Arora</v>
      </c>
      <c r="U426" s="14" t="str">
        <f t="shared" si="855"/>
        <v>Lower Parel</v>
      </c>
      <c r="V426" s="14" t="str">
        <f t="shared" si="4"/>
        <v>Apple</v>
      </c>
      <c r="W426" s="14">
        <f t="shared" si="5"/>
        <v>2</v>
      </c>
      <c r="X426" s="14" t="str">
        <f t="shared" si="6"/>
        <v>Kiran Mehta</v>
      </c>
      <c r="Y426" s="15">
        <f t="shared" si="7"/>
        <v>45127</v>
      </c>
      <c r="Z426" s="14" t="str">
        <f t="shared" si="8"/>
        <v>COD</v>
      </c>
      <c r="AA426" s="14" t="str">
        <f t="shared" si="9"/>
        <v>Delivered</v>
      </c>
      <c r="AB426" s="14" t="str">
        <f t="shared" ref="AB426:AC426" si="856">trim(Q426)</f>
        <v>On-time Delivery</v>
      </c>
      <c r="AC426" s="14" t="str">
        <f t="shared" si="856"/>
        <v>Delivered on time</v>
      </c>
      <c r="AD426" s="8"/>
    </row>
    <row r="427">
      <c r="A427" s="14" t="str">
        <f>IFERROR(__xludf.DUMMYFUNCTION("""COMPUTED_VALUE"""),"//ord_10418//Simran Bhatt//Juhu//Papaya+2*Tanvi Jain/4/1/2023//COD//Delivered*Quality of Items: Perfect condition")</f>
        <v>//ord_10418//Simran Bhatt//Juhu//Papaya+2*Tanvi Jain/4/1/2023//COD//Delivered*Quality of Items: Perfect condition</v>
      </c>
      <c r="B427" s="14" t="str">
        <f>IFERROR(__xludf.DUMMYFUNCTION("split(A427,""//"")"),"ord_10418")</f>
        <v>ord_10418</v>
      </c>
      <c r="C427" s="14" t="str">
        <f>IFERROR(__xludf.DUMMYFUNCTION("""COMPUTED_VALUE"""),"Simran Bhatt")</f>
        <v>Simran Bhatt</v>
      </c>
      <c r="D427" s="14" t="str">
        <f>IFERROR(__xludf.DUMMYFUNCTION("""COMPUTED_VALUE"""),"Juhu")</f>
        <v>Juhu</v>
      </c>
      <c r="E427" s="14" t="str">
        <f>IFERROR(__xludf.DUMMYFUNCTION("""COMPUTED_VALUE"""),"Papaya+2*Tanvi Jain")</f>
        <v>Papaya+2*Tanvi Jain</v>
      </c>
      <c r="F427" s="14">
        <f>IFERROR(__xludf.DUMMYFUNCTION("""COMPUTED_VALUE"""),4.0)</f>
        <v>4</v>
      </c>
      <c r="G427" s="14">
        <f>IFERROR(__xludf.DUMMYFUNCTION("""COMPUTED_VALUE"""),1.0)</f>
        <v>1</v>
      </c>
      <c r="H427" s="14">
        <f>IFERROR(__xludf.DUMMYFUNCTION("""COMPUTED_VALUE"""),2023.0)</f>
        <v>2023</v>
      </c>
      <c r="I427" s="14" t="str">
        <f>IFERROR(__xludf.DUMMYFUNCTION("""COMPUTED_VALUE"""),"COD")</f>
        <v>COD</v>
      </c>
      <c r="J427" s="14" t="str">
        <f>IFERROR(__xludf.DUMMYFUNCTION("""COMPUTED_VALUE"""),"Delivered*Quality of Items: Perfect condition")</f>
        <v>Delivered*Quality of Items: Perfect condition</v>
      </c>
      <c r="K427" s="14" t="str">
        <f>IFERROR(__xludf.DUMMYFUNCTION("split(E427,""+"")"),"Papaya")</f>
        <v>Papaya</v>
      </c>
      <c r="L427" s="14" t="str">
        <f>IFERROR(__xludf.DUMMYFUNCTION("""COMPUTED_VALUE"""),"2*Tanvi Jain")</f>
        <v>2*Tanvi Jain</v>
      </c>
      <c r="M427" s="14">
        <f>IFERROR(__xludf.DUMMYFUNCTION("SPLIT(L427,""*"")"),2.0)</f>
        <v>2</v>
      </c>
      <c r="N427" s="14" t="str">
        <f>IFERROR(__xludf.DUMMYFUNCTION("""COMPUTED_VALUE"""),"Tanvi Jain")</f>
        <v>Tanvi Jain</v>
      </c>
      <c r="O427" s="14" t="str">
        <f>IFERROR(__xludf.DUMMYFUNCTION("split(J427,""*"")"),"Delivered")</f>
        <v>Delivered</v>
      </c>
      <c r="P427" s="14" t="str">
        <f>IFERROR(__xludf.DUMMYFUNCTION("""COMPUTED_VALUE"""),"Quality of Items: Perfect condition")</f>
        <v>Quality of Items: Perfect condition</v>
      </c>
      <c r="Q427" s="14" t="str">
        <f>IFERROR(__xludf.DUMMYFUNCTION("split(P427,"":"")"),"Quality of Items")</f>
        <v>Quality of Items</v>
      </c>
      <c r="R427" s="14" t="str">
        <f>IFERROR(__xludf.DUMMYFUNCTION("""COMPUTED_VALUE""")," Perfect condition")</f>
        <v> Perfect condition</v>
      </c>
      <c r="S427" s="14" t="str">
        <f t="shared" ref="S427:U427" si="857">trim(B427)</f>
        <v>ord_10418</v>
      </c>
      <c r="T427" s="14" t="str">
        <f t="shared" si="857"/>
        <v>Simran Bhatt</v>
      </c>
      <c r="U427" s="14" t="str">
        <f t="shared" si="857"/>
        <v>Juhu</v>
      </c>
      <c r="V427" s="14" t="str">
        <f t="shared" si="4"/>
        <v>Papaya</v>
      </c>
      <c r="W427" s="14">
        <f t="shared" si="5"/>
        <v>2</v>
      </c>
      <c r="X427" s="14" t="str">
        <f t="shared" si="6"/>
        <v>Tanvi Jain</v>
      </c>
      <c r="Y427" s="15">
        <f t="shared" si="7"/>
        <v>45017</v>
      </c>
      <c r="Z427" s="14" t="str">
        <f t="shared" si="8"/>
        <v>COD</v>
      </c>
      <c r="AA427" s="14" t="str">
        <f t="shared" si="9"/>
        <v>Delivered</v>
      </c>
      <c r="AB427" s="14" t="str">
        <f t="shared" ref="AB427:AC427" si="858">trim(Q427)</f>
        <v>Quality of Items</v>
      </c>
      <c r="AC427" s="14" t="str">
        <f t="shared" si="858"/>
        <v>Perfect condition</v>
      </c>
      <c r="AD427" s="8"/>
    </row>
    <row r="428">
      <c r="A428" s="14" t="str">
        <f>IFERROR(__xludf.DUMMYFUNCTION("""COMPUTED_VALUE"""),"//ord_10419//Mehul Thakkar//Malad//Tiramisu+1*Neha Shah/2/28/2023//Credit Card//Delivered*Packaging: Secure and intact")</f>
        <v>//ord_10419//Mehul Thakkar//Malad//Tiramisu+1*Neha Shah/2/28/2023//Credit Card//Delivered*Packaging: Secure and intact</v>
      </c>
      <c r="B428" s="14" t="str">
        <f>IFERROR(__xludf.DUMMYFUNCTION("split(A428,""//"")"),"ord_10419")</f>
        <v>ord_10419</v>
      </c>
      <c r="C428" s="14" t="str">
        <f>IFERROR(__xludf.DUMMYFUNCTION("""COMPUTED_VALUE"""),"Mehul Thakkar")</f>
        <v>Mehul Thakkar</v>
      </c>
      <c r="D428" s="14" t="str">
        <f>IFERROR(__xludf.DUMMYFUNCTION("""COMPUTED_VALUE"""),"Malad")</f>
        <v>Malad</v>
      </c>
      <c r="E428" s="14" t="str">
        <f>IFERROR(__xludf.DUMMYFUNCTION("""COMPUTED_VALUE"""),"Tiramisu+1*Neha Shah")</f>
        <v>Tiramisu+1*Neha Shah</v>
      </c>
      <c r="F428" s="14">
        <f>IFERROR(__xludf.DUMMYFUNCTION("""COMPUTED_VALUE"""),2.0)</f>
        <v>2</v>
      </c>
      <c r="G428" s="14">
        <f>IFERROR(__xludf.DUMMYFUNCTION("""COMPUTED_VALUE"""),28.0)</f>
        <v>28</v>
      </c>
      <c r="H428" s="14">
        <f>IFERROR(__xludf.DUMMYFUNCTION("""COMPUTED_VALUE"""),2023.0)</f>
        <v>2023</v>
      </c>
      <c r="I428" s="14" t="str">
        <f>IFERROR(__xludf.DUMMYFUNCTION("""COMPUTED_VALUE"""),"Credit Card")</f>
        <v>Credit Card</v>
      </c>
      <c r="J428" s="14" t="str">
        <f>IFERROR(__xludf.DUMMYFUNCTION("""COMPUTED_VALUE"""),"Delivered*Packaging: Secure and intact")</f>
        <v>Delivered*Packaging: Secure and intact</v>
      </c>
      <c r="K428" s="14" t="str">
        <f>IFERROR(__xludf.DUMMYFUNCTION("split(E428,""+"")"),"Tiramisu")</f>
        <v>Tiramisu</v>
      </c>
      <c r="L428" s="14" t="str">
        <f>IFERROR(__xludf.DUMMYFUNCTION("""COMPUTED_VALUE"""),"1*Neha Shah")</f>
        <v>1*Neha Shah</v>
      </c>
      <c r="M428" s="14">
        <f>IFERROR(__xludf.DUMMYFUNCTION("SPLIT(L428,""*"")"),1.0)</f>
        <v>1</v>
      </c>
      <c r="N428" s="14" t="str">
        <f>IFERROR(__xludf.DUMMYFUNCTION("""COMPUTED_VALUE"""),"Neha Shah")</f>
        <v>Neha Shah</v>
      </c>
      <c r="O428" s="14" t="str">
        <f>IFERROR(__xludf.DUMMYFUNCTION("split(J428,""*"")"),"Delivered")</f>
        <v>Delivered</v>
      </c>
      <c r="P428" s="14" t="str">
        <f>IFERROR(__xludf.DUMMYFUNCTION("""COMPUTED_VALUE"""),"Packaging: Secure and intact")</f>
        <v>Packaging: Secure and intact</v>
      </c>
      <c r="Q428" s="14" t="str">
        <f>IFERROR(__xludf.DUMMYFUNCTION("split(P428,"":"")"),"Packaging")</f>
        <v>Packaging</v>
      </c>
      <c r="R428" s="14" t="str">
        <f>IFERROR(__xludf.DUMMYFUNCTION("""COMPUTED_VALUE""")," Secure and intact")</f>
        <v> Secure and intact</v>
      </c>
      <c r="S428" s="14" t="str">
        <f t="shared" ref="S428:U428" si="859">trim(B428)</f>
        <v>ord_10419</v>
      </c>
      <c r="T428" s="14" t="str">
        <f t="shared" si="859"/>
        <v>Mehul Thakkar</v>
      </c>
      <c r="U428" s="14" t="str">
        <f t="shared" si="859"/>
        <v>Malad</v>
      </c>
      <c r="V428" s="14" t="str">
        <f t="shared" si="4"/>
        <v>Tiramisu</v>
      </c>
      <c r="W428" s="14">
        <f t="shared" si="5"/>
        <v>1</v>
      </c>
      <c r="X428" s="14" t="str">
        <f t="shared" si="6"/>
        <v>Neha Shah</v>
      </c>
      <c r="Y428" s="15">
        <f t="shared" si="7"/>
        <v>44985</v>
      </c>
      <c r="Z428" s="14" t="str">
        <f t="shared" si="8"/>
        <v>Credit Card</v>
      </c>
      <c r="AA428" s="14" t="str">
        <f t="shared" si="9"/>
        <v>Delivered</v>
      </c>
      <c r="AB428" s="14" t="str">
        <f t="shared" ref="AB428:AC428" si="860">trim(Q428)</f>
        <v>Packaging</v>
      </c>
      <c r="AC428" s="14" t="str">
        <f t="shared" si="860"/>
        <v>Secure and intact</v>
      </c>
      <c r="AD428" s="8"/>
    </row>
    <row r="429">
      <c r="A429" s="14" t="str">
        <f>IFERROR(__xludf.DUMMYFUNCTION("""COMPUTED_VALUE"""),"//ord_10420//Ishita Banerjee//Juhu//Juice+2*Kiran Mehta/12/16/2023//Online Payment//Cancelled*Delayed Delivery:Heavy Traffic")</f>
        <v>//ord_10420//Ishita Banerjee//Juhu//Juice+2*Kiran Mehta/12/16/2023//Online Payment//Cancelled*Delayed Delivery:Heavy Traffic</v>
      </c>
      <c r="B429" s="14" t="str">
        <f>IFERROR(__xludf.DUMMYFUNCTION("split(A429,""//"")"),"ord_10420")</f>
        <v>ord_10420</v>
      </c>
      <c r="C429" s="14" t="str">
        <f>IFERROR(__xludf.DUMMYFUNCTION("""COMPUTED_VALUE"""),"Ishita Banerjee")</f>
        <v>Ishita Banerjee</v>
      </c>
      <c r="D429" s="14" t="str">
        <f>IFERROR(__xludf.DUMMYFUNCTION("""COMPUTED_VALUE"""),"Juhu")</f>
        <v>Juhu</v>
      </c>
      <c r="E429" s="14" t="str">
        <f>IFERROR(__xludf.DUMMYFUNCTION("""COMPUTED_VALUE"""),"Juice+2*Kiran Mehta")</f>
        <v>Juice+2*Kiran Mehta</v>
      </c>
      <c r="F429" s="14">
        <f>IFERROR(__xludf.DUMMYFUNCTION("""COMPUTED_VALUE"""),12.0)</f>
        <v>12</v>
      </c>
      <c r="G429" s="14">
        <f>IFERROR(__xludf.DUMMYFUNCTION("""COMPUTED_VALUE"""),16.0)</f>
        <v>16</v>
      </c>
      <c r="H429" s="14">
        <f>IFERROR(__xludf.DUMMYFUNCTION("""COMPUTED_VALUE"""),2023.0)</f>
        <v>2023</v>
      </c>
      <c r="I429" s="14" t="str">
        <f>IFERROR(__xludf.DUMMYFUNCTION("""COMPUTED_VALUE"""),"Online Payment")</f>
        <v>Online Payment</v>
      </c>
      <c r="J429" s="14" t="str">
        <f>IFERROR(__xludf.DUMMYFUNCTION("""COMPUTED_VALUE"""),"Cancelled*Delayed Delivery:Heavy Traffic")</f>
        <v>Cancelled*Delayed Delivery:Heavy Traffic</v>
      </c>
      <c r="K429" s="14" t="str">
        <f>IFERROR(__xludf.DUMMYFUNCTION("split(E429,""+"")"),"Juice")</f>
        <v>Juice</v>
      </c>
      <c r="L429" s="14" t="str">
        <f>IFERROR(__xludf.DUMMYFUNCTION("""COMPUTED_VALUE"""),"2*Kiran Mehta")</f>
        <v>2*Kiran Mehta</v>
      </c>
      <c r="M429" s="14">
        <f>IFERROR(__xludf.DUMMYFUNCTION("SPLIT(L429,""*"")"),2.0)</f>
        <v>2</v>
      </c>
      <c r="N429" s="14" t="str">
        <f>IFERROR(__xludf.DUMMYFUNCTION("""COMPUTED_VALUE"""),"Kiran Mehta")</f>
        <v>Kiran Mehta</v>
      </c>
      <c r="O429" s="14" t="str">
        <f>IFERROR(__xludf.DUMMYFUNCTION("split(J429,""*"")"),"Cancelled")</f>
        <v>Cancelled</v>
      </c>
      <c r="P429" s="14" t="str">
        <f>IFERROR(__xludf.DUMMYFUNCTION("""COMPUTED_VALUE"""),"Delayed Delivery:Heavy Traffic")</f>
        <v>Delayed Delivery:Heavy Traffic</v>
      </c>
      <c r="Q429" s="14" t="str">
        <f>IFERROR(__xludf.DUMMYFUNCTION("split(P429,"":"")"),"Delayed Delivery")</f>
        <v>Delayed Delivery</v>
      </c>
      <c r="R429" s="14" t="str">
        <f>IFERROR(__xludf.DUMMYFUNCTION("""COMPUTED_VALUE"""),"Heavy Traffic")</f>
        <v>Heavy Traffic</v>
      </c>
      <c r="S429" s="14" t="str">
        <f t="shared" ref="S429:U429" si="861">trim(B429)</f>
        <v>ord_10420</v>
      </c>
      <c r="T429" s="14" t="str">
        <f t="shared" si="861"/>
        <v>Ishita Banerjee</v>
      </c>
      <c r="U429" s="14" t="str">
        <f t="shared" si="861"/>
        <v>Juhu</v>
      </c>
      <c r="V429" s="14" t="str">
        <f t="shared" si="4"/>
        <v>Juice</v>
      </c>
      <c r="W429" s="14">
        <f t="shared" si="5"/>
        <v>2</v>
      </c>
      <c r="X429" s="14" t="str">
        <f t="shared" si="6"/>
        <v>Kiran Mehta</v>
      </c>
      <c r="Y429" s="15">
        <f t="shared" si="7"/>
        <v>45276</v>
      </c>
      <c r="Z429" s="14" t="str">
        <f t="shared" si="8"/>
        <v>Online Payment</v>
      </c>
      <c r="AA429" s="14" t="str">
        <f t="shared" si="9"/>
        <v>Cancelled</v>
      </c>
      <c r="AB429" s="14" t="str">
        <f t="shared" ref="AB429:AC429" si="862">trim(Q429)</f>
        <v>Delayed Delivery</v>
      </c>
      <c r="AC429" s="14" t="str">
        <f t="shared" si="862"/>
        <v>Heavy Traffic</v>
      </c>
      <c r="AD429" s="8"/>
    </row>
    <row r="430">
      <c r="A430" s="14" t="str">
        <f>IFERROR(__xludf.DUMMYFUNCTION("""COMPUTED_VALUE"""),"//ord_10421//Tanishq Bansal//Powai//Guava+1*Sandeep Kumar/1/26/2023//Credit Card//Delivered*Satisfied with the Delivery: Timely and quality")</f>
        <v>//ord_10421//Tanishq Bansal//Powai//Guava+1*Sandeep Kumar/1/26/2023//Credit Card//Delivered*Satisfied with the Delivery: Timely and quality</v>
      </c>
      <c r="B430" s="14" t="str">
        <f>IFERROR(__xludf.DUMMYFUNCTION("split(A430,""//"")"),"ord_10421")</f>
        <v>ord_10421</v>
      </c>
      <c r="C430" s="14" t="str">
        <f>IFERROR(__xludf.DUMMYFUNCTION("""COMPUTED_VALUE"""),"Tanishq Bansal")</f>
        <v>Tanishq Bansal</v>
      </c>
      <c r="D430" s="14" t="str">
        <f>IFERROR(__xludf.DUMMYFUNCTION("""COMPUTED_VALUE"""),"Powai")</f>
        <v>Powai</v>
      </c>
      <c r="E430" s="14" t="str">
        <f>IFERROR(__xludf.DUMMYFUNCTION("""COMPUTED_VALUE"""),"Guava+1*Sandeep Kumar")</f>
        <v>Guava+1*Sandeep Kumar</v>
      </c>
      <c r="F430" s="14">
        <f>IFERROR(__xludf.DUMMYFUNCTION("""COMPUTED_VALUE"""),1.0)</f>
        <v>1</v>
      </c>
      <c r="G430" s="14">
        <f>IFERROR(__xludf.DUMMYFUNCTION("""COMPUTED_VALUE"""),26.0)</f>
        <v>26</v>
      </c>
      <c r="H430" s="14">
        <f>IFERROR(__xludf.DUMMYFUNCTION("""COMPUTED_VALUE"""),2023.0)</f>
        <v>2023</v>
      </c>
      <c r="I430" s="14" t="str">
        <f>IFERROR(__xludf.DUMMYFUNCTION("""COMPUTED_VALUE"""),"Credit Card")</f>
        <v>Credit Card</v>
      </c>
      <c r="J430" s="14" t="str">
        <f>IFERROR(__xludf.DUMMYFUNCTION("""COMPUTED_VALUE"""),"Delivered*Satisfied with the Delivery: Timely and quality")</f>
        <v>Delivered*Satisfied with the Delivery: Timely and quality</v>
      </c>
      <c r="K430" s="14" t="str">
        <f>IFERROR(__xludf.DUMMYFUNCTION("split(E430,""+"")"),"Guava")</f>
        <v>Guava</v>
      </c>
      <c r="L430" s="14" t="str">
        <f>IFERROR(__xludf.DUMMYFUNCTION("""COMPUTED_VALUE"""),"1*Sandeep Kumar")</f>
        <v>1*Sandeep Kumar</v>
      </c>
      <c r="M430" s="14">
        <f>IFERROR(__xludf.DUMMYFUNCTION("SPLIT(L430,""*"")"),1.0)</f>
        <v>1</v>
      </c>
      <c r="N430" s="14" t="str">
        <f>IFERROR(__xludf.DUMMYFUNCTION("""COMPUTED_VALUE"""),"Sandeep Kumar")</f>
        <v>Sandeep Kumar</v>
      </c>
      <c r="O430" s="14" t="str">
        <f>IFERROR(__xludf.DUMMYFUNCTION("split(J430,""*"")"),"Delivered")</f>
        <v>Delivered</v>
      </c>
      <c r="P430" s="14" t="str">
        <f>IFERROR(__xludf.DUMMYFUNCTION("""COMPUTED_VALUE"""),"Satisfied with the Delivery: Timely and quality")</f>
        <v>Satisfied with the Delivery: Timely and quality</v>
      </c>
      <c r="Q430" s="14" t="str">
        <f>IFERROR(__xludf.DUMMYFUNCTION("split(P430,"":"")"),"Satisfied with the Delivery")</f>
        <v>Satisfied with the Delivery</v>
      </c>
      <c r="R430" s="14" t="str">
        <f>IFERROR(__xludf.DUMMYFUNCTION("""COMPUTED_VALUE""")," Timely and quality")</f>
        <v> Timely and quality</v>
      </c>
      <c r="S430" s="14" t="str">
        <f t="shared" ref="S430:U430" si="863">trim(B430)</f>
        <v>ord_10421</v>
      </c>
      <c r="T430" s="14" t="str">
        <f t="shared" si="863"/>
        <v>Tanishq Bansal</v>
      </c>
      <c r="U430" s="14" t="str">
        <f t="shared" si="863"/>
        <v>Powai</v>
      </c>
      <c r="V430" s="14" t="str">
        <f t="shared" si="4"/>
        <v>Guava</v>
      </c>
      <c r="W430" s="14">
        <f t="shared" si="5"/>
        <v>1</v>
      </c>
      <c r="X430" s="14" t="str">
        <f t="shared" si="6"/>
        <v>Sandeep Kumar</v>
      </c>
      <c r="Y430" s="15">
        <f t="shared" si="7"/>
        <v>44952</v>
      </c>
      <c r="Z430" s="14" t="str">
        <f t="shared" si="8"/>
        <v>Credit Card</v>
      </c>
      <c r="AA430" s="14" t="str">
        <f t="shared" si="9"/>
        <v>Delivered</v>
      </c>
      <c r="AB430" s="14" t="str">
        <f t="shared" ref="AB430:AC430" si="864">trim(Q430)</f>
        <v>Satisfied with the Delivery</v>
      </c>
      <c r="AC430" s="14" t="str">
        <f t="shared" si="864"/>
        <v>Timely and quality</v>
      </c>
      <c r="AD430" s="8"/>
    </row>
    <row r="431">
      <c r="A431" s="14" t="str">
        <f>IFERROR(__xludf.DUMMYFUNCTION("""COMPUTED_VALUE"""),"//ord_10422//Aditi Iyer//Dadar//Orange+2*Aman Kumar/8/30/2023//Online Payment//Delivered*Customer Service: Seamless and easy")</f>
        <v>//ord_10422//Aditi Iyer//Dadar//Orange+2*Aman Kumar/8/30/2023//Online Payment//Delivered*Customer Service: Seamless and easy</v>
      </c>
      <c r="B431" s="14" t="str">
        <f>IFERROR(__xludf.DUMMYFUNCTION("split(A431,""//"")"),"ord_10422")</f>
        <v>ord_10422</v>
      </c>
      <c r="C431" s="14" t="str">
        <f>IFERROR(__xludf.DUMMYFUNCTION("""COMPUTED_VALUE"""),"Aditi Iyer")</f>
        <v>Aditi Iyer</v>
      </c>
      <c r="D431" s="14" t="str">
        <f>IFERROR(__xludf.DUMMYFUNCTION("""COMPUTED_VALUE"""),"Dadar")</f>
        <v>Dadar</v>
      </c>
      <c r="E431" s="14" t="str">
        <f>IFERROR(__xludf.DUMMYFUNCTION("""COMPUTED_VALUE"""),"Orange+2*Aman Kumar")</f>
        <v>Orange+2*Aman Kumar</v>
      </c>
      <c r="F431" s="14">
        <f>IFERROR(__xludf.DUMMYFUNCTION("""COMPUTED_VALUE"""),8.0)</f>
        <v>8</v>
      </c>
      <c r="G431" s="14">
        <f>IFERROR(__xludf.DUMMYFUNCTION("""COMPUTED_VALUE"""),30.0)</f>
        <v>30</v>
      </c>
      <c r="H431" s="14">
        <f>IFERROR(__xludf.DUMMYFUNCTION("""COMPUTED_VALUE"""),2023.0)</f>
        <v>2023</v>
      </c>
      <c r="I431" s="14" t="str">
        <f>IFERROR(__xludf.DUMMYFUNCTION("""COMPUTED_VALUE"""),"Online Payment")</f>
        <v>Online Payment</v>
      </c>
      <c r="J431" s="14" t="str">
        <f>IFERROR(__xludf.DUMMYFUNCTION("""COMPUTED_VALUE"""),"Delivered*Customer Service: Seamless and easy")</f>
        <v>Delivered*Customer Service: Seamless and easy</v>
      </c>
      <c r="K431" s="14" t="str">
        <f>IFERROR(__xludf.DUMMYFUNCTION("split(E431,""+"")"),"Orange")</f>
        <v>Orange</v>
      </c>
      <c r="L431" s="14" t="str">
        <f>IFERROR(__xludf.DUMMYFUNCTION("""COMPUTED_VALUE"""),"2*Aman Kumar")</f>
        <v>2*Aman Kumar</v>
      </c>
      <c r="M431" s="14">
        <f>IFERROR(__xludf.DUMMYFUNCTION("SPLIT(L431,""*"")"),2.0)</f>
        <v>2</v>
      </c>
      <c r="N431" s="14" t="str">
        <f>IFERROR(__xludf.DUMMYFUNCTION("""COMPUTED_VALUE"""),"Aman Kumar")</f>
        <v>Aman Kumar</v>
      </c>
      <c r="O431" s="14" t="str">
        <f>IFERROR(__xludf.DUMMYFUNCTION("split(J431,""*"")"),"Delivered")</f>
        <v>Delivered</v>
      </c>
      <c r="P431" s="14" t="str">
        <f>IFERROR(__xludf.DUMMYFUNCTION("""COMPUTED_VALUE"""),"Customer Service: Seamless and easy")</f>
        <v>Customer Service: Seamless and easy</v>
      </c>
      <c r="Q431" s="14" t="str">
        <f>IFERROR(__xludf.DUMMYFUNCTION("split(P431,"":"")"),"Customer Service")</f>
        <v>Customer Service</v>
      </c>
      <c r="R431" s="14" t="str">
        <f>IFERROR(__xludf.DUMMYFUNCTION("""COMPUTED_VALUE""")," Seamless and easy")</f>
        <v> Seamless and easy</v>
      </c>
      <c r="S431" s="14" t="str">
        <f t="shared" ref="S431:U431" si="865">trim(B431)</f>
        <v>ord_10422</v>
      </c>
      <c r="T431" s="14" t="str">
        <f t="shared" si="865"/>
        <v>Aditi Iyer</v>
      </c>
      <c r="U431" s="14" t="str">
        <f t="shared" si="865"/>
        <v>Dadar</v>
      </c>
      <c r="V431" s="14" t="str">
        <f t="shared" si="4"/>
        <v>Orange</v>
      </c>
      <c r="W431" s="14">
        <f t="shared" si="5"/>
        <v>2</v>
      </c>
      <c r="X431" s="14" t="str">
        <f t="shared" si="6"/>
        <v>Aman Kumar</v>
      </c>
      <c r="Y431" s="15">
        <f t="shared" si="7"/>
        <v>45168</v>
      </c>
      <c r="Z431" s="14" t="str">
        <f t="shared" si="8"/>
        <v>Online Payment</v>
      </c>
      <c r="AA431" s="14" t="str">
        <f t="shared" si="9"/>
        <v>Delivered</v>
      </c>
      <c r="AB431" s="14" t="str">
        <f t="shared" ref="AB431:AC431" si="866">trim(Q431)</f>
        <v>Customer Service</v>
      </c>
      <c r="AC431" s="14" t="str">
        <f t="shared" si="866"/>
        <v>Seamless and easy</v>
      </c>
      <c r="AD431" s="8"/>
    </row>
    <row r="432">
      <c r="A432" s="14" t="str">
        <f>IFERROR(__xludf.DUMMYFUNCTION("""COMPUTED_VALUE"""),"//ord_10423//Diya Arora//Lower Parel//Sweet Corn+2*Kiran Mehta/1/12/2023//Online Payment//Delivered*Delivery Experience: Quick and professional")</f>
        <v>//ord_10423//Diya Arora//Lower Parel//Sweet Corn+2*Kiran Mehta/1/12/2023//Online Payment//Delivered*Delivery Experience: Quick and professional</v>
      </c>
      <c r="B432" s="14" t="str">
        <f>IFERROR(__xludf.DUMMYFUNCTION("split(A432,""//"")"),"ord_10423")</f>
        <v>ord_10423</v>
      </c>
      <c r="C432" s="14" t="str">
        <f>IFERROR(__xludf.DUMMYFUNCTION("""COMPUTED_VALUE"""),"Diya Arora")</f>
        <v>Diya Arora</v>
      </c>
      <c r="D432" s="14" t="str">
        <f>IFERROR(__xludf.DUMMYFUNCTION("""COMPUTED_VALUE"""),"Lower Parel")</f>
        <v>Lower Parel</v>
      </c>
      <c r="E432" s="14" t="str">
        <f>IFERROR(__xludf.DUMMYFUNCTION("""COMPUTED_VALUE"""),"Sweet Corn+2*Kiran Mehta")</f>
        <v>Sweet Corn+2*Kiran Mehta</v>
      </c>
      <c r="F432" s="14">
        <f>IFERROR(__xludf.DUMMYFUNCTION("""COMPUTED_VALUE"""),1.0)</f>
        <v>1</v>
      </c>
      <c r="G432" s="14">
        <f>IFERROR(__xludf.DUMMYFUNCTION("""COMPUTED_VALUE"""),12.0)</f>
        <v>12</v>
      </c>
      <c r="H432" s="14">
        <f>IFERROR(__xludf.DUMMYFUNCTION("""COMPUTED_VALUE"""),2023.0)</f>
        <v>2023</v>
      </c>
      <c r="I432" s="14" t="str">
        <f>IFERROR(__xludf.DUMMYFUNCTION("""COMPUTED_VALUE"""),"Online Payment")</f>
        <v>Online Payment</v>
      </c>
      <c r="J432" s="14" t="str">
        <f>IFERROR(__xludf.DUMMYFUNCTION("""COMPUTED_VALUE"""),"Delivered*Delivery Experience: Quick and professional")</f>
        <v>Delivered*Delivery Experience: Quick and professional</v>
      </c>
      <c r="K432" s="14" t="str">
        <f>IFERROR(__xludf.DUMMYFUNCTION("split(E432,""+"")"),"Sweet Corn")</f>
        <v>Sweet Corn</v>
      </c>
      <c r="L432" s="14" t="str">
        <f>IFERROR(__xludf.DUMMYFUNCTION("""COMPUTED_VALUE"""),"2*Kiran Mehta")</f>
        <v>2*Kiran Mehta</v>
      </c>
      <c r="M432" s="14">
        <f>IFERROR(__xludf.DUMMYFUNCTION("SPLIT(L432,""*"")"),2.0)</f>
        <v>2</v>
      </c>
      <c r="N432" s="14" t="str">
        <f>IFERROR(__xludf.DUMMYFUNCTION("""COMPUTED_VALUE"""),"Kiran Mehta")</f>
        <v>Kiran Mehta</v>
      </c>
      <c r="O432" s="14" t="str">
        <f>IFERROR(__xludf.DUMMYFUNCTION("split(J432,""*"")"),"Delivered")</f>
        <v>Delivered</v>
      </c>
      <c r="P432" s="14" t="str">
        <f>IFERROR(__xludf.DUMMYFUNCTION("""COMPUTED_VALUE"""),"Delivery Experience: Quick and professional")</f>
        <v>Delivery Experience: Quick and professional</v>
      </c>
      <c r="Q432" s="14" t="str">
        <f>IFERROR(__xludf.DUMMYFUNCTION("split(P432,"":"")"),"Delivery Experience")</f>
        <v>Delivery Experience</v>
      </c>
      <c r="R432" s="14" t="str">
        <f>IFERROR(__xludf.DUMMYFUNCTION("""COMPUTED_VALUE""")," Quick and professional")</f>
        <v> Quick and professional</v>
      </c>
      <c r="S432" s="14" t="str">
        <f t="shared" ref="S432:U432" si="867">trim(B432)</f>
        <v>ord_10423</v>
      </c>
      <c r="T432" s="14" t="str">
        <f t="shared" si="867"/>
        <v>Diya Arora</v>
      </c>
      <c r="U432" s="14" t="str">
        <f t="shared" si="867"/>
        <v>Lower Parel</v>
      </c>
      <c r="V432" s="14" t="str">
        <f t="shared" si="4"/>
        <v>Sweet Corn</v>
      </c>
      <c r="W432" s="14">
        <f t="shared" si="5"/>
        <v>2</v>
      </c>
      <c r="X432" s="14" t="str">
        <f t="shared" si="6"/>
        <v>Kiran Mehta</v>
      </c>
      <c r="Y432" s="15">
        <f t="shared" si="7"/>
        <v>44938</v>
      </c>
      <c r="Z432" s="14" t="str">
        <f t="shared" si="8"/>
        <v>Online Payment</v>
      </c>
      <c r="AA432" s="14" t="str">
        <f t="shared" si="9"/>
        <v>Delivered</v>
      </c>
      <c r="AB432" s="14" t="str">
        <f t="shared" ref="AB432:AC432" si="868">trim(Q432)</f>
        <v>Delivery Experience</v>
      </c>
      <c r="AC432" s="14" t="str">
        <f t="shared" si="868"/>
        <v>Quick and professional</v>
      </c>
      <c r="AD432" s="8"/>
    </row>
    <row r="433">
      <c r="A433" s="14" t="str">
        <f>IFERROR(__xludf.DUMMYFUNCTION("""COMPUTED_VALUE"""),"//ord_10424//Mehul Thakkar//Malad//Juice+5*Not Assigned/1/22/2023//Online Payment//Cancelled*High Delivery Fees")</f>
        <v>//ord_10424//Mehul Thakkar//Malad//Juice+5*Not Assigned/1/22/2023//Online Payment//Cancelled*High Delivery Fees</v>
      </c>
      <c r="B433" s="14" t="str">
        <f>IFERROR(__xludf.DUMMYFUNCTION("split(A433,""//"")"),"ord_10424")</f>
        <v>ord_10424</v>
      </c>
      <c r="C433" s="14" t="str">
        <f>IFERROR(__xludf.DUMMYFUNCTION("""COMPUTED_VALUE"""),"Mehul Thakkar")</f>
        <v>Mehul Thakkar</v>
      </c>
      <c r="D433" s="14" t="str">
        <f>IFERROR(__xludf.DUMMYFUNCTION("""COMPUTED_VALUE"""),"Malad")</f>
        <v>Malad</v>
      </c>
      <c r="E433" s="14" t="str">
        <f>IFERROR(__xludf.DUMMYFUNCTION("""COMPUTED_VALUE"""),"Juice+5*Not Assigned")</f>
        <v>Juice+5*Not Assigned</v>
      </c>
      <c r="F433" s="14">
        <f>IFERROR(__xludf.DUMMYFUNCTION("""COMPUTED_VALUE"""),1.0)</f>
        <v>1</v>
      </c>
      <c r="G433" s="14">
        <f>IFERROR(__xludf.DUMMYFUNCTION("""COMPUTED_VALUE"""),22.0)</f>
        <v>22</v>
      </c>
      <c r="H433" s="14">
        <f>IFERROR(__xludf.DUMMYFUNCTION("""COMPUTED_VALUE"""),2023.0)</f>
        <v>2023</v>
      </c>
      <c r="I433" s="14" t="str">
        <f>IFERROR(__xludf.DUMMYFUNCTION("""COMPUTED_VALUE"""),"Online Payment")</f>
        <v>Online Payment</v>
      </c>
      <c r="J433" s="14" t="str">
        <f>IFERROR(__xludf.DUMMYFUNCTION("""COMPUTED_VALUE"""),"Cancelled*High Delivery Fees")</f>
        <v>Cancelled*High Delivery Fees</v>
      </c>
      <c r="K433" s="14" t="str">
        <f>IFERROR(__xludf.DUMMYFUNCTION("split(E433,""+"")"),"Juice")</f>
        <v>Juice</v>
      </c>
      <c r="L433" s="14" t="str">
        <f>IFERROR(__xludf.DUMMYFUNCTION("""COMPUTED_VALUE"""),"5*Not Assigned")</f>
        <v>5*Not Assigned</v>
      </c>
      <c r="M433" s="14">
        <f>IFERROR(__xludf.DUMMYFUNCTION("SPLIT(L433,""*"")"),5.0)</f>
        <v>5</v>
      </c>
      <c r="N433" s="14" t="str">
        <f>IFERROR(__xludf.DUMMYFUNCTION("""COMPUTED_VALUE"""),"Not Assigned")</f>
        <v>Not Assigned</v>
      </c>
      <c r="O433" s="14" t="str">
        <f>IFERROR(__xludf.DUMMYFUNCTION("split(J433,""*"")"),"Cancelled")</f>
        <v>Cancelled</v>
      </c>
      <c r="P433" s="14" t="str">
        <f>IFERROR(__xludf.DUMMYFUNCTION("""COMPUTED_VALUE"""),"High Delivery Fees")</f>
        <v>High Delivery Fees</v>
      </c>
      <c r="Q433" s="14" t="str">
        <f>IFERROR(__xludf.DUMMYFUNCTION("split(P433,"":"")"),"High Delivery Fees")</f>
        <v>High Delivery Fees</v>
      </c>
      <c r="R433" s="14"/>
      <c r="S433" s="14" t="str">
        <f t="shared" ref="S433:U433" si="869">trim(B433)</f>
        <v>ord_10424</v>
      </c>
      <c r="T433" s="14" t="str">
        <f t="shared" si="869"/>
        <v>Mehul Thakkar</v>
      </c>
      <c r="U433" s="14" t="str">
        <f t="shared" si="869"/>
        <v>Malad</v>
      </c>
      <c r="V433" s="14" t="str">
        <f t="shared" si="4"/>
        <v>Juice</v>
      </c>
      <c r="W433" s="14">
        <f t="shared" si="5"/>
        <v>5</v>
      </c>
      <c r="X433" s="14" t="str">
        <f t="shared" si="6"/>
        <v>Not Assigned</v>
      </c>
      <c r="Y433" s="15">
        <f t="shared" si="7"/>
        <v>44948</v>
      </c>
      <c r="Z433" s="14" t="str">
        <f t="shared" si="8"/>
        <v>Online Payment</v>
      </c>
      <c r="AA433" s="14" t="str">
        <f t="shared" si="9"/>
        <v>Cancelled</v>
      </c>
      <c r="AB433" s="14" t="str">
        <f t="shared" ref="AB433:AC433" si="870">trim(Q433)</f>
        <v>High Delivery Fees</v>
      </c>
      <c r="AC433" s="14" t="str">
        <f t="shared" si="870"/>
        <v/>
      </c>
      <c r="AD433" s="8"/>
    </row>
    <row r="434">
      <c r="A434" s="14" t="str">
        <f>IFERROR(__xludf.DUMMYFUNCTION("""COMPUTED_VALUE"""),"//ord_10425//Mohit Malhotra//Lower Parel//Chilli Cheese Toast+5*Kiran Mehta/6/3/2023//Online Payment//Delivered*Convenience: Easy tracking")</f>
        <v>//ord_10425//Mohit Malhotra//Lower Parel//Chilli Cheese Toast+5*Kiran Mehta/6/3/2023//Online Payment//Delivered*Convenience: Easy tracking</v>
      </c>
      <c r="B434" s="14" t="str">
        <f>IFERROR(__xludf.DUMMYFUNCTION("split(A434,""//"")"),"ord_10425")</f>
        <v>ord_10425</v>
      </c>
      <c r="C434" s="14" t="str">
        <f>IFERROR(__xludf.DUMMYFUNCTION("""COMPUTED_VALUE"""),"Mohit Malhotra")</f>
        <v>Mohit Malhotra</v>
      </c>
      <c r="D434" s="14" t="str">
        <f>IFERROR(__xludf.DUMMYFUNCTION("""COMPUTED_VALUE"""),"Lower Parel")</f>
        <v>Lower Parel</v>
      </c>
      <c r="E434" s="14" t="str">
        <f>IFERROR(__xludf.DUMMYFUNCTION("""COMPUTED_VALUE"""),"Chilli Cheese Toast+5*Kiran Mehta")</f>
        <v>Chilli Cheese Toast+5*Kiran Mehta</v>
      </c>
      <c r="F434" s="14">
        <f>IFERROR(__xludf.DUMMYFUNCTION("""COMPUTED_VALUE"""),6.0)</f>
        <v>6</v>
      </c>
      <c r="G434" s="14">
        <f>IFERROR(__xludf.DUMMYFUNCTION("""COMPUTED_VALUE"""),3.0)</f>
        <v>3</v>
      </c>
      <c r="H434" s="14">
        <f>IFERROR(__xludf.DUMMYFUNCTION("""COMPUTED_VALUE"""),2023.0)</f>
        <v>2023</v>
      </c>
      <c r="I434" s="14" t="str">
        <f>IFERROR(__xludf.DUMMYFUNCTION("""COMPUTED_VALUE"""),"Online Payment")</f>
        <v>Online Payment</v>
      </c>
      <c r="J434" s="14" t="str">
        <f>IFERROR(__xludf.DUMMYFUNCTION("""COMPUTED_VALUE"""),"Delivered*Convenience: Easy tracking")</f>
        <v>Delivered*Convenience: Easy tracking</v>
      </c>
      <c r="K434" s="14" t="str">
        <f>IFERROR(__xludf.DUMMYFUNCTION("split(E434,""+"")"),"Chilli Cheese Toast")</f>
        <v>Chilli Cheese Toast</v>
      </c>
      <c r="L434" s="14" t="str">
        <f>IFERROR(__xludf.DUMMYFUNCTION("""COMPUTED_VALUE"""),"5*Kiran Mehta")</f>
        <v>5*Kiran Mehta</v>
      </c>
      <c r="M434" s="14">
        <f>IFERROR(__xludf.DUMMYFUNCTION("SPLIT(L434,""*"")"),5.0)</f>
        <v>5</v>
      </c>
      <c r="N434" s="14" t="str">
        <f>IFERROR(__xludf.DUMMYFUNCTION("""COMPUTED_VALUE"""),"Kiran Mehta")</f>
        <v>Kiran Mehta</v>
      </c>
      <c r="O434" s="14" t="str">
        <f>IFERROR(__xludf.DUMMYFUNCTION("split(J434,""*"")"),"Delivered")</f>
        <v>Delivered</v>
      </c>
      <c r="P434" s="14" t="str">
        <f>IFERROR(__xludf.DUMMYFUNCTION("""COMPUTED_VALUE"""),"Convenience: Easy tracking")</f>
        <v>Convenience: Easy tracking</v>
      </c>
      <c r="Q434" s="14" t="str">
        <f>IFERROR(__xludf.DUMMYFUNCTION("split(P434,"":"")"),"Convenience")</f>
        <v>Convenience</v>
      </c>
      <c r="R434" s="14" t="str">
        <f>IFERROR(__xludf.DUMMYFUNCTION("""COMPUTED_VALUE""")," Easy tracking")</f>
        <v> Easy tracking</v>
      </c>
      <c r="S434" s="14" t="str">
        <f t="shared" ref="S434:U434" si="871">trim(B434)</f>
        <v>ord_10425</v>
      </c>
      <c r="T434" s="14" t="str">
        <f t="shared" si="871"/>
        <v>Mohit Malhotra</v>
      </c>
      <c r="U434" s="14" t="str">
        <f t="shared" si="871"/>
        <v>Lower Parel</v>
      </c>
      <c r="V434" s="14" t="str">
        <f t="shared" si="4"/>
        <v>Chilli Cheese Toast</v>
      </c>
      <c r="W434" s="14">
        <f t="shared" si="5"/>
        <v>5</v>
      </c>
      <c r="X434" s="14" t="str">
        <f t="shared" si="6"/>
        <v>Kiran Mehta</v>
      </c>
      <c r="Y434" s="15">
        <f t="shared" si="7"/>
        <v>45080</v>
      </c>
      <c r="Z434" s="14" t="str">
        <f t="shared" si="8"/>
        <v>Online Payment</v>
      </c>
      <c r="AA434" s="14" t="str">
        <f t="shared" si="9"/>
        <v>Delivered</v>
      </c>
      <c r="AB434" s="14" t="str">
        <f t="shared" ref="AB434:AC434" si="872">trim(Q434)</f>
        <v>Convenience</v>
      </c>
      <c r="AC434" s="14" t="str">
        <f t="shared" si="872"/>
        <v>Easy tracking</v>
      </c>
      <c r="AD434" s="8"/>
    </row>
    <row r="435">
      <c r="A435" s="14" t="str">
        <f>IFERROR(__xludf.DUMMYFUNCTION("""COMPUTED_VALUE"""),"//ord_10426//Arvind Kulkarni//Juhu//Potato+2*Ram Gopal/12/14/2023//Online Payment//Cancelled*Delayed Delivery:Traffic Accidents or Road Closures")</f>
        <v>//ord_10426//Arvind Kulkarni//Juhu//Potato+2*Ram Gopal/12/14/2023//Online Payment//Cancelled*Delayed Delivery:Traffic Accidents or Road Closures</v>
      </c>
      <c r="B435" s="14" t="str">
        <f>IFERROR(__xludf.DUMMYFUNCTION("split(A435,""//"")"),"ord_10426")</f>
        <v>ord_10426</v>
      </c>
      <c r="C435" s="14" t="str">
        <f>IFERROR(__xludf.DUMMYFUNCTION("""COMPUTED_VALUE"""),"Arvind Kulkarni")</f>
        <v>Arvind Kulkarni</v>
      </c>
      <c r="D435" s="14" t="str">
        <f>IFERROR(__xludf.DUMMYFUNCTION("""COMPUTED_VALUE"""),"Juhu")</f>
        <v>Juhu</v>
      </c>
      <c r="E435" s="14" t="str">
        <f>IFERROR(__xludf.DUMMYFUNCTION("""COMPUTED_VALUE"""),"Potato+2*Ram Gopal")</f>
        <v>Potato+2*Ram Gopal</v>
      </c>
      <c r="F435" s="14">
        <f>IFERROR(__xludf.DUMMYFUNCTION("""COMPUTED_VALUE"""),12.0)</f>
        <v>12</v>
      </c>
      <c r="G435" s="14">
        <f>IFERROR(__xludf.DUMMYFUNCTION("""COMPUTED_VALUE"""),14.0)</f>
        <v>14</v>
      </c>
      <c r="H435" s="14">
        <f>IFERROR(__xludf.DUMMYFUNCTION("""COMPUTED_VALUE"""),2023.0)</f>
        <v>2023</v>
      </c>
      <c r="I435" s="14" t="str">
        <f>IFERROR(__xludf.DUMMYFUNCTION("""COMPUTED_VALUE"""),"Online Payment")</f>
        <v>Online Payment</v>
      </c>
      <c r="J435" s="14" t="str">
        <f>IFERROR(__xludf.DUMMYFUNCTION("""COMPUTED_VALUE"""),"Cancelled*Delayed Delivery:Traffic Accidents or Road Closures")</f>
        <v>Cancelled*Delayed Delivery:Traffic Accidents or Road Closures</v>
      </c>
      <c r="K435" s="14" t="str">
        <f>IFERROR(__xludf.DUMMYFUNCTION("split(E435,""+"")"),"Potato")</f>
        <v>Potato</v>
      </c>
      <c r="L435" s="14" t="str">
        <f>IFERROR(__xludf.DUMMYFUNCTION("""COMPUTED_VALUE"""),"2*Ram Gopal")</f>
        <v>2*Ram Gopal</v>
      </c>
      <c r="M435" s="14">
        <f>IFERROR(__xludf.DUMMYFUNCTION("SPLIT(L435,""*"")"),2.0)</f>
        <v>2</v>
      </c>
      <c r="N435" s="14" t="str">
        <f>IFERROR(__xludf.DUMMYFUNCTION("""COMPUTED_VALUE"""),"Ram Gopal")</f>
        <v>Ram Gopal</v>
      </c>
      <c r="O435" s="14" t="str">
        <f>IFERROR(__xludf.DUMMYFUNCTION("split(J435,""*"")"),"Cancelled")</f>
        <v>Cancelled</v>
      </c>
      <c r="P435" s="14" t="str">
        <f>IFERROR(__xludf.DUMMYFUNCTION("""COMPUTED_VALUE"""),"Delayed Delivery:Traffic Accidents or Road Closures")</f>
        <v>Delayed Delivery:Traffic Accidents or Road Closures</v>
      </c>
      <c r="Q435" s="14" t="str">
        <f>IFERROR(__xludf.DUMMYFUNCTION("split(P435,"":"")"),"Delayed Delivery")</f>
        <v>Delayed Delivery</v>
      </c>
      <c r="R435" s="14" t="str">
        <f>IFERROR(__xludf.DUMMYFUNCTION("""COMPUTED_VALUE"""),"Traffic Accidents or Road Closures")</f>
        <v>Traffic Accidents or Road Closures</v>
      </c>
      <c r="S435" s="14" t="str">
        <f t="shared" ref="S435:U435" si="873">trim(B435)</f>
        <v>ord_10426</v>
      </c>
      <c r="T435" s="14" t="str">
        <f t="shared" si="873"/>
        <v>Arvind Kulkarni</v>
      </c>
      <c r="U435" s="14" t="str">
        <f t="shared" si="873"/>
        <v>Juhu</v>
      </c>
      <c r="V435" s="14" t="str">
        <f t="shared" si="4"/>
        <v>Potato</v>
      </c>
      <c r="W435" s="14">
        <f t="shared" si="5"/>
        <v>2</v>
      </c>
      <c r="X435" s="14" t="str">
        <f t="shared" si="6"/>
        <v>Ram Gopal</v>
      </c>
      <c r="Y435" s="15">
        <f t="shared" si="7"/>
        <v>45274</v>
      </c>
      <c r="Z435" s="14" t="str">
        <f t="shared" si="8"/>
        <v>Online Payment</v>
      </c>
      <c r="AA435" s="14" t="str">
        <f t="shared" si="9"/>
        <v>Cancelled</v>
      </c>
      <c r="AB435" s="14" t="str">
        <f t="shared" ref="AB435:AC435" si="874">trim(Q435)</f>
        <v>Delayed Delivery</v>
      </c>
      <c r="AC435" s="14" t="str">
        <f t="shared" si="874"/>
        <v>Traffic Accidents or Road Closures</v>
      </c>
      <c r="AD435" s="8"/>
    </row>
    <row r="436">
      <c r="A436" s="14" t="str">
        <f>IFERROR(__xludf.DUMMYFUNCTION("""COMPUTED_VALUE"""),"//ord_10427//Nitin Sehgal//Bandra//Chicken Puff+4*Priya Joshi/9/20/2023//Online Payment//Delivered*Overall Satisfaction: Great service will order again")</f>
        <v>//ord_10427//Nitin Sehgal//Bandra//Chicken Puff+4*Priya Joshi/9/20/2023//Online Payment//Delivered*Overall Satisfaction: Great service will order again</v>
      </c>
      <c r="B436" s="14" t="str">
        <f>IFERROR(__xludf.DUMMYFUNCTION("split(A436,""//"")"),"ord_10427")</f>
        <v>ord_10427</v>
      </c>
      <c r="C436" s="14" t="str">
        <f>IFERROR(__xludf.DUMMYFUNCTION("""COMPUTED_VALUE"""),"Nitin Sehgal")</f>
        <v>Nitin Sehgal</v>
      </c>
      <c r="D436" s="14" t="str">
        <f>IFERROR(__xludf.DUMMYFUNCTION("""COMPUTED_VALUE"""),"Bandra")</f>
        <v>Bandra</v>
      </c>
      <c r="E436" s="14" t="str">
        <f>IFERROR(__xludf.DUMMYFUNCTION("""COMPUTED_VALUE"""),"Chicken Puff+4*Priya Joshi")</f>
        <v>Chicken Puff+4*Priya Joshi</v>
      </c>
      <c r="F436" s="14">
        <f>IFERROR(__xludf.DUMMYFUNCTION("""COMPUTED_VALUE"""),9.0)</f>
        <v>9</v>
      </c>
      <c r="G436" s="14">
        <f>IFERROR(__xludf.DUMMYFUNCTION("""COMPUTED_VALUE"""),20.0)</f>
        <v>20</v>
      </c>
      <c r="H436" s="14">
        <f>IFERROR(__xludf.DUMMYFUNCTION("""COMPUTED_VALUE"""),2023.0)</f>
        <v>2023</v>
      </c>
      <c r="I436" s="14" t="str">
        <f>IFERROR(__xludf.DUMMYFUNCTION("""COMPUTED_VALUE"""),"Online Payment")</f>
        <v>Online Payment</v>
      </c>
      <c r="J436" s="14" t="str">
        <f>IFERROR(__xludf.DUMMYFUNCTION("""COMPUTED_VALUE"""),"Delivered*Overall Satisfaction: Great service will order again")</f>
        <v>Delivered*Overall Satisfaction: Great service will order again</v>
      </c>
      <c r="K436" s="14" t="str">
        <f>IFERROR(__xludf.DUMMYFUNCTION("split(E436,""+"")"),"Chicken Puff")</f>
        <v>Chicken Puff</v>
      </c>
      <c r="L436" s="14" t="str">
        <f>IFERROR(__xludf.DUMMYFUNCTION("""COMPUTED_VALUE"""),"4*Priya Joshi")</f>
        <v>4*Priya Joshi</v>
      </c>
      <c r="M436" s="14">
        <f>IFERROR(__xludf.DUMMYFUNCTION("SPLIT(L436,""*"")"),4.0)</f>
        <v>4</v>
      </c>
      <c r="N436" s="14" t="str">
        <f>IFERROR(__xludf.DUMMYFUNCTION("""COMPUTED_VALUE"""),"Priya Joshi")</f>
        <v>Priya Joshi</v>
      </c>
      <c r="O436" s="14" t="str">
        <f>IFERROR(__xludf.DUMMYFUNCTION("split(J436,""*"")"),"Delivered")</f>
        <v>Delivered</v>
      </c>
      <c r="P436" s="14" t="str">
        <f>IFERROR(__xludf.DUMMYFUNCTION("""COMPUTED_VALUE"""),"Overall Satisfaction: Great service will order again")</f>
        <v>Overall Satisfaction: Great service will order again</v>
      </c>
      <c r="Q436" s="14" t="str">
        <f>IFERROR(__xludf.DUMMYFUNCTION("split(P436,"":"")"),"Overall Satisfaction")</f>
        <v>Overall Satisfaction</v>
      </c>
      <c r="R436" s="14" t="str">
        <f>IFERROR(__xludf.DUMMYFUNCTION("""COMPUTED_VALUE""")," Great service will order again")</f>
        <v> Great service will order again</v>
      </c>
      <c r="S436" s="14" t="str">
        <f t="shared" ref="S436:U436" si="875">trim(B436)</f>
        <v>ord_10427</v>
      </c>
      <c r="T436" s="14" t="str">
        <f t="shared" si="875"/>
        <v>Nitin Sehgal</v>
      </c>
      <c r="U436" s="14" t="str">
        <f t="shared" si="875"/>
        <v>Bandra</v>
      </c>
      <c r="V436" s="14" t="str">
        <f t="shared" si="4"/>
        <v>Chicken Puff</v>
      </c>
      <c r="W436" s="14">
        <f t="shared" si="5"/>
        <v>4</v>
      </c>
      <c r="X436" s="14" t="str">
        <f t="shared" si="6"/>
        <v>Priya Joshi</v>
      </c>
      <c r="Y436" s="15">
        <f t="shared" si="7"/>
        <v>45189</v>
      </c>
      <c r="Z436" s="14" t="str">
        <f t="shared" si="8"/>
        <v>Online Payment</v>
      </c>
      <c r="AA436" s="14" t="str">
        <f t="shared" si="9"/>
        <v>Delivered</v>
      </c>
      <c r="AB436" s="14" t="str">
        <f t="shared" ref="AB436:AC436" si="876">trim(Q436)</f>
        <v>Overall Satisfaction</v>
      </c>
      <c r="AC436" s="14" t="str">
        <f t="shared" si="876"/>
        <v>Great service will order again</v>
      </c>
      <c r="AD436" s="8"/>
    </row>
    <row r="437">
      <c r="A437" s="14" t="str">
        <f>IFERROR(__xludf.DUMMYFUNCTION("""COMPUTED_VALUE"""),"//ord_10428//Siya Reddy//Juhu//Chicken Puff+2*Tanvi Jain/10/10/2023//Online Payment//Cancelled*Delayed Delivery:Heavy Traffic")</f>
        <v>//ord_10428//Siya Reddy//Juhu//Chicken Puff+2*Tanvi Jain/10/10/2023//Online Payment//Cancelled*Delayed Delivery:Heavy Traffic</v>
      </c>
      <c r="B437" s="14" t="str">
        <f>IFERROR(__xludf.DUMMYFUNCTION("split(A437,""//"")"),"ord_10428")</f>
        <v>ord_10428</v>
      </c>
      <c r="C437" s="14" t="str">
        <f>IFERROR(__xludf.DUMMYFUNCTION("""COMPUTED_VALUE"""),"Siya Reddy")</f>
        <v>Siya Reddy</v>
      </c>
      <c r="D437" s="14" t="str">
        <f>IFERROR(__xludf.DUMMYFUNCTION("""COMPUTED_VALUE"""),"Juhu")</f>
        <v>Juhu</v>
      </c>
      <c r="E437" s="14" t="str">
        <f>IFERROR(__xludf.DUMMYFUNCTION("""COMPUTED_VALUE"""),"Chicken Puff+2*Tanvi Jain")</f>
        <v>Chicken Puff+2*Tanvi Jain</v>
      </c>
      <c r="F437" s="14">
        <f>IFERROR(__xludf.DUMMYFUNCTION("""COMPUTED_VALUE"""),10.0)</f>
        <v>10</v>
      </c>
      <c r="G437" s="14">
        <f>IFERROR(__xludf.DUMMYFUNCTION("""COMPUTED_VALUE"""),10.0)</f>
        <v>10</v>
      </c>
      <c r="H437" s="14">
        <f>IFERROR(__xludf.DUMMYFUNCTION("""COMPUTED_VALUE"""),2023.0)</f>
        <v>2023</v>
      </c>
      <c r="I437" s="14" t="str">
        <f>IFERROR(__xludf.DUMMYFUNCTION("""COMPUTED_VALUE"""),"Online Payment")</f>
        <v>Online Payment</v>
      </c>
      <c r="J437" s="14" t="str">
        <f>IFERROR(__xludf.DUMMYFUNCTION("""COMPUTED_VALUE"""),"Cancelled*Delayed Delivery:Heavy Traffic")</f>
        <v>Cancelled*Delayed Delivery:Heavy Traffic</v>
      </c>
      <c r="K437" s="14" t="str">
        <f>IFERROR(__xludf.DUMMYFUNCTION("split(E437,""+"")"),"Chicken Puff")</f>
        <v>Chicken Puff</v>
      </c>
      <c r="L437" s="14" t="str">
        <f>IFERROR(__xludf.DUMMYFUNCTION("""COMPUTED_VALUE"""),"2*Tanvi Jain")</f>
        <v>2*Tanvi Jain</v>
      </c>
      <c r="M437" s="14">
        <f>IFERROR(__xludf.DUMMYFUNCTION("SPLIT(L437,""*"")"),2.0)</f>
        <v>2</v>
      </c>
      <c r="N437" s="14" t="str">
        <f>IFERROR(__xludf.DUMMYFUNCTION("""COMPUTED_VALUE"""),"Tanvi Jain")</f>
        <v>Tanvi Jain</v>
      </c>
      <c r="O437" s="14" t="str">
        <f>IFERROR(__xludf.DUMMYFUNCTION("split(J437,""*"")"),"Cancelled")</f>
        <v>Cancelled</v>
      </c>
      <c r="P437" s="14" t="str">
        <f>IFERROR(__xludf.DUMMYFUNCTION("""COMPUTED_VALUE"""),"Delayed Delivery:Heavy Traffic")</f>
        <v>Delayed Delivery:Heavy Traffic</v>
      </c>
      <c r="Q437" s="14" t="str">
        <f>IFERROR(__xludf.DUMMYFUNCTION("split(P437,"":"")"),"Delayed Delivery")</f>
        <v>Delayed Delivery</v>
      </c>
      <c r="R437" s="14" t="str">
        <f>IFERROR(__xludf.DUMMYFUNCTION("""COMPUTED_VALUE"""),"Heavy Traffic")</f>
        <v>Heavy Traffic</v>
      </c>
      <c r="S437" s="14" t="str">
        <f t="shared" ref="S437:U437" si="877">trim(B437)</f>
        <v>ord_10428</v>
      </c>
      <c r="T437" s="14" t="str">
        <f t="shared" si="877"/>
        <v>Siya Reddy</v>
      </c>
      <c r="U437" s="14" t="str">
        <f t="shared" si="877"/>
        <v>Juhu</v>
      </c>
      <c r="V437" s="14" t="str">
        <f t="shared" si="4"/>
        <v>Chicken Puff</v>
      </c>
      <c r="W437" s="14">
        <f t="shared" si="5"/>
        <v>2</v>
      </c>
      <c r="X437" s="14" t="str">
        <f t="shared" si="6"/>
        <v>Tanvi Jain</v>
      </c>
      <c r="Y437" s="15">
        <f t="shared" si="7"/>
        <v>45209</v>
      </c>
      <c r="Z437" s="14" t="str">
        <f t="shared" si="8"/>
        <v>Online Payment</v>
      </c>
      <c r="AA437" s="14" t="str">
        <f t="shared" si="9"/>
        <v>Cancelled</v>
      </c>
      <c r="AB437" s="14" t="str">
        <f t="shared" ref="AB437:AC437" si="878">trim(Q437)</f>
        <v>Delayed Delivery</v>
      </c>
      <c r="AC437" s="14" t="str">
        <f t="shared" si="878"/>
        <v>Heavy Traffic</v>
      </c>
      <c r="AD437" s="8"/>
    </row>
    <row r="438">
      <c r="A438" s="14" t="str">
        <f>IFERROR(__xludf.DUMMYFUNCTION("""COMPUTED_VALUE"""),"//ord_10429//Mohit Malhotra//Lower Parel//Popcorn+4*Ramesh S/2/27/2023//Credit Card//Delivered*On-time Delivery: Delivered on time")</f>
        <v>//ord_10429//Mohit Malhotra//Lower Parel//Popcorn+4*Ramesh S/2/27/2023//Credit Card//Delivered*On-time Delivery: Delivered on time</v>
      </c>
      <c r="B438" s="14" t="str">
        <f>IFERROR(__xludf.DUMMYFUNCTION("split(A438,""//"")"),"ord_10429")</f>
        <v>ord_10429</v>
      </c>
      <c r="C438" s="14" t="str">
        <f>IFERROR(__xludf.DUMMYFUNCTION("""COMPUTED_VALUE"""),"Mohit Malhotra")</f>
        <v>Mohit Malhotra</v>
      </c>
      <c r="D438" s="14" t="str">
        <f>IFERROR(__xludf.DUMMYFUNCTION("""COMPUTED_VALUE"""),"Lower Parel")</f>
        <v>Lower Parel</v>
      </c>
      <c r="E438" s="14" t="str">
        <f>IFERROR(__xludf.DUMMYFUNCTION("""COMPUTED_VALUE"""),"Popcorn+4*Ramesh S")</f>
        <v>Popcorn+4*Ramesh S</v>
      </c>
      <c r="F438" s="14">
        <f>IFERROR(__xludf.DUMMYFUNCTION("""COMPUTED_VALUE"""),2.0)</f>
        <v>2</v>
      </c>
      <c r="G438" s="14">
        <f>IFERROR(__xludf.DUMMYFUNCTION("""COMPUTED_VALUE"""),27.0)</f>
        <v>27</v>
      </c>
      <c r="H438" s="14">
        <f>IFERROR(__xludf.DUMMYFUNCTION("""COMPUTED_VALUE"""),2023.0)</f>
        <v>2023</v>
      </c>
      <c r="I438" s="14" t="str">
        <f>IFERROR(__xludf.DUMMYFUNCTION("""COMPUTED_VALUE"""),"Credit Card")</f>
        <v>Credit Card</v>
      </c>
      <c r="J438" s="14" t="str">
        <f>IFERROR(__xludf.DUMMYFUNCTION("""COMPUTED_VALUE"""),"Delivered*On-time Delivery: Delivered on time")</f>
        <v>Delivered*On-time Delivery: Delivered on time</v>
      </c>
      <c r="K438" s="14" t="str">
        <f>IFERROR(__xludf.DUMMYFUNCTION("split(E438,""+"")"),"Popcorn")</f>
        <v>Popcorn</v>
      </c>
      <c r="L438" s="14" t="str">
        <f>IFERROR(__xludf.DUMMYFUNCTION("""COMPUTED_VALUE"""),"4*Ramesh S")</f>
        <v>4*Ramesh S</v>
      </c>
      <c r="M438" s="14">
        <f>IFERROR(__xludf.DUMMYFUNCTION("SPLIT(L438,""*"")"),4.0)</f>
        <v>4</v>
      </c>
      <c r="N438" s="14" t="str">
        <f>IFERROR(__xludf.DUMMYFUNCTION("""COMPUTED_VALUE"""),"Ramesh S")</f>
        <v>Ramesh S</v>
      </c>
      <c r="O438" s="14" t="str">
        <f>IFERROR(__xludf.DUMMYFUNCTION("split(J438,""*"")"),"Delivered")</f>
        <v>Delivered</v>
      </c>
      <c r="P438" s="14" t="str">
        <f>IFERROR(__xludf.DUMMYFUNCTION("""COMPUTED_VALUE"""),"On-time Delivery: Delivered on time")</f>
        <v>On-time Delivery: Delivered on time</v>
      </c>
      <c r="Q438" s="14" t="str">
        <f>IFERROR(__xludf.DUMMYFUNCTION("split(P438,"":"")"),"On-time Delivery")</f>
        <v>On-time Delivery</v>
      </c>
      <c r="R438" s="14" t="str">
        <f>IFERROR(__xludf.DUMMYFUNCTION("""COMPUTED_VALUE""")," Delivered on time")</f>
        <v> Delivered on time</v>
      </c>
      <c r="S438" s="14" t="str">
        <f t="shared" ref="S438:U438" si="879">trim(B438)</f>
        <v>ord_10429</v>
      </c>
      <c r="T438" s="14" t="str">
        <f t="shared" si="879"/>
        <v>Mohit Malhotra</v>
      </c>
      <c r="U438" s="14" t="str">
        <f t="shared" si="879"/>
        <v>Lower Parel</v>
      </c>
      <c r="V438" s="14" t="str">
        <f t="shared" si="4"/>
        <v>Popcorn</v>
      </c>
      <c r="W438" s="14">
        <f t="shared" si="5"/>
        <v>4</v>
      </c>
      <c r="X438" s="14" t="str">
        <f t="shared" si="6"/>
        <v>Ramesh S</v>
      </c>
      <c r="Y438" s="15">
        <f t="shared" si="7"/>
        <v>44984</v>
      </c>
      <c r="Z438" s="14" t="str">
        <f t="shared" si="8"/>
        <v>Credit Card</v>
      </c>
      <c r="AA438" s="14" t="str">
        <f t="shared" si="9"/>
        <v>Delivered</v>
      </c>
      <c r="AB438" s="14" t="str">
        <f t="shared" ref="AB438:AC438" si="880">trim(Q438)</f>
        <v>On-time Delivery</v>
      </c>
      <c r="AC438" s="14" t="str">
        <f t="shared" si="880"/>
        <v>Delivered on time</v>
      </c>
      <c r="AD438" s="8"/>
    </row>
    <row r="439">
      <c r="A439" s="14" t="str">
        <f>IFERROR(__xludf.DUMMYFUNCTION("""COMPUTED_VALUE"""),"//ord_10430//Parth Goel//Juhu//Papaya+1*Ram Gopal/3/15/2023//Online Payment//Delivered*Quality of Items: Perfect condition")</f>
        <v>//ord_10430//Parth Goel//Juhu//Papaya+1*Ram Gopal/3/15/2023//Online Payment//Delivered*Quality of Items: Perfect condition</v>
      </c>
      <c r="B439" s="14" t="str">
        <f>IFERROR(__xludf.DUMMYFUNCTION("split(A439,""//"")"),"ord_10430")</f>
        <v>ord_10430</v>
      </c>
      <c r="C439" s="14" t="str">
        <f>IFERROR(__xludf.DUMMYFUNCTION("""COMPUTED_VALUE"""),"Parth Goel")</f>
        <v>Parth Goel</v>
      </c>
      <c r="D439" s="14" t="str">
        <f>IFERROR(__xludf.DUMMYFUNCTION("""COMPUTED_VALUE"""),"Juhu")</f>
        <v>Juhu</v>
      </c>
      <c r="E439" s="14" t="str">
        <f>IFERROR(__xludf.DUMMYFUNCTION("""COMPUTED_VALUE"""),"Papaya+1*Ram Gopal")</f>
        <v>Papaya+1*Ram Gopal</v>
      </c>
      <c r="F439" s="14">
        <f>IFERROR(__xludf.DUMMYFUNCTION("""COMPUTED_VALUE"""),3.0)</f>
        <v>3</v>
      </c>
      <c r="G439" s="14">
        <f>IFERROR(__xludf.DUMMYFUNCTION("""COMPUTED_VALUE"""),15.0)</f>
        <v>15</v>
      </c>
      <c r="H439" s="14">
        <f>IFERROR(__xludf.DUMMYFUNCTION("""COMPUTED_VALUE"""),2023.0)</f>
        <v>2023</v>
      </c>
      <c r="I439" s="14" t="str">
        <f>IFERROR(__xludf.DUMMYFUNCTION("""COMPUTED_VALUE"""),"Online Payment")</f>
        <v>Online Payment</v>
      </c>
      <c r="J439" s="14" t="str">
        <f>IFERROR(__xludf.DUMMYFUNCTION("""COMPUTED_VALUE"""),"Delivered*Quality of Items: Perfect condition")</f>
        <v>Delivered*Quality of Items: Perfect condition</v>
      </c>
      <c r="K439" s="14" t="str">
        <f>IFERROR(__xludf.DUMMYFUNCTION("split(E439,""+"")"),"Papaya")</f>
        <v>Papaya</v>
      </c>
      <c r="L439" s="14" t="str">
        <f>IFERROR(__xludf.DUMMYFUNCTION("""COMPUTED_VALUE"""),"1*Ram Gopal")</f>
        <v>1*Ram Gopal</v>
      </c>
      <c r="M439" s="14">
        <f>IFERROR(__xludf.DUMMYFUNCTION("SPLIT(L439,""*"")"),1.0)</f>
        <v>1</v>
      </c>
      <c r="N439" s="14" t="str">
        <f>IFERROR(__xludf.DUMMYFUNCTION("""COMPUTED_VALUE"""),"Ram Gopal")</f>
        <v>Ram Gopal</v>
      </c>
      <c r="O439" s="14" t="str">
        <f>IFERROR(__xludf.DUMMYFUNCTION("split(J439,""*"")"),"Delivered")</f>
        <v>Delivered</v>
      </c>
      <c r="P439" s="14" t="str">
        <f>IFERROR(__xludf.DUMMYFUNCTION("""COMPUTED_VALUE"""),"Quality of Items: Perfect condition")</f>
        <v>Quality of Items: Perfect condition</v>
      </c>
      <c r="Q439" s="14" t="str">
        <f>IFERROR(__xludf.DUMMYFUNCTION("split(P439,"":"")"),"Quality of Items")</f>
        <v>Quality of Items</v>
      </c>
      <c r="R439" s="14" t="str">
        <f>IFERROR(__xludf.DUMMYFUNCTION("""COMPUTED_VALUE""")," Perfect condition")</f>
        <v> Perfect condition</v>
      </c>
      <c r="S439" s="14" t="str">
        <f t="shared" ref="S439:U439" si="881">trim(B439)</f>
        <v>ord_10430</v>
      </c>
      <c r="T439" s="14" t="str">
        <f t="shared" si="881"/>
        <v>Parth Goel</v>
      </c>
      <c r="U439" s="14" t="str">
        <f t="shared" si="881"/>
        <v>Juhu</v>
      </c>
      <c r="V439" s="14" t="str">
        <f t="shared" si="4"/>
        <v>Papaya</v>
      </c>
      <c r="W439" s="14">
        <f t="shared" si="5"/>
        <v>1</v>
      </c>
      <c r="X439" s="14" t="str">
        <f t="shared" si="6"/>
        <v>Ram Gopal</v>
      </c>
      <c r="Y439" s="15">
        <f t="shared" si="7"/>
        <v>45000</v>
      </c>
      <c r="Z439" s="14" t="str">
        <f t="shared" si="8"/>
        <v>Online Payment</v>
      </c>
      <c r="AA439" s="14" t="str">
        <f t="shared" si="9"/>
        <v>Delivered</v>
      </c>
      <c r="AB439" s="14" t="str">
        <f t="shared" ref="AB439:AC439" si="882">trim(Q439)</f>
        <v>Quality of Items</v>
      </c>
      <c r="AC439" s="14" t="str">
        <f t="shared" si="882"/>
        <v>Perfect condition</v>
      </c>
      <c r="AD439" s="8"/>
    </row>
    <row r="440">
      <c r="A440" s="14" t="str">
        <f>IFERROR(__xludf.DUMMYFUNCTION("""COMPUTED_VALUE"""),"//ord_10431//Pranav Joshi//Andheri//Apple+2*Ramesh S/5/21/2023//Online Payment//Delivered*On-time Delivery: Delivered on time")</f>
        <v>//ord_10431//Pranav Joshi//Andheri//Apple+2*Ramesh S/5/21/2023//Online Payment//Delivered*On-time Delivery: Delivered on time</v>
      </c>
      <c r="B440" s="14" t="str">
        <f>IFERROR(__xludf.DUMMYFUNCTION("split(A440,""//"")"),"ord_10431")</f>
        <v>ord_10431</v>
      </c>
      <c r="C440" s="14" t="str">
        <f>IFERROR(__xludf.DUMMYFUNCTION("""COMPUTED_VALUE"""),"Pranav Joshi")</f>
        <v>Pranav Joshi</v>
      </c>
      <c r="D440" s="14" t="str">
        <f>IFERROR(__xludf.DUMMYFUNCTION("""COMPUTED_VALUE"""),"Andheri")</f>
        <v>Andheri</v>
      </c>
      <c r="E440" s="14" t="str">
        <f>IFERROR(__xludf.DUMMYFUNCTION("""COMPUTED_VALUE"""),"Apple+2*Ramesh S")</f>
        <v>Apple+2*Ramesh S</v>
      </c>
      <c r="F440" s="14">
        <f>IFERROR(__xludf.DUMMYFUNCTION("""COMPUTED_VALUE"""),5.0)</f>
        <v>5</v>
      </c>
      <c r="G440" s="14">
        <f>IFERROR(__xludf.DUMMYFUNCTION("""COMPUTED_VALUE"""),21.0)</f>
        <v>21</v>
      </c>
      <c r="H440" s="14">
        <f>IFERROR(__xludf.DUMMYFUNCTION("""COMPUTED_VALUE"""),2023.0)</f>
        <v>2023</v>
      </c>
      <c r="I440" s="14" t="str">
        <f>IFERROR(__xludf.DUMMYFUNCTION("""COMPUTED_VALUE"""),"Online Payment")</f>
        <v>Online Payment</v>
      </c>
      <c r="J440" s="14" t="str">
        <f>IFERROR(__xludf.DUMMYFUNCTION("""COMPUTED_VALUE"""),"Delivered*On-time Delivery: Delivered on time")</f>
        <v>Delivered*On-time Delivery: Delivered on time</v>
      </c>
      <c r="K440" s="14" t="str">
        <f>IFERROR(__xludf.DUMMYFUNCTION("split(E440,""+"")"),"Apple")</f>
        <v>Apple</v>
      </c>
      <c r="L440" s="14" t="str">
        <f>IFERROR(__xludf.DUMMYFUNCTION("""COMPUTED_VALUE"""),"2*Ramesh S")</f>
        <v>2*Ramesh S</v>
      </c>
      <c r="M440" s="14">
        <f>IFERROR(__xludf.DUMMYFUNCTION("SPLIT(L440,""*"")"),2.0)</f>
        <v>2</v>
      </c>
      <c r="N440" s="14" t="str">
        <f>IFERROR(__xludf.DUMMYFUNCTION("""COMPUTED_VALUE"""),"Ramesh S")</f>
        <v>Ramesh S</v>
      </c>
      <c r="O440" s="14" t="str">
        <f>IFERROR(__xludf.DUMMYFUNCTION("split(J440,""*"")"),"Delivered")</f>
        <v>Delivered</v>
      </c>
      <c r="P440" s="14" t="str">
        <f>IFERROR(__xludf.DUMMYFUNCTION("""COMPUTED_VALUE"""),"On-time Delivery: Delivered on time")</f>
        <v>On-time Delivery: Delivered on time</v>
      </c>
      <c r="Q440" s="14" t="str">
        <f>IFERROR(__xludf.DUMMYFUNCTION("split(P440,"":"")"),"On-time Delivery")</f>
        <v>On-time Delivery</v>
      </c>
      <c r="R440" s="14" t="str">
        <f>IFERROR(__xludf.DUMMYFUNCTION("""COMPUTED_VALUE""")," Delivered on time")</f>
        <v> Delivered on time</v>
      </c>
      <c r="S440" s="14" t="str">
        <f t="shared" ref="S440:U440" si="883">trim(B440)</f>
        <v>ord_10431</v>
      </c>
      <c r="T440" s="14" t="str">
        <f t="shared" si="883"/>
        <v>Pranav Joshi</v>
      </c>
      <c r="U440" s="14" t="str">
        <f t="shared" si="883"/>
        <v>Andheri</v>
      </c>
      <c r="V440" s="14" t="str">
        <f t="shared" si="4"/>
        <v>Apple</v>
      </c>
      <c r="W440" s="14">
        <f t="shared" si="5"/>
        <v>2</v>
      </c>
      <c r="X440" s="14" t="str">
        <f t="shared" si="6"/>
        <v>Ramesh S</v>
      </c>
      <c r="Y440" s="15">
        <f t="shared" si="7"/>
        <v>45067</v>
      </c>
      <c r="Z440" s="14" t="str">
        <f t="shared" si="8"/>
        <v>Online Payment</v>
      </c>
      <c r="AA440" s="14" t="str">
        <f t="shared" si="9"/>
        <v>Delivered</v>
      </c>
      <c r="AB440" s="14" t="str">
        <f t="shared" ref="AB440:AC440" si="884">trim(Q440)</f>
        <v>On-time Delivery</v>
      </c>
      <c r="AC440" s="14" t="str">
        <f t="shared" si="884"/>
        <v>Delivered on time</v>
      </c>
      <c r="AD440" s="8"/>
    </row>
    <row r="441">
      <c r="A441" s="14" t="str">
        <f>IFERROR(__xludf.DUMMYFUNCTION("""COMPUTED_VALUE"""),"//ord_10432//Aarohi Kapoor//Bandra//Guava+2*Sita T/9/21/2023//COD//Delivered*Quality of Items: Perfect condition")</f>
        <v>//ord_10432//Aarohi Kapoor//Bandra//Guava+2*Sita T/9/21/2023//COD//Delivered*Quality of Items: Perfect condition</v>
      </c>
      <c r="B441" s="14" t="str">
        <f>IFERROR(__xludf.DUMMYFUNCTION("split(A441,""//"")"),"ord_10432")</f>
        <v>ord_10432</v>
      </c>
      <c r="C441" s="14" t="str">
        <f>IFERROR(__xludf.DUMMYFUNCTION("""COMPUTED_VALUE"""),"Aarohi Kapoor")</f>
        <v>Aarohi Kapoor</v>
      </c>
      <c r="D441" s="14" t="str">
        <f>IFERROR(__xludf.DUMMYFUNCTION("""COMPUTED_VALUE"""),"Bandra")</f>
        <v>Bandra</v>
      </c>
      <c r="E441" s="14" t="str">
        <f>IFERROR(__xludf.DUMMYFUNCTION("""COMPUTED_VALUE"""),"Guava+2*Sita T")</f>
        <v>Guava+2*Sita T</v>
      </c>
      <c r="F441" s="14">
        <f>IFERROR(__xludf.DUMMYFUNCTION("""COMPUTED_VALUE"""),9.0)</f>
        <v>9</v>
      </c>
      <c r="G441" s="14">
        <f>IFERROR(__xludf.DUMMYFUNCTION("""COMPUTED_VALUE"""),21.0)</f>
        <v>21</v>
      </c>
      <c r="H441" s="14">
        <f>IFERROR(__xludf.DUMMYFUNCTION("""COMPUTED_VALUE"""),2023.0)</f>
        <v>2023</v>
      </c>
      <c r="I441" s="14" t="str">
        <f>IFERROR(__xludf.DUMMYFUNCTION("""COMPUTED_VALUE"""),"COD")</f>
        <v>COD</v>
      </c>
      <c r="J441" s="14" t="str">
        <f>IFERROR(__xludf.DUMMYFUNCTION("""COMPUTED_VALUE"""),"Delivered*Quality of Items: Perfect condition")</f>
        <v>Delivered*Quality of Items: Perfect condition</v>
      </c>
      <c r="K441" s="14" t="str">
        <f>IFERROR(__xludf.DUMMYFUNCTION("split(E441,""+"")"),"Guava")</f>
        <v>Guava</v>
      </c>
      <c r="L441" s="14" t="str">
        <f>IFERROR(__xludf.DUMMYFUNCTION("""COMPUTED_VALUE"""),"2*Sita T")</f>
        <v>2*Sita T</v>
      </c>
      <c r="M441" s="14">
        <f>IFERROR(__xludf.DUMMYFUNCTION("SPLIT(L441,""*"")"),2.0)</f>
        <v>2</v>
      </c>
      <c r="N441" s="14" t="str">
        <f>IFERROR(__xludf.DUMMYFUNCTION("""COMPUTED_VALUE"""),"Sita T")</f>
        <v>Sita T</v>
      </c>
      <c r="O441" s="14" t="str">
        <f>IFERROR(__xludf.DUMMYFUNCTION("split(J441,""*"")"),"Delivered")</f>
        <v>Delivered</v>
      </c>
      <c r="P441" s="14" t="str">
        <f>IFERROR(__xludf.DUMMYFUNCTION("""COMPUTED_VALUE"""),"Quality of Items: Perfect condition")</f>
        <v>Quality of Items: Perfect condition</v>
      </c>
      <c r="Q441" s="14" t="str">
        <f>IFERROR(__xludf.DUMMYFUNCTION("split(P441,"":"")"),"Quality of Items")</f>
        <v>Quality of Items</v>
      </c>
      <c r="R441" s="14" t="str">
        <f>IFERROR(__xludf.DUMMYFUNCTION("""COMPUTED_VALUE""")," Perfect condition")</f>
        <v> Perfect condition</v>
      </c>
      <c r="S441" s="14" t="str">
        <f t="shared" ref="S441:U441" si="885">trim(B441)</f>
        <v>ord_10432</v>
      </c>
      <c r="T441" s="14" t="str">
        <f t="shared" si="885"/>
        <v>Aarohi Kapoor</v>
      </c>
      <c r="U441" s="14" t="str">
        <f t="shared" si="885"/>
        <v>Bandra</v>
      </c>
      <c r="V441" s="14" t="str">
        <f t="shared" si="4"/>
        <v>Guava</v>
      </c>
      <c r="W441" s="14">
        <f t="shared" si="5"/>
        <v>2</v>
      </c>
      <c r="X441" s="14" t="str">
        <f t="shared" si="6"/>
        <v>Sita T</v>
      </c>
      <c r="Y441" s="15">
        <f t="shared" si="7"/>
        <v>45190</v>
      </c>
      <c r="Z441" s="14" t="str">
        <f t="shared" si="8"/>
        <v>COD</v>
      </c>
      <c r="AA441" s="14" t="str">
        <f t="shared" si="9"/>
        <v>Delivered</v>
      </c>
      <c r="AB441" s="14" t="str">
        <f t="shared" ref="AB441:AC441" si="886">trim(Q441)</f>
        <v>Quality of Items</v>
      </c>
      <c r="AC441" s="14" t="str">
        <f t="shared" si="886"/>
        <v>Perfect condition</v>
      </c>
      <c r="AD441" s="8"/>
    </row>
    <row r="442">
      <c r="A442" s="14" t="str">
        <f>IFERROR(__xludf.DUMMYFUNCTION("""COMPUTED_VALUE"""),"//ord_10433//Parth Goel//Juhu//Banana+1*Vivek Kumar/4/19/2023//Online Payment//Delivered*Packaging: Secure and intact")</f>
        <v>//ord_10433//Parth Goel//Juhu//Banana+1*Vivek Kumar/4/19/2023//Online Payment//Delivered*Packaging: Secure and intact</v>
      </c>
      <c r="B442" s="14" t="str">
        <f>IFERROR(__xludf.DUMMYFUNCTION("split(A442,""//"")"),"ord_10433")</f>
        <v>ord_10433</v>
      </c>
      <c r="C442" s="14" t="str">
        <f>IFERROR(__xludf.DUMMYFUNCTION("""COMPUTED_VALUE"""),"Parth Goel")</f>
        <v>Parth Goel</v>
      </c>
      <c r="D442" s="14" t="str">
        <f>IFERROR(__xludf.DUMMYFUNCTION("""COMPUTED_VALUE"""),"Juhu")</f>
        <v>Juhu</v>
      </c>
      <c r="E442" s="14" t="str">
        <f>IFERROR(__xludf.DUMMYFUNCTION("""COMPUTED_VALUE"""),"Banana+1*Vivek Kumar")</f>
        <v>Banana+1*Vivek Kumar</v>
      </c>
      <c r="F442" s="14">
        <f>IFERROR(__xludf.DUMMYFUNCTION("""COMPUTED_VALUE"""),4.0)</f>
        <v>4</v>
      </c>
      <c r="G442" s="14">
        <f>IFERROR(__xludf.DUMMYFUNCTION("""COMPUTED_VALUE"""),19.0)</f>
        <v>19</v>
      </c>
      <c r="H442" s="14">
        <f>IFERROR(__xludf.DUMMYFUNCTION("""COMPUTED_VALUE"""),2023.0)</f>
        <v>2023</v>
      </c>
      <c r="I442" s="14" t="str">
        <f>IFERROR(__xludf.DUMMYFUNCTION("""COMPUTED_VALUE"""),"Online Payment")</f>
        <v>Online Payment</v>
      </c>
      <c r="J442" s="14" t="str">
        <f>IFERROR(__xludf.DUMMYFUNCTION("""COMPUTED_VALUE"""),"Delivered*Packaging: Secure and intact")</f>
        <v>Delivered*Packaging: Secure and intact</v>
      </c>
      <c r="K442" s="14" t="str">
        <f>IFERROR(__xludf.DUMMYFUNCTION("split(E442,""+"")"),"Banana")</f>
        <v>Banana</v>
      </c>
      <c r="L442" s="14" t="str">
        <f>IFERROR(__xludf.DUMMYFUNCTION("""COMPUTED_VALUE"""),"1*Vivek Kumar")</f>
        <v>1*Vivek Kumar</v>
      </c>
      <c r="M442" s="14">
        <f>IFERROR(__xludf.DUMMYFUNCTION("SPLIT(L442,""*"")"),1.0)</f>
        <v>1</v>
      </c>
      <c r="N442" s="14" t="str">
        <f>IFERROR(__xludf.DUMMYFUNCTION("""COMPUTED_VALUE"""),"Vivek Kumar")</f>
        <v>Vivek Kumar</v>
      </c>
      <c r="O442" s="14" t="str">
        <f>IFERROR(__xludf.DUMMYFUNCTION("split(J442,""*"")"),"Delivered")</f>
        <v>Delivered</v>
      </c>
      <c r="P442" s="14" t="str">
        <f>IFERROR(__xludf.DUMMYFUNCTION("""COMPUTED_VALUE"""),"Packaging: Secure and intact")</f>
        <v>Packaging: Secure and intact</v>
      </c>
      <c r="Q442" s="14" t="str">
        <f>IFERROR(__xludf.DUMMYFUNCTION("split(P442,"":"")"),"Packaging")</f>
        <v>Packaging</v>
      </c>
      <c r="R442" s="14" t="str">
        <f>IFERROR(__xludf.DUMMYFUNCTION("""COMPUTED_VALUE""")," Secure and intact")</f>
        <v> Secure and intact</v>
      </c>
      <c r="S442" s="14" t="str">
        <f t="shared" ref="S442:U442" si="887">trim(B442)</f>
        <v>ord_10433</v>
      </c>
      <c r="T442" s="14" t="str">
        <f t="shared" si="887"/>
        <v>Parth Goel</v>
      </c>
      <c r="U442" s="14" t="str">
        <f t="shared" si="887"/>
        <v>Juhu</v>
      </c>
      <c r="V442" s="14" t="str">
        <f t="shared" si="4"/>
        <v>Banana</v>
      </c>
      <c r="W442" s="14">
        <f t="shared" si="5"/>
        <v>1</v>
      </c>
      <c r="X442" s="14" t="str">
        <f t="shared" si="6"/>
        <v>Vivek Kumar</v>
      </c>
      <c r="Y442" s="15">
        <f t="shared" si="7"/>
        <v>45035</v>
      </c>
      <c r="Z442" s="14" t="str">
        <f t="shared" si="8"/>
        <v>Online Payment</v>
      </c>
      <c r="AA442" s="14" t="str">
        <f t="shared" si="9"/>
        <v>Delivered</v>
      </c>
      <c r="AB442" s="14" t="str">
        <f t="shared" ref="AB442:AC442" si="888">trim(Q442)</f>
        <v>Packaging</v>
      </c>
      <c r="AC442" s="14" t="str">
        <f t="shared" si="888"/>
        <v>Secure and intact</v>
      </c>
      <c r="AD442" s="8"/>
    </row>
    <row r="443">
      <c r="A443" s="14" t="str">
        <f>IFERROR(__xludf.DUMMYFUNCTION("""COMPUTED_VALUE"""),"//ord_10434//Mehul Thakkar//Malad//Tiramisu+5*Not Assigned/8/3/2023//Online Payment//Cancelled*App Glitches:Slow Loading Time")</f>
        <v>//ord_10434//Mehul Thakkar//Malad//Tiramisu+5*Not Assigned/8/3/2023//Online Payment//Cancelled*App Glitches:Slow Loading Time</v>
      </c>
      <c r="B443" s="14" t="str">
        <f>IFERROR(__xludf.DUMMYFUNCTION("split(A443,""//"")"),"ord_10434")</f>
        <v>ord_10434</v>
      </c>
      <c r="C443" s="14" t="str">
        <f>IFERROR(__xludf.DUMMYFUNCTION("""COMPUTED_VALUE"""),"Mehul Thakkar")</f>
        <v>Mehul Thakkar</v>
      </c>
      <c r="D443" s="14" t="str">
        <f>IFERROR(__xludf.DUMMYFUNCTION("""COMPUTED_VALUE"""),"Malad")</f>
        <v>Malad</v>
      </c>
      <c r="E443" s="14" t="str">
        <f>IFERROR(__xludf.DUMMYFUNCTION("""COMPUTED_VALUE"""),"Tiramisu+5*Not Assigned")</f>
        <v>Tiramisu+5*Not Assigned</v>
      </c>
      <c r="F443" s="14">
        <f>IFERROR(__xludf.DUMMYFUNCTION("""COMPUTED_VALUE"""),8.0)</f>
        <v>8</v>
      </c>
      <c r="G443" s="14">
        <f>IFERROR(__xludf.DUMMYFUNCTION("""COMPUTED_VALUE"""),3.0)</f>
        <v>3</v>
      </c>
      <c r="H443" s="14">
        <f>IFERROR(__xludf.DUMMYFUNCTION("""COMPUTED_VALUE"""),2023.0)</f>
        <v>2023</v>
      </c>
      <c r="I443" s="14" t="str">
        <f>IFERROR(__xludf.DUMMYFUNCTION("""COMPUTED_VALUE"""),"Online Payment")</f>
        <v>Online Payment</v>
      </c>
      <c r="J443" s="14" t="str">
        <f>IFERROR(__xludf.DUMMYFUNCTION("""COMPUTED_VALUE"""),"Cancelled*App Glitches:Slow Loading Time")</f>
        <v>Cancelled*App Glitches:Slow Loading Time</v>
      </c>
      <c r="K443" s="14" t="str">
        <f>IFERROR(__xludf.DUMMYFUNCTION("split(E443,""+"")"),"Tiramisu")</f>
        <v>Tiramisu</v>
      </c>
      <c r="L443" s="14" t="str">
        <f>IFERROR(__xludf.DUMMYFUNCTION("""COMPUTED_VALUE"""),"5*Not Assigned")</f>
        <v>5*Not Assigned</v>
      </c>
      <c r="M443" s="14">
        <f>IFERROR(__xludf.DUMMYFUNCTION("SPLIT(L443,""*"")"),5.0)</f>
        <v>5</v>
      </c>
      <c r="N443" s="14" t="str">
        <f>IFERROR(__xludf.DUMMYFUNCTION("""COMPUTED_VALUE"""),"Not Assigned")</f>
        <v>Not Assigned</v>
      </c>
      <c r="O443" s="14" t="str">
        <f>IFERROR(__xludf.DUMMYFUNCTION("split(J443,""*"")"),"Cancelled")</f>
        <v>Cancelled</v>
      </c>
      <c r="P443" s="14" t="str">
        <f>IFERROR(__xludf.DUMMYFUNCTION("""COMPUTED_VALUE"""),"App Glitches:Slow Loading Time")</f>
        <v>App Glitches:Slow Loading Time</v>
      </c>
      <c r="Q443" s="14" t="str">
        <f>IFERROR(__xludf.DUMMYFUNCTION("split(P443,"":"")"),"App Glitches")</f>
        <v>App Glitches</v>
      </c>
      <c r="R443" s="14" t="str">
        <f>IFERROR(__xludf.DUMMYFUNCTION("""COMPUTED_VALUE"""),"Slow Loading Time")</f>
        <v>Slow Loading Time</v>
      </c>
      <c r="S443" s="14" t="str">
        <f t="shared" ref="S443:U443" si="889">trim(B443)</f>
        <v>ord_10434</v>
      </c>
      <c r="T443" s="14" t="str">
        <f t="shared" si="889"/>
        <v>Mehul Thakkar</v>
      </c>
      <c r="U443" s="14" t="str">
        <f t="shared" si="889"/>
        <v>Malad</v>
      </c>
      <c r="V443" s="14" t="str">
        <f t="shared" si="4"/>
        <v>Tiramisu</v>
      </c>
      <c r="W443" s="14">
        <f t="shared" si="5"/>
        <v>5</v>
      </c>
      <c r="X443" s="14" t="str">
        <f t="shared" si="6"/>
        <v>Not Assigned</v>
      </c>
      <c r="Y443" s="15">
        <f t="shared" si="7"/>
        <v>45141</v>
      </c>
      <c r="Z443" s="14" t="str">
        <f t="shared" si="8"/>
        <v>Online Payment</v>
      </c>
      <c r="AA443" s="14" t="str">
        <f t="shared" si="9"/>
        <v>Cancelled</v>
      </c>
      <c r="AB443" s="14" t="str">
        <f t="shared" ref="AB443:AC443" si="890">trim(Q443)</f>
        <v>App Glitches</v>
      </c>
      <c r="AC443" s="14" t="str">
        <f t="shared" si="890"/>
        <v>Slow Loading Time</v>
      </c>
      <c r="AD443" s="8"/>
    </row>
    <row r="444">
      <c r="A444" s="14" t="str">
        <f>IFERROR(__xludf.DUMMYFUNCTION("""COMPUTED_VALUE"""),"//ord_10435//Diya Arora//Lower Parel//Juice+1*Shine Thomas/9/7/2023//UPI//Delivered*Satisfied with the Delivery: Timely and quality")</f>
        <v>//ord_10435//Diya Arora//Lower Parel//Juice+1*Shine Thomas/9/7/2023//UPI//Delivered*Satisfied with the Delivery: Timely and quality</v>
      </c>
      <c r="B444" s="14" t="str">
        <f>IFERROR(__xludf.DUMMYFUNCTION("split(A444,""//"")"),"ord_10435")</f>
        <v>ord_10435</v>
      </c>
      <c r="C444" s="14" t="str">
        <f>IFERROR(__xludf.DUMMYFUNCTION("""COMPUTED_VALUE"""),"Diya Arora")</f>
        <v>Diya Arora</v>
      </c>
      <c r="D444" s="14" t="str">
        <f>IFERROR(__xludf.DUMMYFUNCTION("""COMPUTED_VALUE"""),"Lower Parel")</f>
        <v>Lower Parel</v>
      </c>
      <c r="E444" s="14" t="str">
        <f>IFERROR(__xludf.DUMMYFUNCTION("""COMPUTED_VALUE"""),"Juice+1*Shine Thomas")</f>
        <v>Juice+1*Shine Thomas</v>
      </c>
      <c r="F444" s="14">
        <f>IFERROR(__xludf.DUMMYFUNCTION("""COMPUTED_VALUE"""),9.0)</f>
        <v>9</v>
      </c>
      <c r="G444" s="14">
        <f>IFERROR(__xludf.DUMMYFUNCTION("""COMPUTED_VALUE"""),7.0)</f>
        <v>7</v>
      </c>
      <c r="H444" s="14">
        <f>IFERROR(__xludf.DUMMYFUNCTION("""COMPUTED_VALUE"""),2023.0)</f>
        <v>2023</v>
      </c>
      <c r="I444" s="14" t="str">
        <f>IFERROR(__xludf.DUMMYFUNCTION("""COMPUTED_VALUE"""),"UPI")</f>
        <v>UPI</v>
      </c>
      <c r="J444" s="14" t="str">
        <f>IFERROR(__xludf.DUMMYFUNCTION("""COMPUTED_VALUE"""),"Delivered*Satisfied with the Delivery: Timely and quality")</f>
        <v>Delivered*Satisfied with the Delivery: Timely and quality</v>
      </c>
      <c r="K444" s="14" t="str">
        <f>IFERROR(__xludf.DUMMYFUNCTION("split(E444,""+"")"),"Juice")</f>
        <v>Juice</v>
      </c>
      <c r="L444" s="14" t="str">
        <f>IFERROR(__xludf.DUMMYFUNCTION("""COMPUTED_VALUE"""),"1*Shine Thomas")</f>
        <v>1*Shine Thomas</v>
      </c>
      <c r="M444" s="14">
        <f>IFERROR(__xludf.DUMMYFUNCTION("SPLIT(L444,""*"")"),1.0)</f>
        <v>1</v>
      </c>
      <c r="N444" s="14" t="str">
        <f>IFERROR(__xludf.DUMMYFUNCTION("""COMPUTED_VALUE"""),"Shine Thomas")</f>
        <v>Shine Thomas</v>
      </c>
      <c r="O444" s="14" t="str">
        <f>IFERROR(__xludf.DUMMYFUNCTION("split(J444,""*"")"),"Delivered")</f>
        <v>Delivered</v>
      </c>
      <c r="P444" s="14" t="str">
        <f>IFERROR(__xludf.DUMMYFUNCTION("""COMPUTED_VALUE"""),"Satisfied with the Delivery: Timely and quality")</f>
        <v>Satisfied with the Delivery: Timely and quality</v>
      </c>
      <c r="Q444" s="14" t="str">
        <f>IFERROR(__xludf.DUMMYFUNCTION("split(P444,"":"")"),"Satisfied with the Delivery")</f>
        <v>Satisfied with the Delivery</v>
      </c>
      <c r="R444" s="14" t="str">
        <f>IFERROR(__xludf.DUMMYFUNCTION("""COMPUTED_VALUE""")," Timely and quality")</f>
        <v> Timely and quality</v>
      </c>
      <c r="S444" s="14" t="str">
        <f t="shared" ref="S444:U444" si="891">trim(B444)</f>
        <v>ord_10435</v>
      </c>
      <c r="T444" s="14" t="str">
        <f t="shared" si="891"/>
        <v>Diya Arora</v>
      </c>
      <c r="U444" s="14" t="str">
        <f t="shared" si="891"/>
        <v>Lower Parel</v>
      </c>
      <c r="V444" s="14" t="str">
        <f t="shared" si="4"/>
        <v>Juice</v>
      </c>
      <c r="W444" s="14">
        <f t="shared" si="5"/>
        <v>1</v>
      </c>
      <c r="X444" s="14" t="str">
        <f t="shared" si="6"/>
        <v>Shine Thomas</v>
      </c>
      <c r="Y444" s="15">
        <f t="shared" si="7"/>
        <v>45176</v>
      </c>
      <c r="Z444" s="14" t="str">
        <f t="shared" si="8"/>
        <v>UPI</v>
      </c>
      <c r="AA444" s="14" t="str">
        <f t="shared" si="9"/>
        <v>Delivered</v>
      </c>
      <c r="AB444" s="14" t="str">
        <f t="shared" ref="AB444:AC444" si="892">trim(Q444)</f>
        <v>Satisfied with the Delivery</v>
      </c>
      <c r="AC444" s="14" t="str">
        <f t="shared" si="892"/>
        <v>Timely and quality</v>
      </c>
      <c r="AD444" s="8"/>
    </row>
    <row r="445">
      <c r="A445" s="14" t="str">
        <f>IFERROR(__xludf.DUMMYFUNCTION("""COMPUTED_VALUE"""),"//ord_10436//Sanjay Nair//Dadar//Potato+2*Ram Gopal/8/17/2023//UPI//Delivered*Customer Service: Seamless and easy")</f>
        <v>//ord_10436//Sanjay Nair//Dadar//Potato+2*Ram Gopal/8/17/2023//UPI//Delivered*Customer Service: Seamless and easy</v>
      </c>
      <c r="B445" s="14" t="str">
        <f>IFERROR(__xludf.DUMMYFUNCTION("split(A445,""//"")"),"ord_10436")</f>
        <v>ord_10436</v>
      </c>
      <c r="C445" s="14" t="str">
        <f>IFERROR(__xludf.DUMMYFUNCTION("""COMPUTED_VALUE"""),"Sanjay Nair")</f>
        <v>Sanjay Nair</v>
      </c>
      <c r="D445" s="14" t="str">
        <f>IFERROR(__xludf.DUMMYFUNCTION("""COMPUTED_VALUE"""),"Dadar")</f>
        <v>Dadar</v>
      </c>
      <c r="E445" s="14" t="str">
        <f>IFERROR(__xludf.DUMMYFUNCTION("""COMPUTED_VALUE"""),"Potato+2*Ram Gopal")</f>
        <v>Potato+2*Ram Gopal</v>
      </c>
      <c r="F445" s="14">
        <f>IFERROR(__xludf.DUMMYFUNCTION("""COMPUTED_VALUE"""),8.0)</f>
        <v>8</v>
      </c>
      <c r="G445" s="14">
        <f>IFERROR(__xludf.DUMMYFUNCTION("""COMPUTED_VALUE"""),17.0)</f>
        <v>17</v>
      </c>
      <c r="H445" s="14">
        <f>IFERROR(__xludf.DUMMYFUNCTION("""COMPUTED_VALUE"""),2023.0)</f>
        <v>2023</v>
      </c>
      <c r="I445" s="14" t="str">
        <f>IFERROR(__xludf.DUMMYFUNCTION("""COMPUTED_VALUE"""),"UPI")</f>
        <v>UPI</v>
      </c>
      <c r="J445" s="14" t="str">
        <f>IFERROR(__xludf.DUMMYFUNCTION("""COMPUTED_VALUE"""),"Delivered*Customer Service: Seamless and easy")</f>
        <v>Delivered*Customer Service: Seamless and easy</v>
      </c>
      <c r="K445" s="14" t="str">
        <f>IFERROR(__xludf.DUMMYFUNCTION("split(E445,""+"")"),"Potato")</f>
        <v>Potato</v>
      </c>
      <c r="L445" s="14" t="str">
        <f>IFERROR(__xludf.DUMMYFUNCTION("""COMPUTED_VALUE"""),"2*Ram Gopal")</f>
        <v>2*Ram Gopal</v>
      </c>
      <c r="M445" s="14">
        <f>IFERROR(__xludf.DUMMYFUNCTION("SPLIT(L445,""*"")"),2.0)</f>
        <v>2</v>
      </c>
      <c r="N445" s="14" t="str">
        <f>IFERROR(__xludf.DUMMYFUNCTION("""COMPUTED_VALUE"""),"Ram Gopal")</f>
        <v>Ram Gopal</v>
      </c>
      <c r="O445" s="14" t="str">
        <f>IFERROR(__xludf.DUMMYFUNCTION("split(J445,""*"")"),"Delivered")</f>
        <v>Delivered</v>
      </c>
      <c r="P445" s="14" t="str">
        <f>IFERROR(__xludf.DUMMYFUNCTION("""COMPUTED_VALUE"""),"Customer Service: Seamless and easy")</f>
        <v>Customer Service: Seamless and easy</v>
      </c>
      <c r="Q445" s="14" t="str">
        <f>IFERROR(__xludf.DUMMYFUNCTION("split(P445,"":"")"),"Customer Service")</f>
        <v>Customer Service</v>
      </c>
      <c r="R445" s="14" t="str">
        <f>IFERROR(__xludf.DUMMYFUNCTION("""COMPUTED_VALUE""")," Seamless and easy")</f>
        <v> Seamless and easy</v>
      </c>
      <c r="S445" s="14" t="str">
        <f t="shared" ref="S445:U445" si="893">trim(B445)</f>
        <v>ord_10436</v>
      </c>
      <c r="T445" s="14" t="str">
        <f t="shared" si="893"/>
        <v>Sanjay Nair</v>
      </c>
      <c r="U445" s="14" t="str">
        <f t="shared" si="893"/>
        <v>Dadar</v>
      </c>
      <c r="V445" s="14" t="str">
        <f t="shared" si="4"/>
        <v>Potato</v>
      </c>
      <c r="W445" s="14">
        <f t="shared" si="5"/>
        <v>2</v>
      </c>
      <c r="X445" s="14" t="str">
        <f t="shared" si="6"/>
        <v>Ram Gopal</v>
      </c>
      <c r="Y445" s="15">
        <f t="shared" si="7"/>
        <v>45155</v>
      </c>
      <c r="Z445" s="14" t="str">
        <f t="shared" si="8"/>
        <v>UPI</v>
      </c>
      <c r="AA445" s="14" t="str">
        <f t="shared" si="9"/>
        <v>Delivered</v>
      </c>
      <c r="AB445" s="14" t="str">
        <f t="shared" ref="AB445:AC445" si="894">trim(Q445)</f>
        <v>Customer Service</v>
      </c>
      <c r="AC445" s="14" t="str">
        <f t="shared" si="894"/>
        <v>Seamless and easy</v>
      </c>
      <c r="AD445" s="8"/>
    </row>
    <row r="446">
      <c r="A446" s="14" t="str">
        <f>IFERROR(__xludf.DUMMYFUNCTION("""COMPUTED_VALUE"""),"//ord_10437//Sakshi Tandon//Colaba//Tiramisu+2*Manju Ajay/12/16/2023//UPI//Delivered*Delivery Experience: Quick and professional")</f>
        <v>//ord_10437//Sakshi Tandon//Colaba//Tiramisu+2*Manju Ajay/12/16/2023//UPI//Delivered*Delivery Experience: Quick and professional</v>
      </c>
      <c r="B446" s="14" t="str">
        <f>IFERROR(__xludf.DUMMYFUNCTION("split(A446,""//"")"),"ord_10437")</f>
        <v>ord_10437</v>
      </c>
      <c r="C446" s="14" t="str">
        <f>IFERROR(__xludf.DUMMYFUNCTION("""COMPUTED_VALUE"""),"Sakshi Tandon")</f>
        <v>Sakshi Tandon</v>
      </c>
      <c r="D446" s="14" t="str">
        <f>IFERROR(__xludf.DUMMYFUNCTION("""COMPUTED_VALUE"""),"Colaba")</f>
        <v>Colaba</v>
      </c>
      <c r="E446" s="14" t="str">
        <f>IFERROR(__xludf.DUMMYFUNCTION("""COMPUTED_VALUE"""),"Tiramisu+2*Manju Ajay")</f>
        <v>Tiramisu+2*Manju Ajay</v>
      </c>
      <c r="F446" s="14">
        <f>IFERROR(__xludf.DUMMYFUNCTION("""COMPUTED_VALUE"""),12.0)</f>
        <v>12</v>
      </c>
      <c r="G446" s="14">
        <f>IFERROR(__xludf.DUMMYFUNCTION("""COMPUTED_VALUE"""),16.0)</f>
        <v>16</v>
      </c>
      <c r="H446" s="14">
        <f>IFERROR(__xludf.DUMMYFUNCTION("""COMPUTED_VALUE"""),2023.0)</f>
        <v>2023</v>
      </c>
      <c r="I446" s="14" t="str">
        <f>IFERROR(__xludf.DUMMYFUNCTION("""COMPUTED_VALUE"""),"UPI")</f>
        <v>UPI</v>
      </c>
      <c r="J446" s="14" t="str">
        <f>IFERROR(__xludf.DUMMYFUNCTION("""COMPUTED_VALUE"""),"Delivered*Delivery Experience: Quick and professional")</f>
        <v>Delivered*Delivery Experience: Quick and professional</v>
      </c>
      <c r="K446" s="14" t="str">
        <f>IFERROR(__xludf.DUMMYFUNCTION("split(E446,""+"")"),"Tiramisu")</f>
        <v>Tiramisu</v>
      </c>
      <c r="L446" s="14" t="str">
        <f>IFERROR(__xludf.DUMMYFUNCTION("""COMPUTED_VALUE"""),"2*Manju Ajay")</f>
        <v>2*Manju Ajay</v>
      </c>
      <c r="M446" s="14">
        <f>IFERROR(__xludf.DUMMYFUNCTION("SPLIT(L446,""*"")"),2.0)</f>
        <v>2</v>
      </c>
      <c r="N446" s="14" t="str">
        <f>IFERROR(__xludf.DUMMYFUNCTION("""COMPUTED_VALUE"""),"Manju Ajay")</f>
        <v>Manju Ajay</v>
      </c>
      <c r="O446" s="14" t="str">
        <f>IFERROR(__xludf.DUMMYFUNCTION("split(J446,""*"")"),"Delivered")</f>
        <v>Delivered</v>
      </c>
      <c r="P446" s="14" t="str">
        <f>IFERROR(__xludf.DUMMYFUNCTION("""COMPUTED_VALUE"""),"Delivery Experience: Quick and professional")</f>
        <v>Delivery Experience: Quick and professional</v>
      </c>
      <c r="Q446" s="14" t="str">
        <f>IFERROR(__xludf.DUMMYFUNCTION("split(P446,"":"")"),"Delivery Experience")</f>
        <v>Delivery Experience</v>
      </c>
      <c r="R446" s="14" t="str">
        <f>IFERROR(__xludf.DUMMYFUNCTION("""COMPUTED_VALUE""")," Quick and professional")</f>
        <v> Quick and professional</v>
      </c>
      <c r="S446" s="14" t="str">
        <f t="shared" ref="S446:U446" si="895">trim(B446)</f>
        <v>ord_10437</v>
      </c>
      <c r="T446" s="14" t="str">
        <f t="shared" si="895"/>
        <v>Sakshi Tandon</v>
      </c>
      <c r="U446" s="14" t="str">
        <f t="shared" si="895"/>
        <v>Colaba</v>
      </c>
      <c r="V446" s="14" t="str">
        <f t="shared" si="4"/>
        <v>Tiramisu</v>
      </c>
      <c r="W446" s="14">
        <f t="shared" si="5"/>
        <v>2</v>
      </c>
      <c r="X446" s="14" t="str">
        <f t="shared" si="6"/>
        <v>Manju Ajay</v>
      </c>
      <c r="Y446" s="15">
        <f t="shared" si="7"/>
        <v>45276</v>
      </c>
      <c r="Z446" s="14" t="str">
        <f t="shared" si="8"/>
        <v>UPI</v>
      </c>
      <c r="AA446" s="14" t="str">
        <f t="shared" si="9"/>
        <v>Delivered</v>
      </c>
      <c r="AB446" s="14" t="str">
        <f t="shared" ref="AB446:AC446" si="896">trim(Q446)</f>
        <v>Delivery Experience</v>
      </c>
      <c r="AC446" s="14" t="str">
        <f t="shared" si="896"/>
        <v>Quick and professional</v>
      </c>
      <c r="AD446" s="8"/>
    </row>
    <row r="447">
      <c r="A447" s="14" t="str">
        <f>IFERROR(__xludf.DUMMYFUNCTION("""COMPUTED_VALUE"""),"//ord_10438//Tanishq Bansal//Powai//Juice+2*Nithin Lal/5/29/2023//Credit Card//Delivered*Convenience: Easy tracking")</f>
        <v>//ord_10438//Tanishq Bansal//Powai//Juice+2*Nithin Lal/5/29/2023//Credit Card//Delivered*Convenience: Easy tracking</v>
      </c>
      <c r="B447" s="14" t="str">
        <f>IFERROR(__xludf.DUMMYFUNCTION("split(A447,""//"")"),"ord_10438")</f>
        <v>ord_10438</v>
      </c>
      <c r="C447" s="14" t="str">
        <f>IFERROR(__xludf.DUMMYFUNCTION("""COMPUTED_VALUE"""),"Tanishq Bansal")</f>
        <v>Tanishq Bansal</v>
      </c>
      <c r="D447" s="14" t="str">
        <f>IFERROR(__xludf.DUMMYFUNCTION("""COMPUTED_VALUE"""),"Powai")</f>
        <v>Powai</v>
      </c>
      <c r="E447" s="14" t="str">
        <f>IFERROR(__xludf.DUMMYFUNCTION("""COMPUTED_VALUE"""),"Juice+2*Nithin Lal")</f>
        <v>Juice+2*Nithin Lal</v>
      </c>
      <c r="F447" s="14">
        <f>IFERROR(__xludf.DUMMYFUNCTION("""COMPUTED_VALUE"""),5.0)</f>
        <v>5</v>
      </c>
      <c r="G447" s="14">
        <f>IFERROR(__xludf.DUMMYFUNCTION("""COMPUTED_VALUE"""),29.0)</f>
        <v>29</v>
      </c>
      <c r="H447" s="14">
        <f>IFERROR(__xludf.DUMMYFUNCTION("""COMPUTED_VALUE"""),2023.0)</f>
        <v>2023</v>
      </c>
      <c r="I447" s="14" t="str">
        <f>IFERROR(__xludf.DUMMYFUNCTION("""COMPUTED_VALUE"""),"Credit Card")</f>
        <v>Credit Card</v>
      </c>
      <c r="J447" s="14" t="str">
        <f>IFERROR(__xludf.DUMMYFUNCTION("""COMPUTED_VALUE"""),"Delivered*Convenience: Easy tracking")</f>
        <v>Delivered*Convenience: Easy tracking</v>
      </c>
      <c r="K447" s="14" t="str">
        <f>IFERROR(__xludf.DUMMYFUNCTION("split(E447,""+"")"),"Juice")</f>
        <v>Juice</v>
      </c>
      <c r="L447" s="14" t="str">
        <f>IFERROR(__xludf.DUMMYFUNCTION("""COMPUTED_VALUE"""),"2*Nithin Lal")</f>
        <v>2*Nithin Lal</v>
      </c>
      <c r="M447" s="14">
        <f>IFERROR(__xludf.DUMMYFUNCTION("SPLIT(L447,""*"")"),2.0)</f>
        <v>2</v>
      </c>
      <c r="N447" s="14" t="str">
        <f>IFERROR(__xludf.DUMMYFUNCTION("""COMPUTED_VALUE"""),"Nithin Lal")</f>
        <v>Nithin Lal</v>
      </c>
      <c r="O447" s="14" t="str">
        <f>IFERROR(__xludf.DUMMYFUNCTION("split(J447,""*"")"),"Delivered")</f>
        <v>Delivered</v>
      </c>
      <c r="P447" s="14" t="str">
        <f>IFERROR(__xludf.DUMMYFUNCTION("""COMPUTED_VALUE"""),"Convenience: Easy tracking")</f>
        <v>Convenience: Easy tracking</v>
      </c>
      <c r="Q447" s="14" t="str">
        <f>IFERROR(__xludf.DUMMYFUNCTION("split(P447,"":"")"),"Convenience")</f>
        <v>Convenience</v>
      </c>
      <c r="R447" s="14" t="str">
        <f>IFERROR(__xludf.DUMMYFUNCTION("""COMPUTED_VALUE""")," Easy tracking")</f>
        <v> Easy tracking</v>
      </c>
      <c r="S447" s="14" t="str">
        <f t="shared" ref="S447:U447" si="897">trim(B447)</f>
        <v>ord_10438</v>
      </c>
      <c r="T447" s="14" t="str">
        <f t="shared" si="897"/>
        <v>Tanishq Bansal</v>
      </c>
      <c r="U447" s="14" t="str">
        <f t="shared" si="897"/>
        <v>Powai</v>
      </c>
      <c r="V447" s="14" t="str">
        <f t="shared" si="4"/>
        <v>Juice</v>
      </c>
      <c r="W447" s="14">
        <f t="shared" si="5"/>
        <v>2</v>
      </c>
      <c r="X447" s="14" t="str">
        <f t="shared" si="6"/>
        <v>Nithin Lal</v>
      </c>
      <c r="Y447" s="15">
        <f t="shared" si="7"/>
        <v>45075</v>
      </c>
      <c r="Z447" s="14" t="str">
        <f t="shared" si="8"/>
        <v>Credit Card</v>
      </c>
      <c r="AA447" s="14" t="str">
        <f t="shared" si="9"/>
        <v>Delivered</v>
      </c>
      <c r="AB447" s="14" t="str">
        <f t="shared" ref="AB447:AC447" si="898">trim(Q447)</f>
        <v>Convenience</v>
      </c>
      <c r="AC447" s="14" t="str">
        <f t="shared" si="898"/>
        <v>Easy tracking</v>
      </c>
      <c r="AD447" s="8"/>
    </row>
    <row r="448">
      <c r="A448" s="14" t="str">
        <f>IFERROR(__xludf.DUMMYFUNCTION("""COMPUTED_VALUE"""),"//ord_10439//Sakshi Tandon//Colaba//Chocolate Mousse+1*Nikhil Deshmukh/8/19/2023//Credit Card//Delivered*Overall Satisfaction: Great service will order again")</f>
        <v>//ord_10439//Sakshi Tandon//Colaba//Chocolate Mousse+1*Nikhil Deshmukh/8/19/2023//Credit Card//Delivered*Overall Satisfaction: Great service will order again</v>
      </c>
      <c r="B448" s="14" t="str">
        <f>IFERROR(__xludf.DUMMYFUNCTION("split(A448,""//"")"),"ord_10439")</f>
        <v>ord_10439</v>
      </c>
      <c r="C448" s="14" t="str">
        <f>IFERROR(__xludf.DUMMYFUNCTION("""COMPUTED_VALUE"""),"Sakshi Tandon")</f>
        <v>Sakshi Tandon</v>
      </c>
      <c r="D448" s="14" t="str">
        <f>IFERROR(__xludf.DUMMYFUNCTION("""COMPUTED_VALUE"""),"Colaba")</f>
        <v>Colaba</v>
      </c>
      <c r="E448" s="14" t="str">
        <f>IFERROR(__xludf.DUMMYFUNCTION("""COMPUTED_VALUE"""),"Chocolate Mousse+1*Nikhil Deshmukh")</f>
        <v>Chocolate Mousse+1*Nikhil Deshmukh</v>
      </c>
      <c r="F448" s="14">
        <f>IFERROR(__xludf.DUMMYFUNCTION("""COMPUTED_VALUE"""),8.0)</f>
        <v>8</v>
      </c>
      <c r="G448" s="14">
        <f>IFERROR(__xludf.DUMMYFUNCTION("""COMPUTED_VALUE"""),19.0)</f>
        <v>19</v>
      </c>
      <c r="H448" s="14">
        <f>IFERROR(__xludf.DUMMYFUNCTION("""COMPUTED_VALUE"""),2023.0)</f>
        <v>2023</v>
      </c>
      <c r="I448" s="14" t="str">
        <f>IFERROR(__xludf.DUMMYFUNCTION("""COMPUTED_VALUE"""),"Credit Card")</f>
        <v>Credit Card</v>
      </c>
      <c r="J448" s="14" t="str">
        <f>IFERROR(__xludf.DUMMYFUNCTION("""COMPUTED_VALUE"""),"Delivered*Overall Satisfaction: Great service will order again")</f>
        <v>Delivered*Overall Satisfaction: Great service will order again</v>
      </c>
      <c r="K448" s="14" t="str">
        <f>IFERROR(__xludf.DUMMYFUNCTION("split(E448,""+"")"),"Chocolate Mousse")</f>
        <v>Chocolate Mousse</v>
      </c>
      <c r="L448" s="14" t="str">
        <f>IFERROR(__xludf.DUMMYFUNCTION("""COMPUTED_VALUE"""),"1*Nikhil Deshmukh")</f>
        <v>1*Nikhil Deshmukh</v>
      </c>
      <c r="M448" s="14">
        <f>IFERROR(__xludf.DUMMYFUNCTION("SPLIT(L448,""*"")"),1.0)</f>
        <v>1</v>
      </c>
      <c r="N448" s="14" t="str">
        <f>IFERROR(__xludf.DUMMYFUNCTION("""COMPUTED_VALUE"""),"Nikhil Deshmukh")</f>
        <v>Nikhil Deshmukh</v>
      </c>
      <c r="O448" s="14" t="str">
        <f>IFERROR(__xludf.DUMMYFUNCTION("split(J448,""*"")"),"Delivered")</f>
        <v>Delivered</v>
      </c>
      <c r="P448" s="14" t="str">
        <f>IFERROR(__xludf.DUMMYFUNCTION("""COMPUTED_VALUE"""),"Overall Satisfaction: Great service will order again")</f>
        <v>Overall Satisfaction: Great service will order again</v>
      </c>
      <c r="Q448" s="14" t="str">
        <f>IFERROR(__xludf.DUMMYFUNCTION("split(P448,"":"")"),"Overall Satisfaction")</f>
        <v>Overall Satisfaction</v>
      </c>
      <c r="R448" s="14" t="str">
        <f>IFERROR(__xludf.DUMMYFUNCTION("""COMPUTED_VALUE""")," Great service will order again")</f>
        <v> Great service will order again</v>
      </c>
      <c r="S448" s="14" t="str">
        <f t="shared" ref="S448:U448" si="899">trim(B448)</f>
        <v>ord_10439</v>
      </c>
      <c r="T448" s="14" t="str">
        <f t="shared" si="899"/>
        <v>Sakshi Tandon</v>
      </c>
      <c r="U448" s="14" t="str">
        <f t="shared" si="899"/>
        <v>Colaba</v>
      </c>
      <c r="V448" s="14" t="str">
        <f t="shared" si="4"/>
        <v>Chocolate Mousse</v>
      </c>
      <c r="W448" s="14">
        <f t="shared" si="5"/>
        <v>1</v>
      </c>
      <c r="X448" s="14" t="str">
        <f t="shared" si="6"/>
        <v>Nikhil Deshmukh</v>
      </c>
      <c r="Y448" s="15">
        <f t="shared" si="7"/>
        <v>45157</v>
      </c>
      <c r="Z448" s="14" t="str">
        <f t="shared" si="8"/>
        <v>Credit Card</v>
      </c>
      <c r="AA448" s="14" t="str">
        <f t="shared" si="9"/>
        <v>Delivered</v>
      </c>
      <c r="AB448" s="14" t="str">
        <f t="shared" ref="AB448:AC448" si="900">trim(Q448)</f>
        <v>Overall Satisfaction</v>
      </c>
      <c r="AC448" s="14" t="str">
        <f t="shared" si="900"/>
        <v>Great service will order again</v>
      </c>
      <c r="AD448" s="8"/>
    </row>
    <row r="449">
      <c r="A449" s="14" t="str">
        <f>IFERROR(__xludf.DUMMYFUNCTION("""COMPUTED_VALUE"""),"//ord_10440//Kritika Shetty//Malad//Guava+2*Nithin Lal/12/1/2023//Credit Card//Cancelled*Delayed Delivery:High Order Volume")</f>
        <v>//ord_10440//Kritika Shetty//Malad//Guava+2*Nithin Lal/12/1/2023//Credit Card//Cancelled*Delayed Delivery:High Order Volume</v>
      </c>
      <c r="B449" s="14" t="str">
        <f>IFERROR(__xludf.DUMMYFUNCTION("split(A449,""//"")"),"ord_10440")</f>
        <v>ord_10440</v>
      </c>
      <c r="C449" s="14" t="str">
        <f>IFERROR(__xludf.DUMMYFUNCTION("""COMPUTED_VALUE"""),"Kritika Shetty")</f>
        <v>Kritika Shetty</v>
      </c>
      <c r="D449" s="14" t="str">
        <f>IFERROR(__xludf.DUMMYFUNCTION("""COMPUTED_VALUE"""),"Malad")</f>
        <v>Malad</v>
      </c>
      <c r="E449" s="14" t="str">
        <f>IFERROR(__xludf.DUMMYFUNCTION("""COMPUTED_VALUE"""),"Guava+2*Nithin Lal")</f>
        <v>Guava+2*Nithin Lal</v>
      </c>
      <c r="F449" s="14">
        <f>IFERROR(__xludf.DUMMYFUNCTION("""COMPUTED_VALUE"""),12.0)</f>
        <v>12</v>
      </c>
      <c r="G449" s="14">
        <f>IFERROR(__xludf.DUMMYFUNCTION("""COMPUTED_VALUE"""),1.0)</f>
        <v>1</v>
      </c>
      <c r="H449" s="14">
        <f>IFERROR(__xludf.DUMMYFUNCTION("""COMPUTED_VALUE"""),2023.0)</f>
        <v>2023</v>
      </c>
      <c r="I449" s="14" t="str">
        <f>IFERROR(__xludf.DUMMYFUNCTION("""COMPUTED_VALUE"""),"Credit Card")</f>
        <v>Credit Card</v>
      </c>
      <c r="J449" s="14" t="str">
        <f>IFERROR(__xludf.DUMMYFUNCTION("""COMPUTED_VALUE"""),"Cancelled*Delayed Delivery:High Order Volume")</f>
        <v>Cancelled*Delayed Delivery:High Order Volume</v>
      </c>
      <c r="K449" s="14" t="str">
        <f>IFERROR(__xludf.DUMMYFUNCTION("split(E449,""+"")"),"Guava")</f>
        <v>Guava</v>
      </c>
      <c r="L449" s="14" t="str">
        <f>IFERROR(__xludf.DUMMYFUNCTION("""COMPUTED_VALUE"""),"2*Nithin Lal")</f>
        <v>2*Nithin Lal</v>
      </c>
      <c r="M449" s="14">
        <f>IFERROR(__xludf.DUMMYFUNCTION("SPLIT(L449,""*"")"),2.0)</f>
        <v>2</v>
      </c>
      <c r="N449" s="14" t="str">
        <f>IFERROR(__xludf.DUMMYFUNCTION("""COMPUTED_VALUE"""),"Nithin Lal")</f>
        <v>Nithin Lal</v>
      </c>
      <c r="O449" s="14" t="str">
        <f>IFERROR(__xludf.DUMMYFUNCTION("split(J449,""*"")"),"Cancelled")</f>
        <v>Cancelled</v>
      </c>
      <c r="P449" s="14" t="str">
        <f>IFERROR(__xludf.DUMMYFUNCTION("""COMPUTED_VALUE"""),"Delayed Delivery:High Order Volume")</f>
        <v>Delayed Delivery:High Order Volume</v>
      </c>
      <c r="Q449" s="14" t="str">
        <f>IFERROR(__xludf.DUMMYFUNCTION("split(P449,"":"")"),"Delayed Delivery")</f>
        <v>Delayed Delivery</v>
      </c>
      <c r="R449" s="14" t="str">
        <f>IFERROR(__xludf.DUMMYFUNCTION("""COMPUTED_VALUE"""),"High Order Volume")</f>
        <v>High Order Volume</v>
      </c>
      <c r="S449" s="14" t="str">
        <f t="shared" ref="S449:U449" si="901">trim(B449)</f>
        <v>ord_10440</v>
      </c>
      <c r="T449" s="14" t="str">
        <f t="shared" si="901"/>
        <v>Kritika Shetty</v>
      </c>
      <c r="U449" s="14" t="str">
        <f t="shared" si="901"/>
        <v>Malad</v>
      </c>
      <c r="V449" s="14" t="str">
        <f t="shared" si="4"/>
        <v>Guava</v>
      </c>
      <c r="W449" s="14">
        <f t="shared" si="5"/>
        <v>2</v>
      </c>
      <c r="X449" s="14" t="str">
        <f t="shared" si="6"/>
        <v>Nithin Lal</v>
      </c>
      <c r="Y449" s="15">
        <f t="shared" si="7"/>
        <v>45261</v>
      </c>
      <c r="Z449" s="14" t="str">
        <f t="shared" si="8"/>
        <v>Credit Card</v>
      </c>
      <c r="AA449" s="14" t="str">
        <f t="shared" si="9"/>
        <v>Cancelled</v>
      </c>
      <c r="AB449" s="14" t="str">
        <f t="shared" ref="AB449:AC449" si="902">trim(Q449)</f>
        <v>Delayed Delivery</v>
      </c>
      <c r="AC449" s="14" t="str">
        <f t="shared" si="902"/>
        <v>High Order Volume</v>
      </c>
      <c r="AD449" s="8"/>
    </row>
    <row r="450">
      <c r="A450" s="14" t="str">
        <f>IFERROR(__xludf.DUMMYFUNCTION("""COMPUTED_VALUE"""),"//ord_10441//Arvind Kulkarni//Juhu//Tiramisu+4*Not Assigned/6/30/2023//Online Payment//Cancelled*Out of Stock")</f>
        <v>//ord_10441//Arvind Kulkarni//Juhu//Tiramisu+4*Not Assigned/6/30/2023//Online Payment//Cancelled*Out of Stock</v>
      </c>
      <c r="B450" s="14" t="str">
        <f>IFERROR(__xludf.DUMMYFUNCTION("split(A450,""//"")"),"ord_10441")</f>
        <v>ord_10441</v>
      </c>
      <c r="C450" s="14" t="str">
        <f>IFERROR(__xludf.DUMMYFUNCTION("""COMPUTED_VALUE"""),"Arvind Kulkarni")</f>
        <v>Arvind Kulkarni</v>
      </c>
      <c r="D450" s="14" t="str">
        <f>IFERROR(__xludf.DUMMYFUNCTION("""COMPUTED_VALUE"""),"Juhu")</f>
        <v>Juhu</v>
      </c>
      <c r="E450" s="14" t="str">
        <f>IFERROR(__xludf.DUMMYFUNCTION("""COMPUTED_VALUE"""),"Tiramisu+4*Not Assigned")</f>
        <v>Tiramisu+4*Not Assigned</v>
      </c>
      <c r="F450" s="14">
        <f>IFERROR(__xludf.DUMMYFUNCTION("""COMPUTED_VALUE"""),6.0)</f>
        <v>6</v>
      </c>
      <c r="G450" s="14">
        <f>IFERROR(__xludf.DUMMYFUNCTION("""COMPUTED_VALUE"""),30.0)</f>
        <v>30</v>
      </c>
      <c r="H450" s="14">
        <f>IFERROR(__xludf.DUMMYFUNCTION("""COMPUTED_VALUE"""),2023.0)</f>
        <v>2023</v>
      </c>
      <c r="I450" s="14" t="str">
        <f>IFERROR(__xludf.DUMMYFUNCTION("""COMPUTED_VALUE"""),"Online Payment")</f>
        <v>Online Payment</v>
      </c>
      <c r="J450" s="14" t="str">
        <f>IFERROR(__xludf.DUMMYFUNCTION("""COMPUTED_VALUE"""),"Cancelled*Out of Stock")</f>
        <v>Cancelled*Out of Stock</v>
      </c>
      <c r="K450" s="14" t="str">
        <f>IFERROR(__xludf.DUMMYFUNCTION("split(E450,""+"")"),"Tiramisu")</f>
        <v>Tiramisu</v>
      </c>
      <c r="L450" s="14" t="str">
        <f>IFERROR(__xludf.DUMMYFUNCTION("""COMPUTED_VALUE"""),"4*Not Assigned")</f>
        <v>4*Not Assigned</v>
      </c>
      <c r="M450" s="14">
        <f>IFERROR(__xludf.DUMMYFUNCTION("SPLIT(L450,""*"")"),4.0)</f>
        <v>4</v>
      </c>
      <c r="N450" s="14" t="str">
        <f>IFERROR(__xludf.DUMMYFUNCTION("""COMPUTED_VALUE"""),"Not Assigned")</f>
        <v>Not Assigned</v>
      </c>
      <c r="O450" s="14" t="str">
        <f>IFERROR(__xludf.DUMMYFUNCTION("split(J450,""*"")"),"Cancelled")</f>
        <v>Cancelled</v>
      </c>
      <c r="P450" s="14" t="str">
        <f>IFERROR(__xludf.DUMMYFUNCTION("""COMPUTED_VALUE"""),"Out of Stock")</f>
        <v>Out of Stock</v>
      </c>
      <c r="Q450" s="14" t="str">
        <f>IFERROR(__xludf.DUMMYFUNCTION("split(P450,"":"")"),"Out of Stock")</f>
        <v>Out of Stock</v>
      </c>
      <c r="R450" s="14"/>
      <c r="S450" s="14" t="str">
        <f t="shared" ref="S450:U450" si="903">trim(B450)</f>
        <v>ord_10441</v>
      </c>
      <c r="T450" s="14" t="str">
        <f t="shared" si="903"/>
        <v>Arvind Kulkarni</v>
      </c>
      <c r="U450" s="14" t="str">
        <f t="shared" si="903"/>
        <v>Juhu</v>
      </c>
      <c r="V450" s="14" t="str">
        <f t="shared" si="4"/>
        <v>Tiramisu</v>
      </c>
      <c r="W450" s="14">
        <f t="shared" si="5"/>
        <v>4</v>
      </c>
      <c r="X450" s="14" t="str">
        <f t="shared" si="6"/>
        <v>Not Assigned</v>
      </c>
      <c r="Y450" s="15">
        <f t="shared" si="7"/>
        <v>45107</v>
      </c>
      <c r="Z450" s="14" t="str">
        <f t="shared" si="8"/>
        <v>Online Payment</v>
      </c>
      <c r="AA450" s="14" t="str">
        <f t="shared" si="9"/>
        <v>Cancelled</v>
      </c>
      <c r="AB450" s="14" t="str">
        <f t="shared" ref="AB450:AC450" si="904">trim(Q450)</f>
        <v>Out of Stock</v>
      </c>
      <c r="AC450" s="14" t="str">
        <f t="shared" si="904"/>
        <v/>
      </c>
      <c r="AD450" s="8"/>
    </row>
    <row r="451">
      <c r="A451" s="14" t="str">
        <f>IFERROR(__xludf.DUMMYFUNCTION("""COMPUTED_VALUE"""),"//ord_10442//Pranav Joshi//Andheri//Tiramisu+2*Rohan Yadav/1/1/2023//UPI//Delivered*On-time Delivery: Delivered on time")</f>
        <v>//ord_10442//Pranav Joshi//Andheri//Tiramisu+2*Rohan Yadav/1/1/2023//UPI//Delivered*On-time Delivery: Delivered on time</v>
      </c>
      <c r="B451" s="14" t="str">
        <f>IFERROR(__xludf.DUMMYFUNCTION("split(A451,""//"")"),"ord_10442")</f>
        <v>ord_10442</v>
      </c>
      <c r="C451" s="14" t="str">
        <f>IFERROR(__xludf.DUMMYFUNCTION("""COMPUTED_VALUE"""),"Pranav Joshi")</f>
        <v>Pranav Joshi</v>
      </c>
      <c r="D451" s="14" t="str">
        <f>IFERROR(__xludf.DUMMYFUNCTION("""COMPUTED_VALUE"""),"Andheri")</f>
        <v>Andheri</v>
      </c>
      <c r="E451" s="14" t="str">
        <f>IFERROR(__xludf.DUMMYFUNCTION("""COMPUTED_VALUE"""),"Tiramisu+2*Rohan Yadav")</f>
        <v>Tiramisu+2*Rohan Yadav</v>
      </c>
      <c r="F451" s="14">
        <f>IFERROR(__xludf.DUMMYFUNCTION("""COMPUTED_VALUE"""),1.0)</f>
        <v>1</v>
      </c>
      <c r="G451" s="14">
        <f>IFERROR(__xludf.DUMMYFUNCTION("""COMPUTED_VALUE"""),1.0)</f>
        <v>1</v>
      </c>
      <c r="H451" s="14">
        <f>IFERROR(__xludf.DUMMYFUNCTION("""COMPUTED_VALUE"""),2023.0)</f>
        <v>2023</v>
      </c>
      <c r="I451" s="14" t="str">
        <f>IFERROR(__xludf.DUMMYFUNCTION("""COMPUTED_VALUE"""),"UPI")</f>
        <v>UPI</v>
      </c>
      <c r="J451" s="14" t="str">
        <f>IFERROR(__xludf.DUMMYFUNCTION("""COMPUTED_VALUE"""),"Delivered*On-time Delivery: Delivered on time")</f>
        <v>Delivered*On-time Delivery: Delivered on time</v>
      </c>
      <c r="K451" s="14" t="str">
        <f>IFERROR(__xludf.DUMMYFUNCTION("split(E451,""+"")"),"Tiramisu")</f>
        <v>Tiramisu</v>
      </c>
      <c r="L451" s="14" t="str">
        <f>IFERROR(__xludf.DUMMYFUNCTION("""COMPUTED_VALUE"""),"2*Rohan Yadav")</f>
        <v>2*Rohan Yadav</v>
      </c>
      <c r="M451" s="14">
        <f>IFERROR(__xludf.DUMMYFUNCTION("SPLIT(L451,""*"")"),2.0)</f>
        <v>2</v>
      </c>
      <c r="N451" s="14" t="str">
        <f>IFERROR(__xludf.DUMMYFUNCTION("""COMPUTED_VALUE"""),"Rohan Yadav")</f>
        <v>Rohan Yadav</v>
      </c>
      <c r="O451" s="14" t="str">
        <f>IFERROR(__xludf.DUMMYFUNCTION("split(J451,""*"")"),"Delivered")</f>
        <v>Delivered</v>
      </c>
      <c r="P451" s="14" t="str">
        <f>IFERROR(__xludf.DUMMYFUNCTION("""COMPUTED_VALUE"""),"On-time Delivery: Delivered on time")</f>
        <v>On-time Delivery: Delivered on time</v>
      </c>
      <c r="Q451" s="14" t="str">
        <f>IFERROR(__xludf.DUMMYFUNCTION("split(P451,"":"")"),"On-time Delivery")</f>
        <v>On-time Delivery</v>
      </c>
      <c r="R451" s="14" t="str">
        <f>IFERROR(__xludf.DUMMYFUNCTION("""COMPUTED_VALUE""")," Delivered on time")</f>
        <v> Delivered on time</v>
      </c>
      <c r="S451" s="14" t="str">
        <f t="shared" ref="S451:U451" si="905">trim(B451)</f>
        <v>ord_10442</v>
      </c>
      <c r="T451" s="14" t="str">
        <f t="shared" si="905"/>
        <v>Pranav Joshi</v>
      </c>
      <c r="U451" s="14" t="str">
        <f t="shared" si="905"/>
        <v>Andheri</v>
      </c>
      <c r="V451" s="14" t="str">
        <f t="shared" si="4"/>
        <v>Tiramisu</v>
      </c>
      <c r="W451" s="14">
        <f t="shared" si="5"/>
        <v>2</v>
      </c>
      <c r="X451" s="14" t="str">
        <f t="shared" si="6"/>
        <v>Rohan Yadav</v>
      </c>
      <c r="Y451" s="15">
        <f t="shared" si="7"/>
        <v>44927</v>
      </c>
      <c r="Z451" s="14" t="str">
        <f t="shared" si="8"/>
        <v>UPI</v>
      </c>
      <c r="AA451" s="14" t="str">
        <f t="shared" si="9"/>
        <v>Delivered</v>
      </c>
      <c r="AB451" s="14" t="str">
        <f t="shared" ref="AB451:AC451" si="906">trim(Q451)</f>
        <v>On-time Delivery</v>
      </c>
      <c r="AC451" s="14" t="str">
        <f t="shared" si="906"/>
        <v>Delivered on time</v>
      </c>
      <c r="AD451" s="8"/>
    </row>
    <row r="452">
      <c r="A452" s="14" t="str">
        <f>IFERROR(__xludf.DUMMYFUNCTION("""COMPUTED_VALUE"""),"//ord_10443//Omkar Mishra//Powai//Cold Coffee+5*Sandeep Kumar/9/30/2023//Online Payment//Delivered*Quality of Items: Perfect condition")</f>
        <v>//ord_10443//Omkar Mishra//Powai//Cold Coffee+5*Sandeep Kumar/9/30/2023//Online Payment//Delivered*Quality of Items: Perfect condition</v>
      </c>
      <c r="B452" s="14" t="str">
        <f>IFERROR(__xludf.DUMMYFUNCTION("split(A452,""//"")"),"ord_10443")</f>
        <v>ord_10443</v>
      </c>
      <c r="C452" s="14" t="str">
        <f>IFERROR(__xludf.DUMMYFUNCTION("""COMPUTED_VALUE"""),"Omkar Mishra")</f>
        <v>Omkar Mishra</v>
      </c>
      <c r="D452" s="14" t="str">
        <f>IFERROR(__xludf.DUMMYFUNCTION("""COMPUTED_VALUE"""),"Powai")</f>
        <v>Powai</v>
      </c>
      <c r="E452" s="14" t="str">
        <f>IFERROR(__xludf.DUMMYFUNCTION("""COMPUTED_VALUE"""),"Cold Coffee+5*Sandeep Kumar")</f>
        <v>Cold Coffee+5*Sandeep Kumar</v>
      </c>
      <c r="F452" s="14">
        <f>IFERROR(__xludf.DUMMYFUNCTION("""COMPUTED_VALUE"""),9.0)</f>
        <v>9</v>
      </c>
      <c r="G452" s="14">
        <f>IFERROR(__xludf.DUMMYFUNCTION("""COMPUTED_VALUE"""),30.0)</f>
        <v>30</v>
      </c>
      <c r="H452" s="14">
        <f>IFERROR(__xludf.DUMMYFUNCTION("""COMPUTED_VALUE"""),2023.0)</f>
        <v>2023</v>
      </c>
      <c r="I452" s="14" t="str">
        <f>IFERROR(__xludf.DUMMYFUNCTION("""COMPUTED_VALUE"""),"Online Payment")</f>
        <v>Online Payment</v>
      </c>
      <c r="J452" s="14" t="str">
        <f>IFERROR(__xludf.DUMMYFUNCTION("""COMPUTED_VALUE"""),"Delivered*Quality of Items: Perfect condition")</f>
        <v>Delivered*Quality of Items: Perfect condition</v>
      </c>
      <c r="K452" s="14" t="str">
        <f>IFERROR(__xludf.DUMMYFUNCTION("split(E452,""+"")"),"Cold Coffee")</f>
        <v>Cold Coffee</v>
      </c>
      <c r="L452" s="14" t="str">
        <f>IFERROR(__xludf.DUMMYFUNCTION("""COMPUTED_VALUE"""),"5*Sandeep Kumar")</f>
        <v>5*Sandeep Kumar</v>
      </c>
      <c r="M452" s="14">
        <f>IFERROR(__xludf.DUMMYFUNCTION("SPLIT(L452,""*"")"),5.0)</f>
        <v>5</v>
      </c>
      <c r="N452" s="14" t="str">
        <f>IFERROR(__xludf.DUMMYFUNCTION("""COMPUTED_VALUE"""),"Sandeep Kumar")</f>
        <v>Sandeep Kumar</v>
      </c>
      <c r="O452" s="14" t="str">
        <f>IFERROR(__xludf.DUMMYFUNCTION("split(J452,""*"")"),"Delivered")</f>
        <v>Delivered</v>
      </c>
      <c r="P452" s="14" t="str">
        <f>IFERROR(__xludf.DUMMYFUNCTION("""COMPUTED_VALUE"""),"Quality of Items: Perfect condition")</f>
        <v>Quality of Items: Perfect condition</v>
      </c>
      <c r="Q452" s="14" t="str">
        <f>IFERROR(__xludf.DUMMYFUNCTION("split(P452,"":"")"),"Quality of Items")</f>
        <v>Quality of Items</v>
      </c>
      <c r="R452" s="14" t="str">
        <f>IFERROR(__xludf.DUMMYFUNCTION("""COMPUTED_VALUE""")," Perfect condition")</f>
        <v> Perfect condition</v>
      </c>
      <c r="S452" s="14" t="str">
        <f t="shared" ref="S452:U452" si="907">trim(B452)</f>
        <v>ord_10443</v>
      </c>
      <c r="T452" s="14" t="str">
        <f t="shared" si="907"/>
        <v>Omkar Mishra</v>
      </c>
      <c r="U452" s="14" t="str">
        <f t="shared" si="907"/>
        <v>Powai</v>
      </c>
      <c r="V452" s="14" t="str">
        <f t="shared" si="4"/>
        <v>Cold Coffee</v>
      </c>
      <c r="W452" s="14">
        <f t="shared" si="5"/>
        <v>5</v>
      </c>
      <c r="X452" s="14" t="str">
        <f t="shared" si="6"/>
        <v>Sandeep Kumar</v>
      </c>
      <c r="Y452" s="15">
        <f t="shared" si="7"/>
        <v>45199</v>
      </c>
      <c r="Z452" s="14" t="str">
        <f t="shared" si="8"/>
        <v>Online Payment</v>
      </c>
      <c r="AA452" s="14" t="str">
        <f t="shared" si="9"/>
        <v>Delivered</v>
      </c>
      <c r="AB452" s="14" t="str">
        <f t="shared" ref="AB452:AC452" si="908">trim(Q452)</f>
        <v>Quality of Items</v>
      </c>
      <c r="AC452" s="14" t="str">
        <f t="shared" si="908"/>
        <v>Perfect condition</v>
      </c>
      <c r="AD452" s="8"/>
    </row>
    <row r="453">
      <c r="A453" s="14" t="str">
        <f>IFERROR(__xludf.DUMMYFUNCTION("""COMPUTED_VALUE"""),"//ord_10444//Tanishq Bansal//Powai//Banana+1*Sandeep Kumar/3/28/2023//Online Payment//Delivered*On-time Delivery: Delivered on time")</f>
        <v>//ord_10444//Tanishq Bansal//Powai//Banana+1*Sandeep Kumar/3/28/2023//Online Payment//Delivered*On-time Delivery: Delivered on time</v>
      </c>
      <c r="B453" s="14" t="str">
        <f>IFERROR(__xludf.DUMMYFUNCTION("split(A453,""//"")"),"ord_10444")</f>
        <v>ord_10444</v>
      </c>
      <c r="C453" s="14" t="str">
        <f>IFERROR(__xludf.DUMMYFUNCTION("""COMPUTED_VALUE"""),"Tanishq Bansal")</f>
        <v>Tanishq Bansal</v>
      </c>
      <c r="D453" s="14" t="str">
        <f>IFERROR(__xludf.DUMMYFUNCTION("""COMPUTED_VALUE"""),"Powai")</f>
        <v>Powai</v>
      </c>
      <c r="E453" s="14" t="str">
        <f>IFERROR(__xludf.DUMMYFUNCTION("""COMPUTED_VALUE"""),"Banana+1*Sandeep Kumar")</f>
        <v>Banana+1*Sandeep Kumar</v>
      </c>
      <c r="F453" s="14">
        <f>IFERROR(__xludf.DUMMYFUNCTION("""COMPUTED_VALUE"""),3.0)</f>
        <v>3</v>
      </c>
      <c r="G453" s="14">
        <f>IFERROR(__xludf.DUMMYFUNCTION("""COMPUTED_VALUE"""),28.0)</f>
        <v>28</v>
      </c>
      <c r="H453" s="14">
        <f>IFERROR(__xludf.DUMMYFUNCTION("""COMPUTED_VALUE"""),2023.0)</f>
        <v>2023</v>
      </c>
      <c r="I453" s="14" t="str">
        <f>IFERROR(__xludf.DUMMYFUNCTION("""COMPUTED_VALUE"""),"Online Payment")</f>
        <v>Online Payment</v>
      </c>
      <c r="J453" s="14" t="str">
        <f>IFERROR(__xludf.DUMMYFUNCTION("""COMPUTED_VALUE"""),"Delivered*On-time Delivery: Delivered on time")</f>
        <v>Delivered*On-time Delivery: Delivered on time</v>
      </c>
      <c r="K453" s="14" t="str">
        <f>IFERROR(__xludf.DUMMYFUNCTION("split(E453,""+"")"),"Banana")</f>
        <v>Banana</v>
      </c>
      <c r="L453" s="14" t="str">
        <f>IFERROR(__xludf.DUMMYFUNCTION("""COMPUTED_VALUE"""),"1*Sandeep Kumar")</f>
        <v>1*Sandeep Kumar</v>
      </c>
      <c r="M453" s="14">
        <f>IFERROR(__xludf.DUMMYFUNCTION("SPLIT(L453,""*"")"),1.0)</f>
        <v>1</v>
      </c>
      <c r="N453" s="14" t="str">
        <f>IFERROR(__xludf.DUMMYFUNCTION("""COMPUTED_VALUE"""),"Sandeep Kumar")</f>
        <v>Sandeep Kumar</v>
      </c>
      <c r="O453" s="14" t="str">
        <f>IFERROR(__xludf.DUMMYFUNCTION("split(J453,""*"")"),"Delivered")</f>
        <v>Delivered</v>
      </c>
      <c r="P453" s="14" t="str">
        <f>IFERROR(__xludf.DUMMYFUNCTION("""COMPUTED_VALUE"""),"On-time Delivery: Delivered on time")</f>
        <v>On-time Delivery: Delivered on time</v>
      </c>
      <c r="Q453" s="14" t="str">
        <f>IFERROR(__xludf.DUMMYFUNCTION("split(P453,"":"")"),"On-time Delivery")</f>
        <v>On-time Delivery</v>
      </c>
      <c r="R453" s="14" t="str">
        <f>IFERROR(__xludf.DUMMYFUNCTION("""COMPUTED_VALUE""")," Delivered on time")</f>
        <v> Delivered on time</v>
      </c>
      <c r="S453" s="14" t="str">
        <f t="shared" ref="S453:U453" si="909">trim(B453)</f>
        <v>ord_10444</v>
      </c>
      <c r="T453" s="14" t="str">
        <f t="shared" si="909"/>
        <v>Tanishq Bansal</v>
      </c>
      <c r="U453" s="14" t="str">
        <f t="shared" si="909"/>
        <v>Powai</v>
      </c>
      <c r="V453" s="14" t="str">
        <f t="shared" si="4"/>
        <v>Banana</v>
      </c>
      <c r="W453" s="14">
        <f t="shared" si="5"/>
        <v>1</v>
      </c>
      <c r="X453" s="14" t="str">
        <f t="shared" si="6"/>
        <v>Sandeep Kumar</v>
      </c>
      <c r="Y453" s="15">
        <f t="shared" si="7"/>
        <v>45013</v>
      </c>
      <c r="Z453" s="14" t="str">
        <f t="shared" si="8"/>
        <v>Online Payment</v>
      </c>
      <c r="AA453" s="14" t="str">
        <f t="shared" si="9"/>
        <v>Delivered</v>
      </c>
      <c r="AB453" s="14" t="str">
        <f t="shared" ref="AB453:AC453" si="910">trim(Q453)</f>
        <v>On-time Delivery</v>
      </c>
      <c r="AC453" s="14" t="str">
        <f t="shared" si="910"/>
        <v>Delivered on time</v>
      </c>
      <c r="AD453" s="8"/>
    </row>
    <row r="454">
      <c r="A454" s="14" t="str">
        <f>IFERROR(__xludf.DUMMYFUNCTION("""COMPUTED_VALUE"""),"//ord_10445//Aditi Iyer//Dadar//Popcorn+3*Aman Kumar/6/10/2023//COD//Delivered*Quality of Items: Perfect condition")</f>
        <v>//ord_10445//Aditi Iyer//Dadar//Popcorn+3*Aman Kumar/6/10/2023//COD//Delivered*Quality of Items: Perfect condition</v>
      </c>
      <c r="B454" s="14" t="str">
        <f>IFERROR(__xludf.DUMMYFUNCTION("split(A454,""//"")"),"ord_10445")</f>
        <v>ord_10445</v>
      </c>
      <c r="C454" s="14" t="str">
        <f>IFERROR(__xludf.DUMMYFUNCTION("""COMPUTED_VALUE"""),"Aditi Iyer")</f>
        <v>Aditi Iyer</v>
      </c>
      <c r="D454" s="14" t="str">
        <f>IFERROR(__xludf.DUMMYFUNCTION("""COMPUTED_VALUE"""),"Dadar")</f>
        <v>Dadar</v>
      </c>
      <c r="E454" s="14" t="str">
        <f>IFERROR(__xludf.DUMMYFUNCTION("""COMPUTED_VALUE"""),"Popcorn+3*Aman Kumar")</f>
        <v>Popcorn+3*Aman Kumar</v>
      </c>
      <c r="F454" s="14">
        <f>IFERROR(__xludf.DUMMYFUNCTION("""COMPUTED_VALUE"""),6.0)</f>
        <v>6</v>
      </c>
      <c r="G454" s="14">
        <f>IFERROR(__xludf.DUMMYFUNCTION("""COMPUTED_VALUE"""),10.0)</f>
        <v>10</v>
      </c>
      <c r="H454" s="14">
        <f>IFERROR(__xludf.DUMMYFUNCTION("""COMPUTED_VALUE"""),2023.0)</f>
        <v>2023</v>
      </c>
      <c r="I454" s="14" t="str">
        <f>IFERROR(__xludf.DUMMYFUNCTION("""COMPUTED_VALUE"""),"COD")</f>
        <v>COD</v>
      </c>
      <c r="J454" s="14" t="str">
        <f>IFERROR(__xludf.DUMMYFUNCTION("""COMPUTED_VALUE"""),"Delivered*Quality of Items: Perfect condition")</f>
        <v>Delivered*Quality of Items: Perfect condition</v>
      </c>
      <c r="K454" s="14" t="str">
        <f>IFERROR(__xludf.DUMMYFUNCTION("split(E454,""+"")"),"Popcorn")</f>
        <v>Popcorn</v>
      </c>
      <c r="L454" s="14" t="str">
        <f>IFERROR(__xludf.DUMMYFUNCTION("""COMPUTED_VALUE"""),"3*Aman Kumar")</f>
        <v>3*Aman Kumar</v>
      </c>
      <c r="M454" s="14">
        <f>IFERROR(__xludf.DUMMYFUNCTION("SPLIT(L454,""*"")"),3.0)</f>
        <v>3</v>
      </c>
      <c r="N454" s="14" t="str">
        <f>IFERROR(__xludf.DUMMYFUNCTION("""COMPUTED_VALUE"""),"Aman Kumar")</f>
        <v>Aman Kumar</v>
      </c>
      <c r="O454" s="14" t="str">
        <f>IFERROR(__xludf.DUMMYFUNCTION("split(J454,""*"")"),"Delivered")</f>
        <v>Delivered</v>
      </c>
      <c r="P454" s="14" t="str">
        <f>IFERROR(__xludf.DUMMYFUNCTION("""COMPUTED_VALUE"""),"Quality of Items: Perfect condition")</f>
        <v>Quality of Items: Perfect condition</v>
      </c>
      <c r="Q454" s="14" t="str">
        <f>IFERROR(__xludf.DUMMYFUNCTION("split(P454,"":"")"),"Quality of Items")</f>
        <v>Quality of Items</v>
      </c>
      <c r="R454" s="14" t="str">
        <f>IFERROR(__xludf.DUMMYFUNCTION("""COMPUTED_VALUE""")," Perfect condition")</f>
        <v> Perfect condition</v>
      </c>
      <c r="S454" s="14" t="str">
        <f t="shared" ref="S454:U454" si="911">trim(B454)</f>
        <v>ord_10445</v>
      </c>
      <c r="T454" s="14" t="str">
        <f t="shared" si="911"/>
        <v>Aditi Iyer</v>
      </c>
      <c r="U454" s="14" t="str">
        <f t="shared" si="911"/>
        <v>Dadar</v>
      </c>
      <c r="V454" s="14" t="str">
        <f t="shared" si="4"/>
        <v>Popcorn</v>
      </c>
      <c r="W454" s="14">
        <f t="shared" si="5"/>
        <v>3</v>
      </c>
      <c r="X454" s="14" t="str">
        <f t="shared" si="6"/>
        <v>Aman Kumar</v>
      </c>
      <c r="Y454" s="15">
        <f t="shared" si="7"/>
        <v>45087</v>
      </c>
      <c r="Z454" s="14" t="str">
        <f t="shared" si="8"/>
        <v>COD</v>
      </c>
      <c r="AA454" s="14" t="str">
        <f t="shared" si="9"/>
        <v>Delivered</v>
      </c>
      <c r="AB454" s="14" t="str">
        <f t="shared" ref="AB454:AC454" si="912">trim(Q454)</f>
        <v>Quality of Items</v>
      </c>
      <c r="AC454" s="14" t="str">
        <f t="shared" si="912"/>
        <v>Perfect condition</v>
      </c>
      <c r="AD454" s="8"/>
    </row>
    <row r="455">
      <c r="A455" s="14" t="str">
        <f>IFERROR(__xludf.DUMMYFUNCTION("""COMPUTED_VALUE"""),"//ord_10446//Aditi Iyer//Dadar//Chocolate Mousse+3*Aman Kumar/8/17/2023//Online Payment//Delivered*Packaging: Secure and intact")</f>
        <v>//ord_10446//Aditi Iyer//Dadar//Chocolate Mousse+3*Aman Kumar/8/17/2023//Online Payment//Delivered*Packaging: Secure and intact</v>
      </c>
      <c r="B455" s="14" t="str">
        <f>IFERROR(__xludf.DUMMYFUNCTION("split(A455,""//"")"),"ord_10446")</f>
        <v>ord_10446</v>
      </c>
      <c r="C455" s="14" t="str">
        <f>IFERROR(__xludf.DUMMYFUNCTION("""COMPUTED_VALUE"""),"Aditi Iyer")</f>
        <v>Aditi Iyer</v>
      </c>
      <c r="D455" s="14" t="str">
        <f>IFERROR(__xludf.DUMMYFUNCTION("""COMPUTED_VALUE"""),"Dadar")</f>
        <v>Dadar</v>
      </c>
      <c r="E455" s="14" t="str">
        <f>IFERROR(__xludf.DUMMYFUNCTION("""COMPUTED_VALUE"""),"Chocolate Mousse+3*Aman Kumar")</f>
        <v>Chocolate Mousse+3*Aman Kumar</v>
      </c>
      <c r="F455" s="14">
        <f>IFERROR(__xludf.DUMMYFUNCTION("""COMPUTED_VALUE"""),8.0)</f>
        <v>8</v>
      </c>
      <c r="G455" s="14">
        <f>IFERROR(__xludf.DUMMYFUNCTION("""COMPUTED_VALUE"""),17.0)</f>
        <v>17</v>
      </c>
      <c r="H455" s="14">
        <f>IFERROR(__xludf.DUMMYFUNCTION("""COMPUTED_VALUE"""),2023.0)</f>
        <v>2023</v>
      </c>
      <c r="I455" s="14" t="str">
        <f>IFERROR(__xludf.DUMMYFUNCTION("""COMPUTED_VALUE"""),"Online Payment")</f>
        <v>Online Payment</v>
      </c>
      <c r="J455" s="14" t="str">
        <f>IFERROR(__xludf.DUMMYFUNCTION("""COMPUTED_VALUE"""),"Delivered*Packaging: Secure and intact")</f>
        <v>Delivered*Packaging: Secure and intact</v>
      </c>
      <c r="K455" s="14" t="str">
        <f>IFERROR(__xludf.DUMMYFUNCTION("split(E455,""+"")"),"Chocolate Mousse")</f>
        <v>Chocolate Mousse</v>
      </c>
      <c r="L455" s="14" t="str">
        <f>IFERROR(__xludf.DUMMYFUNCTION("""COMPUTED_VALUE"""),"3*Aman Kumar")</f>
        <v>3*Aman Kumar</v>
      </c>
      <c r="M455" s="14">
        <f>IFERROR(__xludf.DUMMYFUNCTION("SPLIT(L455,""*"")"),3.0)</f>
        <v>3</v>
      </c>
      <c r="N455" s="14" t="str">
        <f>IFERROR(__xludf.DUMMYFUNCTION("""COMPUTED_VALUE"""),"Aman Kumar")</f>
        <v>Aman Kumar</v>
      </c>
      <c r="O455" s="14" t="str">
        <f>IFERROR(__xludf.DUMMYFUNCTION("split(J455,""*"")"),"Delivered")</f>
        <v>Delivered</v>
      </c>
      <c r="P455" s="14" t="str">
        <f>IFERROR(__xludf.DUMMYFUNCTION("""COMPUTED_VALUE"""),"Packaging: Secure and intact")</f>
        <v>Packaging: Secure and intact</v>
      </c>
      <c r="Q455" s="14" t="str">
        <f>IFERROR(__xludf.DUMMYFUNCTION("split(P455,"":"")"),"Packaging")</f>
        <v>Packaging</v>
      </c>
      <c r="R455" s="14" t="str">
        <f>IFERROR(__xludf.DUMMYFUNCTION("""COMPUTED_VALUE""")," Secure and intact")</f>
        <v> Secure and intact</v>
      </c>
      <c r="S455" s="14" t="str">
        <f t="shared" ref="S455:U455" si="913">trim(B455)</f>
        <v>ord_10446</v>
      </c>
      <c r="T455" s="14" t="str">
        <f t="shared" si="913"/>
        <v>Aditi Iyer</v>
      </c>
      <c r="U455" s="14" t="str">
        <f t="shared" si="913"/>
        <v>Dadar</v>
      </c>
      <c r="V455" s="14" t="str">
        <f t="shared" si="4"/>
        <v>Chocolate Mousse</v>
      </c>
      <c r="W455" s="14">
        <f t="shared" si="5"/>
        <v>3</v>
      </c>
      <c r="X455" s="14" t="str">
        <f t="shared" si="6"/>
        <v>Aman Kumar</v>
      </c>
      <c r="Y455" s="15">
        <f t="shared" si="7"/>
        <v>45155</v>
      </c>
      <c r="Z455" s="14" t="str">
        <f t="shared" si="8"/>
        <v>Online Payment</v>
      </c>
      <c r="AA455" s="14" t="str">
        <f t="shared" si="9"/>
        <v>Delivered</v>
      </c>
      <c r="AB455" s="14" t="str">
        <f t="shared" ref="AB455:AC455" si="914">trim(Q455)</f>
        <v>Packaging</v>
      </c>
      <c r="AC455" s="14" t="str">
        <f t="shared" si="914"/>
        <v>Secure and intact</v>
      </c>
      <c r="AD455" s="8"/>
    </row>
    <row r="456">
      <c r="A456" s="14" t="str">
        <f>IFERROR(__xludf.DUMMYFUNCTION("""COMPUTED_VALUE"""),"//ord_10447//Siya Reddy//Juhu//Rasmalai+1*Neha Shah/12/26/2023//UPI//Cancelled*Delayed Delivery:Bad Weather Conditions ")</f>
        <v>//ord_10447//Siya Reddy//Juhu//Rasmalai+1*Neha Shah/12/26/2023//UPI//Cancelled*Delayed Delivery:Bad Weather Conditions </v>
      </c>
      <c r="B456" s="14" t="str">
        <f>IFERROR(__xludf.DUMMYFUNCTION("split(A456,""//"")"),"ord_10447")</f>
        <v>ord_10447</v>
      </c>
      <c r="C456" s="14" t="str">
        <f>IFERROR(__xludf.DUMMYFUNCTION("""COMPUTED_VALUE"""),"Siya Reddy")</f>
        <v>Siya Reddy</v>
      </c>
      <c r="D456" s="14" t="str">
        <f>IFERROR(__xludf.DUMMYFUNCTION("""COMPUTED_VALUE"""),"Juhu")</f>
        <v>Juhu</v>
      </c>
      <c r="E456" s="14" t="str">
        <f>IFERROR(__xludf.DUMMYFUNCTION("""COMPUTED_VALUE"""),"Rasmalai+1*Neha Shah")</f>
        <v>Rasmalai+1*Neha Shah</v>
      </c>
      <c r="F456" s="14">
        <f>IFERROR(__xludf.DUMMYFUNCTION("""COMPUTED_VALUE"""),12.0)</f>
        <v>12</v>
      </c>
      <c r="G456" s="14">
        <f>IFERROR(__xludf.DUMMYFUNCTION("""COMPUTED_VALUE"""),26.0)</f>
        <v>26</v>
      </c>
      <c r="H456" s="14">
        <f>IFERROR(__xludf.DUMMYFUNCTION("""COMPUTED_VALUE"""),2023.0)</f>
        <v>2023</v>
      </c>
      <c r="I456" s="14" t="str">
        <f>IFERROR(__xludf.DUMMYFUNCTION("""COMPUTED_VALUE"""),"UPI")</f>
        <v>UPI</v>
      </c>
      <c r="J456" s="14" t="str">
        <f>IFERROR(__xludf.DUMMYFUNCTION("""COMPUTED_VALUE"""),"Cancelled*Delayed Delivery:Bad Weather Conditions ")</f>
        <v>Cancelled*Delayed Delivery:Bad Weather Conditions </v>
      </c>
      <c r="K456" s="14" t="str">
        <f>IFERROR(__xludf.DUMMYFUNCTION("split(E456,""+"")"),"Rasmalai")</f>
        <v>Rasmalai</v>
      </c>
      <c r="L456" s="14" t="str">
        <f>IFERROR(__xludf.DUMMYFUNCTION("""COMPUTED_VALUE"""),"1*Neha Shah")</f>
        <v>1*Neha Shah</v>
      </c>
      <c r="M456" s="14">
        <f>IFERROR(__xludf.DUMMYFUNCTION("SPLIT(L456,""*"")"),1.0)</f>
        <v>1</v>
      </c>
      <c r="N456" s="14" t="str">
        <f>IFERROR(__xludf.DUMMYFUNCTION("""COMPUTED_VALUE"""),"Neha Shah")</f>
        <v>Neha Shah</v>
      </c>
      <c r="O456" s="14" t="str">
        <f>IFERROR(__xludf.DUMMYFUNCTION("split(J456,""*"")"),"Cancelled")</f>
        <v>Cancelled</v>
      </c>
      <c r="P456" s="14" t="str">
        <f>IFERROR(__xludf.DUMMYFUNCTION("""COMPUTED_VALUE"""),"Delayed Delivery:Bad Weather Conditions ")</f>
        <v>Delayed Delivery:Bad Weather Conditions </v>
      </c>
      <c r="Q456" s="14" t="str">
        <f>IFERROR(__xludf.DUMMYFUNCTION("split(P456,"":"")"),"Delayed Delivery")</f>
        <v>Delayed Delivery</v>
      </c>
      <c r="R456" s="14" t="str">
        <f>IFERROR(__xludf.DUMMYFUNCTION("""COMPUTED_VALUE"""),"Bad Weather Conditions ")</f>
        <v>Bad Weather Conditions </v>
      </c>
      <c r="S456" s="14" t="str">
        <f t="shared" ref="S456:U456" si="915">trim(B456)</f>
        <v>ord_10447</v>
      </c>
      <c r="T456" s="14" t="str">
        <f t="shared" si="915"/>
        <v>Siya Reddy</v>
      </c>
      <c r="U456" s="14" t="str">
        <f t="shared" si="915"/>
        <v>Juhu</v>
      </c>
      <c r="V456" s="14" t="str">
        <f t="shared" si="4"/>
        <v>Rasmalai</v>
      </c>
      <c r="W456" s="14">
        <f t="shared" si="5"/>
        <v>1</v>
      </c>
      <c r="X456" s="14" t="str">
        <f t="shared" si="6"/>
        <v>Neha Shah</v>
      </c>
      <c r="Y456" s="15">
        <f t="shared" si="7"/>
        <v>45286</v>
      </c>
      <c r="Z456" s="14" t="str">
        <f t="shared" si="8"/>
        <v>UPI</v>
      </c>
      <c r="AA456" s="14" t="str">
        <f t="shared" si="9"/>
        <v>Cancelled</v>
      </c>
      <c r="AB456" s="14" t="str">
        <f t="shared" ref="AB456:AC456" si="916">trim(Q456)</f>
        <v>Delayed Delivery</v>
      </c>
      <c r="AC456" s="14" t="str">
        <f t="shared" si="916"/>
        <v>Bad Weather Conditions</v>
      </c>
      <c r="AD456" s="8"/>
    </row>
    <row r="457">
      <c r="A457" s="14" t="str">
        <f>IFERROR(__xludf.DUMMYFUNCTION("""COMPUTED_VALUE"""),"//ord_10448//Anaya Rao//Colaba//Rasmalai+3*Nikhil Deshmukh/8/6/2023//Online Payment//Delivered*Satisfied with the Delivery: Timely and quality")</f>
        <v>//ord_10448//Anaya Rao//Colaba//Rasmalai+3*Nikhil Deshmukh/8/6/2023//Online Payment//Delivered*Satisfied with the Delivery: Timely and quality</v>
      </c>
      <c r="B457" s="14" t="str">
        <f>IFERROR(__xludf.DUMMYFUNCTION("split(A457,""//"")"),"ord_10448")</f>
        <v>ord_10448</v>
      </c>
      <c r="C457" s="14" t="str">
        <f>IFERROR(__xludf.DUMMYFUNCTION("""COMPUTED_VALUE"""),"Anaya Rao")</f>
        <v>Anaya Rao</v>
      </c>
      <c r="D457" s="14" t="str">
        <f>IFERROR(__xludf.DUMMYFUNCTION("""COMPUTED_VALUE"""),"Colaba")</f>
        <v>Colaba</v>
      </c>
      <c r="E457" s="14" t="str">
        <f>IFERROR(__xludf.DUMMYFUNCTION("""COMPUTED_VALUE"""),"Rasmalai+3*Nikhil Deshmukh")</f>
        <v>Rasmalai+3*Nikhil Deshmukh</v>
      </c>
      <c r="F457" s="14">
        <f>IFERROR(__xludf.DUMMYFUNCTION("""COMPUTED_VALUE"""),8.0)</f>
        <v>8</v>
      </c>
      <c r="G457" s="14">
        <f>IFERROR(__xludf.DUMMYFUNCTION("""COMPUTED_VALUE"""),6.0)</f>
        <v>6</v>
      </c>
      <c r="H457" s="14">
        <f>IFERROR(__xludf.DUMMYFUNCTION("""COMPUTED_VALUE"""),2023.0)</f>
        <v>2023</v>
      </c>
      <c r="I457" s="14" t="str">
        <f>IFERROR(__xludf.DUMMYFUNCTION("""COMPUTED_VALUE"""),"Online Payment")</f>
        <v>Online Payment</v>
      </c>
      <c r="J457" s="14" t="str">
        <f>IFERROR(__xludf.DUMMYFUNCTION("""COMPUTED_VALUE"""),"Delivered*Satisfied with the Delivery: Timely and quality")</f>
        <v>Delivered*Satisfied with the Delivery: Timely and quality</v>
      </c>
      <c r="K457" s="14" t="str">
        <f>IFERROR(__xludf.DUMMYFUNCTION("split(E457,""+"")"),"Rasmalai")</f>
        <v>Rasmalai</v>
      </c>
      <c r="L457" s="14" t="str">
        <f>IFERROR(__xludf.DUMMYFUNCTION("""COMPUTED_VALUE"""),"3*Nikhil Deshmukh")</f>
        <v>3*Nikhil Deshmukh</v>
      </c>
      <c r="M457" s="14">
        <f>IFERROR(__xludf.DUMMYFUNCTION("SPLIT(L457,""*"")"),3.0)</f>
        <v>3</v>
      </c>
      <c r="N457" s="14" t="str">
        <f>IFERROR(__xludf.DUMMYFUNCTION("""COMPUTED_VALUE"""),"Nikhil Deshmukh")</f>
        <v>Nikhil Deshmukh</v>
      </c>
      <c r="O457" s="14" t="str">
        <f>IFERROR(__xludf.DUMMYFUNCTION("split(J457,""*"")"),"Delivered")</f>
        <v>Delivered</v>
      </c>
      <c r="P457" s="14" t="str">
        <f>IFERROR(__xludf.DUMMYFUNCTION("""COMPUTED_VALUE"""),"Satisfied with the Delivery: Timely and quality")</f>
        <v>Satisfied with the Delivery: Timely and quality</v>
      </c>
      <c r="Q457" s="14" t="str">
        <f>IFERROR(__xludf.DUMMYFUNCTION("split(P457,"":"")"),"Satisfied with the Delivery")</f>
        <v>Satisfied with the Delivery</v>
      </c>
      <c r="R457" s="14" t="str">
        <f>IFERROR(__xludf.DUMMYFUNCTION("""COMPUTED_VALUE""")," Timely and quality")</f>
        <v> Timely and quality</v>
      </c>
      <c r="S457" s="14" t="str">
        <f t="shared" ref="S457:U457" si="917">trim(B457)</f>
        <v>ord_10448</v>
      </c>
      <c r="T457" s="14" t="str">
        <f t="shared" si="917"/>
        <v>Anaya Rao</v>
      </c>
      <c r="U457" s="14" t="str">
        <f t="shared" si="917"/>
        <v>Colaba</v>
      </c>
      <c r="V457" s="14" t="str">
        <f t="shared" si="4"/>
        <v>Rasmalai</v>
      </c>
      <c r="W457" s="14">
        <f t="shared" si="5"/>
        <v>3</v>
      </c>
      <c r="X457" s="14" t="str">
        <f t="shared" si="6"/>
        <v>Nikhil Deshmukh</v>
      </c>
      <c r="Y457" s="15">
        <f t="shared" si="7"/>
        <v>45144</v>
      </c>
      <c r="Z457" s="14" t="str">
        <f t="shared" si="8"/>
        <v>Online Payment</v>
      </c>
      <c r="AA457" s="14" t="str">
        <f t="shared" si="9"/>
        <v>Delivered</v>
      </c>
      <c r="AB457" s="14" t="str">
        <f t="shared" ref="AB457:AC457" si="918">trim(Q457)</f>
        <v>Satisfied with the Delivery</v>
      </c>
      <c r="AC457" s="14" t="str">
        <f t="shared" si="918"/>
        <v>Timely and quality</v>
      </c>
      <c r="AD457" s="8"/>
    </row>
    <row r="458">
      <c r="A458" s="14" t="str">
        <f>IFERROR(__xludf.DUMMYFUNCTION("""COMPUTED_VALUE"""),"//ord_10449//Mehul Thakkar//Malad//Cucumber+2*Not Assigned/4/28/2023//Credit Card//Cancelled*Payment Issues")</f>
        <v>//ord_10449//Mehul Thakkar//Malad//Cucumber+2*Not Assigned/4/28/2023//Credit Card//Cancelled*Payment Issues</v>
      </c>
      <c r="B458" s="14" t="str">
        <f>IFERROR(__xludf.DUMMYFUNCTION("split(A458,""//"")"),"ord_10449")</f>
        <v>ord_10449</v>
      </c>
      <c r="C458" s="14" t="str">
        <f>IFERROR(__xludf.DUMMYFUNCTION("""COMPUTED_VALUE"""),"Mehul Thakkar")</f>
        <v>Mehul Thakkar</v>
      </c>
      <c r="D458" s="14" t="str">
        <f>IFERROR(__xludf.DUMMYFUNCTION("""COMPUTED_VALUE"""),"Malad")</f>
        <v>Malad</v>
      </c>
      <c r="E458" s="14" t="str">
        <f>IFERROR(__xludf.DUMMYFUNCTION("""COMPUTED_VALUE"""),"Cucumber+2*Not Assigned")</f>
        <v>Cucumber+2*Not Assigned</v>
      </c>
      <c r="F458" s="14">
        <f>IFERROR(__xludf.DUMMYFUNCTION("""COMPUTED_VALUE"""),4.0)</f>
        <v>4</v>
      </c>
      <c r="G458" s="14">
        <f>IFERROR(__xludf.DUMMYFUNCTION("""COMPUTED_VALUE"""),28.0)</f>
        <v>28</v>
      </c>
      <c r="H458" s="14">
        <f>IFERROR(__xludf.DUMMYFUNCTION("""COMPUTED_VALUE"""),2023.0)</f>
        <v>2023</v>
      </c>
      <c r="I458" s="14" t="str">
        <f>IFERROR(__xludf.DUMMYFUNCTION("""COMPUTED_VALUE"""),"Credit Card")</f>
        <v>Credit Card</v>
      </c>
      <c r="J458" s="14" t="str">
        <f>IFERROR(__xludf.DUMMYFUNCTION("""COMPUTED_VALUE"""),"Cancelled*Payment Issues")</f>
        <v>Cancelled*Payment Issues</v>
      </c>
      <c r="K458" s="14" t="str">
        <f>IFERROR(__xludf.DUMMYFUNCTION("split(E458,""+"")"),"Cucumber")</f>
        <v>Cucumber</v>
      </c>
      <c r="L458" s="14" t="str">
        <f>IFERROR(__xludf.DUMMYFUNCTION("""COMPUTED_VALUE"""),"2*Not Assigned")</f>
        <v>2*Not Assigned</v>
      </c>
      <c r="M458" s="14">
        <f>IFERROR(__xludf.DUMMYFUNCTION("SPLIT(L458,""*"")"),2.0)</f>
        <v>2</v>
      </c>
      <c r="N458" s="14" t="str">
        <f>IFERROR(__xludf.DUMMYFUNCTION("""COMPUTED_VALUE"""),"Not Assigned")</f>
        <v>Not Assigned</v>
      </c>
      <c r="O458" s="14" t="str">
        <f>IFERROR(__xludf.DUMMYFUNCTION("split(J458,""*"")"),"Cancelled")</f>
        <v>Cancelled</v>
      </c>
      <c r="P458" s="14" t="str">
        <f>IFERROR(__xludf.DUMMYFUNCTION("""COMPUTED_VALUE"""),"Payment Issues")</f>
        <v>Payment Issues</v>
      </c>
      <c r="Q458" s="14" t="str">
        <f>IFERROR(__xludf.DUMMYFUNCTION("split(P458,"":"")"),"Payment Issues")</f>
        <v>Payment Issues</v>
      </c>
      <c r="R458" s="14"/>
      <c r="S458" s="14" t="str">
        <f t="shared" ref="S458:U458" si="919">trim(B458)</f>
        <v>ord_10449</v>
      </c>
      <c r="T458" s="14" t="str">
        <f t="shared" si="919"/>
        <v>Mehul Thakkar</v>
      </c>
      <c r="U458" s="14" t="str">
        <f t="shared" si="919"/>
        <v>Malad</v>
      </c>
      <c r="V458" s="14" t="str">
        <f t="shared" si="4"/>
        <v>Cucumber</v>
      </c>
      <c r="W458" s="14">
        <f t="shared" si="5"/>
        <v>2</v>
      </c>
      <c r="X458" s="14" t="str">
        <f t="shared" si="6"/>
        <v>Not Assigned</v>
      </c>
      <c r="Y458" s="15">
        <f t="shared" si="7"/>
        <v>45044</v>
      </c>
      <c r="Z458" s="14" t="str">
        <f t="shared" si="8"/>
        <v>Credit Card</v>
      </c>
      <c r="AA458" s="14" t="str">
        <f t="shared" si="9"/>
        <v>Cancelled</v>
      </c>
      <c r="AB458" s="14" t="str">
        <f t="shared" ref="AB458:AC458" si="920">trim(Q458)</f>
        <v>Payment Issues</v>
      </c>
      <c r="AC458" s="14" t="str">
        <f t="shared" si="920"/>
        <v/>
      </c>
      <c r="AD458" s="8"/>
    </row>
    <row r="459">
      <c r="A459" s="14" t="str">
        <f>IFERROR(__xludf.DUMMYFUNCTION("""COMPUTED_VALUE"""),"//ord_10450//Siya Reddy//Juhu//Popcorn+4*Not Assigned/5/12/2023//Credit Card//Cancelled*App Glitches:Slow Loading Time")</f>
        <v>//ord_10450//Siya Reddy//Juhu//Popcorn+4*Not Assigned/5/12/2023//Credit Card//Cancelled*App Glitches:Slow Loading Time</v>
      </c>
      <c r="B459" s="14" t="str">
        <f>IFERROR(__xludf.DUMMYFUNCTION("split(A459,""//"")"),"ord_10450")</f>
        <v>ord_10450</v>
      </c>
      <c r="C459" s="14" t="str">
        <f>IFERROR(__xludf.DUMMYFUNCTION("""COMPUTED_VALUE"""),"Siya Reddy")</f>
        <v>Siya Reddy</v>
      </c>
      <c r="D459" s="14" t="str">
        <f>IFERROR(__xludf.DUMMYFUNCTION("""COMPUTED_VALUE"""),"Juhu")</f>
        <v>Juhu</v>
      </c>
      <c r="E459" s="14" t="str">
        <f>IFERROR(__xludf.DUMMYFUNCTION("""COMPUTED_VALUE"""),"Popcorn+4*Not Assigned")</f>
        <v>Popcorn+4*Not Assigned</v>
      </c>
      <c r="F459" s="14">
        <f>IFERROR(__xludf.DUMMYFUNCTION("""COMPUTED_VALUE"""),5.0)</f>
        <v>5</v>
      </c>
      <c r="G459" s="14">
        <f>IFERROR(__xludf.DUMMYFUNCTION("""COMPUTED_VALUE"""),12.0)</f>
        <v>12</v>
      </c>
      <c r="H459" s="14">
        <f>IFERROR(__xludf.DUMMYFUNCTION("""COMPUTED_VALUE"""),2023.0)</f>
        <v>2023</v>
      </c>
      <c r="I459" s="14" t="str">
        <f>IFERROR(__xludf.DUMMYFUNCTION("""COMPUTED_VALUE"""),"Credit Card")</f>
        <v>Credit Card</v>
      </c>
      <c r="J459" s="14" t="str">
        <f>IFERROR(__xludf.DUMMYFUNCTION("""COMPUTED_VALUE"""),"Cancelled*App Glitches:Slow Loading Time")</f>
        <v>Cancelled*App Glitches:Slow Loading Time</v>
      </c>
      <c r="K459" s="14" t="str">
        <f>IFERROR(__xludf.DUMMYFUNCTION("split(E459,""+"")"),"Popcorn")</f>
        <v>Popcorn</v>
      </c>
      <c r="L459" s="14" t="str">
        <f>IFERROR(__xludf.DUMMYFUNCTION("""COMPUTED_VALUE"""),"4*Not Assigned")</f>
        <v>4*Not Assigned</v>
      </c>
      <c r="M459" s="14">
        <f>IFERROR(__xludf.DUMMYFUNCTION("SPLIT(L459,""*"")"),4.0)</f>
        <v>4</v>
      </c>
      <c r="N459" s="14" t="str">
        <f>IFERROR(__xludf.DUMMYFUNCTION("""COMPUTED_VALUE"""),"Not Assigned")</f>
        <v>Not Assigned</v>
      </c>
      <c r="O459" s="14" t="str">
        <f>IFERROR(__xludf.DUMMYFUNCTION("split(J459,""*"")"),"Cancelled")</f>
        <v>Cancelled</v>
      </c>
      <c r="P459" s="14" t="str">
        <f>IFERROR(__xludf.DUMMYFUNCTION("""COMPUTED_VALUE"""),"App Glitches:Slow Loading Time")</f>
        <v>App Glitches:Slow Loading Time</v>
      </c>
      <c r="Q459" s="14" t="str">
        <f>IFERROR(__xludf.DUMMYFUNCTION("split(P459,"":"")"),"App Glitches")</f>
        <v>App Glitches</v>
      </c>
      <c r="R459" s="14" t="str">
        <f>IFERROR(__xludf.DUMMYFUNCTION("""COMPUTED_VALUE"""),"Slow Loading Time")</f>
        <v>Slow Loading Time</v>
      </c>
      <c r="S459" s="14" t="str">
        <f t="shared" ref="S459:U459" si="921">trim(B459)</f>
        <v>ord_10450</v>
      </c>
      <c r="T459" s="14" t="str">
        <f t="shared" si="921"/>
        <v>Siya Reddy</v>
      </c>
      <c r="U459" s="14" t="str">
        <f t="shared" si="921"/>
        <v>Juhu</v>
      </c>
      <c r="V459" s="14" t="str">
        <f t="shared" si="4"/>
        <v>Popcorn</v>
      </c>
      <c r="W459" s="14">
        <f t="shared" si="5"/>
        <v>4</v>
      </c>
      <c r="X459" s="14" t="str">
        <f t="shared" si="6"/>
        <v>Not Assigned</v>
      </c>
      <c r="Y459" s="15">
        <f t="shared" si="7"/>
        <v>45058</v>
      </c>
      <c r="Z459" s="14" t="str">
        <f t="shared" si="8"/>
        <v>Credit Card</v>
      </c>
      <c r="AA459" s="14" t="str">
        <f t="shared" si="9"/>
        <v>Cancelled</v>
      </c>
      <c r="AB459" s="14" t="str">
        <f t="shared" ref="AB459:AC459" si="922">trim(Q459)</f>
        <v>App Glitches</v>
      </c>
      <c r="AC459" s="14" t="str">
        <f t="shared" si="922"/>
        <v>Slow Loading Time</v>
      </c>
      <c r="AD459" s="8"/>
    </row>
    <row r="460">
      <c r="A460" s="14" t="str">
        <f>IFERROR(__xludf.DUMMYFUNCTION("""COMPUTED_VALUE"""),"//ord_10451//Diya Arora//Lower Parel//Tiramisu+4*Kiran Mehta/10/14/2023//Online Payment//Delivered*Customer Service: Seamless and easy")</f>
        <v>//ord_10451//Diya Arora//Lower Parel//Tiramisu+4*Kiran Mehta/10/14/2023//Online Payment//Delivered*Customer Service: Seamless and easy</v>
      </c>
      <c r="B460" s="14" t="str">
        <f>IFERROR(__xludf.DUMMYFUNCTION("split(A460,""//"")"),"ord_10451")</f>
        <v>ord_10451</v>
      </c>
      <c r="C460" s="14" t="str">
        <f>IFERROR(__xludf.DUMMYFUNCTION("""COMPUTED_VALUE"""),"Diya Arora")</f>
        <v>Diya Arora</v>
      </c>
      <c r="D460" s="14" t="str">
        <f>IFERROR(__xludf.DUMMYFUNCTION("""COMPUTED_VALUE"""),"Lower Parel")</f>
        <v>Lower Parel</v>
      </c>
      <c r="E460" s="14" t="str">
        <f>IFERROR(__xludf.DUMMYFUNCTION("""COMPUTED_VALUE"""),"Tiramisu+4*Kiran Mehta")</f>
        <v>Tiramisu+4*Kiran Mehta</v>
      </c>
      <c r="F460" s="14">
        <f>IFERROR(__xludf.DUMMYFUNCTION("""COMPUTED_VALUE"""),10.0)</f>
        <v>10</v>
      </c>
      <c r="G460" s="14">
        <f>IFERROR(__xludf.DUMMYFUNCTION("""COMPUTED_VALUE"""),14.0)</f>
        <v>14</v>
      </c>
      <c r="H460" s="14">
        <f>IFERROR(__xludf.DUMMYFUNCTION("""COMPUTED_VALUE"""),2023.0)</f>
        <v>2023</v>
      </c>
      <c r="I460" s="14" t="str">
        <f>IFERROR(__xludf.DUMMYFUNCTION("""COMPUTED_VALUE"""),"Online Payment")</f>
        <v>Online Payment</v>
      </c>
      <c r="J460" s="14" t="str">
        <f>IFERROR(__xludf.DUMMYFUNCTION("""COMPUTED_VALUE"""),"Delivered*Customer Service: Seamless and easy")</f>
        <v>Delivered*Customer Service: Seamless and easy</v>
      </c>
      <c r="K460" s="14" t="str">
        <f>IFERROR(__xludf.DUMMYFUNCTION("split(E460,""+"")"),"Tiramisu")</f>
        <v>Tiramisu</v>
      </c>
      <c r="L460" s="14" t="str">
        <f>IFERROR(__xludf.DUMMYFUNCTION("""COMPUTED_VALUE"""),"4*Kiran Mehta")</f>
        <v>4*Kiran Mehta</v>
      </c>
      <c r="M460" s="14">
        <f>IFERROR(__xludf.DUMMYFUNCTION("SPLIT(L460,""*"")"),4.0)</f>
        <v>4</v>
      </c>
      <c r="N460" s="14" t="str">
        <f>IFERROR(__xludf.DUMMYFUNCTION("""COMPUTED_VALUE"""),"Kiran Mehta")</f>
        <v>Kiran Mehta</v>
      </c>
      <c r="O460" s="14" t="str">
        <f>IFERROR(__xludf.DUMMYFUNCTION("split(J460,""*"")"),"Delivered")</f>
        <v>Delivered</v>
      </c>
      <c r="P460" s="14" t="str">
        <f>IFERROR(__xludf.DUMMYFUNCTION("""COMPUTED_VALUE"""),"Customer Service: Seamless and easy")</f>
        <v>Customer Service: Seamless and easy</v>
      </c>
      <c r="Q460" s="14" t="str">
        <f>IFERROR(__xludf.DUMMYFUNCTION("split(P460,"":"")"),"Customer Service")</f>
        <v>Customer Service</v>
      </c>
      <c r="R460" s="14" t="str">
        <f>IFERROR(__xludf.DUMMYFUNCTION("""COMPUTED_VALUE""")," Seamless and easy")</f>
        <v> Seamless and easy</v>
      </c>
      <c r="S460" s="14" t="str">
        <f t="shared" ref="S460:U460" si="923">trim(B460)</f>
        <v>ord_10451</v>
      </c>
      <c r="T460" s="14" t="str">
        <f t="shared" si="923"/>
        <v>Diya Arora</v>
      </c>
      <c r="U460" s="14" t="str">
        <f t="shared" si="923"/>
        <v>Lower Parel</v>
      </c>
      <c r="V460" s="14" t="str">
        <f t="shared" si="4"/>
        <v>Tiramisu</v>
      </c>
      <c r="W460" s="14">
        <f t="shared" si="5"/>
        <v>4</v>
      </c>
      <c r="X460" s="14" t="str">
        <f t="shared" si="6"/>
        <v>Kiran Mehta</v>
      </c>
      <c r="Y460" s="15">
        <f t="shared" si="7"/>
        <v>45213</v>
      </c>
      <c r="Z460" s="14" t="str">
        <f t="shared" si="8"/>
        <v>Online Payment</v>
      </c>
      <c r="AA460" s="14" t="str">
        <f t="shared" si="9"/>
        <v>Delivered</v>
      </c>
      <c r="AB460" s="14" t="str">
        <f t="shared" ref="AB460:AC460" si="924">trim(Q460)</f>
        <v>Customer Service</v>
      </c>
      <c r="AC460" s="14" t="str">
        <f t="shared" si="924"/>
        <v>Seamless and easy</v>
      </c>
      <c r="AD460" s="8"/>
    </row>
    <row r="461">
      <c r="A461" s="14" t="str">
        <f>IFERROR(__xludf.DUMMYFUNCTION("""COMPUTED_VALUE"""),"//ord_10452//Kritika Shetty//Malad//Icecream+3*Ram Gopal/7/22/2023//Credit Card//Cancelled*Delayed Delivery:Heavy Traffic")</f>
        <v>//ord_10452//Kritika Shetty//Malad//Icecream+3*Ram Gopal/7/22/2023//Credit Card//Cancelled*Delayed Delivery:Heavy Traffic</v>
      </c>
      <c r="B461" s="14" t="str">
        <f>IFERROR(__xludf.DUMMYFUNCTION("split(A461,""//"")"),"ord_10452")</f>
        <v>ord_10452</v>
      </c>
      <c r="C461" s="14" t="str">
        <f>IFERROR(__xludf.DUMMYFUNCTION("""COMPUTED_VALUE"""),"Kritika Shetty")</f>
        <v>Kritika Shetty</v>
      </c>
      <c r="D461" s="14" t="str">
        <f>IFERROR(__xludf.DUMMYFUNCTION("""COMPUTED_VALUE"""),"Malad")</f>
        <v>Malad</v>
      </c>
      <c r="E461" s="14" t="str">
        <f>IFERROR(__xludf.DUMMYFUNCTION("""COMPUTED_VALUE"""),"Icecream+3*Ram Gopal")</f>
        <v>Icecream+3*Ram Gopal</v>
      </c>
      <c r="F461" s="14">
        <f>IFERROR(__xludf.DUMMYFUNCTION("""COMPUTED_VALUE"""),7.0)</f>
        <v>7</v>
      </c>
      <c r="G461" s="14">
        <f>IFERROR(__xludf.DUMMYFUNCTION("""COMPUTED_VALUE"""),22.0)</f>
        <v>22</v>
      </c>
      <c r="H461" s="14">
        <f>IFERROR(__xludf.DUMMYFUNCTION("""COMPUTED_VALUE"""),2023.0)</f>
        <v>2023</v>
      </c>
      <c r="I461" s="14" t="str">
        <f>IFERROR(__xludf.DUMMYFUNCTION("""COMPUTED_VALUE"""),"Credit Card")</f>
        <v>Credit Card</v>
      </c>
      <c r="J461" s="14" t="str">
        <f>IFERROR(__xludf.DUMMYFUNCTION("""COMPUTED_VALUE"""),"Cancelled*Delayed Delivery:Heavy Traffic")</f>
        <v>Cancelled*Delayed Delivery:Heavy Traffic</v>
      </c>
      <c r="K461" s="14" t="str">
        <f>IFERROR(__xludf.DUMMYFUNCTION("split(E461,""+"")"),"Icecream")</f>
        <v>Icecream</v>
      </c>
      <c r="L461" s="14" t="str">
        <f>IFERROR(__xludf.DUMMYFUNCTION("""COMPUTED_VALUE"""),"3*Ram Gopal")</f>
        <v>3*Ram Gopal</v>
      </c>
      <c r="M461" s="14">
        <f>IFERROR(__xludf.DUMMYFUNCTION("SPLIT(L461,""*"")"),3.0)</f>
        <v>3</v>
      </c>
      <c r="N461" s="14" t="str">
        <f>IFERROR(__xludf.DUMMYFUNCTION("""COMPUTED_VALUE"""),"Ram Gopal")</f>
        <v>Ram Gopal</v>
      </c>
      <c r="O461" s="14" t="str">
        <f>IFERROR(__xludf.DUMMYFUNCTION("split(J461,""*"")"),"Cancelled")</f>
        <v>Cancelled</v>
      </c>
      <c r="P461" s="14" t="str">
        <f>IFERROR(__xludf.DUMMYFUNCTION("""COMPUTED_VALUE"""),"Delayed Delivery:Heavy Traffic")</f>
        <v>Delayed Delivery:Heavy Traffic</v>
      </c>
      <c r="Q461" s="14" t="str">
        <f>IFERROR(__xludf.DUMMYFUNCTION("split(P461,"":"")"),"Delayed Delivery")</f>
        <v>Delayed Delivery</v>
      </c>
      <c r="R461" s="14" t="str">
        <f>IFERROR(__xludf.DUMMYFUNCTION("""COMPUTED_VALUE"""),"Heavy Traffic")</f>
        <v>Heavy Traffic</v>
      </c>
      <c r="S461" s="14" t="str">
        <f t="shared" ref="S461:U461" si="925">trim(B461)</f>
        <v>ord_10452</v>
      </c>
      <c r="T461" s="14" t="str">
        <f t="shared" si="925"/>
        <v>Kritika Shetty</v>
      </c>
      <c r="U461" s="14" t="str">
        <f t="shared" si="925"/>
        <v>Malad</v>
      </c>
      <c r="V461" s="14" t="str">
        <f t="shared" si="4"/>
        <v>Icecream</v>
      </c>
      <c r="W461" s="14">
        <f t="shared" si="5"/>
        <v>3</v>
      </c>
      <c r="X461" s="14" t="str">
        <f t="shared" si="6"/>
        <v>Ram Gopal</v>
      </c>
      <c r="Y461" s="15">
        <f t="shared" si="7"/>
        <v>45129</v>
      </c>
      <c r="Z461" s="14" t="str">
        <f t="shared" si="8"/>
        <v>Credit Card</v>
      </c>
      <c r="AA461" s="14" t="str">
        <f t="shared" si="9"/>
        <v>Cancelled</v>
      </c>
      <c r="AB461" s="14" t="str">
        <f t="shared" ref="AB461:AC461" si="926">trim(Q461)</f>
        <v>Delayed Delivery</v>
      </c>
      <c r="AC461" s="14" t="str">
        <f t="shared" si="926"/>
        <v>Heavy Traffic</v>
      </c>
      <c r="AD461" s="8"/>
    </row>
    <row r="462">
      <c r="A462" s="14" t="str">
        <f>IFERROR(__xludf.DUMMYFUNCTION("""COMPUTED_VALUE"""),"//ord_10453//Ishita Banerjee//Juhu//Chilli Cheese Toast+4*Not Assigned/9/30/2023//Credit Card//Cancelled*App Glitches: Payment Button Malfunction")</f>
        <v>//ord_10453//Ishita Banerjee//Juhu//Chilli Cheese Toast+4*Not Assigned/9/30/2023//Credit Card//Cancelled*App Glitches: Payment Button Malfunction</v>
      </c>
      <c r="B462" s="14" t="str">
        <f>IFERROR(__xludf.DUMMYFUNCTION("split(A462,""//"")"),"ord_10453")</f>
        <v>ord_10453</v>
      </c>
      <c r="C462" s="14" t="str">
        <f>IFERROR(__xludf.DUMMYFUNCTION("""COMPUTED_VALUE"""),"Ishita Banerjee")</f>
        <v>Ishita Banerjee</v>
      </c>
      <c r="D462" s="14" t="str">
        <f>IFERROR(__xludf.DUMMYFUNCTION("""COMPUTED_VALUE"""),"Juhu")</f>
        <v>Juhu</v>
      </c>
      <c r="E462" s="14" t="str">
        <f>IFERROR(__xludf.DUMMYFUNCTION("""COMPUTED_VALUE"""),"Chilli Cheese Toast+4*Not Assigned")</f>
        <v>Chilli Cheese Toast+4*Not Assigned</v>
      </c>
      <c r="F462" s="14">
        <f>IFERROR(__xludf.DUMMYFUNCTION("""COMPUTED_VALUE"""),9.0)</f>
        <v>9</v>
      </c>
      <c r="G462" s="14">
        <f>IFERROR(__xludf.DUMMYFUNCTION("""COMPUTED_VALUE"""),30.0)</f>
        <v>30</v>
      </c>
      <c r="H462" s="14">
        <f>IFERROR(__xludf.DUMMYFUNCTION("""COMPUTED_VALUE"""),2023.0)</f>
        <v>2023</v>
      </c>
      <c r="I462" s="14" t="str">
        <f>IFERROR(__xludf.DUMMYFUNCTION("""COMPUTED_VALUE"""),"Credit Card")</f>
        <v>Credit Card</v>
      </c>
      <c r="J462" s="14" t="str">
        <f>IFERROR(__xludf.DUMMYFUNCTION("""COMPUTED_VALUE"""),"Cancelled*App Glitches: Payment Button Malfunction")</f>
        <v>Cancelled*App Glitches: Payment Button Malfunction</v>
      </c>
      <c r="K462" s="14" t="str">
        <f>IFERROR(__xludf.DUMMYFUNCTION("split(E462,""+"")"),"Chilli Cheese Toast")</f>
        <v>Chilli Cheese Toast</v>
      </c>
      <c r="L462" s="14" t="str">
        <f>IFERROR(__xludf.DUMMYFUNCTION("""COMPUTED_VALUE"""),"4*Not Assigned")</f>
        <v>4*Not Assigned</v>
      </c>
      <c r="M462" s="14">
        <f>IFERROR(__xludf.DUMMYFUNCTION("SPLIT(L462,""*"")"),4.0)</f>
        <v>4</v>
      </c>
      <c r="N462" s="14" t="str">
        <f>IFERROR(__xludf.DUMMYFUNCTION("""COMPUTED_VALUE"""),"Not Assigned")</f>
        <v>Not Assigned</v>
      </c>
      <c r="O462" s="14" t="str">
        <f>IFERROR(__xludf.DUMMYFUNCTION("split(J462,""*"")"),"Cancelled")</f>
        <v>Cancelled</v>
      </c>
      <c r="P462" s="14" t="str">
        <f>IFERROR(__xludf.DUMMYFUNCTION("""COMPUTED_VALUE"""),"App Glitches: Payment Button Malfunction")</f>
        <v>App Glitches: Payment Button Malfunction</v>
      </c>
      <c r="Q462" s="14" t="str">
        <f>IFERROR(__xludf.DUMMYFUNCTION("split(P462,"":"")"),"App Glitches")</f>
        <v>App Glitches</v>
      </c>
      <c r="R462" s="14" t="str">
        <f>IFERROR(__xludf.DUMMYFUNCTION("""COMPUTED_VALUE""")," Payment Button Malfunction")</f>
        <v> Payment Button Malfunction</v>
      </c>
      <c r="S462" s="14" t="str">
        <f t="shared" ref="S462:U462" si="927">trim(B462)</f>
        <v>ord_10453</v>
      </c>
      <c r="T462" s="14" t="str">
        <f t="shared" si="927"/>
        <v>Ishita Banerjee</v>
      </c>
      <c r="U462" s="14" t="str">
        <f t="shared" si="927"/>
        <v>Juhu</v>
      </c>
      <c r="V462" s="14" t="str">
        <f t="shared" si="4"/>
        <v>Chilli Cheese Toast</v>
      </c>
      <c r="W462" s="14">
        <f t="shared" si="5"/>
        <v>4</v>
      </c>
      <c r="X462" s="14" t="str">
        <f t="shared" si="6"/>
        <v>Not Assigned</v>
      </c>
      <c r="Y462" s="15">
        <f t="shared" si="7"/>
        <v>45199</v>
      </c>
      <c r="Z462" s="14" t="str">
        <f t="shared" si="8"/>
        <v>Credit Card</v>
      </c>
      <c r="AA462" s="14" t="str">
        <f t="shared" si="9"/>
        <v>Cancelled</v>
      </c>
      <c r="AB462" s="14" t="str">
        <f t="shared" ref="AB462:AC462" si="928">trim(Q462)</f>
        <v>App Glitches</v>
      </c>
      <c r="AC462" s="14" t="str">
        <f t="shared" si="928"/>
        <v>Payment Button Malfunction</v>
      </c>
      <c r="AD462" s="8"/>
    </row>
    <row r="463">
      <c r="A463" s="14" t="str">
        <f>IFERROR(__xludf.DUMMYFUNCTION("""COMPUTED_VALUE"""),"//ord_10454//Tanishq Bansal//Powai//Papaya+2*Sandeep Kumar/12/4/2023//Online Payment//Delivered*Delivery Experience: Quick and professional")</f>
        <v>//ord_10454//Tanishq Bansal//Powai//Papaya+2*Sandeep Kumar/12/4/2023//Online Payment//Delivered*Delivery Experience: Quick and professional</v>
      </c>
      <c r="B463" s="14" t="str">
        <f>IFERROR(__xludf.DUMMYFUNCTION("split(A463,""//"")"),"ord_10454")</f>
        <v>ord_10454</v>
      </c>
      <c r="C463" s="14" t="str">
        <f>IFERROR(__xludf.DUMMYFUNCTION("""COMPUTED_VALUE"""),"Tanishq Bansal")</f>
        <v>Tanishq Bansal</v>
      </c>
      <c r="D463" s="14" t="str">
        <f>IFERROR(__xludf.DUMMYFUNCTION("""COMPUTED_VALUE"""),"Powai")</f>
        <v>Powai</v>
      </c>
      <c r="E463" s="14" t="str">
        <f>IFERROR(__xludf.DUMMYFUNCTION("""COMPUTED_VALUE"""),"Papaya+2*Sandeep Kumar")</f>
        <v>Papaya+2*Sandeep Kumar</v>
      </c>
      <c r="F463" s="14">
        <f>IFERROR(__xludf.DUMMYFUNCTION("""COMPUTED_VALUE"""),12.0)</f>
        <v>12</v>
      </c>
      <c r="G463" s="14">
        <f>IFERROR(__xludf.DUMMYFUNCTION("""COMPUTED_VALUE"""),4.0)</f>
        <v>4</v>
      </c>
      <c r="H463" s="14">
        <f>IFERROR(__xludf.DUMMYFUNCTION("""COMPUTED_VALUE"""),2023.0)</f>
        <v>2023</v>
      </c>
      <c r="I463" s="14" t="str">
        <f>IFERROR(__xludf.DUMMYFUNCTION("""COMPUTED_VALUE"""),"Online Payment")</f>
        <v>Online Payment</v>
      </c>
      <c r="J463" s="14" t="str">
        <f>IFERROR(__xludf.DUMMYFUNCTION("""COMPUTED_VALUE"""),"Delivered*Delivery Experience: Quick and professional")</f>
        <v>Delivered*Delivery Experience: Quick and professional</v>
      </c>
      <c r="K463" s="14" t="str">
        <f>IFERROR(__xludf.DUMMYFUNCTION("split(E463,""+"")"),"Papaya")</f>
        <v>Papaya</v>
      </c>
      <c r="L463" s="14" t="str">
        <f>IFERROR(__xludf.DUMMYFUNCTION("""COMPUTED_VALUE"""),"2*Sandeep Kumar")</f>
        <v>2*Sandeep Kumar</v>
      </c>
      <c r="M463" s="14">
        <f>IFERROR(__xludf.DUMMYFUNCTION("SPLIT(L463,""*"")"),2.0)</f>
        <v>2</v>
      </c>
      <c r="N463" s="14" t="str">
        <f>IFERROR(__xludf.DUMMYFUNCTION("""COMPUTED_VALUE"""),"Sandeep Kumar")</f>
        <v>Sandeep Kumar</v>
      </c>
      <c r="O463" s="14" t="str">
        <f>IFERROR(__xludf.DUMMYFUNCTION("split(J463,""*"")"),"Delivered")</f>
        <v>Delivered</v>
      </c>
      <c r="P463" s="14" t="str">
        <f>IFERROR(__xludf.DUMMYFUNCTION("""COMPUTED_VALUE"""),"Delivery Experience: Quick and professional")</f>
        <v>Delivery Experience: Quick and professional</v>
      </c>
      <c r="Q463" s="14" t="str">
        <f>IFERROR(__xludf.DUMMYFUNCTION("split(P463,"":"")"),"Delivery Experience")</f>
        <v>Delivery Experience</v>
      </c>
      <c r="R463" s="14" t="str">
        <f>IFERROR(__xludf.DUMMYFUNCTION("""COMPUTED_VALUE""")," Quick and professional")</f>
        <v> Quick and professional</v>
      </c>
      <c r="S463" s="14" t="str">
        <f t="shared" ref="S463:U463" si="929">trim(B463)</f>
        <v>ord_10454</v>
      </c>
      <c r="T463" s="14" t="str">
        <f t="shared" si="929"/>
        <v>Tanishq Bansal</v>
      </c>
      <c r="U463" s="14" t="str">
        <f t="shared" si="929"/>
        <v>Powai</v>
      </c>
      <c r="V463" s="14" t="str">
        <f t="shared" si="4"/>
        <v>Papaya</v>
      </c>
      <c r="W463" s="14">
        <f t="shared" si="5"/>
        <v>2</v>
      </c>
      <c r="X463" s="14" t="str">
        <f t="shared" si="6"/>
        <v>Sandeep Kumar</v>
      </c>
      <c r="Y463" s="15">
        <f t="shared" si="7"/>
        <v>45264</v>
      </c>
      <c r="Z463" s="14" t="str">
        <f t="shared" si="8"/>
        <v>Online Payment</v>
      </c>
      <c r="AA463" s="14" t="str">
        <f t="shared" si="9"/>
        <v>Delivered</v>
      </c>
      <c r="AB463" s="14" t="str">
        <f t="shared" ref="AB463:AC463" si="930">trim(Q463)</f>
        <v>Delivery Experience</v>
      </c>
      <c r="AC463" s="14" t="str">
        <f t="shared" si="930"/>
        <v>Quick and professional</v>
      </c>
      <c r="AD463" s="8"/>
    </row>
    <row r="464">
      <c r="A464" s="14" t="str">
        <f>IFERROR(__xludf.DUMMYFUNCTION("""COMPUTED_VALUE"""),"//ord_10455//Kritika Shetty//Malad//Banana+2*Not Assigned/7/24/2023//UPI//Cancelled*App Glitches: Payment Button Malfunction")</f>
        <v>//ord_10455//Kritika Shetty//Malad//Banana+2*Not Assigned/7/24/2023//UPI//Cancelled*App Glitches: Payment Button Malfunction</v>
      </c>
      <c r="B464" s="14" t="str">
        <f>IFERROR(__xludf.DUMMYFUNCTION("split(A464,""//"")"),"ord_10455")</f>
        <v>ord_10455</v>
      </c>
      <c r="C464" s="14" t="str">
        <f>IFERROR(__xludf.DUMMYFUNCTION("""COMPUTED_VALUE"""),"Kritika Shetty")</f>
        <v>Kritika Shetty</v>
      </c>
      <c r="D464" s="14" t="str">
        <f>IFERROR(__xludf.DUMMYFUNCTION("""COMPUTED_VALUE"""),"Malad")</f>
        <v>Malad</v>
      </c>
      <c r="E464" s="14" t="str">
        <f>IFERROR(__xludf.DUMMYFUNCTION("""COMPUTED_VALUE"""),"Banana+2*Not Assigned")</f>
        <v>Banana+2*Not Assigned</v>
      </c>
      <c r="F464" s="14">
        <f>IFERROR(__xludf.DUMMYFUNCTION("""COMPUTED_VALUE"""),7.0)</f>
        <v>7</v>
      </c>
      <c r="G464" s="14">
        <f>IFERROR(__xludf.DUMMYFUNCTION("""COMPUTED_VALUE"""),24.0)</f>
        <v>24</v>
      </c>
      <c r="H464" s="14">
        <f>IFERROR(__xludf.DUMMYFUNCTION("""COMPUTED_VALUE"""),2023.0)</f>
        <v>2023</v>
      </c>
      <c r="I464" s="14" t="str">
        <f>IFERROR(__xludf.DUMMYFUNCTION("""COMPUTED_VALUE"""),"UPI")</f>
        <v>UPI</v>
      </c>
      <c r="J464" s="14" t="str">
        <f>IFERROR(__xludf.DUMMYFUNCTION("""COMPUTED_VALUE"""),"Cancelled*App Glitches: Payment Button Malfunction")</f>
        <v>Cancelled*App Glitches: Payment Button Malfunction</v>
      </c>
      <c r="K464" s="14" t="str">
        <f>IFERROR(__xludf.DUMMYFUNCTION("split(E464,""+"")"),"Banana")</f>
        <v>Banana</v>
      </c>
      <c r="L464" s="14" t="str">
        <f>IFERROR(__xludf.DUMMYFUNCTION("""COMPUTED_VALUE"""),"2*Not Assigned")</f>
        <v>2*Not Assigned</v>
      </c>
      <c r="M464" s="14">
        <f>IFERROR(__xludf.DUMMYFUNCTION("SPLIT(L464,""*"")"),2.0)</f>
        <v>2</v>
      </c>
      <c r="N464" s="14" t="str">
        <f>IFERROR(__xludf.DUMMYFUNCTION("""COMPUTED_VALUE"""),"Not Assigned")</f>
        <v>Not Assigned</v>
      </c>
      <c r="O464" s="14" t="str">
        <f>IFERROR(__xludf.DUMMYFUNCTION("split(J464,""*"")"),"Cancelled")</f>
        <v>Cancelled</v>
      </c>
      <c r="P464" s="14" t="str">
        <f>IFERROR(__xludf.DUMMYFUNCTION("""COMPUTED_VALUE"""),"App Glitches: Payment Button Malfunction")</f>
        <v>App Glitches: Payment Button Malfunction</v>
      </c>
      <c r="Q464" s="14" t="str">
        <f>IFERROR(__xludf.DUMMYFUNCTION("split(P464,"":"")"),"App Glitches")</f>
        <v>App Glitches</v>
      </c>
      <c r="R464" s="14" t="str">
        <f>IFERROR(__xludf.DUMMYFUNCTION("""COMPUTED_VALUE""")," Payment Button Malfunction")</f>
        <v> Payment Button Malfunction</v>
      </c>
      <c r="S464" s="14" t="str">
        <f t="shared" ref="S464:U464" si="931">trim(B464)</f>
        <v>ord_10455</v>
      </c>
      <c r="T464" s="14" t="str">
        <f t="shared" si="931"/>
        <v>Kritika Shetty</v>
      </c>
      <c r="U464" s="14" t="str">
        <f t="shared" si="931"/>
        <v>Malad</v>
      </c>
      <c r="V464" s="14" t="str">
        <f t="shared" si="4"/>
        <v>Banana</v>
      </c>
      <c r="W464" s="14">
        <f t="shared" si="5"/>
        <v>2</v>
      </c>
      <c r="X464" s="14" t="str">
        <f t="shared" si="6"/>
        <v>Not Assigned</v>
      </c>
      <c r="Y464" s="15">
        <f t="shared" si="7"/>
        <v>45131</v>
      </c>
      <c r="Z464" s="14" t="str">
        <f t="shared" si="8"/>
        <v>UPI</v>
      </c>
      <c r="AA464" s="14" t="str">
        <f t="shared" si="9"/>
        <v>Cancelled</v>
      </c>
      <c r="AB464" s="14" t="str">
        <f t="shared" ref="AB464:AC464" si="932">trim(Q464)</f>
        <v>App Glitches</v>
      </c>
      <c r="AC464" s="14" t="str">
        <f t="shared" si="932"/>
        <v>Payment Button Malfunction</v>
      </c>
      <c r="AD464" s="8"/>
    </row>
    <row r="465">
      <c r="A465" s="14" t="str">
        <f>IFERROR(__xludf.DUMMYFUNCTION("""COMPUTED_VALUE"""),"//ord_10456//Omkar Mishra//Powai//Guava+2*Shine Thomas/5/12/2023//COD//Delivered*Convenience: Easy tracking")</f>
        <v>//ord_10456//Omkar Mishra//Powai//Guava+2*Shine Thomas/5/12/2023//COD//Delivered*Convenience: Easy tracking</v>
      </c>
      <c r="B465" s="14" t="str">
        <f>IFERROR(__xludf.DUMMYFUNCTION("split(A465,""//"")"),"ord_10456")</f>
        <v>ord_10456</v>
      </c>
      <c r="C465" s="14" t="str">
        <f>IFERROR(__xludf.DUMMYFUNCTION("""COMPUTED_VALUE"""),"Omkar Mishra")</f>
        <v>Omkar Mishra</v>
      </c>
      <c r="D465" s="14" t="str">
        <f>IFERROR(__xludf.DUMMYFUNCTION("""COMPUTED_VALUE"""),"Powai")</f>
        <v>Powai</v>
      </c>
      <c r="E465" s="14" t="str">
        <f>IFERROR(__xludf.DUMMYFUNCTION("""COMPUTED_VALUE"""),"Guava+2*Shine Thomas")</f>
        <v>Guava+2*Shine Thomas</v>
      </c>
      <c r="F465" s="14">
        <f>IFERROR(__xludf.DUMMYFUNCTION("""COMPUTED_VALUE"""),5.0)</f>
        <v>5</v>
      </c>
      <c r="G465" s="14">
        <f>IFERROR(__xludf.DUMMYFUNCTION("""COMPUTED_VALUE"""),12.0)</f>
        <v>12</v>
      </c>
      <c r="H465" s="14">
        <f>IFERROR(__xludf.DUMMYFUNCTION("""COMPUTED_VALUE"""),2023.0)</f>
        <v>2023</v>
      </c>
      <c r="I465" s="14" t="str">
        <f>IFERROR(__xludf.DUMMYFUNCTION("""COMPUTED_VALUE"""),"COD")</f>
        <v>COD</v>
      </c>
      <c r="J465" s="14" t="str">
        <f>IFERROR(__xludf.DUMMYFUNCTION("""COMPUTED_VALUE"""),"Delivered*Convenience: Easy tracking")</f>
        <v>Delivered*Convenience: Easy tracking</v>
      </c>
      <c r="K465" s="14" t="str">
        <f>IFERROR(__xludf.DUMMYFUNCTION("split(E465,""+"")"),"Guava")</f>
        <v>Guava</v>
      </c>
      <c r="L465" s="14" t="str">
        <f>IFERROR(__xludf.DUMMYFUNCTION("""COMPUTED_VALUE"""),"2*Shine Thomas")</f>
        <v>2*Shine Thomas</v>
      </c>
      <c r="M465" s="14">
        <f>IFERROR(__xludf.DUMMYFUNCTION("SPLIT(L465,""*"")"),2.0)</f>
        <v>2</v>
      </c>
      <c r="N465" s="14" t="str">
        <f>IFERROR(__xludf.DUMMYFUNCTION("""COMPUTED_VALUE"""),"Shine Thomas")</f>
        <v>Shine Thomas</v>
      </c>
      <c r="O465" s="14" t="str">
        <f>IFERROR(__xludf.DUMMYFUNCTION("split(J465,""*"")"),"Delivered")</f>
        <v>Delivered</v>
      </c>
      <c r="P465" s="14" t="str">
        <f>IFERROR(__xludf.DUMMYFUNCTION("""COMPUTED_VALUE"""),"Convenience: Easy tracking")</f>
        <v>Convenience: Easy tracking</v>
      </c>
      <c r="Q465" s="14" t="str">
        <f>IFERROR(__xludf.DUMMYFUNCTION("split(P465,"":"")"),"Convenience")</f>
        <v>Convenience</v>
      </c>
      <c r="R465" s="14" t="str">
        <f>IFERROR(__xludf.DUMMYFUNCTION("""COMPUTED_VALUE""")," Easy tracking")</f>
        <v> Easy tracking</v>
      </c>
      <c r="S465" s="14" t="str">
        <f t="shared" ref="S465:U465" si="933">trim(B465)</f>
        <v>ord_10456</v>
      </c>
      <c r="T465" s="14" t="str">
        <f t="shared" si="933"/>
        <v>Omkar Mishra</v>
      </c>
      <c r="U465" s="14" t="str">
        <f t="shared" si="933"/>
        <v>Powai</v>
      </c>
      <c r="V465" s="14" t="str">
        <f t="shared" si="4"/>
        <v>Guava</v>
      </c>
      <c r="W465" s="14">
        <f t="shared" si="5"/>
        <v>2</v>
      </c>
      <c r="X465" s="14" t="str">
        <f t="shared" si="6"/>
        <v>Shine Thomas</v>
      </c>
      <c r="Y465" s="15">
        <f t="shared" si="7"/>
        <v>45058</v>
      </c>
      <c r="Z465" s="14" t="str">
        <f t="shared" si="8"/>
        <v>COD</v>
      </c>
      <c r="AA465" s="14" t="str">
        <f t="shared" si="9"/>
        <v>Delivered</v>
      </c>
      <c r="AB465" s="14" t="str">
        <f t="shared" ref="AB465:AC465" si="934">trim(Q465)</f>
        <v>Convenience</v>
      </c>
      <c r="AC465" s="14" t="str">
        <f t="shared" si="934"/>
        <v>Easy tracking</v>
      </c>
      <c r="AD465" s="8"/>
    </row>
    <row r="466">
      <c r="A466" s="14" t="str">
        <f>IFERROR(__xludf.DUMMYFUNCTION("""COMPUTED_VALUE"""),"//ord_10457//Arvind Kulkarni//Juhu//Tomato+1*Priya Joshi/11/10/2023//Online Payment//Cancelled*Delayed Delivery:Bad Weather Conditions ")</f>
        <v>//ord_10457//Arvind Kulkarni//Juhu//Tomato+1*Priya Joshi/11/10/2023//Online Payment//Cancelled*Delayed Delivery:Bad Weather Conditions </v>
      </c>
      <c r="B466" s="14" t="str">
        <f>IFERROR(__xludf.DUMMYFUNCTION("split(A466,""//"")"),"ord_10457")</f>
        <v>ord_10457</v>
      </c>
      <c r="C466" s="14" t="str">
        <f>IFERROR(__xludf.DUMMYFUNCTION("""COMPUTED_VALUE"""),"Arvind Kulkarni")</f>
        <v>Arvind Kulkarni</v>
      </c>
      <c r="D466" s="14" t="str">
        <f>IFERROR(__xludf.DUMMYFUNCTION("""COMPUTED_VALUE"""),"Juhu")</f>
        <v>Juhu</v>
      </c>
      <c r="E466" s="14" t="str">
        <f>IFERROR(__xludf.DUMMYFUNCTION("""COMPUTED_VALUE"""),"Tomato+1*Priya Joshi")</f>
        <v>Tomato+1*Priya Joshi</v>
      </c>
      <c r="F466" s="14">
        <f>IFERROR(__xludf.DUMMYFUNCTION("""COMPUTED_VALUE"""),11.0)</f>
        <v>11</v>
      </c>
      <c r="G466" s="14">
        <f>IFERROR(__xludf.DUMMYFUNCTION("""COMPUTED_VALUE"""),10.0)</f>
        <v>10</v>
      </c>
      <c r="H466" s="14">
        <f>IFERROR(__xludf.DUMMYFUNCTION("""COMPUTED_VALUE"""),2023.0)</f>
        <v>2023</v>
      </c>
      <c r="I466" s="14" t="str">
        <f>IFERROR(__xludf.DUMMYFUNCTION("""COMPUTED_VALUE"""),"Online Payment")</f>
        <v>Online Payment</v>
      </c>
      <c r="J466" s="14" t="str">
        <f>IFERROR(__xludf.DUMMYFUNCTION("""COMPUTED_VALUE"""),"Cancelled*Delayed Delivery:Bad Weather Conditions ")</f>
        <v>Cancelled*Delayed Delivery:Bad Weather Conditions </v>
      </c>
      <c r="K466" s="14" t="str">
        <f>IFERROR(__xludf.DUMMYFUNCTION("split(E466,""+"")"),"Tomato")</f>
        <v>Tomato</v>
      </c>
      <c r="L466" s="14" t="str">
        <f>IFERROR(__xludf.DUMMYFUNCTION("""COMPUTED_VALUE"""),"1*Priya Joshi")</f>
        <v>1*Priya Joshi</v>
      </c>
      <c r="M466" s="14">
        <f>IFERROR(__xludf.DUMMYFUNCTION("SPLIT(L466,""*"")"),1.0)</f>
        <v>1</v>
      </c>
      <c r="N466" s="14" t="str">
        <f>IFERROR(__xludf.DUMMYFUNCTION("""COMPUTED_VALUE"""),"Priya Joshi")</f>
        <v>Priya Joshi</v>
      </c>
      <c r="O466" s="14" t="str">
        <f>IFERROR(__xludf.DUMMYFUNCTION("split(J466,""*"")"),"Cancelled")</f>
        <v>Cancelled</v>
      </c>
      <c r="P466" s="14" t="str">
        <f>IFERROR(__xludf.DUMMYFUNCTION("""COMPUTED_VALUE"""),"Delayed Delivery:Bad Weather Conditions ")</f>
        <v>Delayed Delivery:Bad Weather Conditions </v>
      </c>
      <c r="Q466" s="14" t="str">
        <f>IFERROR(__xludf.DUMMYFUNCTION("split(P466,"":"")"),"Delayed Delivery")</f>
        <v>Delayed Delivery</v>
      </c>
      <c r="R466" s="14" t="str">
        <f>IFERROR(__xludf.DUMMYFUNCTION("""COMPUTED_VALUE"""),"Bad Weather Conditions ")</f>
        <v>Bad Weather Conditions </v>
      </c>
      <c r="S466" s="14" t="str">
        <f t="shared" ref="S466:U466" si="935">trim(B466)</f>
        <v>ord_10457</v>
      </c>
      <c r="T466" s="14" t="str">
        <f t="shared" si="935"/>
        <v>Arvind Kulkarni</v>
      </c>
      <c r="U466" s="14" t="str">
        <f t="shared" si="935"/>
        <v>Juhu</v>
      </c>
      <c r="V466" s="14" t="str">
        <f t="shared" si="4"/>
        <v>Tomato</v>
      </c>
      <c r="W466" s="14">
        <f t="shared" si="5"/>
        <v>1</v>
      </c>
      <c r="X466" s="14" t="str">
        <f t="shared" si="6"/>
        <v>Priya Joshi</v>
      </c>
      <c r="Y466" s="15">
        <f t="shared" si="7"/>
        <v>45240</v>
      </c>
      <c r="Z466" s="14" t="str">
        <f t="shared" si="8"/>
        <v>Online Payment</v>
      </c>
      <c r="AA466" s="14" t="str">
        <f t="shared" si="9"/>
        <v>Cancelled</v>
      </c>
      <c r="AB466" s="14" t="str">
        <f t="shared" ref="AB466:AC466" si="936">trim(Q466)</f>
        <v>Delayed Delivery</v>
      </c>
      <c r="AC466" s="14" t="str">
        <f t="shared" si="936"/>
        <v>Bad Weather Conditions</v>
      </c>
      <c r="AD466" s="8"/>
    </row>
    <row r="467">
      <c r="A467" s="14" t="str">
        <f>IFERROR(__xludf.DUMMYFUNCTION("""COMPUTED_VALUE"""),"//ord_10458//Omkar Mishra//Powai//Banana+2*Ramesh S/12/24/2023//UPI//Delivered*Overall Satisfaction: Great service will order again")</f>
        <v>//ord_10458//Omkar Mishra//Powai//Banana+2*Ramesh S/12/24/2023//UPI//Delivered*Overall Satisfaction: Great service will order again</v>
      </c>
      <c r="B467" s="14" t="str">
        <f>IFERROR(__xludf.DUMMYFUNCTION("split(A467,""//"")"),"ord_10458")</f>
        <v>ord_10458</v>
      </c>
      <c r="C467" s="14" t="str">
        <f>IFERROR(__xludf.DUMMYFUNCTION("""COMPUTED_VALUE"""),"Omkar Mishra")</f>
        <v>Omkar Mishra</v>
      </c>
      <c r="D467" s="14" t="str">
        <f>IFERROR(__xludf.DUMMYFUNCTION("""COMPUTED_VALUE"""),"Powai")</f>
        <v>Powai</v>
      </c>
      <c r="E467" s="14" t="str">
        <f>IFERROR(__xludf.DUMMYFUNCTION("""COMPUTED_VALUE"""),"Banana+2*Ramesh S")</f>
        <v>Banana+2*Ramesh S</v>
      </c>
      <c r="F467" s="14">
        <f>IFERROR(__xludf.DUMMYFUNCTION("""COMPUTED_VALUE"""),12.0)</f>
        <v>12</v>
      </c>
      <c r="G467" s="14">
        <f>IFERROR(__xludf.DUMMYFUNCTION("""COMPUTED_VALUE"""),24.0)</f>
        <v>24</v>
      </c>
      <c r="H467" s="14">
        <f>IFERROR(__xludf.DUMMYFUNCTION("""COMPUTED_VALUE"""),2023.0)</f>
        <v>2023</v>
      </c>
      <c r="I467" s="14" t="str">
        <f>IFERROR(__xludf.DUMMYFUNCTION("""COMPUTED_VALUE"""),"UPI")</f>
        <v>UPI</v>
      </c>
      <c r="J467" s="14" t="str">
        <f>IFERROR(__xludf.DUMMYFUNCTION("""COMPUTED_VALUE"""),"Delivered*Overall Satisfaction: Great service will order again")</f>
        <v>Delivered*Overall Satisfaction: Great service will order again</v>
      </c>
      <c r="K467" s="14" t="str">
        <f>IFERROR(__xludf.DUMMYFUNCTION("split(E467,""+"")"),"Banana")</f>
        <v>Banana</v>
      </c>
      <c r="L467" s="14" t="str">
        <f>IFERROR(__xludf.DUMMYFUNCTION("""COMPUTED_VALUE"""),"2*Ramesh S")</f>
        <v>2*Ramesh S</v>
      </c>
      <c r="M467" s="14">
        <f>IFERROR(__xludf.DUMMYFUNCTION("SPLIT(L467,""*"")"),2.0)</f>
        <v>2</v>
      </c>
      <c r="N467" s="14" t="str">
        <f>IFERROR(__xludf.DUMMYFUNCTION("""COMPUTED_VALUE"""),"Ramesh S")</f>
        <v>Ramesh S</v>
      </c>
      <c r="O467" s="14" t="str">
        <f>IFERROR(__xludf.DUMMYFUNCTION("split(J467,""*"")"),"Delivered")</f>
        <v>Delivered</v>
      </c>
      <c r="P467" s="14" t="str">
        <f>IFERROR(__xludf.DUMMYFUNCTION("""COMPUTED_VALUE"""),"Overall Satisfaction: Great service will order again")</f>
        <v>Overall Satisfaction: Great service will order again</v>
      </c>
      <c r="Q467" s="14" t="str">
        <f>IFERROR(__xludf.DUMMYFUNCTION("split(P467,"":"")"),"Overall Satisfaction")</f>
        <v>Overall Satisfaction</v>
      </c>
      <c r="R467" s="14" t="str">
        <f>IFERROR(__xludf.DUMMYFUNCTION("""COMPUTED_VALUE""")," Great service will order again")</f>
        <v> Great service will order again</v>
      </c>
      <c r="S467" s="14" t="str">
        <f t="shared" ref="S467:U467" si="937">trim(B467)</f>
        <v>ord_10458</v>
      </c>
      <c r="T467" s="14" t="str">
        <f t="shared" si="937"/>
        <v>Omkar Mishra</v>
      </c>
      <c r="U467" s="14" t="str">
        <f t="shared" si="937"/>
        <v>Powai</v>
      </c>
      <c r="V467" s="14" t="str">
        <f t="shared" si="4"/>
        <v>Banana</v>
      </c>
      <c r="W467" s="14">
        <f t="shared" si="5"/>
        <v>2</v>
      </c>
      <c r="X467" s="14" t="str">
        <f t="shared" si="6"/>
        <v>Ramesh S</v>
      </c>
      <c r="Y467" s="15">
        <f t="shared" si="7"/>
        <v>45284</v>
      </c>
      <c r="Z467" s="14" t="str">
        <f t="shared" si="8"/>
        <v>UPI</v>
      </c>
      <c r="AA467" s="14" t="str">
        <f t="shared" si="9"/>
        <v>Delivered</v>
      </c>
      <c r="AB467" s="14" t="str">
        <f t="shared" ref="AB467:AC467" si="938">trim(Q467)</f>
        <v>Overall Satisfaction</v>
      </c>
      <c r="AC467" s="14" t="str">
        <f t="shared" si="938"/>
        <v>Great service will order again</v>
      </c>
      <c r="AD467" s="8"/>
    </row>
    <row r="468">
      <c r="A468" s="14" t="str">
        <f>IFERROR(__xludf.DUMMYFUNCTION("""COMPUTED_VALUE"""),"//ord_10459//Kritika Shetty//Malad//Orange+2*Venu R/7/6/2023//UPI//Cancelled*Delayed Delivery:Heavy Traffic")</f>
        <v>//ord_10459//Kritika Shetty//Malad//Orange+2*Venu R/7/6/2023//UPI//Cancelled*Delayed Delivery:Heavy Traffic</v>
      </c>
      <c r="B468" s="14" t="str">
        <f>IFERROR(__xludf.DUMMYFUNCTION("split(A468,""//"")"),"ord_10459")</f>
        <v>ord_10459</v>
      </c>
      <c r="C468" s="14" t="str">
        <f>IFERROR(__xludf.DUMMYFUNCTION("""COMPUTED_VALUE"""),"Kritika Shetty")</f>
        <v>Kritika Shetty</v>
      </c>
      <c r="D468" s="14" t="str">
        <f>IFERROR(__xludf.DUMMYFUNCTION("""COMPUTED_VALUE"""),"Malad")</f>
        <v>Malad</v>
      </c>
      <c r="E468" s="14" t="str">
        <f>IFERROR(__xludf.DUMMYFUNCTION("""COMPUTED_VALUE"""),"Orange+2*Venu R")</f>
        <v>Orange+2*Venu R</v>
      </c>
      <c r="F468" s="14">
        <f>IFERROR(__xludf.DUMMYFUNCTION("""COMPUTED_VALUE"""),7.0)</f>
        <v>7</v>
      </c>
      <c r="G468" s="14">
        <f>IFERROR(__xludf.DUMMYFUNCTION("""COMPUTED_VALUE"""),6.0)</f>
        <v>6</v>
      </c>
      <c r="H468" s="14">
        <f>IFERROR(__xludf.DUMMYFUNCTION("""COMPUTED_VALUE"""),2023.0)</f>
        <v>2023</v>
      </c>
      <c r="I468" s="14" t="str">
        <f>IFERROR(__xludf.DUMMYFUNCTION("""COMPUTED_VALUE"""),"UPI")</f>
        <v>UPI</v>
      </c>
      <c r="J468" s="14" t="str">
        <f>IFERROR(__xludf.DUMMYFUNCTION("""COMPUTED_VALUE"""),"Cancelled*Delayed Delivery:Heavy Traffic")</f>
        <v>Cancelled*Delayed Delivery:Heavy Traffic</v>
      </c>
      <c r="K468" s="14" t="str">
        <f>IFERROR(__xludf.DUMMYFUNCTION("split(E468,""+"")"),"Orange")</f>
        <v>Orange</v>
      </c>
      <c r="L468" s="14" t="str">
        <f>IFERROR(__xludf.DUMMYFUNCTION("""COMPUTED_VALUE"""),"2*Venu R")</f>
        <v>2*Venu R</v>
      </c>
      <c r="M468" s="14">
        <f>IFERROR(__xludf.DUMMYFUNCTION("SPLIT(L468,""*"")"),2.0)</f>
        <v>2</v>
      </c>
      <c r="N468" s="14" t="str">
        <f>IFERROR(__xludf.DUMMYFUNCTION("""COMPUTED_VALUE"""),"Venu R")</f>
        <v>Venu R</v>
      </c>
      <c r="O468" s="14" t="str">
        <f>IFERROR(__xludf.DUMMYFUNCTION("split(J468,""*"")"),"Cancelled")</f>
        <v>Cancelled</v>
      </c>
      <c r="P468" s="14" t="str">
        <f>IFERROR(__xludf.DUMMYFUNCTION("""COMPUTED_VALUE"""),"Delayed Delivery:Heavy Traffic")</f>
        <v>Delayed Delivery:Heavy Traffic</v>
      </c>
      <c r="Q468" s="14" t="str">
        <f>IFERROR(__xludf.DUMMYFUNCTION("split(P468,"":"")"),"Delayed Delivery")</f>
        <v>Delayed Delivery</v>
      </c>
      <c r="R468" s="14" t="str">
        <f>IFERROR(__xludf.DUMMYFUNCTION("""COMPUTED_VALUE"""),"Heavy Traffic")</f>
        <v>Heavy Traffic</v>
      </c>
      <c r="S468" s="14" t="str">
        <f t="shared" ref="S468:U468" si="939">trim(B468)</f>
        <v>ord_10459</v>
      </c>
      <c r="T468" s="14" t="str">
        <f t="shared" si="939"/>
        <v>Kritika Shetty</v>
      </c>
      <c r="U468" s="14" t="str">
        <f t="shared" si="939"/>
        <v>Malad</v>
      </c>
      <c r="V468" s="14" t="str">
        <f t="shared" si="4"/>
        <v>Orange</v>
      </c>
      <c r="W468" s="14">
        <f t="shared" si="5"/>
        <v>2</v>
      </c>
      <c r="X468" s="14" t="str">
        <f t="shared" si="6"/>
        <v>Venu R</v>
      </c>
      <c r="Y468" s="15">
        <f t="shared" si="7"/>
        <v>45113</v>
      </c>
      <c r="Z468" s="14" t="str">
        <f t="shared" si="8"/>
        <v>UPI</v>
      </c>
      <c r="AA468" s="14" t="str">
        <f t="shared" si="9"/>
        <v>Cancelled</v>
      </c>
      <c r="AB468" s="14" t="str">
        <f t="shared" ref="AB468:AC468" si="940">trim(Q468)</f>
        <v>Delayed Delivery</v>
      </c>
      <c r="AC468" s="14" t="str">
        <f t="shared" si="940"/>
        <v>Heavy Traffic</v>
      </c>
      <c r="AD468" s="8"/>
    </row>
    <row r="469">
      <c r="A469" s="14" t="str">
        <f>IFERROR(__xludf.DUMMYFUNCTION("""COMPUTED_VALUE"""),"//ord_10460//Kritika Shetty//Malad//Icecream+4*Not Assigned/1/1/2023//UPI//Cancelled*Out of Stock")</f>
        <v>//ord_10460//Kritika Shetty//Malad//Icecream+4*Not Assigned/1/1/2023//UPI//Cancelled*Out of Stock</v>
      </c>
      <c r="B469" s="14" t="str">
        <f>IFERROR(__xludf.DUMMYFUNCTION("split(A469,""//"")"),"ord_10460")</f>
        <v>ord_10460</v>
      </c>
      <c r="C469" s="14" t="str">
        <f>IFERROR(__xludf.DUMMYFUNCTION("""COMPUTED_VALUE"""),"Kritika Shetty")</f>
        <v>Kritika Shetty</v>
      </c>
      <c r="D469" s="14" t="str">
        <f>IFERROR(__xludf.DUMMYFUNCTION("""COMPUTED_VALUE"""),"Malad")</f>
        <v>Malad</v>
      </c>
      <c r="E469" s="14" t="str">
        <f>IFERROR(__xludf.DUMMYFUNCTION("""COMPUTED_VALUE"""),"Icecream+4*Not Assigned")</f>
        <v>Icecream+4*Not Assigned</v>
      </c>
      <c r="F469" s="14">
        <f>IFERROR(__xludf.DUMMYFUNCTION("""COMPUTED_VALUE"""),1.0)</f>
        <v>1</v>
      </c>
      <c r="G469" s="14">
        <f>IFERROR(__xludf.DUMMYFUNCTION("""COMPUTED_VALUE"""),1.0)</f>
        <v>1</v>
      </c>
      <c r="H469" s="14">
        <f>IFERROR(__xludf.DUMMYFUNCTION("""COMPUTED_VALUE"""),2023.0)</f>
        <v>2023</v>
      </c>
      <c r="I469" s="14" t="str">
        <f>IFERROR(__xludf.DUMMYFUNCTION("""COMPUTED_VALUE"""),"UPI")</f>
        <v>UPI</v>
      </c>
      <c r="J469" s="14" t="str">
        <f>IFERROR(__xludf.DUMMYFUNCTION("""COMPUTED_VALUE"""),"Cancelled*Out of Stock")</f>
        <v>Cancelled*Out of Stock</v>
      </c>
      <c r="K469" s="14" t="str">
        <f>IFERROR(__xludf.DUMMYFUNCTION("split(E469,""+"")"),"Icecream")</f>
        <v>Icecream</v>
      </c>
      <c r="L469" s="14" t="str">
        <f>IFERROR(__xludf.DUMMYFUNCTION("""COMPUTED_VALUE"""),"4*Not Assigned")</f>
        <v>4*Not Assigned</v>
      </c>
      <c r="M469" s="14">
        <f>IFERROR(__xludf.DUMMYFUNCTION("SPLIT(L469,""*"")"),4.0)</f>
        <v>4</v>
      </c>
      <c r="N469" s="14" t="str">
        <f>IFERROR(__xludf.DUMMYFUNCTION("""COMPUTED_VALUE"""),"Not Assigned")</f>
        <v>Not Assigned</v>
      </c>
      <c r="O469" s="14" t="str">
        <f>IFERROR(__xludf.DUMMYFUNCTION("split(J469,""*"")"),"Cancelled")</f>
        <v>Cancelled</v>
      </c>
      <c r="P469" s="14" t="str">
        <f>IFERROR(__xludf.DUMMYFUNCTION("""COMPUTED_VALUE"""),"Out of Stock")</f>
        <v>Out of Stock</v>
      </c>
      <c r="Q469" s="14" t="str">
        <f>IFERROR(__xludf.DUMMYFUNCTION("split(P469,"":"")"),"Out of Stock")</f>
        <v>Out of Stock</v>
      </c>
      <c r="R469" s="14"/>
      <c r="S469" s="14" t="str">
        <f t="shared" ref="S469:U469" si="941">trim(B469)</f>
        <v>ord_10460</v>
      </c>
      <c r="T469" s="14" t="str">
        <f t="shared" si="941"/>
        <v>Kritika Shetty</v>
      </c>
      <c r="U469" s="14" t="str">
        <f t="shared" si="941"/>
        <v>Malad</v>
      </c>
      <c r="V469" s="14" t="str">
        <f t="shared" si="4"/>
        <v>Icecream</v>
      </c>
      <c r="W469" s="14">
        <f t="shared" si="5"/>
        <v>4</v>
      </c>
      <c r="X469" s="14" t="str">
        <f t="shared" si="6"/>
        <v>Not Assigned</v>
      </c>
      <c r="Y469" s="15">
        <f t="shared" si="7"/>
        <v>44927</v>
      </c>
      <c r="Z469" s="14" t="str">
        <f t="shared" si="8"/>
        <v>UPI</v>
      </c>
      <c r="AA469" s="14" t="str">
        <f t="shared" si="9"/>
        <v>Cancelled</v>
      </c>
      <c r="AB469" s="14" t="str">
        <f t="shared" ref="AB469:AC469" si="942">trim(Q469)</f>
        <v>Out of Stock</v>
      </c>
      <c r="AC469" s="14" t="str">
        <f t="shared" si="942"/>
        <v/>
      </c>
      <c r="AD469" s="8"/>
    </row>
    <row r="470">
      <c r="A470" s="14" t="str">
        <f>IFERROR(__xludf.DUMMYFUNCTION("""COMPUTED_VALUE"""),"//ord_10461//Aditya Rao//Lower Parel//Tiramisu+2*Shine Thomas/11/13/2023//COD//Delivered*On-time Delivery: Delivered on time")</f>
        <v>//ord_10461//Aditya Rao//Lower Parel//Tiramisu+2*Shine Thomas/11/13/2023//COD//Delivered*On-time Delivery: Delivered on time</v>
      </c>
      <c r="B470" s="14" t="str">
        <f>IFERROR(__xludf.DUMMYFUNCTION("split(A470,""//"")"),"ord_10461")</f>
        <v>ord_10461</v>
      </c>
      <c r="C470" s="14" t="str">
        <f>IFERROR(__xludf.DUMMYFUNCTION("""COMPUTED_VALUE"""),"Aditya Rao")</f>
        <v>Aditya Rao</v>
      </c>
      <c r="D470" s="14" t="str">
        <f>IFERROR(__xludf.DUMMYFUNCTION("""COMPUTED_VALUE"""),"Lower Parel")</f>
        <v>Lower Parel</v>
      </c>
      <c r="E470" s="14" t="str">
        <f>IFERROR(__xludf.DUMMYFUNCTION("""COMPUTED_VALUE"""),"Tiramisu+2*Shine Thomas")</f>
        <v>Tiramisu+2*Shine Thomas</v>
      </c>
      <c r="F470" s="14">
        <f>IFERROR(__xludf.DUMMYFUNCTION("""COMPUTED_VALUE"""),11.0)</f>
        <v>11</v>
      </c>
      <c r="G470" s="14">
        <f>IFERROR(__xludf.DUMMYFUNCTION("""COMPUTED_VALUE"""),13.0)</f>
        <v>13</v>
      </c>
      <c r="H470" s="14">
        <f>IFERROR(__xludf.DUMMYFUNCTION("""COMPUTED_VALUE"""),2023.0)</f>
        <v>2023</v>
      </c>
      <c r="I470" s="14" t="str">
        <f>IFERROR(__xludf.DUMMYFUNCTION("""COMPUTED_VALUE"""),"COD")</f>
        <v>COD</v>
      </c>
      <c r="J470" s="14" t="str">
        <f>IFERROR(__xludf.DUMMYFUNCTION("""COMPUTED_VALUE"""),"Delivered*On-time Delivery: Delivered on time")</f>
        <v>Delivered*On-time Delivery: Delivered on time</v>
      </c>
      <c r="K470" s="14" t="str">
        <f>IFERROR(__xludf.DUMMYFUNCTION("split(E470,""+"")"),"Tiramisu")</f>
        <v>Tiramisu</v>
      </c>
      <c r="L470" s="14" t="str">
        <f>IFERROR(__xludf.DUMMYFUNCTION("""COMPUTED_VALUE"""),"2*Shine Thomas")</f>
        <v>2*Shine Thomas</v>
      </c>
      <c r="M470" s="14">
        <f>IFERROR(__xludf.DUMMYFUNCTION("SPLIT(L470,""*"")"),2.0)</f>
        <v>2</v>
      </c>
      <c r="N470" s="14" t="str">
        <f>IFERROR(__xludf.DUMMYFUNCTION("""COMPUTED_VALUE"""),"Shine Thomas")</f>
        <v>Shine Thomas</v>
      </c>
      <c r="O470" s="14" t="str">
        <f>IFERROR(__xludf.DUMMYFUNCTION("split(J470,""*"")"),"Delivered")</f>
        <v>Delivered</v>
      </c>
      <c r="P470" s="14" t="str">
        <f>IFERROR(__xludf.DUMMYFUNCTION("""COMPUTED_VALUE"""),"On-time Delivery: Delivered on time")</f>
        <v>On-time Delivery: Delivered on time</v>
      </c>
      <c r="Q470" s="14" t="str">
        <f>IFERROR(__xludf.DUMMYFUNCTION("split(P470,"":"")"),"On-time Delivery")</f>
        <v>On-time Delivery</v>
      </c>
      <c r="R470" s="14" t="str">
        <f>IFERROR(__xludf.DUMMYFUNCTION("""COMPUTED_VALUE""")," Delivered on time")</f>
        <v> Delivered on time</v>
      </c>
      <c r="S470" s="14" t="str">
        <f t="shared" ref="S470:U470" si="943">trim(B470)</f>
        <v>ord_10461</v>
      </c>
      <c r="T470" s="14" t="str">
        <f t="shared" si="943"/>
        <v>Aditya Rao</v>
      </c>
      <c r="U470" s="14" t="str">
        <f t="shared" si="943"/>
        <v>Lower Parel</v>
      </c>
      <c r="V470" s="14" t="str">
        <f t="shared" si="4"/>
        <v>Tiramisu</v>
      </c>
      <c r="W470" s="14">
        <f t="shared" si="5"/>
        <v>2</v>
      </c>
      <c r="X470" s="14" t="str">
        <f t="shared" si="6"/>
        <v>Shine Thomas</v>
      </c>
      <c r="Y470" s="15">
        <f t="shared" si="7"/>
        <v>45243</v>
      </c>
      <c r="Z470" s="14" t="str">
        <f t="shared" si="8"/>
        <v>COD</v>
      </c>
      <c r="AA470" s="14" t="str">
        <f t="shared" si="9"/>
        <v>Delivered</v>
      </c>
      <c r="AB470" s="14" t="str">
        <f t="shared" ref="AB470:AC470" si="944">trim(Q470)</f>
        <v>On-time Delivery</v>
      </c>
      <c r="AC470" s="14" t="str">
        <f t="shared" si="944"/>
        <v>Delivered on time</v>
      </c>
      <c r="AD470" s="8"/>
    </row>
    <row r="471">
      <c r="A471" s="14" t="str">
        <f>IFERROR(__xludf.DUMMYFUNCTION("""COMPUTED_VALUE"""),"//ord_10462//Dev Chauhan//Bandra//Banana+1*Ram Gopal/1/12/2023//COD//Delivered*Quality of Items: Perfect condition")</f>
        <v>//ord_10462//Dev Chauhan//Bandra//Banana+1*Ram Gopal/1/12/2023//COD//Delivered*Quality of Items: Perfect condition</v>
      </c>
      <c r="B471" s="14" t="str">
        <f>IFERROR(__xludf.DUMMYFUNCTION("split(A471,""//"")"),"ord_10462")</f>
        <v>ord_10462</v>
      </c>
      <c r="C471" s="14" t="str">
        <f>IFERROR(__xludf.DUMMYFUNCTION("""COMPUTED_VALUE"""),"Dev Chauhan")</f>
        <v>Dev Chauhan</v>
      </c>
      <c r="D471" s="14" t="str">
        <f>IFERROR(__xludf.DUMMYFUNCTION("""COMPUTED_VALUE"""),"Bandra")</f>
        <v>Bandra</v>
      </c>
      <c r="E471" s="14" t="str">
        <f>IFERROR(__xludf.DUMMYFUNCTION("""COMPUTED_VALUE"""),"Banana+1*Ram Gopal")</f>
        <v>Banana+1*Ram Gopal</v>
      </c>
      <c r="F471" s="14">
        <f>IFERROR(__xludf.DUMMYFUNCTION("""COMPUTED_VALUE"""),1.0)</f>
        <v>1</v>
      </c>
      <c r="G471" s="14">
        <f>IFERROR(__xludf.DUMMYFUNCTION("""COMPUTED_VALUE"""),12.0)</f>
        <v>12</v>
      </c>
      <c r="H471" s="14">
        <f>IFERROR(__xludf.DUMMYFUNCTION("""COMPUTED_VALUE"""),2023.0)</f>
        <v>2023</v>
      </c>
      <c r="I471" s="14" t="str">
        <f>IFERROR(__xludf.DUMMYFUNCTION("""COMPUTED_VALUE"""),"COD")</f>
        <v>COD</v>
      </c>
      <c r="J471" s="14" t="str">
        <f>IFERROR(__xludf.DUMMYFUNCTION("""COMPUTED_VALUE"""),"Delivered*Quality of Items: Perfect condition")</f>
        <v>Delivered*Quality of Items: Perfect condition</v>
      </c>
      <c r="K471" s="14" t="str">
        <f>IFERROR(__xludf.DUMMYFUNCTION("split(E471,""+"")"),"Banana")</f>
        <v>Banana</v>
      </c>
      <c r="L471" s="14" t="str">
        <f>IFERROR(__xludf.DUMMYFUNCTION("""COMPUTED_VALUE"""),"1*Ram Gopal")</f>
        <v>1*Ram Gopal</v>
      </c>
      <c r="M471" s="14">
        <f>IFERROR(__xludf.DUMMYFUNCTION("SPLIT(L471,""*"")"),1.0)</f>
        <v>1</v>
      </c>
      <c r="N471" s="14" t="str">
        <f>IFERROR(__xludf.DUMMYFUNCTION("""COMPUTED_VALUE"""),"Ram Gopal")</f>
        <v>Ram Gopal</v>
      </c>
      <c r="O471" s="14" t="str">
        <f>IFERROR(__xludf.DUMMYFUNCTION("split(J471,""*"")"),"Delivered")</f>
        <v>Delivered</v>
      </c>
      <c r="P471" s="14" t="str">
        <f>IFERROR(__xludf.DUMMYFUNCTION("""COMPUTED_VALUE"""),"Quality of Items: Perfect condition")</f>
        <v>Quality of Items: Perfect condition</v>
      </c>
      <c r="Q471" s="14" t="str">
        <f>IFERROR(__xludf.DUMMYFUNCTION("split(P471,"":"")"),"Quality of Items")</f>
        <v>Quality of Items</v>
      </c>
      <c r="R471" s="14" t="str">
        <f>IFERROR(__xludf.DUMMYFUNCTION("""COMPUTED_VALUE""")," Perfect condition")</f>
        <v> Perfect condition</v>
      </c>
      <c r="S471" s="14" t="str">
        <f t="shared" ref="S471:U471" si="945">trim(B471)</f>
        <v>ord_10462</v>
      </c>
      <c r="T471" s="14" t="str">
        <f t="shared" si="945"/>
        <v>Dev Chauhan</v>
      </c>
      <c r="U471" s="14" t="str">
        <f t="shared" si="945"/>
        <v>Bandra</v>
      </c>
      <c r="V471" s="14" t="str">
        <f t="shared" si="4"/>
        <v>Banana</v>
      </c>
      <c r="W471" s="14">
        <f t="shared" si="5"/>
        <v>1</v>
      </c>
      <c r="X471" s="14" t="str">
        <f t="shared" si="6"/>
        <v>Ram Gopal</v>
      </c>
      <c r="Y471" s="15">
        <f t="shared" si="7"/>
        <v>44938</v>
      </c>
      <c r="Z471" s="14" t="str">
        <f t="shared" si="8"/>
        <v>COD</v>
      </c>
      <c r="AA471" s="14" t="str">
        <f t="shared" si="9"/>
        <v>Delivered</v>
      </c>
      <c r="AB471" s="14" t="str">
        <f t="shared" ref="AB471:AC471" si="946">trim(Q471)</f>
        <v>Quality of Items</v>
      </c>
      <c r="AC471" s="14" t="str">
        <f t="shared" si="946"/>
        <v>Perfect condition</v>
      </c>
      <c r="AD471" s="8"/>
    </row>
    <row r="472">
      <c r="A472" s="14" t="str">
        <f>IFERROR(__xludf.DUMMYFUNCTION("""COMPUTED_VALUE"""),"//ord_10463//Kavya Menon//Andheri//Icecream+6*Vivek Kumar/4/28/2023//COD//Delivered*On-time Delivery: Delivered on time")</f>
        <v>//ord_10463//Kavya Menon//Andheri//Icecream+6*Vivek Kumar/4/28/2023//COD//Delivered*On-time Delivery: Delivered on time</v>
      </c>
      <c r="B472" s="14" t="str">
        <f>IFERROR(__xludf.DUMMYFUNCTION("split(A472,""//"")"),"ord_10463")</f>
        <v>ord_10463</v>
      </c>
      <c r="C472" s="14" t="str">
        <f>IFERROR(__xludf.DUMMYFUNCTION("""COMPUTED_VALUE"""),"Kavya Menon")</f>
        <v>Kavya Menon</v>
      </c>
      <c r="D472" s="14" t="str">
        <f>IFERROR(__xludf.DUMMYFUNCTION("""COMPUTED_VALUE"""),"Andheri")</f>
        <v>Andheri</v>
      </c>
      <c r="E472" s="14" t="str">
        <f>IFERROR(__xludf.DUMMYFUNCTION("""COMPUTED_VALUE"""),"Icecream+6*Vivek Kumar")</f>
        <v>Icecream+6*Vivek Kumar</v>
      </c>
      <c r="F472" s="14">
        <f>IFERROR(__xludf.DUMMYFUNCTION("""COMPUTED_VALUE"""),4.0)</f>
        <v>4</v>
      </c>
      <c r="G472" s="14">
        <f>IFERROR(__xludf.DUMMYFUNCTION("""COMPUTED_VALUE"""),28.0)</f>
        <v>28</v>
      </c>
      <c r="H472" s="14">
        <f>IFERROR(__xludf.DUMMYFUNCTION("""COMPUTED_VALUE"""),2023.0)</f>
        <v>2023</v>
      </c>
      <c r="I472" s="14" t="str">
        <f>IFERROR(__xludf.DUMMYFUNCTION("""COMPUTED_VALUE"""),"COD")</f>
        <v>COD</v>
      </c>
      <c r="J472" s="14" t="str">
        <f>IFERROR(__xludf.DUMMYFUNCTION("""COMPUTED_VALUE"""),"Delivered*On-time Delivery: Delivered on time")</f>
        <v>Delivered*On-time Delivery: Delivered on time</v>
      </c>
      <c r="K472" s="14" t="str">
        <f>IFERROR(__xludf.DUMMYFUNCTION("split(E472,""+"")"),"Icecream")</f>
        <v>Icecream</v>
      </c>
      <c r="L472" s="14" t="str">
        <f>IFERROR(__xludf.DUMMYFUNCTION("""COMPUTED_VALUE"""),"6*Vivek Kumar")</f>
        <v>6*Vivek Kumar</v>
      </c>
      <c r="M472" s="14">
        <f>IFERROR(__xludf.DUMMYFUNCTION("SPLIT(L472,""*"")"),6.0)</f>
        <v>6</v>
      </c>
      <c r="N472" s="14" t="str">
        <f>IFERROR(__xludf.DUMMYFUNCTION("""COMPUTED_VALUE"""),"Vivek Kumar")</f>
        <v>Vivek Kumar</v>
      </c>
      <c r="O472" s="14" t="str">
        <f>IFERROR(__xludf.DUMMYFUNCTION("split(J472,""*"")"),"Delivered")</f>
        <v>Delivered</v>
      </c>
      <c r="P472" s="14" t="str">
        <f>IFERROR(__xludf.DUMMYFUNCTION("""COMPUTED_VALUE"""),"On-time Delivery: Delivered on time")</f>
        <v>On-time Delivery: Delivered on time</v>
      </c>
      <c r="Q472" s="14" t="str">
        <f>IFERROR(__xludf.DUMMYFUNCTION("split(P472,"":"")"),"On-time Delivery")</f>
        <v>On-time Delivery</v>
      </c>
      <c r="R472" s="14" t="str">
        <f>IFERROR(__xludf.DUMMYFUNCTION("""COMPUTED_VALUE""")," Delivered on time")</f>
        <v> Delivered on time</v>
      </c>
      <c r="S472" s="14" t="str">
        <f t="shared" ref="S472:U472" si="947">trim(B472)</f>
        <v>ord_10463</v>
      </c>
      <c r="T472" s="14" t="str">
        <f t="shared" si="947"/>
        <v>Kavya Menon</v>
      </c>
      <c r="U472" s="14" t="str">
        <f t="shared" si="947"/>
        <v>Andheri</v>
      </c>
      <c r="V472" s="14" t="str">
        <f t="shared" si="4"/>
        <v>Icecream</v>
      </c>
      <c r="W472" s="14">
        <f t="shared" si="5"/>
        <v>6</v>
      </c>
      <c r="X472" s="14" t="str">
        <f t="shared" si="6"/>
        <v>Vivek Kumar</v>
      </c>
      <c r="Y472" s="15">
        <f t="shared" si="7"/>
        <v>45044</v>
      </c>
      <c r="Z472" s="14" t="str">
        <f t="shared" si="8"/>
        <v>COD</v>
      </c>
      <c r="AA472" s="14" t="str">
        <f t="shared" si="9"/>
        <v>Delivered</v>
      </c>
      <c r="AB472" s="14" t="str">
        <f t="shared" ref="AB472:AC472" si="948">trim(Q472)</f>
        <v>On-time Delivery</v>
      </c>
      <c r="AC472" s="14" t="str">
        <f t="shared" si="948"/>
        <v>Delivered on time</v>
      </c>
      <c r="AD472" s="8"/>
    </row>
    <row r="473">
      <c r="A473" s="14" t="str">
        <f>IFERROR(__xludf.DUMMYFUNCTION("""COMPUTED_VALUE"""),"//ord_10464//Kavya Menon//Andheri//Tiramisu+3*Sita T/1/11/2023//Credit Card//Delivered*Quality of Items: Perfect condition")</f>
        <v>//ord_10464//Kavya Menon//Andheri//Tiramisu+3*Sita T/1/11/2023//Credit Card//Delivered*Quality of Items: Perfect condition</v>
      </c>
      <c r="B473" s="14" t="str">
        <f>IFERROR(__xludf.DUMMYFUNCTION("split(A473,""//"")"),"ord_10464")</f>
        <v>ord_10464</v>
      </c>
      <c r="C473" s="14" t="str">
        <f>IFERROR(__xludf.DUMMYFUNCTION("""COMPUTED_VALUE"""),"Kavya Menon")</f>
        <v>Kavya Menon</v>
      </c>
      <c r="D473" s="14" t="str">
        <f>IFERROR(__xludf.DUMMYFUNCTION("""COMPUTED_VALUE"""),"Andheri")</f>
        <v>Andheri</v>
      </c>
      <c r="E473" s="14" t="str">
        <f>IFERROR(__xludf.DUMMYFUNCTION("""COMPUTED_VALUE"""),"Tiramisu+3*Sita T")</f>
        <v>Tiramisu+3*Sita T</v>
      </c>
      <c r="F473" s="14">
        <f>IFERROR(__xludf.DUMMYFUNCTION("""COMPUTED_VALUE"""),1.0)</f>
        <v>1</v>
      </c>
      <c r="G473" s="14">
        <f>IFERROR(__xludf.DUMMYFUNCTION("""COMPUTED_VALUE"""),11.0)</f>
        <v>11</v>
      </c>
      <c r="H473" s="14">
        <f>IFERROR(__xludf.DUMMYFUNCTION("""COMPUTED_VALUE"""),2023.0)</f>
        <v>2023</v>
      </c>
      <c r="I473" s="14" t="str">
        <f>IFERROR(__xludf.DUMMYFUNCTION("""COMPUTED_VALUE"""),"Credit Card")</f>
        <v>Credit Card</v>
      </c>
      <c r="J473" s="14" t="str">
        <f>IFERROR(__xludf.DUMMYFUNCTION("""COMPUTED_VALUE"""),"Delivered*Quality of Items: Perfect condition")</f>
        <v>Delivered*Quality of Items: Perfect condition</v>
      </c>
      <c r="K473" s="14" t="str">
        <f>IFERROR(__xludf.DUMMYFUNCTION("split(E473,""+"")"),"Tiramisu")</f>
        <v>Tiramisu</v>
      </c>
      <c r="L473" s="14" t="str">
        <f>IFERROR(__xludf.DUMMYFUNCTION("""COMPUTED_VALUE"""),"3*Sita T")</f>
        <v>3*Sita T</v>
      </c>
      <c r="M473" s="14">
        <f>IFERROR(__xludf.DUMMYFUNCTION("SPLIT(L473,""*"")"),3.0)</f>
        <v>3</v>
      </c>
      <c r="N473" s="14" t="str">
        <f>IFERROR(__xludf.DUMMYFUNCTION("""COMPUTED_VALUE"""),"Sita T")</f>
        <v>Sita T</v>
      </c>
      <c r="O473" s="14" t="str">
        <f>IFERROR(__xludf.DUMMYFUNCTION("split(J473,""*"")"),"Delivered")</f>
        <v>Delivered</v>
      </c>
      <c r="P473" s="14" t="str">
        <f>IFERROR(__xludf.DUMMYFUNCTION("""COMPUTED_VALUE"""),"Quality of Items: Perfect condition")</f>
        <v>Quality of Items: Perfect condition</v>
      </c>
      <c r="Q473" s="14" t="str">
        <f>IFERROR(__xludf.DUMMYFUNCTION("split(P473,"":"")"),"Quality of Items")</f>
        <v>Quality of Items</v>
      </c>
      <c r="R473" s="14" t="str">
        <f>IFERROR(__xludf.DUMMYFUNCTION("""COMPUTED_VALUE""")," Perfect condition")</f>
        <v> Perfect condition</v>
      </c>
      <c r="S473" s="14" t="str">
        <f t="shared" ref="S473:U473" si="949">trim(B473)</f>
        <v>ord_10464</v>
      </c>
      <c r="T473" s="14" t="str">
        <f t="shared" si="949"/>
        <v>Kavya Menon</v>
      </c>
      <c r="U473" s="14" t="str">
        <f t="shared" si="949"/>
        <v>Andheri</v>
      </c>
      <c r="V473" s="14" t="str">
        <f t="shared" si="4"/>
        <v>Tiramisu</v>
      </c>
      <c r="W473" s="14">
        <f t="shared" si="5"/>
        <v>3</v>
      </c>
      <c r="X473" s="14" t="str">
        <f t="shared" si="6"/>
        <v>Sita T</v>
      </c>
      <c r="Y473" s="15">
        <f t="shared" si="7"/>
        <v>44937</v>
      </c>
      <c r="Z473" s="14" t="str">
        <f t="shared" si="8"/>
        <v>Credit Card</v>
      </c>
      <c r="AA473" s="14" t="str">
        <f t="shared" si="9"/>
        <v>Delivered</v>
      </c>
      <c r="AB473" s="14" t="str">
        <f t="shared" ref="AB473:AC473" si="950">trim(Q473)</f>
        <v>Quality of Items</v>
      </c>
      <c r="AC473" s="14" t="str">
        <f t="shared" si="950"/>
        <v>Perfect condition</v>
      </c>
      <c r="AD473" s="8"/>
    </row>
    <row r="474">
      <c r="A474" s="14" t="str">
        <f>IFERROR(__xludf.DUMMYFUNCTION("""COMPUTED_VALUE"""),"//ord_10465//Kavya Menon//Andheri//Chocolate Mousse+3*Sita T/9/5/2023//COD//Delivered*Packaging: Secure and intact")</f>
        <v>//ord_10465//Kavya Menon//Andheri//Chocolate Mousse+3*Sita T/9/5/2023//COD//Delivered*Packaging: Secure and intact</v>
      </c>
      <c r="B474" s="14" t="str">
        <f>IFERROR(__xludf.DUMMYFUNCTION("split(A474,""//"")"),"ord_10465")</f>
        <v>ord_10465</v>
      </c>
      <c r="C474" s="14" t="str">
        <f>IFERROR(__xludf.DUMMYFUNCTION("""COMPUTED_VALUE"""),"Kavya Menon")</f>
        <v>Kavya Menon</v>
      </c>
      <c r="D474" s="14" t="str">
        <f>IFERROR(__xludf.DUMMYFUNCTION("""COMPUTED_VALUE"""),"Andheri")</f>
        <v>Andheri</v>
      </c>
      <c r="E474" s="14" t="str">
        <f>IFERROR(__xludf.DUMMYFUNCTION("""COMPUTED_VALUE"""),"Chocolate Mousse+3*Sita T")</f>
        <v>Chocolate Mousse+3*Sita T</v>
      </c>
      <c r="F474" s="14">
        <f>IFERROR(__xludf.DUMMYFUNCTION("""COMPUTED_VALUE"""),9.0)</f>
        <v>9</v>
      </c>
      <c r="G474" s="14">
        <f>IFERROR(__xludf.DUMMYFUNCTION("""COMPUTED_VALUE"""),5.0)</f>
        <v>5</v>
      </c>
      <c r="H474" s="14">
        <f>IFERROR(__xludf.DUMMYFUNCTION("""COMPUTED_VALUE"""),2023.0)</f>
        <v>2023</v>
      </c>
      <c r="I474" s="14" t="str">
        <f>IFERROR(__xludf.DUMMYFUNCTION("""COMPUTED_VALUE"""),"COD")</f>
        <v>COD</v>
      </c>
      <c r="J474" s="14" t="str">
        <f>IFERROR(__xludf.DUMMYFUNCTION("""COMPUTED_VALUE"""),"Delivered*Packaging: Secure and intact")</f>
        <v>Delivered*Packaging: Secure and intact</v>
      </c>
      <c r="K474" s="14" t="str">
        <f>IFERROR(__xludf.DUMMYFUNCTION("split(E474,""+"")"),"Chocolate Mousse")</f>
        <v>Chocolate Mousse</v>
      </c>
      <c r="L474" s="14" t="str">
        <f>IFERROR(__xludf.DUMMYFUNCTION("""COMPUTED_VALUE"""),"3*Sita T")</f>
        <v>3*Sita T</v>
      </c>
      <c r="M474" s="14">
        <f>IFERROR(__xludf.DUMMYFUNCTION("SPLIT(L474,""*"")"),3.0)</f>
        <v>3</v>
      </c>
      <c r="N474" s="14" t="str">
        <f>IFERROR(__xludf.DUMMYFUNCTION("""COMPUTED_VALUE"""),"Sita T")</f>
        <v>Sita T</v>
      </c>
      <c r="O474" s="14" t="str">
        <f>IFERROR(__xludf.DUMMYFUNCTION("split(J474,""*"")"),"Delivered")</f>
        <v>Delivered</v>
      </c>
      <c r="P474" s="14" t="str">
        <f>IFERROR(__xludf.DUMMYFUNCTION("""COMPUTED_VALUE"""),"Packaging: Secure and intact")</f>
        <v>Packaging: Secure and intact</v>
      </c>
      <c r="Q474" s="14" t="str">
        <f>IFERROR(__xludf.DUMMYFUNCTION("split(P474,"":"")"),"Packaging")</f>
        <v>Packaging</v>
      </c>
      <c r="R474" s="14" t="str">
        <f>IFERROR(__xludf.DUMMYFUNCTION("""COMPUTED_VALUE""")," Secure and intact")</f>
        <v> Secure and intact</v>
      </c>
      <c r="S474" s="14" t="str">
        <f t="shared" ref="S474:U474" si="951">trim(B474)</f>
        <v>ord_10465</v>
      </c>
      <c r="T474" s="14" t="str">
        <f t="shared" si="951"/>
        <v>Kavya Menon</v>
      </c>
      <c r="U474" s="14" t="str">
        <f t="shared" si="951"/>
        <v>Andheri</v>
      </c>
      <c r="V474" s="14" t="str">
        <f t="shared" si="4"/>
        <v>Chocolate Mousse</v>
      </c>
      <c r="W474" s="14">
        <f t="shared" si="5"/>
        <v>3</v>
      </c>
      <c r="X474" s="14" t="str">
        <f t="shared" si="6"/>
        <v>Sita T</v>
      </c>
      <c r="Y474" s="15">
        <f t="shared" si="7"/>
        <v>45174</v>
      </c>
      <c r="Z474" s="14" t="str">
        <f t="shared" si="8"/>
        <v>COD</v>
      </c>
      <c r="AA474" s="14" t="str">
        <f t="shared" si="9"/>
        <v>Delivered</v>
      </c>
      <c r="AB474" s="14" t="str">
        <f t="shared" ref="AB474:AC474" si="952">trim(Q474)</f>
        <v>Packaging</v>
      </c>
      <c r="AC474" s="14" t="str">
        <f t="shared" si="952"/>
        <v>Secure and intact</v>
      </c>
      <c r="AD474" s="8"/>
    </row>
    <row r="475">
      <c r="A475" s="14" t="str">
        <f>IFERROR(__xludf.DUMMYFUNCTION("""COMPUTED_VALUE"""),"//ord_10466//Aarohi Kapoor//Bandra//Chocolate Mousse+3*Sita T/1/25/2023//Online Payment//Delivered*Satisfied with the Delivery: Timely and quality")</f>
        <v>//ord_10466//Aarohi Kapoor//Bandra//Chocolate Mousse+3*Sita T/1/25/2023//Online Payment//Delivered*Satisfied with the Delivery: Timely and quality</v>
      </c>
      <c r="B475" s="14" t="str">
        <f>IFERROR(__xludf.DUMMYFUNCTION("split(A475,""//"")"),"ord_10466")</f>
        <v>ord_10466</v>
      </c>
      <c r="C475" s="14" t="str">
        <f>IFERROR(__xludf.DUMMYFUNCTION("""COMPUTED_VALUE"""),"Aarohi Kapoor")</f>
        <v>Aarohi Kapoor</v>
      </c>
      <c r="D475" s="14" t="str">
        <f>IFERROR(__xludf.DUMMYFUNCTION("""COMPUTED_VALUE"""),"Bandra")</f>
        <v>Bandra</v>
      </c>
      <c r="E475" s="14" t="str">
        <f>IFERROR(__xludf.DUMMYFUNCTION("""COMPUTED_VALUE"""),"Chocolate Mousse+3*Sita T")</f>
        <v>Chocolate Mousse+3*Sita T</v>
      </c>
      <c r="F475" s="14">
        <f>IFERROR(__xludf.DUMMYFUNCTION("""COMPUTED_VALUE"""),1.0)</f>
        <v>1</v>
      </c>
      <c r="G475" s="14">
        <f>IFERROR(__xludf.DUMMYFUNCTION("""COMPUTED_VALUE"""),25.0)</f>
        <v>25</v>
      </c>
      <c r="H475" s="14">
        <f>IFERROR(__xludf.DUMMYFUNCTION("""COMPUTED_VALUE"""),2023.0)</f>
        <v>2023</v>
      </c>
      <c r="I475" s="14" t="str">
        <f>IFERROR(__xludf.DUMMYFUNCTION("""COMPUTED_VALUE"""),"Online Payment")</f>
        <v>Online Payment</v>
      </c>
      <c r="J475" s="14" t="str">
        <f>IFERROR(__xludf.DUMMYFUNCTION("""COMPUTED_VALUE"""),"Delivered*Satisfied with the Delivery: Timely and quality")</f>
        <v>Delivered*Satisfied with the Delivery: Timely and quality</v>
      </c>
      <c r="K475" s="14" t="str">
        <f>IFERROR(__xludf.DUMMYFUNCTION("split(E475,""+"")"),"Chocolate Mousse")</f>
        <v>Chocolate Mousse</v>
      </c>
      <c r="L475" s="14" t="str">
        <f>IFERROR(__xludf.DUMMYFUNCTION("""COMPUTED_VALUE"""),"3*Sita T")</f>
        <v>3*Sita T</v>
      </c>
      <c r="M475" s="14">
        <f>IFERROR(__xludf.DUMMYFUNCTION("SPLIT(L475,""*"")"),3.0)</f>
        <v>3</v>
      </c>
      <c r="N475" s="14" t="str">
        <f>IFERROR(__xludf.DUMMYFUNCTION("""COMPUTED_VALUE"""),"Sita T")</f>
        <v>Sita T</v>
      </c>
      <c r="O475" s="14" t="str">
        <f>IFERROR(__xludf.DUMMYFUNCTION("split(J475,""*"")"),"Delivered")</f>
        <v>Delivered</v>
      </c>
      <c r="P475" s="14" t="str">
        <f>IFERROR(__xludf.DUMMYFUNCTION("""COMPUTED_VALUE"""),"Satisfied with the Delivery: Timely and quality")</f>
        <v>Satisfied with the Delivery: Timely and quality</v>
      </c>
      <c r="Q475" s="14" t="str">
        <f>IFERROR(__xludf.DUMMYFUNCTION("split(P475,"":"")"),"Satisfied with the Delivery")</f>
        <v>Satisfied with the Delivery</v>
      </c>
      <c r="R475" s="14" t="str">
        <f>IFERROR(__xludf.DUMMYFUNCTION("""COMPUTED_VALUE""")," Timely and quality")</f>
        <v> Timely and quality</v>
      </c>
      <c r="S475" s="14" t="str">
        <f t="shared" ref="S475:U475" si="953">trim(B475)</f>
        <v>ord_10466</v>
      </c>
      <c r="T475" s="14" t="str">
        <f t="shared" si="953"/>
        <v>Aarohi Kapoor</v>
      </c>
      <c r="U475" s="14" t="str">
        <f t="shared" si="953"/>
        <v>Bandra</v>
      </c>
      <c r="V475" s="14" t="str">
        <f t="shared" si="4"/>
        <v>Chocolate Mousse</v>
      </c>
      <c r="W475" s="14">
        <f t="shared" si="5"/>
        <v>3</v>
      </c>
      <c r="X475" s="14" t="str">
        <f t="shared" si="6"/>
        <v>Sita T</v>
      </c>
      <c r="Y475" s="15">
        <f t="shared" si="7"/>
        <v>44951</v>
      </c>
      <c r="Z475" s="14" t="str">
        <f t="shared" si="8"/>
        <v>Online Payment</v>
      </c>
      <c r="AA475" s="14" t="str">
        <f t="shared" si="9"/>
        <v>Delivered</v>
      </c>
      <c r="AB475" s="14" t="str">
        <f t="shared" ref="AB475:AC475" si="954">trim(Q475)</f>
        <v>Satisfied with the Delivery</v>
      </c>
      <c r="AC475" s="14" t="str">
        <f t="shared" si="954"/>
        <v>Timely and quality</v>
      </c>
      <c r="AD475" s="8"/>
    </row>
    <row r="476">
      <c r="A476" s="14" t="str">
        <f>IFERROR(__xludf.DUMMYFUNCTION("""COMPUTED_VALUE"""),"//ord_10467//Diya Arora//Lower Parel//Icecream+5*Vivek Kumar/5/13/2023//Online Payment//Delivered*Customer Service: Seamless and easy")</f>
        <v>//ord_10467//Diya Arora//Lower Parel//Icecream+5*Vivek Kumar/5/13/2023//Online Payment//Delivered*Customer Service: Seamless and easy</v>
      </c>
      <c r="B476" s="14" t="str">
        <f>IFERROR(__xludf.DUMMYFUNCTION("split(A476,""//"")"),"ord_10467")</f>
        <v>ord_10467</v>
      </c>
      <c r="C476" s="14" t="str">
        <f>IFERROR(__xludf.DUMMYFUNCTION("""COMPUTED_VALUE"""),"Diya Arora")</f>
        <v>Diya Arora</v>
      </c>
      <c r="D476" s="14" t="str">
        <f>IFERROR(__xludf.DUMMYFUNCTION("""COMPUTED_VALUE"""),"Lower Parel")</f>
        <v>Lower Parel</v>
      </c>
      <c r="E476" s="14" t="str">
        <f>IFERROR(__xludf.DUMMYFUNCTION("""COMPUTED_VALUE"""),"Icecream+5*Vivek Kumar")</f>
        <v>Icecream+5*Vivek Kumar</v>
      </c>
      <c r="F476" s="14">
        <f>IFERROR(__xludf.DUMMYFUNCTION("""COMPUTED_VALUE"""),5.0)</f>
        <v>5</v>
      </c>
      <c r="G476" s="14">
        <f>IFERROR(__xludf.DUMMYFUNCTION("""COMPUTED_VALUE"""),13.0)</f>
        <v>13</v>
      </c>
      <c r="H476" s="14">
        <f>IFERROR(__xludf.DUMMYFUNCTION("""COMPUTED_VALUE"""),2023.0)</f>
        <v>2023</v>
      </c>
      <c r="I476" s="14" t="str">
        <f>IFERROR(__xludf.DUMMYFUNCTION("""COMPUTED_VALUE"""),"Online Payment")</f>
        <v>Online Payment</v>
      </c>
      <c r="J476" s="14" t="str">
        <f>IFERROR(__xludf.DUMMYFUNCTION("""COMPUTED_VALUE"""),"Delivered*Customer Service: Seamless and easy")</f>
        <v>Delivered*Customer Service: Seamless and easy</v>
      </c>
      <c r="K476" s="14" t="str">
        <f>IFERROR(__xludf.DUMMYFUNCTION("split(E476,""+"")"),"Icecream")</f>
        <v>Icecream</v>
      </c>
      <c r="L476" s="14" t="str">
        <f>IFERROR(__xludf.DUMMYFUNCTION("""COMPUTED_VALUE"""),"5*Vivek Kumar")</f>
        <v>5*Vivek Kumar</v>
      </c>
      <c r="M476" s="14">
        <f>IFERROR(__xludf.DUMMYFUNCTION("SPLIT(L476,""*"")"),5.0)</f>
        <v>5</v>
      </c>
      <c r="N476" s="14" t="str">
        <f>IFERROR(__xludf.DUMMYFUNCTION("""COMPUTED_VALUE"""),"Vivek Kumar")</f>
        <v>Vivek Kumar</v>
      </c>
      <c r="O476" s="14" t="str">
        <f>IFERROR(__xludf.DUMMYFUNCTION("split(J476,""*"")"),"Delivered")</f>
        <v>Delivered</v>
      </c>
      <c r="P476" s="14" t="str">
        <f>IFERROR(__xludf.DUMMYFUNCTION("""COMPUTED_VALUE"""),"Customer Service: Seamless and easy")</f>
        <v>Customer Service: Seamless and easy</v>
      </c>
      <c r="Q476" s="14" t="str">
        <f>IFERROR(__xludf.DUMMYFUNCTION("split(P476,"":"")"),"Customer Service")</f>
        <v>Customer Service</v>
      </c>
      <c r="R476" s="14" t="str">
        <f>IFERROR(__xludf.DUMMYFUNCTION("""COMPUTED_VALUE""")," Seamless and easy")</f>
        <v> Seamless and easy</v>
      </c>
      <c r="S476" s="14" t="str">
        <f t="shared" ref="S476:U476" si="955">trim(B476)</f>
        <v>ord_10467</v>
      </c>
      <c r="T476" s="14" t="str">
        <f t="shared" si="955"/>
        <v>Diya Arora</v>
      </c>
      <c r="U476" s="14" t="str">
        <f t="shared" si="955"/>
        <v>Lower Parel</v>
      </c>
      <c r="V476" s="14" t="str">
        <f t="shared" si="4"/>
        <v>Icecream</v>
      </c>
      <c r="W476" s="14">
        <f t="shared" si="5"/>
        <v>5</v>
      </c>
      <c r="X476" s="14" t="str">
        <f t="shared" si="6"/>
        <v>Vivek Kumar</v>
      </c>
      <c r="Y476" s="15">
        <f t="shared" si="7"/>
        <v>45059</v>
      </c>
      <c r="Z476" s="14" t="str">
        <f t="shared" si="8"/>
        <v>Online Payment</v>
      </c>
      <c r="AA476" s="14" t="str">
        <f t="shared" si="9"/>
        <v>Delivered</v>
      </c>
      <c r="AB476" s="14" t="str">
        <f t="shared" ref="AB476:AC476" si="956">trim(Q476)</f>
        <v>Customer Service</v>
      </c>
      <c r="AC476" s="14" t="str">
        <f t="shared" si="956"/>
        <v>Seamless and easy</v>
      </c>
      <c r="AD476" s="8"/>
    </row>
    <row r="477">
      <c r="A477" s="14" t="str">
        <f>IFERROR(__xludf.DUMMYFUNCTION("""COMPUTED_VALUE"""),"//ord_10468//Mehul Thakkar//Malad//Apple+1*Not Assigned/11/3/2023//Online Payment//Cancelled*App Glitches: Payment Button Malfunction")</f>
        <v>//ord_10468//Mehul Thakkar//Malad//Apple+1*Not Assigned/11/3/2023//Online Payment//Cancelled*App Glitches: Payment Button Malfunction</v>
      </c>
      <c r="B477" s="14" t="str">
        <f>IFERROR(__xludf.DUMMYFUNCTION("split(A477,""//"")"),"ord_10468")</f>
        <v>ord_10468</v>
      </c>
      <c r="C477" s="14" t="str">
        <f>IFERROR(__xludf.DUMMYFUNCTION("""COMPUTED_VALUE"""),"Mehul Thakkar")</f>
        <v>Mehul Thakkar</v>
      </c>
      <c r="D477" s="14" t="str">
        <f>IFERROR(__xludf.DUMMYFUNCTION("""COMPUTED_VALUE"""),"Malad")</f>
        <v>Malad</v>
      </c>
      <c r="E477" s="14" t="str">
        <f>IFERROR(__xludf.DUMMYFUNCTION("""COMPUTED_VALUE"""),"Apple+1*Not Assigned")</f>
        <v>Apple+1*Not Assigned</v>
      </c>
      <c r="F477" s="14">
        <f>IFERROR(__xludf.DUMMYFUNCTION("""COMPUTED_VALUE"""),11.0)</f>
        <v>11</v>
      </c>
      <c r="G477" s="14">
        <f>IFERROR(__xludf.DUMMYFUNCTION("""COMPUTED_VALUE"""),3.0)</f>
        <v>3</v>
      </c>
      <c r="H477" s="14">
        <f>IFERROR(__xludf.DUMMYFUNCTION("""COMPUTED_VALUE"""),2023.0)</f>
        <v>2023</v>
      </c>
      <c r="I477" s="14" t="str">
        <f>IFERROR(__xludf.DUMMYFUNCTION("""COMPUTED_VALUE"""),"Online Payment")</f>
        <v>Online Payment</v>
      </c>
      <c r="J477" s="14" t="str">
        <f>IFERROR(__xludf.DUMMYFUNCTION("""COMPUTED_VALUE"""),"Cancelled*App Glitches: Payment Button Malfunction")</f>
        <v>Cancelled*App Glitches: Payment Button Malfunction</v>
      </c>
      <c r="K477" s="14" t="str">
        <f>IFERROR(__xludf.DUMMYFUNCTION("split(E477,""+"")"),"Apple")</f>
        <v>Apple</v>
      </c>
      <c r="L477" s="14" t="str">
        <f>IFERROR(__xludf.DUMMYFUNCTION("""COMPUTED_VALUE"""),"1*Not Assigned")</f>
        <v>1*Not Assigned</v>
      </c>
      <c r="M477" s="14">
        <f>IFERROR(__xludf.DUMMYFUNCTION("SPLIT(L477,""*"")"),1.0)</f>
        <v>1</v>
      </c>
      <c r="N477" s="14" t="str">
        <f>IFERROR(__xludf.DUMMYFUNCTION("""COMPUTED_VALUE"""),"Not Assigned")</f>
        <v>Not Assigned</v>
      </c>
      <c r="O477" s="14" t="str">
        <f>IFERROR(__xludf.DUMMYFUNCTION("split(J477,""*"")"),"Cancelled")</f>
        <v>Cancelled</v>
      </c>
      <c r="P477" s="14" t="str">
        <f>IFERROR(__xludf.DUMMYFUNCTION("""COMPUTED_VALUE"""),"App Glitches: Payment Button Malfunction")</f>
        <v>App Glitches: Payment Button Malfunction</v>
      </c>
      <c r="Q477" s="14" t="str">
        <f>IFERROR(__xludf.DUMMYFUNCTION("split(P477,"":"")"),"App Glitches")</f>
        <v>App Glitches</v>
      </c>
      <c r="R477" s="14" t="str">
        <f>IFERROR(__xludf.DUMMYFUNCTION("""COMPUTED_VALUE""")," Payment Button Malfunction")</f>
        <v> Payment Button Malfunction</v>
      </c>
      <c r="S477" s="14" t="str">
        <f t="shared" ref="S477:U477" si="957">trim(B477)</f>
        <v>ord_10468</v>
      </c>
      <c r="T477" s="14" t="str">
        <f t="shared" si="957"/>
        <v>Mehul Thakkar</v>
      </c>
      <c r="U477" s="14" t="str">
        <f t="shared" si="957"/>
        <v>Malad</v>
      </c>
      <c r="V477" s="14" t="str">
        <f t="shared" si="4"/>
        <v>Apple</v>
      </c>
      <c r="W477" s="14">
        <f t="shared" si="5"/>
        <v>1</v>
      </c>
      <c r="X477" s="14" t="str">
        <f t="shared" si="6"/>
        <v>Not Assigned</v>
      </c>
      <c r="Y477" s="15">
        <f t="shared" si="7"/>
        <v>45233</v>
      </c>
      <c r="Z477" s="14" t="str">
        <f t="shared" si="8"/>
        <v>Online Payment</v>
      </c>
      <c r="AA477" s="14" t="str">
        <f t="shared" si="9"/>
        <v>Cancelled</v>
      </c>
      <c r="AB477" s="14" t="str">
        <f t="shared" ref="AB477:AC477" si="958">trim(Q477)</f>
        <v>App Glitches</v>
      </c>
      <c r="AC477" s="14" t="str">
        <f t="shared" si="958"/>
        <v>Payment Button Malfunction</v>
      </c>
      <c r="AD477" s="8"/>
    </row>
    <row r="478">
      <c r="A478" s="14" t="str">
        <f>IFERROR(__xludf.DUMMYFUNCTION("""COMPUTED_VALUE"""),"//ord_10469//Anaya Rao//Colaba//Apple+1*Shine Thomas/8/20/2023//UPI//Delivered*Delivery Experience: Quick and professional")</f>
        <v>//ord_10469//Anaya Rao//Colaba//Apple+1*Shine Thomas/8/20/2023//UPI//Delivered*Delivery Experience: Quick and professional</v>
      </c>
      <c r="B478" s="14" t="str">
        <f>IFERROR(__xludf.DUMMYFUNCTION("split(A478,""//"")"),"ord_10469")</f>
        <v>ord_10469</v>
      </c>
      <c r="C478" s="14" t="str">
        <f>IFERROR(__xludf.DUMMYFUNCTION("""COMPUTED_VALUE"""),"Anaya Rao")</f>
        <v>Anaya Rao</v>
      </c>
      <c r="D478" s="14" t="str">
        <f>IFERROR(__xludf.DUMMYFUNCTION("""COMPUTED_VALUE"""),"Colaba")</f>
        <v>Colaba</v>
      </c>
      <c r="E478" s="14" t="str">
        <f>IFERROR(__xludf.DUMMYFUNCTION("""COMPUTED_VALUE"""),"Apple+1*Shine Thomas")</f>
        <v>Apple+1*Shine Thomas</v>
      </c>
      <c r="F478" s="14">
        <f>IFERROR(__xludf.DUMMYFUNCTION("""COMPUTED_VALUE"""),8.0)</f>
        <v>8</v>
      </c>
      <c r="G478" s="14">
        <f>IFERROR(__xludf.DUMMYFUNCTION("""COMPUTED_VALUE"""),20.0)</f>
        <v>20</v>
      </c>
      <c r="H478" s="14">
        <f>IFERROR(__xludf.DUMMYFUNCTION("""COMPUTED_VALUE"""),2023.0)</f>
        <v>2023</v>
      </c>
      <c r="I478" s="14" t="str">
        <f>IFERROR(__xludf.DUMMYFUNCTION("""COMPUTED_VALUE"""),"UPI")</f>
        <v>UPI</v>
      </c>
      <c r="J478" s="14" t="str">
        <f>IFERROR(__xludf.DUMMYFUNCTION("""COMPUTED_VALUE"""),"Delivered*Delivery Experience: Quick and professional")</f>
        <v>Delivered*Delivery Experience: Quick and professional</v>
      </c>
      <c r="K478" s="14" t="str">
        <f>IFERROR(__xludf.DUMMYFUNCTION("split(E478,""+"")"),"Apple")</f>
        <v>Apple</v>
      </c>
      <c r="L478" s="14" t="str">
        <f>IFERROR(__xludf.DUMMYFUNCTION("""COMPUTED_VALUE"""),"1*Shine Thomas")</f>
        <v>1*Shine Thomas</v>
      </c>
      <c r="M478" s="14">
        <f>IFERROR(__xludf.DUMMYFUNCTION("SPLIT(L478,""*"")"),1.0)</f>
        <v>1</v>
      </c>
      <c r="N478" s="14" t="str">
        <f>IFERROR(__xludf.DUMMYFUNCTION("""COMPUTED_VALUE"""),"Shine Thomas")</f>
        <v>Shine Thomas</v>
      </c>
      <c r="O478" s="14" t="str">
        <f>IFERROR(__xludf.DUMMYFUNCTION("split(J478,""*"")"),"Delivered")</f>
        <v>Delivered</v>
      </c>
      <c r="P478" s="14" t="str">
        <f>IFERROR(__xludf.DUMMYFUNCTION("""COMPUTED_VALUE"""),"Delivery Experience: Quick and professional")</f>
        <v>Delivery Experience: Quick and professional</v>
      </c>
      <c r="Q478" s="14" t="str">
        <f>IFERROR(__xludf.DUMMYFUNCTION("split(P478,"":"")"),"Delivery Experience")</f>
        <v>Delivery Experience</v>
      </c>
      <c r="R478" s="14" t="str">
        <f>IFERROR(__xludf.DUMMYFUNCTION("""COMPUTED_VALUE""")," Quick and professional")</f>
        <v> Quick and professional</v>
      </c>
      <c r="S478" s="14" t="str">
        <f t="shared" ref="S478:U478" si="959">trim(B478)</f>
        <v>ord_10469</v>
      </c>
      <c r="T478" s="14" t="str">
        <f t="shared" si="959"/>
        <v>Anaya Rao</v>
      </c>
      <c r="U478" s="14" t="str">
        <f t="shared" si="959"/>
        <v>Colaba</v>
      </c>
      <c r="V478" s="14" t="str">
        <f t="shared" si="4"/>
        <v>Apple</v>
      </c>
      <c r="W478" s="14">
        <f t="shared" si="5"/>
        <v>1</v>
      </c>
      <c r="X478" s="14" t="str">
        <f t="shared" si="6"/>
        <v>Shine Thomas</v>
      </c>
      <c r="Y478" s="15">
        <f t="shared" si="7"/>
        <v>45158</v>
      </c>
      <c r="Z478" s="14" t="str">
        <f t="shared" si="8"/>
        <v>UPI</v>
      </c>
      <c r="AA478" s="14" t="str">
        <f t="shared" si="9"/>
        <v>Delivered</v>
      </c>
      <c r="AB478" s="14" t="str">
        <f t="shared" ref="AB478:AC478" si="960">trim(Q478)</f>
        <v>Delivery Experience</v>
      </c>
      <c r="AC478" s="14" t="str">
        <f t="shared" si="960"/>
        <v>Quick and professional</v>
      </c>
      <c r="AD478" s="8"/>
    </row>
    <row r="479">
      <c r="A479" s="14" t="str">
        <f>IFERROR(__xludf.DUMMYFUNCTION("""COMPUTED_VALUE"""),"//ord_10470//Harsh Vardhan//Bandra//Tiramisu+2*Nithin Lal/11/14/2023//UPI//Delivered*Convenience: Easy tracking")</f>
        <v>//ord_10470//Harsh Vardhan//Bandra//Tiramisu+2*Nithin Lal/11/14/2023//UPI//Delivered*Convenience: Easy tracking</v>
      </c>
      <c r="B479" s="14" t="str">
        <f>IFERROR(__xludf.DUMMYFUNCTION("split(A479,""//"")"),"ord_10470")</f>
        <v>ord_10470</v>
      </c>
      <c r="C479" s="14" t="str">
        <f>IFERROR(__xludf.DUMMYFUNCTION("""COMPUTED_VALUE"""),"Harsh Vardhan")</f>
        <v>Harsh Vardhan</v>
      </c>
      <c r="D479" s="14" t="str">
        <f>IFERROR(__xludf.DUMMYFUNCTION("""COMPUTED_VALUE"""),"Bandra")</f>
        <v>Bandra</v>
      </c>
      <c r="E479" s="14" t="str">
        <f>IFERROR(__xludf.DUMMYFUNCTION("""COMPUTED_VALUE"""),"Tiramisu+2*Nithin Lal")</f>
        <v>Tiramisu+2*Nithin Lal</v>
      </c>
      <c r="F479" s="14">
        <f>IFERROR(__xludf.DUMMYFUNCTION("""COMPUTED_VALUE"""),11.0)</f>
        <v>11</v>
      </c>
      <c r="G479" s="14">
        <f>IFERROR(__xludf.DUMMYFUNCTION("""COMPUTED_VALUE"""),14.0)</f>
        <v>14</v>
      </c>
      <c r="H479" s="14">
        <f>IFERROR(__xludf.DUMMYFUNCTION("""COMPUTED_VALUE"""),2023.0)</f>
        <v>2023</v>
      </c>
      <c r="I479" s="14" t="str">
        <f>IFERROR(__xludf.DUMMYFUNCTION("""COMPUTED_VALUE"""),"UPI")</f>
        <v>UPI</v>
      </c>
      <c r="J479" s="14" t="str">
        <f>IFERROR(__xludf.DUMMYFUNCTION("""COMPUTED_VALUE"""),"Delivered*Convenience: Easy tracking")</f>
        <v>Delivered*Convenience: Easy tracking</v>
      </c>
      <c r="K479" s="14" t="str">
        <f>IFERROR(__xludf.DUMMYFUNCTION("split(E479,""+"")"),"Tiramisu")</f>
        <v>Tiramisu</v>
      </c>
      <c r="L479" s="14" t="str">
        <f>IFERROR(__xludf.DUMMYFUNCTION("""COMPUTED_VALUE"""),"2*Nithin Lal")</f>
        <v>2*Nithin Lal</v>
      </c>
      <c r="M479" s="14">
        <f>IFERROR(__xludf.DUMMYFUNCTION("SPLIT(L479,""*"")"),2.0)</f>
        <v>2</v>
      </c>
      <c r="N479" s="14" t="str">
        <f>IFERROR(__xludf.DUMMYFUNCTION("""COMPUTED_VALUE"""),"Nithin Lal")</f>
        <v>Nithin Lal</v>
      </c>
      <c r="O479" s="14" t="str">
        <f>IFERROR(__xludf.DUMMYFUNCTION("split(J479,""*"")"),"Delivered")</f>
        <v>Delivered</v>
      </c>
      <c r="P479" s="14" t="str">
        <f>IFERROR(__xludf.DUMMYFUNCTION("""COMPUTED_VALUE"""),"Convenience: Easy tracking")</f>
        <v>Convenience: Easy tracking</v>
      </c>
      <c r="Q479" s="14" t="str">
        <f>IFERROR(__xludf.DUMMYFUNCTION("split(P479,"":"")"),"Convenience")</f>
        <v>Convenience</v>
      </c>
      <c r="R479" s="14" t="str">
        <f>IFERROR(__xludf.DUMMYFUNCTION("""COMPUTED_VALUE""")," Easy tracking")</f>
        <v> Easy tracking</v>
      </c>
      <c r="S479" s="14" t="str">
        <f t="shared" ref="S479:U479" si="961">trim(B479)</f>
        <v>ord_10470</v>
      </c>
      <c r="T479" s="14" t="str">
        <f t="shared" si="961"/>
        <v>Harsh Vardhan</v>
      </c>
      <c r="U479" s="14" t="str">
        <f t="shared" si="961"/>
        <v>Bandra</v>
      </c>
      <c r="V479" s="14" t="str">
        <f t="shared" si="4"/>
        <v>Tiramisu</v>
      </c>
      <c r="W479" s="14">
        <f t="shared" si="5"/>
        <v>2</v>
      </c>
      <c r="X479" s="14" t="str">
        <f t="shared" si="6"/>
        <v>Nithin Lal</v>
      </c>
      <c r="Y479" s="15">
        <f t="shared" si="7"/>
        <v>45244</v>
      </c>
      <c r="Z479" s="14" t="str">
        <f t="shared" si="8"/>
        <v>UPI</v>
      </c>
      <c r="AA479" s="14" t="str">
        <f t="shared" si="9"/>
        <v>Delivered</v>
      </c>
      <c r="AB479" s="14" t="str">
        <f t="shared" ref="AB479:AC479" si="962">trim(Q479)</f>
        <v>Convenience</v>
      </c>
      <c r="AC479" s="14" t="str">
        <f t="shared" si="962"/>
        <v>Easy tracking</v>
      </c>
      <c r="AD479" s="8"/>
    </row>
    <row r="480">
      <c r="A480" s="14" t="str">
        <f>IFERROR(__xludf.DUMMYFUNCTION("""COMPUTED_VALUE"""),"//ord_10471//Leena Das//Andheri//Chocolate Mousse+6*Vivek Kumar/7/4/2023//UPI//Delivered*Overall Satisfaction: Great service will order again")</f>
        <v>//ord_10471//Leena Das//Andheri//Chocolate Mousse+6*Vivek Kumar/7/4/2023//UPI//Delivered*Overall Satisfaction: Great service will order again</v>
      </c>
      <c r="B480" s="14" t="str">
        <f>IFERROR(__xludf.DUMMYFUNCTION("split(A480,""//"")"),"ord_10471")</f>
        <v>ord_10471</v>
      </c>
      <c r="C480" s="14" t="str">
        <f>IFERROR(__xludf.DUMMYFUNCTION("""COMPUTED_VALUE"""),"Leena Das")</f>
        <v>Leena Das</v>
      </c>
      <c r="D480" s="14" t="str">
        <f>IFERROR(__xludf.DUMMYFUNCTION("""COMPUTED_VALUE"""),"Andheri")</f>
        <v>Andheri</v>
      </c>
      <c r="E480" s="14" t="str">
        <f>IFERROR(__xludf.DUMMYFUNCTION("""COMPUTED_VALUE"""),"Chocolate Mousse+6*Vivek Kumar")</f>
        <v>Chocolate Mousse+6*Vivek Kumar</v>
      </c>
      <c r="F480" s="14">
        <f>IFERROR(__xludf.DUMMYFUNCTION("""COMPUTED_VALUE"""),7.0)</f>
        <v>7</v>
      </c>
      <c r="G480" s="14">
        <f>IFERROR(__xludf.DUMMYFUNCTION("""COMPUTED_VALUE"""),4.0)</f>
        <v>4</v>
      </c>
      <c r="H480" s="14">
        <f>IFERROR(__xludf.DUMMYFUNCTION("""COMPUTED_VALUE"""),2023.0)</f>
        <v>2023</v>
      </c>
      <c r="I480" s="14" t="str">
        <f>IFERROR(__xludf.DUMMYFUNCTION("""COMPUTED_VALUE"""),"UPI")</f>
        <v>UPI</v>
      </c>
      <c r="J480" s="14" t="str">
        <f>IFERROR(__xludf.DUMMYFUNCTION("""COMPUTED_VALUE"""),"Delivered*Overall Satisfaction: Great service will order again")</f>
        <v>Delivered*Overall Satisfaction: Great service will order again</v>
      </c>
      <c r="K480" s="14" t="str">
        <f>IFERROR(__xludf.DUMMYFUNCTION("split(E480,""+"")"),"Chocolate Mousse")</f>
        <v>Chocolate Mousse</v>
      </c>
      <c r="L480" s="14" t="str">
        <f>IFERROR(__xludf.DUMMYFUNCTION("""COMPUTED_VALUE"""),"6*Vivek Kumar")</f>
        <v>6*Vivek Kumar</v>
      </c>
      <c r="M480" s="14">
        <f>IFERROR(__xludf.DUMMYFUNCTION("SPLIT(L480,""*"")"),6.0)</f>
        <v>6</v>
      </c>
      <c r="N480" s="14" t="str">
        <f>IFERROR(__xludf.DUMMYFUNCTION("""COMPUTED_VALUE"""),"Vivek Kumar")</f>
        <v>Vivek Kumar</v>
      </c>
      <c r="O480" s="14" t="str">
        <f>IFERROR(__xludf.DUMMYFUNCTION("split(J480,""*"")"),"Delivered")</f>
        <v>Delivered</v>
      </c>
      <c r="P480" s="14" t="str">
        <f>IFERROR(__xludf.DUMMYFUNCTION("""COMPUTED_VALUE"""),"Overall Satisfaction: Great service will order again")</f>
        <v>Overall Satisfaction: Great service will order again</v>
      </c>
      <c r="Q480" s="14" t="str">
        <f>IFERROR(__xludf.DUMMYFUNCTION("split(P480,"":"")"),"Overall Satisfaction")</f>
        <v>Overall Satisfaction</v>
      </c>
      <c r="R480" s="14" t="str">
        <f>IFERROR(__xludf.DUMMYFUNCTION("""COMPUTED_VALUE""")," Great service will order again")</f>
        <v> Great service will order again</v>
      </c>
      <c r="S480" s="14" t="str">
        <f t="shared" ref="S480:U480" si="963">trim(B480)</f>
        <v>ord_10471</v>
      </c>
      <c r="T480" s="14" t="str">
        <f t="shared" si="963"/>
        <v>Leena Das</v>
      </c>
      <c r="U480" s="14" t="str">
        <f t="shared" si="963"/>
        <v>Andheri</v>
      </c>
      <c r="V480" s="14" t="str">
        <f t="shared" si="4"/>
        <v>Chocolate Mousse</v>
      </c>
      <c r="W480" s="14">
        <f t="shared" si="5"/>
        <v>6</v>
      </c>
      <c r="X480" s="14" t="str">
        <f t="shared" si="6"/>
        <v>Vivek Kumar</v>
      </c>
      <c r="Y480" s="15">
        <f t="shared" si="7"/>
        <v>45111</v>
      </c>
      <c r="Z480" s="14" t="str">
        <f t="shared" si="8"/>
        <v>UPI</v>
      </c>
      <c r="AA480" s="14" t="str">
        <f t="shared" si="9"/>
        <v>Delivered</v>
      </c>
      <c r="AB480" s="14" t="str">
        <f t="shared" ref="AB480:AC480" si="964">trim(Q480)</f>
        <v>Overall Satisfaction</v>
      </c>
      <c r="AC480" s="14" t="str">
        <f t="shared" si="964"/>
        <v>Great service will order again</v>
      </c>
      <c r="AD480" s="8"/>
    </row>
    <row r="481">
      <c r="A481" s="14" t="str">
        <f>IFERROR(__xludf.DUMMYFUNCTION("""COMPUTED_VALUE"""),"//ord_10472//Diya Arora//Lower Parel//Banana+1*Sita T/10/21/2023//Credit Card//Delivered*On-time Delivery: Delivered on time")</f>
        <v>//ord_10472//Diya Arora//Lower Parel//Banana+1*Sita T/10/21/2023//Credit Card//Delivered*On-time Delivery: Delivered on time</v>
      </c>
      <c r="B481" s="14" t="str">
        <f>IFERROR(__xludf.DUMMYFUNCTION("split(A481,""//"")"),"ord_10472")</f>
        <v>ord_10472</v>
      </c>
      <c r="C481" s="14" t="str">
        <f>IFERROR(__xludf.DUMMYFUNCTION("""COMPUTED_VALUE"""),"Diya Arora")</f>
        <v>Diya Arora</v>
      </c>
      <c r="D481" s="14" t="str">
        <f>IFERROR(__xludf.DUMMYFUNCTION("""COMPUTED_VALUE"""),"Lower Parel")</f>
        <v>Lower Parel</v>
      </c>
      <c r="E481" s="14" t="str">
        <f>IFERROR(__xludf.DUMMYFUNCTION("""COMPUTED_VALUE"""),"Banana+1*Sita T")</f>
        <v>Banana+1*Sita T</v>
      </c>
      <c r="F481" s="14">
        <f>IFERROR(__xludf.DUMMYFUNCTION("""COMPUTED_VALUE"""),10.0)</f>
        <v>10</v>
      </c>
      <c r="G481" s="14">
        <f>IFERROR(__xludf.DUMMYFUNCTION("""COMPUTED_VALUE"""),21.0)</f>
        <v>21</v>
      </c>
      <c r="H481" s="14">
        <f>IFERROR(__xludf.DUMMYFUNCTION("""COMPUTED_VALUE"""),2023.0)</f>
        <v>2023</v>
      </c>
      <c r="I481" s="14" t="str">
        <f>IFERROR(__xludf.DUMMYFUNCTION("""COMPUTED_VALUE"""),"Credit Card")</f>
        <v>Credit Card</v>
      </c>
      <c r="J481" s="14" t="str">
        <f>IFERROR(__xludf.DUMMYFUNCTION("""COMPUTED_VALUE"""),"Delivered*On-time Delivery: Delivered on time")</f>
        <v>Delivered*On-time Delivery: Delivered on time</v>
      </c>
      <c r="K481" s="14" t="str">
        <f>IFERROR(__xludf.DUMMYFUNCTION("split(E481,""+"")"),"Banana")</f>
        <v>Banana</v>
      </c>
      <c r="L481" s="14" t="str">
        <f>IFERROR(__xludf.DUMMYFUNCTION("""COMPUTED_VALUE"""),"1*Sita T")</f>
        <v>1*Sita T</v>
      </c>
      <c r="M481" s="14">
        <f>IFERROR(__xludf.DUMMYFUNCTION("SPLIT(L481,""*"")"),1.0)</f>
        <v>1</v>
      </c>
      <c r="N481" s="14" t="str">
        <f>IFERROR(__xludf.DUMMYFUNCTION("""COMPUTED_VALUE"""),"Sita T")</f>
        <v>Sita T</v>
      </c>
      <c r="O481" s="14" t="str">
        <f>IFERROR(__xludf.DUMMYFUNCTION("split(J481,""*"")"),"Delivered")</f>
        <v>Delivered</v>
      </c>
      <c r="P481" s="14" t="str">
        <f>IFERROR(__xludf.DUMMYFUNCTION("""COMPUTED_VALUE"""),"On-time Delivery: Delivered on time")</f>
        <v>On-time Delivery: Delivered on time</v>
      </c>
      <c r="Q481" s="14" t="str">
        <f>IFERROR(__xludf.DUMMYFUNCTION("split(P481,"":"")"),"On-time Delivery")</f>
        <v>On-time Delivery</v>
      </c>
      <c r="R481" s="14" t="str">
        <f>IFERROR(__xludf.DUMMYFUNCTION("""COMPUTED_VALUE""")," Delivered on time")</f>
        <v> Delivered on time</v>
      </c>
      <c r="S481" s="14" t="str">
        <f t="shared" ref="S481:U481" si="965">trim(B481)</f>
        <v>ord_10472</v>
      </c>
      <c r="T481" s="14" t="str">
        <f t="shared" si="965"/>
        <v>Diya Arora</v>
      </c>
      <c r="U481" s="14" t="str">
        <f t="shared" si="965"/>
        <v>Lower Parel</v>
      </c>
      <c r="V481" s="14" t="str">
        <f t="shared" si="4"/>
        <v>Banana</v>
      </c>
      <c r="W481" s="14">
        <f t="shared" si="5"/>
        <v>1</v>
      </c>
      <c r="X481" s="14" t="str">
        <f t="shared" si="6"/>
        <v>Sita T</v>
      </c>
      <c r="Y481" s="15">
        <f t="shared" si="7"/>
        <v>45220</v>
      </c>
      <c r="Z481" s="14" t="str">
        <f t="shared" si="8"/>
        <v>Credit Card</v>
      </c>
      <c r="AA481" s="14" t="str">
        <f t="shared" si="9"/>
        <v>Delivered</v>
      </c>
      <c r="AB481" s="14" t="str">
        <f t="shared" ref="AB481:AC481" si="966">trim(Q481)</f>
        <v>On-time Delivery</v>
      </c>
      <c r="AC481" s="14" t="str">
        <f t="shared" si="966"/>
        <v>Delivered on time</v>
      </c>
      <c r="AD481" s="8"/>
    </row>
    <row r="482">
      <c r="A482" s="14" t="str">
        <f>IFERROR(__xludf.DUMMYFUNCTION("""COMPUTED_VALUE"""),"//ord_10473//Diya Arora//Lower Parel//Potato+2*Ram Gopal/1/29/2023//UPI//Delivered*Quality of Items: Perfect condition")</f>
        <v>//ord_10473//Diya Arora//Lower Parel//Potato+2*Ram Gopal/1/29/2023//UPI//Delivered*Quality of Items: Perfect condition</v>
      </c>
      <c r="B482" s="14" t="str">
        <f>IFERROR(__xludf.DUMMYFUNCTION("split(A482,""//"")"),"ord_10473")</f>
        <v>ord_10473</v>
      </c>
      <c r="C482" s="14" t="str">
        <f>IFERROR(__xludf.DUMMYFUNCTION("""COMPUTED_VALUE"""),"Diya Arora")</f>
        <v>Diya Arora</v>
      </c>
      <c r="D482" s="14" t="str">
        <f>IFERROR(__xludf.DUMMYFUNCTION("""COMPUTED_VALUE"""),"Lower Parel")</f>
        <v>Lower Parel</v>
      </c>
      <c r="E482" s="14" t="str">
        <f>IFERROR(__xludf.DUMMYFUNCTION("""COMPUTED_VALUE"""),"Potato+2*Ram Gopal")</f>
        <v>Potato+2*Ram Gopal</v>
      </c>
      <c r="F482" s="14">
        <f>IFERROR(__xludf.DUMMYFUNCTION("""COMPUTED_VALUE"""),1.0)</f>
        <v>1</v>
      </c>
      <c r="G482" s="14">
        <f>IFERROR(__xludf.DUMMYFUNCTION("""COMPUTED_VALUE"""),29.0)</f>
        <v>29</v>
      </c>
      <c r="H482" s="14">
        <f>IFERROR(__xludf.DUMMYFUNCTION("""COMPUTED_VALUE"""),2023.0)</f>
        <v>2023</v>
      </c>
      <c r="I482" s="14" t="str">
        <f>IFERROR(__xludf.DUMMYFUNCTION("""COMPUTED_VALUE"""),"UPI")</f>
        <v>UPI</v>
      </c>
      <c r="J482" s="14" t="str">
        <f>IFERROR(__xludf.DUMMYFUNCTION("""COMPUTED_VALUE"""),"Delivered*Quality of Items: Perfect condition")</f>
        <v>Delivered*Quality of Items: Perfect condition</v>
      </c>
      <c r="K482" s="14" t="str">
        <f>IFERROR(__xludf.DUMMYFUNCTION("split(E482,""+"")"),"Potato")</f>
        <v>Potato</v>
      </c>
      <c r="L482" s="14" t="str">
        <f>IFERROR(__xludf.DUMMYFUNCTION("""COMPUTED_VALUE"""),"2*Ram Gopal")</f>
        <v>2*Ram Gopal</v>
      </c>
      <c r="M482" s="14">
        <f>IFERROR(__xludf.DUMMYFUNCTION("SPLIT(L482,""*"")"),2.0)</f>
        <v>2</v>
      </c>
      <c r="N482" s="14" t="str">
        <f>IFERROR(__xludf.DUMMYFUNCTION("""COMPUTED_VALUE"""),"Ram Gopal")</f>
        <v>Ram Gopal</v>
      </c>
      <c r="O482" s="14" t="str">
        <f>IFERROR(__xludf.DUMMYFUNCTION("split(J482,""*"")"),"Delivered")</f>
        <v>Delivered</v>
      </c>
      <c r="P482" s="14" t="str">
        <f>IFERROR(__xludf.DUMMYFUNCTION("""COMPUTED_VALUE"""),"Quality of Items: Perfect condition")</f>
        <v>Quality of Items: Perfect condition</v>
      </c>
      <c r="Q482" s="14" t="str">
        <f>IFERROR(__xludf.DUMMYFUNCTION("split(P482,"":"")"),"Quality of Items")</f>
        <v>Quality of Items</v>
      </c>
      <c r="R482" s="14" t="str">
        <f>IFERROR(__xludf.DUMMYFUNCTION("""COMPUTED_VALUE""")," Perfect condition")</f>
        <v> Perfect condition</v>
      </c>
      <c r="S482" s="14" t="str">
        <f t="shared" ref="S482:U482" si="967">trim(B482)</f>
        <v>ord_10473</v>
      </c>
      <c r="T482" s="14" t="str">
        <f t="shared" si="967"/>
        <v>Diya Arora</v>
      </c>
      <c r="U482" s="14" t="str">
        <f t="shared" si="967"/>
        <v>Lower Parel</v>
      </c>
      <c r="V482" s="14" t="str">
        <f t="shared" si="4"/>
        <v>Potato</v>
      </c>
      <c r="W482" s="14">
        <f t="shared" si="5"/>
        <v>2</v>
      </c>
      <c r="X482" s="14" t="str">
        <f t="shared" si="6"/>
        <v>Ram Gopal</v>
      </c>
      <c r="Y482" s="15">
        <f t="shared" si="7"/>
        <v>44955</v>
      </c>
      <c r="Z482" s="14" t="str">
        <f t="shared" si="8"/>
        <v>UPI</v>
      </c>
      <c r="AA482" s="14" t="str">
        <f t="shared" si="9"/>
        <v>Delivered</v>
      </c>
      <c r="AB482" s="14" t="str">
        <f t="shared" ref="AB482:AC482" si="968">trim(Q482)</f>
        <v>Quality of Items</v>
      </c>
      <c r="AC482" s="14" t="str">
        <f t="shared" si="968"/>
        <v>Perfect condition</v>
      </c>
      <c r="AD482" s="8"/>
    </row>
    <row r="483">
      <c r="A483" s="14" t="str">
        <f>IFERROR(__xludf.DUMMYFUNCTION("""COMPUTED_VALUE"""),"//ord_10474//Aarav Mehta//Andheri//Icecream+3*Ram Gopal/8/5/2023//Credit Card//Delivered*On-time Delivery: Delivered on time")</f>
        <v>//ord_10474//Aarav Mehta//Andheri//Icecream+3*Ram Gopal/8/5/2023//Credit Card//Delivered*On-time Delivery: Delivered on time</v>
      </c>
      <c r="B483" s="14" t="str">
        <f>IFERROR(__xludf.DUMMYFUNCTION("split(A483,""//"")"),"ord_10474")</f>
        <v>ord_10474</v>
      </c>
      <c r="C483" s="14" t="str">
        <f>IFERROR(__xludf.DUMMYFUNCTION("""COMPUTED_VALUE"""),"Aarav Mehta")</f>
        <v>Aarav Mehta</v>
      </c>
      <c r="D483" s="14" t="str">
        <f>IFERROR(__xludf.DUMMYFUNCTION("""COMPUTED_VALUE"""),"Andheri")</f>
        <v>Andheri</v>
      </c>
      <c r="E483" s="14" t="str">
        <f>IFERROR(__xludf.DUMMYFUNCTION("""COMPUTED_VALUE"""),"Icecream+3*Ram Gopal")</f>
        <v>Icecream+3*Ram Gopal</v>
      </c>
      <c r="F483" s="14">
        <f>IFERROR(__xludf.DUMMYFUNCTION("""COMPUTED_VALUE"""),8.0)</f>
        <v>8</v>
      </c>
      <c r="G483" s="14">
        <f>IFERROR(__xludf.DUMMYFUNCTION("""COMPUTED_VALUE"""),5.0)</f>
        <v>5</v>
      </c>
      <c r="H483" s="14">
        <f>IFERROR(__xludf.DUMMYFUNCTION("""COMPUTED_VALUE"""),2023.0)</f>
        <v>2023</v>
      </c>
      <c r="I483" s="14" t="str">
        <f>IFERROR(__xludf.DUMMYFUNCTION("""COMPUTED_VALUE"""),"Credit Card")</f>
        <v>Credit Card</v>
      </c>
      <c r="J483" s="14" t="str">
        <f>IFERROR(__xludf.DUMMYFUNCTION("""COMPUTED_VALUE"""),"Delivered*On-time Delivery: Delivered on time")</f>
        <v>Delivered*On-time Delivery: Delivered on time</v>
      </c>
      <c r="K483" s="14" t="str">
        <f>IFERROR(__xludf.DUMMYFUNCTION("split(E483,""+"")"),"Icecream")</f>
        <v>Icecream</v>
      </c>
      <c r="L483" s="14" t="str">
        <f>IFERROR(__xludf.DUMMYFUNCTION("""COMPUTED_VALUE"""),"3*Ram Gopal")</f>
        <v>3*Ram Gopal</v>
      </c>
      <c r="M483" s="14">
        <f>IFERROR(__xludf.DUMMYFUNCTION("SPLIT(L483,""*"")"),3.0)</f>
        <v>3</v>
      </c>
      <c r="N483" s="14" t="str">
        <f>IFERROR(__xludf.DUMMYFUNCTION("""COMPUTED_VALUE"""),"Ram Gopal")</f>
        <v>Ram Gopal</v>
      </c>
      <c r="O483" s="14" t="str">
        <f>IFERROR(__xludf.DUMMYFUNCTION("split(J483,""*"")"),"Delivered")</f>
        <v>Delivered</v>
      </c>
      <c r="P483" s="14" t="str">
        <f>IFERROR(__xludf.DUMMYFUNCTION("""COMPUTED_VALUE"""),"On-time Delivery: Delivered on time")</f>
        <v>On-time Delivery: Delivered on time</v>
      </c>
      <c r="Q483" s="14" t="str">
        <f>IFERROR(__xludf.DUMMYFUNCTION("split(P483,"":"")"),"On-time Delivery")</f>
        <v>On-time Delivery</v>
      </c>
      <c r="R483" s="14" t="str">
        <f>IFERROR(__xludf.DUMMYFUNCTION("""COMPUTED_VALUE""")," Delivered on time")</f>
        <v> Delivered on time</v>
      </c>
      <c r="S483" s="14" t="str">
        <f t="shared" ref="S483:U483" si="969">trim(B483)</f>
        <v>ord_10474</v>
      </c>
      <c r="T483" s="14" t="str">
        <f t="shared" si="969"/>
        <v>Aarav Mehta</v>
      </c>
      <c r="U483" s="14" t="str">
        <f t="shared" si="969"/>
        <v>Andheri</v>
      </c>
      <c r="V483" s="14" t="str">
        <f t="shared" si="4"/>
        <v>Icecream</v>
      </c>
      <c r="W483" s="14">
        <f t="shared" si="5"/>
        <v>3</v>
      </c>
      <c r="X483" s="14" t="str">
        <f t="shared" si="6"/>
        <v>Ram Gopal</v>
      </c>
      <c r="Y483" s="15">
        <f t="shared" si="7"/>
        <v>45143</v>
      </c>
      <c r="Z483" s="14" t="str">
        <f t="shared" si="8"/>
        <v>Credit Card</v>
      </c>
      <c r="AA483" s="14" t="str">
        <f t="shared" si="9"/>
        <v>Delivered</v>
      </c>
      <c r="AB483" s="14" t="str">
        <f t="shared" ref="AB483:AC483" si="970">trim(Q483)</f>
        <v>On-time Delivery</v>
      </c>
      <c r="AC483" s="14" t="str">
        <f t="shared" si="970"/>
        <v>Delivered on time</v>
      </c>
      <c r="AD483" s="8"/>
    </row>
    <row r="484">
      <c r="A484" s="14" t="str">
        <f>IFERROR(__xludf.DUMMYFUNCTION("""COMPUTED_VALUE"""),"//ord_10475//Leena Das//Andheri//Papaya+2*Sita T/8/4/2023//COD//Delivered*Quality of Items: Perfect condition")</f>
        <v>//ord_10475//Leena Das//Andheri//Papaya+2*Sita T/8/4/2023//COD//Delivered*Quality of Items: Perfect condition</v>
      </c>
      <c r="B484" s="14" t="str">
        <f>IFERROR(__xludf.DUMMYFUNCTION("split(A484,""//"")"),"ord_10475")</f>
        <v>ord_10475</v>
      </c>
      <c r="C484" s="14" t="str">
        <f>IFERROR(__xludf.DUMMYFUNCTION("""COMPUTED_VALUE"""),"Leena Das")</f>
        <v>Leena Das</v>
      </c>
      <c r="D484" s="14" t="str">
        <f>IFERROR(__xludf.DUMMYFUNCTION("""COMPUTED_VALUE"""),"Andheri")</f>
        <v>Andheri</v>
      </c>
      <c r="E484" s="14" t="str">
        <f>IFERROR(__xludf.DUMMYFUNCTION("""COMPUTED_VALUE"""),"Papaya+2*Sita T")</f>
        <v>Papaya+2*Sita T</v>
      </c>
      <c r="F484" s="14">
        <f>IFERROR(__xludf.DUMMYFUNCTION("""COMPUTED_VALUE"""),8.0)</f>
        <v>8</v>
      </c>
      <c r="G484" s="14">
        <f>IFERROR(__xludf.DUMMYFUNCTION("""COMPUTED_VALUE"""),4.0)</f>
        <v>4</v>
      </c>
      <c r="H484" s="14">
        <f>IFERROR(__xludf.DUMMYFUNCTION("""COMPUTED_VALUE"""),2023.0)</f>
        <v>2023</v>
      </c>
      <c r="I484" s="14" t="str">
        <f>IFERROR(__xludf.DUMMYFUNCTION("""COMPUTED_VALUE"""),"COD")</f>
        <v>COD</v>
      </c>
      <c r="J484" s="14" t="str">
        <f>IFERROR(__xludf.DUMMYFUNCTION("""COMPUTED_VALUE"""),"Delivered*Quality of Items: Perfect condition")</f>
        <v>Delivered*Quality of Items: Perfect condition</v>
      </c>
      <c r="K484" s="14" t="str">
        <f>IFERROR(__xludf.DUMMYFUNCTION("split(E484,""+"")"),"Papaya")</f>
        <v>Papaya</v>
      </c>
      <c r="L484" s="14" t="str">
        <f>IFERROR(__xludf.DUMMYFUNCTION("""COMPUTED_VALUE"""),"2*Sita T")</f>
        <v>2*Sita T</v>
      </c>
      <c r="M484" s="14">
        <f>IFERROR(__xludf.DUMMYFUNCTION("SPLIT(L484,""*"")"),2.0)</f>
        <v>2</v>
      </c>
      <c r="N484" s="14" t="str">
        <f>IFERROR(__xludf.DUMMYFUNCTION("""COMPUTED_VALUE"""),"Sita T")</f>
        <v>Sita T</v>
      </c>
      <c r="O484" s="14" t="str">
        <f>IFERROR(__xludf.DUMMYFUNCTION("split(J484,""*"")"),"Delivered")</f>
        <v>Delivered</v>
      </c>
      <c r="P484" s="14" t="str">
        <f>IFERROR(__xludf.DUMMYFUNCTION("""COMPUTED_VALUE"""),"Quality of Items: Perfect condition")</f>
        <v>Quality of Items: Perfect condition</v>
      </c>
      <c r="Q484" s="14" t="str">
        <f>IFERROR(__xludf.DUMMYFUNCTION("split(P484,"":"")"),"Quality of Items")</f>
        <v>Quality of Items</v>
      </c>
      <c r="R484" s="14" t="str">
        <f>IFERROR(__xludf.DUMMYFUNCTION("""COMPUTED_VALUE""")," Perfect condition")</f>
        <v> Perfect condition</v>
      </c>
      <c r="S484" s="14" t="str">
        <f t="shared" ref="S484:U484" si="971">trim(B484)</f>
        <v>ord_10475</v>
      </c>
      <c r="T484" s="14" t="str">
        <f t="shared" si="971"/>
        <v>Leena Das</v>
      </c>
      <c r="U484" s="14" t="str">
        <f t="shared" si="971"/>
        <v>Andheri</v>
      </c>
      <c r="V484" s="14" t="str">
        <f t="shared" si="4"/>
        <v>Papaya</v>
      </c>
      <c r="W484" s="14">
        <f t="shared" si="5"/>
        <v>2</v>
      </c>
      <c r="X484" s="14" t="str">
        <f t="shared" si="6"/>
        <v>Sita T</v>
      </c>
      <c r="Y484" s="15">
        <f t="shared" si="7"/>
        <v>45142</v>
      </c>
      <c r="Z484" s="14" t="str">
        <f t="shared" si="8"/>
        <v>COD</v>
      </c>
      <c r="AA484" s="14" t="str">
        <f t="shared" si="9"/>
        <v>Delivered</v>
      </c>
      <c r="AB484" s="14" t="str">
        <f t="shared" ref="AB484:AC484" si="972">trim(Q484)</f>
        <v>Quality of Items</v>
      </c>
      <c r="AC484" s="14" t="str">
        <f t="shared" si="972"/>
        <v>Perfect condition</v>
      </c>
      <c r="AD484" s="8"/>
    </row>
    <row r="485">
      <c r="A485" s="14" t="str">
        <f>IFERROR(__xludf.DUMMYFUNCTION("""COMPUTED_VALUE"""),"//ord_10476//Sana Malik//Powai//Tomato+3*Sita T/11/28/2023//Online Payment//Delivered*Packaging: Secure and intact")</f>
        <v>//ord_10476//Sana Malik//Powai//Tomato+3*Sita T/11/28/2023//Online Payment//Delivered*Packaging: Secure and intact</v>
      </c>
      <c r="B485" s="14" t="str">
        <f>IFERROR(__xludf.DUMMYFUNCTION("split(A485,""//"")"),"ord_10476")</f>
        <v>ord_10476</v>
      </c>
      <c r="C485" s="14" t="str">
        <f>IFERROR(__xludf.DUMMYFUNCTION("""COMPUTED_VALUE"""),"Sana Malik")</f>
        <v>Sana Malik</v>
      </c>
      <c r="D485" s="14" t="str">
        <f>IFERROR(__xludf.DUMMYFUNCTION("""COMPUTED_VALUE"""),"Powai")</f>
        <v>Powai</v>
      </c>
      <c r="E485" s="14" t="str">
        <f>IFERROR(__xludf.DUMMYFUNCTION("""COMPUTED_VALUE"""),"Tomato+3*Sita T")</f>
        <v>Tomato+3*Sita T</v>
      </c>
      <c r="F485" s="14">
        <f>IFERROR(__xludf.DUMMYFUNCTION("""COMPUTED_VALUE"""),11.0)</f>
        <v>11</v>
      </c>
      <c r="G485" s="14">
        <f>IFERROR(__xludf.DUMMYFUNCTION("""COMPUTED_VALUE"""),28.0)</f>
        <v>28</v>
      </c>
      <c r="H485" s="14">
        <f>IFERROR(__xludf.DUMMYFUNCTION("""COMPUTED_VALUE"""),2023.0)</f>
        <v>2023</v>
      </c>
      <c r="I485" s="14" t="str">
        <f>IFERROR(__xludf.DUMMYFUNCTION("""COMPUTED_VALUE"""),"Online Payment")</f>
        <v>Online Payment</v>
      </c>
      <c r="J485" s="14" t="str">
        <f>IFERROR(__xludf.DUMMYFUNCTION("""COMPUTED_VALUE"""),"Delivered*Packaging: Secure and intact")</f>
        <v>Delivered*Packaging: Secure and intact</v>
      </c>
      <c r="K485" s="14" t="str">
        <f>IFERROR(__xludf.DUMMYFUNCTION("split(E485,""+"")"),"Tomato")</f>
        <v>Tomato</v>
      </c>
      <c r="L485" s="14" t="str">
        <f>IFERROR(__xludf.DUMMYFUNCTION("""COMPUTED_VALUE"""),"3*Sita T")</f>
        <v>3*Sita T</v>
      </c>
      <c r="M485" s="14">
        <f>IFERROR(__xludf.DUMMYFUNCTION("SPLIT(L485,""*"")"),3.0)</f>
        <v>3</v>
      </c>
      <c r="N485" s="14" t="str">
        <f>IFERROR(__xludf.DUMMYFUNCTION("""COMPUTED_VALUE"""),"Sita T")</f>
        <v>Sita T</v>
      </c>
      <c r="O485" s="14" t="str">
        <f>IFERROR(__xludf.DUMMYFUNCTION("split(J485,""*"")"),"Delivered")</f>
        <v>Delivered</v>
      </c>
      <c r="P485" s="14" t="str">
        <f>IFERROR(__xludf.DUMMYFUNCTION("""COMPUTED_VALUE"""),"Packaging: Secure and intact")</f>
        <v>Packaging: Secure and intact</v>
      </c>
      <c r="Q485" s="14" t="str">
        <f>IFERROR(__xludf.DUMMYFUNCTION("split(P485,"":"")"),"Packaging")</f>
        <v>Packaging</v>
      </c>
      <c r="R485" s="14" t="str">
        <f>IFERROR(__xludf.DUMMYFUNCTION("""COMPUTED_VALUE""")," Secure and intact")</f>
        <v> Secure and intact</v>
      </c>
      <c r="S485" s="14" t="str">
        <f t="shared" ref="S485:U485" si="973">trim(B485)</f>
        <v>ord_10476</v>
      </c>
      <c r="T485" s="14" t="str">
        <f t="shared" si="973"/>
        <v>Sana Malik</v>
      </c>
      <c r="U485" s="14" t="str">
        <f t="shared" si="973"/>
        <v>Powai</v>
      </c>
      <c r="V485" s="14" t="str">
        <f t="shared" si="4"/>
        <v>Tomato</v>
      </c>
      <c r="W485" s="14">
        <f t="shared" si="5"/>
        <v>3</v>
      </c>
      <c r="X485" s="14" t="str">
        <f t="shared" si="6"/>
        <v>Sita T</v>
      </c>
      <c r="Y485" s="15">
        <f t="shared" si="7"/>
        <v>45258</v>
      </c>
      <c r="Z485" s="14" t="str">
        <f t="shared" si="8"/>
        <v>Online Payment</v>
      </c>
      <c r="AA485" s="14" t="str">
        <f t="shared" si="9"/>
        <v>Delivered</v>
      </c>
      <c r="AB485" s="14" t="str">
        <f t="shared" ref="AB485:AC485" si="974">trim(Q485)</f>
        <v>Packaging</v>
      </c>
      <c r="AC485" s="14" t="str">
        <f t="shared" si="974"/>
        <v>Secure and intact</v>
      </c>
      <c r="AD485" s="8"/>
    </row>
    <row r="486">
      <c r="A486" s="14" t="str">
        <f>IFERROR(__xludf.DUMMYFUNCTION("""COMPUTED_VALUE"""),"//ord_10477//Diya Arora//Lower Parel//Juice+1*Venu R/4/12/2023//COD//Delivered*Satisfied with the Delivery: Timely and quality")</f>
        <v>//ord_10477//Diya Arora//Lower Parel//Juice+1*Venu R/4/12/2023//COD//Delivered*Satisfied with the Delivery: Timely and quality</v>
      </c>
      <c r="B486" s="14" t="str">
        <f>IFERROR(__xludf.DUMMYFUNCTION("split(A486,""//"")"),"ord_10477")</f>
        <v>ord_10477</v>
      </c>
      <c r="C486" s="14" t="str">
        <f>IFERROR(__xludf.DUMMYFUNCTION("""COMPUTED_VALUE"""),"Diya Arora")</f>
        <v>Diya Arora</v>
      </c>
      <c r="D486" s="14" t="str">
        <f>IFERROR(__xludf.DUMMYFUNCTION("""COMPUTED_VALUE"""),"Lower Parel")</f>
        <v>Lower Parel</v>
      </c>
      <c r="E486" s="14" t="str">
        <f>IFERROR(__xludf.DUMMYFUNCTION("""COMPUTED_VALUE"""),"Juice+1*Venu R")</f>
        <v>Juice+1*Venu R</v>
      </c>
      <c r="F486" s="14">
        <f>IFERROR(__xludf.DUMMYFUNCTION("""COMPUTED_VALUE"""),4.0)</f>
        <v>4</v>
      </c>
      <c r="G486" s="14">
        <f>IFERROR(__xludf.DUMMYFUNCTION("""COMPUTED_VALUE"""),12.0)</f>
        <v>12</v>
      </c>
      <c r="H486" s="14">
        <f>IFERROR(__xludf.DUMMYFUNCTION("""COMPUTED_VALUE"""),2023.0)</f>
        <v>2023</v>
      </c>
      <c r="I486" s="14" t="str">
        <f>IFERROR(__xludf.DUMMYFUNCTION("""COMPUTED_VALUE"""),"COD")</f>
        <v>COD</v>
      </c>
      <c r="J486" s="14" t="str">
        <f>IFERROR(__xludf.DUMMYFUNCTION("""COMPUTED_VALUE"""),"Delivered*Satisfied with the Delivery: Timely and quality")</f>
        <v>Delivered*Satisfied with the Delivery: Timely and quality</v>
      </c>
      <c r="K486" s="14" t="str">
        <f>IFERROR(__xludf.DUMMYFUNCTION("split(E486,""+"")"),"Juice")</f>
        <v>Juice</v>
      </c>
      <c r="L486" s="14" t="str">
        <f>IFERROR(__xludf.DUMMYFUNCTION("""COMPUTED_VALUE"""),"1*Venu R")</f>
        <v>1*Venu R</v>
      </c>
      <c r="M486" s="14">
        <f>IFERROR(__xludf.DUMMYFUNCTION("SPLIT(L486,""*"")"),1.0)</f>
        <v>1</v>
      </c>
      <c r="N486" s="14" t="str">
        <f>IFERROR(__xludf.DUMMYFUNCTION("""COMPUTED_VALUE"""),"Venu R")</f>
        <v>Venu R</v>
      </c>
      <c r="O486" s="14" t="str">
        <f>IFERROR(__xludf.DUMMYFUNCTION("split(J486,""*"")"),"Delivered")</f>
        <v>Delivered</v>
      </c>
      <c r="P486" s="14" t="str">
        <f>IFERROR(__xludf.DUMMYFUNCTION("""COMPUTED_VALUE"""),"Satisfied with the Delivery: Timely and quality")</f>
        <v>Satisfied with the Delivery: Timely and quality</v>
      </c>
      <c r="Q486" s="14" t="str">
        <f>IFERROR(__xludf.DUMMYFUNCTION("split(P486,"":"")"),"Satisfied with the Delivery")</f>
        <v>Satisfied with the Delivery</v>
      </c>
      <c r="R486" s="14" t="str">
        <f>IFERROR(__xludf.DUMMYFUNCTION("""COMPUTED_VALUE""")," Timely and quality")</f>
        <v> Timely and quality</v>
      </c>
      <c r="S486" s="14" t="str">
        <f t="shared" ref="S486:U486" si="975">trim(B486)</f>
        <v>ord_10477</v>
      </c>
      <c r="T486" s="14" t="str">
        <f t="shared" si="975"/>
        <v>Diya Arora</v>
      </c>
      <c r="U486" s="14" t="str">
        <f t="shared" si="975"/>
        <v>Lower Parel</v>
      </c>
      <c r="V486" s="14" t="str">
        <f t="shared" si="4"/>
        <v>Juice</v>
      </c>
      <c r="W486" s="14">
        <f t="shared" si="5"/>
        <v>1</v>
      </c>
      <c r="X486" s="14" t="str">
        <f t="shared" si="6"/>
        <v>Venu R</v>
      </c>
      <c r="Y486" s="15">
        <f t="shared" si="7"/>
        <v>45028</v>
      </c>
      <c r="Z486" s="14" t="str">
        <f t="shared" si="8"/>
        <v>COD</v>
      </c>
      <c r="AA486" s="14" t="str">
        <f t="shared" si="9"/>
        <v>Delivered</v>
      </c>
      <c r="AB486" s="14" t="str">
        <f t="shared" ref="AB486:AC486" si="976">trim(Q486)</f>
        <v>Satisfied with the Delivery</v>
      </c>
      <c r="AC486" s="14" t="str">
        <f t="shared" si="976"/>
        <v>Timely and quality</v>
      </c>
      <c r="AD486" s="8"/>
    </row>
    <row r="487">
      <c r="A487" s="14" t="str">
        <f>IFERROR(__xludf.DUMMYFUNCTION("""COMPUTED_VALUE"""),"//ord_10478//Anaya Rao//Colaba//Guava+2*Ram Gopal/4/21/2023//Credit Card//Delivered*Customer Service: Seamless and easy")</f>
        <v>//ord_10478//Anaya Rao//Colaba//Guava+2*Ram Gopal/4/21/2023//Credit Card//Delivered*Customer Service: Seamless and easy</v>
      </c>
      <c r="B487" s="14" t="str">
        <f>IFERROR(__xludf.DUMMYFUNCTION("split(A487,""//"")"),"ord_10478")</f>
        <v>ord_10478</v>
      </c>
      <c r="C487" s="14" t="str">
        <f>IFERROR(__xludf.DUMMYFUNCTION("""COMPUTED_VALUE"""),"Anaya Rao")</f>
        <v>Anaya Rao</v>
      </c>
      <c r="D487" s="14" t="str">
        <f>IFERROR(__xludf.DUMMYFUNCTION("""COMPUTED_VALUE"""),"Colaba")</f>
        <v>Colaba</v>
      </c>
      <c r="E487" s="14" t="str">
        <f>IFERROR(__xludf.DUMMYFUNCTION("""COMPUTED_VALUE"""),"Guava+2*Ram Gopal")</f>
        <v>Guava+2*Ram Gopal</v>
      </c>
      <c r="F487" s="14">
        <f>IFERROR(__xludf.DUMMYFUNCTION("""COMPUTED_VALUE"""),4.0)</f>
        <v>4</v>
      </c>
      <c r="G487" s="14">
        <f>IFERROR(__xludf.DUMMYFUNCTION("""COMPUTED_VALUE"""),21.0)</f>
        <v>21</v>
      </c>
      <c r="H487" s="14">
        <f>IFERROR(__xludf.DUMMYFUNCTION("""COMPUTED_VALUE"""),2023.0)</f>
        <v>2023</v>
      </c>
      <c r="I487" s="14" t="str">
        <f>IFERROR(__xludf.DUMMYFUNCTION("""COMPUTED_VALUE"""),"Credit Card")</f>
        <v>Credit Card</v>
      </c>
      <c r="J487" s="14" t="str">
        <f>IFERROR(__xludf.DUMMYFUNCTION("""COMPUTED_VALUE"""),"Delivered*Customer Service: Seamless and easy")</f>
        <v>Delivered*Customer Service: Seamless and easy</v>
      </c>
      <c r="K487" s="14" t="str">
        <f>IFERROR(__xludf.DUMMYFUNCTION("split(E487,""+"")"),"Guava")</f>
        <v>Guava</v>
      </c>
      <c r="L487" s="14" t="str">
        <f>IFERROR(__xludf.DUMMYFUNCTION("""COMPUTED_VALUE"""),"2*Ram Gopal")</f>
        <v>2*Ram Gopal</v>
      </c>
      <c r="M487" s="14">
        <f>IFERROR(__xludf.DUMMYFUNCTION("SPLIT(L487,""*"")"),2.0)</f>
        <v>2</v>
      </c>
      <c r="N487" s="14" t="str">
        <f>IFERROR(__xludf.DUMMYFUNCTION("""COMPUTED_VALUE"""),"Ram Gopal")</f>
        <v>Ram Gopal</v>
      </c>
      <c r="O487" s="14" t="str">
        <f>IFERROR(__xludf.DUMMYFUNCTION("split(J487,""*"")"),"Delivered")</f>
        <v>Delivered</v>
      </c>
      <c r="P487" s="14" t="str">
        <f>IFERROR(__xludf.DUMMYFUNCTION("""COMPUTED_VALUE"""),"Customer Service: Seamless and easy")</f>
        <v>Customer Service: Seamless and easy</v>
      </c>
      <c r="Q487" s="14" t="str">
        <f>IFERROR(__xludf.DUMMYFUNCTION("split(P487,"":"")"),"Customer Service")</f>
        <v>Customer Service</v>
      </c>
      <c r="R487" s="14" t="str">
        <f>IFERROR(__xludf.DUMMYFUNCTION("""COMPUTED_VALUE""")," Seamless and easy")</f>
        <v> Seamless and easy</v>
      </c>
      <c r="S487" s="14" t="str">
        <f t="shared" ref="S487:U487" si="977">trim(B487)</f>
        <v>ord_10478</v>
      </c>
      <c r="T487" s="14" t="str">
        <f t="shared" si="977"/>
        <v>Anaya Rao</v>
      </c>
      <c r="U487" s="14" t="str">
        <f t="shared" si="977"/>
        <v>Colaba</v>
      </c>
      <c r="V487" s="14" t="str">
        <f t="shared" si="4"/>
        <v>Guava</v>
      </c>
      <c r="W487" s="14">
        <f t="shared" si="5"/>
        <v>2</v>
      </c>
      <c r="X487" s="14" t="str">
        <f t="shared" si="6"/>
        <v>Ram Gopal</v>
      </c>
      <c r="Y487" s="15">
        <f t="shared" si="7"/>
        <v>45037</v>
      </c>
      <c r="Z487" s="14" t="str">
        <f t="shared" si="8"/>
        <v>Credit Card</v>
      </c>
      <c r="AA487" s="14" t="str">
        <f t="shared" si="9"/>
        <v>Delivered</v>
      </c>
      <c r="AB487" s="14" t="str">
        <f t="shared" ref="AB487:AC487" si="978">trim(Q487)</f>
        <v>Customer Service</v>
      </c>
      <c r="AC487" s="14" t="str">
        <f t="shared" si="978"/>
        <v>Seamless and easy</v>
      </c>
      <c r="AD487" s="8"/>
    </row>
    <row r="488">
      <c r="A488" s="14" t="str">
        <f>IFERROR(__xludf.DUMMYFUNCTION("""COMPUTED_VALUE"""),"//ord_10479//Siya Reddy//Juhu//Guava+2*Not Assigned/12/8/2023//UPI//Cancelled*High Delivery Fees")</f>
        <v>//ord_10479//Siya Reddy//Juhu//Guava+2*Not Assigned/12/8/2023//UPI//Cancelled*High Delivery Fees</v>
      </c>
      <c r="B488" s="14" t="str">
        <f>IFERROR(__xludf.DUMMYFUNCTION("split(A488,""//"")"),"ord_10479")</f>
        <v>ord_10479</v>
      </c>
      <c r="C488" s="14" t="str">
        <f>IFERROR(__xludf.DUMMYFUNCTION("""COMPUTED_VALUE"""),"Siya Reddy")</f>
        <v>Siya Reddy</v>
      </c>
      <c r="D488" s="14" t="str">
        <f>IFERROR(__xludf.DUMMYFUNCTION("""COMPUTED_VALUE"""),"Juhu")</f>
        <v>Juhu</v>
      </c>
      <c r="E488" s="14" t="str">
        <f>IFERROR(__xludf.DUMMYFUNCTION("""COMPUTED_VALUE"""),"Guava+2*Not Assigned")</f>
        <v>Guava+2*Not Assigned</v>
      </c>
      <c r="F488" s="14">
        <f>IFERROR(__xludf.DUMMYFUNCTION("""COMPUTED_VALUE"""),12.0)</f>
        <v>12</v>
      </c>
      <c r="G488" s="14">
        <f>IFERROR(__xludf.DUMMYFUNCTION("""COMPUTED_VALUE"""),8.0)</f>
        <v>8</v>
      </c>
      <c r="H488" s="14">
        <f>IFERROR(__xludf.DUMMYFUNCTION("""COMPUTED_VALUE"""),2023.0)</f>
        <v>2023</v>
      </c>
      <c r="I488" s="14" t="str">
        <f>IFERROR(__xludf.DUMMYFUNCTION("""COMPUTED_VALUE"""),"UPI")</f>
        <v>UPI</v>
      </c>
      <c r="J488" s="14" t="str">
        <f>IFERROR(__xludf.DUMMYFUNCTION("""COMPUTED_VALUE"""),"Cancelled*High Delivery Fees")</f>
        <v>Cancelled*High Delivery Fees</v>
      </c>
      <c r="K488" s="14" t="str">
        <f>IFERROR(__xludf.DUMMYFUNCTION("split(E488,""+"")"),"Guava")</f>
        <v>Guava</v>
      </c>
      <c r="L488" s="14" t="str">
        <f>IFERROR(__xludf.DUMMYFUNCTION("""COMPUTED_VALUE"""),"2*Not Assigned")</f>
        <v>2*Not Assigned</v>
      </c>
      <c r="M488" s="14">
        <f>IFERROR(__xludf.DUMMYFUNCTION("SPLIT(L488,""*"")"),2.0)</f>
        <v>2</v>
      </c>
      <c r="N488" s="14" t="str">
        <f>IFERROR(__xludf.DUMMYFUNCTION("""COMPUTED_VALUE"""),"Not Assigned")</f>
        <v>Not Assigned</v>
      </c>
      <c r="O488" s="14" t="str">
        <f>IFERROR(__xludf.DUMMYFUNCTION("split(J488,""*"")"),"Cancelled")</f>
        <v>Cancelled</v>
      </c>
      <c r="P488" s="14" t="str">
        <f>IFERROR(__xludf.DUMMYFUNCTION("""COMPUTED_VALUE"""),"High Delivery Fees")</f>
        <v>High Delivery Fees</v>
      </c>
      <c r="Q488" s="14" t="str">
        <f>IFERROR(__xludf.DUMMYFUNCTION("split(P488,"":"")"),"High Delivery Fees")</f>
        <v>High Delivery Fees</v>
      </c>
      <c r="R488" s="14"/>
      <c r="S488" s="14" t="str">
        <f t="shared" ref="S488:U488" si="979">trim(B488)</f>
        <v>ord_10479</v>
      </c>
      <c r="T488" s="14" t="str">
        <f t="shared" si="979"/>
        <v>Siya Reddy</v>
      </c>
      <c r="U488" s="14" t="str">
        <f t="shared" si="979"/>
        <v>Juhu</v>
      </c>
      <c r="V488" s="14" t="str">
        <f t="shared" si="4"/>
        <v>Guava</v>
      </c>
      <c r="W488" s="14">
        <f t="shared" si="5"/>
        <v>2</v>
      </c>
      <c r="X488" s="14" t="str">
        <f t="shared" si="6"/>
        <v>Not Assigned</v>
      </c>
      <c r="Y488" s="15">
        <f t="shared" si="7"/>
        <v>45268</v>
      </c>
      <c r="Z488" s="14" t="str">
        <f t="shared" si="8"/>
        <v>UPI</v>
      </c>
      <c r="AA488" s="14" t="str">
        <f t="shared" si="9"/>
        <v>Cancelled</v>
      </c>
      <c r="AB488" s="14" t="str">
        <f t="shared" ref="AB488:AC488" si="980">trim(Q488)</f>
        <v>High Delivery Fees</v>
      </c>
      <c r="AC488" s="14" t="str">
        <f t="shared" si="980"/>
        <v/>
      </c>
      <c r="AD488" s="8"/>
    </row>
    <row r="489">
      <c r="A489" s="14" t="str">
        <f>IFERROR(__xludf.DUMMYFUNCTION("""COMPUTED_VALUE"""),"//ord_10480//Sanjay Nair//Dadar//Apple+2*Ramesh S/4/16/2023//UPI//Delivered*Delivery Experience: Quick and professional")</f>
        <v>//ord_10480//Sanjay Nair//Dadar//Apple+2*Ramesh S/4/16/2023//UPI//Delivered*Delivery Experience: Quick and professional</v>
      </c>
      <c r="B489" s="14" t="str">
        <f>IFERROR(__xludf.DUMMYFUNCTION("split(A489,""//"")"),"ord_10480")</f>
        <v>ord_10480</v>
      </c>
      <c r="C489" s="14" t="str">
        <f>IFERROR(__xludf.DUMMYFUNCTION("""COMPUTED_VALUE"""),"Sanjay Nair")</f>
        <v>Sanjay Nair</v>
      </c>
      <c r="D489" s="14" t="str">
        <f>IFERROR(__xludf.DUMMYFUNCTION("""COMPUTED_VALUE"""),"Dadar")</f>
        <v>Dadar</v>
      </c>
      <c r="E489" s="14" t="str">
        <f>IFERROR(__xludf.DUMMYFUNCTION("""COMPUTED_VALUE"""),"Apple+2*Ramesh S")</f>
        <v>Apple+2*Ramesh S</v>
      </c>
      <c r="F489" s="14">
        <f>IFERROR(__xludf.DUMMYFUNCTION("""COMPUTED_VALUE"""),4.0)</f>
        <v>4</v>
      </c>
      <c r="G489" s="14">
        <f>IFERROR(__xludf.DUMMYFUNCTION("""COMPUTED_VALUE"""),16.0)</f>
        <v>16</v>
      </c>
      <c r="H489" s="14">
        <f>IFERROR(__xludf.DUMMYFUNCTION("""COMPUTED_VALUE"""),2023.0)</f>
        <v>2023</v>
      </c>
      <c r="I489" s="14" t="str">
        <f>IFERROR(__xludf.DUMMYFUNCTION("""COMPUTED_VALUE"""),"UPI")</f>
        <v>UPI</v>
      </c>
      <c r="J489" s="14" t="str">
        <f>IFERROR(__xludf.DUMMYFUNCTION("""COMPUTED_VALUE"""),"Delivered*Delivery Experience: Quick and professional")</f>
        <v>Delivered*Delivery Experience: Quick and professional</v>
      </c>
      <c r="K489" s="14" t="str">
        <f>IFERROR(__xludf.DUMMYFUNCTION("split(E489,""+"")"),"Apple")</f>
        <v>Apple</v>
      </c>
      <c r="L489" s="14" t="str">
        <f>IFERROR(__xludf.DUMMYFUNCTION("""COMPUTED_VALUE"""),"2*Ramesh S")</f>
        <v>2*Ramesh S</v>
      </c>
      <c r="M489" s="14">
        <f>IFERROR(__xludf.DUMMYFUNCTION("SPLIT(L489,""*"")"),2.0)</f>
        <v>2</v>
      </c>
      <c r="N489" s="14" t="str">
        <f>IFERROR(__xludf.DUMMYFUNCTION("""COMPUTED_VALUE"""),"Ramesh S")</f>
        <v>Ramesh S</v>
      </c>
      <c r="O489" s="14" t="str">
        <f>IFERROR(__xludf.DUMMYFUNCTION("split(J489,""*"")"),"Delivered")</f>
        <v>Delivered</v>
      </c>
      <c r="P489" s="14" t="str">
        <f>IFERROR(__xludf.DUMMYFUNCTION("""COMPUTED_VALUE"""),"Delivery Experience: Quick and professional")</f>
        <v>Delivery Experience: Quick and professional</v>
      </c>
      <c r="Q489" s="14" t="str">
        <f>IFERROR(__xludf.DUMMYFUNCTION("split(P489,"":"")"),"Delivery Experience")</f>
        <v>Delivery Experience</v>
      </c>
      <c r="R489" s="14" t="str">
        <f>IFERROR(__xludf.DUMMYFUNCTION("""COMPUTED_VALUE""")," Quick and professional")</f>
        <v> Quick and professional</v>
      </c>
      <c r="S489" s="14" t="str">
        <f t="shared" ref="S489:U489" si="981">trim(B489)</f>
        <v>ord_10480</v>
      </c>
      <c r="T489" s="14" t="str">
        <f t="shared" si="981"/>
        <v>Sanjay Nair</v>
      </c>
      <c r="U489" s="14" t="str">
        <f t="shared" si="981"/>
        <v>Dadar</v>
      </c>
      <c r="V489" s="14" t="str">
        <f t="shared" si="4"/>
        <v>Apple</v>
      </c>
      <c r="W489" s="14">
        <f t="shared" si="5"/>
        <v>2</v>
      </c>
      <c r="X489" s="14" t="str">
        <f t="shared" si="6"/>
        <v>Ramesh S</v>
      </c>
      <c r="Y489" s="15">
        <f t="shared" si="7"/>
        <v>45032</v>
      </c>
      <c r="Z489" s="14" t="str">
        <f t="shared" si="8"/>
        <v>UPI</v>
      </c>
      <c r="AA489" s="14" t="str">
        <f t="shared" si="9"/>
        <v>Delivered</v>
      </c>
      <c r="AB489" s="14" t="str">
        <f t="shared" ref="AB489:AC489" si="982">trim(Q489)</f>
        <v>Delivery Experience</v>
      </c>
      <c r="AC489" s="14" t="str">
        <f t="shared" si="982"/>
        <v>Quick and professional</v>
      </c>
      <c r="AD489" s="8"/>
    </row>
    <row r="490">
      <c r="A490" s="14" t="str">
        <f>IFERROR(__xludf.DUMMYFUNCTION("""COMPUTED_VALUE"""),"//ord_10481//Anaya Rao//Malad//Potato+2*Not Assigned/8/6/2023//Credit Card//Cancelled*App Glitches: Inconsistent Data Display")</f>
        <v>//ord_10481//Anaya Rao//Malad//Potato+2*Not Assigned/8/6/2023//Credit Card//Cancelled*App Glitches: Inconsistent Data Display</v>
      </c>
      <c r="B490" s="14" t="str">
        <f>IFERROR(__xludf.DUMMYFUNCTION("split(A490,""//"")"),"ord_10481")</f>
        <v>ord_10481</v>
      </c>
      <c r="C490" s="14" t="str">
        <f>IFERROR(__xludf.DUMMYFUNCTION("""COMPUTED_VALUE"""),"Anaya Rao")</f>
        <v>Anaya Rao</v>
      </c>
      <c r="D490" s="14" t="str">
        <f>IFERROR(__xludf.DUMMYFUNCTION("""COMPUTED_VALUE"""),"Malad")</f>
        <v>Malad</v>
      </c>
      <c r="E490" s="14" t="str">
        <f>IFERROR(__xludf.DUMMYFUNCTION("""COMPUTED_VALUE"""),"Potato+2*Not Assigned")</f>
        <v>Potato+2*Not Assigned</v>
      </c>
      <c r="F490" s="14">
        <f>IFERROR(__xludf.DUMMYFUNCTION("""COMPUTED_VALUE"""),8.0)</f>
        <v>8</v>
      </c>
      <c r="G490" s="14">
        <f>IFERROR(__xludf.DUMMYFUNCTION("""COMPUTED_VALUE"""),6.0)</f>
        <v>6</v>
      </c>
      <c r="H490" s="14">
        <f>IFERROR(__xludf.DUMMYFUNCTION("""COMPUTED_VALUE"""),2023.0)</f>
        <v>2023</v>
      </c>
      <c r="I490" s="14" t="str">
        <f>IFERROR(__xludf.DUMMYFUNCTION("""COMPUTED_VALUE"""),"Credit Card")</f>
        <v>Credit Card</v>
      </c>
      <c r="J490" s="14" t="str">
        <f>IFERROR(__xludf.DUMMYFUNCTION("""COMPUTED_VALUE"""),"Cancelled*App Glitches: Inconsistent Data Display")</f>
        <v>Cancelled*App Glitches: Inconsistent Data Display</v>
      </c>
      <c r="K490" s="14" t="str">
        <f>IFERROR(__xludf.DUMMYFUNCTION("split(E490,""+"")"),"Potato")</f>
        <v>Potato</v>
      </c>
      <c r="L490" s="14" t="str">
        <f>IFERROR(__xludf.DUMMYFUNCTION("""COMPUTED_VALUE"""),"2*Not Assigned")</f>
        <v>2*Not Assigned</v>
      </c>
      <c r="M490" s="14">
        <f>IFERROR(__xludf.DUMMYFUNCTION("SPLIT(L490,""*"")"),2.0)</f>
        <v>2</v>
      </c>
      <c r="N490" s="14" t="str">
        <f>IFERROR(__xludf.DUMMYFUNCTION("""COMPUTED_VALUE"""),"Not Assigned")</f>
        <v>Not Assigned</v>
      </c>
      <c r="O490" s="14" t="str">
        <f>IFERROR(__xludf.DUMMYFUNCTION("split(J490,""*"")"),"Cancelled")</f>
        <v>Cancelled</v>
      </c>
      <c r="P490" s="14" t="str">
        <f>IFERROR(__xludf.DUMMYFUNCTION("""COMPUTED_VALUE"""),"App Glitches: Inconsistent Data Display")</f>
        <v>App Glitches: Inconsistent Data Display</v>
      </c>
      <c r="Q490" s="14" t="str">
        <f>IFERROR(__xludf.DUMMYFUNCTION("split(P490,"":"")"),"App Glitches")</f>
        <v>App Glitches</v>
      </c>
      <c r="R490" s="14" t="str">
        <f>IFERROR(__xludf.DUMMYFUNCTION("""COMPUTED_VALUE""")," Inconsistent Data Display")</f>
        <v> Inconsistent Data Display</v>
      </c>
      <c r="S490" s="14" t="str">
        <f t="shared" ref="S490:U490" si="983">trim(B490)</f>
        <v>ord_10481</v>
      </c>
      <c r="T490" s="14" t="str">
        <f t="shared" si="983"/>
        <v>Anaya Rao</v>
      </c>
      <c r="U490" s="14" t="str">
        <f t="shared" si="983"/>
        <v>Malad</v>
      </c>
      <c r="V490" s="14" t="str">
        <f t="shared" si="4"/>
        <v>Potato</v>
      </c>
      <c r="W490" s="14">
        <f t="shared" si="5"/>
        <v>2</v>
      </c>
      <c r="X490" s="14" t="str">
        <f t="shared" si="6"/>
        <v>Not Assigned</v>
      </c>
      <c r="Y490" s="15">
        <f t="shared" si="7"/>
        <v>45144</v>
      </c>
      <c r="Z490" s="14" t="str">
        <f t="shared" si="8"/>
        <v>Credit Card</v>
      </c>
      <c r="AA490" s="14" t="str">
        <f t="shared" si="9"/>
        <v>Cancelled</v>
      </c>
      <c r="AB490" s="14" t="str">
        <f t="shared" ref="AB490:AC490" si="984">trim(Q490)</f>
        <v>App Glitches</v>
      </c>
      <c r="AC490" s="14" t="str">
        <f t="shared" si="984"/>
        <v>Inconsistent Data Display</v>
      </c>
      <c r="AD490" s="8"/>
    </row>
    <row r="491">
      <c r="A491" s="14" t="str">
        <f>IFERROR(__xludf.DUMMYFUNCTION("""COMPUTED_VALUE"""),"//ord_10482//Pallavi Ghosh//Bandra//Papaya+1*Shine Thomas/4/24/2023//COD//Delivered*Convenience: Easy tracking")</f>
        <v>//ord_10482//Pallavi Ghosh//Bandra//Papaya+1*Shine Thomas/4/24/2023//COD//Delivered*Convenience: Easy tracking</v>
      </c>
      <c r="B491" s="14" t="str">
        <f>IFERROR(__xludf.DUMMYFUNCTION("split(A491,""//"")"),"ord_10482")</f>
        <v>ord_10482</v>
      </c>
      <c r="C491" s="14" t="str">
        <f>IFERROR(__xludf.DUMMYFUNCTION("""COMPUTED_VALUE"""),"Pallavi Ghosh")</f>
        <v>Pallavi Ghosh</v>
      </c>
      <c r="D491" s="14" t="str">
        <f>IFERROR(__xludf.DUMMYFUNCTION("""COMPUTED_VALUE"""),"Bandra")</f>
        <v>Bandra</v>
      </c>
      <c r="E491" s="14" t="str">
        <f>IFERROR(__xludf.DUMMYFUNCTION("""COMPUTED_VALUE"""),"Papaya+1*Shine Thomas")</f>
        <v>Papaya+1*Shine Thomas</v>
      </c>
      <c r="F491" s="14">
        <f>IFERROR(__xludf.DUMMYFUNCTION("""COMPUTED_VALUE"""),4.0)</f>
        <v>4</v>
      </c>
      <c r="G491" s="14">
        <f>IFERROR(__xludf.DUMMYFUNCTION("""COMPUTED_VALUE"""),24.0)</f>
        <v>24</v>
      </c>
      <c r="H491" s="14">
        <f>IFERROR(__xludf.DUMMYFUNCTION("""COMPUTED_VALUE"""),2023.0)</f>
        <v>2023</v>
      </c>
      <c r="I491" s="14" t="str">
        <f>IFERROR(__xludf.DUMMYFUNCTION("""COMPUTED_VALUE"""),"COD")</f>
        <v>COD</v>
      </c>
      <c r="J491" s="14" t="str">
        <f>IFERROR(__xludf.DUMMYFUNCTION("""COMPUTED_VALUE"""),"Delivered*Convenience: Easy tracking")</f>
        <v>Delivered*Convenience: Easy tracking</v>
      </c>
      <c r="K491" s="14" t="str">
        <f>IFERROR(__xludf.DUMMYFUNCTION("split(E491,""+"")"),"Papaya")</f>
        <v>Papaya</v>
      </c>
      <c r="L491" s="14" t="str">
        <f>IFERROR(__xludf.DUMMYFUNCTION("""COMPUTED_VALUE"""),"1*Shine Thomas")</f>
        <v>1*Shine Thomas</v>
      </c>
      <c r="M491" s="14">
        <f>IFERROR(__xludf.DUMMYFUNCTION("SPLIT(L491,""*"")"),1.0)</f>
        <v>1</v>
      </c>
      <c r="N491" s="14" t="str">
        <f>IFERROR(__xludf.DUMMYFUNCTION("""COMPUTED_VALUE"""),"Shine Thomas")</f>
        <v>Shine Thomas</v>
      </c>
      <c r="O491" s="14" t="str">
        <f>IFERROR(__xludf.DUMMYFUNCTION("split(J491,""*"")"),"Delivered")</f>
        <v>Delivered</v>
      </c>
      <c r="P491" s="14" t="str">
        <f>IFERROR(__xludf.DUMMYFUNCTION("""COMPUTED_VALUE"""),"Convenience: Easy tracking")</f>
        <v>Convenience: Easy tracking</v>
      </c>
      <c r="Q491" s="14" t="str">
        <f>IFERROR(__xludf.DUMMYFUNCTION("split(P491,"":"")"),"Convenience")</f>
        <v>Convenience</v>
      </c>
      <c r="R491" s="14" t="str">
        <f>IFERROR(__xludf.DUMMYFUNCTION("""COMPUTED_VALUE""")," Easy tracking")</f>
        <v> Easy tracking</v>
      </c>
      <c r="S491" s="14" t="str">
        <f t="shared" ref="S491:U491" si="985">trim(B491)</f>
        <v>ord_10482</v>
      </c>
      <c r="T491" s="14" t="str">
        <f t="shared" si="985"/>
        <v>Pallavi Ghosh</v>
      </c>
      <c r="U491" s="14" t="str">
        <f t="shared" si="985"/>
        <v>Bandra</v>
      </c>
      <c r="V491" s="14" t="str">
        <f t="shared" si="4"/>
        <v>Papaya</v>
      </c>
      <c r="W491" s="14">
        <f t="shared" si="5"/>
        <v>1</v>
      </c>
      <c r="X491" s="14" t="str">
        <f t="shared" si="6"/>
        <v>Shine Thomas</v>
      </c>
      <c r="Y491" s="15">
        <f t="shared" si="7"/>
        <v>45040</v>
      </c>
      <c r="Z491" s="14" t="str">
        <f t="shared" si="8"/>
        <v>COD</v>
      </c>
      <c r="AA491" s="14" t="str">
        <f t="shared" si="9"/>
        <v>Delivered</v>
      </c>
      <c r="AB491" s="14" t="str">
        <f t="shared" ref="AB491:AC491" si="986">trim(Q491)</f>
        <v>Convenience</v>
      </c>
      <c r="AC491" s="14" t="str">
        <f t="shared" si="986"/>
        <v>Easy tracking</v>
      </c>
      <c r="AD491" s="8"/>
    </row>
    <row r="492">
      <c r="A492" s="14" t="str">
        <f>IFERROR(__xludf.DUMMYFUNCTION("""COMPUTED_VALUE"""),"//ord_10483//Aarav Mehta//Andheri//Veg Puff+3*Vivek Kumar/4/10/2023//UPI//Delivered*Overall Satisfaction: Great service will order again")</f>
        <v>//ord_10483//Aarav Mehta//Andheri//Veg Puff+3*Vivek Kumar/4/10/2023//UPI//Delivered*Overall Satisfaction: Great service will order again</v>
      </c>
      <c r="B492" s="14" t="str">
        <f>IFERROR(__xludf.DUMMYFUNCTION("split(A492,""//"")"),"ord_10483")</f>
        <v>ord_10483</v>
      </c>
      <c r="C492" s="14" t="str">
        <f>IFERROR(__xludf.DUMMYFUNCTION("""COMPUTED_VALUE"""),"Aarav Mehta")</f>
        <v>Aarav Mehta</v>
      </c>
      <c r="D492" s="14" t="str">
        <f>IFERROR(__xludf.DUMMYFUNCTION("""COMPUTED_VALUE"""),"Andheri")</f>
        <v>Andheri</v>
      </c>
      <c r="E492" s="14" t="str">
        <f>IFERROR(__xludf.DUMMYFUNCTION("""COMPUTED_VALUE"""),"Veg Puff+3*Vivek Kumar")</f>
        <v>Veg Puff+3*Vivek Kumar</v>
      </c>
      <c r="F492" s="14">
        <f>IFERROR(__xludf.DUMMYFUNCTION("""COMPUTED_VALUE"""),4.0)</f>
        <v>4</v>
      </c>
      <c r="G492" s="14">
        <f>IFERROR(__xludf.DUMMYFUNCTION("""COMPUTED_VALUE"""),10.0)</f>
        <v>10</v>
      </c>
      <c r="H492" s="14">
        <f>IFERROR(__xludf.DUMMYFUNCTION("""COMPUTED_VALUE"""),2023.0)</f>
        <v>2023</v>
      </c>
      <c r="I492" s="14" t="str">
        <f>IFERROR(__xludf.DUMMYFUNCTION("""COMPUTED_VALUE"""),"UPI")</f>
        <v>UPI</v>
      </c>
      <c r="J492" s="14" t="str">
        <f>IFERROR(__xludf.DUMMYFUNCTION("""COMPUTED_VALUE"""),"Delivered*Overall Satisfaction: Great service will order again")</f>
        <v>Delivered*Overall Satisfaction: Great service will order again</v>
      </c>
      <c r="K492" s="14" t="str">
        <f>IFERROR(__xludf.DUMMYFUNCTION("split(E492,""+"")"),"Veg Puff")</f>
        <v>Veg Puff</v>
      </c>
      <c r="L492" s="14" t="str">
        <f>IFERROR(__xludf.DUMMYFUNCTION("""COMPUTED_VALUE"""),"3*Vivek Kumar")</f>
        <v>3*Vivek Kumar</v>
      </c>
      <c r="M492" s="14">
        <f>IFERROR(__xludf.DUMMYFUNCTION("SPLIT(L492,""*"")"),3.0)</f>
        <v>3</v>
      </c>
      <c r="N492" s="14" t="str">
        <f>IFERROR(__xludf.DUMMYFUNCTION("""COMPUTED_VALUE"""),"Vivek Kumar")</f>
        <v>Vivek Kumar</v>
      </c>
      <c r="O492" s="14" t="str">
        <f>IFERROR(__xludf.DUMMYFUNCTION("split(J492,""*"")"),"Delivered")</f>
        <v>Delivered</v>
      </c>
      <c r="P492" s="14" t="str">
        <f>IFERROR(__xludf.DUMMYFUNCTION("""COMPUTED_VALUE"""),"Overall Satisfaction: Great service will order again")</f>
        <v>Overall Satisfaction: Great service will order again</v>
      </c>
      <c r="Q492" s="14" t="str">
        <f>IFERROR(__xludf.DUMMYFUNCTION("split(P492,"":"")"),"Overall Satisfaction")</f>
        <v>Overall Satisfaction</v>
      </c>
      <c r="R492" s="14" t="str">
        <f>IFERROR(__xludf.DUMMYFUNCTION("""COMPUTED_VALUE""")," Great service will order again")</f>
        <v> Great service will order again</v>
      </c>
      <c r="S492" s="14" t="str">
        <f t="shared" ref="S492:U492" si="987">trim(B492)</f>
        <v>ord_10483</v>
      </c>
      <c r="T492" s="14" t="str">
        <f t="shared" si="987"/>
        <v>Aarav Mehta</v>
      </c>
      <c r="U492" s="14" t="str">
        <f t="shared" si="987"/>
        <v>Andheri</v>
      </c>
      <c r="V492" s="14" t="str">
        <f t="shared" si="4"/>
        <v>Veg Puff</v>
      </c>
      <c r="W492" s="14">
        <f t="shared" si="5"/>
        <v>3</v>
      </c>
      <c r="X492" s="14" t="str">
        <f t="shared" si="6"/>
        <v>Vivek Kumar</v>
      </c>
      <c r="Y492" s="15">
        <f t="shared" si="7"/>
        <v>45026</v>
      </c>
      <c r="Z492" s="14" t="str">
        <f t="shared" si="8"/>
        <v>UPI</v>
      </c>
      <c r="AA492" s="14" t="str">
        <f t="shared" si="9"/>
        <v>Delivered</v>
      </c>
      <c r="AB492" s="14" t="str">
        <f t="shared" ref="AB492:AC492" si="988">trim(Q492)</f>
        <v>Overall Satisfaction</v>
      </c>
      <c r="AC492" s="14" t="str">
        <f t="shared" si="988"/>
        <v>Great service will order again</v>
      </c>
      <c r="AD492" s="8"/>
    </row>
    <row r="493">
      <c r="A493" s="14" t="str">
        <f>IFERROR(__xludf.DUMMYFUNCTION("""COMPUTED_VALUE"""),"//ord_10484//Mehul Thakkar//Malad//Onion+2*Not Assigned/6/9/2023//Credit Card//Cancelled*High Delivery Fees")</f>
        <v>//ord_10484//Mehul Thakkar//Malad//Onion+2*Not Assigned/6/9/2023//Credit Card//Cancelled*High Delivery Fees</v>
      </c>
      <c r="B493" s="14" t="str">
        <f>IFERROR(__xludf.DUMMYFUNCTION("split(A493,""//"")"),"ord_10484")</f>
        <v>ord_10484</v>
      </c>
      <c r="C493" s="14" t="str">
        <f>IFERROR(__xludf.DUMMYFUNCTION("""COMPUTED_VALUE"""),"Mehul Thakkar")</f>
        <v>Mehul Thakkar</v>
      </c>
      <c r="D493" s="14" t="str">
        <f>IFERROR(__xludf.DUMMYFUNCTION("""COMPUTED_VALUE"""),"Malad")</f>
        <v>Malad</v>
      </c>
      <c r="E493" s="14" t="str">
        <f>IFERROR(__xludf.DUMMYFUNCTION("""COMPUTED_VALUE"""),"Onion+2*Not Assigned")</f>
        <v>Onion+2*Not Assigned</v>
      </c>
      <c r="F493" s="14">
        <f>IFERROR(__xludf.DUMMYFUNCTION("""COMPUTED_VALUE"""),6.0)</f>
        <v>6</v>
      </c>
      <c r="G493" s="14">
        <f>IFERROR(__xludf.DUMMYFUNCTION("""COMPUTED_VALUE"""),9.0)</f>
        <v>9</v>
      </c>
      <c r="H493" s="14">
        <f>IFERROR(__xludf.DUMMYFUNCTION("""COMPUTED_VALUE"""),2023.0)</f>
        <v>2023</v>
      </c>
      <c r="I493" s="14" t="str">
        <f>IFERROR(__xludf.DUMMYFUNCTION("""COMPUTED_VALUE"""),"Credit Card")</f>
        <v>Credit Card</v>
      </c>
      <c r="J493" s="14" t="str">
        <f>IFERROR(__xludf.DUMMYFUNCTION("""COMPUTED_VALUE"""),"Cancelled*High Delivery Fees")</f>
        <v>Cancelled*High Delivery Fees</v>
      </c>
      <c r="K493" s="14" t="str">
        <f>IFERROR(__xludf.DUMMYFUNCTION("split(E493,""+"")"),"Onion")</f>
        <v>Onion</v>
      </c>
      <c r="L493" s="14" t="str">
        <f>IFERROR(__xludf.DUMMYFUNCTION("""COMPUTED_VALUE"""),"2*Not Assigned")</f>
        <v>2*Not Assigned</v>
      </c>
      <c r="M493" s="14">
        <f>IFERROR(__xludf.DUMMYFUNCTION("SPLIT(L493,""*"")"),2.0)</f>
        <v>2</v>
      </c>
      <c r="N493" s="14" t="str">
        <f>IFERROR(__xludf.DUMMYFUNCTION("""COMPUTED_VALUE"""),"Not Assigned")</f>
        <v>Not Assigned</v>
      </c>
      <c r="O493" s="14" t="str">
        <f>IFERROR(__xludf.DUMMYFUNCTION("split(J493,""*"")"),"Cancelled")</f>
        <v>Cancelled</v>
      </c>
      <c r="P493" s="14" t="str">
        <f>IFERROR(__xludf.DUMMYFUNCTION("""COMPUTED_VALUE"""),"High Delivery Fees")</f>
        <v>High Delivery Fees</v>
      </c>
      <c r="Q493" s="14" t="str">
        <f>IFERROR(__xludf.DUMMYFUNCTION("split(P493,"":"")"),"High Delivery Fees")</f>
        <v>High Delivery Fees</v>
      </c>
      <c r="R493" s="14"/>
      <c r="S493" s="14" t="str">
        <f t="shared" ref="S493:U493" si="989">trim(B493)</f>
        <v>ord_10484</v>
      </c>
      <c r="T493" s="14" t="str">
        <f t="shared" si="989"/>
        <v>Mehul Thakkar</v>
      </c>
      <c r="U493" s="14" t="str">
        <f t="shared" si="989"/>
        <v>Malad</v>
      </c>
      <c r="V493" s="14" t="str">
        <f t="shared" si="4"/>
        <v>Onion</v>
      </c>
      <c r="W493" s="14">
        <f t="shared" si="5"/>
        <v>2</v>
      </c>
      <c r="X493" s="14" t="str">
        <f t="shared" si="6"/>
        <v>Not Assigned</v>
      </c>
      <c r="Y493" s="15">
        <f t="shared" si="7"/>
        <v>45086</v>
      </c>
      <c r="Z493" s="14" t="str">
        <f t="shared" si="8"/>
        <v>Credit Card</v>
      </c>
      <c r="AA493" s="14" t="str">
        <f t="shared" si="9"/>
        <v>Cancelled</v>
      </c>
      <c r="AB493" s="14" t="str">
        <f t="shared" ref="AB493:AC493" si="990">trim(Q493)</f>
        <v>High Delivery Fees</v>
      </c>
      <c r="AC493" s="14" t="str">
        <f t="shared" si="990"/>
        <v/>
      </c>
      <c r="AD493" s="8"/>
    </row>
    <row r="494">
      <c r="A494" s="14" t="str">
        <f>IFERROR(__xludf.DUMMYFUNCTION("""COMPUTED_VALUE"""),"//ord_10485//Aarav Mehta//Andheri//Tomato+2*Shine Thomas/2/27/2023//COD//Delivered*On-time Delivery: Delivered on time")</f>
        <v>//ord_10485//Aarav Mehta//Andheri//Tomato+2*Shine Thomas/2/27/2023//COD//Delivered*On-time Delivery: Delivered on time</v>
      </c>
      <c r="B494" s="14" t="str">
        <f>IFERROR(__xludf.DUMMYFUNCTION("split(A494,""//"")"),"ord_10485")</f>
        <v>ord_10485</v>
      </c>
      <c r="C494" s="14" t="str">
        <f>IFERROR(__xludf.DUMMYFUNCTION("""COMPUTED_VALUE"""),"Aarav Mehta")</f>
        <v>Aarav Mehta</v>
      </c>
      <c r="D494" s="14" t="str">
        <f>IFERROR(__xludf.DUMMYFUNCTION("""COMPUTED_VALUE"""),"Andheri")</f>
        <v>Andheri</v>
      </c>
      <c r="E494" s="14" t="str">
        <f>IFERROR(__xludf.DUMMYFUNCTION("""COMPUTED_VALUE"""),"Tomato+2*Shine Thomas")</f>
        <v>Tomato+2*Shine Thomas</v>
      </c>
      <c r="F494" s="14">
        <f>IFERROR(__xludf.DUMMYFUNCTION("""COMPUTED_VALUE"""),2.0)</f>
        <v>2</v>
      </c>
      <c r="G494" s="14">
        <f>IFERROR(__xludf.DUMMYFUNCTION("""COMPUTED_VALUE"""),27.0)</f>
        <v>27</v>
      </c>
      <c r="H494" s="14">
        <f>IFERROR(__xludf.DUMMYFUNCTION("""COMPUTED_VALUE"""),2023.0)</f>
        <v>2023</v>
      </c>
      <c r="I494" s="14" t="str">
        <f>IFERROR(__xludf.DUMMYFUNCTION("""COMPUTED_VALUE"""),"COD")</f>
        <v>COD</v>
      </c>
      <c r="J494" s="14" t="str">
        <f>IFERROR(__xludf.DUMMYFUNCTION("""COMPUTED_VALUE"""),"Delivered*On-time Delivery: Delivered on time")</f>
        <v>Delivered*On-time Delivery: Delivered on time</v>
      </c>
      <c r="K494" s="14" t="str">
        <f>IFERROR(__xludf.DUMMYFUNCTION("split(E494,""+"")"),"Tomato")</f>
        <v>Tomato</v>
      </c>
      <c r="L494" s="14" t="str">
        <f>IFERROR(__xludf.DUMMYFUNCTION("""COMPUTED_VALUE"""),"2*Shine Thomas")</f>
        <v>2*Shine Thomas</v>
      </c>
      <c r="M494" s="14">
        <f>IFERROR(__xludf.DUMMYFUNCTION("SPLIT(L494,""*"")"),2.0)</f>
        <v>2</v>
      </c>
      <c r="N494" s="14" t="str">
        <f>IFERROR(__xludf.DUMMYFUNCTION("""COMPUTED_VALUE"""),"Shine Thomas")</f>
        <v>Shine Thomas</v>
      </c>
      <c r="O494" s="14" t="str">
        <f>IFERROR(__xludf.DUMMYFUNCTION("split(J494,""*"")"),"Delivered")</f>
        <v>Delivered</v>
      </c>
      <c r="P494" s="14" t="str">
        <f>IFERROR(__xludf.DUMMYFUNCTION("""COMPUTED_VALUE"""),"On-time Delivery: Delivered on time")</f>
        <v>On-time Delivery: Delivered on time</v>
      </c>
      <c r="Q494" s="14" t="str">
        <f>IFERROR(__xludf.DUMMYFUNCTION("split(P494,"":"")"),"On-time Delivery")</f>
        <v>On-time Delivery</v>
      </c>
      <c r="R494" s="14" t="str">
        <f>IFERROR(__xludf.DUMMYFUNCTION("""COMPUTED_VALUE""")," Delivered on time")</f>
        <v> Delivered on time</v>
      </c>
      <c r="S494" s="14" t="str">
        <f t="shared" ref="S494:U494" si="991">trim(B494)</f>
        <v>ord_10485</v>
      </c>
      <c r="T494" s="14" t="str">
        <f t="shared" si="991"/>
        <v>Aarav Mehta</v>
      </c>
      <c r="U494" s="14" t="str">
        <f t="shared" si="991"/>
        <v>Andheri</v>
      </c>
      <c r="V494" s="14" t="str">
        <f t="shared" si="4"/>
        <v>Tomato</v>
      </c>
      <c r="W494" s="14">
        <f t="shared" si="5"/>
        <v>2</v>
      </c>
      <c r="X494" s="14" t="str">
        <f t="shared" si="6"/>
        <v>Shine Thomas</v>
      </c>
      <c r="Y494" s="15">
        <f t="shared" si="7"/>
        <v>44984</v>
      </c>
      <c r="Z494" s="14" t="str">
        <f t="shared" si="8"/>
        <v>COD</v>
      </c>
      <c r="AA494" s="14" t="str">
        <f t="shared" si="9"/>
        <v>Delivered</v>
      </c>
      <c r="AB494" s="14" t="str">
        <f t="shared" ref="AB494:AC494" si="992">trim(Q494)</f>
        <v>On-time Delivery</v>
      </c>
      <c r="AC494" s="14" t="str">
        <f t="shared" si="992"/>
        <v>Delivered on time</v>
      </c>
      <c r="AD494" s="8"/>
    </row>
    <row r="495">
      <c r="A495" s="14" t="str">
        <f>IFERROR(__xludf.DUMMYFUNCTION("""COMPUTED_VALUE"""),"//ord_10486//Pallavi Ghosh//Bandra//Veg Puff+4*Sita T/12/18/2023//UPI//Delivered*Quality of Items: Perfect condition")</f>
        <v>//ord_10486//Pallavi Ghosh//Bandra//Veg Puff+4*Sita T/12/18/2023//UPI//Delivered*Quality of Items: Perfect condition</v>
      </c>
      <c r="B495" s="14" t="str">
        <f>IFERROR(__xludf.DUMMYFUNCTION("split(A495,""//"")"),"ord_10486")</f>
        <v>ord_10486</v>
      </c>
      <c r="C495" s="14" t="str">
        <f>IFERROR(__xludf.DUMMYFUNCTION("""COMPUTED_VALUE"""),"Pallavi Ghosh")</f>
        <v>Pallavi Ghosh</v>
      </c>
      <c r="D495" s="14" t="str">
        <f>IFERROR(__xludf.DUMMYFUNCTION("""COMPUTED_VALUE"""),"Bandra")</f>
        <v>Bandra</v>
      </c>
      <c r="E495" s="14" t="str">
        <f>IFERROR(__xludf.DUMMYFUNCTION("""COMPUTED_VALUE"""),"Veg Puff+4*Sita T")</f>
        <v>Veg Puff+4*Sita T</v>
      </c>
      <c r="F495" s="14">
        <f>IFERROR(__xludf.DUMMYFUNCTION("""COMPUTED_VALUE"""),12.0)</f>
        <v>12</v>
      </c>
      <c r="G495" s="14">
        <f>IFERROR(__xludf.DUMMYFUNCTION("""COMPUTED_VALUE"""),18.0)</f>
        <v>18</v>
      </c>
      <c r="H495" s="14">
        <f>IFERROR(__xludf.DUMMYFUNCTION("""COMPUTED_VALUE"""),2023.0)</f>
        <v>2023</v>
      </c>
      <c r="I495" s="14" t="str">
        <f>IFERROR(__xludf.DUMMYFUNCTION("""COMPUTED_VALUE"""),"UPI")</f>
        <v>UPI</v>
      </c>
      <c r="J495" s="14" t="str">
        <f>IFERROR(__xludf.DUMMYFUNCTION("""COMPUTED_VALUE"""),"Delivered*Quality of Items: Perfect condition")</f>
        <v>Delivered*Quality of Items: Perfect condition</v>
      </c>
      <c r="K495" s="14" t="str">
        <f>IFERROR(__xludf.DUMMYFUNCTION("split(E495,""+"")"),"Veg Puff")</f>
        <v>Veg Puff</v>
      </c>
      <c r="L495" s="14" t="str">
        <f>IFERROR(__xludf.DUMMYFUNCTION("""COMPUTED_VALUE"""),"4*Sita T")</f>
        <v>4*Sita T</v>
      </c>
      <c r="M495" s="14">
        <f>IFERROR(__xludf.DUMMYFUNCTION("SPLIT(L495,""*"")"),4.0)</f>
        <v>4</v>
      </c>
      <c r="N495" s="14" t="str">
        <f>IFERROR(__xludf.DUMMYFUNCTION("""COMPUTED_VALUE"""),"Sita T")</f>
        <v>Sita T</v>
      </c>
      <c r="O495" s="14" t="str">
        <f>IFERROR(__xludf.DUMMYFUNCTION("split(J495,""*"")"),"Delivered")</f>
        <v>Delivered</v>
      </c>
      <c r="P495" s="14" t="str">
        <f>IFERROR(__xludf.DUMMYFUNCTION("""COMPUTED_VALUE"""),"Quality of Items: Perfect condition")</f>
        <v>Quality of Items: Perfect condition</v>
      </c>
      <c r="Q495" s="14" t="str">
        <f>IFERROR(__xludf.DUMMYFUNCTION("split(P495,"":"")"),"Quality of Items")</f>
        <v>Quality of Items</v>
      </c>
      <c r="R495" s="14" t="str">
        <f>IFERROR(__xludf.DUMMYFUNCTION("""COMPUTED_VALUE""")," Perfect condition")</f>
        <v> Perfect condition</v>
      </c>
      <c r="S495" s="14" t="str">
        <f t="shared" ref="S495:U495" si="993">trim(B495)</f>
        <v>ord_10486</v>
      </c>
      <c r="T495" s="14" t="str">
        <f t="shared" si="993"/>
        <v>Pallavi Ghosh</v>
      </c>
      <c r="U495" s="14" t="str">
        <f t="shared" si="993"/>
        <v>Bandra</v>
      </c>
      <c r="V495" s="14" t="str">
        <f t="shared" si="4"/>
        <v>Veg Puff</v>
      </c>
      <c r="W495" s="14">
        <f t="shared" si="5"/>
        <v>4</v>
      </c>
      <c r="X495" s="14" t="str">
        <f t="shared" si="6"/>
        <v>Sita T</v>
      </c>
      <c r="Y495" s="15">
        <f t="shared" si="7"/>
        <v>45278</v>
      </c>
      <c r="Z495" s="14" t="str">
        <f t="shared" si="8"/>
        <v>UPI</v>
      </c>
      <c r="AA495" s="14" t="str">
        <f t="shared" si="9"/>
        <v>Delivered</v>
      </c>
      <c r="AB495" s="14" t="str">
        <f t="shared" ref="AB495:AC495" si="994">trim(Q495)</f>
        <v>Quality of Items</v>
      </c>
      <c r="AC495" s="14" t="str">
        <f t="shared" si="994"/>
        <v>Perfect condition</v>
      </c>
      <c r="AD495" s="8"/>
    </row>
    <row r="496">
      <c r="A496" s="14" t="str">
        <f>IFERROR(__xludf.DUMMYFUNCTION("""COMPUTED_VALUE"""),"//ord_10487//Mohit Malhotra//Lower Parel//Tomato+2*Vivek Kumar/2/11/2023//COD//Delivered*On-time Delivery: Delivered on time")</f>
        <v>//ord_10487//Mohit Malhotra//Lower Parel//Tomato+2*Vivek Kumar/2/11/2023//COD//Delivered*On-time Delivery: Delivered on time</v>
      </c>
      <c r="B496" s="14" t="str">
        <f>IFERROR(__xludf.DUMMYFUNCTION("split(A496,""//"")"),"ord_10487")</f>
        <v>ord_10487</v>
      </c>
      <c r="C496" s="14" t="str">
        <f>IFERROR(__xludf.DUMMYFUNCTION("""COMPUTED_VALUE"""),"Mohit Malhotra")</f>
        <v>Mohit Malhotra</v>
      </c>
      <c r="D496" s="14" t="str">
        <f>IFERROR(__xludf.DUMMYFUNCTION("""COMPUTED_VALUE"""),"Lower Parel")</f>
        <v>Lower Parel</v>
      </c>
      <c r="E496" s="14" t="str">
        <f>IFERROR(__xludf.DUMMYFUNCTION("""COMPUTED_VALUE"""),"Tomato+2*Vivek Kumar")</f>
        <v>Tomato+2*Vivek Kumar</v>
      </c>
      <c r="F496" s="14">
        <f>IFERROR(__xludf.DUMMYFUNCTION("""COMPUTED_VALUE"""),2.0)</f>
        <v>2</v>
      </c>
      <c r="G496" s="14">
        <f>IFERROR(__xludf.DUMMYFUNCTION("""COMPUTED_VALUE"""),11.0)</f>
        <v>11</v>
      </c>
      <c r="H496" s="14">
        <f>IFERROR(__xludf.DUMMYFUNCTION("""COMPUTED_VALUE"""),2023.0)</f>
        <v>2023</v>
      </c>
      <c r="I496" s="14" t="str">
        <f>IFERROR(__xludf.DUMMYFUNCTION("""COMPUTED_VALUE"""),"COD")</f>
        <v>COD</v>
      </c>
      <c r="J496" s="14" t="str">
        <f>IFERROR(__xludf.DUMMYFUNCTION("""COMPUTED_VALUE"""),"Delivered*On-time Delivery: Delivered on time")</f>
        <v>Delivered*On-time Delivery: Delivered on time</v>
      </c>
      <c r="K496" s="14" t="str">
        <f>IFERROR(__xludf.DUMMYFUNCTION("split(E496,""+"")"),"Tomato")</f>
        <v>Tomato</v>
      </c>
      <c r="L496" s="14" t="str">
        <f>IFERROR(__xludf.DUMMYFUNCTION("""COMPUTED_VALUE"""),"2*Vivek Kumar")</f>
        <v>2*Vivek Kumar</v>
      </c>
      <c r="M496" s="14">
        <f>IFERROR(__xludf.DUMMYFUNCTION("SPLIT(L496,""*"")"),2.0)</f>
        <v>2</v>
      </c>
      <c r="N496" s="14" t="str">
        <f>IFERROR(__xludf.DUMMYFUNCTION("""COMPUTED_VALUE"""),"Vivek Kumar")</f>
        <v>Vivek Kumar</v>
      </c>
      <c r="O496" s="14" t="str">
        <f>IFERROR(__xludf.DUMMYFUNCTION("split(J496,""*"")"),"Delivered")</f>
        <v>Delivered</v>
      </c>
      <c r="P496" s="14" t="str">
        <f>IFERROR(__xludf.DUMMYFUNCTION("""COMPUTED_VALUE"""),"On-time Delivery: Delivered on time")</f>
        <v>On-time Delivery: Delivered on time</v>
      </c>
      <c r="Q496" s="14" t="str">
        <f>IFERROR(__xludf.DUMMYFUNCTION("split(P496,"":"")"),"On-time Delivery")</f>
        <v>On-time Delivery</v>
      </c>
      <c r="R496" s="14" t="str">
        <f>IFERROR(__xludf.DUMMYFUNCTION("""COMPUTED_VALUE""")," Delivered on time")</f>
        <v> Delivered on time</v>
      </c>
      <c r="S496" s="14" t="str">
        <f t="shared" ref="S496:U496" si="995">trim(B496)</f>
        <v>ord_10487</v>
      </c>
      <c r="T496" s="14" t="str">
        <f t="shared" si="995"/>
        <v>Mohit Malhotra</v>
      </c>
      <c r="U496" s="14" t="str">
        <f t="shared" si="995"/>
        <v>Lower Parel</v>
      </c>
      <c r="V496" s="14" t="str">
        <f t="shared" si="4"/>
        <v>Tomato</v>
      </c>
      <c r="W496" s="14">
        <f t="shared" si="5"/>
        <v>2</v>
      </c>
      <c r="X496" s="14" t="str">
        <f t="shared" si="6"/>
        <v>Vivek Kumar</v>
      </c>
      <c r="Y496" s="15">
        <f t="shared" si="7"/>
        <v>44968</v>
      </c>
      <c r="Z496" s="14" t="str">
        <f t="shared" si="8"/>
        <v>COD</v>
      </c>
      <c r="AA496" s="14" t="str">
        <f t="shared" si="9"/>
        <v>Delivered</v>
      </c>
      <c r="AB496" s="14" t="str">
        <f t="shared" ref="AB496:AC496" si="996">trim(Q496)</f>
        <v>On-time Delivery</v>
      </c>
      <c r="AC496" s="14" t="str">
        <f t="shared" si="996"/>
        <v>Delivered on time</v>
      </c>
      <c r="AD496" s="8"/>
    </row>
    <row r="497">
      <c r="A497" s="14" t="str">
        <f>IFERROR(__xludf.DUMMYFUNCTION("""COMPUTED_VALUE"""),"//ord_10488//Riya Chakraborty//Juhu//Juice+9*Tanvi Jain/12/29/2023//Credit Card//Delivered*Quality of Items: Perfect condition")</f>
        <v>//ord_10488//Riya Chakraborty//Juhu//Juice+9*Tanvi Jain/12/29/2023//Credit Card//Delivered*Quality of Items: Perfect condition</v>
      </c>
      <c r="B497" s="14" t="str">
        <f>IFERROR(__xludf.DUMMYFUNCTION("split(A497,""//"")"),"ord_10488")</f>
        <v>ord_10488</v>
      </c>
      <c r="C497" s="14" t="str">
        <f>IFERROR(__xludf.DUMMYFUNCTION("""COMPUTED_VALUE"""),"Riya Chakraborty")</f>
        <v>Riya Chakraborty</v>
      </c>
      <c r="D497" s="14" t="str">
        <f>IFERROR(__xludf.DUMMYFUNCTION("""COMPUTED_VALUE"""),"Juhu")</f>
        <v>Juhu</v>
      </c>
      <c r="E497" s="14" t="str">
        <f>IFERROR(__xludf.DUMMYFUNCTION("""COMPUTED_VALUE"""),"Juice+9*Tanvi Jain")</f>
        <v>Juice+9*Tanvi Jain</v>
      </c>
      <c r="F497" s="14">
        <f>IFERROR(__xludf.DUMMYFUNCTION("""COMPUTED_VALUE"""),12.0)</f>
        <v>12</v>
      </c>
      <c r="G497" s="14">
        <f>IFERROR(__xludf.DUMMYFUNCTION("""COMPUTED_VALUE"""),29.0)</f>
        <v>29</v>
      </c>
      <c r="H497" s="14">
        <f>IFERROR(__xludf.DUMMYFUNCTION("""COMPUTED_VALUE"""),2023.0)</f>
        <v>2023</v>
      </c>
      <c r="I497" s="14" t="str">
        <f>IFERROR(__xludf.DUMMYFUNCTION("""COMPUTED_VALUE"""),"Credit Card")</f>
        <v>Credit Card</v>
      </c>
      <c r="J497" s="14" t="str">
        <f>IFERROR(__xludf.DUMMYFUNCTION("""COMPUTED_VALUE"""),"Delivered*Quality of Items: Perfect condition")</f>
        <v>Delivered*Quality of Items: Perfect condition</v>
      </c>
      <c r="K497" s="14" t="str">
        <f>IFERROR(__xludf.DUMMYFUNCTION("split(E497,""+"")"),"Juice")</f>
        <v>Juice</v>
      </c>
      <c r="L497" s="14" t="str">
        <f>IFERROR(__xludf.DUMMYFUNCTION("""COMPUTED_VALUE"""),"9*Tanvi Jain")</f>
        <v>9*Tanvi Jain</v>
      </c>
      <c r="M497" s="14">
        <f>IFERROR(__xludf.DUMMYFUNCTION("SPLIT(L497,""*"")"),9.0)</f>
        <v>9</v>
      </c>
      <c r="N497" s="14" t="str">
        <f>IFERROR(__xludf.DUMMYFUNCTION("""COMPUTED_VALUE"""),"Tanvi Jain")</f>
        <v>Tanvi Jain</v>
      </c>
      <c r="O497" s="14" t="str">
        <f>IFERROR(__xludf.DUMMYFUNCTION("split(J497,""*"")"),"Delivered")</f>
        <v>Delivered</v>
      </c>
      <c r="P497" s="14" t="str">
        <f>IFERROR(__xludf.DUMMYFUNCTION("""COMPUTED_VALUE"""),"Quality of Items: Perfect condition")</f>
        <v>Quality of Items: Perfect condition</v>
      </c>
      <c r="Q497" s="14" t="str">
        <f>IFERROR(__xludf.DUMMYFUNCTION("split(P497,"":"")"),"Quality of Items")</f>
        <v>Quality of Items</v>
      </c>
      <c r="R497" s="14" t="str">
        <f>IFERROR(__xludf.DUMMYFUNCTION("""COMPUTED_VALUE""")," Perfect condition")</f>
        <v> Perfect condition</v>
      </c>
      <c r="S497" s="14" t="str">
        <f t="shared" ref="S497:U497" si="997">trim(B497)</f>
        <v>ord_10488</v>
      </c>
      <c r="T497" s="14" t="str">
        <f t="shared" si="997"/>
        <v>Riya Chakraborty</v>
      </c>
      <c r="U497" s="14" t="str">
        <f t="shared" si="997"/>
        <v>Juhu</v>
      </c>
      <c r="V497" s="14" t="str">
        <f t="shared" si="4"/>
        <v>Juice</v>
      </c>
      <c r="W497" s="14">
        <f t="shared" si="5"/>
        <v>9</v>
      </c>
      <c r="X497" s="14" t="str">
        <f t="shared" si="6"/>
        <v>Tanvi Jain</v>
      </c>
      <c r="Y497" s="15">
        <f t="shared" si="7"/>
        <v>45289</v>
      </c>
      <c r="Z497" s="14" t="str">
        <f t="shared" si="8"/>
        <v>Credit Card</v>
      </c>
      <c r="AA497" s="14" t="str">
        <f t="shared" si="9"/>
        <v>Delivered</v>
      </c>
      <c r="AB497" s="14" t="str">
        <f t="shared" ref="AB497:AC497" si="998">trim(Q497)</f>
        <v>Quality of Items</v>
      </c>
      <c r="AC497" s="14" t="str">
        <f t="shared" si="998"/>
        <v>Perfect condition</v>
      </c>
      <c r="AD497" s="8"/>
    </row>
    <row r="498">
      <c r="A498" s="14" t="str">
        <f>IFERROR(__xludf.DUMMYFUNCTION("""COMPUTED_VALUE"""),"//ord_10489//Omkar Mishra//Powai//Icecream+3*Sandeep Kumar/2/18/2023//UPI//Delivered*Packaging: Secure and intact")</f>
        <v>//ord_10489//Omkar Mishra//Powai//Icecream+3*Sandeep Kumar/2/18/2023//UPI//Delivered*Packaging: Secure and intact</v>
      </c>
      <c r="B498" s="14" t="str">
        <f>IFERROR(__xludf.DUMMYFUNCTION("split(A498,""//"")"),"ord_10489")</f>
        <v>ord_10489</v>
      </c>
      <c r="C498" s="14" t="str">
        <f>IFERROR(__xludf.DUMMYFUNCTION("""COMPUTED_VALUE"""),"Omkar Mishra")</f>
        <v>Omkar Mishra</v>
      </c>
      <c r="D498" s="14" t="str">
        <f>IFERROR(__xludf.DUMMYFUNCTION("""COMPUTED_VALUE"""),"Powai")</f>
        <v>Powai</v>
      </c>
      <c r="E498" s="14" t="str">
        <f>IFERROR(__xludf.DUMMYFUNCTION("""COMPUTED_VALUE"""),"Icecream+3*Sandeep Kumar")</f>
        <v>Icecream+3*Sandeep Kumar</v>
      </c>
      <c r="F498" s="14">
        <f>IFERROR(__xludf.DUMMYFUNCTION("""COMPUTED_VALUE"""),2.0)</f>
        <v>2</v>
      </c>
      <c r="G498" s="14">
        <f>IFERROR(__xludf.DUMMYFUNCTION("""COMPUTED_VALUE"""),18.0)</f>
        <v>18</v>
      </c>
      <c r="H498" s="14">
        <f>IFERROR(__xludf.DUMMYFUNCTION("""COMPUTED_VALUE"""),2023.0)</f>
        <v>2023</v>
      </c>
      <c r="I498" s="14" t="str">
        <f>IFERROR(__xludf.DUMMYFUNCTION("""COMPUTED_VALUE"""),"UPI")</f>
        <v>UPI</v>
      </c>
      <c r="J498" s="14" t="str">
        <f>IFERROR(__xludf.DUMMYFUNCTION("""COMPUTED_VALUE"""),"Delivered*Packaging: Secure and intact")</f>
        <v>Delivered*Packaging: Secure and intact</v>
      </c>
      <c r="K498" s="14" t="str">
        <f>IFERROR(__xludf.DUMMYFUNCTION("split(E498,""+"")"),"Icecream")</f>
        <v>Icecream</v>
      </c>
      <c r="L498" s="14" t="str">
        <f>IFERROR(__xludf.DUMMYFUNCTION("""COMPUTED_VALUE"""),"3*Sandeep Kumar")</f>
        <v>3*Sandeep Kumar</v>
      </c>
      <c r="M498" s="14">
        <f>IFERROR(__xludf.DUMMYFUNCTION("SPLIT(L498,""*"")"),3.0)</f>
        <v>3</v>
      </c>
      <c r="N498" s="14" t="str">
        <f>IFERROR(__xludf.DUMMYFUNCTION("""COMPUTED_VALUE"""),"Sandeep Kumar")</f>
        <v>Sandeep Kumar</v>
      </c>
      <c r="O498" s="14" t="str">
        <f>IFERROR(__xludf.DUMMYFUNCTION("split(J498,""*"")"),"Delivered")</f>
        <v>Delivered</v>
      </c>
      <c r="P498" s="14" t="str">
        <f>IFERROR(__xludf.DUMMYFUNCTION("""COMPUTED_VALUE"""),"Packaging: Secure and intact")</f>
        <v>Packaging: Secure and intact</v>
      </c>
      <c r="Q498" s="14" t="str">
        <f>IFERROR(__xludf.DUMMYFUNCTION("split(P498,"":"")"),"Packaging")</f>
        <v>Packaging</v>
      </c>
      <c r="R498" s="14" t="str">
        <f>IFERROR(__xludf.DUMMYFUNCTION("""COMPUTED_VALUE""")," Secure and intact")</f>
        <v> Secure and intact</v>
      </c>
      <c r="S498" s="14" t="str">
        <f t="shared" ref="S498:U498" si="999">trim(B498)</f>
        <v>ord_10489</v>
      </c>
      <c r="T498" s="14" t="str">
        <f t="shared" si="999"/>
        <v>Omkar Mishra</v>
      </c>
      <c r="U498" s="14" t="str">
        <f t="shared" si="999"/>
        <v>Powai</v>
      </c>
      <c r="V498" s="14" t="str">
        <f t="shared" si="4"/>
        <v>Icecream</v>
      </c>
      <c r="W498" s="14">
        <f t="shared" si="5"/>
        <v>3</v>
      </c>
      <c r="X498" s="14" t="str">
        <f t="shared" si="6"/>
        <v>Sandeep Kumar</v>
      </c>
      <c r="Y498" s="15">
        <f t="shared" si="7"/>
        <v>44975</v>
      </c>
      <c r="Z498" s="14" t="str">
        <f t="shared" si="8"/>
        <v>UPI</v>
      </c>
      <c r="AA498" s="14" t="str">
        <f t="shared" si="9"/>
        <v>Delivered</v>
      </c>
      <c r="AB498" s="14" t="str">
        <f t="shared" ref="AB498:AC498" si="1000">trim(Q498)</f>
        <v>Packaging</v>
      </c>
      <c r="AC498" s="14" t="str">
        <f t="shared" si="1000"/>
        <v>Secure and intact</v>
      </c>
      <c r="AD498" s="8"/>
    </row>
    <row r="499">
      <c r="A499" s="14" t="str">
        <f>IFERROR(__xludf.DUMMYFUNCTION("""COMPUTED_VALUE"""),"//ord_10490//Pallavi Ghosh//Bandra//Juice+2*Priya Joshi/9/2/2023//Credit Card//Delivered*Satisfied with the Delivery: Timely and quality")</f>
        <v>//ord_10490//Pallavi Ghosh//Bandra//Juice+2*Priya Joshi/9/2/2023//Credit Card//Delivered*Satisfied with the Delivery: Timely and quality</v>
      </c>
      <c r="B499" s="14" t="str">
        <f>IFERROR(__xludf.DUMMYFUNCTION("split(A499,""//"")"),"ord_10490")</f>
        <v>ord_10490</v>
      </c>
      <c r="C499" s="14" t="str">
        <f>IFERROR(__xludf.DUMMYFUNCTION("""COMPUTED_VALUE"""),"Pallavi Ghosh")</f>
        <v>Pallavi Ghosh</v>
      </c>
      <c r="D499" s="14" t="str">
        <f>IFERROR(__xludf.DUMMYFUNCTION("""COMPUTED_VALUE"""),"Bandra")</f>
        <v>Bandra</v>
      </c>
      <c r="E499" s="14" t="str">
        <f>IFERROR(__xludf.DUMMYFUNCTION("""COMPUTED_VALUE"""),"Juice+2*Priya Joshi")</f>
        <v>Juice+2*Priya Joshi</v>
      </c>
      <c r="F499" s="14">
        <f>IFERROR(__xludf.DUMMYFUNCTION("""COMPUTED_VALUE"""),9.0)</f>
        <v>9</v>
      </c>
      <c r="G499" s="14">
        <f>IFERROR(__xludf.DUMMYFUNCTION("""COMPUTED_VALUE"""),2.0)</f>
        <v>2</v>
      </c>
      <c r="H499" s="14">
        <f>IFERROR(__xludf.DUMMYFUNCTION("""COMPUTED_VALUE"""),2023.0)</f>
        <v>2023</v>
      </c>
      <c r="I499" s="14" t="str">
        <f>IFERROR(__xludf.DUMMYFUNCTION("""COMPUTED_VALUE"""),"Credit Card")</f>
        <v>Credit Card</v>
      </c>
      <c r="J499" s="14" t="str">
        <f>IFERROR(__xludf.DUMMYFUNCTION("""COMPUTED_VALUE"""),"Delivered*Satisfied with the Delivery: Timely and quality")</f>
        <v>Delivered*Satisfied with the Delivery: Timely and quality</v>
      </c>
      <c r="K499" s="14" t="str">
        <f>IFERROR(__xludf.DUMMYFUNCTION("split(E499,""+"")"),"Juice")</f>
        <v>Juice</v>
      </c>
      <c r="L499" s="14" t="str">
        <f>IFERROR(__xludf.DUMMYFUNCTION("""COMPUTED_VALUE"""),"2*Priya Joshi")</f>
        <v>2*Priya Joshi</v>
      </c>
      <c r="M499" s="14">
        <f>IFERROR(__xludf.DUMMYFUNCTION("SPLIT(L499,""*"")"),2.0)</f>
        <v>2</v>
      </c>
      <c r="N499" s="14" t="str">
        <f>IFERROR(__xludf.DUMMYFUNCTION("""COMPUTED_VALUE"""),"Priya Joshi")</f>
        <v>Priya Joshi</v>
      </c>
      <c r="O499" s="14" t="str">
        <f>IFERROR(__xludf.DUMMYFUNCTION("split(J499,""*"")"),"Delivered")</f>
        <v>Delivered</v>
      </c>
      <c r="P499" s="14" t="str">
        <f>IFERROR(__xludf.DUMMYFUNCTION("""COMPUTED_VALUE"""),"Satisfied with the Delivery: Timely and quality")</f>
        <v>Satisfied with the Delivery: Timely and quality</v>
      </c>
      <c r="Q499" s="14" t="str">
        <f>IFERROR(__xludf.DUMMYFUNCTION("split(P499,"":"")"),"Satisfied with the Delivery")</f>
        <v>Satisfied with the Delivery</v>
      </c>
      <c r="R499" s="14" t="str">
        <f>IFERROR(__xludf.DUMMYFUNCTION("""COMPUTED_VALUE""")," Timely and quality")</f>
        <v> Timely and quality</v>
      </c>
      <c r="S499" s="14" t="str">
        <f t="shared" ref="S499:U499" si="1001">trim(B499)</f>
        <v>ord_10490</v>
      </c>
      <c r="T499" s="14" t="str">
        <f t="shared" si="1001"/>
        <v>Pallavi Ghosh</v>
      </c>
      <c r="U499" s="14" t="str">
        <f t="shared" si="1001"/>
        <v>Bandra</v>
      </c>
      <c r="V499" s="14" t="str">
        <f t="shared" si="4"/>
        <v>Juice</v>
      </c>
      <c r="W499" s="14">
        <f t="shared" si="5"/>
        <v>2</v>
      </c>
      <c r="X499" s="14" t="str">
        <f t="shared" si="6"/>
        <v>Priya Joshi</v>
      </c>
      <c r="Y499" s="15">
        <f t="shared" si="7"/>
        <v>45171</v>
      </c>
      <c r="Z499" s="14" t="str">
        <f t="shared" si="8"/>
        <v>Credit Card</v>
      </c>
      <c r="AA499" s="14" t="str">
        <f t="shared" si="9"/>
        <v>Delivered</v>
      </c>
      <c r="AB499" s="14" t="str">
        <f t="shared" ref="AB499:AC499" si="1002">trim(Q499)</f>
        <v>Satisfied with the Delivery</v>
      </c>
      <c r="AC499" s="14" t="str">
        <f t="shared" si="1002"/>
        <v>Timely and quality</v>
      </c>
      <c r="AD499" s="8"/>
    </row>
    <row r="500">
      <c r="A500" s="14" t="str">
        <f>IFERROR(__xludf.DUMMYFUNCTION("""COMPUTED_VALUE"""),"//ord_10491//Siya Reddy//Juhu//Rasmalai+1*Not Assigned/6/13/2023//Online Payment//Cancelled*App Glitches:Slow Loading Time")</f>
        <v>//ord_10491//Siya Reddy//Juhu//Rasmalai+1*Not Assigned/6/13/2023//Online Payment//Cancelled*App Glitches:Slow Loading Time</v>
      </c>
      <c r="B500" s="14" t="str">
        <f>IFERROR(__xludf.DUMMYFUNCTION("split(A500,""//"")"),"ord_10491")</f>
        <v>ord_10491</v>
      </c>
      <c r="C500" s="14" t="str">
        <f>IFERROR(__xludf.DUMMYFUNCTION("""COMPUTED_VALUE"""),"Siya Reddy")</f>
        <v>Siya Reddy</v>
      </c>
      <c r="D500" s="14" t="str">
        <f>IFERROR(__xludf.DUMMYFUNCTION("""COMPUTED_VALUE"""),"Juhu")</f>
        <v>Juhu</v>
      </c>
      <c r="E500" s="14" t="str">
        <f>IFERROR(__xludf.DUMMYFUNCTION("""COMPUTED_VALUE"""),"Rasmalai+1*Not Assigned")</f>
        <v>Rasmalai+1*Not Assigned</v>
      </c>
      <c r="F500" s="14">
        <f>IFERROR(__xludf.DUMMYFUNCTION("""COMPUTED_VALUE"""),6.0)</f>
        <v>6</v>
      </c>
      <c r="G500" s="14">
        <f>IFERROR(__xludf.DUMMYFUNCTION("""COMPUTED_VALUE"""),13.0)</f>
        <v>13</v>
      </c>
      <c r="H500" s="14">
        <f>IFERROR(__xludf.DUMMYFUNCTION("""COMPUTED_VALUE"""),2023.0)</f>
        <v>2023</v>
      </c>
      <c r="I500" s="14" t="str">
        <f>IFERROR(__xludf.DUMMYFUNCTION("""COMPUTED_VALUE"""),"Online Payment")</f>
        <v>Online Payment</v>
      </c>
      <c r="J500" s="14" t="str">
        <f>IFERROR(__xludf.DUMMYFUNCTION("""COMPUTED_VALUE"""),"Cancelled*App Glitches:Slow Loading Time")</f>
        <v>Cancelled*App Glitches:Slow Loading Time</v>
      </c>
      <c r="K500" s="14" t="str">
        <f>IFERROR(__xludf.DUMMYFUNCTION("split(E500,""+"")"),"Rasmalai")</f>
        <v>Rasmalai</v>
      </c>
      <c r="L500" s="14" t="str">
        <f>IFERROR(__xludf.DUMMYFUNCTION("""COMPUTED_VALUE"""),"1*Not Assigned")</f>
        <v>1*Not Assigned</v>
      </c>
      <c r="M500" s="14">
        <f>IFERROR(__xludf.DUMMYFUNCTION("SPLIT(L500,""*"")"),1.0)</f>
        <v>1</v>
      </c>
      <c r="N500" s="14" t="str">
        <f>IFERROR(__xludf.DUMMYFUNCTION("""COMPUTED_VALUE"""),"Not Assigned")</f>
        <v>Not Assigned</v>
      </c>
      <c r="O500" s="14" t="str">
        <f>IFERROR(__xludf.DUMMYFUNCTION("split(J500,""*"")"),"Cancelled")</f>
        <v>Cancelled</v>
      </c>
      <c r="P500" s="14" t="str">
        <f>IFERROR(__xludf.DUMMYFUNCTION("""COMPUTED_VALUE"""),"App Glitches:Slow Loading Time")</f>
        <v>App Glitches:Slow Loading Time</v>
      </c>
      <c r="Q500" s="14" t="str">
        <f>IFERROR(__xludf.DUMMYFUNCTION("split(P500,"":"")"),"App Glitches")</f>
        <v>App Glitches</v>
      </c>
      <c r="R500" s="14" t="str">
        <f>IFERROR(__xludf.DUMMYFUNCTION("""COMPUTED_VALUE"""),"Slow Loading Time")</f>
        <v>Slow Loading Time</v>
      </c>
      <c r="S500" s="14" t="str">
        <f t="shared" ref="S500:U500" si="1003">trim(B500)</f>
        <v>ord_10491</v>
      </c>
      <c r="T500" s="14" t="str">
        <f t="shared" si="1003"/>
        <v>Siya Reddy</v>
      </c>
      <c r="U500" s="14" t="str">
        <f t="shared" si="1003"/>
        <v>Juhu</v>
      </c>
      <c r="V500" s="14" t="str">
        <f t="shared" si="4"/>
        <v>Rasmalai</v>
      </c>
      <c r="W500" s="14">
        <f t="shared" si="5"/>
        <v>1</v>
      </c>
      <c r="X500" s="14" t="str">
        <f t="shared" si="6"/>
        <v>Not Assigned</v>
      </c>
      <c r="Y500" s="15">
        <f t="shared" si="7"/>
        <v>45090</v>
      </c>
      <c r="Z500" s="14" t="str">
        <f t="shared" si="8"/>
        <v>Online Payment</v>
      </c>
      <c r="AA500" s="14" t="str">
        <f t="shared" si="9"/>
        <v>Cancelled</v>
      </c>
      <c r="AB500" s="14" t="str">
        <f t="shared" ref="AB500:AC500" si="1004">trim(Q500)</f>
        <v>App Glitches</v>
      </c>
      <c r="AC500" s="14" t="str">
        <f t="shared" si="1004"/>
        <v>Slow Loading Time</v>
      </c>
      <c r="AD500" s="8"/>
    </row>
    <row r="501">
      <c r="A501" s="14" t="str">
        <f>IFERROR(__xludf.DUMMYFUNCTION("""COMPUTED_VALUE"""),"//ord_10492//Mehul Thakkar//Malad//Banana+1*Neha Shah/2/12/2023//Credit Card//Cancelled*Delayed Delivery:Bad Weather Conditions ")</f>
        <v>//ord_10492//Mehul Thakkar//Malad//Banana+1*Neha Shah/2/12/2023//Credit Card//Cancelled*Delayed Delivery:Bad Weather Conditions </v>
      </c>
      <c r="B501" s="14" t="str">
        <f>IFERROR(__xludf.DUMMYFUNCTION("split(A501,""//"")"),"ord_10492")</f>
        <v>ord_10492</v>
      </c>
      <c r="C501" s="14" t="str">
        <f>IFERROR(__xludf.DUMMYFUNCTION("""COMPUTED_VALUE"""),"Mehul Thakkar")</f>
        <v>Mehul Thakkar</v>
      </c>
      <c r="D501" s="14" t="str">
        <f>IFERROR(__xludf.DUMMYFUNCTION("""COMPUTED_VALUE"""),"Malad")</f>
        <v>Malad</v>
      </c>
      <c r="E501" s="14" t="str">
        <f>IFERROR(__xludf.DUMMYFUNCTION("""COMPUTED_VALUE"""),"Banana+1*Neha Shah")</f>
        <v>Banana+1*Neha Shah</v>
      </c>
      <c r="F501" s="14">
        <f>IFERROR(__xludf.DUMMYFUNCTION("""COMPUTED_VALUE"""),2.0)</f>
        <v>2</v>
      </c>
      <c r="G501" s="14">
        <f>IFERROR(__xludf.DUMMYFUNCTION("""COMPUTED_VALUE"""),12.0)</f>
        <v>12</v>
      </c>
      <c r="H501" s="14">
        <f>IFERROR(__xludf.DUMMYFUNCTION("""COMPUTED_VALUE"""),2023.0)</f>
        <v>2023</v>
      </c>
      <c r="I501" s="14" t="str">
        <f>IFERROR(__xludf.DUMMYFUNCTION("""COMPUTED_VALUE"""),"Credit Card")</f>
        <v>Credit Card</v>
      </c>
      <c r="J501" s="14" t="str">
        <f>IFERROR(__xludf.DUMMYFUNCTION("""COMPUTED_VALUE"""),"Cancelled*Delayed Delivery:Bad Weather Conditions ")</f>
        <v>Cancelled*Delayed Delivery:Bad Weather Conditions </v>
      </c>
      <c r="K501" s="14" t="str">
        <f>IFERROR(__xludf.DUMMYFUNCTION("split(E501,""+"")"),"Banana")</f>
        <v>Banana</v>
      </c>
      <c r="L501" s="14" t="str">
        <f>IFERROR(__xludf.DUMMYFUNCTION("""COMPUTED_VALUE"""),"1*Neha Shah")</f>
        <v>1*Neha Shah</v>
      </c>
      <c r="M501" s="14">
        <f>IFERROR(__xludf.DUMMYFUNCTION("SPLIT(L501,""*"")"),1.0)</f>
        <v>1</v>
      </c>
      <c r="N501" s="14" t="str">
        <f>IFERROR(__xludf.DUMMYFUNCTION("""COMPUTED_VALUE"""),"Neha Shah")</f>
        <v>Neha Shah</v>
      </c>
      <c r="O501" s="14" t="str">
        <f>IFERROR(__xludf.DUMMYFUNCTION("split(J501,""*"")"),"Cancelled")</f>
        <v>Cancelled</v>
      </c>
      <c r="P501" s="14" t="str">
        <f>IFERROR(__xludf.DUMMYFUNCTION("""COMPUTED_VALUE"""),"Delayed Delivery:Bad Weather Conditions ")</f>
        <v>Delayed Delivery:Bad Weather Conditions </v>
      </c>
      <c r="Q501" s="14" t="str">
        <f>IFERROR(__xludf.DUMMYFUNCTION("split(P501,"":"")"),"Delayed Delivery")</f>
        <v>Delayed Delivery</v>
      </c>
      <c r="R501" s="14" t="str">
        <f>IFERROR(__xludf.DUMMYFUNCTION("""COMPUTED_VALUE"""),"Bad Weather Conditions ")</f>
        <v>Bad Weather Conditions </v>
      </c>
      <c r="S501" s="14" t="str">
        <f t="shared" ref="S501:U501" si="1005">trim(B501)</f>
        <v>ord_10492</v>
      </c>
      <c r="T501" s="14" t="str">
        <f t="shared" si="1005"/>
        <v>Mehul Thakkar</v>
      </c>
      <c r="U501" s="14" t="str">
        <f t="shared" si="1005"/>
        <v>Malad</v>
      </c>
      <c r="V501" s="14" t="str">
        <f t="shared" si="4"/>
        <v>Banana</v>
      </c>
      <c r="W501" s="14">
        <f t="shared" si="5"/>
        <v>1</v>
      </c>
      <c r="X501" s="14" t="str">
        <f t="shared" si="6"/>
        <v>Neha Shah</v>
      </c>
      <c r="Y501" s="15">
        <f t="shared" si="7"/>
        <v>44969</v>
      </c>
      <c r="Z501" s="14" t="str">
        <f t="shared" si="8"/>
        <v>Credit Card</v>
      </c>
      <c r="AA501" s="14" t="str">
        <f t="shared" si="9"/>
        <v>Cancelled</v>
      </c>
      <c r="AB501" s="14" t="str">
        <f t="shared" ref="AB501:AC501" si="1006">trim(Q501)</f>
        <v>Delayed Delivery</v>
      </c>
      <c r="AC501" s="14" t="str">
        <f t="shared" si="1006"/>
        <v>Bad Weather Conditions</v>
      </c>
      <c r="AD501" s="8"/>
    </row>
    <row r="502">
      <c r="A502" s="14" t="str">
        <f>IFERROR(__xludf.DUMMYFUNCTION("""COMPUTED_VALUE"""),"//ord_10493//Siya Reddy//Juhu//Chicken Puff+1*Not Assigned/7/13/2023//UPI//Cancelled*App Glitches:Slow Loading Time")</f>
        <v>//ord_10493//Siya Reddy//Juhu//Chicken Puff+1*Not Assigned/7/13/2023//UPI//Cancelled*App Glitches:Slow Loading Time</v>
      </c>
      <c r="B502" s="14" t="str">
        <f>IFERROR(__xludf.DUMMYFUNCTION("split(A502,""//"")"),"ord_10493")</f>
        <v>ord_10493</v>
      </c>
      <c r="C502" s="14" t="str">
        <f>IFERROR(__xludf.DUMMYFUNCTION("""COMPUTED_VALUE"""),"Siya Reddy")</f>
        <v>Siya Reddy</v>
      </c>
      <c r="D502" s="14" t="str">
        <f>IFERROR(__xludf.DUMMYFUNCTION("""COMPUTED_VALUE"""),"Juhu")</f>
        <v>Juhu</v>
      </c>
      <c r="E502" s="14" t="str">
        <f>IFERROR(__xludf.DUMMYFUNCTION("""COMPUTED_VALUE"""),"Chicken Puff+1*Not Assigned")</f>
        <v>Chicken Puff+1*Not Assigned</v>
      </c>
      <c r="F502" s="14">
        <f>IFERROR(__xludf.DUMMYFUNCTION("""COMPUTED_VALUE"""),7.0)</f>
        <v>7</v>
      </c>
      <c r="G502" s="14">
        <f>IFERROR(__xludf.DUMMYFUNCTION("""COMPUTED_VALUE"""),13.0)</f>
        <v>13</v>
      </c>
      <c r="H502" s="14">
        <f>IFERROR(__xludf.DUMMYFUNCTION("""COMPUTED_VALUE"""),2023.0)</f>
        <v>2023</v>
      </c>
      <c r="I502" s="14" t="str">
        <f>IFERROR(__xludf.DUMMYFUNCTION("""COMPUTED_VALUE"""),"UPI")</f>
        <v>UPI</v>
      </c>
      <c r="J502" s="14" t="str">
        <f>IFERROR(__xludf.DUMMYFUNCTION("""COMPUTED_VALUE"""),"Cancelled*App Glitches:Slow Loading Time")</f>
        <v>Cancelled*App Glitches:Slow Loading Time</v>
      </c>
      <c r="K502" s="14" t="str">
        <f>IFERROR(__xludf.DUMMYFUNCTION("split(E502,""+"")"),"Chicken Puff")</f>
        <v>Chicken Puff</v>
      </c>
      <c r="L502" s="14" t="str">
        <f>IFERROR(__xludf.DUMMYFUNCTION("""COMPUTED_VALUE"""),"1*Not Assigned")</f>
        <v>1*Not Assigned</v>
      </c>
      <c r="M502" s="14">
        <f>IFERROR(__xludf.DUMMYFUNCTION("SPLIT(L502,""*"")"),1.0)</f>
        <v>1</v>
      </c>
      <c r="N502" s="14" t="str">
        <f>IFERROR(__xludf.DUMMYFUNCTION("""COMPUTED_VALUE"""),"Not Assigned")</f>
        <v>Not Assigned</v>
      </c>
      <c r="O502" s="14" t="str">
        <f>IFERROR(__xludf.DUMMYFUNCTION("split(J502,""*"")"),"Cancelled")</f>
        <v>Cancelled</v>
      </c>
      <c r="P502" s="14" t="str">
        <f>IFERROR(__xludf.DUMMYFUNCTION("""COMPUTED_VALUE"""),"App Glitches:Slow Loading Time")</f>
        <v>App Glitches:Slow Loading Time</v>
      </c>
      <c r="Q502" s="14" t="str">
        <f>IFERROR(__xludf.DUMMYFUNCTION("split(P502,"":"")"),"App Glitches")</f>
        <v>App Glitches</v>
      </c>
      <c r="R502" s="14" t="str">
        <f>IFERROR(__xludf.DUMMYFUNCTION("""COMPUTED_VALUE"""),"Slow Loading Time")</f>
        <v>Slow Loading Time</v>
      </c>
      <c r="S502" s="14" t="str">
        <f t="shared" ref="S502:U502" si="1007">trim(B502)</f>
        <v>ord_10493</v>
      </c>
      <c r="T502" s="14" t="str">
        <f t="shared" si="1007"/>
        <v>Siya Reddy</v>
      </c>
      <c r="U502" s="14" t="str">
        <f t="shared" si="1007"/>
        <v>Juhu</v>
      </c>
      <c r="V502" s="14" t="str">
        <f t="shared" si="4"/>
        <v>Chicken Puff</v>
      </c>
      <c r="W502" s="14">
        <f t="shared" si="5"/>
        <v>1</v>
      </c>
      <c r="X502" s="14" t="str">
        <f t="shared" si="6"/>
        <v>Not Assigned</v>
      </c>
      <c r="Y502" s="15">
        <f t="shared" si="7"/>
        <v>45120</v>
      </c>
      <c r="Z502" s="14" t="str">
        <f t="shared" si="8"/>
        <v>UPI</v>
      </c>
      <c r="AA502" s="14" t="str">
        <f t="shared" si="9"/>
        <v>Cancelled</v>
      </c>
      <c r="AB502" s="14" t="str">
        <f t="shared" ref="AB502:AC502" si="1008">trim(Q502)</f>
        <v>App Glitches</v>
      </c>
      <c r="AC502" s="14" t="str">
        <f t="shared" si="1008"/>
        <v>Slow Loading Time</v>
      </c>
      <c r="AD502" s="8"/>
    </row>
    <row r="503">
      <c r="A503" s="14" t="str">
        <f>IFERROR(__xludf.DUMMYFUNCTION("""COMPUTED_VALUE"""),"//ord_10494//Omkar Mishra//Powai//Cucumber+2*Sandeep Kumar/6/15/2023//Online Payment//Delivered*Customer Service: Seamless and easy")</f>
        <v>//ord_10494//Omkar Mishra//Powai//Cucumber+2*Sandeep Kumar/6/15/2023//Online Payment//Delivered*Customer Service: Seamless and easy</v>
      </c>
      <c r="B503" s="14" t="str">
        <f>IFERROR(__xludf.DUMMYFUNCTION("split(A503,""//"")"),"ord_10494")</f>
        <v>ord_10494</v>
      </c>
      <c r="C503" s="14" t="str">
        <f>IFERROR(__xludf.DUMMYFUNCTION("""COMPUTED_VALUE"""),"Omkar Mishra")</f>
        <v>Omkar Mishra</v>
      </c>
      <c r="D503" s="14" t="str">
        <f>IFERROR(__xludf.DUMMYFUNCTION("""COMPUTED_VALUE"""),"Powai")</f>
        <v>Powai</v>
      </c>
      <c r="E503" s="14" t="str">
        <f>IFERROR(__xludf.DUMMYFUNCTION("""COMPUTED_VALUE"""),"Cucumber+2*Sandeep Kumar")</f>
        <v>Cucumber+2*Sandeep Kumar</v>
      </c>
      <c r="F503" s="14">
        <f>IFERROR(__xludf.DUMMYFUNCTION("""COMPUTED_VALUE"""),6.0)</f>
        <v>6</v>
      </c>
      <c r="G503" s="14">
        <f>IFERROR(__xludf.DUMMYFUNCTION("""COMPUTED_VALUE"""),15.0)</f>
        <v>15</v>
      </c>
      <c r="H503" s="14">
        <f>IFERROR(__xludf.DUMMYFUNCTION("""COMPUTED_VALUE"""),2023.0)</f>
        <v>2023</v>
      </c>
      <c r="I503" s="14" t="str">
        <f>IFERROR(__xludf.DUMMYFUNCTION("""COMPUTED_VALUE"""),"Online Payment")</f>
        <v>Online Payment</v>
      </c>
      <c r="J503" s="14" t="str">
        <f>IFERROR(__xludf.DUMMYFUNCTION("""COMPUTED_VALUE"""),"Delivered*Customer Service: Seamless and easy")</f>
        <v>Delivered*Customer Service: Seamless and easy</v>
      </c>
      <c r="K503" s="14" t="str">
        <f>IFERROR(__xludf.DUMMYFUNCTION("split(E503,""+"")"),"Cucumber")</f>
        <v>Cucumber</v>
      </c>
      <c r="L503" s="14" t="str">
        <f>IFERROR(__xludf.DUMMYFUNCTION("""COMPUTED_VALUE"""),"2*Sandeep Kumar")</f>
        <v>2*Sandeep Kumar</v>
      </c>
      <c r="M503" s="14">
        <f>IFERROR(__xludf.DUMMYFUNCTION("SPLIT(L503,""*"")"),2.0)</f>
        <v>2</v>
      </c>
      <c r="N503" s="14" t="str">
        <f>IFERROR(__xludf.DUMMYFUNCTION("""COMPUTED_VALUE"""),"Sandeep Kumar")</f>
        <v>Sandeep Kumar</v>
      </c>
      <c r="O503" s="14" t="str">
        <f>IFERROR(__xludf.DUMMYFUNCTION("split(J503,""*"")"),"Delivered")</f>
        <v>Delivered</v>
      </c>
      <c r="P503" s="14" t="str">
        <f>IFERROR(__xludf.DUMMYFUNCTION("""COMPUTED_VALUE"""),"Customer Service: Seamless and easy")</f>
        <v>Customer Service: Seamless and easy</v>
      </c>
      <c r="Q503" s="14" t="str">
        <f>IFERROR(__xludf.DUMMYFUNCTION("split(P503,"":"")"),"Customer Service")</f>
        <v>Customer Service</v>
      </c>
      <c r="R503" s="14" t="str">
        <f>IFERROR(__xludf.DUMMYFUNCTION("""COMPUTED_VALUE""")," Seamless and easy")</f>
        <v> Seamless and easy</v>
      </c>
      <c r="S503" s="14" t="str">
        <f t="shared" ref="S503:U503" si="1009">trim(B503)</f>
        <v>ord_10494</v>
      </c>
      <c r="T503" s="14" t="str">
        <f t="shared" si="1009"/>
        <v>Omkar Mishra</v>
      </c>
      <c r="U503" s="14" t="str">
        <f t="shared" si="1009"/>
        <v>Powai</v>
      </c>
      <c r="V503" s="14" t="str">
        <f t="shared" si="4"/>
        <v>Cucumber</v>
      </c>
      <c r="W503" s="14">
        <f t="shared" si="5"/>
        <v>2</v>
      </c>
      <c r="X503" s="14" t="str">
        <f t="shared" si="6"/>
        <v>Sandeep Kumar</v>
      </c>
      <c r="Y503" s="15">
        <f t="shared" si="7"/>
        <v>45092</v>
      </c>
      <c r="Z503" s="14" t="str">
        <f t="shared" si="8"/>
        <v>Online Payment</v>
      </c>
      <c r="AA503" s="14" t="str">
        <f t="shared" si="9"/>
        <v>Delivered</v>
      </c>
      <c r="AB503" s="14" t="str">
        <f t="shared" ref="AB503:AC503" si="1010">trim(Q503)</f>
        <v>Customer Service</v>
      </c>
      <c r="AC503" s="14" t="str">
        <f t="shared" si="1010"/>
        <v>Seamless and easy</v>
      </c>
      <c r="AD503" s="8"/>
    </row>
    <row r="504">
      <c r="A504" s="14" t="str">
        <f>IFERROR(__xludf.DUMMYFUNCTION("""COMPUTED_VALUE"""),"//ord_10495//Tanishq Bansal//Bandra//Cold Coffee+5*Priya Joshi/9/8/2023//Credit Card//Delivered*Delivery Experience: Quick and professional")</f>
        <v>//ord_10495//Tanishq Bansal//Bandra//Cold Coffee+5*Priya Joshi/9/8/2023//Credit Card//Delivered*Delivery Experience: Quick and professional</v>
      </c>
      <c r="B504" s="14" t="str">
        <f>IFERROR(__xludf.DUMMYFUNCTION("split(A504,""//"")"),"ord_10495")</f>
        <v>ord_10495</v>
      </c>
      <c r="C504" s="14" t="str">
        <f>IFERROR(__xludf.DUMMYFUNCTION("""COMPUTED_VALUE"""),"Tanishq Bansal")</f>
        <v>Tanishq Bansal</v>
      </c>
      <c r="D504" s="14" t="str">
        <f>IFERROR(__xludf.DUMMYFUNCTION("""COMPUTED_VALUE"""),"Bandra")</f>
        <v>Bandra</v>
      </c>
      <c r="E504" s="14" t="str">
        <f>IFERROR(__xludf.DUMMYFUNCTION("""COMPUTED_VALUE"""),"Cold Coffee+5*Priya Joshi")</f>
        <v>Cold Coffee+5*Priya Joshi</v>
      </c>
      <c r="F504" s="14">
        <f>IFERROR(__xludf.DUMMYFUNCTION("""COMPUTED_VALUE"""),9.0)</f>
        <v>9</v>
      </c>
      <c r="G504" s="14">
        <f>IFERROR(__xludf.DUMMYFUNCTION("""COMPUTED_VALUE"""),8.0)</f>
        <v>8</v>
      </c>
      <c r="H504" s="14">
        <f>IFERROR(__xludf.DUMMYFUNCTION("""COMPUTED_VALUE"""),2023.0)</f>
        <v>2023</v>
      </c>
      <c r="I504" s="14" t="str">
        <f>IFERROR(__xludf.DUMMYFUNCTION("""COMPUTED_VALUE"""),"Credit Card")</f>
        <v>Credit Card</v>
      </c>
      <c r="J504" s="14" t="str">
        <f>IFERROR(__xludf.DUMMYFUNCTION("""COMPUTED_VALUE"""),"Delivered*Delivery Experience: Quick and professional")</f>
        <v>Delivered*Delivery Experience: Quick and professional</v>
      </c>
      <c r="K504" s="14" t="str">
        <f>IFERROR(__xludf.DUMMYFUNCTION("split(E504,""+"")"),"Cold Coffee")</f>
        <v>Cold Coffee</v>
      </c>
      <c r="L504" s="14" t="str">
        <f>IFERROR(__xludf.DUMMYFUNCTION("""COMPUTED_VALUE"""),"5*Priya Joshi")</f>
        <v>5*Priya Joshi</v>
      </c>
      <c r="M504" s="14">
        <f>IFERROR(__xludf.DUMMYFUNCTION("SPLIT(L504,""*"")"),5.0)</f>
        <v>5</v>
      </c>
      <c r="N504" s="14" t="str">
        <f>IFERROR(__xludf.DUMMYFUNCTION("""COMPUTED_VALUE"""),"Priya Joshi")</f>
        <v>Priya Joshi</v>
      </c>
      <c r="O504" s="14" t="str">
        <f>IFERROR(__xludf.DUMMYFUNCTION("split(J504,""*"")"),"Delivered")</f>
        <v>Delivered</v>
      </c>
      <c r="P504" s="14" t="str">
        <f>IFERROR(__xludf.DUMMYFUNCTION("""COMPUTED_VALUE"""),"Delivery Experience: Quick and professional")</f>
        <v>Delivery Experience: Quick and professional</v>
      </c>
      <c r="Q504" s="14" t="str">
        <f>IFERROR(__xludf.DUMMYFUNCTION("split(P504,"":"")"),"Delivery Experience")</f>
        <v>Delivery Experience</v>
      </c>
      <c r="R504" s="14" t="str">
        <f>IFERROR(__xludf.DUMMYFUNCTION("""COMPUTED_VALUE""")," Quick and professional")</f>
        <v> Quick and professional</v>
      </c>
      <c r="S504" s="14" t="str">
        <f t="shared" ref="S504:U504" si="1011">trim(B504)</f>
        <v>ord_10495</v>
      </c>
      <c r="T504" s="14" t="str">
        <f t="shared" si="1011"/>
        <v>Tanishq Bansal</v>
      </c>
      <c r="U504" s="14" t="str">
        <f t="shared" si="1011"/>
        <v>Bandra</v>
      </c>
      <c r="V504" s="14" t="str">
        <f t="shared" si="4"/>
        <v>Cold Coffee</v>
      </c>
      <c r="W504" s="14">
        <f t="shared" si="5"/>
        <v>5</v>
      </c>
      <c r="X504" s="14" t="str">
        <f t="shared" si="6"/>
        <v>Priya Joshi</v>
      </c>
      <c r="Y504" s="15">
        <f t="shared" si="7"/>
        <v>45177</v>
      </c>
      <c r="Z504" s="14" t="str">
        <f t="shared" si="8"/>
        <v>Credit Card</v>
      </c>
      <c r="AA504" s="14" t="str">
        <f t="shared" si="9"/>
        <v>Delivered</v>
      </c>
      <c r="AB504" s="14" t="str">
        <f t="shared" ref="AB504:AC504" si="1012">trim(Q504)</f>
        <v>Delivery Experience</v>
      </c>
      <c r="AC504" s="14" t="str">
        <f t="shared" si="1012"/>
        <v>Quick and professional</v>
      </c>
      <c r="AD504" s="8"/>
    </row>
    <row r="505">
      <c r="A505" s="14" t="str">
        <f>IFERROR(__xludf.DUMMYFUNCTION("""COMPUTED_VALUE"""),"//ord_10496//Anaya Rao//Malad//Potato+1*Neha Shah/5/10/2023//COD//Delivered*Convenience: Easy tracking")</f>
        <v>//ord_10496//Anaya Rao//Malad//Potato+1*Neha Shah/5/10/2023//COD//Delivered*Convenience: Easy tracking</v>
      </c>
      <c r="B505" s="14" t="str">
        <f>IFERROR(__xludf.DUMMYFUNCTION("split(A505,""//"")"),"ord_10496")</f>
        <v>ord_10496</v>
      </c>
      <c r="C505" s="14" t="str">
        <f>IFERROR(__xludf.DUMMYFUNCTION("""COMPUTED_VALUE"""),"Anaya Rao")</f>
        <v>Anaya Rao</v>
      </c>
      <c r="D505" s="14" t="str">
        <f>IFERROR(__xludf.DUMMYFUNCTION("""COMPUTED_VALUE"""),"Malad")</f>
        <v>Malad</v>
      </c>
      <c r="E505" s="14" t="str">
        <f>IFERROR(__xludf.DUMMYFUNCTION("""COMPUTED_VALUE"""),"Potato+1*Neha Shah")</f>
        <v>Potato+1*Neha Shah</v>
      </c>
      <c r="F505" s="14">
        <f>IFERROR(__xludf.DUMMYFUNCTION("""COMPUTED_VALUE"""),5.0)</f>
        <v>5</v>
      </c>
      <c r="G505" s="14">
        <f>IFERROR(__xludf.DUMMYFUNCTION("""COMPUTED_VALUE"""),10.0)</f>
        <v>10</v>
      </c>
      <c r="H505" s="14">
        <f>IFERROR(__xludf.DUMMYFUNCTION("""COMPUTED_VALUE"""),2023.0)</f>
        <v>2023</v>
      </c>
      <c r="I505" s="14" t="str">
        <f>IFERROR(__xludf.DUMMYFUNCTION("""COMPUTED_VALUE"""),"COD")</f>
        <v>COD</v>
      </c>
      <c r="J505" s="14" t="str">
        <f>IFERROR(__xludf.DUMMYFUNCTION("""COMPUTED_VALUE"""),"Delivered*Convenience: Easy tracking")</f>
        <v>Delivered*Convenience: Easy tracking</v>
      </c>
      <c r="K505" s="14" t="str">
        <f>IFERROR(__xludf.DUMMYFUNCTION("split(E505,""+"")"),"Potato")</f>
        <v>Potato</v>
      </c>
      <c r="L505" s="14" t="str">
        <f>IFERROR(__xludf.DUMMYFUNCTION("""COMPUTED_VALUE"""),"1*Neha Shah")</f>
        <v>1*Neha Shah</v>
      </c>
      <c r="M505" s="14">
        <f>IFERROR(__xludf.DUMMYFUNCTION("SPLIT(L505,""*"")"),1.0)</f>
        <v>1</v>
      </c>
      <c r="N505" s="14" t="str">
        <f>IFERROR(__xludf.DUMMYFUNCTION("""COMPUTED_VALUE"""),"Neha Shah")</f>
        <v>Neha Shah</v>
      </c>
      <c r="O505" s="14" t="str">
        <f>IFERROR(__xludf.DUMMYFUNCTION("split(J505,""*"")"),"Delivered")</f>
        <v>Delivered</v>
      </c>
      <c r="P505" s="14" t="str">
        <f>IFERROR(__xludf.DUMMYFUNCTION("""COMPUTED_VALUE"""),"Convenience: Easy tracking")</f>
        <v>Convenience: Easy tracking</v>
      </c>
      <c r="Q505" s="14" t="str">
        <f>IFERROR(__xludf.DUMMYFUNCTION("split(P505,"":"")"),"Convenience")</f>
        <v>Convenience</v>
      </c>
      <c r="R505" s="14" t="str">
        <f>IFERROR(__xludf.DUMMYFUNCTION("""COMPUTED_VALUE""")," Easy tracking")</f>
        <v> Easy tracking</v>
      </c>
      <c r="S505" s="14" t="str">
        <f t="shared" ref="S505:U505" si="1013">trim(B505)</f>
        <v>ord_10496</v>
      </c>
      <c r="T505" s="14" t="str">
        <f t="shared" si="1013"/>
        <v>Anaya Rao</v>
      </c>
      <c r="U505" s="14" t="str">
        <f t="shared" si="1013"/>
        <v>Malad</v>
      </c>
      <c r="V505" s="14" t="str">
        <f t="shared" si="4"/>
        <v>Potato</v>
      </c>
      <c r="W505" s="14">
        <f t="shared" si="5"/>
        <v>1</v>
      </c>
      <c r="X505" s="14" t="str">
        <f t="shared" si="6"/>
        <v>Neha Shah</v>
      </c>
      <c r="Y505" s="15">
        <f t="shared" si="7"/>
        <v>45056</v>
      </c>
      <c r="Z505" s="14" t="str">
        <f t="shared" si="8"/>
        <v>COD</v>
      </c>
      <c r="AA505" s="14" t="str">
        <f t="shared" si="9"/>
        <v>Delivered</v>
      </c>
      <c r="AB505" s="14" t="str">
        <f t="shared" ref="AB505:AC505" si="1014">trim(Q505)</f>
        <v>Convenience</v>
      </c>
      <c r="AC505" s="14" t="str">
        <f t="shared" si="1014"/>
        <v>Easy tracking</v>
      </c>
      <c r="AD505" s="8"/>
    </row>
    <row r="506">
      <c r="A506" s="14" t="str">
        <f>IFERROR(__xludf.DUMMYFUNCTION("""COMPUTED_VALUE"""),"//ord_10497//Anaya Rao//Malad//Icecream+2*Neha Shah/2/2/2023//Credit Card//Delivered*Overall Satisfaction: Great service will order again")</f>
        <v>//ord_10497//Anaya Rao//Malad//Icecream+2*Neha Shah/2/2/2023//Credit Card//Delivered*Overall Satisfaction: Great service will order again</v>
      </c>
      <c r="B506" s="14" t="str">
        <f>IFERROR(__xludf.DUMMYFUNCTION("split(A506,""//"")"),"ord_10497")</f>
        <v>ord_10497</v>
      </c>
      <c r="C506" s="14" t="str">
        <f>IFERROR(__xludf.DUMMYFUNCTION("""COMPUTED_VALUE"""),"Anaya Rao")</f>
        <v>Anaya Rao</v>
      </c>
      <c r="D506" s="14" t="str">
        <f>IFERROR(__xludf.DUMMYFUNCTION("""COMPUTED_VALUE"""),"Malad")</f>
        <v>Malad</v>
      </c>
      <c r="E506" s="14" t="str">
        <f>IFERROR(__xludf.DUMMYFUNCTION("""COMPUTED_VALUE"""),"Icecream+2*Neha Shah")</f>
        <v>Icecream+2*Neha Shah</v>
      </c>
      <c r="F506" s="14">
        <f>IFERROR(__xludf.DUMMYFUNCTION("""COMPUTED_VALUE"""),2.0)</f>
        <v>2</v>
      </c>
      <c r="G506" s="14">
        <f>IFERROR(__xludf.DUMMYFUNCTION("""COMPUTED_VALUE"""),2.0)</f>
        <v>2</v>
      </c>
      <c r="H506" s="14">
        <f>IFERROR(__xludf.DUMMYFUNCTION("""COMPUTED_VALUE"""),2023.0)</f>
        <v>2023</v>
      </c>
      <c r="I506" s="14" t="str">
        <f>IFERROR(__xludf.DUMMYFUNCTION("""COMPUTED_VALUE"""),"Credit Card")</f>
        <v>Credit Card</v>
      </c>
      <c r="J506" s="14" t="str">
        <f>IFERROR(__xludf.DUMMYFUNCTION("""COMPUTED_VALUE"""),"Delivered*Overall Satisfaction: Great service will order again")</f>
        <v>Delivered*Overall Satisfaction: Great service will order again</v>
      </c>
      <c r="K506" s="14" t="str">
        <f>IFERROR(__xludf.DUMMYFUNCTION("split(E506,""+"")"),"Icecream")</f>
        <v>Icecream</v>
      </c>
      <c r="L506" s="14" t="str">
        <f>IFERROR(__xludf.DUMMYFUNCTION("""COMPUTED_VALUE"""),"2*Neha Shah")</f>
        <v>2*Neha Shah</v>
      </c>
      <c r="M506" s="14">
        <f>IFERROR(__xludf.DUMMYFUNCTION("SPLIT(L506,""*"")"),2.0)</f>
        <v>2</v>
      </c>
      <c r="N506" s="14" t="str">
        <f>IFERROR(__xludf.DUMMYFUNCTION("""COMPUTED_VALUE"""),"Neha Shah")</f>
        <v>Neha Shah</v>
      </c>
      <c r="O506" s="14" t="str">
        <f>IFERROR(__xludf.DUMMYFUNCTION("split(J506,""*"")"),"Delivered")</f>
        <v>Delivered</v>
      </c>
      <c r="P506" s="14" t="str">
        <f>IFERROR(__xludf.DUMMYFUNCTION("""COMPUTED_VALUE"""),"Overall Satisfaction: Great service will order again")</f>
        <v>Overall Satisfaction: Great service will order again</v>
      </c>
      <c r="Q506" s="14" t="str">
        <f>IFERROR(__xludf.DUMMYFUNCTION("split(P506,"":"")"),"Overall Satisfaction")</f>
        <v>Overall Satisfaction</v>
      </c>
      <c r="R506" s="14" t="str">
        <f>IFERROR(__xludf.DUMMYFUNCTION("""COMPUTED_VALUE""")," Great service will order again")</f>
        <v> Great service will order again</v>
      </c>
      <c r="S506" s="14" t="str">
        <f t="shared" ref="S506:U506" si="1015">trim(B506)</f>
        <v>ord_10497</v>
      </c>
      <c r="T506" s="14" t="str">
        <f t="shared" si="1015"/>
        <v>Anaya Rao</v>
      </c>
      <c r="U506" s="14" t="str">
        <f t="shared" si="1015"/>
        <v>Malad</v>
      </c>
      <c r="V506" s="14" t="str">
        <f t="shared" si="4"/>
        <v>Icecream</v>
      </c>
      <c r="W506" s="14">
        <f t="shared" si="5"/>
        <v>2</v>
      </c>
      <c r="X506" s="14" t="str">
        <f t="shared" si="6"/>
        <v>Neha Shah</v>
      </c>
      <c r="Y506" s="15">
        <f t="shared" si="7"/>
        <v>44959</v>
      </c>
      <c r="Z506" s="14" t="str">
        <f t="shared" si="8"/>
        <v>Credit Card</v>
      </c>
      <c r="AA506" s="14" t="str">
        <f t="shared" si="9"/>
        <v>Delivered</v>
      </c>
      <c r="AB506" s="14" t="str">
        <f t="shared" ref="AB506:AC506" si="1016">trim(Q506)</f>
        <v>Overall Satisfaction</v>
      </c>
      <c r="AC506" s="14" t="str">
        <f t="shared" si="1016"/>
        <v>Great service will order again</v>
      </c>
      <c r="AD506" s="8"/>
    </row>
    <row r="507">
      <c r="A507" s="14" t="str">
        <f>IFERROR(__xludf.DUMMYFUNCTION("""COMPUTED_VALUE"""),"//ord_10498//Tanishq Bansal//Bandra//Cold Coffee+4*Priya Joshi/9/14/2023//Credit Card//Delivered*On-time Delivery: Delivered on time")</f>
        <v>//ord_10498//Tanishq Bansal//Bandra//Cold Coffee+4*Priya Joshi/9/14/2023//Credit Card//Delivered*On-time Delivery: Delivered on time</v>
      </c>
      <c r="B507" s="14" t="str">
        <f>IFERROR(__xludf.DUMMYFUNCTION("split(A507,""//"")"),"ord_10498")</f>
        <v>ord_10498</v>
      </c>
      <c r="C507" s="14" t="str">
        <f>IFERROR(__xludf.DUMMYFUNCTION("""COMPUTED_VALUE"""),"Tanishq Bansal")</f>
        <v>Tanishq Bansal</v>
      </c>
      <c r="D507" s="14" t="str">
        <f>IFERROR(__xludf.DUMMYFUNCTION("""COMPUTED_VALUE"""),"Bandra")</f>
        <v>Bandra</v>
      </c>
      <c r="E507" s="14" t="str">
        <f>IFERROR(__xludf.DUMMYFUNCTION("""COMPUTED_VALUE"""),"Cold Coffee+4*Priya Joshi")</f>
        <v>Cold Coffee+4*Priya Joshi</v>
      </c>
      <c r="F507" s="14">
        <f>IFERROR(__xludf.DUMMYFUNCTION("""COMPUTED_VALUE"""),9.0)</f>
        <v>9</v>
      </c>
      <c r="G507" s="14">
        <f>IFERROR(__xludf.DUMMYFUNCTION("""COMPUTED_VALUE"""),14.0)</f>
        <v>14</v>
      </c>
      <c r="H507" s="14">
        <f>IFERROR(__xludf.DUMMYFUNCTION("""COMPUTED_VALUE"""),2023.0)</f>
        <v>2023</v>
      </c>
      <c r="I507" s="14" t="str">
        <f>IFERROR(__xludf.DUMMYFUNCTION("""COMPUTED_VALUE"""),"Credit Card")</f>
        <v>Credit Card</v>
      </c>
      <c r="J507" s="14" t="str">
        <f>IFERROR(__xludf.DUMMYFUNCTION("""COMPUTED_VALUE"""),"Delivered*On-time Delivery: Delivered on time")</f>
        <v>Delivered*On-time Delivery: Delivered on time</v>
      </c>
      <c r="K507" s="14" t="str">
        <f>IFERROR(__xludf.DUMMYFUNCTION("split(E507,""+"")"),"Cold Coffee")</f>
        <v>Cold Coffee</v>
      </c>
      <c r="L507" s="14" t="str">
        <f>IFERROR(__xludf.DUMMYFUNCTION("""COMPUTED_VALUE"""),"4*Priya Joshi")</f>
        <v>4*Priya Joshi</v>
      </c>
      <c r="M507" s="14">
        <f>IFERROR(__xludf.DUMMYFUNCTION("SPLIT(L507,""*"")"),4.0)</f>
        <v>4</v>
      </c>
      <c r="N507" s="14" t="str">
        <f>IFERROR(__xludf.DUMMYFUNCTION("""COMPUTED_VALUE"""),"Priya Joshi")</f>
        <v>Priya Joshi</v>
      </c>
      <c r="O507" s="14" t="str">
        <f>IFERROR(__xludf.DUMMYFUNCTION("split(J507,""*"")"),"Delivered")</f>
        <v>Delivered</v>
      </c>
      <c r="P507" s="14" t="str">
        <f>IFERROR(__xludf.DUMMYFUNCTION("""COMPUTED_VALUE"""),"On-time Delivery: Delivered on time")</f>
        <v>On-time Delivery: Delivered on time</v>
      </c>
      <c r="Q507" s="14" t="str">
        <f>IFERROR(__xludf.DUMMYFUNCTION("split(P507,"":"")"),"On-time Delivery")</f>
        <v>On-time Delivery</v>
      </c>
      <c r="R507" s="14" t="str">
        <f>IFERROR(__xludf.DUMMYFUNCTION("""COMPUTED_VALUE""")," Delivered on time")</f>
        <v> Delivered on time</v>
      </c>
      <c r="S507" s="14" t="str">
        <f t="shared" ref="S507:U507" si="1017">trim(B507)</f>
        <v>ord_10498</v>
      </c>
      <c r="T507" s="14" t="str">
        <f t="shared" si="1017"/>
        <v>Tanishq Bansal</v>
      </c>
      <c r="U507" s="14" t="str">
        <f t="shared" si="1017"/>
        <v>Bandra</v>
      </c>
      <c r="V507" s="14" t="str">
        <f t="shared" si="4"/>
        <v>Cold Coffee</v>
      </c>
      <c r="W507" s="14">
        <f t="shared" si="5"/>
        <v>4</v>
      </c>
      <c r="X507" s="14" t="str">
        <f t="shared" si="6"/>
        <v>Priya Joshi</v>
      </c>
      <c r="Y507" s="15">
        <f t="shared" si="7"/>
        <v>45183</v>
      </c>
      <c r="Z507" s="14" t="str">
        <f t="shared" si="8"/>
        <v>Credit Card</v>
      </c>
      <c r="AA507" s="14" t="str">
        <f t="shared" si="9"/>
        <v>Delivered</v>
      </c>
      <c r="AB507" s="14" t="str">
        <f t="shared" ref="AB507:AC507" si="1018">trim(Q507)</f>
        <v>On-time Delivery</v>
      </c>
      <c r="AC507" s="14" t="str">
        <f t="shared" si="1018"/>
        <v>Delivered on time</v>
      </c>
      <c r="AD507" s="8"/>
    </row>
    <row r="508">
      <c r="A508" s="14" t="str">
        <f>IFERROR(__xludf.DUMMYFUNCTION("""COMPUTED_VALUE"""),"//ord_10499//Ishaan Chaturvedi//Bandra//Chocolate Mousse+1*Priya Joshi/12/17/2023//COD//Delivered*Quality of Items: Perfect condition")</f>
        <v>//ord_10499//Ishaan Chaturvedi//Bandra//Chocolate Mousse+1*Priya Joshi/12/17/2023//COD//Delivered*Quality of Items: Perfect condition</v>
      </c>
      <c r="B508" s="14" t="str">
        <f>IFERROR(__xludf.DUMMYFUNCTION("split(A508,""//"")"),"ord_10499")</f>
        <v>ord_10499</v>
      </c>
      <c r="C508" s="14" t="str">
        <f>IFERROR(__xludf.DUMMYFUNCTION("""COMPUTED_VALUE"""),"Ishaan Chaturvedi")</f>
        <v>Ishaan Chaturvedi</v>
      </c>
      <c r="D508" s="14" t="str">
        <f>IFERROR(__xludf.DUMMYFUNCTION("""COMPUTED_VALUE"""),"Bandra")</f>
        <v>Bandra</v>
      </c>
      <c r="E508" s="14" t="str">
        <f>IFERROR(__xludf.DUMMYFUNCTION("""COMPUTED_VALUE"""),"Chocolate Mousse+1*Priya Joshi")</f>
        <v>Chocolate Mousse+1*Priya Joshi</v>
      </c>
      <c r="F508" s="14">
        <f>IFERROR(__xludf.DUMMYFUNCTION("""COMPUTED_VALUE"""),12.0)</f>
        <v>12</v>
      </c>
      <c r="G508" s="14">
        <f>IFERROR(__xludf.DUMMYFUNCTION("""COMPUTED_VALUE"""),17.0)</f>
        <v>17</v>
      </c>
      <c r="H508" s="14">
        <f>IFERROR(__xludf.DUMMYFUNCTION("""COMPUTED_VALUE"""),2023.0)</f>
        <v>2023</v>
      </c>
      <c r="I508" s="14" t="str">
        <f>IFERROR(__xludf.DUMMYFUNCTION("""COMPUTED_VALUE"""),"COD")</f>
        <v>COD</v>
      </c>
      <c r="J508" s="14" t="str">
        <f>IFERROR(__xludf.DUMMYFUNCTION("""COMPUTED_VALUE"""),"Delivered*Quality of Items: Perfect condition")</f>
        <v>Delivered*Quality of Items: Perfect condition</v>
      </c>
      <c r="K508" s="14" t="str">
        <f>IFERROR(__xludf.DUMMYFUNCTION("split(E508,""+"")"),"Chocolate Mousse")</f>
        <v>Chocolate Mousse</v>
      </c>
      <c r="L508" s="14" t="str">
        <f>IFERROR(__xludf.DUMMYFUNCTION("""COMPUTED_VALUE"""),"1*Priya Joshi")</f>
        <v>1*Priya Joshi</v>
      </c>
      <c r="M508" s="14">
        <f>IFERROR(__xludf.DUMMYFUNCTION("SPLIT(L508,""*"")"),1.0)</f>
        <v>1</v>
      </c>
      <c r="N508" s="14" t="str">
        <f>IFERROR(__xludf.DUMMYFUNCTION("""COMPUTED_VALUE"""),"Priya Joshi")</f>
        <v>Priya Joshi</v>
      </c>
      <c r="O508" s="14" t="str">
        <f>IFERROR(__xludf.DUMMYFUNCTION("split(J508,""*"")"),"Delivered")</f>
        <v>Delivered</v>
      </c>
      <c r="P508" s="14" t="str">
        <f>IFERROR(__xludf.DUMMYFUNCTION("""COMPUTED_VALUE"""),"Quality of Items: Perfect condition")</f>
        <v>Quality of Items: Perfect condition</v>
      </c>
      <c r="Q508" s="14" t="str">
        <f>IFERROR(__xludf.DUMMYFUNCTION("split(P508,"":"")"),"Quality of Items")</f>
        <v>Quality of Items</v>
      </c>
      <c r="R508" s="14" t="str">
        <f>IFERROR(__xludf.DUMMYFUNCTION("""COMPUTED_VALUE""")," Perfect condition")</f>
        <v> Perfect condition</v>
      </c>
      <c r="S508" s="14" t="str">
        <f t="shared" ref="S508:U508" si="1019">trim(B508)</f>
        <v>ord_10499</v>
      </c>
      <c r="T508" s="14" t="str">
        <f t="shared" si="1019"/>
        <v>Ishaan Chaturvedi</v>
      </c>
      <c r="U508" s="14" t="str">
        <f t="shared" si="1019"/>
        <v>Bandra</v>
      </c>
      <c r="V508" s="14" t="str">
        <f t="shared" si="4"/>
        <v>Chocolate Mousse</v>
      </c>
      <c r="W508" s="14">
        <f t="shared" si="5"/>
        <v>1</v>
      </c>
      <c r="X508" s="14" t="str">
        <f t="shared" si="6"/>
        <v>Priya Joshi</v>
      </c>
      <c r="Y508" s="15">
        <f t="shared" si="7"/>
        <v>45277</v>
      </c>
      <c r="Z508" s="14" t="str">
        <f t="shared" si="8"/>
        <v>COD</v>
      </c>
      <c r="AA508" s="14" t="str">
        <f t="shared" si="9"/>
        <v>Delivered</v>
      </c>
      <c r="AB508" s="14" t="str">
        <f t="shared" ref="AB508:AC508" si="1020">trim(Q508)</f>
        <v>Quality of Items</v>
      </c>
      <c r="AC508" s="14" t="str">
        <f t="shared" si="1020"/>
        <v>Perfect condition</v>
      </c>
      <c r="AD508" s="8"/>
    </row>
    <row r="509">
      <c r="A509" s="14" t="str">
        <f>IFERROR(__xludf.DUMMYFUNCTION("""COMPUTED_VALUE"""),"//ord_10500//Mehul Thakkar//Malad//Cucumber+2*Vivek Kumar/11/6/2023//Credit Card//Cancelled*Delayed Delivery:High Order Volume")</f>
        <v>//ord_10500//Mehul Thakkar//Malad//Cucumber+2*Vivek Kumar/11/6/2023//Credit Card//Cancelled*Delayed Delivery:High Order Volume</v>
      </c>
      <c r="B509" s="14" t="str">
        <f>IFERROR(__xludf.DUMMYFUNCTION("split(A509,""//"")"),"ord_10500")</f>
        <v>ord_10500</v>
      </c>
      <c r="C509" s="14" t="str">
        <f>IFERROR(__xludf.DUMMYFUNCTION("""COMPUTED_VALUE"""),"Mehul Thakkar")</f>
        <v>Mehul Thakkar</v>
      </c>
      <c r="D509" s="14" t="str">
        <f>IFERROR(__xludf.DUMMYFUNCTION("""COMPUTED_VALUE"""),"Malad")</f>
        <v>Malad</v>
      </c>
      <c r="E509" s="14" t="str">
        <f>IFERROR(__xludf.DUMMYFUNCTION("""COMPUTED_VALUE"""),"Cucumber+2*Vivek Kumar")</f>
        <v>Cucumber+2*Vivek Kumar</v>
      </c>
      <c r="F509" s="14">
        <f>IFERROR(__xludf.DUMMYFUNCTION("""COMPUTED_VALUE"""),11.0)</f>
        <v>11</v>
      </c>
      <c r="G509" s="14">
        <f>IFERROR(__xludf.DUMMYFUNCTION("""COMPUTED_VALUE"""),6.0)</f>
        <v>6</v>
      </c>
      <c r="H509" s="14">
        <f>IFERROR(__xludf.DUMMYFUNCTION("""COMPUTED_VALUE"""),2023.0)</f>
        <v>2023</v>
      </c>
      <c r="I509" s="14" t="str">
        <f>IFERROR(__xludf.DUMMYFUNCTION("""COMPUTED_VALUE"""),"Credit Card")</f>
        <v>Credit Card</v>
      </c>
      <c r="J509" s="14" t="str">
        <f>IFERROR(__xludf.DUMMYFUNCTION("""COMPUTED_VALUE"""),"Cancelled*Delayed Delivery:High Order Volume")</f>
        <v>Cancelled*Delayed Delivery:High Order Volume</v>
      </c>
      <c r="K509" s="14" t="str">
        <f>IFERROR(__xludf.DUMMYFUNCTION("split(E509,""+"")"),"Cucumber")</f>
        <v>Cucumber</v>
      </c>
      <c r="L509" s="14" t="str">
        <f>IFERROR(__xludf.DUMMYFUNCTION("""COMPUTED_VALUE"""),"2*Vivek Kumar")</f>
        <v>2*Vivek Kumar</v>
      </c>
      <c r="M509" s="14">
        <f>IFERROR(__xludf.DUMMYFUNCTION("SPLIT(L509,""*"")"),2.0)</f>
        <v>2</v>
      </c>
      <c r="N509" s="14" t="str">
        <f>IFERROR(__xludf.DUMMYFUNCTION("""COMPUTED_VALUE"""),"Vivek Kumar")</f>
        <v>Vivek Kumar</v>
      </c>
      <c r="O509" s="14" t="str">
        <f>IFERROR(__xludf.DUMMYFUNCTION("split(J509,""*"")"),"Cancelled")</f>
        <v>Cancelled</v>
      </c>
      <c r="P509" s="14" t="str">
        <f>IFERROR(__xludf.DUMMYFUNCTION("""COMPUTED_VALUE"""),"Delayed Delivery:High Order Volume")</f>
        <v>Delayed Delivery:High Order Volume</v>
      </c>
      <c r="Q509" s="14" t="str">
        <f>IFERROR(__xludf.DUMMYFUNCTION("split(P509,"":"")"),"Delayed Delivery")</f>
        <v>Delayed Delivery</v>
      </c>
      <c r="R509" s="14" t="str">
        <f>IFERROR(__xludf.DUMMYFUNCTION("""COMPUTED_VALUE"""),"High Order Volume")</f>
        <v>High Order Volume</v>
      </c>
      <c r="S509" s="14" t="str">
        <f t="shared" ref="S509:U509" si="1021">trim(B509)</f>
        <v>ord_10500</v>
      </c>
      <c r="T509" s="14" t="str">
        <f t="shared" si="1021"/>
        <v>Mehul Thakkar</v>
      </c>
      <c r="U509" s="14" t="str">
        <f t="shared" si="1021"/>
        <v>Malad</v>
      </c>
      <c r="V509" s="14" t="str">
        <f t="shared" si="4"/>
        <v>Cucumber</v>
      </c>
      <c r="W509" s="14">
        <f t="shared" si="5"/>
        <v>2</v>
      </c>
      <c r="X509" s="14" t="str">
        <f t="shared" si="6"/>
        <v>Vivek Kumar</v>
      </c>
      <c r="Y509" s="15">
        <f t="shared" si="7"/>
        <v>45236</v>
      </c>
      <c r="Z509" s="14" t="str">
        <f t="shared" si="8"/>
        <v>Credit Card</v>
      </c>
      <c r="AA509" s="14" t="str">
        <f t="shared" si="9"/>
        <v>Cancelled</v>
      </c>
      <c r="AB509" s="14" t="str">
        <f t="shared" ref="AB509:AC509" si="1022">trim(Q509)</f>
        <v>Delayed Delivery</v>
      </c>
      <c r="AC509" s="14" t="str">
        <f t="shared" si="1022"/>
        <v>High Order Volume</v>
      </c>
      <c r="AD509" s="8"/>
    </row>
    <row r="510">
      <c r="A510" s="14" t="str">
        <f>IFERROR(__xludf.DUMMYFUNCTION("""COMPUTED_VALUE"""),"//ord_10501//Pallavi Ghosh//Bandra//Chilli Cheese Toast+5*Priya Joshi/5/18/2023//UPI//Delivered*On-time Delivery: Delivered on time")</f>
        <v>//ord_10501//Pallavi Ghosh//Bandra//Chilli Cheese Toast+5*Priya Joshi/5/18/2023//UPI//Delivered*On-time Delivery: Delivered on time</v>
      </c>
      <c r="B510" s="14" t="str">
        <f>IFERROR(__xludf.DUMMYFUNCTION("split(A510,""//"")"),"ord_10501")</f>
        <v>ord_10501</v>
      </c>
      <c r="C510" s="14" t="str">
        <f>IFERROR(__xludf.DUMMYFUNCTION("""COMPUTED_VALUE"""),"Pallavi Ghosh")</f>
        <v>Pallavi Ghosh</v>
      </c>
      <c r="D510" s="14" t="str">
        <f>IFERROR(__xludf.DUMMYFUNCTION("""COMPUTED_VALUE"""),"Bandra")</f>
        <v>Bandra</v>
      </c>
      <c r="E510" s="14" t="str">
        <f>IFERROR(__xludf.DUMMYFUNCTION("""COMPUTED_VALUE"""),"Chilli Cheese Toast+5*Priya Joshi")</f>
        <v>Chilli Cheese Toast+5*Priya Joshi</v>
      </c>
      <c r="F510" s="14">
        <f>IFERROR(__xludf.DUMMYFUNCTION("""COMPUTED_VALUE"""),5.0)</f>
        <v>5</v>
      </c>
      <c r="G510" s="14">
        <f>IFERROR(__xludf.DUMMYFUNCTION("""COMPUTED_VALUE"""),18.0)</f>
        <v>18</v>
      </c>
      <c r="H510" s="14">
        <f>IFERROR(__xludf.DUMMYFUNCTION("""COMPUTED_VALUE"""),2023.0)</f>
        <v>2023</v>
      </c>
      <c r="I510" s="14" t="str">
        <f>IFERROR(__xludf.DUMMYFUNCTION("""COMPUTED_VALUE"""),"UPI")</f>
        <v>UPI</v>
      </c>
      <c r="J510" s="14" t="str">
        <f>IFERROR(__xludf.DUMMYFUNCTION("""COMPUTED_VALUE"""),"Delivered*On-time Delivery: Delivered on time")</f>
        <v>Delivered*On-time Delivery: Delivered on time</v>
      </c>
      <c r="K510" s="14" t="str">
        <f>IFERROR(__xludf.DUMMYFUNCTION("split(E510,""+"")"),"Chilli Cheese Toast")</f>
        <v>Chilli Cheese Toast</v>
      </c>
      <c r="L510" s="14" t="str">
        <f>IFERROR(__xludf.DUMMYFUNCTION("""COMPUTED_VALUE"""),"5*Priya Joshi")</f>
        <v>5*Priya Joshi</v>
      </c>
      <c r="M510" s="14">
        <f>IFERROR(__xludf.DUMMYFUNCTION("SPLIT(L510,""*"")"),5.0)</f>
        <v>5</v>
      </c>
      <c r="N510" s="14" t="str">
        <f>IFERROR(__xludf.DUMMYFUNCTION("""COMPUTED_VALUE"""),"Priya Joshi")</f>
        <v>Priya Joshi</v>
      </c>
      <c r="O510" s="14" t="str">
        <f>IFERROR(__xludf.DUMMYFUNCTION("split(J510,""*"")"),"Delivered")</f>
        <v>Delivered</v>
      </c>
      <c r="P510" s="14" t="str">
        <f>IFERROR(__xludf.DUMMYFUNCTION("""COMPUTED_VALUE"""),"On-time Delivery: Delivered on time")</f>
        <v>On-time Delivery: Delivered on time</v>
      </c>
      <c r="Q510" s="14" t="str">
        <f>IFERROR(__xludf.DUMMYFUNCTION("split(P510,"":"")"),"On-time Delivery")</f>
        <v>On-time Delivery</v>
      </c>
      <c r="R510" s="14" t="str">
        <f>IFERROR(__xludf.DUMMYFUNCTION("""COMPUTED_VALUE""")," Delivered on time")</f>
        <v> Delivered on time</v>
      </c>
      <c r="S510" s="14" t="str">
        <f t="shared" ref="S510:U510" si="1023">trim(B510)</f>
        <v>ord_10501</v>
      </c>
      <c r="T510" s="14" t="str">
        <f t="shared" si="1023"/>
        <v>Pallavi Ghosh</v>
      </c>
      <c r="U510" s="14" t="str">
        <f t="shared" si="1023"/>
        <v>Bandra</v>
      </c>
      <c r="V510" s="14" t="str">
        <f t="shared" si="4"/>
        <v>Chilli Cheese Toast</v>
      </c>
      <c r="W510" s="14">
        <f t="shared" si="5"/>
        <v>5</v>
      </c>
      <c r="X510" s="14" t="str">
        <f t="shared" si="6"/>
        <v>Priya Joshi</v>
      </c>
      <c r="Y510" s="15">
        <f t="shared" si="7"/>
        <v>45064</v>
      </c>
      <c r="Z510" s="14" t="str">
        <f t="shared" si="8"/>
        <v>UPI</v>
      </c>
      <c r="AA510" s="14" t="str">
        <f t="shared" si="9"/>
        <v>Delivered</v>
      </c>
      <c r="AB510" s="14" t="str">
        <f t="shared" ref="AB510:AC510" si="1024">trim(Q510)</f>
        <v>On-time Delivery</v>
      </c>
      <c r="AC510" s="14" t="str">
        <f t="shared" si="1024"/>
        <v>Delivered on time</v>
      </c>
      <c r="AD510" s="8"/>
    </row>
    <row r="511">
      <c r="A511" s="14" t="str">
        <f>IFERROR(__xludf.DUMMYFUNCTION("""COMPUTED_VALUE"""),"//ord_10502//Siya Reddy//Juhu//Potato+2*Tanvi Jain/7/17/2023//COD//Delivered*Quality of Items: Perfect condition")</f>
        <v>//ord_10502//Siya Reddy//Juhu//Potato+2*Tanvi Jain/7/17/2023//COD//Delivered*Quality of Items: Perfect condition</v>
      </c>
      <c r="B511" s="14" t="str">
        <f>IFERROR(__xludf.DUMMYFUNCTION("split(A511,""//"")"),"ord_10502")</f>
        <v>ord_10502</v>
      </c>
      <c r="C511" s="14" t="str">
        <f>IFERROR(__xludf.DUMMYFUNCTION("""COMPUTED_VALUE"""),"Siya Reddy")</f>
        <v>Siya Reddy</v>
      </c>
      <c r="D511" s="14" t="str">
        <f>IFERROR(__xludf.DUMMYFUNCTION("""COMPUTED_VALUE"""),"Juhu")</f>
        <v>Juhu</v>
      </c>
      <c r="E511" s="14" t="str">
        <f>IFERROR(__xludf.DUMMYFUNCTION("""COMPUTED_VALUE"""),"Potato+2*Tanvi Jain")</f>
        <v>Potato+2*Tanvi Jain</v>
      </c>
      <c r="F511" s="14">
        <f>IFERROR(__xludf.DUMMYFUNCTION("""COMPUTED_VALUE"""),7.0)</f>
        <v>7</v>
      </c>
      <c r="G511" s="14">
        <f>IFERROR(__xludf.DUMMYFUNCTION("""COMPUTED_VALUE"""),17.0)</f>
        <v>17</v>
      </c>
      <c r="H511" s="14">
        <f>IFERROR(__xludf.DUMMYFUNCTION("""COMPUTED_VALUE"""),2023.0)</f>
        <v>2023</v>
      </c>
      <c r="I511" s="14" t="str">
        <f>IFERROR(__xludf.DUMMYFUNCTION("""COMPUTED_VALUE"""),"COD")</f>
        <v>COD</v>
      </c>
      <c r="J511" s="14" t="str">
        <f>IFERROR(__xludf.DUMMYFUNCTION("""COMPUTED_VALUE"""),"Delivered*Quality of Items: Perfect condition")</f>
        <v>Delivered*Quality of Items: Perfect condition</v>
      </c>
      <c r="K511" s="14" t="str">
        <f>IFERROR(__xludf.DUMMYFUNCTION("split(E511,""+"")"),"Potato")</f>
        <v>Potato</v>
      </c>
      <c r="L511" s="14" t="str">
        <f>IFERROR(__xludf.DUMMYFUNCTION("""COMPUTED_VALUE"""),"2*Tanvi Jain")</f>
        <v>2*Tanvi Jain</v>
      </c>
      <c r="M511" s="14">
        <f>IFERROR(__xludf.DUMMYFUNCTION("SPLIT(L511,""*"")"),2.0)</f>
        <v>2</v>
      </c>
      <c r="N511" s="14" t="str">
        <f>IFERROR(__xludf.DUMMYFUNCTION("""COMPUTED_VALUE"""),"Tanvi Jain")</f>
        <v>Tanvi Jain</v>
      </c>
      <c r="O511" s="14" t="str">
        <f>IFERROR(__xludf.DUMMYFUNCTION("split(J511,""*"")"),"Delivered")</f>
        <v>Delivered</v>
      </c>
      <c r="P511" s="14" t="str">
        <f>IFERROR(__xludf.DUMMYFUNCTION("""COMPUTED_VALUE"""),"Quality of Items: Perfect condition")</f>
        <v>Quality of Items: Perfect condition</v>
      </c>
      <c r="Q511" s="14" t="str">
        <f>IFERROR(__xludf.DUMMYFUNCTION("split(P511,"":"")"),"Quality of Items")</f>
        <v>Quality of Items</v>
      </c>
      <c r="R511" s="14" t="str">
        <f>IFERROR(__xludf.DUMMYFUNCTION("""COMPUTED_VALUE""")," Perfect condition")</f>
        <v> Perfect condition</v>
      </c>
      <c r="S511" s="14" t="str">
        <f t="shared" ref="S511:U511" si="1025">trim(B511)</f>
        <v>ord_10502</v>
      </c>
      <c r="T511" s="14" t="str">
        <f t="shared" si="1025"/>
        <v>Siya Reddy</v>
      </c>
      <c r="U511" s="14" t="str">
        <f t="shared" si="1025"/>
        <v>Juhu</v>
      </c>
      <c r="V511" s="14" t="str">
        <f t="shared" si="4"/>
        <v>Potato</v>
      </c>
      <c r="W511" s="14">
        <f t="shared" si="5"/>
        <v>2</v>
      </c>
      <c r="X511" s="14" t="str">
        <f t="shared" si="6"/>
        <v>Tanvi Jain</v>
      </c>
      <c r="Y511" s="15">
        <f t="shared" si="7"/>
        <v>45124</v>
      </c>
      <c r="Z511" s="14" t="str">
        <f t="shared" si="8"/>
        <v>COD</v>
      </c>
      <c r="AA511" s="14" t="str">
        <f t="shared" si="9"/>
        <v>Delivered</v>
      </c>
      <c r="AB511" s="14" t="str">
        <f t="shared" ref="AB511:AC511" si="1026">trim(Q511)</f>
        <v>Quality of Items</v>
      </c>
      <c r="AC511" s="14" t="str">
        <f t="shared" si="1026"/>
        <v>Perfect condition</v>
      </c>
      <c r="AD511" s="8"/>
    </row>
    <row r="512">
      <c r="A512" s="14" t="str">
        <f>IFERROR(__xludf.DUMMYFUNCTION("""COMPUTED_VALUE"""),"//ord_10503//Omkar Mishra//Powai//Potato+2*Sandeep Kumar/10/20/2023//COD//Delivered*Packaging: Secure and intact")</f>
        <v>//ord_10503//Omkar Mishra//Powai//Potato+2*Sandeep Kumar/10/20/2023//COD//Delivered*Packaging: Secure and intact</v>
      </c>
      <c r="B512" s="14" t="str">
        <f>IFERROR(__xludf.DUMMYFUNCTION("split(A512,""//"")"),"ord_10503")</f>
        <v>ord_10503</v>
      </c>
      <c r="C512" s="14" t="str">
        <f>IFERROR(__xludf.DUMMYFUNCTION("""COMPUTED_VALUE"""),"Omkar Mishra")</f>
        <v>Omkar Mishra</v>
      </c>
      <c r="D512" s="14" t="str">
        <f>IFERROR(__xludf.DUMMYFUNCTION("""COMPUTED_VALUE"""),"Powai")</f>
        <v>Powai</v>
      </c>
      <c r="E512" s="14" t="str">
        <f>IFERROR(__xludf.DUMMYFUNCTION("""COMPUTED_VALUE"""),"Potato+2*Sandeep Kumar")</f>
        <v>Potato+2*Sandeep Kumar</v>
      </c>
      <c r="F512" s="14">
        <f>IFERROR(__xludf.DUMMYFUNCTION("""COMPUTED_VALUE"""),10.0)</f>
        <v>10</v>
      </c>
      <c r="G512" s="14">
        <f>IFERROR(__xludf.DUMMYFUNCTION("""COMPUTED_VALUE"""),20.0)</f>
        <v>20</v>
      </c>
      <c r="H512" s="14">
        <f>IFERROR(__xludf.DUMMYFUNCTION("""COMPUTED_VALUE"""),2023.0)</f>
        <v>2023</v>
      </c>
      <c r="I512" s="14" t="str">
        <f>IFERROR(__xludf.DUMMYFUNCTION("""COMPUTED_VALUE"""),"COD")</f>
        <v>COD</v>
      </c>
      <c r="J512" s="14" t="str">
        <f>IFERROR(__xludf.DUMMYFUNCTION("""COMPUTED_VALUE"""),"Delivered*Packaging: Secure and intact")</f>
        <v>Delivered*Packaging: Secure and intact</v>
      </c>
      <c r="K512" s="14" t="str">
        <f>IFERROR(__xludf.DUMMYFUNCTION("split(E512,""+"")"),"Potato")</f>
        <v>Potato</v>
      </c>
      <c r="L512" s="14" t="str">
        <f>IFERROR(__xludf.DUMMYFUNCTION("""COMPUTED_VALUE"""),"2*Sandeep Kumar")</f>
        <v>2*Sandeep Kumar</v>
      </c>
      <c r="M512" s="14">
        <f>IFERROR(__xludf.DUMMYFUNCTION("SPLIT(L512,""*"")"),2.0)</f>
        <v>2</v>
      </c>
      <c r="N512" s="14" t="str">
        <f>IFERROR(__xludf.DUMMYFUNCTION("""COMPUTED_VALUE"""),"Sandeep Kumar")</f>
        <v>Sandeep Kumar</v>
      </c>
      <c r="O512" s="14" t="str">
        <f>IFERROR(__xludf.DUMMYFUNCTION("split(J512,""*"")"),"Delivered")</f>
        <v>Delivered</v>
      </c>
      <c r="P512" s="14" t="str">
        <f>IFERROR(__xludf.DUMMYFUNCTION("""COMPUTED_VALUE"""),"Packaging: Secure and intact")</f>
        <v>Packaging: Secure and intact</v>
      </c>
      <c r="Q512" s="14" t="str">
        <f>IFERROR(__xludf.DUMMYFUNCTION("split(P512,"":"")"),"Packaging")</f>
        <v>Packaging</v>
      </c>
      <c r="R512" s="14" t="str">
        <f>IFERROR(__xludf.DUMMYFUNCTION("""COMPUTED_VALUE""")," Secure and intact")</f>
        <v> Secure and intact</v>
      </c>
      <c r="S512" s="14" t="str">
        <f t="shared" ref="S512:U512" si="1027">trim(B512)</f>
        <v>ord_10503</v>
      </c>
      <c r="T512" s="14" t="str">
        <f t="shared" si="1027"/>
        <v>Omkar Mishra</v>
      </c>
      <c r="U512" s="14" t="str">
        <f t="shared" si="1027"/>
        <v>Powai</v>
      </c>
      <c r="V512" s="14" t="str">
        <f t="shared" si="4"/>
        <v>Potato</v>
      </c>
      <c r="W512" s="14">
        <f t="shared" si="5"/>
        <v>2</v>
      </c>
      <c r="X512" s="14" t="str">
        <f t="shared" si="6"/>
        <v>Sandeep Kumar</v>
      </c>
      <c r="Y512" s="15">
        <f t="shared" si="7"/>
        <v>45219</v>
      </c>
      <c r="Z512" s="14" t="str">
        <f t="shared" si="8"/>
        <v>COD</v>
      </c>
      <c r="AA512" s="14" t="str">
        <f t="shared" si="9"/>
        <v>Delivered</v>
      </c>
      <c r="AB512" s="14" t="str">
        <f t="shared" ref="AB512:AC512" si="1028">trim(Q512)</f>
        <v>Packaging</v>
      </c>
      <c r="AC512" s="14" t="str">
        <f t="shared" si="1028"/>
        <v>Secure and intact</v>
      </c>
      <c r="AD512" s="8"/>
    </row>
    <row r="513">
      <c r="A513" s="14" t="str">
        <f>IFERROR(__xludf.DUMMYFUNCTION("""COMPUTED_VALUE"""),"//ord_10504//Mehul Thakkar//Malad//Onion+2*Not Assigned/10/11/2023//Online Payment//Cancelled*App Glitches: Payment Button Malfunction")</f>
        <v>//ord_10504//Mehul Thakkar//Malad//Onion+2*Not Assigned/10/11/2023//Online Payment//Cancelled*App Glitches: Payment Button Malfunction</v>
      </c>
      <c r="B513" s="14" t="str">
        <f>IFERROR(__xludf.DUMMYFUNCTION("split(A513,""//"")"),"ord_10504")</f>
        <v>ord_10504</v>
      </c>
      <c r="C513" s="14" t="str">
        <f>IFERROR(__xludf.DUMMYFUNCTION("""COMPUTED_VALUE"""),"Mehul Thakkar")</f>
        <v>Mehul Thakkar</v>
      </c>
      <c r="D513" s="14" t="str">
        <f>IFERROR(__xludf.DUMMYFUNCTION("""COMPUTED_VALUE"""),"Malad")</f>
        <v>Malad</v>
      </c>
      <c r="E513" s="14" t="str">
        <f>IFERROR(__xludf.DUMMYFUNCTION("""COMPUTED_VALUE"""),"Onion+2*Not Assigned")</f>
        <v>Onion+2*Not Assigned</v>
      </c>
      <c r="F513" s="14">
        <f>IFERROR(__xludf.DUMMYFUNCTION("""COMPUTED_VALUE"""),10.0)</f>
        <v>10</v>
      </c>
      <c r="G513" s="14">
        <f>IFERROR(__xludf.DUMMYFUNCTION("""COMPUTED_VALUE"""),11.0)</f>
        <v>11</v>
      </c>
      <c r="H513" s="14">
        <f>IFERROR(__xludf.DUMMYFUNCTION("""COMPUTED_VALUE"""),2023.0)</f>
        <v>2023</v>
      </c>
      <c r="I513" s="14" t="str">
        <f>IFERROR(__xludf.DUMMYFUNCTION("""COMPUTED_VALUE"""),"Online Payment")</f>
        <v>Online Payment</v>
      </c>
      <c r="J513" s="14" t="str">
        <f>IFERROR(__xludf.DUMMYFUNCTION("""COMPUTED_VALUE"""),"Cancelled*App Glitches: Payment Button Malfunction")</f>
        <v>Cancelled*App Glitches: Payment Button Malfunction</v>
      </c>
      <c r="K513" s="14" t="str">
        <f>IFERROR(__xludf.DUMMYFUNCTION("split(E513,""+"")"),"Onion")</f>
        <v>Onion</v>
      </c>
      <c r="L513" s="14" t="str">
        <f>IFERROR(__xludf.DUMMYFUNCTION("""COMPUTED_VALUE"""),"2*Not Assigned")</f>
        <v>2*Not Assigned</v>
      </c>
      <c r="M513" s="14">
        <f>IFERROR(__xludf.DUMMYFUNCTION("SPLIT(L513,""*"")"),2.0)</f>
        <v>2</v>
      </c>
      <c r="N513" s="14" t="str">
        <f>IFERROR(__xludf.DUMMYFUNCTION("""COMPUTED_VALUE"""),"Not Assigned")</f>
        <v>Not Assigned</v>
      </c>
      <c r="O513" s="14" t="str">
        <f>IFERROR(__xludf.DUMMYFUNCTION("split(J513,""*"")"),"Cancelled")</f>
        <v>Cancelled</v>
      </c>
      <c r="P513" s="14" t="str">
        <f>IFERROR(__xludf.DUMMYFUNCTION("""COMPUTED_VALUE"""),"App Glitches: Payment Button Malfunction")</f>
        <v>App Glitches: Payment Button Malfunction</v>
      </c>
      <c r="Q513" s="14" t="str">
        <f>IFERROR(__xludf.DUMMYFUNCTION("split(P513,"":"")"),"App Glitches")</f>
        <v>App Glitches</v>
      </c>
      <c r="R513" s="14" t="str">
        <f>IFERROR(__xludf.DUMMYFUNCTION("""COMPUTED_VALUE""")," Payment Button Malfunction")</f>
        <v> Payment Button Malfunction</v>
      </c>
      <c r="S513" s="14" t="str">
        <f t="shared" ref="S513:U513" si="1029">trim(B513)</f>
        <v>ord_10504</v>
      </c>
      <c r="T513" s="14" t="str">
        <f t="shared" si="1029"/>
        <v>Mehul Thakkar</v>
      </c>
      <c r="U513" s="14" t="str">
        <f t="shared" si="1029"/>
        <v>Malad</v>
      </c>
      <c r="V513" s="14" t="str">
        <f t="shared" si="4"/>
        <v>Onion</v>
      </c>
      <c r="W513" s="14">
        <f t="shared" si="5"/>
        <v>2</v>
      </c>
      <c r="X513" s="14" t="str">
        <f t="shared" si="6"/>
        <v>Not Assigned</v>
      </c>
      <c r="Y513" s="15">
        <f t="shared" si="7"/>
        <v>45210</v>
      </c>
      <c r="Z513" s="14" t="str">
        <f t="shared" si="8"/>
        <v>Online Payment</v>
      </c>
      <c r="AA513" s="14" t="str">
        <f t="shared" si="9"/>
        <v>Cancelled</v>
      </c>
      <c r="AB513" s="14" t="str">
        <f t="shared" ref="AB513:AC513" si="1030">trim(Q513)</f>
        <v>App Glitches</v>
      </c>
      <c r="AC513" s="14" t="str">
        <f t="shared" si="1030"/>
        <v>Payment Button Malfunction</v>
      </c>
      <c r="AD513" s="8"/>
    </row>
    <row r="514">
      <c r="A514" s="14" t="str">
        <f>IFERROR(__xludf.DUMMYFUNCTION("""COMPUTED_VALUE"""),"//ord_10505//Pallavi Ghosh//Bandra//Papaya+1*Priya Joshi/7/2/2023//Online Payment//Delivered*Satisfied with the Delivery: Timely and quality")</f>
        <v>//ord_10505//Pallavi Ghosh//Bandra//Papaya+1*Priya Joshi/7/2/2023//Online Payment//Delivered*Satisfied with the Delivery: Timely and quality</v>
      </c>
      <c r="B514" s="14" t="str">
        <f>IFERROR(__xludf.DUMMYFUNCTION("split(A514,""//"")"),"ord_10505")</f>
        <v>ord_10505</v>
      </c>
      <c r="C514" s="14" t="str">
        <f>IFERROR(__xludf.DUMMYFUNCTION("""COMPUTED_VALUE"""),"Pallavi Ghosh")</f>
        <v>Pallavi Ghosh</v>
      </c>
      <c r="D514" s="14" t="str">
        <f>IFERROR(__xludf.DUMMYFUNCTION("""COMPUTED_VALUE"""),"Bandra")</f>
        <v>Bandra</v>
      </c>
      <c r="E514" s="14" t="str">
        <f>IFERROR(__xludf.DUMMYFUNCTION("""COMPUTED_VALUE"""),"Papaya+1*Priya Joshi")</f>
        <v>Papaya+1*Priya Joshi</v>
      </c>
      <c r="F514" s="14">
        <f>IFERROR(__xludf.DUMMYFUNCTION("""COMPUTED_VALUE"""),7.0)</f>
        <v>7</v>
      </c>
      <c r="G514" s="14">
        <f>IFERROR(__xludf.DUMMYFUNCTION("""COMPUTED_VALUE"""),2.0)</f>
        <v>2</v>
      </c>
      <c r="H514" s="14">
        <f>IFERROR(__xludf.DUMMYFUNCTION("""COMPUTED_VALUE"""),2023.0)</f>
        <v>2023</v>
      </c>
      <c r="I514" s="14" t="str">
        <f>IFERROR(__xludf.DUMMYFUNCTION("""COMPUTED_VALUE"""),"Online Payment")</f>
        <v>Online Payment</v>
      </c>
      <c r="J514" s="14" t="str">
        <f>IFERROR(__xludf.DUMMYFUNCTION("""COMPUTED_VALUE"""),"Delivered*Satisfied with the Delivery: Timely and quality")</f>
        <v>Delivered*Satisfied with the Delivery: Timely and quality</v>
      </c>
      <c r="K514" s="14" t="str">
        <f>IFERROR(__xludf.DUMMYFUNCTION("split(E514,""+"")"),"Papaya")</f>
        <v>Papaya</v>
      </c>
      <c r="L514" s="14" t="str">
        <f>IFERROR(__xludf.DUMMYFUNCTION("""COMPUTED_VALUE"""),"1*Priya Joshi")</f>
        <v>1*Priya Joshi</v>
      </c>
      <c r="M514" s="14">
        <f>IFERROR(__xludf.DUMMYFUNCTION("SPLIT(L514,""*"")"),1.0)</f>
        <v>1</v>
      </c>
      <c r="N514" s="14" t="str">
        <f>IFERROR(__xludf.DUMMYFUNCTION("""COMPUTED_VALUE"""),"Priya Joshi")</f>
        <v>Priya Joshi</v>
      </c>
      <c r="O514" s="14" t="str">
        <f>IFERROR(__xludf.DUMMYFUNCTION("split(J514,""*"")"),"Delivered")</f>
        <v>Delivered</v>
      </c>
      <c r="P514" s="14" t="str">
        <f>IFERROR(__xludf.DUMMYFUNCTION("""COMPUTED_VALUE"""),"Satisfied with the Delivery: Timely and quality")</f>
        <v>Satisfied with the Delivery: Timely and quality</v>
      </c>
      <c r="Q514" s="14" t="str">
        <f>IFERROR(__xludf.DUMMYFUNCTION("split(P514,"":"")"),"Satisfied with the Delivery")</f>
        <v>Satisfied with the Delivery</v>
      </c>
      <c r="R514" s="14" t="str">
        <f>IFERROR(__xludf.DUMMYFUNCTION("""COMPUTED_VALUE""")," Timely and quality")</f>
        <v> Timely and quality</v>
      </c>
      <c r="S514" s="14" t="str">
        <f t="shared" ref="S514:U514" si="1031">trim(B514)</f>
        <v>ord_10505</v>
      </c>
      <c r="T514" s="14" t="str">
        <f t="shared" si="1031"/>
        <v>Pallavi Ghosh</v>
      </c>
      <c r="U514" s="14" t="str">
        <f t="shared" si="1031"/>
        <v>Bandra</v>
      </c>
      <c r="V514" s="14" t="str">
        <f t="shared" si="4"/>
        <v>Papaya</v>
      </c>
      <c r="W514" s="14">
        <f t="shared" si="5"/>
        <v>1</v>
      </c>
      <c r="X514" s="14" t="str">
        <f t="shared" si="6"/>
        <v>Priya Joshi</v>
      </c>
      <c r="Y514" s="15">
        <f t="shared" si="7"/>
        <v>45109</v>
      </c>
      <c r="Z514" s="14" t="str">
        <f t="shared" si="8"/>
        <v>Online Payment</v>
      </c>
      <c r="AA514" s="14" t="str">
        <f t="shared" si="9"/>
        <v>Delivered</v>
      </c>
      <c r="AB514" s="14" t="str">
        <f t="shared" ref="AB514:AC514" si="1032">trim(Q514)</f>
        <v>Satisfied with the Delivery</v>
      </c>
      <c r="AC514" s="14" t="str">
        <f t="shared" si="1032"/>
        <v>Timely and quality</v>
      </c>
      <c r="AD514" s="8"/>
    </row>
    <row r="515">
      <c r="A515" s="14" t="str">
        <f>IFERROR(__xludf.DUMMYFUNCTION("""COMPUTED_VALUE"""),"//ord_10506//Omkar Mishra//Powai//Rasmalai+2*Sandeep Kumar/1/23/2023//UPI//Delivered*Customer Service: Seamless and easy")</f>
        <v>//ord_10506//Omkar Mishra//Powai//Rasmalai+2*Sandeep Kumar/1/23/2023//UPI//Delivered*Customer Service: Seamless and easy</v>
      </c>
      <c r="B515" s="14" t="str">
        <f>IFERROR(__xludf.DUMMYFUNCTION("split(A515,""//"")"),"ord_10506")</f>
        <v>ord_10506</v>
      </c>
      <c r="C515" s="14" t="str">
        <f>IFERROR(__xludf.DUMMYFUNCTION("""COMPUTED_VALUE"""),"Omkar Mishra")</f>
        <v>Omkar Mishra</v>
      </c>
      <c r="D515" s="14" t="str">
        <f>IFERROR(__xludf.DUMMYFUNCTION("""COMPUTED_VALUE"""),"Powai")</f>
        <v>Powai</v>
      </c>
      <c r="E515" s="14" t="str">
        <f>IFERROR(__xludf.DUMMYFUNCTION("""COMPUTED_VALUE"""),"Rasmalai+2*Sandeep Kumar")</f>
        <v>Rasmalai+2*Sandeep Kumar</v>
      </c>
      <c r="F515" s="14">
        <f>IFERROR(__xludf.DUMMYFUNCTION("""COMPUTED_VALUE"""),1.0)</f>
        <v>1</v>
      </c>
      <c r="G515" s="14">
        <f>IFERROR(__xludf.DUMMYFUNCTION("""COMPUTED_VALUE"""),23.0)</f>
        <v>23</v>
      </c>
      <c r="H515" s="14">
        <f>IFERROR(__xludf.DUMMYFUNCTION("""COMPUTED_VALUE"""),2023.0)</f>
        <v>2023</v>
      </c>
      <c r="I515" s="14" t="str">
        <f>IFERROR(__xludf.DUMMYFUNCTION("""COMPUTED_VALUE"""),"UPI")</f>
        <v>UPI</v>
      </c>
      <c r="J515" s="14" t="str">
        <f>IFERROR(__xludf.DUMMYFUNCTION("""COMPUTED_VALUE"""),"Delivered*Customer Service: Seamless and easy")</f>
        <v>Delivered*Customer Service: Seamless and easy</v>
      </c>
      <c r="K515" s="14" t="str">
        <f>IFERROR(__xludf.DUMMYFUNCTION("split(E515,""+"")"),"Rasmalai")</f>
        <v>Rasmalai</v>
      </c>
      <c r="L515" s="14" t="str">
        <f>IFERROR(__xludf.DUMMYFUNCTION("""COMPUTED_VALUE"""),"2*Sandeep Kumar")</f>
        <v>2*Sandeep Kumar</v>
      </c>
      <c r="M515" s="14">
        <f>IFERROR(__xludf.DUMMYFUNCTION("SPLIT(L515,""*"")"),2.0)</f>
        <v>2</v>
      </c>
      <c r="N515" s="14" t="str">
        <f>IFERROR(__xludf.DUMMYFUNCTION("""COMPUTED_VALUE"""),"Sandeep Kumar")</f>
        <v>Sandeep Kumar</v>
      </c>
      <c r="O515" s="14" t="str">
        <f>IFERROR(__xludf.DUMMYFUNCTION("split(J515,""*"")"),"Delivered")</f>
        <v>Delivered</v>
      </c>
      <c r="P515" s="14" t="str">
        <f>IFERROR(__xludf.DUMMYFUNCTION("""COMPUTED_VALUE"""),"Customer Service: Seamless and easy")</f>
        <v>Customer Service: Seamless and easy</v>
      </c>
      <c r="Q515" s="14" t="str">
        <f>IFERROR(__xludf.DUMMYFUNCTION("split(P515,"":"")"),"Customer Service")</f>
        <v>Customer Service</v>
      </c>
      <c r="R515" s="14" t="str">
        <f>IFERROR(__xludf.DUMMYFUNCTION("""COMPUTED_VALUE""")," Seamless and easy")</f>
        <v> Seamless and easy</v>
      </c>
      <c r="S515" s="14" t="str">
        <f t="shared" ref="S515:U515" si="1033">trim(B515)</f>
        <v>ord_10506</v>
      </c>
      <c r="T515" s="14" t="str">
        <f t="shared" si="1033"/>
        <v>Omkar Mishra</v>
      </c>
      <c r="U515" s="14" t="str">
        <f t="shared" si="1033"/>
        <v>Powai</v>
      </c>
      <c r="V515" s="14" t="str">
        <f t="shared" si="4"/>
        <v>Rasmalai</v>
      </c>
      <c r="W515" s="14">
        <f t="shared" si="5"/>
        <v>2</v>
      </c>
      <c r="X515" s="14" t="str">
        <f t="shared" si="6"/>
        <v>Sandeep Kumar</v>
      </c>
      <c r="Y515" s="15">
        <f t="shared" si="7"/>
        <v>44949</v>
      </c>
      <c r="Z515" s="14" t="str">
        <f t="shared" si="8"/>
        <v>UPI</v>
      </c>
      <c r="AA515" s="14" t="str">
        <f t="shared" si="9"/>
        <v>Delivered</v>
      </c>
      <c r="AB515" s="14" t="str">
        <f t="shared" ref="AB515:AC515" si="1034">trim(Q515)</f>
        <v>Customer Service</v>
      </c>
      <c r="AC515" s="14" t="str">
        <f t="shared" si="1034"/>
        <v>Seamless and easy</v>
      </c>
      <c r="AD515" s="8"/>
    </row>
    <row r="516">
      <c r="A516" s="14" t="str">
        <f>IFERROR(__xludf.DUMMYFUNCTION("""COMPUTED_VALUE"""),"//ord_10507//Mohit Malhotra//Lower Parel//Orange+1*Kiran Mehta/1/6/2023//Credit Card//Delivered*Delivery Experience: Quick and professional")</f>
        <v>//ord_10507//Mohit Malhotra//Lower Parel//Orange+1*Kiran Mehta/1/6/2023//Credit Card//Delivered*Delivery Experience: Quick and professional</v>
      </c>
      <c r="B516" s="14" t="str">
        <f>IFERROR(__xludf.DUMMYFUNCTION("split(A516,""//"")"),"ord_10507")</f>
        <v>ord_10507</v>
      </c>
      <c r="C516" s="14" t="str">
        <f>IFERROR(__xludf.DUMMYFUNCTION("""COMPUTED_VALUE"""),"Mohit Malhotra")</f>
        <v>Mohit Malhotra</v>
      </c>
      <c r="D516" s="14" t="str">
        <f>IFERROR(__xludf.DUMMYFUNCTION("""COMPUTED_VALUE"""),"Lower Parel")</f>
        <v>Lower Parel</v>
      </c>
      <c r="E516" s="14" t="str">
        <f>IFERROR(__xludf.DUMMYFUNCTION("""COMPUTED_VALUE"""),"Orange+1*Kiran Mehta")</f>
        <v>Orange+1*Kiran Mehta</v>
      </c>
      <c r="F516" s="14">
        <f>IFERROR(__xludf.DUMMYFUNCTION("""COMPUTED_VALUE"""),1.0)</f>
        <v>1</v>
      </c>
      <c r="G516" s="14">
        <f>IFERROR(__xludf.DUMMYFUNCTION("""COMPUTED_VALUE"""),6.0)</f>
        <v>6</v>
      </c>
      <c r="H516" s="14">
        <f>IFERROR(__xludf.DUMMYFUNCTION("""COMPUTED_VALUE"""),2023.0)</f>
        <v>2023</v>
      </c>
      <c r="I516" s="14" t="str">
        <f>IFERROR(__xludf.DUMMYFUNCTION("""COMPUTED_VALUE"""),"Credit Card")</f>
        <v>Credit Card</v>
      </c>
      <c r="J516" s="14" t="str">
        <f>IFERROR(__xludf.DUMMYFUNCTION("""COMPUTED_VALUE"""),"Delivered*Delivery Experience: Quick and professional")</f>
        <v>Delivered*Delivery Experience: Quick and professional</v>
      </c>
      <c r="K516" s="14" t="str">
        <f>IFERROR(__xludf.DUMMYFUNCTION("split(E516,""+"")"),"Orange")</f>
        <v>Orange</v>
      </c>
      <c r="L516" s="14" t="str">
        <f>IFERROR(__xludf.DUMMYFUNCTION("""COMPUTED_VALUE"""),"1*Kiran Mehta")</f>
        <v>1*Kiran Mehta</v>
      </c>
      <c r="M516" s="14">
        <f>IFERROR(__xludf.DUMMYFUNCTION("SPLIT(L516,""*"")"),1.0)</f>
        <v>1</v>
      </c>
      <c r="N516" s="14" t="str">
        <f>IFERROR(__xludf.DUMMYFUNCTION("""COMPUTED_VALUE"""),"Kiran Mehta")</f>
        <v>Kiran Mehta</v>
      </c>
      <c r="O516" s="14" t="str">
        <f>IFERROR(__xludf.DUMMYFUNCTION("split(J516,""*"")"),"Delivered")</f>
        <v>Delivered</v>
      </c>
      <c r="P516" s="14" t="str">
        <f>IFERROR(__xludf.DUMMYFUNCTION("""COMPUTED_VALUE"""),"Delivery Experience: Quick and professional")</f>
        <v>Delivery Experience: Quick and professional</v>
      </c>
      <c r="Q516" s="14" t="str">
        <f>IFERROR(__xludf.DUMMYFUNCTION("split(P516,"":"")"),"Delivery Experience")</f>
        <v>Delivery Experience</v>
      </c>
      <c r="R516" s="14" t="str">
        <f>IFERROR(__xludf.DUMMYFUNCTION("""COMPUTED_VALUE""")," Quick and professional")</f>
        <v> Quick and professional</v>
      </c>
      <c r="S516" s="14" t="str">
        <f t="shared" ref="S516:U516" si="1035">trim(B516)</f>
        <v>ord_10507</v>
      </c>
      <c r="T516" s="14" t="str">
        <f t="shared" si="1035"/>
        <v>Mohit Malhotra</v>
      </c>
      <c r="U516" s="14" t="str">
        <f t="shared" si="1035"/>
        <v>Lower Parel</v>
      </c>
      <c r="V516" s="14" t="str">
        <f t="shared" si="4"/>
        <v>Orange</v>
      </c>
      <c r="W516" s="14">
        <f t="shared" si="5"/>
        <v>1</v>
      </c>
      <c r="X516" s="14" t="str">
        <f t="shared" si="6"/>
        <v>Kiran Mehta</v>
      </c>
      <c r="Y516" s="15">
        <f t="shared" si="7"/>
        <v>44932</v>
      </c>
      <c r="Z516" s="14" t="str">
        <f t="shared" si="8"/>
        <v>Credit Card</v>
      </c>
      <c r="AA516" s="14" t="str">
        <f t="shared" si="9"/>
        <v>Delivered</v>
      </c>
      <c r="AB516" s="14" t="str">
        <f t="shared" ref="AB516:AC516" si="1036">trim(Q516)</f>
        <v>Delivery Experience</v>
      </c>
      <c r="AC516" s="14" t="str">
        <f t="shared" si="1036"/>
        <v>Quick and professional</v>
      </c>
      <c r="AD516" s="8"/>
    </row>
    <row r="517">
      <c r="A517" s="14" t="str">
        <f>IFERROR(__xludf.DUMMYFUNCTION("""COMPUTED_VALUE"""),"//ord_10508//Aditya Basu//Juhu//Icecream+9*Ram Gopal/6/27/2023//UPI//Delivered*Convenience: Easy tracking")</f>
        <v>//ord_10508//Aditya Basu//Juhu//Icecream+9*Ram Gopal/6/27/2023//UPI//Delivered*Convenience: Easy tracking</v>
      </c>
      <c r="B517" s="14" t="str">
        <f>IFERROR(__xludf.DUMMYFUNCTION("split(A517,""//"")"),"ord_10508")</f>
        <v>ord_10508</v>
      </c>
      <c r="C517" s="14" t="str">
        <f>IFERROR(__xludf.DUMMYFUNCTION("""COMPUTED_VALUE"""),"Aditya Basu")</f>
        <v>Aditya Basu</v>
      </c>
      <c r="D517" s="14" t="str">
        <f>IFERROR(__xludf.DUMMYFUNCTION("""COMPUTED_VALUE"""),"Juhu")</f>
        <v>Juhu</v>
      </c>
      <c r="E517" s="14" t="str">
        <f>IFERROR(__xludf.DUMMYFUNCTION("""COMPUTED_VALUE"""),"Icecream+9*Ram Gopal")</f>
        <v>Icecream+9*Ram Gopal</v>
      </c>
      <c r="F517" s="14">
        <f>IFERROR(__xludf.DUMMYFUNCTION("""COMPUTED_VALUE"""),6.0)</f>
        <v>6</v>
      </c>
      <c r="G517" s="14">
        <f>IFERROR(__xludf.DUMMYFUNCTION("""COMPUTED_VALUE"""),27.0)</f>
        <v>27</v>
      </c>
      <c r="H517" s="14">
        <f>IFERROR(__xludf.DUMMYFUNCTION("""COMPUTED_VALUE"""),2023.0)</f>
        <v>2023</v>
      </c>
      <c r="I517" s="14" t="str">
        <f>IFERROR(__xludf.DUMMYFUNCTION("""COMPUTED_VALUE"""),"UPI")</f>
        <v>UPI</v>
      </c>
      <c r="J517" s="14" t="str">
        <f>IFERROR(__xludf.DUMMYFUNCTION("""COMPUTED_VALUE"""),"Delivered*Convenience: Easy tracking")</f>
        <v>Delivered*Convenience: Easy tracking</v>
      </c>
      <c r="K517" s="14" t="str">
        <f>IFERROR(__xludf.DUMMYFUNCTION("split(E517,""+"")"),"Icecream")</f>
        <v>Icecream</v>
      </c>
      <c r="L517" s="14" t="str">
        <f>IFERROR(__xludf.DUMMYFUNCTION("""COMPUTED_VALUE"""),"9*Ram Gopal")</f>
        <v>9*Ram Gopal</v>
      </c>
      <c r="M517" s="14">
        <f>IFERROR(__xludf.DUMMYFUNCTION("SPLIT(L517,""*"")"),9.0)</f>
        <v>9</v>
      </c>
      <c r="N517" s="14" t="str">
        <f>IFERROR(__xludf.DUMMYFUNCTION("""COMPUTED_VALUE"""),"Ram Gopal")</f>
        <v>Ram Gopal</v>
      </c>
      <c r="O517" s="14" t="str">
        <f>IFERROR(__xludf.DUMMYFUNCTION("split(J517,""*"")"),"Delivered")</f>
        <v>Delivered</v>
      </c>
      <c r="P517" s="14" t="str">
        <f>IFERROR(__xludf.DUMMYFUNCTION("""COMPUTED_VALUE"""),"Convenience: Easy tracking")</f>
        <v>Convenience: Easy tracking</v>
      </c>
      <c r="Q517" s="14" t="str">
        <f>IFERROR(__xludf.DUMMYFUNCTION("split(P517,"":"")"),"Convenience")</f>
        <v>Convenience</v>
      </c>
      <c r="R517" s="14" t="str">
        <f>IFERROR(__xludf.DUMMYFUNCTION("""COMPUTED_VALUE""")," Easy tracking")</f>
        <v> Easy tracking</v>
      </c>
      <c r="S517" s="14" t="str">
        <f t="shared" ref="S517:U517" si="1037">trim(B517)</f>
        <v>ord_10508</v>
      </c>
      <c r="T517" s="14" t="str">
        <f t="shared" si="1037"/>
        <v>Aditya Basu</v>
      </c>
      <c r="U517" s="14" t="str">
        <f t="shared" si="1037"/>
        <v>Juhu</v>
      </c>
      <c r="V517" s="14" t="str">
        <f t="shared" si="4"/>
        <v>Icecream</v>
      </c>
      <c r="W517" s="14">
        <f t="shared" si="5"/>
        <v>9</v>
      </c>
      <c r="X517" s="14" t="str">
        <f t="shared" si="6"/>
        <v>Ram Gopal</v>
      </c>
      <c r="Y517" s="15">
        <f t="shared" si="7"/>
        <v>45104</v>
      </c>
      <c r="Z517" s="14" t="str">
        <f t="shared" si="8"/>
        <v>UPI</v>
      </c>
      <c r="AA517" s="14" t="str">
        <f t="shared" si="9"/>
        <v>Delivered</v>
      </c>
      <c r="AB517" s="14" t="str">
        <f t="shared" ref="AB517:AC517" si="1038">trim(Q517)</f>
        <v>Convenience</v>
      </c>
      <c r="AC517" s="14" t="str">
        <f t="shared" si="1038"/>
        <v>Easy tracking</v>
      </c>
      <c r="AD517" s="8"/>
    </row>
    <row r="518">
      <c r="A518" s="14" t="str">
        <f>IFERROR(__xludf.DUMMYFUNCTION("""COMPUTED_VALUE"""),"//ord_10509//Mehul Thakkar//Malad//Chilli Cheese Toast+3*Ramesh S/12/1/2023//Online Payment//Delivered*Overall Satisfaction: Great service will order again")</f>
        <v>//ord_10509//Mehul Thakkar//Malad//Chilli Cheese Toast+3*Ramesh S/12/1/2023//Online Payment//Delivered*Overall Satisfaction: Great service will order again</v>
      </c>
      <c r="B518" s="14" t="str">
        <f>IFERROR(__xludf.DUMMYFUNCTION("split(A518,""//"")"),"ord_10509")</f>
        <v>ord_10509</v>
      </c>
      <c r="C518" s="14" t="str">
        <f>IFERROR(__xludf.DUMMYFUNCTION("""COMPUTED_VALUE"""),"Mehul Thakkar")</f>
        <v>Mehul Thakkar</v>
      </c>
      <c r="D518" s="14" t="str">
        <f>IFERROR(__xludf.DUMMYFUNCTION("""COMPUTED_VALUE"""),"Malad")</f>
        <v>Malad</v>
      </c>
      <c r="E518" s="14" t="str">
        <f>IFERROR(__xludf.DUMMYFUNCTION("""COMPUTED_VALUE"""),"Chilli Cheese Toast+3*Ramesh S")</f>
        <v>Chilli Cheese Toast+3*Ramesh S</v>
      </c>
      <c r="F518" s="14">
        <f>IFERROR(__xludf.DUMMYFUNCTION("""COMPUTED_VALUE"""),12.0)</f>
        <v>12</v>
      </c>
      <c r="G518" s="14">
        <f>IFERROR(__xludf.DUMMYFUNCTION("""COMPUTED_VALUE"""),1.0)</f>
        <v>1</v>
      </c>
      <c r="H518" s="14">
        <f>IFERROR(__xludf.DUMMYFUNCTION("""COMPUTED_VALUE"""),2023.0)</f>
        <v>2023</v>
      </c>
      <c r="I518" s="14" t="str">
        <f>IFERROR(__xludf.DUMMYFUNCTION("""COMPUTED_VALUE"""),"Online Payment")</f>
        <v>Online Payment</v>
      </c>
      <c r="J518" s="14" t="str">
        <f>IFERROR(__xludf.DUMMYFUNCTION("""COMPUTED_VALUE"""),"Delivered*Overall Satisfaction: Great service will order again")</f>
        <v>Delivered*Overall Satisfaction: Great service will order again</v>
      </c>
      <c r="K518" s="14" t="str">
        <f>IFERROR(__xludf.DUMMYFUNCTION("split(E518,""+"")"),"Chilli Cheese Toast")</f>
        <v>Chilli Cheese Toast</v>
      </c>
      <c r="L518" s="14" t="str">
        <f>IFERROR(__xludf.DUMMYFUNCTION("""COMPUTED_VALUE"""),"3*Ramesh S")</f>
        <v>3*Ramesh S</v>
      </c>
      <c r="M518" s="14">
        <f>IFERROR(__xludf.DUMMYFUNCTION("SPLIT(L518,""*"")"),3.0)</f>
        <v>3</v>
      </c>
      <c r="N518" s="14" t="str">
        <f>IFERROR(__xludf.DUMMYFUNCTION("""COMPUTED_VALUE"""),"Ramesh S")</f>
        <v>Ramesh S</v>
      </c>
      <c r="O518" s="14" t="str">
        <f>IFERROR(__xludf.DUMMYFUNCTION("split(J518,""*"")"),"Delivered")</f>
        <v>Delivered</v>
      </c>
      <c r="P518" s="14" t="str">
        <f>IFERROR(__xludf.DUMMYFUNCTION("""COMPUTED_VALUE"""),"Overall Satisfaction: Great service will order again")</f>
        <v>Overall Satisfaction: Great service will order again</v>
      </c>
      <c r="Q518" s="14" t="str">
        <f>IFERROR(__xludf.DUMMYFUNCTION("split(P518,"":"")"),"Overall Satisfaction")</f>
        <v>Overall Satisfaction</v>
      </c>
      <c r="R518" s="14" t="str">
        <f>IFERROR(__xludf.DUMMYFUNCTION("""COMPUTED_VALUE""")," Great service will order again")</f>
        <v> Great service will order again</v>
      </c>
      <c r="S518" s="14" t="str">
        <f t="shared" ref="S518:U518" si="1039">trim(B518)</f>
        <v>ord_10509</v>
      </c>
      <c r="T518" s="14" t="str">
        <f t="shared" si="1039"/>
        <v>Mehul Thakkar</v>
      </c>
      <c r="U518" s="14" t="str">
        <f t="shared" si="1039"/>
        <v>Malad</v>
      </c>
      <c r="V518" s="14" t="str">
        <f t="shared" si="4"/>
        <v>Chilli Cheese Toast</v>
      </c>
      <c r="W518" s="14">
        <f t="shared" si="5"/>
        <v>3</v>
      </c>
      <c r="X518" s="14" t="str">
        <f t="shared" si="6"/>
        <v>Ramesh S</v>
      </c>
      <c r="Y518" s="15">
        <f t="shared" si="7"/>
        <v>45261</v>
      </c>
      <c r="Z518" s="14" t="str">
        <f t="shared" si="8"/>
        <v>Online Payment</v>
      </c>
      <c r="AA518" s="14" t="str">
        <f t="shared" si="9"/>
        <v>Delivered</v>
      </c>
      <c r="AB518" s="14" t="str">
        <f t="shared" ref="AB518:AC518" si="1040">trim(Q518)</f>
        <v>Overall Satisfaction</v>
      </c>
      <c r="AC518" s="14" t="str">
        <f t="shared" si="1040"/>
        <v>Great service will order again</v>
      </c>
      <c r="AD518" s="8"/>
    </row>
    <row r="519">
      <c r="A519" s="14" t="str">
        <f>IFERROR(__xludf.DUMMYFUNCTION("""COMPUTED_VALUE"""),"//ord_10510//Pranav Joshi//Andheri//Veg Puff+5*Shine Thomas/10/6/2023//UPI//Delivered*On-time Delivery: Delivered on time")</f>
        <v>//ord_10510//Pranav Joshi//Andheri//Veg Puff+5*Shine Thomas/10/6/2023//UPI//Delivered*On-time Delivery: Delivered on time</v>
      </c>
      <c r="B519" s="14" t="str">
        <f>IFERROR(__xludf.DUMMYFUNCTION("split(A519,""//"")"),"ord_10510")</f>
        <v>ord_10510</v>
      </c>
      <c r="C519" s="14" t="str">
        <f>IFERROR(__xludf.DUMMYFUNCTION("""COMPUTED_VALUE"""),"Pranav Joshi")</f>
        <v>Pranav Joshi</v>
      </c>
      <c r="D519" s="14" t="str">
        <f>IFERROR(__xludf.DUMMYFUNCTION("""COMPUTED_VALUE"""),"Andheri")</f>
        <v>Andheri</v>
      </c>
      <c r="E519" s="14" t="str">
        <f>IFERROR(__xludf.DUMMYFUNCTION("""COMPUTED_VALUE"""),"Veg Puff+5*Shine Thomas")</f>
        <v>Veg Puff+5*Shine Thomas</v>
      </c>
      <c r="F519" s="14">
        <f>IFERROR(__xludf.DUMMYFUNCTION("""COMPUTED_VALUE"""),10.0)</f>
        <v>10</v>
      </c>
      <c r="G519" s="14">
        <f>IFERROR(__xludf.DUMMYFUNCTION("""COMPUTED_VALUE"""),6.0)</f>
        <v>6</v>
      </c>
      <c r="H519" s="14">
        <f>IFERROR(__xludf.DUMMYFUNCTION("""COMPUTED_VALUE"""),2023.0)</f>
        <v>2023</v>
      </c>
      <c r="I519" s="14" t="str">
        <f>IFERROR(__xludf.DUMMYFUNCTION("""COMPUTED_VALUE"""),"UPI")</f>
        <v>UPI</v>
      </c>
      <c r="J519" s="14" t="str">
        <f>IFERROR(__xludf.DUMMYFUNCTION("""COMPUTED_VALUE"""),"Delivered*On-time Delivery: Delivered on time")</f>
        <v>Delivered*On-time Delivery: Delivered on time</v>
      </c>
      <c r="K519" s="14" t="str">
        <f>IFERROR(__xludf.DUMMYFUNCTION("split(E519,""+"")"),"Veg Puff")</f>
        <v>Veg Puff</v>
      </c>
      <c r="L519" s="14" t="str">
        <f>IFERROR(__xludf.DUMMYFUNCTION("""COMPUTED_VALUE"""),"5*Shine Thomas")</f>
        <v>5*Shine Thomas</v>
      </c>
      <c r="M519" s="14">
        <f>IFERROR(__xludf.DUMMYFUNCTION("SPLIT(L519,""*"")"),5.0)</f>
        <v>5</v>
      </c>
      <c r="N519" s="14" t="str">
        <f>IFERROR(__xludf.DUMMYFUNCTION("""COMPUTED_VALUE"""),"Shine Thomas")</f>
        <v>Shine Thomas</v>
      </c>
      <c r="O519" s="14" t="str">
        <f>IFERROR(__xludf.DUMMYFUNCTION("split(J519,""*"")"),"Delivered")</f>
        <v>Delivered</v>
      </c>
      <c r="P519" s="14" t="str">
        <f>IFERROR(__xludf.DUMMYFUNCTION("""COMPUTED_VALUE"""),"On-time Delivery: Delivered on time")</f>
        <v>On-time Delivery: Delivered on time</v>
      </c>
      <c r="Q519" s="14" t="str">
        <f>IFERROR(__xludf.DUMMYFUNCTION("split(P519,"":"")"),"On-time Delivery")</f>
        <v>On-time Delivery</v>
      </c>
      <c r="R519" s="14" t="str">
        <f>IFERROR(__xludf.DUMMYFUNCTION("""COMPUTED_VALUE""")," Delivered on time")</f>
        <v> Delivered on time</v>
      </c>
      <c r="S519" s="14" t="str">
        <f t="shared" ref="S519:U519" si="1041">trim(B519)</f>
        <v>ord_10510</v>
      </c>
      <c r="T519" s="14" t="str">
        <f t="shared" si="1041"/>
        <v>Pranav Joshi</v>
      </c>
      <c r="U519" s="14" t="str">
        <f t="shared" si="1041"/>
        <v>Andheri</v>
      </c>
      <c r="V519" s="14" t="str">
        <f t="shared" si="4"/>
        <v>Veg Puff</v>
      </c>
      <c r="W519" s="14">
        <f t="shared" si="5"/>
        <v>5</v>
      </c>
      <c r="X519" s="14" t="str">
        <f t="shared" si="6"/>
        <v>Shine Thomas</v>
      </c>
      <c r="Y519" s="15">
        <f t="shared" si="7"/>
        <v>45205</v>
      </c>
      <c r="Z519" s="14" t="str">
        <f t="shared" si="8"/>
        <v>UPI</v>
      </c>
      <c r="AA519" s="14" t="str">
        <f t="shared" si="9"/>
        <v>Delivered</v>
      </c>
      <c r="AB519" s="14" t="str">
        <f t="shared" ref="AB519:AC519" si="1042">trim(Q519)</f>
        <v>On-time Delivery</v>
      </c>
      <c r="AC519" s="14" t="str">
        <f t="shared" si="1042"/>
        <v>Delivered on time</v>
      </c>
      <c r="AD519" s="8"/>
    </row>
    <row r="520">
      <c r="A520" s="14" t="str">
        <f>IFERROR(__xludf.DUMMYFUNCTION("""COMPUTED_VALUE"""),"//ord_10511//Pallavi Ghosh//Bandra//Potato+1*Sita T/5/4/2023//Credit Card//Delivered*Quality of Items: Perfect condition")</f>
        <v>//ord_10511//Pallavi Ghosh//Bandra//Potato+1*Sita T/5/4/2023//Credit Card//Delivered*Quality of Items: Perfect condition</v>
      </c>
      <c r="B520" s="14" t="str">
        <f>IFERROR(__xludf.DUMMYFUNCTION("split(A520,""//"")"),"ord_10511")</f>
        <v>ord_10511</v>
      </c>
      <c r="C520" s="14" t="str">
        <f>IFERROR(__xludf.DUMMYFUNCTION("""COMPUTED_VALUE"""),"Pallavi Ghosh")</f>
        <v>Pallavi Ghosh</v>
      </c>
      <c r="D520" s="14" t="str">
        <f>IFERROR(__xludf.DUMMYFUNCTION("""COMPUTED_VALUE"""),"Bandra")</f>
        <v>Bandra</v>
      </c>
      <c r="E520" s="14" t="str">
        <f>IFERROR(__xludf.DUMMYFUNCTION("""COMPUTED_VALUE"""),"Potato+1*Sita T")</f>
        <v>Potato+1*Sita T</v>
      </c>
      <c r="F520" s="14">
        <f>IFERROR(__xludf.DUMMYFUNCTION("""COMPUTED_VALUE"""),5.0)</f>
        <v>5</v>
      </c>
      <c r="G520" s="14">
        <f>IFERROR(__xludf.DUMMYFUNCTION("""COMPUTED_VALUE"""),4.0)</f>
        <v>4</v>
      </c>
      <c r="H520" s="14">
        <f>IFERROR(__xludf.DUMMYFUNCTION("""COMPUTED_VALUE"""),2023.0)</f>
        <v>2023</v>
      </c>
      <c r="I520" s="14" t="str">
        <f>IFERROR(__xludf.DUMMYFUNCTION("""COMPUTED_VALUE"""),"Credit Card")</f>
        <v>Credit Card</v>
      </c>
      <c r="J520" s="14" t="str">
        <f>IFERROR(__xludf.DUMMYFUNCTION("""COMPUTED_VALUE"""),"Delivered*Quality of Items: Perfect condition")</f>
        <v>Delivered*Quality of Items: Perfect condition</v>
      </c>
      <c r="K520" s="14" t="str">
        <f>IFERROR(__xludf.DUMMYFUNCTION("split(E520,""+"")"),"Potato")</f>
        <v>Potato</v>
      </c>
      <c r="L520" s="14" t="str">
        <f>IFERROR(__xludf.DUMMYFUNCTION("""COMPUTED_VALUE"""),"1*Sita T")</f>
        <v>1*Sita T</v>
      </c>
      <c r="M520" s="14">
        <f>IFERROR(__xludf.DUMMYFUNCTION("SPLIT(L520,""*"")"),1.0)</f>
        <v>1</v>
      </c>
      <c r="N520" s="14" t="str">
        <f>IFERROR(__xludf.DUMMYFUNCTION("""COMPUTED_VALUE"""),"Sita T")</f>
        <v>Sita T</v>
      </c>
      <c r="O520" s="14" t="str">
        <f>IFERROR(__xludf.DUMMYFUNCTION("split(J520,""*"")"),"Delivered")</f>
        <v>Delivered</v>
      </c>
      <c r="P520" s="14" t="str">
        <f>IFERROR(__xludf.DUMMYFUNCTION("""COMPUTED_VALUE"""),"Quality of Items: Perfect condition")</f>
        <v>Quality of Items: Perfect condition</v>
      </c>
      <c r="Q520" s="14" t="str">
        <f>IFERROR(__xludf.DUMMYFUNCTION("split(P520,"":"")"),"Quality of Items")</f>
        <v>Quality of Items</v>
      </c>
      <c r="R520" s="14" t="str">
        <f>IFERROR(__xludf.DUMMYFUNCTION("""COMPUTED_VALUE""")," Perfect condition")</f>
        <v> Perfect condition</v>
      </c>
      <c r="S520" s="14" t="str">
        <f t="shared" ref="S520:U520" si="1043">trim(B520)</f>
        <v>ord_10511</v>
      </c>
      <c r="T520" s="14" t="str">
        <f t="shared" si="1043"/>
        <v>Pallavi Ghosh</v>
      </c>
      <c r="U520" s="14" t="str">
        <f t="shared" si="1043"/>
        <v>Bandra</v>
      </c>
      <c r="V520" s="14" t="str">
        <f t="shared" si="4"/>
        <v>Potato</v>
      </c>
      <c r="W520" s="14">
        <f t="shared" si="5"/>
        <v>1</v>
      </c>
      <c r="X520" s="14" t="str">
        <f t="shared" si="6"/>
        <v>Sita T</v>
      </c>
      <c r="Y520" s="15">
        <f t="shared" si="7"/>
        <v>45050</v>
      </c>
      <c r="Z520" s="14" t="str">
        <f t="shared" si="8"/>
        <v>Credit Card</v>
      </c>
      <c r="AA520" s="14" t="str">
        <f t="shared" si="9"/>
        <v>Delivered</v>
      </c>
      <c r="AB520" s="14" t="str">
        <f t="shared" ref="AB520:AC520" si="1044">trim(Q520)</f>
        <v>Quality of Items</v>
      </c>
      <c r="AC520" s="14" t="str">
        <f t="shared" si="1044"/>
        <v>Perfect condition</v>
      </c>
      <c r="AD520" s="8"/>
    </row>
    <row r="521">
      <c r="A521" s="14" t="str">
        <f>IFERROR(__xludf.DUMMYFUNCTION("""COMPUTED_VALUE"""),"//ord_10512//Tanishq Bansal//Powai//Orange+1*Vivek Kumar/12/3/2023//UPI//Delivered*On-time Delivery: Delivered on time")</f>
        <v>//ord_10512//Tanishq Bansal//Powai//Orange+1*Vivek Kumar/12/3/2023//UPI//Delivered*On-time Delivery: Delivered on time</v>
      </c>
      <c r="B521" s="14" t="str">
        <f>IFERROR(__xludf.DUMMYFUNCTION("split(A521,""//"")"),"ord_10512")</f>
        <v>ord_10512</v>
      </c>
      <c r="C521" s="14" t="str">
        <f>IFERROR(__xludf.DUMMYFUNCTION("""COMPUTED_VALUE"""),"Tanishq Bansal")</f>
        <v>Tanishq Bansal</v>
      </c>
      <c r="D521" s="14" t="str">
        <f>IFERROR(__xludf.DUMMYFUNCTION("""COMPUTED_VALUE"""),"Powai")</f>
        <v>Powai</v>
      </c>
      <c r="E521" s="14" t="str">
        <f>IFERROR(__xludf.DUMMYFUNCTION("""COMPUTED_VALUE"""),"Orange+1*Vivek Kumar")</f>
        <v>Orange+1*Vivek Kumar</v>
      </c>
      <c r="F521" s="14">
        <f>IFERROR(__xludf.DUMMYFUNCTION("""COMPUTED_VALUE"""),12.0)</f>
        <v>12</v>
      </c>
      <c r="G521" s="14">
        <f>IFERROR(__xludf.DUMMYFUNCTION("""COMPUTED_VALUE"""),3.0)</f>
        <v>3</v>
      </c>
      <c r="H521" s="14">
        <f>IFERROR(__xludf.DUMMYFUNCTION("""COMPUTED_VALUE"""),2023.0)</f>
        <v>2023</v>
      </c>
      <c r="I521" s="14" t="str">
        <f>IFERROR(__xludf.DUMMYFUNCTION("""COMPUTED_VALUE"""),"UPI")</f>
        <v>UPI</v>
      </c>
      <c r="J521" s="14" t="str">
        <f>IFERROR(__xludf.DUMMYFUNCTION("""COMPUTED_VALUE"""),"Delivered*On-time Delivery: Delivered on time")</f>
        <v>Delivered*On-time Delivery: Delivered on time</v>
      </c>
      <c r="K521" s="14" t="str">
        <f>IFERROR(__xludf.DUMMYFUNCTION("split(E521,""+"")"),"Orange")</f>
        <v>Orange</v>
      </c>
      <c r="L521" s="14" t="str">
        <f>IFERROR(__xludf.DUMMYFUNCTION("""COMPUTED_VALUE"""),"1*Vivek Kumar")</f>
        <v>1*Vivek Kumar</v>
      </c>
      <c r="M521" s="14">
        <f>IFERROR(__xludf.DUMMYFUNCTION("SPLIT(L521,""*"")"),1.0)</f>
        <v>1</v>
      </c>
      <c r="N521" s="14" t="str">
        <f>IFERROR(__xludf.DUMMYFUNCTION("""COMPUTED_VALUE"""),"Vivek Kumar")</f>
        <v>Vivek Kumar</v>
      </c>
      <c r="O521" s="14" t="str">
        <f>IFERROR(__xludf.DUMMYFUNCTION("split(J521,""*"")"),"Delivered")</f>
        <v>Delivered</v>
      </c>
      <c r="P521" s="14" t="str">
        <f>IFERROR(__xludf.DUMMYFUNCTION("""COMPUTED_VALUE"""),"On-time Delivery: Delivered on time")</f>
        <v>On-time Delivery: Delivered on time</v>
      </c>
      <c r="Q521" s="14" t="str">
        <f>IFERROR(__xludf.DUMMYFUNCTION("split(P521,"":"")"),"On-time Delivery")</f>
        <v>On-time Delivery</v>
      </c>
      <c r="R521" s="14" t="str">
        <f>IFERROR(__xludf.DUMMYFUNCTION("""COMPUTED_VALUE""")," Delivered on time")</f>
        <v> Delivered on time</v>
      </c>
      <c r="S521" s="14" t="str">
        <f t="shared" ref="S521:U521" si="1045">trim(B521)</f>
        <v>ord_10512</v>
      </c>
      <c r="T521" s="14" t="str">
        <f t="shared" si="1045"/>
        <v>Tanishq Bansal</v>
      </c>
      <c r="U521" s="14" t="str">
        <f t="shared" si="1045"/>
        <v>Powai</v>
      </c>
      <c r="V521" s="14" t="str">
        <f t="shared" si="4"/>
        <v>Orange</v>
      </c>
      <c r="W521" s="14">
        <f t="shared" si="5"/>
        <v>1</v>
      </c>
      <c r="X521" s="14" t="str">
        <f t="shared" si="6"/>
        <v>Vivek Kumar</v>
      </c>
      <c r="Y521" s="15">
        <f t="shared" si="7"/>
        <v>45263</v>
      </c>
      <c r="Z521" s="14" t="str">
        <f t="shared" si="8"/>
        <v>UPI</v>
      </c>
      <c r="AA521" s="14" t="str">
        <f t="shared" si="9"/>
        <v>Delivered</v>
      </c>
      <c r="AB521" s="14" t="str">
        <f t="shared" ref="AB521:AC521" si="1046">trim(Q521)</f>
        <v>On-time Delivery</v>
      </c>
      <c r="AC521" s="14" t="str">
        <f t="shared" si="1046"/>
        <v>Delivered on time</v>
      </c>
      <c r="AD521" s="8"/>
    </row>
    <row r="522">
      <c r="A522" s="14" t="str">
        <f>IFERROR(__xludf.DUMMYFUNCTION("""COMPUTED_VALUE"""),"//ord_10513//Tanishq Bansal//Powai//Cold Coffee+3*Not Assigned/12/24/2023//Credit Card//Cancelled*Out of Stock")</f>
        <v>//ord_10513//Tanishq Bansal//Powai//Cold Coffee+3*Not Assigned/12/24/2023//Credit Card//Cancelled*Out of Stock</v>
      </c>
      <c r="B522" s="14" t="str">
        <f>IFERROR(__xludf.DUMMYFUNCTION("split(A522,""//"")"),"ord_10513")</f>
        <v>ord_10513</v>
      </c>
      <c r="C522" s="14" t="str">
        <f>IFERROR(__xludf.DUMMYFUNCTION("""COMPUTED_VALUE"""),"Tanishq Bansal")</f>
        <v>Tanishq Bansal</v>
      </c>
      <c r="D522" s="14" t="str">
        <f>IFERROR(__xludf.DUMMYFUNCTION("""COMPUTED_VALUE"""),"Powai")</f>
        <v>Powai</v>
      </c>
      <c r="E522" s="14" t="str">
        <f>IFERROR(__xludf.DUMMYFUNCTION("""COMPUTED_VALUE"""),"Cold Coffee+3*Not Assigned")</f>
        <v>Cold Coffee+3*Not Assigned</v>
      </c>
      <c r="F522" s="14">
        <f>IFERROR(__xludf.DUMMYFUNCTION("""COMPUTED_VALUE"""),12.0)</f>
        <v>12</v>
      </c>
      <c r="G522" s="14">
        <f>IFERROR(__xludf.DUMMYFUNCTION("""COMPUTED_VALUE"""),24.0)</f>
        <v>24</v>
      </c>
      <c r="H522" s="14">
        <f>IFERROR(__xludf.DUMMYFUNCTION("""COMPUTED_VALUE"""),2023.0)</f>
        <v>2023</v>
      </c>
      <c r="I522" s="14" t="str">
        <f>IFERROR(__xludf.DUMMYFUNCTION("""COMPUTED_VALUE"""),"Credit Card")</f>
        <v>Credit Card</v>
      </c>
      <c r="J522" s="14" t="str">
        <f>IFERROR(__xludf.DUMMYFUNCTION("""COMPUTED_VALUE"""),"Cancelled*Out of Stock")</f>
        <v>Cancelled*Out of Stock</v>
      </c>
      <c r="K522" s="14" t="str">
        <f>IFERROR(__xludf.DUMMYFUNCTION("split(E522,""+"")"),"Cold Coffee")</f>
        <v>Cold Coffee</v>
      </c>
      <c r="L522" s="14" t="str">
        <f>IFERROR(__xludf.DUMMYFUNCTION("""COMPUTED_VALUE"""),"3*Not Assigned")</f>
        <v>3*Not Assigned</v>
      </c>
      <c r="M522" s="14">
        <f>IFERROR(__xludf.DUMMYFUNCTION("SPLIT(L522,""*"")"),3.0)</f>
        <v>3</v>
      </c>
      <c r="N522" s="14" t="str">
        <f>IFERROR(__xludf.DUMMYFUNCTION("""COMPUTED_VALUE"""),"Not Assigned")</f>
        <v>Not Assigned</v>
      </c>
      <c r="O522" s="14" t="str">
        <f>IFERROR(__xludf.DUMMYFUNCTION("split(J522,""*"")"),"Cancelled")</f>
        <v>Cancelled</v>
      </c>
      <c r="P522" s="14" t="str">
        <f>IFERROR(__xludf.DUMMYFUNCTION("""COMPUTED_VALUE"""),"Out of Stock")</f>
        <v>Out of Stock</v>
      </c>
      <c r="Q522" s="14" t="str">
        <f>IFERROR(__xludf.DUMMYFUNCTION("split(P522,"":"")"),"Out of Stock")</f>
        <v>Out of Stock</v>
      </c>
      <c r="R522" s="14"/>
      <c r="S522" s="14" t="str">
        <f t="shared" ref="S522:U522" si="1047">trim(B522)</f>
        <v>ord_10513</v>
      </c>
      <c r="T522" s="14" t="str">
        <f t="shared" si="1047"/>
        <v>Tanishq Bansal</v>
      </c>
      <c r="U522" s="14" t="str">
        <f t="shared" si="1047"/>
        <v>Powai</v>
      </c>
      <c r="V522" s="14" t="str">
        <f t="shared" si="4"/>
        <v>Cold Coffee</v>
      </c>
      <c r="W522" s="14">
        <f t="shared" si="5"/>
        <v>3</v>
      </c>
      <c r="X522" s="14" t="str">
        <f t="shared" si="6"/>
        <v>Not Assigned</v>
      </c>
      <c r="Y522" s="15">
        <f t="shared" si="7"/>
        <v>45284</v>
      </c>
      <c r="Z522" s="14" t="str">
        <f t="shared" si="8"/>
        <v>Credit Card</v>
      </c>
      <c r="AA522" s="14" t="str">
        <f t="shared" si="9"/>
        <v>Cancelled</v>
      </c>
      <c r="AB522" s="14" t="str">
        <f t="shared" ref="AB522:AC522" si="1048">trim(Q522)</f>
        <v>Out of Stock</v>
      </c>
      <c r="AC522" s="14" t="str">
        <f t="shared" si="1048"/>
        <v/>
      </c>
      <c r="AD522" s="8"/>
    </row>
    <row r="523">
      <c r="A523" s="14" t="str">
        <f>IFERROR(__xludf.DUMMYFUNCTION("""COMPUTED_VALUE"""),"//ord_10514//Arvind Kulkarni//Juhu//Potato+1*Kiran Mehta/11/17/2023//Credit Card//Cancelled*Delayed Delivery:Bad Weather Conditions ")</f>
        <v>//ord_10514//Arvind Kulkarni//Juhu//Potato+1*Kiran Mehta/11/17/2023//Credit Card//Cancelled*Delayed Delivery:Bad Weather Conditions </v>
      </c>
      <c r="B523" s="14" t="str">
        <f>IFERROR(__xludf.DUMMYFUNCTION("split(A523,""//"")"),"ord_10514")</f>
        <v>ord_10514</v>
      </c>
      <c r="C523" s="14" t="str">
        <f>IFERROR(__xludf.DUMMYFUNCTION("""COMPUTED_VALUE"""),"Arvind Kulkarni")</f>
        <v>Arvind Kulkarni</v>
      </c>
      <c r="D523" s="14" t="str">
        <f>IFERROR(__xludf.DUMMYFUNCTION("""COMPUTED_VALUE"""),"Juhu")</f>
        <v>Juhu</v>
      </c>
      <c r="E523" s="14" t="str">
        <f>IFERROR(__xludf.DUMMYFUNCTION("""COMPUTED_VALUE"""),"Potato+1*Kiran Mehta")</f>
        <v>Potato+1*Kiran Mehta</v>
      </c>
      <c r="F523" s="14">
        <f>IFERROR(__xludf.DUMMYFUNCTION("""COMPUTED_VALUE"""),11.0)</f>
        <v>11</v>
      </c>
      <c r="G523" s="14">
        <f>IFERROR(__xludf.DUMMYFUNCTION("""COMPUTED_VALUE"""),17.0)</f>
        <v>17</v>
      </c>
      <c r="H523" s="14">
        <f>IFERROR(__xludf.DUMMYFUNCTION("""COMPUTED_VALUE"""),2023.0)</f>
        <v>2023</v>
      </c>
      <c r="I523" s="14" t="str">
        <f>IFERROR(__xludf.DUMMYFUNCTION("""COMPUTED_VALUE"""),"Credit Card")</f>
        <v>Credit Card</v>
      </c>
      <c r="J523" s="14" t="str">
        <f>IFERROR(__xludf.DUMMYFUNCTION("""COMPUTED_VALUE"""),"Cancelled*Delayed Delivery:Bad Weather Conditions ")</f>
        <v>Cancelled*Delayed Delivery:Bad Weather Conditions </v>
      </c>
      <c r="K523" s="14" t="str">
        <f>IFERROR(__xludf.DUMMYFUNCTION("split(E523,""+"")"),"Potato")</f>
        <v>Potato</v>
      </c>
      <c r="L523" s="14" t="str">
        <f>IFERROR(__xludf.DUMMYFUNCTION("""COMPUTED_VALUE"""),"1*Kiran Mehta")</f>
        <v>1*Kiran Mehta</v>
      </c>
      <c r="M523" s="14">
        <f>IFERROR(__xludf.DUMMYFUNCTION("SPLIT(L523,""*"")"),1.0)</f>
        <v>1</v>
      </c>
      <c r="N523" s="14" t="str">
        <f>IFERROR(__xludf.DUMMYFUNCTION("""COMPUTED_VALUE"""),"Kiran Mehta")</f>
        <v>Kiran Mehta</v>
      </c>
      <c r="O523" s="14" t="str">
        <f>IFERROR(__xludf.DUMMYFUNCTION("split(J523,""*"")"),"Cancelled")</f>
        <v>Cancelled</v>
      </c>
      <c r="P523" s="14" t="str">
        <f>IFERROR(__xludf.DUMMYFUNCTION("""COMPUTED_VALUE"""),"Delayed Delivery:Bad Weather Conditions ")</f>
        <v>Delayed Delivery:Bad Weather Conditions </v>
      </c>
      <c r="Q523" s="14" t="str">
        <f>IFERROR(__xludf.DUMMYFUNCTION("split(P523,"":"")"),"Delayed Delivery")</f>
        <v>Delayed Delivery</v>
      </c>
      <c r="R523" s="14" t="str">
        <f>IFERROR(__xludf.DUMMYFUNCTION("""COMPUTED_VALUE"""),"Bad Weather Conditions ")</f>
        <v>Bad Weather Conditions </v>
      </c>
      <c r="S523" s="14" t="str">
        <f t="shared" ref="S523:U523" si="1049">trim(B523)</f>
        <v>ord_10514</v>
      </c>
      <c r="T523" s="14" t="str">
        <f t="shared" si="1049"/>
        <v>Arvind Kulkarni</v>
      </c>
      <c r="U523" s="14" t="str">
        <f t="shared" si="1049"/>
        <v>Juhu</v>
      </c>
      <c r="V523" s="14" t="str">
        <f t="shared" si="4"/>
        <v>Potato</v>
      </c>
      <c r="W523" s="14">
        <f t="shared" si="5"/>
        <v>1</v>
      </c>
      <c r="X523" s="14" t="str">
        <f t="shared" si="6"/>
        <v>Kiran Mehta</v>
      </c>
      <c r="Y523" s="15">
        <f t="shared" si="7"/>
        <v>45247</v>
      </c>
      <c r="Z523" s="14" t="str">
        <f t="shared" si="8"/>
        <v>Credit Card</v>
      </c>
      <c r="AA523" s="14" t="str">
        <f t="shared" si="9"/>
        <v>Cancelled</v>
      </c>
      <c r="AB523" s="14" t="str">
        <f t="shared" ref="AB523:AC523" si="1050">trim(Q523)</f>
        <v>Delayed Delivery</v>
      </c>
      <c r="AC523" s="14" t="str">
        <f t="shared" si="1050"/>
        <v>Bad Weather Conditions</v>
      </c>
      <c r="AD523" s="8"/>
    </row>
    <row r="524">
      <c r="A524" s="14" t="str">
        <f>IFERROR(__xludf.DUMMYFUNCTION("""COMPUTED_VALUE"""),"//ord_10515//Arvind Kulkarni//Juhu//Chicken Puff+5*Ramesh S/11/26/2023//COD//Delivered*Quality of Items: Perfect condition")</f>
        <v>//ord_10515//Arvind Kulkarni//Juhu//Chicken Puff+5*Ramesh S/11/26/2023//COD//Delivered*Quality of Items: Perfect condition</v>
      </c>
      <c r="B524" s="14" t="str">
        <f>IFERROR(__xludf.DUMMYFUNCTION("split(A524,""//"")"),"ord_10515")</f>
        <v>ord_10515</v>
      </c>
      <c r="C524" s="14" t="str">
        <f>IFERROR(__xludf.DUMMYFUNCTION("""COMPUTED_VALUE"""),"Arvind Kulkarni")</f>
        <v>Arvind Kulkarni</v>
      </c>
      <c r="D524" s="14" t="str">
        <f>IFERROR(__xludf.DUMMYFUNCTION("""COMPUTED_VALUE"""),"Juhu")</f>
        <v>Juhu</v>
      </c>
      <c r="E524" s="14" t="str">
        <f>IFERROR(__xludf.DUMMYFUNCTION("""COMPUTED_VALUE"""),"Chicken Puff+5*Ramesh S")</f>
        <v>Chicken Puff+5*Ramesh S</v>
      </c>
      <c r="F524" s="14">
        <f>IFERROR(__xludf.DUMMYFUNCTION("""COMPUTED_VALUE"""),11.0)</f>
        <v>11</v>
      </c>
      <c r="G524" s="14">
        <f>IFERROR(__xludf.DUMMYFUNCTION("""COMPUTED_VALUE"""),26.0)</f>
        <v>26</v>
      </c>
      <c r="H524" s="14">
        <f>IFERROR(__xludf.DUMMYFUNCTION("""COMPUTED_VALUE"""),2023.0)</f>
        <v>2023</v>
      </c>
      <c r="I524" s="14" t="str">
        <f>IFERROR(__xludf.DUMMYFUNCTION("""COMPUTED_VALUE"""),"COD")</f>
        <v>COD</v>
      </c>
      <c r="J524" s="14" t="str">
        <f>IFERROR(__xludf.DUMMYFUNCTION("""COMPUTED_VALUE"""),"Delivered*Quality of Items: Perfect condition")</f>
        <v>Delivered*Quality of Items: Perfect condition</v>
      </c>
      <c r="K524" s="14" t="str">
        <f>IFERROR(__xludf.DUMMYFUNCTION("split(E524,""+"")"),"Chicken Puff")</f>
        <v>Chicken Puff</v>
      </c>
      <c r="L524" s="14" t="str">
        <f>IFERROR(__xludf.DUMMYFUNCTION("""COMPUTED_VALUE"""),"5*Ramesh S")</f>
        <v>5*Ramesh S</v>
      </c>
      <c r="M524" s="14">
        <f>IFERROR(__xludf.DUMMYFUNCTION("SPLIT(L524,""*"")"),5.0)</f>
        <v>5</v>
      </c>
      <c r="N524" s="14" t="str">
        <f>IFERROR(__xludf.DUMMYFUNCTION("""COMPUTED_VALUE"""),"Ramesh S")</f>
        <v>Ramesh S</v>
      </c>
      <c r="O524" s="14" t="str">
        <f>IFERROR(__xludf.DUMMYFUNCTION("split(J524,""*"")"),"Delivered")</f>
        <v>Delivered</v>
      </c>
      <c r="P524" s="14" t="str">
        <f>IFERROR(__xludf.DUMMYFUNCTION("""COMPUTED_VALUE"""),"Quality of Items: Perfect condition")</f>
        <v>Quality of Items: Perfect condition</v>
      </c>
      <c r="Q524" s="14" t="str">
        <f>IFERROR(__xludf.DUMMYFUNCTION("split(P524,"":"")"),"Quality of Items")</f>
        <v>Quality of Items</v>
      </c>
      <c r="R524" s="14" t="str">
        <f>IFERROR(__xludf.DUMMYFUNCTION("""COMPUTED_VALUE""")," Perfect condition")</f>
        <v> Perfect condition</v>
      </c>
      <c r="S524" s="14" t="str">
        <f t="shared" ref="S524:U524" si="1051">trim(B524)</f>
        <v>ord_10515</v>
      </c>
      <c r="T524" s="14" t="str">
        <f t="shared" si="1051"/>
        <v>Arvind Kulkarni</v>
      </c>
      <c r="U524" s="14" t="str">
        <f t="shared" si="1051"/>
        <v>Juhu</v>
      </c>
      <c r="V524" s="14" t="str">
        <f t="shared" si="4"/>
        <v>Chicken Puff</v>
      </c>
      <c r="W524" s="14">
        <f t="shared" si="5"/>
        <v>5</v>
      </c>
      <c r="X524" s="14" t="str">
        <f t="shared" si="6"/>
        <v>Ramesh S</v>
      </c>
      <c r="Y524" s="15">
        <f t="shared" si="7"/>
        <v>45256</v>
      </c>
      <c r="Z524" s="14" t="str">
        <f t="shared" si="8"/>
        <v>COD</v>
      </c>
      <c r="AA524" s="14" t="str">
        <f t="shared" si="9"/>
        <v>Delivered</v>
      </c>
      <c r="AB524" s="14" t="str">
        <f t="shared" ref="AB524:AC524" si="1052">trim(Q524)</f>
        <v>Quality of Items</v>
      </c>
      <c r="AC524" s="14" t="str">
        <f t="shared" si="1052"/>
        <v>Perfect condition</v>
      </c>
      <c r="AD524" s="8"/>
    </row>
    <row r="525">
      <c r="A525" s="14" t="str">
        <f>IFERROR(__xludf.DUMMYFUNCTION("""COMPUTED_VALUE"""),"//ord_10516//Siya Reddy//Juhu//Veg Puff+2*Ramesh S/2/5/2023//COD//Delivered*Packaging: Secure and intact")</f>
        <v>//ord_10516//Siya Reddy//Juhu//Veg Puff+2*Ramesh S/2/5/2023//COD//Delivered*Packaging: Secure and intact</v>
      </c>
      <c r="B525" s="14" t="str">
        <f>IFERROR(__xludf.DUMMYFUNCTION("split(A525,""//"")"),"ord_10516")</f>
        <v>ord_10516</v>
      </c>
      <c r="C525" s="14" t="str">
        <f>IFERROR(__xludf.DUMMYFUNCTION("""COMPUTED_VALUE"""),"Siya Reddy")</f>
        <v>Siya Reddy</v>
      </c>
      <c r="D525" s="14" t="str">
        <f>IFERROR(__xludf.DUMMYFUNCTION("""COMPUTED_VALUE"""),"Juhu")</f>
        <v>Juhu</v>
      </c>
      <c r="E525" s="14" t="str">
        <f>IFERROR(__xludf.DUMMYFUNCTION("""COMPUTED_VALUE"""),"Veg Puff+2*Ramesh S")</f>
        <v>Veg Puff+2*Ramesh S</v>
      </c>
      <c r="F525" s="14">
        <f>IFERROR(__xludf.DUMMYFUNCTION("""COMPUTED_VALUE"""),2.0)</f>
        <v>2</v>
      </c>
      <c r="G525" s="14">
        <f>IFERROR(__xludf.DUMMYFUNCTION("""COMPUTED_VALUE"""),5.0)</f>
        <v>5</v>
      </c>
      <c r="H525" s="14">
        <f>IFERROR(__xludf.DUMMYFUNCTION("""COMPUTED_VALUE"""),2023.0)</f>
        <v>2023</v>
      </c>
      <c r="I525" s="14" t="str">
        <f>IFERROR(__xludf.DUMMYFUNCTION("""COMPUTED_VALUE"""),"COD")</f>
        <v>COD</v>
      </c>
      <c r="J525" s="14" t="str">
        <f>IFERROR(__xludf.DUMMYFUNCTION("""COMPUTED_VALUE"""),"Delivered*Packaging: Secure and intact")</f>
        <v>Delivered*Packaging: Secure and intact</v>
      </c>
      <c r="K525" s="14" t="str">
        <f>IFERROR(__xludf.DUMMYFUNCTION("split(E525,""+"")"),"Veg Puff")</f>
        <v>Veg Puff</v>
      </c>
      <c r="L525" s="14" t="str">
        <f>IFERROR(__xludf.DUMMYFUNCTION("""COMPUTED_VALUE"""),"2*Ramesh S")</f>
        <v>2*Ramesh S</v>
      </c>
      <c r="M525" s="14">
        <f>IFERROR(__xludf.DUMMYFUNCTION("SPLIT(L525,""*"")"),2.0)</f>
        <v>2</v>
      </c>
      <c r="N525" s="14" t="str">
        <f>IFERROR(__xludf.DUMMYFUNCTION("""COMPUTED_VALUE"""),"Ramesh S")</f>
        <v>Ramesh S</v>
      </c>
      <c r="O525" s="14" t="str">
        <f>IFERROR(__xludf.DUMMYFUNCTION("split(J525,""*"")"),"Delivered")</f>
        <v>Delivered</v>
      </c>
      <c r="P525" s="14" t="str">
        <f>IFERROR(__xludf.DUMMYFUNCTION("""COMPUTED_VALUE"""),"Packaging: Secure and intact")</f>
        <v>Packaging: Secure and intact</v>
      </c>
      <c r="Q525" s="14" t="str">
        <f>IFERROR(__xludf.DUMMYFUNCTION("split(P525,"":"")"),"Packaging")</f>
        <v>Packaging</v>
      </c>
      <c r="R525" s="14" t="str">
        <f>IFERROR(__xludf.DUMMYFUNCTION("""COMPUTED_VALUE""")," Secure and intact")</f>
        <v> Secure and intact</v>
      </c>
      <c r="S525" s="14" t="str">
        <f t="shared" ref="S525:U525" si="1053">trim(B525)</f>
        <v>ord_10516</v>
      </c>
      <c r="T525" s="14" t="str">
        <f t="shared" si="1053"/>
        <v>Siya Reddy</v>
      </c>
      <c r="U525" s="14" t="str">
        <f t="shared" si="1053"/>
        <v>Juhu</v>
      </c>
      <c r="V525" s="14" t="str">
        <f t="shared" si="4"/>
        <v>Veg Puff</v>
      </c>
      <c r="W525" s="14">
        <f t="shared" si="5"/>
        <v>2</v>
      </c>
      <c r="X525" s="14" t="str">
        <f t="shared" si="6"/>
        <v>Ramesh S</v>
      </c>
      <c r="Y525" s="15">
        <f t="shared" si="7"/>
        <v>44962</v>
      </c>
      <c r="Z525" s="14" t="str">
        <f t="shared" si="8"/>
        <v>COD</v>
      </c>
      <c r="AA525" s="14" t="str">
        <f t="shared" si="9"/>
        <v>Delivered</v>
      </c>
      <c r="AB525" s="14" t="str">
        <f t="shared" ref="AB525:AC525" si="1054">trim(Q525)</f>
        <v>Packaging</v>
      </c>
      <c r="AC525" s="14" t="str">
        <f t="shared" si="1054"/>
        <v>Secure and intact</v>
      </c>
      <c r="AD525" s="8"/>
    </row>
    <row r="526">
      <c r="A526" s="14" t="str">
        <f>IFERROR(__xludf.DUMMYFUNCTION("""COMPUTED_VALUE"""),"//ord_10517//Omkar Mishra//Powai//Chilli Cheese Toast+2*Not Assigned/1/20/2023//Credit Card//Cancelled*High Delivery Fees")</f>
        <v>//ord_10517//Omkar Mishra//Powai//Chilli Cheese Toast+2*Not Assigned/1/20/2023//Credit Card//Cancelled*High Delivery Fees</v>
      </c>
      <c r="B526" s="14" t="str">
        <f>IFERROR(__xludf.DUMMYFUNCTION("split(A526,""//"")"),"ord_10517")</f>
        <v>ord_10517</v>
      </c>
      <c r="C526" s="14" t="str">
        <f>IFERROR(__xludf.DUMMYFUNCTION("""COMPUTED_VALUE"""),"Omkar Mishra")</f>
        <v>Omkar Mishra</v>
      </c>
      <c r="D526" s="14" t="str">
        <f>IFERROR(__xludf.DUMMYFUNCTION("""COMPUTED_VALUE"""),"Powai")</f>
        <v>Powai</v>
      </c>
      <c r="E526" s="14" t="str">
        <f>IFERROR(__xludf.DUMMYFUNCTION("""COMPUTED_VALUE"""),"Chilli Cheese Toast+2*Not Assigned")</f>
        <v>Chilli Cheese Toast+2*Not Assigned</v>
      </c>
      <c r="F526" s="14">
        <f>IFERROR(__xludf.DUMMYFUNCTION("""COMPUTED_VALUE"""),1.0)</f>
        <v>1</v>
      </c>
      <c r="G526" s="14">
        <f>IFERROR(__xludf.DUMMYFUNCTION("""COMPUTED_VALUE"""),20.0)</f>
        <v>20</v>
      </c>
      <c r="H526" s="14">
        <f>IFERROR(__xludf.DUMMYFUNCTION("""COMPUTED_VALUE"""),2023.0)</f>
        <v>2023</v>
      </c>
      <c r="I526" s="14" t="str">
        <f>IFERROR(__xludf.DUMMYFUNCTION("""COMPUTED_VALUE"""),"Credit Card")</f>
        <v>Credit Card</v>
      </c>
      <c r="J526" s="14" t="str">
        <f>IFERROR(__xludf.DUMMYFUNCTION("""COMPUTED_VALUE"""),"Cancelled*High Delivery Fees")</f>
        <v>Cancelled*High Delivery Fees</v>
      </c>
      <c r="K526" s="14" t="str">
        <f>IFERROR(__xludf.DUMMYFUNCTION("split(E526,""+"")"),"Chilli Cheese Toast")</f>
        <v>Chilli Cheese Toast</v>
      </c>
      <c r="L526" s="14" t="str">
        <f>IFERROR(__xludf.DUMMYFUNCTION("""COMPUTED_VALUE"""),"2*Not Assigned")</f>
        <v>2*Not Assigned</v>
      </c>
      <c r="M526" s="14">
        <f>IFERROR(__xludf.DUMMYFUNCTION("SPLIT(L526,""*"")"),2.0)</f>
        <v>2</v>
      </c>
      <c r="N526" s="14" t="str">
        <f>IFERROR(__xludf.DUMMYFUNCTION("""COMPUTED_VALUE"""),"Not Assigned")</f>
        <v>Not Assigned</v>
      </c>
      <c r="O526" s="14" t="str">
        <f>IFERROR(__xludf.DUMMYFUNCTION("split(J526,""*"")"),"Cancelled")</f>
        <v>Cancelled</v>
      </c>
      <c r="P526" s="14" t="str">
        <f>IFERROR(__xludf.DUMMYFUNCTION("""COMPUTED_VALUE"""),"High Delivery Fees")</f>
        <v>High Delivery Fees</v>
      </c>
      <c r="Q526" s="14" t="str">
        <f>IFERROR(__xludf.DUMMYFUNCTION("split(P526,"":"")"),"High Delivery Fees")</f>
        <v>High Delivery Fees</v>
      </c>
      <c r="R526" s="14"/>
      <c r="S526" s="14" t="str">
        <f t="shared" ref="S526:U526" si="1055">trim(B526)</f>
        <v>ord_10517</v>
      </c>
      <c r="T526" s="14" t="str">
        <f t="shared" si="1055"/>
        <v>Omkar Mishra</v>
      </c>
      <c r="U526" s="14" t="str">
        <f t="shared" si="1055"/>
        <v>Powai</v>
      </c>
      <c r="V526" s="14" t="str">
        <f t="shared" si="4"/>
        <v>Chilli Cheese Toast</v>
      </c>
      <c r="W526" s="14">
        <f t="shared" si="5"/>
        <v>2</v>
      </c>
      <c r="X526" s="14" t="str">
        <f t="shared" si="6"/>
        <v>Not Assigned</v>
      </c>
      <c r="Y526" s="15">
        <f t="shared" si="7"/>
        <v>44946</v>
      </c>
      <c r="Z526" s="14" t="str">
        <f t="shared" si="8"/>
        <v>Credit Card</v>
      </c>
      <c r="AA526" s="14" t="str">
        <f t="shared" si="9"/>
        <v>Cancelled</v>
      </c>
      <c r="AB526" s="14" t="str">
        <f t="shared" ref="AB526:AC526" si="1056">trim(Q526)</f>
        <v>High Delivery Fees</v>
      </c>
      <c r="AC526" s="14" t="str">
        <f t="shared" si="1056"/>
        <v/>
      </c>
      <c r="AD526" s="8"/>
    </row>
    <row r="527">
      <c r="A527" s="14" t="str">
        <f>IFERROR(__xludf.DUMMYFUNCTION("""COMPUTED_VALUE"""),"//ord_10518//Siya Reddy//Juhu//Juice+5*Venu R/5/12/2023//Credit Card//Cancelled*Delayed Delivery:Heavy Traffic")</f>
        <v>//ord_10518//Siya Reddy//Juhu//Juice+5*Venu R/5/12/2023//Credit Card//Cancelled*Delayed Delivery:Heavy Traffic</v>
      </c>
      <c r="B527" s="14" t="str">
        <f>IFERROR(__xludf.DUMMYFUNCTION("split(A527,""//"")"),"ord_10518")</f>
        <v>ord_10518</v>
      </c>
      <c r="C527" s="14" t="str">
        <f>IFERROR(__xludf.DUMMYFUNCTION("""COMPUTED_VALUE"""),"Siya Reddy")</f>
        <v>Siya Reddy</v>
      </c>
      <c r="D527" s="14" t="str">
        <f>IFERROR(__xludf.DUMMYFUNCTION("""COMPUTED_VALUE"""),"Juhu")</f>
        <v>Juhu</v>
      </c>
      <c r="E527" s="14" t="str">
        <f>IFERROR(__xludf.DUMMYFUNCTION("""COMPUTED_VALUE"""),"Juice+5*Venu R")</f>
        <v>Juice+5*Venu R</v>
      </c>
      <c r="F527" s="14">
        <f>IFERROR(__xludf.DUMMYFUNCTION("""COMPUTED_VALUE"""),5.0)</f>
        <v>5</v>
      </c>
      <c r="G527" s="14">
        <f>IFERROR(__xludf.DUMMYFUNCTION("""COMPUTED_VALUE"""),12.0)</f>
        <v>12</v>
      </c>
      <c r="H527" s="14">
        <f>IFERROR(__xludf.DUMMYFUNCTION("""COMPUTED_VALUE"""),2023.0)</f>
        <v>2023</v>
      </c>
      <c r="I527" s="14" t="str">
        <f>IFERROR(__xludf.DUMMYFUNCTION("""COMPUTED_VALUE"""),"Credit Card")</f>
        <v>Credit Card</v>
      </c>
      <c r="J527" s="14" t="str">
        <f>IFERROR(__xludf.DUMMYFUNCTION("""COMPUTED_VALUE"""),"Cancelled*Delayed Delivery:Heavy Traffic")</f>
        <v>Cancelled*Delayed Delivery:Heavy Traffic</v>
      </c>
      <c r="K527" s="14" t="str">
        <f>IFERROR(__xludf.DUMMYFUNCTION("split(E527,""+"")"),"Juice")</f>
        <v>Juice</v>
      </c>
      <c r="L527" s="14" t="str">
        <f>IFERROR(__xludf.DUMMYFUNCTION("""COMPUTED_VALUE"""),"5*Venu R")</f>
        <v>5*Venu R</v>
      </c>
      <c r="M527" s="14">
        <f>IFERROR(__xludf.DUMMYFUNCTION("SPLIT(L527,""*"")"),5.0)</f>
        <v>5</v>
      </c>
      <c r="N527" s="14" t="str">
        <f>IFERROR(__xludf.DUMMYFUNCTION("""COMPUTED_VALUE"""),"Venu R")</f>
        <v>Venu R</v>
      </c>
      <c r="O527" s="14" t="str">
        <f>IFERROR(__xludf.DUMMYFUNCTION("split(J527,""*"")"),"Cancelled")</f>
        <v>Cancelled</v>
      </c>
      <c r="P527" s="14" t="str">
        <f>IFERROR(__xludf.DUMMYFUNCTION("""COMPUTED_VALUE"""),"Delayed Delivery:Heavy Traffic")</f>
        <v>Delayed Delivery:Heavy Traffic</v>
      </c>
      <c r="Q527" s="14" t="str">
        <f>IFERROR(__xludf.DUMMYFUNCTION("split(P527,"":"")"),"Delayed Delivery")</f>
        <v>Delayed Delivery</v>
      </c>
      <c r="R527" s="14" t="str">
        <f>IFERROR(__xludf.DUMMYFUNCTION("""COMPUTED_VALUE"""),"Heavy Traffic")</f>
        <v>Heavy Traffic</v>
      </c>
      <c r="S527" s="14" t="str">
        <f t="shared" ref="S527:U527" si="1057">trim(B527)</f>
        <v>ord_10518</v>
      </c>
      <c r="T527" s="14" t="str">
        <f t="shared" si="1057"/>
        <v>Siya Reddy</v>
      </c>
      <c r="U527" s="14" t="str">
        <f t="shared" si="1057"/>
        <v>Juhu</v>
      </c>
      <c r="V527" s="14" t="str">
        <f t="shared" si="4"/>
        <v>Juice</v>
      </c>
      <c r="W527" s="14">
        <f t="shared" si="5"/>
        <v>5</v>
      </c>
      <c r="X527" s="14" t="str">
        <f t="shared" si="6"/>
        <v>Venu R</v>
      </c>
      <c r="Y527" s="15">
        <f t="shared" si="7"/>
        <v>45058</v>
      </c>
      <c r="Z527" s="14" t="str">
        <f t="shared" si="8"/>
        <v>Credit Card</v>
      </c>
      <c r="AA527" s="14" t="str">
        <f t="shared" si="9"/>
        <v>Cancelled</v>
      </c>
      <c r="AB527" s="14" t="str">
        <f t="shared" ref="AB527:AC527" si="1058">trim(Q527)</f>
        <v>Delayed Delivery</v>
      </c>
      <c r="AC527" s="14" t="str">
        <f t="shared" si="1058"/>
        <v>Heavy Traffic</v>
      </c>
      <c r="AD527" s="8"/>
    </row>
    <row r="528">
      <c r="A528" s="14" t="str">
        <f>IFERROR(__xludf.DUMMYFUNCTION("""COMPUTED_VALUE"""),"//ord_10519//Diya Arora//Lower Parel//Cucumber+2*Not Assigned/12/25/2023//Credit Card//Cancelled*High Delivery Fees")</f>
        <v>//ord_10519//Diya Arora//Lower Parel//Cucumber+2*Not Assigned/12/25/2023//Credit Card//Cancelled*High Delivery Fees</v>
      </c>
      <c r="B528" s="14" t="str">
        <f>IFERROR(__xludf.DUMMYFUNCTION("split(A528,""//"")"),"ord_10519")</f>
        <v>ord_10519</v>
      </c>
      <c r="C528" s="14" t="str">
        <f>IFERROR(__xludf.DUMMYFUNCTION("""COMPUTED_VALUE"""),"Diya Arora")</f>
        <v>Diya Arora</v>
      </c>
      <c r="D528" s="14" t="str">
        <f>IFERROR(__xludf.DUMMYFUNCTION("""COMPUTED_VALUE"""),"Lower Parel")</f>
        <v>Lower Parel</v>
      </c>
      <c r="E528" s="14" t="str">
        <f>IFERROR(__xludf.DUMMYFUNCTION("""COMPUTED_VALUE"""),"Cucumber+2*Not Assigned")</f>
        <v>Cucumber+2*Not Assigned</v>
      </c>
      <c r="F528" s="14">
        <f>IFERROR(__xludf.DUMMYFUNCTION("""COMPUTED_VALUE"""),12.0)</f>
        <v>12</v>
      </c>
      <c r="G528" s="14">
        <f>IFERROR(__xludf.DUMMYFUNCTION("""COMPUTED_VALUE"""),25.0)</f>
        <v>25</v>
      </c>
      <c r="H528" s="14">
        <f>IFERROR(__xludf.DUMMYFUNCTION("""COMPUTED_VALUE"""),2023.0)</f>
        <v>2023</v>
      </c>
      <c r="I528" s="14" t="str">
        <f>IFERROR(__xludf.DUMMYFUNCTION("""COMPUTED_VALUE"""),"Credit Card")</f>
        <v>Credit Card</v>
      </c>
      <c r="J528" s="14" t="str">
        <f>IFERROR(__xludf.DUMMYFUNCTION("""COMPUTED_VALUE"""),"Cancelled*High Delivery Fees")</f>
        <v>Cancelled*High Delivery Fees</v>
      </c>
      <c r="K528" s="14" t="str">
        <f>IFERROR(__xludf.DUMMYFUNCTION("split(E528,""+"")"),"Cucumber")</f>
        <v>Cucumber</v>
      </c>
      <c r="L528" s="14" t="str">
        <f>IFERROR(__xludf.DUMMYFUNCTION("""COMPUTED_VALUE"""),"2*Not Assigned")</f>
        <v>2*Not Assigned</v>
      </c>
      <c r="M528" s="14">
        <f>IFERROR(__xludf.DUMMYFUNCTION("SPLIT(L528,""*"")"),2.0)</f>
        <v>2</v>
      </c>
      <c r="N528" s="14" t="str">
        <f>IFERROR(__xludf.DUMMYFUNCTION("""COMPUTED_VALUE"""),"Not Assigned")</f>
        <v>Not Assigned</v>
      </c>
      <c r="O528" s="14" t="str">
        <f>IFERROR(__xludf.DUMMYFUNCTION("split(J528,""*"")"),"Cancelled")</f>
        <v>Cancelled</v>
      </c>
      <c r="P528" s="14" t="str">
        <f>IFERROR(__xludf.DUMMYFUNCTION("""COMPUTED_VALUE"""),"High Delivery Fees")</f>
        <v>High Delivery Fees</v>
      </c>
      <c r="Q528" s="14" t="str">
        <f>IFERROR(__xludf.DUMMYFUNCTION("split(P528,"":"")"),"High Delivery Fees")</f>
        <v>High Delivery Fees</v>
      </c>
      <c r="R528" s="14"/>
      <c r="S528" s="14" t="str">
        <f t="shared" ref="S528:U528" si="1059">trim(B528)</f>
        <v>ord_10519</v>
      </c>
      <c r="T528" s="14" t="str">
        <f t="shared" si="1059"/>
        <v>Diya Arora</v>
      </c>
      <c r="U528" s="14" t="str">
        <f t="shared" si="1059"/>
        <v>Lower Parel</v>
      </c>
      <c r="V528" s="14" t="str">
        <f t="shared" si="4"/>
        <v>Cucumber</v>
      </c>
      <c r="W528" s="14">
        <f t="shared" si="5"/>
        <v>2</v>
      </c>
      <c r="X528" s="14" t="str">
        <f t="shared" si="6"/>
        <v>Not Assigned</v>
      </c>
      <c r="Y528" s="15">
        <f t="shared" si="7"/>
        <v>45285</v>
      </c>
      <c r="Z528" s="14" t="str">
        <f t="shared" si="8"/>
        <v>Credit Card</v>
      </c>
      <c r="AA528" s="14" t="str">
        <f t="shared" si="9"/>
        <v>Cancelled</v>
      </c>
      <c r="AB528" s="14" t="str">
        <f t="shared" ref="AB528:AC528" si="1060">trim(Q528)</f>
        <v>High Delivery Fees</v>
      </c>
      <c r="AC528" s="14" t="str">
        <f t="shared" si="1060"/>
        <v/>
      </c>
      <c r="AD528" s="8"/>
    </row>
    <row r="529">
      <c r="A529" s="14" t="str">
        <f>IFERROR(__xludf.DUMMYFUNCTION("""COMPUTED_VALUE"""),"//ord_10520//Pallavi Ghosh//Bandra//Chocolate Mousse+5*Not Assigned/9/29/2023//UPI//Cancelled*Payment Issues")</f>
        <v>//ord_10520//Pallavi Ghosh//Bandra//Chocolate Mousse+5*Not Assigned/9/29/2023//UPI//Cancelled*Payment Issues</v>
      </c>
      <c r="B529" s="14" t="str">
        <f>IFERROR(__xludf.DUMMYFUNCTION("split(A529,""//"")"),"ord_10520")</f>
        <v>ord_10520</v>
      </c>
      <c r="C529" s="14" t="str">
        <f>IFERROR(__xludf.DUMMYFUNCTION("""COMPUTED_VALUE"""),"Pallavi Ghosh")</f>
        <v>Pallavi Ghosh</v>
      </c>
      <c r="D529" s="14" t="str">
        <f>IFERROR(__xludf.DUMMYFUNCTION("""COMPUTED_VALUE"""),"Bandra")</f>
        <v>Bandra</v>
      </c>
      <c r="E529" s="14" t="str">
        <f>IFERROR(__xludf.DUMMYFUNCTION("""COMPUTED_VALUE"""),"Chocolate Mousse+5*Not Assigned")</f>
        <v>Chocolate Mousse+5*Not Assigned</v>
      </c>
      <c r="F529" s="14">
        <f>IFERROR(__xludf.DUMMYFUNCTION("""COMPUTED_VALUE"""),9.0)</f>
        <v>9</v>
      </c>
      <c r="G529" s="14">
        <f>IFERROR(__xludf.DUMMYFUNCTION("""COMPUTED_VALUE"""),29.0)</f>
        <v>29</v>
      </c>
      <c r="H529" s="14">
        <f>IFERROR(__xludf.DUMMYFUNCTION("""COMPUTED_VALUE"""),2023.0)</f>
        <v>2023</v>
      </c>
      <c r="I529" s="14" t="str">
        <f>IFERROR(__xludf.DUMMYFUNCTION("""COMPUTED_VALUE"""),"UPI")</f>
        <v>UPI</v>
      </c>
      <c r="J529" s="14" t="str">
        <f>IFERROR(__xludf.DUMMYFUNCTION("""COMPUTED_VALUE"""),"Cancelled*Payment Issues")</f>
        <v>Cancelled*Payment Issues</v>
      </c>
      <c r="K529" s="14" t="str">
        <f>IFERROR(__xludf.DUMMYFUNCTION("split(E529,""+"")"),"Chocolate Mousse")</f>
        <v>Chocolate Mousse</v>
      </c>
      <c r="L529" s="14" t="str">
        <f>IFERROR(__xludf.DUMMYFUNCTION("""COMPUTED_VALUE"""),"5*Not Assigned")</f>
        <v>5*Not Assigned</v>
      </c>
      <c r="M529" s="14">
        <f>IFERROR(__xludf.DUMMYFUNCTION("SPLIT(L529,""*"")"),5.0)</f>
        <v>5</v>
      </c>
      <c r="N529" s="14" t="str">
        <f>IFERROR(__xludf.DUMMYFUNCTION("""COMPUTED_VALUE"""),"Not Assigned")</f>
        <v>Not Assigned</v>
      </c>
      <c r="O529" s="14" t="str">
        <f>IFERROR(__xludf.DUMMYFUNCTION("split(J529,""*"")"),"Cancelled")</f>
        <v>Cancelled</v>
      </c>
      <c r="P529" s="14" t="str">
        <f>IFERROR(__xludf.DUMMYFUNCTION("""COMPUTED_VALUE"""),"Payment Issues")</f>
        <v>Payment Issues</v>
      </c>
      <c r="Q529" s="14" t="str">
        <f>IFERROR(__xludf.DUMMYFUNCTION("split(P529,"":"")"),"Payment Issues")</f>
        <v>Payment Issues</v>
      </c>
      <c r="R529" s="14"/>
      <c r="S529" s="14" t="str">
        <f t="shared" ref="S529:U529" si="1061">trim(B529)</f>
        <v>ord_10520</v>
      </c>
      <c r="T529" s="14" t="str">
        <f t="shared" si="1061"/>
        <v>Pallavi Ghosh</v>
      </c>
      <c r="U529" s="14" t="str">
        <f t="shared" si="1061"/>
        <v>Bandra</v>
      </c>
      <c r="V529" s="14" t="str">
        <f t="shared" si="4"/>
        <v>Chocolate Mousse</v>
      </c>
      <c r="W529" s="14">
        <f t="shared" si="5"/>
        <v>5</v>
      </c>
      <c r="X529" s="14" t="str">
        <f t="shared" si="6"/>
        <v>Not Assigned</v>
      </c>
      <c r="Y529" s="15">
        <f t="shared" si="7"/>
        <v>45198</v>
      </c>
      <c r="Z529" s="14" t="str">
        <f t="shared" si="8"/>
        <v>UPI</v>
      </c>
      <c r="AA529" s="14" t="str">
        <f t="shared" si="9"/>
        <v>Cancelled</v>
      </c>
      <c r="AB529" s="14" t="str">
        <f t="shared" ref="AB529:AC529" si="1062">trim(Q529)</f>
        <v>Payment Issues</v>
      </c>
      <c r="AC529" s="14" t="str">
        <f t="shared" si="1062"/>
        <v/>
      </c>
      <c r="AD529" s="8"/>
    </row>
    <row r="530">
      <c r="A530" s="14" t="str">
        <f>IFERROR(__xludf.DUMMYFUNCTION("""COMPUTED_VALUE"""),"//ord_10521//Mehul Thakkar//Malad//Chicken Puff+1*Tanvi Jain/10/14/2023//Online Payment//Cancelled*Delayed Delivery:Bad Weather Conditions ")</f>
        <v>//ord_10521//Mehul Thakkar//Malad//Chicken Puff+1*Tanvi Jain/10/14/2023//Online Payment//Cancelled*Delayed Delivery:Bad Weather Conditions </v>
      </c>
      <c r="B530" s="14" t="str">
        <f>IFERROR(__xludf.DUMMYFUNCTION("split(A530,""//"")"),"ord_10521")</f>
        <v>ord_10521</v>
      </c>
      <c r="C530" s="14" t="str">
        <f>IFERROR(__xludf.DUMMYFUNCTION("""COMPUTED_VALUE"""),"Mehul Thakkar")</f>
        <v>Mehul Thakkar</v>
      </c>
      <c r="D530" s="14" t="str">
        <f>IFERROR(__xludf.DUMMYFUNCTION("""COMPUTED_VALUE"""),"Malad")</f>
        <v>Malad</v>
      </c>
      <c r="E530" s="14" t="str">
        <f>IFERROR(__xludf.DUMMYFUNCTION("""COMPUTED_VALUE"""),"Chicken Puff+1*Tanvi Jain")</f>
        <v>Chicken Puff+1*Tanvi Jain</v>
      </c>
      <c r="F530" s="14">
        <f>IFERROR(__xludf.DUMMYFUNCTION("""COMPUTED_VALUE"""),10.0)</f>
        <v>10</v>
      </c>
      <c r="G530" s="14">
        <f>IFERROR(__xludf.DUMMYFUNCTION("""COMPUTED_VALUE"""),14.0)</f>
        <v>14</v>
      </c>
      <c r="H530" s="14">
        <f>IFERROR(__xludf.DUMMYFUNCTION("""COMPUTED_VALUE"""),2023.0)</f>
        <v>2023</v>
      </c>
      <c r="I530" s="14" t="str">
        <f>IFERROR(__xludf.DUMMYFUNCTION("""COMPUTED_VALUE"""),"Online Payment")</f>
        <v>Online Payment</v>
      </c>
      <c r="J530" s="14" t="str">
        <f>IFERROR(__xludf.DUMMYFUNCTION("""COMPUTED_VALUE"""),"Cancelled*Delayed Delivery:Bad Weather Conditions ")</f>
        <v>Cancelled*Delayed Delivery:Bad Weather Conditions </v>
      </c>
      <c r="K530" s="14" t="str">
        <f>IFERROR(__xludf.DUMMYFUNCTION("split(E530,""+"")"),"Chicken Puff")</f>
        <v>Chicken Puff</v>
      </c>
      <c r="L530" s="14" t="str">
        <f>IFERROR(__xludf.DUMMYFUNCTION("""COMPUTED_VALUE"""),"1*Tanvi Jain")</f>
        <v>1*Tanvi Jain</v>
      </c>
      <c r="M530" s="14">
        <f>IFERROR(__xludf.DUMMYFUNCTION("SPLIT(L530,""*"")"),1.0)</f>
        <v>1</v>
      </c>
      <c r="N530" s="14" t="str">
        <f>IFERROR(__xludf.DUMMYFUNCTION("""COMPUTED_VALUE"""),"Tanvi Jain")</f>
        <v>Tanvi Jain</v>
      </c>
      <c r="O530" s="14" t="str">
        <f>IFERROR(__xludf.DUMMYFUNCTION("split(J530,""*"")"),"Cancelled")</f>
        <v>Cancelled</v>
      </c>
      <c r="P530" s="14" t="str">
        <f>IFERROR(__xludf.DUMMYFUNCTION("""COMPUTED_VALUE"""),"Delayed Delivery:Bad Weather Conditions ")</f>
        <v>Delayed Delivery:Bad Weather Conditions </v>
      </c>
      <c r="Q530" s="14" t="str">
        <f>IFERROR(__xludf.DUMMYFUNCTION("split(P530,"":"")"),"Delayed Delivery")</f>
        <v>Delayed Delivery</v>
      </c>
      <c r="R530" s="14" t="str">
        <f>IFERROR(__xludf.DUMMYFUNCTION("""COMPUTED_VALUE"""),"Bad Weather Conditions ")</f>
        <v>Bad Weather Conditions </v>
      </c>
      <c r="S530" s="14" t="str">
        <f t="shared" ref="S530:U530" si="1063">trim(B530)</f>
        <v>ord_10521</v>
      </c>
      <c r="T530" s="14" t="str">
        <f t="shared" si="1063"/>
        <v>Mehul Thakkar</v>
      </c>
      <c r="U530" s="14" t="str">
        <f t="shared" si="1063"/>
        <v>Malad</v>
      </c>
      <c r="V530" s="14" t="str">
        <f t="shared" si="4"/>
        <v>Chicken Puff</v>
      </c>
      <c r="W530" s="14">
        <f t="shared" si="5"/>
        <v>1</v>
      </c>
      <c r="X530" s="14" t="str">
        <f t="shared" si="6"/>
        <v>Tanvi Jain</v>
      </c>
      <c r="Y530" s="15">
        <f t="shared" si="7"/>
        <v>45213</v>
      </c>
      <c r="Z530" s="14" t="str">
        <f t="shared" si="8"/>
        <v>Online Payment</v>
      </c>
      <c r="AA530" s="14" t="str">
        <f t="shared" si="9"/>
        <v>Cancelled</v>
      </c>
      <c r="AB530" s="14" t="str">
        <f t="shared" ref="AB530:AC530" si="1064">trim(Q530)</f>
        <v>Delayed Delivery</v>
      </c>
      <c r="AC530" s="14" t="str">
        <f t="shared" si="1064"/>
        <v>Bad Weather Conditions</v>
      </c>
      <c r="AD530" s="8"/>
    </row>
    <row r="531">
      <c r="A531" s="14" t="str">
        <f>IFERROR(__xludf.DUMMYFUNCTION("""COMPUTED_VALUE"""),"//ord_10522//Parth Goel//Juhu//Sweet Corn+2*Not Assigned/6/15/2023//Credit Card//Cancelled*Out of Stock")</f>
        <v>//ord_10522//Parth Goel//Juhu//Sweet Corn+2*Not Assigned/6/15/2023//Credit Card//Cancelled*Out of Stock</v>
      </c>
      <c r="B531" s="14" t="str">
        <f>IFERROR(__xludf.DUMMYFUNCTION("split(A531,""//"")"),"ord_10522")</f>
        <v>ord_10522</v>
      </c>
      <c r="C531" s="14" t="str">
        <f>IFERROR(__xludf.DUMMYFUNCTION("""COMPUTED_VALUE"""),"Parth Goel")</f>
        <v>Parth Goel</v>
      </c>
      <c r="D531" s="14" t="str">
        <f>IFERROR(__xludf.DUMMYFUNCTION("""COMPUTED_VALUE"""),"Juhu")</f>
        <v>Juhu</v>
      </c>
      <c r="E531" s="14" t="str">
        <f>IFERROR(__xludf.DUMMYFUNCTION("""COMPUTED_VALUE"""),"Sweet Corn+2*Not Assigned")</f>
        <v>Sweet Corn+2*Not Assigned</v>
      </c>
      <c r="F531" s="14">
        <f>IFERROR(__xludf.DUMMYFUNCTION("""COMPUTED_VALUE"""),6.0)</f>
        <v>6</v>
      </c>
      <c r="G531" s="14">
        <f>IFERROR(__xludf.DUMMYFUNCTION("""COMPUTED_VALUE"""),15.0)</f>
        <v>15</v>
      </c>
      <c r="H531" s="14">
        <f>IFERROR(__xludf.DUMMYFUNCTION("""COMPUTED_VALUE"""),2023.0)</f>
        <v>2023</v>
      </c>
      <c r="I531" s="14" t="str">
        <f>IFERROR(__xludf.DUMMYFUNCTION("""COMPUTED_VALUE"""),"Credit Card")</f>
        <v>Credit Card</v>
      </c>
      <c r="J531" s="14" t="str">
        <f>IFERROR(__xludf.DUMMYFUNCTION("""COMPUTED_VALUE"""),"Cancelled*Out of Stock")</f>
        <v>Cancelled*Out of Stock</v>
      </c>
      <c r="K531" s="14" t="str">
        <f>IFERROR(__xludf.DUMMYFUNCTION("split(E531,""+"")"),"Sweet Corn")</f>
        <v>Sweet Corn</v>
      </c>
      <c r="L531" s="14" t="str">
        <f>IFERROR(__xludf.DUMMYFUNCTION("""COMPUTED_VALUE"""),"2*Not Assigned")</f>
        <v>2*Not Assigned</v>
      </c>
      <c r="M531" s="14">
        <f>IFERROR(__xludf.DUMMYFUNCTION("SPLIT(L531,""*"")"),2.0)</f>
        <v>2</v>
      </c>
      <c r="N531" s="14" t="str">
        <f>IFERROR(__xludf.DUMMYFUNCTION("""COMPUTED_VALUE"""),"Not Assigned")</f>
        <v>Not Assigned</v>
      </c>
      <c r="O531" s="14" t="str">
        <f>IFERROR(__xludf.DUMMYFUNCTION("split(J531,""*"")"),"Cancelled")</f>
        <v>Cancelled</v>
      </c>
      <c r="P531" s="14" t="str">
        <f>IFERROR(__xludf.DUMMYFUNCTION("""COMPUTED_VALUE"""),"Out of Stock")</f>
        <v>Out of Stock</v>
      </c>
      <c r="Q531" s="14" t="str">
        <f>IFERROR(__xludf.DUMMYFUNCTION("split(P531,"":"")"),"Out of Stock")</f>
        <v>Out of Stock</v>
      </c>
      <c r="R531" s="14"/>
      <c r="S531" s="14" t="str">
        <f t="shared" ref="S531:U531" si="1065">trim(B531)</f>
        <v>ord_10522</v>
      </c>
      <c r="T531" s="14" t="str">
        <f t="shared" si="1065"/>
        <v>Parth Goel</v>
      </c>
      <c r="U531" s="14" t="str">
        <f t="shared" si="1065"/>
        <v>Juhu</v>
      </c>
      <c r="V531" s="14" t="str">
        <f t="shared" si="4"/>
        <v>Sweet Corn</v>
      </c>
      <c r="W531" s="14">
        <f t="shared" si="5"/>
        <v>2</v>
      </c>
      <c r="X531" s="14" t="str">
        <f t="shared" si="6"/>
        <v>Not Assigned</v>
      </c>
      <c r="Y531" s="15">
        <f t="shared" si="7"/>
        <v>45092</v>
      </c>
      <c r="Z531" s="14" t="str">
        <f t="shared" si="8"/>
        <v>Credit Card</v>
      </c>
      <c r="AA531" s="14" t="str">
        <f t="shared" si="9"/>
        <v>Cancelled</v>
      </c>
      <c r="AB531" s="14" t="str">
        <f t="shared" ref="AB531:AC531" si="1066">trim(Q531)</f>
        <v>Out of Stock</v>
      </c>
      <c r="AC531" s="14" t="str">
        <f t="shared" si="1066"/>
        <v/>
      </c>
      <c r="AD531" s="8"/>
    </row>
    <row r="532">
      <c r="A532" s="14" t="str">
        <f>IFERROR(__xludf.DUMMYFUNCTION("""COMPUTED_VALUE"""),"//ord_10523//Arvind Kulkarni//Juhu//Orange+1*Ramesh S/8/10/2023//COD//Delivered*Satisfied with the Delivery: Timely and quality")</f>
        <v>//ord_10523//Arvind Kulkarni//Juhu//Orange+1*Ramesh S/8/10/2023//COD//Delivered*Satisfied with the Delivery: Timely and quality</v>
      </c>
      <c r="B532" s="14" t="str">
        <f>IFERROR(__xludf.DUMMYFUNCTION("split(A532,""//"")"),"ord_10523")</f>
        <v>ord_10523</v>
      </c>
      <c r="C532" s="14" t="str">
        <f>IFERROR(__xludf.DUMMYFUNCTION("""COMPUTED_VALUE"""),"Arvind Kulkarni")</f>
        <v>Arvind Kulkarni</v>
      </c>
      <c r="D532" s="14" t="str">
        <f>IFERROR(__xludf.DUMMYFUNCTION("""COMPUTED_VALUE"""),"Juhu")</f>
        <v>Juhu</v>
      </c>
      <c r="E532" s="14" t="str">
        <f>IFERROR(__xludf.DUMMYFUNCTION("""COMPUTED_VALUE"""),"Orange+1*Ramesh S")</f>
        <v>Orange+1*Ramesh S</v>
      </c>
      <c r="F532" s="14">
        <f>IFERROR(__xludf.DUMMYFUNCTION("""COMPUTED_VALUE"""),8.0)</f>
        <v>8</v>
      </c>
      <c r="G532" s="14">
        <f>IFERROR(__xludf.DUMMYFUNCTION("""COMPUTED_VALUE"""),10.0)</f>
        <v>10</v>
      </c>
      <c r="H532" s="14">
        <f>IFERROR(__xludf.DUMMYFUNCTION("""COMPUTED_VALUE"""),2023.0)</f>
        <v>2023</v>
      </c>
      <c r="I532" s="14" t="str">
        <f>IFERROR(__xludf.DUMMYFUNCTION("""COMPUTED_VALUE"""),"COD")</f>
        <v>COD</v>
      </c>
      <c r="J532" s="14" t="str">
        <f>IFERROR(__xludf.DUMMYFUNCTION("""COMPUTED_VALUE"""),"Delivered*Satisfied with the Delivery: Timely and quality")</f>
        <v>Delivered*Satisfied with the Delivery: Timely and quality</v>
      </c>
      <c r="K532" s="14" t="str">
        <f>IFERROR(__xludf.DUMMYFUNCTION("split(E532,""+"")"),"Orange")</f>
        <v>Orange</v>
      </c>
      <c r="L532" s="14" t="str">
        <f>IFERROR(__xludf.DUMMYFUNCTION("""COMPUTED_VALUE"""),"1*Ramesh S")</f>
        <v>1*Ramesh S</v>
      </c>
      <c r="M532" s="14">
        <f>IFERROR(__xludf.DUMMYFUNCTION("SPLIT(L532,""*"")"),1.0)</f>
        <v>1</v>
      </c>
      <c r="N532" s="14" t="str">
        <f>IFERROR(__xludf.DUMMYFUNCTION("""COMPUTED_VALUE"""),"Ramesh S")</f>
        <v>Ramesh S</v>
      </c>
      <c r="O532" s="14" t="str">
        <f>IFERROR(__xludf.DUMMYFUNCTION("split(J532,""*"")"),"Delivered")</f>
        <v>Delivered</v>
      </c>
      <c r="P532" s="14" t="str">
        <f>IFERROR(__xludf.DUMMYFUNCTION("""COMPUTED_VALUE"""),"Satisfied with the Delivery: Timely and quality")</f>
        <v>Satisfied with the Delivery: Timely and quality</v>
      </c>
      <c r="Q532" s="14" t="str">
        <f>IFERROR(__xludf.DUMMYFUNCTION("split(P532,"":"")"),"Satisfied with the Delivery")</f>
        <v>Satisfied with the Delivery</v>
      </c>
      <c r="R532" s="14" t="str">
        <f>IFERROR(__xludf.DUMMYFUNCTION("""COMPUTED_VALUE""")," Timely and quality")</f>
        <v> Timely and quality</v>
      </c>
      <c r="S532" s="14" t="str">
        <f t="shared" ref="S532:U532" si="1067">trim(B532)</f>
        <v>ord_10523</v>
      </c>
      <c r="T532" s="14" t="str">
        <f t="shared" si="1067"/>
        <v>Arvind Kulkarni</v>
      </c>
      <c r="U532" s="14" t="str">
        <f t="shared" si="1067"/>
        <v>Juhu</v>
      </c>
      <c r="V532" s="14" t="str">
        <f t="shared" si="4"/>
        <v>Orange</v>
      </c>
      <c r="W532" s="14">
        <f t="shared" si="5"/>
        <v>1</v>
      </c>
      <c r="X532" s="14" t="str">
        <f t="shared" si="6"/>
        <v>Ramesh S</v>
      </c>
      <c r="Y532" s="15">
        <f t="shared" si="7"/>
        <v>45148</v>
      </c>
      <c r="Z532" s="14" t="str">
        <f t="shared" si="8"/>
        <v>COD</v>
      </c>
      <c r="AA532" s="14" t="str">
        <f t="shared" si="9"/>
        <v>Delivered</v>
      </c>
      <c r="AB532" s="14" t="str">
        <f t="shared" ref="AB532:AC532" si="1068">trim(Q532)</f>
        <v>Satisfied with the Delivery</v>
      </c>
      <c r="AC532" s="14" t="str">
        <f t="shared" si="1068"/>
        <v>Timely and quality</v>
      </c>
      <c r="AD532" s="8"/>
    </row>
    <row r="533">
      <c r="A533" s="14" t="str">
        <f>IFERROR(__xludf.DUMMYFUNCTION("""COMPUTED_VALUE"""),"//ord_10524//Aarav Mehta//Andheri//Apple+1*Ramesh S/12/1/2023//Credit Card//Delivered*Customer Service: Seamless and easy")</f>
        <v>//ord_10524//Aarav Mehta//Andheri//Apple+1*Ramesh S/12/1/2023//Credit Card//Delivered*Customer Service: Seamless and easy</v>
      </c>
      <c r="B533" s="14" t="str">
        <f>IFERROR(__xludf.DUMMYFUNCTION("split(A533,""//"")"),"ord_10524")</f>
        <v>ord_10524</v>
      </c>
      <c r="C533" s="14" t="str">
        <f>IFERROR(__xludf.DUMMYFUNCTION("""COMPUTED_VALUE"""),"Aarav Mehta")</f>
        <v>Aarav Mehta</v>
      </c>
      <c r="D533" s="14" t="str">
        <f>IFERROR(__xludf.DUMMYFUNCTION("""COMPUTED_VALUE"""),"Andheri")</f>
        <v>Andheri</v>
      </c>
      <c r="E533" s="14" t="str">
        <f>IFERROR(__xludf.DUMMYFUNCTION("""COMPUTED_VALUE"""),"Apple+1*Ramesh S")</f>
        <v>Apple+1*Ramesh S</v>
      </c>
      <c r="F533" s="14">
        <f>IFERROR(__xludf.DUMMYFUNCTION("""COMPUTED_VALUE"""),12.0)</f>
        <v>12</v>
      </c>
      <c r="G533" s="14">
        <f>IFERROR(__xludf.DUMMYFUNCTION("""COMPUTED_VALUE"""),1.0)</f>
        <v>1</v>
      </c>
      <c r="H533" s="14">
        <f>IFERROR(__xludf.DUMMYFUNCTION("""COMPUTED_VALUE"""),2023.0)</f>
        <v>2023</v>
      </c>
      <c r="I533" s="14" t="str">
        <f>IFERROR(__xludf.DUMMYFUNCTION("""COMPUTED_VALUE"""),"Credit Card")</f>
        <v>Credit Card</v>
      </c>
      <c r="J533" s="14" t="str">
        <f>IFERROR(__xludf.DUMMYFUNCTION("""COMPUTED_VALUE"""),"Delivered*Customer Service: Seamless and easy")</f>
        <v>Delivered*Customer Service: Seamless and easy</v>
      </c>
      <c r="K533" s="14" t="str">
        <f>IFERROR(__xludf.DUMMYFUNCTION("split(E533,""+"")"),"Apple")</f>
        <v>Apple</v>
      </c>
      <c r="L533" s="14" t="str">
        <f>IFERROR(__xludf.DUMMYFUNCTION("""COMPUTED_VALUE"""),"1*Ramesh S")</f>
        <v>1*Ramesh S</v>
      </c>
      <c r="M533" s="14">
        <f>IFERROR(__xludf.DUMMYFUNCTION("SPLIT(L533,""*"")"),1.0)</f>
        <v>1</v>
      </c>
      <c r="N533" s="14" t="str">
        <f>IFERROR(__xludf.DUMMYFUNCTION("""COMPUTED_VALUE"""),"Ramesh S")</f>
        <v>Ramesh S</v>
      </c>
      <c r="O533" s="14" t="str">
        <f>IFERROR(__xludf.DUMMYFUNCTION("split(J533,""*"")"),"Delivered")</f>
        <v>Delivered</v>
      </c>
      <c r="P533" s="14" t="str">
        <f>IFERROR(__xludf.DUMMYFUNCTION("""COMPUTED_VALUE"""),"Customer Service: Seamless and easy")</f>
        <v>Customer Service: Seamless and easy</v>
      </c>
      <c r="Q533" s="14" t="str">
        <f>IFERROR(__xludf.DUMMYFUNCTION("split(P533,"":"")"),"Customer Service")</f>
        <v>Customer Service</v>
      </c>
      <c r="R533" s="14" t="str">
        <f>IFERROR(__xludf.DUMMYFUNCTION("""COMPUTED_VALUE""")," Seamless and easy")</f>
        <v> Seamless and easy</v>
      </c>
      <c r="S533" s="14" t="str">
        <f t="shared" ref="S533:U533" si="1069">trim(B533)</f>
        <v>ord_10524</v>
      </c>
      <c r="T533" s="14" t="str">
        <f t="shared" si="1069"/>
        <v>Aarav Mehta</v>
      </c>
      <c r="U533" s="14" t="str">
        <f t="shared" si="1069"/>
        <v>Andheri</v>
      </c>
      <c r="V533" s="14" t="str">
        <f t="shared" si="4"/>
        <v>Apple</v>
      </c>
      <c r="W533" s="14">
        <f t="shared" si="5"/>
        <v>1</v>
      </c>
      <c r="X533" s="14" t="str">
        <f t="shared" si="6"/>
        <v>Ramesh S</v>
      </c>
      <c r="Y533" s="15">
        <f t="shared" si="7"/>
        <v>45261</v>
      </c>
      <c r="Z533" s="14" t="str">
        <f t="shared" si="8"/>
        <v>Credit Card</v>
      </c>
      <c r="AA533" s="14" t="str">
        <f t="shared" si="9"/>
        <v>Delivered</v>
      </c>
      <c r="AB533" s="14" t="str">
        <f t="shared" ref="AB533:AC533" si="1070">trim(Q533)</f>
        <v>Customer Service</v>
      </c>
      <c r="AC533" s="14" t="str">
        <f t="shared" si="1070"/>
        <v>Seamless and easy</v>
      </c>
      <c r="AD533" s="8"/>
    </row>
    <row r="534">
      <c r="A534" s="14" t="str">
        <f>IFERROR(__xludf.DUMMYFUNCTION("""COMPUTED_VALUE"""),"//ord_10525//Nitin Sehgal//Bandra//Orange+2*Sita T/8/6/2023//Online Payment//Delivered*Delivery Experience: Quick and professional")</f>
        <v>//ord_10525//Nitin Sehgal//Bandra//Orange+2*Sita T/8/6/2023//Online Payment//Delivered*Delivery Experience: Quick and professional</v>
      </c>
      <c r="B534" s="14" t="str">
        <f>IFERROR(__xludf.DUMMYFUNCTION("split(A534,""//"")"),"ord_10525")</f>
        <v>ord_10525</v>
      </c>
      <c r="C534" s="14" t="str">
        <f>IFERROR(__xludf.DUMMYFUNCTION("""COMPUTED_VALUE"""),"Nitin Sehgal")</f>
        <v>Nitin Sehgal</v>
      </c>
      <c r="D534" s="14" t="str">
        <f>IFERROR(__xludf.DUMMYFUNCTION("""COMPUTED_VALUE"""),"Bandra")</f>
        <v>Bandra</v>
      </c>
      <c r="E534" s="14" t="str">
        <f>IFERROR(__xludf.DUMMYFUNCTION("""COMPUTED_VALUE"""),"Orange+2*Sita T")</f>
        <v>Orange+2*Sita T</v>
      </c>
      <c r="F534" s="14">
        <f>IFERROR(__xludf.DUMMYFUNCTION("""COMPUTED_VALUE"""),8.0)</f>
        <v>8</v>
      </c>
      <c r="G534" s="14">
        <f>IFERROR(__xludf.DUMMYFUNCTION("""COMPUTED_VALUE"""),6.0)</f>
        <v>6</v>
      </c>
      <c r="H534" s="14">
        <f>IFERROR(__xludf.DUMMYFUNCTION("""COMPUTED_VALUE"""),2023.0)</f>
        <v>2023</v>
      </c>
      <c r="I534" s="14" t="str">
        <f>IFERROR(__xludf.DUMMYFUNCTION("""COMPUTED_VALUE"""),"Online Payment")</f>
        <v>Online Payment</v>
      </c>
      <c r="J534" s="14" t="str">
        <f>IFERROR(__xludf.DUMMYFUNCTION("""COMPUTED_VALUE"""),"Delivered*Delivery Experience: Quick and professional")</f>
        <v>Delivered*Delivery Experience: Quick and professional</v>
      </c>
      <c r="K534" s="14" t="str">
        <f>IFERROR(__xludf.DUMMYFUNCTION("split(E534,""+"")"),"Orange")</f>
        <v>Orange</v>
      </c>
      <c r="L534" s="14" t="str">
        <f>IFERROR(__xludf.DUMMYFUNCTION("""COMPUTED_VALUE"""),"2*Sita T")</f>
        <v>2*Sita T</v>
      </c>
      <c r="M534" s="14">
        <f>IFERROR(__xludf.DUMMYFUNCTION("SPLIT(L534,""*"")"),2.0)</f>
        <v>2</v>
      </c>
      <c r="N534" s="14" t="str">
        <f>IFERROR(__xludf.DUMMYFUNCTION("""COMPUTED_VALUE"""),"Sita T")</f>
        <v>Sita T</v>
      </c>
      <c r="O534" s="14" t="str">
        <f>IFERROR(__xludf.DUMMYFUNCTION("split(J534,""*"")"),"Delivered")</f>
        <v>Delivered</v>
      </c>
      <c r="P534" s="14" t="str">
        <f>IFERROR(__xludf.DUMMYFUNCTION("""COMPUTED_VALUE"""),"Delivery Experience: Quick and professional")</f>
        <v>Delivery Experience: Quick and professional</v>
      </c>
      <c r="Q534" s="14" t="str">
        <f>IFERROR(__xludf.DUMMYFUNCTION("split(P534,"":"")"),"Delivery Experience")</f>
        <v>Delivery Experience</v>
      </c>
      <c r="R534" s="14" t="str">
        <f>IFERROR(__xludf.DUMMYFUNCTION("""COMPUTED_VALUE""")," Quick and professional")</f>
        <v> Quick and professional</v>
      </c>
      <c r="S534" s="14" t="str">
        <f t="shared" ref="S534:U534" si="1071">trim(B534)</f>
        <v>ord_10525</v>
      </c>
      <c r="T534" s="14" t="str">
        <f t="shared" si="1071"/>
        <v>Nitin Sehgal</v>
      </c>
      <c r="U534" s="14" t="str">
        <f t="shared" si="1071"/>
        <v>Bandra</v>
      </c>
      <c r="V534" s="14" t="str">
        <f t="shared" si="4"/>
        <v>Orange</v>
      </c>
      <c r="W534" s="14">
        <f t="shared" si="5"/>
        <v>2</v>
      </c>
      <c r="X534" s="14" t="str">
        <f t="shared" si="6"/>
        <v>Sita T</v>
      </c>
      <c r="Y534" s="15">
        <f t="shared" si="7"/>
        <v>45144</v>
      </c>
      <c r="Z534" s="14" t="str">
        <f t="shared" si="8"/>
        <v>Online Payment</v>
      </c>
      <c r="AA534" s="14" t="str">
        <f t="shared" si="9"/>
        <v>Delivered</v>
      </c>
      <c r="AB534" s="14" t="str">
        <f t="shared" ref="AB534:AC534" si="1072">trim(Q534)</f>
        <v>Delivery Experience</v>
      </c>
      <c r="AC534" s="14" t="str">
        <f t="shared" si="1072"/>
        <v>Quick and professional</v>
      </c>
      <c r="AD534" s="8"/>
    </row>
    <row r="535">
      <c r="A535" s="14" t="str">
        <f>IFERROR(__xludf.DUMMYFUNCTION("""COMPUTED_VALUE"""),"//ord_10526//Arvind Kulkarni//Juhu//Icecream+3*Vivek Kumar/11/13/2023//Credit Card//Cancelled*Delayed Delivery:Incorrect Address or Location")</f>
        <v>//ord_10526//Arvind Kulkarni//Juhu//Icecream+3*Vivek Kumar/11/13/2023//Credit Card//Cancelled*Delayed Delivery:Incorrect Address or Location</v>
      </c>
      <c r="B535" s="14" t="str">
        <f>IFERROR(__xludf.DUMMYFUNCTION("split(A535,""//"")"),"ord_10526")</f>
        <v>ord_10526</v>
      </c>
      <c r="C535" s="14" t="str">
        <f>IFERROR(__xludf.DUMMYFUNCTION("""COMPUTED_VALUE"""),"Arvind Kulkarni")</f>
        <v>Arvind Kulkarni</v>
      </c>
      <c r="D535" s="14" t="str">
        <f>IFERROR(__xludf.DUMMYFUNCTION("""COMPUTED_VALUE"""),"Juhu")</f>
        <v>Juhu</v>
      </c>
      <c r="E535" s="14" t="str">
        <f>IFERROR(__xludf.DUMMYFUNCTION("""COMPUTED_VALUE"""),"Icecream+3*Vivek Kumar")</f>
        <v>Icecream+3*Vivek Kumar</v>
      </c>
      <c r="F535" s="14">
        <f>IFERROR(__xludf.DUMMYFUNCTION("""COMPUTED_VALUE"""),11.0)</f>
        <v>11</v>
      </c>
      <c r="G535" s="14">
        <f>IFERROR(__xludf.DUMMYFUNCTION("""COMPUTED_VALUE"""),13.0)</f>
        <v>13</v>
      </c>
      <c r="H535" s="14">
        <f>IFERROR(__xludf.DUMMYFUNCTION("""COMPUTED_VALUE"""),2023.0)</f>
        <v>2023</v>
      </c>
      <c r="I535" s="14" t="str">
        <f>IFERROR(__xludf.DUMMYFUNCTION("""COMPUTED_VALUE"""),"Credit Card")</f>
        <v>Credit Card</v>
      </c>
      <c r="J535" s="14" t="str">
        <f>IFERROR(__xludf.DUMMYFUNCTION("""COMPUTED_VALUE"""),"Cancelled*Delayed Delivery:Incorrect Address or Location")</f>
        <v>Cancelled*Delayed Delivery:Incorrect Address or Location</v>
      </c>
      <c r="K535" s="14" t="str">
        <f>IFERROR(__xludf.DUMMYFUNCTION("split(E535,""+"")"),"Icecream")</f>
        <v>Icecream</v>
      </c>
      <c r="L535" s="14" t="str">
        <f>IFERROR(__xludf.DUMMYFUNCTION("""COMPUTED_VALUE"""),"3*Vivek Kumar")</f>
        <v>3*Vivek Kumar</v>
      </c>
      <c r="M535" s="14">
        <f>IFERROR(__xludf.DUMMYFUNCTION("SPLIT(L535,""*"")"),3.0)</f>
        <v>3</v>
      </c>
      <c r="N535" s="14" t="str">
        <f>IFERROR(__xludf.DUMMYFUNCTION("""COMPUTED_VALUE"""),"Vivek Kumar")</f>
        <v>Vivek Kumar</v>
      </c>
      <c r="O535" s="14" t="str">
        <f>IFERROR(__xludf.DUMMYFUNCTION("split(J535,""*"")"),"Cancelled")</f>
        <v>Cancelled</v>
      </c>
      <c r="P535" s="14" t="str">
        <f>IFERROR(__xludf.DUMMYFUNCTION("""COMPUTED_VALUE"""),"Delayed Delivery:Incorrect Address or Location")</f>
        <v>Delayed Delivery:Incorrect Address or Location</v>
      </c>
      <c r="Q535" s="14" t="str">
        <f>IFERROR(__xludf.DUMMYFUNCTION("split(P535,"":"")"),"Delayed Delivery")</f>
        <v>Delayed Delivery</v>
      </c>
      <c r="R535" s="14" t="str">
        <f>IFERROR(__xludf.DUMMYFUNCTION("""COMPUTED_VALUE"""),"Incorrect Address or Location")</f>
        <v>Incorrect Address or Location</v>
      </c>
      <c r="S535" s="14" t="str">
        <f t="shared" ref="S535:U535" si="1073">trim(B535)</f>
        <v>ord_10526</v>
      </c>
      <c r="T535" s="14" t="str">
        <f t="shared" si="1073"/>
        <v>Arvind Kulkarni</v>
      </c>
      <c r="U535" s="14" t="str">
        <f t="shared" si="1073"/>
        <v>Juhu</v>
      </c>
      <c r="V535" s="14" t="str">
        <f t="shared" si="4"/>
        <v>Icecream</v>
      </c>
      <c r="W535" s="14">
        <f t="shared" si="5"/>
        <v>3</v>
      </c>
      <c r="X535" s="14" t="str">
        <f t="shared" si="6"/>
        <v>Vivek Kumar</v>
      </c>
      <c r="Y535" s="15">
        <f t="shared" si="7"/>
        <v>45243</v>
      </c>
      <c r="Z535" s="14" t="str">
        <f t="shared" si="8"/>
        <v>Credit Card</v>
      </c>
      <c r="AA535" s="14" t="str">
        <f t="shared" si="9"/>
        <v>Cancelled</v>
      </c>
      <c r="AB535" s="14" t="str">
        <f t="shared" ref="AB535:AC535" si="1074">trim(Q535)</f>
        <v>Delayed Delivery</v>
      </c>
      <c r="AC535" s="14" t="str">
        <f t="shared" si="1074"/>
        <v>Incorrect Address or Location</v>
      </c>
      <c r="AD535" s="8"/>
    </row>
    <row r="536">
      <c r="A536" s="14" t="str">
        <f>IFERROR(__xludf.DUMMYFUNCTION("""COMPUTED_VALUE"""),"//ord_10527//Anaya Rao//Colaba//Tiramisu+1*Not Assigned/2/24/2023//Online Payment//Cancelled*Out of Stock")</f>
        <v>//ord_10527//Anaya Rao//Colaba//Tiramisu+1*Not Assigned/2/24/2023//Online Payment//Cancelled*Out of Stock</v>
      </c>
      <c r="B536" s="14" t="str">
        <f>IFERROR(__xludf.DUMMYFUNCTION("split(A536,""//"")"),"ord_10527")</f>
        <v>ord_10527</v>
      </c>
      <c r="C536" s="14" t="str">
        <f>IFERROR(__xludf.DUMMYFUNCTION("""COMPUTED_VALUE"""),"Anaya Rao")</f>
        <v>Anaya Rao</v>
      </c>
      <c r="D536" s="14" t="str">
        <f>IFERROR(__xludf.DUMMYFUNCTION("""COMPUTED_VALUE"""),"Colaba")</f>
        <v>Colaba</v>
      </c>
      <c r="E536" s="14" t="str">
        <f>IFERROR(__xludf.DUMMYFUNCTION("""COMPUTED_VALUE"""),"Tiramisu+1*Not Assigned")</f>
        <v>Tiramisu+1*Not Assigned</v>
      </c>
      <c r="F536" s="14">
        <f>IFERROR(__xludf.DUMMYFUNCTION("""COMPUTED_VALUE"""),2.0)</f>
        <v>2</v>
      </c>
      <c r="G536" s="14">
        <f>IFERROR(__xludf.DUMMYFUNCTION("""COMPUTED_VALUE"""),24.0)</f>
        <v>24</v>
      </c>
      <c r="H536" s="14">
        <f>IFERROR(__xludf.DUMMYFUNCTION("""COMPUTED_VALUE"""),2023.0)</f>
        <v>2023</v>
      </c>
      <c r="I536" s="14" t="str">
        <f>IFERROR(__xludf.DUMMYFUNCTION("""COMPUTED_VALUE"""),"Online Payment")</f>
        <v>Online Payment</v>
      </c>
      <c r="J536" s="14" t="str">
        <f>IFERROR(__xludf.DUMMYFUNCTION("""COMPUTED_VALUE"""),"Cancelled*Out of Stock")</f>
        <v>Cancelled*Out of Stock</v>
      </c>
      <c r="K536" s="14" t="str">
        <f>IFERROR(__xludf.DUMMYFUNCTION("split(E536,""+"")"),"Tiramisu")</f>
        <v>Tiramisu</v>
      </c>
      <c r="L536" s="14" t="str">
        <f>IFERROR(__xludf.DUMMYFUNCTION("""COMPUTED_VALUE"""),"1*Not Assigned")</f>
        <v>1*Not Assigned</v>
      </c>
      <c r="M536" s="14">
        <f>IFERROR(__xludf.DUMMYFUNCTION("SPLIT(L536,""*"")"),1.0)</f>
        <v>1</v>
      </c>
      <c r="N536" s="14" t="str">
        <f>IFERROR(__xludf.DUMMYFUNCTION("""COMPUTED_VALUE"""),"Not Assigned")</f>
        <v>Not Assigned</v>
      </c>
      <c r="O536" s="14" t="str">
        <f>IFERROR(__xludf.DUMMYFUNCTION("split(J536,""*"")"),"Cancelled")</f>
        <v>Cancelled</v>
      </c>
      <c r="P536" s="14" t="str">
        <f>IFERROR(__xludf.DUMMYFUNCTION("""COMPUTED_VALUE"""),"Out of Stock")</f>
        <v>Out of Stock</v>
      </c>
      <c r="Q536" s="14" t="str">
        <f>IFERROR(__xludf.DUMMYFUNCTION("split(P536,"":"")"),"Out of Stock")</f>
        <v>Out of Stock</v>
      </c>
      <c r="R536" s="14"/>
      <c r="S536" s="14" t="str">
        <f t="shared" ref="S536:U536" si="1075">trim(B536)</f>
        <v>ord_10527</v>
      </c>
      <c r="T536" s="14" t="str">
        <f t="shared" si="1075"/>
        <v>Anaya Rao</v>
      </c>
      <c r="U536" s="14" t="str">
        <f t="shared" si="1075"/>
        <v>Colaba</v>
      </c>
      <c r="V536" s="14" t="str">
        <f t="shared" si="4"/>
        <v>Tiramisu</v>
      </c>
      <c r="W536" s="14">
        <f t="shared" si="5"/>
        <v>1</v>
      </c>
      <c r="X536" s="14" t="str">
        <f t="shared" si="6"/>
        <v>Not Assigned</v>
      </c>
      <c r="Y536" s="15">
        <f t="shared" si="7"/>
        <v>44981</v>
      </c>
      <c r="Z536" s="14" t="str">
        <f t="shared" si="8"/>
        <v>Online Payment</v>
      </c>
      <c r="AA536" s="14" t="str">
        <f t="shared" si="9"/>
        <v>Cancelled</v>
      </c>
      <c r="AB536" s="14" t="str">
        <f t="shared" ref="AB536:AC536" si="1076">trim(Q536)</f>
        <v>Out of Stock</v>
      </c>
      <c r="AC536" s="14" t="str">
        <f t="shared" si="1076"/>
        <v/>
      </c>
      <c r="AD536" s="8"/>
    </row>
    <row r="537">
      <c r="A537" s="14" t="str">
        <f>IFERROR(__xludf.DUMMYFUNCTION("""COMPUTED_VALUE"""),"//ord_10528//Arvind Kulkarni//Juhu//Veg Puff+5*Tanvi Jain/8/20/2023//Credit Card//Cancelled*Delayed Delivery:Heavy Traffic")</f>
        <v>//ord_10528//Arvind Kulkarni//Juhu//Veg Puff+5*Tanvi Jain/8/20/2023//Credit Card//Cancelled*Delayed Delivery:Heavy Traffic</v>
      </c>
      <c r="B537" s="14" t="str">
        <f>IFERROR(__xludf.DUMMYFUNCTION("split(A537,""//"")"),"ord_10528")</f>
        <v>ord_10528</v>
      </c>
      <c r="C537" s="14" t="str">
        <f>IFERROR(__xludf.DUMMYFUNCTION("""COMPUTED_VALUE"""),"Arvind Kulkarni")</f>
        <v>Arvind Kulkarni</v>
      </c>
      <c r="D537" s="14" t="str">
        <f>IFERROR(__xludf.DUMMYFUNCTION("""COMPUTED_VALUE"""),"Juhu")</f>
        <v>Juhu</v>
      </c>
      <c r="E537" s="14" t="str">
        <f>IFERROR(__xludf.DUMMYFUNCTION("""COMPUTED_VALUE"""),"Veg Puff+5*Tanvi Jain")</f>
        <v>Veg Puff+5*Tanvi Jain</v>
      </c>
      <c r="F537" s="14">
        <f>IFERROR(__xludf.DUMMYFUNCTION("""COMPUTED_VALUE"""),8.0)</f>
        <v>8</v>
      </c>
      <c r="G537" s="14">
        <f>IFERROR(__xludf.DUMMYFUNCTION("""COMPUTED_VALUE"""),20.0)</f>
        <v>20</v>
      </c>
      <c r="H537" s="14">
        <f>IFERROR(__xludf.DUMMYFUNCTION("""COMPUTED_VALUE"""),2023.0)</f>
        <v>2023</v>
      </c>
      <c r="I537" s="14" t="str">
        <f>IFERROR(__xludf.DUMMYFUNCTION("""COMPUTED_VALUE"""),"Credit Card")</f>
        <v>Credit Card</v>
      </c>
      <c r="J537" s="14" t="str">
        <f>IFERROR(__xludf.DUMMYFUNCTION("""COMPUTED_VALUE"""),"Cancelled*Delayed Delivery:Heavy Traffic")</f>
        <v>Cancelled*Delayed Delivery:Heavy Traffic</v>
      </c>
      <c r="K537" s="14" t="str">
        <f>IFERROR(__xludf.DUMMYFUNCTION("split(E537,""+"")"),"Veg Puff")</f>
        <v>Veg Puff</v>
      </c>
      <c r="L537" s="14" t="str">
        <f>IFERROR(__xludf.DUMMYFUNCTION("""COMPUTED_VALUE"""),"5*Tanvi Jain")</f>
        <v>5*Tanvi Jain</v>
      </c>
      <c r="M537" s="14">
        <f>IFERROR(__xludf.DUMMYFUNCTION("SPLIT(L537,""*"")"),5.0)</f>
        <v>5</v>
      </c>
      <c r="N537" s="14" t="str">
        <f>IFERROR(__xludf.DUMMYFUNCTION("""COMPUTED_VALUE"""),"Tanvi Jain")</f>
        <v>Tanvi Jain</v>
      </c>
      <c r="O537" s="14" t="str">
        <f>IFERROR(__xludf.DUMMYFUNCTION("split(J537,""*"")"),"Cancelled")</f>
        <v>Cancelled</v>
      </c>
      <c r="P537" s="14" t="str">
        <f>IFERROR(__xludf.DUMMYFUNCTION("""COMPUTED_VALUE"""),"Delayed Delivery:Heavy Traffic")</f>
        <v>Delayed Delivery:Heavy Traffic</v>
      </c>
      <c r="Q537" s="14" t="str">
        <f>IFERROR(__xludf.DUMMYFUNCTION("split(P537,"":"")"),"Delayed Delivery")</f>
        <v>Delayed Delivery</v>
      </c>
      <c r="R537" s="14" t="str">
        <f>IFERROR(__xludf.DUMMYFUNCTION("""COMPUTED_VALUE"""),"Heavy Traffic")</f>
        <v>Heavy Traffic</v>
      </c>
      <c r="S537" s="14" t="str">
        <f t="shared" ref="S537:U537" si="1077">trim(B537)</f>
        <v>ord_10528</v>
      </c>
      <c r="T537" s="14" t="str">
        <f t="shared" si="1077"/>
        <v>Arvind Kulkarni</v>
      </c>
      <c r="U537" s="14" t="str">
        <f t="shared" si="1077"/>
        <v>Juhu</v>
      </c>
      <c r="V537" s="14" t="str">
        <f t="shared" si="4"/>
        <v>Veg Puff</v>
      </c>
      <c r="W537" s="14">
        <f t="shared" si="5"/>
        <v>5</v>
      </c>
      <c r="X537" s="14" t="str">
        <f t="shared" si="6"/>
        <v>Tanvi Jain</v>
      </c>
      <c r="Y537" s="15">
        <f t="shared" si="7"/>
        <v>45158</v>
      </c>
      <c r="Z537" s="14" t="str">
        <f t="shared" si="8"/>
        <v>Credit Card</v>
      </c>
      <c r="AA537" s="14" t="str">
        <f t="shared" si="9"/>
        <v>Cancelled</v>
      </c>
      <c r="AB537" s="14" t="str">
        <f t="shared" ref="AB537:AC537" si="1078">trim(Q537)</f>
        <v>Delayed Delivery</v>
      </c>
      <c r="AC537" s="14" t="str">
        <f t="shared" si="1078"/>
        <v>Heavy Traffic</v>
      </c>
      <c r="AD537" s="8"/>
    </row>
    <row r="538">
      <c r="A538" s="14" t="str">
        <f>IFERROR(__xludf.DUMMYFUNCTION("""COMPUTED_VALUE"""),"//ord_10529//Siya Reddy//Juhu//Sweet Corn+1*Not Assigned/10/25/2023//Credit Card//Cancelled*App Glitches:App Freezes")</f>
        <v>//ord_10529//Siya Reddy//Juhu//Sweet Corn+1*Not Assigned/10/25/2023//Credit Card//Cancelled*App Glitches:App Freezes</v>
      </c>
      <c r="B538" s="14" t="str">
        <f>IFERROR(__xludf.DUMMYFUNCTION("split(A538,""//"")"),"ord_10529")</f>
        <v>ord_10529</v>
      </c>
      <c r="C538" s="14" t="str">
        <f>IFERROR(__xludf.DUMMYFUNCTION("""COMPUTED_VALUE"""),"Siya Reddy")</f>
        <v>Siya Reddy</v>
      </c>
      <c r="D538" s="14" t="str">
        <f>IFERROR(__xludf.DUMMYFUNCTION("""COMPUTED_VALUE"""),"Juhu")</f>
        <v>Juhu</v>
      </c>
      <c r="E538" s="14" t="str">
        <f>IFERROR(__xludf.DUMMYFUNCTION("""COMPUTED_VALUE"""),"Sweet Corn+1*Not Assigned")</f>
        <v>Sweet Corn+1*Not Assigned</v>
      </c>
      <c r="F538" s="14">
        <f>IFERROR(__xludf.DUMMYFUNCTION("""COMPUTED_VALUE"""),10.0)</f>
        <v>10</v>
      </c>
      <c r="G538" s="14">
        <f>IFERROR(__xludf.DUMMYFUNCTION("""COMPUTED_VALUE"""),25.0)</f>
        <v>25</v>
      </c>
      <c r="H538" s="14">
        <f>IFERROR(__xludf.DUMMYFUNCTION("""COMPUTED_VALUE"""),2023.0)</f>
        <v>2023</v>
      </c>
      <c r="I538" s="14" t="str">
        <f>IFERROR(__xludf.DUMMYFUNCTION("""COMPUTED_VALUE"""),"Credit Card")</f>
        <v>Credit Card</v>
      </c>
      <c r="J538" s="14" t="str">
        <f>IFERROR(__xludf.DUMMYFUNCTION("""COMPUTED_VALUE"""),"Cancelled*App Glitches:App Freezes")</f>
        <v>Cancelled*App Glitches:App Freezes</v>
      </c>
      <c r="K538" s="14" t="str">
        <f>IFERROR(__xludf.DUMMYFUNCTION("split(E538,""+"")"),"Sweet Corn")</f>
        <v>Sweet Corn</v>
      </c>
      <c r="L538" s="14" t="str">
        <f>IFERROR(__xludf.DUMMYFUNCTION("""COMPUTED_VALUE"""),"1*Not Assigned")</f>
        <v>1*Not Assigned</v>
      </c>
      <c r="M538" s="14">
        <f>IFERROR(__xludf.DUMMYFUNCTION("SPLIT(L538,""*"")"),1.0)</f>
        <v>1</v>
      </c>
      <c r="N538" s="14" t="str">
        <f>IFERROR(__xludf.DUMMYFUNCTION("""COMPUTED_VALUE"""),"Not Assigned")</f>
        <v>Not Assigned</v>
      </c>
      <c r="O538" s="14" t="str">
        <f>IFERROR(__xludf.DUMMYFUNCTION("split(J538,""*"")"),"Cancelled")</f>
        <v>Cancelled</v>
      </c>
      <c r="P538" s="14" t="str">
        <f>IFERROR(__xludf.DUMMYFUNCTION("""COMPUTED_VALUE"""),"App Glitches:App Freezes")</f>
        <v>App Glitches:App Freezes</v>
      </c>
      <c r="Q538" s="14" t="str">
        <f>IFERROR(__xludf.DUMMYFUNCTION("split(P538,"":"")"),"App Glitches")</f>
        <v>App Glitches</v>
      </c>
      <c r="R538" s="14" t="str">
        <f>IFERROR(__xludf.DUMMYFUNCTION("""COMPUTED_VALUE"""),"App Freezes")</f>
        <v>App Freezes</v>
      </c>
      <c r="S538" s="14" t="str">
        <f t="shared" ref="S538:U538" si="1079">trim(B538)</f>
        <v>ord_10529</v>
      </c>
      <c r="T538" s="14" t="str">
        <f t="shared" si="1079"/>
        <v>Siya Reddy</v>
      </c>
      <c r="U538" s="14" t="str">
        <f t="shared" si="1079"/>
        <v>Juhu</v>
      </c>
      <c r="V538" s="14" t="str">
        <f t="shared" si="4"/>
        <v>Sweet Corn</v>
      </c>
      <c r="W538" s="14">
        <f t="shared" si="5"/>
        <v>1</v>
      </c>
      <c r="X538" s="14" t="str">
        <f t="shared" si="6"/>
        <v>Not Assigned</v>
      </c>
      <c r="Y538" s="15">
        <f t="shared" si="7"/>
        <v>45224</v>
      </c>
      <c r="Z538" s="14" t="str">
        <f t="shared" si="8"/>
        <v>Credit Card</v>
      </c>
      <c r="AA538" s="14" t="str">
        <f t="shared" si="9"/>
        <v>Cancelled</v>
      </c>
      <c r="AB538" s="14" t="str">
        <f t="shared" ref="AB538:AC538" si="1080">trim(Q538)</f>
        <v>App Glitches</v>
      </c>
      <c r="AC538" s="14" t="str">
        <f t="shared" si="1080"/>
        <v>App Freezes</v>
      </c>
      <c r="AD538" s="8"/>
    </row>
    <row r="539">
      <c r="A539" s="14" t="str">
        <f>IFERROR(__xludf.DUMMYFUNCTION("""COMPUTED_VALUE"""),"//ord_10530//Diya Arora//Lower Parel//Rasmalai+4*Not Assigned/11/15/2023//Online Payment//Cancelled*App Glitches:Error Messages")</f>
        <v>//ord_10530//Diya Arora//Lower Parel//Rasmalai+4*Not Assigned/11/15/2023//Online Payment//Cancelled*App Glitches:Error Messages</v>
      </c>
      <c r="B539" s="14" t="str">
        <f>IFERROR(__xludf.DUMMYFUNCTION("split(A539,""//"")"),"ord_10530")</f>
        <v>ord_10530</v>
      </c>
      <c r="C539" s="14" t="str">
        <f>IFERROR(__xludf.DUMMYFUNCTION("""COMPUTED_VALUE"""),"Diya Arora")</f>
        <v>Diya Arora</v>
      </c>
      <c r="D539" s="14" t="str">
        <f>IFERROR(__xludf.DUMMYFUNCTION("""COMPUTED_VALUE"""),"Lower Parel")</f>
        <v>Lower Parel</v>
      </c>
      <c r="E539" s="14" t="str">
        <f>IFERROR(__xludf.DUMMYFUNCTION("""COMPUTED_VALUE"""),"Rasmalai+4*Not Assigned")</f>
        <v>Rasmalai+4*Not Assigned</v>
      </c>
      <c r="F539" s="14">
        <f>IFERROR(__xludf.DUMMYFUNCTION("""COMPUTED_VALUE"""),11.0)</f>
        <v>11</v>
      </c>
      <c r="G539" s="14">
        <f>IFERROR(__xludf.DUMMYFUNCTION("""COMPUTED_VALUE"""),15.0)</f>
        <v>15</v>
      </c>
      <c r="H539" s="14">
        <f>IFERROR(__xludf.DUMMYFUNCTION("""COMPUTED_VALUE"""),2023.0)</f>
        <v>2023</v>
      </c>
      <c r="I539" s="14" t="str">
        <f>IFERROR(__xludf.DUMMYFUNCTION("""COMPUTED_VALUE"""),"Online Payment")</f>
        <v>Online Payment</v>
      </c>
      <c r="J539" s="14" t="str">
        <f>IFERROR(__xludf.DUMMYFUNCTION("""COMPUTED_VALUE"""),"Cancelled*App Glitches:Error Messages")</f>
        <v>Cancelled*App Glitches:Error Messages</v>
      </c>
      <c r="K539" s="14" t="str">
        <f>IFERROR(__xludf.DUMMYFUNCTION("split(E539,""+"")"),"Rasmalai")</f>
        <v>Rasmalai</v>
      </c>
      <c r="L539" s="14" t="str">
        <f>IFERROR(__xludf.DUMMYFUNCTION("""COMPUTED_VALUE"""),"4*Not Assigned")</f>
        <v>4*Not Assigned</v>
      </c>
      <c r="M539" s="14">
        <f>IFERROR(__xludf.DUMMYFUNCTION("SPLIT(L539,""*"")"),4.0)</f>
        <v>4</v>
      </c>
      <c r="N539" s="14" t="str">
        <f>IFERROR(__xludf.DUMMYFUNCTION("""COMPUTED_VALUE"""),"Not Assigned")</f>
        <v>Not Assigned</v>
      </c>
      <c r="O539" s="14" t="str">
        <f>IFERROR(__xludf.DUMMYFUNCTION("split(J539,""*"")"),"Cancelled")</f>
        <v>Cancelled</v>
      </c>
      <c r="P539" s="14" t="str">
        <f>IFERROR(__xludf.DUMMYFUNCTION("""COMPUTED_VALUE"""),"App Glitches:Error Messages")</f>
        <v>App Glitches:Error Messages</v>
      </c>
      <c r="Q539" s="14" t="str">
        <f>IFERROR(__xludf.DUMMYFUNCTION("split(P539,"":"")"),"App Glitches")</f>
        <v>App Glitches</v>
      </c>
      <c r="R539" s="14" t="str">
        <f>IFERROR(__xludf.DUMMYFUNCTION("""COMPUTED_VALUE"""),"Error Messages")</f>
        <v>Error Messages</v>
      </c>
      <c r="S539" s="14" t="str">
        <f t="shared" ref="S539:U539" si="1081">trim(B539)</f>
        <v>ord_10530</v>
      </c>
      <c r="T539" s="14" t="str">
        <f t="shared" si="1081"/>
        <v>Diya Arora</v>
      </c>
      <c r="U539" s="14" t="str">
        <f t="shared" si="1081"/>
        <v>Lower Parel</v>
      </c>
      <c r="V539" s="14" t="str">
        <f t="shared" si="4"/>
        <v>Rasmalai</v>
      </c>
      <c r="W539" s="14">
        <f t="shared" si="5"/>
        <v>4</v>
      </c>
      <c r="X539" s="14" t="str">
        <f t="shared" si="6"/>
        <v>Not Assigned</v>
      </c>
      <c r="Y539" s="15">
        <f t="shared" si="7"/>
        <v>45245</v>
      </c>
      <c r="Z539" s="14" t="str">
        <f t="shared" si="8"/>
        <v>Online Payment</v>
      </c>
      <c r="AA539" s="14" t="str">
        <f t="shared" si="9"/>
        <v>Cancelled</v>
      </c>
      <c r="AB539" s="14" t="str">
        <f t="shared" ref="AB539:AC539" si="1082">trim(Q539)</f>
        <v>App Glitches</v>
      </c>
      <c r="AC539" s="14" t="str">
        <f t="shared" si="1082"/>
        <v>Error Messages</v>
      </c>
      <c r="AD539" s="8"/>
    </row>
    <row r="540">
      <c r="A540" s="14" t="str">
        <f>IFERROR(__xludf.DUMMYFUNCTION("""COMPUTED_VALUE"""),"//ord_10531//Kritika Shetty//Malad//Sweet Corn+1*Ram Gopal/11/18/2023//Online Payment//Cancelled*Delayed Delivery:High Order Volume")</f>
        <v>//ord_10531//Kritika Shetty//Malad//Sweet Corn+1*Ram Gopal/11/18/2023//Online Payment//Cancelled*Delayed Delivery:High Order Volume</v>
      </c>
      <c r="B540" s="14" t="str">
        <f>IFERROR(__xludf.DUMMYFUNCTION("split(A540,""//"")"),"ord_10531")</f>
        <v>ord_10531</v>
      </c>
      <c r="C540" s="14" t="str">
        <f>IFERROR(__xludf.DUMMYFUNCTION("""COMPUTED_VALUE"""),"Kritika Shetty")</f>
        <v>Kritika Shetty</v>
      </c>
      <c r="D540" s="14" t="str">
        <f>IFERROR(__xludf.DUMMYFUNCTION("""COMPUTED_VALUE"""),"Malad")</f>
        <v>Malad</v>
      </c>
      <c r="E540" s="14" t="str">
        <f>IFERROR(__xludf.DUMMYFUNCTION("""COMPUTED_VALUE"""),"Sweet Corn+1*Ram Gopal")</f>
        <v>Sweet Corn+1*Ram Gopal</v>
      </c>
      <c r="F540" s="14">
        <f>IFERROR(__xludf.DUMMYFUNCTION("""COMPUTED_VALUE"""),11.0)</f>
        <v>11</v>
      </c>
      <c r="G540" s="14">
        <f>IFERROR(__xludf.DUMMYFUNCTION("""COMPUTED_VALUE"""),18.0)</f>
        <v>18</v>
      </c>
      <c r="H540" s="14">
        <f>IFERROR(__xludf.DUMMYFUNCTION("""COMPUTED_VALUE"""),2023.0)</f>
        <v>2023</v>
      </c>
      <c r="I540" s="14" t="str">
        <f>IFERROR(__xludf.DUMMYFUNCTION("""COMPUTED_VALUE"""),"Online Payment")</f>
        <v>Online Payment</v>
      </c>
      <c r="J540" s="14" t="str">
        <f>IFERROR(__xludf.DUMMYFUNCTION("""COMPUTED_VALUE"""),"Cancelled*Delayed Delivery:High Order Volume")</f>
        <v>Cancelled*Delayed Delivery:High Order Volume</v>
      </c>
      <c r="K540" s="14" t="str">
        <f>IFERROR(__xludf.DUMMYFUNCTION("split(E540,""+"")"),"Sweet Corn")</f>
        <v>Sweet Corn</v>
      </c>
      <c r="L540" s="14" t="str">
        <f>IFERROR(__xludf.DUMMYFUNCTION("""COMPUTED_VALUE"""),"1*Ram Gopal")</f>
        <v>1*Ram Gopal</v>
      </c>
      <c r="M540" s="14">
        <f>IFERROR(__xludf.DUMMYFUNCTION("SPLIT(L540,""*"")"),1.0)</f>
        <v>1</v>
      </c>
      <c r="N540" s="14" t="str">
        <f>IFERROR(__xludf.DUMMYFUNCTION("""COMPUTED_VALUE"""),"Ram Gopal")</f>
        <v>Ram Gopal</v>
      </c>
      <c r="O540" s="14" t="str">
        <f>IFERROR(__xludf.DUMMYFUNCTION("split(J540,""*"")"),"Cancelled")</f>
        <v>Cancelled</v>
      </c>
      <c r="P540" s="14" t="str">
        <f>IFERROR(__xludf.DUMMYFUNCTION("""COMPUTED_VALUE"""),"Delayed Delivery:High Order Volume")</f>
        <v>Delayed Delivery:High Order Volume</v>
      </c>
      <c r="Q540" s="14" t="str">
        <f>IFERROR(__xludf.DUMMYFUNCTION("split(P540,"":"")"),"Delayed Delivery")</f>
        <v>Delayed Delivery</v>
      </c>
      <c r="R540" s="14" t="str">
        <f>IFERROR(__xludf.DUMMYFUNCTION("""COMPUTED_VALUE"""),"High Order Volume")</f>
        <v>High Order Volume</v>
      </c>
      <c r="S540" s="14" t="str">
        <f t="shared" ref="S540:U540" si="1083">trim(B540)</f>
        <v>ord_10531</v>
      </c>
      <c r="T540" s="14" t="str">
        <f t="shared" si="1083"/>
        <v>Kritika Shetty</v>
      </c>
      <c r="U540" s="14" t="str">
        <f t="shared" si="1083"/>
        <v>Malad</v>
      </c>
      <c r="V540" s="14" t="str">
        <f t="shared" si="4"/>
        <v>Sweet Corn</v>
      </c>
      <c r="W540" s="14">
        <f t="shared" si="5"/>
        <v>1</v>
      </c>
      <c r="X540" s="14" t="str">
        <f t="shared" si="6"/>
        <v>Ram Gopal</v>
      </c>
      <c r="Y540" s="15">
        <f t="shared" si="7"/>
        <v>45248</v>
      </c>
      <c r="Z540" s="14" t="str">
        <f t="shared" si="8"/>
        <v>Online Payment</v>
      </c>
      <c r="AA540" s="14" t="str">
        <f t="shared" si="9"/>
        <v>Cancelled</v>
      </c>
      <c r="AB540" s="14" t="str">
        <f t="shared" ref="AB540:AC540" si="1084">trim(Q540)</f>
        <v>Delayed Delivery</v>
      </c>
      <c r="AC540" s="14" t="str">
        <f t="shared" si="1084"/>
        <v>High Order Volume</v>
      </c>
      <c r="AD540" s="8"/>
    </row>
    <row r="541">
      <c r="A541" s="14" t="str">
        <f>IFERROR(__xludf.DUMMYFUNCTION("""COMPUTED_VALUE"""),"//ord_10532//Parth Goel//Juhu//Popcorn+4*Tanvi Jain/5/22/2023//COD//Delivered*Convenience: Easy tracking")</f>
        <v>//ord_10532//Parth Goel//Juhu//Popcorn+4*Tanvi Jain/5/22/2023//COD//Delivered*Convenience: Easy tracking</v>
      </c>
      <c r="B541" s="14" t="str">
        <f>IFERROR(__xludf.DUMMYFUNCTION("split(A541,""//"")"),"ord_10532")</f>
        <v>ord_10532</v>
      </c>
      <c r="C541" s="14" t="str">
        <f>IFERROR(__xludf.DUMMYFUNCTION("""COMPUTED_VALUE"""),"Parth Goel")</f>
        <v>Parth Goel</v>
      </c>
      <c r="D541" s="14" t="str">
        <f>IFERROR(__xludf.DUMMYFUNCTION("""COMPUTED_VALUE"""),"Juhu")</f>
        <v>Juhu</v>
      </c>
      <c r="E541" s="14" t="str">
        <f>IFERROR(__xludf.DUMMYFUNCTION("""COMPUTED_VALUE"""),"Popcorn+4*Tanvi Jain")</f>
        <v>Popcorn+4*Tanvi Jain</v>
      </c>
      <c r="F541" s="14">
        <f>IFERROR(__xludf.DUMMYFUNCTION("""COMPUTED_VALUE"""),5.0)</f>
        <v>5</v>
      </c>
      <c r="G541" s="14">
        <f>IFERROR(__xludf.DUMMYFUNCTION("""COMPUTED_VALUE"""),22.0)</f>
        <v>22</v>
      </c>
      <c r="H541" s="14">
        <f>IFERROR(__xludf.DUMMYFUNCTION("""COMPUTED_VALUE"""),2023.0)</f>
        <v>2023</v>
      </c>
      <c r="I541" s="14" t="str">
        <f>IFERROR(__xludf.DUMMYFUNCTION("""COMPUTED_VALUE"""),"COD")</f>
        <v>COD</v>
      </c>
      <c r="J541" s="14" t="str">
        <f>IFERROR(__xludf.DUMMYFUNCTION("""COMPUTED_VALUE"""),"Delivered*Convenience: Easy tracking")</f>
        <v>Delivered*Convenience: Easy tracking</v>
      </c>
      <c r="K541" s="14" t="str">
        <f>IFERROR(__xludf.DUMMYFUNCTION("split(E541,""+"")"),"Popcorn")</f>
        <v>Popcorn</v>
      </c>
      <c r="L541" s="14" t="str">
        <f>IFERROR(__xludf.DUMMYFUNCTION("""COMPUTED_VALUE"""),"4*Tanvi Jain")</f>
        <v>4*Tanvi Jain</v>
      </c>
      <c r="M541" s="14">
        <f>IFERROR(__xludf.DUMMYFUNCTION("SPLIT(L541,""*"")"),4.0)</f>
        <v>4</v>
      </c>
      <c r="N541" s="14" t="str">
        <f>IFERROR(__xludf.DUMMYFUNCTION("""COMPUTED_VALUE"""),"Tanvi Jain")</f>
        <v>Tanvi Jain</v>
      </c>
      <c r="O541" s="14" t="str">
        <f>IFERROR(__xludf.DUMMYFUNCTION("split(J541,""*"")"),"Delivered")</f>
        <v>Delivered</v>
      </c>
      <c r="P541" s="14" t="str">
        <f>IFERROR(__xludf.DUMMYFUNCTION("""COMPUTED_VALUE"""),"Convenience: Easy tracking")</f>
        <v>Convenience: Easy tracking</v>
      </c>
      <c r="Q541" s="14" t="str">
        <f>IFERROR(__xludf.DUMMYFUNCTION("split(P541,"":"")"),"Convenience")</f>
        <v>Convenience</v>
      </c>
      <c r="R541" s="14" t="str">
        <f>IFERROR(__xludf.DUMMYFUNCTION("""COMPUTED_VALUE""")," Easy tracking")</f>
        <v> Easy tracking</v>
      </c>
      <c r="S541" s="14" t="str">
        <f t="shared" ref="S541:U541" si="1085">trim(B541)</f>
        <v>ord_10532</v>
      </c>
      <c r="T541" s="14" t="str">
        <f t="shared" si="1085"/>
        <v>Parth Goel</v>
      </c>
      <c r="U541" s="14" t="str">
        <f t="shared" si="1085"/>
        <v>Juhu</v>
      </c>
      <c r="V541" s="14" t="str">
        <f t="shared" si="4"/>
        <v>Popcorn</v>
      </c>
      <c r="W541" s="14">
        <f t="shared" si="5"/>
        <v>4</v>
      </c>
      <c r="X541" s="14" t="str">
        <f t="shared" si="6"/>
        <v>Tanvi Jain</v>
      </c>
      <c r="Y541" s="15">
        <f t="shared" si="7"/>
        <v>45068</v>
      </c>
      <c r="Z541" s="14" t="str">
        <f t="shared" si="8"/>
        <v>COD</v>
      </c>
      <c r="AA541" s="14" t="str">
        <f t="shared" si="9"/>
        <v>Delivered</v>
      </c>
      <c r="AB541" s="14" t="str">
        <f t="shared" ref="AB541:AC541" si="1086">trim(Q541)</f>
        <v>Convenience</v>
      </c>
      <c r="AC541" s="14" t="str">
        <f t="shared" si="1086"/>
        <v>Easy tracking</v>
      </c>
      <c r="AD541" s="8"/>
    </row>
    <row r="542">
      <c r="A542" s="14" t="str">
        <f>IFERROR(__xludf.DUMMYFUNCTION("""COMPUTED_VALUE"""),"//ord_10533//Siya Reddy//Juhu//Rasmalai+4*Tanvi Jain/11/18/2023//Online Payment//Delivered*Overall Satisfaction: Great service will order again")</f>
        <v>//ord_10533//Siya Reddy//Juhu//Rasmalai+4*Tanvi Jain/11/18/2023//Online Payment//Delivered*Overall Satisfaction: Great service will order again</v>
      </c>
      <c r="B542" s="14" t="str">
        <f>IFERROR(__xludf.DUMMYFUNCTION("split(A542,""//"")"),"ord_10533")</f>
        <v>ord_10533</v>
      </c>
      <c r="C542" s="14" t="str">
        <f>IFERROR(__xludf.DUMMYFUNCTION("""COMPUTED_VALUE"""),"Siya Reddy")</f>
        <v>Siya Reddy</v>
      </c>
      <c r="D542" s="14" t="str">
        <f>IFERROR(__xludf.DUMMYFUNCTION("""COMPUTED_VALUE"""),"Juhu")</f>
        <v>Juhu</v>
      </c>
      <c r="E542" s="14" t="str">
        <f>IFERROR(__xludf.DUMMYFUNCTION("""COMPUTED_VALUE"""),"Rasmalai+4*Tanvi Jain")</f>
        <v>Rasmalai+4*Tanvi Jain</v>
      </c>
      <c r="F542" s="14">
        <f>IFERROR(__xludf.DUMMYFUNCTION("""COMPUTED_VALUE"""),11.0)</f>
        <v>11</v>
      </c>
      <c r="G542" s="14">
        <f>IFERROR(__xludf.DUMMYFUNCTION("""COMPUTED_VALUE"""),18.0)</f>
        <v>18</v>
      </c>
      <c r="H542" s="14">
        <f>IFERROR(__xludf.DUMMYFUNCTION("""COMPUTED_VALUE"""),2023.0)</f>
        <v>2023</v>
      </c>
      <c r="I542" s="14" t="str">
        <f>IFERROR(__xludf.DUMMYFUNCTION("""COMPUTED_VALUE"""),"Online Payment")</f>
        <v>Online Payment</v>
      </c>
      <c r="J542" s="14" t="str">
        <f>IFERROR(__xludf.DUMMYFUNCTION("""COMPUTED_VALUE"""),"Delivered*Overall Satisfaction: Great service will order again")</f>
        <v>Delivered*Overall Satisfaction: Great service will order again</v>
      </c>
      <c r="K542" s="14" t="str">
        <f>IFERROR(__xludf.DUMMYFUNCTION("split(E542,""+"")"),"Rasmalai")</f>
        <v>Rasmalai</v>
      </c>
      <c r="L542" s="14" t="str">
        <f>IFERROR(__xludf.DUMMYFUNCTION("""COMPUTED_VALUE"""),"4*Tanvi Jain")</f>
        <v>4*Tanvi Jain</v>
      </c>
      <c r="M542" s="14">
        <f>IFERROR(__xludf.DUMMYFUNCTION("SPLIT(L542,""*"")"),4.0)</f>
        <v>4</v>
      </c>
      <c r="N542" s="14" t="str">
        <f>IFERROR(__xludf.DUMMYFUNCTION("""COMPUTED_VALUE"""),"Tanvi Jain")</f>
        <v>Tanvi Jain</v>
      </c>
      <c r="O542" s="14" t="str">
        <f>IFERROR(__xludf.DUMMYFUNCTION("split(J542,""*"")"),"Delivered")</f>
        <v>Delivered</v>
      </c>
      <c r="P542" s="14" t="str">
        <f>IFERROR(__xludf.DUMMYFUNCTION("""COMPUTED_VALUE"""),"Overall Satisfaction: Great service will order again")</f>
        <v>Overall Satisfaction: Great service will order again</v>
      </c>
      <c r="Q542" s="14" t="str">
        <f>IFERROR(__xludf.DUMMYFUNCTION("split(P542,"":"")"),"Overall Satisfaction")</f>
        <v>Overall Satisfaction</v>
      </c>
      <c r="R542" s="14" t="str">
        <f>IFERROR(__xludf.DUMMYFUNCTION("""COMPUTED_VALUE""")," Great service will order again")</f>
        <v> Great service will order again</v>
      </c>
      <c r="S542" s="14" t="str">
        <f t="shared" ref="S542:U542" si="1087">trim(B542)</f>
        <v>ord_10533</v>
      </c>
      <c r="T542" s="14" t="str">
        <f t="shared" si="1087"/>
        <v>Siya Reddy</v>
      </c>
      <c r="U542" s="14" t="str">
        <f t="shared" si="1087"/>
        <v>Juhu</v>
      </c>
      <c r="V542" s="14" t="str">
        <f t="shared" si="4"/>
        <v>Rasmalai</v>
      </c>
      <c r="W542" s="14">
        <f t="shared" si="5"/>
        <v>4</v>
      </c>
      <c r="X542" s="14" t="str">
        <f t="shared" si="6"/>
        <v>Tanvi Jain</v>
      </c>
      <c r="Y542" s="15">
        <f t="shared" si="7"/>
        <v>45248</v>
      </c>
      <c r="Z542" s="14" t="str">
        <f t="shared" si="8"/>
        <v>Online Payment</v>
      </c>
      <c r="AA542" s="14" t="str">
        <f t="shared" si="9"/>
        <v>Delivered</v>
      </c>
      <c r="AB542" s="14" t="str">
        <f t="shared" ref="AB542:AC542" si="1088">trim(Q542)</f>
        <v>Overall Satisfaction</v>
      </c>
      <c r="AC542" s="14" t="str">
        <f t="shared" si="1088"/>
        <v>Great service will order again</v>
      </c>
      <c r="AD542" s="8"/>
    </row>
    <row r="543">
      <c r="A543" s="14" t="str">
        <f>IFERROR(__xludf.DUMMYFUNCTION("""COMPUTED_VALUE"""),"//ord_10534//Aditi Iyer//Dadar//Chicken Puff+1*Tanvi Jain/7/12/2023//Credit Card//Cancelled*Delayed Delivery:Vehicle Breakdown")</f>
        <v>//ord_10534//Aditi Iyer//Dadar//Chicken Puff+1*Tanvi Jain/7/12/2023//Credit Card//Cancelled*Delayed Delivery:Vehicle Breakdown</v>
      </c>
      <c r="B543" s="14" t="str">
        <f>IFERROR(__xludf.DUMMYFUNCTION("split(A543,""//"")"),"ord_10534")</f>
        <v>ord_10534</v>
      </c>
      <c r="C543" s="14" t="str">
        <f>IFERROR(__xludf.DUMMYFUNCTION("""COMPUTED_VALUE"""),"Aditi Iyer")</f>
        <v>Aditi Iyer</v>
      </c>
      <c r="D543" s="14" t="str">
        <f>IFERROR(__xludf.DUMMYFUNCTION("""COMPUTED_VALUE"""),"Dadar")</f>
        <v>Dadar</v>
      </c>
      <c r="E543" s="14" t="str">
        <f>IFERROR(__xludf.DUMMYFUNCTION("""COMPUTED_VALUE"""),"Chicken Puff+1*Tanvi Jain")</f>
        <v>Chicken Puff+1*Tanvi Jain</v>
      </c>
      <c r="F543" s="14">
        <f>IFERROR(__xludf.DUMMYFUNCTION("""COMPUTED_VALUE"""),7.0)</f>
        <v>7</v>
      </c>
      <c r="G543" s="14">
        <f>IFERROR(__xludf.DUMMYFUNCTION("""COMPUTED_VALUE"""),12.0)</f>
        <v>12</v>
      </c>
      <c r="H543" s="14">
        <f>IFERROR(__xludf.DUMMYFUNCTION("""COMPUTED_VALUE"""),2023.0)</f>
        <v>2023</v>
      </c>
      <c r="I543" s="14" t="str">
        <f>IFERROR(__xludf.DUMMYFUNCTION("""COMPUTED_VALUE"""),"Credit Card")</f>
        <v>Credit Card</v>
      </c>
      <c r="J543" s="14" t="str">
        <f>IFERROR(__xludf.DUMMYFUNCTION("""COMPUTED_VALUE"""),"Cancelled*Delayed Delivery:Vehicle Breakdown")</f>
        <v>Cancelled*Delayed Delivery:Vehicle Breakdown</v>
      </c>
      <c r="K543" s="14" t="str">
        <f>IFERROR(__xludf.DUMMYFUNCTION("split(E543,""+"")"),"Chicken Puff")</f>
        <v>Chicken Puff</v>
      </c>
      <c r="L543" s="14" t="str">
        <f>IFERROR(__xludf.DUMMYFUNCTION("""COMPUTED_VALUE"""),"1*Tanvi Jain")</f>
        <v>1*Tanvi Jain</v>
      </c>
      <c r="M543" s="14">
        <f>IFERROR(__xludf.DUMMYFUNCTION("SPLIT(L543,""*"")"),1.0)</f>
        <v>1</v>
      </c>
      <c r="N543" s="14" t="str">
        <f>IFERROR(__xludf.DUMMYFUNCTION("""COMPUTED_VALUE"""),"Tanvi Jain")</f>
        <v>Tanvi Jain</v>
      </c>
      <c r="O543" s="14" t="str">
        <f>IFERROR(__xludf.DUMMYFUNCTION("split(J543,""*"")"),"Cancelled")</f>
        <v>Cancelled</v>
      </c>
      <c r="P543" s="14" t="str">
        <f>IFERROR(__xludf.DUMMYFUNCTION("""COMPUTED_VALUE"""),"Delayed Delivery:Vehicle Breakdown")</f>
        <v>Delayed Delivery:Vehicle Breakdown</v>
      </c>
      <c r="Q543" s="14" t="str">
        <f>IFERROR(__xludf.DUMMYFUNCTION("split(P543,"":"")"),"Delayed Delivery")</f>
        <v>Delayed Delivery</v>
      </c>
      <c r="R543" s="14" t="str">
        <f>IFERROR(__xludf.DUMMYFUNCTION("""COMPUTED_VALUE"""),"Vehicle Breakdown")</f>
        <v>Vehicle Breakdown</v>
      </c>
      <c r="S543" s="14" t="str">
        <f t="shared" ref="S543:U543" si="1089">trim(B543)</f>
        <v>ord_10534</v>
      </c>
      <c r="T543" s="14" t="str">
        <f t="shared" si="1089"/>
        <v>Aditi Iyer</v>
      </c>
      <c r="U543" s="14" t="str">
        <f t="shared" si="1089"/>
        <v>Dadar</v>
      </c>
      <c r="V543" s="14" t="str">
        <f t="shared" si="4"/>
        <v>Chicken Puff</v>
      </c>
      <c r="W543" s="14">
        <f t="shared" si="5"/>
        <v>1</v>
      </c>
      <c r="X543" s="14" t="str">
        <f t="shared" si="6"/>
        <v>Tanvi Jain</v>
      </c>
      <c r="Y543" s="15">
        <f t="shared" si="7"/>
        <v>45119</v>
      </c>
      <c r="Z543" s="14" t="str">
        <f t="shared" si="8"/>
        <v>Credit Card</v>
      </c>
      <c r="AA543" s="14" t="str">
        <f t="shared" si="9"/>
        <v>Cancelled</v>
      </c>
      <c r="AB543" s="14" t="str">
        <f t="shared" ref="AB543:AC543" si="1090">trim(Q543)</f>
        <v>Delayed Delivery</v>
      </c>
      <c r="AC543" s="14" t="str">
        <f t="shared" si="1090"/>
        <v>Vehicle Breakdown</v>
      </c>
      <c r="AD543" s="8"/>
    </row>
    <row r="544">
      <c r="A544" s="14" t="str">
        <f>IFERROR(__xludf.DUMMYFUNCTION("""COMPUTED_VALUE"""),"//ord_10535//Kritika Shetty//Malad//Sweet Corn+1*Not Assigned/11/26/2023//Credit Card//Cancelled*App Glitches: Payment Button Malfunction")</f>
        <v>//ord_10535//Kritika Shetty//Malad//Sweet Corn+1*Not Assigned/11/26/2023//Credit Card//Cancelled*App Glitches: Payment Button Malfunction</v>
      </c>
      <c r="B544" s="14" t="str">
        <f>IFERROR(__xludf.DUMMYFUNCTION("split(A544,""//"")"),"ord_10535")</f>
        <v>ord_10535</v>
      </c>
      <c r="C544" s="14" t="str">
        <f>IFERROR(__xludf.DUMMYFUNCTION("""COMPUTED_VALUE"""),"Kritika Shetty")</f>
        <v>Kritika Shetty</v>
      </c>
      <c r="D544" s="14" t="str">
        <f>IFERROR(__xludf.DUMMYFUNCTION("""COMPUTED_VALUE"""),"Malad")</f>
        <v>Malad</v>
      </c>
      <c r="E544" s="14" t="str">
        <f>IFERROR(__xludf.DUMMYFUNCTION("""COMPUTED_VALUE"""),"Sweet Corn+1*Not Assigned")</f>
        <v>Sweet Corn+1*Not Assigned</v>
      </c>
      <c r="F544" s="14">
        <f>IFERROR(__xludf.DUMMYFUNCTION("""COMPUTED_VALUE"""),11.0)</f>
        <v>11</v>
      </c>
      <c r="G544" s="14">
        <f>IFERROR(__xludf.DUMMYFUNCTION("""COMPUTED_VALUE"""),26.0)</f>
        <v>26</v>
      </c>
      <c r="H544" s="14">
        <f>IFERROR(__xludf.DUMMYFUNCTION("""COMPUTED_VALUE"""),2023.0)</f>
        <v>2023</v>
      </c>
      <c r="I544" s="14" t="str">
        <f>IFERROR(__xludf.DUMMYFUNCTION("""COMPUTED_VALUE"""),"Credit Card")</f>
        <v>Credit Card</v>
      </c>
      <c r="J544" s="14" t="str">
        <f>IFERROR(__xludf.DUMMYFUNCTION("""COMPUTED_VALUE"""),"Cancelled*App Glitches: Payment Button Malfunction")</f>
        <v>Cancelled*App Glitches: Payment Button Malfunction</v>
      </c>
      <c r="K544" s="14" t="str">
        <f>IFERROR(__xludf.DUMMYFUNCTION("split(E544,""+"")"),"Sweet Corn")</f>
        <v>Sweet Corn</v>
      </c>
      <c r="L544" s="14" t="str">
        <f>IFERROR(__xludf.DUMMYFUNCTION("""COMPUTED_VALUE"""),"1*Not Assigned")</f>
        <v>1*Not Assigned</v>
      </c>
      <c r="M544" s="14">
        <f>IFERROR(__xludf.DUMMYFUNCTION("SPLIT(L544,""*"")"),1.0)</f>
        <v>1</v>
      </c>
      <c r="N544" s="14" t="str">
        <f>IFERROR(__xludf.DUMMYFUNCTION("""COMPUTED_VALUE"""),"Not Assigned")</f>
        <v>Not Assigned</v>
      </c>
      <c r="O544" s="14" t="str">
        <f>IFERROR(__xludf.DUMMYFUNCTION("split(J544,""*"")"),"Cancelled")</f>
        <v>Cancelled</v>
      </c>
      <c r="P544" s="14" t="str">
        <f>IFERROR(__xludf.DUMMYFUNCTION("""COMPUTED_VALUE"""),"App Glitches: Payment Button Malfunction")</f>
        <v>App Glitches: Payment Button Malfunction</v>
      </c>
      <c r="Q544" s="14" t="str">
        <f>IFERROR(__xludf.DUMMYFUNCTION("split(P544,"":"")"),"App Glitches")</f>
        <v>App Glitches</v>
      </c>
      <c r="R544" s="14" t="str">
        <f>IFERROR(__xludf.DUMMYFUNCTION("""COMPUTED_VALUE""")," Payment Button Malfunction")</f>
        <v> Payment Button Malfunction</v>
      </c>
      <c r="S544" s="14" t="str">
        <f t="shared" ref="S544:U544" si="1091">trim(B544)</f>
        <v>ord_10535</v>
      </c>
      <c r="T544" s="14" t="str">
        <f t="shared" si="1091"/>
        <v>Kritika Shetty</v>
      </c>
      <c r="U544" s="14" t="str">
        <f t="shared" si="1091"/>
        <v>Malad</v>
      </c>
      <c r="V544" s="14" t="str">
        <f t="shared" si="4"/>
        <v>Sweet Corn</v>
      </c>
      <c r="W544" s="14">
        <f t="shared" si="5"/>
        <v>1</v>
      </c>
      <c r="X544" s="14" t="str">
        <f t="shared" si="6"/>
        <v>Not Assigned</v>
      </c>
      <c r="Y544" s="15">
        <f t="shared" si="7"/>
        <v>45256</v>
      </c>
      <c r="Z544" s="14" t="str">
        <f t="shared" si="8"/>
        <v>Credit Card</v>
      </c>
      <c r="AA544" s="14" t="str">
        <f t="shared" si="9"/>
        <v>Cancelled</v>
      </c>
      <c r="AB544" s="14" t="str">
        <f t="shared" ref="AB544:AC544" si="1092">trim(Q544)</f>
        <v>App Glitches</v>
      </c>
      <c r="AC544" s="14" t="str">
        <f t="shared" si="1092"/>
        <v>Payment Button Malfunction</v>
      </c>
      <c r="AD544" s="8"/>
    </row>
    <row r="545">
      <c r="A545" s="14" t="str">
        <f>IFERROR(__xludf.DUMMYFUNCTION("""COMPUTED_VALUE"""),"//ord_10536//Sakshi Tandon//Colaba//Banana+2*Not Assigned/8/6/2023//Online Payment//Cancelled*App Glitches:Slow Loading Time")</f>
        <v>//ord_10536//Sakshi Tandon//Colaba//Banana+2*Not Assigned/8/6/2023//Online Payment//Cancelled*App Glitches:Slow Loading Time</v>
      </c>
      <c r="B545" s="14" t="str">
        <f>IFERROR(__xludf.DUMMYFUNCTION("split(A545,""//"")"),"ord_10536")</f>
        <v>ord_10536</v>
      </c>
      <c r="C545" s="14" t="str">
        <f>IFERROR(__xludf.DUMMYFUNCTION("""COMPUTED_VALUE"""),"Sakshi Tandon")</f>
        <v>Sakshi Tandon</v>
      </c>
      <c r="D545" s="14" t="str">
        <f>IFERROR(__xludf.DUMMYFUNCTION("""COMPUTED_VALUE"""),"Colaba")</f>
        <v>Colaba</v>
      </c>
      <c r="E545" s="14" t="str">
        <f>IFERROR(__xludf.DUMMYFUNCTION("""COMPUTED_VALUE"""),"Banana+2*Not Assigned")</f>
        <v>Banana+2*Not Assigned</v>
      </c>
      <c r="F545" s="14">
        <f>IFERROR(__xludf.DUMMYFUNCTION("""COMPUTED_VALUE"""),8.0)</f>
        <v>8</v>
      </c>
      <c r="G545" s="14">
        <f>IFERROR(__xludf.DUMMYFUNCTION("""COMPUTED_VALUE"""),6.0)</f>
        <v>6</v>
      </c>
      <c r="H545" s="14">
        <f>IFERROR(__xludf.DUMMYFUNCTION("""COMPUTED_VALUE"""),2023.0)</f>
        <v>2023</v>
      </c>
      <c r="I545" s="14" t="str">
        <f>IFERROR(__xludf.DUMMYFUNCTION("""COMPUTED_VALUE"""),"Online Payment")</f>
        <v>Online Payment</v>
      </c>
      <c r="J545" s="14" t="str">
        <f>IFERROR(__xludf.DUMMYFUNCTION("""COMPUTED_VALUE"""),"Cancelled*App Glitches:Slow Loading Time")</f>
        <v>Cancelled*App Glitches:Slow Loading Time</v>
      </c>
      <c r="K545" s="14" t="str">
        <f>IFERROR(__xludf.DUMMYFUNCTION("split(E545,""+"")"),"Banana")</f>
        <v>Banana</v>
      </c>
      <c r="L545" s="14" t="str">
        <f>IFERROR(__xludf.DUMMYFUNCTION("""COMPUTED_VALUE"""),"2*Not Assigned")</f>
        <v>2*Not Assigned</v>
      </c>
      <c r="M545" s="14">
        <f>IFERROR(__xludf.DUMMYFUNCTION("SPLIT(L545,""*"")"),2.0)</f>
        <v>2</v>
      </c>
      <c r="N545" s="14" t="str">
        <f>IFERROR(__xludf.DUMMYFUNCTION("""COMPUTED_VALUE"""),"Not Assigned")</f>
        <v>Not Assigned</v>
      </c>
      <c r="O545" s="14" t="str">
        <f>IFERROR(__xludf.DUMMYFUNCTION("split(J545,""*"")"),"Cancelled")</f>
        <v>Cancelled</v>
      </c>
      <c r="P545" s="14" t="str">
        <f>IFERROR(__xludf.DUMMYFUNCTION("""COMPUTED_VALUE"""),"App Glitches:Slow Loading Time")</f>
        <v>App Glitches:Slow Loading Time</v>
      </c>
      <c r="Q545" s="14" t="str">
        <f>IFERROR(__xludf.DUMMYFUNCTION("split(P545,"":"")"),"App Glitches")</f>
        <v>App Glitches</v>
      </c>
      <c r="R545" s="14" t="str">
        <f>IFERROR(__xludf.DUMMYFUNCTION("""COMPUTED_VALUE"""),"Slow Loading Time")</f>
        <v>Slow Loading Time</v>
      </c>
      <c r="S545" s="14" t="str">
        <f t="shared" ref="S545:U545" si="1093">trim(B545)</f>
        <v>ord_10536</v>
      </c>
      <c r="T545" s="14" t="str">
        <f t="shared" si="1093"/>
        <v>Sakshi Tandon</v>
      </c>
      <c r="U545" s="14" t="str">
        <f t="shared" si="1093"/>
        <v>Colaba</v>
      </c>
      <c r="V545" s="14" t="str">
        <f t="shared" si="4"/>
        <v>Banana</v>
      </c>
      <c r="W545" s="14">
        <f t="shared" si="5"/>
        <v>2</v>
      </c>
      <c r="X545" s="14" t="str">
        <f t="shared" si="6"/>
        <v>Not Assigned</v>
      </c>
      <c r="Y545" s="15">
        <f t="shared" si="7"/>
        <v>45144</v>
      </c>
      <c r="Z545" s="14" t="str">
        <f t="shared" si="8"/>
        <v>Online Payment</v>
      </c>
      <c r="AA545" s="14" t="str">
        <f t="shared" si="9"/>
        <v>Cancelled</v>
      </c>
      <c r="AB545" s="14" t="str">
        <f t="shared" ref="AB545:AC545" si="1094">trim(Q545)</f>
        <v>App Glitches</v>
      </c>
      <c r="AC545" s="14" t="str">
        <f t="shared" si="1094"/>
        <v>Slow Loading Time</v>
      </c>
      <c r="AD545" s="8"/>
    </row>
    <row r="546">
      <c r="A546" s="14" t="str">
        <f>IFERROR(__xludf.DUMMYFUNCTION("""COMPUTED_VALUE"""),"//ord_10537//Tanishq Bansal//Powai//Cold Coffee+2*Nithin Lal/2/15/2023//UPI//Cancelled*Delayed Delivery:Heavy Traffic")</f>
        <v>//ord_10537//Tanishq Bansal//Powai//Cold Coffee+2*Nithin Lal/2/15/2023//UPI//Cancelled*Delayed Delivery:Heavy Traffic</v>
      </c>
      <c r="B546" s="14" t="str">
        <f>IFERROR(__xludf.DUMMYFUNCTION("split(A546,""//"")"),"ord_10537")</f>
        <v>ord_10537</v>
      </c>
      <c r="C546" s="14" t="str">
        <f>IFERROR(__xludf.DUMMYFUNCTION("""COMPUTED_VALUE"""),"Tanishq Bansal")</f>
        <v>Tanishq Bansal</v>
      </c>
      <c r="D546" s="14" t="str">
        <f>IFERROR(__xludf.DUMMYFUNCTION("""COMPUTED_VALUE"""),"Powai")</f>
        <v>Powai</v>
      </c>
      <c r="E546" s="14" t="str">
        <f>IFERROR(__xludf.DUMMYFUNCTION("""COMPUTED_VALUE"""),"Cold Coffee+2*Nithin Lal")</f>
        <v>Cold Coffee+2*Nithin Lal</v>
      </c>
      <c r="F546" s="14">
        <f>IFERROR(__xludf.DUMMYFUNCTION("""COMPUTED_VALUE"""),2.0)</f>
        <v>2</v>
      </c>
      <c r="G546" s="14">
        <f>IFERROR(__xludf.DUMMYFUNCTION("""COMPUTED_VALUE"""),15.0)</f>
        <v>15</v>
      </c>
      <c r="H546" s="14">
        <f>IFERROR(__xludf.DUMMYFUNCTION("""COMPUTED_VALUE"""),2023.0)</f>
        <v>2023</v>
      </c>
      <c r="I546" s="14" t="str">
        <f>IFERROR(__xludf.DUMMYFUNCTION("""COMPUTED_VALUE"""),"UPI")</f>
        <v>UPI</v>
      </c>
      <c r="J546" s="14" t="str">
        <f>IFERROR(__xludf.DUMMYFUNCTION("""COMPUTED_VALUE"""),"Cancelled*Delayed Delivery:Heavy Traffic")</f>
        <v>Cancelled*Delayed Delivery:Heavy Traffic</v>
      </c>
      <c r="K546" s="14" t="str">
        <f>IFERROR(__xludf.DUMMYFUNCTION("split(E546,""+"")"),"Cold Coffee")</f>
        <v>Cold Coffee</v>
      </c>
      <c r="L546" s="14" t="str">
        <f>IFERROR(__xludf.DUMMYFUNCTION("""COMPUTED_VALUE"""),"2*Nithin Lal")</f>
        <v>2*Nithin Lal</v>
      </c>
      <c r="M546" s="14">
        <f>IFERROR(__xludf.DUMMYFUNCTION("SPLIT(L546,""*"")"),2.0)</f>
        <v>2</v>
      </c>
      <c r="N546" s="14" t="str">
        <f>IFERROR(__xludf.DUMMYFUNCTION("""COMPUTED_VALUE"""),"Nithin Lal")</f>
        <v>Nithin Lal</v>
      </c>
      <c r="O546" s="14" t="str">
        <f>IFERROR(__xludf.DUMMYFUNCTION("split(J546,""*"")"),"Cancelled")</f>
        <v>Cancelled</v>
      </c>
      <c r="P546" s="14" t="str">
        <f>IFERROR(__xludf.DUMMYFUNCTION("""COMPUTED_VALUE"""),"Delayed Delivery:Heavy Traffic")</f>
        <v>Delayed Delivery:Heavy Traffic</v>
      </c>
      <c r="Q546" s="14" t="str">
        <f>IFERROR(__xludf.DUMMYFUNCTION("split(P546,"":"")"),"Delayed Delivery")</f>
        <v>Delayed Delivery</v>
      </c>
      <c r="R546" s="14" t="str">
        <f>IFERROR(__xludf.DUMMYFUNCTION("""COMPUTED_VALUE"""),"Heavy Traffic")</f>
        <v>Heavy Traffic</v>
      </c>
      <c r="S546" s="14" t="str">
        <f t="shared" ref="S546:U546" si="1095">trim(B546)</f>
        <v>ord_10537</v>
      </c>
      <c r="T546" s="14" t="str">
        <f t="shared" si="1095"/>
        <v>Tanishq Bansal</v>
      </c>
      <c r="U546" s="14" t="str">
        <f t="shared" si="1095"/>
        <v>Powai</v>
      </c>
      <c r="V546" s="14" t="str">
        <f t="shared" si="4"/>
        <v>Cold Coffee</v>
      </c>
      <c r="W546" s="14">
        <f t="shared" si="5"/>
        <v>2</v>
      </c>
      <c r="X546" s="14" t="str">
        <f t="shared" si="6"/>
        <v>Nithin Lal</v>
      </c>
      <c r="Y546" s="15">
        <f t="shared" si="7"/>
        <v>44972</v>
      </c>
      <c r="Z546" s="14" t="str">
        <f t="shared" si="8"/>
        <v>UPI</v>
      </c>
      <c r="AA546" s="14" t="str">
        <f t="shared" si="9"/>
        <v>Cancelled</v>
      </c>
      <c r="AB546" s="14" t="str">
        <f t="shared" ref="AB546:AC546" si="1096">trim(Q546)</f>
        <v>Delayed Delivery</v>
      </c>
      <c r="AC546" s="14" t="str">
        <f t="shared" si="1096"/>
        <v>Heavy Traffic</v>
      </c>
      <c r="AD546" s="8"/>
    </row>
    <row r="547">
      <c r="A547" s="14" t="str">
        <f>IFERROR(__xludf.DUMMYFUNCTION("""COMPUTED_VALUE"""),"//ord_10538//Siya Reddy//Juhu//Popcorn+4*Tanvi Jain/6/10/2023//Online Payment//Delivered*On-time Delivery: Delivered on time")</f>
        <v>//ord_10538//Siya Reddy//Juhu//Popcorn+4*Tanvi Jain/6/10/2023//Online Payment//Delivered*On-time Delivery: Delivered on time</v>
      </c>
      <c r="B547" s="14" t="str">
        <f>IFERROR(__xludf.DUMMYFUNCTION("split(A547,""//"")"),"ord_10538")</f>
        <v>ord_10538</v>
      </c>
      <c r="C547" s="14" t="str">
        <f>IFERROR(__xludf.DUMMYFUNCTION("""COMPUTED_VALUE"""),"Siya Reddy")</f>
        <v>Siya Reddy</v>
      </c>
      <c r="D547" s="14" t="str">
        <f>IFERROR(__xludf.DUMMYFUNCTION("""COMPUTED_VALUE"""),"Juhu")</f>
        <v>Juhu</v>
      </c>
      <c r="E547" s="14" t="str">
        <f>IFERROR(__xludf.DUMMYFUNCTION("""COMPUTED_VALUE"""),"Popcorn+4*Tanvi Jain")</f>
        <v>Popcorn+4*Tanvi Jain</v>
      </c>
      <c r="F547" s="14">
        <f>IFERROR(__xludf.DUMMYFUNCTION("""COMPUTED_VALUE"""),6.0)</f>
        <v>6</v>
      </c>
      <c r="G547" s="14">
        <f>IFERROR(__xludf.DUMMYFUNCTION("""COMPUTED_VALUE"""),10.0)</f>
        <v>10</v>
      </c>
      <c r="H547" s="14">
        <f>IFERROR(__xludf.DUMMYFUNCTION("""COMPUTED_VALUE"""),2023.0)</f>
        <v>2023</v>
      </c>
      <c r="I547" s="14" t="str">
        <f>IFERROR(__xludf.DUMMYFUNCTION("""COMPUTED_VALUE"""),"Online Payment")</f>
        <v>Online Payment</v>
      </c>
      <c r="J547" s="14" t="str">
        <f>IFERROR(__xludf.DUMMYFUNCTION("""COMPUTED_VALUE"""),"Delivered*On-time Delivery: Delivered on time")</f>
        <v>Delivered*On-time Delivery: Delivered on time</v>
      </c>
      <c r="K547" s="14" t="str">
        <f>IFERROR(__xludf.DUMMYFUNCTION("split(E547,""+"")"),"Popcorn")</f>
        <v>Popcorn</v>
      </c>
      <c r="L547" s="14" t="str">
        <f>IFERROR(__xludf.DUMMYFUNCTION("""COMPUTED_VALUE"""),"4*Tanvi Jain")</f>
        <v>4*Tanvi Jain</v>
      </c>
      <c r="M547" s="14">
        <f>IFERROR(__xludf.DUMMYFUNCTION("SPLIT(L547,""*"")"),4.0)</f>
        <v>4</v>
      </c>
      <c r="N547" s="14" t="str">
        <f>IFERROR(__xludf.DUMMYFUNCTION("""COMPUTED_VALUE"""),"Tanvi Jain")</f>
        <v>Tanvi Jain</v>
      </c>
      <c r="O547" s="14" t="str">
        <f>IFERROR(__xludf.DUMMYFUNCTION("split(J547,""*"")"),"Delivered")</f>
        <v>Delivered</v>
      </c>
      <c r="P547" s="14" t="str">
        <f>IFERROR(__xludf.DUMMYFUNCTION("""COMPUTED_VALUE"""),"On-time Delivery: Delivered on time")</f>
        <v>On-time Delivery: Delivered on time</v>
      </c>
      <c r="Q547" s="14" t="str">
        <f>IFERROR(__xludf.DUMMYFUNCTION("split(P547,"":"")"),"On-time Delivery")</f>
        <v>On-time Delivery</v>
      </c>
      <c r="R547" s="14" t="str">
        <f>IFERROR(__xludf.DUMMYFUNCTION("""COMPUTED_VALUE""")," Delivered on time")</f>
        <v> Delivered on time</v>
      </c>
      <c r="S547" s="14" t="str">
        <f t="shared" ref="S547:U547" si="1097">trim(B547)</f>
        <v>ord_10538</v>
      </c>
      <c r="T547" s="14" t="str">
        <f t="shared" si="1097"/>
        <v>Siya Reddy</v>
      </c>
      <c r="U547" s="14" t="str">
        <f t="shared" si="1097"/>
        <v>Juhu</v>
      </c>
      <c r="V547" s="14" t="str">
        <f t="shared" si="4"/>
        <v>Popcorn</v>
      </c>
      <c r="W547" s="14">
        <f t="shared" si="5"/>
        <v>4</v>
      </c>
      <c r="X547" s="14" t="str">
        <f t="shared" si="6"/>
        <v>Tanvi Jain</v>
      </c>
      <c r="Y547" s="15">
        <f t="shared" si="7"/>
        <v>45087</v>
      </c>
      <c r="Z547" s="14" t="str">
        <f t="shared" si="8"/>
        <v>Online Payment</v>
      </c>
      <c r="AA547" s="14" t="str">
        <f t="shared" si="9"/>
        <v>Delivered</v>
      </c>
      <c r="AB547" s="14" t="str">
        <f t="shared" ref="AB547:AC547" si="1098">trim(Q547)</f>
        <v>On-time Delivery</v>
      </c>
      <c r="AC547" s="14" t="str">
        <f t="shared" si="1098"/>
        <v>Delivered on time</v>
      </c>
      <c r="AD547" s="8"/>
    </row>
    <row r="548">
      <c r="A548" s="14" t="str">
        <f>IFERROR(__xludf.DUMMYFUNCTION("""COMPUTED_VALUE"""),"//ord_10539//Parth Goel//Juhu//Papaya+1*Tanvi Jain/12/30/2023//Credit Card//Delivered*Quality of Items: Perfect condition")</f>
        <v>//ord_10539//Parth Goel//Juhu//Papaya+1*Tanvi Jain/12/30/2023//Credit Card//Delivered*Quality of Items: Perfect condition</v>
      </c>
      <c r="B548" s="14" t="str">
        <f>IFERROR(__xludf.DUMMYFUNCTION("split(A548,""//"")"),"ord_10539")</f>
        <v>ord_10539</v>
      </c>
      <c r="C548" s="14" t="str">
        <f>IFERROR(__xludf.DUMMYFUNCTION("""COMPUTED_VALUE"""),"Parth Goel")</f>
        <v>Parth Goel</v>
      </c>
      <c r="D548" s="14" t="str">
        <f>IFERROR(__xludf.DUMMYFUNCTION("""COMPUTED_VALUE"""),"Juhu")</f>
        <v>Juhu</v>
      </c>
      <c r="E548" s="14" t="str">
        <f>IFERROR(__xludf.DUMMYFUNCTION("""COMPUTED_VALUE"""),"Papaya+1*Tanvi Jain")</f>
        <v>Papaya+1*Tanvi Jain</v>
      </c>
      <c r="F548" s="14">
        <f>IFERROR(__xludf.DUMMYFUNCTION("""COMPUTED_VALUE"""),12.0)</f>
        <v>12</v>
      </c>
      <c r="G548" s="14">
        <f>IFERROR(__xludf.DUMMYFUNCTION("""COMPUTED_VALUE"""),30.0)</f>
        <v>30</v>
      </c>
      <c r="H548" s="14">
        <f>IFERROR(__xludf.DUMMYFUNCTION("""COMPUTED_VALUE"""),2023.0)</f>
        <v>2023</v>
      </c>
      <c r="I548" s="14" t="str">
        <f>IFERROR(__xludf.DUMMYFUNCTION("""COMPUTED_VALUE"""),"Credit Card")</f>
        <v>Credit Card</v>
      </c>
      <c r="J548" s="14" t="str">
        <f>IFERROR(__xludf.DUMMYFUNCTION("""COMPUTED_VALUE"""),"Delivered*Quality of Items: Perfect condition")</f>
        <v>Delivered*Quality of Items: Perfect condition</v>
      </c>
      <c r="K548" s="14" t="str">
        <f>IFERROR(__xludf.DUMMYFUNCTION("split(E548,""+"")"),"Papaya")</f>
        <v>Papaya</v>
      </c>
      <c r="L548" s="14" t="str">
        <f>IFERROR(__xludf.DUMMYFUNCTION("""COMPUTED_VALUE"""),"1*Tanvi Jain")</f>
        <v>1*Tanvi Jain</v>
      </c>
      <c r="M548" s="14">
        <f>IFERROR(__xludf.DUMMYFUNCTION("SPLIT(L548,""*"")"),1.0)</f>
        <v>1</v>
      </c>
      <c r="N548" s="14" t="str">
        <f>IFERROR(__xludf.DUMMYFUNCTION("""COMPUTED_VALUE"""),"Tanvi Jain")</f>
        <v>Tanvi Jain</v>
      </c>
      <c r="O548" s="14" t="str">
        <f>IFERROR(__xludf.DUMMYFUNCTION("split(J548,""*"")"),"Delivered")</f>
        <v>Delivered</v>
      </c>
      <c r="P548" s="14" t="str">
        <f>IFERROR(__xludf.DUMMYFUNCTION("""COMPUTED_VALUE"""),"Quality of Items: Perfect condition")</f>
        <v>Quality of Items: Perfect condition</v>
      </c>
      <c r="Q548" s="14" t="str">
        <f>IFERROR(__xludf.DUMMYFUNCTION("split(P548,"":"")"),"Quality of Items")</f>
        <v>Quality of Items</v>
      </c>
      <c r="R548" s="14" t="str">
        <f>IFERROR(__xludf.DUMMYFUNCTION("""COMPUTED_VALUE""")," Perfect condition")</f>
        <v> Perfect condition</v>
      </c>
      <c r="S548" s="14" t="str">
        <f t="shared" ref="S548:U548" si="1099">trim(B548)</f>
        <v>ord_10539</v>
      </c>
      <c r="T548" s="14" t="str">
        <f t="shared" si="1099"/>
        <v>Parth Goel</v>
      </c>
      <c r="U548" s="14" t="str">
        <f t="shared" si="1099"/>
        <v>Juhu</v>
      </c>
      <c r="V548" s="14" t="str">
        <f t="shared" si="4"/>
        <v>Papaya</v>
      </c>
      <c r="W548" s="14">
        <f t="shared" si="5"/>
        <v>1</v>
      </c>
      <c r="X548" s="14" t="str">
        <f t="shared" si="6"/>
        <v>Tanvi Jain</v>
      </c>
      <c r="Y548" s="15">
        <f t="shared" si="7"/>
        <v>45290</v>
      </c>
      <c r="Z548" s="14" t="str">
        <f t="shared" si="8"/>
        <v>Credit Card</v>
      </c>
      <c r="AA548" s="14" t="str">
        <f t="shared" si="9"/>
        <v>Delivered</v>
      </c>
      <c r="AB548" s="14" t="str">
        <f t="shared" ref="AB548:AC548" si="1100">trim(Q548)</f>
        <v>Quality of Items</v>
      </c>
      <c r="AC548" s="14" t="str">
        <f t="shared" si="1100"/>
        <v>Perfect condition</v>
      </c>
      <c r="AD548" s="8"/>
    </row>
    <row r="549">
      <c r="A549" s="14" t="str">
        <f>IFERROR(__xludf.DUMMYFUNCTION("""COMPUTED_VALUE"""),"//ord_10540//Arvind Kulkarni//Juhu//Tomato+2*Tanvi Jain/12/26/2023//UPI//Delivered*On-time Delivery: Delivered on time")</f>
        <v>//ord_10540//Arvind Kulkarni//Juhu//Tomato+2*Tanvi Jain/12/26/2023//UPI//Delivered*On-time Delivery: Delivered on time</v>
      </c>
      <c r="B549" s="14" t="str">
        <f>IFERROR(__xludf.DUMMYFUNCTION("split(A549,""//"")"),"ord_10540")</f>
        <v>ord_10540</v>
      </c>
      <c r="C549" s="14" t="str">
        <f>IFERROR(__xludf.DUMMYFUNCTION("""COMPUTED_VALUE"""),"Arvind Kulkarni")</f>
        <v>Arvind Kulkarni</v>
      </c>
      <c r="D549" s="14" t="str">
        <f>IFERROR(__xludf.DUMMYFUNCTION("""COMPUTED_VALUE"""),"Juhu")</f>
        <v>Juhu</v>
      </c>
      <c r="E549" s="14" t="str">
        <f>IFERROR(__xludf.DUMMYFUNCTION("""COMPUTED_VALUE"""),"Tomato+2*Tanvi Jain")</f>
        <v>Tomato+2*Tanvi Jain</v>
      </c>
      <c r="F549" s="14">
        <f>IFERROR(__xludf.DUMMYFUNCTION("""COMPUTED_VALUE"""),12.0)</f>
        <v>12</v>
      </c>
      <c r="G549" s="14">
        <f>IFERROR(__xludf.DUMMYFUNCTION("""COMPUTED_VALUE"""),26.0)</f>
        <v>26</v>
      </c>
      <c r="H549" s="14">
        <f>IFERROR(__xludf.DUMMYFUNCTION("""COMPUTED_VALUE"""),2023.0)</f>
        <v>2023</v>
      </c>
      <c r="I549" s="14" t="str">
        <f>IFERROR(__xludf.DUMMYFUNCTION("""COMPUTED_VALUE"""),"UPI")</f>
        <v>UPI</v>
      </c>
      <c r="J549" s="14" t="str">
        <f>IFERROR(__xludf.DUMMYFUNCTION("""COMPUTED_VALUE"""),"Delivered*On-time Delivery: Delivered on time")</f>
        <v>Delivered*On-time Delivery: Delivered on time</v>
      </c>
      <c r="K549" s="14" t="str">
        <f>IFERROR(__xludf.DUMMYFUNCTION("split(E549,""+"")"),"Tomato")</f>
        <v>Tomato</v>
      </c>
      <c r="L549" s="14" t="str">
        <f>IFERROR(__xludf.DUMMYFUNCTION("""COMPUTED_VALUE"""),"2*Tanvi Jain")</f>
        <v>2*Tanvi Jain</v>
      </c>
      <c r="M549" s="14">
        <f>IFERROR(__xludf.DUMMYFUNCTION("SPLIT(L549,""*"")"),2.0)</f>
        <v>2</v>
      </c>
      <c r="N549" s="14" t="str">
        <f>IFERROR(__xludf.DUMMYFUNCTION("""COMPUTED_VALUE"""),"Tanvi Jain")</f>
        <v>Tanvi Jain</v>
      </c>
      <c r="O549" s="14" t="str">
        <f>IFERROR(__xludf.DUMMYFUNCTION("split(J549,""*"")"),"Delivered")</f>
        <v>Delivered</v>
      </c>
      <c r="P549" s="14" t="str">
        <f>IFERROR(__xludf.DUMMYFUNCTION("""COMPUTED_VALUE"""),"On-time Delivery: Delivered on time")</f>
        <v>On-time Delivery: Delivered on time</v>
      </c>
      <c r="Q549" s="14" t="str">
        <f>IFERROR(__xludf.DUMMYFUNCTION("split(P549,"":"")"),"On-time Delivery")</f>
        <v>On-time Delivery</v>
      </c>
      <c r="R549" s="14" t="str">
        <f>IFERROR(__xludf.DUMMYFUNCTION("""COMPUTED_VALUE""")," Delivered on time")</f>
        <v> Delivered on time</v>
      </c>
      <c r="S549" s="14" t="str">
        <f t="shared" ref="S549:U549" si="1101">trim(B549)</f>
        <v>ord_10540</v>
      </c>
      <c r="T549" s="14" t="str">
        <f t="shared" si="1101"/>
        <v>Arvind Kulkarni</v>
      </c>
      <c r="U549" s="14" t="str">
        <f t="shared" si="1101"/>
        <v>Juhu</v>
      </c>
      <c r="V549" s="14" t="str">
        <f t="shared" si="4"/>
        <v>Tomato</v>
      </c>
      <c r="W549" s="14">
        <f t="shared" si="5"/>
        <v>2</v>
      </c>
      <c r="X549" s="14" t="str">
        <f t="shared" si="6"/>
        <v>Tanvi Jain</v>
      </c>
      <c r="Y549" s="15">
        <f t="shared" si="7"/>
        <v>45286</v>
      </c>
      <c r="Z549" s="14" t="str">
        <f t="shared" si="8"/>
        <v>UPI</v>
      </c>
      <c r="AA549" s="14" t="str">
        <f t="shared" si="9"/>
        <v>Delivered</v>
      </c>
      <c r="AB549" s="14" t="str">
        <f t="shared" ref="AB549:AC549" si="1102">trim(Q549)</f>
        <v>On-time Delivery</v>
      </c>
      <c r="AC549" s="14" t="str">
        <f t="shared" si="1102"/>
        <v>Delivered on time</v>
      </c>
      <c r="AD549" s="8"/>
    </row>
    <row r="550">
      <c r="A550" s="14" t="str">
        <f>IFERROR(__xludf.DUMMYFUNCTION("""COMPUTED_VALUE"""),"//ord_10541//Pranav Joshi//Andheri//Potato+1*Rohan Yadav/9/30/2023//Online Payment//Delivered*Quality of Items: Perfect condition")</f>
        <v>//ord_10541//Pranav Joshi//Andheri//Potato+1*Rohan Yadav/9/30/2023//Online Payment//Delivered*Quality of Items: Perfect condition</v>
      </c>
      <c r="B550" s="14" t="str">
        <f>IFERROR(__xludf.DUMMYFUNCTION("split(A550,""//"")"),"ord_10541")</f>
        <v>ord_10541</v>
      </c>
      <c r="C550" s="14" t="str">
        <f>IFERROR(__xludf.DUMMYFUNCTION("""COMPUTED_VALUE"""),"Pranav Joshi")</f>
        <v>Pranav Joshi</v>
      </c>
      <c r="D550" s="14" t="str">
        <f>IFERROR(__xludf.DUMMYFUNCTION("""COMPUTED_VALUE"""),"Andheri")</f>
        <v>Andheri</v>
      </c>
      <c r="E550" s="14" t="str">
        <f>IFERROR(__xludf.DUMMYFUNCTION("""COMPUTED_VALUE"""),"Potato+1*Rohan Yadav")</f>
        <v>Potato+1*Rohan Yadav</v>
      </c>
      <c r="F550" s="14">
        <f>IFERROR(__xludf.DUMMYFUNCTION("""COMPUTED_VALUE"""),9.0)</f>
        <v>9</v>
      </c>
      <c r="G550" s="14">
        <f>IFERROR(__xludf.DUMMYFUNCTION("""COMPUTED_VALUE"""),30.0)</f>
        <v>30</v>
      </c>
      <c r="H550" s="14">
        <f>IFERROR(__xludf.DUMMYFUNCTION("""COMPUTED_VALUE"""),2023.0)</f>
        <v>2023</v>
      </c>
      <c r="I550" s="14" t="str">
        <f>IFERROR(__xludf.DUMMYFUNCTION("""COMPUTED_VALUE"""),"Online Payment")</f>
        <v>Online Payment</v>
      </c>
      <c r="J550" s="14" t="str">
        <f>IFERROR(__xludf.DUMMYFUNCTION("""COMPUTED_VALUE"""),"Delivered*Quality of Items: Perfect condition")</f>
        <v>Delivered*Quality of Items: Perfect condition</v>
      </c>
      <c r="K550" s="14" t="str">
        <f>IFERROR(__xludf.DUMMYFUNCTION("split(E550,""+"")"),"Potato")</f>
        <v>Potato</v>
      </c>
      <c r="L550" s="14" t="str">
        <f>IFERROR(__xludf.DUMMYFUNCTION("""COMPUTED_VALUE"""),"1*Rohan Yadav")</f>
        <v>1*Rohan Yadav</v>
      </c>
      <c r="M550" s="14">
        <f>IFERROR(__xludf.DUMMYFUNCTION("SPLIT(L550,""*"")"),1.0)</f>
        <v>1</v>
      </c>
      <c r="N550" s="14" t="str">
        <f>IFERROR(__xludf.DUMMYFUNCTION("""COMPUTED_VALUE"""),"Rohan Yadav")</f>
        <v>Rohan Yadav</v>
      </c>
      <c r="O550" s="14" t="str">
        <f>IFERROR(__xludf.DUMMYFUNCTION("split(J550,""*"")"),"Delivered")</f>
        <v>Delivered</v>
      </c>
      <c r="P550" s="14" t="str">
        <f>IFERROR(__xludf.DUMMYFUNCTION("""COMPUTED_VALUE"""),"Quality of Items: Perfect condition")</f>
        <v>Quality of Items: Perfect condition</v>
      </c>
      <c r="Q550" s="14" t="str">
        <f>IFERROR(__xludf.DUMMYFUNCTION("split(P550,"":"")"),"Quality of Items")</f>
        <v>Quality of Items</v>
      </c>
      <c r="R550" s="14" t="str">
        <f>IFERROR(__xludf.DUMMYFUNCTION("""COMPUTED_VALUE""")," Perfect condition")</f>
        <v> Perfect condition</v>
      </c>
      <c r="S550" s="14" t="str">
        <f t="shared" ref="S550:U550" si="1103">trim(B550)</f>
        <v>ord_10541</v>
      </c>
      <c r="T550" s="14" t="str">
        <f t="shared" si="1103"/>
        <v>Pranav Joshi</v>
      </c>
      <c r="U550" s="14" t="str">
        <f t="shared" si="1103"/>
        <v>Andheri</v>
      </c>
      <c r="V550" s="14" t="str">
        <f t="shared" si="4"/>
        <v>Potato</v>
      </c>
      <c r="W550" s="14">
        <f t="shared" si="5"/>
        <v>1</v>
      </c>
      <c r="X550" s="14" t="str">
        <f t="shared" si="6"/>
        <v>Rohan Yadav</v>
      </c>
      <c r="Y550" s="15">
        <f t="shared" si="7"/>
        <v>45199</v>
      </c>
      <c r="Z550" s="14" t="str">
        <f t="shared" si="8"/>
        <v>Online Payment</v>
      </c>
      <c r="AA550" s="14" t="str">
        <f t="shared" si="9"/>
        <v>Delivered</v>
      </c>
      <c r="AB550" s="14" t="str">
        <f t="shared" ref="AB550:AC550" si="1104">trim(Q550)</f>
        <v>Quality of Items</v>
      </c>
      <c r="AC550" s="14" t="str">
        <f t="shared" si="1104"/>
        <v>Perfect condition</v>
      </c>
      <c r="AD550" s="8"/>
    </row>
    <row r="551">
      <c r="A551" s="14" t="str">
        <f>IFERROR(__xludf.DUMMYFUNCTION("""COMPUTED_VALUE"""),"//ord_10542//Mohit Malhotra//Lower Parel//Icecream+3*Not Assigned/5/19/2023//Online Payment//Cancelled*App Glitches:Slow Loading Time")</f>
        <v>//ord_10542//Mohit Malhotra//Lower Parel//Icecream+3*Not Assigned/5/19/2023//Online Payment//Cancelled*App Glitches:Slow Loading Time</v>
      </c>
      <c r="B551" s="14" t="str">
        <f>IFERROR(__xludf.DUMMYFUNCTION("split(A551,""//"")"),"ord_10542")</f>
        <v>ord_10542</v>
      </c>
      <c r="C551" s="14" t="str">
        <f>IFERROR(__xludf.DUMMYFUNCTION("""COMPUTED_VALUE"""),"Mohit Malhotra")</f>
        <v>Mohit Malhotra</v>
      </c>
      <c r="D551" s="14" t="str">
        <f>IFERROR(__xludf.DUMMYFUNCTION("""COMPUTED_VALUE"""),"Lower Parel")</f>
        <v>Lower Parel</v>
      </c>
      <c r="E551" s="14" t="str">
        <f>IFERROR(__xludf.DUMMYFUNCTION("""COMPUTED_VALUE"""),"Icecream+3*Not Assigned")</f>
        <v>Icecream+3*Not Assigned</v>
      </c>
      <c r="F551" s="14">
        <f>IFERROR(__xludf.DUMMYFUNCTION("""COMPUTED_VALUE"""),5.0)</f>
        <v>5</v>
      </c>
      <c r="G551" s="14">
        <f>IFERROR(__xludf.DUMMYFUNCTION("""COMPUTED_VALUE"""),19.0)</f>
        <v>19</v>
      </c>
      <c r="H551" s="14">
        <f>IFERROR(__xludf.DUMMYFUNCTION("""COMPUTED_VALUE"""),2023.0)</f>
        <v>2023</v>
      </c>
      <c r="I551" s="14" t="str">
        <f>IFERROR(__xludf.DUMMYFUNCTION("""COMPUTED_VALUE"""),"Online Payment")</f>
        <v>Online Payment</v>
      </c>
      <c r="J551" s="14" t="str">
        <f>IFERROR(__xludf.DUMMYFUNCTION("""COMPUTED_VALUE"""),"Cancelled*App Glitches:Slow Loading Time")</f>
        <v>Cancelled*App Glitches:Slow Loading Time</v>
      </c>
      <c r="K551" s="14" t="str">
        <f>IFERROR(__xludf.DUMMYFUNCTION("split(E551,""+"")"),"Icecream")</f>
        <v>Icecream</v>
      </c>
      <c r="L551" s="14" t="str">
        <f>IFERROR(__xludf.DUMMYFUNCTION("""COMPUTED_VALUE"""),"3*Not Assigned")</f>
        <v>3*Not Assigned</v>
      </c>
      <c r="M551" s="14">
        <f>IFERROR(__xludf.DUMMYFUNCTION("SPLIT(L551,""*"")"),3.0)</f>
        <v>3</v>
      </c>
      <c r="N551" s="14" t="str">
        <f>IFERROR(__xludf.DUMMYFUNCTION("""COMPUTED_VALUE"""),"Not Assigned")</f>
        <v>Not Assigned</v>
      </c>
      <c r="O551" s="14" t="str">
        <f>IFERROR(__xludf.DUMMYFUNCTION("split(J551,""*"")"),"Cancelled")</f>
        <v>Cancelled</v>
      </c>
      <c r="P551" s="14" t="str">
        <f>IFERROR(__xludf.DUMMYFUNCTION("""COMPUTED_VALUE"""),"App Glitches:Slow Loading Time")</f>
        <v>App Glitches:Slow Loading Time</v>
      </c>
      <c r="Q551" s="14" t="str">
        <f>IFERROR(__xludf.DUMMYFUNCTION("split(P551,"":"")"),"App Glitches")</f>
        <v>App Glitches</v>
      </c>
      <c r="R551" s="14" t="str">
        <f>IFERROR(__xludf.DUMMYFUNCTION("""COMPUTED_VALUE"""),"Slow Loading Time")</f>
        <v>Slow Loading Time</v>
      </c>
      <c r="S551" s="14" t="str">
        <f t="shared" ref="S551:U551" si="1105">trim(B551)</f>
        <v>ord_10542</v>
      </c>
      <c r="T551" s="14" t="str">
        <f t="shared" si="1105"/>
        <v>Mohit Malhotra</v>
      </c>
      <c r="U551" s="14" t="str">
        <f t="shared" si="1105"/>
        <v>Lower Parel</v>
      </c>
      <c r="V551" s="14" t="str">
        <f t="shared" si="4"/>
        <v>Icecream</v>
      </c>
      <c r="W551" s="14">
        <f t="shared" si="5"/>
        <v>3</v>
      </c>
      <c r="X551" s="14" t="str">
        <f t="shared" si="6"/>
        <v>Not Assigned</v>
      </c>
      <c r="Y551" s="15">
        <f t="shared" si="7"/>
        <v>45065</v>
      </c>
      <c r="Z551" s="14" t="str">
        <f t="shared" si="8"/>
        <v>Online Payment</v>
      </c>
      <c r="AA551" s="14" t="str">
        <f t="shared" si="9"/>
        <v>Cancelled</v>
      </c>
      <c r="AB551" s="14" t="str">
        <f t="shared" ref="AB551:AC551" si="1106">trim(Q551)</f>
        <v>App Glitches</v>
      </c>
      <c r="AC551" s="14" t="str">
        <f t="shared" si="1106"/>
        <v>Slow Loading Time</v>
      </c>
      <c r="AD551" s="8"/>
    </row>
    <row r="552">
      <c r="A552" s="14" t="str">
        <f>IFERROR(__xludf.DUMMYFUNCTION("""COMPUTED_VALUE"""),"//ord_10543//Sanjay Nair//Dadar//Chicken Puff+3*Aman Kumar/9/24/2023//UPI//Delivered*Packaging: Secure and intact")</f>
        <v>//ord_10543//Sanjay Nair//Dadar//Chicken Puff+3*Aman Kumar/9/24/2023//UPI//Delivered*Packaging: Secure and intact</v>
      </c>
      <c r="B552" s="14" t="str">
        <f>IFERROR(__xludf.DUMMYFUNCTION("split(A552,""//"")"),"ord_10543")</f>
        <v>ord_10543</v>
      </c>
      <c r="C552" s="14" t="str">
        <f>IFERROR(__xludf.DUMMYFUNCTION("""COMPUTED_VALUE"""),"Sanjay Nair")</f>
        <v>Sanjay Nair</v>
      </c>
      <c r="D552" s="14" t="str">
        <f>IFERROR(__xludf.DUMMYFUNCTION("""COMPUTED_VALUE"""),"Dadar")</f>
        <v>Dadar</v>
      </c>
      <c r="E552" s="14" t="str">
        <f>IFERROR(__xludf.DUMMYFUNCTION("""COMPUTED_VALUE"""),"Chicken Puff+3*Aman Kumar")</f>
        <v>Chicken Puff+3*Aman Kumar</v>
      </c>
      <c r="F552" s="14">
        <f>IFERROR(__xludf.DUMMYFUNCTION("""COMPUTED_VALUE"""),9.0)</f>
        <v>9</v>
      </c>
      <c r="G552" s="14">
        <f>IFERROR(__xludf.DUMMYFUNCTION("""COMPUTED_VALUE"""),24.0)</f>
        <v>24</v>
      </c>
      <c r="H552" s="14">
        <f>IFERROR(__xludf.DUMMYFUNCTION("""COMPUTED_VALUE"""),2023.0)</f>
        <v>2023</v>
      </c>
      <c r="I552" s="14" t="str">
        <f>IFERROR(__xludf.DUMMYFUNCTION("""COMPUTED_VALUE"""),"UPI")</f>
        <v>UPI</v>
      </c>
      <c r="J552" s="14" t="str">
        <f>IFERROR(__xludf.DUMMYFUNCTION("""COMPUTED_VALUE"""),"Delivered*Packaging: Secure and intact")</f>
        <v>Delivered*Packaging: Secure and intact</v>
      </c>
      <c r="K552" s="14" t="str">
        <f>IFERROR(__xludf.DUMMYFUNCTION("split(E552,""+"")"),"Chicken Puff")</f>
        <v>Chicken Puff</v>
      </c>
      <c r="L552" s="14" t="str">
        <f>IFERROR(__xludf.DUMMYFUNCTION("""COMPUTED_VALUE"""),"3*Aman Kumar")</f>
        <v>3*Aman Kumar</v>
      </c>
      <c r="M552" s="14">
        <f>IFERROR(__xludf.DUMMYFUNCTION("SPLIT(L552,""*"")"),3.0)</f>
        <v>3</v>
      </c>
      <c r="N552" s="14" t="str">
        <f>IFERROR(__xludf.DUMMYFUNCTION("""COMPUTED_VALUE"""),"Aman Kumar")</f>
        <v>Aman Kumar</v>
      </c>
      <c r="O552" s="14" t="str">
        <f>IFERROR(__xludf.DUMMYFUNCTION("split(J552,""*"")"),"Delivered")</f>
        <v>Delivered</v>
      </c>
      <c r="P552" s="14" t="str">
        <f>IFERROR(__xludf.DUMMYFUNCTION("""COMPUTED_VALUE"""),"Packaging: Secure and intact")</f>
        <v>Packaging: Secure and intact</v>
      </c>
      <c r="Q552" s="14" t="str">
        <f>IFERROR(__xludf.DUMMYFUNCTION("split(P552,"":"")"),"Packaging")</f>
        <v>Packaging</v>
      </c>
      <c r="R552" s="14" t="str">
        <f>IFERROR(__xludf.DUMMYFUNCTION("""COMPUTED_VALUE""")," Secure and intact")</f>
        <v> Secure and intact</v>
      </c>
      <c r="S552" s="14" t="str">
        <f t="shared" ref="S552:U552" si="1107">trim(B552)</f>
        <v>ord_10543</v>
      </c>
      <c r="T552" s="14" t="str">
        <f t="shared" si="1107"/>
        <v>Sanjay Nair</v>
      </c>
      <c r="U552" s="14" t="str">
        <f t="shared" si="1107"/>
        <v>Dadar</v>
      </c>
      <c r="V552" s="14" t="str">
        <f t="shared" si="4"/>
        <v>Chicken Puff</v>
      </c>
      <c r="W552" s="14">
        <f t="shared" si="5"/>
        <v>3</v>
      </c>
      <c r="X552" s="14" t="str">
        <f t="shared" si="6"/>
        <v>Aman Kumar</v>
      </c>
      <c r="Y552" s="15">
        <f t="shared" si="7"/>
        <v>45193</v>
      </c>
      <c r="Z552" s="14" t="str">
        <f t="shared" si="8"/>
        <v>UPI</v>
      </c>
      <c r="AA552" s="14" t="str">
        <f t="shared" si="9"/>
        <v>Delivered</v>
      </c>
      <c r="AB552" s="14" t="str">
        <f t="shared" ref="AB552:AC552" si="1108">trim(Q552)</f>
        <v>Packaging</v>
      </c>
      <c r="AC552" s="14" t="str">
        <f t="shared" si="1108"/>
        <v>Secure and intact</v>
      </c>
      <c r="AD552" s="8"/>
    </row>
    <row r="553">
      <c r="A553" s="14" t="str">
        <f>IFERROR(__xludf.DUMMYFUNCTION("""COMPUTED_VALUE"""),"//ord_10544//Mohit Malhotra//Lower Parel//Veg Puff+4*Kiran Mehta/2/3/2023//UPI//Delivered*Satisfied with the Delivery: Timely and quality")</f>
        <v>//ord_10544//Mohit Malhotra//Lower Parel//Veg Puff+4*Kiran Mehta/2/3/2023//UPI//Delivered*Satisfied with the Delivery: Timely and quality</v>
      </c>
      <c r="B553" s="14" t="str">
        <f>IFERROR(__xludf.DUMMYFUNCTION("split(A553,""//"")"),"ord_10544")</f>
        <v>ord_10544</v>
      </c>
      <c r="C553" s="14" t="str">
        <f>IFERROR(__xludf.DUMMYFUNCTION("""COMPUTED_VALUE"""),"Mohit Malhotra")</f>
        <v>Mohit Malhotra</v>
      </c>
      <c r="D553" s="14" t="str">
        <f>IFERROR(__xludf.DUMMYFUNCTION("""COMPUTED_VALUE"""),"Lower Parel")</f>
        <v>Lower Parel</v>
      </c>
      <c r="E553" s="14" t="str">
        <f>IFERROR(__xludf.DUMMYFUNCTION("""COMPUTED_VALUE"""),"Veg Puff+4*Kiran Mehta")</f>
        <v>Veg Puff+4*Kiran Mehta</v>
      </c>
      <c r="F553" s="14">
        <f>IFERROR(__xludf.DUMMYFUNCTION("""COMPUTED_VALUE"""),2.0)</f>
        <v>2</v>
      </c>
      <c r="G553" s="14">
        <f>IFERROR(__xludf.DUMMYFUNCTION("""COMPUTED_VALUE"""),3.0)</f>
        <v>3</v>
      </c>
      <c r="H553" s="14">
        <f>IFERROR(__xludf.DUMMYFUNCTION("""COMPUTED_VALUE"""),2023.0)</f>
        <v>2023</v>
      </c>
      <c r="I553" s="14" t="str">
        <f>IFERROR(__xludf.DUMMYFUNCTION("""COMPUTED_VALUE"""),"UPI")</f>
        <v>UPI</v>
      </c>
      <c r="J553" s="14" t="str">
        <f>IFERROR(__xludf.DUMMYFUNCTION("""COMPUTED_VALUE"""),"Delivered*Satisfied with the Delivery: Timely and quality")</f>
        <v>Delivered*Satisfied with the Delivery: Timely and quality</v>
      </c>
      <c r="K553" s="14" t="str">
        <f>IFERROR(__xludf.DUMMYFUNCTION("split(E553,""+"")"),"Veg Puff")</f>
        <v>Veg Puff</v>
      </c>
      <c r="L553" s="14" t="str">
        <f>IFERROR(__xludf.DUMMYFUNCTION("""COMPUTED_VALUE"""),"4*Kiran Mehta")</f>
        <v>4*Kiran Mehta</v>
      </c>
      <c r="M553" s="14">
        <f>IFERROR(__xludf.DUMMYFUNCTION("SPLIT(L553,""*"")"),4.0)</f>
        <v>4</v>
      </c>
      <c r="N553" s="14" t="str">
        <f>IFERROR(__xludf.DUMMYFUNCTION("""COMPUTED_VALUE"""),"Kiran Mehta")</f>
        <v>Kiran Mehta</v>
      </c>
      <c r="O553" s="14" t="str">
        <f>IFERROR(__xludf.DUMMYFUNCTION("split(J553,""*"")"),"Delivered")</f>
        <v>Delivered</v>
      </c>
      <c r="P553" s="14" t="str">
        <f>IFERROR(__xludf.DUMMYFUNCTION("""COMPUTED_VALUE"""),"Satisfied with the Delivery: Timely and quality")</f>
        <v>Satisfied with the Delivery: Timely and quality</v>
      </c>
      <c r="Q553" s="14" t="str">
        <f>IFERROR(__xludf.DUMMYFUNCTION("split(P553,"":"")"),"Satisfied with the Delivery")</f>
        <v>Satisfied with the Delivery</v>
      </c>
      <c r="R553" s="14" t="str">
        <f>IFERROR(__xludf.DUMMYFUNCTION("""COMPUTED_VALUE""")," Timely and quality")</f>
        <v> Timely and quality</v>
      </c>
      <c r="S553" s="14" t="str">
        <f t="shared" ref="S553:U553" si="1109">trim(B553)</f>
        <v>ord_10544</v>
      </c>
      <c r="T553" s="14" t="str">
        <f t="shared" si="1109"/>
        <v>Mohit Malhotra</v>
      </c>
      <c r="U553" s="14" t="str">
        <f t="shared" si="1109"/>
        <v>Lower Parel</v>
      </c>
      <c r="V553" s="14" t="str">
        <f t="shared" si="4"/>
        <v>Veg Puff</v>
      </c>
      <c r="W553" s="14">
        <f t="shared" si="5"/>
        <v>4</v>
      </c>
      <c r="X553" s="14" t="str">
        <f t="shared" si="6"/>
        <v>Kiran Mehta</v>
      </c>
      <c r="Y553" s="15">
        <f t="shared" si="7"/>
        <v>44960</v>
      </c>
      <c r="Z553" s="14" t="str">
        <f t="shared" si="8"/>
        <v>UPI</v>
      </c>
      <c r="AA553" s="14" t="str">
        <f t="shared" si="9"/>
        <v>Delivered</v>
      </c>
      <c r="AB553" s="14" t="str">
        <f t="shared" ref="AB553:AC553" si="1110">trim(Q553)</f>
        <v>Satisfied with the Delivery</v>
      </c>
      <c r="AC553" s="14" t="str">
        <f t="shared" si="1110"/>
        <v>Timely and quality</v>
      </c>
      <c r="AD553" s="8"/>
    </row>
    <row r="554">
      <c r="A554" s="14" t="str">
        <f>IFERROR(__xludf.DUMMYFUNCTION("""COMPUTED_VALUE"""),"//ord_10545//Anaya Rao//Colaba//Icecream+4*Nikhil Deshmukh/12/17/2023//COD//Delivered*Customer Service: Seamless and easy")</f>
        <v>//ord_10545//Anaya Rao//Colaba//Icecream+4*Nikhil Deshmukh/12/17/2023//COD//Delivered*Customer Service: Seamless and easy</v>
      </c>
      <c r="B554" s="14" t="str">
        <f>IFERROR(__xludf.DUMMYFUNCTION("split(A554,""//"")"),"ord_10545")</f>
        <v>ord_10545</v>
      </c>
      <c r="C554" s="14" t="str">
        <f>IFERROR(__xludf.DUMMYFUNCTION("""COMPUTED_VALUE"""),"Anaya Rao")</f>
        <v>Anaya Rao</v>
      </c>
      <c r="D554" s="14" t="str">
        <f>IFERROR(__xludf.DUMMYFUNCTION("""COMPUTED_VALUE"""),"Colaba")</f>
        <v>Colaba</v>
      </c>
      <c r="E554" s="14" t="str">
        <f>IFERROR(__xludf.DUMMYFUNCTION("""COMPUTED_VALUE"""),"Icecream+4*Nikhil Deshmukh")</f>
        <v>Icecream+4*Nikhil Deshmukh</v>
      </c>
      <c r="F554" s="14">
        <f>IFERROR(__xludf.DUMMYFUNCTION("""COMPUTED_VALUE"""),12.0)</f>
        <v>12</v>
      </c>
      <c r="G554" s="14">
        <f>IFERROR(__xludf.DUMMYFUNCTION("""COMPUTED_VALUE"""),17.0)</f>
        <v>17</v>
      </c>
      <c r="H554" s="14">
        <f>IFERROR(__xludf.DUMMYFUNCTION("""COMPUTED_VALUE"""),2023.0)</f>
        <v>2023</v>
      </c>
      <c r="I554" s="14" t="str">
        <f>IFERROR(__xludf.DUMMYFUNCTION("""COMPUTED_VALUE"""),"COD")</f>
        <v>COD</v>
      </c>
      <c r="J554" s="14" t="str">
        <f>IFERROR(__xludf.DUMMYFUNCTION("""COMPUTED_VALUE"""),"Delivered*Customer Service: Seamless and easy")</f>
        <v>Delivered*Customer Service: Seamless and easy</v>
      </c>
      <c r="K554" s="14" t="str">
        <f>IFERROR(__xludf.DUMMYFUNCTION("split(E554,""+"")"),"Icecream")</f>
        <v>Icecream</v>
      </c>
      <c r="L554" s="14" t="str">
        <f>IFERROR(__xludf.DUMMYFUNCTION("""COMPUTED_VALUE"""),"4*Nikhil Deshmukh")</f>
        <v>4*Nikhil Deshmukh</v>
      </c>
      <c r="M554" s="14">
        <f>IFERROR(__xludf.DUMMYFUNCTION("SPLIT(L554,""*"")"),4.0)</f>
        <v>4</v>
      </c>
      <c r="N554" s="14" t="str">
        <f>IFERROR(__xludf.DUMMYFUNCTION("""COMPUTED_VALUE"""),"Nikhil Deshmukh")</f>
        <v>Nikhil Deshmukh</v>
      </c>
      <c r="O554" s="14" t="str">
        <f>IFERROR(__xludf.DUMMYFUNCTION("split(J554,""*"")"),"Delivered")</f>
        <v>Delivered</v>
      </c>
      <c r="P554" s="14" t="str">
        <f>IFERROR(__xludf.DUMMYFUNCTION("""COMPUTED_VALUE"""),"Customer Service: Seamless and easy")</f>
        <v>Customer Service: Seamless and easy</v>
      </c>
      <c r="Q554" s="14" t="str">
        <f>IFERROR(__xludf.DUMMYFUNCTION("split(P554,"":"")"),"Customer Service")</f>
        <v>Customer Service</v>
      </c>
      <c r="R554" s="14" t="str">
        <f>IFERROR(__xludf.DUMMYFUNCTION("""COMPUTED_VALUE""")," Seamless and easy")</f>
        <v> Seamless and easy</v>
      </c>
      <c r="S554" s="14" t="str">
        <f t="shared" ref="S554:U554" si="1111">trim(B554)</f>
        <v>ord_10545</v>
      </c>
      <c r="T554" s="14" t="str">
        <f t="shared" si="1111"/>
        <v>Anaya Rao</v>
      </c>
      <c r="U554" s="14" t="str">
        <f t="shared" si="1111"/>
        <v>Colaba</v>
      </c>
      <c r="V554" s="14" t="str">
        <f t="shared" si="4"/>
        <v>Icecream</v>
      </c>
      <c r="W554" s="14">
        <f t="shared" si="5"/>
        <v>4</v>
      </c>
      <c r="X554" s="14" t="str">
        <f t="shared" si="6"/>
        <v>Nikhil Deshmukh</v>
      </c>
      <c r="Y554" s="15">
        <f t="shared" si="7"/>
        <v>45277</v>
      </c>
      <c r="Z554" s="14" t="str">
        <f t="shared" si="8"/>
        <v>COD</v>
      </c>
      <c r="AA554" s="14" t="str">
        <f t="shared" si="9"/>
        <v>Delivered</v>
      </c>
      <c r="AB554" s="14" t="str">
        <f t="shared" ref="AB554:AC554" si="1112">trim(Q554)</f>
        <v>Customer Service</v>
      </c>
      <c r="AC554" s="14" t="str">
        <f t="shared" si="1112"/>
        <v>Seamless and easy</v>
      </c>
      <c r="AD554" s="8"/>
    </row>
    <row r="555">
      <c r="A555" s="14" t="str">
        <f>IFERROR(__xludf.DUMMYFUNCTION("""COMPUTED_VALUE"""),"//ord_10546//Aarav Mehta//Andheri//Chocolate Mousse+4*Rohan Yadav/12/23/2023//Online Payment//Delivered*Delivery Experience: Quick and professional")</f>
        <v>//ord_10546//Aarav Mehta//Andheri//Chocolate Mousse+4*Rohan Yadav/12/23/2023//Online Payment//Delivered*Delivery Experience: Quick and professional</v>
      </c>
      <c r="B555" s="14" t="str">
        <f>IFERROR(__xludf.DUMMYFUNCTION("split(A555,""//"")"),"ord_10546")</f>
        <v>ord_10546</v>
      </c>
      <c r="C555" s="14" t="str">
        <f>IFERROR(__xludf.DUMMYFUNCTION("""COMPUTED_VALUE"""),"Aarav Mehta")</f>
        <v>Aarav Mehta</v>
      </c>
      <c r="D555" s="14" t="str">
        <f>IFERROR(__xludf.DUMMYFUNCTION("""COMPUTED_VALUE"""),"Andheri")</f>
        <v>Andheri</v>
      </c>
      <c r="E555" s="14" t="str">
        <f>IFERROR(__xludf.DUMMYFUNCTION("""COMPUTED_VALUE"""),"Chocolate Mousse+4*Rohan Yadav")</f>
        <v>Chocolate Mousse+4*Rohan Yadav</v>
      </c>
      <c r="F555" s="14">
        <f>IFERROR(__xludf.DUMMYFUNCTION("""COMPUTED_VALUE"""),12.0)</f>
        <v>12</v>
      </c>
      <c r="G555" s="14">
        <f>IFERROR(__xludf.DUMMYFUNCTION("""COMPUTED_VALUE"""),23.0)</f>
        <v>23</v>
      </c>
      <c r="H555" s="14">
        <f>IFERROR(__xludf.DUMMYFUNCTION("""COMPUTED_VALUE"""),2023.0)</f>
        <v>2023</v>
      </c>
      <c r="I555" s="14" t="str">
        <f>IFERROR(__xludf.DUMMYFUNCTION("""COMPUTED_VALUE"""),"Online Payment")</f>
        <v>Online Payment</v>
      </c>
      <c r="J555" s="14" t="str">
        <f>IFERROR(__xludf.DUMMYFUNCTION("""COMPUTED_VALUE"""),"Delivered*Delivery Experience: Quick and professional")</f>
        <v>Delivered*Delivery Experience: Quick and professional</v>
      </c>
      <c r="K555" s="14" t="str">
        <f>IFERROR(__xludf.DUMMYFUNCTION("split(E555,""+"")"),"Chocolate Mousse")</f>
        <v>Chocolate Mousse</v>
      </c>
      <c r="L555" s="14" t="str">
        <f>IFERROR(__xludf.DUMMYFUNCTION("""COMPUTED_VALUE"""),"4*Rohan Yadav")</f>
        <v>4*Rohan Yadav</v>
      </c>
      <c r="M555" s="14">
        <f>IFERROR(__xludf.DUMMYFUNCTION("SPLIT(L555,""*"")"),4.0)</f>
        <v>4</v>
      </c>
      <c r="N555" s="14" t="str">
        <f>IFERROR(__xludf.DUMMYFUNCTION("""COMPUTED_VALUE"""),"Rohan Yadav")</f>
        <v>Rohan Yadav</v>
      </c>
      <c r="O555" s="14" t="str">
        <f>IFERROR(__xludf.DUMMYFUNCTION("split(J555,""*"")"),"Delivered")</f>
        <v>Delivered</v>
      </c>
      <c r="P555" s="14" t="str">
        <f>IFERROR(__xludf.DUMMYFUNCTION("""COMPUTED_VALUE"""),"Delivery Experience: Quick and professional")</f>
        <v>Delivery Experience: Quick and professional</v>
      </c>
      <c r="Q555" s="14" t="str">
        <f>IFERROR(__xludf.DUMMYFUNCTION("split(P555,"":"")"),"Delivery Experience")</f>
        <v>Delivery Experience</v>
      </c>
      <c r="R555" s="14" t="str">
        <f>IFERROR(__xludf.DUMMYFUNCTION("""COMPUTED_VALUE""")," Quick and professional")</f>
        <v> Quick and professional</v>
      </c>
      <c r="S555" s="14" t="str">
        <f t="shared" ref="S555:U555" si="1113">trim(B555)</f>
        <v>ord_10546</v>
      </c>
      <c r="T555" s="14" t="str">
        <f t="shared" si="1113"/>
        <v>Aarav Mehta</v>
      </c>
      <c r="U555" s="14" t="str">
        <f t="shared" si="1113"/>
        <v>Andheri</v>
      </c>
      <c r="V555" s="14" t="str">
        <f t="shared" si="4"/>
        <v>Chocolate Mousse</v>
      </c>
      <c r="W555" s="14">
        <f t="shared" si="5"/>
        <v>4</v>
      </c>
      <c r="X555" s="14" t="str">
        <f t="shared" si="6"/>
        <v>Rohan Yadav</v>
      </c>
      <c r="Y555" s="15">
        <f t="shared" si="7"/>
        <v>45283</v>
      </c>
      <c r="Z555" s="14" t="str">
        <f t="shared" si="8"/>
        <v>Online Payment</v>
      </c>
      <c r="AA555" s="14" t="str">
        <f t="shared" si="9"/>
        <v>Delivered</v>
      </c>
      <c r="AB555" s="14" t="str">
        <f t="shared" ref="AB555:AC555" si="1114">trim(Q555)</f>
        <v>Delivery Experience</v>
      </c>
      <c r="AC555" s="14" t="str">
        <f t="shared" si="1114"/>
        <v>Quick and professional</v>
      </c>
      <c r="AD555" s="8"/>
    </row>
    <row r="556">
      <c r="A556" s="14" t="str">
        <f>IFERROR(__xludf.DUMMYFUNCTION("""COMPUTED_VALUE"""),"//ord_10547//Mehul Thakkar//Malad//Chocolate Mousse+3*Neha Shah/2/28/2023//UPI//Delivered*Convenience: Easy tracking")</f>
        <v>//ord_10547//Mehul Thakkar//Malad//Chocolate Mousse+3*Neha Shah/2/28/2023//UPI//Delivered*Convenience: Easy tracking</v>
      </c>
      <c r="B556" s="14" t="str">
        <f>IFERROR(__xludf.DUMMYFUNCTION("split(A556,""//"")"),"ord_10547")</f>
        <v>ord_10547</v>
      </c>
      <c r="C556" s="14" t="str">
        <f>IFERROR(__xludf.DUMMYFUNCTION("""COMPUTED_VALUE"""),"Mehul Thakkar")</f>
        <v>Mehul Thakkar</v>
      </c>
      <c r="D556" s="14" t="str">
        <f>IFERROR(__xludf.DUMMYFUNCTION("""COMPUTED_VALUE"""),"Malad")</f>
        <v>Malad</v>
      </c>
      <c r="E556" s="14" t="str">
        <f>IFERROR(__xludf.DUMMYFUNCTION("""COMPUTED_VALUE"""),"Chocolate Mousse+3*Neha Shah")</f>
        <v>Chocolate Mousse+3*Neha Shah</v>
      </c>
      <c r="F556" s="14">
        <f>IFERROR(__xludf.DUMMYFUNCTION("""COMPUTED_VALUE"""),2.0)</f>
        <v>2</v>
      </c>
      <c r="G556" s="14">
        <f>IFERROR(__xludf.DUMMYFUNCTION("""COMPUTED_VALUE"""),28.0)</f>
        <v>28</v>
      </c>
      <c r="H556" s="14">
        <f>IFERROR(__xludf.DUMMYFUNCTION("""COMPUTED_VALUE"""),2023.0)</f>
        <v>2023</v>
      </c>
      <c r="I556" s="14" t="str">
        <f>IFERROR(__xludf.DUMMYFUNCTION("""COMPUTED_VALUE"""),"UPI")</f>
        <v>UPI</v>
      </c>
      <c r="J556" s="14" t="str">
        <f>IFERROR(__xludf.DUMMYFUNCTION("""COMPUTED_VALUE"""),"Delivered*Convenience: Easy tracking")</f>
        <v>Delivered*Convenience: Easy tracking</v>
      </c>
      <c r="K556" s="14" t="str">
        <f>IFERROR(__xludf.DUMMYFUNCTION("split(E556,""+"")"),"Chocolate Mousse")</f>
        <v>Chocolate Mousse</v>
      </c>
      <c r="L556" s="14" t="str">
        <f>IFERROR(__xludf.DUMMYFUNCTION("""COMPUTED_VALUE"""),"3*Neha Shah")</f>
        <v>3*Neha Shah</v>
      </c>
      <c r="M556" s="14">
        <f>IFERROR(__xludf.DUMMYFUNCTION("SPLIT(L556,""*"")"),3.0)</f>
        <v>3</v>
      </c>
      <c r="N556" s="14" t="str">
        <f>IFERROR(__xludf.DUMMYFUNCTION("""COMPUTED_VALUE"""),"Neha Shah")</f>
        <v>Neha Shah</v>
      </c>
      <c r="O556" s="14" t="str">
        <f>IFERROR(__xludf.DUMMYFUNCTION("split(J556,""*"")"),"Delivered")</f>
        <v>Delivered</v>
      </c>
      <c r="P556" s="14" t="str">
        <f>IFERROR(__xludf.DUMMYFUNCTION("""COMPUTED_VALUE"""),"Convenience: Easy tracking")</f>
        <v>Convenience: Easy tracking</v>
      </c>
      <c r="Q556" s="14" t="str">
        <f>IFERROR(__xludf.DUMMYFUNCTION("split(P556,"":"")"),"Convenience")</f>
        <v>Convenience</v>
      </c>
      <c r="R556" s="14" t="str">
        <f>IFERROR(__xludf.DUMMYFUNCTION("""COMPUTED_VALUE""")," Easy tracking")</f>
        <v> Easy tracking</v>
      </c>
      <c r="S556" s="14" t="str">
        <f t="shared" ref="S556:U556" si="1115">trim(B556)</f>
        <v>ord_10547</v>
      </c>
      <c r="T556" s="14" t="str">
        <f t="shared" si="1115"/>
        <v>Mehul Thakkar</v>
      </c>
      <c r="U556" s="14" t="str">
        <f t="shared" si="1115"/>
        <v>Malad</v>
      </c>
      <c r="V556" s="14" t="str">
        <f t="shared" si="4"/>
        <v>Chocolate Mousse</v>
      </c>
      <c r="W556" s="14">
        <f t="shared" si="5"/>
        <v>3</v>
      </c>
      <c r="X556" s="14" t="str">
        <f t="shared" si="6"/>
        <v>Neha Shah</v>
      </c>
      <c r="Y556" s="15">
        <f t="shared" si="7"/>
        <v>44985</v>
      </c>
      <c r="Z556" s="14" t="str">
        <f t="shared" si="8"/>
        <v>UPI</v>
      </c>
      <c r="AA556" s="14" t="str">
        <f t="shared" si="9"/>
        <v>Delivered</v>
      </c>
      <c r="AB556" s="14" t="str">
        <f t="shared" ref="AB556:AC556" si="1116">trim(Q556)</f>
        <v>Convenience</v>
      </c>
      <c r="AC556" s="14" t="str">
        <f t="shared" si="1116"/>
        <v>Easy tracking</v>
      </c>
      <c r="AD556" s="8"/>
    </row>
    <row r="557">
      <c r="A557" s="14" t="str">
        <f>IFERROR(__xludf.DUMMYFUNCTION("""COMPUTED_VALUE"""),"//ord_10548//Anaya Rao//Colaba//Orange+1*Nikhil Deshmukh/6/9/2023//UPI//Delivered*Overall Satisfaction: Great service will order again")</f>
        <v>//ord_10548//Anaya Rao//Colaba//Orange+1*Nikhil Deshmukh/6/9/2023//UPI//Delivered*Overall Satisfaction: Great service will order again</v>
      </c>
      <c r="B557" s="14" t="str">
        <f>IFERROR(__xludf.DUMMYFUNCTION("split(A557,""//"")"),"ord_10548")</f>
        <v>ord_10548</v>
      </c>
      <c r="C557" s="14" t="str">
        <f>IFERROR(__xludf.DUMMYFUNCTION("""COMPUTED_VALUE"""),"Anaya Rao")</f>
        <v>Anaya Rao</v>
      </c>
      <c r="D557" s="14" t="str">
        <f>IFERROR(__xludf.DUMMYFUNCTION("""COMPUTED_VALUE"""),"Colaba")</f>
        <v>Colaba</v>
      </c>
      <c r="E557" s="14" t="str">
        <f>IFERROR(__xludf.DUMMYFUNCTION("""COMPUTED_VALUE"""),"Orange+1*Nikhil Deshmukh")</f>
        <v>Orange+1*Nikhil Deshmukh</v>
      </c>
      <c r="F557" s="14">
        <f>IFERROR(__xludf.DUMMYFUNCTION("""COMPUTED_VALUE"""),6.0)</f>
        <v>6</v>
      </c>
      <c r="G557" s="14">
        <f>IFERROR(__xludf.DUMMYFUNCTION("""COMPUTED_VALUE"""),9.0)</f>
        <v>9</v>
      </c>
      <c r="H557" s="14">
        <f>IFERROR(__xludf.DUMMYFUNCTION("""COMPUTED_VALUE"""),2023.0)</f>
        <v>2023</v>
      </c>
      <c r="I557" s="14" t="str">
        <f>IFERROR(__xludf.DUMMYFUNCTION("""COMPUTED_VALUE"""),"UPI")</f>
        <v>UPI</v>
      </c>
      <c r="J557" s="14" t="str">
        <f>IFERROR(__xludf.DUMMYFUNCTION("""COMPUTED_VALUE"""),"Delivered*Overall Satisfaction: Great service will order again")</f>
        <v>Delivered*Overall Satisfaction: Great service will order again</v>
      </c>
      <c r="K557" s="14" t="str">
        <f>IFERROR(__xludf.DUMMYFUNCTION("split(E557,""+"")"),"Orange")</f>
        <v>Orange</v>
      </c>
      <c r="L557" s="14" t="str">
        <f>IFERROR(__xludf.DUMMYFUNCTION("""COMPUTED_VALUE"""),"1*Nikhil Deshmukh")</f>
        <v>1*Nikhil Deshmukh</v>
      </c>
      <c r="M557" s="14">
        <f>IFERROR(__xludf.DUMMYFUNCTION("SPLIT(L557,""*"")"),1.0)</f>
        <v>1</v>
      </c>
      <c r="N557" s="14" t="str">
        <f>IFERROR(__xludf.DUMMYFUNCTION("""COMPUTED_VALUE"""),"Nikhil Deshmukh")</f>
        <v>Nikhil Deshmukh</v>
      </c>
      <c r="O557" s="14" t="str">
        <f>IFERROR(__xludf.DUMMYFUNCTION("split(J557,""*"")"),"Delivered")</f>
        <v>Delivered</v>
      </c>
      <c r="P557" s="14" t="str">
        <f>IFERROR(__xludf.DUMMYFUNCTION("""COMPUTED_VALUE"""),"Overall Satisfaction: Great service will order again")</f>
        <v>Overall Satisfaction: Great service will order again</v>
      </c>
      <c r="Q557" s="14" t="str">
        <f>IFERROR(__xludf.DUMMYFUNCTION("split(P557,"":"")"),"Overall Satisfaction")</f>
        <v>Overall Satisfaction</v>
      </c>
      <c r="R557" s="14" t="str">
        <f>IFERROR(__xludf.DUMMYFUNCTION("""COMPUTED_VALUE""")," Great service will order again")</f>
        <v> Great service will order again</v>
      </c>
      <c r="S557" s="14" t="str">
        <f t="shared" ref="S557:U557" si="1117">trim(B557)</f>
        <v>ord_10548</v>
      </c>
      <c r="T557" s="14" t="str">
        <f t="shared" si="1117"/>
        <v>Anaya Rao</v>
      </c>
      <c r="U557" s="14" t="str">
        <f t="shared" si="1117"/>
        <v>Colaba</v>
      </c>
      <c r="V557" s="14" t="str">
        <f t="shared" si="4"/>
        <v>Orange</v>
      </c>
      <c r="W557" s="14">
        <f t="shared" si="5"/>
        <v>1</v>
      </c>
      <c r="X557" s="14" t="str">
        <f t="shared" si="6"/>
        <v>Nikhil Deshmukh</v>
      </c>
      <c r="Y557" s="15">
        <f t="shared" si="7"/>
        <v>45086</v>
      </c>
      <c r="Z557" s="14" t="str">
        <f t="shared" si="8"/>
        <v>UPI</v>
      </c>
      <c r="AA557" s="14" t="str">
        <f t="shared" si="9"/>
        <v>Delivered</v>
      </c>
      <c r="AB557" s="14" t="str">
        <f t="shared" ref="AB557:AC557" si="1118">trim(Q557)</f>
        <v>Overall Satisfaction</v>
      </c>
      <c r="AC557" s="14" t="str">
        <f t="shared" si="1118"/>
        <v>Great service will order again</v>
      </c>
      <c r="AD557" s="8"/>
    </row>
    <row r="558">
      <c r="A558" s="14" t="str">
        <f>IFERROR(__xludf.DUMMYFUNCTION("""COMPUTED_VALUE"""),"//ord_10549//Aditi Iyer//Dadar//Juice+2*Aman Kumar/12/23/2023//Credit Card//Delivered*On-time Delivery: Delivered on time")</f>
        <v>//ord_10549//Aditi Iyer//Dadar//Juice+2*Aman Kumar/12/23/2023//Credit Card//Delivered*On-time Delivery: Delivered on time</v>
      </c>
      <c r="B558" s="14" t="str">
        <f>IFERROR(__xludf.DUMMYFUNCTION("split(A558,""//"")"),"ord_10549")</f>
        <v>ord_10549</v>
      </c>
      <c r="C558" s="14" t="str">
        <f>IFERROR(__xludf.DUMMYFUNCTION("""COMPUTED_VALUE"""),"Aditi Iyer")</f>
        <v>Aditi Iyer</v>
      </c>
      <c r="D558" s="14" t="str">
        <f>IFERROR(__xludf.DUMMYFUNCTION("""COMPUTED_VALUE"""),"Dadar")</f>
        <v>Dadar</v>
      </c>
      <c r="E558" s="14" t="str">
        <f>IFERROR(__xludf.DUMMYFUNCTION("""COMPUTED_VALUE"""),"Juice+2*Aman Kumar")</f>
        <v>Juice+2*Aman Kumar</v>
      </c>
      <c r="F558" s="14">
        <f>IFERROR(__xludf.DUMMYFUNCTION("""COMPUTED_VALUE"""),12.0)</f>
        <v>12</v>
      </c>
      <c r="G558" s="14">
        <f>IFERROR(__xludf.DUMMYFUNCTION("""COMPUTED_VALUE"""),23.0)</f>
        <v>23</v>
      </c>
      <c r="H558" s="14">
        <f>IFERROR(__xludf.DUMMYFUNCTION("""COMPUTED_VALUE"""),2023.0)</f>
        <v>2023</v>
      </c>
      <c r="I558" s="14" t="str">
        <f>IFERROR(__xludf.DUMMYFUNCTION("""COMPUTED_VALUE"""),"Credit Card")</f>
        <v>Credit Card</v>
      </c>
      <c r="J558" s="14" t="str">
        <f>IFERROR(__xludf.DUMMYFUNCTION("""COMPUTED_VALUE"""),"Delivered*On-time Delivery: Delivered on time")</f>
        <v>Delivered*On-time Delivery: Delivered on time</v>
      </c>
      <c r="K558" s="14" t="str">
        <f>IFERROR(__xludf.DUMMYFUNCTION("split(E558,""+"")"),"Juice")</f>
        <v>Juice</v>
      </c>
      <c r="L558" s="14" t="str">
        <f>IFERROR(__xludf.DUMMYFUNCTION("""COMPUTED_VALUE"""),"2*Aman Kumar")</f>
        <v>2*Aman Kumar</v>
      </c>
      <c r="M558" s="14">
        <f>IFERROR(__xludf.DUMMYFUNCTION("SPLIT(L558,""*"")"),2.0)</f>
        <v>2</v>
      </c>
      <c r="N558" s="14" t="str">
        <f>IFERROR(__xludf.DUMMYFUNCTION("""COMPUTED_VALUE"""),"Aman Kumar")</f>
        <v>Aman Kumar</v>
      </c>
      <c r="O558" s="14" t="str">
        <f>IFERROR(__xludf.DUMMYFUNCTION("split(J558,""*"")"),"Delivered")</f>
        <v>Delivered</v>
      </c>
      <c r="P558" s="14" t="str">
        <f>IFERROR(__xludf.DUMMYFUNCTION("""COMPUTED_VALUE"""),"On-time Delivery: Delivered on time")</f>
        <v>On-time Delivery: Delivered on time</v>
      </c>
      <c r="Q558" s="14" t="str">
        <f>IFERROR(__xludf.DUMMYFUNCTION("split(P558,"":"")"),"On-time Delivery")</f>
        <v>On-time Delivery</v>
      </c>
      <c r="R558" s="14" t="str">
        <f>IFERROR(__xludf.DUMMYFUNCTION("""COMPUTED_VALUE""")," Delivered on time")</f>
        <v> Delivered on time</v>
      </c>
      <c r="S558" s="14" t="str">
        <f t="shared" ref="S558:U558" si="1119">trim(B558)</f>
        <v>ord_10549</v>
      </c>
      <c r="T558" s="14" t="str">
        <f t="shared" si="1119"/>
        <v>Aditi Iyer</v>
      </c>
      <c r="U558" s="14" t="str">
        <f t="shared" si="1119"/>
        <v>Dadar</v>
      </c>
      <c r="V558" s="14" t="str">
        <f t="shared" si="4"/>
        <v>Juice</v>
      </c>
      <c r="W558" s="14">
        <f t="shared" si="5"/>
        <v>2</v>
      </c>
      <c r="X558" s="14" t="str">
        <f t="shared" si="6"/>
        <v>Aman Kumar</v>
      </c>
      <c r="Y558" s="15">
        <f t="shared" si="7"/>
        <v>45283</v>
      </c>
      <c r="Z558" s="14" t="str">
        <f t="shared" si="8"/>
        <v>Credit Card</v>
      </c>
      <c r="AA558" s="14" t="str">
        <f t="shared" si="9"/>
        <v>Delivered</v>
      </c>
      <c r="AB558" s="14" t="str">
        <f t="shared" ref="AB558:AC558" si="1120">trim(Q558)</f>
        <v>On-time Delivery</v>
      </c>
      <c r="AC558" s="14" t="str">
        <f t="shared" si="1120"/>
        <v>Delivered on time</v>
      </c>
      <c r="AD558" s="8"/>
    </row>
    <row r="559">
      <c r="A559" s="14" t="str">
        <f>IFERROR(__xludf.DUMMYFUNCTION("""COMPUTED_VALUE"""),"//ord_10550//Dev Chauhan//Bandra//Popcorn+2*Priya Joshi/5/30/2023//Online Payment//Delivered*Quality of Items: Perfect condition")</f>
        <v>//ord_10550//Dev Chauhan//Bandra//Popcorn+2*Priya Joshi/5/30/2023//Online Payment//Delivered*Quality of Items: Perfect condition</v>
      </c>
      <c r="B559" s="14" t="str">
        <f>IFERROR(__xludf.DUMMYFUNCTION("split(A559,""//"")"),"ord_10550")</f>
        <v>ord_10550</v>
      </c>
      <c r="C559" s="14" t="str">
        <f>IFERROR(__xludf.DUMMYFUNCTION("""COMPUTED_VALUE"""),"Dev Chauhan")</f>
        <v>Dev Chauhan</v>
      </c>
      <c r="D559" s="14" t="str">
        <f>IFERROR(__xludf.DUMMYFUNCTION("""COMPUTED_VALUE"""),"Bandra")</f>
        <v>Bandra</v>
      </c>
      <c r="E559" s="14" t="str">
        <f>IFERROR(__xludf.DUMMYFUNCTION("""COMPUTED_VALUE"""),"Popcorn+2*Priya Joshi")</f>
        <v>Popcorn+2*Priya Joshi</v>
      </c>
      <c r="F559" s="14">
        <f>IFERROR(__xludf.DUMMYFUNCTION("""COMPUTED_VALUE"""),5.0)</f>
        <v>5</v>
      </c>
      <c r="G559" s="14">
        <f>IFERROR(__xludf.DUMMYFUNCTION("""COMPUTED_VALUE"""),30.0)</f>
        <v>30</v>
      </c>
      <c r="H559" s="14">
        <f>IFERROR(__xludf.DUMMYFUNCTION("""COMPUTED_VALUE"""),2023.0)</f>
        <v>2023</v>
      </c>
      <c r="I559" s="14" t="str">
        <f>IFERROR(__xludf.DUMMYFUNCTION("""COMPUTED_VALUE"""),"Online Payment")</f>
        <v>Online Payment</v>
      </c>
      <c r="J559" s="14" t="str">
        <f>IFERROR(__xludf.DUMMYFUNCTION("""COMPUTED_VALUE"""),"Delivered*Quality of Items: Perfect condition")</f>
        <v>Delivered*Quality of Items: Perfect condition</v>
      </c>
      <c r="K559" s="14" t="str">
        <f>IFERROR(__xludf.DUMMYFUNCTION("split(E559,""+"")"),"Popcorn")</f>
        <v>Popcorn</v>
      </c>
      <c r="L559" s="14" t="str">
        <f>IFERROR(__xludf.DUMMYFUNCTION("""COMPUTED_VALUE"""),"2*Priya Joshi")</f>
        <v>2*Priya Joshi</v>
      </c>
      <c r="M559" s="14">
        <f>IFERROR(__xludf.DUMMYFUNCTION("SPLIT(L559,""*"")"),2.0)</f>
        <v>2</v>
      </c>
      <c r="N559" s="14" t="str">
        <f>IFERROR(__xludf.DUMMYFUNCTION("""COMPUTED_VALUE"""),"Priya Joshi")</f>
        <v>Priya Joshi</v>
      </c>
      <c r="O559" s="14" t="str">
        <f>IFERROR(__xludf.DUMMYFUNCTION("split(J559,""*"")"),"Delivered")</f>
        <v>Delivered</v>
      </c>
      <c r="P559" s="14" t="str">
        <f>IFERROR(__xludf.DUMMYFUNCTION("""COMPUTED_VALUE"""),"Quality of Items: Perfect condition")</f>
        <v>Quality of Items: Perfect condition</v>
      </c>
      <c r="Q559" s="14" t="str">
        <f>IFERROR(__xludf.DUMMYFUNCTION("split(P559,"":"")"),"Quality of Items")</f>
        <v>Quality of Items</v>
      </c>
      <c r="R559" s="14" t="str">
        <f>IFERROR(__xludf.DUMMYFUNCTION("""COMPUTED_VALUE""")," Perfect condition")</f>
        <v> Perfect condition</v>
      </c>
      <c r="S559" s="14" t="str">
        <f t="shared" ref="S559:U559" si="1121">trim(B559)</f>
        <v>ord_10550</v>
      </c>
      <c r="T559" s="14" t="str">
        <f t="shared" si="1121"/>
        <v>Dev Chauhan</v>
      </c>
      <c r="U559" s="14" t="str">
        <f t="shared" si="1121"/>
        <v>Bandra</v>
      </c>
      <c r="V559" s="14" t="str">
        <f t="shared" si="4"/>
        <v>Popcorn</v>
      </c>
      <c r="W559" s="14">
        <f t="shared" si="5"/>
        <v>2</v>
      </c>
      <c r="X559" s="14" t="str">
        <f t="shared" si="6"/>
        <v>Priya Joshi</v>
      </c>
      <c r="Y559" s="15">
        <f t="shared" si="7"/>
        <v>45076</v>
      </c>
      <c r="Z559" s="14" t="str">
        <f t="shared" si="8"/>
        <v>Online Payment</v>
      </c>
      <c r="AA559" s="14" t="str">
        <f t="shared" si="9"/>
        <v>Delivered</v>
      </c>
      <c r="AB559" s="14" t="str">
        <f t="shared" ref="AB559:AC559" si="1122">trim(Q559)</f>
        <v>Quality of Items</v>
      </c>
      <c r="AC559" s="14" t="str">
        <f t="shared" si="1122"/>
        <v>Perfect condition</v>
      </c>
      <c r="AD559" s="8"/>
    </row>
    <row r="560">
      <c r="A560" s="14" t="str">
        <f>IFERROR(__xludf.DUMMYFUNCTION("""COMPUTED_VALUE"""),"//ord_10551//Pallavi Ghosh//Bandra//Chicken Puff+2*Priya Joshi/2/13/2023//Credit Card//Delivered*On-time Delivery: Delivered on time")</f>
        <v>//ord_10551//Pallavi Ghosh//Bandra//Chicken Puff+2*Priya Joshi/2/13/2023//Credit Card//Delivered*On-time Delivery: Delivered on time</v>
      </c>
      <c r="B560" s="14" t="str">
        <f>IFERROR(__xludf.DUMMYFUNCTION("split(A560,""//"")"),"ord_10551")</f>
        <v>ord_10551</v>
      </c>
      <c r="C560" s="14" t="str">
        <f>IFERROR(__xludf.DUMMYFUNCTION("""COMPUTED_VALUE"""),"Pallavi Ghosh")</f>
        <v>Pallavi Ghosh</v>
      </c>
      <c r="D560" s="14" t="str">
        <f>IFERROR(__xludf.DUMMYFUNCTION("""COMPUTED_VALUE"""),"Bandra")</f>
        <v>Bandra</v>
      </c>
      <c r="E560" s="14" t="str">
        <f>IFERROR(__xludf.DUMMYFUNCTION("""COMPUTED_VALUE"""),"Chicken Puff+2*Priya Joshi")</f>
        <v>Chicken Puff+2*Priya Joshi</v>
      </c>
      <c r="F560" s="14">
        <f>IFERROR(__xludf.DUMMYFUNCTION("""COMPUTED_VALUE"""),2.0)</f>
        <v>2</v>
      </c>
      <c r="G560" s="14">
        <f>IFERROR(__xludf.DUMMYFUNCTION("""COMPUTED_VALUE"""),13.0)</f>
        <v>13</v>
      </c>
      <c r="H560" s="14">
        <f>IFERROR(__xludf.DUMMYFUNCTION("""COMPUTED_VALUE"""),2023.0)</f>
        <v>2023</v>
      </c>
      <c r="I560" s="14" t="str">
        <f>IFERROR(__xludf.DUMMYFUNCTION("""COMPUTED_VALUE"""),"Credit Card")</f>
        <v>Credit Card</v>
      </c>
      <c r="J560" s="14" t="str">
        <f>IFERROR(__xludf.DUMMYFUNCTION("""COMPUTED_VALUE"""),"Delivered*On-time Delivery: Delivered on time")</f>
        <v>Delivered*On-time Delivery: Delivered on time</v>
      </c>
      <c r="K560" s="14" t="str">
        <f>IFERROR(__xludf.DUMMYFUNCTION("split(E560,""+"")"),"Chicken Puff")</f>
        <v>Chicken Puff</v>
      </c>
      <c r="L560" s="14" t="str">
        <f>IFERROR(__xludf.DUMMYFUNCTION("""COMPUTED_VALUE"""),"2*Priya Joshi")</f>
        <v>2*Priya Joshi</v>
      </c>
      <c r="M560" s="14">
        <f>IFERROR(__xludf.DUMMYFUNCTION("SPLIT(L560,""*"")"),2.0)</f>
        <v>2</v>
      </c>
      <c r="N560" s="14" t="str">
        <f>IFERROR(__xludf.DUMMYFUNCTION("""COMPUTED_VALUE"""),"Priya Joshi")</f>
        <v>Priya Joshi</v>
      </c>
      <c r="O560" s="14" t="str">
        <f>IFERROR(__xludf.DUMMYFUNCTION("split(J560,""*"")"),"Delivered")</f>
        <v>Delivered</v>
      </c>
      <c r="P560" s="14" t="str">
        <f>IFERROR(__xludf.DUMMYFUNCTION("""COMPUTED_VALUE"""),"On-time Delivery: Delivered on time")</f>
        <v>On-time Delivery: Delivered on time</v>
      </c>
      <c r="Q560" s="14" t="str">
        <f>IFERROR(__xludf.DUMMYFUNCTION("split(P560,"":"")"),"On-time Delivery")</f>
        <v>On-time Delivery</v>
      </c>
      <c r="R560" s="14" t="str">
        <f>IFERROR(__xludf.DUMMYFUNCTION("""COMPUTED_VALUE""")," Delivered on time")</f>
        <v> Delivered on time</v>
      </c>
      <c r="S560" s="14" t="str">
        <f t="shared" ref="S560:U560" si="1123">trim(B560)</f>
        <v>ord_10551</v>
      </c>
      <c r="T560" s="14" t="str">
        <f t="shared" si="1123"/>
        <v>Pallavi Ghosh</v>
      </c>
      <c r="U560" s="14" t="str">
        <f t="shared" si="1123"/>
        <v>Bandra</v>
      </c>
      <c r="V560" s="14" t="str">
        <f t="shared" si="4"/>
        <v>Chicken Puff</v>
      </c>
      <c r="W560" s="14">
        <f t="shared" si="5"/>
        <v>2</v>
      </c>
      <c r="X560" s="14" t="str">
        <f t="shared" si="6"/>
        <v>Priya Joshi</v>
      </c>
      <c r="Y560" s="15">
        <f t="shared" si="7"/>
        <v>44970</v>
      </c>
      <c r="Z560" s="14" t="str">
        <f t="shared" si="8"/>
        <v>Credit Card</v>
      </c>
      <c r="AA560" s="14" t="str">
        <f t="shared" si="9"/>
        <v>Delivered</v>
      </c>
      <c r="AB560" s="14" t="str">
        <f t="shared" ref="AB560:AC560" si="1124">trim(Q560)</f>
        <v>On-time Delivery</v>
      </c>
      <c r="AC560" s="14" t="str">
        <f t="shared" si="1124"/>
        <v>Delivered on time</v>
      </c>
      <c r="AD560" s="8"/>
    </row>
    <row r="561">
      <c r="A561" s="14" t="str">
        <f>IFERROR(__xludf.DUMMYFUNCTION("""COMPUTED_VALUE"""),"//ord_10552//Tanishq Bansal//Powai//Tiramisu+3*Sandeep Kumar/11/27/2023//Credit Card//Delivered*Quality of Items: Perfect condition")</f>
        <v>//ord_10552//Tanishq Bansal//Powai//Tiramisu+3*Sandeep Kumar/11/27/2023//Credit Card//Delivered*Quality of Items: Perfect condition</v>
      </c>
      <c r="B561" s="14" t="str">
        <f>IFERROR(__xludf.DUMMYFUNCTION("split(A561,""//"")"),"ord_10552")</f>
        <v>ord_10552</v>
      </c>
      <c r="C561" s="14" t="str">
        <f>IFERROR(__xludf.DUMMYFUNCTION("""COMPUTED_VALUE"""),"Tanishq Bansal")</f>
        <v>Tanishq Bansal</v>
      </c>
      <c r="D561" s="14" t="str">
        <f>IFERROR(__xludf.DUMMYFUNCTION("""COMPUTED_VALUE"""),"Powai")</f>
        <v>Powai</v>
      </c>
      <c r="E561" s="14" t="str">
        <f>IFERROR(__xludf.DUMMYFUNCTION("""COMPUTED_VALUE"""),"Tiramisu+3*Sandeep Kumar")</f>
        <v>Tiramisu+3*Sandeep Kumar</v>
      </c>
      <c r="F561" s="14">
        <f>IFERROR(__xludf.DUMMYFUNCTION("""COMPUTED_VALUE"""),11.0)</f>
        <v>11</v>
      </c>
      <c r="G561" s="14">
        <f>IFERROR(__xludf.DUMMYFUNCTION("""COMPUTED_VALUE"""),27.0)</f>
        <v>27</v>
      </c>
      <c r="H561" s="14">
        <f>IFERROR(__xludf.DUMMYFUNCTION("""COMPUTED_VALUE"""),2023.0)</f>
        <v>2023</v>
      </c>
      <c r="I561" s="14" t="str">
        <f>IFERROR(__xludf.DUMMYFUNCTION("""COMPUTED_VALUE"""),"Credit Card")</f>
        <v>Credit Card</v>
      </c>
      <c r="J561" s="14" t="str">
        <f>IFERROR(__xludf.DUMMYFUNCTION("""COMPUTED_VALUE"""),"Delivered*Quality of Items: Perfect condition")</f>
        <v>Delivered*Quality of Items: Perfect condition</v>
      </c>
      <c r="K561" s="14" t="str">
        <f>IFERROR(__xludf.DUMMYFUNCTION("split(E561,""+"")"),"Tiramisu")</f>
        <v>Tiramisu</v>
      </c>
      <c r="L561" s="14" t="str">
        <f>IFERROR(__xludf.DUMMYFUNCTION("""COMPUTED_VALUE"""),"3*Sandeep Kumar")</f>
        <v>3*Sandeep Kumar</v>
      </c>
      <c r="M561" s="14">
        <f>IFERROR(__xludf.DUMMYFUNCTION("SPLIT(L561,""*"")"),3.0)</f>
        <v>3</v>
      </c>
      <c r="N561" s="14" t="str">
        <f>IFERROR(__xludf.DUMMYFUNCTION("""COMPUTED_VALUE"""),"Sandeep Kumar")</f>
        <v>Sandeep Kumar</v>
      </c>
      <c r="O561" s="14" t="str">
        <f>IFERROR(__xludf.DUMMYFUNCTION("split(J561,""*"")"),"Delivered")</f>
        <v>Delivered</v>
      </c>
      <c r="P561" s="14" t="str">
        <f>IFERROR(__xludf.DUMMYFUNCTION("""COMPUTED_VALUE"""),"Quality of Items: Perfect condition")</f>
        <v>Quality of Items: Perfect condition</v>
      </c>
      <c r="Q561" s="14" t="str">
        <f>IFERROR(__xludf.DUMMYFUNCTION("split(P561,"":"")"),"Quality of Items")</f>
        <v>Quality of Items</v>
      </c>
      <c r="R561" s="14" t="str">
        <f>IFERROR(__xludf.DUMMYFUNCTION("""COMPUTED_VALUE""")," Perfect condition")</f>
        <v> Perfect condition</v>
      </c>
      <c r="S561" s="14" t="str">
        <f t="shared" ref="S561:U561" si="1125">trim(B561)</f>
        <v>ord_10552</v>
      </c>
      <c r="T561" s="14" t="str">
        <f t="shared" si="1125"/>
        <v>Tanishq Bansal</v>
      </c>
      <c r="U561" s="14" t="str">
        <f t="shared" si="1125"/>
        <v>Powai</v>
      </c>
      <c r="V561" s="14" t="str">
        <f t="shared" si="4"/>
        <v>Tiramisu</v>
      </c>
      <c r="W561" s="14">
        <f t="shared" si="5"/>
        <v>3</v>
      </c>
      <c r="X561" s="14" t="str">
        <f t="shared" si="6"/>
        <v>Sandeep Kumar</v>
      </c>
      <c r="Y561" s="15">
        <f t="shared" si="7"/>
        <v>45257</v>
      </c>
      <c r="Z561" s="14" t="str">
        <f t="shared" si="8"/>
        <v>Credit Card</v>
      </c>
      <c r="AA561" s="14" t="str">
        <f t="shared" si="9"/>
        <v>Delivered</v>
      </c>
      <c r="AB561" s="14" t="str">
        <f t="shared" ref="AB561:AC561" si="1126">trim(Q561)</f>
        <v>Quality of Items</v>
      </c>
      <c r="AC561" s="14" t="str">
        <f t="shared" si="1126"/>
        <v>Perfect condition</v>
      </c>
      <c r="AD561" s="8"/>
    </row>
    <row r="562">
      <c r="A562" s="14" t="str">
        <f>IFERROR(__xludf.DUMMYFUNCTION("""COMPUTED_VALUE"""),"//ord_10553//Anaya Rao//Malad//Orange+2*Venu R/1/24/2023//Online Payment//Delivered*Packaging: Secure and intact")</f>
        <v>//ord_10553//Anaya Rao//Malad//Orange+2*Venu R/1/24/2023//Online Payment//Delivered*Packaging: Secure and intact</v>
      </c>
      <c r="B562" s="14" t="str">
        <f>IFERROR(__xludf.DUMMYFUNCTION("split(A562,""//"")"),"ord_10553")</f>
        <v>ord_10553</v>
      </c>
      <c r="C562" s="14" t="str">
        <f>IFERROR(__xludf.DUMMYFUNCTION("""COMPUTED_VALUE"""),"Anaya Rao")</f>
        <v>Anaya Rao</v>
      </c>
      <c r="D562" s="14" t="str">
        <f>IFERROR(__xludf.DUMMYFUNCTION("""COMPUTED_VALUE"""),"Malad")</f>
        <v>Malad</v>
      </c>
      <c r="E562" s="14" t="str">
        <f>IFERROR(__xludf.DUMMYFUNCTION("""COMPUTED_VALUE"""),"Orange+2*Venu R")</f>
        <v>Orange+2*Venu R</v>
      </c>
      <c r="F562" s="14">
        <f>IFERROR(__xludf.DUMMYFUNCTION("""COMPUTED_VALUE"""),1.0)</f>
        <v>1</v>
      </c>
      <c r="G562" s="14">
        <f>IFERROR(__xludf.DUMMYFUNCTION("""COMPUTED_VALUE"""),24.0)</f>
        <v>24</v>
      </c>
      <c r="H562" s="14">
        <f>IFERROR(__xludf.DUMMYFUNCTION("""COMPUTED_VALUE"""),2023.0)</f>
        <v>2023</v>
      </c>
      <c r="I562" s="14" t="str">
        <f>IFERROR(__xludf.DUMMYFUNCTION("""COMPUTED_VALUE"""),"Online Payment")</f>
        <v>Online Payment</v>
      </c>
      <c r="J562" s="14" t="str">
        <f>IFERROR(__xludf.DUMMYFUNCTION("""COMPUTED_VALUE"""),"Delivered*Packaging: Secure and intact")</f>
        <v>Delivered*Packaging: Secure and intact</v>
      </c>
      <c r="K562" s="14" t="str">
        <f>IFERROR(__xludf.DUMMYFUNCTION("split(E562,""+"")"),"Orange")</f>
        <v>Orange</v>
      </c>
      <c r="L562" s="14" t="str">
        <f>IFERROR(__xludf.DUMMYFUNCTION("""COMPUTED_VALUE"""),"2*Venu R")</f>
        <v>2*Venu R</v>
      </c>
      <c r="M562" s="14">
        <f>IFERROR(__xludf.DUMMYFUNCTION("SPLIT(L562,""*"")"),2.0)</f>
        <v>2</v>
      </c>
      <c r="N562" s="14" t="str">
        <f>IFERROR(__xludf.DUMMYFUNCTION("""COMPUTED_VALUE"""),"Venu R")</f>
        <v>Venu R</v>
      </c>
      <c r="O562" s="14" t="str">
        <f>IFERROR(__xludf.DUMMYFUNCTION("split(J562,""*"")"),"Delivered")</f>
        <v>Delivered</v>
      </c>
      <c r="P562" s="14" t="str">
        <f>IFERROR(__xludf.DUMMYFUNCTION("""COMPUTED_VALUE"""),"Packaging: Secure and intact")</f>
        <v>Packaging: Secure and intact</v>
      </c>
      <c r="Q562" s="14" t="str">
        <f>IFERROR(__xludf.DUMMYFUNCTION("split(P562,"":"")"),"Packaging")</f>
        <v>Packaging</v>
      </c>
      <c r="R562" s="14" t="str">
        <f>IFERROR(__xludf.DUMMYFUNCTION("""COMPUTED_VALUE""")," Secure and intact")</f>
        <v> Secure and intact</v>
      </c>
      <c r="S562" s="14" t="str">
        <f t="shared" ref="S562:U562" si="1127">trim(B562)</f>
        <v>ord_10553</v>
      </c>
      <c r="T562" s="14" t="str">
        <f t="shared" si="1127"/>
        <v>Anaya Rao</v>
      </c>
      <c r="U562" s="14" t="str">
        <f t="shared" si="1127"/>
        <v>Malad</v>
      </c>
      <c r="V562" s="14" t="str">
        <f t="shared" si="4"/>
        <v>Orange</v>
      </c>
      <c r="W562" s="14">
        <f t="shared" si="5"/>
        <v>2</v>
      </c>
      <c r="X562" s="14" t="str">
        <f t="shared" si="6"/>
        <v>Venu R</v>
      </c>
      <c r="Y562" s="15">
        <f t="shared" si="7"/>
        <v>44950</v>
      </c>
      <c r="Z562" s="14" t="str">
        <f t="shared" si="8"/>
        <v>Online Payment</v>
      </c>
      <c r="AA562" s="14" t="str">
        <f t="shared" si="9"/>
        <v>Delivered</v>
      </c>
      <c r="AB562" s="14" t="str">
        <f t="shared" ref="AB562:AC562" si="1128">trim(Q562)</f>
        <v>Packaging</v>
      </c>
      <c r="AC562" s="14" t="str">
        <f t="shared" si="1128"/>
        <v>Secure and intact</v>
      </c>
      <c r="AD562" s="8"/>
    </row>
    <row r="563">
      <c r="A563" s="14" t="str">
        <f>IFERROR(__xludf.DUMMYFUNCTION("""COMPUTED_VALUE"""),"//ord_10554//Aarav Mehta//Andheri//Guava+2*Shine Thomas/9/6/2023//UPI//Delivered*Satisfied with the Delivery: Timely and quality")</f>
        <v>//ord_10554//Aarav Mehta//Andheri//Guava+2*Shine Thomas/9/6/2023//UPI//Delivered*Satisfied with the Delivery: Timely and quality</v>
      </c>
      <c r="B563" s="14" t="str">
        <f>IFERROR(__xludf.DUMMYFUNCTION("split(A563,""//"")"),"ord_10554")</f>
        <v>ord_10554</v>
      </c>
      <c r="C563" s="14" t="str">
        <f>IFERROR(__xludf.DUMMYFUNCTION("""COMPUTED_VALUE"""),"Aarav Mehta")</f>
        <v>Aarav Mehta</v>
      </c>
      <c r="D563" s="14" t="str">
        <f>IFERROR(__xludf.DUMMYFUNCTION("""COMPUTED_VALUE"""),"Andheri")</f>
        <v>Andheri</v>
      </c>
      <c r="E563" s="14" t="str">
        <f>IFERROR(__xludf.DUMMYFUNCTION("""COMPUTED_VALUE"""),"Guava+2*Shine Thomas")</f>
        <v>Guava+2*Shine Thomas</v>
      </c>
      <c r="F563" s="14">
        <f>IFERROR(__xludf.DUMMYFUNCTION("""COMPUTED_VALUE"""),9.0)</f>
        <v>9</v>
      </c>
      <c r="G563" s="14">
        <f>IFERROR(__xludf.DUMMYFUNCTION("""COMPUTED_VALUE"""),6.0)</f>
        <v>6</v>
      </c>
      <c r="H563" s="14">
        <f>IFERROR(__xludf.DUMMYFUNCTION("""COMPUTED_VALUE"""),2023.0)</f>
        <v>2023</v>
      </c>
      <c r="I563" s="14" t="str">
        <f>IFERROR(__xludf.DUMMYFUNCTION("""COMPUTED_VALUE"""),"UPI")</f>
        <v>UPI</v>
      </c>
      <c r="J563" s="14" t="str">
        <f>IFERROR(__xludf.DUMMYFUNCTION("""COMPUTED_VALUE"""),"Delivered*Satisfied with the Delivery: Timely and quality")</f>
        <v>Delivered*Satisfied with the Delivery: Timely and quality</v>
      </c>
      <c r="K563" s="14" t="str">
        <f>IFERROR(__xludf.DUMMYFUNCTION("split(E563,""+"")"),"Guava")</f>
        <v>Guava</v>
      </c>
      <c r="L563" s="14" t="str">
        <f>IFERROR(__xludf.DUMMYFUNCTION("""COMPUTED_VALUE"""),"2*Shine Thomas")</f>
        <v>2*Shine Thomas</v>
      </c>
      <c r="M563" s="14">
        <f>IFERROR(__xludf.DUMMYFUNCTION("SPLIT(L563,""*"")"),2.0)</f>
        <v>2</v>
      </c>
      <c r="N563" s="14" t="str">
        <f>IFERROR(__xludf.DUMMYFUNCTION("""COMPUTED_VALUE"""),"Shine Thomas")</f>
        <v>Shine Thomas</v>
      </c>
      <c r="O563" s="14" t="str">
        <f>IFERROR(__xludf.DUMMYFUNCTION("split(J563,""*"")"),"Delivered")</f>
        <v>Delivered</v>
      </c>
      <c r="P563" s="14" t="str">
        <f>IFERROR(__xludf.DUMMYFUNCTION("""COMPUTED_VALUE"""),"Satisfied with the Delivery: Timely and quality")</f>
        <v>Satisfied with the Delivery: Timely and quality</v>
      </c>
      <c r="Q563" s="14" t="str">
        <f>IFERROR(__xludf.DUMMYFUNCTION("split(P563,"":"")"),"Satisfied with the Delivery")</f>
        <v>Satisfied with the Delivery</v>
      </c>
      <c r="R563" s="14" t="str">
        <f>IFERROR(__xludf.DUMMYFUNCTION("""COMPUTED_VALUE""")," Timely and quality")</f>
        <v> Timely and quality</v>
      </c>
      <c r="S563" s="14" t="str">
        <f t="shared" ref="S563:U563" si="1129">trim(B563)</f>
        <v>ord_10554</v>
      </c>
      <c r="T563" s="14" t="str">
        <f t="shared" si="1129"/>
        <v>Aarav Mehta</v>
      </c>
      <c r="U563" s="14" t="str">
        <f t="shared" si="1129"/>
        <v>Andheri</v>
      </c>
      <c r="V563" s="14" t="str">
        <f t="shared" si="4"/>
        <v>Guava</v>
      </c>
      <c r="W563" s="14">
        <f t="shared" si="5"/>
        <v>2</v>
      </c>
      <c r="X563" s="14" t="str">
        <f t="shared" si="6"/>
        <v>Shine Thomas</v>
      </c>
      <c r="Y563" s="15">
        <f t="shared" si="7"/>
        <v>45175</v>
      </c>
      <c r="Z563" s="14" t="str">
        <f t="shared" si="8"/>
        <v>UPI</v>
      </c>
      <c r="AA563" s="14" t="str">
        <f t="shared" si="9"/>
        <v>Delivered</v>
      </c>
      <c r="AB563" s="14" t="str">
        <f t="shared" ref="AB563:AC563" si="1130">trim(Q563)</f>
        <v>Satisfied with the Delivery</v>
      </c>
      <c r="AC563" s="14" t="str">
        <f t="shared" si="1130"/>
        <v>Timely and quality</v>
      </c>
      <c r="AD563" s="8"/>
    </row>
    <row r="564">
      <c r="A564" s="14" t="str">
        <f>IFERROR(__xludf.DUMMYFUNCTION("""COMPUTED_VALUE"""),"//ord_10555//Pallavi Ghosh//Bandra//Cucumber+2*Sita T/2/23/2023//Online Payment//Delivered*Customer Service: Seamless and easy")</f>
        <v>//ord_10555//Pallavi Ghosh//Bandra//Cucumber+2*Sita T/2/23/2023//Online Payment//Delivered*Customer Service: Seamless and easy</v>
      </c>
      <c r="B564" s="14" t="str">
        <f>IFERROR(__xludf.DUMMYFUNCTION("split(A564,""//"")"),"ord_10555")</f>
        <v>ord_10555</v>
      </c>
      <c r="C564" s="14" t="str">
        <f>IFERROR(__xludf.DUMMYFUNCTION("""COMPUTED_VALUE"""),"Pallavi Ghosh")</f>
        <v>Pallavi Ghosh</v>
      </c>
      <c r="D564" s="14" t="str">
        <f>IFERROR(__xludf.DUMMYFUNCTION("""COMPUTED_VALUE"""),"Bandra")</f>
        <v>Bandra</v>
      </c>
      <c r="E564" s="14" t="str">
        <f>IFERROR(__xludf.DUMMYFUNCTION("""COMPUTED_VALUE"""),"Cucumber+2*Sita T")</f>
        <v>Cucumber+2*Sita T</v>
      </c>
      <c r="F564" s="14">
        <f>IFERROR(__xludf.DUMMYFUNCTION("""COMPUTED_VALUE"""),2.0)</f>
        <v>2</v>
      </c>
      <c r="G564" s="14">
        <f>IFERROR(__xludf.DUMMYFUNCTION("""COMPUTED_VALUE"""),23.0)</f>
        <v>23</v>
      </c>
      <c r="H564" s="14">
        <f>IFERROR(__xludf.DUMMYFUNCTION("""COMPUTED_VALUE"""),2023.0)</f>
        <v>2023</v>
      </c>
      <c r="I564" s="14" t="str">
        <f>IFERROR(__xludf.DUMMYFUNCTION("""COMPUTED_VALUE"""),"Online Payment")</f>
        <v>Online Payment</v>
      </c>
      <c r="J564" s="14" t="str">
        <f>IFERROR(__xludf.DUMMYFUNCTION("""COMPUTED_VALUE"""),"Delivered*Customer Service: Seamless and easy")</f>
        <v>Delivered*Customer Service: Seamless and easy</v>
      </c>
      <c r="K564" s="14" t="str">
        <f>IFERROR(__xludf.DUMMYFUNCTION("split(E564,""+"")"),"Cucumber")</f>
        <v>Cucumber</v>
      </c>
      <c r="L564" s="14" t="str">
        <f>IFERROR(__xludf.DUMMYFUNCTION("""COMPUTED_VALUE"""),"2*Sita T")</f>
        <v>2*Sita T</v>
      </c>
      <c r="M564" s="14">
        <f>IFERROR(__xludf.DUMMYFUNCTION("SPLIT(L564,""*"")"),2.0)</f>
        <v>2</v>
      </c>
      <c r="N564" s="14" t="str">
        <f>IFERROR(__xludf.DUMMYFUNCTION("""COMPUTED_VALUE"""),"Sita T")</f>
        <v>Sita T</v>
      </c>
      <c r="O564" s="14" t="str">
        <f>IFERROR(__xludf.DUMMYFUNCTION("split(J564,""*"")"),"Delivered")</f>
        <v>Delivered</v>
      </c>
      <c r="P564" s="14" t="str">
        <f>IFERROR(__xludf.DUMMYFUNCTION("""COMPUTED_VALUE"""),"Customer Service: Seamless and easy")</f>
        <v>Customer Service: Seamless and easy</v>
      </c>
      <c r="Q564" s="14" t="str">
        <f>IFERROR(__xludf.DUMMYFUNCTION("split(P564,"":"")"),"Customer Service")</f>
        <v>Customer Service</v>
      </c>
      <c r="R564" s="14" t="str">
        <f>IFERROR(__xludf.DUMMYFUNCTION("""COMPUTED_VALUE""")," Seamless and easy")</f>
        <v> Seamless and easy</v>
      </c>
      <c r="S564" s="14" t="str">
        <f t="shared" ref="S564:U564" si="1131">trim(B564)</f>
        <v>ord_10555</v>
      </c>
      <c r="T564" s="14" t="str">
        <f t="shared" si="1131"/>
        <v>Pallavi Ghosh</v>
      </c>
      <c r="U564" s="14" t="str">
        <f t="shared" si="1131"/>
        <v>Bandra</v>
      </c>
      <c r="V564" s="14" t="str">
        <f t="shared" si="4"/>
        <v>Cucumber</v>
      </c>
      <c r="W564" s="14">
        <f t="shared" si="5"/>
        <v>2</v>
      </c>
      <c r="X564" s="14" t="str">
        <f t="shared" si="6"/>
        <v>Sita T</v>
      </c>
      <c r="Y564" s="15">
        <f t="shared" si="7"/>
        <v>44980</v>
      </c>
      <c r="Z564" s="14" t="str">
        <f t="shared" si="8"/>
        <v>Online Payment</v>
      </c>
      <c r="AA564" s="14" t="str">
        <f t="shared" si="9"/>
        <v>Delivered</v>
      </c>
      <c r="AB564" s="14" t="str">
        <f t="shared" ref="AB564:AC564" si="1132">trim(Q564)</f>
        <v>Customer Service</v>
      </c>
      <c r="AC564" s="14" t="str">
        <f t="shared" si="1132"/>
        <v>Seamless and easy</v>
      </c>
      <c r="AD564" s="8"/>
    </row>
    <row r="565">
      <c r="A565" s="14" t="str">
        <f>IFERROR(__xludf.DUMMYFUNCTION("""COMPUTED_VALUE"""),"//ord_10556//Aditi Iyer//Dadar//Veg Puff+4*Vivek Kumar/6/1/2023//UPI//Delivered*Delivery Experience: Quick and professional")</f>
        <v>//ord_10556//Aditi Iyer//Dadar//Veg Puff+4*Vivek Kumar/6/1/2023//UPI//Delivered*Delivery Experience: Quick and professional</v>
      </c>
      <c r="B565" s="14" t="str">
        <f>IFERROR(__xludf.DUMMYFUNCTION("split(A565,""//"")"),"ord_10556")</f>
        <v>ord_10556</v>
      </c>
      <c r="C565" s="14" t="str">
        <f>IFERROR(__xludf.DUMMYFUNCTION("""COMPUTED_VALUE"""),"Aditi Iyer")</f>
        <v>Aditi Iyer</v>
      </c>
      <c r="D565" s="14" t="str">
        <f>IFERROR(__xludf.DUMMYFUNCTION("""COMPUTED_VALUE"""),"Dadar")</f>
        <v>Dadar</v>
      </c>
      <c r="E565" s="14" t="str">
        <f>IFERROR(__xludf.DUMMYFUNCTION("""COMPUTED_VALUE"""),"Veg Puff+4*Vivek Kumar")</f>
        <v>Veg Puff+4*Vivek Kumar</v>
      </c>
      <c r="F565" s="14">
        <f>IFERROR(__xludf.DUMMYFUNCTION("""COMPUTED_VALUE"""),6.0)</f>
        <v>6</v>
      </c>
      <c r="G565" s="14">
        <f>IFERROR(__xludf.DUMMYFUNCTION("""COMPUTED_VALUE"""),1.0)</f>
        <v>1</v>
      </c>
      <c r="H565" s="14">
        <f>IFERROR(__xludf.DUMMYFUNCTION("""COMPUTED_VALUE"""),2023.0)</f>
        <v>2023</v>
      </c>
      <c r="I565" s="14" t="str">
        <f>IFERROR(__xludf.DUMMYFUNCTION("""COMPUTED_VALUE"""),"UPI")</f>
        <v>UPI</v>
      </c>
      <c r="J565" s="14" t="str">
        <f>IFERROR(__xludf.DUMMYFUNCTION("""COMPUTED_VALUE"""),"Delivered*Delivery Experience: Quick and professional")</f>
        <v>Delivered*Delivery Experience: Quick and professional</v>
      </c>
      <c r="K565" s="14" t="str">
        <f>IFERROR(__xludf.DUMMYFUNCTION("split(E565,""+"")"),"Veg Puff")</f>
        <v>Veg Puff</v>
      </c>
      <c r="L565" s="14" t="str">
        <f>IFERROR(__xludf.DUMMYFUNCTION("""COMPUTED_VALUE"""),"4*Vivek Kumar")</f>
        <v>4*Vivek Kumar</v>
      </c>
      <c r="M565" s="14">
        <f>IFERROR(__xludf.DUMMYFUNCTION("SPLIT(L565,""*"")"),4.0)</f>
        <v>4</v>
      </c>
      <c r="N565" s="14" t="str">
        <f>IFERROR(__xludf.DUMMYFUNCTION("""COMPUTED_VALUE"""),"Vivek Kumar")</f>
        <v>Vivek Kumar</v>
      </c>
      <c r="O565" s="14" t="str">
        <f>IFERROR(__xludf.DUMMYFUNCTION("split(J565,""*"")"),"Delivered")</f>
        <v>Delivered</v>
      </c>
      <c r="P565" s="14" t="str">
        <f>IFERROR(__xludf.DUMMYFUNCTION("""COMPUTED_VALUE"""),"Delivery Experience: Quick and professional")</f>
        <v>Delivery Experience: Quick and professional</v>
      </c>
      <c r="Q565" s="14" t="str">
        <f>IFERROR(__xludf.DUMMYFUNCTION("split(P565,"":"")"),"Delivery Experience")</f>
        <v>Delivery Experience</v>
      </c>
      <c r="R565" s="14" t="str">
        <f>IFERROR(__xludf.DUMMYFUNCTION("""COMPUTED_VALUE""")," Quick and professional")</f>
        <v> Quick and professional</v>
      </c>
      <c r="S565" s="14" t="str">
        <f t="shared" ref="S565:U565" si="1133">trim(B565)</f>
        <v>ord_10556</v>
      </c>
      <c r="T565" s="14" t="str">
        <f t="shared" si="1133"/>
        <v>Aditi Iyer</v>
      </c>
      <c r="U565" s="14" t="str">
        <f t="shared" si="1133"/>
        <v>Dadar</v>
      </c>
      <c r="V565" s="14" t="str">
        <f t="shared" si="4"/>
        <v>Veg Puff</v>
      </c>
      <c r="W565" s="14">
        <f t="shared" si="5"/>
        <v>4</v>
      </c>
      <c r="X565" s="14" t="str">
        <f t="shared" si="6"/>
        <v>Vivek Kumar</v>
      </c>
      <c r="Y565" s="15">
        <f t="shared" si="7"/>
        <v>45078</v>
      </c>
      <c r="Z565" s="14" t="str">
        <f t="shared" si="8"/>
        <v>UPI</v>
      </c>
      <c r="AA565" s="14" t="str">
        <f t="shared" si="9"/>
        <v>Delivered</v>
      </c>
      <c r="AB565" s="14" t="str">
        <f t="shared" ref="AB565:AC565" si="1134">trim(Q565)</f>
        <v>Delivery Experience</v>
      </c>
      <c r="AC565" s="14" t="str">
        <f t="shared" si="1134"/>
        <v>Quick and professional</v>
      </c>
      <c r="AD565" s="8"/>
    </row>
    <row r="566">
      <c r="A566" s="14" t="str">
        <f>IFERROR(__xludf.DUMMYFUNCTION("""COMPUTED_VALUE"""),"//ord_10557//Ishaan Chaturvedi//Bandra//Icecream+2*Manju Ajay/12/7/2023//UPI//Delivered*Convenience: Easy tracking")</f>
        <v>//ord_10557//Ishaan Chaturvedi//Bandra//Icecream+2*Manju Ajay/12/7/2023//UPI//Delivered*Convenience: Easy tracking</v>
      </c>
      <c r="B566" s="14" t="str">
        <f>IFERROR(__xludf.DUMMYFUNCTION("split(A566,""//"")"),"ord_10557")</f>
        <v>ord_10557</v>
      </c>
      <c r="C566" s="14" t="str">
        <f>IFERROR(__xludf.DUMMYFUNCTION("""COMPUTED_VALUE"""),"Ishaan Chaturvedi")</f>
        <v>Ishaan Chaturvedi</v>
      </c>
      <c r="D566" s="14" t="str">
        <f>IFERROR(__xludf.DUMMYFUNCTION("""COMPUTED_VALUE"""),"Bandra")</f>
        <v>Bandra</v>
      </c>
      <c r="E566" s="14" t="str">
        <f>IFERROR(__xludf.DUMMYFUNCTION("""COMPUTED_VALUE"""),"Icecream+2*Manju Ajay")</f>
        <v>Icecream+2*Manju Ajay</v>
      </c>
      <c r="F566" s="14">
        <f>IFERROR(__xludf.DUMMYFUNCTION("""COMPUTED_VALUE"""),12.0)</f>
        <v>12</v>
      </c>
      <c r="G566" s="14">
        <f>IFERROR(__xludf.DUMMYFUNCTION("""COMPUTED_VALUE"""),7.0)</f>
        <v>7</v>
      </c>
      <c r="H566" s="14">
        <f>IFERROR(__xludf.DUMMYFUNCTION("""COMPUTED_VALUE"""),2023.0)</f>
        <v>2023</v>
      </c>
      <c r="I566" s="14" t="str">
        <f>IFERROR(__xludf.DUMMYFUNCTION("""COMPUTED_VALUE"""),"UPI")</f>
        <v>UPI</v>
      </c>
      <c r="J566" s="14" t="str">
        <f>IFERROR(__xludf.DUMMYFUNCTION("""COMPUTED_VALUE"""),"Delivered*Convenience: Easy tracking")</f>
        <v>Delivered*Convenience: Easy tracking</v>
      </c>
      <c r="K566" s="14" t="str">
        <f>IFERROR(__xludf.DUMMYFUNCTION("split(E566,""+"")"),"Icecream")</f>
        <v>Icecream</v>
      </c>
      <c r="L566" s="14" t="str">
        <f>IFERROR(__xludf.DUMMYFUNCTION("""COMPUTED_VALUE"""),"2*Manju Ajay")</f>
        <v>2*Manju Ajay</v>
      </c>
      <c r="M566" s="14">
        <f>IFERROR(__xludf.DUMMYFUNCTION("SPLIT(L566,""*"")"),2.0)</f>
        <v>2</v>
      </c>
      <c r="N566" s="14" t="str">
        <f>IFERROR(__xludf.DUMMYFUNCTION("""COMPUTED_VALUE"""),"Manju Ajay")</f>
        <v>Manju Ajay</v>
      </c>
      <c r="O566" s="14" t="str">
        <f>IFERROR(__xludf.DUMMYFUNCTION("split(J566,""*"")"),"Delivered")</f>
        <v>Delivered</v>
      </c>
      <c r="P566" s="14" t="str">
        <f>IFERROR(__xludf.DUMMYFUNCTION("""COMPUTED_VALUE"""),"Convenience: Easy tracking")</f>
        <v>Convenience: Easy tracking</v>
      </c>
      <c r="Q566" s="14" t="str">
        <f>IFERROR(__xludf.DUMMYFUNCTION("split(P566,"":"")"),"Convenience")</f>
        <v>Convenience</v>
      </c>
      <c r="R566" s="14" t="str">
        <f>IFERROR(__xludf.DUMMYFUNCTION("""COMPUTED_VALUE""")," Easy tracking")</f>
        <v> Easy tracking</v>
      </c>
      <c r="S566" s="14" t="str">
        <f t="shared" ref="S566:U566" si="1135">trim(B566)</f>
        <v>ord_10557</v>
      </c>
      <c r="T566" s="14" t="str">
        <f t="shared" si="1135"/>
        <v>Ishaan Chaturvedi</v>
      </c>
      <c r="U566" s="14" t="str">
        <f t="shared" si="1135"/>
        <v>Bandra</v>
      </c>
      <c r="V566" s="14" t="str">
        <f t="shared" si="4"/>
        <v>Icecream</v>
      </c>
      <c r="W566" s="14">
        <f t="shared" si="5"/>
        <v>2</v>
      </c>
      <c r="X566" s="14" t="str">
        <f t="shared" si="6"/>
        <v>Manju Ajay</v>
      </c>
      <c r="Y566" s="15">
        <f t="shared" si="7"/>
        <v>45267</v>
      </c>
      <c r="Z566" s="14" t="str">
        <f t="shared" si="8"/>
        <v>UPI</v>
      </c>
      <c r="AA566" s="14" t="str">
        <f t="shared" si="9"/>
        <v>Delivered</v>
      </c>
      <c r="AB566" s="14" t="str">
        <f t="shared" ref="AB566:AC566" si="1136">trim(Q566)</f>
        <v>Convenience</v>
      </c>
      <c r="AC566" s="14" t="str">
        <f t="shared" si="1136"/>
        <v>Easy tracking</v>
      </c>
      <c r="AD566" s="8"/>
    </row>
    <row r="567">
      <c r="A567" s="14" t="str">
        <f>IFERROR(__xludf.DUMMYFUNCTION("""COMPUTED_VALUE"""),"//ord_10558//Anaya Rao//Colaba//Guava+2*Vivek Kumar/6/15/2023//COD//Delivered*Overall Satisfaction: Great service will order again")</f>
        <v>//ord_10558//Anaya Rao//Colaba//Guava+2*Vivek Kumar/6/15/2023//COD//Delivered*Overall Satisfaction: Great service will order again</v>
      </c>
      <c r="B567" s="14" t="str">
        <f>IFERROR(__xludf.DUMMYFUNCTION("split(A567,""//"")"),"ord_10558")</f>
        <v>ord_10558</v>
      </c>
      <c r="C567" s="14" t="str">
        <f>IFERROR(__xludf.DUMMYFUNCTION("""COMPUTED_VALUE"""),"Anaya Rao")</f>
        <v>Anaya Rao</v>
      </c>
      <c r="D567" s="14" t="str">
        <f>IFERROR(__xludf.DUMMYFUNCTION("""COMPUTED_VALUE"""),"Colaba")</f>
        <v>Colaba</v>
      </c>
      <c r="E567" s="14" t="str">
        <f>IFERROR(__xludf.DUMMYFUNCTION("""COMPUTED_VALUE"""),"Guava+2*Vivek Kumar")</f>
        <v>Guava+2*Vivek Kumar</v>
      </c>
      <c r="F567" s="14">
        <f>IFERROR(__xludf.DUMMYFUNCTION("""COMPUTED_VALUE"""),6.0)</f>
        <v>6</v>
      </c>
      <c r="G567" s="14">
        <f>IFERROR(__xludf.DUMMYFUNCTION("""COMPUTED_VALUE"""),15.0)</f>
        <v>15</v>
      </c>
      <c r="H567" s="14">
        <f>IFERROR(__xludf.DUMMYFUNCTION("""COMPUTED_VALUE"""),2023.0)</f>
        <v>2023</v>
      </c>
      <c r="I567" s="14" t="str">
        <f>IFERROR(__xludf.DUMMYFUNCTION("""COMPUTED_VALUE"""),"COD")</f>
        <v>COD</v>
      </c>
      <c r="J567" s="14" t="str">
        <f>IFERROR(__xludf.DUMMYFUNCTION("""COMPUTED_VALUE"""),"Delivered*Overall Satisfaction: Great service will order again")</f>
        <v>Delivered*Overall Satisfaction: Great service will order again</v>
      </c>
      <c r="K567" s="14" t="str">
        <f>IFERROR(__xludf.DUMMYFUNCTION("split(E567,""+"")"),"Guava")</f>
        <v>Guava</v>
      </c>
      <c r="L567" s="14" t="str">
        <f>IFERROR(__xludf.DUMMYFUNCTION("""COMPUTED_VALUE"""),"2*Vivek Kumar")</f>
        <v>2*Vivek Kumar</v>
      </c>
      <c r="M567" s="14">
        <f>IFERROR(__xludf.DUMMYFUNCTION("SPLIT(L567,""*"")"),2.0)</f>
        <v>2</v>
      </c>
      <c r="N567" s="14" t="str">
        <f>IFERROR(__xludf.DUMMYFUNCTION("""COMPUTED_VALUE"""),"Vivek Kumar")</f>
        <v>Vivek Kumar</v>
      </c>
      <c r="O567" s="14" t="str">
        <f>IFERROR(__xludf.DUMMYFUNCTION("split(J567,""*"")"),"Delivered")</f>
        <v>Delivered</v>
      </c>
      <c r="P567" s="14" t="str">
        <f>IFERROR(__xludf.DUMMYFUNCTION("""COMPUTED_VALUE"""),"Overall Satisfaction: Great service will order again")</f>
        <v>Overall Satisfaction: Great service will order again</v>
      </c>
      <c r="Q567" s="14" t="str">
        <f>IFERROR(__xludf.DUMMYFUNCTION("split(P567,"":"")"),"Overall Satisfaction")</f>
        <v>Overall Satisfaction</v>
      </c>
      <c r="R567" s="14" t="str">
        <f>IFERROR(__xludf.DUMMYFUNCTION("""COMPUTED_VALUE""")," Great service will order again")</f>
        <v> Great service will order again</v>
      </c>
      <c r="S567" s="14" t="str">
        <f t="shared" ref="S567:U567" si="1137">trim(B567)</f>
        <v>ord_10558</v>
      </c>
      <c r="T567" s="14" t="str">
        <f t="shared" si="1137"/>
        <v>Anaya Rao</v>
      </c>
      <c r="U567" s="14" t="str">
        <f t="shared" si="1137"/>
        <v>Colaba</v>
      </c>
      <c r="V567" s="14" t="str">
        <f t="shared" si="4"/>
        <v>Guava</v>
      </c>
      <c r="W567" s="14">
        <f t="shared" si="5"/>
        <v>2</v>
      </c>
      <c r="X567" s="14" t="str">
        <f t="shared" si="6"/>
        <v>Vivek Kumar</v>
      </c>
      <c r="Y567" s="15">
        <f t="shared" si="7"/>
        <v>45092</v>
      </c>
      <c r="Z567" s="14" t="str">
        <f t="shared" si="8"/>
        <v>COD</v>
      </c>
      <c r="AA567" s="14" t="str">
        <f t="shared" si="9"/>
        <v>Delivered</v>
      </c>
      <c r="AB567" s="14" t="str">
        <f t="shared" ref="AB567:AC567" si="1138">trim(Q567)</f>
        <v>Overall Satisfaction</v>
      </c>
      <c r="AC567" s="14" t="str">
        <f t="shared" si="1138"/>
        <v>Great service will order again</v>
      </c>
      <c r="AD567" s="8"/>
    </row>
    <row r="568">
      <c r="A568" s="14" t="str">
        <f>IFERROR(__xludf.DUMMYFUNCTION("""COMPUTED_VALUE"""),"//ord_10559//Ishita Banerjee//Juhu//Tomato+1*Aman Kumar/2/7/2023//Credit Card//Cancelled*Delayed Delivery:Bad Weather Conditions ")</f>
        <v>//ord_10559//Ishita Banerjee//Juhu//Tomato+1*Aman Kumar/2/7/2023//Credit Card//Cancelled*Delayed Delivery:Bad Weather Conditions </v>
      </c>
      <c r="B568" s="14" t="str">
        <f>IFERROR(__xludf.DUMMYFUNCTION("split(A568,""//"")"),"ord_10559")</f>
        <v>ord_10559</v>
      </c>
      <c r="C568" s="14" t="str">
        <f>IFERROR(__xludf.DUMMYFUNCTION("""COMPUTED_VALUE"""),"Ishita Banerjee")</f>
        <v>Ishita Banerjee</v>
      </c>
      <c r="D568" s="14" t="str">
        <f>IFERROR(__xludf.DUMMYFUNCTION("""COMPUTED_VALUE"""),"Juhu")</f>
        <v>Juhu</v>
      </c>
      <c r="E568" s="14" t="str">
        <f>IFERROR(__xludf.DUMMYFUNCTION("""COMPUTED_VALUE"""),"Tomato+1*Aman Kumar")</f>
        <v>Tomato+1*Aman Kumar</v>
      </c>
      <c r="F568" s="14">
        <f>IFERROR(__xludf.DUMMYFUNCTION("""COMPUTED_VALUE"""),2.0)</f>
        <v>2</v>
      </c>
      <c r="G568" s="14">
        <f>IFERROR(__xludf.DUMMYFUNCTION("""COMPUTED_VALUE"""),7.0)</f>
        <v>7</v>
      </c>
      <c r="H568" s="14">
        <f>IFERROR(__xludf.DUMMYFUNCTION("""COMPUTED_VALUE"""),2023.0)</f>
        <v>2023</v>
      </c>
      <c r="I568" s="14" t="str">
        <f>IFERROR(__xludf.DUMMYFUNCTION("""COMPUTED_VALUE"""),"Credit Card")</f>
        <v>Credit Card</v>
      </c>
      <c r="J568" s="14" t="str">
        <f>IFERROR(__xludf.DUMMYFUNCTION("""COMPUTED_VALUE"""),"Cancelled*Delayed Delivery:Bad Weather Conditions ")</f>
        <v>Cancelled*Delayed Delivery:Bad Weather Conditions </v>
      </c>
      <c r="K568" s="14" t="str">
        <f>IFERROR(__xludf.DUMMYFUNCTION("split(E568,""+"")"),"Tomato")</f>
        <v>Tomato</v>
      </c>
      <c r="L568" s="14" t="str">
        <f>IFERROR(__xludf.DUMMYFUNCTION("""COMPUTED_VALUE"""),"1*Aman Kumar")</f>
        <v>1*Aman Kumar</v>
      </c>
      <c r="M568" s="14">
        <f>IFERROR(__xludf.DUMMYFUNCTION("SPLIT(L568,""*"")"),1.0)</f>
        <v>1</v>
      </c>
      <c r="N568" s="14" t="str">
        <f>IFERROR(__xludf.DUMMYFUNCTION("""COMPUTED_VALUE"""),"Aman Kumar")</f>
        <v>Aman Kumar</v>
      </c>
      <c r="O568" s="14" t="str">
        <f>IFERROR(__xludf.DUMMYFUNCTION("split(J568,""*"")"),"Cancelled")</f>
        <v>Cancelled</v>
      </c>
      <c r="P568" s="14" t="str">
        <f>IFERROR(__xludf.DUMMYFUNCTION("""COMPUTED_VALUE"""),"Delayed Delivery:Bad Weather Conditions ")</f>
        <v>Delayed Delivery:Bad Weather Conditions </v>
      </c>
      <c r="Q568" s="14" t="str">
        <f>IFERROR(__xludf.DUMMYFUNCTION("split(P568,"":"")"),"Delayed Delivery")</f>
        <v>Delayed Delivery</v>
      </c>
      <c r="R568" s="14" t="str">
        <f>IFERROR(__xludf.DUMMYFUNCTION("""COMPUTED_VALUE"""),"Bad Weather Conditions ")</f>
        <v>Bad Weather Conditions </v>
      </c>
      <c r="S568" s="14" t="str">
        <f t="shared" ref="S568:U568" si="1139">trim(B568)</f>
        <v>ord_10559</v>
      </c>
      <c r="T568" s="14" t="str">
        <f t="shared" si="1139"/>
        <v>Ishita Banerjee</v>
      </c>
      <c r="U568" s="14" t="str">
        <f t="shared" si="1139"/>
        <v>Juhu</v>
      </c>
      <c r="V568" s="14" t="str">
        <f t="shared" si="4"/>
        <v>Tomato</v>
      </c>
      <c r="W568" s="14">
        <f t="shared" si="5"/>
        <v>1</v>
      </c>
      <c r="X568" s="14" t="str">
        <f t="shared" si="6"/>
        <v>Aman Kumar</v>
      </c>
      <c r="Y568" s="15">
        <f t="shared" si="7"/>
        <v>44964</v>
      </c>
      <c r="Z568" s="14" t="str">
        <f t="shared" si="8"/>
        <v>Credit Card</v>
      </c>
      <c r="AA568" s="14" t="str">
        <f t="shared" si="9"/>
        <v>Cancelled</v>
      </c>
      <c r="AB568" s="14" t="str">
        <f t="shared" ref="AB568:AC568" si="1140">trim(Q568)</f>
        <v>Delayed Delivery</v>
      </c>
      <c r="AC568" s="14" t="str">
        <f t="shared" si="1140"/>
        <v>Bad Weather Conditions</v>
      </c>
      <c r="AD568" s="8"/>
    </row>
    <row r="569">
      <c r="A569" s="14" t="str">
        <f>IFERROR(__xludf.DUMMYFUNCTION("""COMPUTED_VALUE"""),"//ord_10560//Mohit Malhotra//Lower Parel//Onion+2*Ramesh S/7/10/2023//Online Payment//Delivered*On-time Delivery: Delivered on time")</f>
        <v>//ord_10560//Mohit Malhotra//Lower Parel//Onion+2*Ramesh S/7/10/2023//Online Payment//Delivered*On-time Delivery: Delivered on time</v>
      </c>
      <c r="B569" s="14" t="str">
        <f>IFERROR(__xludf.DUMMYFUNCTION("split(A569,""//"")"),"ord_10560")</f>
        <v>ord_10560</v>
      </c>
      <c r="C569" s="14" t="str">
        <f>IFERROR(__xludf.DUMMYFUNCTION("""COMPUTED_VALUE"""),"Mohit Malhotra")</f>
        <v>Mohit Malhotra</v>
      </c>
      <c r="D569" s="14" t="str">
        <f>IFERROR(__xludf.DUMMYFUNCTION("""COMPUTED_VALUE"""),"Lower Parel")</f>
        <v>Lower Parel</v>
      </c>
      <c r="E569" s="14" t="str">
        <f>IFERROR(__xludf.DUMMYFUNCTION("""COMPUTED_VALUE"""),"Onion+2*Ramesh S")</f>
        <v>Onion+2*Ramesh S</v>
      </c>
      <c r="F569" s="14">
        <f>IFERROR(__xludf.DUMMYFUNCTION("""COMPUTED_VALUE"""),7.0)</f>
        <v>7</v>
      </c>
      <c r="G569" s="14">
        <f>IFERROR(__xludf.DUMMYFUNCTION("""COMPUTED_VALUE"""),10.0)</f>
        <v>10</v>
      </c>
      <c r="H569" s="14">
        <f>IFERROR(__xludf.DUMMYFUNCTION("""COMPUTED_VALUE"""),2023.0)</f>
        <v>2023</v>
      </c>
      <c r="I569" s="14" t="str">
        <f>IFERROR(__xludf.DUMMYFUNCTION("""COMPUTED_VALUE"""),"Online Payment")</f>
        <v>Online Payment</v>
      </c>
      <c r="J569" s="14" t="str">
        <f>IFERROR(__xludf.DUMMYFUNCTION("""COMPUTED_VALUE"""),"Delivered*On-time Delivery: Delivered on time")</f>
        <v>Delivered*On-time Delivery: Delivered on time</v>
      </c>
      <c r="K569" s="14" t="str">
        <f>IFERROR(__xludf.DUMMYFUNCTION("split(E569,""+"")"),"Onion")</f>
        <v>Onion</v>
      </c>
      <c r="L569" s="14" t="str">
        <f>IFERROR(__xludf.DUMMYFUNCTION("""COMPUTED_VALUE"""),"2*Ramesh S")</f>
        <v>2*Ramesh S</v>
      </c>
      <c r="M569" s="14">
        <f>IFERROR(__xludf.DUMMYFUNCTION("SPLIT(L569,""*"")"),2.0)</f>
        <v>2</v>
      </c>
      <c r="N569" s="14" t="str">
        <f>IFERROR(__xludf.DUMMYFUNCTION("""COMPUTED_VALUE"""),"Ramesh S")</f>
        <v>Ramesh S</v>
      </c>
      <c r="O569" s="14" t="str">
        <f>IFERROR(__xludf.DUMMYFUNCTION("split(J569,""*"")"),"Delivered")</f>
        <v>Delivered</v>
      </c>
      <c r="P569" s="14" t="str">
        <f>IFERROR(__xludf.DUMMYFUNCTION("""COMPUTED_VALUE"""),"On-time Delivery: Delivered on time")</f>
        <v>On-time Delivery: Delivered on time</v>
      </c>
      <c r="Q569" s="14" t="str">
        <f>IFERROR(__xludf.DUMMYFUNCTION("split(P569,"":"")"),"On-time Delivery")</f>
        <v>On-time Delivery</v>
      </c>
      <c r="R569" s="14" t="str">
        <f>IFERROR(__xludf.DUMMYFUNCTION("""COMPUTED_VALUE""")," Delivered on time")</f>
        <v> Delivered on time</v>
      </c>
      <c r="S569" s="14" t="str">
        <f t="shared" ref="S569:U569" si="1141">trim(B569)</f>
        <v>ord_10560</v>
      </c>
      <c r="T569" s="14" t="str">
        <f t="shared" si="1141"/>
        <v>Mohit Malhotra</v>
      </c>
      <c r="U569" s="14" t="str">
        <f t="shared" si="1141"/>
        <v>Lower Parel</v>
      </c>
      <c r="V569" s="14" t="str">
        <f t="shared" si="4"/>
        <v>Onion</v>
      </c>
      <c r="W569" s="14">
        <f t="shared" si="5"/>
        <v>2</v>
      </c>
      <c r="X569" s="14" t="str">
        <f t="shared" si="6"/>
        <v>Ramesh S</v>
      </c>
      <c r="Y569" s="15">
        <f t="shared" si="7"/>
        <v>45117</v>
      </c>
      <c r="Z569" s="14" t="str">
        <f t="shared" si="8"/>
        <v>Online Payment</v>
      </c>
      <c r="AA569" s="14" t="str">
        <f t="shared" si="9"/>
        <v>Delivered</v>
      </c>
      <c r="AB569" s="14" t="str">
        <f t="shared" ref="AB569:AC569" si="1142">trim(Q569)</f>
        <v>On-time Delivery</v>
      </c>
      <c r="AC569" s="14" t="str">
        <f t="shared" si="1142"/>
        <v>Delivered on time</v>
      </c>
      <c r="AD569" s="8"/>
    </row>
    <row r="570">
      <c r="A570" s="14" t="str">
        <f>IFERROR(__xludf.DUMMYFUNCTION("""COMPUTED_VALUE"""),"//ord_10561//Mohit Malhotra//Lower Parel//Sweet Corn+2*Ram Gopal/12/14/2023//COD//Delivered*Quality of Items: Perfect condition")</f>
        <v>//ord_10561//Mohit Malhotra//Lower Parel//Sweet Corn+2*Ram Gopal/12/14/2023//COD//Delivered*Quality of Items: Perfect condition</v>
      </c>
      <c r="B570" s="14" t="str">
        <f>IFERROR(__xludf.DUMMYFUNCTION("split(A570,""//"")"),"ord_10561")</f>
        <v>ord_10561</v>
      </c>
      <c r="C570" s="14" t="str">
        <f>IFERROR(__xludf.DUMMYFUNCTION("""COMPUTED_VALUE"""),"Mohit Malhotra")</f>
        <v>Mohit Malhotra</v>
      </c>
      <c r="D570" s="14" t="str">
        <f>IFERROR(__xludf.DUMMYFUNCTION("""COMPUTED_VALUE"""),"Lower Parel")</f>
        <v>Lower Parel</v>
      </c>
      <c r="E570" s="14" t="str">
        <f>IFERROR(__xludf.DUMMYFUNCTION("""COMPUTED_VALUE"""),"Sweet Corn+2*Ram Gopal")</f>
        <v>Sweet Corn+2*Ram Gopal</v>
      </c>
      <c r="F570" s="14">
        <f>IFERROR(__xludf.DUMMYFUNCTION("""COMPUTED_VALUE"""),12.0)</f>
        <v>12</v>
      </c>
      <c r="G570" s="14">
        <f>IFERROR(__xludf.DUMMYFUNCTION("""COMPUTED_VALUE"""),14.0)</f>
        <v>14</v>
      </c>
      <c r="H570" s="14">
        <f>IFERROR(__xludf.DUMMYFUNCTION("""COMPUTED_VALUE"""),2023.0)</f>
        <v>2023</v>
      </c>
      <c r="I570" s="14" t="str">
        <f>IFERROR(__xludf.DUMMYFUNCTION("""COMPUTED_VALUE"""),"COD")</f>
        <v>COD</v>
      </c>
      <c r="J570" s="14" t="str">
        <f>IFERROR(__xludf.DUMMYFUNCTION("""COMPUTED_VALUE"""),"Delivered*Quality of Items: Perfect condition")</f>
        <v>Delivered*Quality of Items: Perfect condition</v>
      </c>
      <c r="K570" s="14" t="str">
        <f>IFERROR(__xludf.DUMMYFUNCTION("split(E570,""+"")"),"Sweet Corn")</f>
        <v>Sweet Corn</v>
      </c>
      <c r="L570" s="14" t="str">
        <f>IFERROR(__xludf.DUMMYFUNCTION("""COMPUTED_VALUE"""),"2*Ram Gopal")</f>
        <v>2*Ram Gopal</v>
      </c>
      <c r="M570" s="14">
        <f>IFERROR(__xludf.DUMMYFUNCTION("SPLIT(L570,""*"")"),2.0)</f>
        <v>2</v>
      </c>
      <c r="N570" s="14" t="str">
        <f>IFERROR(__xludf.DUMMYFUNCTION("""COMPUTED_VALUE"""),"Ram Gopal")</f>
        <v>Ram Gopal</v>
      </c>
      <c r="O570" s="14" t="str">
        <f>IFERROR(__xludf.DUMMYFUNCTION("split(J570,""*"")"),"Delivered")</f>
        <v>Delivered</v>
      </c>
      <c r="P570" s="14" t="str">
        <f>IFERROR(__xludf.DUMMYFUNCTION("""COMPUTED_VALUE"""),"Quality of Items: Perfect condition")</f>
        <v>Quality of Items: Perfect condition</v>
      </c>
      <c r="Q570" s="14" t="str">
        <f>IFERROR(__xludf.DUMMYFUNCTION("split(P570,"":"")"),"Quality of Items")</f>
        <v>Quality of Items</v>
      </c>
      <c r="R570" s="14" t="str">
        <f>IFERROR(__xludf.DUMMYFUNCTION("""COMPUTED_VALUE""")," Perfect condition")</f>
        <v> Perfect condition</v>
      </c>
      <c r="S570" s="14" t="str">
        <f t="shared" ref="S570:U570" si="1143">trim(B570)</f>
        <v>ord_10561</v>
      </c>
      <c r="T570" s="14" t="str">
        <f t="shared" si="1143"/>
        <v>Mohit Malhotra</v>
      </c>
      <c r="U570" s="14" t="str">
        <f t="shared" si="1143"/>
        <v>Lower Parel</v>
      </c>
      <c r="V570" s="14" t="str">
        <f t="shared" si="4"/>
        <v>Sweet Corn</v>
      </c>
      <c r="W570" s="14">
        <f t="shared" si="5"/>
        <v>2</v>
      </c>
      <c r="X570" s="14" t="str">
        <f t="shared" si="6"/>
        <v>Ram Gopal</v>
      </c>
      <c r="Y570" s="15">
        <f t="shared" si="7"/>
        <v>45274</v>
      </c>
      <c r="Z570" s="14" t="str">
        <f t="shared" si="8"/>
        <v>COD</v>
      </c>
      <c r="AA570" s="14" t="str">
        <f t="shared" si="9"/>
        <v>Delivered</v>
      </c>
      <c r="AB570" s="14" t="str">
        <f t="shared" ref="AB570:AC570" si="1144">trim(Q570)</f>
        <v>Quality of Items</v>
      </c>
      <c r="AC570" s="14" t="str">
        <f t="shared" si="1144"/>
        <v>Perfect condition</v>
      </c>
      <c r="AD570" s="8"/>
    </row>
    <row r="571">
      <c r="A571" s="14" t="str">
        <f>IFERROR(__xludf.DUMMYFUNCTION("""COMPUTED_VALUE"""),"//ord_10562//Mohit Malhotra//Lower Parel//Rasmalai+2*Kiran Mehta/9/27/2023//COD//Delivered*On-time Delivery: Delivered on time")</f>
        <v>//ord_10562//Mohit Malhotra//Lower Parel//Rasmalai+2*Kiran Mehta/9/27/2023//COD//Delivered*On-time Delivery: Delivered on time</v>
      </c>
      <c r="B571" s="14" t="str">
        <f>IFERROR(__xludf.DUMMYFUNCTION("split(A571,""//"")"),"ord_10562")</f>
        <v>ord_10562</v>
      </c>
      <c r="C571" s="14" t="str">
        <f>IFERROR(__xludf.DUMMYFUNCTION("""COMPUTED_VALUE"""),"Mohit Malhotra")</f>
        <v>Mohit Malhotra</v>
      </c>
      <c r="D571" s="14" t="str">
        <f>IFERROR(__xludf.DUMMYFUNCTION("""COMPUTED_VALUE"""),"Lower Parel")</f>
        <v>Lower Parel</v>
      </c>
      <c r="E571" s="14" t="str">
        <f>IFERROR(__xludf.DUMMYFUNCTION("""COMPUTED_VALUE"""),"Rasmalai+2*Kiran Mehta")</f>
        <v>Rasmalai+2*Kiran Mehta</v>
      </c>
      <c r="F571" s="14">
        <f>IFERROR(__xludf.DUMMYFUNCTION("""COMPUTED_VALUE"""),9.0)</f>
        <v>9</v>
      </c>
      <c r="G571" s="14">
        <f>IFERROR(__xludf.DUMMYFUNCTION("""COMPUTED_VALUE"""),27.0)</f>
        <v>27</v>
      </c>
      <c r="H571" s="14">
        <f>IFERROR(__xludf.DUMMYFUNCTION("""COMPUTED_VALUE"""),2023.0)</f>
        <v>2023</v>
      </c>
      <c r="I571" s="14" t="str">
        <f>IFERROR(__xludf.DUMMYFUNCTION("""COMPUTED_VALUE"""),"COD")</f>
        <v>COD</v>
      </c>
      <c r="J571" s="14" t="str">
        <f>IFERROR(__xludf.DUMMYFUNCTION("""COMPUTED_VALUE"""),"Delivered*On-time Delivery: Delivered on time")</f>
        <v>Delivered*On-time Delivery: Delivered on time</v>
      </c>
      <c r="K571" s="14" t="str">
        <f>IFERROR(__xludf.DUMMYFUNCTION("split(E571,""+"")"),"Rasmalai")</f>
        <v>Rasmalai</v>
      </c>
      <c r="L571" s="14" t="str">
        <f>IFERROR(__xludf.DUMMYFUNCTION("""COMPUTED_VALUE"""),"2*Kiran Mehta")</f>
        <v>2*Kiran Mehta</v>
      </c>
      <c r="M571" s="14">
        <f>IFERROR(__xludf.DUMMYFUNCTION("SPLIT(L571,""*"")"),2.0)</f>
        <v>2</v>
      </c>
      <c r="N571" s="14" t="str">
        <f>IFERROR(__xludf.DUMMYFUNCTION("""COMPUTED_VALUE"""),"Kiran Mehta")</f>
        <v>Kiran Mehta</v>
      </c>
      <c r="O571" s="14" t="str">
        <f>IFERROR(__xludf.DUMMYFUNCTION("split(J571,""*"")"),"Delivered")</f>
        <v>Delivered</v>
      </c>
      <c r="P571" s="14" t="str">
        <f>IFERROR(__xludf.DUMMYFUNCTION("""COMPUTED_VALUE"""),"On-time Delivery: Delivered on time")</f>
        <v>On-time Delivery: Delivered on time</v>
      </c>
      <c r="Q571" s="14" t="str">
        <f>IFERROR(__xludf.DUMMYFUNCTION("split(P571,"":"")"),"On-time Delivery")</f>
        <v>On-time Delivery</v>
      </c>
      <c r="R571" s="14" t="str">
        <f>IFERROR(__xludf.DUMMYFUNCTION("""COMPUTED_VALUE""")," Delivered on time")</f>
        <v> Delivered on time</v>
      </c>
      <c r="S571" s="14" t="str">
        <f t="shared" ref="S571:U571" si="1145">trim(B571)</f>
        <v>ord_10562</v>
      </c>
      <c r="T571" s="14" t="str">
        <f t="shared" si="1145"/>
        <v>Mohit Malhotra</v>
      </c>
      <c r="U571" s="14" t="str">
        <f t="shared" si="1145"/>
        <v>Lower Parel</v>
      </c>
      <c r="V571" s="14" t="str">
        <f t="shared" si="4"/>
        <v>Rasmalai</v>
      </c>
      <c r="W571" s="14">
        <f t="shared" si="5"/>
        <v>2</v>
      </c>
      <c r="X571" s="14" t="str">
        <f t="shared" si="6"/>
        <v>Kiran Mehta</v>
      </c>
      <c r="Y571" s="15">
        <f t="shared" si="7"/>
        <v>45196</v>
      </c>
      <c r="Z571" s="14" t="str">
        <f t="shared" si="8"/>
        <v>COD</v>
      </c>
      <c r="AA571" s="14" t="str">
        <f t="shared" si="9"/>
        <v>Delivered</v>
      </c>
      <c r="AB571" s="14" t="str">
        <f t="shared" ref="AB571:AC571" si="1146">trim(Q571)</f>
        <v>On-time Delivery</v>
      </c>
      <c r="AC571" s="14" t="str">
        <f t="shared" si="1146"/>
        <v>Delivered on time</v>
      </c>
      <c r="AD571" s="8"/>
    </row>
    <row r="572">
      <c r="A572" s="14" t="str">
        <f>IFERROR(__xludf.DUMMYFUNCTION("""COMPUTED_VALUE"""),"//ord_10563//Aditi Iyer//Dadar//Popcorn+5*Aman Kumar/3/15/2023//Credit Card//Delivered*Quality of Items: Perfect condition")</f>
        <v>//ord_10563//Aditi Iyer//Dadar//Popcorn+5*Aman Kumar/3/15/2023//Credit Card//Delivered*Quality of Items: Perfect condition</v>
      </c>
      <c r="B572" s="14" t="str">
        <f>IFERROR(__xludf.DUMMYFUNCTION("split(A572,""//"")"),"ord_10563")</f>
        <v>ord_10563</v>
      </c>
      <c r="C572" s="14" t="str">
        <f>IFERROR(__xludf.DUMMYFUNCTION("""COMPUTED_VALUE"""),"Aditi Iyer")</f>
        <v>Aditi Iyer</v>
      </c>
      <c r="D572" s="14" t="str">
        <f>IFERROR(__xludf.DUMMYFUNCTION("""COMPUTED_VALUE"""),"Dadar")</f>
        <v>Dadar</v>
      </c>
      <c r="E572" s="14" t="str">
        <f>IFERROR(__xludf.DUMMYFUNCTION("""COMPUTED_VALUE"""),"Popcorn+5*Aman Kumar")</f>
        <v>Popcorn+5*Aman Kumar</v>
      </c>
      <c r="F572" s="14">
        <f>IFERROR(__xludf.DUMMYFUNCTION("""COMPUTED_VALUE"""),3.0)</f>
        <v>3</v>
      </c>
      <c r="G572" s="14">
        <f>IFERROR(__xludf.DUMMYFUNCTION("""COMPUTED_VALUE"""),15.0)</f>
        <v>15</v>
      </c>
      <c r="H572" s="14">
        <f>IFERROR(__xludf.DUMMYFUNCTION("""COMPUTED_VALUE"""),2023.0)</f>
        <v>2023</v>
      </c>
      <c r="I572" s="14" t="str">
        <f>IFERROR(__xludf.DUMMYFUNCTION("""COMPUTED_VALUE"""),"Credit Card")</f>
        <v>Credit Card</v>
      </c>
      <c r="J572" s="14" t="str">
        <f>IFERROR(__xludf.DUMMYFUNCTION("""COMPUTED_VALUE"""),"Delivered*Quality of Items: Perfect condition")</f>
        <v>Delivered*Quality of Items: Perfect condition</v>
      </c>
      <c r="K572" s="14" t="str">
        <f>IFERROR(__xludf.DUMMYFUNCTION("split(E572,""+"")"),"Popcorn")</f>
        <v>Popcorn</v>
      </c>
      <c r="L572" s="14" t="str">
        <f>IFERROR(__xludf.DUMMYFUNCTION("""COMPUTED_VALUE"""),"5*Aman Kumar")</f>
        <v>5*Aman Kumar</v>
      </c>
      <c r="M572" s="14">
        <f>IFERROR(__xludf.DUMMYFUNCTION("SPLIT(L572,""*"")"),5.0)</f>
        <v>5</v>
      </c>
      <c r="N572" s="14" t="str">
        <f>IFERROR(__xludf.DUMMYFUNCTION("""COMPUTED_VALUE"""),"Aman Kumar")</f>
        <v>Aman Kumar</v>
      </c>
      <c r="O572" s="14" t="str">
        <f>IFERROR(__xludf.DUMMYFUNCTION("split(J572,""*"")"),"Delivered")</f>
        <v>Delivered</v>
      </c>
      <c r="P572" s="14" t="str">
        <f>IFERROR(__xludf.DUMMYFUNCTION("""COMPUTED_VALUE"""),"Quality of Items: Perfect condition")</f>
        <v>Quality of Items: Perfect condition</v>
      </c>
      <c r="Q572" s="14" t="str">
        <f>IFERROR(__xludf.DUMMYFUNCTION("split(P572,"":"")"),"Quality of Items")</f>
        <v>Quality of Items</v>
      </c>
      <c r="R572" s="14" t="str">
        <f>IFERROR(__xludf.DUMMYFUNCTION("""COMPUTED_VALUE""")," Perfect condition")</f>
        <v> Perfect condition</v>
      </c>
      <c r="S572" s="14" t="str">
        <f t="shared" ref="S572:U572" si="1147">trim(B572)</f>
        <v>ord_10563</v>
      </c>
      <c r="T572" s="14" t="str">
        <f t="shared" si="1147"/>
        <v>Aditi Iyer</v>
      </c>
      <c r="U572" s="14" t="str">
        <f t="shared" si="1147"/>
        <v>Dadar</v>
      </c>
      <c r="V572" s="14" t="str">
        <f t="shared" si="4"/>
        <v>Popcorn</v>
      </c>
      <c r="W572" s="14">
        <f t="shared" si="5"/>
        <v>5</v>
      </c>
      <c r="X572" s="14" t="str">
        <f t="shared" si="6"/>
        <v>Aman Kumar</v>
      </c>
      <c r="Y572" s="15">
        <f t="shared" si="7"/>
        <v>45000</v>
      </c>
      <c r="Z572" s="14" t="str">
        <f t="shared" si="8"/>
        <v>Credit Card</v>
      </c>
      <c r="AA572" s="14" t="str">
        <f t="shared" si="9"/>
        <v>Delivered</v>
      </c>
      <c r="AB572" s="14" t="str">
        <f t="shared" ref="AB572:AC572" si="1148">trim(Q572)</f>
        <v>Quality of Items</v>
      </c>
      <c r="AC572" s="14" t="str">
        <f t="shared" si="1148"/>
        <v>Perfect condition</v>
      </c>
      <c r="AD572" s="8"/>
    </row>
    <row r="573">
      <c r="A573" s="14" t="str">
        <f>IFERROR(__xludf.DUMMYFUNCTION("""COMPUTED_VALUE"""),"//ord_10564//Sanjay Nair//Dadar//Chocolate Mousse+2*Aman Kumar/10/10/2023//Credit Card//Delivered*Packaging: Secure and intact")</f>
        <v>//ord_10564//Sanjay Nair//Dadar//Chocolate Mousse+2*Aman Kumar/10/10/2023//Credit Card//Delivered*Packaging: Secure and intact</v>
      </c>
      <c r="B573" s="14" t="str">
        <f>IFERROR(__xludf.DUMMYFUNCTION("split(A573,""//"")"),"ord_10564")</f>
        <v>ord_10564</v>
      </c>
      <c r="C573" s="14" t="str">
        <f>IFERROR(__xludf.DUMMYFUNCTION("""COMPUTED_VALUE"""),"Sanjay Nair")</f>
        <v>Sanjay Nair</v>
      </c>
      <c r="D573" s="14" t="str">
        <f>IFERROR(__xludf.DUMMYFUNCTION("""COMPUTED_VALUE"""),"Dadar")</f>
        <v>Dadar</v>
      </c>
      <c r="E573" s="14" t="str">
        <f>IFERROR(__xludf.DUMMYFUNCTION("""COMPUTED_VALUE"""),"Chocolate Mousse+2*Aman Kumar")</f>
        <v>Chocolate Mousse+2*Aman Kumar</v>
      </c>
      <c r="F573" s="14">
        <f>IFERROR(__xludf.DUMMYFUNCTION("""COMPUTED_VALUE"""),10.0)</f>
        <v>10</v>
      </c>
      <c r="G573" s="14">
        <f>IFERROR(__xludf.DUMMYFUNCTION("""COMPUTED_VALUE"""),10.0)</f>
        <v>10</v>
      </c>
      <c r="H573" s="14">
        <f>IFERROR(__xludf.DUMMYFUNCTION("""COMPUTED_VALUE"""),2023.0)</f>
        <v>2023</v>
      </c>
      <c r="I573" s="14" t="str">
        <f>IFERROR(__xludf.DUMMYFUNCTION("""COMPUTED_VALUE"""),"Credit Card")</f>
        <v>Credit Card</v>
      </c>
      <c r="J573" s="14" t="str">
        <f>IFERROR(__xludf.DUMMYFUNCTION("""COMPUTED_VALUE"""),"Delivered*Packaging: Secure and intact")</f>
        <v>Delivered*Packaging: Secure and intact</v>
      </c>
      <c r="K573" s="14" t="str">
        <f>IFERROR(__xludf.DUMMYFUNCTION("split(E573,""+"")"),"Chocolate Mousse")</f>
        <v>Chocolate Mousse</v>
      </c>
      <c r="L573" s="14" t="str">
        <f>IFERROR(__xludf.DUMMYFUNCTION("""COMPUTED_VALUE"""),"2*Aman Kumar")</f>
        <v>2*Aman Kumar</v>
      </c>
      <c r="M573" s="14">
        <f>IFERROR(__xludf.DUMMYFUNCTION("SPLIT(L573,""*"")"),2.0)</f>
        <v>2</v>
      </c>
      <c r="N573" s="14" t="str">
        <f>IFERROR(__xludf.DUMMYFUNCTION("""COMPUTED_VALUE"""),"Aman Kumar")</f>
        <v>Aman Kumar</v>
      </c>
      <c r="O573" s="14" t="str">
        <f>IFERROR(__xludf.DUMMYFUNCTION("split(J573,""*"")"),"Delivered")</f>
        <v>Delivered</v>
      </c>
      <c r="P573" s="14" t="str">
        <f>IFERROR(__xludf.DUMMYFUNCTION("""COMPUTED_VALUE"""),"Packaging: Secure and intact")</f>
        <v>Packaging: Secure and intact</v>
      </c>
      <c r="Q573" s="14" t="str">
        <f>IFERROR(__xludf.DUMMYFUNCTION("split(P573,"":"")"),"Packaging")</f>
        <v>Packaging</v>
      </c>
      <c r="R573" s="14" t="str">
        <f>IFERROR(__xludf.DUMMYFUNCTION("""COMPUTED_VALUE""")," Secure and intact")</f>
        <v> Secure and intact</v>
      </c>
      <c r="S573" s="14" t="str">
        <f t="shared" ref="S573:U573" si="1149">trim(B573)</f>
        <v>ord_10564</v>
      </c>
      <c r="T573" s="14" t="str">
        <f t="shared" si="1149"/>
        <v>Sanjay Nair</v>
      </c>
      <c r="U573" s="14" t="str">
        <f t="shared" si="1149"/>
        <v>Dadar</v>
      </c>
      <c r="V573" s="14" t="str">
        <f t="shared" si="4"/>
        <v>Chocolate Mousse</v>
      </c>
      <c r="W573" s="14">
        <f t="shared" si="5"/>
        <v>2</v>
      </c>
      <c r="X573" s="14" t="str">
        <f t="shared" si="6"/>
        <v>Aman Kumar</v>
      </c>
      <c r="Y573" s="15">
        <f t="shared" si="7"/>
        <v>45209</v>
      </c>
      <c r="Z573" s="14" t="str">
        <f t="shared" si="8"/>
        <v>Credit Card</v>
      </c>
      <c r="AA573" s="14" t="str">
        <f t="shared" si="9"/>
        <v>Delivered</v>
      </c>
      <c r="AB573" s="14" t="str">
        <f t="shared" ref="AB573:AC573" si="1150">trim(Q573)</f>
        <v>Packaging</v>
      </c>
      <c r="AC573" s="14" t="str">
        <f t="shared" si="1150"/>
        <v>Secure and intact</v>
      </c>
      <c r="AD573" s="8"/>
    </row>
    <row r="574">
      <c r="A574" s="14" t="str">
        <f>IFERROR(__xludf.DUMMYFUNCTION("""COMPUTED_VALUE"""),"//ord_10565//Dev Chauhan//Bandra//Orange+1*Priya Joshi/9/28/2023//Credit Card//Delivered*Satisfied with the Delivery: Timely and quality")</f>
        <v>//ord_10565//Dev Chauhan//Bandra//Orange+1*Priya Joshi/9/28/2023//Credit Card//Delivered*Satisfied with the Delivery: Timely and quality</v>
      </c>
      <c r="B574" s="14" t="str">
        <f>IFERROR(__xludf.DUMMYFUNCTION("split(A574,""//"")"),"ord_10565")</f>
        <v>ord_10565</v>
      </c>
      <c r="C574" s="14" t="str">
        <f>IFERROR(__xludf.DUMMYFUNCTION("""COMPUTED_VALUE"""),"Dev Chauhan")</f>
        <v>Dev Chauhan</v>
      </c>
      <c r="D574" s="14" t="str">
        <f>IFERROR(__xludf.DUMMYFUNCTION("""COMPUTED_VALUE"""),"Bandra")</f>
        <v>Bandra</v>
      </c>
      <c r="E574" s="14" t="str">
        <f>IFERROR(__xludf.DUMMYFUNCTION("""COMPUTED_VALUE"""),"Orange+1*Priya Joshi")</f>
        <v>Orange+1*Priya Joshi</v>
      </c>
      <c r="F574" s="14">
        <f>IFERROR(__xludf.DUMMYFUNCTION("""COMPUTED_VALUE"""),9.0)</f>
        <v>9</v>
      </c>
      <c r="G574" s="14">
        <f>IFERROR(__xludf.DUMMYFUNCTION("""COMPUTED_VALUE"""),28.0)</f>
        <v>28</v>
      </c>
      <c r="H574" s="14">
        <f>IFERROR(__xludf.DUMMYFUNCTION("""COMPUTED_VALUE"""),2023.0)</f>
        <v>2023</v>
      </c>
      <c r="I574" s="14" t="str">
        <f>IFERROR(__xludf.DUMMYFUNCTION("""COMPUTED_VALUE"""),"Credit Card")</f>
        <v>Credit Card</v>
      </c>
      <c r="J574" s="14" t="str">
        <f>IFERROR(__xludf.DUMMYFUNCTION("""COMPUTED_VALUE"""),"Delivered*Satisfied with the Delivery: Timely and quality")</f>
        <v>Delivered*Satisfied with the Delivery: Timely and quality</v>
      </c>
      <c r="K574" s="14" t="str">
        <f>IFERROR(__xludf.DUMMYFUNCTION("split(E574,""+"")"),"Orange")</f>
        <v>Orange</v>
      </c>
      <c r="L574" s="14" t="str">
        <f>IFERROR(__xludf.DUMMYFUNCTION("""COMPUTED_VALUE"""),"1*Priya Joshi")</f>
        <v>1*Priya Joshi</v>
      </c>
      <c r="M574" s="14">
        <f>IFERROR(__xludf.DUMMYFUNCTION("SPLIT(L574,""*"")"),1.0)</f>
        <v>1</v>
      </c>
      <c r="N574" s="14" t="str">
        <f>IFERROR(__xludf.DUMMYFUNCTION("""COMPUTED_VALUE"""),"Priya Joshi")</f>
        <v>Priya Joshi</v>
      </c>
      <c r="O574" s="14" t="str">
        <f>IFERROR(__xludf.DUMMYFUNCTION("split(J574,""*"")"),"Delivered")</f>
        <v>Delivered</v>
      </c>
      <c r="P574" s="14" t="str">
        <f>IFERROR(__xludf.DUMMYFUNCTION("""COMPUTED_VALUE"""),"Satisfied with the Delivery: Timely and quality")</f>
        <v>Satisfied with the Delivery: Timely and quality</v>
      </c>
      <c r="Q574" s="14" t="str">
        <f>IFERROR(__xludf.DUMMYFUNCTION("split(P574,"":"")"),"Satisfied with the Delivery")</f>
        <v>Satisfied with the Delivery</v>
      </c>
      <c r="R574" s="14" t="str">
        <f>IFERROR(__xludf.DUMMYFUNCTION("""COMPUTED_VALUE""")," Timely and quality")</f>
        <v> Timely and quality</v>
      </c>
      <c r="S574" s="14" t="str">
        <f t="shared" ref="S574:U574" si="1151">trim(B574)</f>
        <v>ord_10565</v>
      </c>
      <c r="T574" s="14" t="str">
        <f t="shared" si="1151"/>
        <v>Dev Chauhan</v>
      </c>
      <c r="U574" s="14" t="str">
        <f t="shared" si="1151"/>
        <v>Bandra</v>
      </c>
      <c r="V574" s="14" t="str">
        <f t="shared" si="4"/>
        <v>Orange</v>
      </c>
      <c r="W574" s="14">
        <f t="shared" si="5"/>
        <v>1</v>
      </c>
      <c r="X574" s="14" t="str">
        <f t="shared" si="6"/>
        <v>Priya Joshi</v>
      </c>
      <c r="Y574" s="15">
        <f t="shared" si="7"/>
        <v>45197</v>
      </c>
      <c r="Z574" s="14" t="str">
        <f t="shared" si="8"/>
        <v>Credit Card</v>
      </c>
      <c r="AA574" s="14" t="str">
        <f t="shared" si="9"/>
        <v>Delivered</v>
      </c>
      <c r="AB574" s="14" t="str">
        <f t="shared" ref="AB574:AC574" si="1152">trim(Q574)</f>
        <v>Satisfied with the Delivery</v>
      </c>
      <c r="AC574" s="14" t="str">
        <f t="shared" si="1152"/>
        <v>Timely and quality</v>
      </c>
      <c r="AD574" s="8"/>
    </row>
    <row r="575">
      <c r="A575" s="14" t="str">
        <f>IFERROR(__xludf.DUMMYFUNCTION("""COMPUTED_VALUE"""),"//ord_10566//Aditi Iyer//Dadar//Cucumber+1*Not Assigned/6/1/2023//Credit Card//Cancelled*App Glitches:Slow Loading Time")</f>
        <v>//ord_10566//Aditi Iyer//Dadar//Cucumber+1*Not Assigned/6/1/2023//Credit Card//Cancelled*App Glitches:Slow Loading Time</v>
      </c>
      <c r="B575" s="14" t="str">
        <f>IFERROR(__xludf.DUMMYFUNCTION("split(A575,""//"")"),"ord_10566")</f>
        <v>ord_10566</v>
      </c>
      <c r="C575" s="14" t="str">
        <f>IFERROR(__xludf.DUMMYFUNCTION("""COMPUTED_VALUE"""),"Aditi Iyer")</f>
        <v>Aditi Iyer</v>
      </c>
      <c r="D575" s="14" t="str">
        <f>IFERROR(__xludf.DUMMYFUNCTION("""COMPUTED_VALUE"""),"Dadar")</f>
        <v>Dadar</v>
      </c>
      <c r="E575" s="14" t="str">
        <f>IFERROR(__xludf.DUMMYFUNCTION("""COMPUTED_VALUE"""),"Cucumber+1*Not Assigned")</f>
        <v>Cucumber+1*Not Assigned</v>
      </c>
      <c r="F575" s="14">
        <f>IFERROR(__xludf.DUMMYFUNCTION("""COMPUTED_VALUE"""),6.0)</f>
        <v>6</v>
      </c>
      <c r="G575" s="14">
        <f>IFERROR(__xludf.DUMMYFUNCTION("""COMPUTED_VALUE"""),1.0)</f>
        <v>1</v>
      </c>
      <c r="H575" s="14">
        <f>IFERROR(__xludf.DUMMYFUNCTION("""COMPUTED_VALUE"""),2023.0)</f>
        <v>2023</v>
      </c>
      <c r="I575" s="14" t="str">
        <f>IFERROR(__xludf.DUMMYFUNCTION("""COMPUTED_VALUE"""),"Credit Card")</f>
        <v>Credit Card</v>
      </c>
      <c r="J575" s="14" t="str">
        <f>IFERROR(__xludf.DUMMYFUNCTION("""COMPUTED_VALUE"""),"Cancelled*App Glitches:Slow Loading Time")</f>
        <v>Cancelled*App Glitches:Slow Loading Time</v>
      </c>
      <c r="K575" s="14" t="str">
        <f>IFERROR(__xludf.DUMMYFUNCTION("split(E575,""+"")"),"Cucumber")</f>
        <v>Cucumber</v>
      </c>
      <c r="L575" s="14" t="str">
        <f>IFERROR(__xludf.DUMMYFUNCTION("""COMPUTED_VALUE"""),"1*Not Assigned")</f>
        <v>1*Not Assigned</v>
      </c>
      <c r="M575" s="14">
        <f>IFERROR(__xludf.DUMMYFUNCTION("SPLIT(L575,""*"")"),1.0)</f>
        <v>1</v>
      </c>
      <c r="N575" s="14" t="str">
        <f>IFERROR(__xludf.DUMMYFUNCTION("""COMPUTED_VALUE"""),"Not Assigned")</f>
        <v>Not Assigned</v>
      </c>
      <c r="O575" s="14" t="str">
        <f>IFERROR(__xludf.DUMMYFUNCTION("split(J575,""*"")"),"Cancelled")</f>
        <v>Cancelled</v>
      </c>
      <c r="P575" s="14" t="str">
        <f>IFERROR(__xludf.DUMMYFUNCTION("""COMPUTED_VALUE"""),"App Glitches:Slow Loading Time")</f>
        <v>App Glitches:Slow Loading Time</v>
      </c>
      <c r="Q575" s="14" t="str">
        <f>IFERROR(__xludf.DUMMYFUNCTION("split(P575,"":"")"),"App Glitches")</f>
        <v>App Glitches</v>
      </c>
      <c r="R575" s="14" t="str">
        <f>IFERROR(__xludf.DUMMYFUNCTION("""COMPUTED_VALUE"""),"Slow Loading Time")</f>
        <v>Slow Loading Time</v>
      </c>
      <c r="S575" s="14" t="str">
        <f t="shared" ref="S575:U575" si="1153">trim(B575)</f>
        <v>ord_10566</v>
      </c>
      <c r="T575" s="14" t="str">
        <f t="shared" si="1153"/>
        <v>Aditi Iyer</v>
      </c>
      <c r="U575" s="14" t="str">
        <f t="shared" si="1153"/>
        <v>Dadar</v>
      </c>
      <c r="V575" s="14" t="str">
        <f t="shared" si="4"/>
        <v>Cucumber</v>
      </c>
      <c r="W575" s="14">
        <f t="shared" si="5"/>
        <v>1</v>
      </c>
      <c r="X575" s="14" t="str">
        <f t="shared" si="6"/>
        <v>Not Assigned</v>
      </c>
      <c r="Y575" s="15">
        <f t="shared" si="7"/>
        <v>45078</v>
      </c>
      <c r="Z575" s="14" t="str">
        <f t="shared" si="8"/>
        <v>Credit Card</v>
      </c>
      <c r="AA575" s="14" t="str">
        <f t="shared" si="9"/>
        <v>Cancelled</v>
      </c>
      <c r="AB575" s="14" t="str">
        <f t="shared" ref="AB575:AC575" si="1154">trim(Q575)</f>
        <v>App Glitches</v>
      </c>
      <c r="AC575" s="14" t="str">
        <f t="shared" si="1154"/>
        <v>Slow Loading Time</v>
      </c>
      <c r="AD575" s="8"/>
    </row>
    <row r="576">
      <c r="A576" s="14" t="str">
        <f>IFERROR(__xludf.DUMMYFUNCTION("""COMPUTED_VALUE"""),"//ord_10567//Sakshi Tandon//Colaba//Popcorn+2*Not Assigned/11/4/2023//Online Payment//Cancelled*Payment Issues")</f>
        <v>//ord_10567//Sakshi Tandon//Colaba//Popcorn+2*Not Assigned/11/4/2023//Online Payment//Cancelled*Payment Issues</v>
      </c>
      <c r="B576" s="14" t="str">
        <f>IFERROR(__xludf.DUMMYFUNCTION("split(A576,""//"")"),"ord_10567")</f>
        <v>ord_10567</v>
      </c>
      <c r="C576" s="14" t="str">
        <f>IFERROR(__xludf.DUMMYFUNCTION("""COMPUTED_VALUE"""),"Sakshi Tandon")</f>
        <v>Sakshi Tandon</v>
      </c>
      <c r="D576" s="14" t="str">
        <f>IFERROR(__xludf.DUMMYFUNCTION("""COMPUTED_VALUE"""),"Colaba")</f>
        <v>Colaba</v>
      </c>
      <c r="E576" s="14" t="str">
        <f>IFERROR(__xludf.DUMMYFUNCTION("""COMPUTED_VALUE"""),"Popcorn+2*Not Assigned")</f>
        <v>Popcorn+2*Not Assigned</v>
      </c>
      <c r="F576" s="14">
        <f>IFERROR(__xludf.DUMMYFUNCTION("""COMPUTED_VALUE"""),11.0)</f>
        <v>11</v>
      </c>
      <c r="G576" s="14">
        <f>IFERROR(__xludf.DUMMYFUNCTION("""COMPUTED_VALUE"""),4.0)</f>
        <v>4</v>
      </c>
      <c r="H576" s="14">
        <f>IFERROR(__xludf.DUMMYFUNCTION("""COMPUTED_VALUE"""),2023.0)</f>
        <v>2023</v>
      </c>
      <c r="I576" s="14" t="str">
        <f>IFERROR(__xludf.DUMMYFUNCTION("""COMPUTED_VALUE"""),"Online Payment")</f>
        <v>Online Payment</v>
      </c>
      <c r="J576" s="14" t="str">
        <f>IFERROR(__xludf.DUMMYFUNCTION("""COMPUTED_VALUE"""),"Cancelled*Payment Issues")</f>
        <v>Cancelled*Payment Issues</v>
      </c>
      <c r="K576" s="14" t="str">
        <f>IFERROR(__xludf.DUMMYFUNCTION("split(E576,""+"")"),"Popcorn")</f>
        <v>Popcorn</v>
      </c>
      <c r="L576" s="14" t="str">
        <f>IFERROR(__xludf.DUMMYFUNCTION("""COMPUTED_VALUE"""),"2*Not Assigned")</f>
        <v>2*Not Assigned</v>
      </c>
      <c r="M576" s="14">
        <f>IFERROR(__xludf.DUMMYFUNCTION("SPLIT(L576,""*"")"),2.0)</f>
        <v>2</v>
      </c>
      <c r="N576" s="14" t="str">
        <f>IFERROR(__xludf.DUMMYFUNCTION("""COMPUTED_VALUE"""),"Not Assigned")</f>
        <v>Not Assigned</v>
      </c>
      <c r="O576" s="14" t="str">
        <f>IFERROR(__xludf.DUMMYFUNCTION("split(J576,""*"")"),"Cancelled")</f>
        <v>Cancelled</v>
      </c>
      <c r="P576" s="14" t="str">
        <f>IFERROR(__xludf.DUMMYFUNCTION("""COMPUTED_VALUE"""),"Payment Issues")</f>
        <v>Payment Issues</v>
      </c>
      <c r="Q576" s="14" t="str">
        <f>IFERROR(__xludf.DUMMYFUNCTION("split(P576,"":"")"),"Payment Issues")</f>
        <v>Payment Issues</v>
      </c>
      <c r="R576" s="14"/>
      <c r="S576" s="14" t="str">
        <f t="shared" ref="S576:U576" si="1155">trim(B576)</f>
        <v>ord_10567</v>
      </c>
      <c r="T576" s="14" t="str">
        <f t="shared" si="1155"/>
        <v>Sakshi Tandon</v>
      </c>
      <c r="U576" s="14" t="str">
        <f t="shared" si="1155"/>
        <v>Colaba</v>
      </c>
      <c r="V576" s="14" t="str">
        <f t="shared" si="4"/>
        <v>Popcorn</v>
      </c>
      <c r="W576" s="14">
        <f t="shared" si="5"/>
        <v>2</v>
      </c>
      <c r="X576" s="14" t="str">
        <f t="shared" si="6"/>
        <v>Not Assigned</v>
      </c>
      <c r="Y576" s="15">
        <f t="shared" si="7"/>
        <v>45234</v>
      </c>
      <c r="Z576" s="14" t="str">
        <f t="shared" si="8"/>
        <v>Online Payment</v>
      </c>
      <c r="AA576" s="14" t="str">
        <f t="shared" si="9"/>
        <v>Cancelled</v>
      </c>
      <c r="AB576" s="14" t="str">
        <f t="shared" ref="AB576:AC576" si="1156">trim(Q576)</f>
        <v>Payment Issues</v>
      </c>
      <c r="AC576" s="14" t="str">
        <f t="shared" si="1156"/>
        <v/>
      </c>
      <c r="AD576" s="8"/>
    </row>
    <row r="577">
      <c r="A577" s="14" t="str">
        <f>IFERROR(__xludf.DUMMYFUNCTION("""COMPUTED_VALUE"""),"//ord_10568//Diya Arora//Lower Parel//Icecream+5*Nithin Lal/3/19/2023//Credit Card//Cancelled*Delayed Delivery:Incorrect Address or Location")</f>
        <v>//ord_10568//Diya Arora//Lower Parel//Icecream+5*Nithin Lal/3/19/2023//Credit Card//Cancelled*Delayed Delivery:Incorrect Address or Location</v>
      </c>
      <c r="B577" s="14" t="str">
        <f>IFERROR(__xludf.DUMMYFUNCTION("split(A577,""//"")"),"ord_10568")</f>
        <v>ord_10568</v>
      </c>
      <c r="C577" s="14" t="str">
        <f>IFERROR(__xludf.DUMMYFUNCTION("""COMPUTED_VALUE"""),"Diya Arora")</f>
        <v>Diya Arora</v>
      </c>
      <c r="D577" s="14" t="str">
        <f>IFERROR(__xludf.DUMMYFUNCTION("""COMPUTED_VALUE"""),"Lower Parel")</f>
        <v>Lower Parel</v>
      </c>
      <c r="E577" s="14" t="str">
        <f>IFERROR(__xludf.DUMMYFUNCTION("""COMPUTED_VALUE"""),"Icecream+5*Nithin Lal")</f>
        <v>Icecream+5*Nithin Lal</v>
      </c>
      <c r="F577" s="14">
        <f>IFERROR(__xludf.DUMMYFUNCTION("""COMPUTED_VALUE"""),3.0)</f>
        <v>3</v>
      </c>
      <c r="G577" s="14">
        <f>IFERROR(__xludf.DUMMYFUNCTION("""COMPUTED_VALUE"""),19.0)</f>
        <v>19</v>
      </c>
      <c r="H577" s="14">
        <f>IFERROR(__xludf.DUMMYFUNCTION("""COMPUTED_VALUE"""),2023.0)</f>
        <v>2023</v>
      </c>
      <c r="I577" s="14" t="str">
        <f>IFERROR(__xludf.DUMMYFUNCTION("""COMPUTED_VALUE"""),"Credit Card")</f>
        <v>Credit Card</v>
      </c>
      <c r="J577" s="14" t="str">
        <f>IFERROR(__xludf.DUMMYFUNCTION("""COMPUTED_VALUE"""),"Cancelled*Delayed Delivery:Incorrect Address or Location")</f>
        <v>Cancelled*Delayed Delivery:Incorrect Address or Location</v>
      </c>
      <c r="K577" s="14" t="str">
        <f>IFERROR(__xludf.DUMMYFUNCTION("split(E577,""+"")"),"Icecream")</f>
        <v>Icecream</v>
      </c>
      <c r="L577" s="14" t="str">
        <f>IFERROR(__xludf.DUMMYFUNCTION("""COMPUTED_VALUE"""),"5*Nithin Lal")</f>
        <v>5*Nithin Lal</v>
      </c>
      <c r="M577" s="14">
        <f>IFERROR(__xludf.DUMMYFUNCTION("SPLIT(L577,""*"")"),5.0)</f>
        <v>5</v>
      </c>
      <c r="N577" s="14" t="str">
        <f>IFERROR(__xludf.DUMMYFUNCTION("""COMPUTED_VALUE"""),"Nithin Lal")</f>
        <v>Nithin Lal</v>
      </c>
      <c r="O577" s="14" t="str">
        <f>IFERROR(__xludf.DUMMYFUNCTION("split(J577,""*"")"),"Cancelled")</f>
        <v>Cancelled</v>
      </c>
      <c r="P577" s="14" t="str">
        <f>IFERROR(__xludf.DUMMYFUNCTION("""COMPUTED_VALUE"""),"Delayed Delivery:Incorrect Address or Location")</f>
        <v>Delayed Delivery:Incorrect Address or Location</v>
      </c>
      <c r="Q577" s="14" t="str">
        <f>IFERROR(__xludf.DUMMYFUNCTION("split(P577,"":"")"),"Delayed Delivery")</f>
        <v>Delayed Delivery</v>
      </c>
      <c r="R577" s="14" t="str">
        <f>IFERROR(__xludf.DUMMYFUNCTION("""COMPUTED_VALUE"""),"Incorrect Address or Location")</f>
        <v>Incorrect Address or Location</v>
      </c>
      <c r="S577" s="14" t="str">
        <f t="shared" ref="S577:U577" si="1157">trim(B577)</f>
        <v>ord_10568</v>
      </c>
      <c r="T577" s="14" t="str">
        <f t="shared" si="1157"/>
        <v>Diya Arora</v>
      </c>
      <c r="U577" s="14" t="str">
        <f t="shared" si="1157"/>
        <v>Lower Parel</v>
      </c>
      <c r="V577" s="14" t="str">
        <f t="shared" si="4"/>
        <v>Icecream</v>
      </c>
      <c r="W577" s="14">
        <f t="shared" si="5"/>
        <v>5</v>
      </c>
      <c r="X577" s="14" t="str">
        <f t="shared" si="6"/>
        <v>Nithin Lal</v>
      </c>
      <c r="Y577" s="15">
        <f t="shared" si="7"/>
        <v>45004</v>
      </c>
      <c r="Z577" s="14" t="str">
        <f t="shared" si="8"/>
        <v>Credit Card</v>
      </c>
      <c r="AA577" s="14" t="str">
        <f t="shared" si="9"/>
        <v>Cancelled</v>
      </c>
      <c r="AB577" s="14" t="str">
        <f t="shared" ref="AB577:AC577" si="1158">trim(Q577)</f>
        <v>Delayed Delivery</v>
      </c>
      <c r="AC577" s="14" t="str">
        <f t="shared" si="1158"/>
        <v>Incorrect Address or Location</v>
      </c>
      <c r="AD577" s="8"/>
    </row>
    <row r="578">
      <c r="A578" s="14" t="str">
        <f>IFERROR(__xludf.DUMMYFUNCTION("""COMPUTED_VALUE"""),"//ord_10569//Pranav Joshi//Andheri//Orange+1*Rohan Yadav/8/15/2023//Credit Card//Delivered*Customer Service: Seamless and easy")</f>
        <v>//ord_10569//Pranav Joshi//Andheri//Orange+1*Rohan Yadav/8/15/2023//Credit Card//Delivered*Customer Service: Seamless and easy</v>
      </c>
      <c r="B578" s="14" t="str">
        <f>IFERROR(__xludf.DUMMYFUNCTION("split(A578,""//"")"),"ord_10569")</f>
        <v>ord_10569</v>
      </c>
      <c r="C578" s="14" t="str">
        <f>IFERROR(__xludf.DUMMYFUNCTION("""COMPUTED_VALUE"""),"Pranav Joshi")</f>
        <v>Pranav Joshi</v>
      </c>
      <c r="D578" s="14" t="str">
        <f>IFERROR(__xludf.DUMMYFUNCTION("""COMPUTED_VALUE"""),"Andheri")</f>
        <v>Andheri</v>
      </c>
      <c r="E578" s="14" t="str">
        <f>IFERROR(__xludf.DUMMYFUNCTION("""COMPUTED_VALUE"""),"Orange+1*Rohan Yadav")</f>
        <v>Orange+1*Rohan Yadav</v>
      </c>
      <c r="F578" s="14">
        <f>IFERROR(__xludf.DUMMYFUNCTION("""COMPUTED_VALUE"""),8.0)</f>
        <v>8</v>
      </c>
      <c r="G578" s="14">
        <f>IFERROR(__xludf.DUMMYFUNCTION("""COMPUTED_VALUE"""),15.0)</f>
        <v>15</v>
      </c>
      <c r="H578" s="14">
        <f>IFERROR(__xludf.DUMMYFUNCTION("""COMPUTED_VALUE"""),2023.0)</f>
        <v>2023</v>
      </c>
      <c r="I578" s="14" t="str">
        <f>IFERROR(__xludf.DUMMYFUNCTION("""COMPUTED_VALUE"""),"Credit Card")</f>
        <v>Credit Card</v>
      </c>
      <c r="J578" s="14" t="str">
        <f>IFERROR(__xludf.DUMMYFUNCTION("""COMPUTED_VALUE"""),"Delivered*Customer Service: Seamless and easy")</f>
        <v>Delivered*Customer Service: Seamless and easy</v>
      </c>
      <c r="K578" s="14" t="str">
        <f>IFERROR(__xludf.DUMMYFUNCTION("split(E578,""+"")"),"Orange")</f>
        <v>Orange</v>
      </c>
      <c r="L578" s="14" t="str">
        <f>IFERROR(__xludf.DUMMYFUNCTION("""COMPUTED_VALUE"""),"1*Rohan Yadav")</f>
        <v>1*Rohan Yadav</v>
      </c>
      <c r="M578" s="14">
        <f>IFERROR(__xludf.DUMMYFUNCTION("SPLIT(L578,""*"")"),1.0)</f>
        <v>1</v>
      </c>
      <c r="N578" s="14" t="str">
        <f>IFERROR(__xludf.DUMMYFUNCTION("""COMPUTED_VALUE"""),"Rohan Yadav")</f>
        <v>Rohan Yadav</v>
      </c>
      <c r="O578" s="14" t="str">
        <f>IFERROR(__xludf.DUMMYFUNCTION("split(J578,""*"")"),"Delivered")</f>
        <v>Delivered</v>
      </c>
      <c r="P578" s="14" t="str">
        <f>IFERROR(__xludf.DUMMYFUNCTION("""COMPUTED_VALUE"""),"Customer Service: Seamless and easy")</f>
        <v>Customer Service: Seamless and easy</v>
      </c>
      <c r="Q578" s="14" t="str">
        <f>IFERROR(__xludf.DUMMYFUNCTION("split(P578,"":"")"),"Customer Service")</f>
        <v>Customer Service</v>
      </c>
      <c r="R578" s="14" t="str">
        <f>IFERROR(__xludf.DUMMYFUNCTION("""COMPUTED_VALUE""")," Seamless and easy")</f>
        <v> Seamless and easy</v>
      </c>
      <c r="S578" s="14" t="str">
        <f t="shared" ref="S578:U578" si="1159">trim(B578)</f>
        <v>ord_10569</v>
      </c>
      <c r="T578" s="14" t="str">
        <f t="shared" si="1159"/>
        <v>Pranav Joshi</v>
      </c>
      <c r="U578" s="14" t="str">
        <f t="shared" si="1159"/>
        <v>Andheri</v>
      </c>
      <c r="V578" s="14" t="str">
        <f t="shared" si="4"/>
        <v>Orange</v>
      </c>
      <c r="W578" s="14">
        <f t="shared" si="5"/>
        <v>1</v>
      </c>
      <c r="X578" s="14" t="str">
        <f t="shared" si="6"/>
        <v>Rohan Yadav</v>
      </c>
      <c r="Y578" s="15">
        <f t="shared" si="7"/>
        <v>45153</v>
      </c>
      <c r="Z578" s="14" t="str">
        <f t="shared" si="8"/>
        <v>Credit Card</v>
      </c>
      <c r="AA578" s="14" t="str">
        <f t="shared" si="9"/>
        <v>Delivered</v>
      </c>
      <c r="AB578" s="14" t="str">
        <f t="shared" ref="AB578:AC578" si="1160">trim(Q578)</f>
        <v>Customer Service</v>
      </c>
      <c r="AC578" s="14" t="str">
        <f t="shared" si="1160"/>
        <v>Seamless and easy</v>
      </c>
      <c r="AD578" s="8"/>
    </row>
    <row r="579">
      <c r="A579" s="14" t="str">
        <f>IFERROR(__xludf.DUMMYFUNCTION("""COMPUTED_VALUE"""),"//ord_10570//Aditi Iyer//Dadar//Onion+1*Aman Kumar/11/29/2023//UPI//Delivered*Delivery Experience: Quick and professional")</f>
        <v>//ord_10570//Aditi Iyer//Dadar//Onion+1*Aman Kumar/11/29/2023//UPI//Delivered*Delivery Experience: Quick and professional</v>
      </c>
      <c r="B579" s="14" t="str">
        <f>IFERROR(__xludf.DUMMYFUNCTION("split(A579,""//"")"),"ord_10570")</f>
        <v>ord_10570</v>
      </c>
      <c r="C579" s="14" t="str">
        <f>IFERROR(__xludf.DUMMYFUNCTION("""COMPUTED_VALUE"""),"Aditi Iyer")</f>
        <v>Aditi Iyer</v>
      </c>
      <c r="D579" s="14" t="str">
        <f>IFERROR(__xludf.DUMMYFUNCTION("""COMPUTED_VALUE"""),"Dadar")</f>
        <v>Dadar</v>
      </c>
      <c r="E579" s="14" t="str">
        <f>IFERROR(__xludf.DUMMYFUNCTION("""COMPUTED_VALUE"""),"Onion+1*Aman Kumar")</f>
        <v>Onion+1*Aman Kumar</v>
      </c>
      <c r="F579" s="14">
        <f>IFERROR(__xludf.DUMMYFUNCTION("""COMPUTED_VALUE"""),11.0)</f>
        <v>11</v>
      </c>
      <c r="G579" s="14">
        <f>IFERROR(__xludf.DUMMYFUNCTION("""COMPUTED_VALUE"""),29.0)</f>
        <v>29</v>
      </c>
      <c r="H579" s="14">
        <f>IFERROR(__xludf.DUMMYFUNCTION("""COMPUTED_VALUE"""),2023.0)</f>
        <v>2023</v>
      </c>
      <c r="I579" s="14" t="str">
        <f>IFERROR(__xludf.DUMMYFUNCTION("""COMPUTED_VALUE"""),"UPI")</f>
        <v>UPI</v>
      </c>
      <c r="J579" s="14" t="str">
        <f>IFERROR(__xludf.DUMMYFUNCTION("""COMPUTED_VALUE"""),"Delivered*Delivery Experience: Quick and professional")</f>
        <v>Delivered*Delivery Experience: Quick and professional</v>
      </c>
      <c r="K579" s="14" t="str">
        <f>IFERROR(__xludf.DUMMYFUNCTION("split(E579,""+"")"),"Onion")</f>
        <v>Onion</v>
      </c>
      <c r="L579" s="14" t="str">
        <f>IFERROR(__xludf.DUMMYFUNCTION("""COMPUTED_VALUE"""),"1*Aman Kumar")</f>
        <v>1*Aman Kumar</v>
      </c>
      <c r="M579" s="14">
        <f>IFERROR(__xludf.DUMMYFUNCTION("SPLIT(L579,""*"")"),1.0)</f>
        <v>1</v>
      </c>
      <c r="N579" s="14" t="str">
        <f>IFERROR(__xludf.DUMMYFUNCTION("""COMPUTED_VALUE"""),"Aman Kumar")</f>
        <v>Aman Kumar</v>
      </c>
      <c r="O579" s="14" t="str">
        <f>IFERROR(__xludf.DUMMYFUNCTION("split(J579,""*"")"),"Delivered")</f>
        <v>Delivered</v>
      </c>
      <c r="P579" s="14" t="str">
        <f>IFERROR(__xludf.DUMMYFUNCTION("""COMPUTED_VALUE"""),"Delivery Experience: Quick and professional")</f>
        <v>Delivery Experience: Quick and professional</v>
      </c>
      <c r="Q579" s="14" t="str">
        <f>IFERROR(__xludf.DUMMYFUNCTION("split(P579,"":"")"),"Delivery Experience")</f>
        <v>Delivery Experience</v>
      </c>
      <c r="R579" s="14" t="str">
        <f>IFERROR(__xludf.DUMMYFUNCTION("""COMPUTED_VALUE""")," Quick and professional")</f>
        <v> Quick and professional</v>
      </c>
      <c r="S579" s="14" t="str">
        <f t="shared" ref="S579:U579" si="1161">trim(B579)</f>
        <v>ord_10570</v>
      </c>
      <c r="T579" s="14" t="str">
        <f t="shared" si="1161"/>
        <v>Aditi Iyer</v>
      </c>
      <c r="U579" s="14" t="str">
        <f t="shared" si="1161"/>
        <v>Dadar</v>
      </c>
      <c r="V579" s="14" t="str">
        <f t="shared" si="4"/>
        <v>Onion</v>
      </c>
      <c r="W579" s="14">
        <f t="shared" si="5"/>
        <v>1</v>
      </c>
      <c r="X579" s="14" t="str">
        <f t="shared" si="6"/>
        <v>Aman Kumar</v>
      </c>
      <c r="Y579" s="15">
        <f t="shared" si="7"/>
        <v>45259</v>
      </c>
      <c r="Z579" s="14" t="str">
        <f t="shared" si="8"/>
        <v>UPI</v>
      </c>
      <c r="AA579" s="14" t="str">
        <f t="shared" si="9"/>
        <v>Delivered</v>
      </c>
      <c r="AB579" s="14" t="str">
        <f t="shared" ref="AB579:AC579" si="1162">trim(Q579)</f>
        <v>Delivery Experience</v>
      </c>
      <c r="AC579" s="14" t="str">
        <f t="shared" si="1162"/>
        <v>Quick and professional</v>
      </c>
      <c r="AD579" s="8"/>
    </row>
    <row r="580">
      <c r="A580" s="14" t="str">
        <f>IFERROR(__xludf.DUMMYFUNCTION("""COMPUTED_VALUE"""),"//ord_10571//Pranav Joshi//Andheri//Apple+1*Rohan Yadav/2/27/2023//Credit Card//Delivered*Convenience: Easy tracking")</f>
        <v>//ord_10571//Pranav Joshi//Andheri//Apple+1*Rohan Yadav/2/27/2023//Credit Card//Delivered*Convenience: Easy tracking</v>
      </c>
      <c r="B580" s="14" t="str">
        <f>IFERROR(__xludf.DUMMYFUNCTION("split(A580,""//"")"),"ord_10571")</f>
        <v>ord_10571</v>
      </c>
      <c r="C580" s="14" t="str">
        <f>IFERROR(__xludf.DUMMYFUNCTION("""COMPUTED_VALUE"""),"Pranav Joshi")</f>
        <v>Pranav Joshi</v>
      </c>
      <c r="D580" s="14" t="str">
        <f>IFERROR(__xludf.DUMMYFUNCTION("""COMPUTED_VALUE"""),"Andheri")</f>
        <v>Andheri</v>
      </c>
      <c r="E580" s="14" t="str">
        <f>IFERROR(__xludf.DUMMYFUNCTION("""COMPUTED_VALUE"""),"Apple+1*Rohan Yadav")</f>
        <v>Apple+1*Rohan Yadav</v>
      </c>
      <c r="F580" s="14">
        <f>IFERROR(__xludf.DUMMYFUNCTION("""COMPUTED_VALUE"""),2.0)</f>
        <v>2</v>
      </c>
      <c r="G580" s="14">
        <f>IFERROR(__xludf.DUMMYFUNCTION("""COMPUTED_VALUE"""),27.0)</f>
        <v>27</v>
      </c>
      <c r="H580" s="14">
        <f>IFERROR(__xludf.DUMMYFUNCTION("""COMPUTED_VALUE"""),2023.0)</f>
        <v>2023</v>
      </c>
      <c r="I580" s="14" t="str">
        <f>IFERROR(__xludf.DUMMYFUNCTION("""COMPUTED_VALUE"""),"Credit Card")</f>
        <v>Credit Card</v>
      </c>
      <c r="J580" s="14" t="str">
        <f>IFERROR(__xludf.DUMMYFUNCTION("""COMPUTED_VALUE"""),"Delivered*Convenience: Easy tracking")</f>
        <v>Delivered*Convenience: Easy tracking</v>
      </c>
      <c r="K580" s="14" t="str">
        <f>IFERROR(__xludf.DUMMYFUNCTION("split(E580,""+"")"),"Apple")</f>
        <v>Apple</v>
      </c>
      <c r="L580" s="14" t="str">
        <f>IFERROR(__xludf.DUMMYFUNCTION("""COMPUTED_VALUE"""),"1*Rohan Yadav")</f>
        <v>1*Rohan Yadav</v>
      </c>
      <c r="M580" s="14">
        <f>IFERROR(__xludf.DUMMYFUNCTION("SPLIT(L580,""*"")"),1.0)</f>
        <v>1</v>
      </c>
      <c r="N580" s="14" t="str">
        <f>IFERROR(__xludf.DUMMYFUNCTION("""COMPUTED_VALUE"""),"Rohan Yadav")</f>
        <v>Rohan Yadav</v>
      </c>
      <c r="O580" s="14" t="str">
        <f>IFERROR(__xludf.DUMMYFUNCTION("split(J580,""*"")"),"Delivered")</f>
        <v>Delivered</v>
      </c>
      <c r="P580" s="14" t="str">
        <f>IFERROR(__xludf.DUMMYFUNCTION("""COMPUTED_VALUE"""),"Convenience: Easy tracking")</f>
        <v>Convenience: Easy tracking</v>
      </c>
      <c r="Q580" s="14" t="str">
        <f>IFERROR(__xludf.DUMMYFUNCTION("split(P580,"":"")"),"Convenience")</f>
        <v>Convenience</v>
      </c>
      <c r="R580" s="14" t="str">
        <f>IFERROR(__xludf.DUMMYFUNCTION("""COMPUTED_VALUE""")," Easy tracking")</f>
        <v> Easy tracking</v>
      </c>
      <c r="S580" s="14" t="str">
        <f t="shared" ref="S580:U580" si="1163">trim(B580)</f>
        <v>ord_10571</v>
      </c>
      <c r="T580" s="14" t="str">
        <f t="shared" si="1163"/>
        <v>Pranav Joshi</v>
      </c>
      <c r="U580" s="14" t="str">
        <f t="shared" si="1163"/>
        <v>Andheri</v>
      </c>
      <c r="V580" s="14" t="str">
        <f t="shared" si="4"/>
        <v>Apple</v>
      </c>
      <c r="W580" s="14">
        <f t="shared" si="5"/>
        <v>1</v>
      </c>
      <c r="X580" s="14" t="str">
        <f t="shared" si="6"/>
        <v>Rohan Yadav</v>
      </c>
      <c r="Y580" s="15">
        <f t="shared" si="7"/>
        <v>44984</v>
      </c>
      <c r="Z580" s="14" t="str">
        <f t="shared" si="8"/>
        <v>Credit Card</v>
      </c>
      <c r="AA580" s="14" t="str">
        <f t="shared" si="9"/>
        <v>Delivered</v>
      </c>
      <c r="AB580" s="14" t="str">
        <f t="shared" ref="AB580:AC580" si="1164">trim(Q580)</f>
        <v>Convenience</v>
      </c>
      <c r="AC580" s="14" t="str">
        <f t="shared" si="1164"/>
        <v>Easy tracking</v>
      </c>
      <c r="AD580" s="8"/>
    </row>
    <row r="581">
      <c r="A581" s="14" t="str">
        <f>IFERROR(__xludf.DUMMYFUNCTION("""COMPUTED_VALUE"""),"//ord_10572//Ishita Banerjee//Juhu//Cold Coffee+2*Tanvi Jain/8/27/2023//UPI//Delivered*Overall Satisfaction: Great service will order again")</f>
        <v>//ord_10572//Ishita Banerjee//Juhu//Cold Coffee+2*Tanvi Jain/8/27/2023//UPI//Delivered*Overall Satisfaction: Great service will order again</v>
      </c>
      <c r="B581" s="14" t="str">
        <f>IFERROR(__xludf.DUMMYFUNCTION("split(A581,""//"")"),"ord_10572")</f>
        <v>ord_10572</v>
      </c>
      <c r="C581" s="14" t="str">
        <f>IFERROR(__xludf.DUMMYFUNCTION("""COMPUTED_VALUE"""),"Ishita Banerjee")</f>
        <v>Ishita Banerjee</v>
      </c>
      <c r="D581" s="14" t="str">
        <f>IFERROR(__xludf.DUMMYFUNCTION("""COMPUTED_VALUE"""),"Juhu")</f>
        <v>Juhu</v>
      </c>
      <c r="E581" s="14" t="str">
        <f>IFERROR(__xludf.DUMMYFUNCTION("""COMPUTED_VALUE"""),"Cold Coffee+2*Tanvi Jain")</f>
        <v>Cold Coffee+2*Tanvi Jain</v>
      </c>
      <c r="F581" s="14">
        <f>IFERROR(__xludf.DUMMYFUNCTION("""COMPUTED_VALUE"""),8.0)</f>
        <v>8</v>
      </c>
      <c r="G581" s="14">
        <f>IFERROR(__xludf.DUMMYFUNCTION("""COMPUTED_VALUE"""),27.0)</f>
        <v>27</v>
      </c>
      <c r="H581" s="14">
        <f>IFERROR(__xludf.DUMMYFUNCTION("""COMPUTED_VALUE"""),2023.0)</f>
        <v>2023</v>
      </c>
      <c r="I581" s="14" t="str">
        <f>IFERROR(__xludf.DUMMYFUNCTION("""COMPUTED_VALUE"""),"UPI")</f>
        <v>UPI</v>
      </c>
      <c r="J581" s="14" t="str">
        <f>IFERROR(__xludf.DUMMYFUNCTION("""COMPUTED_VALUE"""),"Delivered*Overall Satisfaction: Great service will order again")</f>
        <v>Delivered*Overall Satisfaction: Great service will order again</v>
      </c>
      <c r="K581" s="14" t="str">
        <f>IFERROR(__xludf.DUMMYFUNCTION("split(E581,""+"")"),"Cold Coffee")</f>
        <v>Cold Coffee</v>
      </c>
      <c r="L581" s="14" t="str">
        <f>IFERROR(__xludf.DUMMYFUNCTION("""COMPUTED_VALUE"""),"2*Tanvi Jain")</f>
        <v>2*Tanvi Jain</v>
      </c>
      <c r="M581" s="14">
        <f>IFERROR(__xludf.DUMMYFUNCTION("SPLIT(L581,""*"")"),2.0)</f>
        <v>2</v>
      </c>
      <c r="N581" s="14" t="str">
        <f>IFERROR(__xludf.DUMMYFUNCTION("""COMPUTED_VALUE"""),"Tanvi Jain")</f>
        <v>Tanvi Jain</v>
      </c>
      <c r="O581" s="14" t="str">
        <f>IFERROR(__xludf.DUMMYFUNCTION("split(J581,""*"")"),"Delivered")</f>
        <v>Delivered</v>
      </c>
      <c r="P581" s="14" t="str">
        <f>IFERROR(__xludf.DUMMYFUNCTION("""COMPUTED_VALUE"""),"Overall Satisfaction: Great service will order again")</f>
        <v>Overall Satisfaction: Great service will order again</v>
      </c>
      <c r="Q581" s="14" t="str">
        <f>IFERROR(__xludf.DUMMYFUNCTION("split(P581,"":"")"),"Overall Satisfaction")</f>
        <v>Overall Satisfaction</v>
      </c>
      <c r="R581" s="14" t="str">
        <f>IFERROR(__xludf.DUMMYFUNCTION("""COMPUTED_VALUE""")," Great service will order again")</f>
        <v> Great service will order again</v>
      </c>
      <c r="S581" s="14" t="str">
        <f t="shared" ref="S581:U581" si="1165">trim(B581)</f>
        <v>ord_10572</v>
      </c>
      <c r="T581" s="14" t="str">
        <f t="shared" si="1165"/>
        <v>Ishita Banerjee</v>
      </c>
      <c r="U581" s="14" t="str">
        <f t="shared" si="1165"/>
        <v>Juhu</v>
      </c>
      <c r="V581" s="14" t="str">
        <f t="shared" si="4"/>
        <v>Cold Coffee</v>
      </c>
      <c r="W581" s="14">
        <f t="shared" si="5"/>
        <v>2</v>
      </c>
      <c r="X581" s="14" t="str">
        <f t="shared" si="6"/>
        <v>Tanvi Jain</v>
      </c>
      <c r="Y581" s="15">
        <f t="shared" si="7"/>
        <v>45165</v>
      </c>
      <c r="Z581" s="14" t="str">
        <f t="shared" si="8"/>
        <v>UPI</v>
      </c>
      <c r="AA581" s="14" t="str">
        <f t="shared" si="9"/>
        <v>Delivered</v>
      </c>
      <c r="AB581" s="14" t="str">
        <f t="shared" ref="AB581:AC581" si="1166">trim(Q581)</f>
        <v>Overall Satisfaction</v>
      </c>
      <c r="AC581" s="14" t="str">
        <f t="shared" si="1166"/>
        <v>Great service will order again</v>
      </c>
      <c r="AD581" s="8"/>
    </row>
    <row r="582">
      <c r="A582" s="14" t="str">
        <f>IFERROR(__xludf.DUMMYFUNCTION("""COMPUTED_VALUE"""),"//ord_10573//Sakshi Tandon//Colaba//Juice+3*Nikhil Deshmukh/12/14/2023//COD//Delivered*On-time Delivery: Delivered on time")</f>
        <v>//ord_10573//Sakshi Tandon//Colaba//Juice+3*Nikhil Deshmukh/12/14/2023//COD//Delivered*On-time Delivery: Delivered on time</v>
      </c>
      <c r="B582" s="14" t="str">
        <f>IFERROR(__xludf.DUMMYFUNCTION("split(A582,""//"")"),"ord_10573")</f>
        <v>ord_10573</v>
      </c>
      <c r="C582" s="14" t="str">
        <f>IFERROR(__xludf.DUMMYFUNCTION("""COMPUTED_VALUE"""),"Sakshi Tandon")</f>
        <v>Sakshi Tandon</v>
      </c>
      <c r="D582" s="14" t="str">
        <f>IFERROR(__xludf.DUMMYFUNCTION("""COMPUTED_VALUE"""),"Colaba")</f>
        <v>Colaba</v>
      </c>
      <c r="E582" s="14" t="str">
        <f>IFERROR(__xludf.DUMMYFUNCTION("""COMPUTED_VALUE"""),"Juice+3*Nikhil Deshmukh")</f>
        <v>Juice+3*Nikhil Deshmukh</v>
      </c>
      <c r="F582" s="14">
        <f>IFERROR(__xludf.DUMMYFUNCTION("""COMPUTED_VALUE"""),12.0)</f>
        <v>12</v>
      </c>
      <c r="G582" s="14">
        <f>IFERROR(__xludf.DUMMYFUNCTION("""COMPUTED_VALUE"""),14.0)</f>
        <v>14</v>
      </c>
      <c r="H582" s="14">
        <f>IFERROR(__xludf.DUMMYFUNCTION("""COMPUTED_VALUE"""),2023.0)</f>
        <v>2023</v>
      </c>
      <c r="I582" s="14" t="str">
        <f>IFERROR(__xludf.DUMMYFUNCTION("""COMPUTED_VALUE"""),"COD")</f>
        <v>COD</v>
      </c>
      <c r="J582" s="14" t="str">
        <f>IFERROR(__xludf.DUMMYFUNCTION("""COMPUTED_VALUE"""),"Delivered*On-time Delivery: Delivered on time")</f>
        <v>Delivered*On-time Delivery: Delivered on time</v>
      </c>
      <c r="K582" s="14" t="str">
        <f>IFERROR(__xludf.DUMMYFUNCTION("split(E582,""+"")"),"Juice")</f>
        <v>Juice</v>
      </c>
      <c r="L582" s="14" t="str">
        <f>IFERROR(__xludf.DUMMYFUNCTION("""COMPUTED_VALUE"""),"3*Nikhil Deshmukh")</f>
        <v>3*Nikhil Deshmukh</v>
      </c>
      <c r="M582" s="14">
        <f>IFERROR(__xludf.DUMMYFUNCTION("SPLIT(L582,""*"")"),3.0)</f>
        <v>3</v>
      </c>
      <c r="N582" s="14" t="str">
        <f>IFERROR(__xludf.DUMMYFUNCTION("""COMPUTED_VALUE"""),"Nikhil Deshmukh")</f>
        <v>Nikhil Deshmukh</v>
      </c>
      <c r="O582" s="14" t="str">
        <f>IFERROR(__xludf.DUMMYFUNCTION("split(J582,""*"")"),"Delivered")</f>
        <v>Delivered</v>
      </c>
      <c r="P582" s="14" t="str">
        <f>IFERROR(__xludf.DUMMYFUNCTION("""COMPUTED_VALUE"""),"On-time Delivery: Delivered on time")</f>
        <v>On-time Delivery: Delivered on time</v>
      </c>
      <c r="Q582" s="14" t="str">
        <f>IFERROR(__xludf.DUMMYFUNCTION("split(P582,"":"")"),"On-time Delivery")</f>
        <v>On-time Delivery</v>
      </c>
      <c r="R582" s="14" t="str">
        <f>IFERROR(__xludf.DUMMYFUNCTION("""COMPUTED_VALUE""")," Delivered on time")</f>
        <v> Delivered on time</v>
      </c>
      <c r="S582" s="14" t="str">
        <f t="shared" ref="S582:U582" si="1167">trim(B582)</f>
        <v>ord_10573</v>
      </c>
      <c r="T582" s="14" t="str">
        <f t="shared" si="1167"/>
        <v>Sakshi Tandon</v>
      </c>
      <c r="U582" s="14" t="str">
        <f t="shared" si="1167"/>
        <v>Colaba</v>
      </c>
      <c r="V582" s="14" t="str">
        <f t="shared" si="4"/>
        <v>Juice</v>
      </c>
      <c r="W582" s="14">
        <f t="shared" si="5"/>
        <v>3</v>
      </c>
      <c r="X582" s="14" t="str">
        <f t="shared" si="6"/>
        <v>Nikhil Deshmukh</v>
      </c>
      <c r="Y582" s="15">
        <f t="shared" si="7"/>
        <v>45274</v>
      </c>
      <c r="Z582" s="14" t="str">
        <f t="shared" si="8"/>
        <v>COD</v>
      </c>
      <c r="AA582" s="14" t="str">
        <f t="shared" si="9"/>
        <v>Delivered</v>
      </c>
      <c r="AB582" s="14" t="str">
        <f t="shared" ref="AB582:AC582" si="1168">trim(Q582)</f>
        <v>On-time Delivery</v>
      </c>
      <c r="AC582" s="14" t="str">
        <f t="shared" si="1168"/>
        <v>Delivered on time</v>
      </c>
      <c r="AD582" s="8"/>
    </row>
    <row r="583">
      <c r="A583" s="14" t="str">
        <f>IFERROR(__xludf.DUMMYFUNCTION("""COMPUTED_VALUE"""),"//ord_10574//Ishita Banerjee//Juhu//Tiramisu+5*Tanvi Jain/5/26/2023//Credit Card//Delivered*Quality of Items: Perfect condition")</f>
        <v>//ord_10574//Ishita Banerjee//Juhu//Tiramisu+5*Tanvi Jain/5/26/2023//Credit Card//Delivered*Quality of Items: Perfect condition</v>
      </c>
      <c r="B583" s="14" t="str">
        <f>IFERROR(__xludf.DUMMYFUNCTION("split(A583,""//"")"),"ord_10574")</f>
        <v>ord_10574</v>
      </c>
      <c r="C583" s="14" t="str">
        <f>IFERROR(__xludf.DUMMYFUNCTION("""COMPUTED_VALUE"""),"Ishita Banerjee")</f>
        <v>Ishita Banerjee</v>
      </c>
      <c r="D583" s="14" t="str">
        <f>IFERROR(__xludf.DUMMYFUNCTION("""COMPUTED_VALUE"""),"Juhu")</f>
        <v>Juhu</v>
      </c>
      <c r="E583" s="14" t="str">
        <f>IFERROR(__xludf.DUMMYFUNCTION("""COMPUTED_VALUE"""),"Tiramisu+5*Tanvi Jain")</f>
        <v>Tiramisu+5*Tanvi Jain</v>
      </c>
      <c r="F583" s="14">
        <f>IFERROR(__xludf.DUMMYFUNCTION("""COMPUTED_VALUE"""),5.0)</f>
        <v>5</v>
      </c>
      <c r="G583" s="14">
        <f>IFERROR(__xludf.DUMMYFUNCTION("""COMPUTED_VALUE"""),26.0)</f>
        <v>26</v>
      </c>
      <c r="H583" s="14">
        <f>IFERROR(__xludf.DUMMYFUNCTION("""COMPUTED_VALUE"""),2023.0)</f>
        <v>2023</v>
      </c>
      <c r="I583" s="14" t="str">
        <f>IFERROR(__xludf.DUMMYFUNCTION("""COMPUTED_VALUE"""),"Credit Card")</f>
        <v>Credit Card</v>
      </c>
      <c r="J583" s="14" t="str">
        <f>IFERROR(__xludf.DUMMYFUNCTION("""COMPUTED_VALUE"""),"Delivered*Quality of Items: Perfect condition")</f>
        <v>Delivered*Quality of Items: Perfect condition</v>
      </c>
      <c r="K583" s="14" t="str">
        <f>IFERROR(__xludf.DUMMYFUNCTION("split(E583,""+"")"),"Tiramisu")</f>
        <v>Tiramisu</v>
      </c>
      <c r="L583" s="14" t="str">
        <f>IFERROR(__xludf.DUMMYFUNCTION("""COMPUTED_VALUE"""),"5*Tanvi Jain")</f>
        <v>5*Tanvi Jain</v>
      </c>
      <c r="M583" s="14">
        <f>IFERROR(__xludf.DUMMYFUNCTION("SPLIT(L583,""*"")"),5.0)</f>
        <v>5</v>
      </c>
      <c r="N583" s="14" t="str">
        <f>IFERROR(__xludf.DUMMYFUNCTION("""COMPUTED_VALUE"""),"Tanvi Jain")</f>
        <v>Tanvi Jain</v>
      </c>
      <c r="O583" s="14" t="str">
        <f>IFERROR(__xludf.DUMMYFUNCTION("split(J583,""*"")"),"Delivered")</f>
        <v>Delivered</v>
      </c>
      <c r="P583" s="14" t="str">
        <f>IFERROR(__xludf.DUMMYFUNCTION("""COMPUTED_VALUE"""),"Quality of Items: Perfect condition")</f>
        <v>Quality of Items: Perfect condition</v>
      </c>
      <c r="Q583" s="14" t="str">
        <f>IFERROR(__xludf.DUMMYFUNCTION("split(P583,"":"")"),"Quality of Items")</f>
        <v>Quality of Items</v>
      </c>
      <c r="R583" s="14" t="str">
        <f>IFERROR(__xludf.DUMMYFUNCTION("""COMPUTED_VALUE""")," Perfect condition")</f>
        <v> Perfect condition</v>
      </c>
      <c r="S583" s="14" t="str">
        <f t="shared" ref="S583:U583" si="1169">trim(B583)</f>
        <v>ord_10574</v>
      </c>
      <c r="T583" s="14" t="str">
        <f t="shared" si="1169"/>
        <v>Ishita Banerjee</v>
      </c>
      <c r="U583" s="14" t="str">
        <f t="shared" si="1169"/>
        <v>Juhu</v>
      </c>
      <c r="V583" s="14" t="str">
        <f t="shared" si="4"/>
        <v>Tiramisu</v>
      </c>
      <c r="W583" s="14">
        <f t="shared" si="5"/>
        <v>5</v>
      </c>
      <c r="X583" s="14" t="str">
        <f t="shared" si="6"/>
        <v>Tanvi Jain</v>
      </c>
      <c r="Y583" s="15">
        <f t="shared" si="7"/>
        <v>45072</v>
      </c>
      <c r="Z583" s="14" t="str">
        <f t="shared" si="8"/>
        <v>Credit Card</v>
      </c>
      <c r="AA583" s="14" t="str">
        <f t="shared" si="9"/>
        <v>Delivered</v>
      </c>
      <c r="AB583" s="14" t="str">
        <f t="shared" ref="AB583:AC583" si="1170">trim(Q583)</f>
        <v>Quality of Items</v>
      </c>
      <c r="AC583" s="14" t="str">
        <f t="shared" si="1170"/>
        <v>Perfect condition</v>
      </c>
      <c r="AD583" s="8"/>
    </row>
    <row r="584">
      <c r="A584" s="14" t="str">
        <f>IFERROR(__xludf.DUMMYFUNCTION("""COMPUTED_VALUE"""),"//ord_10575//Anaya Rao//Colaba//Banana+1*Not Assigned/12/18/2023//Credit Card//Cancelled*High Delivery Fees")</f>
        <v>//ord_10575//Anaya Rao//Colaba//Banana+1*Not Assigned/12/18/2023//Credit Card//Cancelled*High Delivery Fees</v>
      </c>
      <c r="B584" s="14" t="str">
        <f>IFERROR(__xludf.DUMMYFUNCTION("split(A584,""//"")"),"ord_10575")</f>
        <v>ord_10575</v>
      </c>
      <c r="C584" s="14" t="str">
        <f>IFERROR(__xludf.DUMMYFUNCTION("""COMPUTED_VALUE"""),"Anaya Rao")</f>
        <v>Anaya Rao</v>
      </c>
      <c r="D584" s="14" t="str">
        <f>IFERROR(__xludf.DUMMYFUNCTION("""COMPUTED_VALUE"""),"Colaba")</f>
        <v>Colaba</v>
      </c>
      <c r="E584" s="14" t="str">
        <f>IFERROR(__xludf.DUMMYFUNCTION("""COMPUTED_VALUE"""),"Banana+1*Not Assigned")</f>
        <v>Banana+1*Not Assigned</v>
      </c>
      <c r="F584" s="14">
        <f>IFERROR(__xludf.DUMMYFUNCTION("""COMPUTED_VALUE"""),12.0)</f>
        <v>12</v>
      </c>
      <c r="G584" s="14">
        <f>IFERROR(__xludf.DUMMYFUNCTION("""COMPUTED_VALUE"""),18.0)</f>
        <v>18</v>
      </c>
      <c r="H584" s="14">
        <f>IFERROR(__xludf.DUMMYFUNCTION("""COMPUTED_VALUE"""),2023.0)</f>
        <v>2023</v>
      </c>
      <c r="I584" s="14" t="str">
        <f>IFERROR(__xludf.DUMMYFUNCTION("""COMPUTED_VALUE"""),"Credit Card")</f>
        <v>Credit Card</v>
      </c>
      <c r="J584" s="14" t="str">
        <f>IFERROR(__xludf.DUMMYFUNCTION("""COMPUTED_VALUE"""),"Cancelled*High Delivery Fees")</f>
        <v>Cancelled*High Delivery Fees</v>
      </c>
      <c r="K584" s="14" t="str">
        <f>IFERROR(__xludf.DUMMYFUNCTION("split(E584,""+"")"),"Banana")</f>
        <v>Banana</v>
      </c>
      <c r="L584" s="14" t="str">
        <f>IFERROR(__xludf.DUMMYFUNCTION("""COMPUTED_VALUE"""),"1*Not Assigned")</f>
        <v>1*Not Assigned</v>
      </c>
      <c r="M584" s="14">
        <f>IFERROR(__xludf.DUMMYFUNCTION("SPLIT(L584,""*"")"),1.0)</f>
        <v>1</v>
      </c>
      <c r="N584" s="14" t="str">
        <f>IFERROR(__xludf.DUMMYFUNCTION("""COMPUTED_VALUE"""),"Not Assigned")</f>
        <v>Not Assigned</v>
      </c>
      <c r="O584" s="14" t="str">
        <f>IFERROR(__xludf.DUMMYFUNCTION("split(J584,""*"")"),"Cancelled")</f>
        <v>Cancelled</v>
      </c>
      <c r="P584" s="14" t="str">
        <f>IFERROR(__xludf.DUMMYFUNCTION("""COMPUTED_VALUE"""),"High Delivery Fees")</f>
        <v>High Delivery Fees</v>
      </c>
      <c r="Q584" s="14" t="str">
        <f>IFERROR(__xludf.DUMMYFUNCTION("split(P584,"":"")"),"High Delivery Fees")</f>
        <v>High Delivery Fees</v>
      </c>
      <c r="R584" s="14"/>
      <c r="S584" s="14" t="str">
        <f t="shared" ref="S584:U584" si="1171">trim(B584)</f>
        <v>ord_10575</v>
      </c>
      <c r="T584" s="14" t="str">
        <f t="shared" si="1171"/>
        <v>Anaya Rao</v>
      </c>
      <c r="U584" s="14" t="str">
        <f t="shared" si="1171"/>
        <v>Colaba</v>
      </c>
      <c r="V584" s="14" t="str">
        <f t="shared" si="4"/>
        <v>Banana</v>
      </c>
      <c r="W584" s="14">
        <f t="shared" si="5"/>
        <v>1</v>
      </c>
      <c r="X584" s="14" t="str">
        <f t="shared" si="6"/>
        <v>Not Assigned</v>
      </c>
      <c r="Y584" s="15">
        <f t="shared" si="7"/>
        <v>45278</v>
      </c>
      <c r="Z584" s="14" t="str">
        <f t="shared" si="8"/>
        <v>Credit Card</v>
      </c>
      <c r="AA584" s="14" t="str">
        <f t="shared" si="9"/>
        <v>Cancelled</v>
      </c>
      <c r="AB584" s="14" t="str">
        <f t="shared" ref="AB584:AC584" si="1172">trim(Q584)</f>
        <v>High Delivery Fees</v>
      </c>
      <c r="AC584" s="14" t="str">
        <f t="shared" si="1172"/>
        <v/>
      </c>
      <c r="AD584" s="8"/>
    </row>
    <row r="585">
      <c r="A585" s="14" t="str">
        <f>IFERROR(__xludf.DUMMYFUNCTION("""COMPUTED_VALUE"""),"//ord_10576//Arvind Kulkarni//Juhu//Juice+4*Not Assigned/1/30/2023//Online Payment//Cancelled*App Glitches:Missing Content")</f>
        <v>//ord_10576//Arvind Kulkarni//Juhu//Juice+4*Not Assigned/1/30/2023//Online Payment//Cancelled*App Glitches:Missing Content</v>
      </c>
      <c r="B585" s="14" t="str">
        <f>IFERROR(__xludf.DUMMYFUNCTION("split(A585,""//"")"),"ord_10576")</f>
        <v>ord_10576</v>
      </c>
      <c r="C585" s="14" t="str">
        <f>IFERROR(__xludf.DUMMYFUNCTION("""COMPUTED_VALUE"""),"Arvind Kulkarni")</f>
        <v>Arvind Kulkarni</v>
      </c>
      <c r="D585" s="14" t="str">
        <f>IFERROR(__xludf.DUMMYFUNCTION("""COMPUTED_VALUE"""),"Juhu")</f>
        <v>Juhu</v>
      </c>
      <c r="E585" s="14" t="str">
        <f>IFERROR(__xludf.DUMMYFUNCTION("""COMPUTED_VALUE"""),"Juice+4*Not Assigned")</f>
        <v>Juice+4*Not Assigned</v>
      </c>
      <c r="F585" s="14">
        <f>IFERROR(__xludf.DUMMYFUNCTION("""COMPUTED_VALUE"""),1.0)</f>
        <v>1</v>
      </c>
      <c r="G585" s="14">
        <f>IFERROR(__xludf.DUMMYFUNCTION("""COMPUTED_VALUE"""),30.0)</f>
        <v>30</v>
      </c>
      <c r="H585" s="14">
        <f>IFERROR(__xludf.DUMMYFUNCTION("""COMPUTED_VALUE"""),2023.0)</f>
        <v>2023</v>
      </c>
      <c r="I585" s="14" t="str">
        <f>IFERROR(__xludf.DUMMYFUNCTION("""COMPUTED_VALUE"""),"Online Payment")</f>
        <v>Online Payment</v>
      </c>
      <c r="J585" s="14" t="str">
        <f>IFERROR(__xludf.DUMMYFUNCTION("""COMPUTED_VALUE"""),"Cancelled*App Glitches:Missing Content")</f>
        <v>Cancelled*App Glitches:Missing Content</v>
      </c>
      <c r="K585" s="14" t="str">
        <f>IFERROR(__xludf.DUMMYFUNCTION("split(E585,""+"")"),"Juice")</f>
        <v>Juice</v>
      </c>
      <c r="L585" s="14" t="str">
        <f>IFERROR(__xludf.DUMMYFUNCTION("""COMPUTED_VALUE"""),"4*Not Assigned")</f>
        <v>4*Not Assigned</v>
      </c>
      <c r="M585" s="14">
        <f>IFERROR(__xludf.DUMMYFUNCTION("SPLIT(L585,""*"")"),4.0)</f>
        <v>4</v>
      </c>
      <c r="N585" s="14" t="str">
        <f>IFERROR(__xludf.DUMMYFUNCTION("""COMPUTED_VALUE"""),"Not Assigned")</f>
        <v>Not Assigned</v>
      </c>
      <c r="O585" s="14" t="str">
        <f>IFERROR(__xludf.DUMMYFUNCTION("split(J585,""*"")"),"Cancelled")</f>
        <v>Cancelled</v>
      </c>
      <c r="P585" s="14" t="str">
        <f>IFERROR(__xludf.DUMMYFUNCTION("""COMPUTED_VALUE"""),"App Glitches:Missing Content")</f>
        <v>App Glitches:Missing Content</v>
      </c>
      <c r="Q585" s="14" t="str">
        <f>IFERROR(__xludf.DUMMYFUNCTION("split(P585,"":"")"),"App Glitches")</f>
        <v>App Glitches</v>
      </c>
      <c r="R585" s="14" t="str">
        <f>IFERROR(__xludf.DUMMYFUNCTION("""COMPUTED_VALUE"""),"Missing Content")</f>
        <v>Missing Content</v>
      </c>
      <c r="S585" s="14" t="str">
        <f t="shared" ref="S585:U585" si="1173">trim(B585)</f>
        <v>ord_10576</v>
      </c>
      <c r="T585" s="14" t="str">
        <f t="shared" si="1173"/>
        <v>Arvind Kulkarni</v>
      </c>
      <c r="U585" s="14" t="str">
        <f t="shared" si="1173"/>
        <v>Juhu</v>
      </c>
      <c r="V585" s="14" t="str">
        <f t="shared" si="4"/>
        <v>Juice</v>
      </c>
      <c r="W585" s="14">
        <f t="shared" si="5"/>
        <v>4</v>
      </c>
      <c r="X585" s="14" t="str">
        <f t="shared" si="6"/>
        <v>Not Assigned</v>
      </c>
      <c r="Y585" s="15">
        <f t="shared" si="7"/>
        <v>44956</v>
      </c>
      <c r="Z585" s="14" t="str">
        <f t="shared" si="8"/>
        <v>Online Payment</v>
      </c>
      <c r="AA585" s="14" t="str">
        <f t="shared" si="9"/>
        <v>Cancelled</v>
      </c>
      <c r="AB585" s="14" t="str">
        <f t="shared" ref="AB585:AC585" si="1174">trim(Q585)</f>
        <v>App Glitches</v>
      </c>
      <c r="AC585" s="14" t="str">
        <f t="shared" si="1174"/>
        <v>Missing Content</v>
      </c>
      <c r="AD585" s="8"/>
    </row>
    <row r="586">
      <c r="A586" s="14" t="str">
        <f>IFERROR(__xludf.DUMMYFUNCTION("""COMPUTED_VALUE"""),"//ord_10577//Aarav Mehta//Andheri//Sweet Corn+2*Rohan Yadav/11/7/2023//Credit Card//Delivered*On-time Delivery: Delivered on time")</f>
        <v>//ord_10577//Aarav Mehta//Andheri//Sweet Corn+2*Rohan Yadav/11/7/2023//Credit Card//Delivered*On-time Delivery: Delivered on time</v>
      </c>
      <c r="B586" s="14" t="str">
        <f>IFERROR(__xludf.DUMMYFUNCTION("split(A586,""//"")"),"ord_10577")</f>
        <v>ord_10577</v>
      </c>
      <c r="C586" s="14" t="str">
        <f>IFERROR(__xludf.DUMMYFUNCTION("""COMPUTED_VALUE"""),"Aarav Mehta")</f>
        <v>Aarav Mehta</v>
      </c>
      <c r="D586" s="14" t="str">
        <f>IFERROR(__xludf.DUMMYFUNCTION("""COMPUTED_VALUE"""),"Andheri")</f>
        <v>Andheri</v>
      </c>
      <c r="E586" s="14" t="str">
        <f>IFERROR(__xludf.DUMMYFUNCTION("""COMPUTED_VALUE"""),"Sweet Corn+2*Rohan Yadav")</f>
        <v>Sweet Corn+2*Rohan Yadav</v>
      </c>
      <c r="F586" s="14">
        <f>IFERROR(__xludf.DUMMYFUNCTION("""COMPUTED_VALUE"""),11.0)</f>
        <v>11</v>
      </c>
      <c r="G586" s="14">
        <f>IFERROR(__xludf.DUMMYFUNCTION("""COMPUTED_VALUE"""),7.0)</f>
        <v>7</v>
      </c>
      <c r="H586" s="14">
        <f>IFERROR(__xludf.DUMMYFUNCTION("""COMPUTED_VALUE"""),2023.0)</f>
        <v>2023</v>
      </c>
      <c r="I586" s="14" t="str">
        <f>IFERROR(__xludf.DUMMYFUNCTION("""COMPUTED_VALUE"""),"Credit Card")</f>
        <v>Credit Card</v>
      </c>
      <c r="J586" s="14" t="str">
        <f>IFERROR(__xludf.DUMMYFUNCTION("""COMPUTED_VALUE"""),"Delivered*On-time Delivery: Delivered on time")</f>
        <v>Delivered*On-time Delivery: Delivered on time</v>
      </c>
      <c r="K586" s="14" t="str">
        <f>IFERROR(__xludf.DUMMYFUNCTION("split(E586,""+"")"),"Sweet Corn")</f>
        <v>Sweet Corn</v>
      </c>
      <c r="L586" s="14" t="str">
        <f>IFERROR(__xludf.DUMMYFUNCTION("""COMPUTED_VALUE"""),"2*Rohan Yadav")</f>
        <v>2*Rohan Yadav</v>
      </c>
      <c r="M586" s="14">
        <f>IFERROR(__xludf.DUMMYFUNCTION("SPLIT(L586,""*"")"),2.0)</f>
        <v>2</v>
      </c>
      <c r="N586" s="14" t="str">
        <f>IFERROR(__xludf.DUMMYFUNCTION("""COMPUTED_VALUE"""),"Rohan Yadav")</f>
        <v>Rohan Yadav</v>
      </c>
      <c r="O586" s="14" t="str">
        <f>IFERROR(__xludf.DUMMYFUNCTION("split(J586,""*"")"),"Delivered")</f>
        <v>Delivered</v>
      </c>
      <c r="P586" s="14" t="str">
        <f>IFERROR(__xludf.DUMMYFUNCTION("""COMPUTED_VALUE"""),"On-time Delivery: Delivered on time")</f>
        <v>On-time Delivery: Delivered on time</v>
      </c>
      <c r="Q586" s="14" t="str">
        <f>IFERROR(__xludf.DUMMYFUNCTION("split(P586,"":"")"),"On-time Delivery")</f>
        <v>On-time Delivery</v>
      </c>
      <c r="R586" s="14" t="str">
        <f>IFERROR(__xludf.DUMMYFUNCTION("""COMPUTED_VALUE""")," Delivered on time")</f>
        <v> Delivered on time</v>
      </c>
      <c r="S586" s="14" t="str">
        <f t="shared" ref="S586:U586" si="1175">trim(B586)</f>
        <v>ord_10577</v>
      </c>
      <c r="T586" s="14" t="str">
        <f t="shared" si="1175"/>
        <v>Aarav Mehta</v>
      </c>
      <c r="U586" s="14" t="str">
        <f t="shared" si="1175"/>
        <v>Andheri</v>
      </c>
      <c r="V586" s="14" t="str">
        <f t="shared" si="4"/>
        <v>Sweet Corn</v>
      </c>
      <c r="W586" s="14">
        <f t="shared" si="5"/>
        <v>2</v>
      </c>
      <c r="X586" s="14" t="str">
        <f t="shared" si="6"/>
        <v>Rohan Yadav</v>
      </c>
      <c r="Y586" s="15">
        <f t="shared" si="7"/>
        <v>45237</v>
      </c>
      <c r="Z586" s="14" t="str">
        <f t="shared" si="8"/>
        <v>Credit Card</v>
      </c>
      <c r="AA586" s="14" t="str">
        <f t="shared" si="9"/>
        <v>Delivered</v>
      </c>
      <c r="AB586" s="14" t="str">
        <f t="shared" ref="AB586:AC586" si="1176">trim(Q586)</f>
        <v>On-time Delivery</v>
      </c>
      <c r="AC586" s="14" t="str">
        <f t="shared" si="1176"/>
        <v>Delivered on time</v>
      </c>
      <c r="AD586" s="8"/>
    </row>
    <row r="587">
      <c r="A587" s="14" t="str">
        <f>IFERROR(__xludf.DUMMYFUNCTION("""COMPUTED_VALUE"""),"//ord_10578//Ishita Banerjee//Juhu//Papaya+2*Tanvi Jain/11/20/2023//Credit Card//Cancelled*Delayed Delivery:Traffic Accidents or Road Closures")</f>
        <v>//ord_10578//Ishita Banerjee//Juhu//Papaya+2*Tanvi Jain/11/20/2023//Credit Card//Cancelled*Delayed Delivery:Traffic Accidents or Road Closures</v>
      </c>
      <c r="B587" s="14" t="str">
        <f>IFERROR(__xludf.DUMMYFUNCTION("split(A587,""//"")"),"ord_10578")</f>
        <v>ord_10578</v>
      </c>
      <c r="C587" s="14" t="str">
        <f>IFERROR(__xludf.DUMMYFUNCTION("""COMPUTED_VALUE"""),"Ishita Banerjee")</f>
        <v>Ishita Banerjee</v>
      </c>
      <c r="D587" s="14" t="str">
        <f>IFERROR(__xludf.DUMMYFUNCTION("""COMPUTED_VALUE"""),"Juhu")</f>
        <v>Juhu</v>
      </c>
      <c r="E587" s="14" t="str">
        <f>IFERROR(__xludf.DUMMYFUNCTION("""COMPUTED_VALUE"""),"Papaya+2*Tanvi Jain")</f>
        <v>Papaya+2*Tanvi Jain</v>
      </c>
      <c r="F587" s="14">
        <f>IFERROR(__xludf.DUMMYFUNCTION("""COMPUTED_VALUE"""),11.0)</f>
        <v>11</v>
      </c>
      <c r="G587" s="14">
        <f>IFERROR(__xludf.DUMMYFUNCTION("""COMPUTED_VALUE"""),20.0)</f>
        <v>20</v>
      </c>
      <c r="H587" s="14">
        <f>IFERROR(__xludf.DUMMYFUNCTION("""COMPUTED_VALUE"""),2023.0)</f>
        <v>2023</v>
      </c>
      <c r="I587" s="14" t="str">
        <f>IFERROR(__xludf.DUMMYFUNCTION("""COMPUTED_VALUE"""),"Credit Card")</f>
        <v>Credit Card</v>
      </c>
      <c r="J587" s="14" t="str">
        <f>IFERROR(__xludf.DUMMYFUNCTION("""COMPUTED_VALUE"""),"Cancelled*Delayed Delivery:Traffic Accidents or Road Closures")</f>
        <v>Cancelled*Delayed Delivery:Traffic Accidents or Road Closures</v>
      </c>
      <c r="K587" s="14" t="str">
        <f>IFERROR(__xludf.DUMMYFUNCTION("split(E587,""+"")"),"Papaya")</f>
        <v>Papaya</v>
      </c>
      <c r="L587" s="14" t="str">
        <f>IFERROR(__xludf.DUMMYFUNCTION("""COMPUTED_VALUE"""),"2*Tanvi Jain")</f>
        <v>2*Tanvi Jain</v>
      </c>
      <c r="M587" s="14">
        <f>IFERROR(__xludf.DUMMYFUNCTION("SPLIT(L587,""*"")"),2.0)</f>
        <v>2</v>
      </c>
      <c r="N587" s="14" t="str">
        <f>IFERROR(__xludf.DUMMYFUNCTION("""COMPUTED_VALUE"""),"Tanvi Jain")</f>
        <v>Tanvi Jain</v>
      </c>
      <c r="O587" s="14" t="str">
        <f>IFERROR(__xludf.DUMMYFUNCTION("split(J587,""*"")"),"Cancelled")</f>
        <v>Cancelled</v>
      </c>
      <c r="P587" s="14" t="str">
        <f>IFERROR(__xludf.DUMMYFUNCTION("""COMPUTED_VALUE"""),"Delayed Delivery:Traffic Accidents or Road Closures")</f>
        <v>Delayed Delivery:Traffic Accidents or Road Closures</v>
      </c>
      <c r="Q587" s="14" t="str">
        <f>IFERROR(__xludf.DUMMYFUNCTION("split(P587,"":"")"),"Delayed Delivery")</f>
        <v>Delayed Delivery</v>
      </c>
      <c r="R587" s="14" t="str">
        <f>IFERROR(__xludf.DUMMYFUNCTION("""COMPUTED_VALUE"""),"Traffic Accidents or Road Closures")</f>
        <v>Traffic Accidents or Road Closures</v>
      </c>
      <c r="S587" s="14" t="str">
        <f t="shared" ref="S587:U587" si="1177">trim(B587)</f>
        <v>ord_10578</v>
      </c>
      <c r="T587" s="14" t="str">
        <f t="shared" si="1177"/>
        <v>Ishita Banerjee</v>
      </c>
      <c r="U587" s="14" t="str">
        <f t="shared" si="1177"/>
        <v>Juhu</v>
      </c>
      <c r="V587" s="14" t="str">
        <f t="shared" si="4"/>
        <v>Papaya</v>
      </c>
      <c r="W587" s="14">
        <f t="shared" si="5"/>
        <v>2</v>
      </c>
      <c r="X587" s="14" t="str">
        <f t="shared" si="6"/>
        <v>Tanvi Jain</v>
      </c>
      <c r="Y587" s="15">
        <f t="shared" si="7"/>
        <v>45250</v>
      </c>
      <c r="Z587" s="14" t="str">
        <f t="shared" si="8"/>
        <v>Credit Card</v>
      </c>
      <c r="AA587" s="14" t="str">
        <f t="shared" si="9"/>
        <v>Cancelled</v>
      </c>
      <c r="AB587" s="14" t="str">
        <f t="shared" ref="AB587:AC587" si="1178">trim(Q587)</f>
        <v>Delayed Delivery</v>
      </c>
      <c r="AC587" s="14" t="str">
        <f t="shared" si="1178"/>
        <v>Traffic Accidents or Road Closures</v>
      </c>
      <c r="AD587" s="8"/>
    </row>
    <row r="588">
      <c r="A588" s="14" t="str">
        <f>IFERROR(__xludf.DUMMYFUNCTION("""COMPUTED_VALUE"""),"//ord_10579//Ishaan Chaturvedi//Bandra//Rasmalai+1*Not Assigned/9/2/2023//Credit Card//Cancelled*Out of Stock")</f>
        <v>//ord_10579//Ishaan Chaturvedi//Bandra//Rasmalai+1*Not Assigned/9/2/2023//Credit Card//Cancelled*Out of Stock</v>
      </c>
      <c r="B588" s="14" t="str">
        <f>IFERROR(__xludf.DUMMYFUNCTION("split(A588,""//"")"),"ord_10579")</f>
        <v>ord_10579</v>
      </c>
      <c r="C588" s="14" t="str">
        <f>IFERROR(__xludf.DUMMYFUNCTION("""COMPUTED_VALUE"""),"Ishaan Chaturvedi")</f>
        <v>Ishaan Chaturvedi</v>
      </c>
      <c r="D588" s="14" t="str">
        <f>IFERROR(__xludf.DUMMYFUNCTION("""COMPUTED_VALUE"""),"Bandra")</f>
        <v>Bandra</v>
      </c>
      <c r="E588" s="14" t="str">
        <f>IFERROR(__xludf.DUMMYFUNCTION("""COMPUTED_VALUE"""),"Rasmalai+1*Not Assigned")</f>
        <v>Rasmalai+1*Not Assigned</v>
      </c>
      <c r="F588" s="14">
        <f>IFERROR(__xludf.DUMMYFUNCTION("""COMPUTED_VALUE"""),9.0)</f>
        <v>9</v>
      </c>
      <c r="G588" s="14">
        <f>IFERROR(__xludf.DUMMYFUNCTION("""COMPUTED_VALUE"""),2.0)</f>
        <v>2</v>
      </c>
      <c r="H588" s="14">
        <f>IFERROR(__xludf.DUMMYFUNCTION("""COMPUTED_VALUE"""),2023.0)</f>
        <v>2023</v>
      </c>
      <c r="I588" s="14" t="str">
        <f>IFERROR(__xludf.DUMMYFUNCTION("""COMPUTED_VALUE"""),"Credit Card")</f>
        <v>Credit Card</v>
      </c>
      <c r="J588" s="14" t="str">
        <f>IFERROR(__xludf.DUMMYFUNCTION("""COMPUTED_VALUE"""),"Cancelled*Out of Stock")</f>
        <v>Cancelled*Out of Stock</v>
      </c>
      <c r="K588" s="14" t="str">
        <f>IFERROR(__xludf.DUMMYFUNCTION("split(E588,""+"")"),"Rasmalai")</f>
        <v>Rasmalai</v>
      </c>
      <c r="L588" s="14" t="str">
        <f>IFERROR(__xludf.DUMMYFUNCTION("""COMPUTED_VALUE"""),"1*Not Assigned")</f>
        <v>1*Not Assigned</v>
      </c>
      <c r="M588" s="14">
        <f>IFERROR(__xludf.DUMMYFUNCTION("SPLIT(L588,""*"")"),1.0)</f>
        <v>1</v>
      </c>
      <c r="N588" s="14" t="str">
        <f>IFERROR(__xludf.DUMMYFUNCTION("""COMPUTED_VALUE"""),"Not Assigned")</f>
        <v>Not Assigned</v>
      </c>
      <c r="O588" s="14" t="str">
        <f>IFERROR(__xludf.DUMMYFUNCTION("split(J588,""*"")"),"Cancelled")</f>
        <v>Cancelled</v>
      </c>
      <c r="P588" s="14" t="str">
        <f>IFERROR(__xludf.DUMMYFUNCTION("""COMPUTED_VALUE"""),"Out of Stock")</f>
        <v>Out of Stock</v>
      </c>
      <c r="Q588" s="14" t="str">
        <f>IFERROR(__xludf.DUMMYFUNCTION("split(P588,"":"")"),"Out of Stock")</f>
        <v>Out of Stock</v>
      </c>
      <c r="R588" s="14"/>
      <c r="S588" s="14" t="str">
        <f t="shared" ref="S588:U588" si="1179">trim(B588)</f>
        <v>ord_10579</v>
      </c>
      <c r="T588" s="14" t="str">
        <f t="shared" si="1179"/>
        <v>Ishaan Chaturvedi</v>
      </c>
      <c r="U588" s="14" t="str">
        <f t="shared" si="1179"/>
        <v>Bandra</v>
      </c>
      <c r="V588" s="14" t="str">
        <f t="shared" si="4"/>
        <v>Rasmalai</v>
      </c>
      <c r="W588" s="14">
        <f t="shared" si="5"/>
        <v>1</v>
      </c>
      <c r="X588" s="14" t="str">
        <f t="shared" si="6"/>
        <v>Not Assigned</v>
      </c>
      <c r="Y588" s="15">
        <f t="shared" si="7"/>
        <v>45171</v>
      </c>
      <c r="Z588" s="14" t="str">
        <f t="shared" si="8"/>
        <v>Credit Card</v>
      </c>
      <c r="AA588" s="14" t="str">
        <f t="shared" si="9"/>
        <v>Cancelled</v>
      </c>
      <c r="AB588" s="14" t="str">
        <f t="shared" ref="AB588:AC588" si="1180">trim(Q588)</f>
        <v>Out of Stock</v>
      </c>
      <c r="AC588" s="14" t="str">
        <f t="shared" si="1180"/>
        <v/>
      </c>
      <c r="AD588" s="8"/>
    </row>
    <row r="589">
      <c r="A589" s="14" t="str">
        <f>IFERROR(__xludf.DUMMYFUNCTION("""COMPUTED_VALUE"""),"//ord_10580//Tanishq Bansal//Powai//Banana+2*Vivek Kumar/6/8/2023//COD//Delivered*Quality of Items: Perfect condition")</f>
        <v>//ord_10580//Tanishq Bansal//Powai//Banana+2*Vivek Kumar/6/8/2023//COD//Delivered*Quality of Items: Perfect condition</v>
      </c>
      <c r="B589" s="14" t="str">
        <f>IFERROR(__xludf.DUMMYFUNCTION("split(A589,""//"")"),"ord_10580")</f>
        <v>ord_10580</v>
      </c>
      <c r="C589" s="14" t="str">
        <f>IFERROR(__xludf.DUMMYFUNCTION("""COMPUTED_VALUE"""),"Tanishq Bansal")</f>
        <v>Tanishq Bansal</v>
      </c>
      <c r="D589" s="14" t="str">
        <f>IFERROR(__xludf.DUMMYFUNCTION("""COMPUTED_VALUE"""),"Powai")</f>
        <v>Powai</v>
      </c>
      <c r="E589" s="14" t="str">
        <f>IFERROR(__xludf.DUMMYFUNCTION("""COMPUTED_VALUE"""),"Banana+2*Vivek Kumar")</f>
        <v>Banana+2*Vivek Kumar</v>
      </c>
      <c r="F589" s="14">
        <f>IFERROR(__xludf.DUMMYFUNCTION("""COMPUTED_VALUE"""),6.0)</f>
        <v>6</v>
      </c>
      <c r="G589" s="14">
        <f>IFERROR(__xludf.DUMMYFUNCTION("""COMPUTED_VALUE"""),8.0)</f>
        <v>8</v>
      </c>
      <c r="H589" s="14">
        <f>IFERROR(__xludf.DUMMYFUNCTION("""COMPUTED_VALUE"""),2023.0)</f>
        <v>2023</v>
      </c>
      <c r="I589" s="14" t="str">
        <f>IFERROR(__xludf.DUMMYFUNCTION("""COMPUTED_VALUE"""),"COD")</f>
        <v>COD</v>
      </c>
      <c r="J589" s="14" t="str">
        <f>IFERROR(__xludf.DUMMYFUNCTION("""COMPUTED_VALUE"""),"Delivered*Quality of Items: Perfect condition")</f>
        <v>Delivered*Quality of Items: Perfect condition</v>
      </c>
      <c r="K589" s="14" t="str">
        <f>IFERROR(__xludf.DUMMYFUNCTION("split(E589,""+"")"),"Banana")</f>
        <v>Banana</v>
      </c>
      <c r="L589" s="14" t="str">
        <f>IFERROR(__xludf.DUMMYFUNCTION("""COMPUTED_VALUE"""),"2*Vivek Kumar")</f>
        <v>2*Vivek Kumar</v>
      </c>
      <c r="M589" s="14">
        <f>IFERROR(__xludf.DUMMYFUNCTION("SPLIT(L589,""*"")"),2.0)</f>
        <v>2</v>
      </c>
      <c r="N589" s="14" t="str">
        <f>IFERROR(__xludf.DUMMYFUNCTION("""COMPUTED_VALUE"""),"Vivek Kumar")</f>
        <v>Vivek Kumar</v>
      </c>
      <c r="O589" s="14" t="str">
        <f>IFERROR(__xludf.DUMMYFUNCTION("split(J589,""*"")"),"Delivered")</f>
        <v>Delivered</v>
      </c>
      <c r="P589" s="14" t="str">
        <f>IFERROR(__xludf.DUMMYFUNCTION("""COMPUTED_VALUE"""),"Quality of Items: Perfect condition")</f>
        <v>Quality of Items: Perfect condition</v>
      </c>
      <c r="Q589" s="14" t="str">
        <f>IFERROR(__xludf.DUMMYFUNCTION("split(P589,"":"")"),"Quality of Items")</f>
        <v>Quality of Items</v>
      </c>
      <c r="R589" s="14" t="str">
        <f>IFERROR(__xludf.DUMMYFUNCTION("""COMPUTED_VALUE""")," Perfect condition")</f>
        <v> Perfect condition</v>
      </c>
      <c r="S589" s="14" t="str">
        <f t="shared" ref="S589:U589" si="1181">trim(B589)</f>
        <v>ord_10580</v>
      </c>
      <c r="T589" s="14" t="str">
        <f t="shared" si="1181"/>
        <v>Tanishq Bansal</v>
      </c>
      <c r="U589" s="14" t="str">
        <f t="shared" si="1181"/>
        <v>Powai</v>
      </c>
      <c r="V589" s="14" t="str">
        <f t="shared" si="4"/>
        <v>Banana</v>
      </c>
      <c r="W589" s="14">
        <f t="shared" si="5"/>
        <v>2</v>
      </c>
      <c r="X589" s="14" t="str">
        <f t="shared" si="6"/>
        <v>Vivek Kumar</v>
      </c>
      <c r="Y589" s="15">
        <f t="shared" si="7"/>
        <v>45085</v>
      </c>
      <c r="Z589" s="14" t="str">
        <f t="shared" si="8"/>
        <v>COD</v>
      </c>
      <c r="AA589" s="14" t="str">
        <f t="shared" si="9"/>
        <v>Delivered</v>
      </c>
      <c r="AB589" s="14" t="str">
        <f t="shared" ref="AB589:AC589" si="1182">trim(Q589)</f>
        <v>Quality of Items</v>
      </c>
      <c r="AC589" s="14" t="str">
        <f t="shared" si="1182"/>
        <v>Perfect condition</v>
      </c>
      <c r="AD589" s="8"/>
    </row>
    <row r="590">
      <c r="A590" s="14" t="str">
        <f>IFERROR(__xludf.DUMMYFUNCTION("""COMPUTED_VALUE"""),"//ord_10581//Pranav Joshi//Andheri//Rasmalai+5*Venu R/3/14/2023//UPI//Delivered*Packaging: Secure and intact")</f>
        <v>//ord_10581//Pranav Joshi//Andheri//Rasmalai+5*Venu R/3/14/2023//UPI//Delivered*Packaging: Secure and intact</v>
      </c>
      <c r="B590" s="14" t="str">
        <f>IFERROR(__xludf.DUMMYFUNCTION("split(A590,""//"")"),"ord_10581")</f>
        <v>ord_10581</v>
      </c>
      <c r="C590" s="14" t="str">
        <f>IFERROR(__xludf.DUMMYFUNCTION("""COMPUTED_VALUE"""),"Pranav Joshi")</f>
        <v>Pranav Joshi</v>
      </c>
      <c r="D590" s="14" t="str">
        <f>IFERROR(__xludf.DUMMYFUNCTION("""COMPUTED_VALUE"""),"Andheri")</f>
        <v>Andheri</v>
      </c>
      <c r="E590" s="14" t="str">
        <f>IFERROR(__xludf.DUMMYFUNCTION("""COMPUTED_VALUE"""),"Rasmalai+5*Venu R")</f>
        <v>Rasmalai+5*Venu R</v>
      </c>
      <c r="F590" s="14">
        <f>IFERROR(__xludf.DUMMYFUNCTION("""COMPUTED_VALUE"""),3.0)</f>
        <v>3</v>
      </c>
      <c r="G590" s="14">
        <f>IFERROR(__xludf.DUMMYFUNCTION("""COMPUTED_VALUE"""),14.0)</f>
        <v>14</v>
      </c>
      <c r="H590" s="14">
        <f>IFERROR(__xludf.DUMMYFUNCTION("""COMPUTED_VALUE"""),2023.0)</f>
        <v>2023</v>
      </c>
      <c r="I590" s="14" t="str">
        <f>IFERROR(__xludf.DUMMYFUNCTION("""COMPUTED_VALUE"""),"UPI")</f>
        <v>UPI</v>
      </c>
      <c r="J590" s="14" t="str">
        <f>IFERROR(__xludf.DUMMYFUNCTION("""COMPUTED_VALUE"""),"Delivered*Packaging: Secure and intact")</f>
        <v>Delivered*Packaging: Secure and intact</v>
      </c>
      <c r="K590" s="14" t="str">
        <f>IFERROR(__xludf.DUMMYFUNCTION("split(E590,""+"")"),"Rasmalai")</f>
        <v>Rasmalai</v>
      </c>
      <c r="L590" s="14" t="str">
        <f>IFERROR(__xludf.DUMMYFUNCTION("""COMPUTED_VALUE"""),"5*Venu R")</f>
        <v>5*Venu R</v>
      </c>
      <c r="M590" s="14">
        <f>IFERROR(__xludf.DUMMYFUNCTION("SPLIT(L590,""*"")"),5.0)</f>
        <v>5</v>
      </c>
      <c r="N590" s="14" t="str">
        <f>IFERROR(__xludf.DUMMYFUNCTION("""COMPUTED_VALUE"""),"Venu R")</f>
        <v>Venu R</v>
      </c>
      <c r="O590" s="14" t="str">
        <f>IFERROR(__xludf.DUMMYFUNCTION("split(J590,""*"")"),"Delivered")</f>
        <v>Delivered</v>
      </c>
      <c r="P590" s="14" t="str">
        <f>IFERROR(__xludf.DUMMYFUNCTION("""COMPUTED_VALUE"""),"Packaging: Secure and intact")</f>
        <v>Packaging: Secure and intact</v>
      </c>
      <c r="Q590" s="14" t="str">
        <f>IFERROR(__xludf.DUMMYFUNCTION("split(P590,"":"")"),"Packaging")</f>
        <v>Packaging</v>
      </c>
      <c r="R590" s="14" t="str">
        <f>IFERROR(__xludf.DUMMYFUNCTION("""COMPUTED_VALUE""")," Secure and intact")</f>
        <v> Secure and intact</v>
      </c>
      <c r="S590" s="14" t="str">
        <f t="shared" ref="S590:U590" si="1183">trim(B590)</f>
        <v>ord_10581</v>
      </c>
      <c r="T590" s="14" t="str">
        <f t="shared" si="1183"/>
        <v>Pranav Joshi</v>
      </c>
      <c r="U590" s="14" t="str">
        <f t="shared" si="1183"/>
        <v>Andheri</v>
      </c>
      <c r="V590" s="14" t="str">
        <f t="shared" si="4"/>
        <v>Rasmalai</v>
      </c>
      <c r="W590" s="14">
        <f t="shared" si="5"/>
        <v>5</v>
      </c>
      <c r="X590" s="14" t="str">
        <f t="shared" si="6"/>
        <v>Venu R</v>
      </c>
      <c r="Y590" s="15">
        <f t="shared" si="7"/>
        <v>44999</v>
      </c>
      <c r="Z590" s="14" t="str">
        <f t="shared" si="8"/>
        <v>UPI</v>
      </c>
      <c r="AA590" s="14" t="str">
        <f t="shared" si="9"/>
        <v>Delivered</v>
      </c>
      <c r="AB590" s="14" t="str">
        <f t="shared" ref="AB590:AC590" si="1184">trim(Q590)</f>
        <v>Packaging</v>
      </c>
      <c r="AC590" s="14" t="str">
        <f t="shared" si="1184"/>
        <v>Secure and intact</v>
      </c>
      <c r="AD590" s="8"/>
    </row>
    <row r="591">
      <c r="A591" s="14" t="str">
        <f>IFERROR(__xludf.DUMMYFUNCTION("""COMPUTED_VALUE"""),"//ord_10582//Parth Goel//Juhu//Banana+2*Sita T/5/10/2023//COD//Delivered*Satisfied with the Delivery: Timely and quality")</f>
        <v>//ord_10582//Parth Goel//Juhu//Banana+2*Sita T/5/10/2023//COD//Delivered*Satisfied with the Delivery: Timely and quality</v>
      </c>
      <c r="B591" s="14" t="str">
        <f>IFERROR(__xludf.DUMMYFUNCTION("split(A591,""//"")"),"ord_10582")</f>
        <v>ord_10582</v>
      </c>
      <c r="C591" s="14" t="str">
        <f>IFERROR(__xludf.DUMMYFUNCTION("""COMPUTED_VALUE"""),"Parth Goel")</f>
        <v>Parth Goel</v>
      </c>
      <c r="D591" s="14" t="str">
        <f>IFERROR(__xludf.DUMMYFUNCTION("""COMPUTED_VALUE"""),"Juhu")</f>
        <v>Juhu</v>
      </c>
      <c r="E591" s="14" t="str">
        <f>IFERROR(__xludf.DUMMYFUNCTION("""COMPUTED_VALUE"""),"Banana+2*Sita T")</f>
        <v>Banana+2*Sita T</v>
      </c>
      <c r="F591" s="14">
        <f>IFERROR(__xludf.DUMMYFUNCTION("""COMPUTED_VALUE"""),5.0)</f>
        <v>5</v>
      </c>
      <c r="G591" s="14">
        <f>IFERROR(__xludf.DUMMYFUNCTION("""COMPUTED_VALUE"""),10.0)</f>
        <v>10</v>
      </c>
      <c r="H591" s="14">
        <f>IFERROR(__xludf.DUMMYFUNCTION("""COMPUTED_VALUE"""),2023.0)</f>
        <v>2023</v>
      </c>
      <c r="I591" s="14" t="str">
        <f>IFERROR(__xludf.DUMMYFUNCTION("""COMPUTED_VALUE"""),"COD")</f>
        <v>COD</v>
      </c>
      <c r="J591" s="14" t="str">
        <f>IFERROR(__xludf.DUMMYFUNCTION("""COMPUTED_VALUE"""),"Delivered*Satisfied with the Delivery: Timely and quality")</f>
        <v>Delivered*Satisfied with the Delivery: Timely and quality</v>
      </c>
      <c r="K591" s="14" t="str">
        <f>IFERROR(__xludf.DUMMYFUNCTION("split(E591,""+"")"),"Banana")</f>
        <v>Banana</v>
      </c>
      <c r="L591" s="14" t="str">
        <f>IFERROR(__xludf.DUMMYFUNCTION("""COMPUTED_VALUE"""),"2*Sita T")</f>
        <v>2*Sita T</v>
      </c>
      <c r="M591" s="14">
        <f>IFERROR(__xludf.DUMMYFUNCTION("SPLIT(L591,""*"")"),2.0)</f>
        <v>2</v>
      </c>
      <c r="N591" s="14" t="str">
        <f>IFERROR(__xludf.DUMMYFUNCTION("""COMPUTED_VALUE"""),"Sita T")</f>
        <v>Sita T</v>
      </c>
      <c r="O591" s="14" t="str">
        <f>IFERROR(__xludf.DUMMYFUNCTION("split(J591,""*"")"),"Delivered")</f>
        <v>Delivered</v>
      </c>
      <c r="P591" s="14" t="str">
        <f>IFERROR(__xludf.DUMMYFUNCTION("""COMPUTED_VALUE"""),"Satisfied with the Delivery: Timely and quality")</f>
        <v>Satisfied with the Delivery: Timely and quality</v>
      </c>
      <c r="Q591" s="14" t="str">
        <f>IFERROR(__xludf.DUMMYFUNCTION("split(P591,"":"")"),"Satisfied with the Delivery")</f>
        <v>Satisfied with the Delivery</v>
      </c>
      <c r="R591" s="14" t="str">
        <f>IFERROR(__xludf.DUMMYFUNCTION("""COMPUTED_VALUE""")," Timely and quality")</f>
        <v> Timely and quality</v>
      </c>
      <c r="S591" s="14" t="str">
        <f t="shared" ref="S591:U591" si="1185">trim(B591)</f>
        <v>ord_10582</v>
      </c>
      <c r="T591" s="14" t="str">
        <f t="shared" si="1185"/>
        <v>Parth Goel</v>
      </c>
      <c r="U591" s="14" t="str">
        <f t="shared" si="1185"/>
        <v>Juhu</v>
      </c>
      <c r="V591" s="14" t="str">
        <f t="shared" si="4"/>
        <v>Banana</v>
      </c>
      <c r="W591" s="14">
        <f t="shared" si="5"/>
        <v>2</v>
      </c>
      <c r="X591" s="14" t="str">
        <f t="shared" si="6"/>
        <v>Sita T</v>
      </c>
      <c r="Y591" s="15">
        <f t="shared" si="7"/>
        <v>45056</v>
      </c>
      <c r="Z591" s="14" t="str">
        <f t="shared" si="8"/>
        <v>COD</v>
      </c>
      <c r="AA591" s="14" t="str">
        <f t="shared" si="9"/>
        <v>Delivered</v>
      </c>
      <c r="AB591" s="14" t="str">
        <f t="shared" ref="AB591:AC591" si="1186">trim(Q591)</f>
        <v>Satisfied with the Delivery</v>
      </c>
      <c r="AC591" s="14" t="str">
        <f t="shared" si="1186"/>
        <v>Timely and quality</v>
      </c>
      <c r="AD591" s="8"/>
    </row>
    <row r="592">
      <c r="A592" s="14" t="str">
        <f>IFERROR(__xludf.DUMMYFUNCTION("""COMPUTED_VALUE"""),"//ord_10583//Siya Reddy//Juhu//Potato+1*Not Assigned/3/19/2023//UPI//Cancelled*App Glitches:Slow Loading Time")</f>
        <v>//ord_10583//Siya Reddy//Juhu//Potato+1*Not Assigned/3/19/2023//UPI//Cancelled*App Glitches:Slow Loading Time</v>
      </c>
      <c r="B592" s="14" t="str">
        <f>IFERROR(__xludf.DUMMYFUNCTION("split(A592,""//"")"),"ord_10583")</f>
        <v>ord_10583</v>
      </c>
      <c r="C592" s="14" t="str">
        <f>IFERROR(__xludf.DUMMYFUNCTION("""COMPUTED_VALUE"""),"Siya Reddy")</f>
        <v>Siya Reddy</v>
      </c>
      <c r="D592" s="14" t="str">
        <f>IFERROR(__xludf.DUMMYFUNCTION("""COMPUTED_VALUE"""),"Juhu")</f>
        <v>Juhu</v>
      </c>
      <c r="E592" s="14" t="str">
        <f>IFERROR(__xludf.DUMMYFUNCTION("""COMPUTED_VALUE"""),"Potato+1*Not Assigned")</f>
        <v>Potato+1*Not Assigned</v>
      </c>
      <c r="F592" s="14">
        <f>IFERROR(__xludf.DUMMYFUNCTION("""COMPUTED_VALUE"""),3.0)</f>
        <v>3</v>
      </c>
      <c r="G592" s="14">
        <f>IFERROR(__xludf.DUMMYFUNCTION("""COMPUTED_VALUE"""),19.0)</f>
        <v>19</v>
      </c>
      <c r="H592" s="14">
        <f>IFERROR(__xludf.DUMMYFUNCTION("""COMPUTED_VALUE"""),2023.0)</f>
        <v>2023</v>
      </c>
      <c r="I592" s="14" t="str">
        <f>IFERROR(__xludf.DUMMYFUNCTION("""COMPUTED_VALUE"""),"UPI")</f>
        <v>UPI</v>
      </c>
      <c r="J592" s="14" t="str">
        <f>IFERROR(__xludf.DUMMYFUNCTION("""COMPUTED_VALUE"""),"Cancelled*App Glitches:Slow Loading Time")</f>
        <v>Cancelled*App Glitches:Slow Loading Time</v>
      </c>
      <c r="K592" s="14" t="str">
        <f>IFERROR(__xludf.DUMMYFUNCTION("split(E592,""+"")"),"Potato")</f>
        <v>Potato</v>
      </c>
      <c r="L592" s="14" t="str">
        <f>IFERROR(__xludf.DUMMYFUNCTION("""COMPUTED_VALUE"""),"1*Not Assigned")</f>
        <v>1*Not Assigned</v>
      </c>
      <c r="M592" s="14">
        <f>IFERROR(__xludf.DUMMYFUNCTION("SPLIT(L592,""*"")"),1.0)</f>
        <v>1</v>
      </c>
      <c r="N592" s="14" t="str">
        <f>IFERROR(__xludf.DUMMYFUNCTION("""COMPUTED_VALUE"""),"Not Assigned")</f>
        <v>Not Assigned</v>
      </c>
      <c r="O592" s="14" t="str">
        <f>IFERROR(__xludf.DUMMYFUNCTION("split(J592,""*"")"),"Cancelled")</f>
        <v>Cancelled</v>
      </c>
      <c r="P592" s="14" t="str">
        <f>IFERROR(__xludf.DUMMYFUNCTION("""COMPUTED_VALUE"""),"App Glitches:Slow Loading Time")</f>
        <v>App Glitches:Slow Loading Time</v>
      </c>
      <c r="Q592" s="14" t="str">
        <f>IFERROR(__xludf.DUMMYFUNCTION("split(P592,"":"")"),"App Glitches")</f>
        <v>App Glitches</v>
      </c>
      <c r="R592" s="14" t="str">
        <f>IFERROR(__xludf.DUMMYFUNCTION("""COMPUTED_VALUE"""),"Slow Loading Time")</f>
        <v>Slow Loading Time</v>
      </c>
      <c r="S592" s="14" t="str">
        <f t="shared" ref="S592:U592" si="1187">trim(B592)</f>
        <v>ord_10583</v>
      </c>
      <c r="T592" s="14" t="str">
        <f t="shared" si="1187"/>
        <v>Siya Reddy</v>
      </c>
      <c r="U592" s="14" t="str">
        <f t="shared" si="1187"/>
        <v>Juhu</v>
      </c>
      <c r="V592" s="14" t="str">
        <f t="shared" si="4"/>
        <v>Potato</v>
      </c>
      <c r="W592" s="14">
        <f t="shared" si="5"/>
        <v>1</v>
      </c>
      <c r="X592" s="14" t="str">
        <f t="shared" si="6"/>
        <v>Not Assigned</v>
      </c>
      <c r="Y592" s="15">
        <f t="shared" si="7"/>
        <v>45004</v>
      </c>
      <c r="Z592" s="14" t="str">
        <f t="shared" si="8"/>
        <v>UPI</v>
      </c>
      <c r="AA592" s="14" t="str">
        <f t="shared" si="9"/>
        <v>Cancelled</v>
      </c>
      <c r="AB592" s="14" t="str">
        <f t="shared" ref="AB592:AC592" si="1188">trim(Q592)</f>
        <v>App Glitches</v>
      </c>
      <c r="AC592" s="14" t="str">
        <f t="shared" si="1188"/>
        <v>Slow Loading Time</v>
      </c>
      <c r="AD592" s="8"/>
    </row>
    <row r="593">
      <c r="A593" s="14" t="str">
        <f>IFERROR(__xludf.DUMMYFUNCTION("""COMPUTED_VALUE"""),"//ord_10584//Anaya Rao//Colaba//Icecream+3*Ramesh S/1/8/2023//COD//Delivered*Customer Service: Seamless and easy")</f>
        <v>//ord_10584//Anaya Rao//Colaba//Icecream+3*Ramesh S/1/8/2023//COD//Delivered*Customer Service: Seamless and easy</v>
      </c>
      <c r="B593" s="14" t="str">
        <f>IFERROR(__xludf.DUMMYFUNCTION("split(A593,""//"")"),"ord_10584")</f>
        <v>ord_10584</v>
      </c>
      <c r="C593" s="14" t="str">
        <f>IFERROR(__xludf.DUMMYFUNCTION("""COMPUTED_VALUE"""),"Anaya Rao")</f>
        <v>Anaya Rao</v>
      </c>
      <c r="D593" s="14" t="str">
        <f>IFERROR(__xludf.DUMMYFUNCTION("""COMPUTED_VALUE"""),"Colaba")</f>
        <v>Colaba</v>
      </c>
      <c r="E593" s="14" t="str">
        <f>IFERROR(__xludf.DUMMYFUNCTION("""COMPUTED_VALUE"""),"Icecream+3*Ramesh S")</f>
        <v>Icecream+3*Ramesh S</v>
      </c>
      <c r="F593" s="14">
        <f>IFERROR(__xludf.DUMMYFUNCTION("""COMPUTED_VALUE"""),1.0)</f>
        <v>1</v>
      </c>
      <c r="G593" s="14">
        <f>IFERROR(__xludf.DUMMYFUNCTION("""COMPUTED_VALUE"""),8.0)</f>
        <v>8</v>
      </c>
      <c r="H593" s="14">
        <f>IFERROR(__xludf.DUMMYFUNCTION("""COMPUTED_VALUE"""),2023.0)</f>
        <v>2023</v>
      </c>
      <c r="I593" s="14" t="str">
        <f>IFERROR(__xludf.DUMMYFUNCTION("""COMPUTED_VALUE"""),"COD")</f>
        <v>COD</v>
      </c>
      <c r="J593" s="14" t="str">
        <f>IFERROR(__xludf.DUMMYFUNCTION("""COMPUTED_VALUE"""),"Delivered*Customer Service: Seamless and easy")</f>
        <v>Delivered*Customer Service: Seamless and easy</v>
      </c>
      <c r="K593" s="14" t="str">
        <f>IFERROR(__xludf.DUMMYFUNCTION("split(E593,""+"")"),"Icecream")</f>
        <v>Icecream</v>
      </c>
      <c r="L593" s="14" t="str">
        <f>IFERROR(__xludf.DUMMYFUNCTION("""COMPUTED_VALUE"""),"3*Ramesh S")</f>
        <v>3*Ramesh S</v>
      </c>
      <c r="M593" s="14">
        <f>IFERROR(__xludf.DUMMYFUNCTION("SPLIT(L593,""*"")"),3.0)</f>
        <v>3</v>
      </c>
      <c r="N593" s="14" t="str">
        <f>IFERROR(__xludf.DUMMYFUNCTION("""COMPUTED_VALUE"""),"Ramesh S")</f>
        <v>Ramesh S</v>
      </c>
      <c r="O593" s="14" t="str">
        <f>IFERROR(__xludf.DUMMYFUNCTION("split(J593,""*"")"),"Delivered")</f>
        <v>Delivered</v>
      </c>
      <c r="P593" s="14" t="str">
        <f>IFERROR(__xludf.DUMMYFUNCTION("""COMPUTED_VALUE"""),"Customer Service: Seamless and easy")</f>
        <v>Customer Service: Seamless and easy</v>
      </c>
      <c r="Q593" s="14" t="str">
        <f>IFERROR(__xludf.DUMMYFUNCTION("split(P593,"":"")"),"Customer Service")</f>
        <v>Customer Service</v>
      </c>
      <c r="R593" s="14" t="str">
        <f>IFERROR(__xludf.DUMMYFUNCTION("""COMPUTED_VALUE""")," Seamless and easy")</f>
        <v> Seamless and easy</v>
      </c>
      <c r="S593" s="14" t="str">
        <f t="shared" ref="S593:U593" si="1189">trim(B593)</f>
        <v>ord_10584</v>
      </c>
      <c r="T593" s="14" t="str">
        <f t="shared" si="1189"/>
        <v>Anaya Rao</v>
      </c>
      <c r="U593" s="14" t="str">
        <f t="shared" si="1189"/>
        <v>Colaba</v>
      </c>
      <c r="V593" s="14" t="str">
        <f t="shared" si="4"/>
        <v>Icecream</v>
      </c>
      <c r="W593" s="14">
        <f t="shared" si="5"/>
        <v>3</v>
      </c>
      <c r="X593" s="14" t="str">
        <f t="shared" si="6"/>
        <v>Ramesh S</v>
      </c>
      <c r="Y593" s="15">
        <f t="shared" si="7"/>
        <v>44934</v>
      </c>
      <c r="Z593" s="14" t="str">
        <f t="shared" si="8"/>
        <v>COD</v>
      </c>
      <c r="AA593" s="14" t="str">
        <f t="shared" si="9"/>
        <v>Delivered</v>
      </c>
      <c r="AB593" s="14" t="str">
        <f t="shared" ref="AB593:AC593" si="1190">trim(Q593)</f>
        <v>Customer Service</v>
      </c>
      <c r="AC593" s="14" t="str">
        <f t="shared" si="1190"/>
        <v>Seamless and easy</v>
      </c>
      <c r="AD593" s="8"/>
    </row>
    <row r="594">
      <c r="A594" s="14" t="str">
        <f>IFERROR(__xludf.DUMMYFUNCTION("""COMPUTED_VALUE"""),"//ord_10585//Pranav Joshi//Andheri//Cold Coffee+2*Not Assigned/3/15/2023//Credit Card//Cancelled*App Glitches: Payment Button Malfunction")</f>
        <v>//ord_10585//Pranav Joshi//Andheri//Cold Coffee+2*Not Assigned/3/15/2023//Credit Card//Cancelled*App Glitches: Payment Button Malfunction</v>
      </c>
      <c r="B594" s="14" t="str">
        <f>IFERROR(__xludf.DUMMYFUNCTION("split(A594,""//"")"),"ord_10585")</f>
        <v>ord_10585</v>
      </c>
      <c r="C594" s="14" t="str">
        <f>IFERROR(__xludf.DUMMYFUNCTION("""COMPUTED_VALUE"""),"Pranav Joshi")</f>
        <v>Pranav Joshi</v>
      </c>
      <c r="D594" s="14" t="str">
        <f>IFERROR(__xludf.DUMMYFUNCTION("""COMPUTED_VALUE"""),"Andheri")</f>
        <v>Andheri</v>
      </c>
      <c r="E594" s="14" t="str">
        <f>IFERROR(__xludf.DUMMYFUNCTION("""COMPUTED_VALUE"""),"Cold Coffee+2*Not Assigned")</f>
        <v>Cold Coffee+2*Not Assigned</v>
      </c>
      <c r="F594" s="14">
        <f>IFERROR(__xludf.DUMMYFUNCTION("""COMPUTED_VALUE"""),3.0)</f>
        <v>3</v>
      </c>
      <c r="G594" s="14">
        <f>IFERROR(__xludf.DUMMYFUNCTION("""COMPUTED_VALUE"""),15.0)</f>
        <v>15</v>
      </c>
      <c r="H594" s="14">
        <f>IFERROR(__xludf.DUMMYFUNCTION("""COMPUTED_VALUE"""),2023.0)</f>
        <v>2023</v>
      </c>
      <c r="I594" s="14" t="str">
        <f>IFERROR(__xludf.DUMMYFUNCTION("""COMPUTED_VALUE"""),"Credit Card")</f>
        <v>Credit Card</v>
      </c>
      <c r="J594" s="14" t="str">
        <f>IFERROR(__xludf.DUMMYFUNCTION("""COMPUTED_VALUE"""),"Cancelled*App Glitches: Payment Button Malfunction")</f>
        <v>Cancelled*App Glitches: Payment Button Malfunction</v>
      </c>
      <c r="K594" s="14" t="str">
        <f>IFERROR(__xludf.DUMMYFUNCTION("split(E594,""+"")"),"Cold Coffee")</f>
        <v>Cold Coffee</v>
      </c>
      <c r="L594" s="14" t="str">
        <f>IFERROR(__xludf.DUMMYFUNCTION("""COMPUTED_VALUE"""),"2*Not Assigned")</f>
        <v>2*Not Assigned</v>
      </c>
      <c r="M594" s="14">
        <f>IFERROR(__xludf.DUMMYFUNCTION("SPLIT(L594,""*"")"),2.0)</f>
        <v>2</v>
      </c>
      <c r="N594" s="14" t="str">
        <f>IFERROR(__xludf.DUMMYFUNCTION("""COMPUTED_VALUE"""),"Not Assigned")</f>
        <v>Not Assigned</v>
      </c>
      <c r="O594" s="14" t="str">
        <f>IFERROR(__xludf.DUMMYFUNCTION("split(J594,""*"")"),"Cancelled")</f>
        <v>Cancelled</v>
      </c>
      <c r="P594" s="14" t="str">
        <f>IFERROR(__xludf.DUMMYFUNCTION("""COMPUTED_VALUE"""),"App Glitches: Payment Button Malfunction")</f>
        <v>App Glitches: Payment Button Malfunction</v>
      </c>
      <c r="Q594" s="14" t="str">
        <f>IFERROR(__xludf.DUMMYFUNCTION("split(P594,"":"")"),"App Glitches")</f>
        <v>App Glitches</v>
      </c>
      <c r="R594" s="14" t="str">
        <f>IFERROR(__xludf.DUMMYFUNCTION("""COMPUTED_VALUE""")," Payment Button Malfunction")</f>
        <v> Payment Button Malfunction</v>
      </c>
      <c r="S594" s="14" t="str">
        <f t="shared" ref="S594:U594" si="1191">trim(B594)</f>
        <v>ord_10585</v>
      </c>
      <c r="T594" s="14" t="str">
        <f t="shared" si="1191"/>
        <v>Pranav Joshi</v>
      </c>
      <c r="U594" s="14" t="str">
        <f t="shared" si="1191"/>
        <v>Andheri</v>
      </c>
      <c r="V594" s="14" t="str">
        <f t="shared" si="4"/>
        <v>Cold Coffee</v>
      </c>
      <c r="W594" s="14">
        <f t="shared" si="5"/>
        <v>2</v>
      </c>
      <c r="X594" s="14" t="str">
        <f t="shared" si="6"/>
        <v>Not Assigned</v>
      </c>
      <c r="Y594" s="15">
        <f t="shared" si="7"/>
        <v>45000</v>
      </c>
      <c r="Z594" s="14" t="str">
        <f t="shared" si="8"/>
        <v>Credit Card</v>
      </c>
      <c r="AA594" s="14" t="str">
        <f t="shared" si="9"/>
        <v>Cancelled</v>
      </c>
      <c r="AB594" s="14" t="str">
        <f t="shared" ref="AB594:AC594" si="1192">trim(Q594)</f>
        <v>App Glitches</v>
      </c>
      <c r="AC594" s="14" t="str">
        <f t="shared" si="1192"/>
        <v>Payment Button Malfunction</v>
      </c>
      <c r="AD594" s="8"/>
    </row>
    <row r="595">
      <c r="A595" s="14" t="str">
        <f>IFERROR(__xludf.DUMMYFUNCTION("""COMPUTED_VALUE"""),"//ord_10586//Sakshi Tandon//Colaba//Papaya+1*Sita T/6/19/2023//Online Payment//Cancelled*Delayed Delivery:High Order Volume")</f>
        <v>//ord_10586//Sakshi Tandon//Colaba//Papaya+1*Sita T/6/19/2023//Online Payment//Cancelled*Delayed Delivery:High Order Volume</v>
      </c>
      <c r="B595" s="14" t="str">
        <f>IFERROR(__xludf.DUMMYFUNCTION("split(A595,""//"")"),"ord_10586")</f>
        <v>ord_10586</v>
      </c>
      <c r="C595" s="14" t="str">
        <f>IFERROR(__xludf.DUMMYFUNCTION("""COMPUTED_VALUE"""),"Sakshi Tandon")</f>
        <v>Sakshi Tandon</v>
      </c>
      <c r="D595" s="14" t="str">
        <f>IFERROR(__xludf.DUMMYFUNCTION("""COMPUTED_VALUE"""),"Colaba")</f>
        <v>Colaba</v>
      </c>
      <c r="E595" s="14" t="str">
        <f>IFERROR(__xludf.DUMMYFUNCTION("""COMPUTED_VALUE"""),"Papaya+1*Sita T")</f>
        <v>Papaya+1*Sita T</v>
      </c>
      <c r="F595" s="14">
        <f>IFERROR(__xludf.DUMMYFUNCTION("""COMPUTED_VALUE"""),6.0)</f>
        <v>6</v>
      </c>
      <c r="G595" s="14">
        <f>IFERROR(__xludf.DUMMYFUNCTION("""COMPUTED_VALUE"""),19.0)</f>
        <v>19</v>
      </c>
      <c r="H595" s="14">
        <f>IFERROR(__xludf.DUMMYFUNCTION("""COMPUTED_VALUE"""),2023.0)</f>
        <v>2023</v>
      </c>
      <c r="I595" s="14" t="str">
        <f>IFERROR(__xludf.DUMMYFUNCTION("""COMPUTED_VALUE"""),"Online Payment")</f>
        <v>Online Payment</v>
      </c>
      <c r="J595" s="14" t="str">
        <f>IFERROR(__xludf.DUMMYFUNCTION("""COMPUTED_VALUE"""),"Cancelled*Delayed Delivery:High Order Volume")</f>
        <v>Cancelled*Delayed Delivery:High Order Volume</v>
      </c>
      <c r="K595" s="14" t="str">
        <f>IFERROR(__xludf.DUMMYFUNCTION("split(E595,""+"")"),"Papaya")</f>
        <v>Papaya</v>
      </c>
      <c r="L595" s="14" t="str">
        <f>IFERROR(__xludf.DUMMYFUNCTION("""COMPUTED_VALUE"""),"1*Sita T")</f>
        <v>1*Sita T</v>
      </c>
      <c r="M595" s="14">
        <f>IFERROR(__xludf.DUMMYFUNCTION("SPLIT(L595,""*"")"),1.0)</f>
        <v>1</v>
      </c>
      <c r="N595" s="14" t="str">
        <f>IFERROR(__xludf.DUMMYFUNCTION("""COMPUTED_VALUE"""),"Sita T")</f>
        <v>Sita T</v>
      </c>
      <c r="O595" s="14" t="str">
        <f>IFERROR(__xludf.DUMMYFUNCTION("split(J595,""*"")"),"Cancelled")</f>
        <v>Cancelled</v>
      </c>
      <c r="P595" s="14" t="str">
        <f>IFERROR(__xludf.DUMMYFUNCTION("""COMPUTED_VALUE"""),"Delayed Delivery:High Order Volume")</f>
        <v>Delayed Delivery:High Order Volume</v>
      </c>
      <c r="Q595" s="14" t="str">
        <f>IFERROR(__xludf.DUMMYFUNCTION("split(P595,"":"")"),"Delayed Delivery")</f>
        <v>Delayed Delivery</v>
      </c>
      <c r="R595" s="14" t="str">
        <f>IFERROR(__xludf.DUMMYFUNCTION("""COMPUTED_VALUE"""),"High Order Volume")</f>
        <v>High Order Volume</v>
      </c>
      <c r="S595" s="14" t="str">
        <f t="shared" ref="S595:U595" si="1193">trim(B595)</f>
        <v>ord_10586</v>
      </c>
      <c r="T595" s="14" t="str">
        <f t="shared" si="1193"/>
        <v>Sakshi Tandon</v>
      </c>
      <c r="U595" s="14" t="str">
        <f t="shared" si="1193"/>
        <v>Colaba</v>
      </c>
      <c r="V595" s="14" t="str">
        <f t="shared" si="4"/>
        <v>Papaya</v>
      </c>
      <c r="W595" s="14">
        <f t="shared" si="5"/>
        <v>1</v>
      </c>
      <c r="X595" s="14" t="str">
        <f t="shared" si="6"/>
        <v>Sita T</v>
      </c>
      <c r="Y595" s="15">
        <f t="shared" si="7"/>
        <v>45096</v>
      </c>
      <c r="Z595" s="14" t="str">
        <f t="shared" si="8"/>
        <v>Online Payment</v>
      </c>
      <c r="AA595" s="14" t="str">
        <f t="shared" si="9"/>
        <v>Cancelled</v>
      </c>
      <c r="AB595" s="14" t="str">
        <f t="shared" ref="AB595:AC595" si="1194">trim(Q595)</f>
        <v>Delayed Delivery</v>
      </c>
      <c r="AC595" s="14" t="str">
        <f t="shared" si="1194"/>
        <v>High Order Volume</v>
      </c>
      <c r="AD595" s="8"/>
    </row>
    <row r="596">
      <c r="A596" s="14" t="str">
        <f>IFERROR(__xludf.DUMMYFUNCTION("""COMPUTED_VALUE"""),"//ord_10587//Parth Goel//Juhu//Juice+2*Not Assigned/2/4/2023//Credit Card//Cancelled*App Glitches: Payment Button Malfunction")</f>
        <v>//ord_10587//Parth Goel//Juhu//Juice+2*Not Assigned/2/4/2023//Credit Card//Cancelled*App Glitches: Payment Button Malfunction</v>
      </c>
      <c r="B596" s="14" t="str">
        <f>IFERROR(__xludf.DUMMYFUNCTION("split(A596,""//"")"),"ord_10587")</f>
        <v>ord_10587</v>
      </c>
      <c r="C596" s="14" t="str">
        <f>IFERROR(__xludf.DUMMYFUNCTION("""COMPUTED_VALUE"""),"Parth Goel")</f>
        <v>Parth Goel</v>
      </c>
      <c r="D596" s="14" t="str">
        <f>IFERROR(__xludf.DUMMYFUNCTION("""COMPUTED_VALUE"""),"Juhu")</f>
        <v>Juhu</v>
      </c>
      <c r="E596" s="14" t="str">
        <f>IFERROR(__xludf.DUMMYFUNCTION("""COMPUTED_VALUE"""),"Juice+2*Not Assigned")</f>
        <v>Juice+2*Not Assigned</v>
      </c>
      <c r="F596" s="14">
        <f>IFERROR(__xludf.DUMMYFUNCTION("""COMPUTED_VALUE"""),2.0)</f>
        <v>2</v>
      </c>
      <c r="G596" s="14">
        <f>IFERROR(__xludf.DUMMYFUNCTION("""COMPUTED_VALUE"""),4.0)</f>
        <v>4</v>
      </c>
      <c r="H596" s="14">
        <f>IFERROR(__xludf.DUMMYFUNCTION("""COMPUTED_VALUE"""),2023.0)</f>
        <v>2023</v>
      </c>
      <c r="I596" s="14" t="str">
        <f>IFERROR(__xludf.DUMMYFUNCTION("""COMPUTED_VALUE"""),"Credit Card")</f>
        <v>Credit Card</v>
      </c>
      <c r="J596" s="14" t="str">
        <f>IFERROR(__xludf.DUMMYFUNCTION("""COMPUTED_VALUE"""),"Cancelled*App Glitches: Payment Button Malfunction")</f>
        <v>Cancelled*App Glitches: Payment Button Malfunction</v>
      </c>
      <c r="K596" s="14" t="str">
        <f>IFERROR(__xludf.DUMMYFUNCTION("split(E596,""+"")"),"Juice")</f>
        <v>Juice</v>
      </c>
      <c r="L596" s="14" t="str">
        <f>IFERROR(__xludf.DUMMYFUNCTION("""COMPUTED_VALUE"""),"2*Not Assigned")</f>
        <v>2*Not Assigned</v>
      </c>
      <c r="M596" s="14">
        <f>IFERROR(__xludf.DUMMYFUNCTION("SPLIT(L596,""*"")"),2.0)</f>
        <v>2</v>
      </c>
      <c r="N596" s="14" t="str">
        <f>IFERROR(__xludf.DUMMYFUNCTION("""COMPUTED_VALUE"""),"Not Assigned")</f>
        <v>Not Assigned</v>
      </c>
      <c r="O596" s="14" t="str">
        <f>IFERROR(__xludf.DUMMYFUNCTION("split(J596,""*"")"),"Cancelled")</f>
        <v>Cancelled</v>
      </c>
      <c r="P596" s="14" t="str">
        <f>IFERROR(__xludf.DUMMYFUNCTION("""COMPUTED_VALUE"""),"App Glitches: Payment Button Malfunction")</f>
        <v>App Glitches: Payment Button Malfunction</v>
      </c>
      <c r="Q596" s="14" t="str">
        <f>IFERROR(__xludf.DUMMYFUNCTION("split(P596,"":"")"),"App Glitches")</f>
        <v>App Glitches</v>
      </c>
      <c r="R596" s="14" t="str">
        <f>IFERROR(__xludf.DUMMYFUNCTION("""COMPUTED_VALUE""")," Payment Button Malfunction")</f>
        <v> Payment Button Malfunction</v>
      </c>
      <c r="S596" s="14" t="str">
        <f t="shared" ref="S596:U596" si="1195">trim(B596)</f>
        <v>ord_10587</v>
      </c>
      <c r="T596" s="14" t="str">
        <f t="shared" si="1195"/>
        <v>Parth Goel</v>
      </c>
      <c r="U596" s="14" t="str">
        <f t="shared" si="1195"/>
        <v>Juhu</v>
      </c>
      <c r="V596" s="14" t="str">
        <f t="shared" si="4"/>
        <v>Juice</v>
      </c>
      <c r="W596" s="14">
        <f t="shared" si="5"/>
        <v>2</v>
      </c>
      <c r="X596" s="14" t="str">
        <f t="shared" si="6"/>
        <v>Not Assigned</v>
      </c>
      <c r="Y596" s="15">
        <f t="shared" si="7"/>
        <v>44961</v>
      </c>
      <c r="Z596" s="14" t="str">
        <f t="shared" si="8"/>
        <v>Credit Card</v>
      </c>
      <c r="AA596" s="14" t="str">
        <f t="shared" si="9"/>
        <v>Cancelled</v>
      </c>
      <c r="AB596" s="14" t="str">
        <f t="shared" ref="AB596:AC596" si="1196">trim(Q596)</f>
        <v>App Glitches</v>
      </c>
      <c r="AC596" s="14" t="str">
        <f t="shared" si="1196"/>
        <v>Payment Button Malfunction</v>
      </c>
      <c r="AD596" s="8"/>
    </row>
    <row r="597">
      <c r="A597" s="14" t="str">
        <f>IFERROR(__xludf.DUMMYFUNCTION("""COMPUTED_VALUE"""),"//ord_10588//Anaya Rao//Colaba//Onion+2*Not Assigned/3/18/2023//UPI//Cancelled*App Glitches:App Freezes")</f>
        <v>//ord_10588//Anaya Rao//Colaba//Onion+2*Not Assigned/3/18/2023//UPI//Cancelled*App Glitches:App Freezes</v>
      </c>
      <c r="B597" s="14" t="str">
        <f>IFERROR(__xludf.DUMMYFUNCTION("split(A597,""//"")"),"ord_10588")</f>
        <v>ord_10588</v>
      </c>
      <c r="C597" s="14" t="str">
        <f>IFERROR(__xludf.DUMMYFUNCTION("""COMPUTED_VALUE"""),"Anaya Rao")</f>
        <v>Anaya Rao</v>
      </c>
      <c r="D597" s="14" t="str">
        <f>IFERROR(__xludf.DUMMYFUNCTION("""COMPUTED_VALUE"""),"Colaba")</f>
        <v>Colaba</v>
      </c>
      <c r="E597" s="14" t="str">
        <f>IFERROR(__xludf.DUMMYFUNCTION("""COMPUTED_VALUE"""),"Onion+2*Not Assigned")</f>
        <v>Onion+2*Not Assigned</v>
      </c>
      <c r="F597" s="14">
        <f>IFERROR(__xludf.DUMMYFUNCTION("""COMPUTED_VALUE"""),3.0)</f>
        <v>3</v>
      </c>
      <c r="G597" s="14">
        <f>IFERROR(__xludf.DUMMYFUNCTION("""COMPUTED_VALUE"""),18.0)</f>
        <v>18</v>
      </c>
      <c r="H597" s="14">
        <f>IFERROR(__xludf.DUMMYFUNCTION("""COMPUTED_VALUE"""),2023.0)</f>
        <v>2023</v>
      </c>
      <c r="I597" s="14" t="str">
        <f>IFERROR(__xludf.DUMMYFUNCTION("""COMPUTED_VALUE"""),"UPI")</f>
        <v>UPI</v>
      </c>
      <c r="J597" s="14" t="str">
        <f>IFERROR(__xludf.DUMMYFUNCTION("""COMPUTED_VALUE"""),"Cancelled*App Glitches:App Freezes")</f>
        <v>Cancelled*App Glitches:App Freezes</v>
      </c>
      <c r="K597" s="14" t="str">
        <f>IFERROR(__xludf.DUMMYFUNCTION("split(E597,""+"")"),"Onion")</f>
        <v>Onion</v>
      </c>
      <c r="L597" s="14" t="str">
        <f>IFERROR(__xludf.DUMMYFUNCTION("""COMPUTED_VALUE"""),"2*Not Assigned")</f>
        <v>2*Not Assigned</v>
      </c>
      <c r="M597" s="14">
        <f>IFERROR(__xludf.DUMMYFUNCTION("SPLIT(L597,""*"")"),2.0)</f>
        <v>2</v>
      </c>
      <c r="N597" s="14" t="str">
        <f>IFERROR(__xludf.DUMMYFUNCTION("""COMPUTED_VALUE"""),"Not Assigned")</f>
        <v>Not Assigned</v>
      </c>
      <c r="O597" s="14" t="str">
        <f>IFERROR(__xludf.DUMMYFUNCTION("split(J597,""*"")"),"Cancelled")</f>
        <v>Cancelled</v>
      </c>
      <c r="P597" s="14" t="str">
        <f>IFERROR(__xludf.DUMMYFUNCTION("""COMPUTED_VALUE"""),"App Glitches:App Freezes")</f>
        <v>App Glitches:App Freezes</v>
      </c>
      <c r="Q597" s="14" t="str">
        <f>IFERROR(__xludf.DUMMYFUNCTION("split(P597,"":"")"),"App Glitches")</f>
        <v>App Glitches</v>
      </c>
      <c r="R597" s="14" t="str">
        <f>IFERROR(__xludf.DUMMYFUNCTION("""COMPUTED_VALUE"""),"App Freezes")</f>
        <v>App Freezes</v>
      </c>
      <c r="S597" s="14" t="str">
        <f t="shared" ref="S597:U597" si="1197">trim(B597)</f>
        <v>ord_10588</v>
      </c>
      <c r="T597" s="14" t="str">
        <f t="shared" si="1197"/>
        <v>Anaya Rao</v>
      </c>
      <c r="U597" s="14" t="str">
        <f t="shared" si="1197"/>
        <v>Colaba</v>
      </c>
      <c r="V597" s="14" t="str">
        <f t="shared" si="4"/>
        <v>Onion</v>
      </c>
      <c r="W597" s="14">
        <f t="shared" si="5"/>
        <v>2</v>
      </c>
      <c r="X597" s="14" t="str">
        <f t="shared" si="6"/>
        <v>Not Assigned</v>
      </c>
      <c r="Y597" s="15">
        <f t="shared" si="7"/>
        <v>45003</v>
      </c>
      <c r="Z597" s="14" t="str">
        <f t="shared" si="8"/>
        <v>UPI</v>
      </c>
      <c r="AA597" s="14" t="str">
        <f t="shared" si="9"/>
        <v>Cancelled</v>
      </c>
      <c r="AB597" s="14" t="str">
        <f t="shared" ref="AB597:AC597" si="1198">trim(Q597)</f>
        <v>App Glitches</v>
      </c>
      <c r="AC597" s="14" t="str">
        <f t="shared" si="1198"/>
        <v>App Freezes</v>
      </c>
      <c r="AD597" s="8"/>
    </row>
    <row r="598">
      <c r="A598" s="14" t="str">
        <f>IFERROR(__xludf.DUMMYFUNCTION("""COMPUTED_VALUE"""),"//ord_10589//Aditi Iyer//Dadar//Popcorn+5*Nithin Lal/8/1/2023//Online Payment//Delivered*Delivery Experience: Quick and professional")</f>
        <v>//ord_10589//Aditi Iyer//Dadar//Popcorn+5*Nithin Lal/8/1/2023//Online Payment//Delivered*Delivery Experience: Quick and professional</v>
      </c>
      <c r="B598" s="14" t="str">
        <f>IFERROR(__xludf.DUMMYFUNCTION("split(A598,""//"")"),"ord_10589")</f>
        <v>ord_10589</v>
      </c>
      <c r="C598" s="14" t="str">
        <f>IFERROR(__xludf.DUMMYFUNCTION("""COMPUTED_VALUE"""),"Aditi Iyer")</f>
        <v>Aditi Iyer</v>
      </c>
      <c r="D598" s="14" t="str">
        <f>IFERROR(__xludf.DUMMYFUNCTION("""COMPUTED_VALUE"""),"Dadar")</f>
        <v>Dadar</v>
      </c>
      <c r="E598" s="14" t="str">
        <f>IFERROR(__xludf.DUMMYFUNCTION("""COMPUTED_VALUE"""),"Popcorn+5*Nithin Lal")</f>
        <v>Popcorn+5*Nithin Lal</v>
      </c>
      <c r="F598" s="14">
        <f>IFERROR(__xludf.DUMMYFUNCTION("""COMPUTED_VALUE"""),8.0)</f>
        <v>8</v>
      </c>
      <c r="G598" s="14">
        <f>IFERROR(__xludf.DUMMYFUNCTION("""COMPUTED_VALUE"""),1.0)</f>
        <v>1</v>
      </c>
      <c r="H598" s="14">
        <f>IFERROR(__xludf.DUMMYFUNCTION("""COMPUTED_VALUE"""),2023.0)</f>
        <v>2023</v>
      </c>
      <c r="I598" s="14" t="str">
        <f>IFERROR(__xludf.DUMMYFUNCTION("""COMPUTED_VALUE"""),"Online Payment")</f>
        <v>Online Payment</v>
      </c>
      <c r="J598" s="14" t="str">
        <f>IFERROR(__xludf.DUMMYFUNCTION("""COMPUTED_VALUE"""),"Delivered*Delivery Experience: Quick and professional")</f>
        <v>Delivered*Delivery Experience: Quick and professional</v>
      </c>
      <c r="K598" s="14" t="str">
        <f>IFERROR(__xludf.DUMMYFUNCTION("split(E598,""+"")"),"Popcorn")</f>
        <v>Popcorn</v>
      </c>
      <c r="L598" s="14" t="str">
        <f>IFERROR(__xludf.DUMMYFUNCTION("""COMPUTED_VALUE"""),"5*Nithin Lal")</f>
        <v>5*Nithin Lal</v>
      </c>
      <c r="M598" s="14">
        <f>IFERROR(__xludf.DUMMYFUNCTION("SPLIT(L598,""*"")"),5.0)</f>
        <v>5</v>
      </c>
      <c r="N598" s="14" t="str">
        <f>IFERROR(__xludf.DUMMYFUNCTION("""COMPUTED_VALUE"""),"Nithin Lal")</f>
        <v>Nithin Lal</v>
      </c>
      <c r="O598" s="14" t="str">
        <f>IFERROR(__xludf.DUMMYFUNCTION("split(J598,""*"")"),"Delivered")</f>
        <v>Delivered</v>
      </c>
      <c r="P598" s="14" t="str">
        <f>IFERROR(__xludf.DUMMYFUNCTION("""COMPUTED_VALUE"""),"Delivery Experience: Quick and professional")</f>
        <v>Delivery Experience: Quick and professional</v>
      </c>
      <c r="Q598" s="14" t="str">
        <f>IFERROR(__xludf.DUMMYFUNCTION("split(P598,"":"")"),"Delivery Experience")</f>
        <v>Delivery Experience</v>
      </c>
      <c r="R598" s="14" t="str">
        <f>IFERROR(__xludf.DUMMYFUNCTION("""COMPUTED_VALUE""")," Quick and professional")</f>
        <v> Quick and professional</v>
      </c>
      <c r="S598" s="14" t="str">
        <f t="shared" ref="S598:U598" si="1199">trim(B598)</f>
        <v>ord_10589</v>
      </c>
      <c r="T598" s="14" t="str">
        <f t="shared" si="1199"/>
        <v>Aditi Iyer</v>
      </c>
      <c r="U598" s="14" t="str">
        <f t="shared" si="1199"/>
        <v>Dadar</v>
      </c>
      <c r="V598" s="14" t="str">
        <f t="shared" si="4"/>
        <v>Popcorn</v>
      </c>
      <c r="W598" s="14">
        <f t="shared" si="5"/>
        <v>5</v>
      </c>
      <c r="X598" s="14" t="str">
        <f t="shared" si="6"/>
        <v>Nithin Lal</v>
      </c>
      <c r="Y598" s="15">
        <f t="shared" si="7"/>
        <v>45139</v>
      </c>
      <c r="Z598" s="14" t="str">
        <f t="shared" si="8"/>
        <v>Online Payment</v>
      </c>
      <c r="AA598" s="14" t="str">
        <f t="shared" si="9"/>
        <v>Delivered</v>
      </c>
      <c r="AB598" s="14" t="str">
        <f t="shared" ref="AB598:AC598" si="1200">trim(Q598)</f>
        <v>Delivery Experience</v>
      </c>
      <c r="AC598" s="14" t="str">
        <f t="shared" si="1200"/>
        <v>Quick and professional</v>
      </c>
      <c r="AD598" s="8"/>
    </row>
    <row r="599">
      <c r="A599" s="14" t="str">
        <f>IFERROR(__xludf.DUMMYFUNCTION("""COMPUTED_VALUE"""),"//ord_10590//Siya Reddy//Juhu//Chicken Puff+3*Sandeep Kumar/6/20/2023//Credit Card//Cancelled*Delayed Delivery:Bad Weather Conditions ")</f>
        <v>//ord_10590//Siya Reddy//Juhu//Chicken Puff+3*Sandeep Kumar/6/20/2023//Credit Card//Cancelled*Delayed Delivery:Bad Weather Conditions </v>
      </c>
      <c r="B599" s="14" t="str">
        <f>IFERROR(__xludf.DUMMYFUNCTION("split(A599,""//"")"),"ord_10590")</f>
        <v>ord_10590</v>
      </c>
      <c r="C599" s="14" t="str">
        <f>IFERROR(__xludf.DUMMYFUNCTION("""COMPUTED_VALUE"""),"Siya Reddy")</f>
        <v>Siya Reddy</v>
      </c>
      <c r="D599" s="14" t="str">
        <f>IFERROR(__xludf.DUMMYFUNCTION("""COMPUTED_VALUE"""),"Juhu")</f>
        <v>Juhu</v>
      </c>
      <c r="E599" s="14" t="str">
        <f>IFERROR(__xludf.DUMMYFUNCTION("""COMPUTED_VALUE"""),"Chicken Puff+3*Sandeep Kumar")</f>
        <v>Chicken Puff+3*Sandeep Kumar</v>
      </c>
      <c r="F599" s="14">
        <f>IFERROR(__xludf.DUMMYFUNCTION("""COMPUTED_VALUE"""),6.0)</f>
        <v>6</v>
      </c>
      <c r="G599" s="14">
        <f>IFERROR(__xludf.DUMMYFUNCTION("""COMPUTED_VALUE"""),20.0)</f>
        <v>20</v>
      </c>
      <c r="H599" s="14">
        <f>IFERROR(__xludf.DUMMYFUNCTION("""COMPUTED_VALUE"""),2023.0)</f>
        <v>2023</v>
      </c>
      <c r="I599" s="14" t="str">
        <f>IFERROR(__xludf.DUMMYFUNCTION("""COMPUTED_VALUE"""),"Credit Card")</f>
        <v>Credit Card</v>
      </c>
      <c r="J599" s="14" t="str">
        <f>IFERROR(__xludf.DUMMYFUNCTION("""COMPUTED_VALUE"""),"Cancelled*Delayed Delivery:Bad Weather Conditions ")</f>
        <v>Cancelled*Delayed Delivery:Bad Weather Conditions </v>
      </c>
      <c r="K599" s="14" t="str">
        <f>IFERROR(__xludf.DUMMYFUNCTION("split(E599,""+"")"),"Chicken Puff")</f>
        <v>Chicken Puff</v>
      </c>
      <c r="L599" s="14" t="str">
        <f>IFERROR(__xludf.DUMMYFUNCTION("""COMPUTED_VALUE"""),"3*Sandeep Kumar")</f>
        <v>3*Sandeep Kumar</v>
      </c>
      <c r="M599" s="14">
        <f>IFERROR(__xludf.DUMMYFUNCTION("SPLIT(L599,""*"")"),3.0)</f>
        <v>3</v>
      </c>
      <c r="N599" s="14" t="str">
        <f>IFERROR(__xludf.DUMMYFUNCTION("""COMPUTED_VALUE"""),"Sandeep Kumar")</f>
        <v>Sandeep Kumar</v>
      </c>
      <c r="O599" s="14" t="str">
        <f>IFERROR(__xludf.DUMMYFUNCTION("split(J599,""*"")"),"Cancelled")</f>
        <v>Cancelled</v>
      </c>
      <c r="P599" s="14" t="str">
        <f>IFERROR(__xludf.DUMMYFUNCTION("""COMPUTED_VALUE"""),"Delayed Delivery:Bad Weather Conditions ")</f>
        <v>Delayed Delivery:Bad Weather Conditions </v>
      </c>
      <c r="Q599" s="14" t="str">
        <f>IFERROR(__xludf.DUMMYFUNCTION("split(P599,"":"")"),"Delayed Delivery")</f>
        <v>Delayed Delivery</v>
      </c>
      <c r="R599" s="14" t="str">
        <f>IFERROR(__xludf.DUMMYFUNCTION("""COMPUTED_VALUE"""),"Bad Weather Conditions ")</f>
        <v>Bad Weather Conditions </v>
      </c>
      <c r="S599" s="14" t="str">
        <f t="shared" ref="S599:U599" si="1201">trim(B599)</f>
        <v>ord_10590</v>
      </c>
      <c r="T599" s="14" t="str">
        <f t="shared" si="1201"/>
        <v>Siya Reddy</v>
      </c>
      <c r="U599" s="14" t="str">
        <f t="shared" si="1201"/>
        <v>Juhu</v>
      </c>
      <c r="V599" s="14" t="str">
        <f t="shared" si="4"/>
        <v>Chicken Puff</v>
      </c>
      <c r="W599" s="14">
        <f t="shared" si="5"/>
        <v>3</v>
      </c>
      <c r="X599" s="14" t="str">
        <f t="shared" si="6"/>
        <v>Sandeep Kumar</v>
      </c>
      <c r="Y599" s="15">
        <f t="shared" si="7"/>
        <v>45097</v>
      </c>
      <c r="Z599" s="14" t="str">
        <f t="shared" si="8"/>
        <v>Credit Card</v>
      </c>
      <c r="AA599" s="14" t="str">
        <f t="shared" si="9"/>
        <v>Cancelled</v>
      </c>
      <c r="AB599" s="14" t="str">
        <f t="shared" ref="AB599:AC599" si="1202">trim(Q599)</f>
        <v>Delayed Delivery</v>
      </c>
      <c r="AC599" s="14" t="str">
        <f t="shared" si="1202"/>
        <v>Bad Weather Conditions</v>
      </c>
      <c r="AD599" s="8"/>
    </row>
    <row r="600">
      <c r="A600" s="14" t="str">
        <f>IFERROR(__xludf.DUMMYFUNCTION("""COMPUTED_VALUE"""),"//ord_10591//Sanjay Nair//Dadar//Icecream+4*Ramesh S/2/13/2023//Online Payment//Cancelled*Delayed Delivery:Heavy Traffic")</f>
        <v>//ord_10591//Sanjay Nair//Dadar//Icecream+4*Ramesh S/2/13/2023//Online Payment//Cancelled*Delayed Delivery:Heavy Traffic</v>
      </c>
      <c r="B600" s="14" t="str">
        <f>IFERROR(__xludf.DUMMYFUNCTION("split(A600,""//"")"),"ord_10591")</f>
        <v>ord_10591</v>
      </c>
      <c r="C600" s="14" t="str">
        <f>IFERROR(__xludf.DUMMYFUNCTION("""COMPUTED_VALUE"""),"Sanjay Nair")</f>
        <v>Sanjay Nair</v>
      </c>
      <c r="D600" s="14" t="str">
        <f>IFERROR(__xludf.DUMMYFUNCTION("""COMPUTED_VALUE"""),"Dadar")</f>
        <v>Dadar</v>
      </c>
      <c r="E600" s="14" t="str">
        <f>IFERROR(__xludf.DUMMYFUNCTION("""COMPUTED_VALUE"""),"Icecream+4*Ramesh S")</f>
        <v>Icecream+4*Ramesh S</v>
      </c>
      <c r="F600" s="14">
        <f>IFERROR(__xludf.DUMMYFUNCTION("""COMPUTED_VALUE"""),2.0)</f>
        <v>2</v>
      </c>
      <c r="G600" s="14">
        <f>IFERROR(__xludf.DUMMYFUNCTION("""COMPUTED_VALUE"""),13.0)</f>
        <v>13</v>
      </c>
      <c r="H600" s="14">
        <f>IFERROR(__xludf.DUMMYFUNCTION("""COMPUTED_VALUE"""),2023.0)</f>
        <v>2023</v>
      </c>
      <c r="I600" s="14" t="str">
        <f>IFERROR(__xludf.DUMMYFUNCTION("""COMPUTED_VALUE"""),"Online Payment")</f>
        <v>Online Payment</v>
      </c>
      <c r="J600" s="14" t="str">
        <f>IFERROR(__xludf.DUMMYFUNCTION("""COMPUTED_VALUE"""),"Cancelled*Delayed Delivery:Heavy Traffic")</f>
        <v>Cancelled*Delayed Delivery:Heavy Traffic</v>
      </c>
      <c r="K600" s="14" t="str">
        <f>IFERROR(__xludf.DUMMYFUNCTION("split(E600,""+"")"),"Icecream")</f>
        <v>Icecream</v>
      </c>
      <c r="L600" s="14" t="str">
        <f>IFERROR(__xludf.DUMMYFUNCTION("""COMPUTED_VALUE"""),"4*Ramesh S")</f>
        <v>4*Ramesh S</v>
      </c>
      <c r="M600" s="14">
        <f>IFERROR(__xludf.DUMMYFUNCTION("SPLIT(L600,""*"")"),4.0)</f>
        <v>4</v>
      </c>
      <c r="N600" s="14" t="str">
        <f>IFERROR(__xludf.DUMMYFUNCTION("""COMPUTED_VALUE"""),"Ramesh S")</f>
        <v>Ramesh S</v>
      </c>
      <c r="O600" s="14" t="str">
        <f>IFERROR(__xludf.DUMMYFUNCTION("split(J600,""*"")"),"Cancelled")</f>
        <v>Cancelled</v>
      </c>
      <c r="P600" s="14" t="str">
        <f>IFERROR(__xludf.DUMMYFUNCTION("""COMPUTED_VALUE"""),"Delayed Delivery:Heavy Traffic")</f>
        <v>Delayed Delivery:Heavy Traffic</v>
      </c>
      <c r="Q600" s="14" t="str">
        <f>IFERROR(__xludf.DUMMYFUNCTION("split(P600,"":"")"),"Delayed Delivery")</f>
        <v>Delayed Delivery</v>
      </c>
      <c r="R600" s="14" t="str">
        <f>IFERROR(__xludf.DUMMYFUNCTION("""COMPUTED_VALUE"""),"Heavy Traffic")</f>
        <v>Heavy Traffic</v>
      </c>
      <c r="S600" s="14" t="str">
        <f t="shared" ref="S600:U600" si="1203">trim(B600)</f>
        <v>ord_10591</v>
      </c>
      <c r="T600" s="14" t="str">
        <f t="shared" si="1203"/>
        <v>Sanjay Nair</v>
      </c>
      <c r="U600" s="14" t="str">
        <f t="shared" si="1203"/>
        <v>Dadar</v>
      </c>
      <c r="V600" s="14" t="str">
        <f t="shared" si="4"/>
        <v>Icecream</v>
      </c>
      <c r="W600" s="14">
        <f t="shared" si="5"/>
        <v>4</v>
      </c>
      <c r="X600" s="14" t="str">
        <f t="shared" si="6"/>
        <v>Ramesh S</v>
      </c>
      <c r="Y600" s="15">
        <f t="shared" si="7"/>
        <v>44970</v>
      </c>
      <c r="Z600" s="14" t="str">
        <f t="shared" si="8"/>
        <v>Online Payment</v>
      </c>
      <c r="AA600" s="14" t="str">
        <f t="shared" si="9"/>
        <v>Cancelled</v>
      </c>
      <c r="AB600" s="14" t="str">
        <f t="shared" ref="AB600:AC600" si="1204">trim(Q600)</f>
        <v>Delayed Delivery</v>
      </c>
      <c r="AC600" s="14" t="str">
        <f t="shared" si="1204"/>
        <v>Heavy Traffic</v>
      </c>
      <c r="AD600" s="8"/>
    </row>
    <row r="601">
      <c r="A601" s="14" t="str">
        <f>IFERROR(__xludf.DUMMYFUNCTION("""COMPUTED_VALUE"""),"//ord_10592//Mehul Thakkar//Malad//Veg Puff+1*Manju Ajay/7/13/2023//Credit Card//Delivered*Convenience: Easy tracking")</f>
        <v>//ord_10592//Mehul Thakkar//Malad//Veg Puff+1*Manju Ajay/7/13/2023//Credit Card//Delivered*Convenience: Easy tracking</v>
      </c>
      <c r="B601" s="14" t="str">
        <f>IFERROR(__xludf.DUMMYFUNCTION("split(A601,""//"")"),"ord_10592")</f>
        <v>ord_10592</v>
      </c>
      <c r="C601" s="14" t="str">
        <f>IFERROR(__xludf.DUMMYFUNCTION("""COMPUTED_VALUE"""),"Mehul Thakkar")</f>
        <v>Mehul Thakkar</v>
      </c>
      <c r="D601" s="14" t="str">
        <f>IFERROR(__xludf.DUMMYFUNCTION("""COMPUTED_VALUE"""),"Malad")</f>
        <v>Malad</v>
      </c>
      <c r="E601" s="14" t="str">
        <f>IFERROR(__xludf.DUMMYFUNCTION("""COMPUTED_VALUE"""),"Veg Puff+1*Manju Ajay")</f>
        <v>Veg Puff+1*Manju Ajay</v>
      </c>
      <c r="F601" s="14">
        <f>IFERROR(__xludf.DUMMYFUNCTION("""COMPUTED_VALUE"""),7.0)</f>
        <v>7</v>
      </c>
      <c r="G601" s="14">
        <f>IFERROR(__xludf.DUMMYFUNCTION("""COMPUTED_VALUE"""),13.0)</f>
        <v>13</v>
      </c>
      <c r="H601" s="14">
        <f>IFERROR(__xludf.DUMMYFUNCTION("""COMPUTED_VALUE"""),2023.0)</f>
        <v>2023</v>
      </c>
      <c r="I601" s="14" t="str">
        <f>IFERROR(__xludf.DUMMYFUNCTION("""COMPUTED_VALUE"""),"Credit Card")</f>
        <v>Credit Card</v>
      </c>
      <c r="J601" s="14" t="str">
        <f>IFERROR(__xludf.DUMMYFUNCTION("""COMPUTED_VALUE"""),"Delivered*Convenience: Easy tracking")</f>
        <v>Delivered*Convenience: Easy tracking</v>
      </c>
      <c r="K601" s="14" t="str">
        <f>IFERROR(__xludf.DUMMYFUNCTION("split(E601,""+"")"),"Veg Puff")</f>
        <v>Veg Puff</v>
      </c>
      <c r="L601" s="14" t="str">
        <f>IFERROR(__xludf.DUMMYFUNCTION("""COMPUTED_VALUE"""),"1*Manju Ajay")</f>
        <v>1*Manju Ajay</v>
      </c>
      <c r="M601" s="14">
        <f>IFERROR(__xludf.DUMMYFUNCTION("SPLIT(L601,""*"")"),1.0)</f>
        <v>1</v>
      </c>
      <c r="N601" s="14" t="str">
        <f>IFERROR(__xludf.DUMMYFUNCTION("""COMPUTED_VALUE"""),"Manju Ajay")</f>
        <v>Manju Ajay</v>
      </c>
      <c r="O601" s="14" t="str">
        <f>IFERROR(__xludf.DUMMYFUNCTION("split(J601,""*"")"),"Delivered")</f>
        <v>Delivered</v>
      </c>
      <c r="P601" s="14" t="str">
        <f>IFERROR(__xludf.DUMMYFUNCTION("""COMPUTED_VALUE"""),"Convenience: Easy tracking")</f>
        <v>Convenience: Easy tracking</v>
      </c>
      <c r="Q601" s="14" t="str">
        <f>IFERROR(__xludf.DUMMYFUNCTION("split(P601,"":"")"),"Convenience")</f>
        <v>Convenience</v>
      </c>
      <c r="R601" s="14" t="str">
        <f>IFERROR(__xludf.DUMMYFUNCTION("""COMPUTED_VALUE""")," Easy tracking")</f>
        <v> Easy tracking</v>
      </c>
      <c r="S601" s="14" t="str">
        <f t="shared" ref="S601:U601" si="1205">trim(B601)</f>
        <v>ord_10592</v>
      </c>
      <c r="T601" s="14" t="str">
        <f t="shared" si="1205"/>
        <v>Mehul Thakkar</v>
      </c>
      <c r="U601" s="14" t="str">
        <f t="shared" si="1205"/>
        <v>Malad</v>
      </c>
      <c r="V601" s="14" t="str">
        <f t="shared" si="4"/>
        <v>Veg Puff</v>
      </c>
      <c r="W601" s="14">
        <f t="shared" si="5"/>
        <v>1</v>
      </c>
      <c r="X601" s="14" t="str">
        <f t="shared" si="6"/>
        <v>Manju Ajay</v>
      </c>
      <c r="Y601" s="15">
        <f t="shared" si="7"/>
        <v>45120</v>
      </c>
      <c r="Z601" s="14" t="str">
        <f t="shared" si="8"/>
        <v>Credit Card</v>
      </c>
      <c r="AA601" s="14" t="str">
        <f t="shared" si="9"/>
        <v>Delivered</v>
      </c>
      <c r="AB601" s="14" t="str">
        <f t="shared" ref="AB601:AC601" si="1206">trim(Q601)</f>
        <v>Convenience</v>
      </c>
      <c r="AC601" s="14" t="str">
        <f t="shared" si="1206"/>
        <v>Easy tracking</v>
      </c>
      <c r="AD601" s="8"/>
    </row>
    <row r="602">
      <c r="A602" s="14" t="str">
        <f>IFERROR(__xludf.DUMMYFUNCTION("""COMPUTED_VALUE"""),"//ord_10593//Anaya Rao//Colaba//Cold Coffee+1*Shine Thomas/7/16/2023//COD//Delivered*Overall Satisfaction: Great service will order again")</f>
        <v>//ord_10593//Anaya Rao//Colaba//Cold Coffee+1*Shine Thomas/7/16/2023//COD//Delivered*Overall Satisfaction: Great service will order again</v>
      </c>
      <c r="B602" s="14" t="str">
        <f>IFERROR(__xludf.DUMMYFUNCTION("split(A602,""//"")"),"ord_10593")</f>
        <v>ord_10593</v>
      </c>
      <c r="C602" s="14" t="str">
        <f>IFERROR(__xludf.DUMMYFUNCTION("""COMPUTED_VALUE"""),"Anaya Rao")</f>
        <v>Anaya Rao</v>
      </c>
      <c r="D602" s="14" t="str">
        <f>IFERROR(__xludf.DUMMYFUNCTION("""COMPUTED_VALUE"""),"Colaba")</f>
        <v>Colaba</v>
      </c>
      <c r="E602" s="14" t="str">
        <f>IFERROR(__xludf.DUMMYFUNCTION("""COMPUTED_VALUE"""),"Cold Coffee+1*Shine Thomas")</f>
        <v>Cold Coffee+1*Shine Thomas</v>
      </c>
      <c r="F602" s="14">
        <f>IFERROR(__xludf.DUMMYFUNCTION("""COMPUTED_VALUE"""),7.0)</f>
        <v>7</v>
      </c>
      <c r="G602" s="14">
        <f>IFERROR(__xludf.DUMMYFUNCTION("""COMPUTED_VALUE"""),16.0)</f>
        <v>16</v>
      </c>
      <c r="H602" s="14">
        <f>IFERROR(__xludf.DUMMYFUNCTION("""COMPUTED_VALUE"""),2023.0)</f>
        <v>2023</v>
      </c>
      <c r="I602" s="14" t="str">
        <f>IFERROR(__xludf.DUMMYFUNCTION("""COMPUTED_VALUE"""),"COD")</f>
        <v>COD</v>
      </c>
      <c r="J602" s="14" t="str">
        <f>IFERROR(__xludf.DUMMYFUNCTION("""COMPUTED_VALUE"""),"Delivered*Overall Satisfaction: Great service will order again")</f>
        <v>Delivered*Overall Satisfaction: Great service will order again</v>
      </c>
      <c r="K602" s="14" t="str">
        <f>IFERROR(__xludf.DUMMYFUNCTION("split(E602,""+"")"),"Cold Coffee")</f>
        <v>Cold Coffee</v>
      </c>
      <c r="L602" s="14" t="str">
        <f>IFERROR(__xludf.DUMMYFUNCTION("""COMPUTED_VALUE"""),"1*Shine Thomas")</f>
        <v>1*Shine Thomas</v>
      </c>
      <c r="M602" s="14">
        <f>IFERROR(__xludf.DUMMYFUNCTION("SPLIT(L602,""*"")"),1.0)</f>
        <v>1</v>
      </c>
      <c r="N602" s="14" t="str">
        <f>IFERROR(__xludf.DUMMYFUNCTION("""COMPUTED_VALUE"""),"Shine Thomas")</f>
        <v>Shine Thomas</v>
      </c>
      <c r="O602" s="14" t="str">
        <f>IFERROR(__xludf.DUMMYFUNCTION("split(J602,""*"")"),"Delivered")</f>
        <v>Delivered</v>
      </c>
      <c r="P602" s="14" t="str">
        <f>IFERROR(__xludf.DUMMYFUNCTION("""COMPUTED_VALUE"""),"Overall Satisfaction: Great service will order again")</f>
        <v>Overall Satisfaction: Great service will order again</v>
      </c>
      <c r="Q602" s="14" t="str">
        <f>IFERROR(__xludf.DUMMYFUNCTION("split(P602,"":"")"),"Overall Satisfaction")</f>
        <v>Overall Satisfaction</v>
      </c>
      <c r="R602" s="14" t="str">
        <f>IFERROR(__xludf.DUMMYFUNCTION("""COMPUTED_VALUE""")," Great service will order again")</f>
        <v> Great service will order again</v>
      </c>
      <c r="S602" s="14" t="str">
        <f t="shared" ref="S602:U602" si="1207">trim(B602)</f>
        <v>ord_10593</v>
      </c>
      <c r="T602" s="14" t="str">
        <f t="shared" si="1207"/>
        <v>Anaya Rao</v>
      </c>
      <c r="U602" s="14" t="str">
        <f t="shared" si="1207"/>
        <v>Colaba</v>
      </c>
      <c r="V602" s="14" t="str">
        <f t="shared" si="4"/>
        <v>Cold Coffee</v>
      </c>
      <c r="W602" s="14">
        <f t="shared" si="5"/>
        <v>1</v>
      </c>
      <c r="X602" s="14" t="str">
        <f t="shared" si="6"/>
        <v>Shine Thomas</v>
      </c>
      <c r="Y602" s="15">
        <f t="shared" si="7"/>
        <v>45123</v>
      </c>
      <c r="Z602" s="14" t="str">
        <f t="shared" si="8"/>
        <v>COD</v>
      </c>
      <c r="AA602" s="14" t="str">
        <f t="shared" si="9"/>
        <v>Delivered</v>
      </c>
      <c r="AB602" s="14" t="str">
        <f t="shared" ref="AB602:AC602" si="1208">trim(Q602)</f>
        <v>Overall Satisfaction</v>
      </c>
      <c r="AC602" s="14" t="str">
        <f t="shared" si="1208"/>
        <v>Great service will order again</v>
      </c>
      <c r="AD602" s="8"/>
    </row>
    <row r="603">
      <c r="A603" s="14" t="str">
        <f>IFERROR(__xludf.DUMMYFUNCTION("""COMPUTED_VALUE"""),"//ord_10594//Arvind Kulkarni//Juhu//Potato+1*Nithin Lal/1/16/2023//Credit Card//Delivered*On-time Delivery: Delivered on time")</f>
        <v>//ord_10594//Arvind Kulkarni//Juhu//Potato+1*Nithin Lal/1/16/2023//Credit Card//Delivered*On-time Delivery: Delivered on time</v>
      </c>
      <c r="B603" s="14" t="str">
        <f>IFERROR(__xludf.DUMMYFUNCTION("split(A603,""//"")"),"ord_10594")</f>
        <v>ord_10594</v>
      </c>
      <c r="C603" s="14" t="str">
        <f>IFERROR(__xludf.DUMMYFUNCTION("""COMPUTED_VALUE"""),"Arvind Kulkarni")</f>
        <v>Arvind Kulkarni</v>
      </c>
      <c r="D603" s="14" t="str">
        <f>IFERROR(__xludf.DUMMYFUNCTION("""COMPUTED_VALUE"""),"Juhu")</f>
        <v>Juhu</v>
      </c>
      <c r="E603" s="14" t="str">
        <f>IFERROR(__xludf.DUMMYFUNCTION("""COMPUTED_VALUE"""),"Potato+1*Nithin Lal")</f>
        <v>Potato+1*Nithin Lal</v>
      </c>
      <c r="F603" s="14">
        <f>IFERROR(__xludf.DUMMYFUNCTION("""COMPUTED_VALUE"""),1.0)</f>
        <v>1</v>
      </c>
      <c r="G603" s="14">
        <f>IFERROR(__xludf.DUMMYFUNCTION("""COMPUTED_VALUE"""),16.0)</f>
        <v>16</v>
      </c>
      <c r="H603" s="14">
        <f>IFERROR(__xludf.DUMMYFUNCTION("""COMPUTED_VALUE"""),2023.0)</f>
        <v>2023</v>
      </c>
      <c r="I603" s="14" t="str">
        <f>IFERROR(__xludf.DUMMYFUNCTION("""COMPUTED_VALUE"""),"Credit Card")</f>
        <v>Credit Card</v>
      </c>
      <c r="J603" s="14" t="str">
        <f>IFERROR(__xludf.DUMMYFUNCTION("""COMPUTED_VALUE"""),"Delivered*On-time Delivery: Delivered on time")</f>
        <v>Delivered*On-time Delivery: Delivered on time</v>
      </c>
      <c r="K603" s="14" t="str">
        <f>IFERROR(__xludf.DUMMYFUNCTION("split(E603,""+"")"),"Potato")</f>
        <v>Potato</v>
      </c>
      <c r="L603" s="14" t="str">
        <f>IFERROR(__xludf.DUMMYFUNCTION("""COMPUTED_VALUE"""),"1*Nithin Lal")</f>
        <v>1*Nithin Lal</v>
      </c>
      <c r="M603" s="14">
        <f>IFERROR(__xludf.DUMMYFUNCTION("SPLIT(L603,""*"")"),1.0)</f>
        <v>1</v>
      </c>
      <c r="N603" s="14" t="str">
        <f>IFERROR(__xludf.DUMMYFUNCTION("""COMPUTED_VALUE"""),"Nithin Lal")</f>
        <v>Nithin Lal</v>
      </c>
      <c r="O603" s="14" t="str">
        <f>IFERROR(__xludf.DUMMYFUNCTION("split(J603,""*"")"),"Delivered")</f>
        <v>Delivered</v>
      </c>
      <c r="P603" s="14" t="str">
        <f>IFERROR(__xludf.DUMMYFUNCTION("""COMPUTED_VALUE"""),"On-time Delivery: Delivered on time")</f>
        <v>On-time Delivery: Delivered on time</v>
      </c>
      <c r="Q603" s="14" t="str">
        <f>IFERROR(__xludf.DUMMYFUNCTION("split(P603,"":"")"),"On-time Delivery")</f>
        <v>On-time Delivery</v>
      </c>
      <c r="R603" s="14" t="str">
        <f>IFERROR(__xludf.DUMMYFUNCTION("""COMPUTED_VALUE""")," Delivered on time")</f>
        <v> Delivered on time</v>
      </c>
      <c r="S603" s="14" t="str">
        <f t="shared" ref="S603:U603" si="1209">trim(B603)</f>
        <v>ord_10594</v>
      </c>
      <c r="T603" s="14" t="str">
        <f t="shared" si="1209"/>
        <v>Arvind Kulkarni</v>
      </c>
      <c r="U603" s="14" t="str">
        <f t="shared" si="1209"/>
        <v>Juhu</v>
      </c>
      <c r="V603" s="14" t="str">
        <f t="shared" si="4"/>
        <v>Potato</v>
      </c>
      <c r="W603" s="14">
        <f t="shared" si="5"/>
        <v>1</v>
      </c>
      <c r="X603" s="14" t="str">
        <f t="shared" si="6"/>
        <v>Nithin Lal</v>
      </c>
      <c r="Y603" s="15">
        <f t="shared" si="7"/>
        <v>44942</v>
      </c>
      <c r="Z603" s="14" t="str">
        <f t="shared" si="8"/>
        <v>Credit Card</v>
      </c>
      <c r="AA603" s="14" t="str">
        <f t="shared" si="9"/>
        <v>Delivered</v>
      </c>
      <c r="AB603" s="14" t="str">
        <f t="shared" ref="AB603:AC603" si="1210">trim(Q603)</f>
        <v>On-time Delivery</v>
      </c>
      <c r="AC603" s="14" t="str">
        <f t="shared" si="1210"/>
        <v>Delivered on time</v>
      </c>
      <c r="AD603" s="8"/>
    </row>
    <row r="604">
      <c r="A604" s="14" t="str">
        <f>IFERROR(__xludf.DUMMYFUNCTION("""COMPUTED_VALUE"""),"//ord_10595//Omkar Mishra//Powai//Chicken Puff+2*Ramesh S/5/3/2023//Online Payment//Delivered*Quality of Items: Perfect condition")</f>
        <v>//ord_10595//Omkar Mishra//Powai//Chicken Puff+2*Ramesh S/5/3/2023//Online Payment//Delivered*Quality of Items: Perfect condition</v>
      </c>
      <c r="B604" s="14" t="str">
        <f>IFERROR(__xludf.DUMMYFUNCTION("split(A604,""//"")"),"ord_10595")</f>
        <v>ord_10595</v>
      </c>
      <c r="C604" s="14" t="str">
        <f>IFERROR(__xludf.DUMMYFUNCTION("""COMPUTED_VALUE"""),"Omkar Mishra")</f>
        <v>Omkar Mishra</v>
      </c>
      <c r="D604" s="14" t="str">
        <f>IFERROR(__xludf.DUMMYFUNCTION("""COMPUTED_VALUE"""),"Powai")</f>
        <v>Powai</v>
      </c>
      <c r="E604" s="14" t="str">
        <f>IFERROR(__xludf.DUMMYFUNCTION("""COMPUTED_VALUE"""),"Chicken Puff+2*Ramesh S")</f>
        <v>Chicken Puff+2*Ramesh S</v>
      </c>
      <c r="F604" s="14">
        <f>IFERROR(__xludf.DUMMYFUNCTION("""COMPUTED_VALUE"""),5.0)</f>
        <v>5</v>
      </c>
      <c r="G604" s="14">
        <f>IFERROR(__xludf.DUMMYFUNCTION("""COMPUTED_VALUE"""),3.0)</f>
        <v>3</v>
      </c>
      <c r="H604" s="14">
        <f>IFERROR(__xludf.DUMMYFUNCTION("""COMPUTED_VALUE"""),2023.0)</f>
        <v>2023</v>
      </c>
      <c r="I604" s="14" t="str">
        <f>IFERROR(__xludf.DUMMYFUNCTION("""COMPUTED_VALUE"""),"Online Payment")</f>
        <v>Online Payment</v>
      </c>
      <c r="J604" s="14" t="str">
        <f>IFERROR(__xludf.DUMMYFUNCTION("""COMPUTED_VALUE"""),"Delivered*Quality of Items: Perfect condition")</f>
        <v>Delivered*Quality of Items: Perfect condition</v>
      </c>
      <c r="K604" s="14" t="str">
        <f>IFERROR(__xludf.DUMMYFUNCTION("split(E604,""+"")"),"Chicken Puff")</f>
        <v>Chicken Puff</v>
      </c>
      <c r="L604" s="14" t="str">
        <f>IFERROR(__xludf.DUMMYFUNCTION("""COMPUTED_VALUE"""),"2*Ramesh S")</f>
        <v>2*Ramesh S</v>
      </c>
      <c r="M604" s="14">
        <f>IFERROR(__xludf.DUMMYFUNCTION("SPLIT(L604,""*"")"),2.0)</f>
        <v>2</v>
      </c>
      <c r="N604" s="14" t="str">
        <f>IFERROR(__xludf.DUMMYFUNCTION("""COMPUTED_VALUE"""),"Ramesh S")</f>
        <v>Ramesh S</v>
      </c>
      <c r="O604" s="14" t="str">
        <f>IFERROR(__xludf.DUMMYFUNCTION("split(J604,""*"")"),"Delivered")</f>
        <v>Delivered</v>
      </c>
      <c r="P604" s="14" t="str">
        <f>IFERROR(__xludf.DUMMYFUNCTION("""COMPUTED_VALUE"""),"Quality of Items: Perfect condition")</f>
        <v>Quality of Items: Perfect condition</v>
      </c>
      <c r="Q604" s="14" t="str">
        <f>IFERROR(__xludf.DUMMYFUNCTION("split(P604,"":"")"),"Quality of Items")</f>
        <v>Quality of Items</v>
      </c>
      <c r="R604" s="14" t="str">
        <f>IFERROR(__xludf.DUMMYFUNCTION("""COMPUTED_VALUE""")," Perfect condition")</f>
        <v> Perfect condition</v>
      </c>
      <c r="S604" s="14" t="str">
        <f t="shared" ref="S604:U604" si="1211">trim(B604)</f>
        <v>ord_10595</v>
      </c>
      <c r="T604" s="14" t="str">
        <f t="shared" si="1211"/>
        <v>Omkar Mishra</v>
      </c>
      <c r="U604" s="14" t="str">
        <f t="shared" si="1211"/>
        <v>Powai</v>
      </c>
      <c r="V604" s="14" t="str">
        <f t="shared" si="4"/>
        <v>Chicken Puff</v>
      </c>
      <c r="W604" s="14">
        <f t="shared" si="5"/>
        <v>2</v>
      </c>
      <c r="X604" s="14" t="str">
        <f t="shared" si="6"/>
        <v>Ramesh S</v>
      </c>
      <c r="Y604" s="15">
        <f t="shared" si="7"/>
        <v>45049</v>
      </c>
      <c r="Z604" s="14" t="str">
        <f t="shared" si="8"/>
        <v>Online Payment</v>
      </c>
      <c r="AA604" s="14" t="str">
        <f t="shared" si="9"/>
        <v>Delivered</v>
      </c>
      <c r="AB604" s="14" t="str">
        <f t="shared" ref="AB604:AC604" si="1212">trim(Q604)</f>
        <v>Quality of Items</v>
      </c>
      <c r="AC604" s="14" t="str">
        <f t="shared" si="1212"/>
        <v>Perfect condition</v>
      </c>
      <c r="AD604" s="8"/>
    </row>
    <row r="605">
      <c r="A605" s="14" t="str">
        <f>IFERROR(__xludf.DUMMYFUNCTION("""COMPUTED_VALUE"""),"//ord_10596//Diya Arora//Lower Parel//Rasmalai+2*Venu R/1/30/2023//Credit Card//Delivered*On-time Delivery: Delivered on time")</f>
        <v>//ord_10596//Diya Arora//Lower Parel//Rasmalai+2*Venu R/1/30/2023//Credit Card//Delivered*On-time Delivery: Delivered on time</v>
      </c>
      <c r="B605" s="14" t="str">
        <f>IFERROR(__xludf.DUMMYFUNCTION("split(A605,""//"")"),"ord_10596")</f>
        <v>ord_10596</v>
      </c>
      <c r="C605" s="14" t="str">
        <f>IFERROR(__xludf.DUMMYFUNCTION("""COMPUTED_VALUE"""),"Diya Arora")</f>
        <v>Diya Arora</v>
      </c>
      <c r="D605" s="14" t="str">
        <f>IFERROR(__xludf.DUMMYFUNCTION("""COMPUTED_VALUE"""),"Lower Parel")</f>
        <v>Lower Parel</v>
      </c>
      <c r="E605" s="14" t="str">
        <f>IFERROR(__xludf.DUMMYFUNCTION("""COMPUTED_VALUE"""),"Rasmalai+2*Venu R")</f>
        <v>Rasmalai+2*Venu R</v>
      </c>
      <c r="F605" s="14">
        <f>IFERROR(__xludf.DUMMYFUNCTION("""COMPUTED_VALUE"""),1.0)</f>
        <v>1</v>
      </c>
      <c r="G605" s="14">
        <f>IFERROR(__xludf.DUMMYFUNCTION("""COMPUTED_VALUE"""),30.0)</f>
        <v>30</v>
      </c>
      <c r="H605" s="14">
        <f>IFERROR(__xludf.DUMMYFUNCTION("""COMPUTED_VALUE"""),2023.0)</f>
        <v>2023</v>
      </c>
      <c r="I605" s="14" t="str">
        <f>IFERROR(__xludf.DUMMYFUNCTION("""COMPUTED_VALUE"""),"Credit Card")</f>
        <v>Credit Card</v>
      </c>
      <c r="J605" s="14" t="str">
        <f>IFERROR(__xludf.DUMMYFUNCTION("""COMPUTED_VALUE"""),"Delivered*On-time Delivery: Delivered on time")</f>
        <v>Delivered*On-time Delivery: Delivered on time</v>
      </c>
      <c r="K605" s="14" t="str">
        <f>IFERROR(__xludf.DUMMYFUNCTION("split(E605,""+"")"),"Rasmalai")</f>
        <v>Rasmalai</v>
      </c>
      <c r="L605" s="14" t="str">
        <f>IFERROR(__xludf.DUMMYFUNCTION("""COMPUTED_VALUE"""),"2*Venu R")</f>
        <v>2*Venu R</v>
      </c>
      <c r="M605" s="14">
        <f>IFERROR(__xludf.DUMMYFUNCTION("SPLIT(L605,""*"")"),2.0)</f>
        <v>2</v>
      </c>
      <c r="N605" s="14" t="str">
        <f>IFERROR(__xludf.DUMMYFUNCTION("""COMPUTED_VALUE"""),"Venu R")</f>
        <v>Venu R</v>
      </c>
      <c r="O605" s="14" t="str">
        <f>IFERROR(__xludf.DUMMYFUNCTION("split(J605,""*"")"),"Delivered")</f>
        <v>Delivered</v>
      </c>
      <c r="P605" s="14" t="str">
        <f>IFERROR(__xludf.DUMMYFUNCTION("""COMPUTED_VALUE"""),"On-time Delivery: Delivered on time")</f>
        <v>On-time Delivery: Delivered on time</v>
      </c>
      <c r="Q605" s="14" t="str">
        <f>IFERROR(__xludf.DUMMYFUNCTION("split(P605,"":"")"),"On-time Delivery")</f>
        <v>On-time Delivery</v>
      </c>
      <c r="R605" s="14" t="str">
        <f>IFERROR(__xludf.DUMMYFUNCTION("""COMPUTED_VALUE""")," Delivered on time")</f>
        <v> Delivered on time</v>
      </c>
      <c r="S605" s="14" t="str">
        <f t="shared" ref="S605:U605" si="1213">trim(B605)</f>
        <v>ord_10596</v>
      </c>
      <c r="T605" s="14" t="str">
        <f t="shared" si="1213"/>
        <v>Diya Arora</v>
      </c>
      <c r="U605" s="14" t="str">
        <f t="shared" si="1213"/>
        <v>Lower Parel</v>
      </c>
      <c r="V605" s="14" t="str">
        <f t="shared" si="4"/>
        <v>Rasmalai</v>
      </c>
      <c r="W605" s="14">
        <f t="shared" si="5"/>
        <v>2</v>
      </c>
      <c r="X605" s="14" t="str">
        <f t="shared" si="6"/>
        <v>Venu R</v>
      </c>
      <c r="Y605" s="15">
        <f t="shared" si="7"/>
        <v>44956</v>
      </c>
      <c r="Z605" s="14" t="str">
        <f t="shared" si="8"/>
        <v>Credit Card</v>
      </c>
      <c r="AA605" s="14" t="str">
        <f t="shared" si="9"/>
        <v>Delivered</v>
      </c>
      <c r="AB605" s="14" t="str">
        <f t="shared" ref="AB605:AC605" si="1214">trim(Q605)</f>
        <v>On-time Delivery</v>
      </c>
      <c r="AC605" s="14" t="str">
        <f t="shared" si="1214"/>
        <v>Delivered on time</v>
      </c>
      <c r="AD605" s="8"/>
    </row>
    <row r="606">
      <c r="A606" s="14" t="str">
        <f>IFERROR(__xludf.DUMMYFUNCTION("""COMPUTED_VALUE"""),"//ord_10597//Mehul Thakkar//Malad//Papaya+1*Not Assigned/7/24/2023//UPI//Cancelled*App Glitches:Slow Loading Time")</f>
        <v>//ord_10597//Mehul Thakkar//Malad//Papaya+1*Not Assigned/7/24/2023//UPI//Cancelled*App Glitches:Slow Loading Time</v>
      </c>
      <c r="B606" s="14" t="str">
        <f>IFERROR(__xludf.DUMMYFUNCTION("split(A606,""//"")"),"ord_10597")</f>
        <v>ord_10597</v>
      </c>
      <c r="C606" s="14" t="str">
        <f>IFERROR(__xludf.DUMMYFUNCTION("""COMPUTED_VALUE"""),"Mehul Thakkar")</f>
        <v>Mehul Thakkar</v>
      </c>
      <c r="D606" s="14" t="str">
        <f>IFERROR(__xludf.DUMMYFUNCTION("""COMPUTED_VALUE"""),"Malad")</f>
        <v>Malad</v>
      </c>
      <c r="E606" s="14" t="str">
        <f>IFERROR(__xludf.DUMMYFUNCTION("""COMPUTED_VALUE"""),"Papaya+1*Not Assigned")</f>
        <v>Papaya+1*Not Assigned</v>
      </c>
      <c r="F606" s="14">
        <f>IFERROR(__xludf.DUMMYFUNCTION("""COMPUTED_VALUE"""),7.0)</f>
        <v>7</v>
      </c>
      <c r="G606" s="14">
        <f>IFERROR(__xludf.DUMMYFUNCTION("""COMPUTED_VALUE"""),24.0)</f>
        <v>24</v>
      </c>
      <c r="H606" s="14">
        <f>IFERROR(__xludf.DUMMYFUNCTION("""COMPUTED_VALUE"""),2023.0)</f>
        <v>2023</v>
      </c>
      <c r="I606" s="14" t="str">
        <f>IFERROR(__xludf.DUMMYFUNCTION("""COMPUTED_VALUE"""),"UPI")</f>
        <v>UPI</v>
      </c>
      <c r="J606" s="14" t="str">
        <f>IFERROR(__xludf.DUMMYFUNCTION("""COMPUTED_VALUE"""),"Cancelled*App Glitches:Slow Loading Time")</f>
        <v>Cancelled*App Glitches:Slow Loading Time</v>
      </c>
      <c r="K606" s="14" t="str">
        <f>IFERROR(__xludf.DUMMYFUNCTION("split(E606,""+"")"),"Papaya")</f>
        <v>Papaya</v>
      </c>
      <c r="L606" s="14" t="str">
        <f>IFERROR(__xludf.DUMMYFUNCTION("""COMPUTED_VALUE"""),"1*Not Assigned")</f>
        <v>1*Not Assigned</v>
      </c>
      <c r="M606" s="14">
        <f>IFERROR(__xludf.DUMMYFUNCTION("SPLIT(L606,""*"")"),1.0)</f>
        <v>1</v>
      </c>
      <c r="N606" s="14" t="str">
        <f>IFERROR(__xludf.DUMMYFUNCTION("""COMPUTED_VALUE"""),"Not Assigned")</f>
        <v>Not Assigned</v>
      </c>
      <c r="O606" s="14" t="str">
        <f>IFERROR(__xludf.DUMMYFUNCTION("split(J606,""*"")"),"Cancelled")</f>
        <v>Cancelled</v>
      </c>
      <c r="P606" s="14" t="str">
        <f>IFERROR(__xludf.DUMMYFUNCTION("""COMPUTED_VALUE"""),"App Glitches:Slow Loading Time")</f>
        <v>App Glitches:Slow Loading Time</v>
      </c>
      <c r="Q606" s="14" t="str">
        <f>IFERROR(__xludf.DUMMYFUNCTION("split(P606,"":"")"),"App Glitches")</f>
        <v>App Glitches</v>
      </c>
      <c r="R606" s="14" t="str">
        <f>IFERROR(__xludf.DUMMYFUNCTION("""COMPUTED_VALUE"""),"Slow Loading Time")</f>
        <v>Slow Loading Time</v>
      </c>
      <c r="S606" s="14" t="str">
        <f t="shared" ref="S606:U606" si="1215">trim(B606)</f>
        <v>ord_10597</v>
      </c>
      <c r="T606" s="14" t="str">
        <f t="shared" si="1215"/>
        <v>Mehul Thakkar</v>
      </c>
      <c r="U606" s="14" t="str">
        <f t="shared" si="1215"/>
        <v>Malad</v>
      </c>
      <c r="V606" s="14" t="str">
        <f t="shared" si="4"/>
        <v>Papaya</v>
      </c>
      <c r="W606" s="14">
        <f t="shared" si="5"/>
        <v>1</v>
      </c>
      <c r="X606" s="14" t="str">
        <f t="shared" si="6"/>
        <v>Not Assigned</v>
      </c>
      <c r="Y606" s="15">
        <f t="shared" si="7"/>
        <v>45131</v>
      </c>
      <c r="Z606" s="14" t="str">
        <f t="shared" si="8"/>
        <v>UPI</v>
      </c>
      <c r="AA606" s="14" t="str">
        <f t="shared" si="9"/>
        <v>Cancelled</v>
      </c>
      <c r="AB606" s="14" t="str">
        <f t="shared" ref="AB606:AC606" si="1216">trim(Q606)</f>
        <v>App Glitches</v>
      </c>
      <c r="AC606" s="14" t="str">
        <f t="shared" si="1216"/>
        <v>Slow Loading Time</v>
      </c>
      <c r="AD606" s="8"/>
    </row>
    <row r="607">
      <c r="A607" s="14" t="str">
        <f>IFERROR(__xludf.DUMMYFUNCTION("""COMPUTED_VALUE"""),"//ord_10598//Dev Chauhan//Bandra//Tomato+2*Shine Thomas/11/6/2023//Credit Card//Delivered*Quality of Items: Perfect condition")</f>
        <v>//ord_10598//Dev Chauhan//Bandra//Tomato+2*Shine Thomas/11/6/2023//Credit Card//Delivered*Quality of Items: Perfect condition</v>
      </c>
      <c r="B607" s="14" t="str">
        <f>IFERROR(__xludf.DUMMYFUNCTION("split(A607,""//"")"),"ord_10598")</f>
        <v>ord_10598</v>
      </c>
      <c r="C607" s="14" t="str">
        <f>IFERROR(__xludf.DUMMYFUNCTION("""COMPUTED_VALUE"""),"Dev Chauhan")</f>
        <v>Dev Chauhan</v>
      </c>
      <c r="D607" s="14" t="str">
        <f>IFERROR(__xludf.DUMMYFUNCTION("""COMPUTED_VALUE"""),"Bandra")</f>
        <v>Bandra</v>
      </c>
      <c r="E607" s="14" t="str">
        <f>IFERROR(__xludf.DUMMYFUNCTION("""COMPUTED_VALUE"""),"Tomato+2*Shine Thomas")</f>
        <v>Tomato+2*Shine Thomas</v>
      </c>
      <c r="F607" s="14">
        <f>IFERROR(__xludf.DUMMYFUNCTION("""COMPUTED_VALUE"""),11.0)</f>
        <v>11</v>
      </c>
      <c r="G607" s="14">
        <f>IFERROR(__xludf.DUMMYFUNCTION("""COMPUTED_VALUE"""),6.0)</f>
        <v>6</v>
      </c>
      <c r="H607" s="14">
        <f>IFERROR(__xludf.DUMMYFUNCTION("""COMPUTED_VALUE"""),2023.0)</f>
        <v>2023</v>
      </c>
      <c r="I607" s="14" t="str">
        <f>IFERROR(__xludf.DUMMYFUNCTION("""COMPUTED_VALUE"""),"Credit Card")</f>
        <v>Credit Card</v>
      </c>
      <c r="J607" s="14" t="str">
        <f>IFERROR(__xludf.DUMMYFUNCTION("""COMPUTED_VALUE"""),"Delivered*Quality of Items: Perfect condition")</f>
        <v>Delivered*Quality of Items: Perfect condition</v>
      </c>
      <c r="K607" s="14" t="str">
        <f>IFERROR(__xludf.DUMMYFUNCTION("split(E607,""+"")"),"Tomato")</f>
        <v>Tomato</v>
      </c>
      <c r="L607" s="14" t="str">
        <f>IFERROR(__xludf.DUMMYFUNCTION("""COMPUTED_VALUE"""),"2*Shine Thomas")</f>
        <v>2*Shine Thomas</v>
      </c>
      <c r="M607" s="14">
        <f>IFERROR(__xludf.DUMMYFUNCTION("SPLIT(L607,""*"")"),2.0)</f>
        <v>2</v>
      </c>
      <c r="N607" s="14" t="str">
        <f>IFERROR(__xludf.DUMMYFUNCTION("""COMPUTED_VALUE"""),"Shine Thomas")</f>
        <v>Shine Thomas</v>
      </c>
      <c r="O607" s="14" t="str">
        <f>IFERROR(__xludf.DUMMYFUNCTION("split(J607,""*"")"),"Delivered")</f>
        <v>Delivered</v>
      </c>
      <c r="P607" s="14" t="str">
        <f>IFERROR(__xludf.DUMMYFUNCTION("""COMPUTED_VALUE"""),"Quality of Items: Perfect condition")</f>
        <v>Quality of Items: Perfect condition</v>
      </c>
      <c r="Q607" s="14" t="str">
        <f>IFERROR(__xludf.DUMMYFUNCTION("split(P607,"":"")"),"Quality of Items")</f>
        <v>Quality of Items</v>
      </c>
      <c r="R607" s="14" t="str">
        <f>IFERROR(__xludf.DUMMYFUNCTION("""COMPUTED_VALUE""")," Perfect condition")</f>
        <v> Perfect condition</v>
      </c>
      <c r="S607" s="14" t="str">
        <f t="shared" ref="S607:U607" si="1217">trim(B607)</f>
        <v>ord_10598</v>
      </c>
      <c r="T607" s="14" t="str">
        <f t="shared" si="1217"/>
        <v>Dev Chauhan</v>
      </c>
      <c r="U607" s="14" t="str">
        <f t="shared" si="1217"/>
        <v>Bandra</v>
      </c>
      <c r="V607" s="14" t="str">
        <f t="shared" si="4"/>
        <v>Tomato</v>
      </c>
      <c r="W607" s="14">
        <f t="shared" si="5"/>
        <v>2</v>
      </c>
      <c r="X607" s="14" t="str">
        <f t="shared" si="6"/>
        <v>Shine Thomas</v>
      </c>
      <c r="Y607" s="15">
        <f t="shared" si="7"/>
        <v>45236</v>
      </c>
      <c r="Z607" s="14" t="str">
        <f t="shared" si="8"/>
        <v>Credit Card</v>
      </c>
      <c r="AA607" s="14" t="str">
        <f t="shared" si="9"/>
        <v>Delivered</v>
      </c>
      <c r="AB607" s="14" t="str">
        <f t="shared" ref="AB607:AC607" si="1218">trim(Q607)</f>
        <v>Quality of Items</v>
      </c>
      <c r="AC607" s="14" t="str">
        <f t="shared" si="1218"/>
        <v>Perfect condition</v>
      </c>
      <c r="AD607" s="8"/>
    </row>
    <row r="608">
      <c r="A608" s="14" t="str">
        <f>IFERROR(__xludf.DUMMYFUNCTION("""COMPUTED_VALUE"""),"//ord_10599//Diya Arora//Lower Parel//Chicken Puff+5*Vivek Kumar/2/7/2023//UPI//Delivered*Packaging: Secure and intact")</f>
        <v>//ord_10599//Diya Arora//Lower Parel//Chicken Puff+5*Vivek Kumar/2/7/2023//UPI//Delivered*Packaging: Secure and intact</v>
      </c>
      <c r="B608" s="14" t="str">
        <f>IFERROR(__xludf.DUMMYFUNCTION("split(A608,""//"")"),"ord_10599")</f>
        <v>ord_10599</v>
      </c>
      <c r="C608" s="14" t="str">
        <f>IFERROR(__xludf.DUMMYFUNCTION("""COMPUTED_VALUE"""),"Diya Arora")</f>
        <v>Diya Arora</v>
      </c>
      <c r="D608" s="14" t="str">
        <f>IFERROR(__xludf.DUMMYFUNCTION("""COMPUTED_VALUE"""),"Lower Parel")</f>
        <v>Lower Parel</v>
      </c>
      <c r="E608" s="14" t="str">
        <f>IFERROR(__xludf.DUMMYFUNCTION("""COMPUTED_VALUE"""),"Chicken Puff+5*Vivek Kumar")</f>
        <v>Chicken Puff+5*Vivek Kumar</v>
      </c>
      <c r="F608" s="14">
        <f>IFERROR(__xludf.DUMMYFUNCTION("""COMPUTED_VALUE"""),2.0)</f>
        <v>2</v>
      </c>
      <c r="G608" s="14">
        <f>IFERROR(__xludf.DUMMYFUNCTION("""COMPUTED_VALUE"""),7.0)</f>
        <v>7</v>
      </c>
      <c r="H608" s="14">
        <f>IFERROR(__xludf.DUMMYFUNCTION("""COMPUTED_VALUE"""),2023.0)</f>
        <v>2023</v>
      </c>
      <c r="I608" s="14" t="str">
        <f>IFERROR(__xludf.DUMMYFUNCTION("""COMPUTED_VALUE"""),"UPI")</f>
        <v>UPI</v>
      </c>
      <c r="J608" s="14" t="str">
        <f>IFERROR(__xludf.DUMMYFUNCTION("""COMPUTED_VALUE"""),"Delivered*Packaging: Secure and intact")</f>
        <v>Delivered*Packaging: Secure and intact</v>
      </c>
      <c r="K608" s="14" t="str">
        <f>IFERROR(__xludf.DUMMYFUNCTION("split(E608,""+"")"),"Chicken Puff")</f>
        <v>Chicken Puff</v>
      </c>
      <c r="L608" s="14" t="str">
        <f>IFERROR(__xludf.DUMMYFUNCTION("""COMPUTED_VALUE"""),"5*Vivek Kumar")</f>
        <v>5*Vivek Kumar</v>
      </c>
      <c r="M608" s="14">
        <f>IFERROR(__xludf.DUMMYFUNCTION("SPLIT(L608,""*"")"),5.0)</f>
        <v>5</v>
      </c>
      <c r="N608" s="14" t="str">
        <f>IFERROR(__xludf.DUMMYFUNCTION("""COMPUTED_VALUE"""),"Vivek Kumar")</f>
        <v>Vivek Kumar</v>
      </c>
      <c r="O608" s="14" t="str">
        <f>IFERROR(__xludf.DUMMYFUNCTION("split(J608,""*"")"),"Delivered")</f>
        <v>Delivered</v>
      </c>
      <c r="P608" s="14" t="str">
        <f>IFERROR(__xludf.DUMMYFUNCTION("""COMPUTED_VALUE"""),"Packaging: Secure and intact")</f>
        <v>Packaging: Secure and intact</v>
      </c>
      <c r="Q608" s="14" t="str">
        <f>IFERROR(__xludf.DUMMYFUNCTION("split(P608,"":"")"),"Packaging")</f>
        <v>Packaging</v>
      </c>
      <c r="R608" s="14" t="str">
        <f>IFERROR(__xludf.DUMMYFUNCTION("""COMPUTED_VALUE""")," Secure and intact")</f>
        <v> Secure and intact</v>
      </c>
      <c r="S608" s="14" t="str">
        <f t="shared" ref="S608:U608" si="1219">trim(B608)</f>
        <v>ord_10599</v>
      </c>
      <c r="T608" s="14" t="str">
        <f t="shared" si="1219"/>
        <v>Diya Arora</v>
      </c>
      <c r="U608" s="14" t="str">
        <f t="shared" si="1219"/>
        <v>Lower Parel</v>
      </c>
      <c r="V608" s="14" t="str">
        <f t="shared" si="4"/>
        <v>Chicken Puff</v>
      </c>
      <c r="W608" s="14">
        <f t="shared" si="5"/>
        <v>5</v>
      </c>
      <c r="X608" s="14" t="str">
        <f t="shared" si="6"/>
        <v>Vivek Kumar</v>
      </c>
      <c r="Y608" s="15">
        <f t="shared" si="7"/>
        <v>44964</v>
      </c>
      <c r="Z608" s="14" t="str">
        <f t="shared" si="8"/>
        <v>UPI</v>
      </c>
      <c r="AA608" s="14" t="str">
        <f t="shared" si="9"/>
        <v>Delivered</v>
      </c>
      <c r="AB608" s="14" t="str">
        <f t="shared" ref="AB608:AC608" si="1220">trim(Q608)</f>
        <v>Packaging</v>
      </c>
      <c r="AC608" s="14" t="str">
        <f t="shared" si="1220"/>
        <v>Secure and intact</v>
      </c>
      <c r="AD608" s="8"/>
    </row>
    <row r="609">
      <c r="A609" s="14" t="str">
        <f>IFERROR(__xludf.DUMMYFUNCTION("""COMPUTED_VALUE"""),"//ord_10600//Aarav Mehta//Andheri//Potato+2*Ram Gopal/11/26/2023//COD//Delivered*Satisfied with the Delivery: Timely and quality")</f>
        <v>//ord_10600//Aarav Mehta//Andheri//Potato+2*Ram Gopal/11/26/2023//COD//Delivered*Satisfied with the Delivery: Timely and quality</v>
      </c>
      <c r="B609" s="14" t="str">
        <f>IFERROR(__xludf.DUMMYFUNCTION("split(A609,""//"")"),"ord_10600")</f>
        <v>ord_10600</v>
      </c>
      <c r="C609" s="14" t="str">
        <f>IFERROR(__xludf.DUMMYFUNCTION("""COMPUTED_VALUE"""),"Aarav Mehta")</f>
        <v>Aarav Mehta</v>
      </c>
      <c r="D609" s="14" t="str">
        <f>IFERROR(__xludf.DUMMYFUNCTION("""COMPUTED_VALUE"""),"Andheri")</f>
        <v>Andheri</v>
      </c>
      <c r="E609" s="14" t="str">
        <f>IFERROR(__xludf.DUMMYFUNCTION("""COMPUTED_VALUE"""),"Potato+2*Ram Gopal")</f>
        <v>Potato+2*Ram Gopal</v>
      </c>
      <c r="F609" s="14">
        <f>IFERROR(__xludf.DUMMYFUNCTION("""COMPUTED_VALUE"""),11.0)</f>
        <v>11</v>
      </c>
      <c r="G609" s="14">
        <f>IFERROR(__xludf.DUMMYFUNCTION("""COMPUTED_VALUE"""),26.0)</f>
        <v>26</v>
      </c>
      <c r="H609" s="14">
        <f>IFERROR(__xludf.DUMMYFUNCTION("""COMPUTED_VALUE"""),2023.0)</f>
        <v>2023</v>
      </c>
      <c r="I609" s="14" t="str">
        <f>IFERROR(__xludf.DUMMYFUNCTION("""COMPUTED_VALUE"""),"COD")</f>
        <v>COD</v>
      </c>
      <c r="J609" s="14" t="str">
        <f>IFERROR(__xludf.DUMMYFUNCTION("""COMPUTED_VALUE"""),"Delivered*Satisfied with the Delivery: Timely and quality")</f>
        <v>Delivered*Satisfied with the Delivery: Timely and quality</v>
      </c>
      <c r="K609" s="14" t="str">
        <f>IFERROR(__xludf.DUMMYFUNCTION("split(E609,""+"")"),"Potato")</f>
        <v>Potato</v>
      </c>
      <c r="L609" s="14" t="str">
        <f>IFERROR(__xludf.DUMMYFUNCTION("""COMPUTED_VALUE"""),"2*Ram Gopal")</f>
        <v>2*Ram Gopal</v>
      </c>
      <c r="M609" s="14">
        <f>IFERROR(__xludf.DUMMYFUNCTION("SPLIT(L609,""*"")"),2.0)</f>
        <v>2</v>
      </c>
      <c r="N609" s="14" t="str">
        <f>IFERROR(__xludf.DUMMYFUNCTION("""COMPUTED_VALUE"""),"Ram Gopal")</f>
        <v>Ram Gopal</v>
      </c>
      <c r="O609" s="14" t="str">
        <f>IFERROR(__xludf.DUMMYFUNCTION("split(J609,""*"")"),"Delivered")</f>
        <v>Delivered</v>
      </c>
      <c r="P609" s="14" t="str">
        <f>IFERROR(__xludf.DUMMYFUNCTION("""COMPUTED_VALUE"""),"Satisfied with the Delivery: Timely and quality")</f>
        <v>Satisfied with the Delivery: Timely and quality</v>
      </c>
      <c r="Q609" s="14" t="str">
        <f>IFERROR(__xludf.DUMMYFUNCTION("split(P609,"":"")"),"Satisfied with the Delivery")</f>
        <v>Satisfied with the Delivery</v>
      </c>
      <c r="R609" s="14" t="str">
        <f>IFERROR(__xludf.DUMMYFUNCTION("""COMPUTED_VALUE""")," Timely and quality")</f>
        <v> Timely and quality</v>
      </c>
      <c r="S609" s="14" t="str">
        <f t="shared" ref="S609:U609" si="1221">trim(B609)</f>
        <v>ord_10600</v>
      </c>
      <c r="T609" s="14" t="str">
        <f t="shared" si="1221"/>
        <v>Aarav Mehta</v>
      </c>
      <c r="U609" s="14" t="str">
        <f t="shared" si="1221"/>
        <v>Andheri</v>
      </c>
      <c r="V609" s="14" t="str">
        <f t="shared" si="4"/>
        <v>Potato</v>
      </c>
      <c r="W609" s="14">
        <f t="shared" si="5"/>
        <v>2</v>
      </c>
      <c r="X609" s="14" t="str">
        <f t="shared" si="6"/>
        <v>Ram Gopal</v>
      </c>
      <c r="Y609" s="15">
        <f t="shared" si="7"/>
        <v>45256</v>
      </c>
      <c r="Z609" s="14" t="str">
        <f t="shared" si="8"/>
        <v>COD</v>
      </c>
      <c r="AA609" s="14" t="str">
        <f t="shared" si="9"/>
        <v>Delivered</v>
      </c>
      <c r="AB609" s="14" t="str">
        <f t="shared" ref="AB609:AC609" si="1222">trim(Q609)</f>
        <v>Satisfied with the Delivery</v>
      </c>
      <c r="AC609" s="14" t="str">
        <f t="shared" si="1222"/>
        <v>Timely and quality</v>
      </c>
      <c r="AD609" s="8"/>
    </row>
    <row r="610">
      <c r="A610" s="14" t="str">
        <f>IFERROR(__xludf.DUMMYFUNCTION("""COMPUTED_VALUE"""),"//ord_10601//Mohit Malhotra//Lower Parel//Chicken Puff+2*Sita T/6/17/2023//COD//Delivered*Customer Service: Seamless and easy")</f>
        <v>//ord_10601//Mohit Malhotra//Lower Parel//Chicken Puff+2*Sita T/6/17/2023//COD//Delivered*Customer Service: Seamless and easy</v>
      </c>
      <c r="B610" s="14" t="str">
        <f>IFERROR(__xludf.DUMMYFUNCTION("split(A610,""//"")"),"ord_10601")</f>
        <v>ord_10601</v>
      </c>
      <c r="C610" s="14" t="str">
        <f>IFERROR(__xludf.DUMMYFUNCTION("""COMPUTED_VALUE"""),"Mohit Malhotra")</f>
        <v>Mohit Malhotra</v>
      </c>
      <c r="D610" s="14" t="str">
        <f>IFERROR(__xludf.DUMMYFUNCTION("""COMPUTED_VALUE"""),"Lower Parel")</f>
        <v>Lower Parel</v>
      </c>
      <c r="E610" s="14" t="str">
        <f>IFERROR(__xludf.DUMMYFUNCTION("""COMPUTED_VALUE"""),"Chicken Puff+2*Sita T")</f>
        <v>Chicken Puff+2*Sita T</v>
      </c>
      <c r="F610" s="14">
        <f>IFERROR(__xludf.DUMMYFUNCTION("""COMPUTED_VALUE"""),6.0)</f>
        <v>6</v>
      </c>
      <c r="G610" s="14">
        <f>IFERROR(__xludf.DUMMYFUNCTION("""COMPUTED_VALUE"""),17.0)</f>
        <v>17</v>
      </c>
      <c r="H610" s="14">
        <f>IFERROR(__xludf.DUMMYFUNCTION("""COMPUTED_VALUE"""),2023.0)</f>
        <v>2023</v>
      </c>
      <c r="I610" s="14" t="str">
        <f>IFERROR(__xludf.DUMMYFUNCTION("""COMPUTED_VALUE"""),"COD")</f>
        <v>COD</v>
      </c>
      <c r="J610" s="14" t="str">
        <f>IFERROR(__xludf.DUMMYFUNCTION("""COMPUTED_VALUE"""),"Delivered*Customer Service: Seamless and easy")</f>
        <v>Delivered*Customer Service: Seamless and easy</v>
      </c>
      <c r="K610" s="14" t="str">
        <f>IFERROR(__xludf.DUMMYFUNCTION("split(E610,""+"")"),"Chicken Puff")</f>
        <v>Chicken Puff</v>
      </c>
      <c r="L610" s="14" t="str">
        <f>IFERROR(__xludf.DUMMYFUNCTION("""COMPUTED_VALUE"""),"2*Sita T")</f>
        <v>2*Sita T</v>
      </c>
      <c r="M610" s="14">
        <f>IFERROR(__xludf.DUMMYFUNCTION("SPLIT(L610,""*"")"),2.0)</f>
        <v>2</v>
      </c>
      <c r="N610" s="14" t="str">
        <f>IFERROR(__xludf.DUMMYFUNCTION("""COMPUTED_VALUE"""),"Sita T")</f>
        <v>Sita T</v>
      </c>
      <c r="O610" s="14" t="str">
        <f>IFERROR(__xludf.DUMMYFUNCTION("split(J610,""*"")"),"Delivered")</f>
        <v>Delivered</v>
      </c>
      <c r="P610" s="14" t="str">
        <f>IFERROR(__xludf.DUMMYFUNCTION("""COMPUTED_VALUE"""),"Customer Service: Seamless and easy")</f>
        <v>Customer Service: Seamless and easy</v>
      </c>
      <c r="Q610" s="14" t="str">
        <f>IFERROR(__xludf.DUMMYFUNCTION("split(P610,"":"")"),"Customer Service")</f>
        <v>Customer Service</v>
      </c>
      <c r="R610" s="14" t="str">
        <f>IFERROR(__xludf.DUMMYFUNCTION("""COMPUTED_VALUE""")," Seamless and easy")</f>
        <v> Seamless and easy</v>
      </c>
      <c r="S610" s="14" t="str">
        <f t="shared" ref="S610:U610" si="1223">trim(B610)</f>
        <v>ord_10601</v>
      </c>
      <c r="T610" s="14" t="str">
        <f t="shared" si="1223"/>
        <v>Mohit Malhotra</v>
      </c>
      <c r="U610" s="14" t="str">
        <f t="shared" si="1223"/>
        <v>Lower Parel</v>
      </c>
      <c r="V610" s="14" t="str">
        <f t="shared" si="4"/>
        <v>Chicken Puff</v>
      </c>
      <c r="W610" s="14">
        <f t="shared" si="5"/>
        <v>2</v>
      </c>
      <c r="X610" s="14" t="str">
        <f t="shared" si="6"/>
        <v>Sita T</v>
      </c>
      <c r="Y610" s="15">
        <f t="shared" si="7"/>
        <v>45094</v>
      </c>
      <c r="Z610" s="14" t="str">
        <f t="shared" si="8"/>
        <v>COD</v>
      </c>
      <c r="AA610" s="14" t="str">
        <f t="shared" si="9"/>
        <v>Delivered</v>
      </c>
      <c r="AB610" s="14" t="str">
        <f t="shared" ref="AB610:AC610" si="1224">trim(Q610)</f>
        <v>Customer Service</v>
      </c>
      <c r="AC610" s="14" t="str">
        <f t="shared" si="1224"/>
        <v>Seamless and easy</v>
      </c>
      <c r="AD610" s="8"/>
    </row>
    <row r="611">
      <c r="A611" s="14" t="str">
        <f>IFERROR(__xludf.DUMMYFUNCTION("""COMPUTED_VALUE"""),"//ord_10602//Aarav Mehta//Andheri//Rasmalai+3*Ram Gopal/8/20/2023//UPI//Delivered*Delivery Experience: Quick and professional")</f>
        <v>//ord_10602//Aarav Mehta//Andheri//Rasmalai+3*Ram Gopal/8/20/2023//UPI//Delivered*Delivery Experience: Quick and professional</v>
      </c>
      <c r="B611" s="14" t="str">
        <f>IFERROR(__xludf.DUMMYFUNCTION("split(A611,""//"")"),"ord_10602")</f>
        <v>ord_10602</v>
      </c>
      <c r="C611" s="14" t="str">
        <f>IFERROR(__xludf.DUMMYFUNCTION("""COMPUTED_VALUE"""),"Aarav Mehta")</f>
        <v>Aarav Mehta</v>
      </c>
      <c r="D611" s="14" t="str">
        <f>IFERROR(__xludf.DUMMYFUNCTION("""COMPUTED_VALUE"""),"Andheri")</f>
        <v>Andheri</v>
      </c>
      <c r="E611" s="14" t="str">
        <f>IFERROR(__xludf.DUMMYFUNCTION("""COMPUTED_VALUE"""),"Rasmalai+3*Ram Gopal")</f>
        <v>Rasmalai+3*Ram Gopal</v>
      </c>
      <c r="F611" s="14">
        <f>IFERROR(__xludf.DUMMYFUNCTION("""COMPUTED_VALUE"""),8.0)</f>
        <v>8</v>
      </c>
      <c r="G611" s="14">
        <f>IFERROR(__xludf.DUMMYFUNCTION("""COMPUTED_VALUE"""),20.0)</f>
        <v>20</v>
      </c>
      <c r="H611" s="14">
        <f>IFERROR(__xludf.DUMMYFUNCTION("""COMPUTED_VALUE"""),2023.0)</f>
        <v>2023</v>
      </c>
      <c r="I611" s="14" t="str">
        <f>IFERROR(__xludf.DUMMYFUNCTION("""COMPUTED_VALUE"""),"UPI")</f>
        <v>UPI</v>
      </c>
      <c r="J611" s="14" t="str">
        <f>IFERROR(__xludf.DUMMYFUNCTION("""COMPUTED_VALUE"""),"Delivered*Delivery Experience: Quick and professional")</f>
        <v>Delivered*Delivery Experience: Quick and professional</v>
      </c>
      <c r="K611" s="14" t="str">
        <f>IFERROR(__xludf.DUMMYFUNCTION("split(E611,""+"")"),"Rasmalai")</f>
        <v>Rasmalai</v>
      </c>
      <c r="L611" s="14" t="str">
        <f>IFERROR(__xludf.DUMMYFUNCTION("""COMPUTED_VALUE"""),"3*Ram Gopal")</f>
        <v>3*Ram Gopal</v>
      </c>
      <c r="M611" s="14">
        <f>IFERROR(__xludf.DUMMYFUNCTION("SPLIT(L611,""*"")"),3.0)</f>
        <v>3</v>
      </c>
      <c r="N611" s="14" t="str">
        <f>IFERROR(__xludf.DUMMYFUNCTION("""COMPUTED_VALUE"""),"Ram Gopal")</f>
        <v>Ram Gopal</v>
      </c>
      <c r="O611" s="14" t="str">
        <f>IFERROR(__xludf.DUMMYFUNCTION("split(J611,""*"")"),"Delivered")</f>
        <v>Delivered</v>
      </c>
      <c r="P611" s="14" t="str">
        <f>IFERROR(__xludf.DUMMYFUNCTION("""COMPUTED_VALUE"""),"Delivery Experience: Quick and professional")</f>
        <v>Delivery Experience: Quick and professional</v>
      </c>
      <c r="Q611" s="14" t="str">
        <f>IFERROR(__xludf.DUMMYFUNCTION("split(P611,"":"")"),"Delivery Experience")</f>
        <v>Delivery Experience</v>
      </c>
      <c r="R611" s="14" t="str">
        <f>IFERROR(__xludf.DUMMYFUNCTION("""COMPUTED_VALUE""")," Quick and professional")</f>
        <v> Quick and professional</v>
      </c>
      <c r="S611" s="14" t="str">
        <f t="shared" ref="S611:U611" si="1225">trim(B611)</f>
        <v>ord_10602</v>
      </c>
      <c r="T611" s="14" t="str">
        <f t="shared" si="1225"/>
        <v>Aarav Mehta</v>
      </c>
      <c r="U611" s="14" t="str">
        <f t="shared" si="1225"/>
        <v>Andheri</v>
      </c>
      <c r="V611" s="14" t="str">
        <f t="shared" si="4"/>
        <v>Rasmalai</v>
      </c>
      <c r="W611" s="14">
        <f t="shared" si="5"/>
        <v>3</v>
      </c>
      <c r="X611" s="14" t="str">
        <f t="shared" si="6"/>
        <v>Ram Gopal</v>
      </c>
      <c r="Y611" s="15">
        <f t="shared" si="7"/>
        <v>45158</v>
      </c>
      <c r="Z611" s="14" t="str">
        <f t="shared" si="8"/>
        <v>UPI</v>
      </c>
      <c r="AA611" s="14" t="str">
        <f t="shared" si="9"/>
        <v>Delivered</v>
      </c>
      <c r="AB611" s="14" t="str">
        <f t="shared" ref="AB611:AC611" si="1226">trim(Q611)</f>
        <v>Delivery Experience</v>
      </c>
      <c r="AC611" s="14" t="str">
        <f t="shared" si="1226"/>
        <v>Quick and professional</v>
      </c>
      <c r="AD611" s="8"/>
    </row>
    <row r="612">
      <c r="A612" s="14" t="str">
        <f>IFERROR(__xludf.DUMMYFUNCTION("""COMPUTED_VALUE"""),"//ord_10603//Tanishq Bansal//Powai//Papaya+1*Sandeep Kumar/5/29/2023//UPI//Delivered*Convenience: Easy tracking")</f>
        <v>//ord_10603//Tanishq Bansal//Powai//Papaya+1*Sandeep Kumar/5/29/2023//UPI//Delivered*Convenience: Easy tracking</v>
      </c>
      <c r="B612" s="14" t="str">
        <f>IFERROR(__xludf.DUMMYFUNCTION("split(A612,""//"")"),"ord_10603")</f>
        <v>ord_10603</v>
      </c>
      <c r="C612" s="14" t="str">
        <f>IFERROR(__xludf.DUMMYFUNCTION("""COMPUTED_VALUE"""),"Tanishq Bansal")</f>
        <v>Tanishq Bansal</v>
      </c>
      <c r="D612" s="14" t="str">
        <f>IFERROR(__xludf.DUMMYFUNCTION("""COMPUTED_VALUE"""),"Powai")</f>
        <v>Powai</v>
      </c>
      <c r="E612" s="14" t="str">
        <f>IFERROR(__xludf.DUMMYFUNCTION("""COMPUTED_VALUE"""),"Papaya+1*Sandeep Kumar")</f>
        <v>Papaya+1*Sandeep Kumar</v>
      </c>
      <c r="F612" s="14">
        <f>IFERROR(__xludf.DUMMYFUNCTION("""COMPUTED_VALUE"""),5.0)</f>
        <v>5</v>
      </c>
      <c r="G612" s="14">
        <f>IFERROR(__xludf.DUMMYFUNCTION("""COMPUTED_VALUE"""),29.0)</f>
        <v>29</v>
      </c>
      <c r="H612" s="14">
        <f>IFERROR(__xludf.DUMMYFUNCTION("""COMPUTED_VALUE"""),2023.0)</f>
        <v>2023</v>
      </c>
      <c r="I612" s="14" t="str">
        <f>IFERROR(__xludf.DUMMYFUNCTION("""COMPUTED_VALUE"""),"UPI")</f>
        <v>UPI</v>
      </c>
      <c r="J612" s="14" t="str">
        <f>IFERROR(__xludf.DUMMYFUNCTION("""COMPUTED_VALUE"""),"Delivered*Convenience: Easy tracking")</f>
        <v>Delivered*Convenience: Easy tracking</v>
      </c>
      <c r="K612" s="14" t="str">
        <f>IFERROR(__xludf.DUMMYFUNCTION("split(E612,""+"")"),"Papaya")</f>
        <v>Papaya</v>
      </c>
      <c r="L612" s="14" t="str">
        <f>IFERROR(__xludf.DUMMYFUNCTION("""COMPUTED_VALUE"""),"1*Sandeep Kumar")</f>
        <v>1*Sandeep Kumar</v>
      </c>
      <c r="M612" s="14">
        <f>IFERROR(__xludf.DUMMYFUNCTION("SPLIT(L612,""*"")"),1.0)</f>
        <v>1</v>
      </c>
      <c r="N612" s="14" t="str">
        <f>IFERROR(__xludf.DUMMYFUNCTION("""COMPUTED_VALUE"""),"Sandeep Kumar")</f>
        <v>Sandeep Kumar</v>
      </c>
      <c r="O612" s="14" t="str">
        <f>IFERROR(__xludf.DUMMYFUNCTION("split(J612,""*"")"),"Delivered")</f>
        <v>Delivered</v>
      </c>
      <c r="P612" s="14" t="str">
        <f>IFERROR(__xludf.DUMMYFUNCTION("""COMPUTED_VALUE"""),"Convenience: Easy tracking")</f>
        <v>Convenience: Easy tracking</v>
      </c>
      <c r="Q612" s="14" t="str">
        <f>IFERROR(__xludf.DUMMYFUNCTION("split(P612,"":"")"),"Convenience")</f>
        <v>Convenience</v>
      </c>
      <c r="R612" s="14" t="str">
        <f>IFERROR(__xludf.DUMMYFUNCTION("""COMPUTED_VALUE""")," Easy tracking")</f>
        <v> Easy tracking</v>
      </c>
      <c r="S612" s="14" t="str">
        <f t="shared" ref="S612:U612" si="1227">trim(B612)</f>
        <v>ord_10603</v>
      </c>
      <c r="T612" s="14" t="str">
        <f t="shared" si="1227"/>
        <v>Tanishq Bansal</v>
      </c>
      <c r="U612" s="14" t="str">
        <f t="shared" si="1227"/>
        <v>Powai</v>
      </c>
      <c r="V612" s="14" t="str">
        <f t="shared" si="4"/>
        <v>Papaya</v>
      </c>
      <c r="W612" s="14">
        <f t="shared" si="5"/>
        <v>1</v>
      </c>
      <c r="X612" s="14" t="str">
        <f t="shared" si="6"/>
        <v>Sandeep Kumar</v>
      </c>
      <c r="Y612" s="15">
        <f t="shared" si="7"/>
        <v>45075</v>
      </c>
      <c r="Z612" s="14" t="str">
        <f t="shared" si="8"/>
        <v>UPI</v>
      </c>
      <c r="AA612" s="14" t="str">
        <f t="shared" si="9"/>
        <v>Delivered</v>
      </c>
      <c r="AB612" s="14" t="str">
        <f t="shared" ref="AB612:AC612" si="1228">trim(Q612)</f>
        <v>Convenience</v>
      </c>
      <c r="AC612" s="14" t="str">
        <f t="shared" si="1228"/>
        <v>Easy tracking</v>
      </c>
      <c r="AD612" s="8"/>
    </row>
    <row r="613">
      <c r="A613" s="14" t="str">
        <f>IFERROR(__xludf.DUMMYFUNCTION("""COMPUTED_VALUE"""),"//ord_10604//Omkar Mishra//Powai//Onion+2*Sandeep Kumar/9/2/2023//UPI//Delivered*Overall Satisfaction: Great service will order again")</f>
        <v>//ord_10604//Omkar Mishra//Powai//Onion+2*Sandeep Kumar/9/2/2023//UPI//Delivered*Overall Satisfaction: Great service will order again</v>
      </c>
      <c r="B613" s="14" t="str">
        <f>IFERROR(__xludf.DUMMYFUNCTION("split(A613,""//"")"),"ord_10604")</f>
        <v>ord_10604</v>
      </c>
      <c r="C613" s="14" t="str">
        <f>IFERROR(__xludf.DUMMYFUNCTION("""COMPUTED_VALUE"""),"Omkar Mishra")</f>
        <v>Omkar Mishra</v>
      </c>
      <c r="D613" s="14" t="str">
        <f>IFERROR(__xludf.DUMMYFUNCTION("""COMPUTED_VALUE"""),"Powai")</f>
        <v>Powai</v>
      </c>
      <c r="E613" s="14" t="str">
        <f>IFERROR(__xludf.DUMMYFUNCTION("""COMPUTED_VALUE"""),"Onion+2*Sandeep Kumar")</f>
        <v>Onion+2*Sandeep Kumar</v>
      </c>
      <c r="F613" s="14">
        <f>IFERROR(__xludf.DUMMYFUNCTION("""COMPUTED_VALUE"""),9.0)</f>
        <v>9</v>
      </c>
      <c r="G613" s="14">
        <f>IFERROR(__xludf.DUMMYFUNCTION("""COMPUTED_VALUE"""),2.0)</f>
        <v>2</v>
      </c>
      <c r="H613" s="14">
        <f>IFERROR(__xludf.DUMMYFUNCTION("""COMPUTED_VALUE"""),2023.0)</f>
        <v>2023</v>
      </c>
      <c r="I613" s="14" t="str">
        <f>IFERROR(__xludf.DUMMYFUNCTION("""COMPUTED_VALUE"""),"UPI")</f>
        <v>UPI</v>
      </c>
      <c r="J613" s="14" t="str">
        <f>IFERROR(__xludf.DUMMYFUNCTION("""COMPUTED_VALUE"""),"Delivered*Overall Satisfaction: Great service will order again")</f>
        <v>Delivered*Overall Satisfaction: Great service will order again</v>
      </c>
      <c r="K613" s="14" t="str">
        <f>IFERROR(__xludf.DUMMYFUNCTION("split(E613,""+"")"),"Onion")</f>
        <v>Onion</v>
      </c>
      <c r="L613" s="14" t="str">
        <f>IFERROR(__xludf.DUMMYFUNCTION("""COMPUTED_VALUE"""),"2*Sandeep Kumar")</f>
        <v>2*Sandeep Kumar</v>
      </c>
      <c r="M613" s="14">
        <f>IFERROR(__xludf.DUMMYFUNCTION("SPLIT(L613,""*"")"),2.0)</f>
        <v>2</v>
      </c>
      <c r="N613" s="14" t="str">
        <f>IFERROR(__xludf.DUMMYFUNCTION("""COMPUTED_VALUE"""),"Sandeep Kumar")</f>
        <v>Sandeep Kumar</v>
      </c>
      <c r="O613" s="14" t="str">
        <f>IFERROR(__xludf.DUMMYFUNCTION("split(J613,""*"")"),"Delivered")</f>
        <v>Delivered</v>
      </c>
      <c r="P613" s="14" t="str">
        <f>IFERROR(__xludf.DUMMYFUNCTION("""COMPUTED_VALUE"""),"Overall Satisfaction: Great service will order again")</f>
        <v>Overall Satisfaction: Great service will order again</v>
      </c>
      <c r="Q613" s="14" t="str">
        <f>IFERROR(__xludf.DUMMYFUNCTION("split(P613,"":"")"),"Overall Satisfaction")</f>
        <v>Overall Satisfaction</v>
      </c>
      <c r="R613" s="14" t="str">
        <f>IFERROR(__xludf.DUMMYFUNCTION("""COMPUTED_VALUE""")," Great service will order again")</f>
        <v> Great service will order again</v>
      </c>
      <c r="S613" s="14" t="str">
        <f t="shared" ref="S613:U613" si="1229">trim(B613)</f>
        <v>ord_10604</v>
      </c>
      <c r="T613" s="14" t="str">
        <f t="shared" si="1229"/>
        <v>Omkar Mishra</v>
      </c>
      <c r="U613" s="14" t="str">
        <f t="shared" si="1229"/>
        <v>Powai</v>
      </c>
      <c r="V613" s="14" t="str">
        <f t="shared" si="4"/>
        <v>Onion</v>
      </c>
      <c r="W613" s="14">
        <f t="shared" si="5"/>
        <v>2</v>
      </c>
      <c r="X613" s="14" t="str">
        <f t="shared" si="6"/>
        <v>Sandeep Kumar</v>
      </c>
      <c r="Y613" s="15">
        <f t="shared" si="7"/>
        <v>45171</v>
      </c>
      <c r="Z613" s="14" t="str">
        <f t="shared" si="8"/>
        <v>UPI</v>
      </c>
      <c r="AA613" s="14" t="str">
        <f t="shared" si="9"/>
        <v>Delivered</v>
      </c>
      <c r="AB613" s="14" t="str">
        <f t="shared" ref="AB613:AC613" si="1230">trim(Q613)</f>
        <v>Overall Satisfaction</v>
      </c>
      <c r="AC613" s="14" t="str">
        <f t="shared" si="1230"/>
        <v>Great service will order again</v>
      </c>
      <c r="AD613" s="8"/>
    </row>
    <row r="614">
      <c r="A614" s="14" t="str">
        <f>IFERROR(__xludf.DUMMYFUNCTION("""COMPUTED_VALUE"""),"//ord_10605//Aditi Iyer//Dadar//Tiramisu+2*Aman Kumar/5/15/2023//COD//Delivered*On-time Delivery: Delivered on time")</f>
        <v>//ord_10605//Aditi Iyer//Dadar//Tiramisu+2*Aman Kumar/5/15/2023//COD//Delivered*On-time Delivery: Delivered on time</v>
      </c>
      <c r="B614" s="14" t="str">
        <f>IFERROR(__xludf.DUMMYFUNCTION("split(A614,""//"")"),"ord_10605")</f>
        <v>ord_10605</v>
      </c>
      <c r="C614" s="14" t="str">
        <f>IFERROR(__xludf.DUMMYFUNCTION("""COMPUTED_VALUE"""),"Aditi Iyer")</f>
        <v>Aditi Iyer</v>
      </c>
      <c r="D614" s="14" t="str">
        <f>IFERROR(__xludf.DUMMYFUNCTION("""COMPUTED_VALUE"""),"Dadar")</f>
        <v>Dadar</v>
      </c>
      <c r="E614" s="14" t="str">
        <f>IFERROR(__xludf.DUMMYFUNCTION("""COMPUTED_VALUE"""),"Tiramisu+2*Aman Kumar")</f>
        <v>Tiramisu+2*Aman Kumar</v>
      </c>
      <c r="F614" s="14">
        <f>IFERROR(__xludf.DUMMYFUNCTION("""COMPUTED_VALUE"""),5.0)</f>
        <v>5</v>
      </c>
      <c r="G614" s="14">
        <f>IFERROR(__xludf.DUMMYFUNCTION("""COMPUTED_VALUE"""),15.0)</f>
        <v>15</v>
      </c>
      <c r="H614" s="14">
        <f>IFERROR(__xludf.DUMMYFUNCTION("""COMPUTED_VALUE"""),2023.0)</f>
        <v>2023</v>
      </c>
      <c r="I614" s="14" t="str">
        <f>IFERROR(__xludf.DUMMYFUNCTION("""COMPUTED_VALUE"""),"COD")</f>
        <v>COD</v>
      </c>
      <c r="J614" s="14" t="str">
        <f>IFERROR(__xludf.DUMMYFUNCTION("""COMPUTED_VALUE"""),"Delivered*On-time Delivery: Delivered on time")</f>
        <v>Delivered*On-time Delivery: Delivered on time</v>
      </c>
      <c r="K614" s="14" t="str">
        <f>IFERROR(__xludf.DUMMYFUNCTION("split(E614,""+"")"),"Tiramisu")</f>
        <v>Tiramisu</v>
      </c>
      <c r="L614" s="14" t="str">
        <f>IFERROR(__xludf.DUMMYFUNCTION("""COMPUTED_VALUE"""),"2*Aman Kumar")</f>
        <v>2*Aman Kumar</v>
      </c>
      <c r="M614" s="14">
        <f>IFERROR(__xludf.DUMMYFUNCTION("SPLIT(L614,""*"")"),2.0)</f>
        <v>2</v>
      </c>
      <c r="N614" s="14" t="str">
        <f>IFERROR(__xludf.DUMMYFUNCTION("""COMPUTED_VALUE"""),"Aman Kumar")</f>
        <v>Aman Kumar</v>
      </c>
      <c r="O614" s="14" t="str">
        <f>IFERROR(__xludf.DUMMYFUNCTION("split(J614,""*"")"),"Delivered")</f>
        <v>Delivered</v>
      </c>
      <c r="P614" s="14" t="str">
        <f>IFERROR(__xludf.DUMMYFUNCTION("""COMPUTED_VALUE"""),"On-time Delivery: Delivered on time")</f>
        <v>On-time Delivery: Delivered on time</v>
      </c>
      <c r="Q614" s="14" t="str">
        <f>IFERROR(__xludf.DUMMYFUNCTION("split(P614,"":"")"),"On-time Delivery")</f>
        <v>On-time Delivery</v>
      </c>
      <c r="R614" s="14" t="str">
        <f>IFERROR(__xludf.DUMMYFUNCTION("""COMPUTED_VALUE""")," Delivered on time")</f>
        <v> Delivered on time</v>
      </c>
      <c r="S614" s="14" t="str">
        <f t="shared" ref="S614:U614" si="1231">trim(B614)</f>
        <v>ord_10605</v>
      </c>
      <c r="T614" s="14" t="str">
        <f t="shared" si="1231"/>
        <v>Aditi Iyer</v>
      </c>
      <c r="U614" s="14" t="str">
        <f t="shared" si="1231"/>
        <v>Dadar</v>
      </c>
      <c r="V614" s="14" t="str">
        <f t="shared" si="4"/>
        <v>Tiramisu</v>
      </c>
      <c r="W614" s="14">
        <f t="shared" si="5"/>
        <v>2</v>
      </c>
      <c r="X614" s="14" t="str">
        <f t="shared" si="6"/>
        <v>Aman Kumar</v>
      </c>
      <c r="Y614" s="15">
        <f t="shared" si="7"/>
        <v>45061</v>
      </c>
      <c r="Z614" s="14" t="str">
        <f t="shared" si="8"/>
        <v>COD</v>
      </c>
      <c r="AA614" s="14" t="str">
        <f t="shared" si="9"/>
        <v>Delivered</v>
      </c>
      <c r="AB614" s="14" t="str">
        <f t="shared" ref="AB614:AC614" si="1232">trim(Q614)</f>
        <v>On-time Delivery</v>
      </c>
      <c r="AC614" s="14" t="str">
        <f t="shared" si="1232"/>
        <v>Delivered on time</v>
      </c>
      <c r="AD614" s="8"/>
    </row>
    <row r="615">
      <c r="A615" s="14" t="str">
        <f>IFERROR(__xludf.DUMMYFUNCTION("""COMPUTED_VALUE"""),"//ord_10606//Parth Goel//Juhu//Veg Puff+3*Tanvi Jain/12/13/2023//Online Payment//Delivered*Quality of Items: Perfect condition")</f>
        <v>//ord_10606//Parth Goel//Juhu//Veg Puff+3*Tanvi Jain/12/13/2023//Online Payment//Delivered*Quality of Items: Perfect condition</v>
      </c>
      <c r="B615" s="14" t="str">
        <f>IFERROR(__xludf.DUMMYFUNCTION("split(A615,""//"")"),"ord_10606")</f>
        <v>ord_10606</v>
      </c>
      <c r="C615" s="14" t="str">
        <f>IFERROR(__xludf.DUMMYFUNCTION("""COMPUTED_VALUE"""),"Parth Goel")</f>
        <v>Parth Goel</v>
      </c>
      <c r="D615" s="14" t="str">
        <f>IFERROR(__xludf.DUMMYFUNCTION("""COMPUTED_VALUE"""),"Juhu")</f>
        <v>Juhu</v>
      </c>
      <c r="E615" s="14" t="str">
        <f>IFERROR(__xludf.DUMMYFUNCTION("""COMPUTED_VALUE"""),"Veg Puff+3*Tanvi Jain")</f>
        <v>Veg Puff+3*Tanvi Jain</v>
      </c>
      <c r="F615" s="14">
        <f>IFERROR(__xludf.DUMMYFUNCTION("""COMPUTED_VALUE"""),12.0)</f>
        <v>12</v>
      </c>
      <c r="G615" s="14">
        <f>IFERROR(__xludf.DUMMYFUNCTION("""COMPUTED_VALUE"""),13.0)</f>
        <v>13</v>
      </c>
      <c r="H615" s="14">
        <f>IFERROR(__xludf.DUMMYFUNCTION("""COMPUTED_VALUE"""),2023.0)</f>
        <v>2023</v>
      </c>
      <c r="I615" s="14" t="str">
        <f>IFERROR(__xludf.DUMMYFUNCTION("""COMPUTED_VALUE"""),"Online Payment")</f>
        <v>Online Payment</v>
      </c>
      <c r="J615" s="14" t="str">
        <f>IFERROR(__xludf.DUMMYFUNCTION("""COMPUTED_VALUE"""),"Delivered*Quality of Items: Perfect condition")</f>
        <v>Delivered*Quality of Items: Perfect condition</v>
      </c>
      <c r="K615" s="14" t="str">
        <f>IFERROR(__xludf.DUMMYFUNCTION("split(E615,""+"")"),"Veg Puff")</f>
        <v>Veg Puff</v>
      </c>
      <c r="L615" s="14" t="str">
        <f>IFERROR(__xludf.DUMMYFUNCTION("""COMPUTED_VALUE"""),"3*Tanvi Jain")</f>
        <v>3*Tanvi Jain</v>
      </c>
      <c r="M615" s="14">
        <f>IFERROR(__xludf.DUMMYFUNCTION("SPLIT(L615,""*"")"),3.0)</f>
        <v>3</v>
      </c>
      <c r="N615" s="14" t="str">
        <f>IFERROR(__xludf.DUMMYFUNCTION("""COMPUTED_VALUE"""),"Tanvi Jain")</f>
        <v>Tanvi Jain</v>
      </c>
      <c r="O615" s="14" t="str">
        <f>IFERROR(__xludf.DUMMYFUNCTION("split(J615,""*"")"),"Delivered")</f>
        <v>Delivered</v>
      </c>
      <c r="P615" s="14" t="str">
        <f>IFERROR(__xludf.DUMMYFUNCTION("""COMPUTED_VALUE"""),"Quality of Items: Perfect condition")</f>
        <v>Quality of Items: Perfect condition</v>
      </c>
      <c r="Q615" s="14" t="str">
        <f>IFERROR(__xludf.DUMMYFUNCTION("split(P615,"":"")"),"Quality of Items")</f>
        <v>Quality of Items</v>
      </c>
      <c r="R615" s="14" t="str">
        <f>IFERROR(__xludf.DUMMYFUNCTION("""COMPUTED_VALUE""")," Perfect condition")</f>
        <v> Perfect condition</v>
      </c>
      <c r="S615" s="14" t="str">
        <f t="shared" ref="S615:U615" si="1233">trim(B615)</f>
        <v>ord_10606</v>
      </c>
      <c r="T615" s="14" t="str">
        <f t="shared" si="1233"/>
        <v>Parth Goel</v>
      </c>
      <c r="U615" s="14" t="str">
        <f t="shared" si="1233"/>
        <v>Juhu</v>
      </c>
      <c r="V615" s="14" t="str">
        <f t="shared" si="4"/>
        <v>Veg Puff</v>
      </c>
      <c r="W615" s="14">
        <f t="shared" si="5"/>
        <v>3</v>
      </c>
      <c r="X615" s="14" t="str">
        <f t="shared" si="6"/>
        <v>Tanvi Jain</v>
      </c>
      <c r="Y615" s="15">
        <f t="shared" si="7"/>
        <v>45273</v>
      </c>
      <c r="Z615" s="14" t="str">
        <f t="shared" si="8"/>
        <v>Online Payment</v>
      </c>
      <c r="AA615" s="14" t="str">
        <f t="shared" si="9"/>
        <v>Delivered</v>
      </c>
      <c r="AB615" s="14" t="str">
        <f t="shared" ref="AB615:AC615" si="1234">trim(Q615)</f>
        <v>Quality of Items</v>
      </c>
      <c r="AC615" s="14" t="str">
        <f t="shared" si="1234"/>
        <v>Perfect condition</v>
      </c>
      <c r="AD615" s="8"/>
    </row>
    <row r="616">
      <c r="A616" s="14" t="str">
        <f>IFERROR(__xludf.DUMMYFUNCTION("""COMPUTED_VALUE"""),"//ord_10607//Sanjay Nair//Dadar//Potato+2*Aman Kumar/10/22/2023//UPI//Delivered*On-time Delivery: Delivered on time")</f>
        <v>//ord_10607//Sanjay Nair//Dadar//Potato+2*Aman Kumar/10/22/2023//UPI//Delivered*On-time Delivery: Delivered on time</v>
      </c>
      <c r="B616" s="14" t="str">
        <f>IFERROR(__xludf.DUMMYFUNCTION("split(A616,""//"")"),"ord_10607")</f>
        <v>ord_10607</v>
      </c>
      <c r="C616" s="14" t="str">
        <f>IFERROR(__xludf.DUMMYFUNCTION("""COMPUTED_VALUE"""),"Sanjay Nair")</f>
        <v>Sanjay Nair</v>
      </c>
      <c r="D616" s="14" t="str">
        <f>IFERROR(__xludf.DUMMYFUNCTION("""COMPUTED_VALUE"""),"Dadar")</f>
        <v>Dadar</v>
      </c>
      <c r="E616" s="14" t="str">
        <f>IFERROR(__xludf.DUMMYFUNCTION("""COMPUTED_VALUE"""),"Potato+2*Aman Kumar")</f>
        <v>Potato+2*Aman Kumar</v>
      </c>
      <c r="F616" s="14">
        <f>IFERROR(__xludf.DUMMYFUNCTION("""COMPUTED_VALUE"""),10.0)</f>
        <v>10</v>
      </c>
      <c r="G616" s="14">
        <f>IFERROR(__xludf.DUMMYFUNCTION("""COMPUTED_VALUE"""),22.0)</f>
        <v>22</v>
      </c>
      <c r="H616" s="14">
        <f>IFERROR(__xludf.DUMMYFUNCTION("""COMPUTED_VALUE"""),2023.0)</f>
        <v>2023</v>
      </c>
      <c r="I616" s="14" t="str">
        <f>IFERROR(__xludf.DUMMYFUNCTION("""COMPUTED_VALUE"""),"UPI")</f>
        <v>UPI</v>
      </c>
      <c r="J616" s="14" t="str">
        <f>IFERROR(__xludf.DUMMYFUNCTION("""COMPUTED_VALUE"""),"Delivered*On-time Delivery: Delivered on time")</f>
        <v>Delivered*On-time Delivery: Delivered on time</v>
      </c>
      <c r="K616" s="14" t="str">
        <f>IFERROR(__xludf.DUMMYFUNCTION("split(E616,""+"")"),"Potato")</f>
        <v>Potato</v>
      </c>
      <c r="L616" s="14" t="str">
        <f>IFERROR(__xludf.DUMMYFUNCTION("""COMPUTED_VALUE"""),"2*Aman Kumar")</f>
        <v>2*Aman Kumar</v>
      </c>
      <c r="M616" s="14">
        <f>IFERROR(__xludf.DUMMYFUNCTION("SPLIT(L616,""*"")"),2.0)</f>
        <v>2</v>
      </c>
      <c r="N616" s="14" t="str">
        <f>IFERROR(__xludf.DUMMYFUNCTION("""COMPUTED_VALUE"""),"Aman Kumar")</f>
        <v>Aman Kumar</v>
      </c>
      <c r="O616" s="14" t="str">
        <f>IFERROR(__xludf.DUMMYFUNCTION("split(J616,""*"")"),"Delivered")</f>
        <v>Delivered</v>
      </c>
      <c r="P616" s="14" t="str">
        <f>IFERROR(__xludf.DUMMYFUNCTION("""COMPUTED_VALUE"""),"On-time Delivery: Delivered on time")</f>
        <v>On-time Delivery: Delivered on time</v>
      </c>
      <c r="Q616" s="14" t="str">
        <f>IFERROR(__xludf.DUMMYFUNCTION("split(P616,"":"")"),"On-time Delivery")</f>
        <v>On-time Delivery</v>
      </c>
      <c r="R616" s="14" t="str">
        <f>IFERROR(__xludf.DUMMYFUNCTION("""COMPUTED_VALUE""")," Delivered on time")</f>
        <v> Delivered on time</v>
      </c>
      <c r="S616" s="14" t="str">
        <f t="shared" ref="S616:U616" si="1235">trim(B616)</f>
        <v>ord_10607</v>
      </c>
      <c r="T616" s="14" t="str">
        <f t="shared" si="1235"/>
        <v>Sanjay Nair</v>
      </c>
      <c r="U616" s="14" t="str">
        <f t="shared" si="1235"/>
        <v>Dadar</v>
      </c>
      <c r="V616" s="14" t="str">
        <f t="shared" si="4"/>
        <v>Potato</v>
      </c>
      <c r="W616" s="14">
        <f t="shared" si="5"/>
        <v>2</v>
      </c>
      <c r="X616" s="14" t="str">
        <f t="shared" si="6"/>
        <v>Aman Kumar</v>
      </c>
      <c r="Y616" s="15">
        <f t="shared" si="7"/>
        <v>45221</v>
      </c>
      <c r="Z616" s="14" t="str">
        <f t="shared" si="8"/>
        <v>UPI</v>
      </c>
      <c r="AA616" s="14" t="str">
        <f t="shared" si="9"/>
        <v>Delivered</v>
      </c>
      <c r="AB616" s="14" t="str">
        <f t="shared" ref="AB616:AC616" si="1236">trim(Q616)</f>
        <v>On-time Delivery</v>
      </c>
      <c r="AC616" s="14" t="str">
        <f t="shared" si="1236"/>
        <v>Delivered on time</v>
      </c>
      <c r="AD616" s="8"/>
    </row>
    <row r="617">
      <c r="A617" s="14" t="str">
        <f>IFERROR(__xludf.DUMMYFUNCTION("""COMPUTED_VALUE"""),"//ord_10608//Mohit Malhotra//Lower Parel//Apple+1*Kiran Mehta/6/12/2023//UPI//Delivered*Quality of Items: Perfect condition")</f>
        <v>//ord_10608//Mohit Malhotra//Lower Parel//Apple+1*Kiran Mehta/6/12/2023//UPI//Delivered*Quality of Items: Perfect condition</v>
      </c>
      <c r="B617" s="14" t="str">
        <f>IFERROR(__xludf.DUMMYFUNCTION("split(A617,""//"")"),"ord_10608")</f>
        <v>ord_10608</v>
      </c>
      <c r="C617" s="14" t="str">
        <f>IFERROR(__xludf.DUMMYFUNCTION("""COMPUTED_VALUE"""),"Mohit Malhotra")</f>
        <v>Mohit Malhotra</v>
      </c>
      <c r="D617" s="14" t="str">
        <f>IFERROR(__xludf.DUMMYFUNCTION("""COMPUTED_VALUE"""),"Lower Parel")</f>
        <v>Lower Parel</v>
      </c>
      <c r="E617" s="14" t="str">
        <f>IFERROR(__xludf.DUMMYFUNCTION("""COMPUTED_VALUE"""),"Apple+1*Kiran Mehta")</f>
        <v>Apple+1*Kiran Mehta</v>
      </c>
      <c r="F617" s="14">
        <f>IFERROR(__xludf.DUMMYFUNCTION("""COMPUTED_VALUE"""),6.0)</f>
        <v>6</v>
      </c>
      <c r="G617" s="14">
        <f>IFERROR(__xludf.DUMMYFUNCTION("""COMPUTED_VALUE"""),12.0)</f>
        <v>12</v>
      </c>
      <c r="H617" s="14">
        <f>IFERROR(__xludf.DUMMYFUNCTION("""COMPUTED_VALUE"""),2023.0)</f>
        <v>2023</v>
      </c>
      <c r="I617" s="14" t="str">
        <f>IFERROR(__xludf.DUMMYFUNCTION("""COMPUTED_VALUE"""),"UPI")</f>
        <v>UPI</v>
      </c>
      <c r="J617" s="14" t="str">
        <f>IFERROR(__xludf.DUMMYFUNCTION("""COMPUTED_VALUE"""),"Delivered*Quality of Items: Perfect condition")</f>
        <v>Delivered*Quality of Items: Perfect condition</v>
      </c>
      <c r="K617" s="14" t="str">
        <f>IFERROR(__xludf.DUMMYFUNCTION("split(E617,""+"")"),"Apple")</f>
        <v>Apple</v>
      </c>
      <c r="L617" s="14" t="str">
        <f>IFERROR(__xludf.DUMMYFUNCTION("""COMPUTED_VALUE"""),"1*Kiran Mehta")</f>
        <v>1*Kiran Mehta</v>
      </c>
      <c r="M617" s="14">
        <f>IFERROR(__xludf.DUMMYFUNCTION("SPLIT(L617,""*"")"),1.0)</f>
        <v>1</v>
      </c>
      <c r="N617" s="14" t="str">
        <f>IFERROR(__xludf.DUMMYFUNCTION("""COMPUTED_VALUE"""),"Kiran Mehta")</f>
        <v>Kiran Mehta</v>
      </c>
      <c r="O617" s="14" t="str">
        <f>IFERROR(__xludf.DUMMYFUNCTION("split(J617,""*"")"),"Delivered")</f>
        <v>Delivered</v>
      </c>
      <c r="P617" s="14" t="str">
        <f>IFERROR(__xludf.DUMMYFUNCTION("""COMPUTED_VALUE"""),"Quality of Items: Perfect condition")</f>
        <v>Quality of Items: Perfect condition</v>
      </c>
      <c r="Q617" s="14" t="str">
        <f>IFERROR(__xludf.DUMMYFUNCTION("split(P617,"":"")"),"Quality of Items")</f>
        <v>Quality of Items</v>
      </c>
      <c r="R617" s="14" t="str">
        <f>IFERROR(__xludf.DUMMYFUNCTION("""COMPUTED_VALUE""")," Perfect condition")</f>
        <v> Perfect condition</v>
      </c>
      <c r="S617" s="14" t="str">
        <f t="shared" ref="S617:U617" si="1237">trim(B617)</f>
        <v>ord_10608</v>
      </c>
      <c r="T617" s="14" t="str">
        <f t="shared" si="1237"/>
        <v>Mohit Malhotra</v>
      </c>
      <c r="U617" s="14" t="str">
        <f t="shared" si="1237"/>
        <v>Lower Parel</v>
      </c>
      <c r="V617" s="14" t="str">
        <f t="shared" si="4"/>
        <v>Apple</v>
      </c>
      <c r="W617" s="14">
        <f t="shared" si="5"/>
        <v>1</v>
      </c>
      <c r="X617" s="14" t="str">
        <f t="shared" si="6"/>
        <v>Kiran Mehta</v>
      </c>
      <c r="Y617" s="15">
        <f t="shared" si="7"/>
        <v>45089</v>
      </c>
      <c r="Z617" s="14" t="str">
        <f t="shared" si="8"/>
        <v>UPI</v>
      </c>
      <c r="AA617" s="14" t="str">
        <f t="shared" si="9"/>
        <v>Delivered</v>
      </c>
      <c r="AB617" s="14" t="str">
        <f t="shared" ref="AB617:AC617" si="1238">trim(Q617)</f>
        <v>Quality of Items</v>
      </c>
      <c r="AC617" s="14" t="str">
        <f t="shared" si="1238"/>
        <v>Perfect condition</v>
      </c>
      <c r="AD617" s="8"/>
    </row>
    <row r="618">
      <c r="A618" s="14" t="str">
        <f>IFERROR(__xludf.DUMMYFUNCTION("""COMPUTED_VALUE"""),"//ord_10609//Aditi Iyer//Dadar//Tomato+2*Aman Kumar/9/27/2023//COD//Delivered*Packaging: Secure and intact")</f>
        <v>//ord_10609//Aditi Iyer//Dadar//Tomato+2*Aman Kumar/9/27/2023//COD//Delivered*Packaging: Secure and intact</v>
      </c>
      <c r="B618" s="14" t="str">
        <f>IFERROR(__xludf.DUMMYFUNCTION("split(A618,""//"")"),"ord_10609")</f>
        <v>ord_10609</v>
      </c>
      <c r="C618" s="14" t="str">
        <f>IFERROR(__xludf.DUMMYFUNCTION("""COMPUTED_VALUE"""),"Aditi Iyer")</f>
        <v>Aditi Iyer</v>
      </c>
      <c r="D618" s="14" t="str">
        <f>IFERROR(__xludf.DUMMYFUNCTION("""COMPUTED_VALUE"""),"Dadar")</f>
        <v>Dadar</v>
      </c>
      <c r="E618" s="14" t="str">
        <f>IFERROR(__xludf.DUMMYFUNCTION("""COMPUTED_VALUE"""),"Tomato+2*Aman Kumar")</f>
        <v>Tomato+2*Aman Kumar</v>
      </c>
      <c r="F618" s="14">
        <f>IFERROR(__xludf.DUMMYFUNCTION("""COMPUTED_VALUE"""),9.0)</f>
        <v>9</v>
      </c>
      <c r="G618" s="14">
        <f>IFERROR(__xludf.DUMMYFUNCTION("""COMPUTED_VALUE"""),27.0)</f>
        <v>27</v>
      </c>
      <c r="H618" s="14">
        <f>IFERROR(__xludf.DUMMYFUNCTION("""COMPUTED_VALUE"""),2023.0)</f>
        <v>2023</v>
      </c>
      <c r="I618" s="14" t="str">
        <f>IFERROR(__xludf.DUMMYFUNCTION("""COMPUTED_VALUE"""),"COD")</f>
        <v>COD</v>
      </c>
      <c r="J618" s="14" t="str">
        <f>IFERROR(__xludf.DUMMYFUNCTION("""COMPUTED_VALUE"""),"Delivered*Packaging: Secure and intact")</f>
        <v>Delivered*Packaging: Secure and intact</v>
      </c>
      <c r="K618" s="14" t="str">
        <f>IFERROR(__xludf.DUMMYFUNCTION("split(E618,""+"")"),"Tomato")</f>
        <v>Tomato</v>
      </c>
      <c r="L618" s="14" t="str">
        <f>IFERROR(__xludf.DUMMYFUNCTION("""COMPUTED_VALUE"""),"2*Aman Kumar")</f>
        <v>2*Aman Kumar</v>
      </c>
      <c r="M618" s="14">
        <f>IFERROR(__xludf.DUMMYFUNCTION("SPLIT(L618,""*"")"),2.0)</f>
        <v>2</v>
      </c>
      <c r="N618" s="14" t="str">
        <f>IFERROR(__xludf.DUMMYFUNCTION("""COMPUTED_VALUE"""),"Aman Kumar")</f>
        <v>Aman Kumar</v>
      </c>
      <c r="O618" s="14" t="str">
        <f>IFERROR(__xludf.DUMMYFUNCTION("split(J618,""*"")"),"Delivered")</f>
        <v>Delivered</v>
      </c>
      <c r="P618" s="14" t="str">
        <f>IFERROR(__xludf.DUMMYFUNCTION("""COMPUTED_VALUE"""),"Packaging: Secure and intact")</f>
        <v>Packaging: Secure and intact</v>
      </c>
      <c r="Q618" s="14" t="str">
        <f>IFERROR(__xludf.DUMMYFUNCTION("split(P618,"":"")"),"Packaging")</f>
        <v>Packaging</v>
      </c>
      <c r="R618" s="14" t="str">
        <f>IFERROR(__xludf.DUMMYFUNCTION("""COMPUTED_VALUE""")," Secure and intact")</f>
        <v> Secure and intact</v>
      </c>
      <c r="S618" s="14" t="str">
        <f t="shared" ref="S618:U618" si="1239">trim(B618)</f>
        <v>ord_10609</v>
      </c>
      <c r="T618" s="14" t="str">
        <f t="shared" si="1239"/>
        <v>Aditi Iyer</v>
      </c>
      <c r="U618" s="14" t="str">
        <f t="shared" si="1239"/>
        <v>Dadar</v>
      </c>
      <c r="V618" s="14" t="str">
        <f t="shared" si="4"/>
        <v>Tomato</v>
      </c>
      <c r="W618" s="14">
        <f t="shared" si="5"/>
        <v>2</v>
      </c>
      <c r="X618" s="14" t="str">
        <f t="shared" si="6"/>
        <v>Aman Kumar</v>
      </c>
      <c r="Y618" s="15">
        <f t="shared" si="7"/>
        <v>45196</v>
      </c>
      <c r="Z618" s="14" t="str">
        <f t="shared" si="8"/>
        <v>COD</v>
      </c>
      <c r="AA618" s="14" t="str">
        <f t="shared" si="9"/>
        <v>Delivered</v>
      </c>
      <c r="AB618" s="14" t="str">
        <f t="shared" ref="AB618:AC618" si="1240">trim(Q618)</f>
        <v>Packaging</v>
      </c>
      <c r="AC618" s="14" t="str">
        <f t="shared" si="1240"/>
        <v>Secure and intact</v>
      </c>
      <c r="AD618" s="8"/>
    </row>
    <row r="619">
      <c r="A619" s="14" t="str">
        <f>IFERROR(__xludf.DUMMYFUNCTION("""COMPUTED_VALUE"""),"//ord_10610//Sakshi Tandon//Colaba//Tomato+2*Nikhil Deshmukh/7/23/2023//Credit Card//Delivered*Satisfied with the Delivery: Timely and quality")</f>
        <v>//ord_10610//Sakshi Tandon//Colaba//Tomato+2*Nikhil Deshmukh/7/23/2023//Credit Card//Delivered*Satisfied with the Delivery: Timely and quality</v>
      </c>
      <c r="B619" s="14" t="str">
        <f>IFERROR(__xludf.DUMMYFUNCTION("split(A619,""//"")"),"ord_10610")</f>
        <v>ord_10610</v>
      </c>
      <c r="C619" s="14" t="str">
        <f>IFERROR(__xludf.DUMMYFUNCTION("""COMPUTED_VALUE"""),"Sakshi Tandon")</f>
        <v>Sakshi Tandon</v>
      </c>
      <c r="D619" s="14" t="str">
        <f>IFERROR(__xludf.DUMMYFUNCTION("""COMPUTED_VALUE"""),"Colaba")</f>
        <v>Colaba</v>
      </c>
      <c r="E619" s="14" t="str">
        <f>IFERROR(__xludf.DUMMYFUNCTION("""COMPUTED_VALUE"""),"Tomato+2*Nikhil Deshmukh")</f>
        <v>Tomato+2*Nikhil Deshmukh</v>
      </c>
      <c r="F619" s="14">
        <f>IFERROR(__xludf.DUMMYFUNCTION("""COMPUTED_VALUE"""),7.0)</f>
        <v>7</v>
      </c>
      <c r="G619" s="14">
        <f>IFERROR(__xludf.DUMMYFUNCTION("""COMPUTED_VALUE"""),23.0)</f>
        <v>23</v>
      </c>
      <c r="H619" s="14">
        <f>IFERROR(__xludf.DUMMYFUNCTION("""COMPUTED_VALUE"""),2023.0)</f>
        <v>2023</v>
      </c>
      <c r="I619" s="14" t="str">
        <f>IFERROR(__xludf.DUMMYFUNCTION("""COMPUTED_VALUE"""),"Credit Card")</f>
        <v>Credit Card</v>
      </c>
      <c r="J619" s="14" t="str">
        <f>IFERROR(__xludf.DUMMYFUNCTION("""COMPUTED_VALUE"""),"Delivered*Satisfied with the Delivery: Timely and quality")</f>
        <v>Delivered*Satisfied with the Delivery: Timely and quality</v>
      </c>
      <c r="K619" s="14" t="str">
        <f>IFERROR(__xludf.DUMMYFUNCTION("split(E619,""+"")"),"Tomato")</f>
        <v>Tomato</v>
      </c>
      <c r="L619" s="14" t="str">
        <f>IFERROR(__xludf.DUMMYFUNCTION("""COMPUTED_VALUE"""),"2*Nikhil Deshmukh")</f>
        <v>2*Nikhil Deshmukh</v>
      </c>
      <c r="M619" s="14">
        <f>IFERROR(__xludf.DUMMYFUNCTION("SPLIT(L619,""*"")"),2.0)</f>
        <v>2</v>
      </c>
      <c r="N619" s="14" t="str">
        <f>IFERROR(__xludf.DUMMYFUNCTION("""COMPUTED_VALUE"""),"Nikhil Deshmukh")</f>
        <v>Nikhil Deshmukh</v>
      </c>
      <c r="O619" s="14" t="str">
        <f>IFERROR(__xludf.DUMMYFUNCTION("split(J619,""*"")"),"Delivered")</f>
        <v>Delivered</v>
      </c>
      <c r="P619" s="14" t="str">
        <f>IFERROR(__xludf.DUMMYFUNCTION("""COMPUTED_VALUE"""),"Satisfied with the Delivery: Timely and quality")</f>
        <v>Satisfied with the Delivery: Timely and quality</v>
      </c>
      <c r="Q619" s="14" t="str">
        <f>IFERROR(__xludf.DUMMYFUNCTION("split(P619,"":"")"),"Satisfied with the Delivery")</f>
        <v>Satisfied with the Delivery</v>
      </c>
      <c r="R619" s="14" t="str">
        <f>IFERROR(__xludf.DUMMYFUNCTION("""COMPUTED_VALUE""")," Timely and quality")</f>
        <v> Timely and quality</v>
      </c>
      <c r="S619" s="14" t="str">
        <f t="shared" ref="S619:U619" si="1241">trim(B619)</f>
        <v>ord_10610</v>
      </c>
      <c r="T619" s="14" t="str">
        <f t="shared" si="1241"/>
        <v>Sakshi Tandon</v>
      </c>
      <c r="U619" s="14" t="str">
        <f t="shared" si="1241"/>
        <v>Colaba</v>
      </c>
      <c r="V619" s="14" t="str">
        <f t="shared" si="4"/>
        <v>Tomato</v>
      </c>
      <c r="W619" s="14">
        <f t="shared" si="5"/>
        <v>2</v>
      </c>
      <c r="X619" s="14" t="str">
        <f t="shared" si="6"/>
        <v>Nikhil Deshmukh</v>
      </c>
      <c r="Y619" s="15">
        <f t="shared" si="7"/>
        <v>45130</v>
      </c>
      <c r="Z619" s="14" t="str">
        <f t="shared" si="8"/>
        <v>Credit Card</v>
      </c>
      <c r="AA619" s="14" t="str">
        <f t="shared" si="9"/>
        <v>Delivered</v>
      </c>
      <c r="AB619" s="14" t="str">
        <f t="shared" ref="AB619:AC619" si="1242">trim(Q619)</f>
        <v>Satisfied with the Delivery</v>
      </c>
      <c r="AC619" s="14" t="str">
        <f t="shared" si="1242"/>
        <v>Timely and quality</v>
      </c>
      <c r="AD619" s="8"/>
    </row>
    <row r="620">
      <c r="A620" s="14" t="str">
        <f>IFERROR(__xludf.DUMMYFUNCTION("""COMPUTED_VALUE"""),"//ord_10611//Diya Arora//Lower Parel//Tomato+2*Kiran Mehta/11/3/2023//UPI//Delivered*Customer Service: Seamless and easy")</f>
        <v>//ord_10611//Diya Arora//Lower Parel//Tomato+2*Kiran Mehta/11/3/2023//UPI//Delivered*Customer Service: Seamless and easy</v>
      </c>
      <c r="B620" s="14" t="str">
        <f>IFERROR(__xludf.DUMMYFUNCTION("split(A620,""//"")"),"ord_10611")</f>
        <v>ord_10611</v>
      </c>
      <c r="C620" s="14" t="str">
        <f>IFERROR(__xludf.DUMMYFUNCTION("""COMPUTED_VALUE"""),"Diya Arora")</f>
        <v>Diya Arora</v>
      </c>
      <c r="D620" s="14" t="str">
        <f>IFERROR(__xludf.DUMMYFUNCTION("""COMPUTED_VALUE"""),"Lower Parel")</f>
        <v>Lower Parel</v>
      </c>
      <c r="E620" s="14" t="str">
        <f>IFERROR(__xludf.DUMMYFUNCTION("""COMPUTED_VALUE"""),"Tomato+2*Kiran Mehta")</f>
        <v>Tomato+2*Kiran Mehta</v>
      </c>
      <c r="F620" s="14">
        <f>IFERROR(__xludf.DUMMYFUNCTION("""COMPUTED_VALUE"""),11.0)</f>
        <v>11</v>
      </c>
      <c r="G620" s="14">
        <f>IFERROR(__xludf.DUMMYFUNCTION("""COMPUTED_VALUE"""),3.0)</f>
        <v>3</v>
      </c>
      <c r="H620" s="14">
        <f>IFERROR(__xludf.DUMMYFUNCTION("""COMPUTED_VALUE"""),2023.0)</f>
        <v>2023</v>
      </c>
      <c r="I620" s="14" t="str">
        <f>IFERROR(__xludf.DUMMYFUNCTION("""COMPUTED_VALUE"""),"UPI")</f>
        <v>UPI</v>
      </c>
      <c r="J620" s="14" t="str">
        <f>IFERROR(__xludf.DUMMYFUNCTION("""COMPUTED_VALUE"""),"Delivered*Customer Service: Seamless and easy")</f>
        <v>Delivered*Customer Service: Seamless and easy</v>
      </c>
      <c r="K620" s="14" t="str">
        <f>IFERROR(__xludf.DUMMYFUNCTION("split(E620,""+"")"),"Tomato")</f>
        <v>Tomato</v>
      </c>
      <c r="L620" s="14" t="str">
        <f>IFERROR(__xludf.DUMMYFUNCTION("""COMPUTED_VALUE"""),"2*Kiran Mehta")</f>
        <v>2*Kiran Mehta</v>
      </c>
      <c r="M620" s="14">
        <f>IFERROR(__xludf.DUMMYFUNCTION("SPLIT(L620,""*"")"),2.0)</f>
        <v>2</v>
      </c>
      <c r="N620" s="14" t="str">
        <f>IFERROR(__xludf.DUMMYFUNCTION("""COMPUTED_VALUE"""),"Kiran Mehta")</f>
        <v>Kiran Mehta</v>
      </c>
      <c r="O620" s="14" t="str">
        <f>IFERROR(__xludf.DUMMYFUNCTION("split(J620,""*"")"),"Delivered")</f>
        <v>Delivered</v>
      </c>
      <c r="P620" s="14" t="str">
        <f>IFERROR(__xludf.DUMMYFUNCTION("""COMPUTED_VALUE"""),"Customer Service: Seamless and easy")</f>
        <v>Customer Service: Seamless and easy</v>
      </c>
      <c r="Q620" s="14" t="str">
        <f>IFERROR(__xludf.DUMMYFUNCTION("split(P620,"":"")"),"Customer Service")</f>
        <v>Customer Service</v>
      </c>
      <c r="R620" s="14" t="str">
        <f>IFERROR(__xludf.DUMMYFUNCTION("""COMPUTED_VALUE""")," Seamless and easy")</f>
        <v> Seamless and easy</v>
      </c>
      <c r="S620" s="14" t="str">
        <f t="shared" ref="S620:U620" si="1243">trim(B620)</f>
        <v>ord_10611</v>
      </c>
      <c r="T620" s="14" t="str">
        <f t="shared" si="1243"/>
        <v>Diya Arora</v>
      </c>
      <c r="U620" s="14" t="str">
        <f t="shared" si="1243"/>
        <v>Lower Parel</v>
      </c>
      <c r="V620" s="14" t="str">
        <f t="shared" si="4"/>
        <v>Tomato</v>
      </c>
      <c r="W620" s="14">
        <f t="shared" si="5"/>
        <v>2</v>
      </c>
      <c r="X620" s="14" t="str">
        <f t="shared" si="6"/>
        <v>Kiran Mehta</v>
      </c>
      <c r="Y620" s="15">
        <f t="shared" si="7"/>
        <v>45233</v>
      </c>
      <c r="Z620" s="14" t="str">
        <f t="shared" si="8"/>
        <v>UPI</v>
      </c>
      <c r="AA620" s="14" t="str">
        <f t="shared" si="9"/>
        <v>Delivered</v>
      </c>
      <c r="AB620" s="14" t="str">
        <f t="shared" ref="AB620:AC620" si="1244">trim(Q620)</f>
        <v>Customer Service</v>
      </c>
      <c r="AC620" s="14" t="str">
        <f t="shared" si="1244"/>
        <v>Seamless and easy</v>
      </c>
      <c r="AD620" s="8"/>
    </row>
    <row r="621">
      <c r="A621" s="14" t="str">
        <f>IFERROR(__xludf.DUMMYFUNCTION("""COMPUTED_VALUE"""),"//ord_10612//Siya Reddy//Juhu//Icecream+2*Not Assigned/2/9/2023//UPI//Cancelled*High Delivery Fees")</f>
        <v>//ord_10612//Siya Reddy//Juhu//Icecream+2*Not Assigned/2/9/2023//UPI//Cancelled*High Delivery Fees</v>
      </c>
      <c r="B621" s="14" t="str">
        <f>IFERROR(__xludf.DUMMYFUNCTION("split(A621,""//"")"),"ord_10612")</f>
        <v>ord_10612</v>
      </c>
      <c r="C621" s="14" t="str">
        <f>IFERROR(__xludf.DUMMYFUNCTION("""COMPUTED_VALUE"""),"Siya Reddy")</f>
        <v>Siya Reddy</v>
      </c>
      <c r="D621" s="14" t="str">
        <f>IFERROR(__xludf.DUMMYFUNCTION("""COMPUTED_VALUE"""),"Juhu")</f>
        <v>Juhu</v>
      </c>
      <c r="E621" s="14" t="str">
        <f>IFERROR(__xludf.DUMMYFUNCTION("""COMPUTED_VALUE"""),"Icecream+2*Not Assigned")</f>
        <v>Icecream+2*Not Assigned</v>
      </c>
      <c r="F621" s="14">
        <f>IFERROR(__xludf.DUMMYFUNCTION("""COMPUTED_VALUE"""),2.0)</f>
        <v>2</v>
      </c>
      <c r="G621" s="14">
        <f>IFERROR(__xludf.DUMMYFUNCTION("""COMPUTED_VALUE"""),9.0)</f>
        <v>9</v>
      </c>
      <c r="H621" s="14">
        <f>IFERROR(__xludf.DUMMYFUNCTION("""COMPUTED_VALUE"""),2023.0)</f>
        <v>2023</v>
      </c>
      <c r="I621" s="14" t="str">
        <f>IFERROR(__xludf.DUMMYFUNCTION("""COMPUTED_VALUE"""),"UPI")</f>
        <v>UPI</v>
      </c>
      <c r="J621" s="14" t="str">
        <f>IFERROR(__xludf.DUMMYFUNCTION("""COMPUTED_VALUE"""),"Cancelled*High Delivery Fees")</f>
        <v>Cancelled*High Delivery Fees</v>
      </c>
      <c r="K621" s="14" t="str">
        <f>IFERROR(__xludf.DUMMYFUNCTION("split(E621,""+"")"),"Icecream")</f>
        <v>Icecream</v>
      </c>
      <c r="L621" s="14" t="str">
        <f>IFERROR(__xludf.DUMMYFUNCTION("""COMPUTED_VALUE"""),"2*Not Assigned")</f>
        <v>2*Not Assigned</v>
      </c>
      <c r="M621" s="14">
        <f>IFERROR(__xludf.DUMMYFUNCTION("SPLIT(L621,""*"")"),2.0)</f>
        <v>2</v>
      </c>
      <c r="N621" s="14" t="str">
        <f>IFERROR(__xludf.DUMMYFUNCTION("""COMPUTED_VALUE"""),"Not Assigned")</f>
        <v>Not Assigned</v>
      </c>
      <c r="O621" s="14" t="str">
        <f>IFERROR(__xludf.DUMMYFUNCTION("split(J621,""*"")"),"Cancelled")</f>
        <v>Cancelled</v>
      </c>
      <c r="P621" s="14" t="str">
        <f>IFERROR(__xludf.DUMMYFUNCTION("""COMPUTED_VALUE"""),"High Delivery Fees")</f>
        <v>High Delivery Fees</v>
      </c>
      <c r="Q621" s="14" t="str">
        <f>IFERROR(__xludf.DUMMYFUNCTION("split(P621,"":"")"),"High Delivery Fees")</f>
        <v>High Delivery Fees</v>
      </c>
      <c r="R621" s="14"/>
      <c r="S621" s="14" t="str">
        <f t="shared" ref="S621:U621" si="1245">trim(B621)</f>
        <v>ord_10612</v>
      </c>
      <c r="T621" s="14" t="str">
        <f t="shared" si="1245"/>
        <v>Siya Reddy</v>
      </c>
      <c r="U621" s="14" t="str">
        <f t="shared" si="1245"/>
        <v>Juhu</v>
      </c>
      <c r="V621" s="14" t="str">
        <f t="shared" si="4"/>
        <v>Icecream</v>
      </c>
      <c r="W621" s="14">
        <f t="shared" si="5"/>
        <v>2</v>
      </c>
      <c r="X621" s="14" t="str">
        <f t="shared" si="6"/>
        <v>Not Assigned</v>
      </c>
      <c r="Y621" s="15">
        <f t="shared" si="7"/>
        <v>44966</v>
      </c>
      <c r="Z621" s="14" t="str">
        <f t="shared" si="8"/>
        <v>UPI</v>
      </c>
      <c r="AA621" s="14" t="str">
        <f t="shared" si="9"/>
        <v>Cancelled</v>
      </c>
      <c r="AB621" s="14" t="str">
        <f t="shared" ref="AB621:AC621" si="1246">trim(Q621)</f>
        <v>High Delivery Fees</v>
      </c>
      <c r="AC621" s="14" t="str">
        <f t="shared" si="1246"/>
        <v/>
      </c>
      <c r="AD621" s="8"/>
    </row>
    <row r="622">
      <c r="A622" s="14" t="str">
        <f>IFERROR(__xludf.DUMMYFUNCTION("""COMPUTED_VALUE"""),"//ord_10613//Ishita Banerjee//Juhu//Apple+2*Tanvi Jain/7/17/2023//COD//Delivered*Delivery Experience: Quick and professional")</f>
        <v>//ord_10613//Ishita Banerjee//Juhu//Apple+2*Tanvi Jain/7/17/2023//COD//Delivered*Delivery Experience: Quick and professional</v>
      </c>
      <c r="B622" s="14" t="str">
        <f>IFERROR(__xludf.DUMMYFUNCTION("split(A622,""//"")"),"ord_10613")</f>
        <v>ord_10613</v>
      </c>
      <c r="C622" s="14" t="str">
        <f>IFERROR(__xludf.DUMMYFUNCTION("""COMPUTED_VALUE"""),"Ishita Banerjee")</f>
        <v>Ishita Banerjee</v>
      </c>
      <c r="D622" s="14" t="str">
        <f>IFERROR(__xludf.DUMMYFUNCTION("""COMPUTED_VALUE"""),"Juhu")</f>
        <v>Juhu</v>
      </c>
      <c r="E622" s="14" t="str">
        <f>IFERROR(__xludf.DUMMYFUNCTION("""COMPUTED_VALUE"""),"Apple+2*Tanvi Jain")</f>
        <v>Apple+2*Tanvi Jain</v>
      </c>
      <c r="F622" s="14">
        <f>IFERROR(__xludf.DUMMYFUNCTION("""COMPUTED_VALUE"""),7.0)</f>
        <v>7</v>
      </c>
      <c r="G622" s="14">
        <f>IFERROR(__xludf.DUMMYFUNCTION("""COMPUTED_VALUE"""),17.0)</f>
        <v>17</v>
      </c>
      <c r="H622" s="14">
        <f>IFERROR(__xludf.DUMMYFUNCTION("""COMPUTED_VALUE"""),2023.0)</f>
        <v>2023</v>
      </c>
      <c r="I622" s="14" t="str">
        <f>IFERROR(__xludf.DUMMYFUNCTION("""COMPUTED_VALUE"""),"COD")</f>
        <v>COD</v>
      </c>
      <c r="J622" s="14" t="str">
        <f>IFERROR(__xludf.DUMMYFUNCTION("""COMPUTED_VALUE"""),"Delivered*Delivery Experience: Quick and professional")</f>
        <v>Delivered*Delivery Experience: Quick and professional</v>
      </c>
      <c r="K622" s="14" t="str">
        <f>IFERROR(__xludf.DUMMYFUNCTION("split(E622,""+"")"),"Apple")</f>
        <v>Apple</v>
      </c>
      <c r="L622" s="14" t="str">
        <f>IFERROR(__xludf.DUMMYFUNCTION("""COMPUTED_VALUE"""),"2*Tanvi Jain")</f>
        <v>2*Tanvi Jain</v>
      </c>
      <c r="M622" s="14">
        <f>IFERROR(__xludf.DUMMYFUNCTION("SPLIT(L622,""*"")"),2.0)</f>
        <v>2</v>
      </c>
      <c r="N622" s="14" t="str">
        <f>IFERROR(__xludf.DUMMYFUNCTION("""COMPUTED_VALUE"""),"Tanvi Jain")</f>
        <v>Tanvi Jain</v>
      </c>
      <c r="O622" s="14" t="str">
        <f>IFERROR(__xludf.DUMMYFUNCTION("split(J622,""*"")"),"Delivered")</f>
        <v>Delivered</v>
      </c>
      <c r="P622" s="14" t="str">
        <f>IFERROR(__xludf.DUMMYFUNCTION("""COMPUTED_VALUE"""),"Delivery Experience: Quick and professional")</f>
        <v>Delivery Experience: Quick and professional</v>
      </c>
      <c r="Q622" s="14" t="str">
        <f>IFERROR(__xludf.DUMMYFUNCTION("split(P622,"":"")"),"Delivery Experience")</f>
        <v>Delivery Experience</v>
      </c>
      <c r="R622" s="14" t="str">
        <f>IFERROR(__xludf.DUMMYFUNCTION("""COMPUTED_VALUE""")," Quick and professional")</f>
        <v> Quick and professional</v>
      </c>
      <c r="S622" s="14" t="str">
        <f t="shared" ref="S622:U622" si="1247">trim(B622)</f>
        <v>ord_10613</v>
      </c>
      <c r="T622" s="14" t="str">
        <f t="shared" si="1247"/>
        <v>Ishita Banerjee</v>
      </c>
      <c r="U622" s="14" t="str">
        <f t="shared" si="1247"/>
        <v>Juhu</v>
      </c>
      <c r="V622" s="14" t="str">
        <f t="shared" si="4"/>
        <v>Apple</v>
      </c>
      <c r="W622" s="14">
        <f t="shared" si="5"/>
        <v>2</v>
      </c>
      <c r="X622" s="14" t="str">
        <f t="shared" si="6"/>
        <v>Tanvi Jain</v>
      </c>
      <c r="Y622" s="15">
        <f t="shared" si="7"/>
        <v>45124</v>
      </c>
      <c r="Z622" s="14" t="str">
        <f t="shared" si="8"/>
        <v>COD</v>
      </c>
      <c r="AA622" s="14" t="str">
        <f t="shared" si="9"/>
        <v>Delivered</v>
      </c>
      <c r="AB622" s="14" t="str">
        <f t="shared" ref="AB622:AC622" si="1248">trim(Q622)</f>
        <v>Delivery Experience</v>
      </c>
      <c r="AC622" s="14" t="str">
        <f t="shared" si="1248"/>
        <v>Quick and professional</v>
      </c>
      <c r="AD622" s="8"/>
    </row>
    <row r="623">
      <c r="A623" s="14" t="str">
        <f>IFERROR(__xludf.DUMMYFUNCTION("""COMPUTED_VALUE"""),"//ord_10614//Ishaan Chaturvedi//Bandra//Rasmalai+3*Priya Joshi/3/30/2023//Online Payment//Delivered*Convenience: Easy tracking")</f>
        <v>//ord_10614//Ishaan Chaturvedi//Bandra//Rasmalai+3*Priya Joshi/3/30/2023//Online Payment//Delivered*Convenience: Easy tracking</v>
      </c>
      <c r="B623" s="14" t="str">
        <f>IFERROR(__xludf.DUMMYFUNCTION("split(A623,""//"")"),"ord_10614")</f>
        <v>ord_10614</v>
      </c>
      <c r="C623" s="14" t="str">
        <f>IFERROR(__xludf.DUMMYFUNCTION("""COMPUTED_VALUE"""),"Ishaan Chaturvedi")</f>
        <v>Ishaan Chaturvedi</v>
      </c>
      <c r="D623" s="14" t="str">
        <f>IFERROR(__xludf.DUMMYFUNCTION("""COMPUTED_VALUE"""),"Bandra")</f>
        <v>Bandra</v>
      </c>
      <c r="E623" s="14" t="str">
        <f>IFERROR(__xludf.DUMMYFUNCTION("""COMPUTED_VALUE"""),"Rasmalai+3*Priya Joshi")</f>
        <v>Rasmalai+3*Priya Joshi</v>
      </c>
      <c r="F623" s="14">
        <f>IFERROR(__xludf.DUMMYFUNCTION("""COMPUTED_VALUE"""),3.0)</f>
        <v>3</v>
      </c>
      <c r="G623" s="14">
        <f>IFERROR(__xludf.DUMMYFUNCTION("""COMPUTED_VALUE"""),30.0)</f>
        <v>30</v>
      </c>
      <c r="H623" s="14">
        <f>IFERROR(__xludf.DUMMYFUNCTION("""COMPUTED_VALUE"""),2023.0)</f>
        <v>2023</v>
      </c>
      <c r="I623" s="14" t="str">
        <f>IFERROR(__xludf.DUMMYFUNCTION("""COMPUTED_VALUE"""),"Online Payment")</f>
        <v>Online Payment</v>
      </c>
      <c r="J623" s="14" t="str">
        <f>IFERROR(__xludf.DUMMYFUNCTION("""COMPUTED_VALUE"""),"Delivered*Convenience: Easy tracking")</f>
        <v>Delivered*Convenience: Easy tracking</v>
      </c>
      <c r="K623" s="14" t="str">
        <f>IFERROR(__xludf.DUMMYFUNCTION("split(E623,""+"")"),"Rasmalai")</f>
        <v>Rasmalai</v>
      </c>
      <c r="L623" s="14" t="str">
        <f>IFERROR(__xludf.DUMMYFUNCTION("""COMPUTED_VALUE"""),"3*Priya Joshi")</f>
        <v>3*Priya Joshi</v>
      </c>
      <c r="M623" s="14">
        <f>IFERROR(__xludf.DUMMYFUNCTION("SPLIT(L623,""*"")"),3.0)</f>
        <v>3</v>
      </c>
      <c r="N623" s="14" t="str">
        <f>IFERROR(__xludf.DUMMYFUNCTION("""COMPUTED_VALUE"""),"Priya Joshi")</f>
        <v>Priya Joshi</v>
      </c>
      <c r="O623" s="14" t="str">
        <f>IFERROR(__xludf.DUMMYFUNCTION("split(J623,""*"")"),"Delivered")</f>
        <v>Delivered</v>
      </c>
      <c r="P623" s="14" t="str">
        <f>IFERROR(__xludf.DUMMYFUNCTION("""COMPUTED_VALUE"""),"Convenience: Easy tracking")</f>
        <v>Convenience: Easy tracking</v>
      </c>
      <c r="Q623" s="14" t="str">
        <f>IFERROR(__xludf.DUMMYFUNCTION("split(P623,"":"")"),"Convenience")</f>
        <v>Convenience</v>
      </c>
      <c r="R623" s="14" t="str">
        <f>IFERROR(__xludf.DUMMYFUNCTION("""COMPUTED_VALUE""")," Easy tracking")</f>
        <v> Easy tracking</v>
      </c>
      <c r="S623" s="14" t="str">
        <f t="shared" ref="S623:U623" si="1249">trim(B623)</f>
        <v>ord_10614</v>
      </c>
      <c r="T623" s="14" t="str">
        <f t="shared" si="1249"/>
        <v>Ishaan Chaturvedi</v>
      </c>
      <c r="U623" s="14" t="str">
        <f t="shared" si="1249"/>
        <v>Bandra</v>
      </c>
      <c r="V623" s="14" t="str">
        <f t="shared" si="4"/>
        <v>Rasmalai</v>
      </c>
      <c r="W623" s="14">
        <f t="shared" si="5"/>
        <v>3</v>
      </c>
      <c r="X623" s="14" t="str">
        <f t="shared" si="6"/>
        <v>Priya Joshi</v>
      </c>
      <c r="Y623" s="15">
        <f t="shared" si="7"/>
        <v>45015</v>
      </c>
      <c r="Z623" s="14" t="str">
        <f t="shared" si="8"/>
        <v>Online Payment</v>
      </c>
      <c r="AA623" s="14" t="str">
        <f t="shared" si="9"/>
        <v>Delivered</v>
      </c>
      <c r="AB623" s="14" t="str">
        <f t="shared" ref="AB623:AC623" si="1250">trim(Q623)</f>
        <v>Convenience</v>
      </c>
      <c r="AC623" s="14" t="str">
        <f t="shared" si="1250"/>
        <v>Easy tracking</v>
      </c>
      <c r="AD623" s="8"/>
    </row>
    <row r="624">
      <c r="A624" s="14" t="str">
        <f>IFERROR(__xludf.DUMMYFUNCTION("""COMPUTED_VALUE"""),"//ord_10615//Kritika Shetty//Malad//Tiramisu+4*Not Assigned/10/17/2023//Credit Card//Cancelled*High Delivery Fees")</f>
        <v>//ord_10615//Kritika Shetty//Malad//Tiramisu+4*Not Assigned/10/17/2023//Credit Card//Cancelled*High Delivery Fees</v>
      </c>
      <c r="B624" s="14" t="str">
        <f>IFERROR(__xludf.DUMMYFUNCTION("split(A624,""//"")"),"ord_10615")</f>
        <v>ord_10615</v>
      </c>
      <c r="C624" s="14" t="str">
        <f>IFERROR(__xludf.DUMMYFUNCTION("""COMPUTED_VALUE"""),"Kritika Shetty")</f>
        <v>Kritika Shetty</v>
      </c>
      <c r="D624" s="14" t="str">
        <f>IFERROR(__xludf.DUMMYFUNCTION("""COMPUTED_VALUE"""),"Malad")</f>
        <v>Malad</v>
      </c>
      <c r="E624" s="14" t="str">
        <f>IFERROR(__xludf.DUMMYFUNCTION("""COMPUTED_VALUE"""),"Tiramisu+4*Not Assigned")</f>
        <v>Tiramisu+4*Not Assigned</v>
      </c>
      <c r="F624" s="14">
        <f>IFERROR(__xludf.DUMMYFUNCTION("""COMPUTED_VALUE"""),10.0)</f>
        <v>10</v>
      </c>
      <c r="G624" s="14">
        <f>IFERROR(__xludf.DUMMYFUNCTION("""COMPUTED_VALUE"""),17.0)</f>
        <v>17</v>
      </c>
      <c r="H624" s="14">
        <f>IFERROR(__xludf.DUMMYFUNCTION("""COMPUTED_VALUE"""),2023.0)</f>
        <v>2023</v>
      </c>
      <c r="I624" s="14" t="str">
        <f>IFERROR(__xludf.DUMMYFUNCTION("""COMPUTED_VALUE"""),"Credit Card")</f>
        <v>Credit Card</v>
      </c>
      <c r="J624" s="14" t="str">
        <f>IFERROR(__xludf.DUMMYFUNCTION("""COMPUTED_VALUE"""),"Cancelled*High Delivery Fees")</f>
        <v>Cancelled*High Delivery Fees</v>
      </c>
      <c r="K624" s="14" t="str">
        <f>IFERROR(__xludf.DUMMYFUNCTION("split(E624,""+"")"),"Tiramisu")</f>
        <v>Tiramisu</v>
      </c>
      <c r="L624" s="14" t="str">
        <f>IFERROR(__xludf.DUMMYFUNCTION("""COMPUTED_VALUE"""),"4*Not Assigned")</f>
        <v>4*Not Assigned</v>
      </c>
      <c r="M624" s="14">
        <f>IFERROR(__xludf.DUMMYFUNCTION("SPLIT(L624,""*"")"),4.0)</f>
        <v>4</v>
      </c>
      <c r="N624" s="14" t="str">
        <f>IFERROR(__xludf.DUMMYFUNCTION("""COMPUTED_VALUE"""),"Not Assigned")</f>
        <v>Not Assigned</v>
      </c>
      <c r="O624" s="14" t="str">
        <f>IFERROR(__xludf.DUMMYFUNCTION("split(J624,""*"")"),"Cancelled")</f>
        <v>Cancelled</v>
      </c>
      <c r="P624" s="14" t="str">
        <f>IFERROR(__xludf.DUMMYFUNCTION("""COMPUTED_VALUE"""),"High Delivery Fees")</f>
        <v>High Delivery Fees</v>
      </c>
      <c r="Q624" s="14" t="str">
        <f>IFERROR(__xludf.DUMMYFUNCTION("split(P624,"":"")"),"High Delivery Fees")</f>
        <v>High Delivery Fees</v>
      </c>
      <c r="R624" s="14"/>
      <c r="S624" s="14" t="str">
        <f t="shared" ref="S624:U624" si="1251">trim(B624)</f>
        <v>ord_10615</v>
      </c>
      <c r="T624" s="14" t="str">
        <f t="shared" si="1251"/>
        <v>Kritika Shetty</v>
      </c>
      <c r="U624" s="14" t="str">
        <f t="shared" si="1251"/>
        <v>Malad</v>
      </c>
      <c r="V624" s="14" t="str">
        <f t="shared" si="4"/>
        <v>Tiramisu</v>
      </c>
      <c r="W624" s="14">
        <f t="shared" si="5"/>
        <v>4</v>
      </c>
      <c r="X624" s="14" t="str">
        <f t="shared" si="6"/>
        <v>Not Assigned</v>
      </c>
      <c r="Y624" s="15">
        <f t="shared" si="7"/>
        <v>45216</v>
      </c>
      <c r="Z624" s="14" t="str">
        <f t="shared" si="8"/>
        <v>Credit Card</v>
      </c>
      <c r="AA624" s="14" t="str">
        <f t="shared" si="9"/>
        <v>Cancelled</v>
      </c>
      <c r="AB624" s="14" t="str">
        <f t="shared" ref="AB624:AC624" si="1252">trim(Q624)</f>
        <v>High Delivery Fees</v>
      </c>
      <c r="AC624" s="14" t="str">
        <f t="shared" si="1252"/>
        <v/>
      </c>
      <c r="AD624" s="8"/>
    </row>
    <row r="625">
      <c r="A625" s="14" t="str">
        <f>IFERROR(__xludf.DUMMYFUNCTION("""COMPUTED_VALUE"""),"//ord_10616//Sakshi Tandon//Colaba//Onion+1*Nikhil Deshmukh/10/29/2023//Online Payment//Delivered*Overall Satisfaction: Great service will order again")</f>
        <v>//ord_10616//Sakshi Tandon//Colaba//Onion+1*Nikhil Deshmukh/10/29/2023//Online Payment//Delivered*Overall Satisfaction: Great service will order again</v>
      </c>
      <c r="B625" s="14" t="str">
        <f>IFERROR(__xludf.DUMMYFUNCTION("split(A625,""//"")"),"ord_10616")</f>
        <v>ord_10616</v>
      </c>
      <c r="C625" s="14" t="str">
        <f>IFERROR(__xludf.DUMMYFUNCTION("""COMPUTED_VALUE"""),"Sakshi Tandon")</f>
        <v>Sakshi Tandon</v>
      </c>
      <c r="D625" s="14" t="str">
        <f>IFERROR(__xludf.DUMMYFUNCTION("""COMPUTED_VALUE"""),"Colaba")</f>
        <v>Colaba</v>
      </c>
      <c r="E625" s="14" t="str">
        <f>IFERROR(__xludf.DUMMYFUNCTION("""COMPUTED_VALUE"""),"Onion+1*Nikhil Deshmukh")</f>
        <v>Onion+1*Nikhil Deshmukh</v>
      </c>
      <c r="F625" s="14">
        <f>IFERROR(__xludf.DUMMYFUNCTION("""COMPUTED_VALUE"""),10.0)</f>
        <v>10</v>
      </c>
      <c r="G625" s="14">
        <f>IFERROR(__xludf.DUMMYFUNCTION("""COMPUTED_VALUE"""),29.0)</f>
        <v>29</v>
      </c>
      <c r="H625" s="14">
        <f>IFERROR(__xludf.DUMMYFUNCTION("""COMPUTED_VALUE"""),2023.0)</f>
        <v>2023</v>
      </c>
      <c r="I625" s="14" t="str">
        <f>IFERROR(__xludf.DUMMYFUNCTION("""COMPUTED_VALUE"""),"Online Payment")</f>
        <v>Online Payment</v>
      </c>
      <c r="J625" s="14" t="str">
        <f>IFERROR(__xludf.DUMMYFUNCTION("""COMPUTED_VALUE"""),"Delivered*Overall Satisfaction: Great service will order again")</f>
        <v>Delivered*Overall Satisfaction: Great service will order again</v>
      </c>
      <c r="K625" s="14" t="str">
        <f>IFERROR(__xludf.DUMMYFUNCTION("split(E625,""+"")"),"Onion")</f>
        <v>Onion</v>
      </c>
      <c r="L625" s="14" t="str">
        <f>IFERROR(__xludf.DUMMYFUNCTION("""COMPUTED_VALUE"""),"1*Nikhil Deshmukh")</f>
        <v>1*Nikhil Deshmukh</v>
      </c>
      <c r="M625" s="14">
        <f>IFERROR(__xludf.DUMMYFUNCTION("SPLIT(L625,""*"")"),1.0)</f>
        <v>1</v>
      </c>
      <c r="N625" s="14" t="str">
        <f>IFERROR(__xludf.DUMMYFUNCTION("""COMPUTED_VALUE"""),"Nikhil Deshmukh")</f>
        <v>Nikhil Deshmukh</v>
      </c>
      <c r="O625" s="14" t="str">
        <f>IFERROR(__xludf.DUMMYFUNCTION("split(J625,""*"")"),"Delivered")</f>
        <v>Delivered</v>
      </c>
      <c r="P625" s="14" t="str">
        <f>IFERROR(__xludf.DUMMYFUNCTION("""COMPUTED_VALUE"""),"Overall Satisfaction: Great service will order again")</f>
        <v>Overall Satisfaction: Great service will order again</v>
      </c>
      <c r="Q625" s="14" t="str">
        <f>IFERROR(__xludf.DUMMYFUNCTION("split(P625,"":"")"),"Overall Satisfaction")</f>
        <v>Overall Satisfaction</v>
      </c>
      <c r="R625" s="14" t="str">
        <f>IFERROR(__xludf.DUMMYFUNCTION("""COMPUTED_VALUE""")," Great service will order again")</f>
        <v> Great service will order again</v>
      </c>
      <c r="S625" s="14" t="str">
        <f t="shared" ref="S625:U625" si="1253">trim(B625)</f>
        <v>ord_10616</v>
      </c>
      <c r="T625" s="14" t="str">
        <f t="shared" si="1253"/>
        <v>Sakshi Tandon</v>
      </c>
      <c r="U625" s="14" t="str">
        <f t="shared" si="1253"/>
        <v>Colaba</v>
      </c>
      <c r="V625" s="14" t="str">
        <f t="shared" si="4"/>
        <v>Onion</v>
      </c>
      <c r="W625" s="14">
        <f t="shared" si="5"/>
        <v>1</v>
      </c>
      <c r="X625" s="14" t="str">
        <f t="shared" si="6"/>
        <v>Nikhil Deshmukh</v>
      </c>
      <c r="Y625" s="15">
        <f t="shared" si="7"/>
        <v>45228</v>
      </c>
      <c r="Z625" s="14" t="str">
        <f t="shared" si="8"/>
        <v>Online Payment</v>
      </c>
      <c r="AA625" s="14" t="str">
        <f t="shared" si="9"/>
        <v>Delivered</v>
      </c>
      <c r="AB625" s="14" t="str">
        <f t="shared" ref="AB625:AC625" si="1254">trim(Q625)</f>
        <v>Overall Satisfaction</v>
      </c>
      <c r="AC625" s="14" t="str">
        <f t="shared" si="1254"/>
        <v>Great service will order again</v>
      </c>
      <c r="AD625" s="8"/>
    </row>
    <row r="626">
      <c r="A626" s="14" t="str">
        <f>IFERROR(__xludf.DUMMYFUNCTION("""COMPUTED_VALUE"""),"//ord_10617//Aditi Iyer//Dadar//Papaya+1*Aman Kumar/11/11/2023//Online Payment//Delivered*On-time Delivery: Delivered on time")</f>
        <v>//ord_10617//Aditi Iyer//Dadar//Papaya+1*Aman Kumar/11/11/2023//Online Payment//Delivered*On-time Delivery: Delivered on time</v>
      </c>
      <c r="B626" s="14" t="str">
        <f>IFERROR(__xludf.DUMMYFUNCTION("split(A626,""//"")"),"ord_10617")</f>
        <v>ord_10617</v>
      </c>
      <c r="C626" s="14" t="str">
        <f>IFERROR(__xludf.DUMMYFUNCTION("""COMPUTED_VALUE"""),"Aditi Iyer")</f>
        <v>Aditi Iyer</v>
      </c>
      <c r="D626" s="14" t="str">
        <f>IFERROR(__xludf.DUMMYFUNCTION("""COMPUTED_VALUE"""),"Dadar")</f>
        <v>Dadar</v>
      </c>
      <c r="E626" s="14" t="str">
        <f>IFERROR(__xludf.DUMMYFUNCTION("""COMPUTED_VALUE"""),"Papaya+1*Aman Kumar")</f>
        <v>Papaya+1*Aman Kumar</v>
      </c>
      <c r="F626" s="14">
        <f>IFERROR(__xludf.DUMMYFUNCTION("""COMPUTED_VALUE"""),11.0)</f>
        <v>11</v>
      </c>
      <c r="G626" s="14">
        <f>IFERROR(__xludf.DUMMYFUNCTION("""COMPUTED_VALUE"""),11.0)</f>
        <v>11</v>
      </c>
      <c r="H626" s="14">
        <f>IFERROR(__xludf.DUMMYFUNCTION("""COMPUTED_VALUE"""),2023.0)</f>
        <v>2023</v>
      </c>
      <c r="I626" s="14" t="str">
        <f>IFERROR(__xludf.DUMMYFUNCTION("""COMPUTED_VALUE"""),"Online Payment")</f>
        <v>Online Payment</v>
      </c>
      <c r="J626" s="14" t="str">
        <f>IFERROR(__xludf.DUMMYFUNCTION("""COMPUTED_VALUE"""),"Delivered*On-time Delivery: Delivered on time")</f>
        <v>Delivered*On-time Delivery: Delivered on time</v>
      </c>
      <c r="K626" s="14" t="str">
        <f>IFERROR(__xludf.DUMMYFUNCTION("split(E626,""+"")"),"Papaya")</f>
        <v>Papaya</v>
      </c>
      <c r="L626" s="14" t="str">
        <f>IFERROR(__xludf.DUMMYFUNCTION("""COMPUTED_VALUE"""),"1*Aman Kumar")</f>
        <v>1*Aman Kumar</v>
      </c>
      <c r="M626" s="14">
        <f>IFERROR(__xludf.DUMMYFUNCTION("SPLIT(L626,""*"")"),1.0)</f>
        <v>1</v>
      </c>
      <c r="N626" s="14" t="str">
        <f>IFERROR(__xludf.DUMMYFUNCTION("""COMPUTED_VALUE"""),"Aman Kumar")</f>
        <v>Aman Kumar</v>
      </c>
      <c r="O626" s="14" t="str">
        <f>IFERROR(__xludf.DUMMYFUNCTION("split(J626,""*"")"),"Delivered")</f>
        <v>Delivered</v>
      </c>
      <c r="P626" s="14" t="str">
        <f>IFERROR(__xludf.DUMMYFUNCTION("""COMPUTED_VALUE"""),"On-time Delivery: Delivered on time")</f>
        <v>On-time Delivery: Delivered on time</v>
      </c>
      <c r="Q626" s="14" t="str">
        <f>IFERROR(__xludf.DUMMYFUNCTION("split(P626,"":"")"),"On-time Delivery")</f>
        <v>On-time Delivery</v>
      </c>
      <c r="R626" s="14" t="str">
        <f>IFERROR(__xludf.DUMMYFUNCTION("""COMPUTED_VALUE""")," Delivered on time")</f>
        <v> Delivered on time</v>
      </c>
      <c r="S626" s="14" t="str">
        <f t="shared" ref="S626:U626" si="1255">trim(B626)</f>
        <v>ord_10617</v>
      </c>
      <c r="T626" s="14" t="str">
        <f t="shared" si="1255"/>
        <v>Aditi Iyer</v>
      </c>
      <c r="U626" s="14" t="str">
        <f t="shared" si="1255"/>
        <v>Dadar</v>
      </c>
      <c r="V626" s="14" t="str">
        <f t="shared" si="4"/>
        <v>Papaya</v>
      </c>
      <c r="W626" s="14">
        <f t="shared" si="5"/>
        <v>1</v>
      </c>
      <c r="X626" s="14" t="str">
        <f t="shared" si="6"/>
        <v>Aman Kumar</v>
      </c>
      <c r="Y626" s="15">
        <f t="shared" si="7"/>
        <v>45241</v>
      </c>
      <c r="Z626" s="14" t="str">
        <f t="shared" si="8"/>
        <v>Online Payment</v>
      </c>
      <c r="AA626" s="14" t="str">
        <f t="shared" si="9"/>
        <v>Delivered</v>
      </c>
      <c r="AB626" s="14" t="str">
        <f t="shared" ref="AB626:AC626" si="1256">trim(Q626)</f>
        <v>On-time Delivery</v>
      </c>
      <c r="AC626" s="14" t="str">
        <f t="shared" si="1256"/>
        <v>Delivered on time</v>
      </c>
      <c r="AD626" s="8"/>
    </row>
    <row r="627">
      <c r="A627" s="14" t="str">
        <f>IFERROR(__xludf.DUMMYFUNCTION("""COMPUTED_VALUE"""),"//ord_10618//Tanishq Bansal//Powai//Icecream+2*Manju Ajay/2/10/2023//COD//Delivered*Quality of Items: Perfect condition")</f>
        <v>//ord_10618//Tanishq Bansal//Powai//Icecream+2*Manju Ajay/2/10/2023//COD//Delivered*Quality of Items: Perfect condition</v>
      </c>
      <c r="B627" s="14" t="str">
        <f>IFERROR(__xludf.DUMMYFUNCTION("split(A627,""//"")"),"ord_10618")</f>
        <v>ord_10618</v>
      </c>
      <c r="C627" s="14" t="str">
        <f>IFERROR(__xludf.DUMMYFUNCTION("""COMPUTED_VALUE"""),"Tanishq Bansal")</f>
        <v>Tanishq Bansal</v>
      </c>
      <c r="D627" s="14" t="str">
        <f>IFERROR(__xludf.DUMMYFUNCTION("""COMPUTED_VALUE"""),"Powai")</f>
        <v>Powai</v>
      </c>
      <c r="E627" s="14" t="str">
        <f>IFERROR(__xludf.DUMMYFUNCTION("""COMPUTED_VALUE"""),"Icecream+2*Manju Ajay")</f>
        <v>Icecream+2*Manju Ajay</v>
      </c>
      <c r="F627" s="14">
        <f>IFERROR(__xludf.DUMMYFUNCTION("""COMPUTED_VALUE"""),2.0)</f>
        <v>2</v>
      </c>
      <c r="G627" s="14">
        <f>IFERROR(__xludf.DUMMYFUNCTION("""COMPUTED_VALUE"""),10.0)</f>
        <v>10</v>
      </c>
      <c r="H627" s="14">
        <f>IFERROR(__xludf.DUMMYFUNCTION("""COMPUTED_VALUE"""),2023.0)</f>
        <v>2023</v>
      </c>
      <c r="I627" s="14" t="str">
        <f>IFERROR(__xludf.DUMMYFUNCTION("""COMPUTED_VALUE"""),"COD")</f>
        <v>COD</v>
      </c>
      <c r="J627" s="14" t="str">
        <f>IFERROR(__xludf.DUMMYFUNCTION("""COMPUTED_VALUE"""),"Delivered*Quality of Items: Perfect condition")</f>
        <v>Delivered*Quality of Items: Perfect condition</v>
      </c>
      <c r="K627" s="14" t="str">
        <f>IFERROR(__xludf.DUMMYFUNCTION("split(E627,""+"")"),"Icecream")</f>
        <v>Icecream</v>
      </c>
      <c r="L627" s="14" t="str">
        <f>IFERROR(__xludf.DUMMYFUNCTION("""COMPUTED_VALUE"""),"2*Manju Ajay")</f>
        <v>2*Manju Ajay</v>
      </c>
      <c r="M627" s="14">
        <f>IFERROR(__xludf.DUMMYFUNCTION("SPLIT(L627,""*"")"),2.0)</f>
        <v>2</v>
      </c>
      <c r="N627" s="14" t="str">
        <f>IFERROR(__xludf.DUMMYFUNCTION("""COMPUTED_VALUE"""),"Manju Ajay")</f>
        <v>Manju Ajay</v>
      </c>
      <c r="O627" s="14" t="str">
        <f>IFERROR(__xludf.DUMMYFUNCTION("split(J627,""*"")"),"Delivered")</f>
        <v>Delivered</v>
      </c>
      <c r="P627" s="14" t="str">
        <f>IFERROR(__xludf.DUMMYFUNCTION("""COMPUTED_VALUE"""),"Quality of Items: Perfect condition")</f>
        <v>Quality of Items: Perfect condition</v>
      </c>
      <c r="Q627" s="14" t="str">
        <f>IFERROR(__xludf.DUMMYFUNCTION("split(P627,"":"")"),"Quality of Items")</f>
        <v>Quality of Items</v>
      </c>
      <c r="R627" s="14" t="str">
        <f>IFERROR(__xludf.DUMMYFUNCTION("""COMPUTED_VALUE""")," Perfect condition")</f>
        <v> Perfect condition</v>
      </c>
      <c r="S627" s="14" t="str">
        <f t="shared" ref="S627:U627" si="1257">trim(B627)</f>
        <v>ord_10618</v>
      </c>
      <c r="T627" s="14" t="str">
        <f t="shared" si="1257"/>
        <v>Tanishq Bansal</v>
      </c>
      <c r="U627" s="14" t="str">
        <f t="shared" si="1257"/>
        <v>Powai</v>
      </c>
      <c r="V627" s="14" t="str">
        <f t="shared" si="4"/>
        <v>Icecream</v>
      </c>
      <c r="W627" s="14">
        <f t="shared" si="5"/>
        <v>2</v>
      </c>
      <c r="X627" s="14" t="str">
        <f t="shared" si="6"/>
        <v>Manju Ajay</v>
      </c>
      <c r="Y627" s="15">
        <f t="shared" si="7"/>
        <v>44967</v>
      </c>
      <c r="Z627" s="14" t="str">
        <f t="shared" si="8"/>
        <v>COD</v>
      </c>
      <c r="AA627" s="14" t="str">
        <f t="shared" si="9"/>
        <v>Delivered</v>
      </c>
      <c r="AB627" s="14" t="str">
        <f t="shared" ref="AB627:AC627" si="1258">trim(Q627)</f>
        <v>Quality of Items</v>
      </c>
      <c r="AC627" s="14" t="str">
        <f t="shared" si="1258"/>
        <v>Perfect condition</v>
      </c>
      <c r="AD627" s="8"/>
    </row>
    <row r="628">
      <c r="A628" s="14" t="str">
        <f>IFERROR(__xludf.DUMMYFUNCTION("""COMPUTED_VALUE"""),"//ord_10619//Ishaan Chaturvedi//Bandra//Juice+5*Venu R/6/5/2023//Online Payment//Delivered*On-time Delivery: Delivered on time")</f>
        <v>//ord_10619//Ishaan Chaturvedi//Bandra//Juice+5*Venu R/6/5/2023//Online Payment//Delivered*On-time Delivery: Delivered on time</v>
      </c>
      <c r="B628" s="14" t="str">
        <f>IFERROR(__xludf.DUMMYFUNCTION("split(A628,""//"")"),"ord_10619")</f>
        <v>ord_10619</v>
      </c>
      <c r="C628" s="14" t="str">
        <f>IFERROR(__xludf.DUMMYFUNCTION("""COMPUTED_VALUE"""),"Ishaan Chaturvedi")</f>
        <v>Ishaan Chaturvedi</v>
      </c>
      <c r="D628" s="14" t="str">
        <f>IFERROR(__xludf.DUMMYFUNCTION("""COMPUTED_VALUE"""),"Bandra")</f>
        <v>Bandra</v>
      </c>
      <c r="E628" s="14" t="str">
        <f>IFERROR(__xludf.DUMMYFUNCTION("""COMPUTED_VALUE"""),"Juice+5*Venu R")</f>
        <v>Juice+5*Venu R</v>
      </c>
      <c r="F628" s="14">
        <f>IFERROR(__xludf.DUMMYFUNCTION("""COMPUTED_VALUE"""),6.0)</f>
        <v>6</v>
      </c>
      <c r="G628" s="14">
        <f>IFERROR(__xludf.DUMMYFUNCTION("""COMPUTED_VALUE"""),5.0)</f>
        <v>5</v>
      </c>
      <c r="H628" s="14">
        <f>IFERROR(__xludf.DUMMYFUNCTION("""COMPUTED_VALUE"""),2023.0)</f>
        <v>2023</v>
      </c>
      <c r="I628" s="14" t="str">
        <f>IFERROR(__xludf.DUMMYFUNCTION("""COMPUTED_VALUE"""),"Online Payment")</f>
        <v>Online Payment</v>
      </c>
      <c r="J628" s="14" t="str">
        <f>IFERROR(__xludf.DUMMYFUNCTION("""COMPUTED_VALUE"""),"Delivered*On-time Delivery: Delivered on time")</f>
        <v>Delivered*On-time Delivery: Delivered on time</v>
      </c>
      <c r="K628" s="14" t="str">
        <f>IFERROR(__xludf.DUMMYFUNCTION("split(E628,""+"")"),"Juice")</f>
        <v>Juice</v>
      </c>
      <c r="L628" s="14" t="str">
        <f>IFERROR(__xludf.DUMMYFUNCTION("""COMPUTED_VALUE"""),"5*Venu R")</f>
        <v>5*Venu R</v>
      </c>
      <c r="M628" s="14">
        <f>IFERROR(__xludf.DUMMYFUNCTION("SPLIT(L628,""*"")"),5.0)</f>
        <v>5</v>
      </c>
      <c r="N628" s="14" t="str">
        <f>IFERROR(__xludf.DUMMYFUNCTION("""COMPUTED_VALUE"""),"Venu R")</f>
        <v>Venu R</v>
      </c>
      <c r="O628" s="14" t="str">
        <f>IFERROR(__xludf.DUMMYFUNCTION("split(J628,""*"")"),"Delivered")</f>
        <v>Delivered</v>
      </c>
      <c r="P628" s="14" t="str">
        <f>IFERROR(__xludf.DUMMYFUNCTION("""COMPUTED_VALUE"""),"On-time Delivery: Delivered on time")</f>
        <v>On-time Delivery: Delivered on time</v>
      </c>
      <c r="Q628" s="14" t="str">
        <f>IFERROR(__xludf.DUMMYFUNCTION("split(P628,"":"")"),"On-time Delivery")</f>
        <v>On-time Delivery</v>
      </c>
      <c r="R628" s="14" t="str">
        <f>IFERROR(__xludf.DUMMYFUNCTION("""COMPUTED_VALUE""")," Delivered on time")</f>
        <v> Delivered on time</v>
      </c>
      <c r="S628" s="14" t="str">
        <f t="shared" ref="S628:U628" si="1259">trim(B628)</f>
        <v>ord_10619</v>
      </c>
      <c r="T628" s="14" t="str">
        <f t="shared" si="1259"/>
        <v>Ishaan Chaturvedi</v>
      </c>
      <c r="U628" s="14" t="str">
        <f t="shared" si="1259"/>
        <v>Bandra</v>
      </c>
      <c r="V628" s="14" t="str">
        <f t="shared" si="4"/>
        <v>Juice</v>
      </c>
      <c r="W628" s="14">
        <f t="shared" si="5"/>
        <v>5</v>
      </c>
      <c r="X628" s="14" t="str">
        <f t="shared" si="6"/>
        <v>Venu R</v>
      </c>
      <c r="Y628" s="15">
        <f t="shared" si="7"/>
        <v>45082</v>
      </c>
      <c r="Z628" s="14" t="str">
        <f t="shared" si="8"/>
        <v>Online Payment</v>
      </c>
      <c r="AA628" s="14" t="str">
        <f t="shared" si="9"/>
        <v>Delivered</v>
      </c>
      <c r="AB628" s="14" t="str">
        <f t="shared" ref="AB628:AC628" si="1260">trim(Q628)</f>
        <v>On-time Delivery</v>
      </c>
      <c r="AC628" s="14" t="str">
        <f t="shared" si="1260"/>
        <v>Delivered on time</v>
      </c>
      <c r="AD628" s="8"/>
    </row>
    <row r="629">
      <c r="A629" s="14" t="str">
        <f>IFERROR(__xludf.DUMMYFUNCTION("""COMPUTED_VALUE"""),"//ord_10620//Sakshi Tandon//Colaba//Apple+1*Vivek Kumar/3/25/2023//UPI//Delivered*Quality of Items: Perfect condition")</f>
        <v>//ord_10620//Sakshi Tandon//Colaba//Apple+1*Vivek Kumar/3/25/2023//UPI//Delivered*Quality of Items: Perfect condition</v>
      </c>
      <c r="B629" s="14" t="str">
        <f>IFERROR(__xludf.DUMMYFUNCTION("split(A629,""//"")"),"ord_10620")</f>
        <v>ord_10620</v>
      </c>
      <c r="C629" s="14" t="str">
        <f>IFERROR(__xludf.DUMMYFUNCTION("""COMPUTED_VALUE"""),"Sakshi Tandon")</f>
        <v>Sakshi Tandon</v>
      </c>
      <c r="D629" s="14" t="str">
        <f>IFERROR(__xludf.DUMMYFUNCTION("""COMPUTED_VALUE"""),"Colaba")</f>
        <v>Colaba</v>
      </c>
      <c r="E629" s="14" t="str">
        <f>IFERROR(__xludf.DUMMYFUNCTION("""COMPUTED_VALUE"""),"Apple+1*Vivek Kumar")</f>
        <v>Apple+1*Vivek Kumar</v>
      </c>
      <c r="F629" s="14">
        <f>IFERROR(__xludf.DUMMYFUNCTION("""COMPUTED_VALUE"""),3.0)</f>
        <v>3</v>
      </c>
      <c r="G629" s="14">
        <f>IFERROR(__xludf.DUMMYFUNCTION("""COMPUTED_VALUE"""),25.0)</f>
        <v>25</v>
      </c>
      <c r="H629" s="14">
        <f>IFERROR(__xludf.DUMMYFUNCTION("""COMPUTED_VALUE"""),2023.0)</f>
        <v>2023</v>
      </c>
      <c r="I629" s="14" t="str">
        <f>IFERROR(__xludf.DUMMYFUNCTION("""COMPUTED_VALUE"""),"UPI")</f>
        <v>UPI</v>
      </c>
      <c r="J629" s="14" t="str">
        <f>IFERROR(__xludf.DUMMYFUNCTION("""COMPUTED_VALUE"""),"Delivered*Quality of Items: Perfect condition")</f>
        <v>Delivered*Quality of Items: Perfect condition</v>
      </c>
      <c r="K629" s="14" t="str">
        <f>IFERROR(__xludf.DUMMYFUNCTION("split(E629,""+"")"),"Apple")</f>
        <v>Apple</v>
      </c>
      <c r="L629" s="14" t="str">
        <f>IFERROR(__xludf.DUMMYFUNCTION("""COMPUTED_VALUE"""),"1*Vivek Kumar")</f>
        <v>1*Vivek Kumar</v>
      </c>
      <c r="M629" s="14">
        <f>IFERROR(__xludf.DUMMYFUNCTION("SPLIT(L629,""*"")"),1.0)</f>
        <v>1</v>
      </c>
      <c r="N629" s="14" t="str">
        <f>IFERROR(__xludf.DUMMYFUNCTION("""COMPUTED_VALUE"""),"Vivek Kumar")</f>
        <v>Vivek Kumar</v>
      </c>
      <c r="O629" s="14" t="str">
        <f>IFERROR(__xludf.DUMMYFUNCTION("split(J629,""*"")"),"Delivered")</f>
        <v>Delivered</v>
      </c>
      <c r="P629" s="14" t="str">
        <f>IFERROR(__xludf.DUMMYFUNCTION("""COMPUTED_VALUE"""),"Quality of Items: Perfect condition")</f>
        <v>Quality of Items: Perfect condition</v>
      </c>
      <c r="Q629" s="14" t="str">
        <f>IFERROR(__xludf.DUMMYFUNCTION("split(P629,"":"")"),"Quality of Items")</f>
        <v>Quality of Items</v>
      </c>
      <c r="R629" s="14" t="str">
        <f>IFERROR(__xludf.DUMMYFUNCTION("""COMPUTED_VALUE""")," Perfect condition")</f>
        <v> Perfect condition</v>
      </c>
      <c r="S629" s="14" t="str">
        <f t="shared" ref="S629:U629" si="1261">trim(B629)</f>
        <v>ord_10620</v>
      </c>
      <c r="T629" s="14" t="str">
        <f t="shared" si="1261"/>
        <v>Sakshi Tandon</v>
      </c>
      <c r="U629" s="14" t="str">
        <f t="shared" si="1261"/>
        <v>Colaba</v>
      </c>
      <c r="V629" s="14" t="str">
        <f t="shared" si="4"/>
        <v>Apple</v>
      </c>
      <c r="W629" s="14">
        <f t="shared" si="5"/>
        <v>1</v>
      </c>
      <c r="X629" s="14" t="str">
        <f t="shared" si="6"/>
        <v>Vivek Kumar</v>
      </c>
      <c r="Y629" s="15">
        <f t="shared" si="7"/>
        <v>45010</v>
      </c>
      <c r="Z629" s="14" t="str">
        <f t="shared" si="8"/>
        <v>UPI</v>
      </c>
      <c r="AA629" s="14" t="str">
        <f t="shared" si="9"/>
        <v>Delivered</v>
      </c>
      <c r="AB629" s="14" t="str">
        <f t="shared" ref="AB629:AC629" si="1262">trim(Q629)</f>
        <v>Quality of Items</v>
      </c>
      <c r="AC629" s="14" t="str">
        <f t="shared" si="1262"/>
        <v>Perfect condition</v>
      </c>
      <c r="AD629" s="8"/>
    </row>
    <row r="630">
      <c r="A630" s="14" t="str">
        <f>IFERROR(__xludf.DUMMYFUNCTION("""COMPUTED_VALUE"""),"//ord_10621//Aarav Mehta//Andheri//Rasmalai+2*Nithin Lal/2/5/2023//COD//Delivered*Packaging: Secure and intact")</f>
        <v>//ord_10621//Aarav Mehta//Andheri//Rasmalai+2*Nithin Lal/2/5/2023//COD//Delivered*Packaging: Secure and intact</v>
      </c>
      <c r="B630" s="14" t="str">
        <f>IFERROR(__xludf.DUMMYFUNCTION("split(A630,""//"")"),"ord_10621")</f>
        <v>ord_10621</v>
      </c>
      <c r="C630" s="14" t="str">
        <f>IFERROR(__xludf.DUMMYFUNCTION("""COMPUTED_VALUE"""),"Aarav Mehta")</f>
        <v>Aarav Mehta</v>
      </c>
      <c r="D630" s="14" t="str">
        <f>IFERROR(__xludf.DUMMYFUNCTION("""COMPUTED_VALUE"""),"Andheri")</f>
        <v>Andheri</v>
      </c>
      <c r="E630" s="14" t="str">
        <f>IFERROR(__xludf.DUMMYFUNCTION("""COMPUTED_VALUE"""),"Rasmalai+2*Nithin Lal")</f>
        <v>Rasmalai+2*Nithin Lal</v>
      </c>
      <c r="F630" s="14">
        <f>IFERROR(__xludf.DUMMYFUNCTION("""COMPUTED_VALUE"""),2.0)</f>
        <v>2</v>
      </c>
      <c r="G630" s="14">
        <f>IFERROR(__xludf.DUMMYFUNCTION("""COMPUTED_VALUE"""),5.0)</f>
        <v>5</v>
      </c>
      <c r="H630" s="14">
        <f>IFERROR(__xludf.DUMMYFUNCTION("""COMPUTED_VALUE"""),2023.0)</f>
        <v>2023</v>
      </c>
      <c r="I630" s="14" t="str">
        <f>IFERROR(__xludf.DUMMYFUNCTION("""COMPUTED_VALUE"""),"COD")</f>
        <v>COD</v>
      </c>
      <c r="J630" s="14" t="str">
        <f>IFERROR(__xludf.DUMMYFUNCTION("""COMPUTED_VALUE"""),"Delivered*Packaging: Secure and intact")</f>
        <v>Delivered*Packaging: Secure and intact</v>
      </c>
      <c r="K630" s="14" t="str">
        <f>IFERROR(__xludf.DUMMYFUNCTION("split(E630,""+"")"),"Rasmalai")</f>
        <v>Rasmalai</v>
      </c>
      <c r="L630" s="14" t="str">
        <f>IFERROR(__xludf.DUMMYFUNCTION("""COMPUTED_VALUE"""),"2*Nithin Lal")</f>
        <v>2*Nithin Lal</v>
      </c>
      <c r="M630" s="14">
        <f>IFERROR(__xludf.DUMMYFUNCTION("SPLIT(L630,""*"")"),2.0)</f>
        <v>2</v>
      </c>
      <c r="N630" s="14" t="str">
        <f>IFERROR(__xludf.DUMMYFUNCTION("""COMPUTED_VALUE"""),"Nithin Lal")</f>
        <v>Nithin Lal</v>
      </c>
      <c r="O630" s="14" t="str">
        <f>IFERROR(__xludf.DUMMYFUNCTION("split(J630,""*"")"),"Delivered")</f>
        <v>Delivered</v>
      </c>
      <c r="P630" s="14" t="str">
        <f>IFERROR(__xludf.DUMMYFUNCTION("""COMPUTED_VALUE"""),"Packaging: Secure and intact")</f>
        <v>Packaging: Secure and intact</v>
      </c>
      <c r="Q630" s="14" t="str">
        <f>IFERROR(__xludf.DUMMYFUNCTION("split(P630,"":"")"),"Packaging")</f>
        <v>Packaging</v>
      </c>
      <c r="R630" s="14" t="str">
        <f>IFERROR(__xludf.DUMMYFUNCTION("""COMPUTED_VALUE""")," Secure and intact")</f>
        <v> Secure and intact</v>
      </c>
      <c r="S630" s="14" t="str">
        <f t="shared" ref="S630:U630" si="1263">trim(B630)</f>
        <v>ord_10621</v>
      </c>
      <c r="T630" s="14" t="str">
        <f t="shared" si="1263"/>
        <v>Aarav Mehta</v>
      </c>
      <c r="U630" s="14" t="str">
        <f t="shared" si="1263"/>
        <v>Andheri</v>
      </c>
      <c r="V630" s="14" t="str">
        <f t="shared" si="4"/>
        <v>Rasmalai</v>
      </c>
      <c r="W630" s="14">
        <f t="shared" si="5"/>
        <v>2</v>
      </c>
      <c r="X630" s="14" t="str">
        <f t="shared" si="6"/>
        <v>Nithin Lal</v>
      </c>
      <c r="Y630" s="15">
        <f t="shared" si="7"/>
        <v>44962</v>
      </c>
      <c r="Z630" s="14" t="str">
        <f t="shared" si="8"/>
        <v>COD</v>
      </c>
      <c r="AA630" s="14" t="str">
        <f t="shared" si="9"/>
        <v>Delivered</v>
      </c>
      <c r="AB630" s="14" t="str">
        <f t="shared" ref="AB630:AC630" si="1264">trim(Q630)</f>
        <v>Packaging</v>
      </c>
      <c r="AC630" s="14" t="str">
        <f t="shared" si="1264"/>
        <v>Secure and intact</v>
      </c>
      <c r="AD630" s="8"/>
    </row>
    <row r="631">
      <c r="A631" s="14" t="str">
        <f>IFERROR(__xludf.DUMMYFUNCTION("""COMPUTED_VALUE"""),"//ord_10622//Siya Reddy//Juhu//Tiramisu+2*Sita T/5/16/2023//Credit Card//Delivered*Satisfied with the Delivery: Timely and quality")</f>
        <v>//ord_10622//Siya Reddy//Juhu//Tiramisu+2*Sita T/5/16/2023//Credit Card//Delivered*Satisfied with the Delivery: Timely and quality</v>
      </c>
      <c r="B631" s="14" t="str">
        <f>IFERROR(__xludf.DUMMYFUNCTION("split(A631,""//"")"),"ord_10622")</f>
        <v>ord_10622</v>
      </c>
      <c r="C631" s="14" t="str">
        <f>IFERROR(__xludf.DUMMYFUNCTION("""COMPUTED_VALUE"""),"Siya Reddy")</f>
        <v>Siya Reddy</v>
      </c>
      <c r="D631" s="14" t="str">
        <f>IFERROR(__xludf.DUMMYFUNCTION("""COMPUTED_VALUE"""),"Juhu")</f>
        <v>Juhu</v>
      </c>
      <c r="E631" s="14" t="str">
        <f>IFERROR(__xludf.DUMMYFUNCTION("""COMPUTED_VALUE"""),"Tiramisu+2*Sita T")</f>
        <v>Tiramisu+2*Sita T</v>
      </c>
      <c r="F631" s="14">
        <f>IFERROR(__xludf.DUMMYFUNCTION("""COMPUTED_VALUE"""),5.0)</f>
        <v>5</v>
      </c>
      <c r="G631" s="14">
        <f>IFERROR(__xludf.DUMMYFUNCTION("""COMPUTED_VALUE"""),16.0)</f>
        <v>16</v>
      </c>
      <c r="H631" s="14">
        <f>IFERROR(__xludf.DUMMYFUNCTION("""COMPUTED_VALUE"""),2023.0)</f>
        <v>2023</v>
      </c>
      <c r="I631" s="14" t="str">
        <f>IFERROR(__xludf.DUMMYFUNCTION("""COMPUTED_VALUE"""),"Credit Card")</f>
        <v>Credit Card</v>
      </c>
      <c r="J631" s="14" t="str">
        <f>IFERROR(__xludf.DUMMYFUNCTION("""COMPUTED_VALUE"""),"Delivered*Satisfied with the Delivery: Timely and quality")</f>
        <v>Delivered*Satisfied with the Delivery: Timely and quality</v>
      </c>
      <c r="K631" s="14" t="str">
        <f>IFERROR(__xludf.DUMMYFUNCTION("split(E631,""+"")"),"Tiramisu")</f>
        <v>Tiramisu</v>
      </c>
      <c r="L631" s="14" t="str">
        <f>IFERROR(__xludf.DUMMYFUNCTION("""COMPUTED_VALUE"""),"2*Sita T")</f>
        <v>2*Sita T</v>
      </c>
      <c r="M631" s="14">
        <f>IFERROR(__xludf.DUMMYFUNCTION("SPLIT(L631,""*"")"),2.0)</f>
        <v>2</v>
      </c>
      <c r="N631" s="14" t="str">
        <f>IFERROR(__xludf.DUMMYFUNCTION("""COMPUTED_VALUE"""),"Sita T")</f>
        <v>Sita T</v>
      </c>
      <c r="O631" s="14" t="str">
        <f>IFERROR(__xludf.DUMMYFUNCTION("split(J631,""*"")"),"Delivered")</f>
        <v>Delivered</v>
      </c>
      <c r="P631" s="14" t="str">
        <f>IFERROR(__xludf.DUMMYFUNCTION("""COMPUTED_VALUE"""),"Satisfied with the Delivery: Timely and quality")</f>
        <v>Satisfied with the Delivery: Timely and quality</v>
      </c>
      <c r="Q631" s="14" t="str">
        <f>IFERROR(__xludf.DUMMYFUNCTION("split(P631,"":"")"),"Satisfied with the Delivery")</f>
        <v>Satisfied with the Delivery</v>
      </c>
      <c r="R631" s="14" t="str">
        <f>IFERROR(__xludf.DUMMYFUNCTION("""COMPUTED_VALUE""")," Timely and quality")</f>
        <v> Timely and quality</v>
      </c>
      <c r="S631" s="14" t="str">
        <f t="shared" ref="S631:U631" si="1265">trim(B631)</f>
        <v>ord_10622</v>
      </c>
      <c r="T631" s="14" t="str">
        <f t="shared" si="1265"/>
        <v>Siya Reddy</v>
      </c>
      <c r="U631" s="14" t="str">
        <f t="shared" si="1265"/>
        <v>Juhu</v>
      </c>
      <c r="V631" s="14" t="str">
        <f t="shared" si="4"/>
        <v>Tiramisu</v>
      </c>
      <c r="W631" s="14">
        <f t="shared" si="5"/>
        <v>2</v>
      </c>
      <c r="X631" s="14" t="str">
        <f t="shared" si="6"/>
        <v>Sita T</v>
      </c>
      <c r="Y631" s="15">
        <f t="shared" si="7"/>
        <v>45062</v>
      </c>
      <c r="Z631" s="14" t="str">
        <f t="shared" si="8"/>
        <v>Credit Card</v>
      </c>
      <c r="AA631" s="14" t="str">
        <f t="shared" si="9"/>
        <v>Delivered</v>
      </c>
      <c r="AB631" s="14" t="str">
        <f t="shared" ref="AB631:AC631" si="1266">trim(Q631)</f>
        <v>Satisfied with the Delivery</v>
      </c>
      <c r="AC631" s="14" t="str">
        <f t="shared" si="1266"/>
        <v>Timely and quality</v>
      </c>
      <c r="AD631" s="8"/>
    </row>
    <row r="632">
      <c r="A632" s="14" t="str">
        <f>IFERROR(__xludf.DUMMYFUNCTION("""COMPUTED_VALUE"""),"//ord_10623//Tanishq Bansal//Powai//Papaya+1*Ramesh S/2/23/2023//UPI//Delivered*Customer Service: Seamless and easy")</f>
        <v>//ord_10623//Tanishq Bansal//Powai//Papaya+1*Ramesh S/2/23/2023//UPI//Delivered*Customer Service: Seamless and easy</v>
      </c>
      <c r="B632" s="14" t="str">
        <f>IFERROR(__xludf.DUMMYFUNCTION("split(A632,""//"")"),"ord_10623")</f>
        <v>ord_10623</v>
      </c>
      <c r="C632" s="14" t="str">
        <f>IFERROR(__xludf.DUMMYFUNCTION("""COMPUTED_VALUE"""),"Tanishq Bansal")</f>
        <v>Tanishq Bansal</v>
      </c>
      <c r="D632" s="14" t="str">
        <f>IFERROR(__xludf.DUMMYFUNCTION("""COMPUTED_VALUE"""),"Powai")</f>
        <v>Powai</v>
      </c>
      <c r="E632" s="14" t="str">
        <f>IFERROR(__xludf.DUMMYFUNCTION("""COMPUTED_VALUE"""),"Papaya+1*Ramesh S")</f>
        <v>Papaya+1*Ramesh S</v>
      </c>
      <c r="F632" s="14">
        <f>IFERROR(__xludf.DUMMYFUNCTION("""COMPUTED_VALUE"""),2.0)</f>
        <v>2</v>
      </c>
      <c r="G632" s="14">
        <f>IFERROR(__xludf.DUMMYFUNCTION("""COMPUTED_VALUE"""),23.0)</f>
        <v>23</v>
      </c>
      <c r="H632" s="14">
        <f>IFERROR(__xludf.DUMMYFUNCTION("""COMPUTED_VALUE"""),2023.0)</f>
        <v>2023</v>
      </c>
      <c r="I632" s="14" t="str">
        <f>IFERROR(__xludf.DUMMYFUNCTION("""COMPUTED_VALUE"""),"UPI")</f>
        <v>UPI</v>
      </c>
      <c r="J632" s="14" t="str">
        <f>IFERROR(__xludf.DUMMYFUNCTION("""COMPUTED_VALUE"""),"Delivered*Customer Service: Seamless and easy")</f>
        <v>Delivered*Customer Service: Seamless and easy</v>
      </c>
      <c r="K632" s="14" t="str">
        <f>IFERROR(__xludf.DUMMYFUNCTION("split(E632,""+"")"),"Papaya")</f>
        <v>Papaya</v>
      </c>
      <c r="L632" s="14" t="str">
        <f>IFERROR(__xludf.DUMMYFUNCTION("""COMPUTED_VALUE"""),"1*Ramesh S")</f>
        <v>1*Ramesh S</v>
      </c>
      <c r="M632" s="14">
        <f>IFERROR(__xludf.DUMMYFUNCTION("SPLIT(L632,""*"")"),1.0)</f>
        <v>1</v>
      </c>
      <c r="N632" s="14" t="str">
        <f>IFERROR(__xludf.DUMMYFUNCTION("""COMPUTED_VALUE"""),"Ramesh S")</f>
        <v>Ramesh S</v>
      </c>
      <c r="O632" s="14" t="str">
        <f>IFERROR(__xludf.DUMMYFUNCTION("split(J632,""*"")"),"Delivered")</f>
        <v>Delivered</v>
      </c>
      <c r="P632" s="14" t="str">
        <f>IFERROR(__xludf.DUMMYFUNCTION("""COMPUTED_VALUE"""),"Customer Service: Seamless and easy")</f>
        <v>Customer Service: Seamless and easy</v>
      </c>
      <c r="Q632" s="14" t="str">
        <f>IFERROR(__xludf.DUMMYFUNCTION("split(P632,"":"")"),"Customer Service")</f>
        <v>Customer Service</v>
      </c>
      <c r="R632" s="14" t="str">
        <f>IFERROR(__xludf.DUMMYFUNCTION("""COMPUTED_VALUE""")," Seamless and easy")</f>
        <v> Seamless and easy</v>
      </c>
      <c r="S632" s="14" t="str">
        <f t="shared" ref="S632:U632" si="1267">trim(B632)</f>
        <v>ord_10623</v>
      </c>
      <c r="T632" s="14" t="str">
        <f t="shared" si="1267"/>
        <v>Tanishq Bansal</v>
      </c>
      <c r="U632" s="14" t="str">
        <f t="shared" si="1267"/>
        <v>Powai</v>
      </c>
      <c r="V632" s="14" t="str">
        <f t="shared" si="4"/>
        <v>Papaya</v>
      </c>
      <c r="W632" s="14">
        <f t="shared" si="5"/>
        <v>1</v>
      </c>
      <c r="X632" s="14" t="str">
        <f t="shared" si="6"/>
        <v>Ramesh S</v>
      </c>
      <c r="Y632" s="15">
        <f t="shared" si="7"/>
        <v>44980</v>
      </c>
      <c r="Z632" s="14" t="str">
        <f t="shared" si="8"/>
        <v>UPI</v>
      </c>
      <c r="AA632" s="14" t="str">
        <f t="shared" si="9"/>
        <v>Delivered</v>
      </c>
      <c r="AB632" s="14" t="str">
        <f t="shared" ref="AB632:AC632" si="1268">trim(Q632)</f>
        <v>Customer Service</v>
      </c>
      <c r="AC632" s="14" t="str">
        <f t="shared" si="1268"/>
        <v>Seamless and easy</v>
      </c>
      <c r="AD632" s="8"/>
    </row>
    <row r="633">
      <c r="A633" s="14" t="str">
        <f>IFERROR(__xludf.DUMMYFUNCTION("""COMPUTED_VALUE"""),"//ord_10624//Diya Arora//Lower Parel//Banana+1*Venu R/1/5/2023//Credit Card//Delivered*Delivery Experience: Quick and professional")</f>
        <v>//ord_10624//Diya Arora//Lower Parel//Banana+1*Venu R/1/5/2023//Credit Card//Delivered*Delivery Experience: Quick and professional</v>
      </c>
      <c r="B633" s="14" t="str">
        <f>IFERROR(__xludf.DUMMYFUNCTION("split(A633,""//"")"),"ord_10624")</f>
        <v>ord_10624</v>
      </c>
      <c r="C633" s="14" t="str">
        <f>IFERROR(__xludf.DUMMYFUNCTION("""COMPUTED_VALUE"""),"Diya Arora")</f>
        <v>Diya Arora</v>
      </c>
      <c r="D633" s="14" t="str">
        <f>IFERROR(__xludf.DUMMYFUNCTION("""COMPUTED_VALUE"""),"Lower Parel")</f>
        <v>Lower Parel</v>
      </c>
      <c r="E633" s="14" t="str">
        <f>IFERROR(__xludf.DUMMYFUNCTION("""COMPUTED_VALUE"""),"Banana+1*Venu R")</f>
        <v>Banana+1*Venu R</v>
      </c>
      <c r="F633" s="14">
        <f>IFERROR(__xludf.DUMMYFUNCTION("""COMPUTED_VALUE"""),1.0)</f>
        <v>1</v>
      </c>
      <c r="G633" s="14">
        <f>IFERROR(__xludf.DUMMYFUNCTION("""COMPUTED_VALUE"""),5.0)</f>
        <v>5</v>
      </c>
      <c r="H633" s="14">
        <f>IFERROR(__xludf.DUMMYFUNCTION("""COMPUTED_VALUE"""),2023.0)</f>
        <v>2023</v>
      </c>
      <c r="I633" s="14" t="str">
        <f>IFERROR(__xludf.DUMMYFUNCTION("""COMPUTED_VALUE"""),"Credit Card")</f>
        <v>Credit Card</v>
      </c>
      <c r="J633" s="14" t="str">
        <f>IFERROR(__xludf.DUMMYFUNCTION("""COMPUTED_VALUE"""),"Delivered*Delivery Experience: Quick and professional")</f>
        <v>Delivered*Delivery Experience: Quick and professional</v>
      </c>
      <c r="K633" s="14" t="str">
        <f>IFERROR(__xludf.DUMMYFUNCTION("split(E633,""+"")"),"Banana")</f>
        <v>Banana</v>
      </c>
      <c r="L633" s="14" t="str">
        <f>IFERROR(__xludf.DUMMYFUNCTION("""COMPUTED_VALUE"""),"1*Venu R")</f>
        <v>1*Venu R</v>
      </c>
      <c r="M633" s="14">
        <f>IFERROR(__xludf.DUMMYFUNCTION("SPLIT(L633,""*"")"),1.0)</f>
        <v>1</v>
      </c>
      <c r="N633" s="14" t="str">
        <f>IFERROR(__xludf.DUMMYFUNCTION("""COMPUTED_VALUE"""),"Venu R")</f>
        <v>Venu R</v>
      </c>
      <c r="O633" s="14" t="str">
        <f>IFERROR(__xludf.DUMMYFUNCTION("split(J633,""*"")"),"Delivered")</f>
        <v>Delivered</v>
      </c>
      <c r="P633" s="14" t="str">
        <f>IFERROR(__xludf.DUMMYFUNCTION("""COMPUTED_VALUE"""),"Delivery Experience: Quick and professional")</f>
        <v>Delivery Experience: Quick and professional</v>
      </c>
      <c r="Q633" s="14" t="str">
        <f>IFERROR(__xludf.DUMMYFUNCTION("split(P633,"":"")"),"Delivery Experience")</f>
        <v>Delivery Experience</v>
      </c>
      <c r="R633" s="14" t="str">
        <f>IFERROR(__xludf.DUMMYFUNCTION("""COMPUTED_VALUE""")," Quick and professional")</f>
        <v> Quick and professional</v>
      </c>
      <c r="S633" s="14" t="str">
        <f t="shared" ref="S633:U633" si="1269">trim(B633)</f>
        <v>ord_10624</v>
      </c>
      <c r="T633" s="14" t="str">
        <f t="shared" si="1269"/>
        <v>Diya Arora</v>
      </c>
      <c r="U633" s="14" t="str">
        <f t="shared" si="1269"/>
        <v>Lower Parel</v>
      </c>
      <c r="V633" s="14" t="str">
        <f t="shared" si="4"/>
        <v>Banana</v>
      </c>
      <c r="W633" s="14">
        <f t="shared" si="5"/>
        <v>1</v>
      </c>
      <c r="X633" s="14" t="str">
        <f t="shared" si="6"/>
        <v>Venu R</v>
      </c>
      <c r="Y633" s="15">
        <f t="shared" si="7"/>
        <v>44931</v>
      </c>
      <c r="Z633" s="14" t="str">
        <f t="shared" si="8"/>
        <v>Credit Card</v>
      </c>
      <c r="AA633" s="14" t="str">
        <f t="shared" si="9"/>
        <v>Delivered</v>
      </c>
      <c r="AB633" s="14" t="str">
        <f t="shared" ref="AB633:AC633" si="1270">trim(Q633)</f>
        <v>Delivery Experience</v>
      </c>
      <c r="AC633" s="14" t="str">
        <f t="shared" si="1270"/>
        <v>Quick and professional</v>
      </c>
      <c r="AD633" s="8"/>
    </row>
    <row r="634">
      <c r="A634" s="14" t="str">
        <f>IFERROR(__xludf.DUMMYFUNCTION("""COMPUTED_VALUE"""),"//ord_10625//Omkar Mishra//Powai//Cold Coffee+4*Ram Gopal/7/5/2023//Online Payment//Delivered*Convenience: Easy tracking")</f>
        <v>//ord_10625//Omkar Mishra//Powai//Cold Coffee+4*Ram Gopal/7/5/2023//Online Payment//Delivered*Convenience: Easy tracking</v>
      </c>
      <c r="B634" s="14" t="str">
        <f>IFERROR(__xludf.DUMMYFUNCTION("split(A634,""//"")"),"ord_10625")</f>
        <v>ord_10625</v>
      </c>
      <c r="C634" s="14" t="str">
        <f>IFERROR(__xludf.DUMMYFUNCTION("""COMPUTED_VALUE"""),"Omkar Mishra")</f>
        <v>Omkar Mishra</v>
      </c>
      <c r="D634" s="14" t="str">
        <f>IFERROR(__xludf.DUMMYFUNCTION("""COMPUTED_VALUE"""),"Powai")</f>
        <v>Powai</v>
      </c>
      <c r="E634" s="14" t="str">
        <f>IFERROR(__xludf.DUMMYFUNCTION("""COMPUTED_VALUE"""),"Cold Coffee+4*Ram Gopal")</f>
        <v>Cold Coffee+4*Ram Gopal</v>
      </c>
      <c r="F634" s="14">
        <f>IFERROR(__xludf.DUMMYFUNCTION("""COMPUTED_VALUE"""),7.0)</f>
        <v>7</v>
      </c>
      <c r="G634" s="14">
        <f>IFERROR(__xludf.DUMMYFUNCTION("""COMPUTED_VALUE"""),5.0)</f>
        <v>5</v>
      </c>
      <c r="H634" s="14">
        <f>IFERROR(__xludf.DUMMYFUNCTION("""COMPUTED_VALUE"""),2023.0)</f>
        <v>2023</v>
      </c>
      <c r="I634" s="14" t="str">
        <f>IFERROR(__xludf.DUMMYFUNCTION("""COMPUTED_VALUE"""),"Online Payment")</f>
        <v>Online Payment</v>
      </c>
      <c r="J634" s="14" t="str">
        <f>IFERROR(__xludf.DUMMYFUNCTION("""COMPUTED_VALUE"""),"Delivered*Convenience: Easy tracking")</f>
        <v>Delivered*Convenience: Easy tracking</v>
      </c>
      <c r="K634" s="14" t="str">
        <f>IFERROR(__xludf.DUMMYFUNCTION("split(E634,""+"")"),"Cold Coffee")</f>
        <v>Cold Coffee</v>
      </c>
      <c r="L634" s="14" t="str">
        <f>IFERROR(__xludf.DUMMYFUNCTION("""COMPUTED_VALUE"""),"4*Ram Gopal")</f>
        <v>4*Ram Gopal</v>
      </c>
      <c r="M634" s="14">
        <f>IFERROR(__xludf.DUMMYFUNCTION("SPLIT(L634,""*"")"),4.0)</f>
        <v>4</v>
      </c>
      <c r="N634" s="14" t="str">
        <f>IFERROR(__xludf.DUMMYFUNCTION("""COMPUTED_VALUE"""),"Ram Gopal")</f>
        <v>Ram Gopal</v>
      </c>
      <c r="O634" s="14" t="str">
        <f>IFERROR(__xludf.DUMMYFUNCTION("split(J634,""*"")"),"Delivered")</f>
        <v>Delivered</v>
      </c>
      <c r="P634" s="14" t="str">
        <f>IFERROR(__xludf.DUMMYFUNCTION("""COMPUTED_VALUE"""),"Convenience: Easy tracking")</f>
        <v>Convenience: Easy tracking</v>
      </c>
      <c r="Q634" s="14" t="str">
        <f>IFERROR(__xludf.DUMMYFUNCTION("split(P634,"":"")"),"Convenience")</f>
        <v>Convenience</v>
      </c>
      <c r="R634" s="14" t="str">
        <f>IFERROR(__xludf.DUMMYFUNCTION("""COMPUTED_VALUE""")," Easy tracking")</f>
        <v> Easy tracking</v>
      </c>
      <c r="S634" s="14" t="str">
        <f t="shared" ref="S634:U634" si="1271">trim(B634)</f>
        <v>ord_10625</v>
      </c>
      <c r="T634" s="14" t="str">
        <f t="shared" si="1271"/>
        <v>Omkar Mishra</v>
      </c>
      <c r="U634" s="14" t="str">
        <f t="shared" si="1271"/>
        <v>Powai</v>
      </c>
      <c r="V634" s="14" t="str">
        <f t="shared" si="4"/>
        <v>Cold Coffee</v>
      </c>
      <c r="W634" s="14">
        <f t="shared" si="5"/>
        <v>4</v>
      </c>
      <c r="X634" s="14" t="str">
        <f t="shared" si="6"/>
        <v>Ram Gopal</v>
      </c>
      <c r="Y634" s="15">
        <f t="shared" si="7"/>
        <v>45112</v>
      </c>
      <c r="Z634" s="14" t="str">
        <f t="shared" si="8"/>
        <v>Online Payment</v>
      </c>
      <c r="AA634" s="14" t="str">
        <f t="shared" si="9"/>
        <v>Delivered</v>
      </c>
      <c r="AB634" s="14" t="str">
        <f t="shared" ref="AB634:AC634" si="1272">trim(Q634)</f>
        <v>Convenience</v>
      </c>
      <c r="AC634" s="14" t="str">
        <f t="shared" si="1272"/>
        <v>Easy tracking</v>
      </c>
      <c r="AD634" s="8"/>
    </row>
    <row r="635">
      <c r="A635" s="14" t="str">
        <f>IFERROR(__xludf.DUMMYFUNCTION("""COMPUTED_VALUE"""),"//ord_10626//Aarohi Kapoor//Bandra//Popcorn+5*Venu R/10/18/2023//Credit Card//Delivered*Overall Satisfaction: Great service will order again")</f>
        <v>//ord_10626//Aarohi Kapoor//Bandra//Popcorn+5*Venu R/10/18/2023//Credit Card//Delivered*Overall Satisfaction: Great service will order again</v>
      </c>
      <c r="B635" s="14" t="str">
        <f>IFERROR(__xludf.DUMMYFUNCTION("split(A635,""//"")"),"ord_10626")</f>
        <v>ord_10626</v>
      </c>
      <c r="C635" s="14" t="str">
        <f>IFERROR(__xludf.DUMMYFUNCTION("""COMPUTED_VALUE"""),"Aarohi Kapoor")</f>
        <v>Aarohi Kapoor</v>
      </c>
      <c r="D635" s="14" t="str">
        <f>IFERROR(__xludf.DUMMYFUNCTION("""COMPUTED_VALUE"""),"Bandra")</f>
        <v>Bandra</v>
      </c>
      <c r="E635" s="14" t="str">
        <f>IFERROR(__xludf.DUMMYFUNCTION("""COMPUTED_VALUE"""),"Popcorn+5*Venu R")</f>
        <v>Popcorn+5*Venu R</v>
      </c>
      <c r="F635" s="14">
        <f>IFERROR(__xludf.DUMMYFUNCTION("""COMPUTED_VALUE"""),10.0)</f>
        <v>10</v>
      </c>
      <c r="G635" s="14">
        <f>IFERROR(__xludf.DUMMYFUNCTION("""COMPUTED_VALUE"""),18.0)</f>
        <v>18</v>
      </c>
      <c r="H635" s="14">
        <f>IFERROR(__xludf.DUMMYFUNCTION("""COMPUTED_VALUE"""),2023.0)</f>
        <v>2023</v>
      </c>
      <c r="I635" s="14" t="str">
        <f>IFERROR(__xludf.DUMMYFUNCTION("""COMPUTED_VALUE"""),"Credit Card")</f>
        <v>Credit Card</v>
      </c>
      <c r="J635" s="14" t="str">
        <f>IFERROR(__xludf.DUMMYFUNCTION("""COMPUTED_VALUE"""),"Delivered*Overall Satisfaction: Great service will order again")</f>
        <v>Delivered*Overall Satisfaction: Great service will order again</v>
      </c>
      <c r="K635" s="14" t="str">
        <f>IFERROR(__xludf.DUMMYFUNCTION("split(E635,""+"")"),"Popcorn")</f>
        <v>Popcorn</v>
      </c>
      <c r="L635" s="14" t="str">
        <f>IFERROR(__xludf.DUMMYFUNCTION("""COMPUTED_VALUE"""),"5*Venu R")</f>
        <v>5*Venu R</v>
      </c>
      <c r="M635" s="14">
        <f>IFERROR(__xludf.DUMMYFUNCTION("SPLIT(L635,""*"")"),5.0)</f>
        <v>5</v>
      </c>
      <c r="N635" s="14" t="str">
        <f>IFERROR(__xludf.DUMMYFUNCTION("""COMPUTED_VALUE"""),"Venu R")</f>
        <v>Venu R</v>
      </c>
      <c r="O635" s="14" t="str">
        <f>IFERROR(__xludf.DUMMYFUNCTION("split(J635,""*"")"),"Delivered")</f>
        <v>Delivered</v>
      </c>
      <c r="P635" s="14" t="str">
        <f>IFERROR(__xludf.DUMMYFUNCTION("""COMPUTED_VALUE"""),"Overall Satisfaction: Great service will order again")</f>
        <v>Overall Satisfaction: Great service will order again</v>
      </c>
      <c r="Q635" s="14" t="str">
        <f>IFERROR(__xludf.DUMMYFUNCTION("split(P635,"":"")"),"Overall Satisfaction")</f>
        <v>Overall Satisfaction</v>
      </c>
      <c r="R635" s="14" t="str">
        <f>IFERROR(__xludf.DUMMYFUNCTION("""COMPUTED_VALUE""")," Great service will order again")</f>
        <v> Great service will order again</v>
      </c>
      <c r="S635" s="14" t="str">
        <f t="shared" ref="S635:U635" si="1273">trim(B635)</f>
        <v>ord_10626</v>
      </c>
      <c r="T635" s="14" t="str">
        <f t="shared" si="1273"/>
        <v>Aarohi Kapoor</v>
      </c>
      <c r="U635" s="14" t="str">
        <f t="shared" si="1273"/>
        <v>Bandra</v>
      </c>
      <c r="V635" s="14" t="str">
        <f t="shared" si="4"/>
        <v>Popcorn</v>
      </c>
      <c r="W635" s="14">
        <f t="shared" si="5"/>
        <v>5</v>
      </c>
      <c r="X635" s="14" t="str">
        <f t="shared" si="6"/>
        <v>Venu R</v>
      </c>
      <c r="Y635" s="15">
        <f t="shared" si="7"/>
        <v>45217</v>
      </c>
      <c r="Z635" s="14" t="str">
        <f t="shared" si="8"/>
        <v>Credit Card</v>
      </c>
      <c r="AA635" s="14" t="str">
        <f t="shared" si="9"/>
        <v>Delivered</v>
      </c>
      <c r="AB635" s="14" t="str">
        <f t="shared" ref="AB635:AC635" si="1274">trim(Q635)</f>
        <v>Overall Satisfaction</v>
      </c>
      <c r="AC635" s="14" t="str">
        <f t="shared" si="1274"/>
        <v>Great service will order again</v>
      </c>
      <c r="AD635" s="8"/>
    </row>
    <row r="636">
      <c r="A636" s="14" t="str">
        <f>IFERROR(__xludf.DUMMYFUNCTION("""COMPUTED_VALUE"""),"//ord_10627//Anaya Rao//Malad//Chilli Cheese Toast+2*Vivek Kumar/9/7/2023//Credit Card//Delivered*On-time Delivery: Delivered on time")</f>
        <v>//ord_10627//Anaya Rao//Malad//Chilli Cheese Toast+2*Vivek Kumar/9/7/2023//Credit Card//Delivered*On-time Delivery: Delivered on time</v>
      </c>
      <c r="B636" s="14" t="str">
        <f>IFERROR(__xludf.DUMMYFUNCTION("split(A636,""//"")"),"ord_10627")</f>
        <v>ord_10627</v>
      </c>
      <c r="C636" s="14" t="str">
        <f>IFERROR(__xludf.DUMMYFUNCTION("""COMPUTED_VALUE"""),"Anaya Rao")</f>
        <v>Anaya Rao</v>
      </c>
      <c r="D636" s="14" t="str">
        <f>IFERROR(__xludf.DUMMYFUNCTION("""COMPUTED_VALUE"""),"Malad")</f>
        <v>Malad</v>
      </c>
      <c r="E636" s="14" t="str">
        <f>IFERROR(__xludf.DUMMYFUNCTION("""COMPUTED_VALUE"""),"Chilli Cheese Toast+2*Vivek Kumar")</f>
        <v>Chilli Cheese Toast+2*Vivek Kumar</v>
      </c>
      <c r="F636" s="14">
        <f>IFERROR(__xludf.DUMMYFUNCTION("""COMPUTED_VALUE"""),9.0)</f>
        <v>9</v>
      </c>
      <c r="G636" s="14">
        <f>IFERROR(__xludf.DUMMYFUNCTION("""COMPUTED_VALUE"""),7.0)</f>
        <v>7</v>
      </c>
      <c r="H636" s="14">
        <f>IFERROR(__xludf.DUMMYFUNCTION("""COMPUTED_VALUE"""),2023.0)</f>
        <v>2023</v>
      </c>
      <c r="I636" s="14" t="str">
        <f>IFERROR(__xludf.DUMMYFUNCTION("""COMPUTED_VALUE"""),"Credit Card")</f>
        <v>Credit Card</v>
      </c>
      <c r="J636" s="14" t="str">
        <f>IFERROR(__xludf.DUMMYFUNCTION("""COMPUTED_VALUE"""),"Delivered*On-time Delivery: Delivered on time")</f>
        <v>Delivered*On-time Delivery: Delivered on time</v>
      </c>
      <c r="K636" s="14" t="str">
        <f>IFERROR(__xludf.DUMMYFUNCTION("split(E636,""+"")"),"Chilli Cheese Toast")</f>
        <v>Chilli Cheese Toast</v>
      </c>
      <c r="L636" s="14" t="str">
        <f>IFERROR(__xludf.DUMMYFUNCTION("""COMPUTED_VALUE"""),"2*Vivek Kumar")</f>
        <v>2*Vivek Kumar</v>
      </c>
      <c r="M636" s="14">
        <f>IFERROR(__xludf.DUMMYFUNCTION("SPLIT(L636,""*"")"),2.0)</f>
        <v>2</v>
      </c>
      <c r="N636" s="14" t="str">
        <f>IFERROR(__xludf.DUMMYFUNCTION("""COMPUTED_VALUE"""),"Vivek Kumar")</f>
        <v>Vivek Kumar</v>
      </c>
      <c r="O636" s="14" t="str">
        <f>IFERROR(__xludf.DUMMYFUNCTION("split(J636,""*"")"),"Delivered")</f>
        <v>Delivered</v>
      </c>
      <c r="P636" s="14" t="str">
        <f>IFERROR(__xludf.DUMMYFUNCTION("""COMPUTED_VALUE"""),"On-time Delivery: Delivered on time")</f>
        <v>On-time Delivery: Delivered on time</v>
      </c>
      <c r="Q636" s="14" t="str">
        <f>IFERROR(__xludf.DUMMYFUNCTION("split(P636,"":"")"),"On-time Delivery")</f>
        <v>On-time Delivery</v>
      </c>
      <c r="R636" s="14" t="str">
        <f>IFERROR(__xludf.DUMMYFUNCTION("""COMPUTED_VALUE""")," Delivered on time")</f>
        <v> Delivered on time</v>
      </c>
      <c r="S636" s="14" t="str">
        <f t="shared" ref="S636:U636" si="1275">trim(B636)</f>
        <v>ord_10627</v>
      </c>
      <c r="T636" s="14" t="str">
        <f t="shared" si="1275"/>
        <v>Anaya Rao</v>
      </c>
      <c r="U636" s="14" t="str">
        <f t="shared" si="1275"/>
        <v>Malad</v>
      </c>
      <c r="V636" s="14" t="str">
        <f t="shared" si="4"/>
        <v>Chilli Cheese Toast</v>
      </c>
      <c r="W636" s="14">
        <f t="shared" si="5"/>
        <v>2</v>
      </c>
      <c r="X636" s="14" t="str">
        <f t="shared" si="6"/>
        <v>Vivek Kumar</v>
      </c>
      <c r="Y636" s="15">
        <f t="shared" si="7"/>
        <v>45176</v>
      </c>
      <c r="Z636" s="14" t="str">
        <f t="shared" si="8"/>
        <v>Credit Card</v>
      </c>
      <c r="AA636" s="14" t="str">
        <f t="shared" si="9"/>
        <v>Delivered</v>
      </c>
      <c r="AB636" s="14" t="str">
        <f t="shared" ref="AB636:AC636" si="1276">trim(Q636)</f>
        <v>On-time Delivery</v>
      </c>
      <c r="AC636" s="14" t="str">
        <f t="shared" si="1276"/>
        <v>Delivered on time</v>
      </c>
      <c r="AD636" s="8"/>
    </row>
    <row r="637">
      <c r="A637" s="14" t="str">
        <f>IFERROR(__xludf.DUMMYFUNCTION("""COMPUTED_VALUE"""),"//ord_10628//Aditya Rao//Lower Parel//Rasmalai+2*Shine Thomas/2/17/2023//Online Payment//Delivered*Quality of Items: Perfect condition")</f>
        <v>//ord_10628//Aditya Rao//Lower Parel//Rasmalai+2*Shine Thomas/2/17/2023//Online Payment//Delivered*Quality of Items: Perfect condition</v>
      </c>
      <c r="B637" s="14" t="str">
        <f>IFERROR(__xludf.DUMMYFUNCTION("split(A637,""//"")"),"ord_10628")</f>
        <v>ord_10628</v>
      </c>
      <c r="C637" s="14" t="str">
        <f>IFERROR(__xludf.DUMMYFUNCTION("""COMPUTED_VALUE"""),"Aditya Rao")</f>
        <v>Aditya Rao</v>
      </c>
      <c r="D637" s="14" t="str">
        <f>IFERROR(__xludf.DUMMYFUNCTION("""COMPUTED_VALUE"""),"Lower Parel")</f>
        <v>Lower Parel</v>
      </c>
      <c r="E637" s="14" t="str">
        <f>IFERROR(__xludf.DUMMYFUNCTION("""COMPUTED_VALUE"""),"Rasmalai+2*Shine Thomas")</f>
        <v>Rasmalai+2*Shine Thomas</v>
      </c>
      <c r="F637" s="14">
        <f>IFERROR(__xludf.DUMMYFUNCTION("""COMPUTED_VALUE"""),2.0)</f>
        <v>2</v>
      </c>
      <c r="G637" s="14">
        <f>IFERROR(__xludf.DUMMYFUNCTION("""COMPUTED_VALUE"""),17.0)</f>
        <v>17</v>
      </c>
      <c r="H637" s="14">
        <f>IFERROR(__xludf.DUMMYFUNCTION("""COMPUTED_VALUE"""),2023.0)</f>
        <v>2023</v>
      </c>
      <c r="I637" s="14" t="str">
        <f>IFERROR(__xludf.DUMMYFUNCTION("""COMPUTED_VALUE"""),"Online Payment")</f>
        <v>Online Payment</v>
      </c>
      <c r="J637" s="14" t="str">
        <f>IFERROR(__xludf.DUMMYFUNCTION("""COMPUTED_VALUE"""),"Delivered*Quality of Items: Perfect condition")</f>
        <v>Delivered*Quality of Items: Perfect condition</v>
      </c>
      <c r="K637" s="14" t="str">
        <f>IFERROR(__xludf.DUMMYFUNCTION("split(E637,""+"")"),"Rasmalai")</f>
        <v>Rasmalai</v>
      </c>
      <c r="L637" s="14" t="str">
        <f>IFERROR(__xludf.DUMMYFUNCTION("""COMPUTED_VALUE"""),"2*Shine Thomas")</f>
        <v>2*Shine Thomas</v>
      </c>
      <c r="M637" s="14">
        <f>IFERROR(__xludf.DUMMYFUNCTION("SPLIT(L637,""*"")"),2.0)</f>
        <v>2</v>
      </c>
      <c r="N637" s="14" t="str">
        <f>IFERROR(__xludf.DUMMYFUNCTION("""COMPUTED_VALUE"""),"Shine Thomas")</f>
        <v>Shine Thomas</v>
      </c>
      <c r="O637" s="14" t="str">
        <f>IFERROR(__xludf.DUMMYFUNCTION("split(J637,""*"")"),"Delivered")</f>
        <v>Delivered</v>
      </c>
      <c r="P637" s="14" t="str">
        <f>IFERROR(__xludf.DUMMYFUNCTION("""COMPUTED_VALUE"""),"Quality of Items: Perfect condition")</f>
        <v>Quality of Items: Perfect condition</v>
      </c>
      <c r="Q637" s="14" t="str">
        <f>IFERROR(__xludf.DUMMYFUNCTION("split(P637,"":"")"),"Quality of Items")</f>
        <v>Quality of Items</v>
      </c>
      <c r="R637" s="14" t="str">
        <f>IFERROR(__xludf.DUMMYFUNCTION("""COMPUTED_VALUE""")," Perfect condition")</f>
        <v> Perfect condition</v>
      </c>
      <c r="S637" s="14" t="str">
        <f t="shared" ref="S637:U637" si="1277">trim(B637)</f>
        <v>ord_10628</v>
      </c>
      <c r="T637" s="14" t="str">
        <f t="shared" si="1277"/>
        <v>Aditya Rao</v>
      </c>
      <c r="U637" s="14" t="str">
        <f t="shared" si="1277"/>
        <v>Lower Parel</v>
      </c>
      <c r="V637" s="14" t="str">
        <f t="shared" si="4"/>
        <v>Rasmalai</v>
      </c>
      <c r="W637" s="14">
        <f t="shared" si="5"/>
        <v>2</v>
      </c>
      <c r="X637" s="14" t="str">
        <f t="shared" si="6"/>
        <v>Shine Thomas</v>
      </c>
      <c r="Y637" s="15">
        <f t="shared" si="7"/>
        <v>44974</v>
      </c>
      <c r="Z637" s="14" t="str">
        <f t="shared" si="8"/>
        <v>Online Payment</v>
      </c>
      <c r="AA637" s="14" t="str">
        <f t="shared" si="9"/>
        <v>Delivered</v>
      </c>
      <c r="AB637" s="14" t="str">
        <f t="shared" ref="AB637:AC637" si="1278">trim(Q637)</f>
        <v>Quality of Items</v>
      </c>
      <c r="AC637" s="14" t="str">
        <f t="shared" si="1278"/>
        <v>Perfect condition</v>
      </c>
      <c r="AD637" s="8"/>
    </row>
    <row r="638">
      <c r="A638" s="14" t="str">
        <f>IFERROR(__xludf.DUMMYFUNCTION("""COMPUTED_VALUE"""),"//ord_10629//Sakshi Tandon//Colaba//Rasmalai+2*Ram Gopal/10/26/2023//Credit Card//Delivered*On-time Delivery: Delivered on time")</f>
        <v>//ord_10629//Sakshi Tandon//Colaba//Rasmalai+2*Ram Gopal/10/26/2023//Credit Card//Delivered*On-time Delivery: Delivered on time</v>
      </c>
      <c r="B638" s="14" t="str">
        <f>IFERROR(__xludf.DUMMYFUNCTION("split(A638,""//"")"),"ord_10629")</f>
        <v>ord_10629</v>
      </c>
      <c r="C638" s="14" t="str">
        <f>IFERROR(__xludf.DUMMYFUNCTION("""COMPUTED_VALUE"""),"Sakshi Tandon")</f>
        <v>Sakshi Tandon</v>
      </c>
      <c r="D638" s="14" t="str">
        <f>IFERROR(__xludf.DUMMYFUNCTION("""COMPUTED_VALUE"""),"Colaba")</f>
        <v>Colaba</v>
      </c>
      <c r="E638" s="14" t="str">
        <f>IFERROR(__xludf.DUMMYFUNCTION("""COMPUTED_VALUE"""),"Rasmalai+2*Ram Gopal")</f>
        <v>Rasmalai+2*Ram Gopal</v>
      </c>
      <c r="F638" s="14">
        <f>IFERROR(__xludf.DUMMYFUNCTION("""COMPUTED_VALUE"""),10.0)</f>
        <v>10</v>
      </c>
      <c r="G638" s="14">
        <f>IFERROR(__xludf.DUMMYFUNCTION("""COMPUTED_VALUE"""),26.0)</f>
        <v>26</v>
      </c>
      <c r="H638" s="14">
        <f>IFERROR(__xludf.DUMMYFUNCTION("""COMPUTED_VALUE"""),2023.0)</f>
        <v>2023</v>
      </c>
      <c r="I638" s="14" t="str">
        <f>IFERROR(__xludf.DUMMYFUNCTION("""COMPUTED_VALUE"""),"Credit Card")</f>
        <v>Credit Card</v>
      </c>
      <c r="J638" s="14" t="str">
        <f>IFERROR(__xludf.DUMMYFUNCTION("""COMPUTED_VALUE"""),"Delivered*On-time Delivery: Delivered on time")</f>
        <v>Delivered*On-time Delivery: Delivered on time</v>
      </c>
      <c r="K638" s="14" t="str">
        <f>IFERROR(__xludf.DUMMYFUNCTION("split(E638,""+"")"),"Rasmalai")</f>
        <v>Rasmalai</v>
      </c>
      <c r="L638" s="14" t="str">
        <f>IFERROR(__xludf.DUMMYFUNCTION("""COMPUTED_VALUE"""),"2*Ram Gopal")</f>
        <v>2*Ram Gopal</v>
      </c>
      <c r="M638" s="14">
        <f>IFERROR(__xludf.DUMMYFUNCTION("SPLIT(L638,""*"")"),2.0)</f>
        <v>2</v>
      </c>
      <c r="N638" s="14" t="str">
        <f>IFERROR(__xludf.DUMMYFUNCTION("""COMPUTED_VALUE"""),"Ram Gopal")</f>
        <v>Ram Gopal</v>
      </c>
      <c r="O638" s="14" t="str">
        <f>IFERROR(__xludf.DUMMYFUNCTION("split(J638,""*"")"),"Delivered")</f>
        <v>Delivered</v>
      </c>
      <c r="P638" s="14" t="str">
        <f>IFERROR(__xludf.DUMMYFUNCTION("""COMPUTED_VALUE"""),"On-time Delivery: Delivered on time")</f>
        <v>On-time Delivery: Delivered on time</v>
      </c>
      <c r="Q638" s="14" t="str">
        <f>IFERROR(__xludf.DUMMYFUNCTION("split(P638,"":"")"),"On-time Delivery")</f>
        <v>On-time Delivery</v>
      </c>
      <c r="R638" s="14" t="str">
        <f>IFERROR(__xludf.DUMMYFUNCTION("""COMPUTED_VALUE""")," Delivered on time")</f>
        <v> Delivered on time</v>
      </c>
      <c r="S638" s="14" t="str">
        <f t="shared" ref="S638:U638" si="1279">trim(B638)</f>
        <v>ord_10629</v>
      </c>
      <c r="T638" s="14" t="str">
        <f t="shared" si="1279"/>
        <v>Sakshi Tandon</v>
      </c>
      <c r="U638" s="14" t="str">
        <f t="shared" si="1279"/>
        <v>Colaba</v>
      </c>
      <c r="V638" s="14" t="str">
        <f t="shared" si="4"/>
        <v>Rasmalai</v>
      </c>
      <c r="W638" s="14">
        <f t="shared" si="5"/>
        <v>2</v>
      </c>
      <c r="X638" s="14" t="str">
        <f t="shared" si="6"/>
        <v>Ram Gopal</v>
      </c>
      <c r="Y638" s="15">
        <f t="shared" si="7"/>
        <v>45225</v>
      </c>
      <c r="Z638" s="14" t="str">
        <f t="shared" si="8"/>
        <v>Credit Card</v>
      </c>
      <c r="AA638" s="14" t="str">
        <f t="shared" si="9"/>
        <v>Delivered</v>
      </c>
      <c r="AB638" s="14" t="str">
        <f t="shared" ref="AB638:AC638" si="1280">trim(Q638)</f>
        <v>On-time Delivery</v>
      </c>
      <c r="AC638" s="14" t="str">
        <f t="shared" si="1280"/>
        <v>Delivered on time</v>
      </c>
      <c r="AD638" s="8"/>
    </row>
    <row r="639">
      <c r="A639" s="14" t="str">
        <f>IFERROR(__xludf.DUMMYFUNCTION("""COMPUTED_VALUE"""),"//ord_10630//Ishita Banerjee//Juhu//Tomato+2*Not Assigned/1/11/2023//Credit Card//Cancelled*Payment Issues")</f>
        <v>//ord_10630//Ishita Banerjee//Juhu//Tomato+2*Not Assigned/1/11/2023//Credit Card//Cancelled*Payment Issues</v>
      </c>
      <c r="B639" s="14" t="str">
        <f>IFERROR(__xludf.DUMMYFUNCTION("split(A639,""//"")"),"ord_10630")</f>
        <v>ord_10630</v>
      </c>
      <c r="C639" s="14" t="str">
        <f>IFERROR(__xludf.DUMMYFUNCTION("""COMPUTED_VALUE"""),"Ishita Banerjee")</f>
        <v>Ishita Banerjee</v>
      </c>
      <c r="D639" s="14" t="str">
        <f>IFERROR(__xludf.DUMMYFUNCTION("""COMPUTED_VALUE"""),"Juhu")</f>
        <v>Juhu</v>
      </c>
      <c r="E639" s="14" t="str">
        <f>IFERROR(__xludf.DUMMYFUNCTION("""COMPUTED_VALUE"""),"Tomato+2*Not Assigned")</f>
        <v>Tomato+2*Not Assigned</v>
      </c>
      <c r="F639" s="14">
        <f>IFERROR(__xludf.DUMMYFUNCTION("""COMPUTED_VALUE"""),1.0)</f>
        <v>1</v>
      </c>
      <c r="G639" s="14">
        <f>IFERROR(__xludf.DUMMYFUNCTION("""COMPUTED_VALUE"""),11.0)</f>
        <v>11</v>
      </c>
      <c r="H639" s="14">
        <f>IFERROR(__xludf.DUMMYFUNCTION("""COMPUTED_VALUE"""),2023.0)</f>
        <v>2023</v>
      </c>
      <c r="I639" s="14" t="str">
        <f>IFERROR(__xludf.DUMMYFUNCTION("""COMPUTED_VALUE"""),"Credit Card")</f>
        <v>Credit Card</v>
      </c>
      <c r="J639" s="14" t="str">
        <f>IFERROR(__xludf.DUMMYFUNCTION("""COMPUTED_VALUE"""),"Cancelled*Payment Issues")</f>
        <v>Cancelled*Payment Issues</v>
      </c>
      <c r="K639" s="14" t="str">
        <f>IFERROR(__xludf.DUMMYFUNCTION("split(E639,""+"")"),"Tomato")</f>
        <v>Tomato</v>
      </c>
      <c r="L639" s="14" t="str">
        <f>IFERROR(__xludf.DUMMYFUNCTION("""COMPUTED_VALUE"""),"2*Not Assigned")</f>
        <v>2*Not Assigned</v>
      </c>
      <c r="M639" s="14">
        <f>IFERROR(__xludf.DUMMYFUNCTION("SPLIT(L639,""*"")"),2.0)</f>
        <v>2</v>
      </c>
      <c r="N639" s="14" t="str">
        <f>IFERROR(__xludf.DUMMYFUNCTION("""COMPUTED_VALUE"""),"Not Assigned")</f>
        <v>Not Assigned</v>
      </c>
      <c r="O639" s="14" t="str">
        <f>IFERROR(__xludf.DUMMYFUNCTION("split(J639,""*"")"),"Cancelled")</f>
        <v>Cancelled</v>
      </c>
      <c r="P639" s="14" t="str">
        <f>IFERROR(__xludf.DUMMYFUNCTION("""COMPUTED_VALUE"""),"Payment Issues")</f>
        <v>Payment Issues</v>
      </c>
      <c r="Q639" s="14" t="str">
        <f>IFERROR(__xludf.DUMMYFUNCTION("split(P639,"":"")"),"Payment Issues")</f>
        <v>Payment Issues</v>
      </c>
      <c r="R639" s="14"/>
      <c r="S639" s="14" t="str">
        <f t="shared" ref="S639:U639" si="1281">trim(B639)</f>
        <v>ord_10630</v>
      </c>
      <c r="T639" s="14" t="str">
        <f t="shared" si="1281"/>
        <v>Ishita Banerjee</v>
      </c>
      <c r="U639" s="14" t="str">
        <f t="shared" si="1281"/>
        <v>Juhu</v>
      </c>
      <c r="V639" s="14" t="str">
        <f t="shared" si="4"/>
        <v>Tomato</v>
      </c>
      <c r="W639" s="14">
        <f t="shared" si="5"/>
        <v>2</v>
      </c>
      <c r="X639" s="14" t="str">
        <f t="shared" si="6"/>
        <v>Not Assigned</v>
      </c>
      <c r="Y639" s="15">
        <f t="shared" si="7"/>
        <v>44937</v>
      </c>
      <c r="Z639" s="14" t="str">
        <f t="shared" si="8"/>
        <v>Credit Card</v>
      </c>
      <c r="AA639" s="14" t="str">
        <f t="shared" si="9"/>
        <v>Cancelled</v>
      </c>
      <c r="AB639" s="14" t="str">
        <f t="shared" ref="AB639:AC639" si="1282">trim(Q639)</f>
        <v>Payment Issues</v>
      </c>
      <c r="AC639" s="14" t="str">
        <f t="shared" si="1282"/>
        <v/>
      </c>
      <c r="AD639" s="8"/>
    </row>
    <row r="640">
      <c r="A640" s="14" t="str">
        <f>IFERROR(__xludf.DUMMYFUNCTION("""COMPUTED_VALUE"""),"//ord_10631//Anaya Rao//Colaba//Potato+1*Ramesh S/9/28/2023//Credit Card//Delivered*Quality of Items: Perfect condition")</f>
        <v>//ord_10631//Anaya Rao//Colaba//Potato+1*Ramesh S/9/28/2023//Credit Card//Delivered*Quality of Items: Perfect condition</v>
      </c>
      <c r="B640" s="14" t="str">
        <f>IFERROR(__xludf.DUMMYFUNCTION("split(A640,""//"")"),"ord_10631")</f>
        <v>ord_10631</v>
      </c>
      <c r="C640" s="14" t="str">
        <f>IFERROR(__xludf.DUMMYFUNCTION("""COMPUTED_VALUE"""),"Anaya Rao")</f>
        <v>Anaya Rao</v>
      </c>
      <c r="D640" s="14" t="str">
        <f>IFERROR(__xludf.DUMMYFUNCTION("""COMPUTED_VALUE"""),"Colaba")</f>
        <v>Colaba</v>
      </c>
      <c r="E640" s="14" t="str">
        <f>IFERROR(__xludf.DUMMYFUNCTION("""COMPUTED_VALUE"""),"Potato+1*Ramesh S")</f>
        <v>Potato+1*Ramesh S</v>
      </c>
      <c r="F640" s="14">
        <f>IFERROR(__xludf.DUMMYFUNCTION("""COMPUTED_VALUE"""),9.0)</f>
        <v>9</v>
      </c>
      <c r="G640" s="14">
        <f>IFERROR(__xludf.DUMMYFUNCTION("""COMPUTED_VALUE"""),28.0)</f>
        <v>28</v>
      </c>
      <c r="H640" s="14">
        <f>IFERROR(__xludf.DUMMYFUNCTION("""COMPUTED_VALUE"""),2023.0)</f>
        <v>2023</v>
      </c>
      <c r="I640" s="14" t="str">
        <f>IFERROR(__xludf.DUMMYFUNCTION("""COMPUTED_VALUE"""),"Credit Card")</f>
        <v>Credit Card</v>
      </c>
      <c r="J640" s="14" t="str">
        <f>IFERROR(__xludf.DUMMYFUNCTION("""COMPUTED_VALUE"""),"Delivered*Quality of Items: Perfect condition")</f>
        <v>Delivered*Quality of Items: Perfect condition</v>
      </c>
      <c r="K640" s="14" t="str">
        <f>IFERROR(__xludf.DUMMYFUNCTION("split(E640,""+"")"),"Potato")</f>
        <v>Potato</v>
      </c>
      <c r="L640" s="14" t="str">
        <f>IFERROR(__xludf.DUMMYFUNCTION("""COMPUTED_VALUE"""),"1*Ramesh S")</f>
        <v>1*Ramesh S</v>
      </c>
      <c r="M640" s="14">
        <f>IFERROR(__xludf.DUMMYFUNCTION("SPLIT(L640,""*"")"),1.0)</f>
        <v>1</v>
      </c>
      <c r="N640" s="14" t="str">
        <f>IFERROR(__xludf.DUMMYFUNCTION("""COMPUTED_VALUE"""),"Ramesh S")</f>
        <v>Ramesh S</v>
      </c>
      <c r="O640" s="14" t="str">
        <f>IFERROR(__xludf.DUMMYFUNCTION("split(J640,""*"")"),"Delivered")</f>
        <v>Delivered</v>
      </c>
      <c r="P640" s="14" t="str">
        <f>IFERROR(__xludf.DUMMYFUNCTION("""COMPUTED_VALUE"""),"Quality of Items: Perfect condition")</f>
        <v>Quality of Items: Perfect condition</v>
      </c>
      <c r="Q640" s="14" t="str">
        <f>IFERROR(__xludf.DUMMYFUNCTION("split(P640,"":"")"),"Quality of Items")</f>
        <v>Quality of Items</v>
      </c>
      <c r="R640" s="14" t="str">
        <f>IFERROR(__xludf.DUMMYFUNCTION("""COMPUTED_VALUE""")," Perfect condition")</f>
        <v> Perfect condition</v>
      </c>
      <c r="S640" s="14" t="str">
        <f t="shared" ref="S640:U640" si="1283">trim(B640)</f>
        <v>ord_10631</v>
      </c>
      <c r="T640" s="14" t="str">
        <f t="shared" si="1283"/>
        <v>Anaya Rao</v>
      </c>
      <c r="U640" s="14" t="str">
        <f t="shared" si="1283"/>
        <v>Colaba</v>
      </c>
      <c r="V640" s="14" t="str">
        <f t="shared" si="4"/>
        <v>Potato</v>
      </c>
      <c r="W640" s="14">
        <f t="shared" si="5"/>
        <v>1</v>
      </c>
      <c r="X640" s="14" t="str">
        <f t="shared" si="6"/>
        <v>Ramesh S</v>
      </c>
      <c r="Y640" s="15">
        <f t="shared" si="7"/>
        <v>45197</v>
      </c>
      <c r="Z640" s="14" t="str">
        <f t="shared" si="8"/>
        <v>Credit Card</v>
      </c>
      <c r="AA640" s="14" t="str">
        <f t="shared" si="9"/>
        <v>Delivered</v>
      </c>
      <c r="AB640" s="14" t="str">
        <f t="shared" ref="AB640:AC640" si="1284">trim(Q640)</f>
        <v>Quality of Items</v>
      </c>
      <c r="AC640" s="14" t="str">
        <f t="shared" si="1284"/>
        <v>Perfect condition</v>
      </c>
      <c r="AD640" s="8"/>
    </row>
    <row r="641">
      <c r="A641" s="14" t="str">
        <f>IFERROR(__xludf.DUMMYFUNCTION("""COMPUTED_VALUE"""),"//ord_10632//Pranav Joshi//Andheri//Cucumber+2*Nithin Lal/3/4/2023//Credit Card//Delivered*Packaging: Secure and intact")</f>
        <v>//ord_10632//Pranav Joshi//Andheri//Cucumber+2*Nithin Lal/3/4/2023//Credit Card//Delivered*Packaging: Secure and intact</v>
      </c>
      <c r="B641" s="14" t="str">
        <f>IFERROR(__xludf.DUMMYFUNCTION("split(A641,""//"")"),"ord_10632")</f>
        <v>ord_10632</v>
      </c>
      <c r="C641" s="14" t="str">
        <f>IFERROR(__xludf.DUMMYFUNCTION("""COMPUTED_VALUE"""),"Pranav Joshi")</f>
        <v>Pranav Joshi</v>
      </c>
      <c r="D641" s="14" t="str">
        <f>IFERROR(__xludf.DUMMYFUNCTION("""COMPUTED_VALUE"""),"Andheri")</f>
        <v>Andheri</v>
      </c>
      <c r="E641" s="14" t="str">
        <f>IFERROR(__xludf.DUMMYFUNCTION("""COMPUTED_VALUE"""),"Cucumber+2*Nithin Lal")</f>
        <v>Cucumber+2*Nithin Lal</v>
      </c>
      <c r="F641" s="14">
        <f>IFERROR(__xludf.DUMMYFUNCTION("""COMPUTED_VALUE"""),3.0)</f>
        <v>3</v>
      </c>
      <c r="G641" s="14">
        <f>IFERROR(__xludf.DUMMYFUNCTION("""COMPUTED_VALUE"""),4.0)</f>
        <v>4</v>
      </c>
      <c r="H641" s="14">
        <f>IFERROR(__xludf.DUMMYFUNCTION("""COMPUTED_VALUE"""),2023.0)</f>
        <v>2023</v>
      </c>
      <c r="I641" s="14" t="str">
        <f>IFERROR(__xludf.DUMMYFUNCTION("""COMPUTED_VALUE"""),"Credit Card")</f>
        <v>Credit Card</v>
      </c>
      <c r="J641" s="14" t="str">
        <f>IFERROR(__xludf.DUMMYFUNCTION("""COMPUTED_VALUE"""),"Delivered*Packaging: Secure and intact")</f>
        <v>Delivered*Packaging: Secure and intact</v>
      </c>
      <c r="K641" s="14" t="str">
        <f>IFERROR(__xludf.DUMMYFUNCTION("split(E641,""+"")"),"Cucumber")</f>
        <v>Cucumber</v>
      </c>
      <c r="L641" s="14" t="str">
        <f>IFERROR(__xludf.DUMMYFUNCTION("""COMPUTED_VALUE"""),"2*Nithin Lal")</f>
        <v>2*Nithin Lal</v>
      </c>
      <c r="M641" s="14">
        <f>IFERROR(__xludf.DUMMYFUNCTION("SPLIT(L641,""*"")"),2.0)</f>
        <v>2</v>
      </c>
      <c r="N641" s="14" t="str">
        <f>IFERROR(__xludf.DUMMYFUNCTION("""COMPUTED_VALUE"""),"Nithin Lal")</f>
        <v>Nithin Lal</v>
      </c>
      <c r="O641" s="14" t="str">
        <f>IFERROR(__xludf.DUMMYFUNCTION("split(J641,""*"")"),"Delivered")</f>
        <v>Delivered</v>
      </c>
      <c r="P641" s="14" t="str">
        <f>IFERROR(__xludf.DUMMYFUNCTION("""COMPUTED_VALUE"""),"Packaging: Secure and intact")</f>
        <v>Packaging: Secure and intact</v>
      </c>
      <c r="Q641" s="14" t="str">
        <f>IFERROR(__xludf.DUMMYFUNCTION("split(P641,"":"")"),"Packaging")</f>
        <v>Packaging</v>
      </c>
      <c r="R641" s="14" t="str">
        <f>IFERROR(__xludf.DUMMYFUNCTION("""COMPUTED_VALUE""")," Secure and intact")</f>
        <v> Secure and intact</v>
      </c>
      <c r="S641" s="14" t="str">
        <f t="shared" ref="S641:U641" si="1285">trim(B641)</f>
        <v>ord_10632</v>
      </c>
      <c r="T641" s="14" t="str">
        <f t="shared" si="1285"/>
        <v>Pranav Joshi</v>
      </c>
      <c r="U641" s="14" t="str">
        <f t="shared" si="1285"/>
        <v>Andheri</v>
      </c>
      <c r="V641" s="14" t="str">
        <f t="shared" si="4"/>
        <v>Cucumber</v>
      </c>
      <c r="W641" s="14">
        <f t="shared" si="5"/>
        <v>2</v>
      </c>
      <c r="X641" s="14" t="str">
        <f t="shared" si="6"/>
        <v>Nithin Lal</v>
      </c>
      <c r="Y641" s="15">
        <f t="shared" si="7"/>
        <v>44989</v>
      </c>
      <c r="Z641" s="14" t="str">
        <f t="shared" si="8"/>
        <v>Credit Card</v>
      </c>
      <c r="AA641" s="14" t="str">
        <f t="shared" si="9"/>
        <v>Delivered</v>
      </c>
      <c r="AB641" s="14" t="str">
        <f t="shared" ref="AB641:AC641" si="1286">trim(Q641)</f>
        <v>Packaging</v>
      </c>
      <c r="AC641" s="14" t="str">
        <f t="shared" si="1286"/>
        <v>Secure and intact</v>
      </c>
      <c r="AD641" s="8"/>
    </row>
    <row r="642">
      <c r="A642" s="14" t="str">
        <f>IFERROR(__xludf.DUMMYFUNCTION("""COMPUTED_VALUE"""),"//ord_10633//Arvind Kulkarni//Juhu//Potato+2*Not Assigned/11/30/2023//UPI//Cancelled*App Glitches:Slow Loading Time")</f>
        <v>//ord_10633//Arvind Kulkarni//Juhu//Potato+2*Not Assigned/11/30/2023//UPI//Cancelled*App Glitches:Slow Loading Time</v>
      </c>
      <c r="B642" s="14" t="str">
        <f>IFERROR(__xludf.DUMMYFUNCTION("split(A642,""//"")"),"ord_10633")</f>
        <v>ord_10633</v>
      </c>
      <c r="C642" s="14" t="str">
        <f>IFERROR(__xludf.DUMMYFUNCTION("""COMPUTED_VALUE"""),"Arvind Kulkarni")</f>
        <v>Arvind Kulkarni</v>
      </c>
      <c r="D642" s="14" t="str">
        <f>IFERROR(__xludf.DUMMYFUNCTION("""COMPUTED_VALUE"""),"Juhu")</f>
        <v>Juhu</v>
      </c>
      <c r="E642" s="14" t="str">
        <f>IFERROR(__xludf.DUMMYFUNCTION("""COMPUTED_VALUE"""),"Potato+2*Not Assigned")</f>
        <v>Potato+2*Not Assigned</v>
      </c>
      <c r="F642" s="14">
        <f>IFERROR(__xludf.DUMMYFUNCTION("""COMPUTED_VALUE"""),11.0)</f>
        <v>11</v>
      </c>
      <c r="G642" s="14">
        <f>IFERROR(__xludf.DUMMYFUNCTION("""COMPUTED_VALUE"""),30.0)</f>
        <v>30</v>
      </c>
      <c r="H642" s="14">
        <f>IFERROR(__xludf.DUMMYFUNCTION("""COMPUTED_VALUE"""),2023.0)</f>
        <v>2023</v>
      </c>
      <c r="I642" s="14" t="str">
        <f>IFERROR(__xludf.DUMMYFUNCTION("""COMPUTED_VALUE"""),"UPI")</f>
        <v>UPI</v>
      </c>
      <c r="J642" s="14" t="str">
        <f>IFERROR(__xludf.DUMMYFUNCTION("""COMPUTED_VALUE"""),"Cancelled*App Glitches:Slow Loading Time")</f>
        <v>Cancelled*App Glitches:Slow Loading Time</v>
      </c>
      <c r="K642" s="14" t="str">
        <f>IFERROR(__xludf.DUMMYFUNCTION("split(E642,""+"")"),"Potato")</f>
        <v>Potato</v>
      </c>
      <c r="L642" s="14" t="str">
        <f>IFERROR(__xludf.DUMMYFUNCTION("""COMPUTED_VALUE"""),"2*Not Assigned")</f>
        <v>2*Not Assigned</v>
      </c>
      <c r="M642" s="14">
        <f>IFERROR(__xludf.DUMMYFUNCTION("SPLIT(L642,""*"")"),2.0)</f>
        <v>2</v>
      </c>
      <c r="N642" s="14" t="str">
        <f>IFERROR(__xludf.DUMMYFUNCTION("""COMPUTED_VALUE"""),"Not Assigned")</f>
        <v>Not Assigned</v>
      </c>
      <c r="O642" s="14" t="str">
        <f>IFERROR(__xludf.DUMMYFUNCTION("split(J642,""*"")"),"Cancelled")</f>
        <v>Cancelled</v>
      </c>
      <c r="P642" s="14" t="str">
        <f>IFERROR(__xludf.DUMMYFUNCTION("""COMPUTED_VALUE"""),"App Glitches:Slow Loading Time")</f>
        <v>App Glitches:Slow Loading Time</v>
      </c>
      <c r="Q642" s="14" t="str">
        <f>IFERROR(__xludf.DUMMYFUNCTION("split(P642,"":"")"),"App Glitches")</f>
        <v>App Glitches</v>
      </c>
      <c r="R642" s="14" t="str">
        <f>IFERROR(__xludf.DUMMYFUNCTION("""COMPUTED_VALUE"""),"Slow Loading Time")</f>
        <v>Slow Loading Time</v>
      </c>
      <c r="S642" s="14" t="str">
        <f t="shared" ref="S642:U642" si="1287">trim(B642)</f>
        <v>ord_10633</v>
      </c>
      <c r="T642" s="14" t="str">
        <f t="shared" si="1287"/>
        <v>Arvind Kulkarni</v>
      </c>
      <c r="U642" s="14" t="str">
        <f t="shared" si="1287"/>
        <v>Juhu</v>
      </c>
      <c r="V642" s="14" t="str">
        <f t="shared" si="4"/>
        <v>Potato</v>
      </c>
      <c r="W642" s="14">
        <f t="shared" si="5"/>
        <v>2</v>
      </c>
      <c r="X642" s="14" t="str">
        <f t="shared" si="6"/>
        <v>Not Assigned</v>
      </c>
      <c r="Y642" s="15">
        <f t="shared" si="7"/>
        <v>45260</v>
      </c>
      <c r="Z642" s="14" t="str">
        <f t="shared" si="8"/>
        <v>UPI</v>
      </c>
      <c r="AA642" s="14" t="str">
        <f t="shared" si="9"/>
        <v>Cancelled</v>
      </c>
      <c r="AB642" s="14" t="str">
        <f t="shared" ref="AB642:AC642" si="1288">trim(Q642)</f>
        <v>App Glitches</v>
      </c>
      <c r="AC642" s="14" t="str">
        <f t="shared" si="1288"/>
        <v>Slow Loading Time</v>
      </c>
      <c r="AD642" s="8"/>
    </row>
    <row r="643">
      <c r="A643" s="14" t="str">
        <f>IFERROR(__xludf.DUMMYFUNCTION("""COMPUTED_VALUE"""),"//ord_10634//Arvind Kulkarni//Juhu//Onion+2*Not Assigned/3/13/2023//Online Payment//Cancelled*App Glitches:Slow Loading Time")</f>
        <v>//ord_10634//Arvind Kulkarni//Juhu//Onion+2*Not Assigned/3/13/2023//Online Payment//Cancelled*App Glitches:Slow Loading Time</v>
      </c>
      <c r="B643" s="14" t="str">
        <f>IFERROR(__xludf.DUMMYFUNCTION("split(A643,""//"")"),"ord_10634")</f>
        <v>ord_10634</v>
      </c>
      <c r="C643" s="14" t="str">
        <f>IFERROR(__xludf.DUMMYFUNCTION("""COMPUTED_VALUE"""),"Arvind Kulkarni")</f>
        <v>Arvind Kulkarni</v>
      </c>
      <c r="D643" s="14" t="str">
        <f>IFERROR(__xludf.DUMMYFUNCTION("""COMPUTED_VALUE"""),"Juhu")</f>
        <v>Juhu</v>
      </c>
      <c r="E643" s="14" t="str">
        <f>IFERROR(__xludf.DUMMYFUNCTION("""COMPUTED_VALUE"""),"Onion+2*Not Assigned")</f>
        <v>Onion+2*Not Assigned</v>
      </c>
      <c r="F643" s="14">
        <f>IFERROR(__xludf.DUMMYFUNCTION("""COMPUTED_VALUE"""),3.0)</f>
        <v>3</v>
      </c>
      <c r="G643" s="14">
        <f>IFERROR(__xludf.DUMMYFUNCTION("""COMPUTED_VALUE"""),13.0)</f>
        <v>13</v>
      </c>
      <c r="H643" s="14">
        <f>IFERROR(__xludf.DUMMYFUNCTION("""COMPUTED_VALUE"""),2023.0)</f>
        <v>2023</v>
      </c>
      <c r="I643" s="14" t="str">
        <f>IFERROR(__xludf.DUMMYFUNCTION("""COMPUTED_VALUE"""),"Online Payment")</f>
        <v>Online Payment</v>
      </c>
      <c r="J643" s="14" t="str">
        <f>IFERROR(__xludf.DUMMYFUNCTION("""COMPUTED_VALUE"""),"Cancelled*App Glitches:Slow Loading Time")</f>
        <v>Cancelled*App Glitches:Slow Loading Time</v>
      </c>
      <c r="K643" s="14" t="str">
        <f>IFERROR(__xludf.DUMMYFUNCTION("split(E643,""+"")"),"Onion")</f>
        <v>Onion</v>
      </c>
      <c r="L643" s="14" t="str">
        <f>IFERROR(__xludf.DUMMYFUNCTION("""COMPUTED_VALUE"""),"2*Not Assigned")</f>
        <v>2*Not Assigned</v>
      </c>
      <c r="M643" s="14">
        <f>IFERROR(__xludf.DUMMYFUNCTION("SPLIT(L643,""*"")"),2.0)</f>
        <v>2</v>
      </c>
      <c r="N643" s="14" t="str">
        <f>IFERROR(__xludf.DUMMYFUNCTION("""COMPUTED_VALUE"""),"Not Assigned")</f>
        <v>Not Assigned</v>
      </c>
      <c r="O643" s="14" t="str">
        <f>IFERROR(__xludf.DUMMYFUNCTION("split(J643,""*"")"),"Cancelled")</f>
        <v>Cancelled</v>
      </c>
      <c r="P643" s="14" t="str">
        <f>IFERROR(__xludf.DUMMYFUNCTION("""COMPUTED_VALUE"""),"App Glitches:Slow Loading Time")</f>
        <v>App Glitches:Slow Loading Time</v>
      </c>
      <c r="Q643" s="14" t="str">
        <f>IFERROR(__xludf.DUMMYFUNCTION("split(P643,"":"")"),"App Glitches")</f>
        <v>App Glitches</v>
      </c>
      <c r="R643" s="14" t="str">
        <f>IFERROR(__xludf.DUMMYFUNCTION("""COMPUTED_VALUE"""),"Slow Loading Time")</f>
        <v>Slow Loading Time</v>
      </c>
      <c r="S643" s="14" t="str">
        <f t="shared" ref="S643:U643" si="1289">trim(B643)</f>
        <v>ord_10634</v>
      </c>
      <c r="T643" s="14" t="str">
        <f t="shared" si="1289"/>
        <v>Arvind Kulkarni</v>
      </c>
      <c r="U643" s="14" t="str">
        <f t="shared" si="1289"/>
        <v>Juhu</v>
      </c>
      <c r="V643" s="14" t="str">
        <f t="shared" si="4"/>
        <v>Onion</v>
      </c>
      <c r="W643" s="14">
        <f t="shared" si="5"/>
        <v>2</v>
      </c>
      <c r="X643" s="14" t="str">
        <f t="shared" si="6"/>
        <v>Not Assigned</v>
      </c>
      <c r="Y643" s="15">
        <f t="shared" si="7"/>
        <v>44998</v>
      </c>
      <c r="Z643" s="14" t="str">
        <f t="shared" si="8"/>
        <v>Online Payment</v>
      </c>
      <c r="AA643" s="14" t="str">
        <f t="shared" si="9"/>
        <v>Cancelled</v>
      </c>
      <c r="AB643" s="14" t="str">
        <f t="shared" ref="AB643:AC643" si="1290">trim(Q643)</f>
        <v>App Glitches</v>
      </c>
      <c r="AC643" s="14" t="str">
        <f t="shared" si="1290"/>
        <v>Slow Loading Time</v>
      </c>
      <c r="AD643" s="8"/>
    </row>
    <row r="644">
      <c r="A644" s="14" t="str">
        <f>IFERROR(__xludf.DUMMYFUNCTION("""COMPUTED_VALUE"""),"//ord_10635//Parth Goel//Juhu//Potato+2*Ramesh S/12/19/2023//COD//Delivered*Satisfied with the Delivery: Timely and quality")</f>
        <v>//ord_10635//Parth Goel//Juhu//Potato+2*Ramesh S/12/19/2023//COD//Delivered*Satisfied with the Delivery: Timely and quality</v>
      </c>
      <c r="B644" s="14" t="str">
        <f>IFERROR(__xludf.DUMMYFUNCTION("split(A644,""//"")"),"ord_10635")</f>
        <v>ord_10635</v>
      </c>
      <c r="C644" s="14" t="str">
        <f>IFERROR(__xludf.DUMMYFUNCTION("""COMPUTED_VALUE"""),"Parth Goel")</f>
        <v>Parth Goel</v>
      </c>
      <c r="D644" s="14" t="str">
        <f>IFERROR(__xludf.DUMMYFUNCTION("""COMPUTED_VALUE"""),"Juhu")</f>
        <v>Juhu</v>
      </c>
      <c r="E644" s="14" t="str">
        <f>IFERROR(__xludf.DUMMYFUNCTION("""COMPUTED_VALUE"""),"Potato+2*Ramesh S")</f>
        <v>Potato+2*Ramesh S</v>
      </c>
      <c r="F644" s="14">
        <f>IFERROR(__xludf.DUMMYFUNCTION("""COMPUTED_VALUE"""),12.0)</f>
        <v>12</v>
      </c>
      <c r="G644" s="14">
        <f>IFERROR(__xludf.DUMMYFUNCTION("""COMPUTED_VALUE"""),19.0)</f>
        <v>19</v>
      </c>
      <c r="H644" s="14">
        <f>IFERROR(__xludf.DUMMYFUNCTION("""COMPUTED_VALUE"""),2023.0)</f>
        <v>2023</v>
      </c>
      <c r="I644" s="14" t="str">
        <f>IFERROR(__xludf.DUMMYFUNCTION("""COMPUTED_VALUE"""),"COD")</f>
        <v>COD</v>
      </c>
      <c r="J644" s="14" t="str">
        <f>IFERROR(__xludf.DUMMYFUNCTION("""COMPUTED_VALUE"""),"Delivered*Satisfied with the Delivery: Timely and quality")</f>
        <v>Delivered*Satisfied with the Delivery: Timely and quality</v>
      </c>
      <c r="K644" s="14" t="str">
        <f>IFERROR(__xludf.DUMMYFUNCTION("split(E644,""+"")"),"Potato")</f>
        <v>Potato</v>
      </c>
      <c r="L644" s="14" t="str">
        <f>IFERROR(__xludf.DUMMYFUNCTION("""COMPUTED_VALUE"""),"2*Ramesh S")</f>
        <v>2*Ramesh S</v>
      </c>
      <c r="M644" s="14">
        <f>IFERROR(__xludf.DUMMYFUNCTION("SPLIT(L644,""*"")"),2.0)</f>
        <v>2</v>
      </c>
      <c r="N644" s="14" t="str">
        <f>IFERROR(__xludf.DUMMYFUNCTION("""COMPUTED_VALUE"""),"Ramesh S")</f>
        <v>Ramesh S</v>
      </c>
      <c r="O644" s="14" t="str">
        <f>IFERROR(__xludf.DUMMYFUNCTION("split(J644,""*"")"),"Delivered")</f>
        <v>Delivered</v>
      </c>
      <c r="P644" s="14" t="str">
        <f>IFERROR(__xludf.DUMMYFUNCTION("""COMPUTED_VALUE"""),"Satisfied with the Delivery: Timely and quality")</f>
        <v>Satisfied with the Delivery: Timely and quality</v>
      </c>
      <c r="Q644" s="14" t="str">
        <f>IFERROR(__xludf.DUMMYFUNCTION("split(P644,"":"")"),"Satisfied with the Delivery")</f>
        <v>Satisfied with the Delivery</v>
      </c>
      <c r="R644" s="14" t="str">
        <f>IFERROR(__xludf.DUMMYFUNCTION("""COMPUTED_VALUE""")," Timely and quality")</f>
        <v> Timely and quality</v>
      </c>
      <c r="S644" s="14" t="str">
        <f t="shared" ref="S644:U644" si="1291">trim(B644)</f>
        <v>ord_10635</v>
      </c>
      <c r="T644" s="14" t="str">
        <f t="shared" si="1291"/>
        <v>Parth Goel</v>
      </c>
      <c r="U644" s="14" t="str">
        <f t="shared" si="1291"/>
        <v>Juhu</v>
      </c>
      <c r="V644" s="14" t="str">
        <f t="shared" si="4"/>
        <v>Potato</v>
      </c>
      <c r="W644" s="14">
        <f t="shared" si="5"/>
        <v>2</v>
      </c>
      <c r="X644" s="14" t="str">
        <f t="shared" si="6"/>
        <v>Ramesh S</v>
      </c>
      <c r="Y644" s="15">
        <f t="shared" si="7"/>
        <v>45279</v>
      </c>
      <c r="Z644" s="14" t="str">
        <f t="shared" si="8"/>
        <v>COD</v>
      </c>
      <c r="AA644" s="14" t="str">
        <f t="shared" si="9"/>
        <v>Delivered</v>
      </c>
      <c r="AB644" s="14" t="str">
        <f t="shared" ref="AB644:AC644" si="1292">trim(Q644)</f>
        <v>Satisfied with the Delivery</v>
      </c>
      <c r="AC644" s="14" t="str">
        <f t="shared" si="1292"/>
        <v>Timely and quality</v>
      </c>
      <c r="AD644" s="8"/>
    </row>
    <row r="645">
      <c r="A645" s="14" t="str">
        <f>IFERROR(__xludf.DUMMYFUNCTION("""COMPUTED_VALUE"""),"//ord_10636//Pranav Joshi//Andheri//Cucumber+1*Ramesh S/9/30/2023//Online Payment//Delivered*Customer Service: Seamless and easy")</f>
        <v>//ord_10636//Pranav Joshi//Andheri//Cucumber+1*Ramesh S/9/30/2023//Online Payment//Delivered*Customer Service: Seamless and easy</v>
      </c>
      <c r="B645" s="14" t="str">
        <f>IFERROR(__xludf.DUMMYFUNCTION("split(A645,""//"")"),"ord_10636")</f>
        <v>ord_10636</v>
      </c>
      <c r="C645" s="14" t="str">
        <f>IFERROR(__xludf.DUMMYFUNCTION("""COMPUTED_VALUE"""),"Pranav Joshi")</f>
        <v>Pranav Joshi</v>
      </c>
      <c r="D645" s="14" t="str">
        <f>IFERROR(__xludf.DUMMYFUNCTION("""COMPUTED_VALUE"""),"Andheri")</f>
        <v>Andheri</v>
      </c>
      <c r="E645" s="14" t="str">
        <f>IFERROR(__xludf.DUMMYFUNCTION("""COMPUTED_VALUE"""),"Cucumber+1*Ramesh S")</f>
        <v>Cucumber+1*Ramesh S</v>
      </c>
      <c r="F645" s="14">
        <f>IFERROR(__xludf.DUMMYFUNCTION("""COMPUTED_VALUE"""),9.0)</f>
        <v>9</v>
      </c>
      <c r="G645" s="14">
        <f>IFERROR(__xludf.DUMMYFUNCTION("""COMPUTED_VALUE"""),30.0)</f>
        <v>30</v>
      </c>
      <c r="H645" s="14">
        <f>IFERROR(__xludf.DUMMYFUNCTION("""COMPUTED_VALUE"""),2023.0)</f>
        <v>2023</v>
      </c>
      <c r="I645" s="14" t="str">
        <f>IFERROR(__xludf.DUMMYFUNCTION("""COMPUTED_VALUE"""),"Online Payment")</f>
        <v>Online Payment</v>
      </c>
      <c r="J645" s="14" t="str">
        <f>IFERROR(__xludf.DUMMYFUNCTION("""COMPUTED_VALUE"""),"Delivered*Customer Service: Seamless and easy")</f>
        <v>Delivered*Customer Service: Seamless and easy</v>
      </c>
      <c r="K645" s="14" t="str">
        <f>IFERROR(__xludf.DUMMYFUNCTION("split(E645,""+"")"),"Cucumber")</f>
        <v>Cucumber</v>
      </c>
      <c r="L645" s="14" t="str">
        <f>IFERROR(__xludf.DUMMYFUNCTION("""COMPUTED_VALUE"""),"1*Ramesh S")</f>
        <v>1*Ramesh S</v>
      </c>
      <c r="M645" s="14">
        <f>IFERROR(__xludf.DUMMYFUNCTION("SPLIT(L645,""*"")"),1.0)</f>
        <v>1</v>
      </c>
      <c r="N645" s="14" t="str">
        <f>IFERROR(__xludf.DUMMYFUNCTION("""COMPUTED_VALUE"""),"Ramesh S")</f>
        <v>Ramesh S</v>
      </c>
      <c r="O645" s="14" t="str">
        <f>IFERROR(__xludf.DUMMYFUNCTION("split(J645,""*"")"),"Delivered")</f>
        <v>Delivered</v>
      </c>
      <c r="P645" s="14" t="str">
        <f>IFERROR(__xludf.DUMMYFUNCTION("""COMPUTED_VALUE"""),"Customer Service: Seamless and easy")</f>
        <v>Customer Service: Seamless and easy</v>
      </c>
      <c r="Q645" s="14" t="str">
        <f>IFERROR(__xludf.DUMMYFUNCTION("split(P645,"":"")"),"Customer Service")</f>
        <v>Customer Service</v>
      </c>
      <c r="R645" s="14" t="str">
        <f>IFERROR(__xludf.DUMMYFUNCTION("""COMPUTED_VALUE""")," Seamless and easy")</f>
        <v> Seamless and easy</v>
      </c>
      <c r="S645" s="14" t="str">
        <f t="shared" ref="S645:U645" si="1293">trim(B645)</f>
        <v>ord_10636</v>
      </c>
      <c r="T645" s="14" t="str">
        <f t="shared" si="1293"/>
        <v>Pranav Joshi</v>
      </c>
      <c r="U645" s="14" t="str">
        <f t="shared" si="1293"/>
        <v>Andheri</v>
      </c>
      <c r="V645" s="14" t="str">
        <f t="shared" si="4"/>
        <v>Cucumber</v>
      </c>
      <c r="W645" s="14">
        <f t="shared" si="5"/>
        <v>1</v>
      </c>
      <c r="X645" s="14" t="str">
        <f t="shared" si="6"/>
        <v>Ramesh S</v>
      </c>
      <c r="Y645" s="15">
        <f t="shared" si="7"/>
        <v>45199</v>
      </c>
      <c r="Z645" s="14" t="str">
        <f t="shared" si="8"/>
        <v>Online Payment</v>
      </c>
      <c r="AA645" s="14" t="str">
        <f t="shared" si="9"/>
        <v>Delivered</v>
      </c>
      <c r="AB645" s="14" t="str">
        <f t="shared" ref="AB645:AC645" si="1294">trim(Q645)</f>
        <v>Customer Service</v>
      </c>
      <c r="AC645" s="14" t="str">
        <f t="shared" si="1294"/>
        <v>Seamless and easy</v>
      </c>
      <c r="AD645" s="8"/>
    </row>
    <row r="646">
      <c r="A646" s="14" t="str">
        <f>IFERROR(__xludf.DUMMYFUNCTION("""COMPUTED_VALUE"""),"//ord_10637//Pranav Joshi//Andheri//Tiramisu+2*Sita T/9/23/2023//Online Payment//Delivered*Delivery Experience: Quick and professional")</f>
        <v>//ord_10637//Pranav Joshi//Andheri//Tiramisu+2*Sita T/9/23/2023//Online Payment//Delivered*Delivery Experience: Quick and professional</v>
      </c>
      <c r="B646" s="14" t="str">
        <f>IFERROR(__xludf.DUMMYFUNCTION("split(A646,""//"")"),"ord_10637")</f>
        <v>ord_10637</v>
      </c>
      <c r="C646" s="14" t="str">
        <f>IFERROR(__xludf.DUMMYFUNCTION("""COMPUTED_VALUE"""),"Pranav Joshi")</f>
        <v>Pranav Joshi</v>
      </c>
      <c r="D646" s="14" t="str">
        <f>IFERROR(__xludf.DUMMYFUNCTION("""COMPUTED_VALUE"""),"Andheri")</f>
        <v>Andheri</v>
      </c>
      <c r="E646" s="14" t="str">
        <f>IFERROR(__xludf.DUMMYFUNCTION("""COMPUTED_VALUE"""),"Tiramisu+2*Sita T")</f>
        <v>Tiramisu+2*Sita T</v>
      </c>
      <c r="F646" s="14">
        <f>IFERROR(__xludf.DUMMYFUNCTION("""COMPUTED_VALUE"""),9.0)</f>
        <v>9</v>
      </c>
      <c r="G646" s="14">
        <f>IFERROR(__xludf.DUMMYFUNCTION("""COMPUTED_VALUE"""),23.0)</f>
        <v>23</v>
      </c>
      <c r="H646" s="14">
        <f>IFERROR(__xludf.DUMMYFUNCTION("""COMPUTED_VALUE"""),2023.0)</f>
        <v>2023</v>
      </c>
      <c r="I646" s="14" t="str">
        <f>IFERROR(__xludf.DUMMYFUNCTION("""COMPUTED_VALUE"""),"Online Payment")</f>
        <v>Online Payment</v>
      </c>
      <c r="J646" s="14" t="str">
        <f>IFERROR(__xludf.DUMMYFUNCTION("""COMPUTED_VALUE"""),"Delivered*Delivery Experience: Quick and professional")</f>
        <v>Delivered*Delivery Experience: Quick and professional</v>
      </c>
      <c r="K646" s="14" t="str">
        <f>IFERROR(__xludf.DUMMYFUNCTION("split(E646,""+"")"),"Tiramisu")</f>
        <v>Tiramisu</v>
      </c>
      <c r="L646" s="14" t="str">
        <f>IFERROR(__xludf.DUMMYFUNCTION("""COMPUTED_VALUE"""),"2*Sita T")</f>
        <v>2*Sita T</v>
      </c>
      <c r="M646" s="14">
        <f>IFERROR(__xludf.DUMMYFUNCTION("SPLIT(L646,""*"")"),2.0)</f>
        <v>2</v>
      </c>
      <c r="N646" s="14" t="str">
        <f>IFERROR(__xludf.DUMMYFUNCTION("""COMPUTED_VALUE"""),"Sita T")</f>
        <v>Sita T</v>
      </c>
      <c r="O646" s="14" t="str">
        <f>IFERROR(__xludf.DUMMYFUNCTION("split(J646,""*"")"),"Delivered")</f>
        <v>Delivered</v>
      </c>
      <c r="P646" s="14" t="str">
        <f>IFERROR(__xludf.DUMMYFUNCTION("""COMPUTED_VALUE"""),"Delivery Experience: Quick and professional")</f>
        <v>Delivery Experience: Quick and professional</v>
      </c>
      <c r="Q646" s="14" t="str">
        <f>IFERROR(__xludf.DUMMYFUNCTION("split(P646,"":"")"),"Delivery Experience")</f>
        <v>Delivery Experience</v>
      </c>
      <c r="R646" s="14" t="str">
        <f>IFERROR(__xludf.DUMMYFUNCTION("""COMPUTED_VALUE""")," Quick and professional")</f>
        <v> Quick and professional</v>
      </c>
      <c r="S646" s="14" t="str">
        <f t="shared" ref="S646:U646" si="1295">trim(B646)</f>
        <v>ord_10637</v>
      </c>
      <c r="T646" s="14" t="str">
        <f t="shared" si="1295"/>
        <v>Pranav Joshi</v>
      </c>
      <c r="U646" s="14" t="str">
        <f t="shared" si="1295"/>
        <v>Andheri</v>
      </c>
      <c r="V646" s="14" t="str">
        <f t="shared" si="4"/>
        <v>Tiramisu</v>
      </c>
      <c r="W646" s="14">
        <f t="shared" si="5"/>
        <v>2</v>
      </c>
      <c r="X646" s="14" t="str">
        <f t="shared" si="6"/>
        <v>Sita T</v>
      </c>
      <c r="Y646" s="15">
        <f t="shared" si="7"/>
        <v>45192</v>
      </c>
      <c r="Z646" s="14" t="str">
        <f t="shared" si="8"/>
        <v>Online Payment</v>
      </c>
      <c r="AA646" s="14" t="str">
        <f t="shared" si="9"/>
        <v>Delivered</v>
      </c>
      <c r="AB646" s="14" t="str">
        <f t="shared" ref="AB646:AC646" si="1296">trim(Q646)</f>
        <v>Delivery Experience</v>
      </c>
      <c r="AC646" s="14" t="str">
        <f t="shared" si="1296"/>
        <v>Quick and professional</v>
      </c>
      <c r="AD646" s="8"/>
    </row>
    <row r="647">
      <c r="A647" s="14" t="str">
        <f>IFERROR(__xludf.DUMMYFUNCTION("""COMPUTED_VALUE"""),"//ord_10638//Mehul Thakkar//Malad//Apple+2*Not Assigned/11/11/2023//Credit Card//Cancelled*App Glitches: Inconsistent Data Display")</f>
        <v>//ord_10638//Mehul Thakkar//Malad//Apple+2*Not Assigned/11/11/2023//Credit Card//Cancelled*App Glitches: Inconsistent Data Display</v>
      </c>
      <c r="B647" s="14" t="str">
        <f>IFERROR(__xludf.DUMMYFUNCTION("split(A647,""//"")"),"ord_10638")</f>
        <v>ord_10638</v>
      </c>
      <c r="C647" s="14" t="str">
        <f>IFERROR(__xludf.DUMMYFUNCTION("""COMPUTED_VALUE"""),"Mehul Thakkar")</f>
        <v>Mehul Thakkar</v>
      </c>
      <c r="D647" s="14" t="str">
        <f>IFERROR(__xludf.DUMMYFUNCTION("""COMPUTED_VALUE"""),"Malad")</f>
        <v>Malad</v>
      </c>
      <c r="E647" s="14" t="str">
        <f>IFERROR(__xludf.DUMMYFUNCTION("""COMPUTED_VALUE"""),"Apple+2*Not Assigned")</f>
        <v>Apple+2*Not Assigned</v>
      </c>
      <c r="F647" s="14">
        <f>IFERROR(__xludf.DUMMYFUNCTION("""COMPUTED_VALUE"""),11.0)</f>
        <v>11</v>
      </c>
      <c r="G647" s="14">
        <f>IFERROR(__xludf.DUMMYFUNCTION("""COMPUTED_VALUE"""),11.0)</f>
        <v>11</v>
      </c>
      <c r="H647" s="14">
        <f>IFERROR(__xludf.DUMMYFUNCTION("""COMPUTED_VALUE"""),2023.0)</f>
        <v>2023</v>
      </c>
      <c r="I647" s="14" t="str">
        <f>IFERROR(__xludf.DUMMYFUNCTION("""COMPUTED_VALUE"""),"Credit Card")</f>
        <v>Credit Card</v>
      </c>
      <c r="J647" s="14" t="str">
        <f>IFERROR(__xludf.DUMMYFUNCTION("""COMPUTED_VALUE"""),"Cancelled*App Glitches: Inconsistent Data Display")</f>
        <v>Cancelled*App Glitches: Inconsistent Data Display</v>
      </c>
      <c r="K647" s="14" t="str">
        <f>IFERROR(__xludf.DUMMYFUNCTION("split(E647,""+"")"),"Apple")</f>
        <v>Apple</v>
      </c>
      <c r="L647" s="14" t="str">
        <f>IFERROR(__xludf.DUMMYFUNCTION("""COMPUTED_VALUE"""),"2*Not Assigned")</f>
        <v>2*Not Assigned</v>
      </c>
      <c r="M647" s="14">
        <f>IFERROR(__xludf.DUMMYFUNCTION("SPLIT(L647,""*"")"),2.0)</f>
        <v>2</v>
      </c>
      <c r="N647" s="14" t="str">
        <f>IFERROR(__xludf.DUMMYFUNCTION("""COMPUTED_VALUE"""),"Not Assigned")</f>
        <v>Not Assigned</v>
      </c>
      <c r="O647" s="14" t="str">
        <f>IFERROR(__xludf.DUMMYFUNCTION("split(J647,""*"")"),"Cancelled")</f>
        <v>Cancelled</v>
      </c>
      <c r="P647" s="14" t="str">
        <f>IFERROR(__xludf.DUMMYFUNCTION("""COMPUTED_VALUE"""),"App Glitches: Inconsistent Data Display")</f>
        <v>App Glitches: Inconsistent Data Display</v>
      </c>
      <c r="Q647" s="14" t="str">
        <f>IFERROR(__xludf.DUMMYFUNCTION("split(P647,"":"")"),"App Glitches")</f>
        <v>App Glitches</v>
      </c>
      <c r="R647" s="14" t="str">
        <f>IFERROR(__xludf.DUMMYFUNCTION("""COMPUTED_VALUE""")," Inconsistent Data Display")</f>
        <v> Inconsistent Data Display</v>
      </c>
      <c r="S647" s="14" t="str">
        <f t="shared" ref="S647:U647" si="1297">trim(B647)</f>
        <v>ord_10638</v>
      </c>
      <c r="T647" s="14" t="str">
        <f t="shared" si="1297"/>
        <v>Mehul Thakkar</v>
      </c>
      <c r="U647" s="14" t="str">
        <f t="shared" si="1297"/>
        <v>Malad</v>
      </c>
      <c r="V647" s="14" t="str">
        <f t="shared" si="4"/>
        <v>Apple</v>
      </c>
      <c r="W647" s="14">
        <f t="shared" si="5"/>
        <v>2</v>
      </c>
      <c r="X647" s="14" t="str">
        <f t="shared" si="6"/>
        <v>Not Assigned</v>
      </c>
      <c r="Y647" s="15">
        <f t="shared" si="7"/>
        <v>45241</v>
      </c>
      <c r="Z647" s="14" t="str">
        <f t="shared" si="8"/>
        <v>Credit Card</v>
      </c>
      <c r="AA647" s="14" t="str">
        <f t="shared" si="9"/>
        <v>Cancelled</v>
      </c>
      <c r="AB647" s="14" t="str">
        <f t="shared" ref="AB647:AC647" si="1298">trim(Q647)</f>
        <v>App Glitches</v>
      </c>
      <c r="AC647" s="14" t="str">
        <f t="shared" si="1298"/>
        <v>Inconsistent Data Display</v>
      </c>
      <c r="AD647" s="8"/>
    </row>
    <row r="648">
      <c r="A648" s="14" t="str">
        <f>IFERROR(__xludf.DUMMYFUNCTION("""COMPUTED_VALUE"""),"//ord_10639//Diya Arora//Lower Parel//Chilli Cheese Toast+1*Shine Thomas/7/13/2023//COD//Delivered*Convenience: Easy tracking")</f>
        <v>//ord_10639//Diya Arora//Lower Parel//Chilli Cheese Toast+1*Shine Thomas/7/13/2023//COD//Delivered*Convenience: Easy tracking</v>
      </c>
      <c r="B648" s="14" t="str">
        <f>IFERROR(__xludf.DUMMYFUNCTION("split(A648,""//"")"),"ord_10639")</f>
        <v>ord_10639</v>
      </c>
      <c r="C648" s="14" t="str">
        <f>IFERROR(__xludf.DUMMYFUNCTION("""COMPUTED_VALUE"""),"Diya Arora")</f>
        <v>Diya Arora</v>
      </c>
      <c r="D648" s="14" t="str">
        <f>IFERROR(__xludf.DUMMYFUNCTION("""COMPUTED_VALUE"""),"Lower Parel")</f>
        <v>Lower Parel</v>
      </c>
      <c r="E648" s="14" t="str">
        <f>IFERROR(__xludf.DUMMYFUNCTION("""COMPUTED_VALUE"""),"Chilli Cheese Toast+1*Shine Thomas")</f>
        <v>Chilli Cheese Toast+1*Shine Thomas</v>
      </c>
      <c r="F648" s="14">
        <f>IFERROR(__xludf.DUMMYFUNCTION("""COMPUTED_VALUE"""),7.0)</f>
        <v>7</v>
      </c>
      <c r="G648" s="14">
        <f>IFERROR(__xludf.DUMMYFUNCTION("""COMPUTED_VALUE"""),13.0)</f>
        <v>13</v>
      </c>
      <c r="H648" s="14">
        <f>IFERROR(__xludf.DUMMYFUNCTION("""COMPUTED_VALUE"""),2023.0)</f>
        <v>2023</v>
      </c>
      <c r="I648" s="14" t="str">
        <f>IFERROR(__xludf.DUMMYFUNCTION("""COMPUTED_VALUE"""),"COD")</f>
        <v>COD</v>
      </c>
      <c r="J648" s="14" t="str">
        <f>IFERROR(__xludf.DUMMYFUNCTION("""COMPUTED_VALUE"""),"Delivered*Convenience: Easy tracking")</f>
        <v>Delivered*Convenience: Easy tracking</v>
      </c>
      <c r="K648" s="14" t="str">
        <f>IFERROR(__xludf.DUMMYFUNCTION("split(E648,""+"")"),"Chilli Cheese Toast")</f>
        <v>Chilli Cheese Toast</v>
      </c>
      <c r="L648" s="14" t="str">
        <f>IFERROR(__xludf.DUMMYFUNCTION("""COMPUTED_VALUE"""),"1*Shine Thomas")</f>
        <v>1*Shine Thomas</v>
      </c>
      <c r="M648" s="14">
        <f>IFERROR(__xludf.DUMMYFUNCTION("SPLIT(L648,""*"")"),1.0)</f>
        <v>1</v>
      </c>
      <c r="N648" s="14" t="str">
        <f>IFERROR(__xludf.DUMMYFUNCTION("""COMPUTED_VALUE"""),"Shine Thomas")</f>
        <v>Shine Thomas</v>
      </c>
      <c r="O648" s="14" t="str">
        <f>IFERROR(__xludf.DUMMYFUNCTION("split(J648,""*"")"),"Delivered")</f>
        <v>Delivered</v>
      </c>
      <c r="P648" s="14" t="str">
        <f>IFERROR(__xludf.DUMMYFUNCTION("""COMPUTED_VALUE"""),"Convenience: Easy tracking")</f>
        <v>Convenience: Easy tracking</v>
      </c>
      <c r="Q648" s="14" t="str">
        <f>IFERROR(__xludf.DUMMYFUNCTION("split(P648,"":"")"),"Convenience")</f>
        <v>Convenience</v>
      </c>
      <c r="R648" s="14" t="str">
        <f>IFERROR(__xludf.DUMMYFUNCTION("""COMPUTED_VALUE""")," Easy tracking")</f>
        <v> Easy tracking</v>
      </c>
      <c r="S648" s="14" t="str">
        <f t="shared" ref="S648:U648" si="1299">trim(B648)</f>
        <v>ord_10639</v>
      </c>
      <c r="T648" s="14" t="str">
        <f t="shared" si="1299"/>
        <v>Diya Arora</v>
      </c>
      <c r="U648" s="14" t="str">
        <f t="shared" si="1299"/>
        <v>Lower Parel</v>
      </c>
      <c r="V648" s="14" t="str">
        <f t="shared" si="4"/>
        <v>Chilli Cheese Toast</v>
      </c>
      <c r="W648" s="14">
        <f t="shared" si="5"/>
        <v>1</v>
      </c>
      <c r="X648" s="14" t="str">
        <f t="shared" si="6"/>
        <v>Shine Thomas</v>
      </c>
      <c r="Y648" s="15">
        <f t="shared" si="7"/>
        <v>45120</v>
      </c>
      <c r="Z648" s="14" t="str">
        <f t="shared" si="8"/>
        <v>COD</v>
      </c>
      <c r="AA648" s="14" t="str">
        <f t="shared" si="9"/>
        <v>Delivered</v>
      </c>
      <c r="AB648" s="14" t="str">
        <f t="shared" ref="AB648:AC648" si="1300">trim(Q648)</f>
        <v>Convenience</v>
      </c>
      <c r="AC648" s="14" t="str">
        <f t="shared" si="1300"/>
        <v>Easy tracking</v>
      </c>
      <c r="AD648" s="8"/>
    </row>
    <row r="649">
      <c r="A649" s="14" t="str">
        <f>IFERROR(__xludf.DUMMYFUNCTION("""COMPUTED_VALUE"""),"//ord_10640//Siya Reddy//Juhu//Rasmalai+3*Not Assigned/1/13/2023//UPI//Cancelled*High Delivery Fees")</f>
        <v>//ord_10640//Siya Reddy//Juhu//Rasmalai+3*Not Assigned/1/13/2023//UPI//Cancelled*High Delivery Fees</v>
      </c>
      <c r="B649" s="14" t="str">
        <f>IFERROR(__xludf.DUMMYFUNCTION("split(A649,""//"")"),"ord_10640")</f>
        <v>ord_10640</v>
      </c>
      <c r="C649" s="14" t="str">
        <f>IFERROR(__xludf.DUMMYFUNCTION("""COMPUTED_VALUE"""),"Siya Reddy")</f>
        <v>Siya Reddy</v>
      </c>
      <c r="D649" s="14" t="str">
        <f>IFERROR(__xludf.DUMMYFUNCTION("""COMPUTED_VALUE"""),"Juhu")</f>
        <v>Juhu</v>
      </c>
      <c r="E649" s="14" t="str">
        <f>IFERROR(__xludf.DUMMYFUNCTION("""COMPUTED_VALUE"""),"Rasmalai+3*Not Assigned")</f>
        <v>Rasmalai+3*Not Assigned</v>
      </c>
      <c r="F649" s="14">
        <f>IFERROR(__xludf.DUMMYFUNCTION("""COMPUTED_VALUE"""),1.0)</f>
        <v>1</v>
      </c>
      <c r="G649" s="14">
        <f>IFERROR(__xludf.DUMMYFUNCTION("""COMPUTED_VALUE"""),13.0)</f>
        <v>13</v>
      </c>
      <c r="H649" s="14">
        <f>IFERROR(__xludf.DUMMYFUNCTION("""COMPUTED_VALUE"""),2023.0)</f>
        <v>2023</v>
      </c>
      <c r="I649" s="14" t="str">
        <f>IFERROR(__xludf.DUMMYFUNCTION("""COMPUTED_VALUE"""),"UPI")</f>
        <v>UPI</v>
      </c>
      <c r="J649" s="14" t="str">
        <f>IFERROR(__xludf.DUMMYFUNCTION("""COMPUTED_VALUE"""),"Cancelled*High Delivery Fees")</f>
        <v>Cancelled*High Delivery Fees</v>
      </c>
      <c r="K649" s="14" t="str">
        <f>IFERROR(__xludf.DUMMYFUNCTION("split(E649,""+"")"),"Rasmalai")</f>
        <v>Rasmalai</v>
      </c>
      <c r="L649" s="14" t="str">
        <f>IFERROR(__xludf.DUMMYFUNCTION("""COMPUTED_VALUE"""),"3*Not Assigned")</f>
        <v>3*Not Assigned</v>
      </c>
      <c r="M649" s="14">
        <f>IFERROR(__xludf.DUMMYFUNCTION("SPLIT(L649,""*"")"),3.0)</f>
        <v>3</v>
      </c>
      <c r="N649" s="14" t="str">
        <f>IFERROR(__xludf.DUMMYFUNCTION("""COMPUTED_VALUE"""),"Not Assigned")</f>
        <v>Not Assigned</v>
      </c>
      <c r="O649" s="14" t="str">
        <f>IFERROR(__xludf.DUMMYFUNCTION("split(J649,""*"")"),"Cancelled")</f>
        <v>Cancelled</v>
      </c>
      <c r="P649" s="14" t="str">
        <f>IFERROR(__xludf.DUMMYFUNCTION("""COMPUTED_VALUE"""),"High Delivery Fees")</f>
        <v>High Delivery Fees</v>
      </c>
      <c r="Q649" s="14" t="str">
        <f>IFERROR(__xludf.DUMMYFUNCTION("split(P649,"":"")"),"High Delivery Fees")</f>
        <v>High Delivery Fees</v>
      </c>
      <c r="R649" s="14"/>
      <c r="S649" s="14" t="str">
        <f t="shared" ref="S649:U649" si="1301">trim(B649)</f>
        <v>ord_10640</v>
      </c>
      <c r="T649" s="14" t="str">
        <f t="shared" si="1301"/>
        <v>Siya Reddy</v>
      </c>
      <c r="U649" s="14" t="str">
        <f t="shared" si="1301"/>
        <v>Juhu</v>
      </c>
      <c r="V649" s="14" t="str">
        <f t="shared" si="4"/>
        <v>Rasmalai</v>
      </c>
      <c r="W649" s="14">
        <f t="shared" si="5"/>
        <v>3</v>
      </c>
      <c r="X649" s="14" t="str">
        <f t="shared" si="6"/>
        <v>Not Assigned</v>
      </c>
      <c r="Y649" s="15">
        <f t="shared" si="7"/>
        <v>44939</v>
      </c>
      <c r="Z649" s="14" t="str">
        <f t="shared" si="8"/>
        <v>UPI</v>
      </c>
      <c r="AA649" s="14" t="str">
        <f t="shared" si="9"/>
        <v>Cancelled</v>
      </c>
      <c r="AB649" s="14" t="str">
        <f t="shared" ref="AB649:AC649" si="1302">trim(Q649)</f>
        <v>High Delivery Fees</v>
      </c>
      <c r="AC649" s="14" t="str">
        <f t="shared" si="1302"/>
        <v/>
      </c>
      <c r="AD649" s="8"/>
    </row>
    <row r="650">
      <c r="A650" s="14" t="str">
        <f>IFERROR(__xludf.DUMMYFUNCTION("""COMPUTED_VALUE"""),"//ord_10641//Pallavi Ghosh//Bandra//Apple+2*Ramesh S/11/29/2023//Credit Card//Delivered*Overall Satisfaction: Great service will order again")</f>
        <v>//ord_10641//Pallavi Ghosh//Bandra//Apple+2*Ramesh S/11/29/2023//Credit Card//Delivered*Overall Satisfaction: Great service will order again</v>
      </c>
      <c r="B650" s="14" t="str">
        <f>IFERROR(__xludf.DUMMYFUNCTION("split(A650,""//"")"),"ord_10641")</f>
        <v>ord_10641</v>
      </c>
      <c r="C650" s="14" t="str">
        <f>IFERROR(__xludf.DUMMYFUNCTION("""COMPUTED_VALUE"""),"Pallavi Ghosh")</f>
        <v>Pallavi Ghosh</v>
      </c>
      <c r="D650" s="14" t="str">
        <f>IFERROR(__xludf.DUMMYFUNCTION("""COMPUTED_VALUE"""),"Bandra")</f>
        <v>Bandra</v>
      </c>
      <c r="E650" s="14" t="str">
        <f>IFERROR(__xludf.DUMMYFUNCTION("""COMPUTED_VALUE"""),"Apple+2*Ramesh S")</f>
        <v>Apple+2*Ramesh S</v>
      </c>
      <c r="F650" s="14">
        <f>IFERROR(__xludf.DUMMYFUNCTION("""COMPUTED_VALUE"""),11.0)</f>
        <v>11</v>
      </c>
      <c r="G650" s="14">
        <f>IFERROR(__xludf.DUMMYFUNCTION("""COMPUTED_VALUE"""),29.0)</f>
        <v>29</v>
      </c>
      <c r="H650" s="14">
        <f>IFERROR(__xludf.DUMMYFUNCTION("""COMPUTED_VALUE"""),2023.0)</f>
        <v>2023</v>
      </c>
      <c r="I650" s="14" t="str">
        <f>IFERROR(__xludf.DUMMYFUNCTION("""COMPUTED_VALUE"""),"Credit Card")</f>
        <v>Credit Card</v>
      </c>
      <c r="J650" s="14" t="str">
        <f>IFERROR(__xludf.DUMMYFUNCTION("""COMPUTED_VALUE"""),"Delivered*Overall Satisfaction: Great service will order again")</f>
        <v>Delivered*Overall Satisfaction: Great service will order again</v>
      </c>
      <c r="K650" s="14" t="str">
        <f>IFERROR(__xludf.DUMMYFUNCTION("split(E650,""+"")"),"Apple")</f>
        <v>Apple</v>
      </c>
      <c r="L650" s="14" t="str">
        <f>IFERROR(__xludf.DUMMYFUNCTION("""COMPUTED_VALUE"""),"2*Ramesh S")</f>
        <v>2*Ramesh S</v>
      </c>
      <c r="M650" s="14">
        <f>IFERROR(__xludf.DUMMYFUNCTION("SPLIT(L650,""*"")"),2.0)</f>
        <v>2</v>
      </c>
      <c r="N650" s="14" t="str">
        <f>IFERROR(__xludf.DUMMYFUNCTION("""COMPUTED_VALUE"""),"Ramesh S")</f>
        <v>Ramesh S</v>
      </c>
      <c r="O650" s="14" t="str">
        <f>IFERROR(__xludf.DUMMYFUNCTION("split(J650,""*"")"),"Delivered")</f>
        <v>Delivered</v>
      </c>
      <c r="P650" s="14" t="str">
        <f>IFERROR(__xludf.DUMMYFUNCTION("""COMPUTED_VALUE"""),"Overall Satisfaction: Great service will order again")</f>
        <v>Overall Satisfaction: Great service will order again</v>
      </c>
      <c r="Q650" s="14" t="str">
        <f>IFERROR(__xludf.DUMMYFUNCTION("split(P650,"":"")"),"Overall Satisfaction")</f>
        <v>Overall Satisfaction</v>
      </c>
      <c r="R650" s="14" t="str">
        <f>IFERROR(__xludf.DUMMYFUNCTION("""COMPUTED_VALUE""")," Great service will order again")</f>
        <v> Great service will order again</v>
      </c>
      <c r="S650" s="14" t="str">
        <f t="shared" ref="S650:U650" si="1303">trim(B650)</f>
        <v>ord_10641</v>
      </c>
      <c r="T650" s="14" t="str">
        <f t="shared" si="1303"/>
        <v>Pallavi Ghosh</v>
      </c>
      <c r="U650" s="14" t="str">
        <f t="shared" si="1303"/>
        <v>Bandra</v>
      </c>
      <c r="V650" s="14" t="str">
        <f t="shared" si="4"/>
        <v>Apple</v>
      </c>
      <c r="W650" s="14">
        <f t="shared" si="5"/>
        <v>2</v>
      </c>
      <c r="X650" s="14" t="str">
        <f t="shared" si="6"/>
        <v>Ramesh S</v>
      </c>
      <c r="Y650" s="15">
        <f t="shared" si="7"/>
        <v>45259</v>
      </c>
      <c r="Z650" s="14" t="str">
        <f t="shared" si="8"/>
        <v>Credit Card</v>
      </c>
      <c r="AA650" s="14" t="str">
        <f t="shared" si="9"/>
        <v>Delivered</v>
      </c>
      <c r="AB650" s="14" t="str">
        <f t="shared" ref="AB650:AC650" si="1304">trim(Q650)</f>
        <v>Overall Satisfaction</v>
      </c>
      <c r="AC650" s="14" t="str">
        <f t="shared" si="1304"/>
        <v>Great service will order again</v>
      </c>
      <c r="AD650" s="8"/>
    </row>
    <row r="651">
      <c r="A651" s="14" t="str">
        <f>IFERROR(__xludf.DUMMYFUNCTION("""COMPUTED_VALUE"""),"//ord_10642//Kritika Shetty//Malad//Rasmalai+5*Vivek Kumar/8/28/2023//UPI//Delivered*On-time Delivery: Delivered on time")</f>
        <v>//ord_10642//Kritika Shetty//Malad//Rasmalai+5*Vivek Kumar/8/28/2023//UPI//Delivered*On-time Delivery: Delivered on time</v>
      </c>
      <c r="B651" s="14" t="str">
        <f>IFERROR(__xludf.DUMMYFUNCTION("split(A651,""//"")"),"ord_10642")</f>
        <v>ord_10642</v>
      </c>
      <c r="C651" s="14" t="str">
        <f>IFERROR(__xludf.DUMMYFUNCTION("""COMPUTED_VALUE"""),"Kritika Shetty")</f>
        <v>Kritika Shetty</v>
      </c>
      <c r="D651" s="14" t="str">
        <f>IFERROR(__xludf.DUMMYFUNCTION("""COMPUTED_VALUE"""),"Malad")</f>
        <v>Malad</v>
      </c>
      <c r="E651" s="14" t="str">
        <f>IFERROR(__xludf.DUMMYFUNCTION("""COMPUTED_VALUE"""),"Rasmalai+5*Vivek Kumar")</f>
        <v>Rasmalai+5*Vivek Kumar</v>
      </c>
      <c r="F651" s="14">
        <f>IFERROR(__xludf.DUMMYFUNCTION("""COMPUTED_VALUE"""),8.0)</f>
        <v>8</v>
      </c>
      <c r="G651" s="14">
        <f>IFERROR(__xludf.DUMMYFUNCTION("""COMPUTED_VALUE"""),28.0)</f>
        <v>28</v>
      </c>
      <c r="H651" s="14">
        <f>IFERROR(__xludf.DUMMYFUNCTION("""COMPUTED_VALUE"""),2023.0)</f>
        <v>2023</v>
      </c>
      <c r="I651" s="14" t="str">
        <f>IFERROR(__xludf.DUMMYFUNCTION("""COMPUTED_VALUE"""),"UPI")</f>
        <v>UPI</v>
      </c>
      <c r="J651" s="14" t="str">
        <f>IFERROR(__xludf.DUMMYFUNCTION("""COMPUTED_VALUE"""),"Delivered*On-time Delivery: Delivered on time")</f>
        <v>Delivered*On-time Delivery: Delivered on time</v>
      </c>
      <c r="K651" s="14" t="str">
        <f>IFERROR(__xludf.DUMMYFUNCTION("split(E651,""+"")"),"Rasmalai")</f>
        <v>Rasmalai</v>
      </c>
      <c r="L651" s="14" t="str">
        <f>IFERROR(__xludf.DUMMYFUNCTION("""COMPUTED_VALUE"""),"5*Vivek Kumar")</f>
        <v>5*Vivek Kumar</v>
      </c>
      <c r="M651" s="14">
        <f>IFERROR(__xludf.DUMMYFUNCTION("SPLIT(L651,""*"")"),5.0)</f>
        <v>5</v>
      </c>
      <c r="N651" s="14" t="str">
        <f>IFERROR(__xludf.DUMMYFUNCTION("""COMPUTED_VALUE"""),"Vivek Kumar")</f>
        <v>Vivek Kumar</v>
      </c>
      <c r="O651" s="14" t="str">
        <f>IFERROR(__xludf.DUMMYFUNCTION("split(J651,""*"")"),"Delivered")</f>
        <v>Delivered</v>
      </c>
      <c r="P651" s="14" t="str">
        <f>IFERROR(__xludf.DUMMYFUNCTION("""COMPUTED_VALUE"""),"On-time Delivery: Delivered on time")</f>
        <v>On-time Delivery: Delivered on time</v>
      </c>
      <c r="Q651" s="14" t="str">
        <f>IFERROR(__xludf.DUMMYFUNCTION("split(P651,"":"")"),"On-time Delivery")</f>
        <v>On-time Delivery</v>
      </c>
      <c r="R651" s="14" t="str">
        <f>IFERROR(__xludf.DUMMYFUNCTION("""COMPUTED_VALUE""")," Delivered on time")</f>
        <v> Delivered on time</v>
      </c>
      <c r="S651" s="14" t="str">
        <f t="shared" ref="S651:U651" si="1305">trim(B651)</f>
        <v>ord_10642</v>
      </c>
      <c r="T651" s="14" t="str">
        <f t="shared" si="1305"/>
        <v>Kritika Shetty</v>
      </c>
      <c r="U651" s="14" t="str">
        <f t="shared" si="1305"/>
        <v>Malad</v>
      </c>
      <c r="V651" s="14" t="str">
        <f t="shared" si="4"/>
        <v>Rasmalai</v>
      </c>
      <c r="W651" s="14">
        <f t="shared" si="5"/>
        <v>5</v>
      </c>
      <c r="X651" s="14" t="str">
        <f t="shared" si="6"/>
        <v>Vivek Kumar</v>
      </c>
      <c r="Y651" s="15">
        <f t="shared" si="7"/>
        <v>45166</v>
      </c>
      <c r="Z651" s="14" t="str">
        <f t="shared" si="8"/>
        <v>UPI</v>
      </c>
      <c r="AA651" s="14" t="str">
        <f t="shared" si="9"/>
        <v>Delivered</v>
      </c>
      <c r="AB651" s="14" t="str">
        <f t="shared" ref="AB651:AC651" si="1306">trim(Q651)</f>
        <v>On-time Delivery</v>
      </c>
      <c r="AC651" s="14" t="str">
        <f t="shared" si="1306"/>
        <v>Delivered on time</v>
      </c>
      <c r="AD651" s="8"/>
    </row>
    <row r="652">
      <c r="A652" s="14" t="str">
        <f>IFERROR(__xludf.DUMMYFUNCTION("""COMPUTED_VALUE"""),"//ord_10643//Ishita Banerjee//Juhu//Chocolate Mousse+1*Not Assigned/3/28/2023//Credit Card//Cancelled*App Glitches:Slow Loading Time")</f>
        <v>//ord_10643//Ishita Banerjee//Juhu//Chocolate Mousse+1*Not Assigned/3/28/2023//Credit Card//Cancelled*App Glitches:Slow Loading Time</v>
      </c>
      <c r="B652" s="14" t="str">
        <f>IFERROR(__xludf.DUMMYFUNCTION("split(A652,""//"")"),"ord_10643")</f>
        <v>ord_10643</v>
      </c>
      <c r="C652" s="14" t="str">
        <f>IFERROR(__xludf.DUMMYFUNCTION("""COMPUTED_VALUE"""),"Ishita Banerjee")</f>
        <v>Ishita Banerjee</v>
      </c>
      <c r="D652" s="14" t="str">
        <f>IFERROR(__xludf.DUMMYFUNCTION("""COMPUTED_VALUE"""),"Juhu")</f>
        <v>Juhu</v>
      </c>
      <c r="E652" s="14" t="str">
        <f>IFERROR(__xludf.DUMMYFUNCTION("""COMPUTED_VALUE"""),"Chocolate Mousse+1*Not Assigned")</f>
        <v>Chocolate Mousse+1*Not Assigned</v>
      </c>
      <c r="F652" s="14">
        <f>IFERROR(__xludf.DUMMYFUNCTION("""COMPUTED_VALUE"""),3.0)</f>
        <v>3</v>
      </c>
      <c r="G652" s="14">
        <f>IFERROR(__xludf.DUMMYFUNCTION("""COMPUTED_VALUE"""),28.0)</f>
        <v>28</v>
      </c>
      <c r="H652" s="14">
        <f>IFERROR(__xludf.DUMMYFUNCTION("""COMPUTED_VALUE"""),2023.0)</f>
        <v>2023</v>
      </c>
      <c r="I652" s="14" t="str">
        <f>IFERROR(__xludf.DUMMYFUNCTION("""COMPUTED_VALUE"""),"Credit Card")</f>
        <v>Credit Card</v>
      </c>
      <c r="J652" s="14" t="str">
        <f>IFERROR(__xludf.DUMMYFUNCTION("""COMPUTED_VALUE"""),"Cancelled*App Glitches:Slow Loading Time")</f>
        <v>Cancelled*App Glitches:Slow Loading Time</v>
      </c>
      <c r="K652" s="14" t="str">
        <f>IFERROR(__xludf.DUMMYFUNCTION("split(E652,""+"")"),"Chocolate Mousse")</f>
        <v>Chocolate Mousse</v>
      </c>
      <c r="L652" s="14" t="str">
        <f>IFERROR(__xludf.DUMMYFUNCTION("""COMPUTED_VALUE"""),"1*Not Assigned")</f>
        <v>1*Not Assigned</v>
      </c>
      <c r="M652" s="14">
        <f>IFERROR(__xludf.DUMMYFUNCTION("SPLIT(L652,""*"")"),1.0)</f>
        <v>1</v>
      </c>
      <c r="N652" s="14" t="str">
        <f>IFERROR(__xludf.DUMMYFUNCTION("""COMPUTED_VALUE"""),"Not Assigned")</f>
        <v>Not Assigned</v>
      </c>
      <c r="O652" s="14" t="str">
        <f>IFERROR(__xludf.DUMMYFUNCTION("split(J652,""*"")"),"Cancelled")</f>
        <v>Cancelled</v>
      </c>
      <c r="P652" s="14" t="str">
        <f>IFERROR(__xludf.DUMMYFUNCTION("""COMPUTED_VALUE"""),"App Glitches:Slow Loading Time")</f>
        <v>App Glitches:Slow Loading Time</v>
      </c>
      <c r="Q652" s="14" t="str">
        <f>IFERROR(__xludf.DUMMYFUNCTION("split(P652,"":"")"),"App Glitches")</f>
        <v>App Glitches</v>
      </c>
      <c r="R652" s="14" t="str">
        <f>IFERROR(__xludf.DUMMYFUNCTION("""COMPUTED_VALUE"""),"Slow Loading Time")</f>
        <v>Slow Loading Time</v>
      </c>
      <c r="S652" s="14" t="str">
        <f t="shared" ref="S652:U652" si="1307">trim(B652)</f>
        <v>ord_10643</v>
      </c>
      <c r="T652" s="14" t="str">
        <f t="shared" si="1307"/>
        <v>Ishita Banerjee</v>
      </c>
      <c r="U652" s="14" t="str">
        <f t="shared" si="1307"/>
        <v>Juhu</v>
      </c>
      <c r="V652" s="14" t="str">
        <f t="shared" si="4"/>
        <v>Chocolate Mousse</v>
      </c>
      <c r="W652" s="14">
        <f t="shared" si="5"/>
        <v>1</v>
      </c>
      <c r="X652" s="14" t="str">
        <f t="shared" si="6"/>
        <v>Not Assigned</v>
      </c>
      <c r="Y652" s="15">
        <f t="shared" si="7"/>
        <v>45013</v>
      </c>
      <c r="Z652" s="14" t="str">
        <f t="shared" si="8"/>
        <v>Credit Card</v>
      </c>
      <c r="AA652" s="14" t="str">
        <f t="shared" si="9"/>
        <v>Cancelled</v>
      </c>
      <c r="AB652" s="14" t="str">
        <f t="shared" ref="AB652:AC652" si="1308">trim(Q652)</f>
        <v>App Glitches</v>
      </c>
      <c r="AC652" s="14" t="str">
        <f t="shared" si="1308"/>
        <v>Slow Loading Time</v>
      </c>
      <c r="AD652" s="8"/>
    </row>
    <row r="653">
      <c r="A653" s="14" t="str">
        <f>IFERROR(__xludf.DUMMYFUNCTION("""COMPUTED_VALUE"""),"//ord_10644//Mehul Thakkar//Malad//Sweet Corn+1*Ramesh S/5/15/2023//UPI//Delivered*Quality of Items: Perfect condition")</f>
        <v>//ord_10644//Mehul Thakkar//Malad//Sweet Corn+1*Ramesh S/5/15/2023//UPI//Delivered*Quality of Items: Perfect condition</v>
      </c>
      <c r="B653" s="14" t="str">
        <f>IFERROR(__xludf.DUMMYFUNCTION("split(A653,""//"")"),"ord_10644")</f>
        <v>ord_10644</v>
      </c>
      <c r="C653" s="14" t="str">
        <f>IFERROR(__xludf.DUMMYFUNCTION("""COMPUTED_VALUE"""),"Mehul Thakkar")</f>
        <v>Mehul Thakkar</v>
      </c>
      <c r="D653" s="14" t="str">
        <f>IFERROR(__xludf.DUMMYFUNCTION("""COMPUTED_VALUE"""),"Malad")</f>
        <v>Malad</v>
      </c>
      <c r="E653" s="14" t="str">
        <f>IFERROR(__xludf.DUMMYFUNCTION("""COMPUTED_VALUE"""),"Sweet Corn+1*Ramesh S")</f>
        <v>Sweet Corn+1*Ramesh S</v>
      </c>
      <c r="F653" s="14">
        <f>IFERROR(__xludf.DUMMYFUNCTION("""COMPUTED_VALUE"""),5.0)</f>
        <v>5</v>
      </c>
      <c r="G653" s="14">
        <f>IFERROR(__xludf.DUMMYFUNCTION("""COMPUTED_VALUE"""),15.0)</f>
        <v>15</v>
      </c>
      <c r="H653" s="14">
        <f>IFERROR(__xludf.DUMMYFUNCTION("""COMPUTED_VALUE"""),2023.0)</f>
        <v>2023</v>
      </c>
      <c r="I653" s="14" t="str">
        <f>IFERROR(__xludf.DUMMYFUNCTION("""COMPUTED_VALUE"""),"UPI")</f>
        <v>UPI</v>
      </c>
      <c r="J653" s="14" t="str">
        <f>IFERROR(__xludf.DUMMYFUNCTION("""COMPUTED_VALUE"""),"Delivered*Quality of Items: Perfect condition")</f>
        <v>Delivered*Quality of Items: Perfect condition</v>
      </c>
      <c r="K653" s="14" t="str">
        <f>IFERROR(__xludf.DUMMYFUNCTION("split(E653,""+"")"),"Sweet Corn")</f>
        <v>Sweet Corn</v>
      </c>
      <c r="L653" s="14" t="str">
        <f>IFERROR(__xludf.DUMMYFUNCTION("""COMPUTED_VALUE"""),"1*Ramesh S")</f>
        <v>1*Ramesh S</v>
      </c>
      <c r="M653" s="14">
        <f>IFERROR(__xludf.DUMMYFUNCTION("SPLIT(L653,""*"")"),1.0)</f>
        <v>1</v>
      </c>
      <c r="N653" s="14" t="str">
        <f>IFERROR(__xludf.DUMMYFUNCTION("""COMPUTED_VALUE"""),"Ramesh S")</f>
        <v>Ramesh S</v>
      </c>
      <c r="O653" s="14" t="str">
        <f>IFERROR(__xludf.DUMMYFUNCTION("split(J653,""*"")"),"Delivered")</f>
        <v>Delivered</v>
      </c>
      <c r="P653" s="14" t="str">
        <f>IFERROR(__xludf.DUMMYFUNCTION("""COMPUTED_VALUE"""),"Quality of Items: Perfect condition")</f>
        <v>Quality of Items: Perfect condition</v>
      </c>
      <c r="Q653" s="14" t="str">
        <f>IFERROR(__xludf.DUMMYFUNCTION("split(P653,"":"")"),"Quality of Items")</f>
        <v>Quality of Items</v>
      </c>
      <c r="R653" s="14" t="str">
        <f>IFERROR(__xludf.DUMMYFUNCTION("""COMPUTED_VALUE""")," Perfect condition")</f>
        <v> Perfect condition</v>
      </c>
      <c r="S653" s="14" t="str">
        <f t="shared" ref="S653:U653" si="1309">trim(B653)</f>
        <v>ord_10644</v>
      </c>
      <c r="T653" s="14" t="str">
        <f t="shared" si="1309"/>
        <v>Mehul Thakkar</v>
      </c>
      <c r="U653" s="14" t="str">
        <f t="shared" si="1309"/>
        <v>Malad</v>
      </c>
      <c r="V653" s="14" t="str">
        <f t="shared" si="4"/>
        <v>Sweet Corn</v>
      </c>
      <c r="W653" s="14">
        <f t="shared" si="5"/>
        <v>1</v>
      </c>
      <c r="X653" s="14" t="str">
        <f t="shared" si="6"/>
        <v>Ramesh S</v>
      </c>
      <c r="Y653" s="15">
        <f t="shared" si="7"/>
        <v>45061</v>
      </c>
      <c r="Z653" s="14" t="str">
        <f t="shared" si="8"/>
        <v>UPI</v>
      </c>
      <c r="AA653" s="14" t="str">
        <f t="shared" si="9"/>
        <v>Delivered</v>
      </c>
      <c r="AB653" s="14" t="str">
        <f t="shared" ref="AB653:AC653" si="1310">trim(Q653)</f>
        <v>Quality of Items</v>
      </c>
      <c r="AC653" s="14" t="str">
        <f t="shared" si="1310"/>
        <v>Perfect condition</v>
      </c>
      <c r="AD653" s="8"/>
    </row>
    <row r="654">
      <c r="A654" s="14" t="str">
        <f>IFERROR(__xludf.DUMMYFUNCTION("""COMPUTED_VALUE"""),"//ord_10645//Mohit Malhotra//Lower Parel//Rasmalai+4*Shine Thomas/7/13/2023//Credit Card//Delivered*On-time Delivery: Delivered on time")</f>
        <v>//ord_10645//Mohit Malhotra//Lower Parel//Rasmalai+4*Shine Thomas/7/13/2023//Credit Card//Delivered*On-time Delivery: Delivered on time</v>
      </c>
      <c r="B654" s="14" t="str">
        <f>IFERROR(__xludf.DUMMYFUNCTION("split(A654,""//"")"),"ord_10645")</f>
        <v>ord_10645</v>
      </c>
      <c r="C654" s="14" t="str">
        <f>IFERROR(__xludf.DUMMYFUNCTION("""COMPUTED_VALUE"""),"Mohit Malhotra")</f>
        <v>Mohit Malhotra</v>
      </c>
      <c r="D654" s="14" t="str">
        <f>IFERROR(__xludf.DUMMYFUNCTION("""COMPUTED_VALUE"""),"Lower Parel")</f>
        <v>Lower Parel</v>
      </c>
      <c r="E654" s="14" t="str">
        <f>IFERROR(__xludf.DUMMYFUNCTION("""COMPUTED_VALUE"""),"Rasmalai+4*Shine Thomas")</f>
        <v>Rasmalai+4*Shine Thomas</v>
      </c>
      <c r="F654" s="14">
        <f>IFERROR(__xludf.DUMMYFUNCTION("""COMPUTED_VALUE"""),7.0)</f>
        <v>7</v>
      </c>
      <c r="G654" s="14">
        <f>IFERROR(__xludf.DUMMYFUNCTION("""COMPUTED_VALUE"""),13.0)</f>
        <v>13</v>
      </c>
      <c r="H654" s="14">
        <f>IFERROR(__xludf.DUMMYFUNCTION("""COMPUTED_VALUE"""),2023.0)</f>
        <v>2023</v>
      </c>
      <c r="I654" s="14" t="str">
        <f>IFERROR(__xludf.DUMMYFUNCTION("""COMPUTED_VALUE"""),"Credit Card")</f>
        <v>Credit Card</v>
      </c>
      <c r="J654" s="14" t="str">
        <f>IFERROR(__xludf.DUMMYFUNCTION("""COMPUTED_VALUE"""),"Delivered*On-time Delivery: Delivered on time")</f>
        <v>Delivered*On-time Delivery: Delivered on time</v>
      </c>
      <c r="K654" s="14" t="str">
        <f>IFERROR(__xludf.DUMMYFUNCTION("split(E654,""+"")"),"Rasmalai")</f>
        <v>Rasmalai</v>
      </c>
      <c r="L654" s="14" t="str">
        <f>IFERROR(__xludf.DUMMYFUNCTION("""COMPUTED_VALUE"""),"4*Shine Thomas")</f>
        <v>4*Shine Thomas</v>
      </c>
      <c r="M654" s="14">
        <f>IFERROR(__xludf.DUMMYFUNCTION("SPLIT(L654,""*"")"),4.0)</f>
        <v>4</v>
      </c>
      <c r="N654" s="14" t="str">
        <f>IFERROR(__xludf.DUMMYFUNCTION("""COMPUTED_VALUE"""),"Shine Thomas")</f>
        <v>Shine Thomas</v>
      </c>
      <c r="O654" s="14" t="str">
        <f>IFERROR(__xludf.DUMMYFUNCTION("split(J654,""*"")"),"Delivered")</f>
        <v>Delivered</v>
      </c>
      <c r="P654" s="14" t="str">
        <f>IFERROR(__xludf.DUMMYFUNCTION("""COMPUTED_VALUE"""),"On-time Delivery: Delivered on time")</f>
        <v>On-time Delivery: Delivered on time</v>
      </c>
      <c r="Q654" s="14" t="str">
        <f>IFERROR(__xludf.DUMMYFUNCTION("split(P654,"":"")"),"On-time Delivery")</f>
        <v>On-time Delivery</v>
      </c>
      <c r="R654" s="14" t="str">
        <f>IFERROR(__xludf.DUMMYFUNCTION("""COMPUTED_VALUE""")," Delivered on time")</f>
        <v> Delivered on time</v>
      </c>
      <c r="S654" s="14" t="str">
        <f t="shared" ref="S654:U654" si="1311">trim(B654)</f>
        <v>ord_10645</v>
      </c>
      <c r="T654" s="14" t="str">
        <f t="shared" si="1311"/>
        <v>Mohit Malhotra</v>
      </c>
      <c r="U654" s="14" t="str">
        <f t="shared" si="1311"/>
        <v>Lower Parel</v>
      </c>
      <c r="V654" s="14" t="str">
        <f t="shared" si="4"/>
        <v>Rasmalai</v>
      </c>
      <c r="W654" s="14">
        <f t="shared" si="5"/>
        <v>4</v>
      </c>
      <c r="X654" s="14" t="str">
        <f t="shared" si="6"/>
        <v>Shine Thomas</v>
      </c>
      <c r="Y654" s="15">
        <f t="shared" si="7"/>
        <v>45120</v>
      </c>
      <c r="Z654" s="14" t="str">
        <f t="shared" si="8"/>
        <v>Credit Card</v>
      </c>
      <c r="AA654" s="14" t="str">
        <f t="shared" si="9"/>
        <v>Delivered</v>
      </c>
      <c r="AB654" s="14" t="str">
        <f t="shared" ref="AB654:AC654" si="1312">trim(Q654)</f>
        <v>On-time Delivery</v>
      </c>
      <c r="AC654" s="14" t="str">
        <f t="shared" si="1312"/>
        <v>Delivered on time</v>
      </c>
      <c r="AD654" s="8"/>
    </row>
    <row r="655">
      <c r="A655" s="14" t="str">
        <f>IFERROR(__xludf.DUMMYFUNCTION("""COMPUTED_VALUE"""),"//ord_10646//Pranav Joshi//Andheri//Cucumber+1*Ram Gopal/10/29/2023//Credit Card//Delivered*Quality of Items: Perfect condition")</f>
        <v>//ord_10646//Pranav Joshi//Andheri//Cucumber+1*Ram Gopal/10/29/2023//Credit Card//Delivered*Quality of Items: Perfect condition</v>
      </c>
      <c r="B655" s="14" t="str">
        <f>IFERROR(__xludf.DUMMYFUNCTION("split(A655,""//"")"),"ord_10646")</f>
        <v>ord_10646</v>
      </c>
      <c r="C655" s="14" t="str">
        <f>IFERROR(__xludf.DUMMYFUNCTION("""COMPUTED_VALUE"""),"Pranav Joshi")</f>
        <v>Pranav Joshi</v>
      </c>
      <c r="D655" s="14" t="str">
        <f>IFERROR(__xludf.DUMMYFUNCTION("""COMPUTED_VALUE"""),"Andheri")</f>
        <v>Andheri</v>
      </c>
      <c r="E655" s="14" t="str">
        <f>IFERROR(__xludf.DUMMYFUNCTION("""COMPUTED_VALUE"""),"Cucumber+1*Ram Gopal")</f>
        <v>Cucumber+1*Ram Gopal</v>
      </c>
      <c r="F655" s="14">
        <f>IFERROR(__xludf.DUMMYFUNCTION("""COMPUTED_VALUE"""),10.0)</f>
        <v>10</v>
      </c>
      <c r="G655" s="14">
        <f>IFERROR(__xludf.DUMMYFUNCTION("""COMPUTED_VALUE"""),29.0)</f>
        <v>29</v>
      </c>
      <c r="H655" s="14">
        <f>IFERROR(__xludf.DUMMYFUNCTION("""COMPUTED_VALUE"""),2023.0)</f>
        <v>2023</v>
      </c>
      <c r="I655" s="14" t="str">
        <f>IFERROR(__xludf.DUMMYFUNCTION("""COMPUTED_VALUE"""),"Credit Card")</f>
        <v>Credit Card</v>
      </c>
      <c r="J655" s="14" t="str">
        <f>IFERROR(__xludf.DUMMYFUNCTION("""COMPUTED_VALUE"""),"Delivered*Quality of Items: Perfect condition")</f>
        <v>Delivered*Quality of Items: Perfect condition</v>
      </c>
      <c r="K655" s="14" t="str">
        <f>IFERROR(__xludf.DUMMYFUNCTION("split(E655,""+"")"),"Cucumber")</f>
        <v>Cucumber</v>
      </c>
      <c r="L655" s="14" t="str">
        <f>IFERROR(__xludf.DUMMYFUNCTION("""COMPUTED_VALUE"""),"1*Ram Gopal")</f>
        <v>1*Ram Gopal</v>
      </c>
      <c r="M655" s="14">
        <f>IFERROR(__xludf.DUMMYFUNCTION("SPLIT(L655,""*"")"),1.0)</f>
        <v>1</v>
      </c>
      <c r="N655" s="14" t="str">
        <f>IFERROR(__xludf.DUMMYFUNCTION("""COMPUTED_VALUE"""),"Ram Gopal")</f>
        <v>Ram Gopal</v>
      </c>
      <c r="O655" s="14" t="str">
        <f>IFERROR(__xludf.DUMMYFUNCTION("split(J655,""*"")"),"Delivered")</f>
        <v>Delivered</v>
      </c>
      <c r="P655" s="14" t="str">
        <f>IFERROR(__xludf.DUMMYFUNCTION("""COMPUTED_VALUE"""),"Quality of Items: Perfect condition")</f>
        <v>Quality of Items: Perfect condition</v>
      </c>
      <c r="Q655" s="14" t="str">
        <f>IFERROR(__xludf.DUMMYFUNCTION("split(P655,"":"")"),"Quality of Items")</f>
        <v>Quality of Items</v>
      </c>
      <c r="R655" s="14" t="str">
        <f>IFERROR(__xludf.DUMMYFUNCTION("""COMPUTED_VALUE""")," Perfect condition")</f>
        <v> Perfect condition</v>
      </c>
      <c r="S655" s="14" t="str">
        <f t="shared" ref="S655:U655" si="1313">trim(B655)</f>
        <v>ord_10646</v>
      </c>
      <c r="T655" s="14" t="str">
        <f t="shared" si="1313"/>
        <v>Pranav Joshi</v>
      </c>
      <c r="U655" s="14" t="str">
        <f t="shared" si="1313"/>
        <v>Andheri</v>
      </c>
      <c r="V655" s="14" t="str">
        <f t="shared" si="4"/>
        <v>Cucumber</v>
      </c>
      <c r="W655" s="14">
        <f t="shared" si="5"/>
        <v>1</v>
      </c>
      <c r="X655" s="14" t="str">
        <f t="shared" si="6"/>
        <v>Ram Gopal</v>
      </c>
      <c r="Y655" s="15">
        <f t="shared" si="7"/>
        <v>45228</v>
      </c>
      <c r="Z655" s="14" t="str">
        <f t="shared" si="8"/>
        <v>Credit Card</v>
      </c>
      <c r="AA655" s="14" t="str">
        <f t="shared" si="9"/>
        <v>Delivered</v>
      </c>
      <c r="AB655" s="14" t="str">
        <f t="shared" ref="AB655:AC655" si="1314">trim(Q655)</f>
        <v>Quality of Items</v>
      </c>
      <c r="AC655" s="14" t="str">
        <f t="shared" si="1314"/>
        <v>Perfect condition</v>
      </c>
      <c r="AD655" s="8"/>
    </row>
    <row r="656">
      <c r="A656" s="14" t="str">
        <f>IFERROR(__xludf.DUMMYFUNCTION("""COMPUTED_VALUE"""),"//ord_10647//Diya Arora//Lower Parel//Cucumber+1*Sita T/9/9/2023//Credit Card//Delivered*Packaging: Secure and intact")</f>
        <v>//ord_10647//Diya Arora//Lower Parel//Cucumber+1*Sita T/9/9/2023//Credit Card//Delivered*Packaging: Secure and intact</v>
      </c>
      <c r="B656" s="14" t="str">
        <f>IFERROR(__xludf.DUMMYFUNCTION("split(A656,""//"")"),"ord_10647")</f>
        <v>ord_10647</v>
      </c>
      <c r="C656" s="14" t="str">
        <f>IFERROR(__xludf.DUMMYFUNCTION("""COMPUTED_VALUE"""),"Diya Arora")</f>
        <v>Diya Arora</v>
      </c>
      <c r="D656" s="14" t="str">
        <f>IFERROR(__xludf.DUMMYFUNCTION("""COMPUTED_VALUE"""),"Lower Parel")</f>
        <v>Lower Parel</v>
      </c>
      <c r="E656" s="14" t="str">
        <f>IFERROR(__xludf.DUMMYFUNCTION("""COMPUTED_VALUE"""),"Cucumber+1*Sita T")</f>
        <v>Cucumber+1*Sita T</v>
      </c>
      <c r="F656" s="14">
        <f>IFERROR(__xludf.DUMMYFUNCTION("""COMPUTED_VALUE"""),9.0)</f>
        <v>9</v>
      </c>
      <c r="G656" s="14">
        <f>IFERROR(__xludf.DUMMYFUNCTION("""COMPUTED_VALUE"""),9.0)</f>
        <v>9</v>
      </c>
      <c r="H656" s="14">
        <f>IFERROR(__xludf.DUMMYFUNCTION("""COMPUTED_VALUE"""),2023.0)</f>
        <v>2023</v>
      </c>
      <c r="I656" s="14" t="str">
        <f>IFERROR(__xludf.DUMMYFUNCTION("""COMPUTED_VALUE"""),"Credit Card")</f>
        <v>Credit Card</v>
      </c>
      <c r="J656" s="14" t="str">
        <f>IFERROR(__xludf.DUMMYFUNCTION("""COMPUTED_VALUE"""),"Delivered*Packaging: Secure and intact")</f>
        <v>Delivered*Packaging: Secure and intact</v>
      </c>
      <c r="K656" s="14" t="str">
        <f>IFERROR(__xludf.DUMMYFUNCTION("split(E656,""+"")"),"Cucumber")</f>
        <v>Cucumber</v>
      </c>
      <c r="L656" s="14" t="str">
        <f>IFERROR(__xludf.DUMMYFUNCTION("""COMPUTED_VALUE"""),"1*Sita T")</f>
        <v>1*Sita T</v>
      </c>
      <c r="M656" s="14">
        <f>IFERROR(__xludf.DUMMYFUNCTION("SPLIT(L656,""*"")"),1.0)</f>
        <v>1</v>
      </c>
      <c r="N656" s="14" t="str">
        <f>IFERROR(__xludf.DUMMYFUNCTION("""COMPUTED_VALUE"""),"Sita T")</f>
        <v>Sita T</v>
      </c>
      <c r="O656" s="14" t="str">
        <f>IFERROR(__xludf.DUMMYFUNCTION("split(J656,""*"")"),"Delivered")</f>
        <v>Delivered</v>
      </c>
      <c r="P656" s="14" t="str">
        <f>IFERROR(__xludf.DUMMYFUNCTION("""COMPUTED_VALUE"""),"Packaging: Secure and intact")</f>
        <v>Packaging: Secure and intact</v>
      </c>
      <c r="Q656" s="14" t="str">
        <f>IFERROR(__xludf.DUMMYFUNCTION("split(P656,"":"")"),"Packaging")</f>
        <v>Packaging</v>
      </c>
      <c r="R656" s="14" t="str">
        <f>IFERROR(__xludf.DUMMYFUNCTION("""COMPUTED_VALUE""")," Secure and intact")</f>
        <v> Secure and intact</v>
      </c>
      <c r="S656" s="14" t="str">
        <f t="shared" ref="S656:U656" si="1315">trim(B656)</f>
        <v>ord_10647</v>
      </c>
      <c r="T656" s="14" t="str">
        <f t="shared" si="1315"/>
        <v>Diya Arora</v>
      </c>
      <c r="U656" s="14" t="str">
        <f t="shared" si="1315"/>
        <v>Lower Parel</v>
      </c>
      <c r="V656" s="14" t="str">
        <f t="shared" si="4"/>
        <v>Cucumber</v>
      </c>
      <c r="W656" s="14">
        <f t="shared" si="5"/>
        <v>1</v>
      </c>
      <c r="X656" s="14" t="str">
        <f t="shared" si="6"/>
        <v>Sita T</v>
      </c>
      <c r="Y656" s="15">
        <f t="shared" si="7"/>
        <v>45178</v>
      </c>
      <c r="Z656" s="14" t="str">
        <f t="shared" si="8"/>
        <v>Credit Card</v>
      </c>
      <c r="AA656" s="14" t="str">
        <f t="shared" si="9"/>
        <v>Delivered</v>
      </c>
      <c r="AB656" s="14" t="str">
        <f t="shared" ref="AB656:AC656" si="1316">trim(Q656)</f>
        <v>Packaging</v>
      </c>
      <c r="AC656" s="14" t="str">
        <f t="shared" si="1316"/>
        <v>Secure and intact</v>
      </c>
      <c r="AD656" s="8"/>
    </row>
    <row r="657">
      <c r="A657" s="14" t="str">
        <f>IFERROR(__xludf.DUMMYFUNCTION("""COMPUTED_VALUE"""),"//ord_10648//Parth Goel//Juhu//Potato+2*Ram Gopal/9/26/2023//Credit Card//Delivered*Satisfied with the Delivery: Timely and quality")</f>
        <v>//ord_10648//Parth Goel//Juhu//Potato+2*Ram Gopal/9/26/2023//Credit Card//Delivered*Satisfied with the Delivery: Timely and quality</v>
      </c>
      <c r="B657" s="14" t="str">
        <f>IFERROR(__xludf.DUMMYFUNCTION("split(A657,""//"")"),"ord_10648")</f>
        <v>ord_10648</v>
      </c>
      <c r="C657" s="14" t="str">
        <f>IFERROR(__xludf.DUMMYFUNCTION("""COMPUTED_VALUE"""),"Parth Goel")</f>
        <v>Parth Goel</v>
      </c>
      <c r="D657" s="14" t="str">
        <f>IFERROR(__xludf.DUMMYFUNCTION("""COMPUTED_VALUE"""),"Juhu")</f>
        <v>Juhu</v>
      </c>
      <c r="E657" s="14" t="str">
        <f>IFERROR(__xludf.DUMMYFUNCTION("""COMPUTED_VALUE"""),"Potato+2*Ram Gopal")</f>
        <v>Potato+2*Ram Gopal</v>
      </c>
      <c r="F657" s="14">
        <f>IFERROR(__xludf.DUMMYFUNCTION("""COMPUTED_VALUE"""),9.0)</f>
        <v>9</v>
      </c>
      <c r="G657" s="14">
        <f>IFERROR(__xludf.DUMMYFUNCTION("""COMPUTED_VALUE"""),26.0)</f>
        <v>26</v>
      </c>
      <c r="H657" s="14">
        <f>IFERROR(__xludf.DUMMYFUNCTION("""COMPUTED_VALUE"""),2023.0)</f>
        <v>2023</v>
      </c>
      <c r="I657" s="14" t="str">
        <f>IFERROR(__xludf.DUMMYFUNCTION("""COMPUTED_VALUE"""),"Credit Card")</f>
        <v>Credit Card</v>
      </c>
      <c r="J657" s="14" t="str">
        <f>IFERROR(__xludf.DUMMYFUNCTION("""COMPUTED_VALUE"""),"Delivered*Satisfied with the Delivery: Timely and quality")</f>
        <v>Delivered*Satisfied with the Delivery: Timely and quality</v>
      </c>
      <c r="K657" s="14" t="str">
        <f>IFERROR(__xludf.DUMMYFUNCTION("split(E657,""+"")"),"Potato")</f>
        <v>Potato</v>
      </c>
      <c r="L657" s="14" t="str">
        <f>IFERROR(__xludf.DUMMYFUNCTION("""COMPUTED_VALUE"""),"2*Ram Gopal")</f>
        <v>2*Ram Gopal</v>
      </c>
      <c r="M657" s="14">
        <f>IFERROR(__xludf.DUMMYFUNCTION("SPLIT(L657,""*"")"),2.0)</f>
        <v>2</v>
      </c>
      <c r="N657" s="14" t="str">
        <f>IFERROR(__xludf.DUMMYFUNCTION("""COMPUTED_VALUE"""),"Ram Gopal")</f>
        <v>Ram Gopal</v>
      </c>
      <c r="O657" s="14" t="str">
        <f>IFERROR(__xludf.DUMMYFUNCTION("split(J657,""*"")"),"Delivered")</f>
        <v>Delivered</v>
      </c>
      <c r="P657" s="14" t="str">
        <f>IFERROR(__xludf.DUMMYFUNCTION("""COMPUTED_VALUE"""),"Satisfied with the Delivery: Timely and quality")</f>
        <v>Satisfied with the Delivery: Timely and quality</v>
      </c>
      <c r="Q657" s="14" t="str">
        <f>IFERROR(__xludf.DUMMYFUNCTION("split(P657,"":"")"),"Satisfied with the Delivery")</f>
        <v>Satisfied with the Delivery</v>
      </c>
      <c r="R657" s="14" t="str">
        <f>IFERROR(__xludf.DUMMYFUNCTION("""COMPUTED_VALUE""")," Timely and quality")</f>
        <v> Timely and quality</v>
      </c>
      <c r="S657" s="14" t="str">
        <f t="shared" ref="S657:U657" si="1317">trim(B657)</f>
        <v>ord_10648</v>
      </c>
      <c r="T657" s="14" t="str">
        <f t="shared" si="1317"/>
        <v>Parth Goel</v>
      </c>
      <c r="U657" s="14" t="str">
        <f t="shared" si="1317"/>
        <v>Juhu</v>
      </c>
      <c r="V657" s="14" t="str">
        <f t="shared" si="4"/>
        <v>Potato</v>
      </c>
      <c r="W657" s="14">
        <f t="shared" si="5"/>
        <v>2</v>
      </c>
      <c r="X657" s="14" t="str">
        <f t="shared" si="6"/>
        <v>Ram Gopal</v>
      </c>
      <c r="Y657" s="15">
        <f t="shared" si="7"/>
        <v>45195</v>
      </c>
      <c r="Z657" s="14" t="str">
        <f t="shared" si="8"/>
        <v>Credit Card</v>
      </c>
      <c r="AA657" s="14" t="str">
        <f t="shared" si="9"/>
        <v>Delivered</v>
      </c>
      <c r="AB657" s="14" t="str">
        <f t="shared" ref="AB657:AC657" si="1318">trim(Q657)</f>
        <v>Satisfied with the Delivery</v>
      </c>
      <c r="AC657" s="14" t="str">
        <f t="shared" si="1318"/>
        <v>Timely and quality</v>
      </c>
      <c r="AD657" s="8"/>
    </row>
    <row r="658">
      <c r="A658" s="14" t="str">
        <f>IFERROR(__xludf.DUMMYFUNCTION("""COMPUTED_VALUE"""),"//ord_10649//Sanjay Nair//Dadar//Rasmalai+4*Ramesh S/6/6/2023//UPI//Delivered*Customer Service: Seamless and easy")</f>
        <v>//ord_10649//Sanjay Nair//Dadar//Rasmalai+4*Ramesh S/6/6/2023//UPI//Delivered*Customer Service: Seamless and easy</v>
      </c>
      <c r="B658" s="14" t="str">
        <f>IFERROR(__xludf.DUMMYFUNCTION("split(A658,""//"")"),"ord_10649")</f>
        <v>ord_10649</v>
      </c>
      <c r="C658" s="14" t="str">
        <f>IFERROR(__xludf.DUMMYFUNCTION("""COMPUTED_VALUE"""),"Sanjay Nair")</f>
        <v>Sanjay Nair</v>
      </c>
      <c r="D658" s="14" t="str">
        <f>IFERROR(__xludf.DUMMYFUNCTION("""COMPUTED_VALUE"""),"Dadar")</f>
        <v>Dadar</v>
      </c>
      <c r="E658" s="14" t="str">
        <f>IFERROR(__xludf.DUMMYFUNCTION("""COMPUTED_VALUE"""),"Rasmalai+4*Ramesh S")</f>
        <v>Rasmalai+4*Ramesh S</v>
      </c>
      <c r="F658" s="14">
        <f>IFERROR(__xludf.DUMMYFUNCTION("""COMPUTED_VALUE"""),6.0)</f>
        <v>6</v>
      </c>
      <c r="G658" s="14">
        <f>IFERROR(__xludf.DUMMYFUNCTION("""COMPUTED_VALUE"""),6.0)</f>
        <v>6</v>
      </c>
      <c r="H658" s="14">
        <f>IFERROR(__xludf.DUMMYFUNCTION("""COMPUTED_VALUE"""),2023.0)</f>
        <v>2023</v>
      </c>
      <c r="I658" s="14" t="str">
        <f>IFERROR(__xludf.DUMMYFUNCTION("""COMPUTED_VALUE"""),"UPI")</f>
        <v>UPI</v>
      </c>
      <c r="J658" s="14" t="str">
        <f>IFERROR(__xludf.DUMMYFUNCTION("""COMPUTED_VALUE"""),"Delivered*Customer Service: Seamless and easy")</f>
        <v>Delivered*Customer Service: Seamless and easy</v>
      </c>
      <c r="K658" s="14" t="str">
        <f>IFERROR(__xludf.DUMMYFUNCTION("split(E658,""+"")"),"Rasmalai")</f>
        <v>Rasmalai</v>
      </c>
      <c r="L658" s="14" t="str">
        <f>IFERROR(__xludf.DUMMYFUNCTION("""COMPUTED_VALUE"""),"4*Ramesh S")</f>
        <v>4*Ramesh S</v>
      </c>
      <c r="M658" s="14">
        <f>IFERROR(__xludf.DUMMYFUNCTION("SPLIT(L658,""*"")"),4.0)</f>
        <v>4</v>
      </c>
      <c r="N658" s="14" t="str">
        <f>IFERROR(__xludf.DUMMYFUNCTION("""COMPUTED_VALUE"""),"Ramesh S")</f>
        <v>Ramesh S</v>
      </c>
      <c r="O658" s="14" t="str">
        <f>IFERROR(__xludf.DUMMYFUNCTION("split(J658,""*"")"),"Delivered")</f>
        <v>Delivered</v>
      </c>
      <c r="P658" s="14" t="str">
        <f>IFERROR(__xludf.DUMMYFUNCTION("""COMPUTED_VALUE"""),"Customer Service: Seamless and easy")</f>
        <v>Customer Service: Seamless and easy</v>
      </c>
      <c r="Q658" s="14" t="str">
        <f>IFERROR(__xludf.DUMMYFUNCTION("split(P658,"":"")"),"Customer Service")</f>
        <v>Customer Service</v>
      </c>
      <c r="R658" s="14" t="str">
        <f>IFERROR(__xludf.DUMMYFUNCTION("""COMPUTED_VALUE""")," Seamless and easy")</f>
        <v> Seamless and easy</v>
      </c>
      <c r="S658" s="14" t="str">
        <f t="shared" ref="S658:U658" si="1319">trim(B658)</f>
        <v>ord_10649</v>
      </c>
      <c r="T658" s="14" t="str">
        <f t="shared" si="1319"/>
        <v>Sanjay Nair</v>
      </c>
      <c r="U658" s="14" t="str">
        <f t="shared" si="1319"/>
        <v>Dadar</v>
      </c>
      <c r="V658" s="14" t="str">
        <f t="shared" si="4"/>
        <v>Rasmalai</v>
      </c>
      <c r="W658" s="14">
        <f t="shared" si="5"/>
        <v>4</v>
      </c>
      <c r="X658" s="14" t="str">
        <f t="shared" si="6"/>
        <v>Ramesh S</v>
      </c>
      <c r="Y658" s="15">
        <f t="shared" si="7"/>
        <v>45083</v>
      </c>
      <c r="Z658" s="14" t="str">
        <f t="shared" si="8"/>
        <v>UPI</v>
      </c>
      <c r="AA658" s="14" t="str">
        <f t="shared" si="9"/>
        <v>Delivered</v>
      </c>
      <c r="AB658" s="14" t="str">
        <f t="shared" ref="AB658:AC658" si="1320">trim(Q658)</f>
        <v>Customer Service</v>
      </c>
      <c r="AC658" s="14" t="str">
        <f t="shared" si="1320"/>
        <v>Seamless and easy</v>
      </c>
      <c r="AD658" s="8"/>
    </row>
    <row r="659">
      <c r="A659" s="14" t="str">
        <f>IFERROR(__xludf.DUMMYFUNCTION("""COMPUTED_VALUE"""),"//ord_10650//Sanjay Nair//Dadar//Sweet Corn+1*Manju Ajay/9/23/2023//UPI//Delivered*Delivery Experience: Quick and professional")</f>
        <v>//ord_10650//Sanjay Nair//Dadar//Sweet Corn+1*Manju Ajay/9/23/2023//UPI//Delivered*Delivery Experience: Quick and professional</v>
      </c>
      <c r="B659" s="14" t="str">
        <f>IFERROR(__xludf.DUMMYFUNCTION("split(A659,""//"")"),"ord_10650")</f>
        <v>ord_10650</v>
      </c>
      <c r="C659" s="14" t="str">
        <f>IFERROR(__xludf.DUMMYFUNCTION("""COMPUTED_VALUE"""),"Sanjay Nair")</f>
        <v>Sanjay Nair</v>
      </c>
      <c r="D659" s="14" t="str">
        <f>IFERROR(__xludf.DUMMYFUNCTION("""COMPUTED_VALUE"""),"Dadar")</f>
        <v>Dadar</v>
      </c>
      <c r="E659" s="14" t="str">
        <f>IFERROR(__xludf.DUMMYFUNCTION("""COMPUTED_VALUE"""),"Sweet Corn+1*Manju Ajay")</f>
        <v>Sweet Corn+1*Manju Ajay</v>
      </c>
      <c r="F659" s="14">
        <f>IFERROR(__xludf.DUMMYFUNCTION("""COMPUTED_VALUE"""),9.0)</f>
        <v>9</v>
      </c>
      <c r="G659" s="14">
        <f>IFERROR(__xludf.DUMMYFUNCTION("""COMPUTED_VALUE"""),23.0)</f>
        <v>23</v>
      </c>
      <c r="H659" s="14">
        <f>IFERROR(__xludf.DUMMYFUNCTION("""COMPUTED_VALUE"""),2023.0)</f>
        <v>2023</v>
      </c>
      <c r="I659" s="14" t="str">
        <f>IFERROR(__xludf.DUMMYFUNCTION("""COMPUTED_VALUE"""),"UPI")</f>
        <v>UPI</v>
      </c>
      <c r="J659" s="14" t="str">
        <f>IFERROR(__xludf.DUMMYFUNCTION("""COMPUTED_VALUE"""),"Delivered*Delivery Experience: Quick and professional")</f>
        <v>Delivered*Delivery Experience: Quick and professional</v>
      </c>
      <c r="K659" s="14" t="str">
        <f>IFERROR(__xludf.DUMMYFUNCTION("split(E659,""+"")"),"Sweet Corn")</f>
        <v>Sweet Corn</v>
      </c>
      <c r="L659" s="14" t="str">
        <f>IFERROR(__xludf.DUMMYFUNCTION("""COMPUTED_VALUE"""),"1*Manju Ajay")</f>
        <v>1*Manju Ajay</v>
      </c>
      <c r="M659" s="14">
        <f>IFERROR(__xludf.DUMMYFUNCTION("SPLIT(L659,""*"")"),1.0)</f>
        <v>1</v>
      </c>
      <c r="N659" s="14" t="str">
        <f>IFERROR(__xludf.DUMMYFUNCTION("""COMPUTED_VALUE"""),"Manju Ajay")</f>
        <v>Manju Ajay</v>
      </c>
      <c r="O659" s="14" t="str">
        <f>IFERROR(__xludf.DUMMYFUNCTION("split(J659,""*"")"),"Delivered")</f>
        <v>Delivered</v>
      </c>
      <c r="P659" s="14" t="str">
        <f>IFERROR(__xludf.DUMMYFUNCTION("""COMPUTED_VALUE"""),"Delivery Experience: Quick and professional")</f>
        <v>Delivery Experience: Quick and professional</v>
      </c>
      <c r="Q659" s="14" t="str">
        <f>IFERROR(__xludf.DUMMYFUNCTION("split(P659,"":"")"),"Delivery Experience")</f>
        <v>Delivery Experience</v>
      </c>
      <c r="R659" s="14" t="str">
        <f>IFERROR(__xludf.DUMMYFUNCTION("""COMPUTED_VALUE""")," Quick and professional")</f>
        <v> Quick and professional</v>
      </c>
      <c r="S659" s="14" t="str">
        <f t="shared" ref="S659:U659" si="1321">trim(B659)</f>
        <v>ord_10650</v>
      </c>
      <c r="T659" s="14" t="str">
        <f t="shared" si="1321"/>
        <v>Sanjay Nair</v>
      </c>
      <c r="U659" s="14" t="str">
        <f t="shared" si="1321"/>
        <v>Dadar</v>
      </c>
      <c r="V659" s="14" t="str">
        <f t="shared" si="4"/>
        <v>Sweet Corn</v>
      </c>
      <c r="W659" s="14">
        <f t="shared" si="5"/>
        <v>1</v>
      </c>
      <c r="X659" s="14" t="str">
        <f t="shared" si="6"/>
        <v>Manju Ajay</v>
      </c>
      <c r="Y659" s="15">
        <f t="shared" si="7"/>
        <v>45192</v>
      </c>
      <c r="Z659" s="14" t="str">
        <f t="shared" si="8"/>
        <v>UPI</v>
      </c>
      <c r="AA659" s="14" t="str">
        <f t="shared" si="9"/>
        <v>Delivered</v>
      </c>
      <c r="AB659" s="14" t="str">
        <f t="shared" ref="AB659:AC659" si="1322">trim(Q659)</f>
        <v>Delivery Experience</v>
      </c>
      <c r="AC659" s="14" t="str">
        <f t="shared" si="1322"/>
        <v>Quick and professional</v>
      </c>
      <c r="AD659" s="8"/>
    </row>
    <row r="660">
      <c r="A660" s="14" t="str">
        <f>IFERROR(__xludf.DUMMYFUNCTION("""COMPUTED_VALUE"""),"//ord_10651//Aarohi Kapoor//Bandra//Sweet Corn+2*Manju Ajay/1/1/2023//Credit Card//Delivered*Convenience: Easy tracking")</f>
        <v>//ord_10651//Aarohi Kapoor//Bandra//Sweet Corn+2*Manju Ajay/1/1/2023//Credit Card//Delivered*Convenience: Easy tracking</v>
      </c>
      <c r="B660" s="14" t="str">
        <f>IFERROR(__xludf.DUMMYFUNCTION("split(A660,""//"")"),"ord_10651")</f>
        <v>ord_10651</v>
      </c>
      <c r="C660" s="14" t="str">
        <f>IFERROR(__xludf.DUMMYFUNCTION("""COMPUTED_VALUE"""),"Aarohi Kapoor")</f>
        <v>Aarohi Kapoor</v>
      </c>
      <c r="D660" s="14" t="str">
        <f>IFERROR(__xludf.DUMMYFUNCTION("""COMPUTED_VALUE"""),"Bandra")</f>
        <v>Bandra</v>
      </c>
      <c r="E660" s="14" t="str">
        <f>IFERROR(__xludf.DUMMYFUNCTION("""COMPUTED_VALUE"""),"Sweet Corn+2*Manju Ajay")</f>
        <v>Sweet Corn+2*Manju Ajay</v>
      </c>
      <c r="F660" s="14">
        <f>IFERROR(__xludf.DUMMYFUNCTION("""COMPUTED_VALUE"""),1.0)</f>
        <v>1</v>
      </c>
      <c r="G660" s="14">
        <f>IFERROR(__xludf.DUMMYFUNCTION("""COMPUTED_VALUE"""),1.0)</f>
        <v>1</v>
      </c>
      <c r="H660" s="14">
        <f>IFERROR(__xludf.DUMMYFUNCTION("""COMPUTED_VALUE"""),2023.0)</f>
        <v>2023</v>
      </c>
      <c r="I660" s="14" t="str">
        <f>IFERROR(__xludf.DUMMYFUNCTION("""COMPUTED_VALUE"""),"Credit Card")</f>
        <v>Credit Card</v>
      </c>
      <c r="J660" s="14" t="str">
        <f>IFERROR(__xludf.DUMMYFUNCTION("""COMPUTED_VALUE"""),"Delivered*Convenience: Easy tracking")</f>
        <v>Delivered*Convenience: Easy tracking</v>
      </c>
      <c r="K660" s="14" t="str">
        <f>IFERROR(__xludf.DUMMYFUNCTION("split(E660,""+"")"),"Sweet Corn")</f>
        <v>Sweet Corn</v>
      </c>
      <c r="L660" s="14" t="str">
        <f>IFERROR(__xludf.DUMMYFUNCTION("""COMPUTED_VALUE"""),"2*Manju Ajay")</f>
        <v>2*Manju Ajay</v>
      </c>
      <c r="M660" s="14">
        <f>IFERROR(__xludf.DUMMYFUNCTION("SPLIT(L660,""*"")"),2.0)</f>
        <v>2</v>
      </c>
      <c r="N660" s="14" t="str">
        <f>IFERROR(__xludf.DUMMYFUNCTION("""COMPUTED_VALUE"""),"Manju Ajay")</f>
        <v>Manju Ajay</v>
      </c>
      <c r="O660" s="14" t="str">
        <f>IFERROR(__xludf.DUMMYFUNCTION("split(J660,""*"")"),"Delivered")</f>
        <v>Delivered</v>
      </c>
      <c r="P660" s="14" t="str">
        <f>IFERROR(__xludf.DUMMYFUNCTION("""COMPUTED_VALUE"""),"Convenience: Easy tracking")</f>
        <v>Convenience: Easy tracking</v>
      </c>
      <c r="Q660" s="14" t="str">
        <f>IFERROR(__xludf.DUMMYFUNCTION("split(P660,"":"")"),"Convenience")</f>
        <v>Convenience</v>
      </c>
      <c r="R660" s="14" t="str">
        <f>IFERROR(__xludf.DUMMYFUNCTION("""COMPUTED_VALUE""")," Easy tracking")</f>
        <v> Easy tracking</v>
      </c>
      <c r="S660" s="14" t="str">
        <f t="shared" ref="S660:U660" si="1323">trim(B660)</f>
        <v>ord_10651</v>
      </c>
      <c r="T660" s="14" t="str">
        <f t="shared" si="1323"/>
        <v>Aarohi Kapoor</v>
      </c>
      <c r="U660" s="14" t="str">
        <f t="shared" si="1323"/>
        <v>Bandra</v>
      </c>
      <c r="V660" s="14" t="str">
        <f t="shared" si="4"/>
        <v>Sweet Corn</v>
      </c>
      <c r="W660" s="14">
        <f t="shared" si="5"/>
        <v>2</v>
      </c>
      <c r="X660" s="14" t="str">
        <f t="shared" si="6"/>
        <v>Manju Ajay</v>
      </c>
      <c r="Y660" s="15">
        <f t="shared" si="7"/>
        <v>44927</v>
      </c>
      <c r="Z660" s="14" t="str">
        <f t="shared" si="8"/>
        <v>Credit Card</v>
      </c>
      <c r="AA660" s="14" t="str">
        <f t="shared" si="9"/>
        <v>Delivered</v>
      </c>
      <c r="AB660" s="14" t="str">
        <f t="shared" ref="AB660:AC660" si="1324">trim(Q660)</f>
        <v>Convenience</v>
      </c>
      <c r="AC660" s="14" t="str">
        <f t="shared" si="1324"/>
        <v>Easy tracking</v>
      </c>
      <c r="AD660" s="8"/>
    </row>
    <row r="661">
      <c r="A661" s="14" t="str">
        <f>IFERROR(__xludf.DUMMYFUNCTION("""COMPUTED_VALUE"""),"//ord_10652//Omkar Mishra//Powai//Apple+1*Vivek Kumar/6/24/2023//UPI//Delivered*Overall Satisfaction: Great service will order again")</f>
        <v>//ord_10652//Omkar Mishra//Powai//Apple+1*Vivek Kumar/6/24/2023//UPI//Delivered*Overall Satisfaction: Great service will order again</v>
      </c>
      <c r="B661" s="14" t="str">
        <f>IFERROR(__xludf.DUMMYFUNCTION("split(A661,""//"")"),"ord_10652")</f>
        <v>ord_10652</v>
      </c>
      <c r="C661" s="14" t="str">
        <f>IFERROR(__xludf.DUMMYFUNCTION("""COMPUTED_VALUE"""),"Omkar Mishra")</f>
        <v>Omkar Mishra</v>
      </c>
      <c r="D661" s="14" t="str">
        <f>IFERROR(__xludf.DUMMYFUNCTION("""COMPUTED_VALUE"""),"Powai")</f>
        <v>Powai</v>
      </c>
      <c r="E661" s="14" t="str">
        <f>IFERROR(__xludf.DUMMYFUNCTION("""COMPUTED_VALUE"""),"Apple+1*Vivek Kumar")</f>
        <v>Apple+1*Vivek Kumar</v>
      </c>
      <c r="F661" s="14">
        <f>IFERROR(__xludf.DUMMYFUNCTION("""COMPUTED_VALUE"""),6.0)</f>
        <v>6</v>
      </c>
      <c r="G661" s="14">
        <f>IFERROR(__xludf.DUMMYFUNCTION("""COMPUTED_VALUE"""),24.0)</f>
        <v>24</v>
      </c>
      <c r="H661" s="14">
        <f>IFERROR(__xludf.DUMMYFUNCTION("""COMPUTED_VALUE"""),2023.0)</f>
        <v>2023</v>
      </c>
      <c r="I661" s="14" t="str">
        <f>IFERROR(__xludf.DUMMYFUNCTION("""COMPUTED_VALUE"""),"UPI")</f>
        <v>UPI</v>
      </c>
      <c r="J661" s="14" t="str">
        <f>IFERROR(__xludf.DUMMYFUNCTION("""COMPUTED_VALUE"""),"Delivered*Overall Satisfaction: Great service will order again")</f>
        <v>Delivered*Overall Satisfaction: Great service will order again</v>
      </c>
      <c r="K661" s="14" t="str">
        <f>IFERROR(__xludf.DUMMYFUNCTION("split(E661,""+"")"),"Apple")</f>
        <v>Apple</v>
      </c>
      <c r="L661" s="14" t="str">
        <f>IFERROR(__xludf.DUMMYFUNCTION("""COMPUTED_VALUE"""),"1*Vivek Kumar")</f>
        <v>1*Vivek Kumar</v>
      </c>
      <c r="M661" s="14">
        <f>IFERROR(__xludf.DUMMYFUNCTION("SPLIT(L661,""*"")"),1.0)</f>
        <v>1</v>
      </c>
      <c r="N661" s="14" t="str">
        <f>IFERROR(__xludf.DUMMYFUNCTION("""COMPUTED_VALUE"""),"Vivek Kumar")</f>
        <v>Vivek Kumar</v>
      </c>
      <c r="O661" s="14" t="str">
        <f>IFERROR(__xludf.DUMMYFUNCTION("split(J661,""*"")"),"Delivered")</f>
        <v>Delivered</v>
      </c>
      <c r="P661" s="14" t="str">
        <f>IFERROR(__xludf.DUMMYFUNCTION("""COMPUTED_VALUE"""),"Overall Satisfaction: Great service will order again")</f>
        <v>Overall Satisfaction: Great service will order again</v>
      </c>
      <c r="Q661" s="14" t="str">
        <f>IFERROR(__xludf.DUMMYFUNCTION("split(P661,"":"")"),"Overall Satisfaction")</f>
        <v>Overall Satisfaction</v>
      </c>
      <c r="R661" s="14" t="str">
        <f>IFERROR(__xludf.DUMMYFUNCTION("""COMPUTED_VALUE""")," Great service will order again")</f>
        <v> Great service will order again</v>
      </c>
      <c r="S661" s="14" t="str">
        <f t="shared" ref="S661:U661" si="1325">trim(B661)</f>
        <v>ord_10652</v>
      </c>
      <c r="T661" s="14" t="str">
        <f t="shared" si="1325"/>
        <v>Omkar Mishra</v>
      </c>
      <c r="U661" s="14" t="str">
        <f t="shared" si="1325"/>
        <v>Powai</v>
      </c>
      <c r="V661" s="14" t="str">
        <f t="shared" si="4"/>
        <v>Apple</v>
      </c>
      <c r="W661" s="14">
        <f t="shared" si="5"/>
        <v>1</v>
      </c>
      <c r="X661" s="14" t="str">
        <f t="shared" si="6"/>
        <v>Vivek Kumar</v>
      </c>
      <c r="Y661" s="15">
        <f t="shared" si="7"/>
        <v>45101</v>
      </c>
      <c r="Z661" s="14" t="str">
        <f t="shared" si="8"/>
        <v>UPI</v>
      </c>
      <c r="AA661" s="14" t="str">
        <f t="shared" si="9"/>
        <v>Delivered</v>
      </c>
      <c r="AB661" s="14" t="str">
        <f t="shared" ref="AB661:AC661" si="1326">trim(Q661)</f>
        <v>Overall Satisfaction</v>
      </c>
      <c r="AC661" s="14" t="str">
        <f t="shared" si="1326"/>
        <v>Great service will order again</v>
      </c>
      <c r="AD661" s="8"/>
    </row>
    <row r="662">
      <c r="A662" s="14" t="str">
        <f>IFERROR(__xludf.DUMMYFUNCTION("""COMPUTED_VALUE"""),"//ord_10653//Sanjay Nair//Dadar//Guava+1*Venu R/5/16/2023//Credit Card//Delivered*On-time Delivery: Delivered on time")</f>
        <v>//ord_10653//Sanjay Nair//Dadar//Guava+1*Venu R/5/16/2023//Credit Card//Delivered*On-time Delivery: Delivered on time</v>
      </c>
      <c r="B662" s="14" t="str">
        <f>IFERROR(__xludf.DUMMYFUNCTION("split(A662,""//"")"),"ord_10653")</f>
        <v>ord_10653</v>
      </c>
      <c r="C662" s="14" t="str">
        <f>IFERROR(__xludf.DUMMYFUNCTION("""COMPUTED_VALUE"""),"Sanjay Nair")</f>
        <v>Sanjay Nair</v>
      </c>
      <c r="D662" s="14" t="str">
        <f>IFERROR(__xludf.DUMMYFUNCTION("""COMPUTED_VALUE"""),"Dadar")</f>
        <v>Dadar</v>
      </c>
      <c r="E662" s="14" t="str">
        <f>IFERROR(__xludf.DUMMYFUNCTION("""COMPUTED_VALUE"""),"Guava+1*Venu R")</f>
        <v>Guava+1*Venu R</v>
      </c>
      <c r="F662" s="14">
        <f>IFERROR(__xludf.DUMMYFUNCTION("""COMPUTED_VALUE"""),5.0)</f>
        <v>5</v>
      </c>
      <c r="G662" s="14">
        <f>IFERROR(__xludf.DUMMYFUNCTION("""COMPUTED_VALUE"""),16.0)</f>
        <v>16</v>
      </c>
      <c r="H662" s="14">
        <f>IFERROR(__xludf.DUMMYFUNCTION("""COMPUTED_VALUE"""),2023.0)</f>
        <v>2023</v>
      </c>
      <c r="I662" s="14" t="str">
        <f>IFERROR(__xludf.DUMMYFUNCTION("""COMPUTED_VALUE"""),"Credit Card")</f>
        <v>Credit Card</v>
      </c>
      <c r="J662" s="14" t="str">
        <f>IFERROR(__xludf.DUMMYFUNCTION("""COMPUTED_VALUE"""),"Delivered*On-time Delivery: Delivered on time")</f>
        <v>Delivered*On-time Delivery: Delivered on time</v>
      </c>
      <c r="K662" s="14" t="str">
        <f>IFERROR(__xludf.DUMMYFUNCTION("split(E662,""+"")"),"Guava")</f>
        <v>Guava</v>
      </c>
      <c r="L662" s="14" t="str">
        <f>IFERROR(__xludf.DUMMYFUNCTION("""COMPUTED_VALUE"""),"1*Venu R")</f>
        <v>1*Venu R</v>
      </c>
      <c r="M662" s="14">
        <f>IFERROR(__xludf.DUMMYFUNCTION("SPLIT(L662,""*"")"),1.0)</f>
        <v>1</v>
      </c>
      <c r="N662" s="14" t="str">
        <f>IFERROR(__xludf.DUMMYFUNCTION("""COMPUTED_VALUE"""),"Venu R")</f>
        <v>Venu R</v>
      </c>
      <c r="O662" s="14" t="str">
        <f>IFERROR(__xludf.DUMMYFUNCTION("split(J662,""*"")"),"Delivered")</f>
        <v>Delivered</v>
      </c>
      <c r="P662" s="14" t="str">
        <f>IFERROR(__xludf.DUMMYFUNCTION("""COMPUTED_VALUE"""),"On-time Delivery: Delivered on time")</f>
        <v>On-time Delivery: Delivered on time</v>
      </c>
      <c r="Q662" s="14" t="str">
        <f>IFERROR(__xludf.DUMMYFUNCTION("split(P662,"":"")"),"On-time Delivery")</f>
        <v>On-time Delivery</v>
      </c>
      <c r="R662" s="14" t="str">
        <f>IFERROR(__xludf.DUMMYFUNCTION("""COMPUTED_VALUE""")," Delivered on time")</f>
        <v> Delivered on time</v>
      </c>
      <c r="S662" s="14" t="str">
        <f t="shared" ref="S662:U662" si="1327">trim(B662)</f>
        <v>ord_10653</v>
      </c>
      <c r="T662" s="14" t="str">
        <f t="shared" si="1327"/>
        <v>Sanjay Nair</v>
      </c>
      <c r="U662" s="14" t="str">
        <f t="shared" si="1327"/>
        <v>Dadar</v>
      </c>
      <c r="V662" s="14" t="str">
        <f t="shared" si="4"/>
        <v>Guava</v>
      </c>
      <c r="W662" s="14">
        <f t="shared" si="5"/>
        <v>1</v>
      </c>
      <c r="X662" s="14" t="str">
        <f t="shared" si="6"/>
        <v>Venu R</v>
      </c>
      <c r="Y662" s="15">
        <f t="shared" si="7"/>
        <v>45062</v>
      </c>
      <c r="Z662" s="14" t="str">
        <f t="shared" si="8"/>
        <v>Credit Card</v>
      </c>
      <c r="AA662" s="14" t="str">
        <f t="shared" si="9"/>
        <v>Delivered</v>
      </c>
      <c r="AB662" s="14" t="str">
        <f t="shared" ref="AB662:AC662" si="1328">trim(Q662)</f>
        <v>On-time Delivery</v>
      </c>
      <c r="AC662" s="14" t="str">
        <f t="shared" si="1328"/>
        <v>Delivered on time</v>
      </c>
      <c r="AD662" s="8"/>
    </row>
    <row r="663">
      <c r="A663" s="14" t="str">
        <f>IFERROR(__xludf.DUMMYFUNCTION("""COMPUTED_VALUE"""),"//ord_10654//Aditi Iyer//Dadar//Chicken Puff+3*Manju Ajay/11/26/2023//COD//Delivered*Quality of Items: Perfect condition")</f>
        <v>//ord_10654//Aditi Iyer//Dadar//Chicken Puff+3*Manju Ajay/11/26/2023//COD//Delivered*Quality of Items: Perfect condition</v>
      </c>
      <c r="B663" s="14" t="str">
        <f>IFERROR(__xludf.DUMMYFUNCTION("split(A663,""//"")"),"ord_10654")</f>
        <v>ord_10654</v>
      </c>
      <c r="C663" s="14" t="str">
        <f>IFERROR(__xludf.DUMMYFUNCTION("""COMPUTED_VALUE"""),"Aditi Iyer")</f>
        <v>Aditi Iyer</v>
      </c>
      <c r="D663" s="14" t="str">
        <f>IFERROR(__xludf.DUMMYFUNCTION("""COMPUTED_VALUE"""),"Dadar")</f>
        <v>Dadar</v>
      </c>
      <c r="E663" s="14" t="str">
        <f>IFERROR(__xludf.DUMMYFUNCTION("""COMPUTED_VALUE"""),"Chicken Puff+3*Manju Ajay")</f>
        <v>Chicken Puff+3*Manju Ajay</v>
      </c>
      <c r="F663" s="14">
        <f>IFERROR(__xludf.DUMMYFUNCTION("""COMPUTED_VALUE"""),11.0)</f>
        <v>11</v>
      </c>
      <c r="G663" s="14">
        <f>IFERROR(__xludf.DUMMYFUNCTION("""COMPUTED_VALUE"""),26.0)</f>
        <v>26</v>
      </c>
      <c r="H663" s="14">
        <f>IFERROR(__xludf.DUMMYFUNCTION("""COMPUTED_VALUE"""),2023.0)</f>
        <v>2023</v>
      </c>
      <c r="I663" s="14" t="str">
        <f>IFERROR(__xludf.DUMMYFUNCTION("""COMPUTED_VALUE"""),"COD")</f>
        <v>COD</v>
      </c>
      <c r="J663" s="14" t="str">
        <f>IFERROR(__xludf.DUMMYFUNCTION("""COMPUTED_VALUE"""),"Delivered*Quality of Items: Perfect condition")</f>
        <v>Delivered*Quality of Items: Perfect condition</v>
      </c>
      <c r="K663" s="14" t="str">
        <f>IFERROR(__xludf.DUMMYFUNCTION("split(E663,""+"")"),"Chicken Puff")</f>
        <v>Chicken Puff</v>
      </c>
      <c r="L663" s="14" t="str">
        <f>IFERROR(__xludf.DUMMYFUNCTION("""COMPUTED_VALUE"""),"3*Manju Ajay")</f>
        <v>3*Manju Ajay</v>
      </c>
      <c r="M663" s="14">
        <f>IFERROR(__xludf.DUMMYFUNCTION("SPLIT(L663,""*"")"),3.0)</f>
        <v>3</v>
      </c>
      <c r="N663" s="14" t="str">
        <f>IFERROR(__xludf.DUMMYFUNCTION("""COMPUTED_VALUE"""),"Manju Ajay")</f>
        <v>Manju Ajay</v>
      </c>
      <c r="O663" s="14" t="str">
        <f>IFERROR(__xludf.DUMMYFUNCTION("split(J663,""*"")"),"Delivered")</f>
        <v>Delivered</v>
      </c>
      <c r="P663" s="14" t="str">
        <f>IFERROR(__xludf.DUMMYFUNCTION("""COMPUTED_VALUE"""),"Quality of Items: Perfect condition")</f>
        <v>Quality of Items: Perfect condition</v>
      </c>
      <c r="Q663" s="14" t="str">
        <f>IFERROR(__xludf.DUMMYFUNCTION("split(P663,"":"")"),"Quality of Items")</f>
        <v>Quality of Items</v>
      </c>
      <c r="R663" s="14" t="str">
        <f>IFERROR(__xludf.DUMMYFUNCTION("""COMPUTED_VALUE""")," Perfect condition")</f>
        <v> Perfect condition</v>
      </c>
      <c r="S663" s="14" t="str">
        <f t="shared" ref="S663:U663" si="1329">trim(B663)</f>
        <v>ord_10654</v>
      </c>
      <c r="T663" s="14" t="str">
        <f t="shared" si="1329"/>
        <v>Aditi Iyer</v>
      </c>
      <c r="U663" s="14" t="str">
        <f t="shared" si="1329"/>
        <v>Dadar</v>
      </c>
      <c r="V663" s="14" t="str">
        <f t="shared" si="4"/>
        <v>Chicken Puff</v>
      </c>
      <c r="W663" s="14">
        <f t="shared" si="5"/>
        <v>3</v>
      </c>
      <c r="X663" s="14" t="str">
        <f t="shared" si="6"/>
        <v>Manju Ajay</v>
      </c>
      <c r="Y663" s="15">
        <f t="shared" si="7"/>
        <v>45256</v>
      </c>
      <c r="Z663" s="14" t="str">
        <f t="shared" si="8"/>
        <v>COD</v>
      </c>
      <c r="AA663" s="14" t="str">
        <f t="shared" si="9"/>
        <v>Delivered</v>
      </c>
      <c r="AB663" s="14" t="str">
        <f t="shared" ref="AB663:AC663" si="1330">trim(Q663)</f>
        <v>Quality of Items</v>
      </c>
      <c r="AC663" s="14" t="str">
        <f t="shared" si="1330"/>
        <v>Perfect condition</v>
      </c>
      <c r="AD663" s="8"/>
    </row>
    <row r="664">
      <c r="A664" s="14" t="str">
        <f>IFERROR(__xludf.DUMMYFUNCTION("""COMPUTED_VALUE"""),"//ord_10655//Sanjay Nair//Dadar//Sweet Corn+2*Manju Ajay/12/14/2023//Online Payment//Delivered*On-time Delivery: Delivered on time")</f>
        <v>//ord_10655//Sanjay Nair//Dadar//Sweet Corn+2*Manju Ajay/12/14/2023//Online Payment//Delivered*On-time Delivery: Delivered on time</v>
      </c>
      <c r="B664" s="14" t="str">
        <f>IFERROR(__xludf.DUMMYFUNCTION("split(A664,""//"")"),"ord_10655")</f>
        <v>ord_10655</v>
      </c>
      <c r="C664" s="14" t="str">
        <f>IFERROR(__xludf.DUMMYFUNCTION("""COMPUTED_VALUE"""),"Sanjay Nair")</f>
        <v>Sanjay Nair</v>
      </c>
      <c r="D664" s="14" t="str">
        <f>IFERROR(__xludf.DUMMYFUNCTION("""COMPUTED_VALUE"""),"Dadar")</f>
        <v>Dadar</v>
      </c>
      <c r="E664" s="14" t="str">
        <f>IFERROR(__xludf.DUMMYFUNCTION("""COMPUTED_VALUE"""),"Sweet Corn+2*Manju Ajay")</f>
        <v>Sweet Corn+2*Manju Ajay</v>
      </c>
      <c r="F664" s="14">
        <f>IFERROR(__xludf.DUMMYFUNCTION("""COMPUTED_VALUE"""),12.0)</f>
        <v>12</v>
      </c>
      <c r="G664" s="14">
        <f>IFERROR(__xludf.DUMMYFUNCTION("""COMPUTED_VALUE"""),14.0)</f>
        <v>14</v>
      </c>
      <c r="H664" s="14">
        <f>IFERROR(__xludf.DUMMYFUNCTION("""COMPUTED_VALUE"""),2023.0)</f>
        <v>2023</v>
      </c>
      <c r="I664" s="14" t="str">
        <f>IFERROR(__xludf.DUMMYFUNCTION("""COMPUTED_VALUE"""),"Online Payment")</f>
        <v>Online Payment</v>
      </c>
      <c r="J664" s="14" t="str">
        <f>IFERROR(__xludf.DUMMYFUNCTION("""COMPUTED_VALUE"""),"Delivered*On-time Delivery: Delivered on time")</f>
        <v>Delivered*On-time Delivery: Delivered on time</v>
      </c>
      <c r="K664" s="14" t="str">
        <f>IFERROR(__xludf.DUMMYFUNCTION("split(E664,""+"")"),"Sweet Corn")</f>
        <v>Sweet Corn</v>
      </c>
      <c r="L664" s="14" t="str">
        <f>IFERROR(__xludf.DUMMYFUNCTION("""COMPUTED_VALUE"""),"2*Manju Ajay")</f>
        <v>2*Manju Ajay</v>
      </c>
      <c r="M664" s="14">
        <f>IFERROR(__xludf.DUMMYFUNCTION("SPLIT(L664,""*"")"),2.0)</f>
        <v>2</v>
      </c>
      <c r="N664" s="14" t="str">
        <f>IFERROR(__xludf.DUMMYFUNCTION("""COMPUTED_VALUE"""),"Manju Ajay")</f>
        <v>Manju Ajay</v>
      </c>
      <c r="O664" s="14" t="str">
        <f>IFERROR(__xludf.DUMMYFUNCTION("split(J664,""*"")"),"Delivered")</f>
        <v>Delivered</v>
      </c>
      <c r="P664" s="14" t="str">
        <f>IFERROR(__xludf.DUMMYFUNCTION("""COMPUTED_VALUE"""),"On-time Delivery: Delivered on time")</f>
        <v>On-time Delivery: Delivered on time</v>
      </c>
      <c r="Q664" s="14" t="str">
        <f>IFERROR(__xludf.DUMMYFUNCTION("split(P664,"":"")"),"On-time Delivery")</f>
        <v>On-time Delivery</v>
      </c>
      <c r="R664" s="14" t="str">
        <f>IFERROR(__xludf.DUMMYFUNCTION("""COMPUTED_VALUE""")," Delivered on time")</f>
        <v> Delivered on time</v>
      </c>
      <c r="S664" s="14" t="str">
        <f t="shared" ref="S664:U664" si="1331">trim(B664)</f>
        <v>ord_10655</v>
      </c>
      <c r="T664" s="14" t="str">
        <f t="shared" si="1331"/>
        <v>Sanjay Nair</v>
      </c>
      <c r="U664" s="14" t="str">
        <f t="shared" si="1331"/>
        <v>Dadar</v>
      </c>
      <c r="V664" s="14" t="str">
        <f t="shared" si="4"/>
        <v>Sweet Corn</v>
      </c>
      <c r="W664" s="14">
        <f t="shared" si="5"/>
        <v>2</v>
      </c>
      <c r="X664" s="14" t="str">
        <f t="shared" si="6"/>
        <v>Manju Ajay</v>
      </c>
      <c r="Y664" s="15">
        <f t="shared" si="7"/>
        <v>45274</v>
      </c>
      <c r="Z664" s="14" t="str">
        <f t="shared" si="8"/>
        <v>Online Payment</v>
      </c>
      <c r="AA664" s="14" t="str">
        <f t="shared" si="9"/>
        <v>Delivered</v>
      </c>
      <c r="AB664" s="14" t="str">
        <f t="shared" ref="AB664:AC664" si="1332">trim(Q664)</f>
        <v>On-time Delivery</v>
      </c>
      <c r="AC664" s="14" t="str">
        <f t="shared" si="1332"/>
        <v>Delivered on time</v>
      </c>
      <c r="AD664" s="8"/>
    </row>
    <row r="665">
      <c r="A665" s="14" t="str">
        <f>IFERROR(__xludf.DUMMYFUNCTION("""COMPUTED_VALUE"""),"//ord_10656//Pranav Joshi//Andheri//Sweet Corn+2*Manju Ajay/5/16/2023//Online Payment//Delivered*Quality of Items: Perfect condition")</f>
        <v>//ord_10656//Pranav Joshi//Andheri//Sweet Corn+2*Manju Ajay/5/16/2023//Online Payment//Delivered*Quality of Items: Perfect condition</v>
      </c>
      <c r="B665" s="14" t="str">
        <f>IFERROR(__xludf.DUMMYFUNCTION("split(A665,""//"")"),"ord_10656")</f>
        <v>ord_10656</v>
      </c>
      <c r="C665" s="14" t="str">
        <f>IFERROR(__xludf.DUMMYFUNCTION("""COMPUTED_VALUE"""),"Pranav Joshi")</f>
        <v>Pranav Joshi</v>
      </c>
      <c r="D665" s="14" t="str">
        <f>IFERROR(__xludf.DUMMYFUNCTION("""COMPUTED_VALUE"""),"Andheri")</f>
        <v>Andheri</v>
      </c>
      <c r="E665" s="14" t="str">
        <f>IFERROR(__xludf.DUMMYFUNCTION("""COMPUTED_VALUE"""),"Sweet Corn+2*Manju Ajay")</f>
        <v>Sweet Corn+2*Manju Ajay</v>
      </c>
      <c r="F665" s="14">
        <f>IFERROR(__xludf.DUMMYFUNCTION("""COMPUTED_VALUE"""),5.0)</f>
        <v>5</v>
      </c>
      <c r="G665" s="14">
        <f>IFERROR(__xludf.DUMMYFUNCTION("""COMPUTED_VALUE"""),16.0)</f>
        <v>16</v>
      </c>
      <c r="H665" s="14">
        <f>IFERROR(__xludf.DUMMYFUNCTION("""COMPUTED_VALUE"""),2023.0)</f>
        <v>2023</v>
      </c>
      <c r="I665" s="14" t="str">
        <f>IFERROR(__xludf.DUMMYFUNCTION("""COMPUTED_VALUE"""),"Online Payment")</f>
        <v>Online Payment</v>
      </c>
      <c r="J665" s="14" t="str">
        <f>IFERROR(__xludf.DUMMYFUNCTION("""COMPUTED_VALUE"""),"Delivered*Quality of Items: Perfect condition")</f>
        <v>Delivered*Quality of Items: Perfect condition</v>
      </c>
      <c r="K665" s="14" t="str">
        <f>IFERROR(__xludf.DUMMYFUNCTION("split(E665,""+"")"),"Sweet Corn")</f>
        <v>Sweet Corn</v>
      </c>
      <c r="L665" s="14" t="str">
        <f>IFERROR(__xludf.DUMMYFUNCTION("""COMPUTED_VALUE"""),"2*Manju Ajay")</f>
        <v>2*Manju Ajay</v>
      </c>
      <c r="M665" s="14">
        <f>IFERROR(__xludf.DUMMYFUNCTION("SPLIT(L665,""*"")"),2.0)</f>
        <v>2</v>
      </c>
      <c r="N665" s="14" t="str">
        <f>IFERROR(__xludf.DUMMYFUNCTION("""COMPUTED_VALUE"""),"Manju Ajay")</f>
        <v>Manju Ajay</v>
      </c>
      <c r="O665" s="14" t="str">
        <f>IFERROR(__xludf.DUMMYFUNCTION("split(J665,""*"")"),"Delivered")</f>
        <v>Delivered</v>
      </c>
      <c r="P665" s="14" t="str">
        <f>IFERROR(__xludf.DUMMYFUNCTION("""COMPUTED_VALUE"""),"Quality of Items: Perfect condition")</f>
        <v>Quality of Items: Perfect condition</v>
      </c>
      <c r="Q665" s="14" t="str">
        <f>IFERROR(__xludf.DUMMYFUNCTION("split(P665,"":"")"),"Quality of Items")</f>
        <v>Quality of Items</v>
      </c>
      <c r="R665" s="14" t="str">
        <f>IFERROR(__xludf.DUMMYFUNCTION("""COMPUTED_VALUE""")," Perfect condition")</f>
        <v> Perfect condition</v>
      </c>
      <c r="S665" s="14" t="str">
        <f t="shared" ref="S665:U665" si="1333">trim(B665)</f>
        <v>ord_10656</v>
      </c>
      <c r="T665" s="14" t="str">
        <f t="shared" si="1333"/>
        <v>Pranav Joshi</v>
      </c>
      <c r="U665" s="14" t="str">
        <f t="shared" si="1333"/>
        <v>Andheri</v>
      </c>
      <c r="V665" s="14" t="str">
        <f t="shared" si="4"/>
        <v>Sweet Corn</v>
      </c>
      <c r="W665" s="14">
        <f t="shared" si="5"/>
        <v>2</v>
      </c>
      <c r="X665" s="14" t="str">
        <f t="shared" si="6"/>
        <v>Manju Ajay</v>
      </c>
      <c r="Y665" s="15">
        <f t="shared" si="7"/>
        <v>45062</v>
      </c>
      <c r="Z665" s="14" t="str">
        <f t="shared" si="8"/>
        <v>Online Payment</v>
      </c>
      <c r="AA665" s="14" t="str">
        <f t="shared" si="9"/>
        <v>Delivered</v>
      </c>
      <c r="AB665" s="14" t="str">
        <f t="shared" ref="AB665:AC665" si="1334">trim(Q665)</f>
        <v>Quality of Items</v>
      </c>
      <c r="AC665" s="14" t="str">
        <f t="shared" si="1334"/>
        <v>Perfect condition</v>
      </c>
      <c r="AD665" s="8"/>
    </row>
    <row r="666">
      <c r="A666" s="14" t="str">
        <f>IFERROR(__xludf.DUMMYFUNCTION("""COMPUTED_VALUE"""),"//ord_10657//Parth Goel//Juhu//Chilli Cheese Toast+5*Sita T/12/22/2023//UPI//Delivered*Packaging: Secure and intact")</f>
        <v>//ord_10657//Parth Goel//Juhu//Chilli Cheese Toast+5*Sita T/12/22/2023//UPI//Delivered*Packaging: Secure and intact</v>
      </c>
      <c r="B666" s="14" t="str">
        <f>IFERROR(__xludf.DUMMYFUNCTION("split(A666,""//"")"),"ord_10657")</f>
        <v>ord_10657</v>
      </c>
      <c r="C666" s="14" t="str">
        <f>IFERROR(__xludf.DUMMYFUNCTION("""COMPUTED_VALUE"""),"Parth Goel")</f>
        <v>Parth Goel</v>
      </c>
      <c r="D666" s="14" t="str">
        <f>IFERROR(__xludf.DUMMYFUNCTION("""COMPUTED_VALUE"""),"Juhu")</f>
        <v>Juhu</v>
      </c>
      <c r="E666" s="14" t="str">
        <f>IFERROR(__xludf.DUMMYFUNCTION("""COMPUTED_VALUE"""),"Chilli Cheese Toast+5*Sita T")</f>
        <v>Chilli Cheese Toast+5*Sita T</v>
      </c>
      <c r="F666" s="14">
        <f>IFERROR(__xludf.DUMMYFUNCTION("""COMPUTED_VALUE"""),12.0)</f>
        <v>12</v>
      </c>
      <c r="G666" s="14">
        <f>IFERROR(__xludf.DUMMYFUNCTION("""COMPUTED_VALUE"""),22.0)</f>
        <v>22</v>
      </c>
      <c r="H666" s="14">
        <f>IFERROR(__xludf.DUMMYFUNCTION("""COMPUTED_VALUE"""),2023.0)</f>
        <v>2023</v>
      </c>
      <c r="I666" s="14" t="str">
        <f>IFERROR(__xludf.DUMMYFUNCTION("""COMPUTED_VALUE"""),"UPI")</f>
        <v>UPI</v>
      </c>
      <c r="J666" s="14" t="str">
        <f>IFERROR(__xludf.DUMMYFUNCTION("""COMPUTED_VALUE"""),"Delivered*Packaging: Secure and intact")</f>
        <v>Delivered*Packaging: Secure and intact</v>
      </c>
      <c r="K666" s="14" t="str">
        <f>IFERROR(__xludf.DUMMYFUNCTION("split(E666,""+"")"),"Chilli Cheese Toast")</f>
        <v>Chilli Cheese Toast</v>
      </c>
      <c r="L666" s="14" t="str">
        <f>IFERROR(__xludf.DUMMYFUNCTION("""COMPUTED_VALUE"""),"5*Sita T")</f>
        <v>5*Sita T</v>
      </c>
      <c r="M666" s="14">
        <f>IFERROR(__xludf.DUMMYFUNCTION("SPLIT(L666,""*"")"),5.0)</f>
        <v>5</v>
      </c>
      <c r="N666" s="14" t="str">
        <f>IFERROR(__xludf.DUMMYFUNCTION("""COMPUTED_VALUE"""),"Sita T")</f>
        <v>Sita T</v>
      </c>
      <c r="O666" s="14" t="str">
        <f>IFERROR(__xludf.DUMMYFUNCTION("split(J666,""*"")"),"Delivered")</f>
        <v>Delivered</v>
      </c>
      <c r="P666" s="14" t="str">
        <f>IFERROR(__xludf.DUMMYFUNCTION("""COMPUTED_VALUE"""),"Packaging: Secure and intact")</f>
        <v>Packaging: Secure and intact</v>
      </c>
      <c r="Q666" s="14" t="str">
        <f>IFERROR(__xludf.DUMMYFUNCTION("split(P666,"":"")"),"Packaging")</f>
        <v>Packaging</v>
      </c>
      <c r="R666" s="14" t="str">
        <f>IFERROR(__xludf.DUMMYFUNCTION("""COMPUTED_VALUE""")," Secure and intact")</f>
        <v> Secure and intact</v>
      </c>
      <c r="S666" s="14" t="str">
        <f t="shared" ref="S666:U666" si="1335">trim(B666)</f>
        <v>ord_10657</v>
      </c>
      <c r="T666" s="14" t="str">
        <f t="shared" si="1335"/>
        <v>Parth Goel</v>
      </c>
      <c r="U666" s="14" t="str">
        <f t="shared" si="1335"/>
        <v>Juhu</v>
      </c>
      <c r="V666" s="14" t="str">
        <f t="shared" si="4"/>
        <v>Chilli Cheese Toast</v>
      </c>
      <c r="W666" s="14">
        <f t="shared" si="5"/>
        <v>5</v>
      </c>
      <c r="X666" s="14" t="str">
        <f t="shared" si="6"/>
        <v>Sita T</v>
      </c>
      <c r="Y666" s="15">
        <f t="shared" si="7"/>
        <v>45282</v>
      </c>
      <c r="Z666" s="14" t="str">
        <f t="shared" si="8"/>
        <v>UPI</v>
      </c>
      <c r="AA666" s="14" t="str">
        <f t="shared" si="9"/>
        <v>Delivered</v>
      </c>
      <c r="AB666" s="14" t="str">
        <f t="shared" ref="AB666:AC666" si="1336">trim(Q666)</f>
        <v>Packaging</v>
      </c>
      <c r="AC666" s="14" t="str">
        <f t="shared" si="1336"/>
        <v>Secure and intact</v>
      </c>
      <c r="AD666" s="8"/>
    </row>
    <row r="667">
      <c r="A667" s="14" t="str">
        <f>IFERROR(__xludf.DUMMYFUNCTION("""COMPUTED_VALUE"""),"//ord_10658//Ishaan Chaturvedi//Bandra//Orange+1*Ramesh S/11/11/2023//COD//Delivered*Satisfied with the Delivery: Timely and quality")</f>
        <v>//ord_10658//Ishaan Chaturvedi//Bandra//Orange+1*Ramesh S/11/11/2023//COD//Delivered*Satisfied with the Delivery: Timely and quality</v>
      </c>
      <c r="B667" s="14" t="str">
        <f>IFERROR(__xludf.DUMMYFUNCTION("split(A667,""//"")"),"ord_10658")</f>
        <v>ord_10658</v>
      </c>
      <c r="C667" s="14" t="str">
        <f>IFERROR(__xludf.DUMMYFUNCTION("""COMPUTED_VALUE"""),"Ishaan Chaturvedi")</f>
        <v>Ishaan Chaturvedi</v>
      </c>
      <c r="D667" s="14" t="str">
        <f>IFERROR(__xludf.DUMMYFUNCTION("""COMPUTED_VALUE"""),"Bandra")</f>
        <v>Bandra</v>
      </c>
      <c r="E667" s="14" t="str">
        <f>IFERROR(__xludf.DUMMYFUNCTION("""COMPUTED_VALUE"""),"Orange+1*Ramesh S")</f>
        <v>Orange+1*Ramesh S</v>
      </c>
      <c r="F667" s="14">
        <f>IFERROR(__xludf.DUMMYFUNCTION("""COMPUTED_VALUE"""),11.0)</f>
        <v>11</v>
      </c>
      <c r="G667" s="14">
        <f>IFERROR(__xludf.DUMMYFUNCTION("""COMPUTED_VALUE"""),11.0)</f>
        <v>11</v>
      </c>
      <c r="H667" s="14">
        <f>IFERROR(__xludf.DUMMYFUNCTION("""COMPUTED_VALUE"""),2023.0)</f>
        <v>2023</v>
      </c>
      <c r="I667" s="14" t="str">
        <f>IFERROR(__xludf.DUMMYFUNCTION("""COMPUTED_VALUE"""),"COD")</f>
        <v>COD</v>
      </c>
      <c r="J667" s="14" t="str">
        <f>IFERROR(__xludf.DUMMYFUNCTION("""COMPUTED_VALUE"""),"Delivered*Satisfied with the Delivery: Timely and quality")</f>
        <v>Delivered*Satisfied with the Delivery: Timely and quality</v>
      </c>
      <c r="K667" s="14" t="str">
        <f>IFERROR(__xludf.DUMMYFUNCTION("split(E667,""+"")"),"Orange")</f>
        <v>Orange</v>
      </c>
      <c r="L667" s="14" t="str">
        <f>IFERROR(__xludf.DUMMYFUNCTION("""COMPUTED_VALUE"""),"1*Ramesh S")</f>
        <v>1*Ramesh S</v>
      </c>
      <c r="M667" s="14">
        <f>IFERROR(__xludf.DUMMYFUNCTION("SPLIT(L667,""*"")"),1.0)</f>
        <v>1</v>
      </c>
      <c r="N667" s="14" t="str">
        <f>IFERROR(__xludf.DUMMYFUNCTION("""COMPUTED_VALUE"""),"Ramesh S")</f>
        <v>Ramesh S</v>
      </c>
      <c r="O667" s="14" t="str">
        <f>IFERROR(__xludf.DUMMYFUNCTION("split(J667,""*"")"),"Delivered")</f>
        <v>Delivered</v>
      </c>
      <c r="P667" s="14" t="str">
        <f>IFERROR(__xludf.DUMMYFUNCTION("""COMPUTED_VALUE"""),"Satisfied with the Delivery: Timely and quality")</f>
        <v>Satisfied with the Delivery: Timely and quality</v>
      </c>
      <c r="Q667" s="14" t="str">
        <f>IFERROR(__xludf.DUMMYFUNCTION("split(P667,"":"")"),"Satisfied with the Delivery")</f>
        <v>Satisfied with the Delivery</v>
      </c>
      <c r="R667" s="14" t="str">
        <f>IFERROR(__xludf.DUMMYFUNCTION("""COMPUTED_VALUE""")," Timely and quality")</f>
        <v> Timely and quality</v>
      </c>
      <c r="S667" s="14" t="str">
        <f t="shared" ref="S667:U667" si="1337">trim(B667)</f>
        <v>ord_10658</v>
      </c>
      <c r="T667" s="14" t="str">
        <f t="shared" si="1337"/>
        <v>Ishaan Chaturvedi</v>
      </c>
      <c r="U667" s="14" t="str">
        <f t="shared" si="1337"/>
        <v>Bandra</v>
      </c>
      <c r="V667" s="14" t="str">
        <f t="shared" si="4"/>
        <v>Orange</v>
      </c>
      <c r="W667" s="14">
        <f t="shared" si="5"/>
        <v>1</v>
      </c>
      <c r="X667" s="14" t="str">
        <f t="shared" si="6"/>
        <v>Ramesh S</v>
      </c>
      <c r="Y667" s="15">
        <f t="shared" si="7"/>
        <v>45241</v>
      </c>
      <c r="Z667" s="14" t="str">
        <f t="shared" si="8"/>
        <v>COD</v>
      </c>
      <c r="AA667" s="14" t="str">
        <f t="shared" si="9"/>
        <v>Delivered</v>
      </c>
      <c r="AB667" s="14" t="str">
        <f t="shared" ref="AB667:AC667" si="1338">trim(Q667)</f>
        <v>Satisfied with the Delivery</v>
      </c>
      <c r="AC667" s="14" t="str">
        <f t="shared" si="1338"/>
        <v>Timely and quality</v>
      </c>
      <c r="AD667" s="8"/>
    </row>
    <row r="668">
      <c r="A668" s="14" t="str">
        <f>IFERROR(__xludf.DUMMYFUNCTION("""COMPUTED_VALUE"""),"//ord_10659//Mehul Thakkar//Malad//Popcorn+1*Not Assigned/8/2/2023//Online Payment//Cancelled*App Glitches: Payment Button Malfunction")</f>
        <v>//ord_10659//Mehul Thakkar//Malad//Popcorn+1*Not Assigned/8/2/2023//Online Payment//Cancelled*App Glitches: Payment Button Malfunction</v>
      </c>
      <c r="B668" s="14" t="str">
        <f>IFERROR(__xludf.DUMMYFUNCTION("split(A668,""//"")"),"ord_10659")</f>
        <v>ord_10659</v>
      </c>
      <c r="C668" s="14" t="str">
        <f>IFERROR(__xludf.DUMMYFUNCTION("""COMPUTED_VALUE"""),"Mehul Thakkar")</f>
        <v>Mehul Thakkar</v>
      </c>
      <c r="D668" s="14" t="str">
        <f>IFERROR(__xludf.DUMMYFUNCTION("""COMPUTED_VALUE"""),"Malad")</f>
        <v>Malad</v>
      </c>
      <c r="E668" s="14" t="str">
        <f>IFERROR(__xludf.DUMMYFUNCTION("""COMPUTED_VALUE"""),"Popcorn+1*Not Assigned")</f>
        <v>Popcorn+1*Not Assigned</v>
      </c>
      <c r="F668" s="14">
        <f>IFERROR(__xludf.DUMMYFUNCTION("""COMPUTED_VALUE"""),8.0)</f>
        <v>8</v>
      </c>
      <c r="G668" s="14">
        <f>IFERROR(__xludf.DUMMYFUNCTION("""COMPUTED_VALUE"""),2.0)</f>
        <v>2</v>
      </c>
      <c r="H668" s="14">
        <f>IFERROR(__xludf.DUMMYFUNCTION("""COMPUTED_VALUE"""),2023.0)</f>
        <v>2023</v>
      </c>
      <c r="I668" s="14" t="str">
        <f>IFERROR(__xludf.DUMMYFUNCTION("""COMPUTED_VALUE"""),"Online Payment")</f>
        <v>Online Payment</v>
      </c>
      <c r="J668" s="14" t="str">
        <f>IFERROR(__xludf.DUMMYFUNCTION("""COMPUTED_VALUE"""),"Cancelled*App Glitches: Payment Button Malfunction")</f>
        <v>Cancelled*App Glitches: Payment Button Malfunction</v>
      </c>
      <c r="K668" s="14" t="str">
        <f>IFERROR(__xludf.DUMMYFUNCTION("split(E668,""+"")"),"Popcorn")</f>
        <v>Popcorn</v>
      </c>
      <c r="L668" s="14" t="str">
        <f>IFERROR(__xludf.DUMMYFUNCTION("""COMPUTED_VALUE"""),"1*Not Assigned")</f>
        <v>1*Not Assigned</v>
      </c>
      <c r="M668" s="14">
        <f>IFERROR(__xludf.DUMMYFUNCTION("SPLIT(L668,""*"")"),1.0)</f>
        <v>1</v>
      </c>
      <c r="N668" s="14" t="str">
        <f>IFERROR(__xludf.DUMMYFUNCTION("""COMPUTED_VALUE"""),"Not Assigned")</f>
        <v>Not Assigned</v>
      </c>
      <c r="O668" s="14" t="str">
        <f>IFERROR(__xludf.DUMMYFUNCTION("split(J668,""*"")"),"Cancelled")</f>
        <v>Cancelled</v>
      </c>
      <c r="P668" s="14" t="str">
        <f>IFERROR(__xludf.DUMMYFUNCTION("""COMPUTED_VALUE"""),"App Glitches: Payment Button Malfunction")</f>
        <v>App Glitches: Payment Button Malfunction</v>
      </c>
      <c r="Q668" s="14" t="str">
        <f>IFERROR(__xludf.DUMMYFUNCTION("split(P668,"":"")"),"App Glitches")</f>
        <v>App Glitches</v>
      </c>
      <c r="R668" s="14" t="str">
        <f>IFERROR(__xludf.DUMMYFUNCTION("""COMPUTED_VALUE""")," Payment Button Malfunction")</f>
        <v> Payment Button Malfunction</v>
      </c>
      <c r="S668" s="14" t="str">
        <f t="shared" ref="S668:U668" si="1339">trim(B668)</f>
        <v>ord_10659</v>
      </c>
      <c r="T668" s="14" t="str">
        <f t="shared" si="1339"/>
        <v>Mehul Thakkar</v>
      </c>
      <c r="U668" s="14" t="str">
        <f t="shared" si="1339"/>
        <v>Malad</v>
      </c>
      <c r="V668" s="14" t="str">
        <f t="shared" si="4"/>
        <v>Popcorn</v>
      </c>
      <c r="W668" s="14">
        <f t="shared" si="5"/>
        <v>1</v>
      </c>
      <c r="X668" s="14" t="str">
        <f t="shared" si="6"/>
        <v>Not Assigned</v>
      </c>
      <c r="Y668" s="15">
        <f t="shared" si="7"/>
        <v>45140</v>
      </c>
      <c r="Z668" s="14" t="str">
        <f t="shared" si="8"/>
        <v>Online Payment</v>
      </c>
      <c r="AA668" s="14" t="str">
        <f t="shared" si="9"/>
        <v>Cancelled</v>
      </c>
      <c r="AB668" s="14" t="str">
        <f t="shared" ref="AB668:AC668" si="1340">trim(Q668)</f>
        <v>App Glitches</v>
      </c>
      <c r="AC668" s="14" t="str">
        <f t="shared" si="1340"/>
        <v>Payment Button Malfunction</v>
      </c>
      <c r="AD668" s="8"/>
    </row>
    <row r="669">
      <c r="A669" s="14" t="str">
        <f>IFERROR(__xludf.DUMMYFUNCTION("""COMPUTED_VALUE"""),"//ord_10660//Aditi Iyer//Dadar//Icecream+2*Shine Thomas/11/13/2023//COD//Delivered*Customer Service: Seamless and easy")</f>
        <v>//ord_10660//Aditi Iyer//Dadar//Icecream+2*Shine Thomas/11/13/2023//COD//Delivered*Customer Service: Seamless and easy</v>
      </c>
      <c r="B669" s="14" t="str">
        <f>IFERROR(__xludf.DUMMYFUNCTION("split(A669,""//"")"),"ord_10660")</f>
        <v>ord_10660</v>
      </c>
      <c r="C669" s="14" t="str">
        <f>IFERROR(__xludf.DUMMYFUNCTION("""COMPUTED_VALUE"""),"Aditi Iyer")</f>
        <v>Aditi Iyer</v>
      </c>
      <c r="D669" s="14" t="str">
        <f>IFERROR(__xludf.DUMMYFUNCTION("""COMPUTED_VALUE"""),"Dadar")</f>
        <v>Dadar</v>
      </c>
      <c r="E669" s="14" t="str">
        <f>IFERROR(__xludf.DUMMYFUNCTION("""COMPUTED_VALUE"""),"Icecream+2*Shine Thomas")</f>
        <v>Icecream+2*Shine Thomas</v>
      </c>
      <c r="F669" s="14">
        <f>IFERROR(__xludf.DUMMYFUNCTION("""COMPUTED_VALUE"""),11.0)</f>
        <v>11</v>
      </c>
      <c r="G669" s="14">
        <f>IFERROR(__xludf.DUMMYFUNCTION("""COMPUTED_VALUE"""),13.0)</f>
        <v>13</v>
      </c>
      <c r="H669" s="14">
        <f>IFERROR(__xludf.DUMMYFUNCTION("""COMPUTED_VALUE"""),2023.0)</f>
        <v>2023</v>
      </c>
      <c r="I669" s="14" t="str">
        <f>IFERROR(__xludf.DUMMYFUNCTION("""COMPUTED_VALUE"""),"COD")</f>
        <v>COD</v>
      </c>
      <c r="J669" s="14" t="str">
        <f>IFERROR(__xludf.DUMMYFUNCTION("""COMPUTED_VALUE"""),"Delivered*Customer Service: Seamless and easy")</f>
        <v>Delivered*Customer Service: Seamless and easy</v>
      </c>
      <c r="K669" s="14" t="str">
        <f>IFERROR(__xludf.DUMMYFUNCTION("split(E669,""+"")"),"Icecream")</f>
        <v>Icecream</v>
      </c>
      <c r="L669" s="14" t="str">
        <f>IFERROR(__xludf.DUMMYFUNCTION("""COMPUTED_VALUE"""),"2*Shine Thomas")</f>
        <v>2*Shine Thomas</v>
      </c>
      <c r="M669" s="14">
        <f>IFERROR(__xludf.DUMMYFUNCTION("SPLIT(L669,""*"")"),2.0)</f>
        <v>2</v>
      </c>
      <c r="N669" s="14" t="str">
        <f>IFERROR(__xludf.DUMMYFUNCTION("""COMPUTED_VALUE"""),"Shine Thomas")</f>
        <v>Shine Thomas</v>
      </c>
      <c r="O669" s="14" t="str">
        <f>IFERROR(__xludf.DUMMYFUNCTION("split(J669,""*"")"),"Delivered")</f>
        <v>Delivered</v>
      </c>
      <c r="P669" s="14" t="str">
        <f>IFERROR(__xludf.DUMMYFUNCTION("""COMPUTED_VALUE"""),"Customer Service: Seamless and easy")</f>
        <v>Customer Service: Seamless and easy</v>
      </c>
      <c r="Q669" s="14" t="str">
        <f>IFERROR(__xludf.DUMMYFUNCTION("split(P669,"":"")"),"Customer Service")</f>
        <v>Customer Service</v>
      </c>
      <c r="R669" s="14" t="str">
        <f>IFERROR(__xludf.DUMMYFUNCTION("""COMPUTED_VALUE""")," Seamless and easy")</f>
        <v> Seamless and easy</v>
      </c>
      <c r="S669" s="14" t="str">
        <f t="shared" ref="S669:U669" si="1341">trim(B669)</f>
        <v>ord_10660</v>
      </c>
      <c r="T669" s="14" t="str">
        <f t="shared" si="1341"/>
        <v>Aditi Iyer</v>
      </c>
      <c r="U669" s="14" t="str">
        <f t="shared" si="1341"/>
        <v>Dadar</v>
      </c>
      <c r="V669" s="14" t="str">
        <f t="shared" si="4"/>
        <v>Icecream</v>
      </c>
      <c r="W669" s="14">
        <f t="shared" si="5"/>
        <v>2</v>
      </c>
      <c r="X669" s="14" t="str">
        <f t="shared" si="6"/>
        <v>Shine Thomas</v>
      </c>
      <c r="Y669" s="15">
        <f t="shared" si="7"/>
        <v>45243</v>
      </c>
      <c r="Z669" s="14" t="str">
        <f t="shared" si="8"/>
        <v>COD</v>
      </c>
      <c r="AA669" s="14" t="str">
        <f t="shared" si="9"/>
        <v>Delivered</v>
      </c>
      <c r="AB669" s="14" t="str">
        <f t="shared" ref="AB669:AC669" si="1342">trim(Q669)</f>
        <v>Customer Service</v>
      </c>
      <c r="AC669" s="14" t="str">
        <f t="shared" si="1342"/>
        <v>Seamless and easy</v>
      </c>
      <c r="AD669" s="8"/>
    </row>
    <row r="670">
      <c r="A670" s="14" t="str">
        <f>IFERROR(__xludf.DUMMYFUNCTION("""COMPUTED_VALUE"""),"//ord_10661//Ishaan Chaturvedi//Bandra//Icecream+2*Manju Ajay/10/23/2023//UPI//Delivered*Delivery Experience: Quick and professional")</f>
        <v>//ord_10661//Ishaan Chaturvedi//Bandra//Icecream+2*Manju Ajay/10/23/2023//UPI//Delivered*Delivery Experience: Quick and professional</v>
      </c>
      <c r="B670" s="14" t="str">
        <f>IFERROR(__xludf.DUMMYFUNCTION("split(A670,""//"")"),"ord_10661")</f>
        <v>ord_10661</v>
      </c>
      <c r="C670" s="14" t="str">
        <f>IFERROR(__xludf.DUMMYFUNCTION("""COMPUTED_VALUE"""),"Ishaan Chaturvedi")</f>
        <v>Ishaan Chaturvedi</v>
      </c>
      <c r="D670" s="14" t="str">
        <f>IFERROR(__xludf.DUMMYFUNCTION("""COMPUTED_VALUE"""),"Bandra")</f>
        <v>Bandra</v>
      </c>
      <c r="E670" s="14" t="str">
        <f>IFERROR(__xludf.DUMMYFUNCTION("""COMPUTED_VALUE"""),"Icecream+2*Manju Ajay")</f>
        <v>Icecream+2*Manju Ajay</v>
      </c>
      <c r="F670" s="14">
        <f>IFERROR(__xludf.DUMMYFUNCTION("""COMPUTED_VALUE"""),10.0)</f>
        <v>10</v>
      </c>
      <c r="G670" s="14">
        <f>IFERROR(__xludf.DUMMYFUNCTION("""COMPUTED_VALUE"""),23.0)</f>
        <v>23</v>
      </c>
      <c r="H670" s="14">
        <f>IFERROR(__xludf.DUMMYFUNCTION("""COMPUTED_VALUE"""),2023.0)</f>
        <v>2023</v>
      </c>
      <c r="I670" s="14" t="str">
        <f>IFERROR(__xludf.DUMMYFUNCTION("""COMPUTED_VALUE"""),"UPI")</f>
        <v>UPI</v>
      </c>
      <c r="J670" s="14" t="str">
        <f>IFERROR(__xludf.DUMMYFUNCTION("""COMPUTED_VALUE"""),"Delivered*Delivery Experience: Quick and professional")</f>
        <v>Delivered*Delivery Experience: Quick and professional</v>
      </c>
      <c r="K670" s="14" t="str">
        <f>IFERROR(__xludf.DUMMYFUNCTION("split(E670,""+"")"),"Icecream")</f>
        <v>Icecream</v>
      </c>
      <c r="L670" s="14" t="str">
        <f>IFERROR(__xludf.DUMMYFUNCTION("""COMPUTED_VALUE"""),"2*Manju Ajay")</f>
        <v>2*Manju Ajay</v>
      </c>
      <c r="M670" s="14">
        <f>IFERROR(__xludf.DUMMYFUNCTION("SPLIT(L670,""*"")"),2.0)</f>
        <v>2</v>
      </c>
      <c r="N670" s="14" t="str">
        <f>IFERROR(__xludf.DUMMYFUNCTION("""COMPUTED_VALUE"""),"Manju Ajay")</f>
        <v>Manju Ajay</v>
      </c>
      <c r="O670" s="14" t="str">
        <f>IFERROR(__xludf.DUMMYFUNCTION("split(J670,""*"")"),"Delivered")</f>
        <v>Delivered</v>
      </c>
      <c r="P670" s="14" t="str">
        <f>IFERROR(__xludf.DUMMYFUNCTION("""COMPUTED_VALUE"""),"Delivery Experience: Quick and professional")</f>
        <v>Delivery Experience: Quick and professional</v>
      </c>
      <c r="Q670" s="14" t="str">
        <f>IFERROR(__xludf.DUMMYFUNCTION("split(P670,"":"")"),"Delivery Experience")</f>
        <v>Delivery Experience</v>
      </c>
      <c r="R670" s="14" t="str">
        <f>IFERROR(__xludf.DUMMYFUNCTION("""COMPUTED_VALUE""")," Quick and professional")</f>
        <v> Quick and professional</v>
      </c>
      <c r="S670" s="14" t="str">
        <f t="shared" ref="S670:U670" si="1343">trim(B670)</f>
        <v>ord_10661</v>
      </c>
      <c r="T670" s="14" t="str">
        <f t="shared" si="1343"/>
        <v>Ishaan Chaturvedi</v>
      </c>
      <c r="U670" s="14" t="str">
        <f t="shared" si="1343"/>
        <v>Bandra</v>
      </c>
      <c r="V670" s="14" t="str">
        <f t="shared" si="4"/>
        <v>Icecream</v>
      </c>
      <c r="W670" s="14">
        <f t="shared" si="5"/>
        <v>2</v>
      </c>
      <c r="X670" s="14" t="str">
        <f t="shared" si="6"/>
        <v>Manju Ajay</v>
      </c>
      <c r="Y670" s="15">
        <f t="shared" si="7"/>
        <v>45222</v>
      </c>
      <c r="Z670" s="14" t="str">
        <f t="shared" si="8"/>
        <v>UPI</v>
      </c>
      <c r="AA670" s="14" t="str">
        <f t="shared" si="9"/>
        <v>Delivered</v>
      </c>
      <c r="AB670" s="14" t="str">
        <f t="shared" ref="AB670:AC670" si="1344">trim(Q670)</f>
        <v>Delivery Experience</v>
      </c>
      <c r="AC670" s="14" t="str">
        <f t="shared" si="1344"/>
        <v>Quick and professional</v>
      </c>
      <c r="AD670" s="8"/>
    </row>
    <row r="671">
      <c r="A671" s="14" t="str">
        <f>IFERROR(__xludf.DUMMYFUNCTION("""COMPUTED_VALUE"""),"//ord_10662//Aditi Iyer//Dadar//Cucumber+1*Vivek Kumar/5/22/2023//COD//Delivered*Convenience: Easy tracking")</f>
        <v>//ord_10662//Aditi Iyer//Dadar//Cucumber+1*Vivek Kumar/5/22/2023//COD//Delivered*Convenience: Easy tracking</v>
      </c>
      <c r="B671" s="14" t="str">
        <f>IFERROR(__xludf.DUMMYFUNCTION("split(A671,""//"")"),"ord_10662")</f>
        <v>ord_10662</v>
      </c>
      <c r="C671" s="14" t="str">
        <f>IFERROR(__xludf.DUMMYFUNCTION("""COMPUTED_VALUE"""),"Aditi Iyer")</f>
        <v>Aditi Iyer</v>
      </c>
      <c r="D671" s="14" t="str">
        <f>IFERROR(__xludf.DUMMYFUNCTION("""COMPUTED_VALUE"""),"Dadar")</f>
        <v>Dadar</v>
      </c>
      <c r="E671" s="14" t="str">
        <f>IFERROR(__xludf.DUMMYFUNCTION("""COMPUTED_VALUE"""),"Cucumber+1*Vivek Kumar")</f>
        <v>Cucumber+1*Vivek Kumar</v>
      </c>
      <c r="F671" s="14">
        <f>IFERROR(__xludf.DUMMYFUNCTION("""COMPUTED_VALUE"""),5.0)</f>
        <v>5</v>
      </c>
      <c r="G671" s="14">
        <f>IFERROR(__xludf.DUMMYFUNCTION("""COMPUTED_VALUE"""),22.0)</f>
        <v>22</v>
      </c>
      <c r="H671" s="14">
        <f>IFERROR(__xludf.DUMMYFUNCTION("""COMPUTED_VALUE"""),2023.0)</f>
        <v>2023</v>
      </c>
      <c r="I671" s="14" t="str">
        <f>IFERROR(__xludf.DUMMYFUNCTION("""COMPUTED_VALUE"""),"COD")</f>
        <v>COD</v>
      </c>
      <c r="J671" s="14" t="str">
        <f>IFERROR(__xludf.DUMMYFUNCTION("""COMPUTED_VALUE"""),"Delivered*Convenience: Easy tracking")</f>
        <v>Delivered*Convenience: Easy tracking</v>
      </c>
      <c r="K671" s="14" t="str">
        <f>IFERROR(__xludf.DUMMYFUNCTION("split(E671,""+"")"),"Cucumber")</f>
        <v>Cucumber</v>
      </c>
      <c r="L671" s="14" t="str">
        <f>IFERROR(__xludf.DUMMYFUNCTION("""COMPUTED_VALUE"""),"1*Vivek Kumar")</f>
        <v>1*Vivek Kumar</v>
      </c>
      <c r="M671" s="14">
        <f>IFERROR(__xludf.DUMMYFUNCTION("SPLIT(L671,""*"")"),1.0)</f>
        <v>1</v>
      </c>
      <c r="N671" s="14" t="str">
        <f>IFERROR(__xludf.DUMMYFUNCTION("""COMPUTED_VALUE"""),"Vivek Kumar")</f>
        <v>Vivek Kumar</v>
      </c>
      <c r="O671" s="14" t="str">
        <f>IFERROR(__xludf.DUMMYFUNCTION("split(J671,""*"")"),"Delivered")</f>
        <v>Delivered</v>
      </c>
      <c r="P671" s="14" t="str">
        <f>IFERROR(__xludf.DUMMYFUNCTION("""COMPUTED_VALUE"""),"Convenience: Easy tracking")</f>
        <v>Convenience: Easy tracking</v>
      </c>
      <c r="Q671" s="14" t="str">
        <f>IFERROR(__xludf.DUMMYFUNCTION("split(P671,"":"")"),"Convenience")</f>
        <v>Convenience</v>
      </c>
      <c r="R671" s="14" t="str">
        <f>IFERROR(__xludf.DUMMYFUNCTION("""COMPUTED_VALUE""")," Easy tracking")</f>
        <v> Easy tracking</v>
      </c>
      <c r="S671" s="14" t="str">
        <f t="shared" ref="S671:U671" si="1345">trim(B671)</f>
        <v>ord_10662</v>
      </c>
      <c r="T671" s="14" t="str">
        <f t="shared" si="1345"/>
        <v>Aditi Iyer</v>
      </c>
      <c r="U671" s="14" t="str">
        <f t="shared" si="1345"/>
        <v>Dadar</v>
      </c>
      <c r="V671" s="14" t="str">
        <f t="shared" si="4"/>
        <v>Cucumber</v>
      </c>
      <c r="W671" s="14">
        <f t="shared" si="5"/>
        <v>1</v>
      </c>
      <c r="X671" s="14" t="str">
        <f t="shared" si="6"/>
        <v>Vivek Kumar</v>
      </c>
      <c r="Y671" s="15">
        <f t="shared" si="7"/>
        <v>45068</v>
      </c>
      <c r="Z671" s="14" t="str">
        <f t="shared" si="8"/>
        <v>COD</v>
      </c>
      <c r="AA671" s="14" t="str">
        <f t="shared" si="9"/>
        <v>Delivered</v>
      </c>
      <c r="AB671" s="14" t="str">
        <f t="shared" ref="AB671:AC671" si="1346">trim(Q671)</f>
        <v>Convenience</v>
      </c>
      <c r="AC671" s="14" t="str">
        <f t="shared" si="1346"/>
        <v>Easy tracking</v>
      </c>
      <c r="AD671" s="8"/>
    </row>
    <row r="672">
      <c r="A672" s="14" t="str">
        <f>IFERROR(__xludf.DUMMYFUNCTION("""COMPUTED_VALUE"""),"//ord_10663//Aarav Mehta//Andheri//Guava+2*Manju Ajay/4/8/2023//Online Payment//Delivered*Overall Satisfaction: Great service will order again")</f>
        <v>//ord_10663//Aarav Mehta//Andheri//Guava+2*Manju Ajay/4/8/2023//Online Payment//Delivered*Overall Satisfaction: Great service will order again</v>
      </c>
      <c r="B672" s="14" t="str">
        <f>IFERROR(__xludf.DUMMYFUNCTION("split(A672,""//"")"),"ord_10663")</f>
        <v>ord_10663</v>
      </c>
      <c r="C672" s="14" t="str">
        <f>IFERROR(__xludf.DUMMYFUNCTION("""COMPUTED_VALUE"""),"Aarav Mehta")</f>
        <v>Aarav Mehta</v>
      </c>
      <c r="D672" s="14" t="str">
        <f>IFERROR(__xludf.DUMMYFUNCTION("""COMPUTED_VALUE"""),"Andheri")</f>
        <v>Andheri</v>
      </c>
      <c r="E672" s="14" t="str">
        <f>IFERROR(__xludf.DUMMYFUNCTION("""COMPUTED_VALUE"""),"Guava+2*Manju Ajay")</f>
        <v>Guava+2*Manju Ajay</v>
      </c>
      <c r="F672" s="14">
        <f>IFERROR(__xludf.DUMMYFUNCTION("""COMPUTED_VALUE"""),4.0)</f>
        <v>4</v>
      </c>
      <c r="G672" s="14">
        <f>IFERROR(__xludf.DUMMYFUNCTION("""COMPUTED_VALUE"""),8.0)</f>
        <v>8</v>
      </c>
      <c r="H672" s="14">
        <f>IFERROR(__xludf.DUMMYFUNCTION("""COMPUTED_VALUE"""),2023.0)</f>
        <v>2023</v>
      </c>
      <c r="I672" s="14" t="str">
        <f>IFERROR(__xludf.DUMMYFUNCTION("""COMPUTED_VALUE"""),"Online Payment")</f>
        <v>Online Payment</v>
      </c>
      <c r="J672" s="14" t="str">
        <f>IFERROR(__xludf.DUMMYFUNCTION("""COMPUTED_VALUE"""),"Delivered*Overall Satisfaction: Great service will order again")</f>
        <v>Delivered*Overall Satisfaction: Great service will order again</v>
      </c>
      <c r="K672" s="14" t="str">
        <f>IFERROR(__xludf.DUMMYFUNCTION("split(E672,""+"")"),"Guava")</f>
        <v>Guava</v>
      </c>
      <c r="L672" s="14" t="str">
        <f>IFERROR(__xludf.DUMMYFUNCTION("""COMPUTED_VALUE"""),"2*Manju Ajay")</f>
        <v>2*Manju Ajay</v>
      </c>
      <c r="M672" s="14">
        <f>IFERROR(__xludf.DUMMYFUNCTION("SPLIT(L672,""*"")"),2.0)</f>
        <v>2</v>
      </c>
      <c r="N672" s="14" t="str">
        <f>IFERROR(__xludf.DUMMYFUNCTION("""COMPUTED_VALUE"""),"Manju Ajay")</f>
        <v>Manju Ajay</v>
      </c>
      <c r="O672" s="14" t="str">
        <f>IFERROR(__xludf.DUMMYFUNCTION("split(J672,""*"")"),"Delivered")</f>
        <v>Delivered</v>
      </c>
      <c r="P672" s="14" t="str">
        <f>IFERROR(__xludf.DUMMYFUNCTION("""COMPUTED_VALUE"""),"Overall Satisfaction: Great service will order again")</f>
        <v>Overall Satisfaction: Great service will order again</v>
      </c>
      <c r="Q672" s="14" t="str">
        <f>IFERROR(__xludf.DUMMYFUNCTION("split(P672,"":"")"),"Overall Satisfaction")</f>
        <v>Overall Satisfaction</v>
      </c>
      <c r="R672" s="14" t="str">
        <f>IFERROR(__xludf.DUMMYFUNCTION("""COMPUTED_VALUE""")," Great service will order again")</f>
        <v> Great service will order again</v>
      </c>
      <c r="S672" s="14" t="str">
        <f t="shared" ref="S672:U672" si="1347">trim(B672)</f>
        <v>ord_10663</v>
      </c>
      <c r="T672" s="14" t="str">
        <f t="shared" si="1347"/>
        <v>Aarav Mehta</v>
      </c>
      <c r="U672" s="14" t="str">
        <f t="shared" si="1347"/>
        <v>Andheri</v>
      </c>
      <c r="V672" s="14" t="str">
        <f t="shared" si="4"/>
        <v>Guava</v>
      </c>
      <c r="W672" s="14">
        <f t="shared" si="5"/>
        <v>2</v>
      </c>
      <c r="X672" s="14" t="str">
        <f t="shared" si="6"/>
        <v>Manju Ajay</v>
      </c>
      <c r="Y672" s="15">
        <f t="shared" si="7"/>
        <v>45024</v>
      </c>
      <c r="Z672" s="14" t="str">
        <f t="shared" si="8"/>
        <v>Online Payment</v>
      </c>
      <c r="AA672" s="14" t="str">
        <f t="shared" si="9"/>
        <v>Delivered</v>
      </c>
      <c r="AB672" s="14" t="str">
        <f t="shared" ref="AB672:AC672" si="1348">trim(Q672)</f>
        <v>Overall Satisfaction</v>
      </c>
      <c r="AC672" s="14" t="str">
        <f t="shared" si="1348"/>
        <v>Great service will order again</v>
      </c>
      <c r="AD672" s="8"/>
    </row>
    <row r="673">
      <c r="A673" s="14" t="str">
        <f>IFERROR(__xludf.DUMMYFUNCTION("""COMPUTED_VALUE"""),"//ord_10664//Anaya Rao//Colaba//Chicken Puff+4*Sita T/2/19/2023//COD//Delivered*On-time Delivery: Delivered on time")</f>
        <v>//ord_10664//Anaya Rao//Colaba//Chicken Puff+4*Sita T/2/19/2023//COD//Delivered*On-time Delivery: Delivered on time</v>
      </c>
      <c r="B673" s="14" t="str">
        <f>IFERROR(__xludf.DUMMYFUNCTION("split(A673,""//"")"),"ord_10664")</f>
        <v>ord_10664</v>
      </c>
      <c r="C673" s="14" t="str">
        <f>IFERROR(__xludf.DUMMYFUNCTION("""COMPUTED_VALUE"""),"Anaya Rao")</f>
        <v>Anaya Rao</v>
      </c>
      <c r="D673" s="14" t="str">
        <f>IFERROR(__xludf.DUMMYFUNCTION("""COMPUTED_VALUE"""),"Colaba")</f>
        <v>Colaba</v>
      </c>
      <c r="E673" s="14" t="str">
        <f>IFERROR(__xludf.DUMMYFUNCTION("""COMPUTED_VALUE"""),"Chicken Puff+4*Sita T")</f>
        <v>Chicken Puff+4*Sita T</v>
      </c>
      <c r="F673" s="14">
        <f>IFERROR(__xludf.DUMMYFUNCTION("""COMPUTED_VALUE"""),2.0)</f>
        <v>2</v>
      </c>
      <c r="G673" s="14">
        <f>IFERROR(__xludf.DUMMYFUNCTION("""COMPUTED_VALUE"""),19.0)</f>
        <v>19</v>
      </c>
      <c r="H673" s="14">
        <f>IFERROR(__xludf.DUMMYFUNCTION("""COMPUTED_VALUE"""),2023.0)</f>
        <v>2023</v>
      </c>
      <c r="I673" s="14" t="str">
        <f>IFERROR(__xludf.DUMMYFUNCTION("""COMPUTED_VALUE"""),"COD")</f>
        <v>COD</v>
      </c>
      <c r="J673" s="14" t="str">
        <f>IFERROR(__xludf.DUMMYFUNCTION("""COMPUTED_VALUE"""),"Delivered*On-time Delivery: Delivered on time")</f>
        <v>Delivered*On-time Delivery: Delivered on time</v>
      </c>
      <c r="K673" s="14" t="str">
        <f>IFERROR(__xludf.DUMMYFUNCTION("split(E673,""+"")"),"Chicken Puff")</f>
        <v>Chicken Puff</v>
      </c>
      <c r="L673" s="14" t="str">
        <f>IFERROR(__xludf.DUMMYFUNCTION("""COMPUTED_VALUE"""),"4*Sita T")</f>
        <v>4*Sita T</v>
      </c>
      <c r="M673" s="14">
        <f>IFERROR(__xludf.DUMMYFUNCTION("SPLIT(L673,""*"")"),4.0)</f>
        <v>4</v>
      </c>
      <c r="N673" s="14" t="str">
        <f>IFERROR(__xludf.DUMMYFUNCTION("""COMPUTED_VALUE"""),"Sita T")</f>
        <v>Sita T</v>
      </c>
      <c r="O673" s="14" t="str">
        <f>IFERROR(__xludf.DUMMYFUNCTION("split(J673,""*"")"),"Delivered")</f>
        <v>Delivered</v>
      </c>
      <c r="P673" s="14" t="str">
        <f>IFERROR(__xludf.DUMMYFUNCTION("""COMPUTED_VALUE"""),"On-time Delivery: Delivered on time")</f>
        <v>On-time Delivery: Delivered on time</v>
      </c>
      <c r="Q673" s="14" t="str">
        <f>IFERROR(__xludf.DUMMYFUNCTION("split(P673,"":"")"),"On-time Delivery")</f>
        <v>On-time Delivery</v>
      </c>
      <c r="R673" s="14" t="str">
        <f>IFERROR(__xludf.DUMMYFUNCTION("""COMPUTED_VALUE""")," Delivered on time")</f>
        <v> Delivered on time</v>
      </c>
      <c r="S673" s="14" t="str">
        <f t="shared" ref="S673:U673" si="1349">trim(B673)</f>
        <v>ord_10664</v>
      </c>
      <c r="T673" s="14" t="str">
        <f t="shared" si="1349"/>
        <v>Anaya Rao</v>
      </c>
      <c r="U673" s="14" t="str">
        <f t="shared" si="1349"/>
        <v>Colaba</v>
      </c>
      <c r="V673" s="14" t="str">
        <f t="shared" si="4"/>
        <v>Chicken Puff</v>
      </c>
      <c r="W673" s="14">
        <f t="shared" si="5"/>
        <v>4</v>
      </c>
      <c r="X673" s="14" t="str">
        <f t="shared" si="6"/>
        <v>Sita T</v>
      </c>
      <c r="Y673" s="15">
        <f t="shared" si="7"/>
        <v>44976</v>
      </c>
      <c r="Z673" s="14" t="str">
        <f t="shared" si="8"/>
        <v>COD</v>
      </c>
      <c r="AA673" s="14" t="str">
        <f t="shared" si="9"/>
        <v>Delivered</v>
      </c>
      <c r="AB673" s="14" t="str">
        <f t="shared" ref="AB673:AC673" si="1350">trim(Q673)</f>
        <v>On-time Delivery</v>
      </c>
      <c r="AC673" s="14" t="str">
        <f t="shared" si="1350"/>
        <v>Delivered on time</v>
      </c>
      <c r="AD673" s="8"/>
    </row>
    <row r="674">
      <c r="A674" s="14" t="str">
        <f>IFERROR(__xludf.DUMMYFUNCTION("""COMPUTED_VALUE"""),"//ord_10665//Ishita Banerjee//Juhu//Potato+1*Not Assigned/9/23/2023//UPI//Cancelled*App Glitches:Missing Content")</f>
        <v>//ord_10665//Ishita Banerjee//Juhu//Potato+1*Not Assigned/9/23/2023//UPI//Cancelled*App Glitches:Missing Content</v>
      </c>
      <c r="B674" s="14" t="str">
        <f>IFERROR(__xludf.DUMMYFUNCTION("split(A674,""//"")"),"ord_10665")</f>
        <v>ord_10665</v>
      </c>
      <c r="C674" s="14" t="str">
        <f>IFERROR(__xludf.DUMMYFUNCTION("""COMPUTED_VALUE"""),"Ishita Banerjee")</f>
        <v>Ishita Banerjee</v>
      </c>
      <c r="D674" s="14" t="str">
        <f>IFERROR(__xludf.DUMMYFUNCTION("""COMPUTED_VALUE"""),"Juhu")</f>
        <v>Juhu</v>
      </c>
      <c r="E674" s="14" t="str">
        <f>IFERROR(__xludf.DUMMYFUNCTION("""COMPUTED_VALUE"""),"Potato+1*Not Assigned")</f>
        <v>Potato+1*Not Assigned</v>
      </c>
      <c r="F674" s="14">
        <f>IFERROR(__xludf.DUMMYFUNCTION("""COMPUTED_VALUE"""),9.0)</f>
        <v>9</v>
      </c>
      <c r="G674" s="14">
        <f>IFERROR(__xludf.DUMMYFUNCTION("""COMPUTED_VALUE"""),23.0)</f>
        <v>23</v>
      </c>
      <c r="H674" s="14">
        <f>IFERROR(__xludf.DUMMYFUNCTION("""COMPUTED_VALUE"""),2023.0)</f>
        <v>2023</v>
      </c>
      <c r="I674" s="14" t="str">
        <f>IFERROR(__xludf.DUMMYFUNCTION("""COMPUTED_VALUE"""),"UPI")</f>
        <v>UPI</v>
      </c>
      <c r="J674" s="14" t="str">
        <f>IFERROR(__xludf.DUMMYFUNCTION("""COMPUTED_VALUE"""),"Cancelled*App Glitches:Missing Content")</f>
        <v>Cancelled*App Glitches:Missing Content</v>
      </c>
      <c r="K674" s="14" t="str">
        <f>IFERROR(__xludf.DUMMYFUNCTION("split(E674,""+"")"),"Potato")</f>
        <v>Potato</v>
      </c>
      <c r="L674" s="14" t="str">
        <f>IFERROR(__xludf.DUMMYFUNCTION("""COMPUTED_VALUE"""),"1*Not Assigned")</f>
        <v>1*Not Assigned</v>
      </c>
      <c r="M674" s="14">
        <f>IFERROR(__xludf.DUMMYFUNCTION("SPLIT(L674,""*"")"),1.0)</f>
        <v>1</v>
      </c>
      <c r="N674" s="14" t="str">
        <f>IFERROR(__xludf.DUMMYFUNCTION("""COMPUTED_VALUE"""),"Not Assigned")</f>
        <v>Not Assigned</v>
      </c>
      <c r="O674" s="14" t="str">
        <f>IFERROR(__xludf.DUMMYFUNCTION("split(J674,""*"")"),"Cancelled")</f>
        <v>Cancelled</v>
      </c>
      <c r="P674" s="14" t="str">
        <f>IFERROR(__xludf.DUMMYFUNCTION("""COMPUTED_VALUE"""),"App Glitches:Missing Content")</f>
        <v>App Glitches:Missing Content</v>
      </c>
      <c r="Q674" s="14" t="str">
        <f>IFERROR(__xludf.DUMMYFUNCTION("split(P674,"":"")"),"App Glitches")</f>
        <v>App Glitches</v>
      </c>
      <c r="R674" s="14" t="str">
        <f>IFERROR(__xludf.DUMMYFUNCTION("""COMPUTED_VALUE"""),"Missing Content")</f>
        <v>Missing Content</v>
      </c>
      <c r="S674" s="14" t="str">
        <f t="shared" ref="S674:U674" si="1351">trim(B674)</f>
        <v>ord_10665</v>
      </c>
      <c r="T674" s="14" t="str">
        <f t="shared" si="1351"/>
        <v>Ishita Banerjee</v>
      </c>
      <c r="U674" s="14" t="str">
        <f t="shared" si="1351"/>
        <v>Juhu</v>
      </c>
      <c r="V674" s="14" t="str">
        <f t="shared" si="4"/>
        <v>Potato</v>
      </c>
      <c r="W674" s="14">
        <f t="shared" si="5"/>
        <v>1</v>
      </c>
      <c r="X674" s="14" t="str">
        <f t="shared" si="6"/>
        <v>Not Assigned</v>
      </c>
      <c r="Y674" s="15">
        <f t="shared" si="7"/>
        <v>45192</v>
      </c>
      <c r="Z674" s="14" t="str">
        <f t="shared" si="8"/>
        <v>UPI</v>
      </c>
      <c r="AA674" s="14" t="str">
        <f t="shared" si="9"/>
        <v>Cancelled</v>
      </c>
      <c r="AB674" s="14" t="str">
        <f t="shared" ref="AB674:AC674" si="1352">trim(Q674)</f>
        <v>App Glitches</v>
      </c>
      <c r="AC674" s="14" t="str">
        <f t="shared" si="1352"/>
        <v>Missing Content</v>
      </c>
      <c r="AD674" s="8"/>
    </row>
    <row r="675">
      <c r="A675" s="14" t="str">
        <f>IFERROR(__xludf.DUMMYFUNCTION("""COMPUTED_VALUE"""),"//ord_10666//Diya Arora//Lower Parel//Papaya+1*Ramesh S/1/2/2023//UPI//Delivered*Quality of Items: Perfect condition")</f>
        <v>//ord_10666//Diya Arora//Lower Parel//Papaya+1*Ramesh S/1/2/2023//UPI//Delivered*Quality of Items: Perfect condition</v>
      </c>
      <c r="B675" s="14" t="str">
        <f>IFERROR(__xludf.DUMMYFUNCTION("split(A675,""//"")"),"ord_10666")</f>
        <v>ord_10666</v>
      </c>
      <c r="C675" s="14" t="str">
        <f>IFERROR(__xludf.DUMMYFUNCTION("""COMPUTED_VALUE"""),"Diya Arora")</f>
        <v>Diya Arora</v>
      </c>
      <c r="D675" s="14" t="str">
        <f>IFERROR(__xludf.DUMMYFUNCTION("""COMPUTED_VALUE"""),"Lower Parel")</f>
        <v>Lower Parel</v>
      </c>
      <c r="E675" s="14" t="str">
        <f>IFERROR(__xludf.DUMMYFUNCTION("""COMPUTED_VALUE"""),"Papaya+1*Ramesh S")</f>
        <v>Papaya+1*Ramesh S</v>
      </c>
      <c r="F675" s="14">
        <f>IFERROR(__xludf.DUMMYFUNCTION("""COMPUTED_VALUE"""),1.0)</f>
        <v>1</v>
      </c>
      <c r="G675" s="14">
        <f>IFERROR(__xludf.DUMMYFUNCTION("""COMPUTED_VALUE"""),2.0)</f>
        <v>2</v>
      </c>
      <c r="H675" s="14">
        <f>IFERROR(__xludf.DUMMYFUNCTION("""COMPUTED_VALUE"""),2023.0)</f>
        <v>2023</v>
      </c>
      <c r="I675" s="14" t="str">
        <f>IFERROR(__xludf.DUMMYFUNCTION("""COMPUTED_VALUE"""),"UPI")</f>
        <v>UPI</v>
      </c>
      <c r="J675" s="14" t="str">
        <f>IFERROR(__xludf.DUMMYFUNCTION("""COMPUTED_VALUE"""),"Delivered*Quality of Items: Perfect condition")</f>
        <v>Delivered*Quality of Items: Perfect condition</v>
      </c>
      <c r="K675" s="14" t="str">
        <f>IFERROR(__xludf.DUMMYFUNCTION("split(E675,""+"")"),"Papaya")</f>
        <v>Papaya</v>
      </c>
      <c r="L675" s="14" t="str">
        <f>IFERROR(__xludf.DUMMYFUNCTION("""COMPUTED_VALUE"""),"1*Ramesh S")</f>
        <v>1*Ramesh S</v>
      </c>
      <c r="M675" s="14">
        <f>IFERROR(__xludf.DUMMYFUNCTION("SPLIT(L675,""*"")"),1.0)</f>
        <v>1</v>
      </c>
      <c r="N675" s="14" t="str">
        <f>IFERROR(__xludf.DUMMYFUNCTION("""COMPUTED_VALUE"""),"Ramesh S")</f>
        <v>Ramesh S</v>
      </c>
      <c r="O675" s="14" t="str">
        <f>IFERROR(__xludf.DUMMYFUNCTION("split(J675,""*"")"),"Delivered")</f>
        <v>Delivered</v>
      </c>
      <c r="P675" s="14" t="str">
        <f>IFERROR(__xludf.DUMMYFUNCTION("""COMPUTED_VALUE"""),"Quality of Items: Perfect condition")</f>
        <v>Quality of Items: Perfect condition</v>
      </c>
      <c r="Q675" s="14" t="str">
        <f>IFERROR(__xludf.DUMMYFUNCTION("split(P675,"":"")"),"Quality of Items")</f>
        <v>Quality of Items</v>
      </c>
      <c r="R675" s="14" t="str">
        <f>IFERROR(__xludf.DUMMYFUNCTION("""COMPUTED_VALUE""")," Perfect condition")</f>
        <v> Perfect condition</v>
      </c>
      <c r="S675" s="14" t="str">
        <f t="shared" ref="S675:U675" si="1353">trim(B675)</f>
        <v>ord_10666</v>
      </c>
      <c r="T675" s="14" t="str">
        <f t="shared" si="1353"/>
        <v>Diya Arora</v>
      </c>
      <c r="U675" s="14" t="str">
        <f t="shared" si="1353"/>
        <v>Lower Parel</v>
      </c>
      <c r="V675" s="14" t="str">
        <f t="shared" si="4"/>
        <v>Papaya</v>
      </c>
      <c r="W675" s="14">
        <f t="shared" si="5"/>
        <v>1</v>
      </c>
      <c r="X675" s="14" t="str">
        <f t="shared" si="6"/>
        <v>Ramesh S</v>
      </c>
      <c r="Y675" s="15">
        <f t="shared" si="7"/>
        <v>44928</v>
      </c>
      <c r="Z675" s="14" t="str">
        <f t="shared" si="8"/>
        <v>UPI</v>
      </c>
      <c r="AA675" s="14" t="str">
        <f t="shared" si="9"/>
        <v>Delivered</v>
      </c>
      <c r="AB675" s="14" t="str">
        <f t="shared" ref="AB675:AC675" si="1354">trim(Q675)</f>
        <v>Quality of Items</v>
      </c>
      <c r="AC675" s="14" t="str">
        <f t="shared" si="1354"/>
        <v>Perfect condition</v>
      </c>
      <c r="AD675" s="8"/>
    </row>
    <row r="676">
      <c r="A676" s="14" t="str">
        <f>IFERROR(__xludf.DUMMYFUNCTION("""COMPUTED_VALUE"""),"//ord_10667//Pranav Joshi//Andheri//Icecream+5*Ram Gopal/12/6/2023//Online Payment//Delivered*On-time Delivery: Delivered on time")</f>
        <v>//ord_10667//Pranav Joshi//Andheri//Icecream+5*Ram Gopal/12/6/2023//Online Payment//Delivered*On-time Delivery: Delivered on time</v>
      </c>
      <c r="B676" s="14" t="str">
        <f>IFERROR(__xludf.DUMMYFUNCTION("split(A676,""//"")"),"ord_10667")</f>
        <v>ord_10667</v>
      </c>
      <c r="C676" s="14" t="str">
        <f>IFERROR(__xludf.DUMMYFUNCTION("""COMPUTED_VALUE"""),"Pranav Joshi")</f>
        <v>Pranav Joshi</v>
      </c>
      <c r="D676" s="14" t="str">
        <f>IFERROR(__xludf.DUMMYFUNCTION("""COMPUTED_VALUE"""),"Andheri")</f>
        <v>Andheri</v>
      </c>
      <c r="E676" s="14" t="str">
        <f>IFERROR(__xludf.DUMMYFUNCTION("""COMPUTED_VALUE"""),"Icecream+5*Ram Gopal")</f>
        <v>Icecream+5*Ram Gopal</v>
      </c>
      <c r="F676" s="14">
        <f>IFERROR(__xludf.DUMMYFUNCTION("""COMPUTED_VALUE"""),12.0)</f>
        <v>12</v>
      </c>
      <c r="G676" s="14">
        <f>IFERROR(__xludf.DUMMYFUNCTION("""COMPUTED_VALUE"""),6.0)</f>
        <v>6</v>
      </c>
      <c r="H676" s="14">
        <f>IFERROR(__xludf.DUMMYFUNCTION("""COMPUTED_VALUE"""),2023.0)</f>
        <v>2023</v>
      </c>
      <c r="I676" s="14" t="str">
        <f>IFERROR(__xludf.DUMMYFUNCTION("""COMPUTED_VALUE"""),"Online Payment")</f>
        <v>Online Payment</v>
      </c>
      <c r="J676" s="14" t="str">
        <f>IFERROR(__xludf.DUMMYFUNCTION("""COMPUTED_VALUE"""),"Delivered*On-time Delivery: Delivered on time")</f>
        <v>Delivered*On-time Delivery: Delivered on time</v>
      </c>
      <c r="K676" s="14" t="str">
        <f>IFERROR(__xludf.DUMMYFUNCTION("split(E676,""+"")"),"Icecream")</f>
        <v>Icecream</v>
      </c>
      <c r="L676" s="14" t="str">
        <f>IFERROR(__xludf.DUMMYFUNCTION("""COMPUTED_VALUE"""),"5*Ram Gopal")</f>
        <v>5*Ram Gopal</v>
      </c>
      <c r="M676" s="14">
        <f>IFERROR(__xludf.DUMMYFUNCTION("SPLIT(L676,""*"")"),5.0)</f>
        <v>5</v>
      </c>
      <c r="N676" s="14" t="str">
        <f>IFERROR(__xludf.DUMMYFUNCTION("""COMPUTED_VALUE"""),"Ram Gopal")</f>
        <v>Ram Gopal</v>
      </c>
      <c r="O676" s="14" t="str">
        <f>IFERROR(__xludf.DUMMYFUNCTION("split(J676,""*"")"),"Delivered")</f>
        <v>Delivered</v>
      </c>
      <c r="P676" s="14" t="str">
        <f>IFERROR(__xludf.DUMMYFUNCTION("""COMPUTED_VALUE"""),"On-time Delivery: Delivered on time")</f>
        <v>On-time Delivery: Delivered on time</v>
      </c>
      <c r="Q676" s="14" t="str">
        <f>IFERROR(__xludf.DUMMYFUNCTION("split(P676,"":"")"),"On-time Delivery")</f>
        <v>On-time Delivery</v>
      </c>
      <c r="R676" s="14" t="str">
        <f>IFERROR(__xludf.DUMMYFUNCTION("""COMPUTED_VALUE""")," Delivered on time")</f>
        <v> Delivered on time</v>
      </c>
      <c r="S676" s="14" t="str">
        <f t="shared" ref="S676:U676" si="1355">trim(B676)</f>
        <v>ord_10667</v>
      </c>
      <c r="T676" s="14" t="str">
        <f t="shared" si="1355"/>
        <v>Pranav Joshi</v>
      </c>
      <c r="U676" s="14" t="str">
        <f t="shared" si="1355"/>
        <v>Andheri</v>
      </c>
      <c r="V676" s="14" t="str">
        <f t="shared" si="4"/>
        <v>Icecream</v>
      </c>
      <c r="W676" s="14">
        <f t="shared" si="5"/>
        <v>5</v>
      </c>
      <c r="X676" s="14" t="str">
        <f t="shared" si="6"/>
        <v>Ram Gopal</v>
      </c>
      <c r="Y676" s="15">
        <f t="shared" si="7"/>
        <v>45266</v>
      </c>
      <c r="Z676" s="14" t="str">
        <f t="shared" si="8"/>
        <v>Online Payment</v>
      </c>
      <c r="AA676" s="14" t="str">
        <f t="shared" si="9"/>
        <v>Delivered</v>
      </c>
      <c r="AB676" s="14" t="str">
        <f t="shared" ref="AB676:AC676" si="1356">trim(Q676)</f>
        <v>On-time Delivery</v>
      </c>
      <c r="AC676" s="14" t="str">
        <f t="shared" si="1356"/>
        <v>Delivered on time</v>
      </c>
      <c r="AD676" s="8"/>
    </row>
    <row r="677">
      <c r="A677" s="14" t="str">
        <f>IFERROR(__xludf.DUMMYFUNCTION("""COMPUTED_VALUE"""),"//ord_10668//Tanishq Bansal//Powai//Cucumber+2*Sandeep Kumar/1/14/2023//UPI//Delivered*Quality of Items: Perfect condition")</f>
        <v>//ord_10668//Tanishq Bansal//Powai//Cucumber+2*Sandeep Kumar/1/14/2023//UPI//Delivered*Quality of Items: Perfect condition</v>
      </c>
      <c r="B677" s="14" t="str">
        <f>IFERROR(__xludf.DUMMYFUNCTION("split(A677,""//"")"),"ord_10668")</f>
        <v>ord_10668</v>
      </c>
      <c r="C677" s="14" t="str">
        <f>IFERROR(__xludf.DUMMYFUNCTION("""COMPUTED_VALUE"""),"Tanishq Bansal")</f>
        <v>Tanishq Bansal</v>
      </c>
      <c r="D677" s="14" t="str">
        <f>IFERROR(__xludf.DUMMYFUNCTION("""COMPUTED_VALUE"""),"Powai")</f>
        <v>Powai</v>
      </c>
      <c r="E677" s="14" t="str">
        <f>IFERROR(__xludf.DUMMYFUNCTION("""COMPUTED_VALUE"""),"Cucumber+2*Sandeep Kumar")</f>
        <v>Cucumber+2*Sandeep Kumar</v>
      </c>
      <c r="F677" s="14">
        <f>IFERROR(__xludf.DUMMYFUNCTION("""COMPUTED_VALUE"""),1.0)</f>
        <v>1</v>
      </c>
      <c r="G677" s="14">
        <f>IFERROR(__xludf.DUMMYFUNCTION("""COMPUTED_VALUE"""),14.0)</f>
        <v>14</v>
      </c>
      <c r="H677" s="14">
        <f>IFERROR(__xludf.DUMMYFUNCTION("""COMPUTED_VALUE"""),2023.0)</f>
        <v>2023</v>
      </c>
      <c r="I677" s="14" t="str">
        <f>IFERROR(__xludf.DUMMYFUNCTION("""COMPUTED_VALUE"""),"UPI")</f>
        <v>UPI</v>
      </c>
      <c r="J677" s="14" t="str">
        <f>IFERROR(__xludf.DUMMYFUNCTION("""COMPUTED_VALUE"""),"Delivered*Quality of Items: Perfect condition")</f>
        <v>Delivered*Quality of Items: Perfect condition</v>
      </c>
      <c r="K677" s="14" t="str">
        <f>IFERROR(__xludf.DUMMYFUNCTION("split(E677,""+"")"),"Cucumber")</f>
        <v>Cucumber</v>
      </c>
      <c r="L677" s="14" t="str">
        <f>IFERROR(__xludf.DUMMYFUNCTION("""COMPUTED_VALUE"""),"2*Sandeep Kumar")</f>
        <v>2*Sandeep Kumar</v>
      </c>
      <c r="M677" s="14">
        <f>IFERROR(__xludf.DUMMYFUNCTION("SPLIT(L677,""*"")"),2.0)</f>
        <v>2</v>
      </c>
      <c r="N677" s="14" t="str">
        <f>IFERROR(__xludf.DUMMYFUNCTION("""COMPUTED_VALUE"""),"Sandeep Kumar")</f>
        <v>Sandeep Kumar</v>
      </c>
      <c r="O677" s="14" t="str">
        <f>IFERROR(__xludf.DUMMYFUNCTION("split(J677,""*"")"),"Delivered")</f>
        <v>Delivered</v>
      </c>
      <c r="P677" s="14" t="str">
        <f>IFERROR(__xludf.DUMMYFUNCTION("""COMPUTED_VALUE"""),"Quality of Items: Perfect condition")</f>
        <v>Quality of Items: Perfect condition</v>
      </c>
      <c r="Q677" s="14" t="str">
        <f>IFERROR(__xludf.DUMMYFUNCTION("split(P677,"":"")"),"Quality of Items")</f>
        <v>Quality of Items</v>
      </c>
      <c r="R677" s="14" t="str">
        <f>IFERROR(__xludf.DUMMYFUNCTION("""COMPUTED_VALUE""")," Perfect condition")</f>
        <v> Perfect condition</v>
      </c>
      <c r="S677" s="14" t="str">
        <f t="shared" ref="S677:U677" si="1357">trim(B677)</f>
        <v>ord_10668</v>
      </c>
      <c r="T677" s="14" t="str">
        <f t="shared" si="1357"/>
        <v>Tanishq Bansal</v>
      </c>
      <c r="U677" s="14" t="str">
        <f t="shared" si="1357"/>
        <v>Powai</v>
      </c>
      <c r="V677" s="14" t="str">
        <f t="shared" si="4"/>
        <v>Cucumber</v>
      </c>
      <c r="W677" s="14">
        <f t="shared" si="5"/>
        <v>2</v>
      </c>
      <c r="X677" s="14" t="str">
        <f t="shared" si="6"/>
        <v>Sandeep Kumar</v>
      </c>
      <c r="Y677" s="15">
        <f t="shared" si="7"/>
        <v>44940</v>
      </c>
      <c r="Z677" s="14" t="str">
        <f t="shared" si="8"/>
        <v>UPI</v>
      </c>
      <c r="AA677" s="14" t="str">
        <f t="shared" si="9"/>
        <v>Delivered</v>
      </c>
      <c r="AB677" s="14" t="str">
        <f t="shared" ref="AB677:AC677" si="1358">trim(Q677)</f>
        <v>Quality of Items</v>
      </c>
      <c r="AC677" s="14" t="str">
        <f t="shared" si="1358"/>
        <v>Perfect condition</v>
      </c>
      <c r="AD677" s="8"/>
    </row>
    <row r="678">
      <c r="A678" s="14" t="str">
        <f>IFERROR(__xludf.DUMMYFUNCTION("""COMPUTED_VALUE"""),"//ord_10669//Mehul Thakkar//Malad//Veg Puff+2*Neha Shah/8/10/2023//UPI//Delivered*Packaging: Secure and intact")</f>
        <v>//ord_10669//Mehul Thakkar//Malad//Veg Puff+2*Neha Shah/8/10/2023//UPI//Delivered*Packaging: Secure and intact</v>
      </c>
      <c r="B678" s="14" t="str">
        <f>IFERROR(__xludf.DUMMYFUNCTION("split(A678,""//"")"),"ord_10669")</f>
        <v>ord_10669</v>
      </c>
      <c r="C678" s="14" t="str">
        <f>IFERROR(__xludf.DUMMYFUNCTION("""COMPUTED_VALUE"""),"Mehul Thakkar")</f>
        <v>Mehul Thakkar</v>
      </c>
      <c r="D678" s="14" t="str">
        <f>IFERROR(__xludf.DUMMYFUNCTION("""COMPUTED_VALUE"""),"Malad")</f>
        <v>Malad</v>
      </c>
      <c r="E678" s="14" t="str">
        <f>IFERROR(__xludf.DUMMYFUNCTION("""COMPUTED_VALUE"""),"Veg Puff+2*Neha Shah")</f>
        <v>Veg Puff+2*Neha Shah</v>
      </c>
      <c r="F678" s="14">
        <f>IFERROR(__xludf.DUMMYFUNCTION("""COMPUTED_VALUE"""),8.0)</f>
        <v>8</v>
      </c>
      <c r="G678" s="14">
        <f>IFERROR(__xludf.DUMMYFUNCTION("""COMPUTED_VALUE"""),10.0)</f>
        <v>10</v>
      </c>
      <c r="H678" s="14">
        <f>IFERROR(__xludf.DUMMYFUNCTION("""COMPUTED_VALUE"""),2023.0)</f>
        <v>2023</v>
      </c>
      <c r="I678" s="14" t="str">
        <f>IFERROR(__xludf.DUMMYFUNCTION("""COMPUTED_VALUE"""),"UPI")</f>
        <v>UPI</v>
      </c>
      <c r="J678" s="14" t="str">
        <f>IFERROR(__xludf.DUMMYFUNCTION("""COMPUTED_VALUE"""),"Delivered*Packaging: Secure and intact")</f>
        <v>Delivered*Packaging: Secure and intact</v>
      </c>
      <c r="K678" s="14" t="str">
        <f>IFERROR(__xludf.DUMMYFUNCTION("split(E678,""+"")"),"Veg Puff")</f>
        <v>Veg Puff</v>
      </c>
      <c r="L678" s="14" t="str">
        <f>IFERROR(__xludf.DUMMYFUNCTION("""COMPUTED_VALUE"""),"2*Neha Shah")</f>
        <v>2*Neha Shah</v>
      </c>
      <c r="M678" s="14">
        <f>IFERROR(__xludf.DUMMYFUNCTION("SPLIT(L678,""*"")"),2.0)</f>
        <v>2</v>
      </c>
      <c r="N678" s="14" t="str">
        <f>IFERROR(__xludf.DUMMYFUNCTION("""COMPUTED_VALUE"""),"Neha Shah")</f>
        <v>Neha Shah</v>
      </c>
      <c r="O678" s="14" t="str">
        <f>IFERROR(__xludf.DUMMYFUNCTION("split(J678,""*"")"),"Delivered")</f>
        <v>Delivered</v>
      </c>
      <c r="P678" s="14" t="str">
        <f>IFERROR(__xludf.DUMMYFUNCTION("""COMPUTED_VALUE"""),"Packaging: Secure and intact")</f>
        <v>Packaging: Secure and intact</v>
      </c>
      <c r="Q678" s="14" t="str">
        <f>IFERROR(__xludf.DUMMYFUNCTION("split(P678,"":"")"),"Packaging")</f>
        <v>Packaging</v>
      </c>
      <c r="R678" s="14" t="str">
        <f>IFERROR(__xludf.DUMMYFUNCTION("""COMPUTED_VALUE""")," Secure and intact")</f>
        <v> Secure and intact</v>
      </c>
      <c r="S678" s="14" t="str">
        <f t="shared" ref="S678:U678" si="1359">trim(B678)</f>
        <v>ord_10669</v>
      </c>
      <c r="T678" s="14" t="str">
        <f t="shared" si="1359"/>
        <v>Mehul Thakkar</v>
      </c>
      <c r="U678" s="14" t="str">
        <f t="shared" si="1359"/>
        <v>Malad</v>
      </c>
      <c r="V678" s="14" t="str">
        <f t="shared" si="4"/>
        <v>Veg Puff</v>
      </c>
      <c r="W678" s="14">
        <f t="shared" si="5"/>
        <v>2</v>
      </c>
      <c r="X678" s="14" t="str">
        <f t="shared" si="6"/>
        <v>Neha Shah</v>
      </c>
      <c r="Y678" s="15">
        <f t="shared" si="7"/>
        <v>45148</v>
      </c>
      <c r="Z678" s="14" t="str">
        <f t="shared" si="8"/>
        <v>UPI</v>
      </c>
      <c r="AA678" s="14" t="str">
        <f t="shared" si="9"/>
        <v>Delivered</v>
      </c>
      <c r="AB678" s="14" t="str">
        <f t="shared" ref="AB678:AC678" si="1360">trim(Q678)</f>
        <v>Packaging</v>
      </c>
      <c r="AC678" s="14" t="str">
        <f t="shared" si="1360"/>
        <v>Secure and intact</v>
      </c>
      <c r="AD678" s="8"/>
    </row>
    <row r="679">
      <c r="A679" s="14" t="str">
        <f>IFERROR(__xludf.DUMMYFUNCTION("""COMPUTED_VALUE"""),"//ord_10670//Dev Chauhan//Bandra//Sweet Corn+1*Priya Joshi/12/7/2023//UPI//Delivered*Satisfied with the Delivery: Timely and quality")</f>
        <v>//ord_10670//Dev Chauhan//Bandra//Sweet Corn+1*Priya Joshi/12/7/2023//UPI//Delivered*Satisfied with the Delivery: Timely and quality</v>
      </c>
      <c r="B679" s="14" t="str">
        <f>IFERROR(__xludf.DUMMYFUNCTION("split(A679,""//"")"),"ord_10670")</f>
        <v>ord_10670</v>
      </c>
      <c r="C679" s="14" t="str">
        <f>IFERROR(__xludf.DUMMYFUNCTION("""COMPUTED_VALUE"""),"Dev Chauhan")</f>
        <v>Dev Chauhan</v>
      </c>
      <c r="D679" s="14" t="str">
        <f>IFERROR(__xludf.DUMMYFUNCTION("""COMPUTED_VALUE"""),"Bandra")</f>
        <v>Bandra</v>
      </c>
      <c r="E679" s="14" t="str">
        <f>IFERROR(__xludf.DUMMYFUNCTION("""COMPUTED_VALUE"""),"Sweet Corn+1*Priya Joshi")</f>
        <v>Sweet Corn+1*Priya Joshi</v>
      </c>
      <c r="F679" s="14">
        <f>IFERROR(__xludf.DUMMYFUNCTION("""COMPUTED_VALUE"""),12.0)</f>
        <v>12</v>
      </c>
      <c r="G679" s="14">
        <f>IFERROR(__xludf.DUMMYFUNCTION("""COMPUTED_VALUE"""),7.0)</f>
        <v>7</v>
      </c>
      <c r="H679" s="14">
        <f>IFERROR(__xludf.DUMMYFUNCTION("""COMPUTED_VALUE"""),2023.0)</f>
        <v>2023</v>
      </c>
      <c r="I679" s="14" t="str">
        <f>IFERROR(__xludf.DUMMYFUNCTION("""COMPUTED_VALUE"""),"UPI")</f>
        <v>UPI</v>
      </c>
      <c r="J679" s="14" t="str">
        <f>IFERROR(__xludf.DUMMYFUNCTION("""COMPUTED_VALUE"""),"Delivered*Satisfied with the Delivery: Timely and quality")</f>
        <v>Delivered*Satisfied with the Delivery: Timely and quality</v>
      </c>
      <c r="K679" s="14" t="str">
        <f>IFERROR(__xludf.DUMMYFUNCTION("split(E679,""+"")"),"Sweet Corn")</f>
        <v>Sweet Corn</v>
      </c>
      <c r="L679" s="14" t="str">
        <f>IFERROR(__xludf.DUMMYFUNCTION("""COMPUTED_VALUE"""),"1*Priya Joshi")</f>
        <v>1*Priya Joshi</v>
      </c>
      <c r="M679" s="14">
        <f>IFERROR(__xludf.DUMMYFUNCTION("SPLIT(L679,""*"")"),1.0)</f>
        <v>1</v>
      </c>
      <c r="N679" s="14" t="str">
        <f>IFERROR(__xludf.DUMMYFUNCTION("""COMPUTED_VALUE"""),"Priya Joshi")</f>
        <v>Priya Joshi</v>
      </c>
      <c r="O679" s="14" t="str">
        <f>IFERROR(__xludf.DUMMYFUNCTION("split(J679,""*"")"),"Delivered")</f>
        <v>Delivered</v>
      </c>
      <c r="P679" s="14" t="str">
        <f>IFERROR(__xludf.DUMMYFUNCTION("""COMPUTED_VALUE"""),"Satisfied with the Delivery: Timely and quality")</f>
        <v>Satisfied with the Delivery: Timely and quality</v>
      </c>
      <c r="Q679" s="14" t="str">
        <f>IFERROR(__xludf.DUMMYFUNCTION("split(P679,"":"")"),"Satisfied with the Delivery")</f>
        <v>Satisfied with the Delivery</v>
      </c>
      <c r="R679" s="14" t="str">
        <f>IFERROR(__xludf.DUMMYFUNCTION("""COMPUTED_VALUE""")," Timely and quality")</f>
        <v> Timely and quality</v>
      </c>
      <c r="S679" s="14" t="str">
        <f t="shared" ref="S679:U679" si="1361">trim(B679)</f>
        <v>ord_10670</v>
      </c>
      <c r="T679" s="14" t="str">
        <f t="shared" si="1361"/>
        <v>Dev Chauhan</v>
      </c>
      <c r="U679" s="14" t="str">
        <f t="shared" si="1361"/>
        <v>Bandra</v>
      </c>
      <c r="V679" s="14" t="str">
        <f t="shared" si="4"/>
        <v>Sweet Corn</v>
      </c>
      <c r="W679" s="14">
        <f t="shared" si="5"/>
        <v>1</v>
      </c>
      <c r="X679" s="14" t="str">
        <f t="shared" si="6"/>
        <v>Priya Joshi</v>
      </c>
      <c r="Y679" s="15">
        <f t="shared" si="7"/>
        <v>45267</v>
      </c>
      <c r="Z679" s="14" t="str">
        <f t="shared" si="8"/>
        <v>UPI</v>
      </c>
      <c r="AA679" s="14" t="str">
        <f t="shared" si="9"/>
        <v>Delivered</v>
      </c>
      <c r="AB679" s="14" t="str">
        <f t="shared" ref="AB679:AC679" si="1362">trim(Q679)</f>
        <v>Satisfied with the Delivery</v>
      </c>
      <c r="AC679" s="14" t="str">
        <f t="shared" si="1362"/>
        <v>Timely and quality</v>
      </c>
      <c r="AD679" s="8"/>
    </row>
    <row r="680">
      <c r="A680" s="14" t="str">
        <f>IFERROR(__xludf.DUMMYFUNCTION("""COMPUTED_VALUE"""),"//ord_10671//Aarohi Kapoor//Bandra//Papaya+2*Priya Joshi/7/9/2023//UPI//Delivered*Customer Service: Seamless and easy")</f>
        <v>//ord_10671//Aarohi Kapoor//Bandra//Papaya+2*Priya Joshi/7/9/2023//UPI//Delivered*Customer Service: Seamless and easy</v>
      </c>
      <c r="B680" s="14" t="str">
        <f>IFERROR(__xludf.DUMMYFUNCTION("split(A680,""//"")"),"ord_10671")</f>
        <v>ord_10671</v>
      </c>
      <c r="C680" s="14" t="str">
        <f>IFERROR(__xludf.DUMMYFUNCTION("""COMPUTED_VALUE"""),"Aarohi Kapoor")</f>
        <v>Aarohi Kapoor</v>
      </c>
      <c r="D680" s="14" t="str">
        <f>IFERROR(__xludf.DUMMYFUNCTION("""COMPUTED_VALUE"""),"Bandra")</f>
        <v>Bandra</v>
      </c>
      <c r="E680" s="14" t="str">
        <f>IFERROR(__xludf.DUMMYFUNCTION("""COMPUTED_VALUE"""),"Papaya+2*Priya Joshi")</f>
        <v>Papaya+2*Priya Joshi</v>
      </c>
      <c r="F680" s="14">
        <f>IFERROR(__xludf.DUMMYFUNCTION("""COMPUTED_VALUE"""),7.0)</f>
        <v>7</v>
      </c>
      <c r="G680" s="14">
        <f>IFERROR(__xludf.DUMMYFUNCTION("""COMPUTED_VALUE"""),9.0)</f>
        <v>9</v>
      </c>
      <c r="H680" s="14">
        <f>IFERROR(__xludf.DUMMYFUNCTION("""COMPUTED_VALUE"""),2023.0)</f>
        <v>2023</v>
      </c>
      <c r="I680" s="14" t="str">
        <f>IFERROR(__xludf.DUMMYFUNCTION("""COMPUTED_VALUE"""),"UPI")</f>
        <v>UPI</v>
      </c>
      <c r="J680" s="14" t="str">
        <f>IFERROR(__xludf.DUMMYFUNCTION("""COMPUTED_VALUE"""),"Delivered*Customer Service: Seamless and easy")</f>
        <v>Delivered*Customer Service: Seamless and easy</v>
      </c>
      <c r="K680" s="14" t="str">
        <f>IFERROR(__xludf.DUMMYFUNCTION("split(E680,""+"")"),"Papaya")</f>
        <v>Papaya</v>
      </c>
      <c r="L680" s="14" t="str">
        <f>IFERROR(__xludf.DUMMYFUNCTION("""COMPUTED_VALUE"""),"2*Priya Joshi")</f>
        <v>2*Priya Joshi</v>
      </c>
      <c r="M680" s="14">
        <f>IFERROR(__xludf.DUMMYFUNCTION("SPLIT(L680,""*"")"),2.0)</f>
        <v>2</v>
      </c>
      <c r="N680" s="14" t="str">
        <f>IFERROR(__xludf.DUMMYFUNCTION("""COMPUTED_VALUE"""),"Priya Joshi")</f>
        <v>Priya Joshi</v>
      </c>
      <c r="O680" s="14" t="str">
        <f>IFERROR(__xludf.DUMMYFUNCTION("split(J680,""*"")"),"Delivered")</f>
        <v>Delivered</v>
      </c>
      <c r="P680" s="14" t="str">
        <f>IFERROR(__xludf.DUMMYFUNCTION("""COMPUTED_VALUE"""),"Customer Service: Seamless and easy")</f>
        <v>Customer Service: Seamless and easy</v>
      </c>
      <c r="Q680" s="14" t="str">
        <f>IFERROR(__xludf.DUMMYFUNCTION("split(P680,"":"")"),"Customer Service")</f>
        <v>Customer Service</v>
      </c>
      <c r="R680" s="14" t="str">
        <f>IFERROR(__xludf.DUMMYFUNCTION("""COMPUTED_VALUE""")," Seamless and easy")</f>
        <v> Seamless and easy</v>
      </c>
      <c r="S680" s="14" t="str">
        <f t="shared" ref="S680:U680" si="1363">trim(B680)</f>
        <v>ord_10671</v>
      </c>
      <c r="T680" s="14" t="str">
        <f t="shared" si="1363"/>
        <v>Aarohi Kapoor</v>
      </c>
      <c r="U680" s="14" t="str">
        <f t="shared" si="1363"/>
        <v>Bandra</v>
      </c>
      <c r="V680" s="14" t="str">
        <f t="shared" si="4"/>
        <v>Papaya</v>
      </c>
      <c r="W680" s="14">
        <f t="shared" si="5"/>
        <v>2</v>
      </c>
      <c r="X680" s="14" t="str">
        <f t="shared" si="6"/>
        <v>Priya Joshi</v>
      </c>
      <c r="Y680" s="15">
        <f t="shared" si="7"/>
        <v>45116</v>
      </c>
      <c r="Z680" s="14" t="str">
        <f t="shared" si="8"/>
        <v>UPI</v>
      </c>
      <c r="AA680" s="14" t="str">
        <f t="shared" si="9"/>
        <v>Delivered</v>
      </c>
      <c r="AB680" s="14" t="str">
        <f t="shared" ref="AB680:AC680" si="1364">trim(Q680)</f>
        <v>Customer Service</v>
      </c>
      <c r="AC680" s="14" t="str">
        <f t="shared" si="1364"/>
        <v>Seamless and easy</v>
      </c>
      <c r="AD680" s="8"/>
    </row>
    <row r="681">
      <c r="A681" s="14" t="str">
        <f>IFERROR(__xludf.DUMMYFUNCTION("""COMPUTED_VALUE"""),"//ord_10672//Mohit Malhotra//Lower Parel//Chocolate Mousse+5*Kiran Mehta/9/11/2023//UPI//Delivered*Delivery Experience: Quick and professional")</f>
        <v>//ord_10672//Mohit Malhotra//Lower Parel//Chocolate Mousse+5*Kiran Mehta/9/11/2023//UPI//Delivered*Delivery Experience: Quick and professional</v>
      </c>
      <c r="B681" s="14" t="str">
        <f>IFERROR(__xludf.DUMMYFUNCTION("split(A681,""//"")"),"ord_10672")</f>
        <v>ord_10672</v>
      </c>
      <c r="C681" s="14" t="str">
        <f>IFERROR(__xludf.DUMMYFUNCTION("""COMPUTED_VALUE"""),"Mohit Malhotra")</f>
        <v>Mohit Malhotra</v>
      </c>
      <c r="D681" s="14" t="str">
        <f>IFERROR(__xludf.DUMMYFUNCTION("""COMPUTED_VALUE"""),"Lower Parel")</f>
        <v>Lower Parel</v>
      </c>
      <c r="E681" s="14" t="str">
        <f>IFERROR(__xludf.DUMMYFUNCTION("""COMPUTED_VALUE"""),"Chocolate Mousse+5*Kiran Mehta")</f>
        <v>Chocolate Mousse+5*Kiran Mehta</v>
      </c>
      <c r="F681" s="14">
        <f>IFERROR(__xludf.DUMMYFUNCTION("""COMPUTED_VALUE"""),9.0)</f>
        <v>9</v>
      </c>
      <c r="G681" s="14">
        <f>IFERROR(__xludf.DUMMYFUNCTION("""COMPUTED_VALUE"""),11.0)</f>
        <v>11</v>
      </c>
      <c r="H681" s="14">
        <f>IFERROR(__xludf.DUMMYFUNCTION("""COMPUTED_VALUE"""),2023.0)</f>
        <v>2023</v>
      </c>
      <c r="I681" s="14" t="str">
        <f>IFERROR(__xludf.DUMMYFUNCTION("""COMPUTED_VALUE"""),"UPI")</f>
        <v>UPI</v>
      </c>
      <c r="J681" s="14" t="str">
        <f>IFERROR(__xludf.DUMMYFUNCTION("""COMPUTED_VALUE"""),"Delivered*Delivery Experience: Quick and professional")</f>
        <v>Delivered*Delivery Experience: Quick and professional</v>
      </c>
      <c r="K681" s="14" t="str">
        <f>IFERROR(__xludf.DUMMYFUNCTION("split(E681,""+"")"),"Chocolate Mousse")</f>
        <v>Chocolate Mousse</v>
      </c>
      <c r="L681" s="14" t="str">
        <f>IFERROR(__xludf.DUMMYFUNCTION("""COMPUTED_VALUE"""),"5*Kiran Mehta")</f>
        <v>5*Kiran Mehta</v>
      </c>
      <c r="M681" s="14">
        <f>IFERROR(__xludf.DUMMYFUNCTION("SPLIT(L681,""*"")"),5.0)</f>
        <v>5</v>
      </c>
      <c r="N681" s="14" t="str">
        <f>IFERROR(__xludf.DUMMYFUNCTION("""COMPUTED_VALUE"""),"Kiran Mehta")</f>
        <v>Kiran Mehta</v>
      </c>
      <c r="O681" s="14" t="str">
        <f>IFERROR(__xludf.DUMMYFUNCTION("split(J681,""*"")"),"Delivered")</f>
        <v>Delivered</v>
      </c>
      <c r="P681" s="14" t="str">
        <f>IFERROR(__xludf.DUMMYFUNCTION("""COMPUTED_VALUE"""),"Delivery Experience: Quick and professional")</f>
        <v>Delivery Experience: Quick and professional</v>
      </c>
      <c r="Q681" s="14" t="str">
        <f>IFERROR(__xludf.DUMMYFUNCTION("split(P681,"":"")"),"Delivery Experience")</f>
        <v>Delivery Experience</v>
      </c>
      <c r="R681" s="14" t="str">
        <f>IFERROR(__xludf.DUMMYFUNCTION("""COMPUTED_VALUE""")," Quick and professional")</f>
        <v> Quick and professional</v>
      </c>
      <c r="S681" s="14" t="str">
        <f t="shared" ref="S681:U681" si="1365">trim(B681)</f>
        <v>ord_10672</v>
      </c>
      <c r="T681" s="14" t="str">
        <f t="shared" si="1365"/>
        <v>Mohit Malhotra</v>
      </c>
      <c r="U681" s="14" t="str">
        <f t="shared" si="1365"/>
        <v>Lower Parel</v>
      </c>
      <c r="V681" s="14" t="str">
        <f t="shared" si="4"/>
        <v>Chocolate Mousse</v>
      </c>
      <c r="W681" s="14">
        <f t="shared" si="5"/>
        <v>5</v>
      </c>
      <c r="X681" s="14" t="str">
        <f t="shared" si="6"/>
        <v>Kiran Mehta</v>
      </c>
      <c r="Y681" s="15">
        <f t="shared" si="7"/>
        <v>45180</v>
      </c>
      <c r="Z681" s="14" t="str">
        <f t="shared" si="8"/>
        <v>UPI</v>
      </c>
      <c r="AA681" s="14" t="str">
        <f t="shared" si="9"/>
        <v>Delivered</v>
      </c>
      <c r="AB681" s="14" t="str">
        <f t="shared" ref="AB681:AC681" si="1366">trim(Q681)</f>
        <v>Delivery Experience</v>
      </c>
      <c r="AC681" s="14" t="str">
        <f t="shared" si="1366"/>
        <v>Quick and professional</v>
      </c>
      <c r="AD681" s="8"/>
    </row>
    <row r="682">
      <c r="A682" s="14" t="str">
        <f>IFERROR(__xludf.DUMMYFUNCTION("""COMPUTED_VALUE"""),"//ord_10673//Siya Reddy//Juhu//Veg Puff+5*Tanvi Jain/4/3/2023//UPI//Delivered*Convenience: Easy tracking")</f>
        <v>//ord_10673//Siya Reddy//Juhu//Veg Puff+5*Tanvi Jain/4/3/2023//UPI//Delivered*Convenience: Easy tracking</v>
      </c>
      <c r="B682" s="14" t="str">
        <f>IFERROR(__xludf.DUMMYFUNCTION("split(A682,""//"")"),"ord_10673")</f>
        <v>ord_10673</v>
      </c>
      <c r="C682" s="14" t="str">
        <f>IFERROR(__xludf.DUMMYFUNCTION("""COMPUTED_VALUE"""),"Siya Reddy")</f>
        <v>Siya Reddy</v>
      </c>
      <c r="D682" s="14" t="str">
        <f>IFERROR(__xludf.DUMMYFUNCTION("""COMPUTED_VALUE"""),"Juhu")</f>
        <v>Juhu</v>
      </c>
      <c r="E682" s="14" t="str">
        <f>IFERROR(__xludf.DUMMYFUNCTION("""COMPUTED_VALUE"""),"Veg Puff+5*Tanvi Jain")</f>
        <v>Veg Puff+5*Tanvi Jain</v>
      </c>
      <c r="F682" s="14">
        <f>IFERROR(__xludf.DUMMYFUNCTION("""COMPUTED_VALUE"""),4.0)</f>
        <v>4</v>
      </c>
      <c r="G682" s="14">
        <f>IFERROR(__xludf.DUMMYFUNCTION("""COMPUTED_VALUE"""),3.0)</f>
        <v>3</v>
      </c>
      <c r="H682" s="14">
        <f>IFERROR(__xludf.DUMMYFUNCTION("""COMPUTED_VALUE"""),2023.0)</f>
        <v>2023</v>
      </c>
      <c r="I682" s="14" t="str">
        <f>IFERROR(__xludf.DUMMYFUNCTION("""COMPUTED_VALUE"""),"UPI")</f>
        <v>UPI</v>
      </c>
      <c r="J682" s="14" t="str">
        <f>IFERROR(__xludf.DUMMYFUNCTION("""COMPUTED_VALUE"""),"Delivered*Convenience: Easy tracking")</f>
        <v>Delivered*Convenience: Easy tracking</v>
      </c>
      <c r="K682" s="14" t="str">
        <f>IFERROR(__xludf.DUMMYFUNCTION("split(E682,""+"")"),"Veg Puff")</f>
        <v>Veg Puff</v>
      </c>
      <c r="L682" s="14" t="str">
        <f>IFERROR(__xludf.DUMMYFUNCTION("""COMPUTED_VALUE"""),"5*Tanvi Jain")</f>
        <v>5*Tanvi Jain</v>
      </c>
      <c r="M682" s="14">
        <f>IFERROR(__xludf.DUMMYFUNCTION("SPLIT(L682,""*"")"),5.0)</f>
        <v>5</v>
      </c>
      <c r="N682" s="14" t="str">
        <f>IFERROR(__xludf.DUMMYFUNCTION("""COMPUTED_VALUE"""),"Tanvi Jain")</f>
        <v>Tanvi Jain</v>
      </c>
      <c r="O682" s="14" t="str">
        <f>IFERROR(__xludf.DUMMYFUNCTION("split(J682,""*"")"),"Delivered")</f>
        <v>Delivered</v>
      </c>
      <c r="P682" s="14" t="str">
        <f>IFERROR(__xludf.DUMMYFUNCTION("""COMPUTED_VALUE"""),"Convenience: Easy tracking")</f>
        <v>Convenience: Easy tracking</v>
      </c>
      <c r="Q682" s="14" t="str">
        <f>IFERROR(__xludf.DUMMYFUNCTION("split(P682,"":"")"),"Convenience")</f>
        <v>Convenience</v>
      </c>
      <c r="R682" s="14" t="str">
        <f>IFERROR(__xludf.DUMMYFUNCTION("""COMPUTED_VALUE""")," Easy tracking")</f>
        <v> Easy tracking</v>
      </c>
      <c r="S682" s="14" t="str">
        <f t="shared" ref="S682:U682" si="1367">trim(B682)</f>
        <v>ord_10673</v>
      </c>
      <c r="T682" s="14" t="str">
        <f t="shared" si="1367"/>
        <v>Siya Reddy</v>
      </c>
      <c r="U682" s="14" t="str">
        <f t="shared" si="1367"/>
        <v>Juhu</v>
      </c>
      <c r="V682" s="14" t="str">
        <f t="shared" si="4"/>
        <v>Veg Puff</v>
      </c>
      <c r="W682" s="14">
        <f t="shared" si="5"/>
        <v>5</v>
      </c>
      <c r="X682" s="14" t="str">
        <f t="shared" si="6"/>
        <v>Tanvi Jain</v>
      </c>
      <c r="Y682" s="15">
        <f t="shared" si="7"/>
        <v>45019</v>
      </c>
      <c r="Z682" s="14" t="str">
        <f t="shared" si="8"/>
        <v>UPI</v>
      </c>
      <c r="AA682" s="14" t="str">
        <f t="shared" si="9"/>
        <v>Delivered</v>
      </c>
      <c r="AB682" s="14" t="str">
        <f t="shared" ref="AB682:AC682" si="1368">trim(Q682)</f>
        <v>Convenience</v>
      </c>
      <c r="AC682" s="14" t="str">
        <f t="shared" si="1368"/>
        <v>Easy tracking</v>
      </c>
      <c r="AD682" s="8"/>
    </row>
    <row r="683">
      <c r="A683" s="14" t="str">
        <f>IFERROR(__xludf.DUMMYFUNCTION("""COMPUTED_VALUE"""),"//ord_10674//Aarohi Kapoor//Bandra//Cold Coffee+3*Not Assigned/2/21/2023//Credit Card//Cancelled*Out of Stock")</f>
        <v>//ord_10674//Aarohi Kapoor//Bandra//Cold Coffee+3*Not Assigned/2/21/2023//Credit Card//Cancelled*Out of Stock</v>
      </c>
      <c r="B683" s="14" t="str">
        <f>IFERROR(__xludf.DUMMYFUNCTION("split(A683,""//"")"),"ord_10674")</f>
        <v>ord_10674</v>
      </c>
      <c r="C683" s="14" t="str">
        <f>IFERROR(__xludf.DUMMYFUNCTION("""COMPUTED_VALUE"""),"Aarohi Kapoor")</f>
        <v>Aarohi Kapoor</v>
      </c>
      <c r="D683" s="14" t="str">
        <f>IFERROR(__xludf.DUMMYFUNCTION("""COMPUTED_VALUE"""),"Bandra")</f>
        <v>Bandra</v>
      </c>
      <c r="E683" s="14" t="str">
        <f>IFERROR(__xludf.DUMMYFUNCTION("""COMPUTED_VALUE"""),"Cold Coffee+3*Not Assigned")</f>
        <v>Cold Coffee+3*Not Assigned</v>
      </c>
      <c r="F683" s="14">
        <f>IFERROR(__xludf.DUMMYFUNCTION("""COMPUTED_VALUE"""),2.0)</f>
        <v>2</v>
      </c>
      <c r="G683" s="14">
        <f>IFERROR(__xludf.DUMMYFUNCTION("""COMPUTED_VALUE"""),21.0)</f>
        <v>21</v>
      </c>
      <c r="H683" s="14">
        <f>IFERROR(__xludf.DUMMYFUNCTION("""COMPUTED_VALUE"""),2023.0)</f>
        <v>2023</v>
      </c>
      <c r="I683" s="14" t="str">
        <f>IFERROR(__xludf.DUMMYFUNCTION("""COMPUTED_VALUE"""),"Credit Card")</f>
        <v>Credit Card</v>
      </c>
      <c r="J683" s="14" t="str">
        <f>IFERROR(__xludf.DUMMYFUNCTION("""COMPUTED_VALUE"""),"Cancelled*Out of Stock")</f>
        <v>Cancelled*Out of Stock</v>
      </c>
      <c r="K683" s="14" t="str">
        <f>IFERROR(__xludf.DUMMYFUNCTION("split(E683,""+"")"),"Cold Coffee")</f>
        <v>Cold Coffee</v>
      </c>
      <c r="L683" s="14" t="str">
        <f>IFERROR(__xludf.DUMMYFUNCTION("""COMPUTED_VALUE"""),"3*Not Assigned")</f>
        <v>3*Not Assigned</v>
      </c>
      <c r="M683" s="14">
        <f>IFERROR(__xludf.DUMMYFUNCTION("SPLIT(L683,""*"")"),3.0)</f>
        <v>3</v>
      </c>
      <c r="N683" s="14" t="str">
        <f>IFERROR(__xludf.DUMMYFUNCTION("""COMPUTED_VALUE"""),"Not Assigned")</f>
        <v>Not Assigned</v>
      </c>
      <c r="O683" s="14" t="str">
        <f>IFERROR(__xludf.DUMMYFUNCTION("split(J683,""*"")"),"Cancelled")</f>
        <v>Cancelled</v>
      </c>
      <c r="P683" s="14" t="str">
        <f>IFERROR(__xludf.DUMMYFUNCTION("""COMPUTED_VALUE"""),"Out of Stock")</f>
        <v>Out of Stock</v>
      </c>
      <c r="Q683" s="14" t="str">
        <f>IFERROR(__xludf.DUMMYFUNCTION("split(P683,"":"")"),"Out of Stock")</f>
        <v>Out of Stock</v>
      </c>
      <c r="R683" s="14"/>
      <c r="S683" s="14" t="str">
        <f t="shared" ref="S683:U683" si="1369">trim(B683)</f>
        <v>ord_10674</v>
      </c>
      <c r="T683" s="14" t="str">
        <f t="shared" si="1369"/>
        <v>Aarohi Kapoor</v>
      </c>
      <c r="U683" s="14" t="str">
        <f t="shared" si="1369"/>
        <v>Bandra</v>
      </c>
      <c r="V683" s="14" t="str">
        <f t="shared" si="4"/>
        <v>Cold Coffee</v>
      </c>
      <c r="W683" s="14">
        <f t="shared" si="5"/>
        <v>3</v>
      </c>
      <c r="X683" s="14" t="str">
        <f t="shared" si="6"/>
        <v>Not Assigned</v>
      </c>
      <c r="Y683" s="15">
        <f t="shared" si="7"/>
        <v>44978</v>
      </c>
      <c r="Z683" s="14" t="str">
        <f t="shared" si="8"/>
        <v>Credit Card</v>
      </c>
      <c r="AA683" s="14" t="str">
        <f t="shared" si="9"/>
        <v>Cancelled</v>
      </c>
      <c r="AB683" s="14" t="str">
        <f t="shared" ref="AB683:AC683" si="1370">trim(Q683)</f>
        <v>Out of Stock</v>
      </c>
      <c r="AC683" s="14" t="str">
        <f t="shared" si="1370"/>
        <v/>
      </c>
      <c r="AD683" s="8"/>
    </row>
    <row r="684">
      <c r="A684" s="14" t="str">
        <f>IFERROR(__xludf.DUMMYFUNCTION("""COMPUTED_VALUE"""),"//ord_10675//Tanishq Bansal//Powai//Rasmalai+1*Not Assigned/11/18/2023//Credit Card//Cancelled*High Delivery Fees")</f>
        <v>//ord_10675//Tanishq Bansal//Powai//Rasmalai+1*Not Assigned/11/18/2023//Credit Card//Cancelled*High Delivery Fees</v>
      </c>
      <c r="B684" s="14" t="str">
        <f>IFERROR(__xludf.DUMMYFUNCTION("split(A684,""//"")"),"ord_10675")</f>
        <v>ord_10675</v>
      </c>
      <c r="C684" s="14" t="str">
        <f>IFERROR(__xludf.DUMMYFUNCTION("""COMPUTED_VALUE"""),"Tanishq Bansal")</f>
        <v>Tanishq Bansal</v>
      </c>
      <c r="D684" s="14" t="str">
        <f>IFERROR(__xludf.DUMMYFUNCTION("""COMPUTED_VALUE"""),"Powai")</f>
        <v>Powai</v>
      </c>
      <c r="E684" s="14" t="str">
        <f>IFERROR(__xludf.DUMMYFUNCTION("""COMPUTED_VALUE"""),"Rasmalai+1*Not Assigned")</f>
        <v>Rasmalai+1*Not Assigned</v>
      </c>
      <c r="F684" s="14">
        <f>IFERROR(__xludf.DUMMYFUNCTION("""COMPUTED_VALUE"""),11.0)</f>
        <v>11</v>
      </c>
      <c r="G684" s="14">
        <f>IFERROR(__xludf.DUMMYFUNCTION("""COMPUTED_VALUE"""),18.0)</f>
        <v>18</v>
      </c>
      <c r="H684" s="14">
        <f>IFERROR(__xludf.DUMMYFUNCTION("""COMPUTED_VALUE"""),2023.0)</f>
        <v>2023</v>
      </c>
      <c r="I684" s="14" t="str">
        <f>IFERROR(__xludf.DUMMYFUNCTION("""COMPUTED_VALUE"""),"Credit Card")</f>
        <v>Credit Card</v>
      </c>
      <c r="J684" s="14" t="str">
        <f>IFERROR(__xludf.DUMMYFUNCTION("""COMPUTED_VALUE"""),"Cancelled*High Delivery Fees")</f>
        <v>Cancelled*High Delivery Fees</v>
      </c>
      <c r="K684" s="14" t="str">
        <f>IFERROR(__xludf.DUMMYFUNCTION("split(E684,""+"")"),"Rasmalai")</f>
        <v>Rasmalai</v>
      </c>
      <c r="L684" s="14" t="str">
        <f>IFERROR(__xludf.DUMMYFUNCTION("""COMPUTED_VALUE"""),"1*Not Assigned")</f>
        <v>1*Not Assigned</v>
      </c>
      <c r="M684" s="14">
        <f>IFERROR(__xludf.DUMMYFUNCTION("SPLIT(L684,""*"")"),1.0)</f>
        <v>1</v>
      </c>
      <c r="N684" s="14" t="str">
        <f>IFERROR(__xludf.DUMMYFUNCTION("""COMPUTED_VALUE"""),"Not Assigned")</f>
        <v>Not Assigned</v>
      </c>
      <c r="O684" s="14" t="str">
        <f>IFERROR(__xludf.DUMMYFUNCTION("split(J684,""*"")"),"Cancelled")</f>
        <v>Cancelled</v>
      </c>
      <c r="P684" s="14" t="str">
        <f>IFERROR(__xludf.DUMMYFUNCTION("""COMPUTED_VALUE"""),"High Delivery Fees")</f>
        <v>High Delivery Fees</v>
      </c>
      <c r="Q684" s="14" t="str">
        <f>IFERROR(__xludf.DUMMYFUNCTION("split(P684,"":"")"),"High Delivery Fees")</f>
        <v>High Delivery Fees</v>
      </c>
      <c r="R684" s="14"/>
      <c r="S684" s="14" t="str">
        <f t="shared" ref="S684:U684" si="1371">trim(B684)</f>
        <v>ord_10675</v>
      </c>
      <c r="T684" s="14" t="str">
        <f t="shared" si="1371"/>
        <v>Tanishq Bansal</v>
      </c>
      <c r="U684" s="14" t="str">
        <f t="shared" si="1371"/>
        <v>Powai</v>
      </c>
      <c r="V684" s="14" t="str">
        <f t="shared" si="4"/>
        <v>Rasmalai</v>
      </c>
      <c r="W684" s="14">
        <f t="shared" si="5"/>
        <v>1</v>
      </c>
      <c r="X684" s="14" t="str">
        <f t="shared" si="6"/>
        <v>Not Assigned</v>
      </c>
      <c r="Y684" s="15">
        <f t="shared" si="7"/>
        <v>45248</v>
      </c>
      <c r="Z684" s="14" t="str">
        <f t="shared" si="8"/>
        <v>Credit Card</v>
      </c>
      <c r="AA684" s="14" t="str">
        <f t="shared" si="9"/>
        <v>Cancelled</v>
      </c>
      <c r="AB684" s="14" t="str">
        <f t="shared" ref="AB684:AC684" si="1372">trim(Q684)</f>
        <v>High Delivery Fees</v>
      </c>
      <c r="AC684" s="14" t="str">
        <f t="shared" si="1372"/>
        <v/>
      </c>
      <c r="AD684" s="8"/>
    </row>
    <row r="685">
      <c r="A685" s="14" t="str">
        <f>IFERROR(__xludf.DUMMYFUNCTION("""COMPUTED_VALUE"""),"//ord_10676//Sanjay Nair//Dadar//Chocolate Mousse+3*Not Assigned/8/8/2023//UPI//Cancelled*Payment Issues")</f>
        <v>//ord_10676//Sanjay Nair//Dadar//Chocolate Mousse+3*Not Assigned/8/8/2023//UPI//Cancelled*Payment Issues</v>
      </c>
      <c r="B685" s="14" t="str">
        <f>IFERROR(__xludf.DUMMYFUNCTION("split(A685,""//"")"),"ord_10676")</f>
        <v>ord_10676</v>
      </c>
      <c r="C685" s="14" t="str">
        <f>IFERROR(__xludf.DUMMYFUNCTION("""COMPUTED_VALUE"""),"Sanjay Nair")</f>
        <v>Sanjay Nair</v>
      </c>
      <c r="D685" s="14" t="str">
        <f>IFERROR(__xludf.DUMMYFUNCTION("""COMPUTED_VALUE"""),"Dadar")</f>
        <v>Dadar</v>
      </c>
      <c r="E685" s="14" t="str">
        <f>IFERROR(__xludf.DUMMYFUNCTION("""COMPUTED_VALUE"""),"Chocolate Mousse+3*Not Assigned")</f>
        <v>Chocolate Mousse+3*Not Assigned</v>
      </c>
      <c r="F685" s="14">
        <f>IFERROR(__xludf.DUMMYFUNCTION("""COMPUTED_VALUE"""),8.0)</f>
        <v>8</v>
      </c>
      <c r="G685" s="14">
        <f>IFERROR(__xludf.DUMMYFUNCTION("""COMPUTED_VALUE"""),8.0)</f>
        <v>8</v>
      </c>
      <c r="H685" s="14">
        <f>IFERROR(__xludf.DUMMYFUNCTION("""COMPUTED_VALUE"""),2023.0)</f>
        <v>2023</v>
      </c>
      <c r="I685" s="14" t="str">
        <f>IFERROR(__xludf.DUMMYFUNCTION("""COMPUTED_VALUE"""),"UPI")</f>
        <v>UPI</v>
      </c>
      <c r="J685" s="14" t="str">
        <f>IFERROR(__xludf.DUMMYFUNCTION("""COMPUTED_VALUE"""),"Cancelled*Payment Issues")</f>
        <v>Cancelled*Payment Issues</v>
      </c>
      <c r="K685" s="14" t="str">
        <f>IFERROR(__xludf.DUMMYFUNCTION("split(E685,""+"")"),"Chocolate Mousse")</f>
        <v>Chocolate Mousse</v>
      </c>
      <c r="L685" s="14" t="str">
        <f>IFERROR(__xludf.DUMMYFUNCTION("""COMPUTED_VALUE"""),"3*Not Assigned")</f>
        <v>3*Not Assigned</v>
      </c>
      <c r="M685" s="14">
        <f>IFERROR(__xludf.DUMMYFUNCTION("SPLIT(L685,""*"")"),3.0)</f>
        <v>3</v>
      </c>
      <c r="N685" s="14" t="str">
        <f>IFERROR(__xludf.DUMMYFUNCTION("""COMPUTED_VALUE"""),"Not Assigned")</f>
        <v>Not Assigned</v>
      </c>
      <c r="O685" s="14" t="str">
        <f>IFERROR(__xludf.DUMMYFUNCTION("split(J685,""*"")"),"Cancelled")</f>
        <v>Cancelled</v>
      </c>
      <c r="P685" s="14" t="str">
        <f>IFERROR(__xludf.DUMMYFUNCTION("""COMPUTED_VALUE"""),"Payment Issues")</f>
        <v>Payment Issues</v>
      </c>
      <c r="Q685" s="14" t="str">
        <f>IFERROR(__xludf.DUMMYFUNCTION("split(P685,"":"")"),"Payment Issues")</f>
        <v>Payment Issues</v>
      </c>
      <c r="R685" s="14"/>
      <c r="S685" s="14" t="str">
        <f t="shared" ref="S685:U685" si="1373">trim(B685)</f>
        <v>ord_10676</v>
      </c>
      <c r="T685" s="14" t="str">
        <f t="shared" si="1373"/>
        <v>Sanjay Nair</v>
      </c>
      <c r="U685" s="14" t="str">
        <f t="shared" si="1373"/>
        <v>Dadar</v>
      </c>
      <c r="V685" s="14" t="str">
        <f t="shared" si="4"/>
        <v>Chocolate Mousse</v>
      </c>
      <c r="W685" s="14">
        <f t="shared" si="5"/>
        <v>3</v>
      </c>
      <c r="X685" s="14" t="str">
        <f t="shared" si="6"/>
        <v>Not Assigned</v>
      </c>
      <c r="Y685" s="15">
        <f t="shared" si="7"/>
        <v>45146</v>
      </c>
      <c r="Z685" s="14" t="str">
        <f t="shared" si="8"/>
        <v>UPI</v>
      </c>
      <c r="AA685" s="14" t="str">
        <f t="shared" si="9"/>
        <v>Cancelled</v>
      </c>
      <c r="AB685" s="14" t="str">
        <f t="shared" ref="AB685:AC685" si="1374">trim(Q685)</f>
        <v>Payment Issues</v>
      </c>
      <c r="AC685" s="14" t="str">
        <f t="shared" si="1374"/>
        <v/>
      </c>
      <c r="AD685" s="8"/>
    </row>
    <row r="686">
      <c r="A686" s="14" t="str">
        <f>IFERROR(__xludf.DUMMYFUNCTION("""COMPUTED_VALUE"""),"//ord_10677//Aarohi Kapoor//Bandra//Banana+2*Priya Joshi/11/6/2023//Credit Card//Delivered*Overall Satisfaction: Great service will order again")</f>
        <v>//ord_10677//Aarohi Kapoor//Bandra//Banana+2*Priya Joshi/11/6/2023//Credit Card//Delivered*Overall Satisfaction: Great service will order again</v>
      </c>
      <c r="B686" s="14" t="str">
        <f>IFERROR(__xludf.DUMMYFUNCTION("split(A686,""//"")"),"ord_10677")</f>
        <v>ord_10677</v>
      </c>
      <c r="C686" s="14" t="str">
        <f>IFERROR(__xludf.DUMMYFUNCTION("""COMPUTED_VALUE"""),"Aarohi Kapoor")</f>
        <v>Aarohi Kapoor</v>
      </c>
      <c r="D686" s="14" t="str">
        <f>IFERROR(__xludf.DUMMYFUNCTION("""COMPUTED_VALUE"""),"Bandra")</f>
        <v>Bandra</v>
      </c>
      <c r="E686" s="14" t="str">
        <f>IFERROR(__xludf.DUMMYFUNCTION("""COMPUTED_VALUE"""),"Banana+2*Priya Joshi")</f>
        <v>Banana+2*Priya Joshi</v>
      </c>
      <c r="F686" s="14">
        <f>IFERROR(__xludf.DUMMYFUNCTION("""COMPUTED_VALUE"""),11.0)</f>
        <v>11</v>
      </c>
      <c r="G686" s="14">
        <f>IFERROR(__xludf.DUMMYFUNCTION("""COMPUTED_VALUE"""),6.0)</f>
        <v>6</v>
      </c>
      <c r="H686" s="14">
        <f>IFERROR(__xludf.DUMMYFUNCTION("""COMPUTED_VALUE"""),2023.0)</f>
        <v>2023</v>
      </c>
      <c r="I686" s="14" t="str">
        <f>IFERROR(__xludf.DUMMYFUNCTION("""COMPUTED_VALUE"""),"Credit Card")</f>
        <v>Credit Card</v>
      </c>
      <c r="J686" s="14" t="str">
        <f>IFERROR(__xludf.DUMMYFUNCTION("""COMPUTED_VALUE"""),"Delivered*Overall Satisfaction: Great service will order again")</f>
        <v>Delivered*Overall Satisfaction: Great service will order again</v>
      </c>
      <c r="K686" s="14" t="str">
        <f>IFERROR(__xludf.DUMMYFUNCTION("split(E686,""+"")"),"Banana")</f>
        <v>Banana</v>
      </c>
      <c r="L686" s="14" t="str">
        <f>IFERROR(__xludf.DUMMYFUNCTION("""COMPUTED_VALUE"""),"2*Priya Joshi")</f>
        <v>2*Priya Joshi</v>
      </c>
      <c r="M686" s="14">
        <f>IFERROR(__xludf.DUMMYFUNCTION("SPLIT(L686,""*"")"),2.0)</f>
        <v>2</v>
      </c>
      <c r="N686" s="14" t="str">
        <f>IFERROR(__xludf.DUMMYFUNCTION("""COMPUTED_VALUE"""),"Priya Joshi")</f>
        <v>Priya Joshi</v>
      </c>
      <c r="O686" s="14" t="str">
        <f>IFERROR(__xludf.DUMMYFUNCTION("split(J686,""*"")"),"Delivered")</f>
        <v>Delivered</v>
      </c>
      <c r="P686" s="14" t="str">
        <f>IFERROR(__xludf.DUMMYFUNCTION("""COMPUTED_VALUE"""),"Overall Satisfaction: Great service will order again")</f>
        <v>Overall Satisfaction: Great service will order again</v>
      </c>
      <c r="Q686" s="14" t="str">
        <f>IFERROR(__xludf.DUMMYFUNCTION("split(P686,"":"")"),"Overall Satisfaction")</f>
        <v>Overall Satisfaction</v>
      </c>
      <c r="R686" s="14" t="str">
        <f>IFERROR(__xludf.DUMMYFUNCTION("""COMPUTED_VALUE""")," Great service will order again")</f>
        <v> Great service will order again</v>
      </c>
      <c r="S686" s="14" t="str">
        <f t="shared" ref="S686:U686" si="1375">trim(B686)</f>
        <v>ord_10677</v>
      </c>
      <c r="T686" s="14" t="str">
        <f t="shared" si="1375"/>
        <v>Aarohi Kapoor</v>
      </c>
      <c r="U686" s="14" t="str">
        <f t="shared" si="1375"/>
        <v>Bandra</v>
      </c>
      <c r="V686" s="14" t="str">
        <f t="shared" si="4"/>
        <v>Banana</v>
      </c>
      <c r="W686" s="14">
        <f t="shared" si="5"/>
        <v>2</v>
      </c>
      <c r="X686" s="14" t="str">
        <f t="shared" si="6"/>
        <v>Priya Joshi</v>
      </c>
      <c r="Y686" s="15">
        <f t="shared" si="7"/>
        <v>45236</v>
      </c>
      <c r="Z686" s="14" t="str">
        <f t="shared" si="8"/>
        <v>Credit Card</v>
      </c>
      <c r="AA686" s="14" t="str">
        <f t="shared" si="9"/>
        <v>Delivered</v>
      </c>
      <c r="AB686" s="14" t="str">
        <f t="shared" ref="AB686:AC686" si="1376">trim(Q686)</f>
        <v>Overall Satisfaction</v>
      </c>
      <c r="AC686" s="14" t="str">
        <f t="shared" si="1376"/>
        <v>Great service will order again</v>
      </c>
      <c r="AD686" s="8"/>
    </row>
    <row r="687">
      <c r="A687" s="14" t="str">
        <f>IFERROR(__xludf.DUMMYFUNCTION("""COMPUTED_VALUE"""),"//ord_10678//Kritika Shetty//Malad//Papaya+1*Not Assigned/5/10/2023//Online Payment//Cancelled*Payment Issues")</f>
        <v>//ord_10678//Kritika Shetty//Malad//Papaya+1*Not Assigned/5/10/2023//Online Payment//Cancelled*Payment Issues</v>
      </c>
      <c r="B687" s="14" t="str">
        <f>IFERROR(__xludf.DUMMYFUNCTION("split(A687,""//"")"),"ord_10678")</f>
        <v>ord_10678</v>
      </c>
      <c r="C687" s="14" t="str">
        <f>IFERROR(__xludf.DUMMYFUNCTION("""COMPUTED_VALUE"""),"Kritika Shetty")</f>
        <v>Kritika Shetty</v>
      </c>
      <c r="D687" s="14" t="str">
        <f>IFERROR(__xludf.DUMMYFUNCTION("""COMPUTED_VALUE"""),"Malad")</f>
        <v>Malad</v>
      </c>
      <c r="E687" s="14" t="str">
        <f>IFERROR(__xludf.DUMMYFUNCTION("""COMPUTED_VALUE"""),"Papaya+1*Not Assigned")</f>
        <v>Papaya+1*Not Assigned</v>
      </c>
      <c r="F687" s="14">
        <f>IFERROR(__xludf.DUMMYFUNCTION("""COMPUTED_VALUE"""),5.0)</f>
        <v>5</v>
      </c>
      <c r="G687" s="14">
        <f>IFERROR(__xludf.DUMMYFUNCTION("""COMPUTED_VALUE"""),10.0)</f>
        <v>10</v>
      </c>
      <c r="H687" s="14">
        <f>IFERROR(__xludf.DUMMYFUNCTION("""COMPUTED_VALUE"""),2023.0)</f>
        <v>2023</v>
      </c>
      <c r="I687" s="14" t="str">
        <f>IFERROR(__xludf.DUMMYFUNCTION("""COMPUTED_VALUE"""),"Online Payment")</f>
        <v>Online Payment</v>
      </c>
      <c r="J687" s="14" t="str">
        <f>IFERROR(__xludf.DUMMYFUNCTION("""COMPUTED_VALUE"""),"Cancelled*Payment Issues")</f>
        <v>Cancelled*Payment Issues</v>
      </c>
      <c r="K687" s="14" t="str">
        <f>IFERROR(__xludf.DUMMYFUNCTION("split(E687,""+"")"),"Papaya")</f>
        <v>Papaya</v>
      </c>
      <c r="L687" s="14" t="str">
        <f>IFERROR(__xludf.DUMMYFUNCTION("""COMPUTED_VALUE"""),"1*Not Assigned")</f>
        <v>1*Not Assigned</v>
      </c>
      <c r="M687" s="14">
        <f>IFERROR(__xludf.DUMMYFUNCTION("SPLIT(L687,""*"")"),1.0)</f>
        <v>1</v>
      </c>
      <c r="N687" s="14" t="str">
        <f>IFERROR(__xludf.DUMMYFUNCTION("""COMPUTED_VALUE"""),"Not Assigned")</f>
        <v>Not Assigned</v>
      </c>
      <c r="O687" s="14" t="str">
        <f>IFERROR(__xludf.DUMMYFUNCTION("split(J687,""*"")"),"Cancelled")</f>
        <v>Cancelled</v>
      </c>
      <c r="P687" s="14" t="str">
        <f>IFERROR(__xludf.DUMMYFUNCTION("""COMPUTED_VALUE"""),"Payment Issues")</f>
        <v>Payment Issues</v>
      </c>
      <c r="Q687" s="14" t="str">
        <f>IFERROR(__xludf.DUMMYFUNCTION("split(P687,"":"")"),"Payment Issues")</f>
        <v>Payment Issues</v>
      </c>
      <c r="R687" s="14"/>
      <c r="S687" s="14" t="str">
        <f t="shared" ref="S687:U687" si="1377">trim(B687)</f>
        <v>ord_10678</v>
      </c>
      <c r="T687" s="14" t="str">
        <f t="shared" si="1377"/>
        <v>Kritika Shetty</v>
      </c>
      <c r="U687" s="14" t="str">
        <f t="shared" si="1377"/>
        <v>Malad</v>
      </c>
      <c r="V687" s="14" t="str">
        <f t="shared" si="4"/>
        <v>Papaya</v>
      </c>
      <c r="W687" s="14">
        <f t="shared" si="5"/>
        <v>1</v>
      </c>
      <c r="X687" s="14" t="str">
        <f t="shared" si="6"/>
        <v>Not Assigned</v>
      </c>
      <c r="Y687" s="15">
        <f t="shared" si="7"/>
        <v>45056</v>
      </c>
      <c r="Z687" s="14" t="str">
        <f t="shared" si="8"/>
        <v>Online Payment</v>
      </c>
      <c r="AA687" s="14" t="str">
        <f t="shared" si="9"/>
        <v>Cancelled</v>
      </c>
      <c r="AB687" s="14" t="str">
        <f t="shared" ref="AB687:AC687" si="1378">trim(Q687)</f>
        <v>Payment Issues</v>
      </c>
      <c r="AC687" s="14" t="str">
        <f t="shared" si="1378"/>
        <v/>
      </c>
      <c r="AD687" s="8"/>
    </row>
    <row r="688">
      <c r="A688" s="14" t="str">
        <f>IFERROR(__xludf.DUMMYFUNCTION("""COMPUTED_VALUE"""),"//ord_10679//Aditya Basu//Juhu//Banana+3*Tanvi Jain/6/19/2023//UPI//Delivered*On-time Delivery: Delivered on time")</f>
        <v>//ord_10679//Aditya Basu//Juhu//Banana+3*Tanvi Jain/6/19/2023//UPI//Delivered*On-time Delivery: Delivered on time</v>
      </c>
      <c r="B688" s="14" t="str">
        <f>IFERROR(__xludf.DUMMYFUNCTION("split(A688,""//"")"),"ord_10679")</f>
        <v>ord_10679</v>
      </c>
      <c r="C688" s="14" t="str">
        <f>IFERROR(__xludf.DUMMYFUNCTION("""COMPUTED_VALUE"""),"Aditya Basu")</f>
        <v>Aditya Basu</v>
      </c>
      <c r="D688" s="14" t="str">
        <f>IFERROR(__xludf.DUMMYFUNCTION("""COMPUTED_VALUE"""),"Juhu")</f>
        <v>Juhu</v>
      </c>
      <c r="E688" s="14" t="str">
        <f>IFERROR(__xludf.DUMMYFUNCTION("""COMPUTED_VALUE"""),"Banana+3*Tanvi Jain")</f>
        <v>Banana+3*Tanvi Jain</v>
      </c>
      <c r="F688" s="14">
        <f>IFERROR(__xludf.DUMMYFUNCTION("""COMPUTED_VALUE"""),6.0)</f>
        <v>6</v>
      </c>
      <c r="G688" s="14">
        <f>IFERROR(__xludf.DUMMYFUNCTION("""COMPUTED_VALUE"""),19.0)</f>
        <v>19</v>
      </c>
      <c r="H688" s="14">
        <f>IFERROR(__xludf.DUMMYFUNCTION("""COMPUTED_VALUE"""),2023.0)</f>
        <v>2023</v>
      </c>
      <c r="I688" s="14" t="str">
        <f>IFERROR(__xludf.DUMMYFUNCTION("""COMPUTED_VALUE"""),"UPI")</f>
        <v>UPI</v>
      </c>
      <c r="J688" s="14" t="str">
        <f>IFERROR(__xludf.DUMMYFUNCTION("""COMPUTED_VALUE"""),"Delivered*On-time Delivery: Delivered on time")</f>
        <v>Delivered*On-time Delivery: Delivered on time</v>
      </c>
      <c r="K688" s="14" t="str">
        <f>IFERROR(__xludf.DUMMYFUNCTION("split(E688,""+"")"),"Banana")</f>
        <v>Banana</v>
      </c>
      <c r="L688" s="14" t="str">
        <f>IFERROR(__xludf.DUMMYFUNCTION("""COMPUTED_VALUE"""),"3*Tanvi Jain")</f>
        <v>3*Tanvi Jain</v>
      </c>
      <c r="M688" s="14">
        <f>IFERROR(__xludf.DUMMYFUNCTION("SPLIT(L688,""*"")"),3.0)</f>
        <v>3</v>
      </c>
      <c r="N688" s="14" t="str">
        <f>IFERROR(__xludf.DUMMYFUNCTION("""COMPUTED_VALUE"""),"Tanvi Jain")</f>
        <v>Tanvi Jain</v>
      </c>
      <c r="O688" s="14" t="str">
        <f>IFERROR(__xludf.DUMMYFUNCTION("split(J688,""*"")"),"Delivered")</f>
        <v>Delivered</v>
      </c>
      <c r="P688" s="14" t="str">
        <f>IFERROR(__xludf.DUMMYFUNCTION("""COMPUTED_VALUE"""),"On-time Delivery: Delivered on time")</f>
        <v>On-time Delivery: Delivered on time</v>
      </c>
      <c r="Q688" s="14" t="str">
        <f>IFERROR(__xludf.DUMMYFUNCTION("split(P688,"":"")"),"On-time Delivery")</f>
        <v>On-time Delivery</v>
      </c>
      <c r="R688" s="14" t="str">
        <f>IFERROR(__xludf.DUMMYFUNCTION("""COMPUTED_VALUE""")," Delivered on time")</f>
        <v> Delivered on time</v>
      </c>
      <c r="S688" s="14" t="str">
        <f t="shared" ref="S688:U688" si="1379">trim(B688)</f>
        <v>ord_10679</v>
      </c>
      <c r="T688" s="14" t="str">
        <f t="shared" si="1379"/>
        <v>Aditya Basu</v>
      </c>
      <c r="U688" s="14" t="str">
        <f t="shared" si="1379"/>
        <v>Juhu</v>
      </c>
      <c r="V688" s="14" t="str">
        <f t="shared" si="4"/>
        <v>Banana</v>
      </c>
      <c r="W688" s="14">
        <f t="shared" si="5"/>
        <v>3</v>
      </c>
      <c r="X688" s="14" t="str">
        <f t="shared" si="6"/>
        <v>Tanvi Jain</v>
      </c>
      <c r="Y688" s="15">
        <f t="shared" si="7"/>
        <v>45096</v>
      </c>
      <c r="Z688" s="14" t="str">
        <f t="shared" si="8"/>
        <v>UPI</v>
      </c>
      <c r="AA688" s="14" t="str">
        <f t="shared" si="9"/>
        <v>Delivered</v>
      </c>
      <c r="AB688" s="14" t="str">
        <f t="shared" ref="AB688:AC688" si="1380">trim(Q688)</f>
        <v>On-time Delivery</v>
      </c>
      <c r="AC688" s="14" t="str">
        <f t="shared" si="1380"/>
        <v>Delivered on time</v>
      </c>
      <c r="AD688" s="8"/>
    </row>
    <row r="689">
      <c r="A689" s="14" t="str">
        <f>IFERROR(__xludf.DUMMYFUNCTION("""COMPUTED_VALUE"""),"//ord_10680//Aditi Iyer//Dadar//Orange+1*Aman Kumar/8/12/2023//UPI//Delivered*Quality of Items: Perfect condition")</f>
        <v>//ord_10680//Aditi Iyer//Dadar//Orange+1*Aman Kumar/8/12/2023//UPI//Delivered*Quality of Items: Perfect condition</v>
      </c>
      <c r="B689" s="14" t="str">
        <f>IFERROR(__xludf.DUMMYFUNCTION("split(A689,""//"")"),"ord_10680")</f>
        <v>ord_10680</v>
      </c>
      <c r="C689" s="14" t="str">
        <f>IFERROR(__xludf.DUMMYFUNCTION("""COMPUTED_VALUE"""),"Aditi Iyer")</f>
        <v>Aditi Iyer</v>
      </c>
      <c r="D689" s="14" t="str">
        <f>IFERROR(__xludf.DUMMYFUNCTION("""COMPUTED_VALUE"""),"Dadar")</f>
        <v>Dadar</v>
      </c>
      <c r="E689" s="14" t="str">
        <f>IFERROR(__xludf.DUMMYFUNCTION("""COMPUTED_VALUE"""),"Orange+1*Aman Kumar")</f>
        <v>Orange+1*Aman Kumar</v>
      </c>
      <c r="F689" s="14">
        <f>IFERROR(__xludf.DUMMYFUNCTION("""COMPUTED_VALUE"""),8.0)</f>
        <v>8</v>
      </c>
      <c r="G689" s="14">
        <f>IFERROR(__xludf.DUMMYFUNCTION("""COMPUTED_VALUE"""),12.0)</f>
        <v>12</v>
      </c>
      <c r="H689" s="14">
        <f>IFERROR(__xludf.DUMMYFUNCTION("""COMPUTED_VALUE"""),2023.0)</f>
        <v>2023</v>
      </c>
      <c r="I689" s="14" t="str">
        <f>IFERROR(__xludf.DUMMYFUNCTION("""COMPUTED_VALUE"""),"UPI")</f>
        <v>UPI</v>
      </c>
      <c r="J689" s="14" t="str">
        <f>IFERROR(__xludf.DUMMYFUNCTION("""COMPUTED_VALUE"""),"Delivered*Quality of Items: Perfect condition")</f>
        <v>Delivered*Quality of Items: Perfect condition</v>
      </c>
      <c r="K689" s="14" t="str">
        <f>IFERROR(__xludf.DUMMYFUNCTION("split(E689,""+"")"),"Orange")</f>
        <v>Orange</v>
      </c>
      <c r="L689" s="14" t="str">
        <f>IFERROR(__xludf.DUMMYFUNCTION("""COMPUTED_VALUE"""),"1*Aman Kumar")</f>
        <v>1*Aman Kumar</v>
      </c>
      <c r="M689" s="14">
        <f>IFERROR(__xludf.DUMMYFUNCTION("SPLIT(L689,""*"")"),1.0)</f>
        <v>1</v>
      </c>
      <c r="N689" s="14" t="str">
        <f>IFERROR(__xludf.DUMMYFUNCTION("""COMPUTED_VALUE"""),"Aman Kumar")</f>
        <v>Aman Kumar</v>
      </c>
      <c r="O689" s="14" t="str">
        <f>IFERROR(__xludf.DUMMYFUNCTION("split(J689,""*"")"),"Delivered")</f>
        <v>Delivered</v>
      </c>
      <c r="P689" s="14" t="str">
        <f>IFERROR(__xludf.DUMMYFUNCTION("""COMPUTED_VALUE"""),"Quality of Items: Perfect condition")</f>
        <v>Quality of Items: Perfect condition</v>
      </c>
      <c r="Q689" s="14" t="str">
        <f>IFERROR(__xludf.DUMMYFUNCTION("split(P689,"":"")"),"Quality of Items")</f>
        <v>Quality of Items</v>
      </c>
      <c r="R689" s="14" t="str">
        <f>IFERROR(__xludf.DUMMYFUNCTION("""COMPUTED_VALUE""")," Perfect condition")</f>
        <v> Perfect condition</v>
      </c>
      <c r="S689" s="14" t="str">
        <f t="shared" ref="S689:U689" si="1381">trim(B689)</f>
        <v>ord_10680</v>
      </c>
      <c r="T689" s="14" t="str">
        <f t="shared" si="1381"/>
        <v>Aditi Iyer</v>
      </c>
      <c r="U689" s="14" t="str">
        <f t="shared" si="1381"/>
        <v>Dadar</v>
      </c>
      <c r="V689" s="14" t="str">
        <f t="shared" si="4"/>
        <v>Orange</v>
      </c>
      <c r="W689" s="14">
        <f t="shared" si="5"/>
        <v>1</v>
      </c>
      <c r="X689" s="14" t="str">
        <f t="shared" si="6"/>
        <v>Aman Kumar</v>
      </c>
      <c r="Y689" s="15">
        <f t="shared" si="7"/>
        <v>45150</v>
      </c>
      <c r="Z689" s="14" t="str">
        <f t="shared" si="8"/>
        <v>UPI</v>
      </c>
      <c r="AA689" s="14" t="str">
        <f t="shared" si="9"/>
        <v>Delivered</v>
      </c>
      <c r="AB689" s="14" t="str">
        <f t="shared" ref="AB689:AC689" si="1382">trim(Q689)</f>
        <v>Quality of Items</v>
      </c>
      <c r="AC689" s="14" t="str">
        <f t="shared" si="1382"/>
        <v>Perfect condition</v>
      </c>
      <c r="AD689" s="8"/>
    </row>
    <row r="690">
      <c r="A690" s="14" t="str">
        <f>IFERROR(__xludf.DUMMYFUNCTION("""COMPUTED_VALUE"""),"//ord_10681//Ishaan Chaturvedi//Bandra//Chocolate Mousse+3*Not Assigned/8/6/2023//UPI//Cancelled*Out of Stock")</f>
        <v>//ord_10681//Ishaan Chaturvedi//Bandra//Chocolate Mousse+3*Not Assigned/8/6/2023//UPI//Cancelled*Out of Stock</v>
      </c>
      <c r="B690" s="14" t="str">
        <f>IFERROR(__xludf.DUMMYFUNCTION("split(A690,""//"")"),"ord_10681")</f>
        <v>ord_10681</v>
      </c>
      <c r="C690" s="14" t="str">
        <f>IFERROR(__xludf.DUMMYFUNCTION("""COMPUTED_VALUE"""),"Ishaan Chaturvedi")</f>
        <v>Ishaan Chaturvedi</v>
      </c>
      <c r="D690" s="14" t="str">
        <f>IFERROR(__xludf.DUMMYFUNCTION("""COMPUTED_VALUE"""),"Bandra")</f>
        <v>Bandra</v>
      </c>
      <c r="E690" s="14" t="str">
        <f>IFERROR(__xludf.DUMMYFUNCTION("""COMPUTED_VALUE"""),"Chocolate Mousse+3*Not Assigned")</f>
        <v>Chocolate Mousse+3*Not Assigned</v>
      </c>
      <c r="F690" s="14">
        <f>IFERROR(__xludf.DUMMYFUNCTION("""COMPUTED_VALUE"""),8.0)</f>
        <v>8</v>
      </c>
      <c r="G690" s="14">
        <f>IFERROR(__xludf.DUMMYFUNCTION("""COMPUTED_VALUE"""),6.0)</f>
        <v>6</v>
      </c>
      <c r="H690" s="14">
        <f>IFERROR(__xludf.DUMMYFUNCTION("""COMPUTED_VALUE"""),2023.0)</f>
        <v>2023</v>
      </c>
      <c r="I690" s="14" t="str">
        <f>IFERROR(__xludf.DUMMYFUNCTION("""COMPUTED_VALUE"""),"UPI")</f>
        <v>UPI</v>
      </c>
      <c r="J690" s="14" t="str">
        <f>IFERROR(__xludf.DUMMYFUNCTION("""COMPUTED_VALUE"""),"Cancelled*Out of Stock")</f>
        <v>Cancelled*Out of Stock</v>
      </c>
      <c r="K690" s="14" t="str">
        <f>IFERROR(__xludf.DUMMYFUNCTION("split(E690,""+"")"),"Chocolate Mousse")</f>
        <v>Chocolate Mousse</v>
      </c>
      <c r="L690" s="14" t="str">
        <f>IFERROR(__xludf.DUMMYFUNCTION("""COMPUTED_VALUE"""),"3*Not Assigned")</f>
        <v>3*Not Assigned</v>
      </c>
      <c r="M690" s="14">
        <f>IFERROR(__xludf.DUMMYFUNCTION("SPLIT(L690,""*"")"),3.0)</f>
        <v>3</v>
      </c>
      <c r="N690" s="14" t="str">
        <f>IFERROR(__xludf.DUMMYFUNCTION("""COMPUTED_VALUE"""),"Not Assigned")</f>
        <v>Not Assigned</v>
      </c>
      <c r="O690" s="14" t="str">
        <f>IFERROR(__xludf.DUMMYFUNCTION("split(J690,""*"")"),"Cancelled")</f>
        <v>Cancelled</v>
      </c>
      <c r="P690" s="14" t="str">
        <f>IFERROR(__xludf.DUMMYFUNCTION("""COMPUTED_VALUE"""),"Out of Stock")</f>
        <v>Out of Stock</v>
      </c>
      <c r="Q690" s="14" t="str">
        <f>IFERROR(__xludf.DUMMYFUNCTION("split(P690,"":"")"),"Out of Stock")</f>
        <v>Out of Stock</v>
      </c>
      <c r="R690" s="14"/>
      <c r="S690" s="14" t="str">
        <f t="shared" ref="S690:U690" si="1383">trim(B690)</f>
        <v>ord_10681</v>
      </c>
      <c r="T690" s="14" t="str">
        <f t="shared" si="1383"/>
        <v>Ishaan Chaturvedi</v>
      </c>
      <c r="U690" s="14" t="str">
        <f t="shared" si="1383"/>
        <v>Bandra</v>
      </c>
      <c r="V690" s="14" t="str">
        <f t="shared" si="4"/>
        <v>Chocolate Mousse</v>
      </c>
      <c r="W690" s="14">
        <f t="shared" si="5"/>
        <v>3</v>
      </c>
      <c r="X690" s="14" t="str">
        <f t="shared" si="6"/>
        <v>Not Assigned</v>
      </c>
      <c r="Y690" s="15">
        <f t="shared" si="7"/>
        <v>45144</v>
      </c>
      <c r="Z690" s="14" t="str">
        <f t="shared" si="8"/>
        <v>UPI</v>
      </c>
      <c r="AA690" s="14" t="str">
        <f t="shared" si="9"/>
        <v>Cancelled</v>
      </c>
      <c r="AB690" s="14" t="str">
        <f t="shared" ref="AB690:AC690" si="1384">trim(Q690)</f>
        <v>Out of Stock</v>
      </c>
      <c r="AC690" s="14" t="str">
        <f t="shared" si="1384"/>
        <v/>
      </c>
      <c r="AD690" s="8"/>
    </row>
    <row r="691">
      <c r="A691" s="14" t="str">
        <f>IFERROR(__xludf.DUMMYFUNCTION("""COMPUTED_VALUE"""),"//ord_10682//Aarav Mehta//Andheri//Papaya+2*Rohan Yadav/2/21/2023//Credit Card//Delivered*On-time Delivery: Delivered on time")</f>
        <v>//ord_10682//Aarav Mehta//Andheri//Papaya+2*Rohan Yadav/2/21/2023//Credit Card//Delivered*On-time Delivery: Delivered on time</v>
      </c>
      <c r="B691" s="14" t="str">
        <f>IFERROR(__xludf.DUMMYFUNCTION("split(A691,""//"")"),"ord_10682")</f>
        <v>ord_10682</v>
      </c>
      <c r="C691" s="14" t="str">
        <f>IFERROR(__xludf.DUMMYFUNCTION("""COMPUTED_VALUE"""),"Aarav Mehta")</f>
        <v>Aarav Mehta</v>
      </c>
      <c r="D691" s="14" t="str">
        <f>IFERROR(__xludf.DUMMYFUNCTION("""COMPUTED_VALUE"""),"Andheri")</f>
        <v>Andheri</v>
      </c>
      <c r="E691" s="14" t="str">
        <f>IFERROR(__xludf.DUMMYFUNCTION("""COMPUTED_VALUE"""),"Papaya+2*Rohan Yadav")</f>
        <v>Papaya+2*Rohan Yadav</v>
      </c>
      <c r="F691" s="14">
        <f>IFERROR(__xludf.DUMMYFUNCTION("""COMPUTED_VALUE"""),2.0)</f>
        <v>2</v>
      </c>
      <c r="G691" s="14">
        <f>IFERROR(__xludf.DUMMYFUNCTION("""COMPUTED_VALUE"""),21.0)</f>
        <v>21</v>
      </c>
      <c r="H691" s="14">
        <f>IFERROR(__xludf.DUMMYFUNCTION("""COMPUTED_VALUE"""),2023.0)</f>
        <v>2023</v>
      </c>
      <c r="I691" s="14" t="str">
        <f>IFERROR(__xludf.DUMMYFUNCTION("""COMPUTED_VALUE"""),"Credit Card")</f>
        <v>Credit Card</v>
      </c>
      <c r="J691" s="14" t="str">
        <f>IFERROR(__xludf.DUMMYFUNCTION("""COMPUTED_VALUE"""),"Delivered*On-time Delivery: Delivered on time")</f>
        <v>Delivered*On-time Delivery: Delivered on time</v>
      </c>
      <c r="K691" s="14" t="str">
        <f>IFERROR(__xludf.DUMMYFUNCTION("split(E691,""+"")"),"Papaya")</f>
        <v>Papaya</v>
      </c>
      <c r="L691" s="14" t="str">
        <f>IFERROR(__xludf.DUMMYFUNCTION("""COMPUTED_VALUE"""),"2*Rohan Yadav")</f>
        <v>2*Rohan Yadav</v>
      </c>
      <c r="M691" s="14">
        <f>IFERROR(__xludf.DUMMYFUNCTION("SPLIT(L691,""*"")"),2.0)</f>
        <v>2</v>
      </c>
      <c r="N691" s="14" t="str">
        <f>IFERROR(__xludf.DUMMYFUNCTION("""COMPUTED_VALUE"""),"Rohan Yadav")</f>
        <v>Rohan Yadav</v>
      </c>
      <c r="O691" s="14" t="str">
        <f>IFERROR(__xludf.DUMMYFUNCTION("split(J691,""*"")"),"Delivered")</f>
        <v>Delivered</v>
      </c>
      <c r="P691" s="14" t="str">
        <f>IFERROR(__xludf.DUMMYFUNCTION("""COMPUTED_VALUE"""),"On-time Delivery: Delivered on time")</f>
        <v>On-time Delivery: Delivered on time</v>
      </c>
      <c r="Q691" s="14" t="str">
        <f>IFERROR(__xludf.DUMMYFUNCTION("split(P691,"":"")"),"On-time Delivery")</f>
        <v>On-time Delivery</v>
      </c>
      <c r="R691" s="14" t="str">
        <f>IFERROR(__xludf.DUMMYFUNCTION("""COMPUTED_VALUE""")," Delivered on time")</f>
        <v> Delivered on time</v>
      </c>
      <c r="S691" s="14" t="str">
        <f t="shared" ref="S691:U691" si="1385">trim(B691)</f>
        <v>ord_10682</v>
      </c>
      <c r="T691" s="14" t="str">
        <f t="shared" si="1385"/>
        <v>Aarav Mehta</v>
      </c>
      <c r="U691" s="14" t="str">
        <f t="shared" si="1385"/>
        <v>Andheri</v>
      </c>
      <c r="V691" s="14" t="str">
        <f t="shared" si="4"/>
        <v>Papaya</v>
      </c>
      <c r="W691" s="14">
        <f t="shared" si="5"/>
        <v>2</v>
      </c>
      <c r="X691" s="14" t="str">
        <f t="shared" si="6"/>
        <v>Rohan Yadav</v>
      </c>
      <c r="Y691" s="15">
        <f t="shared" si="7"/>
        <v>44978</v>
      </c>
      <c r="Z691" s="14" t="str">
        <f t="shared" si="8"/>
        <v>Credit Card</v>
      </c>
      <c r="AA691" s="14" t="str">
        <f t="shared" si="9"/>
        <v>Delivered</v>
      </c>
      <c r="AB691" s="14" t="str">
        <f t="shared" ref="AB691:AC691" si="1386">trim(Q691)</f>
        <v>On-time Delivery</v>
      </c>
      <c r="AC691" s="14" t="str">
        <f t="shared" si="1386"/>
        <v>Delivered on time</v>
      </c>
      <c r="AD691" s="8"/>
    </row>
    <row r="692">
      <c r="A692" s="14" t="str">
        <f>IFERROR(__xludf.DUMMYFUNCTION("""COMPUTED_VALUE"""),"//ord_10683//Ishita Banerjee//Juhu//Popcorn+5*Sita T/12/21/2023//Online Payment//Delivered*Quality of Items: Perfect condition")</f>
        <v>//ord_10683//Ishita Banerjee//Juhu//Popcorn+5*Sita T/12/21/2023//Online Payment//Delivered*Quality of Items: Perfect condition</v>
      </c>
      <c r="B692" s="14" t="str">
        <f>IFERROR(__xludf.DUMMYFUNCTION("split(A692,""//"")"),"ord_10683")</f>
        <v>ord_10683</v>
      </c>
      <c r="C692" s="14" t="str">
        <f>IFERROR(__xludf.DUMMYFUNCTION("""COMPUTED_VALUE"""),"Ishita Banerjee")</f>
        <v>Ishita Banerjee</v>
      </c>
      <c r="D692" s="14" t="str">
        <f>IFERROR(__xludf.DUMMYFUNCTION("""COMPUTED_VALUE"""),"Juhu")</f>
        <v>Juhu</v>
      </c>
      <c r="E692" s="14" t="str">
        <f>IFERROR(__xludf.DUMMYFUNCTION("""COMPUTED_VALUE"""),"Popcorn+5*Sita T")</f>
        <v>Popcorn+5*Sita T</v>
      </c>
      <c r="F692" s="14">
        <f>IFERROR(__xludf.DUMMYFUNCTION("""COMPUTED_VALUE"""),12.0)</f>
        <v>12</v>
      </c>
      <c r="G692" s="14">
        <f>IFERROR(__xludf.DUMMYFUNCTION("""COMPUTED_VALUE"""),21.0)</f>
        <v>21</v>
      </c>
      <c r="H692" s="14">
        <f>IFERROR(__xludf.DUMMYFUNCTION("""COMPUTED_VALUE"""),2023.0)</f>
        <v>2023</v>
      </c>
      <c r="I692" s="14" t="str">
        <f>IFERROR(__xludf.DUMMYFUNCTION("""COMPUTED_VALUE"""),"Online Payment")</f>
        <v>Online Payment</v>
      </c>
      <c r="J692" s="14" t="str">
        <f>IFERROR(__xludf.DUMMYFUNCTION("""COMPUTED_VALUE"""),"Delivered*Quality of Items: Perfect condition")</f>
        <v>Delivered*Quality of Items: Perfect condition</v>
      </c>
      <c r="K692" s="14" t="str">
        <f>IFERROR(__xludf.DUMMYFUNCTION("split(E692,""+"")"),"Popcorn")</f>
        <v>Popcorn</v>
      </c>
      <c r="L692" s="14" t="str">
        <f>IFERROR(__xludf.DUMMYFUNCTION("""COMPUTED_VALUE"""),"5*Sita T")</f>
        <v>5*Sita T</v>
      </c>
      <c r="M692" s="14">
        <f>IFERROR(__xludf.DUMMYFUNCTION("SPLIT(L692,""*"")"),5.0)</f>
        <v>5</v>
      </c>
      <c r="N692" s="14" t="str">
        <f>IFERROR(__xludf.DUMMYFUNCTION("""COMPUTED_VALUE"""),"Sita T")</f>
        <v>Sita T</v>
      </c>
      <c r="O692" s="14" t="str">
        <f>IFERROR(__xludf.DUMMYFUNCTION("split(J692,""*"")"),"Delivered")</f>
        <v>Delivered</v>
      </c>
      <c r="P692" s="14" t="str">
        <f>IFERROR(__xludf.DUMMYFUNCTION("""COMPUTED_VALUE"""),"Quality of Items: Perfect condition")</f>
        <v>Quality of Items: Perfect condition</v>
      </c>
      <c r="Q692" s="14" t="str">
        <f>IFERROR(__xludf.DUMMYFUNCTION("split(P692,"":"")"),"Quality of Items")</f>
        <v>Quality of Items</v>
      </c>
      <c r="R692" s="14" t="str">
        <f>IFERROR(__xludf.DUMMYFUNCTION("""COMPUTED_VALUE""")," Perfect condition")</f>
        <v> Perfect condition</v>
      </c>
      <c r="S692" s="14" t="str">
        <f t="shared" ref="S692:U692" si="1387">trim(B692)</f>
        <v>ord_10683</v>
      </c>
      <c r="T692" s="14" t="str">
        <f t="shared" si="1387"/>
        <v>Ishita Banerjee</v>
      </c>
      <c r="U692" s="14" t="str">
        <f t="shared" si="1387"/>
        <v>Juhu</v>
      </c>
      <c r="V692" s="14" t="str">
        <f t="shared" si="4"/>
        <v>Popcorn</v>
      </c>
      <c r="W692" s="14">
        <f t="shared" si="5"/>
        <v>5</v>
      </c>
      <c r="X692" s="14" t="str">
        <f t="shared" si="6"/>
        <v>Sita T</v>
      </c>
      <c r="Y692" s="15">
        <f t="shared" si="7"/>
        <v>45281</v>
      </c>
      <c r="Z692" s="14" t="str">
        <f t="shared" si="8"/>
        <v>Online Payment</v>
      </c>
      <c r="AA692" s="14" t="str">
        <f t="shared" si="9"/>
        <v>Delivered</v>
      </c>
      <c r="AB692" s="14" t="str">
        <f t="shared" ref="AB692:AC692" si="1388">trim(Q692)</f>
        <v>Quality of Items</v>
      </c>
      <c r="AC692" s="14" t="str">
        <f t="shared" si="1388"/>
        <v>Perfect condition</v>
      </c>
      <c r="AD692" s="8"/>
    </row>
    <row r="693">
      <c r="A693" s="14" t="str">
        <f>IFERROR(__xludf.DUMMYFUNCTION("""COMPUTED_VALUE"""),"//ord_10684//Aarav Mehta//Andheri//Chocolate Mousse+5*Ramesh S/5/21/2023//UPI//Delivered*Packaging: Secure and intact")</f>
        <v>//ord_10684//Aarav Mehta//Andheri//Chocolate Mousse+5*Ramesh S/5/21/2023//UPI//Delivered*Packaging: Secure and intact</v>
      </c>
      <c r="B693" s="14" t="str">
        <f>IFERROR(__xludf.DUMMYFUNCTION("split(A693,""//"")"),"ord_10684")</f>
        <v>ord_10684</v>
      </c>
      <c r="C693" s="14" t="str">
        <f>IFERROR(__xludf.DUMMYFUNCTION("""COMPUTED_VALUE"""),"Aarav Mehta")</f>
        <v>Aarav Mehta</v>
      </c>
      <c r="D693" s="14" t="str">
        <f>IFERROR(__xludf.DUMMYFUNCTION("""COMPUTED_VALUE"""),"Andheri")</f>
        <v>Andheri</v>
      </c>
      <c r="E693" s="14" t="str">
        <f>IFERROR(__xludf.DUMMYFUNCTION("""COMPUTED_VALUE"""),"Chocolate Mousse+5*Ramesh S")</f>
        <v>Chocolate Mousse+5*Ramesh S</v>
      </c>
      <c r="F693" s="14">
        <f>IFERROR(__xludf.DUMMYFUNCTION("""COMPUTED_VALUE"""),5.0)</f>
        <v>5</v>
      </c>
      <c r="G693" s="14">
        <f>IFERROR(__xludf.DUMMYFUNCTION("""COMPUTED_VALUE"""),21.0)</f>
        <v>21</v>
      </c>
      <c r="H693" s="14">
        <f>IFERROR(__xludf.DUMMYFUNCTION("""COMPUTED_VALUE"""),2023.0)</f>
        <v>2023</v>
      </c>
      <c r="I693" s="14" t="str">
        <f>IFERROR(__xludf.DUMMYFUNCTION("""COMPUTED_VALUE"""),"UPI")</f>
        <v>UPI</v>
      </c>
      <c r="J693" s="14" t="str">
        <f>IFERROR(__xludf.DUMMYFUNCTION("""COMPUTED_VALUE"""),"Delivered*Packaging: Secure and intact")</f>
        <v>Delivered*Packaging: Secure and intact</v>
      </c>
      <c r="K693" s="14" t="str">
        <f>IFERROR(__xludf.DUMMYFUNCTION("split(E693,""+"")"),"Chocolate Mousse")</f>
        <v>Chocolate Mousse</v>
      </c>
      <c r="L693" s="14" t="str">
        <f>IFERROR(__xludf.DUMMYFUNCTION("""COMPUTED_VALUE"""),"5*Ramesh S")</f>
        <v>5*Ramesh S</v>
      </c>
      <c r="M693" s="14">
        <f>IFERROR(__xludf.DUMMYFUNCTION("SPLIT(L693,""*"")"),5.0)</f>
        <v>5</v>
      </c>
      <c r="N693" s="14" t="str">
        <f>IFERROR(__xludf.DUMMYFUNCTION("""COMPUTED_VALUE"""),"Ramesh S")</f>
        <v>Ramesh S</v>
      </c>
      <c r="O693" s="14" t="str">
        <f>IFERROR(__xludf.DUMMYFUNCTION("split(J693,""*"")"),"Delivered")</f>
        <v>Delivered</v>
      </c>
      <c r="P693" s="14" t="str">
        <f>IFERROR(__xludf.DUMMYFUNCTION("""COMPUTED_VALUE"""),"Packaging: Secure and intact")</f>
        <v>Packaging: Secure and intact</v>
      </c>
      <c r="Q693" s="14" t="str">
        <f>IFERROR(__xludf.DUMMYFUNCTION("split(P693,"":"")"),"Packaging")</f>
        <v>Packaging</v>
      </c>
      <c r="R693" s="14" t="str">
        <f>IFERROR(__xludf.DUMMYFUNCTION("""COMPUTED_VALUE""")," Secure and intact")</f>
        <v> Secure and intact</v>
      </c>
      <c r="S693" s="14" t="str">
        <f t="shared" ref="S693:U693" si="1389">trim(B693)</f>
        <v>ord_10684</v>
      </c>
      <c r="T693" s="14" t="str">
        <f t="shared" si="1389"/>
        <v>Aarav Mehta</v>
      </c>
      <c r="U693" s="14" t="str">
        <f t="shared" si="1389"/>
        <v>Andheri</v>
      </c>
      <c r="V693" s="14" t="str">
        <f t="shared" si="4"/>
        <v>Chocolate Mousse</v>
      </c>
      <c r="W693" s="14">
        <f t="shared" si="5"/>
        <v>5</v>
      </c>
      <c r="X693" s="14" t="str">
        <f t="shared" si="6"/>
        <v>Ramesh S</v>
      </c>
      <c r="Y693" s="15">
        <f t="shared" si="7"/>
        <v>45067</v>
      </c>
      <c r="Z693" s="14" t="str">
        <f t="shared" si="8"/>
        <v>UPI</v>
      </c>
      <c r="AA693" s="14" t="str">
        <f t="shared" si="9"/>
        <v>Delivered</v>
      </c>
      <c r="AB693" s="14" t="str">
        <f t="shared" ref="AB693:AC693" si="1390">trim(Q693)</f>
        <v>Packaging</v>
      </c>
      <c r="AC693" s="14" t="str">
        <f t="shared" si="1390"/>
        <v>Secure and intact</v>
      </c>
      <c r="AD693" s="8"/>
    </row>
    <row r="694">
      <c r="A694" s="14" t="str">
        <f>IFERROR(__xludf.DUMMYFUNCTION("""COMPUTED_VALUE"""),"//ord_10685//Sanjay Nair//Dadar//Chicken Puff+3*Not Assigned/4/28/2023//Credit Card//Cancelled*Payment Issues")</f>
        <v>//ord_10685//Sanjay Nair//Dadar//Chicken Puff+3*Not Assigned/4/28/2023//Credit Card//Cancelled*Payment Issues</v>
      </c>
      <c r="B694" s="14" t="str">
        <f>IFERROR(__xludf.DUMMYFUNCTION("split(A694,""//"")"),"ord_10685")</f>
        <v>ord_10685</v>
      </c>
      <c r="C694" s="14" t="str">
        <f>IFERROR(__xludf.DUMMYFUNCTION("""COMPUTED_VALUE"""),"Sanjay Nair")</f>
        <v>Sanjay Nair</v>
      </c>
      <c r="D694" s="14" t="str">
        <f>IFERROR(__xludf.DUMMYFUNCTION("""COMPUTED_VALUE"""),"Dadar")</f>
        <v>Dadar</v>
      </c>
      <c r="E694" s="14" t="str">
        <f>IFERROR(__xludf.DUMMYFUNCTION("""COMPUTED_VALUE"""),"Chicken Puff+3*Not Assigned")</f>
        <v>Chicken Puff+3*Not Assigned</v>
      </c>
      <c r="F694" s="14">
        <f>IFERROR(__xludf.DUMMYFUNCTION("""COMPUTED_VALUE"""),4.0)</f>
        <v>4</v>
      </c>
      <c r="G694" s="14">
        <f>IFERROR(__xludf.DUMMYFUNCTION("""COMPUTED_VALUE"""),28.0)</f>
        <v>28</v>
      </c>
      <c r="H694" s="14">
        <f>IFERROR(__xludf.DUMMYFUNCTION("""COMPUTED_VALUE"""),2023.0)</f>
        <v>2023</v>
      </c>
      <c r="I694" s="14" t="str">
        <f>IFERROR(__xludf.DUMMYFUNCTION("""COMPUTED_VALUE"""),"Credit Card")</f>
        <v>Credit Card</v>
      </c>
      <c r="J694" s="14" t="str">
        <f>IFERROR(__xludf.DUMMYFUNCTION("""COMPUTED_VALUE"""),"Cancelled*Payment Issues")</f>
        <v>Cancelled*Payment Issues</v>
      </c>
      <c r="K694" s="14" t="str">
        <f>IFERROR(__xludf.DUMMYFUNCTION("split(E694,""+"")"),"Chicken Puff")</f>
        <v>Chicken Puff</v>
      </c>
      <c r="L694" s="14" t="str">
        <f>IFERROR(__xludf.DUMMYFUNCTION("""COMPUTED_VALUE"""),"3*Not Assigned")</f>
        <v>3*Not Assigned</v>
      </c>
      <c r="M694" s="14">
        <f>IFERROR(__xludf.DUMMYFUNCTION("SPLIT(L694,""*"")"),3.0)</f>
        <v>3</v>
      </c>
      <c r="N694" s="14" t="str">
        <f>IFERROR(__xludf.DUMMYFUNCTION("""COMPUTED_VALUE"""),"Not Assigned")</f>
        <v>Not Assigned</v>
      </c>
      <c r="O694" s="14" t="str">
        <f>IFERROR(__xludf.DUMMYFUNCTION("split(J694,""*"")"),"Cancelled")</f>
        <v>Cancelled</v>
      </c>
      <c r="P694" s="14" t="str">
        <f>IFERROR(__xludf.DUMMYFUNCTION("""COMPUTED_VALUE"""),"Payment Issues")</f>
        <v>Payment Issues</v>
      </c>
      <c r="Q694" s="14" t="str">
        <f>IFERROR(__xludf.DUMMYFUNCTION("split(P694,"":"")"),"Payment Issues")</f>
        <v>Payment Issues</v>
      </c>
      <c r="R694" s="14"/>
      <c r="S694" s="14" t="str">
        <f t="shared" ref="S694:U694" si="1391">trim(B694)</f>
        <v>ord_10685</v>
      </c>
      <c r="T694" s="14" t="str">
        <f t="shared" si="1391"/>
        <v>Sanjay Nair</v>
      </c>
      <c r="U694" s="14" t="str">
        <f t="shared" si="1391"/>
        <v>Dadar</v>
      </c>
      <c r="V694" s="14" t="str">
        <f t="shared" si="4"/>
        <v>Chicken Puff</v>
      </c>
      <c r="W694" s="14">
        <f t="shared" si="5"/>
        <v>3</v>
      </c>
      <c r="X694" s="14" t="str">
        <f t="shared" si="6"/>
        <v>Not Assigned</v>
      </c>
      <c r="Y694" s="15">
        <f t="shared" si="7"/>
        <v>45044</v>
      </c>
      <c r="Z694" s="14" t="str">
        <f t="shared" si="8"/>
        <v>Credit Card</v>
      </c>
      <c r="AA694" s="14" t="str">
        <f t="shared" si="9"/>
        <v>Cancelled</v>
      </c>
      <c r="AB694" s="14" t="str">
        <f t="shared" ref="AB694:AC694" si="1392">trim(Q694)</f>
        <v>Payment Issues</v>
      </c>
      <c r="AC694" s="14" t="str">
        <f t="shared" si="1392"/>
        <v/>
      </c>
      <c r="AD694" s="8"/>
    </row>
    <row r="695">
      <c r="A695" s="14" t="str">
        <f>IFERROR(__xludf.DUMMYFUNCTION("""COMPUTED_VALUE"""),"//ord_10686//Pranav Joshi//Andheri//Banana+1*Manju Ajay/12/1/2023//Credit Card//Delivered*Satisfied with the Delivery: Timely and quality")</f>
        <v>//ord_10686//Pranav Joshi//Andheri//Banana+1*Manju Ajay/12/1/2023//Credit Card//Delivered*Satisfied with the Delivery: Timely and quality</v>
      </c>
      <c r="B695" s="14" t="str">
        <f>IFERROR(__xludf.DUMMYFUNCTION("split(A695,""//"")"),"ord_10686")</f>
        <v>ord_10686</v>
      </c>
      <c r="C695" s="14" t="str">
        <f>IFERROR(__xludf.DUMMYFUNCTION("""COMPUTED_VALUE"""),"Pranav Joshi")</f>
        <v>Pranav Joshi</v>
      </c>
      <c r="D695" s="14" t="str">
        <f>IFERROR(__xludf.DUMMYFUNCTION("""COMPUTED_VALUE"""),"Andheri")</f>
        <v>Andheri</v>
      </c>
      <c r="E695" s="14" t="str">
        <f>IFERROR(__xludf.DUMMYFUNCTION("""COMPUTED_VALUE"""),"Banana+1*Manju Ajay")</f>
        <v>Banana+1*Manju Ajay</v>
      </c>
      <c r="F695" s="14">
        <f>IFERROR(__xludf.DUMMYFUNCTION("""COMPUTED_VALUE"""),12.0)</f>
        <v>12</v>
      </c>
      <c r="G695" s="14">
        <f>IFERROR(__xludf.DUMMYFUNCTION("""COMPUTED_VALUE"""),1.0)</f>
        <v>1</v>
      </c>
      <c r="H695" s="14">
        <f>IFERROR(__xludf.DUMMYFUNCTION("""COMPUTED_VALUE"""),2023.0)</f>
        <v>2023</v>
      </c>
      <c r="I695" s="14" t="str">
        <f>IFERROR(__xludf.DUMMYFUNCTION("""COMPUTED_VALUE"""),"Credit Card")</f>
        <v>Credit Card</v>
      </c>
      <c r="J695" s="14" t="str">
        <f>IFERROR(__xludf.DUMMYFUNCTION("""COMPUTED_VALUE"""),"Delivered*Satisfied with the Delivery: Timely and quality")</f>
        <v>Delivered*Satisfied with the Delivery: Timely and quality</v>
      </c>
      <c r="K695" s="14" t="str">
        <f>IFERROR(__xludf.DUMMYFUNCTION("split(E695,""+"")"),"Banana")</f>
        <v>Banana</v>
      </c>
      <c r="L695" s="14" t="str">
        <f>IFERROR(__xludf.DUMMYFUNCTION("""COMPUTED_VALUE"""),"1*Manju Ajay")</f>
        <v>1*Manju Ajay</v>
      </c>
      <c r="M695" s="14">
        <f>IFERROR(__xludf.DUMMYFUNCTION("SPLIT(L695,""*"")"),1.0)</f>
        <v>1</v>
      </c>
      <c r="N695" s="14" t="str">
        <f>IFERROR(__xludf.DUMMYFUNCTION("""COMPUTED_VALUE"""),"Manju Ajay")</f>
        <v>Manju Ajay</v>
      </c>
      <c r="O695" s="14" t="str">
        <f>IFERROR(__xludf.DUMMYFUNCTION("split(J695,""*"")"),"Delivered")</f>
        <v>Delivered</v>
      </c>
      <c r="P695" s="14" t="str">
        <f>IFERROR(__xludf.DUMMYFUNCTION("""COMPUTED_VALUE"""),"Satisfied with the Delivery: Timely and quality")</f>
        <v>Satisfied with the Delivery: Timely and quality</v>
      </c>
      <c r="Q695" s="14" t="str">
        <f>IFERROR(__xludf.DUMMYFUNCTION("split(P695,"":"")"),"Satisfied with the Delivery")</f>
        <v>Satisfied with the Delivery</v>
      </c>
      <c r="R695" s="14" t="str">
        <f>IFERROR(__xludf.DUMMYFUNCTION("""COMPUTED_VALUE""")," Timely and quality")</f>
        <v> Timely and quality</v>
      </c>
      <c r="S695" s="14" t="str">
        <f t="shared" ref="S695:U695" si="1393">trim(B695)</f>
        <v>ord_10686</v>
      </c>
      <c r="T695" s="14" t="str">
        <f t="shared" si="1393"/>
        <v>Pranav Joshi</v>
      </c>
      <c r="U695" s="14" t="str">
        <f t="shared" si="1393"/>
        <v>Andheri</v>
      </c>
      <c r="V695" s="14" t="str">
        <f t="shared" si="4"/>
        <v>Banana</v>
      </c>
      <c r="W695" s="14">
        <f t="shared" si="5"/>
        <v>1</v>
      </c>
      <c r="X695" s="14" t="str">
        <f t="shared" si="6"/>
        <v>Manju Ajay</v>
      </c>
      <c r="Y695" s="15">
        <f t="shared" si="7"/>
        <v>45261</v>
      </c>
      <c r="Z695" s="14" t="str">
        <f t="shared" si="8"/>
        <v>Credit Card</v>
      </c>
      <c r="AA695" s="14" t="str">
        <f t="shared" si="9"/>
        <v>Delivered</v>
      </c>
      <c r="AB695" s="14" t="str">
        <f t="shared" ref="AB695:AC695" si="1394">trim(Q695)</f>
        <v>Satisfied with the Delivery</v>
      </c>
      <c r="AC695" s="14" t="str">
        <f t="shared" si="1394"/>
        <v>Timely and quality</v>
      </c>
      <c r="AD695" s="8"/>
    </row>
    <row r="696">
      <c r="A696" s="14" t="str">
        <f>IFERROR(__xludf.DUMMYFUNCTION("""COMPUTED_VALUE"""),"//ord_10687//Aditi Iyer//Dadar//Sweet Corn+1*Not Assigned/2/27/2023//Credit Card//Cancelled*Payment Issues")</f>
        <v>//ord_10687//Aditi Iyer//Dadar//Sweet Corn+1*Not Assigned/2/27/2023//Credit Card//Cancelled*Payment Issues</v>
      </c>
      <c r="B696" s="14" t="str">
        <f>IFERROR(__xludf.DUMMYFUNCTION("split(A696,""//"")"),"ord_10687")</f>
        <v>ord_10687</v>
      </c>
      <c r="C696" s="14" t="str">
        <f>IFERROR(__xludf.DUMMYFUNCTION("""COMPUTED_VALUE"""),"Aditi Iyer")</f>
        <v>Aditi Iyer</v>
      </c>
      <c r="D696" s="14" t="str">
        <f>IFERROR(__xludf.DUMMYFUNCTION("""COMPUTED_VALUE"""),"Dadar")</f>
        <v>Dadar</v>
      </c>
      <c r="E696" s="14" t="str">
        <f>IFERROR(__xludf.DUMMYFUNCTION("""COMPUTED_VALUE"""),"Sweet Corn+1*Not Assigned")</f>
        <v>Sweet Corn+1*Not Assigned</v>
      </c>
      <c r="F696" s="14">
        <f>IFERROR(__xludf.DUMMYFUNCTION("""COMPUTED_VALUE"""),2.0)</f>
        <v>2</v>
      </c>
      <c r="G696" s="14">
        <f>IFERROR(__xludf.DUMMYFUNCTION("""COMPUTED_VALUE"""),27.0)</f>
        <v>27</v>
      </c>
      <c r="H696" s="14">
        <f>IFERROR(__xludf.DUMMYFUNCTION("""COMPUTED_VALUE"""),2023.0)</f>
        <v>2023</v>
      </c>
      <c r="I696" s="14" t="str">
        <f>IFERROR(__xludf.DUMMYFUNCTION("""COMPUTED_VALUE"""),"Credit Card")</f>
        <v>Credit Card</v>
      </c>
      <c r="J696" s="14" t="str">
        <f>IFERROR(__xludf.DUMMYFUNCTION("""COMPUTED_VALUE"""),"Cancelled*Payment Issues")</f>
        <v>Cancelled*Payment Issues</v>
      </c>
      <c r="K696" s="14" t="str">
        <f>IFERROR(__xludf.DUMMYFUNCTION("split(E696,""+"")"),"Sweet Corn")</f>
        <v>Sweet Corn</v>
      </c>
      <c r="L696" s="14" t="str">
        <f>IFERROR(__xludf.DUMMYFUNCTION("""COMPUTED_VALUE"""),"1*Not Assigned")</f>
        <v>1*Not Assigned</v>
      </c>
      <c r="M696" s="14">
        <f>IFERROR(__xludf.DUMMYFUNCTION("SPLIT(L696,""*"")"),1.0)</f>
        <v>1</v>
      </c>
      <c r="N696" s="14" t="str">
        <f>IFERROR(__xludf.DUMMYFUNCTION("""COMPUTED_VALUE"""),"Not Assigned")</f>
        <v>Not Assigned</v>
      </c>
      <c r="O696" s="14" t="str">
        <f>IFERROR(__xludf.DUMMYFUNCTION("split(J696,""*"")"),"Cancelled")</f>
        <v>Cancelled</v>
      </c>
      <c r="P696" s="14" t="str">
        <f>IFERROR(__xludf.DUMMYFUNCTION("""COMPUTED_VALUE"""),"Payment Issues")</f>
        <v>Payment Issues</v>
      </c>
      <c r="Q696" s="14" t="str">
        <f>IFERROR(__xludf.DUMMYFUNCTION("split(P696,"":"")"),"Payment Issues")</f>
        <v>Payment Issues</v>
      </c>
      <c r="R696" s="14"/>
      <c r="S696" s="14" t="str">
        <f t="shared" ref="S696:U696" si="1395">trim(B696)</f>
        <v>ord_10687</v>
      </c>
      <c r="T696" s="14" t="str">
        <f t="shared" si="1395"/>
        <v>Aditi Iyer</v>
      </c>
      <c r="U696" s="14" t="str">
        <f t="shared" si="1395"/>
        <v>Dadar</v>
      </c>
      <c r="V696" s="14" t="str">
        <f t="shared" si="4"/>
        <v>Sweet Corn</v>
      </c>
      <c r="W696" s="14">
        <f t="shared" si="5"/>
        <v>1</v>
      </c>
      <c r="X696" s="14" t="str">
        <f t="shared" si="6"/>
        <v>Not Assigned</v>
      </c>
      <c r="Y696" s="15">
        <f t="shared" si="7"/>
        <v>44984</v>
      </c>
      <c r="Z696" s="14" t="str">
        <f t="shared" si="8"/>
        <v>Credit Card</v>
      </c>
      <c r="AA696" s="14" t="str">
        <f t="shared" si="9"/>
        <v>Cancelled</v>
      </c>
      <c r="AB696" s="14" t="str">
        <f t="shared" ref="AB696:AC696" si="1396">trim(Q696)</f>
        <v>Payment Issues</v>
      </c>
      <c r="AC696" s="14" t="str">
        <f t="shared" si="1396"/>
        <v/>
      </c>
      <c r="AD696" s="8"/>
    </row>
    <row r="697">
      <c r="A697" s="14" t="str">
        <f>IFERROR(__xludf.DUMMYFUNCTION("""COMPUTED_VALUE"""),"//ord_10688//Pallavi Ghosh//Bandra//Chicken Puff+3*Not Assigned/10/21/2023//Credit Card//Cancelled*App Glitches:Slow Loading Time")</f>
        <v>//ord_10688//Pallavi Ghosh//Bandra//Chicken Puff+3*Not Assigned/10/21/2023//Credit Card//Cancelled*App Glitches:Slow Loading Time</v>
      </c>
      <c r="B697" s="14" t="str">
        <f>IFERROR(__xludf.DUMMYFUNCTION("split(A697,""//"")"),"ord_10688")</f>
        <v>ord_10688</v>
      </c>
      <c r="C697" s="14" t="str">
        <f>IFERROR(__xludf.DUMMYFUNCTION("""COMPUTED_VALUE"""),"Pallavi Ghosh")</f>
        <v>Pallavi Ghosh</v>
      </c>
      <c r="D697" s="14" t="str">
        <f>IFERROR(__xludf.DUMMYFUNCTION("""COMPUTED_VALUE"""),"Bandra")</f>
        <v>Bandra</v>
      </c>
      <c r="E697" s="14" t="str">
        <f>IFERROR(__xludf.DUMMYFUNCTION("""COMPUTED_VALUE"""),"Chicken Puff+3*Not Assigned")</f>
        <v>Chicken Puff+3*Not Assigned</v>
      </c>
      <c r="F697" s="14">
        <f>IFERROR(__xludf.DUMMYFUNCTION("""COMPUTED_VALUE"""),10.0)</f>
        <v>10</v>
      </c>
      <c r="G697" s="14">
        <f>IFERROR(__xludf.DUMMYFUNCTION("""COMPUTED_VALUE"""),21.0)</f>
        <v>21</v>
      </c>
      <c r="H697" s="14">
        <f>IFERROR(__xludf.DUMMYFUNCTION("""COMPUTED_VALUE"""),2023.0)</f>
        <v>2023</v>
      </c>
      <c r="I697" s="14" t="str">
        <f>IFERROR(__xludf.DUMMYFUNCTION("""COMPUTED_VALUE"""),"Credit Card")</f>
        <v>Credit Card</v>
      </c>
      <c r="J697" s="14" t="str">
        <f>IFERROR(__xludf.DUMMYFUNCTION("""COMPUTED_VALUE"""),"Cancelled*App Glitches:Slow Loading Time")</f>
        <v>Cancelled*App Glitches:Slow Loading Time</v>
      </c>
      <c r="K697" s="14" t="str">
        <f>IFERROR(__xludf.DUMMYFUNCTION("split(E697,""+"")"),"Chicken Puff")</f>
        <v>Chicken Puff</v>
      </c>
      <c r="L697" s="14" t="str">
        <f>IFERROR(__xludf.DUMMYFUNCTION("""COMPUTED_VALUE"""),"3*Not Assigned")</f>
        <v>3*Not Assigned</v>
      </c>
      <c r="M697" s="14">
        <f>IFERROR(__xludf.DUMMYFUNCTION("SPLIT(L697,""*"")"),3.0)</f>
        <v>3</v>
      </c>
      <c r="N697" s="14" t="str">
        <f>IFERROR(__xludf.DUMMYFUNCTION("""COMPUTED_VALUE"""),"Not Assigned")</f>
        <v>Not Assigned</v>
      </c>
      <c r="O697" s="14" t="str">
        <f>IFERROR(__xludf.DUMMYFUNCTION("split(J697,""*"")"),"Cancelled")</f>
        <v>Cancelled</v>
      </c>
      <c r="P697" s="14" t="str">
        <f>IFERROR(__xludf.DUMMYFUNCTION("""COMPUTED_VALUE"""),"App Glitches:Slow Loading Time")</f>
        <v>App Glitches:Slow Loading Time</v>
      </c>
      <c r="Q697" s="14" t="str">
        <f>IFERROR(__xludf.DUMMYFUNCTION("split(P697,"":"")"),"App Glitches")</f>
        <v>App Glitches</v>
      </c>
      <c r="R697" s="14" t="str">
        <f>IFERROR(__xludf.DUMMYFUNCTION("""COMPUTED_VALUE"""),"Slow Loading Time")</f>
        <v>Slow Loading Time</v>
      </c>
      <c r="S697" s="14" t="str">
        <f t="shared" ref="S697:U697" si="1397">trim(B697)</f>
        <v>ord_10688</v>
      </c>
      <c r="T697" s="14" t="str">
        <f t="shared" si="1397"/>
        <v>Pallavi Ghosh</v>
      </c>
      <c r="U697" s="14" t="str">
        <f t="shared" si="1397"/>
        <v>Bandra</v>
      </c>
      <c r="V697" s="14" t="str">
        <f t="shared" si="4"/>
        <v>Chicken Puff</v>
      </c>
      <c r="W697" s="14">
        <f t="shared" si="5"/>
        <v>3</v>
      </c>
      <c r="X697" s="14" t="str">
        <f t="shared" si="6"/>
        <v>Not Assigned</v>
      </c>
      <c r="Y697" s="15">
        <f t="shared" si="7"/>
        <v>45220</v>
      </c>
      <c r="Z697" s="14" t="str">
        <f t="shared" si="8"/>
        <v>Credit Card</v>
      </c>
      <c r="AA697" s="14" t="str">
        <f t="shared" si="9"/>
        <v>Cancelled</v>
      </c>
      <c r="AB697" s="14" t="str">
        <f t="shared" ref="AB697:AC697" si="1398">trim(Q697)</f>
        <v>App Glitches</v>
      </c>
      <c r="AC697" s="14" t="str">
        <f t="shared" si="1398"/>
        <v>Slow Loading Time</v>
      </c>
      <c r="AD697" s="8"/>
    </row>
    <row r="698">
      <c r="A698" s="14" t="str">
        <f>IFERROR(__xludf.DUMMYFUNCTION("""COMPUTED_VALUE"""),"//ord_10689//Mehul Thakkar//Malad//Apple+2*Not Assigned/10/11/2023//Credit Card//Cancelled*Payment Issues")</f>
        <v>//ord_10689//Mehul Thakkar//Malad//Apple+2*Not Assigned/10/11/2023//Credit Card//Cancelled*Payment Issues</v>
      </c>
      <c r="B698" s="14" t="str">
        <f>IFERROR(__xludf.DUMMYFUNCTION("split(A698,""//"")"),"ord_10689")</f>
        <v>ord_10689</v>
      </c>
      <c r="C698" s="14" t="str">
        <f>IFERROR(__xludf.DUMMYFUNCTION("""COMPUTED_VALUE"""),"Mehul Thakkar")</f>
        <v>Mehul Thakkar</v>
      </c>
      <c r="D698" s="14" t="str">
        <f>IFERROR(__xludf.DUMMYFUNCTION("""COMPUTED_VALUE"""),"Malad")</f>
        <v>Malad</v>
      </c>
      <c r="E698" s="14" t="str">
        <f>IFERROR(__xludf.DUMMYFUNCTION("""COMPUTED_VALUE"""),"Apple+2*Not Assigned")</f>
        <v>Apple+2*Not Assigned</v>
      </c>
      <c r="F698" s="14">
        <f>IFERROR(__xludf.DUMMYFUNCTION("""COMPUTED_VALUE"""),10.0)</f>
        <v>10</v>
      </c>
      <c r="G698" s="14">
        <f>IFERROR(__xludf.DUMMYFUNCTION("""COMPUTED_VALUE"""),11.0)</f>
        <v>11</v>
      </c>
      <c r="H698" s="14">
        <f>IFERROR(__xludf.DUMMYFUNCTION("""COMPUTED_VALUE"""),2023.0)</f>
        <v>2023</v>
      </c>
      <c r="I698" s="14" t="str">
        <f>IFERROR(__xludf.DUMMYFUNCTION("""COMPUTED_VALUE"""),"Credit Card")</f>
        <v>Credit Card</v>
      </c>
      <c r="J698" s="14" t="str">
        <f>IFERROR(__xludf.DUMMYFUNCTION("""COMPUTED_VALUE"""),"Cancelled*Payment Issues")</f>
        <v>Cancelled*Payment Issues</v>
      </c>
      <c r="K698" s="14" t="str">
        <f>IFERROR(__xludf.DUMMYFUNCTION("split(E698,""+"")"),"Apple")</f>
        <v>Apple</v>
      </c>
      <c r="L698" s="14" t="str">
        <f>IFERROR(__xludf.DUMMYFUNCTION("""COMPUTED_VALUE"""),"2*Not Assigned")</f>
        <v>2*Not Assigned</v>
      </c>
      <c r="M698" s="14">
        <f>IFERROR(__xludf.DUMMYFUNCTION("SPLIT(L698,""*"")"),2.0)</f>
        <v>2</v>
      </c>
      <c r="N698" s="14" t="str">
        <f>IFERROR(__xludf.DUMMYFUNCTION("""COMPUTED_VALUE"""),"Not Assigned")</f>
        <v>Not Assigned</v>
      </c>
      <c r="O698" s="14" t="str">
        <f>IFERROR(__xludf.DUMMYFUNCTION("split(J698,""*"")"),"Cancelled")</f>
        <v>Cancelled</v>
      </c>
      <c r="P698" s="14" t="str">
        <f>IFERROR(__xludf.DUMMYFUNCTION("""COMPUTED_VALUE"""),"Payment Issues")</f>
        <v>Payment Issues</v>
      </c>
      <c r="Q698" s="14" t="str">
        <f>IFERROR(__xludf.DUMMYFUNCTION("split(P698,"":"")"),"Payment Issues")</f>
        <v>Payment Issues</v>
      </c>
      <c r="R698" s="14"/>
      <c r="S698" s="14" t="str">
        <f t="shared" ref="S698:U698" si="1399">trim(B698)</f>
        <v>ord_10689</v>
      </c>
      <c r="T698" s="14" t="str">
        <f t="shared" si="1399"/>
        <v>Mehul Thakkar</v>
      </c>
      <c r="U698" s="14" t="str">
        <f t="shared" si="1399"/>
        <v>Malad</v>
      </c>
      <c r="V698" s="14" t="str">
        <f t="shared" si="4"/>
        <v>Apple</v>
      </c>
      <c r="W698" s="14">
        <f t="shared" si="5"/>
        <v>2</v>
      </c>
      <c r="X698" s="14" t="str">
        <f t="shared" si="6"/>
        <v>Not Assigned</v>
      </c>
      <c r="Y698" s="15">
        <f t="shared" si="7"/>
        <v>45210</v>
      </c>
      <c r="Z698" s="14" t="str">
        <f t="shared" si="8"/>
        <v>Credit Card</v>
      </c>
      <c r="AA698" s="14" t="str">
        <f t="shared" si="9"/>
        <v>Cancelled</v>
      </c>
      <c r="AB698" s="14" t="str">
        <f t="shared" ref="AB698:AC698" si="1400">trim(Q698)</f>
        <v>Payment Issues</v>
      </c>
      <c r="AC698" s="14" t="str">
        <f t="shared" si="1400"/>
        <v/>
      </c>
      <c r="AD698" s="8"/>
    </row>
    <row r="699">
      <c r="A699" s="14" t="str">
        <f>IFERROR(__xludf.DUMMYFUNCTION("""COMPUTED_VALUE"""),"//ord_10690//Diya Arora//Lower Parel//Cold Coffee+1*Shine Thomas/6/12/2023//Online Payment//Delivered*Customer Service: Seamless and easy")</f>
        <v>//ord_10690//Diya Arora//Lower Parel//Cold Coffee+1*Shine Thomas/6/12/2023//Online Payment//Delivered*Customer Service: Seamless and easy</v>
      </c>
      <c r="B699" s="14" t="str">
        <f>IFERROR(__xludf.DUMMYFUNCTION("split(A699,""//"")"),"ord_10690")</f>
        <v>ord_10690</v>
      </c>
      <c r="C699" s="14" t="str">
        <f>IFERROR(__xludf.DUMMYFUNCTION("""COMPUTED_VALUE"""),"Diya Arora")</f>
        <v>Diya Arora</v>
      </c>
      <c r="D699" s="14" t="str">
        <f>IFERROR(__xludf.DUMMYFUNCTION("""COMPUTED_VALUE"""),"Lower Parel")</f>
        <v>Lower Parel</v>
      </c>
      <c r="E699" s="14" t="str">
        <f>IFERROR(__xludf.DUMMYFUNCTION("""COMPUTED_VALUE"""),"Cold Coffee+1*Shine Thomas")</f>
        <v>Cold Coffee+1*Shine Thomas</v>
      </c>
      <c r="F699" s="14">
        <f>IFERROR(__xludf.DUMMYFUNCTION("""COMPUTED_VALUE"""),6.0)</f>
        <v>6</v>
      </c>
      <c r="G699" s="14">
        <f>IFERROR(__xludf.DUMMYFUNCTION("""COMPUTED_VALUE"""),12.0)</f>
        <v>12</v>
      </c>
      <c r="H699" s="14">
        <f>IFERROR(__xludf.DUMMYFUNCTION("""COMPUTED_VALUE"""),2023.0)</f>
        <v>2023</v>
      </c>
      <c r="I699" s="14" t="str">
        <f>IFERROR(__xludf.DUMMYFUNCTION("""COMPUTED_VALUE"""),"Online Payment")</f>
        <v>Online Payment</v>
      </c>
      <c r="J699" s="14" t="str">
        <f>IFERROR(__xludf.DUMMYFUNCTION("""COMPUTED_VALUE"""),"Delivered*Customer Service: Seamless and easy")</f>
        <v>Delivered*Customer Service: Seamless and easy</v>
      </c>
      <c r="K699" s="14" t="str">
        <f>IFERROR(__xludf.DUMMYFUNCTION("split(E699,""+"")"),"Cold Coffee")</f>
        <v>Cold Coffee</v>
      </c>
      <c r="L699" s="14" t="str">
        <f>IFERROR(__xludf.DUMMYFUNCTION("""COMPUTED_VALUE"""),"1*Shine Thomas")</f>
        <v>1*Shine Thomas</v>
      </c>
      <c r="M699" s="14">
        <f>IFERROR(__xludf.DUMMYFUNCTION("SPLIT(L699,""*"")"),1.0)</f>
        <v>1</v>
      </c>
      <c r="N699" s="14" t="str">
        <f>IFERROR(__xludf.DUMMYFUNCTION("""COMPUTED_VALUE"""),"Shine Thomas")</f>
        <v>Shine Thomas</v>
      </c>
      <c r="O699" s="14" t="str">
        <f>IFERROR(__xludf.DUMMYFUNCTION("split(J699,""*"")"),"Delivered")</f>
        <v>Delivered</v>
      </c>
      <c r="P699" s="14" t="str">
        <f>IFERROR(__xludf.DUMMYFUNCTION("""COMPUTED_VALUE"""),"Customer Service: Seamless and easy")</f>
        <v>Customer Service: Seamless and easy</v>
      </c>
      <c r="Q699" s="14" t="str">
        <f>IFERROR(__xludf.DUMMYFUNCTION("split(P699,"":"")"),"Customer Service")</f>
        <v>Customer Service</v>
      </c>
      <c r="R699" s="14" t="str">
        <f>IFERROR(__xludf.DUMMYFUNCTION("""COMPUTED_VALUE""")," Seamless and easy")</f>
        <v> Seamless and easy</v>
      </c>
      <c r="S699" s="14" t="str">
        <f t="shared" ref="S699:U699" si="1401">trim(B699)</f>
        <v>ord_10690</v>
      </c>
      <c r="T699" s="14" t="str">
        <f t="shared" si="1401"/>
        <v>Diya Arora</v>
      </c>
      <c r="U699" s="14" t="str">
        <f t="shared" si="1401"/>
        <v>Lower Parel</v>
      </c>
      <c r="V699" s="14" t="str">
        <f t="shared" si="4"/>
        <v>Cold Coffee</v>
      </c>
      <c r="W699" s="14">
        <f t="shared" si="5"/>
        <v>1</v>
      </c>
      <c r="X699" s="14" t="str">
        <f t="shared" si="6"/>
        <v>Shine Thomas</v>
      </c>
      <c r="Y699" s="15">
        <f t="shared" si="7"/>
        <v>45089</v>
      </c>
      <c r="Z699" s="14" t="str">
        <f t="shared" si="8"/>
        <v>Online Payment</v>
      </c>
      <c r="AA699" s="14" t="str">
        <f t="shared" si="9"/>
        <v>Delivered</v>
      </c>
      <c r="AB699" s="14" t="str">
        <f t="shared" ref="AB699:AC699" si="1402">trim(Q699)</f>
        <v>Customer Service</v>
      </c>
      <c r="AC699" s="14" t="str">
        <f t="shared" si="1402"/>
        <v>Seamless and easy</v>
      </c>
      <c r="AD699" s="8"/>
    </row>
    <row r="700">
      <c r="A700" s="14" t="str">
        <f>IFERROR(__xludf.DUMMYFUNCTION("""COMPUTED_VALUE"""),"//ord_10691//Arvind Kulkarni//Juhu//Cold Coffee+1*Rohan Yadav/11/30/2023//Credit Card//Cancelled*Delayed Delivery:Bad Weather Conditions ")</f>
        <v>//ord_10691//Arvind Kulkarni//Juhu//Cold Coffee+1*Rohan Yadav/11/30/2023//Credit Card//Cancelled*Delayed Delivery:Bad Weather Conditions </v>
      </c>
      <c r="B700" s="14" t="str">
        <f>IFERROR(__xludf.DUMMYFUNCTION("split(A700,""//"")"),"ord_10691")</f>
        <v>ord_10691</v>
      </c>
      <c r="C700" s="14" t="str">
        <f>IFERROR(__xludf.DUMMYFUNCTION("""COMPUTED_VALUE"""),"Arvind Kulkarni")</f>
        <v>Arvind Kulkarni</v>
      </c>
      <c r="D700" s="14" t="str">
        <f>IFERROR(__xludf.DUMMYFUNCTION("""COMPUTED_VALUE"""),"Juhu")</f>
        <v>Juhu</v>
      </c>
      <c r="E700" s="14" t="str">
        <f>IFERROR(__xludf.DUMMYFUNCTION("""COMPUTED_VALUE"""),"Cold Coffee+1*Rohan Yadav")</f>
        <v>Cold Coffee+1*Rohan Yadav</v>
      </c>
      <c r="F700" s="14">
        <f>IFERROR(__xludf.DUMMYFUNCTION("""COMPUTED_VALUE"""),11.0)</f>
        <v>11</v>
      </c>
      <c r="G700" s="14">
        <f>IFERROR(__xludf.DUMMYFUNCTION("""COMPUTED_VALUE"""),30.0)</f>
        <v>30</v>
      </c>
      <c r="H700" s="14">
        <f>IFERROR(__xludf.DUMMYFUNCTION("""COMPUTED_VALUE"""),2023.0)</f>
        <v>2023</v>
      </c>
      <c r="I700" s="14" t="str">
        <f>IFERROR(__xludf.DUMMYFUNCTION("""COMPUTED_VALUE"""),"Credit Card")</f>
        <v>Credit Card</v>
      </c>
      <c r="J700" s="14" t="str">
        <f>IFERROR(__xludf.DUMMYFUNCTION("""COMPUTED_VALUE"""),"Cancelled*Delayed Delivery:Bad Weather Conditions ")</f>
        <v>Cancelled*Delayed Delivery:Bad Weather Conditions </v>
      </c>
      <c r="K700" s="14" t="str">
        <f>IFERROR(__xludf.DUMMYFUNCTION("split(E700,""+"")"),"Cold Coffee")</f>
        <v>Cold Coffee</v>
      </c>
      <c r="L700" s="14" t="str">
        <f>IFERROR(__xludf.DUMMYFUNCTION("""COMPUTED_VALUE"""),"1*Rohan Yadav")</f>
        <v>1*Rohan Yadav</v>
      </c>
      <c r="M700" s="14">
        <f>IFERROR(__xludf.DUMMYFUNCTION("SPLIT(L700,""*"")"),1.0)</f>
        <v>1</v>
      </c>
      <c r="N700" s="14" t="str">
        <f>IFERROR(__xludf.DUMMYFUNCTION("""COMPUTED_VALUE"""),"Rohan Yadav")</f>
        <v>Rohan Yadav</v>
      </c>
      <c r="O700" s="14" t="str">
        <f>IFERROR(__xludf.DUMMYFUNCTION("split(J700,""*"")"),"Cancelled")</f>
        <v>Cancelled</v>
      </c>
      <c r="P700" s="14" t="str">
        <f>IFERROR(__xludf.DUMMYFUNCTION("""COMPUTED_VALUE"""),"Delayed Delivery:Bad Weather Conditions ")</f>
        <v>Delayed Delivery:Bad Weather Conditions </v>
      </c>
      <c r="Q700" s="14" t="str">
        <f>IFERROR(__xludf.DUMMYFUNCTION("split(P700,"":"")"),"Delayed Delivery")</f>
        <v>Delayed Delivery</v>
      </c>
      <c r="R700" s="14" t="str">
        <f>IFERROR(__xludf.DUMMYFUNCTION("""COMPUTED_VALUE"""),"Bad Weather Conditions ")</f>
        <v>Bad Weather Conditions </v>
      </c>
      <c r="S700" s="14" t="str">
        <f t="shared" ref="S700:U700" si="1403">trim(B700)</f>
        <v>ord_10691</v>
      </c>
      <c r="T700" s="14" t="str">
        <f t="shared" si="1403"/>
        <v>Arvind Kulkarni</v>
      </c>
      <c r="U700" s="14" t="str">
        <f t="shared" si="1403"/>
        <v>Juhu</v>
      </c>
      <c r="V700" s="14" t="str">
        <f t="shared" si="4"/>
        <v>Cold Coffee</v>
      </c>
      <c r="W700" s="14">
        <f t="shared" si="5"/>
        <v>1</v>
      </c>
      <c r="X700" s="14" t="str">
        <f t="shared" si="6"/>
        <v>Rohan Yadav</v>
      </c>
      <c r="Y700" s="15">
        <f t="shared" si="7"/>
        <v>45260</v>
      </c>
      <c r="Z700" s="14" t="str">
        <f t="shared" si="8"/>
        <v>Credit Card</v>
      </c>
      <c r="AA700" s="14" t="str">
        <f t="shared" si="9"/>
        <v>Cancelled</v>
      </c>
      <c r="AB700" s="14" t="str">
        <f t="shared" ref="AB700:AC700" si="1404">trim(Q700)</f>
        <v>Delayed Delivery</v>
      </c>
      <c r="AC700" s="14" t="str">
        <f t="shared" si="1404"/>
        <v>Bad Weather Conditions</v>
      </c>
      <c r="AD700" s="8"/>
    </row>
    <row r="701">
      <c r="A701" s="14" t="str">
        <f>IFERROR(__xludf.DUMMYFUNCTION("""COMPUTED_VALUE"""),"//ord_10692//Kritika Shetty//Malad//Icecream+2*Ramesh S/10/29/2023//UPI//Delivered*Delivery Experience: Quick and professional")</f>
        <v>//ord_10692//Kritika Shetty//Malad//Icecream+2*Ramesh S/10/29/2023//UPI//Delivered*Delivery Experience: Quick and professional</v>
      </c>
      <c r="B701" s="14" t="str">
        <f>IFERROR(__xludf.DUMMYFUNCTION("split(A701,""//"")"),"ord_10692")</f>
        <v>ord_10692</v>
      </c>
      <c r="C701" s="14" t="str">
        <f>IFERROR(__xludf.DUMMYFUNCTION("""COMPUTED_VALUE"""),"Kritika Shetty")</f>
        <v>Kritika Shetty</v>
      </c>
      <c r="D701" s="14" t="str">
        <f>IFERROR(__xludf.DUMMYFUNCTION("""COMPUTED_VALUE"""),"Malad")</f>
        <v>Malad</v>
      </c>
      <c r="E701" s="14" t="str">
        <f>IFERROR(__xludf.DUMMYFUNCTION("""COMPUTED_VALUE"""),"Icecream+2*Ramesh S")</f>
        <v>Icecream+2*Ramesh S</v>
      </c>
      <c r="F701" s="14">
        <f>IFERROR(__xludf.DUMMYFUNCTION("""COMPUTED_VALUE"""),10.0)</f>
        <v>10</v>
      </c>
      <c r="G701" s="14">
        <f>IFERROR(__xludf.DUMMYFUNCTION("""COMPUTED_VALUE"""),29.0)</f>
        <v>29</v>
      </c>
      <c r="H701" s="14">
        <f>IFERROR(__xludf.DUMMYFUNCTION("""COMPUTED_VALUE"""),2023.0)</f>
        <v>2023</v>
      </c>
      <c r="I701" s="14" t="str">
        <f>IFERROR(__xludf.DUMMYFUNCTION("""COMPUTED_VALUE"""),"UPI")</f>
        <v>UPI</v>
      </c>
      <c r="J701" s="14" t="str">
        <f>IFERROR(__xludf.DUMMYFUNCTION("""COMPUTED_VALUE"""),"Delivered*Delivery Experience: Quick and professional")</f>
        <v>Delivered*Delivery Experience: Quick and professional</v>
      </c>
      <c r="K701" s="14" t="str">
        <f>IFERROR(__xludf.DUMMYFUNCTION("split(E701,""+"")"),"Icecream")</f>
        <v>Icecream</v>
      </c>
      <c r="L701" s="14" t="str">
        <f>IFERROR(__xludf.DUMMYFUNCTION("""COMPUTED_VALUE"""),"2*Ramesh S")</f>
        <v>2*Ramesh S</v>
      </c>
      <c r="M701" s="14">
        <f>IFERROR(__xludf.DUMMYFUNCTION("SPLIT(L701,""*"")"),2.0)</f>
        <v>2</v>
      </c>
      <c r="N701" s="14" t="str">
        <f>IFERROR(__xludf.DUMMYFUNCTION("""COMPUTED_VALUE"""),"Ramesh S")</f>
        <v>Ramesh S</v>
      </c>
      <c r="O701" s="14" t="str">
        <f>IFERROR(__xludf.DUMMYFUNCTION("split(J701,""*"")"),"Delivered")</f>
        <v>Delivered</v>
      </c>
      <c r="P701" s="14" t="str">
        <f>IFERROR(__xludf.DUMMYFUNCTION("""COMPUTED_VALUE"""),"Delivery Experience: Quick and professional")</f>
        <v>Delivery Experience: Quick and professional</v>
      </c>
      <c r="Q701" s="14" t="str">
        <f>IFERROR(__xludf.DUMMYFUNCTION("split(P701,"":"")"),"Delivery Experience")</f>
        <v>Delivery Experience</v>
      </c>
      <c r="R701" s="14" t="str">
        <f>IFERROR(__xludf.DUMMYFUNCTION("""COMPUTED_VALUE""")," Quick and professional")</f>
        <v> Quick and professional</v>
      </c>
      <c r="S701" s="14" t="str">
        <f t="shared" ref="S701:U701" si="1405">trim(B701)</f>
        <v>ord_10692</v>
      </c>
      <c r="T701" s="14" t="str">
        <f t="shared" si="1405"/>
        <v>Kritika Shetty</v>
      </c>
      <c r="U701" s="14" t="str">
        <f t="shared" si="1405"/>
        <v>Malad</v>
      </c>
      <c r="V701" s="14" t="str">
        <f t="shared" si="4"/>
        <v>Icecream</v>
      </c>
      <c r="W701" s="14">
        <f t="shared" si="5"/>
        <v>2</v>
      </c>
      <c r="X701" s="14" t="str">
        <f t="shared" si="6"/>
        <v>Ramesh S</v>
      </c>
      <c r="Y701" s="15">
        <f t="shared" si="7"/>
        <v>45228</v>
      </c>
      <c r="Z701" s="14" t="str">
        <f t="shared" si="8"/>
        <v>UPI</v>
      </c>
      <c r="AA701" s="14" t="str">
        <f t="shared" si="9"/>
        <v>Delivered</v>
      </c>
      <c r="AB701" s="14" t="str">
        <f t="shared" ref="AB701:AC701" si="1406">trim(Q701)</f>
        <v>Delivery Experience</v>
      </c>
      <c r="AC701" s="14" t="str">
        <f t="shared" si="1406"/>
        <v>Quick and professional</v>
      </c>
      <c r="AD701" s="8"/>
    </row>
    <row r="702">
      <c r="A702" s="14" t="str">
        <f>IFERROR(__xludf.DUMMYFUNCTION("""COMPUTED_VALUE"""),"//ord_10693//Aditi Iyer//Dadar//Guava+2*Not Assigned/10/29/2023//UPI//Cancelled*Out of Stock")</f>
        <v>//ord_10693//Aditi Iyer//Dadar//Guava+2*Not Assigned/10/29/2023//UPI//Cancelled*Out of Stock</v>
      </c>
      <c r="B702" s="14" t="str">
        <f>IFERROR(__xludf.DUMMYFUNCTION("split(A702,""//"")"),"ord_10693")</f>
        <v>ord_10693</v>
      </c>
      <c r="C702" s="14" t="str">
        <f>IFERROR(__xludf.DUMMYFUNCTION("""COMPUTED_VALUE"""),"Aditi Iyer")</f>
        <v>Aditi Iyer</v>
      </c>
      <c r="D702" s="14" t="str">
        <f>IFERROR(__xludf.DUMMYFUNCTION("""COMPUTED_VALUE"""),"Dadar")</f>
        <v>Dadar</v>
      </c>
      <c r="E702" s="14" t="str">
        <f>IFERROR(__xludf.DUMMYFUNCTION("""COMPUTED_VALUE"""),"Guava+2*Not Assigned")</f>
        <v>Guava+2*Not Assigned</v>
      </c>
      <c r="F702" s="14">
        <f>IFERROR(__xludf.DUMMYFUNCTION("""COMPUTED_VALUE"""),10.0)</f>
        <v>10</v>
      </c>
      <c r="G702" s="14">
        <f>IFERROR(__xludf.DUMMYFUNCTION("""COMPUTED_VALUE"""),29.0)</f>
        <v>29</v>
      </c>
      <c r="H702" s="14">
        <f>IFERROR(__xludf.DUMMYFUNCTION("""COMPUTED_VALUE"""),2023.0)</f>
        <v>2023</v>
      </c>
      <c r="I702" s="14" t="str">
        <f>IFERROR(__xludf.DUMMYFUNCTION("""COMPUTED_VALUE"""),"UPI")</f>
        <v>UPI</v>
      </c>
      <c r="J702" s="14" t="str">
        <f>IFERROR(__xludf.DUMMYFUNCTION("""COMPUTED_VALUE"""),"Cancelled*Out of Stock")</f>
        <v>Cancelled*Out of Stock</v>
      </c>
      <c r="K702" s="14" t="str">
        <f>IFERROR(__xludf.DUMMYFUNCTION("split(E702,""+"")"),"Guava")</f>
        <v>Guava</v>
      </c>
      <c r="L702" s="14" t="str">
        <f>IFERROR(__xludf.DUMMYFUNCTION("""COMPUTED_VALUE"""),"2*Not Assigned")</f>
        <v>2*Not Assigned</v>
      </c>
      <c r="M702" s="14">
        <f>IFERROR(__xludf.DUMMYFUNCTION("SPLIT(L702,""*"")"),2.0)</f>
        <v>2</v>
      </c>
      <c r="N702" s="14" t="str">
        <f>IFERROR(__xludf.DUMMYFUNCTION("""COMPUTED_VALUE"""),"Not Assigned")</f>
        <v>Not Assigned</v>
      </c>
      <c r="O702" s="14" t="str">
        <f>IFERROR(__xludf.DUMMYFUNCTION("split(J702,""*"")"),"Cancelled")</f>
        <v>Cancelled</v>
      </c>
      <c r="P702" s="14" t="str">
        <f>IFERROR(__xludf.DUMMYFUNCTION("""COMPUTED_VALUE"""),"Out of Stock")</f>
        <v>Out of Stock</v>
      </c>
      <c r="Q702" s="14" t="str">
        <f>IFERROR(__xludf.DUMMYFUNCTION("split(P702,"":"")"),"Out of Stock")</f>
        <v>Out of Stock</v>
      </c>
      <c r="R702" s="14"/>
      <c r="S702" s="14" t="str">
        <f t="shared" ref="S702:U702" si="1407">trim(B702)</f>
        <v>ord_10693</v>
      </c>
      <c r="T702" s="14" t="str">
        <f t="shared" si="1407"/>
        <v>Aditi Iyer</v>
      </c>
      <c r="U702" s="14" t="str">
        <f t="shared" si="1407"/>
        <v>Dadar</v>
      </c>
      <c r="V702" s="14" t="str">
        <f t="shared" si="4"/>
        <v>Guava</v>
      </c>
      <c r="W702" s="14">
        <f t="shared" si="5"/>
        <v>2</v>
      </c>
      <c r="X702" s="14" t="str">
        <f t="shared" si="6"/>
        <v>Not Assigned</v>
      </c>
      <c r="Y702" s="15">
        <f t="shared" si="7"/>
        <v>45228</v>
      </c>
      <c r="Z702" s="14" t="str">
        <f t="shared" si="8"/>
        <v>UPI</v>
      </c>
      <c r="AA702" s="14" t="str">
        <f t="shared" si="9"/>
        <v>Cancelled</v>
      </c>
      <c r="AB702" s="14" t="str">
        <f t="shared" ref="AB702:AC702" si="1408">trim(Q702)</f>
        <v>Out of Stock</v>
      </c>
      <c r="AC702" s="14" t="str">
        <f t="shared" si="1408"/>
        <v/>
      </c>
      <c r="AD702" s="8"/>
    </row>
    <row r="703">
      <c r="A703" s="14" t="str">
        <f>IFERROR(__xludf.DUMMYFUNCTION("""COMPUTED_VALUE"""),"//ord_10694//Pranav Joshi//Andheri//Juice+1*Manju Ajay/9/20/2023//UPI//Delivered*Convenience: Easy tracking")</f>
        <v>//ord_10694//Pranav Joshi//Andheri//Juice+1*Manju Ajay/9/20/2023//UPI//Delivered*Convenience: Easy tracking</v>
      </c>
      <c r="B703" s="14" t="str">
        <f>IFERROR(__xludf.DUMMYFUNCTION("split(A703,""//"")"),"ord_10694")</f>
        <v>ord_10694</v>
      </c>
      <c r="C703" s="14" t="str">
        <f>IFERROR(__xludf.DUMMYFUNCTION("""COMPUTED_VALUE"""),"Pranav Joshi")</f>
        <v>Pranav Joshi</v>
      </c>
      <c r="D703" s="14" t="str">
        <f>IFERROR(__xludf.DUMMYFUNCTION("""COMPUTED_VALUE"""),"Andheri")</f>
        <v>Andheri</v>
      </c>
      <c r="E703" s="14" t="str">
        <f>IFERROR(__xludf.DUMMYFUNCTION("""COMPUTED_VALUE"""),"Juice+1*Manju Ajay")</f>
        <v>Juice+1*Manju Ajay</v>
      </c>
      <c r="F703" s="14">
        <f>IFERROR(__xludf.DUMMYFUNCTION("""COMPUTED_VALUE"""),9.0)</f>
        <v>9</v>
      </c>
      <c r="G703" s="14">
        <f>IFERROR(__xludf.DUMMYFUNCTION("""COMPUTED_VALUE"""),20.0)</f>
        <v>20</v>
      </c>
      <c r="H703" s="14">
        <f>IFERROR(__xludf.DUMMYFUNCTION("""COMPUTED_VALUE"""),2023.0)</f>
        <v>2023</v>
      </c>
      <c r="I703" s="14" t="str">
        <f>IFERROR(__xludf.DUMMYFUNCTION("""COMPUTED_VALUE"""),"UPI")</f>
        <v>UPI</v>
      </c>
      <c r="J703" s="14" t="str">
        <f>IFERROR(__xludf.DUMMYFUNCTION("""COMPUTED_VALUE"""),"Delivered*Convenience: Easy tracking")</f>
        <v>Delivered*Convenience: Easy tracking</v>
      </c>
      <c r="K703" s="14" t="str">
        <f>IFERROR(__xludf.DUMMYFUNCTION("split(E703,""+"")"),"Juice")</f>
        <v>Juice</v>
      </c>
      <c r="L703" s="14" t="str">
        <f>IFERROR(__xludf.DUMMYFUNCTION("""COMPUTED_VALUE"""),"1*Manju Ajay")</f>
        <v>1*Manju Ajay</v>
      </c>
      <c r="M703" s="14">
        <f>IFERROR(__xludf.DUMMYFUNCTION("SPLIT(L703,""*"")"),1.0)</f>
        <v>1</v>
      </c>
      <c r="N703" s="14" t="str">
        <f>IFERROR(__xludf.DUMMYFUNCTION("""COMPUTED_VALUE"""),"Manju Ajay")</f>
        <v>Manju Ajay</v>
      </c>
      <c r="O703" s="14" t="str">
        <f>IFERROR(__xludf.DUMMYFUNCTION("split(J703,""*"")"),"Delivered")</f>
        <v>Delivered</v>
      </c>
      <c r="P703" s="14" t="str">
        <f>IFERROR(__xludf.DUMMYFUNCTION("""COMPUTED_VALUE"""),"Convenience: Easy tracking")</f>
        <v>Convenience: Easy tracking</v>
      </c>
      <c r="Q703" s="14" t="str">
        <f>IFERROR(__xludf.DUMMYFUNCTION("split(P703,"":"")"),"Convenience")</f>
        <v>Convenience</v>
      </c>
      <c r="R703" s="14" t="str">
        <f>IFERROR(__xludf.DUMMYFUNCTION("""COMPUTED_VALUE""")," Easy tracking")</f>
        <v> Easy tracking</v>
      </c>
      <c r="S703" s="14" t="str">
        <f t="shared" ref="S703:U703" si="1409">trim(B703)</f>
        <v>ord_10694</v>
      </c>
      <c r="T703" s="14" t="str">
        <f t="shared" si="1409"/>
        <v>Pranav Joshi</v>
      </c>
      <c r="U703" s="14" t="str">
        <f t="shared" si="1409"/>
        <v>Andheri</v>
      </c>
      <c r="V703" s="14" t="str">
        <f t="shared" si="4"/>
        <v>Juice</v>
      </c>
      <c r="W703" s="14">
        <f t="shared" si="5"/>
        <v>1</v>
      </c>
      <c r="X703" s="14" t="str">
        <f t="shared" si="6"/>
        <v>Manju Ajay</v>
      </c>
      <c r="Y703" s="15">
        <f t="shared" si="7"/>
        <v>45189</v>
      </c>
      <c r="Z703" s="14" t="str">
        <f t="shared" si="8"/>
        <v>UPI</v>
      </c>
      <c r="AA703" s="14" t="str">
        <f t="shared" si="9"/>
        <v>Delivered</v>
      </c>
      <c r="AB703" s="14" t="str">
        <f t="shared" ref="AB703:AC703" si="1410">trim(Q703)</f>
        <v>Convenience</v>
      </c>
      <c r="AC703" s="14" t="str">
        <f t="shared" si="1410"/>
        <v>Easy tracking</v>
      </c>
      <c r="AD703" s="8"/>
    </row>
    <row r="704">
      <c r="A704" s="14" t="str">
        <f>IFERROR(__xludf.DUMMYFUNCTION("""COMPUTED_VALUE"""),"//ord_10695//Parth Goel//Juhu//Apple+2*Sita T/7/23/2023//UPI//Delivered*Overall Satisfaction: Great service will order again")</f>
        <v>//ord_10695//Parth Goel//Juhu//Apple+2*Sita T/7/23/2023//UPI//Delivered*Overall Satisfaction: Great service will order again</v>
      </c>
      <c r="B704" s="14" t="str">
        <f>IFERROR(__xludf.DUMMYFUNCTION("split(A704,""//"")"),"ord_10695")</f>
        <v>ord_10695</v>
      </c>
      <c r="C704" s="14" t="str">
        <f>IFERROR(__xludf.DUMMYFUNCTION("""COMPUTED_VALUE"""),"Parth Goel")</f>
        <v>Parth Goel</v>
      </c>
      <c r="D704" s="14" t="str">
        <f>IFERROR(__xludf.DUMMYFUNCTION("""COMPUTED_VALUE"""),"Juhu")</f>
        <v>Juhu</v>
      </c>
      <c r="E704" s="14" t="str">
        <f>IFERROR(__xludf.DUMMYFUNCTION("""COMPUTED_VALUE"""),"Apple+2*Sita T")</f>
        <v>Apple+2*Sita T</v>
      </c>
      <c r="F704" s="14">
        <f>IFERROR(__xludf.DUMMYFUNCTION("""COMPUTED_VALUE"""),7.0)</f>
        <v>7</v>
      </c>
      <c r="G704" s="14">
        <f>IFERROR(__xludf.DUMMYFUNCTION("""COMPUTED_VALUE"""),23.0)</f>
        <v>23</v>
      </c>
      <c r="H704" s="14">
        <f>IFERROR(__xludf.DUMMYFUNCTION("""COMPUTED_VALUE"""),2023.0)</f>
        <v>2023</v>
      </c>
      <c r="I704" s="14" t="str">
        <f>IFERROR(__xludf.DUMMYFUNCTION("""COMPUTED_VALUE"""),"UPI")</f>
        <v>UPI</v>
      </c>
      <c r="J704" s="14" t="str">
        <f>IFERROR(__xludf.DUMMYFUNCTION("""COMPUTED_VALUE"""),"Delivered*Overall Satisfaction: Great service will order again")</f>
        <v>Delivered*Overall Satisfaction: Great service will order again</v>
      </c>
      <c r="K704" s="14" t="str">
        <f>IFERROR(__xludf.DUMMYFUNCTION("split(E704,""+"")"),"Apple")</f>
        <v>Apple</v>
      </c>
      <c r="L704" s="14" t="str">
        <f>IFERROR(__xludf.DUMMYFUNCTION("""COMPUTED_VALUE"""),"2*Sita T")</f>
        <v>2*Sita T</v>
      </c>
      <c r="M704" s="14">
        <f>IFERROR(__xludf.DUMMYFUNCTION("SPLIT(L704,""*"")"),2.0)</f>
        <v>2</v>
      </c>
      <c r="N704" s="14" t="str">
        <f>IFERROR(__xludf.DUMMYFUNCTION("""COMPUTED_VALUE"""),"Sita T")</f>
        <v>Sita T</v>
      </c>
      <c r="O704" s="14" t="str">
        <f>IFERROR(__xludf.DUMMYFUNCTION("split(J704,""*"")"),"Delivered")</f>
        <v>Delivered</v>
      </c>
      <c r="P704" s="14" t="str">
        <f>IFERROR(__xludf.DUMMYFUNCTION("""COMPUTED_VALUE"""),"Overall Satisfaction: Great service will order again")</f>
        <v>Overall Satisfaction: Great service will order again</v>
      </c>
      <c r="Q704" s="14" t="str">
        <f>IFERROR(__xludf.DUMMYFUNCTION("split(P704,"":"")"),"Overall Satisfaction")</f>
        <v>Overall Satisfaction</v>
      </c>
      <c r="R704" s="14" t="str">
        <f>IFERROR(__xludf.DUMMYFUNCTION("""COMPUTED_VALUE""")," Great service will order again")</f>
        <v> Great service will order again</v>
      </c>
      <c r="S704" s="14" t="str">
        <f t="shared" ref="S704:U704" si="1411">trim(B704)</f>
        <v>ord_10695</v>
      </c>
      <c r="T704" s="14" t="str">
        <f t="shared" si="1411"/>
        <v>Parth Goel</v>
      </c>
      <c r="U704" s="14" t="str">
        <f t="shared" si="1411"/>
        <v>Juhu</v>
      </c>
      <c r="V704" s="14" t="str">
        <f t="shared" si="4"/>
        <v>Apple</v>
      </c>
      <c r="W704" s="14">
        <f t="shared" si="5"/>
        <v>2</v>
      </c>
      <c r="X704" s="14" t="str">
        <f t="shared" si="6"/>
        <v>Sita T</v>
      </c>
      <c r="Y704" s="15">
        <f t="shared" si="7"/>
        <v>45130</v>
      </c>
      <c r="Z704" s="14" t="str">
        <f t="shared" si="8"/>
        <v>UPI</v>
      </c>
      <c r="AA704" s="14" t="str">
        <f t="shared" si="9"/>
        <v>Delivered</v>
      </c>
      <c r="AB704" s="14" t="str">
        <f t="shared" ref="AB704:AC704" si="1412">trim(Q704)</f>
        <v>Overall Satisfaction</v>
      </c>
      <c r="AC704" s="14" t="str">
        <f t="shared" si="1412"/>
        <v>Great service will order again</v>
      </c>
      <c r="AD704" s="8"/>
    </row>
    <row r="705">
      <c r="A705" s="14" t="str">
        <f>IFERROR(__xludf.DUMMYFUNCTION("""COMPUTED_VALUE"""),"//ord_10696//Aarav Mehta//Andheri//Tomato+1*Ramesh S/8/13/2023//UPI//Delivered*On-time Delivery: Delivered on time")</f>
        <v>//ord_10696//Aarav Mehta//Andheri//Tomato+1*Ramesh S/8/13/2023//UPI//Delivered*On-time Delivery: Delivered on time</v>
      </c>
      <c r="B705" s="14" t="str">
        <f>IFERROR(__xludf.DUMMYFUNCTION("split(A705,""//"")"),"ord_10696")</f>
        <v>ord_10696</v>
      </c>
      <c r="C705" s="14" t="str">
        <f>IFERROR(__xludf.DUMMYFUNCTION("""COMPUTED_VALUE"""),"Aarav Mehta")</f>
        <v>Aarav Mehta</v>
      </c>
      <c r="D705" s="14" t="str">
        <f>IFERROR(__xludf.DUMMYFUNCTION("""COMPUTED_VALUE"""),"Andheri")</f>
        <v>Andheri</v>
      </c>
      <c r="E705" s="14" t="str">
        <f>IFERROR(__xludf.DUMMYFUNCTION("""COMPUTED_VALUE"""),"Tomato+1*Ramesh S")</f>
        <v>Tomato+1*Ramesh S</v>
      </c>
      <c r="F705" s="14">
        <f>IFERROR(__xludf.DUMMYFUNCTION("""COMPUTED_VALUE"""),8.0)</f>
        <v>8</v>
      </c>
      <c r="G705" s="14">
        <f>IFERROR(__xludf.DUMMYFUNCTION("""COMPUTED_VALUE"""),13.0)</f>
        <v>13</v>
      </c>
      <c r="H705" s="14">
        <f>IFERROR(__xludf.DUMMYFUNCTION("""COMPUTED_VALUE"""),2023.0)</f>
        <v>2023</v>
      </c>
      <c r="I705" s="14" t="str">
        <f>IFERROR(__xludf.DUMMYFUNCTION("""COMPUTED_VALUE"""),"UPI")</f>
        <v>UPI</v>
      </c>
      <c r="J705" s="14" t="str">
        <f>IFERROR(__xludf.DUMMYFUNCTION("""COMPUTED_VALUE"""),"Delivered*On-time Delivery: Delivered on time")</f>
        <v>Delivered*On-time Delivery: Delivered on time</v>
      </c>
      <c r="K705" s="14" t="str">
        <f>IFERROR(__xludf.DUMMYFUNCTION("split(E705,""+"")"),"Tomato")</f>
        <v>Tomato</v>
      </c>
      <c r="L705" s="14" t="str">
        <f>IFERROR(__xludf.DUMMYFUNCTION("""COMPUTED_VALUE"""),"1*Ramesh S")</f>
        <v>1*Ramesh S</v>
      </c>
      <c r="M705" s="14">
        <f>IFERROR(__xludf.DUMMYFUNCTION("SPLIT(L705,""*"")"),1.0)</f>
        <v>1</v>
      </c>
      <c r="N705" s="14" t="str">
        <f>IFERROR(__xludf.DUMMYFUNCTION("""COMPUTED_VALUE"""),"Ramesh S")</f>
        <v>Ramesh S</v>
      </c>
      <c r="O705" s="14" t="str">
        <f>IFERROR(__xludf.DUMMYFUNCTION("split(J705,""*"")"),"Delivered")</f>
        <v>Delivered</v>
      </c>
      <c r="P705" s="14" t="str">
        <f>IFERROR(__xludf.DUMMYFUNCTION("""COMPUTED_VALUE"""),"On-time Delivery: Delivered on time")</f>
        <v>On-time Delivery: Delivered on time</v>
      </c>
      <c r="Q705" s="14" t="str">
        <f>IFERROR(__xludf.DUMMYFUNCTION("split(P705,"":"")"),"On-time Delivery")</f>
        <v>On-time Delivery</v>
      </c>
      <c r="R705" s="14" t="str">
        <f>IFERROR(__xludf.DUMMYFUNCTION("""COMPUTED_VALUE""")," Delivered on time")</f>
        <v> Delivered on time</v>
      </c>
      <c r="S705" s="14" t="str">
        <f t="shared" ref="S705:U705" si="1413">trim(B705)</f>
        <v>ord_10696</v>
      </c>
      <c r="T705" s="14" t="str">
        <f t="shared" si="1413"/>
        <v>Aarav Mehta</v>
      </c>
      <c r="U705" s="14" t="str">
        <f t="shared" si="1413"/>
        <v>Andheri</v>
      </c>
      <c r="V705" s="14" t="str">
        <f t="shared" si="4"/>
        <v>Tomato</v>
      </c>
      <c r="W705" s="14">
        <f t="shared" si="5"/>
        <v>1</v>
      </c>
      <c r="X705" s="14" t="str">
        <f t="shared" si="6"/>
        <v>Ramesh S</v>
      </c>
      <c r="Y705" s="15">
        <f t="shared" si="7"/>
        <v>45151</v>
      </c>
      <c r="Z705" s="14" t="str">
        <f t="shared" si="8"/>
        <v>UPI</v>
      </c>
      <c r="AA705" s="14" t="str">
        <f t="shared" si="9"/>
        <v>Delivered</v>
      </c>
      <c r="AB705" s="14" t="str">
        <f t="shared" ref="AB705:AC705" si="1414">trim(Q705)</f>
        <v>On-time Delivery</v>
      </c>
      <c r="AC705" s="14" t="str">
        <f t="shared" si="1414"/>
        <v>Delivered on time</v>
      </c>
      <c r="AD705" s="8"/>
    </row>
    <row r="706">
      <c r="A706" s="14" t="str">
        <f>IFERROR(__xludf.DUMMYFUNCTION("""COMPUTED_VALUE"""),"//ord_10697//Parth Goel//Juhu//Apple+2*Sita T/9/7/2023//Credit Card//Cancelled*Delayed Delivery:Heavy Traffic")</f>
        <v>//ord_10697//Parth Goel//Juhu//Apple+2*Sita T/9/7/2023//Credit Card//Cancelled*Delayed Delivery:Heavy Traffic</v>
      </c>
      <c r="B706" s="14" t="str">
        <f>IFERROR(__xludf.DUMMYFUNCTION("split(A706,""//"")"),"ord_10697")</f>
        <v>ord_10697</v>
      </c>
      <c r="C706" s="14" t="str">
        <f>IFERROR(__xludf.DUMMYFUNCTION("""COMPUTED_VALUE"""),"Parth Goel")</f>
        <v>Parth Goel</v>
      </c>
      <c r="D706" s="14" t="str">
        <f>IFERROR(__xludf.DUMMYFUNCTION("""COMPUTED_VALUE"""),"Juhu")</f>
        <v>Juhu</v>
      </c>
      <c r="E706" s="14" t="str">
        <f>IFERROR(__xludf.DUMMYFUNCTION("""COMPUTED_VALUE"""),"Apple+2*Sita T")</f>
        <v>Apple+2*Sita T</v>
      </c>
      <c r="F706" s="14">
        <f>IFERROR(__xludf.DUMMYFUNCTION("""COMPUTED_VALUE"""),9.0)</f>
        <v>9</v>
      </c>
      <c r="G706" s="14">
        <f>IFERROR(__xludf.DUMMYFUNCTION("""COMPUTED_VALUE"""),7.0)</f>
        <v>7</v>
      </c>
      <c r="H706" s="14">
        <f>IFERROR(__xludf.DUMMYFUNCTION("""COMPUTED_VALUE"""),2023.0)</f>
        <v>2023</v>
      </c>
      <c r="I706" s="14" t="str">
        <f>IFERROR(__xludf.DUMMYFUNCTION("""COMPUTED_VALUE"""),"Credit Card")</f>
        <v>Credit Card</v>
      </c>
      <c r="J706" s="14" t="str">
        <f>IFERROR(__xludf.DUMMYFUNCTION("""COMPUTED_VALUE"""),"Cancelled*Delayed Delivery:Heavy Traffic")</f>
        <v>Cancelled*Delayed Delivery:Heavy Traffic</v>
      </c>
      <c r="K706" s="14" t="str">
        <f>IFERROR(__xludf.DUMMYFUNCTION("split(E706,""+"")"),"Apple")</f>
        <v>Apple</v>
      </c>
      <c r="L706" s="14" t="str">
        <f>IFERROR(__xludf.DUMMYFUNCTION("""COMPUTED_VALUE"""),"2*Sita T")</f>
        <v>2*Sita T</v>
      </c>
      <c r="M706" s="14">
        <f>IFERROR(__xludf.DUMMYFUNCTION("SPLIT(L706,""*"")"),2.0)</f>
        <v>2</v>
      </c>
      <c r="N706" s="14" t="str">
        <f>IFERROR(__xludf.DUMMYFUNCTION("""COMPUTED_VALUE"""),"Sita T")</f>
        <v>Sita T</v>
      </c>
      <c r="O706" s="14" t="str">
        <f>IFERROR(__xludf.DUMMYFUNCTION("split(J706,""*"")"),"Cancelled")</f>
        <v>Cancelled</v>
      </c>
      <c r="P706" s="14" t="str">
        <f>IFERROR(__xludf.DUMMYFUNCTION("""COMPUTED_VALUE"""),"Delayed Delivery:Heavy Traffic")</f>
        <v>Delayed Delivery:Heavy Traffic</v>
      </c>
      <c r="Q706" s="14" t="str">
        <f>IFERROR(__xludf.DUMMYFUNCTION("split(P706,"":"")"),"Delayed Delivery")</f>
        <v>Delayed Delivery</v>
      </c>
      <c r="R706" s="14" t="str">
        <f>IFERROR(__xludf.DUMMYFUNCTION("""COMPUTED_VALUE"""),"Heavy Traffic")</f>
        <v>Heavy Traffic</v>
      </c>
      <c r="S706" s="14" t="str">
        <f t="shared" ref="S706:U706" si="1415">trim(B706)</f>
        <v>ord_10697</v>
      </c>
      <c r="T706" s="14" t="str">
        <f t="shared" si="1415"/>
        <v>Parth Goel</v>
      </c>
      <c r="U706" s="14" t="str">
        <f t="shared" si="1415"/>
        <v>Juhu</v>
      </c>
      <c r="V706" s="14" t="str">
        <f t="shared" si="4"/>
        <v>Apple</v>
      </c>
      <c r="W706" s="14">
        <f t="shared" si="5"/>
        <v>2</v>
      </c>
      <c r="X706" s="14" t="str">
        <f t="shared" si="6"/>
        <v>Sita T</v>
      </c>
      <c r="Y706" s="15">
        <f t="shared" si="7"/>
        <v>45176</v>
      </c>
      <c r="Z706" s="14" t="str">
        <f t="shared" si="8"/>
        <v>Credit Card</v>
      </c>
      <c r="AA706" s="14" t="str">
        <f t="shared" si="9"/>
        <v>Cancelled</v>
      </c>
      <c r="AB706" s="14" t="str">
        <f t="shared" ref="AB706:AC706" si="1416">trim(Q706)</f>
        <v>Delayed Delivery</v>
      </c>
      <c r="AC706" s="14" t="str">
        <f t="shared" si="1416"/>
        <v>Heavy Traffic</v>
      </c>
      <c r="AD706" s="8"/>
    </row>
    <row r="707">
      <c r="A707" s="14" t="str">
        <f>IFERROR(__xludf.DUMMYFUNCTION("""COMPUTED_VALUE"""),"//ord_10698//Kritika Shetty//Malad//Chicken Puff+5*Not Assigned/11/26/2023//UPI//Cancelled*App Glitches: Payment Button Malfunction")</f>
        <v>//ord_10698//Kritika Shetty//Malad//Chicken Puff+5*Not Assigned/11/26/2023//UPI//Cancelled*App Glitches: Payment Button Malfunction</v>
      </c>
      <c r="B707" s="14" t="str">
        <f>IFERROR(__xludf.DUMMYFUNCTION("split(A707,""//"")"),"ord_10698")</f>
        <v>ord_10698</v>
      </c>
      <c r="C707" s="14" t="str">
        <f>IFERROR(__xludf.DUMMYFUNCTION("""COMPUTED_VALUE"""),"Kritika Shetty")</f>
        <v>Kritika Shetty</v>
      </c>
      <c r="D707" s="14" t="str">
        <f>IFERROR(__xludf.DUMMYFUNCTION("""COMPUTED_VALUE"""),"Malad")</f>
        <v>Malad</v>
      </c>
      <c r="E707" s="14" t="str">
        <f>IFERROR(__xludf.DUMMYFUNCTION("""COMPUTED_VALUE"""),"Chicken Puff+5*Not Assigned")</f>
        <v>Chicken Puff+5*Not Assigned</v>
      </c>
      <c r="F707" s="14">
        <f>IFERROR(__xludf.DUMMYFUNCTION("""COMPUTED_VALUE"""),11.0)</f>
        <v>11</v>
      </c>
      <c r="G707" s="14">
        <f>IFERROR(__xludf.DUMMYFUNCTION("""COMPUTED_VALUE"""),26.0)</f>
        <v>26</v>
      </c>
      <c r="H707" s="14">
        <f>IFERROR(__xludf.DUMMYFUNCTION("""COMPUTED_VALUE"""),2023.0)</f>
        <v>2023</v>
      </c>
      <c r="I707" s="14" t="str">
        <f>IFERROR(__xludf.DUMMYFUNCTION("""COMPUTED_VALUE"""),"UPI")</f>
        <v>UPI</v>
      </c>
      <c r="J707" s="14" t="str">
        <f>IFERROR(__xludf.DUMMYFUNCTION("""COMPUTED_VALUE"""),"Cancelled*App Glitches: Payment Button Malfunction")</f>
        <v>Cancelled*App Glitches: Payment Button Malfunction</v>
      </c>
      <c r="K707" s="14" t="str">
        <f>IFERROR(__xludf.DUMMYFUNCTION("split(E707,""+"")"),"Chicken Puff")</f>
        <v>Chicken Puff</v>
      </c>
      <c r="L707" s="14" t="str">
        <f>IFERROR(__xludf.DUMMYFUNCTION("""COMPUTED_VALUE"""),"5*Not Assigned")</f>
        <v>5*Not Assigned</v>
      </c>
      <c r="M707" s="14">
        <f>IFERROR(__xludf.DUMMYFUNCTION("SPLIT(L707,""*"")"),5.0)</f>
        <v>5</v>
      </c>
      <c r="N707" s="14" t="str">
        <f>IFERROR(__xludf.DUMMYFUNCTION("""COMPUTED_VALUE"""),"Not Assigned")</f>
        <v>Not Assigned</v>
      </c>
      <c r="O707" s="14" t="str">
        <f>IFERROR(__xludf.DUMMYFUNCTION("split(J707,""*"")"),"Cancelled")</f>
        <v>Cancelled</v>
      </c>
      <c r="P707" s="14" t="str">
        <f>IFERROR(__xludf.DUMMYFUNCTION("""COMPUTED_VALUE"""),"App Glitches: Payment Button Malfunction")</f>
        <v>App Glitches: Payment Button Malfunction</v>
      </c>
      <c r="Q707" s="14" t="str">
        <f>IFERROR(__xludf.DUMMYFUNCTION("split(P707,"":"")"),"App Glitches")</f>
        <v>App Glitches</v>
      </c>
      <c r="R707" s="14" t="str">
        <f>IFERROR(__xludf.DUMMYFUNCTION("""COMPUTED_VALUE""")," Payment Button Malfunction")</f>
        <v> Payment Button Malfunction</v>
      </c>
      <c r="S707" s="14" t="str">
        <f t="shared" ref="S707:U707" si="1417">trim(B707)</f>
        <v>ord_10698</v>
      </c>
      <c r="T707" s="14" t="str">
        <f t="shared" si="1417"/>
        <v>Kritika Shetty</v>
      </c>
      <c r="U707" s="14" t="str">
        <f t="shared" si="1417"/>
        <v>Malad</v>
      </c>
      <c r="V707" s="14" t="str">
        <f t="shared" si="4"/>
        <v>Chicken Puff</v>
      </c>
      <c r="W707" s="14">
        <f t="shared" si="5"/>
        <v>5</v>
      </c>
      <c r="X707" s="14" t="str">
        <f t="shared" si="6"/>
        <v>Not Assigned</v>
      </c>
      <c r="Y707" s="15">
        <f t="shared" si="7"/>
        <v>45256</v>
      </c>
      <c r="Z707" s="14" t="str">
        <f t="shared" si="8"/>
        <v>UPI</v>
      </c>
      <c r="AA707" s="14" t="str">
        <f t="shared" si="9"/>
        <v>Cancelled</v>
      </c>
      <c r="AB707" s="14" t="str">
        <f t="shared" ref="AB707:AC707" si="1418">trim(Q707)</f>
        <v>App Glitches</v>
      </c>
      <c r="AC707" s="14" t="str">
        <f t="shared" si="1418"/>
        <v>Payment Button Malfunction</v>
      </c>
      <c r="AD707" s="8"/>
    </row>
    <row r="708">
      <c r="A708" s="14" t="str">
        <f>IFERROR(__xludf.DUMMYFUNCTION("""COMPUTED_VALUE"""),"//ord_10699//Aarav Mehta//Andheri//Cucumber+1*Shine Thomas/12/28/2023//Online Payment//Delivered*Quality of Items: Perfect condition")</f>
        <v>//ord_10699//Aarav Mehta//Andheri//Cucumber+1*Shine Thomas/12/28/2023//Online Payment//Delivered*Quality of Items: Perfect condition</v>
      </c>
      <c r="B708" s="14" t="str">
        <f>IFERROR(__xludf.DUMMYFUNCTION("split(A708,""//"")"),"ord_10699")</f>
        <v>ord_10699</v>
      </c>
      <c r="C708" s="14" t="str">
        <f>IFERROR(__xludf.DUMMYFUNCTION("""COMPUTED_VALUE"""),"Aarav Mehta")</f>
        <v>Aarav Mehta</v>
      </c>
      <c r="D708" s="14" t="str">
        <f>IFERROR(__xludf.DUMMYFUNCTION("""COMPUTED_VALUE"""),"Andheri")</f>
        <v>Andheri</v>
      </c>
      <c r="E708" s="14" t="str">
        <f>IFERROR(__xludf.DUMMYFUNCTION("""COMPUTED_VALUE"""),"Cucumber+1*Shine Thomas")</f>
        <v>Cucumber+1*Shine Thomas</v>
      </c>
      <c r="F708" s="14">
        <f>IFERROR(__xludf.DUMMYFUNCTION("""COMPUTED_VALUE"""),12.0)</f>
        <v>12</v>
      </c>
      <c r="G708" s="14">
        <f>IFERROR(__xludf.DUMMYFUNCTION("""COMPUTED_VALUE"""),28.0)</f>
        <v>28</v>
      </c>
      <c r="H708" s="14">
        <f>IFERROR(__xludf.DUMMYFUNCTION("""COMPUTED_VALUE"""),2023.0)</f>
        <v>2023</v>
      </c>
      <c r="I708" s="14" t="str">
        <f>IFERROR(__xludf.DUMMYFUNCTION("""COMPUTED_VALUE"""),"Online Payment")</f>
        <v>Online Payment</v>
      </c>
      <c r="J708" s="14" t="str">
        <f>IFERROR(__xludf.DUMMYFUNCTION("""COMPUTED_VALUE"""),"Delivered*Quality of Items: Perfect condition")</f>
        <v>Delivered*Quality of Items: Perfect condition</v>
      </c>
      <c r="K708" s="14" t="str">
        <f>IFERROR(__xludf.DUMMYFUNCTION("split(E708,""+"")"),"Cucumber")</f>
        <v>Cucumber</v>
      </c>
      <c r="L708" s="14" t="str">
        <f>IFERROR(__xludf.DUMMYFUNCTION("""COMPUTED_VALUE"""),"1*Shine Thomas")</f>
        <v>1*Shine Thomas</v>
      </c>
      <c r="M708" s="14">
        <f>IFERROR(__xludf.DUMMYFUNCTION("SPLIT(L708,""*"")"),1.0)</f>
        <v>1</v>
      </c>
      <c r="N708" s="14" t="str">
        <f>IFERROR(__xludf.DUMMYFUNCTION("""COMPUTED_VALUE"""),"Shine Thomas")</f>
        <v>Shine Thomas</v>
      </c>
      <c r="O708" s="14" t="str">
        <f>IFERROR(__xludf.DUMMYFUNCTION("split(J708,""*"")"),"Delivered")</f>
        <v>Delivered</v>
      </c>
      <c r="P708" s="14" t="str">
        <f>IFERROR(__xludf.DUMMYFUNCTION("""COMPUTED_VALUE"""),"Quality of Items: Perfect condition")</f>
        <v>Quality of Items: Perfect condition</v>
      </c>
      <c r="Q708" s="14" t="str">
        <f>IFERROR(__xludf.DUMMYFUNCTION("split(P708,"":"")"),"Quality of Items")</f>
        <v>Quality of Items</v>
      </c>
      <c r="R708" s="14" t="str">
        <f>IFERROR(__xludf.DUMMYFUNCTION("""COMPUTED_VALUE""")," Perfect condition")</f>
        <v> Perfect condition</v>
      </c>
      <c r="S708" s="14" t="str">
        <f t="shared" ref="S708:U708" si="1419">trim(B708)</f>
        <v>ord_10699</v>
      </c>
      <c r="T708" s="14" t="str">
        <f t="shared" si="1419"/>
        <v>Aarav Mehta</v>
      </c>
      <c r="U708" s="14" t="str">
        <f t="shared" si="1419"/>
        <v>Andheri</v>
      </c>
      <c r="V708" s="14" t="str">
        <f t="shared" si="4"/>
        <v>Cucumber</v>
      </c>
      <c r="W708" s="14">
        <f t="shared" si="5"/>
        <v>1</v>
      </c>
      <c r="X708" s="14" t="str">
        <f t="shared" si="6"/>
        <v>Shine Thomas</v>
      </c>
      <c r="Y708" s="15">
        <f t="shared" si="7"/>
        <v>45288</v>
      </c>
      <c r="Z708" s="14" t="str">
        <f t="shared" si="8"/>
        <v>Online Payment</v>
      </c>
      <c r="AA708" s="14" t="str">
        <f t="shared" si="9"/>
        <v>Delivered</v>
      </c>
      <c r="AB708" s="14" t="str">
        <f t="shared" ref="AB708:AC708" si="1420">trim(Q708)</f>
        <v>Quality of Items</v>
      </c>
      <c r="AC708" s="14" t="str">
        <f t="shared" si="1420"/>
        <v>Perfect condition</v>
      </c>
      <c r="AD708" s="8"/>
    </row>
    <row r="709">
      <c r="A709" s="14" t="str">
        <f>IFERROR(__xludf.DUMMYFUNCTION("""COMPUTED_VALUE"""),"//ord_10700//Ishita Banerjee//Juhu//Tomato+2*Not Assigned/8/9/2023//Credit Card//Cancelled*App Glitches: Payment Button Malfunction")</f>
        <v>//ord_10700//Ishita Banerjee//Juhu//Tomato+2*Not Assigned/8/9/2023//Credit Card//Cancelled*App Glitches: Payment Button Malfunction</v>
      </c>
      <c r="B709" s="14" t="str">
        <f>IFERROR(__xludf.DUMMYFUNCTION("split(A709,""//"")"),"ord_10700")</f>
        <v>ord_10700</v>
      </c>
      <c r="C709" s="14" t="str">
        <f>IFERROR(__xludf.DUMMYFUNCTION("""COMPUTED_VALUE"""),"Ishita Banerjee")</f>
        <v>Ishita Banerjee</v>
      </c>
      <c r="D709" s="14" t="str">
        <f>IFERROR(__xludf.DUMMYFUNCTION("""COMPUTED_VALUE"""),"Juhu")</f>
        <v>Juhu</v>
      </c>
      <c r="E709" s="14" t="str">
        <f>IFERROR(__xludf.DUMMYFUNCTION("""COMPUTED_VALUE"""),"Tomato+2*Not Assigned")</f>
        <v>Tomato+2*Not Assigned</v>
      </c>
      <c r="F709" s="14">
        <f>IFERROR(__xludf.DUMMYFUNCTION("""COMPUTED_VALUE"""),8.0)</f>
        <v>8</v>
      </c>
      <c r="G709" s="14">
        <f>IFERROR(__xludf.DUMMYFUNCTION("""COMPUTED_VALUE"""),9.0)</f>
        <v>9</v>
      </c>
      <c r="H709" s="14">
        <f>IFERROR(__xludf.DUMMYFUNCTION("""COMPUTED_VALUE"""),2023.0)</f>
        <v>2023</v>
      </c>
      <c r="I709" s="14" t="str">
        <f>IFERROR(__xludf.DUMMYFUNCTION("""COMPUTED_VALUE"""),"Credit Card")</f>
        <v>Credit Card</v>
      </c>
      <c r="J709" s="14" t="str">
        <f>IFERROR(__xludf.DUMMYFUNCTION("""COMPUTED_VALUE"""),"Cancelled*App Glitches: Payment Button Malfunction")</f>
        <v>Cancelled*App Glitches: Payment Button Malfunction</v>
      </c>
      <c r="K709" s="14" t="str">
        <f>IFERROR(__xludf.DUMMYFUNCTION("split(E709,""+"")"),"Tomato")</f>
        <v>Tomato</v>
      </c>
      <c r="L709" s="14" t="str">
        <f>IFERROR(__xludf.DUMMYFUNCTION("""COMPUTED_VALUE"""),"2*Not Assigned")</f>
        <v>2*Not Assigned</v>
      </c>
      <c r="M709" s="14">
        <f>IFERROR(__xludf.DUMMYFUNCTION("SPLIT(L709,""*"")"),2.0)</f>
        <v>2</v>
      </c>
      <c r="N709" s="14" t="str">
        <f>IFERROR(__xludf.DUMMYFUNCTION("""COMPUTED_VALUE"""),"Not Assigned")</f>
        <v>Not Assigned</v>
      </c>
      <c r="O709" s="14" t="str">
        <f>IFERROR(__xludf.DUMMYFUNCTION("split(J709,""*"")"),"Cancelled")</f>
        <v>Cancelled</v>
      </c>
      <c r="P709" s="14" t="str">
        <f>IFERROR(__xludf.DUMMYFUNCTION("""COMPUTED_VALUE"""),"App Glitches: Payment Button Malfunction")</f>
        <v>App Glitches: Payment Button Malfunction</v>
      </c>
      <c r="Q709" s="14" t="str">
        <f>IFERROR(__xludf.DUMMYFUNCTION("split(P709,"":"")"),"App Glitches")</f>
        <v>App Glitches</v>
      </c>
      <c r="R709" s="14" t="str">
        <f>IFERROR(__xludf.DUMMYFUNCTION("""COMPUTED_VALUE""")," Payment Button Malfunction")</f>
        <v> Payment Button Malfunction</v>
      </c>
      <c r="S709" s="14" t="str">
        <f t="shared" ref="S709:U709" si="1421">trim(B709)</f>
        <v>ord_10700</v>
      </c>
      <c r="T709" s="14" t="str">
        <f t="shared" si="1421"/>
        <v>Ishita Banerjee</v>
      </c>
      <c r="U709" s="14" t="str">
        <f t="shared" si="1421"/>
        <v>Juhu</v>
      </c>
      <c r="V709" s="14" t="str">
        <f t="shared" si="4"/>
        <v>Tomato</v>
      </c>
      <c r="W709" s="14">
        <f t="shared" si="5"/>
        <v>2</v>
      </c>
      <c r="X709" s="14" t="str">
        <f t="shared" si="6"/>
        <v>Not Assigned</v>
      </c>
      <c r="Y709" s="15">
        <f t="shared" si="7"/>
        <v>45147</v>
      </c>
      <c r="Z709" s="14" t="str">
        <f t="shared" si="8"/>
        <v>Credit Card</v>
      </c>
      <c r="AA709" s="14" t="str">
        <f t="shared" si="9"/>
        <v>Cancelled</v>
      </c>
      <c r="AB709" s="14" t="str">
        <f t="shared" ref="AB709:AC709" si="1422">trim(Q709)</f>
        <v>App Glitches</v>
      </c>
      <c r="AC709" s="14" t="str">
        <f t="shared" si="1422"/>
        <v>Payment Button Malfunction</v>
      </c>
      <c r="AD709" s="8"/>
    </row>
    <row r="710">
      <c r="A710" s="14" t="str">
        <f>IFERROR(__xludf.DUMMYFUNCTION("""COMPUTED_VALUE"""),"//ord_10701//Aditi Iyer//Dadar//Sweet Corn+1*Ramesh S/3/26/2023//Online Payment//Delivered*On-time Delivery: Delivered on time")</f>
        <v>//ord_10701//Aditi Iyer//Dadar//Sweet Corn+1*Ramesh S/3/26/2023//Online Payment//Delivered*On-time Delivery: Delivered on time</v>
      </c>
      <c r="B710" s="14" t="str">
        <f>IFERROR(__xludf.DUMMYFUNCTION("split(A710,""//"")"),"ord_10701")</f>
        <v>ord_10701</v>
      </c>
      <c r="C710" s="14" t="str">
        <f>IFERROR(__xludf.DUMMYFUNCTION("""COMPUTED_VALUE"""),"Aditi Iyer")</f>
        <v>Aditi Iyer</v>
      </c>
      <c r="D710" s="14" t="str">
        <f>IFERROR(__xludf.DUMMYFUNCTION("""COMPUTED_VALUE"""),"Dadar")</f>
        <v>Dadar</v>
      </c>
      <c r="E710" s="14" t="str">
        <f>IFERROR(__xludf.DUMMYFUNCTION("""COMPUTED_VALUE"""),"Sweet Corn+1*Ramesh S")</f>
        <v>Sweet Corn+1*Ramesh S</v>
      </c>
      <c r="F710" s="14">
        <f>IFERROR(__xludf.DUMMYFUNCTION("""COMPUTED_VALUE"""),3.0)</f>
        <v>3</v>
      </c>
      <c r="G710" s="14">
        <f>IFERROR(__xludf.DUMMYFUNCTION("""COMPUTED_VALUE"""),26.0)</f>
        <v>26</v>
      </c>
      <c r="H710" s="14">
        <f>IFERROR(__xludf.DUMMYFUNCTION("""COMPUTED_VALUE"""),2023.0)</f>
        <v>2023</v>
      </c>
      <c r="I710" s="14" t="str">
        <f>IFERROR(__xludf.DUMMYFUNCTION("""COMPUTED_VALUE"""),"Online Payment")</f>
        <v>Online Payment</v>
      </c>
      <c r="J710" s="14" t="str">
        <f>IFERROR(__xludf.DUMMYFUNCTION("""COMPUTED_VALUE"""),"Delivered*On-time Delivery: Delivered on time")</f>
        <v>Delivered*On-time Delivery: Delivered on time</v>
      </c>
      <c r="K710" s="14" t="str">
        <f>IFERROR(__xludf.DUMMYFUNCTION("split(E710,""+"")"),"Sweet Corn")</f>
        <v>Sweet Corn</v>
      </c>
      <c r="L710" s="14" t="str">
        <f>IFERROR(__xludf.DUMMYFUNCTION("""COMPUTED_VALUE"""),"1*Ramesh S")</f>
        <v>1*Ramesh S</v>
      </c>
      <c r="M710" s="14">
        <f>IFERROR(__xludf.DUMMYFUNCTION("SPLIT(L710,""*"")"),1.0)</f>
        <v>1</v>
      </c>
      <c r="N710" s="14" t="str">
        <f>IFERROR(__xludf.DUMMYFUNCTION("""COMPUTED_VALUE"""),"Ramesh S")</f>
        <v>Ramesh S</v>
      </c>
      <c r="O710" s="14" t="str">
        <f>IFERROR(__xludf.DUMMYFUNCTION("split(J710,""*"")"),"Delivered")</f>
        <v>Delivered</v>
      </c>
      <c r="P710" s="14" t="str">
        <f>IFERROR(__xludf.DUMMYFUNCTION("""COMPUTED_VALUE"""),"On-time Delivery: Delivered on time")</f>
        <v>On-time Delivery: Delivered on time</v>
      </c>
      <c r="Q710" s="14" t="str">
        <f>IFERROR(__xludf.DUMMYFUNCTION("split(P710,"":"")"),"On-time Delivery")</f>
        <v>On-time Delivery</v>
      </c>
      <c r="R710" s="14" t="str">
        <f>IFERROR(__xludf.DUMMYFUNCTION("""COMPUTED_VALUE""")," Delivered on time")</f>
        <v> Delivered on time</v>
      </c>
      <c r="S710" s="14" t="str">
        <f t="shared" ref="S710:U710" si="1423">trim(B710)</f>
        <v>ord_10701</v>
      </c>
      <c r="T710" s="14" t="str">
        <f t="shared" si="1423"/>
        <v>Aditi Iyer</v>
      </c>
      <c r="U710" s="14" t="str">
        <f t="shared" si="1423"/>
        <v>Dadar</v>
      </c>
      <c r="V710" s="14" t="str">
        <f t="shared" si="4"/>
        <v>Sweet Corn</v>
      </c>
      <c r="W710" s="14">
        <f t="shared" si="5"/>
        <v>1</v>
      </c>
      <c r="X710" s="14" t="str">
        <f t="shared" si="6"/>
        <v>Ramesh S</v>
      </c>
      <c r="Y710" s="15">
        <f t="shared" si="7"/>
        <v>45011</v>
      </c>
      <c r="Z710" s="14" t="str">
        <f t="shared" si="8"/>
        <v>Online Payment</v>
      </c>
      <c r="AA710" s="14" t="str">
        <f t="shared" si="9"/>
        <v>Delivered</v>
      </c>
      <c r="AB710" s="14" t="str">
        <f t="shared" ref="AB710:AC710" si="1424">trim(Q710)</f>
        <v>On-time Delivery</v>
      </c>
      <c r="AC710" s="14" t="str">
        <f t="shared" si="1424"/>
        <v>Delivered on time</v>
      </c>
      <c r="AD710" s="8"/>
    </row>
    <row r="711">
      <c r="A711" s="14" t="str">
        <f>IFERROR(__xludf.DUMMYFUNCTION("""COMPUTED_VALUE"""),"//ord_10702//Parth Goel//Juhu//Papaya+1*Manju Ajay/10/7/2023//UPI//Delivered*Quality of Items: Perfect condition")</f>
        <v>//ord_10702//Parth Goel//Juhu//Papaya+1*Manju Ajay/10/7/2023//UPI//Delivered*Quality of Items: Perfect condition</v>
      </c>
      <c r="B711" s="14" t="str">
        <f>IFERROR(__xludf.DUMMYFUNCTION("split(A711,""//"")"),"ord_10702")</f>
        <v>ord_10702</v>
      </c>
      <c r="C711" s="14" t="str">
        <f>IFERROR(__xludf.DUMMYFUNCTION("""COMPUTED_VALUE"""),"Parth Goel")</f>
        <v>Parth Goel</v>
      </c>
      <c r="D711" s="14" t="str">
        <f>IFERROR(__xludf.DUMMYFUNCTION("""COMPUTED_VALUE"""),"Juhu")</f>
        <v>Juhu</v>
      </c>
      <c r="E711" s="14" t="str">
        <f>IFERROR(__xludf.DUMMYFUNCTION("""COMPUTED_VALUE"""),"Papaya+1*Manju Ajay")</f>
        <v>Papaya+1*Manju Ajay</v>
      </c>
      <c r="F711" s="14">
        <f>IFERROR(__xludf.DUMMYFUNCTION("""COMPUTED_VALUE"""),10.0)</f>
        <v>10</v>
      </c>
      <c r="G711" s="14">
        <f>IFERROR(__xludf.DUMMYFUNCTION("""COMPUTED_VALUE"""),7.0)</f>
        <v>7</v>
      </c>
      <c r="H711" s="14">
        <f>IFERROR(__xludf.DUMMYFUNCTION("""COMPUTED_VALUE"""),2023.0)</f>
        <v>2023</v>
      </c>
      <c r="I711" s="14" t="str">
        <f>IFERROR(__xludf.DUMMYFUNCTION("""COMPUTED_VALUE"""),"UPI")</f>
        <v>UPI</v>
      </c>
      <c r="J711" s="14" t="str">
        <f>IFERROR(__xludf.DUMMYFUNCTION("""COMPUTED_VALUE"""),"Delivered*Quality of Items: Perfect condition")</f>
        <v>Delivered*Quality of Items: Perfect condition</v>
      </c>
      <c r="K711" s="14" t="str">
        <f>IFERROR(__xludf.DUMMYFUNCTION("split(E711,""+"")"),"Papaya")</f>
        <v>Papaya</v>
      </c>
      <c r="L711" s="14" t="str">
        <f>IFERROR(__xludf.DUMMYFUNCTION("""COMPUTED_VALUE"""),"1*Manju Ajay")</f>
        <v>1*Manju Ajay</v>
      </c>
      <c r="M711" s="14">
        <f>IFERROR(__xludf.DUMMYFUNCTION("SPLIT(L711,""*"")"),1.0)</f>
        <v>1</v>
      </c>
      <c r="N711" s="14" t="str">
        <f>IFERROR(__xludf.DUMMYFUNCTION("""COMPUTED_VALUE"""),"Manju Ajay")</f>
        <v>Manju Ajay</v>
      </c>
      <c r="O711" s="14" t="str">
        <f>IFERROR(__xludf.DUMMYFUNCTION("split(J711,""*"")"),"Delivered")</f>
        <v>Delivered</v>
      </c>
      <c r="P711" s="14" t="str">
        <f>IFERROR(__xludf.DUMMYFUNCTION("""COMPUTED_VALUE"""),"Quality of Items: Perfect condition")</f>
        <v>Quality of Items: Perfect condition</v>
      </c>
      <c r="Q711" s="14" t="str">
        <f>IFERROR(__xludf.DUMMYFUNCTION("split(P711,"":"")"),"Quality of Items")</f>
        <v>Quality of Items</v>
      </c>
      <c r="R711" s="14" t="str">
        <f>IFERROR(__xludf.DUMMYFUNCTION("""COMPUTED_VALUE""")," Perfect condition")</f>
        <v> Perfect condition</v>
      </c>
      <c r="S711" s="14" t="str">
        <f t="shared" ref="S711:U711" si="1425">trim(B711)</f>
        <v>ord_10702</v>
      </c>
      <c r="T711" s="14" t="str">
        <f t="shared" si="1425"/>
        <v>Parth Goel</v>
      </c>
      <c r="U711" s="14" t="str">
        <f t="shared" si="1425"/>
        <v>Juhu</v>
      </c>
      <c r="V711" s="14" t="str">
        <f t="shared" si="4"/>
        <v>Papaya</v>
      </c>
      <c r="W711" s="14">
        <f t="shared" si="5"/>
        <v>1</v>
      </c>
      <c r="X711" s="14" t="str">
        <f t="shared" si="6"/>
        <v>Manju Ajay</v>
      </c>
      <c r="Y711" s="15">
        <f t="shared" si="7"/>
        <v>45206</v>
      </c>
      <c r="Z711" s="14" t="str">
        <f t="shared" si="8"/>
        <v>UPI</v>
      </c>
      <c r="AA711" s="14" t="str">
        <f t="shared" si="9"/>
        <v>Delivered</v>
      </c>
      <c r="AB711" s="14" t="str">
        <f t="shared" ref="AB711:AC711" si="1426">trim(Q711)</f>
        <v>Quality of Items</v>
      </c>
      <c r="AC711" s="14" t="str">
        <f t="shared" si="1426"/>
        <v>Perfect condition</v>
      </c>
      <c r="AD711" s="8"/>
    </row>
    <row r="712">
      <c r="A712" s="14" t="str">
        <f>IFERROR(__xludf.DUMMYFUNCTION("""COMPUTED_VALUE"""),"//ord_10703//Mohit Malhotra//Lower Parel//Guava+1*Neha Shah/10/29/2023//Credit Card//Cancelled*Delayed Delivery:Traffic Accidents or Road Closures")</f>
        <v>//ord_10703//Mohit Malhotra//Lower Parel//Guava+1*Neha Shah/10/29/2023//Credit Card//Cancelled*Delayed Delivery:Traffic Accidents or Road Closures</v>
      </c>
      <c r="B712" s="14" t="str">
        <f>IFERROR(__xludf.DUMMYFUNCTION("split(A712,""//"")"),"ord_10703")</f>
        <v>ord_10703</v>
      </c>
      <c r="C712" s="14" t="str">
        <f>IFERROR(__xludf.DUMMYFUNCTION("""COMPUTED_VALUE"""),"Mohit Malhotra")</f>
        <v>Mohit Malhotra</v>
      </c>
      <c r="D712" s="14" t="str">
        <f>IFERROR(__xludf.DUMMYFUNCTION("""COMPUTED_VALUE"""),"Lower Parel")</f>
        <v>Lower Parel</v>
      </c>
      <c r="E712" s="14" t="str">
        <f>IFERROR(__xludf.DUMMYFUNCTION("""COMPUTED_VALUE"""),"Guava+1*Neha Shah")</f>
        <v>Guava+1*Neha Shah</v>
      </c>
      <c r="F712" s="14">
        <f>IFERROR(__xludf.DUMMYFUNCTION("""COMPUTED_VALUE"""),10.0)</f>
        <v>10</v>
      </c>
      <c r="G712" s="14">
        <f>IFERROR(__xludf.DUMMYFUNCTION("""COMPUTED_VALUE"""),29.0)</f>
        <v>29</v>
      </c>
      <c r="H712" s="14">
        <f>IFERROR(__xludf.DUMMYFUNCTION("""COMPUTED_VALUE"""),2023.0)</f>
        <v>2023</v>
      </c>
      <c r="I712" s="14" t="str">
        <f>IFERROR(__xludf.DUMMYFUNCTION("""COMPUTED_VALUE"""),"Credit Card")</f>
        <v>Credit Card</v>
      </c>
      <c r="J712" s="14" t="str">
        <f>IFERROR(__xludf.DUMMYFUNCTION("""COMPUTED_VALUE"""),"Cancelled*Delayed Delivery:Traffic Accidents or Road Closures")</f>
        <v>Cancelled*Delayed Delivery:Traffic Accidents or Road Closures</v>
      </c>
      <c r="K712" s="14" t="str">
        <f>IFERROR(__xludf.DUMMYFUNCTION("split(E712,""+"")"),"Guava")</f>
        <v>Guava</v>
      </c>
      <c r="L712" s="14" t="str">
        <f>IFERROR(__xludf.DUMMYFUNCTION("""COMPUTED_VALUE"""),"1*Neha Shah")</f>
        <v>1*Neha Shah</v>
      </c>
      <c r="M712" s="14">
        <f>IFERROR(__xludf.DUMMYFUNCTION("SPLIT(L712,""*"")"),1.0)</f>
        <v>1</v>
      </c>
      <c r="N712" s="14" t="str">
        <f>IFERROR(__xludf.DUMMYFUNCTION("""COMPUTED_VALUE"""),"Neha Shah")</f>
        <v>Neha Shah</v>
      </c>
      <c r="O712" s="14" t="str">
        <f>IFERROR(__xludf.DUMMYFUNCTION("split(J712,""*"")"),"Cancelled")</f>
        <v>Cancelled</v>
      </c>
      <c r="P712" s="14" t="str">
        <f>IFERROR(__xludf.DUMMYFUNCTION("""COMPUTED_VALUE"""),"Delayed Delivery:Traffic Accidents or Road Closures")</f>
        <v>Delayed Delivery:Traffic Accidents or Road Closures</v>
      </c>
      <c r="Q712" s="14" t="str">
        <f>IFERROR(__xludf.DUMMYFUNCTION("split(P712,"":"")"),"Delayed Delivery")</f>
        <v>Delayed Delivery</v>
      </c>
      <c r="R712" s="14" t="str">
        <f>IFERROR(__xludf.DUMMYFUNCTION("""COMPUTED_VALUE"""),"Traffic Accidents or Road Closures")</f>
        <v>Traffic Accidents or Road Closures</v>
      </c>
      <c r="S712" s="14" t="str">
        <f t="shared" ref="S712:U712" si="1427">trim(B712)</f>
        <v>ord_10703</v>
      </c>
      <c r="T712" s="14" t="str">
        <f t="shared" si="1427"/>
        <v>Mohit Malhotra</v>
      </c>
      <c r="U712" s="14" t="str">
        <f t="shared" si="1427"/>
        <v>Lower Parel</v>
      </c>
      <c r="V712" s="14" t="str">
        <f t="shared" si="4"/>
        <v>Guava</v>
      </c>
      <c r="W712" s="14">
        <f t="shared" si="5"/>
        <v>1</v>
      </c>
      <c r="X712" s="14" t="str">
        <f t="shared" si="6"/>
        <v>Neha Shah</v>
      </c>
      <c r="Y712" s="15">
        <f t="shared" si="7"/>
        <v>45228</v>
      </c>
      <c r="Z712" s="14" t="str">
        <f t="shared" si="8"/>
        <v>Credit Card</v>
      </c>
      <c r="AA712" s="14" t="str">
        <f t="shared" si="9"/>
        <v>Cancelled</v>
      </c>
      <c r="AB712" s="14" t="str">
        <f t="shared" ref="AB712:AC712" si="1428">trim(Q712)</f>
        <v>Delayed Delivery</v>
      </c>
      <c r="AC712" s="14" t="str">
        <f t="shared" si="1428"/>
        <v>Traffic Accidents or Road Closures</v>
      </c>
      <c r="AD712" s="8"/>
    </row>
    <row r="713">
      <c r="A713" s="14" t="str">
        <f>IFERROR(__xludf.DUMMYFUNCTION("""COMPUTED_VALUE"""),"//ord_10704//Pallavi Ghosh//Bandra//Cucumber+1*Ram Gopal/2/10/2023//Credit Card//Cancelled*Delayed Delivery:Heavy Traffic")</f>
        <v>//ord_10704//Pallavi Ghosh//Bandra//Cucumber+1*Ram Gopal/2/10/2023//Credit Card//Cancelled*Delayed Delivery:Heavy Traffic</v>
      </c>
      <c r="B713" s="14" t="str">
        <f>IFERROR(__xludf.DUMMYFUNCTION("split(A713,""//"")"),"ord_10704")</f>
        <v>ord_10704</v>
      </c>
      <c r="C713" s="14" t="str">
        <f>IFERROR(__xludf.DUMMYFUNCTION("""COMPUTED_VALUE"""),"Pallavi Ghosh")</f>
        <v>Pallavi Ghosh</v>
      </c>
      <c r="D713" s="14" t="str">
        <f>IFERROR(__xludf.DUMMYFUNCTION("""COMPUTED_VALUE"""),"Bandra")</f>
        <v>Bandra</v>
      </c>
      <c r="E713" s="14" t="str">
        <f>IFERROR(__xludf.DUMMYFUNCTION("""COMPUTED_VALUE"""),"Cucumber+1*Ram Gopal")</f>
        <v>Cucumber+1*Ram Gopal</v>
      </c>
      <c r="F713" s="14">
        <f>IFERROR(__xludf.DUMMYFUNCTION("""COMPUTED_VALUE"""),2.0)</f>
        <v>2</v>
      </c>
      <c r="G713" s="14">
        <f>IFERROR(__xludf.DUMMYFUNCTION("""COMPUTED_VALUE"""),10.0)</f>
        <v>10</v>
      </c>
      <c r="H713" s="14">
        <f>IFERROR(__xludf.DUMMYFUNCTION("""COMPUTED_VALUE"""),2023.0)</f>
        <v>2023</v>
      </c>
      <c r="I713" s="14" t="str">
        <f>IFERROR(__xludf.DUMMYFUNCTION("""COMPUTED_VALUE"""),"Credit Card")</f>
        <v>Credit Card</v>
      </c>
      <c r="J713" s="14" t="str">
        <f>IFERROR(__xludf.DUMMYFUNCTION("""COMPUTED_VALUE"""),"Cancelled*Delayed Delivery:Heavy Traffic")</f>
        <v>Cancelled*Delayed Delivery:Heavy Traffic</v>
      </c>
      <c r="K713" s="14" t="str">
        <f>IFERROR(__xludf.DUMMYFUNCTION("split(E713,""+"")"),"Cucumber")</f>
        <v>Cucumber</v>
      </c>
      <c r="L713" s="14" t="str">
        <f>IFERROR(__xludf.DUMMYFUNCTION("""COMPUTED_VALUE"""),"1*Ram Gopal")</f>
        <v>1*Ram Gopal</v>
      </c>
      <c r="M713" s="14">
        <f>IFERROR(__xludf.DUMMYFUNCTION("SPLIT(L713,""*"")"),1.0)</f>
        <v>1</v>
      </c>
      <c r="N713" s="14" t="str">
        <f>IFERROR(__xludf.DUMMYFUNCTION("""COMPUTED_VALUE"""),"Ram Gopal")</f>
        <v>Ram Gopal</v>
      </c>
      <c r="O713" s="14" t="str">
        <f>IFERROR(__xludf.DUMMYFUNCTION("split(J713,""*"")"),"Cancelled")</f>
        <v>Cancelled</v>
      </c>
      <c r="P713" s="14" t="str">
        <f>IFERROR(__xludf.DUMMYFUNCTION("""COMPUTED_VALUE"""),"Delayed Delivery:Heavy Traffic")</f>
        <v>Delayed Delivery:Heavy Traffic</v>
      </c>
      <c r="Q713" s="14" t="str">
        <f>IFERROR(__xludf.DUMMYFUNCTION("split(P713,"":"")"),"Delayed Delivery")</f>
        <v>Delayed Delivery</v>
      </c>
      <c r="R713" s="14" t="str">
        <f>IFERROR(__xludf.DUMMYFUNCTION("""COMPUTED_VALUE"""),"Heavy Traffic")</f>
        <v>Heavy Traffic</v>
      </c>
      <c r="S713" s="14" t="str">
        <f t="shared" ref="S713:U713" si="1429">trim(B713)</f>
        <v>ord_10704</v>
      </c>
      <c r="T713" s="14" t="str">
        <f t="shared" si="1429"/>
        <v>Pallavi Ghosh</v>
      </c>
      <c r="U713" s="14" t="str">
        <f t="shared" si="1429"/>
        <v>Bandra</v>
      </c>
      <c r="V713" s="14" t="str">
        <f t="shared" si="4"/>
        <v>Cucumber</v>
      </c>
      <c r="W713" s="14">
        <f t="shared" si="5"/>
        <v>1</v>
      </c>
      <c r="X713" s="14" t="str">
        <f t="shared" si="6"/>
        <v>Ram Gopal</v>
      </c>
      <c r="Y713" s="15">
        <f t="shared" si="7"/>
        <v>44967</v>
      </c>
      <c r="Z713" s="14" t="str">
        <f t="shared" si="8"/>
        <v>Credit Card</v>
      </c>
      <c r="AA713" s="14" t="str">
        <f t="shared" si="9"/>
        <v>Cancelled</v>
      </c>
      <c r="AB713" s="14" t="str">
        <f t="shared" ref="AB713:AC713" si="1430">trim(Q713)</f>
        <v>Delayed Delivery</v>
      </c>
      <c r="AC713" s="14" t="str">
        <f t="shared" si="1430"/>
        <v>Heavy Traffic</v>
      </c>
      <c r="AD713" s="8"/>
    </row>
    <row r="714">
      <c r="A714" s="14" t="str">
        <f>IFERROR(__xludf.DUMMYFUNCTION("""COMPUTED_VALUE"""),"//ord_10705//Pranav Joshi//Andheri//Orange+2*Vivek Kumar/7/19/2023//Online Payment//Delivered*Packaging: Secure and intact")</f>
        <v>//ord_10705//Pranav Joshi//Andheri//Orange+2*Vivek Kumar/7/19/2023//Online Payment//Delivered*Packaging: Secure and intact</v>
      </c>
      <c r="B714" s="14" t="str">
        <f>IFERROR(__xludf.DUMMYFUNCTION("split(A714,""//"")"),"ord_10705")</f>
        <v>ord_10705</v>
      </c>
      <c r="C714" s="14" t="str">
        <f>IFERROR(__xludf.DUMMYFUNCTION("""COMPUTED_VALUE"""),"Pranav Joshi")</f>
        <v>Pranav Joshi</v>
      </c>
      <c r="D714" s="14" t="str">
        <f>IFERROR(__xludf.DUMMYFUNCTION("""COMPUTED_VALUE"""),"Andheri")</f>
        <v>Andheri</v>
      </c>
      <c r="E714" s="14" t="str">
        <f>IFERROR(__xludf.DUMMYFUNCTION("""COMPUTED_VALUE"""),"Orange+2*Vivek Kumar")</f>
        <v>Orange+2*Vivek Kumar</v>
      </c>
      <c r="F714" s="14">
        <f>IFERROR(__xludf.DUMMYFUNCTION("""COMPUTED_VALUE"""),7.0)</f>
        <v>7</v>
      </c>
      <c r="G714" s="14">
        <f>IFERROR(__xludf.DUMMYFUNCTION("""COMPUTED_VALUE"""),19.0)</f>
        <v>19</v>
      </c>
      <c r="H714" s="14">
        <f>IFERROR(__xludf.DUMMYFUNCTION("""COMPUTED_VALUE"""),2023.0)</f>
        <v>2023</v>
      </c>
      <c r="I714" s="14" t="str">
        <f>IFERROR(__xludf.DUMMYFUNCTION("""COMPUTED_VALUE"""),"Online Payment")</f>
        <v>Online Payment</v>
      </c>
      <c r="J714" s="14" t="str">
        <f>IFERROR(__xludf.DUMMYFUNCTION("""COMPUTED_VALUE"""),"Delivered*Packaging: Secure and intact")</f>
        <v>Delivered*Packaging: Secure and intact</v>
      </c>
      <c r="K714" s="14" t="str">
        <f>IFERROR(__xludf.DUMMYFUNCTION("split(E714,""+"")"),"Orange")</f>
        <v>Orange</v>
      </c>
      <c r="L714" s="14" t="str">
        <f>IFERROR(__xludf.DUMMYFUNCTION("""COMPUTED_VALUE"""),"2*Vivek Kumar")</f>
        <v>2*Vivek Kumar</v>
      </c>
      <c r="M714" s="14">
        <f>IFERROR(__xludf.DUMMYFUNCTION("SPLIT(L714,""*"")"),2.0)</f>
        <v>2</v>
      </c>
      <c r="N714" s="14" t="str">
        <f>IFERROR(__xludf.DUMMYFUNCTION("""COMPUTED_VALUE"""),"Vivek Kumar")</f>
        <v>Vivek Kumar</v>
      </c>
      <c r="O714" s="14" t="str">
        <f>IFERROR(__xludf.DUMMYFUNCTION("split(J714,""*"")"),"Delivered")</f>
        <v>Delivered</v>
      </c>
      <c r="P714" s="14" t="str">
        <f>IFERROR(__xludf.DUMMYFUNCTION("""COMPUTED_VALUE"""),"Packaging: Secure and intact")</f>
        <v>Packaging: Secure and intact</v>
      </c>
      <c r="Q714" s="14" t="str">
        <f>IFERROR(__xludf.DUMMYFUNCTION("split(P714,"":"")"),"Packaging")</f>
        <v>Packaging</v>
      </c>
      <c r="R714" s="14" t="str">
        <f>IFERROR(__xludf.DUMMYFUNCTION("""COMPUTED_VALUE""")," Secure and intact")</f>
        <v> Secure and intact</v>
      </c>
      <c r="S714" s="14" t="str">
        <f t="shared" ref="S714:U714" si="1431">trim(B714)</f>
        <v>ord_10705</v>
      </c>
      <c r="T714" s="14" t="str">
        <f t="shared" si="1431"/>
        <v>Pranav Joshi</v>
      </c>
      <c r="U714" s="14" t="str">
        <f t="shared" si="1431"/>
        <v>Andheri</v>
      </c>
      <c r="V714" s="14" t="str">
        <f t="shared" si="4"/>
        <v>Orange</v>
      </c>
      <c r="W714" s="14">
        <f t="shared" si="5"/>
        <v>2</v>
      </c>
      <c r="X714" s="14" t="str">
        <f t="shared" si="6"/>
        <v>Vivek Kumar</v>
      </c>
      <c r="Y714" s="15">
        <f t="shared" si="7"/>
        <v>45126</v>
      </c>
      <c r="Z714" s="14" t="str">
        <f t="shared" si="8"/>
        <v>Online Payment</v>
      </c>
      <c r="AA714" s="14" t="str">
        <f t="shared" si="9"/>
        <v>Delivered</v>
      </c>
      <c r="AB714" s="14" t="str">
        <f t="shared" ref="AB714:AC714" si="1432">trim(Q714)</f>
        <v>Packaging</v>
      </c>
      <c r="AC714" s="14" t="str">
        <f t="shared" si="1432"/>
        <v>Secure and intact</v>
      </c>
      <c r="AD714" s="8"/>
    </row>
    <row r="715">
      <c r="A715" s="14" t="str">
        <f>IFERROR(__xludf.DUMMYFUNCTION("""COMPUTED_VALUE"""),"//ord_10706//Sanjay Nair//Dadar//Sweet Corn+1*Sita T/12/1/2023//Online Payment//Delivered*Satisfied with the Delivery: Timely and quality")</f>
        <v>//ord_10706//Sanjay Nair//Dadar//Sweet Corn+1*Sita T/12/1/2023//Online Payment//Delivered*Satisfied with the Delivery: Timely and quality</v>
      </c>
      <c r="B715" s="14" t="str">
        <f>IFERROR(__xludf.DUMMYFUNCTION("split(A715,""//"")"),"ord_10706")</f>
        <v>ord_10706</v>
      </c>
      <c r="C715" s="14" t="str">
        <f>IFERROR(__xludf.DUMMYFUNCTION("""COMPUTED_VALUE"""),"Sanjay Nair")</f>
        <v>Sanjay Nair</v>
      </c>
      <c r="D715" s="14" t="str">
        <f>IFERROR(__xludf.DUMMYFUNCTION("""COMPUTED_VALUE"""),"Dadar")</f>
        <v>Dadar</v>
      </c>
      <c r="E715" s="14" t="str">
        <f>IFERROR(__xludf.DUMMYFUNCTION("""COMPUTED_VALUE"""),"Sweet Corn+1*Sita T")</f>
        <v>Sweet Corn+1*Sita T</v>
      </c>
      <c r="F715" s="14">
        <f>IFERROR(__xludf.DUMMYFUNCTION("""COMPUTED_VALUE"""),12.0)</f>
        <v>12</v>
      </c>
      <c r="G715" s="14">
        <f>IFERROR(__xludf.DUMMYFUNCTION("""COMPUTED_VALUE"""),1.0)</f>
        <v>1</v>
      </c>
      <c r="H715" s="14">
        <f>IFERROR(__xludf.DUMMYFUNCTION("""COMPUTED_VALUE"""),2023.0)</f>
        <v>2023</v>
      </c>
      <c r="I715" s="14" t="str">
        <f>IFERROR(__xludf.DUMMYFUNCTION("""COMPUTED_VALUE"""),"Online Payment")</f>
        <v>Online Payment</v>
      </c>
      <c r="J715" s="14" t="str">
        <f>IFERROR(__xludf.DUMMYFUNCTION("""COMPUTED_VALUE"""),"Delivered*Satisfied with the Delivery: Timely and quality")</f>
        <v>Delivered*Satisfied with the Delivery: Timely and quality</v>
      </c>
      <c r="K715" s="14" t="str">
        <f>IFERROR(__xludf.DUMMYFUNCTION("split(E715,""+"")"),"Sweet Corn")</f>
        <v>Sweet Corn</v>
      </c>
      <c r="L715" s="14" t="str">
        <f>IFERROR(__xludf.DUMMYFUNCTION("""COMPUTED_VALUE"""),"1*Sita T")</f>
        <v>1*Sita T</v>
      </c>
      <c r="M715" s="14">
        <f>IFERROR(__xludf.DUMMYFUNCTION("SPLIT(L715,""*"")"),1.0)</f>
        <v>1</v>
      </c>
      <c r="N715" s="14" t="str">
        <f>IFERROR(__xludf.DUMMYFUNCTION("""COMPUTED_VALUE"""),"Sita T")</f>
        <v>Sita T</v>
      </c>
      <c r="O715" s="14" t="str">
        <f>IFERROR(__xludf.DUMMYFUNCTION("split(J715,""*"")"),"Delivered")</f>
        <v>Delivered</v>
      </c>
      <c r="P715" s="14" t="str">
        <f>IFERROR(__xludf.DUMMYFUNCTION("""COMPUTED_VALUE"""),"Satisfied with the Delivery: Timely and quality")</f>
        <v>Satisfied with the Delivery: Timely and quality</v>
      </c>
      <c r="Q715" s="14" t="str">
        <f>IFERROR(__xludf.DUMMYFUNCTION("split(P715,"":"")"),"Satisfied with the Delivery")</f>
        <v>Satisfied with the Delivery</v>
      </c>
      <c r="R715" s="14" t="str">
        <f>IFERROR(__xludf.DUMMYFUNCTION("""COMPUTED_VALUE""")," Timely and quality")</f>
        <v> Timely and quality</v>
      </c>
      <c r="S715" s="14" t="str">
        <f t="shared" ref="S715:U715" si="1433">trim(B715)</f>
        <v>ord_10706</v>
      </c>
      <c r="T715" s="14" t="str">
        <f t="shared" si="1433"/>
        <v>Sanjay Nair</v>
      </c>
      <c r="U715" s="14" t="str">
        <f t="shared" si="1433"/>
        <v>Dadar</v>
      </c>
      <c r="V715" s="14" t="str">
        <f t="shared" si="4"/>
        <v>Sweet Corn</v>
      </c>
      <c r="W715" s="14">
        <f t="shared" si="5"/>
        <v>1</v>
      </c>
      <c r="X715" s="14" t="str">
        <f t="shared" si="6"/>
        <v>Sita T</v>
      </c>
      <c r="Y715" s="15">
        <f t="shared" si="7"/>
        <v>45261</v>
      </c>
      <c r="Z715" s="14" t="str">
        <f t="shared" si="8"/>
        <v>Online Payment</v>
      </c>
      <c r="AA715" s="14" t="str">
        <f t="shared" si="9"/>
        <v>Delivered</v>
      </c>
      <c r="AB715" s="14" t="str">
        <f t="shared" ref="AB715:AC715" si="1434">trim(Q715)</f>
        <v>Satisfied with the Delivery</v>
      </c>
      <c r="AC715" s="14" t="str">
        <f t="shared" si="1434"/>
        <v>Timely and quality</v>
      </c>
      <c r="AD715" s="8"/>
    </row>
    <row r="716">
      <c r="A716" s="14" t="str">
        <f>IFERROR(__xludf.DUMMYFUNCTION("""COMPUTED_VALUE"""),"//ord_10707//Aditi Iyer//Dadar//Sweet Corn+2*Kiran Mehta/12/12/2023//Credit Card//Cancelled*Delayed Delivery:Bad Weather Conditions ")</f>
        <v>//ord_10707//Aditi Iyer//Dadar//Sweet Corn+2*Kiran Mehta/12/12/2023//Credit Card//Cancelled*Delayed Delivery:Bad Weather Conditions </v>
      </c>
      <c r="B716" s="14" t="str">
        <f>IFERROR(__xludf.DUMMYFUNCTION("split(A716,""//"")"),"ord_10707")</f>
        <v>ord_10707</v>
      </c>
      <c r="C716" s="14" t="str">
        <f>IFERROR(__xludf.DUMMYFUNCTION("""COMPUTED_VALUE"""),"Aditi Iyer")</f>
        <v>Aditi Iyer</v>
      </c>
      <c r="D716" s="14" t="str">
        <f>IFERROR(__xludf.DUMMYFUNCTION("""COMPUTED_VALUE"""),"Dadar")</f>
        <v>Dadar</v>
      </c>
      <c r="E716" s="14" t="str">
        <f>IFERROR(__xludf.DUMMYFUNCTION("""COMPUTED_VALUE"""),"Sweet Corn+2*Kiran Mehta")</f>
        <v>Sweet Corn+2*Kiran Mehta</v>
      </c>
      <c r="F716" s="14">
        <f>IFERROR(__xludf.DUMMYFUNCTION("""COMPUTED_VALUE"""),12.0)</f>
        <v>12</v>
      </c>
      <c r="G716" s="14">
        <f>IFERROR(__xludf.DUMMYFUNCTION("""COMPUTED_VALUE"""),12.0)</f>
        <v>12</v>
      </c>
      <c r="H716" s="14">
        <f>IFERROR(__xludf.DUMMYFUNCTION("""COMPUTED_VALUE"""),2023.0)</f>
        <v>2023</v>
      </c>
      <c r="I716" s="14" t="str">
        <f>IFERROR(__xludf.DUMMYFUNCTION("""COMPUTED_VALUE"""),"Credit Card")</f>
        <v>Credit Card</v>
      </c>
      <c r="J716" s="14" t="str">
        <f>IFERROR(__xludf.DUMMYFUNCTION("""COMPUTED_VALUE"""),"Cancelled*Delayed Delivery:Bad Weather Conditions ")</f>
        <v>Cancelled*Delayed Delivery:Bad Weather Conditions </v>
      </c>
      <c r="K716" s="14" t="str">
        <f>IFERROR(__xludf.DUMMYFUNCTION("split(E716,""+"")"),"Sweet Corn")</f>
        <v>Sweet Corn</v>
      </c>
      <c r="L716" s="14" t="str">
        <f>IFERROR(__xludf.DUMMYFUNCTION("""COMPUTED_VALUE"""),"2*Kiran Mehta")</f>
        <v>2*Kiran Mehta</v>
      </c>
      <c r="M716" s="14">
        <f>IFERROR(__xludf.DUMMYFUNCTION("SPLIT(L716,""*"")"),2.0)</f>
        <v>2</v>
      </c>
      <c r="N716" s="14" t="str">
        <f>IFERROR(__xludf.DUMMYFUNCTION("""COMPUTED_VALUE"""),"Kiran Mehta")</f>
        <v>Kiran Mehta</v>
      </c>
      <c r="O716" s="14" t="str">
        <f>IFERROR(__xludf.DUMMYFUNCTION("split(J716,""*"")"),"Cancelled")</f>
        <v>Cancelled</v>
      </c>
      <c r="P716" s="14" t="str">
        <f>IFERROR(__xludf.DUMMYFUNCTION("""COMPUTED_VALUE"""),"Delayed Delivery:Bad Weather Conditions ")</f>
        <v>Delayed Delivery:Bad Weather Conditions </v>
      </c>
      <c r="Q716" s="14" t="str">
        <f>IFERROR(__xludf.DUMMYFUNCTION("split(P716,"":"")"),"Delayed Delivery")</f>
        <v>Delayed Delivery</v>
      </c>
      <c r="R716" s="14" t="str">
        <f>IFERROR(__xludf.DUMMYFUNCTION("""COMPUTED_VALUE"""),"Bad Weather Conditions ")</f>
        <v>Bad Weather Conditions </v>
      </c>
      <c r="S716" s="14" t="str">
        <f t="shared" ref="S716:U716" si="1435">trim(B716)</f>
        <v>ord_10707</v>
      </c>
      <c r="T716" s="14" t="str">
        <f t="shared" si="1435"/>
        <v>Aditi Iyer</v>
      </c>
      <c r="U716" s="14" t="str">
        <f t="shared" si="1435"/>
        <v>Dadar</v>
      </c>
      <c r="V716" s="14" t="str">
        <f t="shared" si="4"/>
        <v>Sweet Corn</v>
      </c>
      <c r="W716" s="14">
        <f t="shared" si="5"/>
        <v>2</v>
      </c>
      <c r="X716" s="14" t="str">
        <f t="shared" si="6"/>
        <v>Kiran Mehta</v>
      </c>
      <c r="Y716" s="15">
        <f t="shared" si="7"/>
        <v>45272</v>
      </c>
      <c r="Z716" s="14" t="str">
        <f t="shared" si="8"/>
        <v>Credit Card</v>
      </c>
      <c r="AA716" s="14" t="str">
        <f t="shared" si="9"/>
        <v>Cancelled</v>
      </c>
      <c r="AB716" s="14" t="str">
        <f t="shared" ref="AB716:AC716" si="1436">trim(Q716)</f>
        <v>Delayed Delivery</v>
      </c>
      <c r="AC716" s="14" t="str">
        <f t="shared" si="1436"/>
        <v>Bad Weather Conditions</v>
      </c>
      <c r="AD716" s="8"/>
    </row>
    <row r="717">
      <c r="A717" s="14" t="str">
        <f>IFERROR(__xludf.DUMMYFUNCTION("""COMPUTED_VALUE"""),"//ord_10708//Kritika Shetty//Malad//Popcorn+5*Manju Ajay/12/2/2023//Credit Card//Cancelled*Delayed Delivery:Heavy Traffic")</f>
        <v>//ord_10708//Kritika Shetty//Malad//Popcorn+5*Manju Ajay/12/2/2023//Credit Card//Cancelled*Delayed Delivery:Heavy Traffic</v>
      </c>
      <c r="B717" s="14" t="str">
        <f>IFERROR(__xludf.DUMMYFUNCTION("split(A717,""//"")"),"ord_10708")</f>
        <v>ord_10708</v>
      </c>
      <c r="C717" s="14" t="str">
        <f>IFERROR(__xludf.DUMMYFUNCTION("""COMPUTED_VALUE"""),"Kritika Shetty")</f>
        <v>Kritika Shetty</v>
      </c>
      <c r="D717" s="14" t="str">
        <f>IFERROR(__xludf.DUMMYFUNCTION("""COMPUTED_VALUE"""),"Malad")</f>
        <v>Malad</v>
      </c>
      <c r="E717" s="14" t="str">
        <f>IFERROR(__xludf.DUMMYFUNCTION("""COMPUTED_VALUE"""),"Popcorn+5*Manju Ajay")</f>
        <v>Popcorn+5*Manju Ajay</v>
      </c>
      <c r="F717" s="14">
        <f>IFERROR(__xludf.DUMMYFUNCTION("""COMPUTED_VALUE"""),12.0)</f>
        <v>12</v>
      </c>
      <c r="G717" s="14">
        <f>IFERROR(__xludf.DUMMYFUNCTION("""COMPUTED_VALUE"""),2.0)</f>
        <v>2</v>
      </c>
      <c r="H717" s="14">
        <f>IFERROR(__xludf.DUMMYFUNCTION("""COMPUTED_VALUE"""),2023.0)</f>
        <v>2023</v>
      </c>
      <c r="I717" s="14" t="str">
        <f>IFERROR(__xludf.DUMMYFUNCTION("""COMPUTED_VALUE"""),"Credit Card")</f>
        <v>Credit Card</v>
      </c>
      <c r="J717" s="14" t="str">
        <f>IFERROR(__xludf.DUMMYFUNCTION("""COMPUTED_VALUE"""),"Cancelled*Delayed Delivery:Heavy Traffic")</f>
        <v>Cancelled*Delayed Delivery:Heavy Traffic</v>
      </c>
      <c r="K717" s="14" t="str">
        <f>IFERROR(__xludf.DUMMYFUNCTION("split(E717,""+"")"),"Popcorn")</f>
        <v>Popcorn</v>
      </c>
      <c r="L717" s="14" t="str">
        <f>IFERROR(__xludf.DUMMYFUNCTION("""COMPUTED_VALUE"""),"5*Manju Ajay")</f>
        <v>5*Manju Ajay</v>
      </c>
      <c r="M717" s="14">
        <f>IFERROR(__xludf.DUMMYFUNCTION("SPLIT(L717,""*"")"),5.0)</f>
        <v>5</v>
      </c>
      <c r="N717" s="14" t="str">
        <f>IFERROR(__xludf.DUMMYFUNCTION("""COMPUTED_VALUE"""),"Manju Ajay")</f>
        <v>Manju Ajay</v>
      </c>
      <c r="O717" s="14" t="str">
        <f>IFERROR(__xludf.DUMMYFUNCTION("split(J717,""*"")"),"Cancelled")</f>
        <v>Cancelled</v>
      </c>
      <c r="P717" s="14" t="str">
        <f>IFERROR(__xludf.DUMMYFUNCTION("""COMPUTED_VALUE"""),"Delayed Delivery:Heavy Traffic")</f>
        <v>Delayed Delivery:Heavy Traffic</v>
      </c>
      <c r="Q717" s="14" t="str">
        <f>IFERROR(__xludf.DUMMYFUNCTION("split(P717,"":"")"),"Delayed Delivery")</f>
        <v>Delayed Delivery</v>
      </c>
      <c r="R717" s="14" t="str">
        <f>IFERROR(__xludf.DUMMYFUNCTION("""COMPUTED_VALUE"""),"Heavy Traffic")</f>
        <v>Heavy Traffic</v>
      </c>
      <c r="S717" s="14" t="str">
        <f t="shared" ref="S717:U717" si="1437">trim(B717)</f>
        <v>ord_10708</v>
      </c>
      <c r="T717" s="14" t="str">
        <f t="shared" si="1437"/>
        <v>Kritika Shetty</v>
      </c>
      <c r="U717" s="14" t="str">
        <f t="shared" si="1437"/>
        <v>Malad</v>
      </c>
      <c r="V717" s="14" t="str">
        <f t="shared" si="4"/>
        <v>Popcorn</v>
      </c>
      <c r="W717" s="14">
        <f t="shared" si="5"/>
        <v>5</v>
      </c>
      <c r="X717" s="14" t="str">
        <f t="shared" si="6"/>
        <v>Manju Ajay</v>
      </c>
      <c r="Y717" s="15">
        <f t="shared" si="7"/>
        <v>45262</v>
      </c>
      <c r="Z717" s="14" t="str">
        <f t="shared" si="8"/>
        <v>Credit Card</v>
      </c>
      <c r="AA717" s="14" t="str">
        <f t="shared" si="9"/>
        <v>Cancelled</v>
      </c>
      <c r="AB717" s="14" t="str">
        <f t="shared" ref="AB717:AC717" si="1438">trim(Q717)</f>
        <v>Delayed Delivery</v>
      </c>
      <c r="AC717" s="14" t="str">
        <f t="shared" si="1438"/>
        <v>Heavy Traffic</v>
      </c>
      <c r="AD717" s="8"/>
    </row>
    <row r="718">
      <c r="A718" s="14" t="str">
        <f>IFERROR(__xludf.DUMMYFUNCTION("""COMPUTED_VALUE"""),"//ord_10709//Sanjay Nair//Dadar//Popcorn+3*Shine Thomas/8/5/2023//Credit Card//Delivered*Customer Service: Seamless and easy")</f>
        <v>//ord_10709//Sanjay Nair//Dadar//Popcorn+3*Shine Thomas/8/5/2023//Credit Card//Delivered*Customer Service: Seamless and easy</v>
      </c>
      <c r="B718" s="14" t="str">
        <f>IFERROR(__xludf.DUMMYFUNCTION("split(A718,""//"")"),"ord_10709")</f>
        <v>ord_10709</v>
      </c>
      <c r="C718" s="14" t="str">
        <f>IFERROR(__xludf.DUMMYFUNCTION("""COMPUTED_VALUE"""),"Sanjay Nair")</f>
        <v>Sanjay Nair</v>
      </c>
      <c r="D718" s="14" t="str">
        <f>IFERROR(__xludf.DUMMYFUNCTION("""COMPUTED_VALUE"""),"Dadar")</f>
        <v>Dadar</v>
      </c>
      <c r="E718" s="14" t="str">
        <f>IFERROR(__xludf.DUMMYFUNCTION("""COMPUTED_VALUE"""),"Popcorn+3*Shine Thomas")</f>
        <v>Popcorn+3*Shine Thomas</v>
      </c>
      <c r="F718" s="14">
        <f>IFERROR(__xludf.DUMMYFUNCTION("""COMPUTED_VALUE"""),8.0)</f>
        <v>8</v>
      </c>
      <c r="G718" s="14">
        <f>IFERROR(__xludf.DUMMYFUNCTION("""COMPUTED_VALUE"""),5.0)</f>
        <v>5</v>
      </c>
      <c r="H718" s="14">
        <f>IFERROR(__xludf.DUMMYFUNCTION("""COMPUTED_VALUE"""),2023.0)</f>
        <v>2023</v>
      </c>
      <c r="I718" s="14" t="str">
        <f>IFERROR(__xludf.DUMMYFUNCTION("""COMPUTED_VALUE"""),"Credit Card")</f>
        <v>Credit Card</v>
      </c>
      <c r="J718" s="14" t="str">
        <f>IFERROR(__xludf.DUMMYFUNCTION("""COMPUTED_VALUE"""),"Delivered*Customer Service: Seamless and easy")</f>
        <v>Delivered*Customer Service: Seamless and easy</v>
      </c>
      <c r="K718" s="14" t="str">
        <f>IFERROR(__xludf.DUMMYFUNCTION("split(E718,""+"")"),"Popcorn")</f>
        <v>Popcorn</v>
      </c>
      <c r="L718" s="14" t="str">
        <f>IFERROR(__xludf.DUMMYFUNCTION("""COMPUTED_VALUE"""),"3*Shine Thomas")</f>
        <v>3*Shine Thomas</v>
      </c>
      <c r="M718" s="14">
        <f>IFERROR(__xludf.DUMMYFUNCTION("SPLIT(L718,""*"")"),3.0)</f>
        <v>3</v>
      </c>
      <c r="N718" s="14" t="str">
        <f>IFERROR(__xludf.DUMMYFUNCTION("""COMPUTED_VALUE"""),"Shine Thomas")</f>
        <v>Shine Thomas</v>
      </c>
      <c r="O718" s="14" t="str">
        <f>IFERROR(__xludf.DUMMYFUNCTION("split(J718,""*"")"),"Delivered")</f>
        <v>Delivered</v>
      </c>
      <c r="P718" s="14" t="str">
        <f>IFERROR(__xludf.DUMMYFUNCTION("""COMPUTED_VALUE"""),"Customer Service: Seamless and easy")</f>
        <v>Customer Service: Seamless and easy</v>
      </c>
      <c r="Q718" s="14" t="str">
        <f>IFERROR(__xludf.DUMMYFUNCTION("split(P718,"":"")"),"Customer Service")</f>
        <v>Customer Service</v>
      </c>
      <c r="R718" s="14" t="str">
        <f>IFERROR(__xludf.DUMMYFUNCTION("""COMPUTED_VALUE""")," Seamless and easy")</f>
        <v> Seamless and easy</v>
      </c>
      <c r="S718" s="14" t="str">
        <f t="shared" ref="S718:U718" si="1439">trim(B718)</f>
        <v>ord_10709</v>
      </c>
      <c r="T718" s="14" t="str">
        <f t="shared" si="1439"/>
        <v>Sanjay Nair</v>
      </c>
      <c r="U718" s="14" t="str">
        <f t="shared" si="1439"/>
        <v>Dadar</v>
      </c>
      <c r="V718" s="14" t="str">
        <f t="shared" si="4"/>
        <v>Popcorn</v>
      </c>
      <c r="W718" s="14">
        <f t="shared" si="5"/>
        <v>3</v>
      </c>
      <c r="X718" s="14" t="str">
        <f t="shared" si="6"/>
        <v>Shine Thomas</v>
      </c>
      <c r="Y718" s="15">
        <f t="shared" si="7"/>
        <v>45143</v>
      </c>
      <c r="Z718" s="14" t="str">
        <f t="shared" si="8"/>
        <v>Credit Card</v>
      </c>
      <c r="AA718" s="14" t="str">
        <f t="shared" si="9"/>
        <v>Delivered</v>
      </c>
      <c r="AB718" s="14" t="str">
        <f t="shared" ref="AB718:AC718" si="1440">trim(Q718)</f>
        <v>Customer Service</v>
      </c>
      <c r="AC718" s="14" t="str">
        <f t="shared" si="1440"/>
        <v>Seamless and easy</v>
      </c>
      <c r="AD718" s="8"/>
    </row>
    <row r="719">
      <c r="A719" s="14" t="str">
        <f>IFERROR(__xludf.DUMMYFUNCTION("""COMPUTED_VALUE"""),"//ord_10710//Aditi Iyer//Dadar//Cold Coffee+3*Not Assigned/5/7/2023//Online Payment//Cancelled*Out of Stock")</f>
        <v>//ord_10710//Aditi Iyer//Dadar//Cold Coffee+3*Not Assigned/5/7/2023//Online Payment//Cancelled*Out of Stock</v>
      </c>
      <c r="B719" s="14" t="str">
        <f>IFERROR(__xludf.DUMMYFUNCTION("split(A719,""//"")"),"ord_10710")</f>
        <v>ord_10710</v>
      </c>
      <c r="C719" s="14" t="str">
        <f>IFERROR(__xludf.DUMMYFUNCTION("""COMPUTED_VALUE"""),"Aditi Iyer")</f>
        <v>Aditi Iyer</v>
      </c>
      <c r="D719" s="14" t="str">
        <f>IFERROR(__xludf.DUMMYFUNCTION("""COMPUTED_VALUE"""),"Dadar")</f>
        <v>Dadar</v>
      </c>
      <c r="E719" s="14" t="str">
        <f>IFERROR(__xludf.DUMMYFUNCTION("""COMPUTED_VALUE"""),"Cold Coffee+3*Not Assigned")</f>
        <v>Cold Coffee+3*Not Assigned</v>
      </c>
      <c r="F719" s="14">
        <f>IFERROR(__xludf.DUMMYFUNCTION("""COMPUTED_VALUE"""),5.0)</f>
        <v>5</v>
      </c>
      <c r="G719" s="14">
        <f>IFERROR(__xludf.DUMMYFUNCTION("""COMPUTED_VALUE"""),7.0)</f>
        <v>7</v>
      </c>
      <c r="H719" s="14">
        <f>IFERROR(__xludf.DUMMYFUNCTION("""COMPUTED_VALUE"""),2023.0)</f>
        <v>2023</v>
      </c>
      <c r="I719" s="14" t="str">
        <f>IFERROR(__xludf.DUMMYFUNCTION("""COMPUTED_VALUE"""),"Online Payment")</f>
        <v>Online Payment</v>
      </c>
      <c r="J719" s="14" t="str">
        <f>IFERROR(__xludf.DUMMYFUNCTION("""COMPUTED_VALUE"""),"Cancelled*Out of Stock")</f>
        <v>Cancelled*Out of Stock</v>
      </c>
      <c r="K719" s="14" t="str">
        <f>IFERROR(__xludf.DUMMYFUNCTION("split(E719,""+"")"),"Cold Coffee")</f>
        <v>Cold Coffee</v>
      </c>
      <c r="L719" s="14" t="str">
        <f>IFERROR(__xludf.DUMMYFUNCTION("""COMPUTED_VALUE"""),"3*Not Assigned")</f>
        <v>3*Not Assigned</v>
      </c>
      <c r="M719" s="14">
        <f>IFERROR(__xludf.DUMMYFUNCTION("SPLIT(L719,""*"")"),3.0)</f>
        <v>3</v>
      </c>
      <c r="N719" s="14" t="str">
        <f>IFERROR(__xludf.DUMMYFUNCTION("""COMPUTED_VALUE"""),"Not Assigned")</f>
        <v>Not Assigned</v>
      </c>
      <c r="O719" s="14" t="str">
        <f>IFERROR(__xludf.DUMMYFUNCTION("split(J719,""*"")"),"Cancelled")</f>
        <v>Cancelled</v>
      </c>
      <c r="P719" s="14" t="str">
        <f>IFERROR(__xludf.DUMMYFUNCTION("""COMPUTED_VALUE"""),"Out of Stock")</f>
        <v>Out of Stock</v>
      </c>
      <c r="Q719" s="14" t="str">
        <f>IFERROR(__xludf.DUMMYFUNCTION("split(P719,"":"")"),"Out of Stock")</f>
        <v>Out of Stock</v>
      </c>
      <c r="R719" s="14"/>
      <c r="S719" s="14" t="str">
        <f t="shared" ref="S719:U719" si="1441">trim(B719)</f>
        <v>ord_10710</v>
      </c>
      <c r="T719" s="14" t="str">
        <f t="shared" si="1441"/>
        <v>Aditi Iyer</v>
      </c>
      <c r="U719" s="14" t="str">
        <f t="shared" si="1441"/>
        <v>Dadar</v>
      </c>
      <c r="V719" s="14" t="str">
        <f t="shared" si="4"/>
        <v>Cold Coffee</v>
      </c>
      <c r="W719" s="14">
        <f t="shared" si="5"/>
        <v>3</v>
      </c>
      <c r="X719" s="14" t="str">
        <f t="shared" si="6"/>
        <v>Not Assigned</v>
      </c>
      <c r="Y719" s="15">
        <f t="shared" si="7"/>
        <v>45053</v>
      </c>
      <c r="Z719" s="14" t="str">
        <f t="shared" si="8"/>
        <v>Online Payment</v>
      </c>
      <c r="AA719" s="14" t="str">
        <f t="shared" si="9"/>
        <v>Cancelled</v>
      </c>
      <c r="AB719" s="14" t="str">
        <f t="shared" ref="AB719:AC719" si="1442">trim(Q719)</f>
        <v>Out of Stock</v>
      </c>
      <c r="AC719" s="14" t="str">
        <f t="shared" si="1442"/>
        <v/>
      </c>
      <c r="AD719" s="8"/>
    </row>
    <row r="720">
      <c r="A720" s="14" t="str">
        <f>IFERROR(__xludf.DUMMYFUNCTION("""COMPUTED_VALUE"""),"//ord_10711//Parth Goel//Juhu//Cucumber+2*Manju Ajay/10/27/2023//Credit Card//Delivered*Delivery Experience: Quick and professional")</f>
        <v>//ord_10711//Parth Goel//Juhu//Cucumber+2*Manju Ajay/10/27/2023//Credit Card//Delivered*Delivery Experience: Quick and professional</v>
      </c>
      <c r="B720" s="14" t="str">
        <f>IFERROR(__xludf.DUMMYFUNCTION("split(A720,""//"")"),"ord_10711")</f>
        <v>ord_10711</v>
      </c>
      <c r="C720" s="14" t="str">
        <f>IFERROR(__xludf.DUMMYFUNCTION("""COMPUTED_VALUE"""),"Parth Goel")</f>
        <v>Parth Goel</v>
      </c>
      <c r="D720" s="14" t="str">
        <f>IFERROR(__xludf.DUMMYFUNCTION("""COMPUTED_VALUE"""),"Juhu")</f>
        <v>Juhu</v>
      </c>
      <c r="E720" s="14" t="str">
        <f>IFERROR(__xludf.DUMMYFUNCTION("""COMPUTED_VALUE"""),"Cucumber+2*Manju Ajay")</f>
        <v>Cucumber+2*Manju Ajay</v>
      </c>
      <c r="F720" s="14">
        <f>IFERROR(__xludf.DUMMYFUNCTION("""COMPUTED_VALUE"""),10.0)</f>
        <v>10</v>
      </c>
      <c r="G720" s="14">
        <f>IFERROR(__xludf.DUMMYFUNCTION("""COMPUTED_VALUE"""),27.0)</f>
        <v>27</v>
      </c>
      <c r="H720" s="14">
        <f>IFERROR(__xludf.DUMMYFUNCTION("""COMPUTED_VALUE"""),2023.0)</f>
        <v>2023</v>
      </c>
      <c r="I720" s="14" t="str">
        <f>IFERROR(__xludf.DUMMYFUNCTION("""COMPUTED_VALUE"""),"Credit Card")</f>
        <v>Credit Card</v>
      </c>
      <c r="J720" s="14" t="str">
        <f>IFERROR(__xludf.DUMMYFUNCTION("""COMPUTED_VALUE"""),"Delivered*Delivery Experience: Quick and professional")</f>
        <v>Delivered*Delivery Experience: Quick and professional</v>
      </c>
      <c r="K720" s="14" t="str">
        <f>IFERROR(__xludf.DUMMYFUNCTION("split(E720,""+"")"),"Cucumber")</f>
        <v>Cucumber</v>
      </c>
      <c r="L720" s="14" t="str">
        <f>IFERROR(__xludf.DUMMYFUNCTION("""COMPUTED_VALUE"""),"2*Manju Ajay")</f>
        <v>2*Manju Ajay</v>
      </c>
      <c r="M720" s="14">
        <f>IFERROR(__xludf.DUMMYFUNCTION("SPLIT(L720,""*"")"),2.0)</f>
        <v>2</v>
      </c>
      <c r="N720" s="14" t="str">
        <f>IFERROR(__xludf.DUMMYFUNCTION("""COMPUTED_VALUE"""),"Manju Ajay")</f>
        <v>Manju Ajay</v>
      </c>
      <c r="O720" s="14" t="str">
        <f>IFERROR(__xludf.DUMMYFUNCTION("split(J720,""*"")"),"Delivered")</f>
        <v>Delivered</v>
      </c>
      <c r="P720" s="14" t="str">
        <f>IFERROR(__xludf.DUMMYFUNCTION("""COMPUTED_VALUE"""),"Delivery Experience: Quick and professional")</f>
        <v>Delivery Experience: Quick and professional</v>
      </c>
      <c r="Q720" s="14" t="str">
        <f>IFERROR(__xludf.DUMMYFUNCTION("split(P720,"":"")"),"Delivery Experience")</f>
        <v>Delivery Experience</v>
      </c>
      <c r="R720" s="14" t="str">
        <f>IFERROR(__xludf.DUMMYFUNCTION("""COMPUTED_VALUE""")," Quick and professional")</f>
        <v> Quick and professional</v>
      </c>
      <c r="S720" s="14" t="str">
        <f t="shared" ref="S720:U720" si="1443">trim(B720)</f>
        <v>ord_10711</v>
      </c>
      <c r="T720" s="14" t="str">
        <f t="shared" si="1443"/>
        <v>Parth Goel</v>
      </c>
      <c r="U720" s="14" t="str">
        <f t="shared" si="1443"/>
        <v>Juhu</v>
      </c>
      <c r="V720" s="14" t="str">
        <f t="shared" si="4"/>
        <v>Cucumber</v>
      </c>
      <c r="W720" s="14">
        <f t="shared" si="5"/>
        <v>2</v>
      </c>
      <c r="X720" s="14" t="str">
        <f t="shared" si="6"/>
        <v>Manju Ajay</v>
      </c>
      <c r="Y720" s="15">
        <f t="shared" si="7"/>
        <v>45226</v>
      </c>
      <c r="Z720" s="14" t="str">
        <f t="shared" si="8"/>
        <v>Credit Card</v>
      </c>
      <c r="AA720" s="14" t="str">
        <f t="shared" si="9"/>
        <v>Delivered</v>
      </c>
      <c r="AB720" s="14" t="str">
        <f t="shared" ref="AB720:AC720" si="1444">trim(Q720)</f>
        <v>Delivery Experience</v>
      </c>
      <c r="AC720" s="14" t="str">
        <f t="shared" si="1444"/>
        <v>Quick and professional</v>
      </c>
      <c r="AD720" s="8"/>
    </row>
    <row r="721">
      <c r="A721" s="14" t="str">
        <f>IFERROR(__xludf.DUMMYFUNCTION("""COMPUTED_VALUE"""),"//ord_10712//Diya Arora//Lower Parel//Guava+1*Ramesh S/6/4/2023//UPI//Delivered*Convenience: Easy tracking")</f>
        <v>//ord_10712//Diya Arora//Lower Parel//Guava+1*Ramesh S/6/4/2023//UPI//Delivered*Convenience: Easy tracking</v>
      </c>
      <c r="B721" s="14" t="str">
        <f>IFERROR(__xludf.DUMMYFUNCTION("split(A721,""//"")"),"ord_10712")</f>
        <v>ord_10712</v>
      </c>
      <c r="C721" s="14" t="str">
        <f>IFERROR(__xludf.DUMMYFUNCTION("""COMPUTED_VALUE"""),"Diya Arora")</f>
        <v>Diya Arora</v>
      </c>
      <c r="D721" s="14" t="str">
        <f>IFERROR(__xludf.DUMMYFUNCTION("""COMPUTED_VALUE"""),"Lower Parel")</f>
        <v>Lower Parel</v>
      </c>
      <c r="E721" s="14" t="str">
        <f>IFERROR(__xludf.DUMMYFUNCTION("""COMPUTED_VALUE"""),"Guava+1*Ramesh S")</f>
        <v>Guava+1*Ramesh S</v>
      </c>
      <c r="F721" s="14">
        <f>IFERROR(__xludf.DUMMYFUNCTION("""COMPUTED_VALUE"""),6.0)</f>
        <v>6</v>
      </c>
      <c r="G721" s="14">
        <f>IFERROR(__xludf.DUMMYFUNCTION("""COMPUTED_VALUE"""),4.0)</f>
        <v>4</v>
      </c>
      <c r="H721" s="14">
        <f>IFERROR(__xludf.DUMMYFUNCTION("""COMPUTED_VALUE"""),2023.0)</f>
        <v>2023</v>
      </c>
      <c r="I721" s="14" t="str">
        <f>IFERROR(__xludf.DUMMYFUNCTION("""COMPUTED_VALUE"""),"UPI")</f>
        <v>UPI</v>
      </c>
      <c r="J721" s="14" t="str">
        <f>IFERROR(__xludf.DUMMYFUNCTION("""COMPUTED_VALUE"""),"Delivered*Convenience: Easy tracking")</f>
        <v>Delivered*Convenience: Easy tracking</v>
      </c>
      <c r="K721" s="14" t="str">
        <f>IFERROR(__xludf.DUMMYFUNCTION("split(E721,""+"")"),"Guava")</f>
        <v>Guava</v>
      </c>
      <c r="L721" s="14" t="str">
        <f>IFERROR(__xludf.DUMMYFUNCTION("""COMPUTED_VALUE"""),"1*Ramesh S")</f>
        <v>1*Ramesh S</v>
      </c>
      <c r="M721" s="14">
        <f>IFERROR(__xludf.DUMMYFUNCTION("SPLIT(L721,""*"")"),1.0)</f>
        <v>1</v>
      </c>
      <c r="N721" s="14" t="str">
        <f>IFERROR(__xludf.DUMMYFUNCTION("""COMPUTED_VALUE"""),"Ramesh S")</f>
        <v>Ramesh S</v>
      </c>
      <c r="O721" s="14" t="str">
        <f>IFERROR(__xludf.DUMMYFUNCTION("split(J721,""*"")"),"Delivered")</f>
        <v>Delivered</v>
      </c>
      <c r="P721" s="14" t="str">
        <f>IFERROR(__xludf.DUMMYFUNCTION("""COMPUTED_VALUE"""),"Convenience: Easy tracking")</f>
        <v>Convenience: Easy tracking</v>
      </c>
      <c r="Q721" s="14" t="str">
        <f>IFERROR(__xludf.DUMMYFUNCTION("split(P721,"":"")"),"Convenience")</f>
        <v>Convenience</v>
      </c>
      <c r="R721" s="14" t="str">
        <f>IFERROR(__xludf.DUMMYFUNCTION("""COMPUTED_VALUE""")," Easy tracking")</f>
        <v> Easy tracking</v>
      </c>
      <c r="S721" s="14" t="str">
        <f t="shared" ref="S721:U721" si="1445">trim(B721)</f>
        <v>ord_10712</v>
      </c>
      <c r="T721" s="14" t="str">
        <f t="shared" si="1445"/>
        <v>Diya Arora</v>
      </c>
      <c r="U721" s="14" t="str">
        <f t="shared" si="1445"/>
        <v>Lower Parel</v>
      </c>
      <c r="V721" s="14" t="str">
        <f t="shared" si="4"/>
        <v>Guava</v>
      </c>
      <c r="W721" s="14">
        <f t="shared" si="5"/>
        <v>1</v>
      </c>
      <c r="X721" s="14" t="str">
        <f t="shared" si="6"/>
        <v>Ramesh S</v>
      </c>
      <c r="Y721" s="15">
        <f t="shared" si="7"/>
        <v>45081</v>
      </c>
      <c r="Z721" s="14" t="str">
        <f t="shared" si="8"/>
        <v>UPI</v>
      </c>
      <c r="AA721" s="14" t="str">
        <f t="shared" si="9"/>
        <v>Delivered</v>
      </c>
      <c r="AB721" s="14" t="str">
        <f t="shared" ref="AB721:AC721" si="1446">trim(Q721)</f>
        <v>Convenience</v>
      </c>
      <c r="AC721" s="14" t="str">
        <f t="shared" si="1446"/>
        <v>Easy tracking</v>
      </c>
      <c r="AD721" s="8"/>
    </row>
    <row r="722">
      <c r="A722" s="14" t="str">
        <f>IFERROR(__xludf.DUMMYFUNCTION("""COMPUTED_VALUE"""),"//ord_10713//Mohit Malhotra//Lower Parel//Rasmalai+2*Kiran Mehta/3/18/2023//UPI//Delivered*Overall Satisfaction: Great service will order again")</f>
        <v>//ord_10713//Mohit Malhotra//Lower Parel//Rasmalai+2*Kiran Mehta/3/18/2023//UPI//Delivered*Overall Satisfaction: Great service will order again</v>
      </c>
      <c r="B722" s="14" t="str">
        <f>IFERROR(__xludf.DUMMYFUNCTION("split(A722,""//"")"),"ord_10713")</f>
        <v>ord_10713</v>
      </c>
      <c r="C722" s="14" t="str">
        <f>IFERROR(__xludf.DUMMYFUNCTION("""COMPUTED_VALUE"""),"Mohit Malhotra")</f>
        <v>Mohit Malhotra</v>
      </c>
      <c r="D722" s="14" t="str">
        <f>IFERROR(__xludf.DUMMYFUNCTION("""COMPUTED_VALUE"""),"Lower Parel")</f>
        <v>Lower Parel</v>
      </c>
      <c r="E722" s="14" t="str">
        <f>IFERROR(__xludf.DUMMYFUNCTION("""COMPUTED_VALUE"""),"Rasmalai+2*Kiran Mehta")</f>
        <v>Rasmalai+2*Kiran Mehta</v>
      </c>
      <c r="F722" s="14">
        <f>IFERROR(__xludf.DUMMYFUNCTION("""COMPUTED_VALUE"""),3.0)</f>
        <v>3</v>
      </c>
      <c r="G722" s="14">
        <f>IFERROR(__xludf.DUMMYFUNCTION("""COMPUTED_VALUE"""),18.0)</f>
        <v>18</v>
      </c>
      <c r="H722" s="14">
        <f>IFERROR(__xludf.DUMMYFUNCTION("""COMPUTED_VALUE"""),2023.0)</f>
        <v>2023</v>
      </c>
      <c r="I722" s="14" t="str">
        <f>IFERROR(__xludf.DUMMYFUNCTION("""COMPUTED_VALUE"""),"UPI")</f>
        <v>UPI</v>
      </c>
      <c r="J722" s="14" t="str">
        <f>IFERROR(__xludf.DUMMYFUNCTION("""COMPUTED_VALUE"""),"Delivered*Overall Satisfaction: Great service will order again")</f>
        <v>Delivered*Overall Satisfaction: Great service will order again</v>
      </c>
      <c r="K722" s="14" t="str">
        <f>IFERROR(__xludf.DUMMYFUNCTION("split(E722,""+"")"),"Rasmalai")</f>
        <v>Rasmalai</v>
      </c>
      <c r="L722" s="14" t="str">
        <f>IFERROR(__xludf.DUMMYFUNCTION("""COMPUTED_VALUE"""),"2*Kiran Mehta")</f>
        <v>2*Kiran Mehta</v>
      </c>
      <c r="M722" s="14">
        <f>IFERROR(__xludf.DUMMYFUNCTION("SPLIT(L722,""*"")"),2.0)</f>
        <v>2</v>
      </c>
      <c r="N722" s="14" t="str">
        <f>IFERROR(__xludf.DUMMYFUNCTION("""COMPUTED_VALUE"""),"Kiran Mehta")</f>
        <v>Kiran Mehta</v>
      </c>
      <c r="O722" s="14" t="str">
        <f>IFERROR(__xludf.DUMMYFUNCTION("split(J722,""*"")"),"Delivered")</f>
        <v>Delivered</v>
      </c>
      <c r="P722" s="14" t="str">
        <f>IFERROR(__xludf.DUMMYFUNCTION("""COMPUTED_VALUE"""),"Overall Satisfaction: Great service will order again")</f>
        <v>Overall Satisfaction: Great service will order again</v>
      </c>
      <c r="Q722" s="14" t="str">
        <f>IFERROR(__xludf.DUMMYFUNCTION("split(P722,"":"")"),"Overall Satisfaction")</f>
        <v>Overall Satisfaction</v>
      </c>
      <c r="R722" s="14" t="str">
        <f>IFERROR(__xludf.DUMMYFUNCTION("""COMPUTED_VALUE""")," Great service will order again")</f>
        <v> Great service will order again</v>
      </c>
      <c r="S722" s="14" t="str">
        <f t="shared" ref="S722:U722" si="1447">trim(B722)</f>
        <v>ord_10713</v>
      </c>
      <c r="T722" s="14" t="str">
        <f t="shared" si="1447"/>
        <v>Mohit Malhotra</v>
      </c>
      <c r="U722" s="14" t="str">
        <f t="shared" si="1447"/>
        <v>Lower Parel</v>
      </c>
      <c r="V722" s="14" t="str">
        <f t="shared" si="4"/>
        <v>Rasmalai</v>
      </c>
      <c r="W722" s="14">
        <f t="shared" si="5"/>
        <v>2</v>
      </c>
      <c r="X722" s="14" t="str">
        <f t="shared" si="6"/>
        <v>Kiran Mehta</v>
      </c>
      <c r="Y722" s="15">
        <f t="shared" si="7"/>
        <v>45003</v>
      </c>
      <c r="Z722" s="14" t="str">
        <f t="shared" si="8"/>
        <v>UPI</v>
      </c>
      <c r="AA722" s="14" t="str">
        <f t="shared" si="9"/>
        <v>Delivered</v>
      </c>
      <c r="AB722" s="14" t="str">
        <f t="shared" ref="AB722:AC722" si="1448">trim(Q722)</f>
        <v>Overall Satisfaction</v>
      </c>
      <c r="AC722" s="14" t="str">
        <f t="shared" si="1448"/>
        <v>Great service will order again</v>
      </c>
      <c r="AD722" s="8"/>
    </row>
    <row r="723">
      <c r="A723" s="14" t="str">
        <f>IFERROR(__xludf.DUMMYFUNCTION("""COMPUTED_VALUE"""),"//ord_10714//Aarav Mehta//Andheri//Chicken Puff+2*Nikhil Deshmukh/5/16/2023//UPI//Cancelled*Delayed Delivery:Bad Weather Conditions ")</f>
        <v>//ord_10714//Aarav Mehta//Andheri//Chicken Puff+2*Nikhil Deshmukh/5/16/2023//UPI//Cancelled*Delayed Delivery:Bad Weather Conditions </v>
      </c>
      <c r="B723" s="14" t="str">
        <f>IFERROR(__xludf.DUMMYFUNCTION("split(A723,""//"")"),"ord_10714")</f>
        <v>ord_10714</v>
      </c>
      <c r="C723" s="14" t="str">
        <f>IFERROR(__xludf.DUMMYFUNCTION("""COMPUTED_VALUE"""),"Aarav Mehta")</f>
        <v>Aarav Mehta</v>
      </c>
      <c r="D723" s="14" t="str">
        <f>IFERROR(__xludf.DUMMYFUNCTION("""COMPUTED_VALUE"""),"Andheri")</f>
        <v>Andheri</v>
      </c>
      <c r="E723" s="14" t="str">
        <f>IFERROR(__xludf.DUMMYFUNCTION("""COMPUTED_VALUE"""),"Chicken Puff+2*Nikhil Deshmukh")</f>
        <v>Chicken Puff+2*Nikhil Deshmukh</v>
      </c>
      <c r="F723" s="14">
        <f>IFERROR(__xludf.DUMMYFUNCTION("""COMPUTED_VALUE"""),5.0)</f>
        <v>5</v>
      </c>
      <c r="G723" s="14">
        <f>IFERROR(__xludf.DUMMYFUNCTION("""COMPUTED_VALUE"""),16.0)</f>
        <v>16</v>
      </c>
      <c r="H723" s="14">
        <f>IFERROR(__xludf.DUMMYFUNCTION("""COMPUTED_VALUE"""),2023.0)</f>
        <v>2023</v>
      </c>
      <c r="I723" s="14" t="str">
        <f>IFERROR(__xludf.DUMMYFUNCTION("""COMPUTED_VALUE"""),"UPI")</f>
        <v>UPI</v>
      </c>
      <c r="J723" s="14" t="str">
        <f>IFERROR(__xludf.DUMMYFUNCTION("""COMPUTED_VALUE"""),"Cancelled*Delayed Delivery:Bad Weather Conditions ")</f>
        <v>Cancelled*Delayed Delivery:Bad Weather Conditions </v>
      </c>
      <c r="K723" s="14" t="str">
        <f>IFERROR(__xludf.DUMMYFUNCTION("split(E723,""+"")"),"Chicken Puff")</f>
        <v>Chicken Puff</v>
      </c>
      <c r="L723" s="14" t="str">
        <f>IFERROR(__xludf.DUMMYFUNCTION("""COMPUTED_VALUE"""),"2*Nikhil Deshmukh")</f>
        <v>2*Nikhil Deshmukh</v>
      </c>
      <c r="M723" s="14">
        <f>IFERROR(__xludf.DUMMYFUNCTION("SPLIT(L723,""*"")"),2.0)</f>
        <v>2</v>
      </c>
      <c r="N723" s="14" t="str">
        <f>IFERROR(__xludf.DUMMYFUNCTION("""COMPUTED_VALUE"""),"Nikhil Deshmukh")</f>
        <v>Nikhil Deshmukh</v>
      </c>
      <c r="O723" s="14" t="str">
        <f>IFERROR(__xludf.DUMMYFUNCTION("split(J723,""*"")"),"Cancelled")</f>
        <v>Cancelled</v>
      </c>
      <c r="P723" s="14" t="str">
        <f>IFERROR(__xludf.DUMMYFUNCTION("""COMPUTED_VALUE"""),"Delayed Delivery:Bad Weather Conditions ")</f>
        <v>Delayed Delivery:Bad Weather Conditions </v>
      </c>
      <c r="Q723" s="14" t="str">
        <f>IFERROR(__xludf.DUMMYFUNCTION("split(P723,"":"")"),"Delayed Delivery")</f>
        <v>Delayed Delivery</v>
      </c>
      <c r="R723" s="14" t="str">
        <f>IFERROR(__xludf.DUMMYFUNCTION("""COMPUTED_VALUE"""),"Bad Weather Conditions ")</f>
        <v>Bad Weather Conditions </v>
      </c>
      <c r="S723" s="14" t="str">
        <f t="shared" ref="S723:U723" si="1449">trim(B723)</f>
        <v>ord_10714</v>
      </c>
      <c r="T723" s="14" t="str">
        <f t="shared" si="1449"/>
        <v>Aarav Mehta</v>
      </c>
      <c r="U723" s="14" t="str">
        <f t="shared" si="1449"/>
        <v>Andheri</v>
      </c>
      <c r="V723" s="14" t="str">
        <f t="shared" si="4"/>
        <v>Chicken Puff</v>
      </c>
      <c r="W723" s="14">
        <f t="shared" si="5"/>
        <v>2</v>
      </c>
      <c r="X723" s="14" t="str">
        <f t="shared" si="6"/>
        <v>Nikhil Deshmukh</v>
      </c>
      <c r="Y723" s="15">
        <f t="shared" si="7"/>
        <v>45062</v>
      </c>
      <c r="Z723" s="14" t="str">
        <f t="shared" si="8"/>
        <v>UPI</v>
      </c>
      <c r="AA723" s="14" t="str">
        <f t="shared" si="9"/>
        <v>Cancelled</v>
      </c>
      <c r="AB723" s="14" t="str">
        <f t="shared" ref="AB723:AC723" si="1450">trim(Q723)</f>
        <v>Delayed Delivery</v>
      </c>
      <c r="AC723" s="14" t="str">
        <f t="shared" si="1450"/>
        <v>Bad Weather Conditions</v>
      </c>
      <c r="AD723" s="8"/>
    </row>
    <row r="724">
      <c r="A724" s="14" t="str">
        <f>IFERROR(__xludf.DUMMYFUNCTION("""COMPUTED_VALUE"""),"//ord_10715//Mehul Thakkar//Malad//Apple+2*Sita T/7/16/2023//Credit Card//Cancelled*Delayed Delivery:Heavy Traffic")</f>
        <v>//ord_10715//Mehul Thakkar//Malad//Apple+2*Sita T/7/16/2023//Credit Card//Cancelled*Delayed Delivery:Heavy Traffic</v>
      </c>
      <c r="B724" s="14" t="str">
        <f>IFERROR(__xludf.DUMMYFUNCTION("split(A724,""//"")"),"ord_10715")</f>
        <v>ord_10715</v>
      </c>
      <c r="C724" s="14" t="str">
        <f>IFERROR(__xludf.DUMMYFUNCTION("""COMPUTED_VALUE"""),"Mehul Thakkar")</f>
        <v>Mehul Thakkar</v>
      </c>
      <c r="D724" s="14" t="str">
        <f>IFERROR(__xludf.DUMMYFUNCTION("""COMPUTED_VALUE"""),"Malad")</f>
        <v>Malad</v>
      </c>
      <c r="E724" s="14" t="str">
        <f>IFERROR(__xludf.DUMMYFUNCTION("""COMPUTED_VALUE"""),"Apple+2*Sita T")</f>
        <v>Apple+2*Sita T</v>
      </c>
      <c r="F724" s="14">
        <f>IFERROR(__xludf.DUMMYFUNCTION("""COMPUTED_VALUE"""),7.0)</f>
        <v>7</v>
      </c>
      <c r="G724" s="14">
        <f>IFERROR(__xludf.DUMMYFUNCTION("""COMPUTED_VALUE"""),16.0)</f>
        <v>16</v>
      </c>
      <c r="H724" s="14">
        <f>IFERROR(__xludf.DUMMYFUNCTION("""COMPUTED_VALUE"""),2023.0)</f>
        <v>2023</v>
      </c>
      <c r="I724" s="14" t="str">
        <f>IFERROR(__xludf.DUMMYFUNCTION("""COMPUTED_VALUE"""),"Credit Card")</f>
        <v>Credit Card</v>
      </c>
      <c r="J724" s="14" t="str">
        <f>IFERROR(__xludf.DUMMYFUNCTION("""COMPUTED_VALUE"""),"Cancelled*Delayed Delivery:Heavy Traffic")</f>
        <v>Cancelled*Delayed Delivery:Heavy Traffic</v>
      </c>
      <c r="K724" s="14" t="str">
        <f>IFERROR(__xludf.DUMMYFUNCTION("split(E724,""+"")"),"Apple")</f>
        <v>Apple</v>
      </c>
      <c r="L724" s="14" t="str">
        <f>IFERROR(__xludf.DUMMYFUNCTION("""COMPUTED_VALUE"""),"2*Sita T")</f>
        <v>2*Sita T</v>
      </c>
      <c r="M724" s="14">
        <f>IFERROR(__xludf.DUMMYFUNCTION("SPLIT(L724,""*"")"),2.0)</f>
        <v>2</v>
      </c>
      <c r="N724" s="14" t="str">
        <f>IFERROR(__xludf.DUMMYFUNCTION("""COMPUTED_VALUE"""),"Sita T")</f>
        <v>Sita T</v>
      </c>
      <c r="O724" s="14" t="str">
        <f>IFERROR(__xludf.DUMMYFUNCTION("split(J724,""*"")"),"Cancelled")</f>
        <v>Cancelled</v>
      </c>
      <c r="P724" s="14" t="str">
        <f>IFERROR(__xludf.DUMMYFUNCTION("""COMPUTED_VALUE"""),"Delayed Delivery:Heavy Traffic")</f>
        <v>Delayed Delivery:Heavy Traffic</v>
      </c>
      <c r="Q724" s="14" t="str">
        <f>IFERROR(__xludf.DUMMYFUNCTION("split(P724,"":"")"),"Delayed Delivery")</f>
        <v>Delayed Delivery</v>
      </c>
      <c r="R724" s="14" t="str">
        <f>IFERROR(__xludf.DUMMYFUNCTION("""COMPUTED_VALUE"""),"Heavy Traffic")</f>
        <v>Heavy Traffic</v>
      </c>
      <c r="S724" s="14" t="str">
        <f t="shared" ref="S724:U724" si="1451">trim(B724)</f>
        <v>ord_10715</v>
      </c>
      <c r="T724" s="14" t="str">
        <f t="shared" si="1451"/>
        <v>Mehul Thakkar</v>
      </c>
      <c r="U724" s="14" t="str">
        <f t="shared" si="1451"/>
        <v>Malad</v>
      </c>
      <c r="V724" s="14" t="str">
        <f t="shared" si="4"/>
        <v>Apple</v>
      </c>
      <c r="W724" s="14">
        <f t="shared" si="5"/>
        <v>2</v>
      </c>
      <c r="X724" s="14" t="str">
        <f t="shared" si="6"/>
        <v>Sita T</v>
      </c>
      <c r="Y724" s="15">
        <f t="shared" si="7"/>
        <v>45123</v>
      </c>
      <c r="Z724" s="14" t="str">
        <f t="shared" si="8"/>
        <v>Credit Card</v>
      </c>
      <c r="AA724" s="14" t="str">
        <f t="shared" si="9"/>
        <v>Cancelled</v>
      </c>
      <c r="AB724" s="14" t="str">
        <f t="shared" ref="AB724:AC724" si="1452">trim(Q724)</f>
        <v>Delayed Delivery</v>
      </c>
      <c r="AC724" s="14" t="str">
        <f t="shared" si="1452"/>
        <v>Heavy Traffic</v>
      </c>
      <c r="AD724" s="8"/>
    </row>
    <row r="725">
      <c r="A725" s="14" t="str">
        <f>IFERROR(__xludf.DUMMYFUNCTION("""COMPUTED_VALUE"""),"//ord_10716//Ishita Banerjee//Juhu//Juice+4*Priya Joshi/12/16/2023//UPI//Cancelled*Delayed Delivery:Heavy Traffic")</f>
        <v>//ord_10716//Ishita Banerjee//Juhu//Juice+4*Priya Joshi/12/16/2023//UPI//Cancelled*Delayed Delivery:Heavy Traffic</v>
      </c>
      <c r="B725" s="14" t="str">
        <f>IFERROR(__xludf.DUMMYFUNCTION("split(A725,""//"")"),"ord_10716")</f>
        <v>ord_10716</v>
      </c>
      <c r="C725" s="14" t="str">
        <f>IFERROR(__xludf.DUMMYFUNCTION("""COMPUTED_VALUE"""),"Ishita Banerjee")</f>
        <v>Ishita Banerjee</v>
      </c>
      <c r="D725" s="14" t="str">
        <f>IFERROR(__xludf.DUMMYFUNCTION("""COMPUTED_VALUE"""),"Juhu")</f>
        <v>Juhu</v>
      </c>
      <c r="E725" s="14" t="str">
        <f>IFERROR(__xludf.DUMMYFUNCTION("""COMPUTED_VALUE"""),"Juice+4*Priya Joshi")</f>
        <v>Juice+4*Priya Joshi</v>
      </c>
      <c r="F725" s="14">
        <f>IFERROR(__xludf.DUMMYFUNCTION("""COMPUTED_VALUE"""),12.0)</f>
        <v>12</v>
      </c>
      <c r="G725" s="14">
        <f>IFERROR(__xludf.DUMMYFUNCTION("""COMPUTED_VALUE"""),16.0)</f>
        <v>16</v>
      </c>
      <c r="H725" s="14">
        <f>IFERROR(__xludf.DUMMYFUNCTION("""COMPUTED_VALUE"""),2023.0)</f>
        <v>2023</v>
      </c>
      <c r="I725" s="14" t="str">
        <f>IFERROR(__xludf.DUMMYFUNCTION("""COMPUTED_VALUE"""),"UPI")</f>
        <v>UPI</v>
      </c>
      <c r="J725" s="14" t="str">
        <f>IFERROR(__xludf.DUMMYFUNCTION("""COMPUTED_VALUE"""),"Cancelled*Delayed Delivery:Heavy Traffic")</f>
        <v>Cancelled*Delayed Delivery:Heavy Traffic</v>
      </c>
      <c r="K725" s="14" t="str">
        <f>IFERROR(__xludf.DUMMYFUNCTION("split(E725,""+"")"),"Juice")</f>
        <v>Juice</v>
      </c>
      <c r="L725" s="14" t="str">
        <f>IFERROR(__xludf.DUMMYFUNCTION("""COMPUTED_VALUE"""),"4*Priya Joshi")</f>
        <v>4*Priya Joshi</v>
      </c>
      <c r="M725" s="14">
        <f>IFERROR(__xludf.DUMMYFUNCTION("SPLIT(L725,""*"")"),4.0)</f>
        <v>4</v>
      </c>
      <c r="N725" s="14" t="str">
        <f>IFERROR(__xludf.DUMMYFUNCTION("""COMPUTED_VALUE"""),"Priya Joshi")</f>
        <v>Priya Joshi</v>
      </c>
      <c r="O725" s="14" t="str">
        <f>IFERROR(__xludf.DUMMYFUNCTION("split(J725,""*"")"),"Cancelled")</f>
        <v>Cancelled</v>
      </c>
      <c r="P725" s="14" t="str">
        <f>IFERROR(__xludf.DUMMYFUNCTION("""COMPUTED_VALUE"""),"Delayed Delivery:Heavy Traffic")</f>
        <v>Delayed Delivery:Heavy Traffic</v>
      </c>
      <c r="Q725" s="14" t="str">
        <f>IFERROR(__xludf.DUMMYFUNCTION("split(P725,"":"")"),"Delayed Delivery")</f>
        <v>Delayed Delivery</v>
      </c>
      <c r="R725" s="14" t="str">
        <f>IFERROR(__xludf.DUMMYFUNCTION("""COMPUTED_VALUE"""),"Heavy Traffic")</f>
        <v>Heavy Traffic</v>
      </c>
      <c r="S725" s="14" t="str">
        <f t="shared" ref="S725:U725" si="1453">trim(B725)</f>
        <v>ord_10716</v>
      </c>
      <c r="T725" s="14" t="str">
        <f t="shared" si="1453"/>
        <v>Ishita Banerjee</v>
      </c>
      <c r="U725" s="14" t="str">
        <f t="shared" si="1453"/>
        <v>Juhu</v>
      </c>
      <c r="V725" s="14" t="str">
        <f t="shared" si="4"/>
        <v>Juice</v>
      </c>
      <c r="W725" s="14">
        <f t="shared" si="5"/>
        <v>4</v>
      </c>
      <c r="X725" s="14" t="str">
        <f t="shared" si="6"/>
        <v>Priya Joshi</v>
      </c>
      <c r="Y725" s="15">
        <f t="shared" si="7"/>
        <v>45276</v>
      </c>
      <c r="Z725" s="14" t="str">
        <f t="shared" si="8"/>
        <v>UPI</v>
      </c>
      <c r="AA725" s="14" t="str">
        <f t="shared" si="9"/>
        <v>Cancelled</v>
      </c>
      <c r="AB725" s="14" t="str">
        <f t="shared" ref="AB725:AC725" si="1454">trim(Q725)</f>
        <v>Delayed Delivery</v>
      </c>
      <c r="AC725" s="14" t="str">
        <f t="shared" si="1454"/>
        <v>Heavy Traffic</v>
      </c>
      <c r="AD725" s="8"/>
    </row>
    <row r="726">
      <c r="A726" s="14" t="str">
        <f>IFERROR(__xludf.DUMMYFUNCTION("""COMPUTED_VALUE"""),"//ord_10717//Tanishq Bansal//Powai//Chocolate Mousse+4*Sandeep Kumar/10/26/2023//Credit Card//Delivered*On-time Delivery: Delivered on time")</f>
        <v>//ord_10717//Tanishq Bansal//Powai//Chocolate Mousse+4*Sandeep Kumar/10/26/2023//Credit Card//Delivered*On-time Delivery: Delivered on time</v>
      </c>
      <c r="B726" s="14" t="str">
        <f>IFERROR(__xludf.DUMMYFUNCTION("split(A726,""//"")"),"ord_10717")</f>
        <v>ord_10717</v>
      </c>
      <c r="C726" s="14" t="str">
        <f>IFERROR(__xludf.DUMMYFUNCTION("""COMPUTED_VALUE"""),"Tanishq Bansal")</f>
        <v>Tanishq Bansal</v>
      </c>
      <c r="D726" s="14" t="str">
        <f>IFERROR(__xludf.DUMMYFUNCTION("""COMPUTED_VALUE"""),"Powai")</f>
        <v>Powai</v>
      </c>
      <c r="E726" s="14" t="str">
        <f>IFERROR(__xludf.DUMMYFUNCTION("""COMPUTED_VALUE"""),"Chocolate Mousse+4*Sandeep Kumar")</f>
        <v>Chocolate Mousse+4*Sandeep Kumar</v>
      </c>
      <c r="F726" s="14">
        <f>IFERROR(__xludf.DUMMYFUNCTION("""COMPUTED_VALUE"""),10.0)</f>
        <v>10</v>
      </c>
      <c r="G726" s="14">
        <f>IFERROR(__xludf.DUMMYFUNCTION("""COMPUTED_VALUE"""),26.0)</f>
        <v>26</v>
      </c>
      <c r="H726" s="14">
        <f>IFERROR(__xludf.DUMMYFUNCTION("""COMPUTED_VALUE"""),2023.0)</f>
        <v>2023</v>
      </c>
      <c r="I726" s="14" t="str">
        <f>IFERROR(__xludf.DUMMYFUNCTION("""COMPUTED_VALUE"""),"Credit Card")</f>
        <v>Credit Card</v>
      </c>
      <c r="J726" s="14" t="str">
        <f>IFERROR(__xludf.DUMMYFUNCTION("""COMPUTED_VALUE"""),"Delivered*On-time Delivery: Delivered on time")</f>
        <v>Delivered*On-time Delivery: Delivered on time</v>
      </c>
      <c r="K726" s="14" t="str">
        <f>IFERROR(__xludf.DUMMYFUNCTION("split(E726,""+"")"),"Chocolate Mousse")</f>
        <v>Chocolate Mousse</v>
      </c>
      <c r="L726" s="14" t="str">
        <f>IFERROR(__xludf.DUMMYFUNCTION("""COMPUTED_VALUE"""),"4*Sandeep Kumar")</f>
        <v>4*Sandeep Kumar</v>
      </c>
      <c r="M726" s="14">
        <f>IFERROR(__xludf.DUMMYFUNCTION("SPLIT(L726,""*"")"),4.0)</f>
        <v>4</v>
      </c>
      <c r="N726" s="14" t="str">
        <f>IFERROR(__xludf.DUMMYFUNCTION("""COMPUTED_VALUE"""),"Sandeep Kumar")</f>
        <v>Sandeep Kumar</v>
      </c>
      <c r="O726" s="14" t="str">
        <f>IFERROR(__xludf.DUMMYFUNCTION("split(J726,""*"")"),"Delivered")</f>
        <v>Delivered</v>
      </c>
      <c r="P726" s="14" t="str">
        <f>IFERROR(__xludf.DUMMYFUNCTION("""COMPUTED_VALUE"""),"On-time Delivery: Delivered on time")</f>
        <v>On-time Delivery: Delivered on time</v>
      </c>
      <c r="Q726" s="14" t="str">
        <f>IFERROR(__xludf.DUMMYFUNCTION("split(P726,"":"")"),"On-time Delivery")</f>
        <v>On-time Delivery</v>
      </c>
      <c r="R726" s="14" t="str">
        <f>IFERROR(__xludf.DUMMYFUNCTION("""COMPUTED_VALUE""")," Delivered on time")</f>
        <v> Delivered on time</v>
      </c>
      <c r="S726" s="14" t="str">
        <f t="shared" ref="S726:U726" si="1455">trim(B726)</f>
        <v>ord_10717</v>
      </c>
      <c r="T726" s="14" t="str">
        <f t="shared" si="1455"/>
        <v>Tanishq Bansal</v>
      </c>
      <c r="U726" s="14" t="str">
        <f t="shared" si="1455"/>
        <v>Powai</v>
      </c>
      <c r="V726" s="14" t="str">
        <f t="shared" si="4"/>
        <v>Chocolate Mousse</v>
      </c>
      <c r="W726" s="14">
        <f t="shared" si="5"/>
        <v>4</v>
      </c>
      <c r="X726" s="14" t="str">
        <f t="shared" si="6"/>
        <v>Sandeep Kumar</v>
      </c>
      <c r="Y726" s="15">
        <f t="shared" si="7"/>
        <v>45225</v>
      </c>
      <c r="Z726" s="14" t="str">
        <f t="shared" si="8"/>
        <v>Credit Card</v>
      </c>
      <c r="AA726" s="14" t="str">
        <f t="shared" si="9"/>
        <v>Delivered</v>
      </c>
      <c r="AB726" s="14" t="str">
        <f t="shared" ref="AB726:AC726" si="1456">trim(Q726)</f>
        <v>On-time Delivery</v>
      </c>
      <c r="AC726" s="14" t="str">
        <f t="shared" si="1456"/>
        <v>Delivered on time</v>
      </c>
      <c r="AD726" s="8"/>
    </row>
    <row r="727">
      <c r="A727" s="14" t="str">
        <f>IFERROR(__xludf.DUMMYFUNCTION("""COMPUTED_VALUE"""),"//ord_10718//Mohit Malhotra//Lower Parel//Chilli Cheese Toast+4*Kiran Mehta/12/29/2023//UPI//Delivered*Quality of Items: Perfect condition")</f>
        <v>//ord_10718//Mohit Malhotra//Lower Parel//Chilli Cheese Toast+4*Kiran Mehta/12/29/2023//UPI//Delivered*Quality of Items: Perfect condition</v>
      </c>
      <c r="B727" s="14" t="str">
        <f>IFERROR(__xludf.DUMMYFUNCTION("split(A727,""//"")"),"ord_10718")</f>
        <v>ord_10718</v>
      </c>
      <c r="C727" s="14" t="str">
        <f>IFERROR(__xludf.DUMMYFUNCTION("""COMPUTED_VALUE"""),"Mohit Malhotra")</f>
        <v>Mohit Malhotra</v>
      </c>
      <c r="D727" s="14" t="str">
        <f>IFERROR(__xludf.DUMMYFUNCTION("""COMPUTED_VALUE"""),"Lower Parel")</f>
        <v>Lower Parel</v>
      </c>
      <c r="E727" s="14" t="str">
        <f>IFERROR(__xludf.DUMMYFUNCTION("""COMPUTED_VALUE"""),"Chilli Cheese Toast+4*Kiran Mehta")</f>
        <v>Chilli Cheese Toast+4*Kiran Mehta</v>
      </c>
      <c r="F727" s="14">
        <f>IFERROR(__xludf.DUMMYFUNCTION("""COMPUTED_VALUE"""),12.0)</f>
        <v>12</v>
      </c>
      <c r="G727" s="14">
        <f>IFERROR(__xludf.DUMMYFUNCTION("""COMPUTED_VALUE"""),29.0)</f>
        <v>29</v>
      </c>
      <c r="H727" s="14">
        <f>IFERROR(__xludf.DUMMYFUNCTION("""COMPUTED_VALUE"""),2023.0)</f>
        <v>2023</v>
      </c>
      <c r="I727" s="14" t="str">
        <f>IFERROR(__xludf.DUMMYFUNCTION("""COMPUTED_VALUE"""),"UPI")</f>
        <v>UPI</v>
      </c>
      <c r="J727" s="14" t="str">
        <f>IFERROR(__xludf.DUMMYFUNCTION("""COMPUTED_VALUE"""),"Delivered*Quality of Items: Perfect condition")</f>
        <v>Delivered*Quality of Items: Perfect condition</v>
      </c>
      <c r="K727" s="14" t="str">
        <f>IFERROR(__xludf.DUMMYFUNCTION("split(E727,""+"")"),"Chilli Cheese Toast")</f>
        <v>Chilli Cheese Toast</v>
      </c>
      <c r="L727" s="14" t="str">
        <f>IFERROR(__xludf.DUMMYFUNCTION("""COMPUTED_VALUE"""),"4*Kiran Mehta")</f>
        <v>4*Kiran Mehta</v>
      </c>
      <c r="M727" s="14">
        <f>IFERROR(__xludf.DUMMYFUNCTION("SPLIT(L727,""*"")"),4.0)</f>
        <v>4</v>
      </c>
      <c r="N727" s="14" t="str">
        <f>IFERROR(__xludf.DUMMYFUNCTION("""COMPUTED_VALUE"""),"Kiran Mehta")</f>
        <v>Kiran Mehta</v>
      </c>
      <c r="O727" s="14" t="str">
        <f>IFERROR(__xludf.DUMMYFUNCTION("split(J727,""*"")"),"Delivered")</f>
        <v>Delivered</v>
      </c>
      <c r="P727" s="14" t="str">
        <f>IFERROR(__xludf.DUMMYFUNCTION("""COMPUTED_VALUE"""),"Quality of Items: Perfect condition")</f>
        <v>Quality of Items: Perfect condition</v>
      </c>
      <c r="Q727" s="14" t="str">
        <f>IFERROR(__xludf.DUMMYFUNCTION("split(P727,"":"")"),"Quality of Items")</f>
        <v>Quality of Items</v>
      </c>
      <c r="R727" s="14" t="str">
        <f>IFERROR(__xludf.DUMMYFUNCTION("""COMPUTED_VALUE""")," Perfect condition")</f>
        <v> Perfect condition</v>
      </c>
      <c r="S727" s="14" t="str">
        <f t="shared" ref="S727:U727" si="1457">trim(B727)</f>
        <v>ord_10718</v>
      </c>
      <c r="T727" s="14" t="str">
        <f t="shared" si="1457"/>
        <v>Mohit Malhotra</v>
      </c>
      <c r="U727" s="14" t="str">
        <f t="shared" si="1457"/>
        <v>Lower Parel</v>
      </c>
      <c r="V727" s="14" t="str">
        <f t="shared" si="4"/>
        <v>Chilli Cheese Toast</v>
      </c>
      <c r="W727" s="14">
        <f t="shared" si="5"/>
        <v>4</v>
      </c>
      <c r="X727" s="14" t="str">
        <f t="shared" si="6"/>
        <v>Kiran Mehta</v>
      </c>
      <c r="Y727" s="15">
        <f t="shared" si="7"/>
        <v>45289</v>
      </c>
      <c r="Z727" s="14" t="str">
        <f t="shared" si="8"/>
        <v>UPI</v>
      </c>
      <c r="AA727" s="14" t="str">
        <f t="shared" si="9"/>
        <v>Delivered</v>
      </c>
      <c r="AB727" s="14" t="str">
        <f t="shared" ref="AB727:AC727" si="1458">trim(Q727)</f>
        <v>Quality of Items</v>
      </c>
      <c r="AC727" s="14" t="str">
        <f t="shared" si="1458"/>
        <v>Perfect condition</v>
      </c>
      <c r="AD727" s="8"/>
    </row>
    <row r="728">
      <c r="A728" s="14" t="str">
        <f>IFERROR(__xludf.DUMMYFUNCTION("""COMPUTED_VALUE"""),"//ord_10719//Sakshi Tandon//Colaba//Chocolate Mousse+1*Nikhil Deshmukh/12/4/2023//UPI//Delivered*On-time Delivery: Delivered on time")</f>
        <v>//ord_10719//Sakshi Tandon//Colaba//Chocolate Mousse+1*Nikhil Deshmukh/12/4/2023//UPI//Delivered*On-time Delivery: Delivered on time</v>
      </c>
      <c r="B728" s="14" t="str">
        <f>IFERROR(__xludf.DUMMYFUNCTION("split(A728,""//"")"),"ord_10719")</f>
        <v>ord_10719</v>
      </c>
      <c r="C728" s="14" t="str">
        <f>IFERROR(__xludf.DUMMYFUNCTION("""COMPUTED_VALUE"""),"Sakshi Tandon")</f>
        <v>Sakshi Tandon</v>
      </c>
      <c r="D728" s="14" t="str">
        <f>IFERROR(__xludf.DUMMYFUNCTION("""COMPUTED_VALUE"""),"Colaba")</f>
        <v>Colaba</v>
      </c>
      <c r="E728" s="14" t="str">
        <f>IFERROR(__xludf.DUMMYFUNCTION("""COMPUTED_VALUE"""),"Chocolate Mousse+1*Nikhil Deshmukh")</f>
        <v>Chocolate Mousse+1*Nikhil Deshmukh</v>
      </c>
      <c r="F728" s="14">
        <f>IFERROR(__xludf.DUMMYFUNCTION("""COMPUTED_VALUE"""),12.0)</f>
        <v>12</v>
      </c>
      <c r="G728" s="14">
        <f>IFERROR(__xludf.DUMMYFUNCTION("""COMPUTED_VALUE"""),4.0)</f>
        <v>4</v>
      </c>
      <c r="H728" s="14">
        <f>IFERROR(__xludf.DUMMYFUNCTION("""COMPUTED_VALUE"""),2023.0)</f>
        <v>2023</v>
      </c>
      <c r="I728" s="14" t="str">
        <f>IFERROR(__xludf.DUMMYFUNCTION("""COMPUTED_VALUE"""),"UPI")</f>
        <v>UPI</v>
      </c>
      <c r="J728" s="14" t="str">
        <f>IFERROR(__xludf.DUMMYFUNCTION("""COMPUTED_VALUE"""),"Delivered*On-time Delivery: Delivered on time")</f>
        <v>Delivered*On-time Delivery: Delivered on time</v>
      </c>
      <c r="K728" s="14" t="str">
        <f>IFERROR(__xludf.DUMMYFUNCTION("split(E728,""+"")"),"Chocolate Mousse")</f>
        <v>Chocolate Mousse</v>
      </c>
      <c r="L728" s="14" t="str">
        <f>IFERROR(__xludf.DUMMYFUNCTION("""COMPUTED_VALUE"""),"1*Nikhil Deshmukh")</f>
        <v>1*Nikhil Deshmukh</v>
      </c>
      <c r="M728" s="14">
        <f>IFERROR(__xludf.DUMMYFUNCTION("SPLIT(L728,""*"")"),1.0)</f>
        <v>1</v>
      </c>
      <c r="N728" s="14" t="str">
        <f>IFERROR(__xludf.DUMMYFUNCTION("""COMPUTED_VALUE"""),"Nikhil Deshmukh")</f>
        <v>Nikhil Deshmukh</v>
      </c>
      <c r="O728" s="14" t="str">
        <f>IFERROR(__xludf.DUMMYFUNCTION("split(J728,""*"")"),"Delivered")</f>
        <v>Delivered</v>
      </c>
      <c r="P728" s="14" t="str">
        <f>IFERROR(__xludf.DUMMYFUNCTION("""COMPUTED_VALUE"""),"On-time Delivery: Delivered on time")</f>
        <v>On-time Delivery: Delivered on time</v>
      </c>
      <c r="Q728" s="14" t="str">
        <f>IFERROR(__xludf.DUMMYFUNCTION("split(P728,"":"")"),"On-time Delivery")</f>
        <v>On-time Delivery</v>
      </c>
      <c r="R728" s="14" t="str">
        <f>IFERROR(__xludf.DUMMYFUNCTION("""COMPUTED_VALUE""")," Delivered on time")</f>
        <v> Delivered on time</v>
      </c>
      <c r="S728" s="14" t="str">
        <f t="shared" ref="S728:U728" si="1459">trim(B728)</f>
        <v>ord_10719</v>
      </c>
      <c r="T728" s="14" t="str">
        <f t="shared" si="1459"/>
        <v>Sakshi Tandon</v>
      </c>
      <c r="U728" s="14" t="str">
        <f t="shared" si="1459"/>
        <v>Colaba</v>
      </c>
      <c r="V728" s="14" t="str">
        <f t="shared" si="4"/>
        <v>Chocolate Mousse</v>
      </c>
      <c r="W728" s="14">
        <f t="shared" si="5"/>
        <v>1</v>
      </c>
      <c r="X728" s="14" t="str">
        <f t="shared" si="6"/>
        <v>Nikhil Deshmukh</v>
      </c>
      <c r="Y728" s="15">
        <f t="shared" si="7"/>
        <v>45264</v>
      </c>
      <c r="Z728" s="14" t="str">
        <f t="shared" si="8"/>
        <v>UPI</v>
      </c>
      <c r="AA728" s="14" t="str">
        <f t="shared" si="9"/>
        <v>Delivered</v>
      </c>
      <c r="AB728" s="14" t="str">
        <f t="shared" ref="AB728:AC728" si="1460">trim(Q728)</f>
        <v>On-time Delivery</v>
      </c>
      <c r="AC728" s="14" t="str">
        <f t="shared" si="1460"/>
        <v>Delivered on time</v>
      </c>
      <c r="AD728" s="8"/>
    </row>
    <row r="729">
      <c r="A729" s="14" t="str">
        <f>IFERROR(__xludf.DUMMYFUNCTION("""COMPUTED_VALUE"""),"//ord_10720//Anaya Rao//Colaba//Cucumber+1*Nikhil Deshmukh/8/11/2023//Credit Card//Delivered*Quality of Items: Perfect condition")</f>
        <v>//ord_10720//Anaya Rao//Colaba//Cucumber+1*Nikhil Deshmukh/8/11/2023//Credit Card//Delivered*Quality of Items: Perfect condition</v>
      </c>
      <c r="B729" s="14" t="str">
        <f>IFERROR(__xludf.DUMMYFUNCTION("split(A729,""//"")"),"ord_10720")</f>
        <v>ord_10720</v>
      </c>
      <c r="C729" s="14" t="str">
        <f>IFERROR(__xludf.DUMMYFUNCTION("""COMPUTED_VALUE"""),"Anaya Rao")</f>
        <v>Anaya Rao</v>
      </c>
      <c r="D729" s="14" t="str">
        <f>IFERROR(__xludf.DUMMYFUNCTION("""COMPUTED_VALUE"""),"Colaba")</f>
        <v>Colaba</v>
      </c>
      <c r="E729" s="14" t="str">
        <f>IFERROR(__xludf.DUMMYFUNCTION("""COMPUTED_VALUE"""),"Cucumber+1*Nikhil Deshmukh")</f>
        <v>Cucumber+1*Nikhil Deshmukh</v>
      </c>
      <c r="F729" s="14">
        <f>IFERROR(__xludf.DUMMYFUNCTION("""COMPUTED_VALUE"""),8.0)</f>
        <v>8</v>
      </c>
      <c r="G729" s="14">
        <f>IFERROR(__xludf.DUMMYFUNCTION("""COMPUTED_VALUE"""),11.0)</f>
        <v>11</v>
      </c>
      <c r="H729" s="14">
        <f>IFERROR(__xludf.DUMMYFUNCTION("""COMPUTED_VALUE"""),2023.0)</f>
        <v>2023</v>
      </c>
      <c r="I729" s="14" t="str">
        <f>IFERROR(__xludf.DUMMYFUNCTION("""COMPUTED_VALUE"""),"Credit Card")</f>
        <v>Credit Card</v>
      </c>
      <c r="J729" s="14" t="str">
        <f>IFERROR(__xludf.DUMMYFUNCTION("""COMPUTED_VALUE"""),"Delivered*Quality of Items: Perfect condition")</f>
        <v>Delivered*Quality of Items: Perfect condition</v>
      </c>
      <c r="K729" s="14" t="str">
        <f>IFERROR(__xludf.DUMMYFUNCTION("split(E729,""+"")"),"Cucumber")</f>
        <v>Cucumber</v>
      </c>
      <c r="L729" s="14" t="str">
        <f>IFERROR(__xludf.DUMMYFUNCTION("""COMPUTED_VALUE"""),"1*Nikhil Deshmukh")</f>
        <v>1*Nikhil Deshmukh</v>
      </c>
      <c r="M729" s="14">
        <f>IFERROR(__xludf.DUMMYFUNCTION("SPLIT(L729,""*"")"),1.0)</f>
        <v>1</v>
      </c>
      <c r="N729" s="14" t="str">
        <f>IFERROR(__xludf.DUMMYFUNCTION("""COMPUTED_VALUE"""),"Nikhil Deshmukh")</f>
        <v>Nikhil Deshmukh</v>
      </c>
      <c r="O729" s="14" t="str">
        <f>IFERROR(__xludf.DUMMYFUNCTION("split(J729,""*"")"),"Delivered")</f>
        <v>Delivered</v>
      </c>
      <c r="P729" s="14" t="str">
        <f>IFERROR(__xludf.DUMMYFUNCTION("""COMPUTED_VALUE"""),"Quality of Items: Perfect condition")</f>
        <v>Quality of Items: Perfect condition</v>
      </c>
      <c r="Q729" s="14" t="str">
        <f>IFERROR(__xludf.DUMMYFUNCTION("split(P729,"":"")"),"Quality of Items")</f>
        <v>Quality of Items</v>
      </c>
      <c r="R729" s="14" t="str">
        <f>IFERROR(__xludf.DUMMYFUNCTION("""COMPUTED_VALUE""")," Perfect condition")</f>
        <v> Perfect condition</v>
      </c>
      <c r="S729" s="14" t="str">
        <f t="shared" ref="S729:U729" si="1461">trim(B729)</f>
        <v>ord_10720</v>
      </c>
      <c r="T729" s="14" t="str">
        <f t="shared" si="1461"/>
        <v>Anaya Rao</v>
      </c>
      <c r="U729" s="14" t="str">
        <f t="shared" si="1461"/>
        <v>Colaba</v>
      </c>
      <c r="V729" s="14" t="str">
        <f t="shared" si="4"/>
        <v>Cucumber</v>
      </c>
      <c r="W729" s="14">
        <f t="shared" si="5"/>
        <v>1</v>
      </c>
      <c r="X729" s="14" t="str">
        <f t="shared" si="6"/>
        <v>Nikhil Deshmukh</v>
      </c>
      <c r="Y729" s="15">
        <f t="shared" si="7"/>
        <v>45149</v>
      </c>
      <c r="Z729" s="14" t="str">
        <f t="shared" si="8"/>
        <v>Credit Card</v>
      </c>
      <c r="AA729" s="14" t="str">
        <f t="shared" si="9"/>
        <v>Delivered</v>
      </c>
      <c r="AB729" s="14" t="str">
        <f t="shared" ref="AB729:AC729" si="1462">trim(Q729)</f>
        <v>Quality of Items</v>
      </c>
      <c r="AC729" s="14" t="str">
        <f t="shared" si="1462"/>
        <v>Perfect condition</v>
      </c>
      <c r="AD729" s="8"/>
    </row>
    <row r="730">
      <c r="A730" s="14" t="str">
        <f>IFERROR(__xludf.DUMMYFUNCTION("""COMPUTED_VALUE"""),"//ord_10721//Dev Chauhan//Bandra//Juice+4*Priya Joshi/3/29/2023//UPI//Delivered*Packaging: Secure and intact")</f>
        <v>//ord_10721//Dev Chauhan//Bandra//Juice+4*Priya Joshi/3/29/2023//UPI//Delivered*Packaging: Secure and intact</v>
      </c>
      <c r="B730" s="14" t="str">
        <f>IFERROR(__xludf.DUMMYFUNCTION("split(A730,""//"")"),"ord_10721")</f>
        <v>ord_10721</v>
      </c>
      <c r="C730" s="14" t="str">
        <f>IFERROR(__xludf.DUMMYFUNCTION("""COMPUTED_VALUE"""),"Dev Chauhan")</f>
        <v>Dev Chauhan</v>
      </c>
      <c r="D730" s="14" t="str">
        <f>IFERROR(__xludf.DUMMYFUNCTION("""COMPUTED_VALUE"""),"Bandra")</f>
        <v>Bandra</v>
      </c>
      <c r="E730" s="14" t="str">
        <f>IFERROR(__xludf.DUMMYFUNCTION("""COMPUTED_VALUE"""),"Juice+4*Priya Joshi")</f>
        <v>Juice+4*Priya Joshi</v>
      </c>
      <c r="F730" s="14">
        <f>IFERROR(__xludf.DUMMYFUNCTION("""COMPUTED_VALUE"""),3.0)</f>
        <v>3</v>
      </c>
      <c r="G730" s="14">
        <f>IFERROR(__xludf.DUMMYFUNCTION("""COMPUTED_VALUE"""),29.0)</f>
        <v>29</v>
      </c>
      <c r="H730" s="14">
        <f>IFERROR(__xludf.DUMMYFUNCTION("""COMPUTED_VALUE"""),2023.0)</f>
        <v>2023</v>
      </c>
      <c r="I730" s="14" t="str">
        <f>IFERROR(__xludf.DUMMYFUNCTION("""COMPUTED_VALUE"""),"UPI")</f>
        <v>UPI</v>
      </c>
      <c r="J730" s="14" t="str">
        <f>IFERROR(__xludf.DUMMYFUNCTION("""COMPUTED_VALUE"""),"Delivered*Packaging: Secure and intact")</f>
        <v>Delivered*Packaging: Secure and intact</v>
      </c>
      <c r="K730" s="14" t="str">
        <f>IFERROR(__xludf.DUMMYFUNCTION("split(E730,""+"")"),"Juice")</f>
        <v>Juice</v>
      </c>
      <c r="L730" s="14" t="str">
        <f>IFERROR(__xludf.DUMMYFUNCTION("""COMPUTED_VALUE"""),"4*Priya Joshi")</f>
        <v>4*Priya Joshi</v>
      </c>
      <c r="M730" s="14">
        <f>IFERROR(__xludf.DUMMYFUNCTION("SPLIT(L730,""*"")"),4.0)</f>
        <v>4</v>
      </c>
      <c r="N730" s="14" t="str">
        <f>IFERROR(__xludf.DUMMYFUNCTION("""COMPUTED_VALUE"""),"Priya Joshi")</f>
        <v>Priya Joshi</v>
      </c>
      <c r="O730" s="14" t="str">
        <f>IFERROR(__xludf.DUMMYFUNCTION("split(J730,""*"")"),"Delivered")</f>
        <v>Delivered</v>
      </c>
      <c r="P730" s="14" t="str">
        <f>IFERROR(__xludf.DUMMYFUNCTION("""COMPUTED_VALUE"""),"Packaging: Secure and intact")</f>
        <v>Packaging: Secure and intact</v>
      </c>
      <c r="Q730" s="14" t="str">
        <f>IFERROR(__xludf.DUMMYFUNCTION("split(P730,"":"")"),"Packaging")</f>
        <v>Packaging</v>
      </c>
      <c r="R730" s="14" t="str">
        <f>IFERROR(__xludf.DUMMYFUNCTION("""COMPUTED_VALUE""")," Secure and intact")</f>
        <v> Secure and intact</v>
      </c>
      <c r="S730" s="14" t="str">
        <f t="shared" ref="S730:U730" si="1463">trim(B730)</f>
        <v>ord_10721</v>
      </c>
      <c r="T730" s="14" t="str">
        <f t="shared" si="1463"/>
        <v>Dev Chauhan</v>
      </c>
      <c r="U730" s="14" t="str">
        <f t="shared" si="1463"/>
        <v>Bandra</v>
      </c>
      <c r="V730" s="14" t="str">
        <f t="shared" si="4"/>
        <v>Juice</v>
      </c>
      <c r="W730" s="14">
        <f t="shared" si="5"/>
        <v>4</v>
      </c>
      <c r="X730" s="14" t="str">
        <f t="shared" si="6"/>
        <v>Priya Joshi</v>
      </c>
      <c r="Y730" s="15">
        <f t="shared" si="7"/>
        <v>45014</v>
      </c>
      <c r="Z730" s="14" t="str">
        <f t="shared" si="8"/>
        <v>UPI</v>
      </c>
      <c r="AA730" s="14" t="str">
        <f t="shared" si="9"/>
        <v>Delivered</v>
      </c>
      <c r="AB730" s="14" t="str">
        <f t="shared" ref="AB730:AC730" si="1464">trim(Q730)</f>
        <v>Packaging</v>
      </c>
      <c r="AC730" s="14" t="str">
        <f t="shared" si="1464"/>
        <v>Secure and intact</v>
      </c>
      <c r="AD730" s="8"/>
    </row>
    <row r="731">
      <c r="A731" s="14" t="str">
        <f>IFERROR(__xludf.DUMMYFUNCTION("""COMPUTED_VALUE"""),"//ord_10722//Ishaan Chaturvedi//Bandra//Rasmalai+4*Not Assigned/3/16/2023//Credit Card//Cancelled*High Delivery Fees")</f>
        <v>//ord_10722//Ishaan Chaturvedi//Bandra//Rasmalai+4*Not Assigned/3/16/2023//Credit Card//Cancelled*High Delivery Fees</v>
      </c>
      <c r="B731" s="14" t="str">
        <f>IFERROR(__xludf.DUMMYFUNCTION("split(A731,""//"")"),"ord_10722")</f>
        <v>ord_10722</v>
      </c>
      <c r="C731" s="14" t="str">
        <f>IFERROR(__xludf.DUMMYFUNCTION("""COMPUTED_VALUE"""),"Ishaan Chaturvedi")</f>
        <v>Ishaan Chaturvedi</v>
      </c>
      <c r="D731" s="14" t="str">
        <f>IFERROR(__xludf.DUMMYFUNCTION("""COMPUTED_VALUE"""),"Bandra")</f>
        <v>Bandra</v>
      </c>
      <c r="E731" s="14" t="str">
        <f>IFERROR(__xludf.DUMMYFUNCTION("""COMPUTED_VALUE"""),"Rasmalai+4*Not Assigned")</f>
        <v>Rasmalai+4*Not Assigned</v>
      </c>
      <c r="F731" s="14">
        <f>IFERROR(__xludf.DUMMYFUNCTION("""COMPUTED_VALUE"""),3.0)</f>
        <v>3</v>
      </c>
      <c r="G731" s="14">
        <f>IFERROR(__xludf.DUMMYFUNCTION("""COMPUTED_VALUE"""),16.0)</f>
        <v>16</v>
      </c>
      <c r="H731" s="14">
        <f>IFERROR(__xludf.DUMMYFUNCTION("""COMPUTED_VALUE"""),2023.0)</f>
        <v>2023</v>
      </c>
      <c r="I731" s="14" t="str">
        <f>IFERROR(__xludf.DUMMYFUNCTION("""COMPUTED_VALUE"""),"Credit Card")</f>
        <v>Credit Card</v>
      </c>
      <c r="J731" s="14" t="str">
        <f>IFERROR(__xludf.DUMMYFUNCTION("""COMPUTED_VALUE"""),"Cancelled*High Delivery Fees")</f>
        <v>Cancelled*High Delivery Fees</v>
      </c>
      <c r="K731" s="14" t="str">
        <f>IFERROR(__xludf.DUMMYFUNCTION("split(E731,""+"")"),"Rasmalai")</f>
        <v>Rasmalai</v>
      </c>
      <c r="L731" s="14" t="str">
        <f>IFERROR(__xludf.DUMMYFUNCTION("""COMPUTED_VALUE"""),"4*Not Assigned")</f>
        <v>4*Not Assigned</v>
      </c>
      <c r="M731" s="14">
        <f>IFERROR(__xludf.DUMMYFUNCTION("SPLIT(L731,""*"")"),4.0)</f>
        <v>4</v>
      </c>
      <c r="N731" s="14" t="str">
        <f>IFERROR(__xludf.DUMMYFUNCTION("""COMPUTED_VALUE"""),"Not Assigned")</f>
        <v>Not Assigned</v>
      </c>
      <c r="O731" s="14" t="str">
        <f>IFERROR(__xludf.DUMMYFUNCTION("split(J731,""*"")"),"Cancelled")</f>
        <v>Cancelled</v>
      </c>
      <c r="P731" s="14" t="str">
        <f>IFERROR(__xludf.DUMMYFUNCTION("""COMPUTED_VALUE"""),"High Delivery Fees")</f>
        <v>High Delivery Fees</v>
      </c>
      <c r="Q731" s="14" t="str">
        <f>IFERROR(__xludf.DUMMYFUNCTION("split(P731,"":"")"),"High Delivery Fees")</f>
        <v>High Delivery Fees</v>
      </c>
      <c r="R731" s="14"/>
      <c r="S731" s="14" t="str">
        <f t="shared" ref="S731:U731" si="1465">trim(B731)</f>
        <v>ord_10722</v>
      </c>
      <c r="T731" s="14" t="str">
        <f t="shared" si="1465"/>
        <v>Ishaan Chaturvedi</v>
      </c>
      <c r="U731" s="14" t="str">
        <f t="shared" si="1465"/>
        <v>Bandra</v>
      </c>
      <c r="V731" s="14" t="str">
        <f t="shared" si="4"/>
        <v>Rasmalai</v>
      </c>
      <c r="W731" s="14">
        <f t="shared" si="5"/>
        <v>4</v>
      </c>
      <c r="X731" s="14" t="str">
        <f t="shared" si="6"/>
        <v>Not Assigned</v>
      </c>
      <c r="Y731" s="15">
        <f t="shared" si="7"/>
        <v>45001</v>
      </c>
      <c r="Z731" s="14" t="str">
        <f t="shared" si="8"/>
        <v>Credit Card</v>
      </c>
      <c r="AA731" s="14" t="str">
        <f t="shared" si="9"/>
        <v>Cancelled</v>
      </c>
      <c r="AB731" s="14" t="str">
        <f t="shared" ref="AB731:AC731" si="1466">trim(Q731)</f>
        <v>High Delivery Fees</v>
      </c>
      <c r="AC731" s="14" t="str">
        <f t="shared" si="1466"/>
        <v/>
      </c>
      <c r="AD731" s="8"/>
    </row>
    <row r="732">
      <c r="A732" s="14" t="str">
        <f>IFERROR(__xludf.DUMMYFUNCTION("""COMPUTED_VALUE"""),"//ord_10723//Mohit Malhotra//Lower Parel//Potato+1*Not Assigned/10/7/2023//UPI//Cancelled*App Glitches:Slow Loading Time")</f>
        <v>//ord_10723//Mohit Malhotra//Lower Parel//Potato+1*Not Assigned/10/7/2023//UPI//Cancelled*App Glitches:Slow Loading Time</v>
      </c>
      <c r="B732" s="14" t="str">
        <f>IFERROR(__xludf.DUMMYFUNCTION("split(A732,""//"")"),"ord_10723")</f>
        <v>ord_10723</v>
      </c>
      <c r="C732" s="14" t="str">
        <f>IFERROR(__xludf.DUMMYFUNCTION("""COMPUTED_VALUE"""),"Mohit Malhotra")</f>
        <v>Mohit Malhotra</v>
      </c>
      <c r="D732" s="14" t="str">
        <f>IFERROR(__xludf.DUMMYFUNCTION("""COMPUTED_VALUE"""),"Lower Parel")</f>
        <v>Lower Parel</v>
      </c>
      <c r="E732" s="14" t="str">
        <f>IFERROR(__xludf.DUMMYFUNCTION("""COMPUTED_VALUE"""),"Potato+1*Not Assigned")</f>
        <v>Potato+1*Not Assigned</v>
      </c>
      <c r="F732" s="14">
        <f>IFERROR(__xludf.DUMMYFUNCTION("""COMPUTED_VALUE"""),10.0)</f>
        <v>10</v>
      </c>
      <c r="G732" s="14">
        <f>IFERROR(__xludf.DUMMYFUNCTION("""COMPUTED_VALUE"""),7.0)</f>
        <v>7</v>
      </c>
      <c r="H732" s="14">
        <f>IFERROR(__xludf.DUMMYFUNCTION("""COMPUTED_VALUE"""),2023.0)</f>
        <v>2023</v>
      </c>
      <c r="I732" s="14" t="str">
        <f>IFERROR(__xludf.DUMMYFUNCTION("""COMPUTED_VALUE"""),"UPI")</f>
        <v>UPI</v>
      </c>
      <c r="J732" s="14" t="str">
        <f>IFERROR(__xludf.DUMMYFUNCTION("""COMPUTED_VALUE"""),"Cancelled*App Glitches:Slow Loading Time")</f>
        <v>Cancelled*App Glitches:Slow Loading Time</v>
      </c>
      <c r="K732" s="14" t="str">
        <f>IFERROR(__xludf.DUMMYFUNCTION("split(E732,""+"")"),"Potato")</f>
        <v>Potato</v>
      </c>
      <c r="L732" s="14" t="str">
        <f>IFERROR(__xludf.DUMMYFUNCTION("""COMPUTED_VALUE"""),"1*Not Assigned")</f>
        <v>1*Not Assigned</v>
      </c>
      <c r="M732" s="14">
        <f>IFERROR(__xludf.DUMMYFUNCTION("SPLIT(L732,""*"")"),1.0)</f>
        <v>1</v>
      </c>
      <c r="N732" s="14" t="str">
        <f>IFERROR(__xludf.DUMMYFUNCTION("""COMPUTED_VALUE"""),"Not Assigned")</f>
        <v>Not Assigned</v>
      </c>
      <c r="O732" s="14" t="str">
        <f>IFERROR(__xludf.DUMMYFUNCTION("split(J732,""*"")"),"Cancelled")</f>
        <v>Cancelled</v>
      </c>
      <c r="P732" s="14" t="str">
        <f>IFERROR(__xludf.DUMMYFUNCTION("""COMPUTED_VALUE"""),"App Glitches:Slow Loading Time")</f>
        <v>App Glitches:Slow Loading Time</v>
      </c>
      <c r="Q732" s="14" t="str">
        <f>IFERROR(__xludf.DUMMYFUNCTION("split(P732,"":"")"),"App Glitches")</f>
        <v>App Glitches</v>
      </c>
      <c r="R732" s="14" t="str">
        <f>IFERROR(__xludf.DUMMYFUNCTION("""COMPUTED_VALUE"""),"Slow Loading Time")</f>
        <v>Slow Loading Time</v>
      </c>
      <c r="S732" s="14" t="str">
        <f t="shared" ref="S732:U732" si="1467">trim(B732)</f>
        <v>ord_10723</v>
      </c>
      <c r="T732" s="14" t="str">
        <f t="shared" si="1467"/>
        <v>Mohit Malhotra</v>
      </c>
      <c r="U732" s="14" t="str">
        <f t="shared" si="1467"/>
        <v>Lower Parel</v>
      </c>
      <c r="V732" s="14" t="str">
        <f t="shared" si="4"/>
        <v>Potato</v>
      </c>
      <c r="W732" s="14">
        <f t="shared" si="5"/>
        <v>1</v>
      </c>
      <c r="X732" s="14" t="str">
        <f t="shared" si="6"/>
        <v>Not Assigned</v>
      </c>
      <c r="Y732" s="15">
        <f t="shared" si="7"/>
        <v>45206</v>
      </c>
      <c r="Z732" s="14" t="str">
        <f t="shared" si="8"/>
        <v>UPI</v>
      </c>
      <c r="AA732" s="14" t="str">
        <f t="shared" si="9"/>
        <v>Cancelled</v>
      </c>
      <c r="AB732" s="14" t="str">
        <f t="shared" ref="AB732:AC732" si="1468">trim(Q732)</f>
        <v>App Glitches</v>
      </c>
      <c r="AC732" s="14" t="str">
        <f t="shared" si="1468"/>
        <v>Slow Loading Time</v>
      </c>
      <c r="AD732" s="8"/>
    </row>
    <row r="733">
      <c r="A733" s="14" t="str">
        <f>IFERROR(__xludf.DUMMYFUNCTION("""COMPUTED_VALUE"""),"//ord_10724//Pranav Joshi//Andheri//Banana+1*Not Assigned/10/16/2023//Online Payment//Cancelled*App Glitches: Payment Button Malfunction")</f>
        <v>//ord_10724//Pranav Joshi//Andheri//Banana+1*Not Assigned/10/16/2023//Online Payment//Cancelled*App Glitches: Payment Button Malfunction</v>
      </c>
      <c r="B733" s="14" t="str">
        <f>IFERROR(__xludf.DUMMYFUNCTION("split(A733,""//"")"),"ord_10724")</f>
        <v>ord_10724</v>
      </c>
      <c r="C733" s="14" t="str">
        <f>IFERROR(__xludf.DUMMYFUNCTION("""COMPUTED_VALUE"""),"Pranav Joshi")</f>
        <v>Pranav Joshi</v>
      </c>
      <c r="D733" s="14" t="str">
        <f>IFERROR(__xludf.DUMMYFUNCTION("""COMPUTED_VALUE"""),"Andheri")</f>
        <v>Andheri</v>
      </c>
      <c r="E733" s="14" t="str">
        <f>IFERROR(__xludf.DUMMYFUNCTION("""COMPUTED_VALUE"""),"Banana+1*Not Assigned")</f>
        <v>Banana+1*Not Assigned</v>
      </c>
      <c r="F733" s="14">
        <f>IFERROR(__xludf.DUMMYFUNCTION("""COMPUTED_VALUE"""),10.0)</f>
        <v>10</v>
      </c>
      <c r="G733" s="14">
        <f>IFERROR(__xludf.DUMMYFUNCTION("""COMPUTED_VALUE"""),16.0)</f>
        <v>16</v>
      </c>
      <c r="H733" s="14">
        <f>IFERROR(__xludf.DUMMYFUNCTION("""COMPUTED_VALUE"""),2023.0)</f>
        <v>2023</v>
      </c>
      <c r="I733" s="14" t="str">
        <f>IFERROR(__xludf.DUMMYFUNCTION("""COMPUTED_VALUE"""),"Online Payment")</f>
        <v>Online Payment</v>
      </c>
      <c r="J733" s="14" t="str">
        <f>IFERROR(__xludf.DUMMYFUNCTION("""COMPUTED_VALUE"""),"Cancelled*App Glitches: Payment Button Malfunction")</f>
        <v>Cancelled*App Glitches: Payment Button Malfunction</v>
      </c>
      <c r="K733" s="14" t="str">
        <f>IFERROR(__xludf.DUMMYFUNCTION("split(E733,""+"")"),"Banana")</f>
        <v>Banana</v>
      </c>
      <c r="L733" s="14" t="str">
        <f>IFERROR(__xludf.DUMMYFUNCTION("""COMPUTED_VALUE"""),"1*Not Assigned")</f>
        <v>1*Not Assigned</v>
      </c>
      <c r="M733" s="14">
        <f>IFERROR(__xludf.DUMMYFUNCTION("SPLIT(L733,""*"")"),1.0)</f>
        <v>1</v>
      </c>
      <c r="N733" s="14" t="str">
        <f>IFERROR(__xludf.DUMMYFUNCTION("""COMPUTED_VALUE"""),"Not Assigned")</f>
        <v>Not Assigned</v>
      </c>
      <c r="O733" s="14" t="str">
        <f>IFERROR(__xludf.DUMMYFUNCTION("split(J733,""*"")"),"Cancelled")</f>
        <v>Cancelled</v>
      </c>
      <c r="P733" s="14" t="str">
        <f>IFERROR(__xludf.DUMMYFUNCTION("""COMPUTED_VALUE"""),"App Glitches: Payment Button Malfunction")</f>
        <v>App Glitches: Payment Button Malfunction</v>
      </c>
      <c r="Q733" s="14" t="str">
        <f>IFERROR(__xludf.DUMMYFUNCTION("split(P733,"":"")"),"App Glitches")</f>
        <v>App Glitches</v>
      </c>
      <c r="R733" s="14" t="str">
        <f>IFERROR(__xludf.DUMMYFUNCTION("""COMPUTED_VALUE""")," Payment Button Malfunction")</f>
        <v> Payment Button Malfunction</v>
      </c>
      <c r="S733" s="14" t="str">
        <f t="shared" ref="S733:U733" si="1469">trim(B733)</f>
        <v>ord_10724</v>
      </c>
      <c r="T733" s="14" t="str">
        <f t="shared" si="1469"/>
        <v>Pranav Joshi</v>
      </c>
      <c r="U733" s="14" t="str">
        <f t="shared" si="1469"/>
        <v>Andheri</v>
      </c>
      <c r="V733" s="14" t="str">
        <f t="shared" si="4"/>
        <v>Banana</v>
      </c>
      <c r="W733" s="14">
        <f t="shared" si="5"/>
        <v>1</v>
      </c>
      <c r="X733" s="14" t="str">
        <f t="shared" si="6"/>
        <v>Not Assigned</v>
      </c>
      <c r="Y733" s="15">
        <f t="shared" si="7"/>
        <v>45215</v>
      </c>
      <c r="Z733" s="14" t="str">
        <f t="shared" si="8"/>
        <v>Online Payment</v>
      </c>
      <c r="AA733" s="14" t="str">
        <f t="shared" si="9"/>
        <v>Cancelled</v>
      </c>
      <c r="AB733" s="14" t="str">
        <f t="shared" ref="AB733:AC733" si="1470">trim(Q733)</f>
        <v>App Glitches</v>
      </c>
      <c r="AC733" s="14" t="str">
        <f t="shared" si="1470"/>
        <v>Payment Button Malfunction</v>
      </c>
      <c r="AD733" s="8"/>
    </row>
    <row r="734">
      <c r="A734" s="14" t="str">
        <f>IFERROR(__xludf.DUMMYFUNCTION("""COMPUTED_VALUE"""),"//ord_10725//Mohit Malhotra//Lower Parel//Tomato+1*Sita T/9/25/2023//Online Payment//Delivered*Satisfied with the Delivery: Timely and quality")</f>
        <v>//ord_10725//Mohit Malhotra//Lower Parel//Tomato+1*Sita T/9/25/2023//Online Payment//Delivered*Satisfied with the Delivery: Timely and quality</v>
      </c>
      <c r="B734" s="14" t="str">
        <f>IFERROR(__xludf.DUMMYFUNCTION("split(A734,""//"")"),"ord_10725")</f>
        <v>ord_10725</v>
      </c>
      <c r="C734" s="14" t="str">
        <f>IFERROR(__xludf.DUMMYFUNCTION("""COMPUTED_VALUE"""),"Mohit Malhotra")</f>
        <v>Mohit Malhotra</v>
      </c>
      <c r="D734" s="14" t="str">
        <f>IFERROR(__xludf.DUMMYFUNCTION("""COMPUTED_VALUE"""),"Lower Parel")</f>
        <v>Lower Parel</v>
      </c>
      <c r="E734" s="14" t="str">
        <f>IFERROR(__xludf.DUMMYFUNCTION("""COMPUTED_VALUE"""),"Tomato+1*Sita T")</f>
        <v>Tomato+1*Sita T</v>
      </c>
      <c r="F734" s="14">
        <f>IFERROR(__xludf.DUMMYFUNCTION("""COMPUTED_VALUE"""),9.0)</f>
        <v>9</v>
      </c>
      <c r="G734" s="14">
        <f>IFERROR(__xludf.DUMMYFUNCTION("""COMPUTED_VALUE"""),25.0)</f>
        <v>25</v>
      </c>
      <c r="H734" s="14">
        <f>IFERROR(__xludf.DUMMYFUNCTION("""COMPUTED_VALUE"""),2023.0)</f>
        <v>2023</v>
      </c>
      <c r="I734" s="14" t="str">
        <f>IFERROR(__xludf.DUMMYFUNCTION("""COMPUTED_VALUE"""),"Online Payment")</f>
        <v>Online Payment</v>
      </c>
      <c r="J734" s="14" t="str">
        <f>IFERROR(__xludf.DUMMYFUNCTION("""COMPUTED_VALUE"""),"Delivered*Satisfied with the Delivery: Timely and quality")</f>
        <v>Delivered*Satisfied with the Delivery: Timely and quality</v>
      </c>
      <c r="K734" s="14" t="str">
        <f>IFERROR(__xludf.DUMMYFUNCTION("split(E734,""+"")"),"Tomato")</f>
        <v>Tomato</v>
      </c>
      <c r="L734" s="14" t="str">
        <f>IFERROR(__xludf.DUMMYFUNCTION("""COMPUTED_VALUE"""),"1*Sita T")</f>
        <v>1*Sita T</v>
      </c>
      <c r="M734" s="14">
        <f>IFERROR(__xludf.DUMMYFUNCTION("SPLIT(L734,""*"")"),1.0)</f>
        <v>1</v>
      </c>
      <c r="N734" s="14" t="str">
        <f>IFERROR(__xludf.DUMMYFUNCTION("""COMPUTED_VALUE"""),"Sita T")</f>
        <v>Sita T</v>
      </c>
      <c r="O734" s="14" t="str">
        <f>IFERROR(__xludf.DUMMYFUNCTION("split(J734,""*"")"),"Delivered")</f>
        <v>Delivered</v>
      </c>
      <c r="P734" s="14" t="str">
        <f>IFERROR(__xludf.DUMMYFUNCTION("""COMPUTED_VALUE"""),"Satisfied with the Delivery: Timely and quality")</f>
        <v>Satisfied with the Delivery: Timely and quality</v>
      </c>
      <c r="Q734" s="14" t="str">
        <f>IFERROR(__xludf.DUMMYFUNCTION("split(P734,"":"")"),"Satisfied with the Delivery")</f>
        <v>Satisfied with the Delivery</v>
      </c>
      <c r="R734" s="14" t="str">
        <f>IFERROR(__xludf.DUMMYFUNCTION("""COMPUTED_VALUE""")," Timely and quality")</f>
        <v> Timely and quality</v>
      </c>
      <c r="S734" s="14" t="str">
        <f t="shared" ref="S734:U734" si="1471">trim(B734)</f>
        <v>ord_10725</v>
      </c>
      <c r="T734" s="14" t="str">
        <f t="shared" si="1471"/>
        <v>Mohit Malhotra</v>
      </c>
      <c r="U734" s="14" t="str">
        <f t="shared" si="1471"/>
        <v>Lower Parel</v>
      </c>
      <c r="V734" s="14" t="str">
        <f t="shared" si="4"/>
        <v>Tomato</v>
      </c>
      <c r="W734" s="14">
        <f t="shared" si="5"/>
        <v>1</v>
      </c>
      <c r="X734" s="14" t="str">
        <f t="shared" si="6"/>
        <v>Sita T</v>
      </c>
      <c r="Y734" s="15">
        <f t="shared" si="7"/>
        <v>45194</v>
      </c>
      <c r="Z734" s="14" t="str">
        <f t="shared" si="8"/>
        <v>Online Payment</v>
      </c>
      <c r="AA734" s="14" t="str">
        <f t="shared" si="9"/>
        <v>Delivered</v>
      </c>
      <c r="AB734" s="14" t="str">
        <f t="shared" ref="AB734:AC734" si="1472">trim(Q734)</f>
        <v>Satisfied with the Delivery</v>
      </c>
      <c r="AC734" s="14" t="str">
        <f t="shared" si="1472"/>
        <v>Timely and quality</v>
      </c>
      <c r="AD734" s="8"/>
    </row>
    <row r="735">
      <c r="A735" s="14" t="str">
        <f>IFERROR(__xludf.DUMMYFUNCTION("""COMPUTED_VALUE"""),"//ord_10726//Kritika Shetty//Malad//Juice+5*Not Assigned/6/16/2023//Online Payment//Cancelled*App Glitches: Inconsistent Data Display")</f>
        <v>//ord_10726//Kritika Shetty//Malad//Juice+5*Not Assigned/6/16/2023//Online Payment//Cancelled*App Glitches: Inconsistent Data Display</v>
      </c>
      <c r="B735" s="14" t="str">
        <f>IFERROR(__xludf.DUMMYFUNCTION("split(A735,""//"")"),"ord_10726")</f>
        <v>ord_10726</v>
      </c>
      <c r="C735" s="14" t="str">
        <f>IFERROR(__xludf.DUMMYFUNCTION("""COMPUTED_VALUE"""),"Kritika Shetty")</f>
        <v>Kritika Shetty</v>
      </c>
      <c r="D735" s="14" t="str">
        <f>IFERROR(__xludf.DUMMYFUNCTION("""COMPUTED_VALUE"""),"Malad")</f>
        <v>Malad</v>
      </c>
      <c r="E735" s="14" t="str">
        <f>IFERROR(__xludf.DUMMYFUNCTION("""COMPUTED_VALUE"""),"Juice+5*Not Assigned")</f>
        <v>Juice+5*Not Assigned</v>
      </c>
      <c r="F735" s="14">
        <f>IFERROR(__xludf.DUMMYFUNCTION("""COMPUTED_VALUE"""),6.0)</f>
        <v>6</v>
      </c>
      <c r="G735" s="14">
        <f>IFERROR(__xludf.DUMMYFUNCTION("""COMPUTED_VALUE"""),16.0)</f>
        <v>16</v>
      </c>
      <c r="H735" s="14">
        <f>IFERROR(__xludf.DUMMYFUNCTION("""COMPUTED_VALUE"""),2023.0)</f>
        <v>2023</v>
      </c>
      <c r="I735" s="14" t="str">
        <f>IFERROR(__xludf.DUMMYFUNCTION("""COMPUTED_VALUE"""),"Online Payment")</f>
        <v>Online Payment</v>
      </c>
      <c r="J735" s="14" t="str">
        <f>IFERROR(__xludf.DUMMYFUNCTION("""COMPUTED_VALUE"""),"Cancelled*App Glitches: Inconsistent Data Display")</f>
        <v>Cancelled*App Glitches: Inconsistent Data Display</v>
      </c>
      <c r="K735" s="14" t="str">
        <f>IFERROR(__xludf.DUMMYFUNCTION("split(E735,""+"")"),"Juice")</f>
        <v>Juice</v>
      </c>
      <c r="L735" s="14" t="str">
        <f>IFERROR(__xludf.DUMMYFUNCTION("""COMPUTED_VALUE"""),"5*Not Assigned")</f>
        <v>5*Not Assigned</v>
      </c>
      <c r="M735" s="14">
        <f>IFERROR(__xludf.DUMMYFUNCTION("SPLIT(L735,""*"")"),5.0)</f>
        <v>5</v>
      </c>
      <c r="N735" s="14" t="str">
        <f>IFERROR(__xludf.DUMMYFUNCTION("""COMPUTED_VALUE"""),"Not Assigned")</f>
        <v>Not Assigned</v>
      </c>
      <c r="O735" s="14" t="str">
        <f>IFERROR(__xludf.DUMMYFUNCTION("split(J735,""*"")"),"Cancelled")</f>
        <v>Cancelled</v>
      </c>
      <c r="P735" s="14" t="str">
        <f>IFERROR(__xludf.DUMMYFUNCTION("""COMPUTED_VALUE"""),"App Glitches: Inconsistent Data Display")</f>
        <v>App Glitches: Inconsistent Data Display</v>
      </c>
      <c r="Q735" s="14" t="str">
        <f>IFERROR(__xludf.DUMMYFUNCTION("split(P735,"":"")"),"App Glitches")</f>
        <v>App Glitches</v>
      </c>
      <c r="R735" s="14" t="str">
        <f>IFERROR(__xludf.DUMMYFUNCTION("""COMPUTED_VALUE""")," Inconsistent Data Display")</f>
        <v> Inconsistent Data Display</v>
      </c>
      <c r="S735" s="14" t="str">
        <f t="shared" ref="S735:U735" si="1473">trim(B735)</f>
        <v>ord_10726</v>
      </c>
      <c r="T735" s="14" t="str">
        <f t="shared" si="1473"/>
        <v>Kritika Shetty</v>
      </c>
      <c r="U735" s="14" t="str">
        <f t="shared" si="1473"/>
        <v>Malad</v>
      </c>
      <c r="V735" s="14" t="str">
        <f t="shared" si="4"/>
        <v>Juice</v>
      </c>
      <c r="W735" s="14">
        <f t="shared" si="5"/>
        <v>5</v>
      </c>
      <c r="X735" s="14" t="str">
        <f t="shared" si="6"/>
        <v>Not Assigned</v>
      </c>
      <c r="Y735" s="15">
        <f t="shared" si="7"/>
        <v>45093</v>
      </c>
      <c r="Z735" s="14" t="str">
        <f t="shared" si="8"/>
        <v>Online Payment</v>
      </c>
      <c r="AA735" s="14" t="str">
        <f t="shared" si="9"/>
        <v>Cancelled</v>
      </c>
      <c r="AB735" s="14" t="str">
        <f t="shared" ref="AB735:AC735" si="1474">trim(Q735)</f>
        <v>App Glitches</v>
      </c>
      <c r="AC735" s="14" t="str">
        <f t="shared" si="1474"/>
        <v>Inconsistent Data Display</v>
      </c>
      <c r="AD735" s="8"/>
    </row>
    <row r="736">
      <c r="A736" s="14" t="str">
        <f>IFERROR(__xludf.DUMMYFUNCTION("""COMPUTED_VALUE"""),"//ord_10727//Pallavi Ghosh//Bandra//Tomato+2*Not Assigned/2/28/2023//Credit Card//Cancelled*Payment Issues")</f>
        <v>//ord_10727//Pallavi Ghosh//Bandra//Tomato+2*Not Assigned/2/28/2023//Credit Card//Cancelled*Payment Issues</v>
      </c>
      <c r="B736" s="14" t="str">
        <f>IFERROR(__xludf.DUMMYFUNCTION("split(A736,""//"")"),"ord_10727")</f>
        <v>ord_10727</v>
      </c>
      <c r="C736" s="14" t="str">
        <f>IFERROR(__xludf.DUMMYFUNCTION("""COMPUTED_VALUE"""),"Pallavi Ghosh")</f>
        <v>Pallavi Ghosh</v>
      </c>
      <c r="D736" s="14" t="str">
        <f>IFERROR(__xludf.DUMMYFUNCTION("""COMPUTED_VALUE"""),"Bandra")</f>
        <v>Bandra</v>
      </c>
      <c r="E736" s="14" t="str">
        <f>IFERROR(__xludf.DUMMYFUNCTION("""COMPUTED_VALUE"""),"Tomato+2*Not Assigned")</f>
        <v>Tomato+2*Not Assigned</v>
      </c>
      <c r="F736" s="14">
        <f>IFERROR(__xludf.DUMMYFUNCTION("""COMPUTED_VALUE"""),2.0)</f>
        <v>2</v>
      </c>
      <c r="G736" s="14">
        <f>IFERROR(__xludf.DUMMYFUNCTION("""COMPUTED_VALUE"""),28.0)</f>
        <v>28</v>
      </c>
      <c r="H736" s="14">
        <f>IFERROR(__xludf.DUMMYFUNCTION("""COMPUTED_VALUE"""),2023.0)</f>
        <v>2023</v>
      </c>
      <c r="I736" s="14" t="str">
        <f>IFERROR(__xludf.DUMMYFUNCTION("""COMPUTED_VALUE"""),"Credit Card")</f>
        <v>Credit Card</v>
      </c>
      <c r="J736" s="14" t="str">
        <f>IFERROR(__xludf.DUMMYFUNCTION("""COMPUTED_VALUE"""),"Cancelled*Payment Issues")</f>
        <v>Cancelled*Payment Issues</v>
      </c>
      <c r="K736" s="14" t="str">
        <f>IFERROR(__xludf.DUMMYFUNCTION("split(E736,""+"")"),"Tomato")</f>
        <v>Tomato</v>
      </c>
      <c r="L736" s="14" t="str">
        <f>IFERROR(__xludf.DUMMYFUNCTION("""COMPUTED_VALUE"""),"2*Not Assigned")</f>
        <v>2*Not Assigned</v>
      </c>
      <c r="M736" s="14">
        <f>IFERROR(__xludf.DUMMYFUNCTION("SPLIT(L736,""*"")"),2.0)</f>
        <v>2</v>
      </c>
      <c r="N736" s="14" t="str">
        <f>IFERROR(__xludf.DUMMYFUNCTION("""COMPUTED_VALUE"""),"Not Assigned")</f>
        <v>Not Assigned</v>
      </c>
      <c r="O736" s="14" t="str">
        <f>IFERROR(__xludf.DUMMYFUNCTION("split(J736,""*"")"),"Cancelled")</f>
        <v>Cancelled</v>
      </c>
      <c r="P736" s="14" t="str">
        <f>IFERROR(__xludf.DUMMYFUNCTION("""COMPUTED_VALUE"""),"Payment Issues")</f>
        <v>Payment Issues</v>
      </c>
      <c r="Q736" s="14" t="str">
        <f>IFERROR(__xludf.DUMMYFUNCTION("split(P736,"":"")"),"Payment Issues")</f>
        <v>Payment Issues</v>
      </c>
      <c r="R736" s="14"/>
      <c r="S736" s="14" t="str">
        <f t="shared" ref="S736:U736" si="1475">trim(B736)</f>
        <v>ord_10727</v>
      </c>
      <c r="T736" s="14" t="str">
        <f t="shared" si="1475"/>
        <v>Pallavi Ghosh</v>
      </c>
      <c r="U736" s="14" t="str">
        <f t="shared" si="1475"/>
        <v>Bandra</v>
      </c>
      <c r="V736" s="14" t="str">
        <f t="shared" si="4"/>
        <v>Tomato</v>
      </c>
      <c r="W736" s="14">
        <f t="shared" si="5"/>
        <v>2</v>
      </c>
      <c r="X736" s="14" t="str">
        <f t="shared" si="6"/>
        <v>Not Assigned</v>
      </c>
      <c r="Y736" s="15">
        <f t="shared" si="7"/>
        <v>44985</v>
      </c>
      <c r="Z736" s="14" t="str">
        <f t="shared" si="8"/>
        <v>Credit Card</v>
      </c>
      <c r="AA736" s="14" t="str">
        <f t="shared" si="9"/>
        <v>Cancelled</v>
      </c>
      <c r="AB736" s="14" t="str">
        <f t="shared" ref="AB736:AC736" si="1476">trim(Q736)</f>
        <v>Payment Issues</v>
      </c>
      <c r="AC736" s="14" t="str">
        <f t="shared" si="1476"/>
        <v/>
      </c>
      <c r="AD736" s="8"/>
    </row>
    <row r="737">
      <c r="A737" s="14" t="str">
        <f>IFERROR(__xludf.DUMMYFUNCTION("""COMPUTED_VALUE"""),"//ord_10728//Tanishq Bansal//Powai//Sweet Corn+1*Vivek Kumar/10/23/2023//UPI//Delivered*Customer Service: Seamless and easy")</f>
        <v>//ord_10728//Tanishq Bansal//Powai//Sweet Corn+1*Vivek Kumar/10/23/2023//UPI//Delivered*Customer Service: Seamless and easy</v>
      </c>
      <c r="B737" s="14" t="str">
        <f>IFERROR(__xludf.DUMMYFUNCTION("split(A737,""//"")"),"ord_10728")</f>
        <v>ord_10728</v>
      </c>
      <c r="C737" s="14" t="str">
        <f>IFERROR(__xludf.DUMMYFUNCTION("""COMPUTED_VALUE"""),"Tanishq Bansal")</f>
        <v>Tanishq Bansal</v>
      </c>
      <c r="D737" s="14" t="str">
        <f>IFERROR(__xludf.DUMMYFUNCTION("""COMPUTED_VALUE"""),"Powai")</f>
        <v>Powai</v>
      </c>
      <c r="E737" s="14" t="str">
        <f>IFERROR(__xludf.DUMMYFUNCTION("""COMPUTED_VALUE"""),"Sweet Corn+1*Vivek Kumar")</f>
        <v>Sweet Corn+1*Vivek Kumar</v>
      </c>
      <c r="F737" s="14">
        <f>IFERROR(__xludf.DUMMYFUNCTION("""COMPUTED_VALUE"""),10.0)</f>
        <v>10</v>
      </c>
      <c r="G737" s="14">
        <f>IFERROR(__xludf.DUMMYFUNCTION("""COMPUTED_VALUE"""),23.0)</f>
        <v>23</v>
      </c>
      <c r="H737" s="14">
        <f>IFERROR(__xludf.DUMMYFUNCTION("""COMPUTED_VALUE"""),2023.0)</f>
        <v>2023</v>
      </c>
      <c r="I737" s="14" t="str">
        <f>IFERROR(__xludf.DUMMYFUNCTION("""COMPUTED_VALUE"""),"UPI")</f>
        <v>UPI</v>
      </c>
      <c r="J737" s="14" t="str">
        <f>IFERROR(__xludf.DUMMYFUNCTION("""COMPUTED_VALUE"""),"Delivered*Customer Service: Seamless and easy")</f>
        <v>Delivered*Customer Service: Seamless and easy</v>
      </c>
      <c r="K737" s="14" t="str">
        <f>IFERROR(__xludf.DUMMYFUNCTION("split(E737,""+"")"),"Sweet Corn")</f>
        <v>Sweet Corn</v>
      </c>
      <c r="L737" s="14" t="str">
        <f>IFERROR(__xludf.DUMMYFUNCTION("""COMPUTED_VALUE"""),"1*Vivek Kumar")</f>
        <v>1*Vivek Kumar</v>
      </c>
      <c r="M737" s="14">
        <f>IFERROR(__xludf.DUMMYFUNCTION("SPLIT(L737,""*"")"),1.0)</f>
        <v>1</v>
      </c>
      <c r="N737" s="14" t="str">
        <f>IFERROR(__xludf.DUMMYFUNCTION("""COMPUTED_VALUE"""),"Vivek Kumar")</f>
        <v>Vivek Kumar</v>
      </c>
      <c r="O737" s="14" t="str">
        <f>IFERROR(__xludf.DUMMYFUNCTION("split(J737,""*"")"),"Delivered")</f>
        <v>Delivered</v>
      </c>
      <c r="P737" s="14" t="str">
        <f>IFERROR(__xludf.DUMMYFUNCTION("""COMPUTED_VALUE"""),"Customer Service: Seamless and easy")</f>
        <v>Customer Service: Seamless and easy</v>
      </c>
      <c r="Q737" s="14" t="str">
        <f>IFERROR(__xludf.DUMMYFUNCTION("split(P737,"":"")"),"Customer Service")</f>
        <v>Customer Service</v>
      </c>
      <c r="R737" s="14" t="str">
        <f>IFERROR(__xludf.DUMMYFUNCTION("""COMPUTED_VALUE""")," Seamless and easy")</f>
        <v> Seamless and easy</v>
      </c>
      <c r="S737" s="14" t="str">
        <f t="shared" ref="S737:U737" si="1477">trim(B737)</f>
        <v>ord_10728</v>
      </c>
      <c r="T737" s="14" t="str">
        <f t="shared" si="1477"/>
        <v>Tanishq Bansal</v>
      </c>
      <c r="U737" s="14" t="str">
        <f t="shared" si="1477"/>
        <v>Powai</v>
      </c>
      <c r="V737" s="14" t="str">
        <f t="shared" si="4"/>
        <v>Sweet Corn</v>
      </c>
      <c r="W737" s="14">
        <f t="shared" si="5"/>
        <v>1</v>
      </c>
      <c r="X737" s="14" t="str">
        <f t="shared" si="6"/>
        <v>Vivek Kumar</v>
      </c>
      <c r="Y737" s="15">
        <f t="shared" si="7"/>
        <v>45222</v>
      </c>
      <c r="Z737" s="14" t="str">
        <f t="shared" si="8"/>
        <v>UPI</v>
      </c>
      <c r="AA737" s="14" t="str">
        <f t="shared" si="9"/>
        <v>Delivered</v>
      </c>
      <c r="AB737" s="14" t="str">
        <f t="shared" ref="AB737:AC737" si="1478">trim(Q737)</f>
        <v>Customer Service</v>
      </c>
      <c r="AC737" s="14" t="str">
        <f t="shared" si="1478"/>
        <v>Seamless and easy</v>
      </c>
      <c r="AD737" s="8"/>
    </row>
    <row r="738">
      <c r="A738" s="14" t="str">
        <f>IFERROR(__xludf.DUMMYFUNCTION("""COMPUTED_VALUE"""),"//ord_10729//Siya Reddy//Juhu//Popcorn+1*Not Assigned/10/21/2023//UPI//Cancelled*App Glitches:Slow Loading Time")</f>
        <v>//ord_10729//Siya Reddy//Juhu//Popcorn+1*Not Assigned/10/21/2023//UPI//Cancelled*App Glitches:Slow Loading Time</v>
      </c>
      <c r="B738" s="14" t="str">
        <f>IFERROR(__xludf.DUMMYFUNCTION("split(A738,""//"")"),"ord_10729")</f>
        <v>ord_10729</v>
      </c>
      <c r="C738" s="14" t="str">
        <f>IFERROR(__xludf.DUMMYFUNCTION("""COMPUTED_VALUE"""),"Siya Reddy")</f>
        <v>Siya Reddy</v>
      </c>
      <c r="D738" s="14" t="str">
        <f>IFERROR(__xludf.DUMMYFUNCTION("""COMPUTED_VALUE"""),"Juhu")</f>
        <v>Juhu</v>
      </c>
      <c r="E738" s="14" t="str">
        <f>IFERROR(__xludf.DUMMYFUNCTION("""COMPUTED_VALUE"""),"Popcorn+1*Not Assigned")</f>
        <v>Popcorn+1*Not Assigned</v>
      </c>
      <c r="F738" s="14">
        <f>IFERROR(__xludf.DUMMYFUNCTION("""COMPUTED_VALUE"""),10.0)</f>
        <v>10</v>
      </c>
      <c r="G738" s="14">
        <f>IFERROR(__xludf.DUMMYFUNCTION("""COMPUTED_VALUE"""),21.0)</f>
        <v>21</v>
      </c>
      <c r="H738" s="14">
        <f>IFERROR(__xludf.DUMMYFUNCTION("""COMPUTED_VALUE"""),2023.0)</f>
        <v>2023</v>
      </c>
      <c r="I738" s="14" t="str">
        <f>IFERROR(__xludf.DUMMYFUNCTION("""COMPUTED_VALUE"""),"UPI")</f>
        <v>UPI</v>
      </c>
      <c r="J738" s="14" t="str">
        <f>IFERROR(__xludf.DUMMYFUNCTION("""COMPUTED_VALUE"""),"Cancelled*App Glitches:Slow Loading Time")</f>
        <v>Cancelled*App Glitches:Slow Loading Time</v>
      </c>
      <c r="K738" s="14" t="str">
        <f>IFERROR(__xludf.DUMMYFUNCTION("split(E738,""+"")"),"Popcorn")</f>
        <v>Popcorn</v>
      </c>
      <c r="L738" s="14" t="str">
        <f>IFERROR(__xludf.DUMMYFUNCTION("""COMPUTED_VALUE"""),"1*Not Assigned")</f>
        <v>1*Not Assigned</v>
      </c>
      <c r="M738" s="14">
        <f>IFERROR(__xludf.DUMMYFUNCTION("SPLIT(L738,""*"")"),1.0)</f>
        <v>1</v>
      </c>
      <c r="N738" s="14" t="str">
        <f>IFERROR(__xludf.DUMMYFUNCTION("""COMPUTED_VALUE"""),"Not Assigned")</f>
        <v>Not Assigned</v>
      </c>
      <c r="O738" s="14" t="str">
        <f>IFERROR(__xludf.DUMMYFUNCTION("split(J738,""*"")"),"Cancelled")</f>
        <v>Cancelled</v>
      </c>
      <c r="P738" s="14" t="str">
        <f>IFERROR(__xludf.DUMMYFUNCTION("""COMPUTED_VALUE"""),"App Glitches:Slow Loading Time")</f>
        <v>App Glitches:Slow Loading Time</v>
      </c>
      <c r="Q738" s="14" t="str">
        <f>IFERROR(__xludf.DUMMYFUNCTION("split(P738,"":"")"),"App Glitches")</f>
        <v>App Glitches</v>
      </c>
      <c r="R738" s="14" t="str">
        <f>IFERROR(__xludf.DUMMYFUNCTION("""COMPUTED_VALUE"""),"Slow Loading Time")</f>
        <v>Slow Loading Time</v>
      </c>
      <c r="S738" s="14" t="str">
        <f t="shared" ref="S738:U738" si="1479">trim(B738)</f>
        <v>ord_10729</v>
      </c>
      <c r="T738" s="14" t="str">
        <f t="shared" si="1479"/>
        <v>Siya Reddy</v>
      </c>
      <c r="U738" s="14" t="str">
        <f t="shared" si="1479"/>
        <v>Juhu</v>
      </c>
      <c r="V738" s="14" t="str">
        <f t="shared" si="4"/>
        <v>Popcorn</v>
      </c>
      <c r="W738" s="14">
        <f t="shared" si="5"/>
        <v>1</v>
      </c>
      <c r="X738" s="14" t="str">
        <f t="shared" si="6"/>
        <v>Not Assigned</v>
      </c>
      <c r="Y738" s="15">
        <f t="shared" si="7"/>
        <v>45220</v>
      </c>
      <c r="Z738" s="14" t="str">
        <f t="shared" si="8"/>
        <v>UPI</v>
      </c>
      <c r="AA738" s="14" t="str">
        <f t="shared" si="9"/>
        <v>Cancelled</v>
      </c>
      <c r="AB738" s="14" t="str">
        <f t="shared" ref="AB738:AC738" si="1480">trim(Q738)</f>
        <v>App Glitches</v>
      </c>
      <c r="AC738" s="14" t="str">
        <f t="shared" si="1480"/>
        <v>Slow Loading Time</v>
      </c>
      <c r="AD738" s="8"/>
    </row>
    <row r="739">
      <c r="A739" s="14" t="str">
        <f>IFERROR(__xludf.DUMMYFUNCTION("""COMPUTED_VALUE"""),"//ord_10730//Aarohi Kapoor//Bandra//Apple+2*Ramesh S/10/23/2023//UPI//Delivered*Delivery Experience: Quick and professional")</f>
        <v>//ord_10730//Aarohi Kapoor//Bandra//Apple+2*Ramesh S/10/23/2023//UPI//Delivered*Delivery Experience: Quick and professional</v>
      </c>
      <c r="B739" s="14" t="str">
        <f>IFERROR(__xludf.DUMMYFUNCTION("split(A739,""//"")"),"ord_10730")</f>
        <v>ord_10730</v>
      </c>
      <c r="C739" s="14" t="str">
        <f>IFERROR(__xludf.DUMMYFUNCTION("""COMPUTED_VALUE"""),"Aarohi Kapoor")</f>
        <v>Aarohi Kapoor</v>
      </c>
      <c r="D739" s="14" t="str">
        <f>IFERROR(__xludf.DUMMYFUNCTION("""COMPUTED_VALUE"""),"Bandra")</f>
        <v>Bandra</v>
      </c>
      <c r="E739" s="14" t="str">
        <f>IFERROR(__xludf.DUMMYFUNCTION("""COMPUTED_VALUE"""),"Apple+2*Ramesh S")</f>
        <v>Apple+2*Ramesh S</v>
      </c>
      <c r="F739" s="14">
        <f>IFERROR(__xludf.DUMMYFUNCTION("""COMPUTED_VALUE"""),10.0)</f>
        <v>10</v>
      </c>
      <c r="G739" s="14">
        <f>IFERROR(__xludf.DUMMYFUNCTION("""COMPUTED_VALUE"""),23.0)</f>
        <v>23</v>
      </c>
      <c r="H739" s="14">
        <f>IFERROR(__xludf.DUMMYFUNCTION("""COMPUTED_VALUE"""),2023.0)</f>
        <v>2023</v>
      </c>
      <c r="I739" s="14" t="str">
        <f>IFERROR(__xludf.DUMMYFUNCTION("""COMPUTED_VALUE"""),"UPI")</f>
        <v>UPI</v>
      </c>
      <c r="J739" s="14" t="str">
        <f>IFERROR(__xludf.DUMMYFUNCTION("""COMPUTED_VALUE"""),"Delivered*Delivery Experience: Quick and professional")</f>
        <v>Delivered*Delivery Experience: Quick and professional</v>
      </c>
      <c r="K739" s="14" t="str">
        <f>IFERROR(__xludf.DUMMYFUNCTION("split(E739,""+"")"),"Apple")</f>
        <v>Apple</v>
      </c>
      <c r="L739" s="14" t="str">
        <f>IFERROR(__xludf.DUMMYFUNCTION("""COMPUTED_VALUE"""),"2*Ramesh S")</f>
        <v>2*Ramesh S</v>
      </c>
      <c r="M739" s="14">
        <f>IFERROR(__xludf.DUMMYFUNCTION("SPLIT(L739,""*"")"),2.0)</f>
        <v>2</v>
      </c>
      <c r="N739" s="14" t="str">
        <f>IFERROR(__xludf.DUMMYFUNCTION("""COMPUTED_VALUE"""),"Ramesh S")</f>
        <v>Ramesh S</v>
      </c>
      <c r="O739" s="14" t="str">
        <f>IFERROR(__xludf.DUMMYFUNCTION("split(J739,""*"")"),"Delivered")</f>
        <v>Delivered</v>
      </c>
      <c r="P739" s="14" t="str">
        <f>IFERROR(__xludf.DUMMYFUNCTION("""COMPUTED_VALUE"""),"Delivery Experience: Quick and professional")</f>
        <v>Delivery Experience: Quick and professional</v>
      </c>
      <c r="Q739" s="14" t="str">
        <f>IFERROR(__xludf.DUMMYFUNCTION("split(P739,"":"")"),"Delivery Experience")</f>
        <v>Delivery Experience</v>
      </c>
      <c r="R739" s="14" t="str">
        <f>IFERROR(__xludf.DUMMYFUNCTION("""COMPUTED_VALUE""")," Quick and professional")</f>
        <v> Quick and professional</v>
      </c>
      <c r="S739" s="14" t="str">
        <f t="shared" ref="S739:U739" si="1481">trim(B739)</f>
        <v>ord_10730</v>
      </c>
      <c r="T739" s="14" t="str">
        <f t="shared" si="1481"/>
        <v>Aarohi Kapoor</v>
      </c>
      <c r="U739" s="14" t="str">
        <f t="shared" si="1481"/>
        <v>Bandra</v>
      </c>
      <c r="V739" s="14" t="str">
        <f t="shared" si="4"/>
        <v>Apple</v>
      </c>
      <c r="W739" s="14">
        <f t="shared" si="5"/>
        <v>2</v>
      </c>
      <c r="X739" s="14" t="str">
        <f t="shared" si="6"/>
        <v>Ramesh S</v>
      </c>
      <c r="Y739" s="15">
        <f t="shared" si="7"/>
        <v>45222</v>
      </c>
      <c r="Z739" s="14" t="str">
        <f t="shared" si="8"/>
        <v>UPI</v>
      </c>
      <c r="AA739" s="14" t="str">
        <f t="shared" si="9"/>
        <v>Delivered</v>
      </c>
      <c r="AB739" s="14" t="str">
        <f t="shared" ref="AB739:AC739" si="1482">trim(Q739)</f>
        <v>Delivery Experience</v>
      </c>
      <c r="AC739" s="14" t="str">
        <f t="shared" si="1482"/>
        <v>Quick and professional</v>
      </c>
      <c r="AD739" s="8"/>
    </row>
    <row r="740">
      <c r="A740" s="14" t="str">
        <f>IFERROR(__xludf.DUMMYFUNCTION("""COMPUTED_VALUE"""),"//ord_10731//Siya Reddy//Juhu//Guava+2*Vivek Kumar/6/8/2023//UPI//Cancelled*Delayed Delivery:Heavy Traffic")</f>
        <v>//ord_10731//Siya Reddy//Juhu//Guava+2*Vivek Kumar/6/8/2023//UPI//Cancelled*Delayed Delivery:Heavy Traffic</v>
      </c>
      <c r="B740" s="14" t="str">
        <f>IFERROR(__xludf.DUMMYFUNCTION("split(A740,""//"")"),"ord_10731")</f>
        <v>ord_10731</v>
      </c>
      <c r="C740" s="14" t="str">
        <f>IFERROR(__xludf.DUMMYFUNCTION("""COMPUTED_VALUE"""),"Siya Reddy")</f>
        <v>Siya Reddy</v>
      </c>
      <c r="D740" s="14" t="str">
        <f>IFERROR(__xludf.DUMMYFUNCTION("""COMPUTED_VALUE"""),"Juhu")</f>
        <v>Juhu</v>
      </c>
      <c r="E740" s="14" t="str">
        <f>IFERROR(__xludf.DUMMYFUNCTION("""COMPUTED_VALUE"""),"Guava+2*Vivek Kumar")</f>
        <v>Guava+2*Vivek Kumar</v>
      </c>
      <c r="F740" s="14">
        <f>IFERROR(__xludf.DUMMYFUNCTION("""COMPUTED_VALUE"""),6.0)</f>
        <v>6</v>
      </c>
      <c r="G740" s="14">
        <f>IFERROR(__xludf.DUMMYFUNCTION("""COMPUTED_VALUE"""),8.0)</f>
        <v>8</v>
      </c>
      <c r="H740" s="14">
        <f>IFERROR(__xludf.DUMMYFUNCTION("""COMPUTED_VALUE"""),2023.0)</f>
        <v>2023</v>
      </c>
      <c r="I740" s="14" t="str">
        <f>IFERROR(__xludf.DUMMYFUNCTION("""COMPUTED_VALUE"""),"UPI")</f>
        <v>UPI</v>
      </c>
      <c r="J740" s="14" t="str">
        <f>IFERROR(__xludf.DUMMYFUNCTION("""COMPUTED_VALUE"""),"Cancelled*Delayed Delivery:Heavy Traffic")</f>
        <v>Cancelled*Delayed Delivery:Heavy Traffic</v>
      </c>
      <c r="K740" s="14" t="str">
        <f>IFERROR(__xludf.DUMMYFUNCTION("split(E740,""+"")"),"Guava")</f>
        <v>Guava</v>
      </c>
      <c r="L740" s="14" t="str">
        <f>IFERROR(__xludf.DUMMYFUNCTION("""COMPUTED_VALUE"""),"2*Vivek Kumar")</f>
        <v>2*Vivek Kumar</v>
      </c>
      <c r="M740" s="14">
        <f>IFERROR(__xludf.DUMMYFUNCTION("SPLIT(L740,""*"")"),2.0)</f>
        <v>2</v>
      </c>
      <c r="N740" s="14" t="str">
        <f>IFERROR(__xludf.DUMMYFUNCTION("""COMPUTED_VALUE"""),"Vivek Kumar")</f>
        <v>Vivek Kumar</v>
      </c>
      <c r="O740" s="14" t="str">
        <f>IFERROR(__xludf.DUMMYFUNCTION("split(J740,""*"")"),"Cancelled")</f>
        <v>Cancelled</v>
      </c>
      <c r="P740" s="14" t="str">
        <f>IFERROR(__xludf.DUMMYFUNCTION("""COMPUTED_VALUE"""),"Delayed Delivery:Heavy Traffic")</f>
        <v>Delayed Delivery:Heavy Traffic</v>
      </c>
      <c r="Q740" s="14" t="str">
        <f>IFERROR(__xludf.DUMMYFUNCTION("split(P740,"":"")"),"Delayed Delivery")</f>
        <v>Delayed Delivery</v>
      </c>
      <c r="R740" s="14" t="str">
        <f>IFERROR(__xludf.DUMMYFUNCTION("""COMPUTED_VALUE"""),"Heavy Traffic")</f>
        <v>Heavy Traffic</v>
      </c>
      <c r="S740" s="14" t="str">
        <f t="shared" ref="S740:U740" si="1483">trim(B740)</f>
        <v>ord_10731</v>
      </c>
      <c r="T740" s="14" t="str">
        <f t="shared" si="1483"/>
        <v>Siya Reddy</v>
      </c>
      <c r="U740" s="14" t="str">
        <f t="shared" si="1483"/>
        <v>Juhu</v>
      </c>
      <c r="V740" s="14" t="str">
        <f t="shared" si="4"/>
        <v>Guava</v>
      </c>
      <c r="W740" s="14">
        <f t="shared" si="5"/>
        <v>2</v>
      </c>
      <c r="X740" s="14" t="str">
        <f t="shared" si="6"/>
        <v>Vivek Kumar</v>
      </c>
      <c r="Y740" s="15">
        <f t="shared" si="7"/>
        <v>45085</v>
      </c>
      <c r="Z740" s="14" t="str">
        <f t="shared" si="8"/>
        <v>UPI</v>
      </c>
      <c r="AA740" s="14" t="str">
        <f t="shared" si="9"/>
        <v>Cancelled</v>
      </c>
      <c r="AB740" s="14" t="str">
        <f t="shared" ref="AB740:AC740" si="1484">trim(Q740)</f>
        <v>Delayed Delivery</v>
      </c>
      <c r="AC740" s="14" t="str">
        <f t="shared" si="1484"/>
        <v>Heavy Traffic</v>
      </c>
      <c r="AD740" s="8"/>
    </row>
    <row r="741">
      <c r="A741" s="14" t="str">
        <f>IFERROR(__xludf.DUMMYFUNCTION("""COMPUTED_VALUE"""),"//ord_10732//Mohit Malhotra//Lower Parel//Onion+1*Ramesh S/2/18/2023//UPI//Delivered*Convenience: Easy tracking")</f>
        <v>//ord_10732//Mohit Malhotra//Lower Parel//Onion+1*Ramesh S/2/18/2023//UPI//Delivered*Convenience: Easy tracking</v>
      </c>
      <c r="B741" s="14" t="str">
        <f>IFERROR(__xludf.DUMMYFUNCTION("split(A741,""//"")"),"ord_10732")</f>
        <v>ord_10732</v>
      </c>
      <c r="C741" s="14" t="str">
        <f>IFERROR(__xludf.DUMMYFUNCTION("""COMPUTED_VALUE"""),"Mohit Malhotra")</f>
        <v>Mohit Malhotra</v>
      </c>
      <c r="D741" s="14" t="str">
        <f>IFERROR(__xludf.DUMMYFUNCTION("""COMPUTED_VALUE"""),"Lower Parel")</f>
        <v>Lower Parel</v>
      </c>
      <c r="E741" s="14" t="str">
        <f>IFERROR(__xludf.DUMMYFUNCTION("""COMPUTED_VALUE"""),"Onion+1*Ramesh S")</f>
        <v>Onion+1*Ramesh S</v>
      </c>
      <c r="F741" s="14">
        <f>IFERROR(__xludf.DUMMYFUNCTION("""COMPUTED_VALUE"""),2.0)</f>
        <v>2</v>
      </c>
      <c r="G741" s="14">
        <f>IFERROR(__xludf.DUMMYFUNCTION("""COMPUTED_VALUE"""),18.0)</f>
        <v>18</v>
      </c>
      <c r="H741" s="14">
        <f>IFERROR(__xludf.DUMMYFUNCTION("""COMPUTED_VALUE"""),2023.0)</f>
        <v>2023</v>
      </c>
      <c r="I741" s="14" t="str">
        <f>IFERROR(__xludf.DUMMYFUNCTION("""COMPUTED_VALUE"""),"UPI")</f>
        <v>UPI</v>
      </c>
      <c r="J741" s="14" t="str">
        <f>IFERROR(__xludf.DUMMYFUNCTION("""COMPUTED_VALUE"""),"Delivered*Convenience: Easy tracking")</f>
        <v>Delivered*Convenience: Easy tracking</v>
      </c>
      <c r="K741" s="14" t="str">
        <f>IFERROR(__xludf.DUMMYFUNCTION("split(E741,""+"")"),"Onion")</f>
        <v>Onion</v>
      </c>
      <c r="L741" s="14" t="str">
        <f>IFERROR(__xludf.DUMMYFUNCTION("""COMPUTED_VALUE"""),"1*Ramesh S")</f>
        <v>1*Ramesh S</v>
      </c>
      <c r="M741" s="14">
        <f>IFERROR(__xludf.DUMMYFUNCTION("SPLIT(L741,""*"")"),1.0)</f>
        <v>1</v>
      </c>
      <c r="N741" s="14" t="str">
        <f>IFERROR(__xludf.DUMMYFUNCTION("""COMPUTED_VALUE"""),"Ramesh S")</f>
        <v>Ramesh S</v>
      </c>
      <c r="O741" s="14" t="str">
        <f>IFERROR(__xludf.DUMMYFUNCTION("split(J741,""*"")"),"Delivered")</f>
        <v>Delivered</v>
      </c>
      <c r="P741" s="14" t="str">
        <f>IFERROR(__xludf.DUMMYFUNCTION("""COMPUTED_VALUE"""),"Convenience: Easy tracking")</f>
        <v>Convenience: Easy tracking</v>
      </c>
      <c r="Q741" s="14" t="str">
        <f>IFERROR(__xludf.DUMMYFUNCTION("split(P741,"":"")"),"Convenience")</f>
        <v>Convenience</v>
      </c>
      <c r="R741" s="14" t="str">
        <f>IFERROR(__xludf.DUMMYFUNCTION("""COMPUTED_VALUE""")," Easy tracking")</f>
        <v> Easy tracking</v>
      </c>
      <c r="S741" s="14" t="str">
        <f t="shared" ref="S741:U741" si="1485">trim(B741)</f>
        <v>ord_10732</v>
      </c>
      <c r="T741" s="14" t="str">
        <f t="shared" si="1485"/>
        <v>Mohit Malhotra</v>
      </c>
      <c r="U741" s="14" t="str">
        <f t="shared" si="1485"/>
        <v>Lower Parel</v>
      </c>
      <c r="V741" s="14" t="str">
        <f t="shared" si="4"/>
        <v>Onion</v>
      </c>
      <c r="W741" s="14">
        <f t="shared" si="5"/>
        <v>1</v>
      </c>
      <c r="X741" s="14" t="str">
        <f t="shared" si="6"/>
        <v>Ramesh S</v>
      </c>
      <c r="Y741" s="15">
        <f t="shared" si="7"/>
        <v>44975</v>
      </c>
      <c r="Z741" s="14" t="str">
        <f t="shared" si="8"/>
        <v>UPI</v>
      </c>
      <c r="AA741" s="14" t="str">
        <f t="shared" si="9"/>
        <v>Delivered</v>
      </c>
      <c r="AB741" s="14" t="str">
        <f t="shared" ref="AB741:AC741" si="1486">trim(Q741)</f>
        <v>Convenience</v>
      </c>
      <c r="AC741" s="14" t="str">
        <f t="shared" si="1486"/>
        <v>Easy tracking</v>
      </c>
      <c r="AD741" s="8"/>
    </row>
    <row r="742">
      <c r="A742" s="14" t="str">
        <f>IFERROR(__xludf.DUMMYFUNCTION("""COMPUTED_VALUE"""),"//ord_10733//Dev Chauhan//Bandra//Cold Coffee+2*Ram Gopal/5/5/2023//Credit Card//Delivered*Overall Satisfaction: Great service will order again")</f>
        <v>//ord_10733//Dev Chauhan//Bandra//Cold Coffee+2*Ram Gopal/5/5/2023//Credit Card//Delivered*Overall Satisfaction: Great service will order again</v>
      </c>
      <c r="B742" s="14" t="str">
        <f>IFERROR(__xludf.DUMMYFUNCTION("split(A742,""//"")"),"ord_10733")</f>
        <v>ord_10733</v>
      </c>
      <c r="C742" s="14" t="str">
        <f>IFERROR(__xludf.DUMMYFUNCTION("""COMPUTED_VALUE"""),"Dev Chauhan")</f>
        <v>Dev Chauhan</v>
      </c>
      <c r="D742" s="14" t="str">
        <f>IFERROR(__xludf.DUMMYFUNCTION("""COMPUTED_VALUE"""),"Bandra")</f>
        <v>Bandra</v>
      </c>
      <c r="E742" s="14" t="str">
        <f>IFERROR(__xludf.DUMMYFUNCTION("""COMPUTED_VALUE"""),"Cold Coffee+2*Ram Gopal")</f>
        <v>Cold Coffee+2*Ram Gopal</v>
      </c>
      <c r="F742" s="14">
        <f>IFERROR(__xludf.DUMMYFUNCTION("""COMPUTED_VALUE"""),5.0)</f>
        <v>5</v>
      </c>
      <c r="G742" s="14">
        <f>IFERROR(__xludf.DUMMYFUNCTION("""COMPUTED_VALUE"""),5.0)</f>
        <v>5</v>
      </c>
      <c r="H742" s="14">
        <f>IFERROR(__xludf.DUMMYFUNCTION("""COMPUTED_VALUE"""),2023.0)</f>
        <v>2023</v>
      </c>
      <c r="I742" s="14" t="str">
        <f>IFERROR(__xludf.DUMMYFUNCTION("""COMPUTED_VALUE"""),"Credit Card")</f>
        <v>Credit Card</v>
      </c>
      <c r="J742" s="14" t="str">
        <f>IFERROR(__xludf.DUMMYFUNCTION("""COMPUTED_VALUE"""),"Delivered*Overall Satisfaction: Great service will order again")</f>
        <v>Delivered*Overall Satisfaction: Great service will order again</v>
      </c>
      <c r="K742" s="14" t="str">
        <f>IFERROR(__xludf.DUMMYFUNCTION("split(E742,""+"")"),"Cold Coffee")</f>
        <v>Cold Coffee</v>
      </c>
      <c r="L742" s="14" t="str">
        <f>IFERROR(__xludf.DUMMYFUNCTION("""COMPUTED_VALUE"""),"2*Ram Gopal")</f>
        <v>2*Ram Gopal</v>
      </c>
      <c r="M742" s="14">
        <f>IFERROR(__xludf.DUMMYFUNCTION("SPLIT(L742,""*"")"),2.0)</f>
        <v>2</v>
      </c>
      <c r="N742" s="14" t="str">
        <f>IFERROR(__xludf.DUMMYFUNCTION("""COMPUTED_VALUE"""),"Ram Gopal")</f>
        <v>Ram Gopal</v>
      </c>
      <c r="O742" s="14" t="str">
        <f>IFERROR(__xludf.DUMMYFUNCTION("split(J742,""*"")"),"Delivered")</f>
        <v>Delivered</v>
      </c>
      <c r="P742" s="14" t="str">
        <f>IFERROR(__xludf.DUMMYFUNCTION("""COMPUTED_VALUE"""),"Overall Satisfaction: Great service will order again")</f>
        <v>Overall Satisfaction: Great service will order again</v>
      </c>
      <c r="Q742" s="14" t="str">
        <f>IFERROR(__xludf.DUMMYFUNCTION("split(P742,"":"")"),"Overall Satisfaction")</f>
        <v>Overall Satisfaction</v>
      </c>
      <c r="R742" s="14" t="str">
        <f>IFERROR(__xludf.DUMMYFUNCTION("""COMPUTED_VALUE""")," Great service will order again")</f>
        <v> Great service will order again</v>
      </c>
      <c r="S742" s="14" t="str">
        <f t="shared" ref="S742:U742" si="1487">trim(B742)</f>
        <v>ord_10733</v>
      </c>
      <c r="T742" s="14" t="str">
        <f t="shared" si="1487"/>
        <v>Dev Chauhan</v>
      </c>
      <c r="U742" s="14" t="str">
        <f t="shared" si="1487"/>
        <v>Bandra</v>
      </c>
      <c r="V742" s="14" t="str">
        <f t="shared" si="4"/>
        <v>Cold Coffee</v>
      </c>
      <c r="W742" s="14">
        <f t="shared" si="5"/>
        <v>2</v>
      </c>
      <c r="X742" s="14" t="str">
        <f t="shared" si="6"/>
        <v>Ram Gopal</v>
      </c>
      <c r="Y742" s="15">
        <f t="shared" si="7"/>
        <v>45051</v>
      </c>
      <c r="Z742" s="14" t="str">
        <f t="shared" si="8"/>
        <v>Credit Card</v>
      </c>
      <c r="AA742" s="14" t="str">
        <f t="shared" si="9"/>
        <v>Delivered</v>
      </c>
      <c r="AB742" s="14" t="str">
        <f t="shared" ref="AB742:AC742" si="1488">trim(Q742)</f>
        <v>Overall Satisfaction</v>
      </c>
      <c r="AC742" s="14" t="str">
        <f t="shared" si="1488"/>
        <v>Great service will order again</v>
      </c>
      <c r="AD742" s="8"/>
    </row>
    <row r="743">
      <c r="A743" s="14" t="str">
        <f>IFERROR(__xludf.DUMMYFUNCTION("""COMPUTED_VALUE"""),"//ord_10734//Arvind Kulkarni//Juhu//Veg Puff+1*Priya Joshi/10/26/2023//Online Payment//Cancelled*Delayed Delivery:Bad Weather Conditions ")</f>
        <v>//ord_10734//Arvind Kulkarni//Juhu//Veg Puff+1*Priya Joshi/10/26/2023//Online Payment//Cancelled*Delayed Delivery:Bad Weather Conditions </v>
      </c>
      <c r="B743" s="14" t="str">
        <f>IFERROR(__xludf.DUMMYFUNCTION("split(A743,""//"")"),"ord_10734")</f>
        <v>ord_10734</v>
      </c>
      <c r="C743" s="14" t="str">
        <f>IFERROR(__xludf.DUMMYFUNCTION("""COMPUTED_VALUE"""),"Arvind Kulkarni")</f>
        <v>Arvind Kulkarni</v>
      </c>
      <c r="D743" s="14" t="str">
        <f>IFERROR(__xludf.DUMMYFUNCTION("""COMPUTED_VALUE"""),"Juhu")</f>
        <v>Juhu</v>
      </c>
      <c r="E743" s="14" t="str">
        <f>IFERROR(__xludf.DUMMYFUNCTION("""COMPUTED_VALUE"""),"Veg Puff+1*Priya Joshi")</f>
        <v>Veg Puff+1*Priya Joshi</v>
      </c>
      <c r="F743" s="14">
        <f>IFERROR(__xludf.DUMMYFUNCTION("""COMPUTED_VALUE"""),10.0)</f>
        <v>10</v>
      </c>
      <c r="G743" s="14">
        <f>IFERROR(__xludf.DUMMYFUNCTION("""COMPUTED_VALUE"""),26.0)</f>
        <v>26</v>
      </c>
      <c r="H743" s="14">
        <f>IFERROR(__xludf.DUMMYFUNCTION("""COMPUTED_VALUE"""),2023.0)</f>
        <v>2023</v>
      </c>
      <c r="I743" s="14" t="str">
        <f>IFERROR(__xludf.DUMMYFUNCTION("""COMPUTED_VALUE"""),"Online Payment")</f>
        <v>Online Payment</v>
      </c>
      <c r="J743" s="14" t="str">
        <f>IFERROR(__xludf.DUMMYFUNCTION("""COMPUTED_VALUE"""),"Cancelled*Delayed Delivery:Bad Weather Conditions ")</f>
        <v>Cancelled*Delayed Delivery:Bad Weather Conditions </v>
      </c>
      <c r="K743" s="14" t="str">
        <f>IFERROR(__xludf.DUMMYFUNCTION("split(E743,""+"")"),"Veg Puff")</f>
        <v>Veg Puff</v>
      </c>
      <c r="L743" s="14" t="str">
        <f>IFERROR(__xludf.DUMMYFUNCTION("""COMPUTED_VALUE"""),"1*Priya Joshi")</f>
        <v>1*Priya Joshi</v>
      </c>
      <c r="M743" s="14">
        <f>IFERROR(__xludf.DUMMYFUNCTION("SPLIT(L743,""*"")"),1.0)</f>
        <v>1</v>
      </c>
      <c r="N743" s="14" t="str">
        <f>IFERROR(__xludf.DUMMYFUNCTION("""COMPUTED_VALUE"""),"Priya Joshi")</f>
        <v>Priya Joshi</v>
      </c>
      <c r="O743" s="14" t="str">
        <f>IFERROR(__xludf.DUMMYFUNCTION("split(J743,""*"")"),"Cancelled")</f>
        <v>Cancelled</v>
      </c>
      <c r="P743" s="14" t="str">
        <f>IFERROR(__xludf.DUMMYFUNCTION("""COMPUTED_VALUE"""),"Delayed Delivery:Bad Weather Conditions ")</f>
        <v>Delayed Delivery:Bad Weather Conditions </v>
      </c>
      <c r="Q743" s="14" t="str">
        <f>IFERROR(__xludf.DUMMYFUNCTION("split(P743,"":"")"),"Delayed Delivery")</f>
        <v>Delayed Delivery</v>
      </c>
      <c r="R743" s="14" t="str">
        <f>IFERROR(__xludf.DUMMYFUNCTION("""COMPUTED_VALUE"""),"Bad Weather Conditions ")</f>
        <v>Bad Weather Conditions </v>
      </c>
      <c r="S743" s="14" t="str">
        <f t="shared" ref="S743:U743" si="1489">trim(B743)</f>
        <v>ord_10734</v>
      </c>
      <c r="T743" s="14" t="str">
        <f t="shared" si="1489"/>
        <v>Arvind Kulkarni</v>
      </c>
      <c r="U743" s="14" t="str">
        <f t="shared" si="1489"/>
        <v>Juhu</v>
      </c>
      <c r="V743" s="14" t="str">
        <f t="shared" si="4"/>
        <v>Veg Puff</v>
      </c>
      <c r="W743" s="14">
        <f t="shared" si="5"/>
        <v>1</v>
      </c>
      <c r="X743" s="14" t="str">
        <f t="shared" si="6"/>
        <v>Priya Joshi</v>
      </c>
      <c r="Y743" s="15">
        <f t="shared" si="7"/>
        <v>45225</v>
      </c>
      <c r="Z743" s="14" t="str">
        <f t="shared" si="8"/>
        <v>Online Payment</v>
      </c>
      <c r="AA743" s="14" t="str">
        <f t="shared" si="9"/>
        <v>Cancelled</v>
      </c>
      <c r="AB743" s="14" t="str">
        <f t="shared" ref="AB743:AC743" si="1490">trim(Q743)</f>
        <v>Delayed Delivery</v>
      </c>
      <c r="AC743" s="14" t="str">
        <f t="shared" si="1490"/>
        <v>Bad Weather Conditions</v>
      </c>
      <c r="AD743" s="8"/>
    </row>
    <row r="744">
      <c r="A744" s="14" t="str">
        <f>IFERROR(__xludf.DUMMYFUNCTION("""COMPUTED_VALUE"""),"//ord_10735//Tanishq Bansal//Powai//Onion+1*Not Assigned/9/29/2023//Credit Card//Cancelled*App Glitches:App Freezes")</f>
        <v>//ord_10735//Tanishq Bansal//Powai//Onion+1*Not Assigned/9/29/2023//Credit Card//Cancelled*App Glitches:App Freezes</v>
      </c>
      <c r="B744" s="14" t="str">
        <f>IFERROR(__xludf.DUMMYFUNCTION("split(A744,""//"")"),"ord_10735")</f>
        <v>ord_10735</v>
      </c>
      <c r="C744" s="14" t="str">
        <f>IFERROR(__xludf.DUMMYFUNCTION("""COMPUTED_VALUE"""),"Tanishq Bansal")</f>
        <v>Tanishq Bansal</v>
      </c>
      <c r="D744" s="14" t="str">
        <f>IFERROR(__xludf.DUMMYFUNCTION("""COMPUTED_VALUE"""),"Powai")</f>
        <v>Powai</v>
      </c>
      <c r="E744" s="14" t="str">
        <f>IFERROR(__xludf.DUMMYFUNCTION("""COMPUTED_VALUE"""),"Onion+1*Not Assigned")</f>
        <v>Onion+1*Not Assigned</v>
      </c>
      <c r="F744" s="14">
        <f>IFERROR(__xludf.DUMMYFUNCTION("""COMPUTED_VALUE"""),9.0)</f>
        <v>9</v>
      </c>
      <c r="G744" s="14">
        <f>IFERROR(__xludf.DUMMYFUNCTION("""COMPUTED_VALUE"""),29.0)</f>
        <v>29</v>
      </c>
      <c r="H744" s="14">
        <f>IFERROR(__xludf.DUMMYFUNCTION("""COMPUTED_VALUE"""),2023.0)</f>
        <v>2023</v>
      </c>
      <c r="I744" s="14" t="str">
        <f>IFERROR(__xludf.DUMMYFUNCTION("""COMPUTED_VALUE"""),"Credit Card")</f>
        <v>Credit Card</v>
      </c>
      <c r="J744" s="14" t="str">
        <f>IFERROR(__xludf.DUMMYFUNCTION("""COMPUTED_VALUE"""),"Cancelled*App Glitches:App Freezes")</f>
        <v>Cancelled*App Glitches:App Freezes</v>
      </c>
      <c r="K744" s="14" t="str">
        <f>IFERROR(__xludf.DUMMYFUNCTION("split(E744,""+"")"),"Onion")</f>
        <v>Onion</v>
      </c>
      <c r="L744" s="14" t="str">
        <f>IFERROR(__xludf.DUMMYFUNCTION("""COMPUTED_VALUE"""),"1*Not Assigned")</f>
        <v>1*Not Assigned</v>
      </c>
      <c r="M744" s="14">
        <f>IFERROR(__xludf.DUMMYFUNCTION("SPLIT(L744,""*"")"),1.0)</f>
        <v>1</v>
      </c>
      <c r="N744" s="14" t="str">
        <f>IFERROR(__xludf.DUMMYFUNCTION("""COMPUTED_VALUE"""),"Not Assigned")</f>
        <v>Not Assigned</v>
      </c>
      <c r="O744" s="14" t="str">
        <f>IFERROR(__xludf.DUMMYFUNCTION("split(J744,""*"")"),"Cancelled")</f>
        <v>Cancelled</v>
      </c>
      <c r="P744" s="14" t="str">
        <f>IFERROR(__xludf.DUMMYFUNCTION("""COMPUTED_VALUE"""),"App Glitches:App Freezes")</f>
        <v>App Glitches:App Freezes</v>
      </c>
      <c r="Q744" s="14" t="str">
        <f>IFERROR(__xludf.DUMMYFUNCTION("split(P744,"":"")"),"App Glitches")</f>
        <v>App Glitches</v>
      </c>
      <c r="R744" s="14" t="str">
        <f>IFERROR(__xludf.DUMMYFUNCTION("""COMPUTED_VALUE"""),"App Freezes")</f>
        <v>App Freezes</v>
      </c>
      <c r="S744" s="14" t="str">
        <f t="shared" ref="S744:U744" si="1491">trim(B744)</f>
        <v>ord_10735</v>
      </c>
      <c r="T744" s="14" t="str">
        <f t="shared" si="1491"/>
        <v>Tanishq Bansal</v>
      </c>
      <c r="U744" s="14" t="str">
        <f t="shared" si="1491"/>
        <v>Powai</v>
      </c>
      <c r="V744" s="14" t="str">
        <f t="shared" si="4"/>
        <v>Onion</v>
      </c>
      <c r="W744" s="14">
        <f t="shared" si="5"/>
        <v>1</v>
      </c>
      <c r="X744" s="14" t="str">
        <f t="shared" si="6"/>
        <v>Not Assigned</v>
      </c>
      <c r="Y744" s="15">
        <f t="shared" si="7"/>
        <v>45198</v>
      </c>
      <c r="Z744" s="14" t="str">
        <f t="shared" si="8"/>
        <v>Credit Card</v>
      </c>
      <c r="AA744" s="14" t="str">
        <f t="shared" si="9"/>
        <v>Cancelled</v>
      </c>
      <c r="AB744" s="14" t="str">
        <f t="shared" ref="AB744:AC744" si="1492">trim(Q744)</f>
        <v>App Glitches</v>
      </c>
      <c r="AC744" s="14" t="str">
        <f t="shared" si="1492"/>
        <v>App Freezes</v>
      </c>
      <c r="AD744" s="8"/>
    </row>
    <row r="745">
      <c r="A745" s="14" t="str">
        <f>IFERROR(__xludf.DUMMYFUNCTION("""COMPUTED_VALUE"""),"//ord_10736//Dev Chauhan//Bandra//Apple+1*Venu R/12/15/2023//Credit Card//Delivered*On-time Delivery: Delivered on time")</f>
        <v>//ord_10736//Dev Chauhan//Bandra//Apple+1*Venu R/12/15/2023//Credit Card//Delivered*On-time Delivery: Delivered on time</v>
      </c>
      <c r="B745" s="14" t="str">
        <f>IFERROR(__xludf.DUMMYFUNCTION("split(A745,""//"")"),"ord_10736")</f>
        <v>ord_10736</v>
      </c>
      <c r="C745" s="14" t="str">
        <f>IFERROR(__xludf.DUMMYFUNCTION("""COMPUTED_VALUE"""),"Dev Chauhan")</f>
        <v>Dev Chauhan</v>
      </c>
      <c r="D745" s="14" t="str">
        <f>IFERROR(__xludf.DUMMYFUNCTION("""COMPUTED_VALUE"""),"Bandra")</f>
        <v>Bandra</v>
      </c>
      <c r="E745" s="14" t="str">
        <f>IFERROR(__xludf.DUMMYFUNCTION("""COMPUTED_VALUE"""),"Apple+1*Venu R")</f>
        <v>Apple+1*Venu R</v>
      </c>
      <c r="F745" s="14">
        <f>IFERROR(__xludf.DUMMYFUNCTION("""COMPUTED_VALUE"""),12.0)</f>
        <v>12</v>
      </c>
      <c r="G745" s="14">
        <f>IFERROR(__xludf.DUMMYFUNCTION("""COMPUTED_VALUE"""),15.0)</f>
        <v>15</v>
      </c>
      <c r="H745" s="14">
        <f>IFERROR(__xludf.DUMMYFUNCTION("""COMPUTED_VALUE"""),2023.0)</f>
        <v>2023</v>
      </c>
      <c r="I745" s="14" t="str">
        <f>IFERROR(__xludf.DUMMYFUNCTION("""COMPUTED_VALUE"""),"Credit Card")</f>
        <v>Credit Card</v>
      </c>
      <c r="J745" s="14" t="str">
        <f>IFERROR(__xludf.DUMMYFUNCTION("""COMPUTED_VALUE"""),"Delivered*On-time Delivery: Delivered on time")</f>
        <v>Delivered*On-time Delivery: Delivered on time</v>
      </c>
      <c r="K745" s="14" t="str">
        <f>IFERROR(__xludf.DUMMYFUNCTION("split(E745,""+"")"),"Apple")</f>
        <v>Apple</v>
      </c>
      <c r="L745" s="14" t="str">
        <f>IFERROR(__xludf.DUMMYFUNCTION("""COMPUTED_VALUE"""),"1*Venu R")</f>
        <v>1*Venu R</v>
      </c>
      <c r="M745" s="14">
        <f>IFERROR(__xludf.DUMMYFUNCTION("SPLIT(L745,""*"")"),1.0)</f>
        <v>1</v>
      </c>
      <c r="N745" s="14" t="str">
        <f>IFERROR(__xludf.DUMMYFUNCTION("""COMPUTED_VALUE"""),"Venu R")</f>
        <v>Venu R</v>
      </c>
      <c r="O745" s="14" t="str">
        <f>IFERROR(__xludf.DUMMYFUNCTION("split(J745,""*"")"),"Delivered")</f>
        <v>Delivered</v>
      </c>
      <c r="P745" s="14" t="str">
        <f>IFERROR(__xludf.DUMMYFUNCTION("""COMPUTED_VALUE"""),"On-time Delivery: Delivered on time")</f>
        <v>On-time Delivery: Delivered on time</v>
      </c>
      <c r="Q745" s="14" t="str">
        <f>IFERROR(__xludf.DUMMYFUNCTION("split(P745,"":"")"),"On-time Delivery")</f>
        <v>On-time Delivery</v>
      </c>
      <c r="R745" s="14" t="str">
        <f>IFERROR(__xludf.DUMMYFUNCTION("""COMPUTED_VALUE""")," Delivered on time")</f>
        <v> Delivered on time</v>
      </c>
      <c r="S745" s="14" t="str">
        <f t="shared" ref="S745:U745" si="1493">trim(B745)</f>
        <v>ord_10736</v>
      </c>
      <c r="T745" s="14" t="str">
        <f t="shared" si="1493"/>
        <v>Dev Chauhan</v>
      </c>
      <c r="U745" s="14" t="str">
        <f t="shared" si="1493"/>
        <v>Bandra</v>
      </c>
      <c r="V745" s="14" t="str">
        <f t="shared" si="4"/>
        <v>Apple</v>
      </c>
      <c r="W745" s="14">
        <f t="shared" si="5"/>
        <v>1</v>
      </c>
      <c r="X745" s="14" t="str">
        <f t="shared" si="6"/>
        <v>Venu R</v>
      </c>
      <c r="Y745" s="15">
        <f t="shared" si="7"/>
        <v>45275</v>
      </c>
      <c r="Z745" s="14" t="str">
        <f t="shared" si="8"/>
        <v>Credit Card</v>
      </c>
      <c r="AA745" s="14" t="str">
        <f t="shared" si="9"/>
        <v>Delivered</v>
      </c>
      <c r="AB745" s="14" t="str">
        <f t="shared" ref="AB745:AC745" si="1494">trim(Q745)</f>
        <v>On-time Delivery</v>
      </c>
      <c r="AC745" s="14" t="str">
        <f t="shared" si="1494"/>
        <v>Delivered on time</v>
      </c>
      <c r="AD745" s="8"/>
    </row>
    <row r="746">
      <c r="A746" s="14" t="str">
        <f>IFERROR(__xludf.DUMMYFUNCTION("""COMPUTED_VALUE"""),"//ord_10737//Siya Reddy//Juhu//Veg Puff+2*Not Assigned/12/3/2023//Credit Card//Cancelled*App Glitches: Payment Button Malfunction")</f>
        <v>//ord_10737//Siya Reddy//Juhu//Veg Puff+2*Not Assigned/12/3/2023//Credit Card//Cancelled*App Glitches: Payment Button Malfunction</v>
      </c>
      <c r="B746" s="14" t="str">
        <f>IFERROR(__xludf.DUMMYFUNCTION("split(A746,""//"")"),"ord_10737")</f>
        <v>ord_10737</v>
      </c>
      <c r="C746" s="14" t="str">
        <f>IFERROR(__xludf.DUMMYFUNCTION("""COMPUTED_VALUE"""),"Siya Reddy")</f>
        <v>Siya Reddy</v>
      </c>
      <c r="D746" s="14" t="str">
        <f>IFERROR(__xludf.DUMMYFUNCTION("""COMPUTED_VALUE"""),"Juhu")</f>
        <v>Juhu</v>
      </c>
      <c r="E746" s="14" t="str">
        <f>IFERROR(__xludf.DUMMYFUNCTION("""COMPUTED_VALUE"""),"Veg Puff+2*Not Assigned")</f>
        <v>Veg Puff+2*Not Assigned</v>
      </c>
      <c r="F746" s="14">
        <f>IFERROR(__xludf.DUMMYFUNCTION("""COMPUTED_VALUE"""),12.0)</f>
        <v>12</v>
      </c>
      <c r="G746" s="14">
        <f>IFERROR(__xludf.DUMMYFUNCTION("""COMPUTED_VALUE"""),3.0)</f>
        <v>3</v>
      </c>
      <c r="H746" s="14">
        <f>IFERROR(__xludf.DUMMYFUNCTION("""COMPUTED_VALUE"""),2023.0)</f>
        <v>2023</v>
      </c>
      <c r="I746" s="14" t="str">
        <f>IFERROR(__xludf.DUMMYFUNCTION("""COMPUTED_VALUE"""),"Credit Card")</f>
        <v>Credit Card</v>
      </c>
      <c r="J746" s="14" t="str">
        <f>IFERROR(__xludf.DUMMYFUNCTION("""COMPUTED_VALUE"""),"Cancelled*App Glitches: Payment Button Malfunction")</f>
        <v>Cancelled*App Glitches: Payment Button Malfunction</v>
      </c>
      <c r="K746" s="14" t="str">
        <f>IFERROR(__xludf.DUMMYFUNCTION("split(E746,""+"")"),"Veg Puff")</f>
        <v>Veg Puff</v>
      </c>
      <c r="L746" s="14" t="str">
        <f>IFERROR(__xludf.DUMMYFUNCTION("""COMPUTED_VALUE"""),"2*Not Assigned")</f>
        <v>2*Not Assigned</v>
      </c>
      <c r="M746" s="14">
        <f>IFERROR(__xludf.DUMMYFUNCTION("SPLIT(L746,""*"")"),2.0)</f>
        <v>2</v>
      </c>
      <c r="N746" s="14" t="str">
        <f>IFERROR(__xludf.DUMMYFUNCTION("""COMPUTED_VALUE"""),"Not Assigned")</f>
        <v>Not Assigned</v>
      </c>
      <c r="O746" s="14" t="str">
        <f>IFERROR(__xludf.DUMMYFUNCTION("split(J746,""*"")"),"Cancelled")</f>
        <v>Cancelled</v>
      </c>
      <c r="P746" s="14" t="str">
        <f>IFERROR(__xludf.DUMMYFUNCTION("""COMPUTED_VALUE"""),"App Glitches: Payment Button Malfunction")</f>
        <v>App Glitches: Payment Button Malfunction</v>
      </c>
      <c r="Q746" s="14" t="str">
        <f>IFERROR(__xludf.DUMMYFUNCTION("split(P746,"":"")"),"App Glitches")</f>
        <v>App Glitches</v>
      </c>
      <c r="R746" s="14" t="str">
        <f>IFERROR(__xludf.DUMMYFUNCTION("""COMPUTED_VALUE""")," Payment Button Malfunction")</f>
        <v> Payment Button Malfunction</v>
      </c>
      <c r="S746" s="14" t="str">
        <f t="shared" ref="S746:U746" si="1495">trim(B746)</f>
        <v>ord_10737</v>
      </c>
      <c r="T746" s="14" t="str">
        <f t="shared" si="1495"/>
        <v>Siya Reddy</v>
      </c>
      <c r="U746" s="14" t="str">
        <f t="shared" si="1495"/>
        <v>Juhu</v>
      </c>
      <c r="V746" s="14" t="str">
        <f t="shared" si="4"/>
        <v>Veg Puff</v>
      </c>
      <c r="W746" s="14">
        <f t="shared" si="5"/>
        <v>2</v>
      </c>
      <c r="X746" s="14" t="str">
        <f t="shared" si="6"/>
        <v>Not Assigned</v>
      </c>
      <c r="Y746" s="15">
        <f t="shared" si="7"/>
        <v>45263</v>
      </c>
      <c r="Z746" s="14" t="str">
        <f t="shared" si="8"/>
        <v>Credit Card</v>
      </c>
      <c r="AA746" s="14" t="str">
        <f t="shared" si="9"/>
        <v>Cancelled</v>
      </c>
      <c r="AB746" s="14" t="str">
        <f t="shared" ref="AB746:AC746" si="1496">trim(Q746)</f>
        <v>App Glitches</v>
      </c>
      <c r="AC746" s="14" t="str">
        <f t="shared" si="1496"/>
        <v>Payment Button Malfunction</v>
      </c>
      <c r="AD746" s="8"/>
    </row>
    <row r="747">
      <c r="A747" s="14" t="str">
        <f>IFERROR(__xludf.DUMMYFUNCTION("""COMPUTED_VALUE"""),"//ord_10738//Mehul Thakkar//Malad//Onion+1*Not Assigned/10/4/2023//Credit Card//Cancelled*App Glitches: Inconsistent Data Display")</f>
        <v>//ord_10738//Mehul Thakkar//Malad//Onion+1*Not Assigned/10/4/2023//Credit Card//Cancelled*App Glitches: Inconsistent Data Display</v>
      </c>
      <c r="B747" s="14" t="str">
        <f>IFERROR(__xludf.DUMMYFUNCTION("split(A747,""//"")"),"ord_10738")</f>
        <v>ord_10738</v>
      </c>
      <c r="C747" s="14" t="str">
        <f>IFERROR(__xludf.DUMMYFUNCTION("""COMPUTED_VALUE"""),"Mehul Thakkar")</f>
        <v>Mehul Thakkar</v>
      </c>
      <c r="D747" s="14" t="str">
        <f>IFERROR(__xludf.DUMMYFUNCTION("""COMPUTED_VALUE"""),"Malad")</f>
        <v>Malad</v>
      </c>
      <c r="E747" s="14" t="str">
        <f>IFERROR(__xludf.DUMMYFUNCTION("""COMPUTED_VALUE"""),"Onion+1*Not Assigned")</f>
        <v>Onion+1*Not Assigned</v>
      </c>
      <c r="F747" s="14">
        <f>IFERROR(__xludf.DUMMYFUNCTION("""COMPUTED_VALUE"""),10.0)</f>
        <v>10</v>
      </c>
      <c r="G747" s="14">
        <f>IFERROR(__xludf.DUMMYFUNCTION("""COMPUTED_VALUE"""),4.0)</f>
        <v>4</v>
      </c>
      <c r="H747" s="14">
        <f>IFERROR(__xludf.DUMMYFUNCTION("""COMPUTED_VALUE"""),2023.0)</f>
        <v>2023</v>
      </c>
      <c r="I747" s="14" t="str">
        <f>IFERROR(__xludf.DUMMYFUNCTION("""COMPUTED_VALUE"""),"Credit Card")</f>
        <v>Credit Card</v>
      </c>
      <c r="J747" s="14" t="str">
        <f>IFERROR(__xludf.DUMMYFUNCTION("""COMPUTED_VALUE"""),"Cancelled*App Glitches: Inconsistent Data Display")</f>
        <v>Cancelled*App Glitches: Inconsistent Data Display</v>
      </c>
      <c r="K747" s="14" t="str">
        <f>IFERROR(__xludf.DUMMYFUNCTION("split(E747,""+"")"),"Onion")</f>
        <v>Onion</v>
      </c>
      <c r="L747" s="14" t="str">
        <f>IFERROR(__xludf.DUMMYFUNCTION("""COMPUTED_VALUE"""),"1*Not Assigned")</f>
        <v>1*Not Assigned</v>
      </c>
      <c r="M747" s="14">
        <f>IFERROR(__xludf.DUMMYFUNCTION("SPLIT(L747,""*"")"),1.0)</f>
        <v>1</v>
      </c>
      <c r="N747" s="14" t="str">
        <f>IFERROR(__xludf.DUMMYFUNCTION("""COMPUTED_VALUE"""),"Not Assigned")</f>
        <v>Not Assigned</v>
      </c>
      <c r="O747" s="14" t="str">
        <f>IFERROR(__xludf.DUMMYFUNCTION("split(J747,""*"")"),"Cancelled")</f>
        <v>Cancelled</v>
      </c>
      <c r="P747" s="14" t="str">
        <f>IFERROR(__xludf.DUMMYFUNCTION("""COMPUTED_VALUE"""),"App Glitches: Inconsistent Data Display")</f>
        <v>App Glitches: Inconsistent Data Display</v>
      </c>
      <c r="Q747" s="14" t="str">
        <f>IFERROR(__xludf.DUMMYFUNCTION("split(P747,"":"")"),"App Glitches")</f>
        <v>App Glitches</v>
      </c>
      <c r="R747" s="14" t="str">
        <f>IFERROR(__xludf.DUMMYFUNCTION("""COMPUTED_VALUE""")," Inconsistent Data Display")</f>
        <v> Inconsistent Data Display</v>
      </c>
      <c r="S747" s="14" t="str">
        <f t="shared" ref="S747:U747" si="1497">trim(B747)</f>
        <v>ord_10738</v>
      </c>
      <c r="T747" s="14" t="str">
        <f t="shared" si="1497"/>
        <v>Mehul Thakkar</v>
      </c>
      <c r="U747" s="14" t="str">
        <f t="shared" si="1497"/>
        <v>Malad</v>
      </c>
      <c r="V747" s="14" t="str">
        <f t="shared" si="4"/>
        <v>Onion</v>
      </c>
      <c r="W747" s="14">
        <f t="shared" si="5"/>
        <v>1</v>
      </c>
      <c r="X747" s="14" t="str">
        <f t="shared" si="6"/>
        <v>Not Assigned</v>
      </c>
      <c r="Y747" s="15">
        <f t="shared" si="7"/>
        <v>45203</v>
      </c>
      <c r="Z747" s="14" t="str">
        <f t="shared" si="8"/>
        <v>Credit Card</v>
      </c>
      <c r="AA747" s="14" t="str">
        <f t="shared" si="9"/>
        <v>Cancelled</v>
      </c>
      <c r="AB747" s="14" t="str">
        <f t="shared" ref="AB747:AC747" si="1498">trim(Q747)</f>
        <v>App Glitches</v>
      </c>
      <c r="AC747" s="14" t="str">
        <f t="shared" si="1498"/>
        <v>Inconsistent Data Display</v>
      </c>
      <c r="AD747" s="8"/>
    </row>
    <row r="748">
      <c r="A748" s="14" t="str">
        <f>IFERROR(__xludf.DUMMYFUNCTION("""COMPUTED_VALUE"""),"//ord_10739//Dev Chauhan//Bandra//Cold Coffee+4*Not Assigned/12/17/2023//Credit Card//Cancelled*Payment Issues")</f>
        <v>//ord_10739//Dev Chauhan//Bandra//Cold Coffee+4*Not Assigned/12/17/2023//Credit Card//Cancelled*Payment Issues</v>
      </c>
      <c r="B748" s="14" t="str">
        <f>IFERROR(__xludf.DUMMYFUNCTION("split(A748,""//"")"),"ord_10739")</f>
        <v>ord_10739</v>
      </c>
      <c r="C748" s="14" t="str">
        <f>IFERROR(__xludf.DUMMYFUNCTION("""COMPUTED_VALUE"""),"Dev Chauhan")</f>
        <v>Dev Chauhan</v>
      </c>
      <c r="D748" s="14" t="str">
        <f>IFERROR(__xludf.DUMMYFUNCTION("""COMPUTED_VALUE"""),"Bandra")</f>
        <v>Bandra</v>
      </c>
      <c r="E748" s="14" t="str">
        <f>IFERROR(__xludf.DUMMYFUNCTION("""COMPUTED_VALUE"""),"Cold Coffee+4*Not Assigned")</f>
        <v>Cold Coffee+4*Not Assigned</v>
      </c>
      <c r="F748" s="14">
        <f>IFERROR(__xludf.DUMMYFUNCTION("""COMPUTED_VALUE"""),12.0)</f>
        <v>12</v>
      </c>
      <c r="G748" s="14">
        <f>IFERROR(__xludf.DUMMYFUNCTION("""COMPUTED_VALUE"""),17.0)</f>
        <v>17</v>
      </c>
      <c r="H748" s="14">
        <f>IFERROR(__xludf.DUMMYFUNCTION("""COMPUTED_VALUE"""),2023.0)</f>
        <v>2023</v>
      </c>
      <c r="I748" s="14" t="str">
        <f>IFERROR(__xludf.DUMMYFUNCTION("""COMPUTED_VALUE"""),"Credit Card")</f>
        <v>Credit Card</v>
      </c>
      <c r="J748" s="14" t="str">
        <f>IFERROR(__xludf.DUMMYFUNCTION("""COMPUTED_VALUE"""),"Cancelled*Payment Issues")</f>
        <v>Cancelled*Payment Issues</v>
      </c>
      <c r="K748" s="14" t="str">
        <f>IFERROR(__xludf.DUMMYFUNCTION("split(E748,""+"")"),"Cold Coffee")</f>
        <v>Cold Coffee</v>
      </c>
      <c r="L748" s="14" t="str">
        <f>IFERROR(__xludf.DUMMYFUNCTION("""COMPUTED_VALUE"""),"4*Not Assigned")</f>
        <v>4*Not Assigned</v>
      </c>
      <c r="M748" s="14">
        <f>IFERROR(__xludf.DUMMYFUNCTION("SPLIT(L748,""*"")"),4.0)</f>
        <v>4</v>
      </c>
      <c r="N748" s="14" t="str">
        <f>IFERROR(__xludf.DUMMYFUNCTION("""COMPUTED_VALUE"""),"Not Assigned")</f>
        <v>Not Assigned</v>
      </c>
      <c r="O748" s="14" t="str">
        <f>IFERROR(__xludf.DUMMYFUNCTION("split(J748,""*"")"),"Cancelled")</f>
        <v>Cancelled</v>
      </c>
      <c r="P748" s="14" t="str">
        <f>IFERROR(__xludf.DUMMYFUNCTION("""COMPUTED_VALUE"""),"Payment Issues")</f>
        <v>Payment Issues</v>
      </c>
      <c r="Q748" s="14" t="str">
        <f>IFERROR(__xludf.DUMMYFUNCTION("split(P748,"":"")"),"Payment Issues")</f>
        <v>Payment Issues</v>
      </c>
      <c r="R748" s="14"/>
      <c r="S748" s="14" t="str">
        <f t="shared" ref="S748:U748" si="1499">trim(B748)</f>
        <v>ord_10739</v>
      </c>
      <c r="T748" s="14" t="str">
        <f t="shared" si="1499"/>
        <v>Dev Chauhan</v>
      </c>
      <c r="U748" s="14" t="str">
        <f t="shared" si="1499"/>
        <v>Bandra</v>
      </c>
      <c r="V748" s="14" t="str">
        <f t="shared" si="4"/>
        <v>Cold Coffee</v>
      </c>
      <c r="W748" s="14">
        <f t="shared" si="5"/>
        <v>4</v>
      </c>
      <c r="X748" s="14" t="str">
        <f t="shared" si="6"/>
        <v>Not Assigned</v>
      </c>
      <c r="Y748" s="15">
        <f t="shared" si="7"/>
        <v>45277</v>
      </c>
      <c r="Z748" s="14" t="str">
        <f t="shared" si="8"/>
        <v>Credit Card</v>
      </c>
      <c r="AA748" s="14" t="str">
        <f t="shared" si="9"/>
        <v>Cancelled</v>
      </c>
      <c r="AB748" s="14" t="str">
        <f t="shared" ref="AB748:AC748" si="1500">trim(Q748)</f>
        <v>Payment Issues</v>
      </c>
      <c r="AC748" s="14" t="str">
        <f t="shared" si="1500"/>
        <v/>
      </c>
      <c r="AD748" s="8"/>
    </row>
    <row r="749">
      <c r="A749" s="14" t="str">
        <f>IFERROR(__xludf.DUMMYFUNCTION("""COMPUTED_VALUE"""),"//ord_10740//Siya Reddy//Juhu//Orange+1*Not Assigned/10/12/2023//Credit Card//Cancelled*App Glitches:Slow Loading Time")</f>
        <v>//ord_10740//Siya Reddy//Juhu//Orange+1*Not Assigned/10/12/2023//Credit Card//Cancelled*App Glitches:Slow Loading Time</v>
      </c>
      <c r="B749" s="14" t="str">
        <f>IFERROR(__xludf.DUMMYFUNCTION("split(A749,""//"")"),"ord_10740")</f>
        <v>ord_10740</v>
      </c>
      <c r="C749" s="14" t="str">
        <f>IFERROR(__xludf.DUMMYFUNCTION("""COMPUTED_VALUE"""),"Siya Reddy")</f>
        <v>Siya Reddy</v>
      </c>
      <c r="D749" s="14" t="str">
        <f>IFERROR(__xludf.DUMMYFUNCTION("""COMPUTED_VALUE"""),"Juhu")</f>
        <v>Juhu</v>
      </c>
      <c r="E749" s="14" t="str">
        <f>IFERROR(__xludf.DUMMYFUNCTION("""COMPUTED_VALUE"""),"Orange+1*Not Assigned")</f>
        <v>Orange+1*Not Assigned</v>
      </c>
      <c r="F749" s="14">
        <f>IFERROR(__xludf.DUMMYFUNCTION("""COMPUTED_VALUE"""),10.0)</f>
        <v>10</v>
      </c>
      <c r="G749" s="14">
        <f>IFERROR(__xludf.DUMMYFUNCTION("""COMPUTED_VALUE"""),12.0)</f>
        <v>12</v>
      </c>
      <c r="H749" s="14">
        <f>IFERROR(__xludf.DUMMYFUNCTION("""COMPUTED_VALUE"""),2023.0)</f>
        <v>2023</v>
      </c>
      <c r="I749" s="14" t="str">
        <f>IFERROR(__xludf.DUMMYFUNCTION("""COMPUTED_VALUE"""),"Credit Card")</f>
        <v>Credit Card</v>
      </c>
      <c r="J749" s="14" t="str">
        <f>IFERROR(__xludf.DUMMYFUNCTION("""COMPUTED_VALUE"""),"Cancelled*App Glitches:Slow Loading Time")</f>
        <v>Cancelled*App Glitches:Slow Loading Time</v>
      </c>
      <c r="K749" s="14" t="str">
        <f>IFERROR(__xludf.DUMMYFUNCTION("split(E749,""+"")"),"Orange")</f>
        <v>Orange</v>
      </c>
      <c r="L749" s="14" t="str">
        <f>IFERROR(__xludf.DUMMYFUNCTION("""COMPUTED_VALUE"""),"1*Not Assigned")</f>
        <v>1*Not Assigned</v>
      </c>
      <c r="M749" s="14">
        <f>IFERROR(__xludf.DUMMYFUNCTION("SPLIT(L749,""*"")"),1.0)</f>
        <v>1</v>
      </c>
      <c r="N749" s="14" t="str">
        <f>IFERROR(__xludf.DUMMYFUNCTION("""COMPUTED_VALUE"""),"Not Assigned")</f>
        <v>Not Assigned</v>
      </c>
      <c r="O749" s="14" t="str">
        <f>IFERROR(__xludf.DUMMYFUNCTION("split(J749,""*"")"),"Cancelled")</f>
        <v>Cancelled</v>
      </c>
      <c r="P749" s="14" t="str">
        <f>IFERROR(__xludf.DUMMYFUNCTION("""COMPUTED_VALUE"""),"App Glitches:Slow Loading Time")</f>
        <v>App Glitches:Slow Loading Time</v>
      </c>
      <c r="Q749" s="14" t="str">
        <f>IFERROR(__xludf.DUMMYFUNCTION("split(P749,"":"")"),"App Glitches")</f>
        <v>App Glitches</v>
      </c>
      <c r="R749" s="14" t="str">
        <f>IFERROR(__xludf.DUMMYFUNCTION("""COMPUTED_VALUE"""),"Slow Loading Time")</f>
        <v>Slow Loading Time</v>
      </c>
      <c r="S749" s="14" t="str">
        <f t="shared" ref="S749:U749" si="1501">trim(B749)</f>
        <v>ord_10740</v>
      </c>
      <c r="T749" s="14" t="str">
        <f t="shared" si="1501"/>
        <v>Siya Reddy</v>
      </c>
      <c r="U749" s="14" t="str">
        <f t="shared" si="1501"/>
        <v>Juhu</v>
      </c>
      <c r="V749" s="14" t="str">
        <f t="shared" si="4"/>
        <v>Orange</v>
      </c>
      <c r="W749" s="14">
        <f t="shared" si="5"/>
        <v>1</v>
      </c>
      <c r="X749" s="14" t="str">
        <f t="shared" si="6"/>
        <v>Not Assigned</v>
      </c>
      <c r="Y749" s="15">
        <f t="shared" si="7"/>
        <v>45211</v>
      </c>
      <c r="Z749" s="14" t="str">
        <f t="shared" si="8"/>
        <v>Credit Card</v>
      </c>
      <c r="AA749" s="14" t="str">
        <f t="shared" si="9"/>
        <v>Cancelled</v>
      </c>
      <c r="AB749" s="14" t="str">
        <f t="shared" ref="AB749:AC749" si="1502">trim(Q749)</f>
        <v>App Glitches</v>
      </c>
      <c r="AC749" s="14" t="str">
        <f t="shared" si="1502"/>
        <v>Slow Loading Time</v>
      </c>
      <c r="AD749" s="8"/>
    </row>
    <row r="750">
      <c r="A750" s="14" t="str">
        <f>IFERROR(__xludf.DUMMYFUNCTION("""COMPUTED_VALUE"""),"//ord_10741//Anaya Rao//Colaba//Cucumber+1*Ramesh S/10/21/2023//UPI//Cancelled*Delayed Delivery:Vehicle Breakdown")</f>
        <v>//ord_10741//Anaya Rao//Colaba//Cucumber+1*Ramesh S/10/21/2023//UPI//Cancelled*Delayed Delivery:Vehicle Breakdown</v>
      </c>
      <c r="B750" s="14" t="str">
        <f>IFERROR(__xludf.DUMMYFUNCTION("split(A750,""//"")"),"ord_10741")</f>
        <v>ord_10741</v>
      </c>
      <c r="C750" s="14" t="str">
        <f>IFERROR(__xludf.DUMMYFUNCTION("""COMPUTED_VALUE"""),"Anaya Rao")</f>
        <v>Anaya Rao</v>
      </c>
      <c r="D750" s="14" t="str">
        <f>IFERROR(__xludf.DUMMYFUNCTION("""COMPUTED_VALUE"""),"Colaba")</f>
        <v>Colaba</v>
      </c>
      <c r="E750" s="14" t="str">
        <f>IFERROR(__xludf.DUMMYFUNCTION("""COMPUTED_VALUE"""),"Cucumber+1*Ramesh S")</f>
        <v>Cucumber+1*Ramesh S</v>
      </c>
      <c r="F750" s="14">
        <f>IFERROR(__xludf.DUMMYFUNCTION("""COMPUTED_VALUE"""),10.0)</f>
        <v>10</v>
      </c>
      <c r="G750" s="14">
        <f>IFERROR(__xludf.DUMMYFUNCTION("""COMPUTED_VALUE"""),21.0)</f>
        <v>21</v>
      </c>
      <c r="H750" s="14">
        <f>IFERROR(__xludf.DUMMYFUNCTION("""COMPUTED_VALUE"""),2023.0)</f>
        <v>2023</v>
      </c>
      <c r="I750" s="14" t="str">
        <f>IFERROR(__xludf.DUMMYFUNCTION("""COMPUTED_VALUE"""),"UPI")</f>
        <v>UPI</v>
      </c>
      <c r="J750" s="14" t="str">
        <f>IFERROR(__xludf.DUMMYFUNCTION("""COMPUTED_VALUE"""),"Cancelled*Delayed Delivery:Vehicle Breakdown")</f>
        <v>Cancelled*Delayed Delivery:Vehicle Breakdown</v>
      </c>
      <c r="K750" s="14" t="str">
        <f>IFERROR(__xludf.DUMMYFUNCTION("split(E750,""+"")"),"Cucumber")</f>
        <v>Cucumber</v>
      </c>
      <c r="L750" s="14" t="str">
        <f>IFERROR(__xludf.DUMMYFUNCTION("""COMPUTED_VALUE"""),"1*Ramesh S")</f>
        <v>1*Ramesh S</v>
      </c>
      <c r="M750" s="14">
        <f>IFERROR(__xludf.DUMMYFUNCTION("SPLIT(L750,""*"")"),1.0)</f>
        <v>1</v>
      </c>
      <c r="N750" s="14" t="str">
        <f>IFERROR(__xludf.DUMMYFUNCTION("""COMPUTED_VALUE"""),"Ramesh S")</f>
        <v>Ramesh S</v>
      </c>
      <c r="O750" s="14" t="str">
        <f>IFERROR(__xludf.DUMMYFUNCTION("split(J750,""*"")"),"Cancelled")</f>
        <v>Cancelled</v>
      </c>
      <c r="P750" s="14" t="str">
        <f>IFERROR(__xludf.DUMMYFUNCTION("""COMPUTED_VALUE"""),"Delayed Delivery:Vehicle Breakdown")</f>
        <v>Delayed Delivery:Vehicle Breakdown</v>
      </c>
      <c r="Q750" s="14" t="str">
        <f>IFERROR(__xludf.DUMMYFUNCTION("split(P750,"":"")"),"Delayed Delivery")</f>
        <v>Delayed Delivery</v>
      </c>
      <c r="R750" s="14" t="str">
        <f>IFERROR(__xludf.DUMMYFUNCTION("""COMPUTED_VALUE"""),"Vehicle Breakdown")</f>
        <v>Vehicle Breakdown</v>
      </c>
      <c r="S750" s="14" t="str">
        <f t="shared" ref="S750:U750" si="1503">trim(B750)</f>
        <v>ord_10741</v>
      </c>
      <c r="T750" s="14" t="str">
        <f t="shared" si="1503"/>
        <v>Anaya Rao</v>
      </c>
      <c r="U750" s="14" t="str">
        <f t="shared" si="1503"/>
        <v>Colaba</v>
      </c>
      <c r="V750" s="14" t="str">
        <f t="shared" si="4"/>
        <v>Cucumber</v>
      </c>
      <c r="W750" s="14">
        <f t="shared" si="5"/>
        <v>1</v>
      </c>
      <c r="X750" s="14" t="str">
        <f t="shared" si="6"/>
        <v>Ramesh S</v>
      </c>
      <c r="Y750" s="15">
        <f t="shared" si="7"/>
        <v>45220</v>
      </c>
      <c r="Z750" s="14" t="str">
        <f t="shared" si="8"/>
        <v>UPI</v>
      </c>
      <c r="AA750" s="14" t="str">
        <f t="shared" si="9"/>
        <v>Cancelled</v>
      </c>
      <c r="AB750" s="14" t="str">
        <f t="shared" ref="AB750:AC750" si="1504">trim(Q750)</f>
        <v>Delayed Delivery</v>
      </c>
      <c r="AC750" s="14" t="str">
        <f t="shared" si="1504"/>
        <v>Vehicle Breakdown</v>
      </c>
      <c r="AD750" s="8"/>
    </row>
    <row r="751">
      <c r="A751" s="14" t="str">
        <f>IFERROR(__xludf.DUMMYFUNCTION("""COMPUTED_VALUE"""),"//ord_10742//Aarohi Kapoor//Bandra//Orange+1*Neha Shah/3/12/2023//Credit Card//Cancelled*Delayed Delivery:Heavy Traffic")</f>
        <v>//ord_10742//Aarohi Kapoor//Bandra//Orange+1*Neha Shah/3/12/2023//Credit Card//Cancelled*Delayed Delivery:Heavy Traffic</v>
      </c>
      <c r="B751" s="14" t="str">
        <f>IFERROR(__xludf.DUMMYFUNCTION("split(A751,""//"")"),"ord_10742")</f>
        <v>ord_10742</v>
      </c>
      <c r="C751" s="14" t="str">
        <f>IFERROR(__xludf.DUMMYFUNCTION("""COMPUTED_VALUE"""),"Aarohi Kapoor")</f>
        <v>Aarohi Kapoor</v>
      </c>
      <c r="D751" s="14" t="str">
        <f>IFERROR(__xludf.DUMMYFUNCTION("""COMPUTED_VALUE"""),"Bandra")</f>
        <v>Bandra</v>
      </c>
      <c r="E751" s="14" t="str">
        <f>IFERROR(__xludf.DUMMYFUNCTION("""COMPUTED_VALUE"""),"Orange+1*Neha Shah")</f>
        <v>Orange+1*Neha Shah</v>
      </c>
      <c r="F751" s="14">
        <f>IFERROR(__xludf.DUMMYFUNCTION("""COMPUTED_VALUE"""),3.0)</f>
        <v>3</v>
      </c>
      <c r="G751" s="14">
        <f>IFERROR(__xludf.DUMMYFUNCTION("""COMPUTED_VALUE"""),12.0)</f>
        <v>12</v>
      </c>
      <c r="H751" s="14">
        <f>IFERROR(__xludf.DUMMYFUNCTION("""COMPUTED_VALUE"""),2023.0)</f>
        <v>2023</v>
      </c>
      <c r="I751" s="14" t="str">
        <f>IFERROR(__xludf.DUMMYFUNCTION("""COMPUTED_VALUE"""),"Credit Card")</f>
        <v>Credit Card</v>
      </c>
      <c r="J751" s="14" t="str">
        <f>IFERROR(__xludf.DUMMYFUNCTION("""COMPUTED_VALUE"""),"Cancelled*Delayed Delivery:Heavy Traffic")</f>
        <v>Cancelled*Delayed Delivery:Heavy Traffic</v>
      </c>
      <c r="K751" s="14" t="str">
        <f>IFERROR(__xludf.DUMMYFUNCTION("split(E751,""+"")"),"Orange")</f>
        <v>Orange</v>
      </c>
      <c r="L751" s="14" t="str">
        <f>IFERROR(__xludf.DUMMYFUNCTION("""COMPUTED_VALUE"""),"1*Neha Shah")</f>
        <v>1*Neha Shah</v>
      </c>
      <c r="M751" s="14">
        <f>IFERROR(__xludf.DUMMYFUNCTION("SPLIT(L751,""*"")"),1.0)</f>
        <v>1</v>
      </c>
      <c r="N751" s="14" t="str">
        <f>IFERROR(__xludf.DUMMYFUNCTION("""COMPUTED_VALUE"""),"Neha Shah")</f>
        <v>Neha Shah</v>
      </c>
      <c r="O751" s="14" t="str">
        <f>IFERROR(__xludf.DUMMYFUNCTION("split(J751,""*"")"),"Cancelled")</f>
        <v>Cancelled</v>
      </c>
      <c r="P751" s="14" t="str">
        <f>IFERROR(__xludf.DUMMYFUNCTION("""COMPUTED_VALUE"""),"Delayed Delivery:Heavy Traffic")</f>
        <v>Delayed Delivery:Heavy Traffic</v>
      </c>
      <c r="Q751" s="14" t="str">
        <f>IFERROR(__xludf.DUMMYFUNCTION("split(P751,"":"")"),"Delayed Delivery")</f>
        <v>Delayed Delivery</v>
      </c>
      <c r="R751" s="14" t="str">
        <f>IFERROR(__xludf.DUMMYFUNCTION("""COMPUTED_VALUE"""),"Heavy Traffic")</f>
        <v>Heavy Traffic</v>
      </c>
      <c r="S751" s="14" t="str">
        <f t="shared" ref="S751:U751" si="1505">trim(B751)</f>
        <v>ord_10742</v>
      </c>
      <c r="T751" s="14" t="str">
        <f t="shared" si="1505"/>
        <v>Aarohi Kapoor</v>
      </c>
      <c r="U751" s="14" t="str">
        <f t="shared" si="1505"/>
        <v>Bandra</v>
      </c>
      <c r="V751" s="14" t="str">
        <f t="shared" si="4"/>
        <v>Orange</v>
      </c>
      <c r="W751" s="14">
        <f t="shared" si="5"/>
        <v>1</v>
      </c>
      <c r="X751" s="14" t="str">
        <f t="shared" si="6"/>
        <v>Neha Shah</v>
      </c>
      <c r="Y751" s="15">
        <f t="shared" si="7"/>
        <v>44997</v>
      </c>
      <c r="Z751" s="14" t="str">
        <f t="shared" si="8"/>
        <v>Credit Card</v>
      </c>
      <c r="AA751" s="14" t="str">
        <f t="shared" si="9"/>
        <v>Cancelled</v>
      </c>
      <c r="AB751" s="14" t="str">
        <f t="shared" ref="AB751:AC751" si="1506">trim(Q751)</f>
        <v>Delayed Delivery</v>
      </c>
      <c r="AC751" s="14" t="str">
        <f t="shared" si="1506"/>
        <v>Heavy Traffic</v>
      </c>
      <c r="AD751" s="8"/>
    </row>
    <row r="752">
      <c r="A752" s="14" t="str">
        <f>IFERROR(__xludf.DUMMYFUNCTION("""COMPUTED_VALUE"""),"//ord_10743//Dev Chauhan//Bandra//Apple+1*Vivek Kumar/3/8/2023//UPI//Delivered*Quality of Items: Perfect condition")</f>
        <v>//ord_10743//Dev Chauhan//Bandra//Apple+1*Vivek Kumar/3/8/2023//UPI//Delivered*Quality of Items: Perfect condition</v>
      </c>
      <c r="B752" s="14" t="str">
        <f>IFERROR(__xludf.DUMMYFUNCTION("split(A752,""//"")"),"ord_10743")</f>
        <v>ord_10743</v>
      </c>
      <c r="C752" s="14" t="str">
        <f>IFERROR(__xludf.DUMMYFUNCTION("""COMPUTED_VALUE"""),"Dev Chauhan")</f>
        <v>Dev Chauhan</v>
      </c>
      <c r="D752" s="14" t="str">
        <f>IFERROR(__xludf.DUMMYFUNCTION("""COMPUTED_VALUE"""),"Bandra")</f>
        <v>Bandra</v>
      </c>
      <c r="E752" s="14" t="str">
        <f>IFERROR(__xludf.DUMMYFUNCTION("""COMPUTED_VALUE"""),"Apple+1*Vivek Kumar")</f>
        <v>Apple+1*Vivek Kumar</v>
      </c>
      <c r="F752" s="14">
        <f>IFERROR(__xludf.DUMMYFUNCTION("""COMPUTED_VALUE"""),3.0)</f>
        <v>3</v>
      </c>
      <c r="G752" s="14">
        <f>IFERROR(__xludf.DUMMYFUNCTION("""COMPUTED_VALUE"""),8.0)</f>
        <v>8</v>
      </c>
      <c r="H752" s="14">
        <f>IFERROR(__xludf.DUMMYFUNCTION("""COMPUTED_VALUE"""),2023.0)</f>
        <v>2023</v>
      </c>
      <c r="I752" s="14" t="str">
        <f>IFERROR(__xludf.DUMMYFUNCTION("""COMPUTED_VALUE"""),"UPI")</f>
        <v>UPI</v>
      </c>
      <c r="J752" s="14" t="str">
        <f>IFERROR(__xludf.DUMMYFUNCTION("""COMPUTED_VALUE"""),"Delivered*Quality of Items: Perfect condition")</f>
        <v>Delivered*Quality of Items: Perfect condition</v>
      </c>
      <c r="K752" s="14" t="str">
        <f>IFERROR(__xludf.DUMMYFUNCTION("split(E752,""+"")"),"Apple")</f>
        <v>Apple</v>
      </c>
      <c r="L752" s="14" t="str">
        <f>IFERROR(__xludf.DUMMYFUNCTION("""COMPUTED_VALUE"""),"1*Vivek Kumar")</f>
        <v>1*Vivek Kumar</v>
      </c>
      <c r="M752" s="14">
        <f>IFERROR(__xludf.DUMMYFUNCTION("SPLIT(L752,""*"")"),1.0)</f>
        <v>1</v>
      </c>
      <c r="N752" s="14" t="str">
        <f>IFERROR(__xludf.DUMMYFUNCTION("""COMPUTED_VALUE"""),"Vivek Kumar")</f>
        <v>Vivek Kumar</v>
      </c>
      <c r="O752" s="14" t="str">
        <f>IFERROR(__xludf.DUMMYFUNCTION("split(J752,""*"")"),"Delivered")</f>
        <v>Delivered</v>
      </c>
      <c r="P752" s="14" t="str">
        <f>IFERROR(__xludf.DUMMYFUNCTION("""COMPUTED_VALUE"""),"Quality of Items: Perfect condition")</f>
        <v>Quality of Items: Perfect condition</v>
      </c>
      <c r="Q752" s="14" t="str">
        <f>IFERROR(__xludf.DUMMYFUNCTION("split(P752,"":"")"),"Quality of Items")</f>
        <v>Quality of Items</v>
      </c>
      <c r="R752" s="14" t="str">
        <f>IFERROR(__xludf.DUMMYFUNCTION("""COMPUTED_VALUE""")," Perfect condition")</f>
        <v> Perfect condition</v>
      </c>
      <c r="S752" s="14" t="str">
        <f t="shared" ref="S752:U752" si="1507">trim(B752)</f>
        <v>ord_10743</v>
      </c>
      <c r="T752" s="14" t="str">
        <f t="shared" si="1507"/>
        <v>Dev Chauhan</v>
      </c>
      <c r="U752" s="14" t="str">
        <f t="shared" si="1507"/>
        <v>Bandra</v>
      </c>
      <c r="V752" s="14" t="str">
        <f t="shared" si="4"/>
        <v>Apple</v>
      </c>
      <c r="W752" s="14">
        <f t="shared" si="5"/>
        <v>1</v>
      </c>
      <c r="X752" s="14" t="str">
        <f t="shared" si="6"/>
        <v>Vivek Kumar</v>
      </c>
      <c r="Y752" s="15">
        <f t="shared" si="7"/>
        <v>44993</v>
      </c>
      <c r="Z752" s="14" t="str">
        <f t="shared" si="8"/>
        <v>UPI</v>
      </c>
      <c r="AA752" s="14" t="str">
        <f t="shared" si="9"/>
        <v>Delivered</v>
      </c>
      <c r="AB752" s="14" t="str">
        <f t="shared" ref="AB752:AC752" si="1508">trim(Q752)</f>
        <v>Quality of Items</v>
      </c>
      <c r="AC752" s="14" t="str">
        <f t="shared" si="1508"/>
        <v>Perfect condition</v>
      </c>
      <c r="AD752" s="8"/>
    </row>
    <row r="753">
      <c r="A753" s="14" t="str">
        <f>IFERROR(__xludf.DUMMYFUNCTION("""COMPUTED_VALUE"""),"//ord_10744//Ishita Banerjee//Juhu//Tomato+1*Vivek Kumar/5/19/2023//UPI//Cancelled*Delayed Delivery:Bad Weather Conditions ")</f>
        <v>//ord_10744//Ishita Banerjee//Juhu//Tomato+1*Vivek Kumar/5/19/2023//UPI//Cancelled*Delayed Delivery:Bad Weather Conditions </v>
      </c>
      <c r="B753" s="14" t="str">
        <f>IFERROR(__xludf.DUMMYFUNCTION("split(A753,""//"")"),"ord_10744")</f>
        <v>ord_10744</v>
      </c>
      <c r="C753" s="14" t="str">
        <f>IFERROR(__xludf.DUMMYFUNCTION("""COMPUTED_VALUE"""),"Ishita Banerjee")</f>
        <v>Ishita Banerjee</v>
      </c>
      <c r="D753" s="14" t="str">
        <f>IFERROR(__xludf.DUMMYFUNCTION("""COMPUTED_VALUE"""),"Juhu")</f>
        <v>Juhu</v>
      </c>
      <c r="E753" s="14" t="str">
        <f>IFERROR(__xludf.DUMMYFUNCTION("""COMPUTED_VALUE"""),"Tomato+1*Vivek Kumar")</f>
        <v>Tomato+1*Vivek Kumar</v>
      </c>
      <c r="F753" s="14">
        <f>IFERROR(__xludf.DUMMYFUNCTION("""COMPUTED_VALUE"""),5.0)</f>
        <v>5</v>
      </c>
      <c r="G753" s="14">
        <f>IFERROR(__xludf.DUMMYFUNCTION("""COMPUTED_VALUE"""),19.0)</f>
        <v>19</v>
      </c>
      <c r="H753" s="14">
        <f>IFERROR(__xludf.DUMMYFUNCTION("""COMPUTED_VALUE"""),2023.0)</f>
        <v>2023</v>
      </c>
      <c r="I753" s="14" t="str">
        <f>IFERROR(__xludf.DUMMYFUNCTION("""COMPUTED_VALUE"""),"UPI")</f>
        <v>UPI</v>
      </c>
      <c r="J753" s="14" t="str">
        <f>IFERROR(__xludf.DUMMYFUNCTION("""COMPUTED_VALUE"""),"Cancelled*Delayed Delivery:Bad Weather Conditions ")</f>
        <v>Cancelled*Delayed Delivery:Bad Weather Conditions </v>
      </c>
      <c r="K753" s="14" t="str">
        <f>IFERROR(__xludf.DUMMYFUNCTION("split(E753,""+"")"),"Tomato")</f>
        <v>Tomato</v>
      </c>
      <c r="L753" s="14" t="str">
        <f>IFERROR(__xludf.DUMMYFUNCTION("""COMPUTED_VALUE"""),"1*Vivek Kumar")</f>
        <v>1*Vivek Kumar</v>
      </c>
      <c r="M753" s="14">
        <f>IFERROR(__xludf.DUMMYFUNCTION("SPLIT(L753,""*"")"),1.0)</f>
        <v>1</v>
      </c>
      <c r="N753" s="14" t="str">
        <f>IFERROR(__xludf.DUMMYFUNCTION("""COMPUTED_VALUE"""),"Vivek Kumar")</f>
        <v>Vivek Kumar</v>
      </c>
      <c r="O753" s="14" t="str">
        <f>IFERROR(__xludf.DUMMYFUNCTION("split(J753,""*"")"),"Cancelled")</f>
        <v>Cancelled</v>
      </c>
      <c r="P753" s="14" t="str">
        <f>IFERROR(__xludf.DUMMYFUNCTION("""COMPUTED_VALUE"""),"Delayed Delivery:Bad Weather Conditions ")</f>
        <v>Delayed Delivery:Bad Weather Conditions </v>
      </c>
      <c r="Q753" s="14" t="str">
        <f>IFERROR(__xludf.DUMMYFUNCTION("split(P753,"":"")"),"Delayed Delivery")</f>
        <v>Delayed Delivery</v>
      </c>
      <c r="R753" s="14" t="str">
        <f>IFERROR(__xludf.DUMMYFUNCTION("""COMPUTED_VALUE"""),"Bad Weather Conditions ")</f>
        <v>Bad Weather Conditions </v>
      </c>
      <c r="S753" s="14" t="str">
        <f t="shared" ref="S753:U753" si="1509">trim(B753)</f>
        <v>ord_10744</v>
      </c>
      <c r="T753" s="14" t="str">
        <f t="shared" si="1509"/>
        <v>Ishita Banerjee</v>
      </c>
      <c r="U753" s="14" t="str">
        <f t="shared" si="1509"/>
        <v>Juhu</v>
      </c>
      <c r="V753" s="14" t="str">
        <f t="shared" si="4"/>
        <v>Tomato</v>
      </c>
      <c r="W753" s="14">
        <f t="shared" si="5"/>
        <v>1</v>
      </c>
      <c r="X753" s="14" t="str">
        <f t="shared" si="6"/>
        <v>Vivek Kumar</v>
      </c>
      <c r="Y753" s="15">
        <f t="shared" si="7"/>
        <v>45065</v>
      </c>
      <c r="Z753" s="14" t="str">
        <f t="shared" si="8"/>
        <v>UPI</v>
      </c>
      <c r="AA753" s="14" t="str">
        <f t="shared" si="9"/>
        <v>Cancelled</v>
      </c>
      <c r="AB753" s="14" t="str">
        <f t="shared" ref="AB753:AC753" si="1510">trim(Q753)</f>
        <v>Delayed Delivery</v>
      </c>
      <c r="AC753" s="14" t="str">
        <f t="shared" si="1510"/>
        <v>Bad Weather Conditions</v>
      </c>
      <c r="AD753" s="8"/>
    </row>
    <row r="754">
      <c r="A754" s="14" t="str">
        <f>IFERROR(__xludf.DUMMYFUNCTION("""COMPUTED_VALUE"""),"//ord_10745//Ishita Banerjee//Juhu//Onion+2*Priya Joshi/7/18/2023//Credit Card//Cancelled*Delayed Delivery:Heavy Traffic")</f>
        <v>//ord_10745//Ishita Banerjee//Juhu//Onion+2*Priya Joshi/7/18/2023//Credit Card//Cancelled*Delayed Delivery:Heavy Traffic</v>
      </c>
      <c r="B754" s="14" t="str">
        <f>IFERROR(__xludf.DUMMYFUNCTION("split(A754,""//"")"),"ord_10745")</f>
        <v>ord_10745</v>
      </c>
      <c r="C754" s="14" t="str">
        <f>IFERROR(__xludf.DUMMYFUNCTION("""COMPUTED_VALUE"""),"Ishita Banerjee")</f>
        <v>Ishita Banerjee</v>
      </c>
      <c r="D754" s="14" t="str">
        <f>IFERROR(__xludf.DUMMYFUNCTION("""COMPUTED_VALUE"""),"Juhu")</f>
        <v>Juhu</v>
      </c>
      <c r="E754" s="14" t="str">
        <f>IFERROR(__xludf.DUMMYFUNCTION("""COMPUTED_VALUE"""),"Onion+2*Priya Joshi")</f>
        <v>Onion+2*Priya Joshi</v>
      </c>
      <c r="F754" s="14">
        <f>IFERROR(__xludf.DUMMYFUNCTION("""COMPUTED_VALUE"""),7.0)</f>
        <v>7</v>
      </c>
      <c r="G754" s="14">
        <f>IFERROR(__xludf.DUMMYFUNCTION("""COMPUTED_VALUE"""),18.0)</f>
        <v>18</v>
      </c>
      <c r="H754" s="14">
        <f>IFERROR(__xludf.DUMMYFUNCTION("""COMPUTED_VALUE"""),2023.0)</f>
        <v>2023</v>
      </c>
      <c r="I754" s="14" t="str">
        <f>IFERROR(__xludf.DUMMYFUNCTION("""COMPUTED_VALUE"""),"Credit Card")</f>
        <v>Credit Card</v>
      </c>
      <c r="J754" s="14" t="str">
        <f>IFERROR(__xludf.DUMMYFUNCTION("""COMPUTED_VALUE"""),"Cancelled*Delayed Delivery:Heavy Traffic")</f>
        <v>Cancelled*Delayed Delivery:Heavy Traffic</v>
      </c>
      <c r="K754" s="14" t="str">
        <f>IFERROR(__xludf.DUMMYFUNCTION("split(E754,""+"")"),"Onion")</f>
        <v>Onion</v>
      </c>
      <c r="L754" s="14" t="str">
        <f>IFERROR(__xludf.DUMMYFUNCTION("""COMPUTED_VALUE"""),"2*Priya Joshi")</f>
        <v>2*Priya Joshi</v>
      </c>
      <c r="M754" s="14">
        <f>IFERROR(__xludf.DUMMYFUNCTION("SPLIT(L754,""*"")"),2.0)</f>
        <v>2</v>
      </c>
      <c r="N754" s="14" t="str">
        <f>IFERROR(__xludf.DUMMYFUNCTION("""COMPUTED_VALUE"""),"Priya Joshi")</f>
        <v>Priya Joshi</v>
      </c>
      <c r="O754" s="14" t="str">
        <f>IFERROR(__xludf.DUMMYFUNCTION("split(J754,""*"")"),"Cancelled")</f>
        <v>Cancelled</v>
      </c>
      <c r="P754" s="14" t="str">
        <f>IFERROR(__xludf.DUMMYFUNCTION("""COMPUTED_VALUE"""),"Delayed Delivery:Heavy Traffic")</f>
        <v>Delayed Delivery:Heavy Traffic</v>
      </c>
      <c r="Q754" s="14" t="str">
        <f>IFERROR(__xludf.DUMMYFUNCTION("split(P754,"":"")"),"Delayed Delivery")</f>
        <v>Delayed Delivery</v>
      </c>
      <c r="R754" s="14" t="str">
        <f>IFERROR(__xludf.DUMMYFUNCTION("""COMPUTED_VALUE"""),"Heavy Traffic")</f>
        <v>Heavy Traffic</v>
      </c>
      <c r="S754" s="14" t="str">
        <f t="shared" ref="S754:U754" si="1511">trim(B754)</f>
        <v>ord_10745</v>
      </c>
      <c r="T754" s="14" t="str">
        <f t="shared" si="1511"/>
        <v>Ishita Banerjee</v>
      </c>
      <c r="U754" s="14" t="str">
        <f t="shared" si="1511"/>
        <v>Juhu</v>
      </c>
      <c r="V754" s="14" t="str">
        <f t="shared" si="4"/>
        <v>Onion</v>
      </c>
      <c r="W754" s="14">
        <f t="shared" si="5"/>
        <v>2</v>
      </c>
      <c r="X754" s="14" t="str">
        <f t="shared" si="6"/>
        <v>Priya Joshi</v>
      </c>
      <c r="Y754" s="15">
        <f t="shared" si="7"/>
        <v>45125</v>
      </c>
      <c r="Z754" s="14" t="str">
        <f t="shared" si="8"/>
        <v>Credit Card</v>
      </c>
      <c r="AA754" s="14" t="str">
        <f t="shared" si="9"/>
        <v>Cancelled</v>
      </c>
      <c r="AB754" s="14" t="str">
        <f t="shared" ref="AB754:AC754" si="1512">trim(Q754)</f>
        <v>Delayed Delivery</v>
      </c>
      <c r="AC754" s="14" t="str">
        <f t="shared" si="1512"/>
        <v>Heavy Traffic</v>
      </c>
      <c r="AD754" s="8"/>
    </row>
    <row r="755">
      <c r="A755" s="14" t="str">
        <f>IFERROR(__xludf.DUMMYFUNCTION("""COMPUTED_VALUE"""),"//ord_10746//Parth Goel//Juhu//Tomato+2*Not Assigned/12/30/2023//Online Payment//Cancelled*Out of Stock")</f>
        <v>//ord_10746//Parth Goel//Juhu//Tomato+2*Not Assigned/12/30/2023//Online Payment//Cancelled*Out of Stock</v>
      </c>
      <c r="B755" s="14" t="str">
        <f>IFERROR(__xludf.DUMMYFUNCTION("split(A755,""//"")"),"ord_10746")</f>
        <v>ord_10746</v>
      </c>
      <c r="C755" s="14" t="str">
        <f>IFERROR(__xludf.DUMMYFUNCTION("""COMPUTED_VALUE"""),"Parth Goel")</f>
        <v>Parth Goel</v>
      </c>
      <c r="D755" s="14" t="str">
        <f>IFERROR(__xludf.DUMMYFUNCTION("""COMPUTED_VALUE"""),"Juhu")</f>
        <v>Juhu</v>
      </c>
      <c r="E755" s="14" t="str">
        <f>IFERROR(__xludf.DUMMYFUNCTION("""COMPUTED_VALUE"""),"Tomato+2*Not Assigned")</f>
        <v>Tomato+2*Not Assigned</v>
      </c>
      <c r="F755" s="14">
        <f>IFERROR(__xludf.DUMMYFUNCTION("""COMPUTED_VALUE"""),12.0)</f>
        <v>12</v>
      </c>
      <c r="G755" s="14">
        <f>IFERROR(__xludf.DUMMYFUNCTION("""COMPUTED_VALUE"""),30.0)</f>
        <v>30</v>
      </c>
      <c r="H755" s="14">
        <f>IFERROR(__xludf.DUMMYFUNCTION("""COMPUTED_VALUE"""),2023.0)</f>
        <v>2023</v>
      </c>
      <c r="I755" s="14" t="str">
        <f>IFERROR(__xludf.DUMMYFUNCTION("""COMPUTED_VALUE"""),"Online Payment")</f>
        <v>Online Payment</v>
      </c>
      <c r="J755" s="14" t="str">
        <f>IFERROR(__xludf.DUMMYFUNCTION("""COMPUTED_VALUE"""),"Cancelled*Out of Stock")</f>
        <v>Cancelled*Out of Stock</v>
      </c>
      <c r="K755" s="14" t="str">
        <f>IFERROR(__xludf.DUMMYFUNCTION("split(E755,""+"")"),"Tomato")</f>
        <v>Tomato</v>
      </c>
      <c r="L755" s="14" t="str">
        <f>IFERROR(__xludf.DUMMYFUNCTION("""COMPUTED_VALUE"""),"2*Not Assigned")</f>
        <v>2*Not Assigned</v>
      </c>
      <c r="M755" s="14">
        <f>IFERROR(__xludf.DUMMYFUNCTION("SPLIT(L755,""*"")"),2.0)</f>
        <v>2</v>
      </c>
      <c r="N755" s="14" t="str">
        <f>IFERROR(__xludf.DUMMYFUNCTION("""COMPUTED_VALUE"""),"Not Assigned")</f>
        <v>Not Assigned</v>
      </c>
      <c r="O755" s="14" t="str">
        <f>IFERROR(__xludf.DUMMYFUNCTION("split(J755,""*"")"),"Cancelled")</f>
        <v>Cancelled</v>
      </c>
      <c r="P755" s="14" t="str">
        <f>IFERROR(__xludf.DUMMYFUNCTION("""COMPUTED_VALUE"""),"Out of Stock")</f>
        <v>Out of Stock</v>
      </c>
      <c r="Q755" s="14" t="str">
        <f>IFERROR(__xludf.DUMMYFUNCTION("split(P755,"":"")"),"Out of Stock")</f>
        <v>Out of Stock</v>
      </c>
      <c r="R755" s="14"/>
      <c r="S755" s="14" t="str">
        <f t="shared" ref="S755:U755" si="1513">trim(B755)</f>
        <v>ord_10746</v>
      </c>
      <c r="T755" s="14" t="str">
        <f t="shared" si="1513"/>
        <v>Parth Goel</v>
      </c>
      <c r="U755" s="14" t="str">
        <f t="shared" si="1513"/>
        <v>Juhu</v>
      </c>
      <c r="V755" s="14" t="str">
        <f t="shared" si="4"/>
        <v>Tomato</v>
      </c>
      <c r="W755" s="14">
        <f t="shared" si="5"/>
        <v>2</v>
      </c>
      <c r="X755" s="14" t="str">
        <f t="shared" si="6"/>
        <v>Not Assigned</v>
      </c>
      <c r="Y755" s="15">
        <f t="shared" si="7"/>
        <v>45290</v>
      </c>
      <c r="Z755" s="14" t="str">
        <f t="shared" si="8"/>
        <v>Online Payment</v>
      </c>
      <c r="AA755" s="14" t="str">
        <f t="shared" si="9"/>
        <v>Cancelled</v>
      </c>
      <c r="AB755" s="14" t="str">
        <f t="shared" ref="AB755:AC755" si="1514">trim(Q755)</f>
        <v>Out of Stock</v>
      </c>
      <c r="AC755" s="14" t="str">
        <f t="shared" si="1514"/>
        <v/>
      </c>
      <c r="AD755" s="8"/>
    </row>
    <row r="756">
      <c r="A756" s="14" t="str">
        <f>IFERROR(__xludf.DUMMYFUNCTION("""COMPUTED_VALUE"""),"//ord_10747//Mehul Thakkar//Malad//Rasmalai+2*Not Assigned/12/3/2023//Online Payment//Cancelled*App Glitches: Payment Button Malfunction")</f>
        <v>//ord_10747//Mehul Thakkar//Malad//Rasmalai+2*Not Assigned/12/3/2023//Online Payment//Cancelled*App Glitches: Payment Button Malfunction</v>
      </c>
      <c r="B756" s="14" t="str">
        <f>IFERROR(__xludf.DUMMYFUNCTION("split(A756,""//"")"),"ord_10747")</f>
        <v>ord_10747</v>
      </c>
      <c r="C756" s="14" t="str">
        <f>IFERROR(__xludf.DUMMYFUNCTION("""COMPUTED_VALUE"""),"Mehul Thakkar")</f>
        <v>Mehul Thakkar</v>
      </c>
      <c r="D756" s="14" t="str">
        <f>IFERROR(__xludf.DUMMYFUNCTION("""COMPUTED_VALUE"""),"Malad")</f>
        <v>Malad</v>
      </c>
      <c r="E756" s="14" t="str">
        <f>IFERROR(__xludf.DUMMYFUNCTION("""COMPUTED_VALUE"""),"Rasmalai+2*Not Assigned")</f>
        <v>Rasmalai+2*Not Assigned</v>
      </c>
      <c r="F756" s="14">
        <f>IFERROR(__xludf.DUMMYFUNCTION("""COMPUTED_VALUE"""),12.0)</f>
        <v>12</v>
      </c>
      <c r="G756" s="14">
        <f>IFERROR(__xludf.DUMMYFUNCTION("""COMPUTED_VALUE"""),3.0)</f>
        <v>3</v>
      </c>
      <c r="H756" s="14">
        <f>IFERROR(__xludf.DUMMYFUNCTION("""COMPUTED_VALUE"""),2023.0)</f>
        <v>2023</v>
      </c>
      <c r="I756" s="14" t="str">
        <f>IFERROR(__xludf.DUMMYFUNCTION("""COMPUTED_VALUE"""),"Online Payment")</f>
        <v>Online Payment</v>
      </c>
      <c r="J756" s="14" t="str">
        <f>IFERROR(__xludf.DUMMYFUNCTION("""COMPUTED_VALUE"""),"Cancelled*App Glitches: Payment Button Malfunction")</f>
        <v>Cancelled*App Glitches: Payment Button Malfunction</v>
      </c>
      <c r="K756" s="14" t="str">
        <f>IFERROR(__xludf.DUMMYFUNCTION("split(E756,""+"")"),"Rasmalai")</f>
        <v>Rasmalai</v>
      </c>
      <c r="L756" s="14" t="str">
        <f>IFERROR(__xludf.DUMMYFUNCTION("""COMPUTED_VALUE"""),"2*Not Assigned")</f>
        <v>2*Not Assigned</v>
      </c>
      <c r="M756" s="14">
        <f>IFERROR(__xludf.DUMMYFUNCTION("SPLIT(L756,""*"")"),2.0)</f>
        <v>2</v>
      </c>
      <c r="N756" s="14" t="str">
        <f>IFERROR(__xludf.DUMMYFUNCTION("""COMPUTED_VALUE"""),"Not Assigned")</f>
        <v>Not Assigned</v>
      </c>
      <c r="O756" s="14" t="str">
        <f>IFERROR(__xludf.DUMMYFUNCTION("split(J756,""*"")"),"Cancelled")</f>
        <v>Cancelled</v>
      </c>
      <c r="P756" s="14" t="str">
        <f>IFERROR(__xludf.DUMMYFUNCTION("""COMPUTED_VALUE"""),"App Glitches: Payment Button Malfunction")</f>
        <v>App Glitches: Payment Button Malfunction</v>
      </c>
      <c r="Q756" s="14" t="str">
        <f>IFERROR(__xludf.DUMMYFUNCTION("split(P756,"":"")"),"App Glitches")</f>
        <v>App Glitches</v>
      </c>
      <c r="R756" s="14" t="str">
        <f>IFERROR(__xludf.DUMMYFUNCTION("""COMPUTED_VALUE""")," Payment Button Malfunction")</f>
        <v> Payment Button Malfunction</v>
      </c>
      <c r="S756" s="14" t="str">
        <f t="shared" ref="S756:U756" si="1515">trim(B756)</f>
        <v>ord_10747</v>
      </c>
      <c r="T756" s="14" t="str">
        <f t="shared" si="1515"/>
        <v>Mehul Thakkar</v>
      </c>
      <c r="U756" s="14" t="str">
        <f t="shared" si="1515"/>
        <v>Malad</v>
      </c>
      <c r="V756" s="14" t="str">
        <f t="shared" si="4"/>
        <v>Rasmalai</v>
      </c>
      <c r="W756" s="14">
        <f t="shared" si="5"/>
        <v>2</v>
      </c>
      <c r="X756" s="14" t="str">
        <f t="shared" si="6"/>
        <v>Not Assigned</v>
      </c>
      <c r="Y756" s="15">
        <f t="shared" si="7"/>
        <v>45263</v>
      </c>
      <c r="Z756" s="14" t="str">
        <f t="shared" si="8"/>
        <v>Online Payment</v>
      </c>
      <c r="AA756" s="14" t="str">
        <f t="shared" si="9"/>
        <v>Cancelled</v>
      </c>
      <c r="AB756" s="14" t="str">
        <f t="shared" ref="AB756:AC756" si="1516">trim(Q756)</f>
        <v>App Glitches</v>
      </c>
      <c r="AC756" s="14" t="str">
        <f t="shared" si="1516"/>
        <v>Payment Button Malfunction</v>
      </c>
      <c r="AD756" s="8"/>
    </row>
    <row r="757">
      <c r="A757" s="14" t="str">
        <f>IFERROR(__xludf.DUMMYFUNCTION("""COMPUTED_VALUE"""),"//ord_10748//Aarohi Kapoor//Bandra//Cold Coffee+2*Shine Thomas/10/24/2023//UPI//Delivered*On-time Delivery: Delivered on time")</f>
        <v>//ord_10748//Aarohi Kapoor//Bandra//Cold Coffee+2*Shine Thomas/10/24/2023//UPI//Delivered*On-time Delivery: Delivered on time</v>
      </c>
      <c r="B757" s="14" t="str">
        <f>IFERROR(__xludf.DUMMYFUNCTION("split(A757,""//"")"),"ord_10748")</f>
        <v>ord_10748</v>
      </c>
      <c r="C757" s="14" t="str">
        <f>IFERROR(__xludf.DUMMYFUNCTION("""COMPUTED_VALUE"""),"Aarohi Kapoor")</f>
        <v>Aarohi Kapoor</v>
      </c>
      <c r="D757" s="14" t="str">
        <f>IFERROR(__xludf.DUMMYFUNCTION("""COMPUTED_VALUE"""),"Bandra")</f>
        <v>Bandra</v>
      </c>
      <c r="E757" s="14" t="str">
        <f>IFERROR(__xludf.DUMMYFUNCTION("""COMPUTED_VALUE"""),"Cold Coffee+2*Shine Thomas")</f>
        <v>Cold Coffee+2*Shine Thomas</v>
      </c>
      <c r="F757" s="14">
        <f>IFERROR(__xludf.DUMMYFUNCTION("""COMPUTED_VALUE"""),10.0)</f>
        <v>10</v>
      </c>
      <c r="G757" s="14">
        <f>IFERROR(__xludf.DUMMYFUNCTION("""COMPUTED_VALUE"""),24.0)</f>
        <v>24</v>
      </c>
      <c r="H757" s="14">
        <f>IFERROR(__xludf.DUMMYFUNCTION("""COMPUTED_VALUE"""),2023.0)</f>
        <v>2023</v>
      </c>
      <c r="I757" s="14" t="str">
        <f>IFERROR(__xludf.DUMMYFUNCTION("""COMPUTED_VALUE"""),"UPI")</f>
        <v>UPI</v>
      </c>
      <c r="J757" s="14" t="str">
        <f>IFERROR(__xludf.DUMMYFUNCTION("""COMPUTED_VALUE"""),"Delivered*On-time Delivery: Delivered on time")</f>
        <v>Delivered*On-time Delivery: Delivered on time</v>
      </c>
      <c r="K757" s="14" t="str">
        <f>IFERROR(__xludf.DUMMYFUNCTION("split(E757,""+"")"),"Cold Coffee")</f>
        <v>Cold Coffee</v>
      </c>
      <c r="L757" s="14" t="str">
        <f>IFERROR(__xludf.DUMMYFUNCTION("""COMPUTED_VALUE"""),"2*Shine Thomas")</f>
        <v>2*Shine Thomas</v>
      </c>
      <c r="M757" s="14">
        <f>IFERROR(__xludf.DUMMYFUNCTION("SPLIT(L757,""*"")"),2.0)</f>
        <v>2</v>
      </c>
      <c r="N757" s="14" t="str">
        <f>IFERROR(__xludf.DUMMYFUNCTION("""COMPUTED_VALUE"""),"Shine Thomas")</f>
        <v>Shine Thomas</v>
      </c>
      <c r="O757" s="14" t="str">
        <f>IFERROR(__xludf.DUMMYFUNCTION("split(J757,""*"")"),"Delivered")</f>
        <v>Delivered</v>
      </c>
      <c r="P757" s="14" t="str">
        <f>IFERROR(__xludf.DUMMYFUNCTION("""COMPUTED_VALUE"""),"On-time Delivery: Delivered on time")</f>
        <v>On-time Delivery: Delivered on time</v>
      </c>
      <c r="Q757" s="14" t="str">
        <f>IFERROR(__xludf.DUMMYFUNCTION("split(P757,"":"")"),"On-time Delivery")</f>
        <v>On-time Delivery</v>
      </c>
      <c r="R757" s="14" t="str">
        <f>IFERROR(__xludf.DUMMYFUNCTION("""COMPUTED_VALUE""")," Delivered on time")</f>
        <v> Delivered on time</v>
      </c>
      <c r="S757" s="14" t="str">
        <f t="shared" ref="S757:U757" si="1517">trim(B757)</f>
        <v>ord_10748</v>
      </c>
      <c r="T757" s="14" t="str">
        <f t="shared" si="1517"/>
        <v>Aarohi Kapoor</v>
      </c>
      <c r="U757" s="14" t="str">
        <f t="shared" si="1517"/>
        <v>Bandra</v>
      </c>
      <c r="V757" s="14" t="str">
        <f t="shared" si="4"/>
        <v>Cold Coffee</v>
      </c>
      <c r="W757" s="14">
        <f t="shared" si="5"/>
        <v>2</v>
      </c>
      <c r="X757" s="14" t="str">
        <f t="shared" si="6"/>
        <v>Shine Thomas</v>
      </c>
      <c r="Y757" s="15">
        <f t="shared" si="7"/>
        <v>45223</v>
      </c>
      <c r="Z757" s="14" t="str">
        <f t="shared" si="8"/>
        <v>UPI</v>
      </c>
      <c r="AA757" s="14" t="str">
        <f t="shared" si="9"/>
        <v>Delivered</v>
      </c>
      <c r="AB757" s="14" t="str">
        <f t="shared" ref="AB757:AC757" si="1518">trim(Q757)</f>
        <v>On-time Delivery</v>
      </c>
      <c r="AC757" s="14" t="str">
        <f t="shared" si="1518"/>
        <v>Delivered on time</v>
      </c>
      <c r="AD757" s="8"/>
    </row>
    <row r="758">
      <c r="A758" s="14" t="str">
        <f>IFERROR(__xludf.DUMMYFUNCTION("""COMPUTED_VALUE"""),"//ord_10749//Kritika Shetty//Malad//Juice+2*Not Assigned/12/16/2023//UPI//Cancelled*App Glitches:Slow Loading Time")</f>
        <v>//ord_10749//Kritika Shetty//Malad//Juice+2*Not Assigned/12/16/2023//UPI//Cancelled*App Glitches:Slow Loading Time</v>
      </c>
      <c r="B758" s="14" t="str">
        <f>IFERROR(__xludf.DUMMYFUNCTION("split(A758,""//"")"),"ord_10749")</f>
        <v>ord_10749</v>
      </c>
      <c r="C758" s="14" t="str">
        <f>IFERROR(__xludf.DUMMYFUNCTION("""COMPUTED_VALUE"""),"Kritika Shetty")</f>
        <v>Kritika Shetty</v>
      </c>
      <c r="D758" s="14" t="str">
        <f>IFERROR(__xludf.DUMMYFUNCTION("""COMPUTED_VALUE"""),"Malad")</f>
        <v>Malad</v>
      </c>
      <c r="E758" s="14" t="str">
        <f>IFERROR(__xludf.DUMMYFUNCTION("""COMPUTED_VALUE"""),"Juice+2*Not Assigned")</f>
        <v>Juice+2*Not Assigned</v>
      </c>
      <c r="F758" s="14">
        <f>IFERROR(__xludf.DUMMYFUNCTION("""COMPUTED_VALUE"""),12.0)</f>
        <v>12</v>
      </c>
      <c r="G758" s="14">
        <f>IFERROR(__xludf.DUMMYFUNCTION("""COMPUTED_VALUE"""),16.0)</f>
        <v>16</v>
      </c>
      <c r="H758" s="14">
        <f>IFERROR(__xludf.DUMMYFUNCTION("""COMPUTED_VALUE"""),2023.0)</f>
        <v>2023</v>
      </c>
      <c r="I758" s="14" t="str">
        <f>IFERROR(__xludf.DUMMYFUNCTION("""COMPUTED_VALUE"""),"UPI")</f>
        <v>UPI</v>
      </c>
      <c r="J758" s="14" t="str">
        <f>IFERROR(__xludf.DUMMYFUNCTION("""COMPUTED_VALUE"""),"Cancelled*App Glitches:Slow Loading Time")</f>
        <v>Cancelled*App Glitches:Slow Loading Time</v>
      </c>
      <c r="K758" s="14" t="str">
        <f>IFERROR(__xludf.DUMMYFUNCTION("split(E758,""+"")"),"Juice")</f>
        <v>Juice</v>
      </c>
      <c r="L758" s="14" t="str">
        <f>IFERROR(__xludf.DUMMYFUNCTION("""COMPUTED_VALUE"""),"2*Not Assigned")</f>
        <v>2*Not Assigned</v>
      </c>
      <c r="M758" s="14">
        <f>IFERROR(__xludf.DUMMYFUNCTION("SPLIT(L758,""*"")"),2.0)</f>
        <v>2</v>
      </c>
      <c r="N758" s="14" t="str">
        <f>IFERROR(__xludf.DUMMYFUNCTION("""COMPUTED_VALUE"""),"Not Assigned")</f>
        <v>Not Assigned</v>
      </c>
      <c r="O758" s="14" t="str">
        <f>IFERROR(__xludf.DUMMYFUNCTION("split(J758,""*"")"),"Cancelled")</f>
        <v>Cancelled</v>
      </c>
      <c r="P758" s="14" t="str">
        <f>IFERROR(__xludf.DUMMYFUNCTION("""COMPUTED_VALUE"""),"App Glitches:Slow Loading Time")</f>
        <v>App Glitches:Slow Loading Time</v>
      </c>
      <c r="Q758" s="14" t="str">
        <f>IFERROR(__xludf.DUMMYFUNCTION("split(P758,"":"")"),"App Glitches")</f>
        <v>App Glitches</v>
      </c>
      <c r="R758" s="14" t="str">
        <f>IFERROR(__xludf.DUMMYFUNCTION("""COMPUTED_VALUE"""),"Slow Loading Time")</f>
        <v>Slow Loading Time</v>
      </c>
      <c r="S758" s="14" t="str">
        <f t="shared" ref="S758:U758" si="1519">trim(B758)</f>
        <v>ord_10749</v>
      </c>
      <c r="T758" s="14" t="str">
        <f t="shared" si="1519"/>
        <v>Kritika Shetty</v>
      </c>
      <c r="U758" s="14" t="str">
        <f t="shared" si="1519"/>
        <v>Malad</v>
      </c>
      <c r="V758" s="14" t="str">
        <f t="shared" si="4"/>
        <v>Juice</v>
      </c>
      <c r="W758" s="14">
        <f t="shared" si="5"/>
        <v>2</v>
      </c>
      <c r="X758" s="14" t="str">
        <f t="shared" si="6"/>
        <v>Not Assigned</v>
      </c>
      <c r="Y758" s="15">
        <f t="shared" si="7"/>
        <v>45276</v>
      </c>
      <c r="Z758" s="14" t="str">
        <f t="shared" si="8"/>
        <v>UPI</v>
      </c>
      <c r="AA758" s="14" t="str">
        <f t="shared" si="9"/>
        <v>Cancelled</v>
      </c>
      <c r="AB758" s="14" t="str">
        <f t="shared" ref="AB758:AC758" si="1520">trim(Q758)</f>
        <v>App Glitches</v>
      </c>
      <c r="AC758" s="14" t="str">
        <f t="shared" si="1520"/>
        <v>Slow Loading Time</v>
      </c>
      <c r="AD758" s="8"/>
    </row>
    <row r="759">
      <c r="A759" s="14" t="str">
        <f>IFERROR(__xludf.DUMMYFUNCTION("""COMPUTED_VALUE"""),"//ord_10750//Dev Chauhan//Bandra//Veg Puff+3*Shine Thomas/12/9/2023//Credit Card//Cancelled*Delayed Delivery:Bad Weather Conditions ")</f>
        <v>//ord_10750//Dev Chauhan//Bandra//Veg Puff+3*Shine Thomas/12/9/2023//Credit Card//Cancelled*Delayed Delivery:Bad Weather Conditions </v>
      </c>
      <c r="B759" s="14" t="str">
        <f>IFERROR(__xludf.DUMMYFUNCTION("split(A759,""//"")"),"ord_10750")</f>
        <v>ord_10750</v>
      </c>
      <c r="C759" s="14" t="str">
        <f>IFERROR(__xludf.DUMMYFUNCTION("""COMPUTED_VALUE"""),"Dev Chauhan")</f>
        <v>Dev Chauhan</v>
      </c>
      <c r="D759" s="14" t="str">
        <f>IFERROR(__xludf.DUMMYFUNCTION("""COMPUTED_VALUE"""),"Bandra")</f>
        <v>Bandra</v>
      </c>
      <c r="E759" s="14" t="str">
        <f>IFERROR(__xludf.DUMMYFUNCTION("""COMPUTED_VALUE"""),"Veg Puff+3*Shine Thomas")</f>
        <v>Veg Puff+3*Shine Thomas</v>
      </c>
      <c r="F759" s="14">
        <f>IFERROR(__xludf.DUMMYFUNCTION("""COMPUTED_VALUE"""),12.0)</f>
        <v>12</v>
      </c>
      <c r="G759" s="14">
        <f>IFERROR(__xludf.DUMMYFUNCTION("""COMPUTED_VALUE"""),9.0)</f>
        <v>9</v>
      </c>
      <c r="H759" s="14">
        <f>IFERROR(__xludf.DUMMYFUNCTION("""COMPUTED_VALUE"""),2023.0)</f>
        <v>2023</v>
      </c>
      <c r="I759" s="14" t="str">
        <f>IFERROR(__xludf.DUMMYFUNCTION("""COMPUTED_VALUE"""),"Credit Card")</f>
        <v>Credit Card</v>
      </c>
      <c r="J759" s="14" t="str">
        <f>IFERROR(__xludf.DUMMYFUNCTION("""COMPUTED_VALUE"""),"Cancelled*Delayed Delivery:Bad Weather Conditions ")</f>
        <v>Cancelled*Delayed Delivery:Bad Weather Conditions </v>
      </c>
      <c r="K759" s="14" t="str">
        <f>IFERROR(__xludf.DUMMYFUNCTION("split(E759,""+"")"),"Veg Puff")</f>
        <v>Veg Puff</v>
      </c>
      <c r="L759" s="14" t="str">
        <f>IFERROR(__xludf.DUMMYFUNCTION("""COMPUTED_VALUE"""),"3*Shine Thomas")</f>
        <v>3*Shine Thomas</v>
      </c>
      <c r="M759" s="14">
        <f>IFERROR(__xludf.DUMMYFUNCTION("SPLIT(L759,""*"")"),3.0)</f>
        <v>3</v>
      </c>
      <c r="N759" s="14" t="str">
        <f>IFERROR(__xludf.DUMMYFUNCTION("""COMPUTED_VALUE"""),"Shine Thomas")</f>
        <v>Shine Thomas</v>
      </c>
      <c r="O759" s="14" t="str">
        <f>IFERROR(__xludf.DUMMYFUNCTION("split(J759,""*"")"),"Cancelled")</f>
        <v>Cancelled</v>
      </c>
      <c r="P759" s="14" t="str">
        <f>IFERROR(__xludf.DUMMYFUNCTION("""COMPUTED_VALUE"""),"Delayed Delivery:Bad Weather Conditions ")</f>
        <v>Delayed Delivery:Bad Weather Conditions </v>
      </c>
      <c r="Q759" s="14" t="str">
        <f>IFERROR(__xludf.DUMMYFUNCTION("split(P759,"":"")"),"Delayed Delivery")</f>
        <v>Delayed Delivery</v>
      </c>
      <c r="R759" s="14" t="str">
        <f>IFERROR(__xludf.DUMMYFUNCTION("""COMPUTED_VALUE"""),"Bad Weather Conditions ")</f>
        <v>Bad Weather Conditions </v>
      </c>
      <c r="S759" s="14" t="str">
        <f t="shared" ref="S759:U759" si="1521">trim(B759)</f>
        <v>ord_10750</v>
      </c>
      <c r="T759" s="14" t="str">
        <f t="shared" si="1521"/>
        <v>Dev Chauhan</v>
      </c>
      <c r="U759" s="14" t="str">
        <f t="shared" si="1521"/>
        <v>Bandra</v>
      </c>
      <c r="V759" s="14" t="str">
        <f t="shared" si="4"/>
        <v>Veg Puff</v>
      </c>
      <c r="W759" s="14">
        <f t="shared" si="5"/>
        <v>3</v>
      </c>
      <c r="X759" s="14" t="str">
        <f t="shared" si="6"/>
        <v>Shine Thomas</v>
      </c>
      <c r="Y759" s="15">
        <f t="shared" si="7"/>
        <v>45269</v>
      </c>
      <c r="Z759" s="14" t="str">
        <f t="shared" si="8"/>
        <v>Credit Card</v>
      </c>
      <c r="AA759" s="14" t="str">
        <f t="shared" si="9"/>
        <v>Cancelled</v>
      </c>
      <c r="AB759" s="14" t="str">
        <f t="shared" ref="AB759:AC759" si="1522">trim(Q759)</f>
        <v>Delayed Delivery</v>
      </c>
      <c r="AC759" s="14" t="str">
        <f t="shared" si="1522"/>
        <v>Bad Weather Conditions</v>
      </c>
      <c r="AD759" s="8"/>
    </row>
    <row r="760">
      <c r="A760" s="14" t="str">
        <f>IFERROR(__xludf.DUMMYFUNCTION("""COMPUTED_VALUE"""),"//ord_10751//Arvind Kulkarni//Juhu//Papaya+1*Vivek Kumar/7/5/2023//UPI//Delivered*Quality of Items: Perfect condition")</f>
        <v>//ord_10751//Arvind Kulkarni//Juhu//Papaya+1*Vivek Kumar/7/5/2023//UPI//Delivered*Quality of Items: Perfect condition</v>
      </c>
      <c r="B760" s="14" t="str">
        <f>IFERROR(__xludf.DUMMYFUNCTION("split(A760,""//"")"),"ord_10751")</f>
        <v>ord_10751</v>
      </c>
      <c r="C760" s="14" t="str">
        <f>IFERROR(__xludf.DUMMYFUNCTION("""COMPUTED_VALUE"""),"Arvind Kulkarni")</f>
        <v>Arvind Kulkarni</v>
      </c>
      <c r="D760" s="14" t="str">
        <f>IFERROR(__xludf.DUMMYFUNCTION("""COMPUTED_VALUE"""),"Juhu")</f>
        <v>Juhu</v>
      </c>
      <c r="E760" s="14" t="str">
        <f>IFERROR(__xludf.DUMMYFUNCTION("""COMPUTED_VALUE"""),"Papaya+1*Vivek Kumar")</f>
        <v>Papaya+1*Vivek Kumar</v>
      </c>
      <c r="F760" s="14">
        <f>IFERROR(__xludf.DUMMYFUNCTION("""COMPUTED_VALUE"""),7.0)</f>
        <v>7</v>
      </c>
      <c r="G760" s="14">
        <f>IFERROR(__xludf.DUMMYFUNCTION("""COMPUTED_VALUE"""),5.0)</f>
        <v>5</v>
      </c>
      <c r="H760" s="14">
        <f>IFERROR(__xludf.DUMMYFUNCTION("""COMPUTED_VALUE"""),2023.0)</f>
        <v>2023</v>
      </c>
      <c r="I760" s="14" t="str">
        <f>IFERROR(__xludf.DUMMYFUNCTION("""COMPUTED_VALUE"""),"UPI")</f>
        <v>UPI</v>
      </c>
      <c r="J760" s="14" t="str">
        <f>IFERROR(__xludf.DUMMYFUNCTION("""COMPUTED_VALUE"""),"Delivered*Quality of Items: Perfect condition")</f>
        <v>Delivered*Quality of Items: Perfect condition</v>
      </c>
      <c r="K760" s="14" t="str">
        <f>IFERROR(__xludf.DUMMYFUNCTION("split(E760,""+"")"),"Papaya")</f>
        <v>Papaya</v>
      </c>
      <c r="L760" s="14" t="str">
        <f>IFERROR(__xludf.DUMMYFUNCTION("""COMPUTED_VALUE"""),"1*Vivek Kumar")</f>
        <v>1*Vivek Kumar</v>
      </c>
      <c r="M760" s="14">
        <f>IFERROR(__xludf.DUMMYFUNCTION("SPLIT(L760,""*"")"),1.0)</f>
        <v>1</v>
      </c>
      <c r="N760" s="14" t="str">
        <f>IFERROR(__xludf.DUMMYFUNCTION("""COMPUTED_VALUE"""),"Vivek Kumar")</f>
        <v>Vivek Kumar</v>
      </c>
      <c r="O760" s="14" t="str">
        <f>IFERROR(__xludf.DUMMYFUNCTION("split(J760,""*"")"),"Delivered")</f>
        <v>Delivered</v>
      </c>
      <c r="P760" s="14" t="str">
        <f>IFERROR(__xludf.DUMMYFUNCTION("""COMPUTED_VALUE"""),"Quality of Items: Perfect condition")</f>
        <v>Quality of Items: Perfect condition</v>
      </c>
      <c r="Q760" s="14" t="str">
        <f>IFERROR(__xludf.DUMMYFUNCTION("split(P760,"":"")"),"Quality of Items")</f>
        <v>Quality of Items</v>
      </c>
      <c r="R760" s="14" t="str">
        <f>IFERROR(__xludf.DUMMYFUNCTION("""COMPUTED_VALUE""")," Perfect condition")</f>
        <v> Perfect condition</v>
      </c>
      <c r="S760" s="14" t="str">
        <f t="shared" ref="S760:U760" si="1523">trim(B760)</f>
        <v>ord_10751</v>
      </c>
      <c r="T760" s="14" t="str">
        <f t="shared" si="1523"/>
        <v>Arvind Kulkarni</v>
      </c>
      <c r="U760" s="14" t="str">
        <f t="shared" si="1523"/>
        <v>Juhu</v>
      </c>
      <c r="V760" s="14" t="str">
        <f t="shared" si="4"/>
        <v>Papaya</v>
      </c>
      <c r="W760" s="14">
        <f t="shared" si="5"/>
        <v>1</v>
      </c>
      <c r="X760" s="14" t="str">
        <f t="shared" si="6"/>
        <v>Vivek Kumar</v>
      </c>
      <c r="Y760" s="15">
        <f t="shared" si="7"/>
        <v>45112</v>
      </c>
      <c r="Z760" s="14" t="str">
        <f t="shared" si="8"/>
        <v>UPI</v>
      </c>
      <c r="AA760" s="14" t="str">
        <f t="shared" si="9"/>
        <v>Delivered</v>
      </c>
      <c r="AB760" s="14" t="str">
        <f t="shared" ref="AB760:AC760" si="1524">trim(Q760)</f>
        <v>Quality of Items</v>
      </c>
      <c r="AC760" s="14" t="str">
        <f t="shared" si="1524"/>
        <v>Perfect condition</v>
      </c>
      <c r="AD760" s="8"/>
    </row>
    <row r="761">
      <c r="A761" s="14" t="str">
        <f>IFERROR(__xludf.DUMMYFUNCTION("""COMPUTED_VALUE"""),"//ord_10752//Aarohi Kapoor//Bandra//Veg Puff+2*Ramesh S/12/13/2023//UPI//Delivered*Packaging: Secure and intact")</f>
        <v>//ord_10752//Aarohi Kapoor//Bandra//Veg Puff+2*Ramesh S/12/13/2023//UPI//Delivered*Packaging: Secure and intact</v>
      </c>
      <c r="B761" s="14" t="str">
        <f>IFERROR(__xludf.DUMMYFUNCTION("split(A761,""//"")"),"ord_10752")</f>
        <v>ord_10752</v>
      </c>
      <c r="C761" s="14" t="str">
        <f>IFERROR(__xludf.DUMMYFUNCTION("""COMPUTED_VALUE"""),"Aarohi Kapoor")</f>
        <v>Aarohi Kapoor</v>
      </c>
      <c r="D761" s="14" t="str">
        <f>IFERROR(__xludf.DUMMYFUNCTION("""COMPUTED_VALUE"""),"Bandra")</f>
        <v>Bandra</v>
      </c>
      <c r="E761" s="14" t="str">
        <f>IFERROR(__xludf.DUMMYFUNCTION("""COMPUTED_VALUE"""),"Veg Puff+2*Ramesh S")</f>
        <v>Veg Puff+2*Ramesh S</v>
      </c>
      <c r="F761" s="14">
        <f>IFERROR(__xludf.DUMMYFUNCTION("""COMPUTED_VALUE"""),12.0)</f>
        <v>12</v>
      </c>
      <c r="G761" s="14">
        <f>IFERROR(__xludf.DUMMYFUNCTION("""COMPUTED_VALUE"""),13.0)</f>
        <v>13</v>
      </c>
      <c r="H761" s="14">
        <f>IFERROR(__xludf.DUMMYFUNCTION("""COMPUTED_VALUE"""),2023.0)</f>
        <v>2023</v>
      </c>
      <c r="I761" s="14" t="str">
        <f>IFERROR(__xludf.DUMMYFUNCTION("""COMPUTED_VALUE"""),"UPI")</f>
        <v>UPI</v>
      </c>
      <c r="J761" s="14" t="str">
        <f>IFERROR(__xludf.DUMMYFUNCTION("""COMPUTED_VALUE"""),"Delivered*Packaging: Secure and intact")</f>
        <v>Delivered*Packaging: Secure and intact</v>
      </c>
      <c r="K761" s="14" t="str">
        <f>IFERROR(__xludf.DUMMYFUNCTION("split(E761,""+"")"),"Veg Puff")</f>
        <v>Veg Puff</v>
      </c>
      <c r="L761" s="14" t="str">
        <f>IFERROR(__xludf.DUMMYFUNCTION("""COMPUTED_VALUE"""),"2*Ramesh S")</f>
        <v>2*Ramesh S</v>
      </c>
      <c r="M761" s="14">
        <f>IFERROR(__xludf.DUMMYFUNCTION("SPLIT(L761,""*"")"),2.0)</f>
        <v>2</v>
      </c>
      <c r="N761" s="14" t="str">
        <f>IFERROR(__xludf.DUMMYFUNCTION("""COMPUTED_VALUE"""),"Ramesh S")</f>
        <v>Ramesh S</v>
      </c>
      <c r="O761" s="14" t="str">
        <f>IFERROR(__xludf.DUMMYFUNCTION("split(J761,""*"")"),"Delivered")</f>
        <v>Delivered</v>
      </c>
      <c r="P761" s="14" t="str">
        <f>IFERROR(__xludf.DUMMYFUNCTION("""COMPUTED_VALUE"""),"Packaging: Secure and intact")</f>
        <v>Packaging: Secure and intact</v>
      </c>
      <c r="Q761" s="14" t="str">
        <f>IFERROR(__xludf.DUMMYFUNCTION("split(P761,"":"")"),"Packaging")</f>
        <v>Packaging</v>
      </c>
      <c r="R761" s="14" t="str">
        <f>IFERROR(__xludf.DUMMYFUNCTION("""COMPUTED_VALUE""")," Secure and intact")</f>
        <v> Secure and intact</v>
      </c>
      <c r="S761" s="14" t="str">
        <f t="shared" ref="S761:U761" si="1525">trim(B761)</f>
        <v>ord_10752</v>
      </c>
      <c r="T761" s="14" t="str">
        <f t="shared" si="1525"/>
        <v>Aarohi Kapoor</v>
      </c>
      <c r="U761" s="14" t="str">
        <f t="shared" si="1525"/>
        <v>Bandra</v>
      </c>
      <c r="V761" s="14" t="str">
        <f t="shared" si="4"/>
        <v>Veg Puff</v>
      </c>
      <c r="W761" s="14">
        <f t="shared" si="5"/>
        <v>2</v>
      </c>
      <c r="X761" s="14" t="str">
        <f t="shared" si="6"/>
        <v>Ramesh S</v>
      </c>
      <c r="Y761" s="15">
        <f t="shared" si="7"/>
        <v>45273</v>
      </c>
      <c r="Z761" s="14" t="str">
        <f t="shared" si="8"/>
        <v>UPI</v>
      </c>
      <c r="AA761" s="14" t="str">
        <f t="shared" si="9"/>
        <v>Delivered</v>
      </c>
      <c r="AB761" s="14" t="str">
        <f t="shared" ref="AB761:AC761" si="1526">trim(Q761)</f>
        <v>Packaging</v>
      </c>
      <c r="AC761" s="14" t="str">
        <f t="shared" si="1526"/>
        <v>Secure and intact</v>
      </c>
      <c r="AD761" s="8"/>
    </row>
    <row r="762">
      <c r="A762" s="14" t="str">
        <f>IFERROR(__xludf.DUMMYFUNCTION("""COMPUTED_VALUE"""),"//ord_10753//Sakshi Tandon//Colaba//Sweet Corn+2*Not Assigned/2/13/2023//Credit Card//Cancelled*App Glitches:Slow Loading Time")</f>
        <v>//ord_10753//Sakshi Tandon//Colaba//Sweet Corn+2*Not Assigned/2/13/2023//Credit Card//Cancelled*App Glitches:Slow Loading Time</v>
      </c>
      <c r="B762" s="14" t="str">
        <f>IFERROR(__xludf.DUMMYFUNCTION("split(A762,""//"")"),"ord_10753")</f>
        <v>ord_10753</v>
      </c>
      <c r="C762" s="14" t="str">
        <f>IFERROR(__xludf.DUMMYFUNCTION("""COMPUTED_VALUE"""),"Sakshi Tandon")</f>
        <v>Sakshi Tandon</v>
      </c>
      <c r="D762" s="14" t="str">
        <f>IFERROR(__xludf.DUMMYFUNCTION("""COMPUTED_VALUE"""),"Colaba")</f>
        <v>Colaba</v>
      </c>
      <c r="E762" s="14" t="str">
        <f>IFERROR(__xludf.DUMMYFUNCTION("""COMPUTED_VALUE"""),"Sweet Corn+2*Not Assigned")</f>
        <v>Sweet Corn+2*Not Assigned</v>
      </c>
      <c r="F762" s="14">
        <f>IFERROR(__xludf.DUMMYFUNCTION("""COMPUTED_VALUE"""),2.0)</f>
        <v>2</v>
      </c>
      <c r="G762" s="14">
        <f>IFERROR(__xludf.DUMMYFUNCTION("""COMPUTED_VALUE"""),13.0)</f>
        <v>13</v>
      </c>
      <c r="H762" s="14">
        <f>IFERROR(__xludf.DUMMYFUNCTION("""COMPUTED_VALUE"""),2023.0)</f>
        <v>2023</v>
      </c>
      <c r="I762" s="14" t="str">
        <f>IFERROR(__xludf.DUMMYFUNCTION("""COMPUTED_VALUE"""),"Credit Card")</f>
        <v>Credit Card</v>
      </c>
      <c r="J762" s="14" t="str">
        <f>IFERROR(__xludf.DUMMYFUNCTION("""COMPUTED_VALUE"""),"Cancelled*App Glitches:Slow Loading Time")</f>
        <v>Cancelled*App Glitches:Slow Loading Time</v>
      </c>
      <c r="K762" s="14" t="str">
        <f>IFERROR(__xludf.DUMMYFUNCTION("split(E762,""+"")"),"Sweet Corn")</f>
        <v>Sweet Corn</v>
      </c>
      <c r="L762" s="14" t="str">
        <f>IFERROR(__xludf.DUMMYFUNCTION("""COMPUTED_VALUE"""),"2*Not Assigned")</f>
        <v>2*Not Assigned</v>
      </c>
      <c r="M762" s="14">
        <f>IFERROR(__xludf.DUMMYFUNCTION("SPLIT(L762,""*"")"),2.0)</f>
        <v>2</v>
      </c>
      <c r="N762" s="14" t="str">
        <f>IFERROR(__xludf.DUMMYFUNCTION("""COMPUTED_VALUE"""),"Not Assigned")</f>
        <v>Not Assigned</v>
      </c>
      <c r="O762" s="14" t="str">
        <f>IFERROR(__xludf.DUMMYFUNCTION("split(J762,""*"")"),"Cancelled")</f>
        <v>Cancelled</v>
      </c>
      <c r="P762" s="14" t="str">
        <f>IFERROR(__xludf.DUMMYFUNCTION("""COMPUTED_VALUE"""),"App Glitches:Slow Loading Time")</f>
        <v>App Glitches:Slow Loading Time</v>
      </c>
      <c r="Q762" s="14" t="str">
        <f>IFERROR(__xludf.DUMMYFUNCTION("split(P762,"":"")"),"App Glitches")</f>
        <v>App Glitches</v>
      </c>
      <c r="R762" s="14" t="str">
        <f>IFERROR(__xludf.DUMMYFUNCTION("""COMPUTED_VALUE"""),"Slow Loading Time")</f>
        <v>Slow Loading Time</v>
      </c>
      <c r="S762" s="14" t="str">
        <f t="shared" ref="S762:U762" si="1527">trim(B762)</f>
        <v>ord_10753</v>
      </c>
      <c r="T762" s="14" t="str">
        <f t="shared" si="1527"/>
        <v>Sakshi Tandon</v>
      </c>
      <c r="U762" s="14" t="str">
        <f t="shared" si="1527"/>
        <v>Colaba</v>
      </c>
      <c r="V762" s="14" t="str">
        <f t="shared" si="4"/>
        <v>Sweet Corn</v>
      </c>
      <c r="W762" s="14">
        <f t="shared" si="5"/>
        <v>2</v>
      </c>
      <c r="X762" s="14" t="str">
        <f t="shared" si="6"/>
        <v>Not Assigned</v>
      </c>
      <c r="Y762" s="15">
        <f t="shared" si="7"/>
        <v>44970</v>
      </c>
      <c r="Z762" s="14" t="str">
        <f t="shared" si="8"/>
        <v>Credit Card</v>
      </c>
      <c r="AA762" s="14" t="str">
        <f t="shared" si="9"/>
        <v>Cancelled</v>
      </c>
      <c r="AB762" s="14" t="str">
        <f t="shared" ref="AB762:AC762" si="1528">trim(Q762)</f>
        <v>App Glitches</v>
      </c>
      <c r="AC762" s="14" t="str">
        <f t="shared" si="1528"/>
        <v>Slow Loading Time</v>
      </c>
      <c r="AD762" s="8"/>
    </row>
    <row r="763">
      <c r="A763" s="14" t="str">
        <f>IFERROR(__xludf.DUMMYFUNCTION("""COMPUTED_VALUE"""),"//ord_10754//Aarohi Kapoor//Bandra//Juice+5*Not Assigned/12/18/2023//Online Payment//Cancelled*Payment Issues")</f>
        <v>//ord_10754//Aarohi Kapoor//Bandra//Juice+5*Not Assigned/12/18/2023//Online Payment//Cancelled*Payment Issues</v>
      </c>
      <c r="B763" s="14" t="str">
        <f>IFERROR(__xludf.DUMMYFUNCTION("split(A763,""//"")"),"ord_10754")</f>
        <v>ord_10754</v>
      </c>
      <c r="C763" s="14" t="str">
        <f>IFERROR(__xludf.DUMMYFUNCTION("""COMPUTED_VALUE"""),"Aarohi Kapoor")</f>
        <v>Aarohi Kapoor</v>
      </c>
      <c r="D763" s="14" t="str">
        <f>IFERROR(__xludf.DUMMYFUNCTION("""COMPUTED_VALUE"""),"Bandra")</f>
        <v>Bandra</v>
      </c>
      <c r="E763" s="14" t="str">
        <f>IFERROR(__xludf.DUMMYFUNCTION("""COMPUTED_VALUE"""),"Juice+5*Not Assigned")</f>
        <v>Juice+5*Not Assigned</v>
      </c>
      <c r="F763" s="14">
        <f>IFERROR(__xludf.DUMMYFUNCTION("""COMPUTED_VALUE"""),12.0)</f>
        <v>12</v>
      </c>
      <c r="G763" s="14">
        <f>IFERROR(__xludf.DUMMYFUNCTION("""COMPUTED_VALUE"""),18.0)</f>
        <v>18</v>
      </c>
      <c r="H763" s="14">
        <f>IFERROR(__xludf.DUMMYFUNCTION("""COMPUTED_VALUE"""),2023.0)</f>
        <v>2023</v>
      </c>
      <c r="I763" s="14" t="str">
        <f>IFERROR(__xludf.DUMMYFUNCTION("""COMPUTED_VALUE"""),"Online Payment")</f>
        <v>Online Payment</v>
      </c>
      <c r="J763" s="14" t="str">
        <f>IFERROR(__xludf.DUMMYFUNCTION("""COMPUTED_VALUE"""),"Cancelled*Payment Issues")</f>
        <v>Cancelled*Payment Issues</v>
      </c>
      <c r="K763" s="14" t="str">
        <f>IFERROR(__xludf.DUMMYFUNCTION("split(E763,""+"")"),"Juice")</f>
        <v>Juice</v>
      </c>
      <c r="L763" s="14" t="str">
        <f>IFERROR(__xludf.DUMMYFUNCTION("""COMPUTED_VALUE"""),"5*Not Assigned")</f>
        <v>5*Not Assigned</v>
      </c>
      <c r="M763" s="14">
        <f>IFERROR(__xludf.DUMMYFUNCTION("SPLIT(L763,""*"")"),5.0)</f>
        <v>5</v>
      </c>
      <c r="N763" s="14" t="str">
        <f>IFERROR(__xludf.DUMMYFUNCTION("""COMPUTED_VALUE"""),"Not Assigned")</f>
        <v>Not Assigned</v>
      </c>
      <c r="O763" s="14" t="str">
        <f>IFERROR(__xludf.DUMMYFUNCTION("split(J763,""*"")"),"Cancelled")</f>
        <v>Cancelled</v>
      </c>
      <c r="P763" s="14" t="str">
        <f>IFERROR(__xludf.DUMMYFUNCTION("""COMPUTED_VALUE"""),"Payment Issues")</f>
        <v>Payment Issues</v>
      </c>
      <c r="Q763" s="14" t="str">
        <f>IFERROR(__xludf.DUMMYFUNCTION("split(P763,"":"")"),"Payment Issues")</f>
        <v>Payment Issues</v>
      </c>
      <c r="R763" s="14"/>
      <c r="S763" s="14" t="str">
        <f t="shared" ref="S763:U763" si="1529">trim(B763)</f>
        <v>ord_10754</v>
      </c>
      <c r="T763" s="14" t="str">
        <f t="shared" si="1529"/>
        <v>Aarohi Kapoor</v>
      </c>
      <c r="U763" s="14" t="str">
        <f t="shared" si="1529"/>
        <v>Bandra</v>
      </c>
      <c r="V763" s="14" t="str">
        <f t="shared" si="4"/>
        <v>Juice</v>
      </c>
      <c r="W763" s="14">
        <f t="shared" si="5"/>
        <v>5</v>
      </c>
      <c r="X763" s="14" t="str">
        <f t="shared" si="6"/>
        <v>Not Assigned</v>
      </c>
      <c r="Y763" s="15">
        <f t="shared" si="7"/>
        <v>45278</v>
      </c>
      <c r="Z763" s="14" t="str">
        <f t="shared" si="8"/>
        <v>Online Payment</v>
      </c>
      <c r="AA763" s="14" t="str">
        <f t="shared" si="9"/>
        <v>Cancelled</v>
      </c>
      <c r="AB763" s="14" t="str">
        <f t="shared" ref="AB763:AC763" si="1530">trim(Q763)</f>
        <v>Payment Issues</v>
      </c>
      <c r="AC763" s="14" t="str">
        <f t="shared" si="1530"/>
        <v/>
      </c>
      <c r="AD763" s="8"/>
    </row>
    <row r="764">
      <c r="A764" s="14" t="str">
        <f>IFERROR(__xludf.DUMMYFUNCTION("""COMPUTED_VALUE"""),"//ord_10755//Ishaan Chaturvedi//Bandra//Chocolate Mousse+4*Vivek Kumar/2/6/2023//COD//Delivered*Satisfied with the Delivery: Timely and quality")</f>
        <v>//ord_10755//Ishaan Chaturvedi//Bandra//Chocolate Mousse+4*Vivek Kumar/2/6/2023//COD//Delivered*Satisfied with the Delivery: Timely and quality</v>
      </c>
      <c r="B764" s="14" t="str">
        <f>IFERROR(__xludf.DUMMYFUNCTION("split(A764,""//"")"),"ord_10755")</f>
        <v>ord_10755</v>
      </c>
      <c r="C764" s="14" t="str">
        <f>IFERROR(__xludf.DUMMYFUNCTION("""COMPUTED_VALUE"""),"Ishaan Chaturvedi")</f>
        <v>Ishaan Chaturvedi</v>
      </c>
      <c r="D764" s="14" t="str">
        <f>IFERROR(__xludf.DUMMYFUNCTION("""COMPUTED_VALUE"""),"Bandra")</f>
        <v>Bandra</v>
      </c>
      <c r="E764" s="14" t="str">
        <f>IFERROR(__xludf.DUMMYFUNCTION("""COMPUTED_VALUE"""),"Chocolate Mousse+4*Vivek Kumar")</f>
        <v>Chocolate Mousse+4*Vivek Kumar</v>
      </c>
      <c r="F764" s="14">
        <f>IFERROR(__xludf.DUMMYFUNCTION("""COMPUTED_VALUE"""),2.0)</f>
        <v>2</v>
      </c>
      <c r="G764" s="14">
        <f>IFERROR(__xludf.DUMMYFUNCTION("""COMPUTED_VALUE"""),6.0)</f>
        <v>6</v>
      </c>
      <c r="H764" s="14">
        <f>IFERROR(__xludf.DUMMYFUNCTION("""COMPUTED_VALUE"""),2023.0)</f>
        <v>2023</v>
      </c>
      <c r="I764" s="14" t="str">
        <f>IFERROR(__xludf.DUMMYFUNCTION("""COMPUTED_VALUE"""),"COD")</f>
        <v>COD</v>
      </c>
      <c r="J764" s="14" t="str">
        <f>IFERROR(__xludf.DUMMYFUNCTION("""COMPUTED_VALUE"""),"Delivered*Satisfied with the Delivery: Timely and quality")</f>
        <v>Delivered*Satisfied with the Delivery: Timely and quality</v>
      </c>
      <c r="K764" s="14" t="str">
        <f>IFERROR(__xludf.DUMMYFUNCTION("split(E764,""+"")"),"Chocolate Mousse")</f>
        <v>Chocolate Mousse</v>
      </c>
      <c r="L764" s="14" t="str">
        <f>IFERROR(__xludf.DUMMYFUNCTION("""COMPUTED_VALUE"""),"4*Vivek Kumar")</f>
        <v>4*Vivek Kumar</v>
      </c>
      <c r="M764" s="14">
        <f>IFERROR(__xludf.DUMMYFUNCTION("SPLIT(L764,""*"")"),4.0)</f>
        <v>4</v>
      </c>
      <c r="N764" s="14" t="str">
        <f>IFERROR(__xludf.DUMMYFUNCTION("""COMPUTED_VALUE"""),"Vivek Kumar")</f>
        <v>Vivek Kumar</v>
      </c>
      <c r="O764" s="14" t="str">
        <f>IFERROR(__xludf.DUMMYFUNCTION("split(J764,""*"")"),"Delivered")</f>
        <v>Delivered</v>
      </c>
      <c r="P764" s="14" t="str">
        <f>IFERROR(__xludf.DUMMYFUNCTION("""COMPUTED_VALUE"""),"Satisfied with the Delivery: Timely and quality")</f>
        <v>Satisfied with the Delivery: Timely and quality</v>
      </c>
      <c r="Q764" s="14" t="str">
        <f>IFERROR(__xludf.DUMMYFUNCTION("split(P764,"":"")"),"Satisfied with the Delivery")</f>
        <v>Satisfied with the Delivery</v>
      </c>
      <c r="R764" s="14" t="str">
        <f>IFERROR(__xludf.DUMMYFUNCTION("""COMPUTED_VALUE""")," Timely and quality")</f>
        <v> Timely and quality</v>
      </c>
      <c r="S764" s="14" t="str">
        <f t="shared" ref="S764:U764" si="1531">trim(B764)</f>
        <v>ord_10755</v>
      </c>
      <c r="T764" s="14" t="str">
        <f t="shared" si="1531"/>
        <v>Ishaan Chaturvedi</v>
      </c>
      <c r="U764" s="14" t="str">
        <f t="shared" si="1531"/>
        <v>Bandra</v>
      </c>
      <c r="V764" s="14" t="str">
        <f t="shared" si="4"/>
        <v>Chocolate Mousse</v>
      </c>
      <c r="W764" s="14">
        <f t="shared" si="5"/>
        <v>4</v>
      </c>
      <c r="X764" s="14" t="str">
        <f t="shared" si="6"/>
        <v>Vivek Kumar</v>
      </c>
      <c r="Y764" s="15">
        <f t="shared" si="7"/>
        <v>44963</v>
      </c>
      <c r="Z764" s="14" t="str">
        <f t="shared" si="8"/>
        <v>COD</v>
      </c>
      <c r="AA764" s="14" t="str">
        <f t="shared" si="9"/>
        <v>Delivered</v>
      </c>
      <c r="AB764" s="14" t="str">
        <f t="shared" ref="AB764:AC764" si="1532">trim(Q764)</f>
        <v>Satisfied with the Delivery</v>
      </c>
      <c r="AC764" s="14" t="str">
        <f t="shared" si="1532"/>
        <v>Timely and quality</v>
      </c>
      <c r="AD764" s="8"/>
    </row>
    <row r="765">
      <c r="A765" s="14" t="str">
        <f>IFERROR(__xludf.DUMMYFUNCTION("""COMPUTED_VALUE"""),"//ord_10756//Siya Reddy//Juhu//Chilli Cheese Toast+5*Aman Kumar/10/8/2023//Credit Card//Cancelled*Delayed Delivery:Incorrect Address or Location")</f>
        <v>//ord_10756//Siya Reddy//Juhu//Chilli Cheese Toast+5*Aman Kumar/10/8/2023//Credit Card//Cancelled*Delayed Delivery:Incorrect Address or Location</v>
      </c>
      <c r="B765" s="14" t="str">
        <f>IFERROR(__xludf.DUMMYFUNCTION("split(A765,""//"")"),"ord_10756")</f>
        <v>ord_10756</v>
      </c>
      <c r="C765" s="14" t="str">
        <f>IFERROR(__xludf.DUMMYFUNCTION("""COMPUTED_VALUE"""),"Siya Reddy")</f>
        <v>Siya Reddy</v>
      </c>
      <c r="D765" s="14" t="str">
        <f>IFERROR(__xludf.DUMMYFUNCTION("""COMPUTED_VALUE"""),"Juhu")</f>
        <v>Juhu</v>
      </c>
      <c r="E765" s="14" t="str">
        <f>IFERROR(__xludf.DUMMYFUNCTION("""COMPUTED_VALUE"""),"Chilli Cheese Toast+5*Aman Kumar")</f>
        <v>Chilli Cheese Toast+5*Aman Kumar</v>
      </c>
      <c r="F765" s="14">
        <f>IFERROR(__xludf.DUMMYFUNCTION("""COMPUTED_VALUE"""),10.0)</f>
        <v>10</v>
      </c>
      <c r="G765" s="14">
        <f>IFERROR(__xludf.DUMMYFUNCTION("""COMPUTED_VALUE"""),8.0)</f>
        <v>8</v>
      </c>
      <c r="H765" s="14">
        <f>IFERROR(__xludf.DUMMYFUNCTION("""COMPUTED_VALUE"""),2023.0)</f>
        <v>2023</v>
      </c>
      <c r="I765" s="14" t="str">
        <f>IFERROR(__xludf.DUMMYFUNCTION("""COMPUTED_VALUE"""),"Credit Card")</f>
        <v>Credit Card</v>
      </c>
      <c r="J765" s="14" t="str">
        <f>IFERROR(__xludf.DUMMYFUNCTION("""COMPUTED_VALUE"""),"Cancelled*Delayed Delivery:Incorrect Address or Location")</f>
        <v>Cancelled*Delayed Delivery:Incorrect Address or Location</v>
      </c>
      <c r="K765" s="14" t="str">
        <f>IFERROR(__xludf.DUMMYFUNCTION("split(E765,""+"")"),"Chilli Cheese Toast")</f>
        <v>Chilli Cheese Toast</v>
      </c>
      <c r="L765" s="14" t="str">
        <f>IFERROR(__xludf.DUMMYFUNCTION("""COMPUTED_VALUE"""),"5*Aman Kumar")</f>
        <v>5*Aman Kumar</v>
      </c>
      <c r="M765" s="14">
        <f>IFERROR(__xludf.DUMMYFUNCTION("SPLIT(L765,""*"")"),5.0)</f>
        <v>5</v>
      </c>
      <c r="N765" s="14" t="str">
        <f>IFERROR(__xludf.DUMMYFUNCTION("""COMPUTED_VALUE"""),"Aman Kumar")</f>
        <v>Aman Kumar</v>
      </c>
      <c r="O765" s="14" t="str">
        <f>IFERROR(__xludf.DUMMYFUNCTION("split(J765,""*"")"),"Cancelled")</f>
        <v>Cancelled</v>
      </c>
      <c r="P765" s="14" t="str">
        <f>IFERROR(__xludf.DUMMYFUNCTION("""COMPUTED_VALUE"""),"Delayed Delivery:Incorrect Address or Location")</f>
        <v>Delayed Delivery:Incorrect Address or Location</v>
      </c>
      <c r="Q765" s="14" t="str">
        <f>IFERROR(__xludf.DUMMYFUNCTION("split(P765,"":"")"),"Delayed Delivery")</f>
        <v>Delayed Delivery</v>
      </c>
      <c r="R765" s="14" t="str">
        <f>IFERROR(__xludf.DUMMYFUNCTION("""COMPUTED_VALUE"""),"Incorrect Address or Location")</f>
        <v>Incorrect Address or Location</v>
      </c>
      <c r="S765" s="14" t="str">
        <f t="shared" ref="S765:U765" si="1533">trim(B765)</f>
        <v>ord_10756</v>
      </c>
      <c r="T765" s="14" t="str">
        <f t="shared" si="1533"/>
        <v>Siya Reddy</v>
      </c>
      <c r="U765" s="14" t="str">
        <f t="shared" si="1533"/>
        <v>Juhu</v>
      </c>
      <c r="V765" s="14" t="str">
        <f t="shared" si="4"/>
        <v>Chilli Cheese Toast</v>
      </c>
      <c r="W765" s="14">
        <f t="shared" si="5"/>
        <v>5</v>
      </c>
      <c r="X765" s="14" t="str">
        <f t="shared" si="6"/>
        <v>Aman Kumar</v>
      </c>
      <c r="Y765" s="15">
        <f t="shared" si="7"/>
        <v>45207</v>
      </c>
      <c r="Z765" s="14" t="str">
        <f t="shared" si="8"/>
        <v>Credit Card</v>
      </c>
      <c r="AA765" s="14" t="str">
        <f t="shared" si="9"/>
        <v>Cancelled</v>
      </c>
      <c r="AB765" s="14" t="str">
        <f t="shared" ref="AB765:AC765" si="1534">trim(Q765)</f>
        <v>Delayed Delivery</v>
      </c>
      <c r="AC765" s="14" t="str">
        <f t="shared" si="1534"/>
        <v>Incorrect Address or Location</v>
      </c>
      <c r="AD765" s="8"/>
    </row>
    <row r="766">
      <c r="A766" s="14" t="str">
        <f>IFERROR(__xludf.DUMMYFUNCTION("""COMPUTED_VALUE"""),"//ord_10757//Ishaan Chaturvedi//Bandra//Tomato+1*Ramesh S/10/5/2023//Credit Card//Delivered*Customer Service: Seamless and easy")</f>
        <v>//ord_10757//Ishaan Chaturvedi//Bandra//Tomato+1*Ramesh S/10/5/2023//Credit Card//Delivered*Customer Service: Seamless and easy</v>
      </c>
      <c r="B766" s="14" t="str">
        <f>IFERROR(__xludf.DUMMYFUNCTION("split(A766,""//"")"),"ord_10757")</f>
        <v>ord_10757</v>
      </c>
      <c r="C766" s="14" t="str">
        <f>IFERROR(__xludf.DUMMYFUNCTION("""COMPUTED_VALUE"""),"Ishaan Chaturvedi")</f>
        <v>Ishaan Chaturvedi</v>
      </c>
      <c r="D766" s="14" t="str">
        <f>IFERROR(__xludf.DUMMYFUNCTION("""COMPUTED_VALUE"""),"Bandra")</f>
        <v>Bandra</v>
      </c>
      <c r="E766" s="14" t="str">
        <f>IFERROR(__xludf.DUMMYFUNCTION("""COMPUTED_VALUE"""),"Tomato+1*Ramesh S")</f>
        <v>Tomato+1*Ramesh S</v>
      </c>
      <c r="F766" s="14">
        <f>IFERROR(__xludf.DUMMYFUNCTION("""COMPUTED_VALUE"""),10.0)</f>
        <v>10</v>
      </c>
      <c r="G766" s="14">
        <f>IFERROR(__xludf.DUMMYFUNCTION("""COMPUTED_VALUE"""),5.0)</f>
        <v>5</v>
      </c>
      <c r="H766" s="14">
        <f>IFERROR(__xludf.DUMMYFUNCTION("""COMPUTED_VALUE"""),2023.0)</f>
        <v>2023</v>
      </c>
      <c r="I766" s="14" t="str">
        <f>IFERROR(__xludf.DUMMYFUNCTION("""COMPUTED_VALUE"""),"Credit Card")</f>
        <v>Credit Card</v>
      </c>
      <c r="J766" s="14" t="str">
        <f>IFERROR(__xludf.DUMMYFUNCTION("""COMPUTED_VALUE"""),"Delivered*Customer Service: Seamless and easy")</f>
        <v>Delivered*Customer Service: Seamless and easy</v>
      </c>
      <c r="K766" s="14" t="str">
        <f>IFERROR(__xludf.DUMMYFUNCTION("split(E766,""+"")"),"Tomato")</f>
        <v>Tomato</v>
      </c>
      <c r="L766" s="14" t="str">
        <f>IFERROR(__xludf.DUMMYFUNCTION("""COMPUTED_VALUE"""),"1*Ramesh S")</f>
        <v>1*Ramesh S</v>
      </c>
      <c r="M766" s="14">
        <f>IFERROR(__xludf.DUMMYFUNCTION("SPLIT(L766,""*"")"),1.0)</f>
        <v>1</v>
      </c>
      <c r="N766" s="14" t="str">
        <f>IFERROR(__xludf.DUMMYFUNCTION("""COMPUTED_VALUE"""),"Ramesh S")</f>
        <v>Ramesh S</v>
      </c>
      <c r="O766" s="14" t="str">
        <f>IFERROR(__xludf.DUMMYFUNCTION("split(J766,""*"")"),"Delivered")</f>
        <v>Delivered</v>
      </c>
      <c r="P766" s="14" t="str">
        <f>IFERROR(__xludf.DUMMYFUNCTION("""COMPUTED_VALUE"""),"Customer Service: Seamless and easy")</f>
        <v>Customer Service: Seamless and easy</v>
      </c>
      <c r="Q766" s="14" t="str">
        <f>IFERROR(__xludf.DUMMYFUNCTION("split(P766,"":"")"),"Customer Service")</f>
        <v>Customer Service</v>
      </c>
      <c r="R766" s="14" t="str">
        <f>IFERROR(__xludf.DUMMYFUNCTION("""COMPUTED_VALUE""")," Seamless and easy")</f>
        <v> Seamless and easy</v>
      </c>
      <c r="S766" s="14" t="str">
        <f t="shared" ref="S766:U766" si="1535">trim(B766)</f>
        <v>ord_10757</v>
      </c>
      <c r="T766" s="14" t="str">
        <f t="shared" si="1535"/>
        <v>Ishaan Chaturvedi</v>
      </c>
      <c r="U766" s="14" t="str">
        <f t="shared" si="1535"/>
        <v>Bandra</v>
      </c>
      <c r="V766" s="14" t="str">
        <f t="shared" si="4"/>
        <v>Tomato</v>
      </c>
      <c r="W766" s="14">
        <f t="shared" si="5"/>
        <v>1</v>
      </c>
      <c r="X766" s="14" t="str">
        <f t="shared" si="6"/>
        <v>Ramesh S</v>
      </c>
      <c r="Y766" s="15">
        <f t="shared" si="7"/>
        <v>45204</v>
      </c>
      <c r="Z766" s="14" t="str">
        <f t="shared" si="8"/>
        <v>Credit Card</v>
      </c>
      <c r="AA766" s="14" t="str">
        <f t="shared" si="9"/>
        <v>Delivered</v>
      </c>
      <c r="AB766" s="14" t="str">
        <f t="shared" ref="AB766:AC766" si="1536">trim(Q766)</f>
        <v>Customer Service</v>
      </c>
      <c r="AC766" s="14" t="str">
        <f t="shared" si="1536"/>
        <v>Seamless and easy</v>
      </c>
      <c r="AD766" s="8"/>
    </row>
    <row r="767">
      <c r="A767" s="14" t="str">
        <f>IFERROR(__xludf.DUMMYFUNCTION("""COMPUTED_VALUE"""),"//ord_10758//Sanjay Nair//Dadar//Chocolate Mousse+5*Vivek Kumar/2/14/2023//Credit Card//Delivered*Delivery Experience: Quick and professional")</f>
        <v>//ord_10758//Sanjay Nair//Dadar//Chocolate Mousse+5*Vivek Kumar/2/14/2023//Credit Card//Delivered*Delivery Experience: Quick and professional</v>
      </c>
      <c r="B767" s="14" t="str">
        <f>IFERROR(__xludf.DUMMYFUNCTION("split(A767,""//"")"),"ord_10758")</f>
        <v>ord_10758</v>
      </c>
      <c r="C767" s="14" t="str">
        <f>IFERROR(__xludf.DUMMYFUNCTION("""COMPUTED_VALUE"""),"Sanjay Nair")</f>
        <v>Sanjay Nair</v>
      </c>
      <c r="D767" s="14" t="str">
        <f>IFERROR(__xludf.DUMMYFUNCTION("""COMPUTED_VALUE"""),"Dadar")</f>
        <v>Dadar</v>
      </c>
      <c r="E767" s="14" t="str">
        <f>IFERROR(__xludf.DUMMYFUNCTION("""COMPUTED_VALUE"""),"Chocolate Mousse+5*Vivek Kumar")</f>
        <v>Chocolate Mousse+5*Vivek Kumar</v>
      </c>
      <c r="F767" s="14">
        <f>IFERROR(__xludf.DUMMYFUNCTION("""COMPUTED_VALUE"""),2.0)</f>
        <v>2</v>
      </c>
      <c r="G767" s="14">
        <f>IFERROR(__xludf.DUMMYFUNCTION("""COMPUTED_VALUE"""),14.0)</f>
        <v>14</v>
      </c>
      <c r="H767" s="14">
        <f>IFERROR(__xludf.DUMMYFUNCTION("""COMPUTED_VALUE"""),2023.0)</f>
        <v>2023</v>
      </c>
      <c r="I767" s="14" t="str">
        <f>IFERROR(__xludf.DUMMYFUNCTION("""COMPUTED_VALUE"""),"Credit Card")</f>
        <v>Credit Card</v>
      </c>
      <c r="J767" s="14" t="str">
        <f>IFERROR(__xludf.DUMMYFUNCTION("""COMPUTED_VALUE"""),"Delivered*Delivery Experience: Quick and professional")</f>
        <v>Delivered*Delivery Experience: Quick and professional</v>
      </c>
      <c r="K767" s="14" t="str">
        <f>IFERROR(__xludf.DUMMYFUNCTION("split(E767,""+"")"),"Chocolate Mousse")</f>
        <v>Chocolate Mousse</v>
      </c>
      <c r="L767" s="14" t="str">
        <f>IFERROR(__xludf.DUMMYFUNCTION("""COMPUTED_VALUE"""),"5*Vivek Kumar")</f>
        <v>5*Vivek Kumar</v>
      </c>
      <c r="M767" s="14">
        <f>IFERROR(__xludf.DUMMYFUNCTION("SPLIT(L767,""*"")"),5.0)</f>
        <v>5</v>
      </c>
      <c r="N767" s="14" t="str">
        <f>IFERROR(__xludf.DUMMYFUNCTION("""COMPUTED_VALUE"""),"Vivek Kumar")</f>
        <v>Vivek Kumar</v>
      </c>
      <c r="O767" s="14" t="str">
        <f>IFERROR(__xludf.DUMMYFUNCTION("split(J767,""*"")"),"Delivered")</f>
        <v>Delivered</v>
      </c>
      <c r="P767" s="14" t="str">
        <f>IFERROR(__xludf.DUMMYFUNCTION("""COMPUTED_VALUE"""),"Delivery Experience: Quick and professional")</f>
        <v>Delivery Experience: Quick and professional</v>
      </c>
      <c r="Q767" s="14" t="str">
        <f>IFERROR(__xludf.DUMMYFUNCTION("split(P767,"":"")"),"Delivery Experience")</f>
        <v>Delivery Experience</v>
      </c>
      <c r="R767" s="14" t="str">
        <f>IFERROR(__xludf.DUMMYFUNCTION("""COMPUTED_VALUE""")," Quick and professional")</f>
        <v> Quick and professional</v>
      </c>
      <c r="S767" s="14" t="str">
        <f t="shared" ref="S767:U767" si="1537">trim(B767)</f>
        <v>ord_10758</v>
      </c>
      <c r="T767" s="14" t="str">
        <f t="shared" si="1537"/>
        <v>Sanjay Nair</v>
      </c>
      <c r="U767" s="14" t="str">
        <f t="shared" si="1537"/>
        <v>Dadar</v>
      </c>
      <c r="V767" s="14" t="str">
        <f t="shared" si="4"/>
        <v>Chocolate Mousse</v>
      </c>
      <c r="W767" s="14">
        <f t="shared" si="5"/>
        <v>5</v>
      </c>
      <c r="X767" s="14" t="str">
        <f t="shared" si="6"/>
        <v>Vivek Kumar</v>
      </c>
      <c r="Y767" s="15">
        <f t="shared" si="7"/>
        <v>44971</v>
      </c>
      <c r="Z767" s="14" t="str">
        <f t="shared" si="8"/>
        <v>Credit Card</v>
      </c>
      <c r="AA767" s="14" t="str">
        <f t="shared" si="9"/>
        <v>Delivered</v>
      </c>
      <c r="AB767" s="14" t="str">
        <f t="shared" ref="AB767:AC767" si="1538">trim(Q767)</f>
        <v>Delivery Experience</v>
      </c>
      <c r="AC767" s="14" t="str">
        <f t="shared" si="1538"/>
        <v>Quick and professional</v>
      </c>
      <c r="AD767" s="8"/>
    </row>
    <row r="768">
      <c r="A768" s="14" t="str">
        <f>IFERROR(__xludf.DUMMYFUNCTION("""COMPUTED_VALUE"""),"//ord_10759//Mehul Thakkar//Malad//Guava+2*Manju Ajay/3/6/2023//UPI//Cancelled*Delayed Delivery:Traffic Accidents or Road Closures")</f>
        <v>//ord_10759//Mehul Thakkar//Malad//Guava+2*Manju Ajay/3/6/2023//UPI//Cancelled*Delayed Delivery:Traffic Accidents or Road Closures</v>
      </c>
      <c r="B768" s="14" t="str">
        <f>IFERROR(__xludf.DUMMYFUNCTION("split(A768,""//"")"),"ord_10759")</f>
        <v>ord_10759</v>
      </c>
      <c r="C768" s="14" t="str">
        <f>IFERROR(__xludf.DUMMYFUNCTION("""COMPUTED_VALUE"""),"Mehul Thakkar")</f>
        <v>Mehul Thakkar</v>
      </c>
      <c r="D768" s="14" t="str">
        <f>IFERROR(__xludf.DUMMYFUNCTION("""COMPUTED_VALUE"""),"Malad")</f>
        <v>Malad</v>
      </c>
      <c r="E768" s="14" t="str">
        <f>IFERROR(__xludf.DUMMYFUNCTION("""COMPUTED_VALUE"""),"Guava+2*Manju Ajay")</f>
        <v>Guava+2*Manju Ajay</v>
      </c>
      <c r="F768" s="14">
        <f>IFERROR(__xludf.DUMMYFUNCTION("""COMPUTED_VALUE"""),3.0)</f>
        <v>3</v>
      </c>
      <c r="G768" s="14">
        <f>IFERROR(__xludf.DUMMYFUNCTION("""COMPUTED_VALUE"""),6.0)</f>
        <v>6</v>
      </c>
      <c r="H768" s="14">
        <f>IFERROR(__xludf.DUMMYFUNCTION("""COMPUTED_VALUE"""),2023.0)</f>
        <v>2023</v>
      </c>
      <c r="I768" s="14" t="str">
        <f>IFERROR(__xludf.DUMMYFUNCTION("""COMPUTED_VALUE"""),"UPI")</f>
        <v>UPI</v>
      </c>
      <c r="J768" s="14" t="str">
        <f>IFERROR(__xludf.DUMMYFUNCTION("""COMPUTED_VALUE"""),"Cancelled*Delayed Delivery:Traffic Accidents or Road Closures")</f>
        <v>Cancelled*Delayed Delivery:Traffic Accidents or Road Closures</v>
      </c>
      <c r="K768" s="14" t="str">
        <f>IFERROR(__xludf.DUMMYFUNCTION("split(E768,""+"")"),"Guava")</f>
        <v>Guava</v>
      </c>
      <c r="L768" s="14" t="str">
        <f>IFERROR(__xludf.DUMMYFUNCTION("""COMPUTED_VALUE"""),"2*Manju Ajay")</f>
        <v>2*Manju Ajay</v>
      </c>
      <c r="M768" s="14">
        <f>IFERROR(__xludf.DUMMYFUNCTION("SPLIT(L768,""*"")"),2.0)</f>
        <v>2</v>
      </c>
      <c r="N768" s="14" t="str">
        <f>IFERROR(__xludf.DUMMYFUNCTION("""COMPUTED_VALUE"""),"Manju Ajay")</f>
        <v>Manju Ajay</v>
      </c>
      <c r="O768" s="14" t="str">
        <f>IFERROR(__xludf.DUMMYFUNCTION("split(J768,""*"")"),"Cancelled")</f>
        <v>Cancelled</v>
      </c>
      <c r="P768" s="14" t="str">
        <f>IFERROR(__xludf.DUMMYFUNCTION("""COMPUTED_VALUE"""),"Delayed Delivery:Traffic Accidents or Road Closures")</f>
        <v>Delayed Delivery:Traffic Accidents or Road Closures</v>
      </c>
      <c r="Q768" s="14" t="str">
        <f>IFERROR(__xludf.DUMMYFUNCTION("split(P768,"":"")"),"Delayed Delivery")</f>
        <v>Delayed Delivery</v>
      </c>
      <c r="R768" s="14" t="str">
        <f>IFERROR(__xludf.DUMMYFUNCTION("""COMPUTED_VALUE"""),"Traffic Accidents or Road Closures")</f>
        <v>Traffic Accidents or Road Closures</v>
      </c>
      <c r="S768" s="14" t="str">
        <f t="shared" ref="S768:U768" si="1539">trim(B768)</f>
        <v>ord_10759</v>
      </c>
      <c r="T768" s="14" t="str">
        <f t="shared" si="1539"/>
        <v>Mehul Thakkar</v>
      </c>
      <c r="U768" s="14" t="str">
        <f t="shared" si="1539"/>
        <v>Malad</v>
      </c>
      <c r="V768" s="14" t="str">
        <f t="shared" si="4"/>
        <v>Guava</v>
      </c>
      <c r="W768" s="14">
        <f t="shared" si="5"/>
        <v>2</v>
      </c>
      <c r="X768" s="14" t="str">
        <f t="shared" si="6"/>
        <v>Manju Ajay</v>
      </c>
      <c r="Y768" s="15">
        <f t="shared" si="7"/>
        <v>44991</v>
      </c>
      <c r="Z768" s="14" t="str">
        <f t="shared" si="8"/>
        <v>UPI</v>
      </c>
      <c r="AA768" s="14" t="str">
        <f t="shared" si="9"/>
        <v>Cancelled</v>
      </c>
      <c r="AB768" s="14" t="str">
        <f t="shared" ref="AB768:AC768" si="1540">trim(Q768)</f>
        <v>Delayed Delivery</v>
      </c>
      <c r="AC768" s="14" t="str">
        <f t="shared" si="1540"/>
        <v>Traffic Accidents or Road Closures</v>
      </c>
      <c r="AD768" s="8"/>
    </row>
    <row r="769">
      <c r="A769" s="14" t="str">
        <f>IFERROR(__xludf.DUMMYFUNCTION("""COMPUTED_VALUE"""),"//ord_10760//Diya Arora//Lower Parel//Papaya+1*Shine Thomas/6/16/2023//Credit Card//Delivered*Convenience: Easy tracking")</f>
        <v>//ord_10760//Diya Arora//Lower Parel//Papaya+1*Shine Thomas/6/16/2023//Credit Card//Delivered*Convenience: Easy tracking</v>
      </c>
      <c r="B769" s="14" t="str">
        <f>IFERROR(__xludf.DUMMYFUNCTION("split(A769,""//"")"),"ord_10760")</f>
        <v>ord_10760</v>
      </c>
      <c r="C769" s="14" t="str">
        <f>IFERROR(__xludf.DUMMYFUNCTION("""COMPUTED_VALUE"""),"Diya Arora")</f>
        <v>Diya Arora</v>
      </c>
      <c r="D769" s="14" t="str">
        <f>IFERROR(__xludf.DUMMYFUNCTION("""COMPUTED_VALUE"""),"Lower Parel")</f>
        <v>Lower Parel</v>
      </c>
      <c r="E769" s="14" t="str">
        <f>IFERROR(__xludf.DUMMYFUNCTION("""COMPUTED_VALUE"""),"Papaya+1*Shine Thomas")</f>
        <v>Papaya+1*Shine Thomas</v>
      </c>
      <c r="F769" s="14">
        <f>IFERROR(__xludf.DUMMYFUNCTION("""COMPUTED_VALUE"""),6.0)</f>
        <v>6</v>
      </c>
      <c r="G769" s="14">
        <f>IFERROR(__xludf.DUMMYFUNCTION("""COMPUTED_VALUE"""),16.0)</f>
        <v>16</v>
      </c>
      <c r="H769" s="14">
        <f>IFERROR(__xludf.DUMMYFUNCTION("""COMPUTED_VALUE"""),2023.0)</f>
        <v>2023</v>
      </c>
      <c r="I769" s="14" t="str">
        <f>IFERROR(__xludf.DUMMYFUNCTION("""COMPUTED_VALUE"""),"Credit Card")</f>
        <v>Credit Card</v>
      </c>
      <c r="J769" s="14" t="str">
        <f>IFERROR(__xludf.DUMMYFUNCTION("""COMPUTED_VALUE"""),"Delivered*Convenience: Easy tracking")</f>
        <v>Delivered*Convenience: Easy tracking</v>
      </c>
      <c r="K769" s="14" t="str">
        <f>IFERROR(__xludf.DUMMYFUNCTION("split(E769,""+"")"),"Papaya")</f>
        <v>Papaya</v>
      </c>
      <c r="L769" s="14" t="str">
        <f>IFERROR(__xludf.DUMMYFUNCTION("""COMPUTED_VALUE"""),"1*Shine Thomas")</f>
        <v>1*Shine Thomas</v>
      </c>
      <c r="M769" s="14">
        <f>IFERROR(__xludf.DUMMYFUNCTION("SPLIT(L769,""*"")"),1.0)</f>
        <v>1</v>
      </c>
      <c r="N769" s="14" t="str">
        <f>IFERROR(__xludf.DUMMYFUNCTION("""COMPUTED_VALUE"""),"Shine Thomas")</f>
        <v>Shine Thomas</v>
      </c>
      <c r="O769" s="14" t="str">
        <f>IFERROR(__xludf.DUMMYFUNCTION("split(J769,""*"")"),"Delivered")</f>
        <v>Delivered</v>
      </c>
      <c r="P769" s="14" t="str">
        <f>IFERROR(__xludf.DUMMYFUNCTION("""COMPUTED_VALUE"""),"Convenience: Easy tracking")</f>
        <v>Convenience: Easy tracking</v>
      </c>
      <c r="Q769" s="14" t="str">
        <f>IFERROR(__xludf.DUMMYFUNCTION("split(P769,"":"")"),"Convenience")</f>
        <v>Convenience</v>
      </c>
      <c r="R769" s="14" t="str">
        <f>IFERROR(__xludf.DUMMYFUNCTION("""COMPUTED_VALUE""")," Easy tracking")</f>
        <v> Easy tracking</v>
      </c>
      <c r="S769" s="14" t="str">
        <f t="shared" ref="S769:U769" si="1541">trim(B769)</f>
        <v>ord_10760</v>
      </c>
      <c r="T769" s="14" t="str">
        <f t="shared" si="1541"/>
        <v>Diya Arora</v>
      </c>
      <c r="U769" s="14" t="str">
        <f t="shared" si="1541"/>
        <v>Lower Parel</v>
      </c>
      <c r="V769" s="14" t="str">
        <f t="shared" si="4"/>
        <v>Papaya</v>
      </c>
      <c r="W769" s="14">
        <f t="shared" si="5"/>
        <v>1</v>
      </c>
      <c r="X769" s="14" t="str">
        <f t="shared" si="6"/>
        <v>Shine Thomas</v>
      </c>
      <c r="Y769" s="15">
        <f t="shared" si="7"/>
        <v>45093</v>
      </c>
      <c r="Z769" s="14" t="str">
        <f t="shared" si="8"/>
        <v>Credit Card</v>
      </c>
      <c r="AA769" s="14" t="str">
        <f t="shared" si="9"/>
        <v>Delivered</v>
      </c>
      <c r="AB769" s="14" t="str">
        <f t="shared" ref="AB769:AC769" si="1542">trim(Q769)</f>
        <v>Convenience</v>
      </c>
      <c r="AC769" s="14" t="str">
        <f t="shared" si="1542"/>
        <v>Easy tracking</v>
      </c>
      <c r="AD769" s="8"/>
    </row>
    <row r="770">
      <c r="A770" s="14" t="str">
        <f>IFERROR(__xludf.DUMMYFUNCTION("""COMPUTED_VALUE"""),"//ord_10761//Sanjay Nair//Dadar//Apple+1*Ram Gopal/8/24/2023//COD//Delivered*Overall Satisfaction: Great service will order again")</f>
        <v>//ord_10761//Sanjay Nair//Dadar//Apple+1*Ram Gopal/8/24/2023//COD//Delivered*Overall Satisfaction: Great service will order again</v>
      </c>
      <c r="B770" s="14" t="str">
        <f>IFERROR(__xludf.DUMMYFUNCTION("split(A770,""//"")"),"ord_10761")</f>
        <v>ord_10761</v>
      </c>
      <c r="C770" s="14" t="str">
        <f>IFERROR(__xludf.DUMMYFUNCTION("""COMPUTED_VALUE"""),"Sanjay Nair")</f>
        <v>Sanjay Nair</v>
      </c>
      <c r="D770" s="14" t="str">
        <f>IFERROR(__xludf.DUMMYFUNCTION("""COMPUTED_VALUE"""),"Dadar")</f>
        <v>Dadar</v>
      </c>
      <c r="E770" s="14" t="str">
        <f>IFERROR(__xludf.DUMMYFUNCTION("""COMPUTED_VALUE"""),"Apple+1*Ram Gopal")</f>
        <v>Apple+1*Ram Gopal</v>
      </c>
      <c r="F770" s="14">
        <f>IFERROR(__xludf.DUMMYFUNCTION("""COMPUTED_VALUE"""),8.0)</f>
        <v>8</v>
      </c>
      <c r="G770" s="14">
        <f>IFERROR(__xludf.DUMMYFUNCTION("""COMPUTED_VALUE"""),24.0)</f>
        <v>24</v>
      </c>
      <c r="H770" s="14">
        <f>IFERROR(__xludf.DUMMYFUNCTION("""COMPUTED_VALUE"""),2023.0)</f>
        <v>2023</v>
      </c>
      <c r="I770" s="14" t="str">
        <f>IFERROR(__xludf.DUMMYFUNCTION("""COMPUTED_VALUE"""),"COD")</f>
        <v>COD</v>
      </c>
      <c r="J770" s="14" t="str">
        <f>IFERROR(__xludf.DUMMYFUNCTION("""COMPUTED_VALUE"""),"Delivered*Overall Satisfaction: Great service will order again")</f>
        <v>Delivered*Overall Satisfaction: Great service will order again</v>
      </c>
      <c r="K770" s="14" t="str">
        <f>IFERROR(__xludf.DUMMYFUNCTION("split(E770,""+"")"),"Apple")</f>
        <v>Apple</v>
      </c>
      <c r="L770" s="14" t="str">
        <f>IFERROR(__xludf.DUMMYFUNCTION("""COMPUTED_VALUE"""),"1*Ram Gopal")</f>
        <v>1*Ram Gopal</v>
      </c>
      <c r="M770" s="14">
        <f>IFERROR(__xludf.DUMMYFUNCTION("SPLIT(L770,""*"")"),1.0)</f>
        <v>1</v>
      </c>
      <c r="N770" s="14" t="str">
        <f>IFERROR(__xludf.DUMMYFUNCTION("""COMPUTED_VALUE"""),"Ram Gopal")</f>
        <v>Ram Gopal</v>
      </c>
      <c r="O770" s="14" t="str">
        <f>IFERROR(__xludf.DUMMYFUNCTION("split(J770,""*"")"),"Delivered")</f>
        <v>Delivered</v>
      </c>
      <c r="P770" s="14" t="str">
        <f>IFERROR(__xludf.DUMMYFUNCTION("""COMPUTED_VALUE"""),"Overall Satisfaction: Great service will order again")</f>
        <v>Overall Satisfaction: Great service will order again</v>
      </c>
      <c r="Q770" s="14" t="str">
        <f>IFERROR(__xludf.DUMMYFUNCTION("split(P770,"":"")"),"Overall Satisfaction")</f>
        <v>Overall Satisfaction</v>
      </c>
      <c r="R770" s="14" t="str">
        <f>IFERROR(__xludf.DUMMYFUNCTION("""COMPUTED_VALUE""")," Great service will order again")</f>
        <v> Great service will order again</v>
      </c>
      <c r="S770" s="14" t="str">
        <f t="shared" ref="S770:U770" si="1543">trim(B770)</f>
        <v>ord_10761</v>
      </c>
      <c r="T770" s="14" t="str">
        <f t="shared" si="1543"/>
        <v>Sanjay Nair</v>
      </c>
      <c r="U770" s="14" t="str">
        <f t="shared" si="1543"/>
        <v>Dadar</v>
      </c>
      <c r="V770" s="14" t="str">
        <f t="shared" si="4"/>
        <v>Apple</v>
      </c>
      <c r="W770" s="14">
        <f t="shared" si="5"/>
        <v>1</v>
      </c>
      <c r="X770" s="14" t="str">
        <f t="shared" si="6"/>
        <v>Ram Gopal</v>
      </c>
      <c r="Y770" s="15">
        <f t="shared" si="7"/>
        <v>45162</v>
      </c>
      <c r="Z770" s="14" t="str">
        <f t="shared" si="8"/>
        <v>COD</v>
      </c>
      <c r="AA770" s="14" t="str">
        <f t="shared" si="9"/>
        <v>Delivered</v>
      </c>
      <c r="AB770" s="14" t="str">
        <f t="shared" ref="AB770:AC770" si="1544">trim(Q770)</f>
        <v>Overall Satisfaction</v>
      </c>
      <c r="AC770" s="14" t="str">
        <f t="shared" si="1544"/>
        <v>Great service will order again</v>
      </c>
      <c r="AD770" s="8"/>
    </row>
    <row r="771">
      <c r="A771" s="14" t="str">
        <f>IFERROR(__xludf.DUMMYFUNCTION("""COMPUTED_VALUE"""),"//ord_10762//Mehul Thakkar//Malad//Potato+1*Manju Ajay/10/18/2023//UPI//Delivered*On-time Delivery: Delivered on time")</f>
        <v>//ord_10762//Mehul Thakkar//Malad//Potato+1*Manju Ajay/10/18/2023//UPI//Delivered*On-time Delivery: Delivered on time</v>
      </c>
      <c r="B771" s="14" t="str">
        <f>IFERROR(__xludf.DUMMYFUNCTION("split(A771,""//"")"),"ord_10762")</f>
        <v>ord_10762</v>
      </c>
      <c r="C771" s="14" t="str">
        <f>IFERROR(__xludf.DUMMYFUNCTION("""COMPUTED_VALUE"""),"Mehul Thakkar")</f>
        <v>Mehul Thakkar</v>
      </c>
      <c r="D771" s="14" t="str">
        <f>IFERROR(__xludf.DUMMYFUNCTION("""COMPUTED_VALUE"""),"Malad")</f>
        <v>Malad</v>
      </c>
      <c r="E771" s="14" t="str">
        <f>IFERROR(__xludf.DUMMYFUNCTION("""COMPUTED_VALUE"""),"Potato+1*Manju Ajay")</f>
        <v>Potato+1*Manju Ajay</v>
      </c>
      <c r="F771" s="14">
        <f>IFERROR(__xludf.DUMMYFUNCTION("""COMPUTED_VALUE"""),10.0)</f>
        <v>10</v>
      </c>
      <c r="G771" s="14">
        <f>IFERROR(__xludf.DUMMYFUNCTION("""COMPUTED_VALUE"""),18.0)</f>
        <v>18</v>
      </c>
      <c r="H771" s="14">
        <f>IFERROR(__xludf.DUMMYFUNCTION("""COMPUTED_VALUE"""),2023.0)</f>
        <v>2023</v>
      </c>
      <c r="I771" s="14" t="str">
        <f>IFERROR(__xludf.DUMMYFUNCTION("""COMPUTED_VALUE"""),"UPI")</f>
        <v>UPI</v>
      </c>
      <c r="J771" s="14" t="str">
        <f>IFERROR(__xludf.DUMMYFUNCTION("""COMPUTED_VALUE"""),"Delivered*On-time Delivery: Delivered on time")</f>
        <v>Delivered*On-time Delivery: Delivered on time</v>
      </c>
      <c r="K771" s="14" t="str">
        <f>IFERROR(__xludf.DUMMYFUNCTION("split(E771,""+"")"),"Potato")</f>
        <v>Potato</v>
      </c>
      <c r="L771" s="14" t="str">
        <f>IFERROR(__xludf.DUMMYFUNCTION("""COMPUTED_VALUE"""),"1*Manju Ajay")</f>
        <v>1*Manju Ajay</v>
      </c>
      <c r="M771" s="14">
        <f>IFERROR(__xludf.DUMMYFUNCTION("SPLIT(L771,""*"")"),1.0)</f>
        <v>1</v>
      </c>
      <c r="N771" s="14" t="str">
        <f>IFERROR(__xludf.DUMMYFUNCTION("""COMPUTED_VALUE"""),"Manju Ajay")</f>
        <v>Manju Ajay</v>
      </c>
      <c r="O771" s="14" t="str">
        <f>IFERROR(__xludf.DUMMYFUNCTION("split(J771,""*"")"),"Delivered")</f>
        <v>Delivered</v>
      </c>
      <c r="P771" s="14" t="str">
        <f>IFERROR(__xludf.DUMMYFUNCTION("""COMPUTED_VALUE"""),"On-time Delivery: Delivered on time")</f>
        <v>On-time Delivery: Delivered on time</v>
      </c>
      <c r="Q771" s="14" t="str">
        <f>IFERROR(__xludf.DUMMYFUNCTION("split(P771,"":"")"),"On-time Delivery")</f>
        <v>On-time Delivery</v>
      </c>
      <c r="R771" s="14" t="str">
        <f>IFERROR(__xludf.DUMMYFUNCTION("""COMPUTED_VALUE""")," Delivered on time")</f>
        <v> Delivered on time</v>
      </c>
      <c r="S771" s="14" t="str">
        <f t="shared" ref="S771:U771" si="1545">trim(B771)</f>
        <v>ord_10762</v>
      </c>
      <c r="T771" s="14" t="str">
        <f t="shared" si="1545"/>
        <v>Mehul Thakkar</v>
      </c>
      <c r="U771" s="14" t="str">
        <f t="shared" si="1545"/>
        <v>Malad</v>
      </c>
      <c r="V771" s="14" t="str">
        <f t="shared" si="4"/>
        <v>Potato</v>
      </c>
      <c r="W771" s="14">
        <f t="shared" si="5"/>
        <v>1</v>
      </c>
      <c r="X771" s="14" t="str">
        <f t="shared" si="6"/>
        <v>Manju Ajay</v>
      </c>
      <c r="Y771" s="15">
        <f t="shared" si="7"/>
        <v>45217</v>
      </c>
      <c r="Z771" s="14" t="str">
        <f t="shared" si="8"/>
        <v>UPI</v>
      </c>
      <c r="AA771" s="14" t="str">
        <f t="shared" si="9"/>
        <v>Delivered</v>
      </c>
      <c r="AB771" s="14" t="str">
        <f t="shared" ref="AB771:AC771" si="1546">trim(Q771)</f>
        <v>On-time Delivery</v>
      </c>
      <c r="AC771" s="14" t="str">
        <f t="shared" si="1546"/>
        <v>Delivered on time</v>
      </c>
      <c r="AD771" s="8"/>
    </row>
    <row r="772">
      <c r="A772" s="14" t="str">
        <f>IFERROR(__xludf.DUMMYFUNCTION("""COMPUTED_VALUE"""),"//ord_10763//Pranav Joshi//Andheri//Potato+2*Shine Thomas/12/4/2023//UPI//Delivered*Quality of Items: Perfect condition")</f>
        <v>//ord_10763//Pranav Joshi//Andheri//Potato+2*Shine Thomas/12/4/2023//UPI//Delivered*Quality of Items: Perfect condition</v>
      </c>
      <c r="B772" s="14" t="str">
        <f>IFERROR(__xludf.DUMMYFUNCTION("split(A772,""//"")"),"ord_10763")</f>
        <v>ord_10763</v>
      </c>
      <c r="C772" s="14" t="str">
        <f>IFERROR(__xludf.DUMMYFUNCTION("""COMPUTED_VALUE"""),"Pranav Joshi")</f>
        <v>Pranav Joshi</v>
      </c>
      <c r="D772" s="14" t="str">
        <f>IFERROR(__xludf.DUMMYFUNCTION("""COMPUTED_VALUE"""),"Andheri")</f>
        <v>Andheri</v>
      </c>
      <c r="E772" s="14" t="str">
        <f>IFERROR(__xludf.DUMMYFUNCTION("""COMPUTED_VALUE"""),"Potato+2*Shine Thomas")</f>
        <v>Potato+2*Shine Thomas</v>
      </c>
      <c r="F772" s="14">
        <f>IFERROR(__xludf.DUMMYFUNCTION("""COMPUTED_VALUE"""),12.0)</f>
        <v>12</v>
      </c>
      <c r="G772" s="14">
        <f>IFERROR(__xludf.DUMMYFUNCTION("""COMPUTED_VALUE"""),4.0)</f>
        <v>4</v>
      </c>
      <c r="H772" s="14">
        <f>IFERROR(__xludf.DUMMYFUNCTION("""COMPUTED_VALUE"""),2023.0)</f>
        <v>2023</v>
      </c>
      <c r="I772" s="14" t="str">
        <f>IFERROR(__xludf.DUMMYFUNCTION("""COMPUTED_VALUE"""),"UPI")</f>
        <v>UPI</v>
      </c>
      <c r="J772" s="14" t="str">
        <f>IFERROR(__xludf.DUMMYFUNCTION("""COMPUTED_VALUE"""),"Delivered*Quality of Items: Perfect condition")</f>
        <v>Delivered*Quality of Items: Perfect condition</v>
      </c>
      <c r="K772" s="14" t="str">
        <f>IFERROR(__xludf.DUMMYFUNCTION("split(E772,""+"")"),"Potato")</f>
        <v>Potato</v>
      </c>
      <c r="L772" s="14" t="str">
        <f>IFERROR(__xludf.DUMMYFUNCTION("""COMPUTED_VALUE"""),"2*Shine Thomas")</f>
        <v>2*Shine Thomas</v>
      </c>
      <c r="M772" s="14">
        <f>IFERROR(__xludf.DUMMYFUNCTION("SPLIT(L772,""*"")"),2.0)</f>
        <v>2</v>
      </c>
      <c r="N772" s="14" t="str">
        <f>IFERROR(__xludf.DUMMYFUNCTION("""COMPUTED_VALUE"""),"Shine Thomas")</f>
        <v>Shine Thomas</v>
      </c>
      <c r="O772" s="14" t="str">
        <f>IFERROR(__xludf.DUMMYFUNCTION("split(J772,""*"")"),"Delivered")</f>
        <v>Delivered</v>
      </c>
      <c r="P772" s="14" t="str">
        <f>IFERROR(__xludf.DUMMYFUNCTION("""COMPUTED_VALUE"""),"Quality of Items: Perfect condition")</f>
        <v>Quality of Items: Perfect condition</v>
      </c>
      <c r="Q772" s="14" t="str">
        <f>IFERROR(__xludf.DUMMYFUNCTION("split(P772,"":"")"),"Quality of Items")</f>
        <v>Quality of Items</v>
      </c>
      <c r="R772" s="14" t="str">
        <f>IFERROR(__xludf.DUMMYFUNCTION("""COMPUTED_VALUE""")," Perfect condition")</f>
        <v> Perfect condition</v>
      </c>
      <c r="S772" s="14" t="str">
        <f t="shared" ref="S772:U772" si="1547">trim(B772)</f>
        <v>ord_10763</v>
      </c>
      <c r="T772" s="14" t="str">
        <f t="shared" si="1547"/>
        <v>Pranav Joshi</v>
      </c>
      <c r="U772" s="14" t="str">
        <f t="shared" si="1547"/>
        <v>Andheri</v>
      </c>
      <c r="V772" s="14" t="str">
        <f t="shared" si="4"/>
        <v>Potato</v>
      </c>
      <c r="W772" s="14">
        <f t="shared" si="5"/>
        <v>2</v>
      </c>
      <c r="X772" s="14" t="str">
        <f t="shared" si="6"/>
        <v>Shine Thomas</v>
      </c>
      <c r="Y772" s="15">
        <f t="shared" si="7"/>
        <v>45264</v>
      </c>
      <c r="Z772" s="14" t="str">
        <f t="shared" si="8"/>
        <v>UPI</v>
      </c>
      <c r="AA772" s="14" t="str">
        <f t="shared" si="9"/>
        <v>Delivered</v>
      </c>
      <c r="AB772" s="14" t="str">
        <f t="shared" ref="AB772:AC772" si="1548">trim(Q772)</f>
        <v>Quality of Items</v>
      </c>
      <c r="AC772" s="14" t="str">
        <f t="shared" si="1548"/>
        <v>Perfect condition</v>
      </c>
      <c r="AD772" s="8"/>
    </row>
    <row r="773">
      <c r="A773" s="14" t="str">
        <f>IFERROR(__xludf.DUMMYFUNCTION("""COMPUTED_VALUE"""),"//ord_10764//Siya Reddy//Juhu//Icecream+4*Sita T/12/1/2023//COD//Delivered*On-time Delivery: Delivered on time")</f>
        <v>//ord_10764//Siya Reddy//Juhu//Icecream+4*Sita T/12/1/2023//COD//Delivered*On-time Delivery: Delivered on time</v>
      </c>
      <c r="B773" s="14" t="str">
        <f>IFERROR(__xludf.DUMMYFUNCTION("split(A773,""//"")"),"ord_10764")</f>
        <v>ord_10764</v>
      </c>
      <c r="C773" s="14" t="str">
        <f>IFERROR(__xludf.DUMMYFUNCTION("""COMPUTED_VALUE"""),"Siya Reddy")</f>
        <v>Siya Reddy</v>
      </c>
      <c r="D773" s="14" t="str">
        <f>IFERROR(__xludf.DUMMYFUNCTION("""COMPUTED_VALUE"""),"Juhu")</f>
        <v>Juhu</v>
      </c>
      <c r="E773" s="14" t="str">
        <f>IFERROR(__xludf.DUMMYFUNCTION("""COMPUTED_VALUE"""),"Icecream+4*Sita T")</f>
        <v>Icecream+4*Sita T</v>
      </c>
      <c r="F773" s="14">
        <f>IFERROR(__xludf.DUMMYFUNCTION("""COMPUTED_VALUE"""),12.0)</f>
        <v>12</v>
      </c>
      <c r="G773" s="14">
        <f>IFERROR(__xludf.DUMMYFUNCTION("""COMPUTED_VALUE"""),1.0)</f>
        <v>1</v>
      </c>
      <c r="H773" s="14">
        <f>IFERROR(__xludf.DUMMYFUNCTION("""COMPUTED_VALUE"""),2023.0)</f>
        <v>2023</v>
      </c>
      <c r="I773" s="14" t="str">
        <f>IFERROR(__xludf.DUMMYFUNCTION("""COMPUTED_VALUE"""),"COD")</f>
        <v>COD</v>
      </c>
      <c r="J773" s="14" t="str">
        <f>IFERROR(__xludf.DUMMYFUNCTION("""COMPUTED_VALUE"""),"Delivered*On-time Delivery: Delivered on time")</f>
        <v>Delivered*On-time Delivery: Delivered on time</v>
      </c>
      <c r="K773" s="14" t="str">
        <f>IFERROR(__xludf.DUMMYFUNCTION("split(E773,""+"")"),"Icecream")</f>
        <v>Icecream</v>
      </c>
      <c r="L773" s="14" t="str">
        <f>IFERROR(__xludf.DUMMYFUNCTION("""COMPUTED_VALUE"""),"4*Sita T")</f>
        <v>4*Sita T</v>
      </c>
      <c r="M773" s="14">
        <f>IFERROR(__xludf.DUMMYFUNCTION("SPLIT(L773,""*"")"),4.0)</f>
        <v>4</v>
      </c>
      <c r="N773" s="14" t="str">
        <f>IFERROR(__xludf.DUMMYFUNCTION("""COMPUTED_VALUE"""),"Sita T")</f>
        <v>Sita T</v>
      </c>
      <c r="O773" s="14" t="str">
        <f>IFERROR(__xludf.DUMMYFUNCTION("split(J773,""*"")"),"Delivered")</f>
        <v>Delivered</v>
      </c>
      <c r="P773" s="14" t="str">
        <f>IFERROR(__xludf.DUMMYFUNCTION("""COMPUTED_VALUE"""),"On-time Delivery: Delivered on time")</f>
        <v>On-time Delivery: Delivered on time</v>
      </c>
      <c r="Q773" s="14" t="str">
        <f>IFERROR(__xludf.DUMMYFUNCTION("split(P773,"":"")"),"On-time Delivery")</f>
        <v>On-time Delivery</v>
      </c>
      <c r="R773" s="14" t="str">
        <f>IFERROR(__xludf.DUMMYFUNCTION("""COMPUTED_VALUE""")," Delivered on time")</f>
        <v> Delivered on time</v>
      </c>
      <c r="S773" s="14" t="str">
        <f t="shared" ref="S773:U773" si="1549">trim(B773)</f>
        <v>ord_10764</v>
      </c>
      <c r="T773" s="14" t="str">
        <f t="shared" si="1549"/>
        <v>Siya Reddy</v>
      </c>
      <c r="U773" s="14" t="str">
        <f t="shared" si="1549"/>
        <v>Juhu</v>
      </c>
      <c r="V773" s="14" t="str">
        <f t="shared" si="4"/>
        <v>Icecream</v>
      </c>
      <c r="W773" s="14">
        <f t="shared" si="5"/>
        <v>4</v>
      </c>
      <c r="X773" s="14" t="str">
        <f t="shared" si="6"/>
        <v>Sita T</v>
      </c>
      <c r="Y773" s="15">
        <f t="shared" si="7"/>
        <v>45261</v>
      </c>
      <c r="Z773" s="14" t="str">
        <f t="shared" si="8"/>
        <v>COD</v>
      </c>
      <c r="AA773" s="14" t="str">
        <f t="shared" si="9"/>
        <v>Delivered</v>
      </c>
      <c r="AB773" s="14" t="str">
        <f t="shared" ref="AB773:AC773" si="1550">trim(Q773)</f>
        <v>On-time Delivery</v>
      </c>
      <c r="AC773" s="14" t="str">
        <f t="shared" si="1550"/>
        <v>Delivered on time</v>
      </c>
      <c r="AD773" s="8"/>
    </row>
    <row r="774">
      <c r="A774" s="14" t="str">
        <f>IFERROR(__xludf.DUMMYFUNCTION("""COMPUTED_VALUE"""),"//ord_10765//Aditi Iyer//Dadar//Cold Coffee+2*Ramesh S/8/22/2023//Online Payment//Delivered*Quality of Items: Perfect condition")</f>
        <v>//ord_10765//Aditi Iyer//Dadar//Cold Coffee+2*Ramesh S/8/22/2023//Online Payment//Delivered*Quality of Items: Perfect condition</v>
      </c>
      <c r="B774" s="14" t="str">
        <f>IFERROR(__xludf.DUMMYFUNCTION("split(A774,""//"")"),"ord_10765")</f>
        <v>ord_10765</v>
      </c>
      <c r="C774" s="14" t="str">
        <f>IFERROR(__xludf.DUMMYFUNCTION("""COMPUTED_VALUE"""),"Aditi Iyer")</f>
        <v>Aditi Iyer</v>
      </c>
      <c r="D774" s="14" t="str">
        <f>IFERROR(__xludf.DUMMYFUNCTION("""COMPUTED_VALUE"""),"Dadar")</f>
        <v>Dadar</v>
      </c>
      <c r="E774" s="14" t="str">
        <f>IFERROR(__xludf.DUMMYFUNCTION("""COMPUTED_VALUE"""),"Cold Coffee+2*Ramesh S")</f>
        <v>Cold Coffee+2*Ramesh S</v>
      </c>
      <c r="F774" s="14">
        <f>IFERROR(__xludf.DUMMYFUNCTION("""COMPUTED_VALUE"""),8.0)</f>
        <v>8</v>
      </c>
      <c r="G774" s="14">
        <f>IFERROR(__xludf.DUMMYFUNCTION("""COMPUTED_VALUE"""),22.0)</f>
        <v>22</v>
      </c>
      <c r="H774" s="14">
        <f>IFERROR(__xludf.DUMMYFUNCTION("""COMPUTED_VALUE"""),2023.0)</f>
        <v>2023</v>
      </c>
      <c r="I774" s="14" t="str">
        <f>IFERROR(__xludf.DUMMYFUNCTION("""COMPUTED_VALUE"""),"Online Payment")</f>
        <v>Online Payment</v>
      </c>
      <c r="J774" s="14" t="str">
        <f>IFERROR(__xludf.DUMMYFUNCTION("""COMPUTED_VALUE"""),"Delivered*Quality of Items: Perfect condition")</f>
        <v>Delivered*Quality of Items: Perfect condition</v>
      </c>
      <c r="K774" s="14" t="str">
        <f>IFERROR(__xludf.DUMMYFUNCTION("split(E774,""+"")"),"Cold Coffee")</f>
        <v>Cold Coffee</v>
      </c>
      <c r="L774" s="14" t="str">
        <f>IFERROR(__xludf.DUMMYFUNCTION("""COMPUTED_VALUE"""),"2*Ramesh S")</f>
        <v>2*Ramesh S</v>
      </c>
      <c r="M774" s="14">
        <f>IFERROR(__xludf.DUMMYFUNCTION("SPLIT(L774,""*"")"),2.0)</f>
        <v>2</v>
      </c>
      <c r="N774" s="14" t="str">
        <f>IFERROR(__xludf.DUMMYFUNCTION("""COMPUTED_VALUE"""),"Ramesh S")</f>
        <v>Ramesh S</v>
      </c>
      <c r="O774" s="14" t="str">
        <f>IFERROR(__xludf.DUMMYFUNCTION("split(J774,""*"")"),"Delivered")</f>
        <v>Delivered</v>
      </c>
      <c r="P774" s="14" t="str">
        <f>IFERROR(__xludf.DUMMYFUNCTION("""COMPUTED_VALUE"""),"Quality of Items: Perfect condition")</f>
        <v>Quality of Items: Perfect condition</v>
      </c>
      <c r="Q774" s="14" t="str">
        <f>IFERROR(__xludf.DUMMYFUNCTION("split(P774,"":"")"),"Quality of Items")</f>
        <v>Quality of Items</v>
      </c>
      <c r="R774" s="14" t="str">
        <f>IFERROR(__xludf.DUMMYFUNCTION("""COMPUTED_VALUE""")," Perfect condition")</f>
        <v> Perfect condition</v>
      </c>
      <c r="S774" s="14" t="str">
        <f t="shared" ref="S774:U774" si="1551">trim(B774)</f>
        <v>ord_10765</v>
      </c>
      <c r="T774" s="14" t="str">
        <f t="shared" si="1551"/>
        <v>Aditi Iyer</v>
      </c>
      <c r="U774" s="14" t="str">
        <f t="shared" si="1551"/>
        <v>Dadar</v>
      </c>
      <c r="V774" s="14" t="str">
        <f t="shared" si="4"/>
        <v>Cold Coffee</v>
      </c>
      <c r="W774" s="14">
        <f t="shared" si="5"/>
        <v>2</v>
      </c>
      <c r="X774" s="14" t="str">
        <f t="shared" si="6"/>
        <v>Ramesh S</v>
      </c>
      <c r="Y774" s="15">
        <f t="shared" si="7"/>
        <v>45160</v>
      </c>
      <c r="Z774" s="14" t="str">
        <f t="shared" si="8"/>
        <v>Online Payment</v>
      </c>
      <c r="AA774" s="14" t="str">
        <f t="shared" si="9"/>
        <v>Delivered</v>
      </c>
      <c r="AB774" s="14" t="str">
        <f t="shared" ref="AB774:AC774" si="1552">trim(Q774)</f>
        <v>Quality of Items</v>
      </c>
      <c r="AC774" s="14" t="str">
        <f t="shared" si="1552"/>
        <v>Perfect condition</v>
      </c>
      <c r="AD774" s="8"/>
    </row>
    <row r="775">
      <c r="A775" s="14" t="str">
        <f>IFERROR(__xludf.DUMMYFUNCTION("""COMPUTED_VALUE"""),"//ord_10766//Aarohi Kapoor//Bandra//Cold Coffee+1*Manju Ajay/12/13/2023//Online Payment//Delivered*Packaging: Secure and intact")</f>
        <v>//ord_10766//Aarohi Kapoor//Bandra//Cold Coffee+1*Manju Ajay/12/13/2023//Online Payment//Delivered*Packaging: Secure and intact</v>
      </c>
      <c r="B775" s="14" t="str">
        <f>IFERROR(__xludf.DUMMYFUNCTION("split(A775,""//"")"),"ord_10766")</f>
        <v>ord_10766</v>
      </c>
      <c r="C775" s="14" t="str">
        <f>IFERROR(__xludf.DUMMYFUNCTION("""COMPUTED_VALUE"""),"Aarohi Kapoor")</f>
        <v>Aarohi Kapoor</v>
      </c>
      <c r="D775" s="14" t="str">
        <f>IFERROR(__xludf.DUMMYFUNCTION("""COMPUTED_VALUE"""),"Bandra")</f>
        <v>Bandra</v>
      </c>
      <c r="E775" s="14" t="str">
        <f>IFERROR(__xludf.DUMMYFUNCTION("""COMPUTED_VALUE"""),"Cold Coffee+1*Manju Ajay")</f>
        <v>Cold Coffee+1*Manju Ajay</v>
      </c>
      <c r="F775" s="14">
        <f>IFERROR(__xludf.DUMMYFUNCTION("""COMPUTED_VALUE"""),12.0)</f>
        <v>12</v>
      </c>
      <c r="G775" s="14">
        <f>IFERROR(__xludf.DUMMYFUNCTION("""COMPUTED_VALUE"""),13.0)</f>
        <v>13</v>
      </c>
      <c r="H775" s="14">
        <f>IFERROR(__xludf.DUMMYFUNCTION("""COMPUTED_VALUE"""),2023.0)</f>
        <v>2023</v>
      </c>
      <c r="I775" s="14" t="str">
        <f>IFERROR(__xludf.DUMMYFUNCTION("""COMPUTED_VALUE"""),"Online Payment")</f>
        <v>Online Payment</v>
      </c>
      <c r="J775" s="14" t="str">
        <f>IFERROR(__xludf.DUMMYFUNCTION("""COMPUTED_VALUE"""),"Delivered*Packaging: Secure and intact")</f>
        <v>Delivered*Packaging: Secure and intact</v>
      </c>
      <c r="K775" s="14" t="str">
        <f>IFERROR(__xludf.DUMMYFUNCTION("split(E775,""+"")"),"Cold Coffee")</f>
        <v>Cold Coffee</v>
      </c>
      <c r="L775" s="14" t="str">
        <f>IFERROR(__xludf.DUMMYFUNCTION("""COMPUTED_VALUE"""),"1*Manju Ajay")</f>
        <v>1*Manju Ajay</v>
      </c>
      <c r="M775" s="14">
        <f>IFERROR(__xludf.DUMMYFUNCTION("SPLIT(L775,""*"")"),1.0)</f>
        <v>1</v>
      </c>
      <c r="N775" s="14" t="str">
        <f>IFERROR(__xludf.DUMMYFUNCTION("""COMPUTED_VALUE"""),"Manju Ajay")</f>
        <v>Manju Ajay</v>
      </c>
      <c r="O775" s="14" t="str">
        <f>IFERROR(__xludf.DUMMYFUNCTION("split(J775,""*"")"),"Delivered")</f>
        <v>Delivered</v>
      </c>
      <c r="P775" s="14" t="str">
        <f>IFERROR(__xludf.DUMMYFUNCTION("""COMPUTED_VALUE"""),"Packaging: Secure and intact")</f>
        <v>Packaging: Secure and intact</v>
      </c>
      <c r="Q775" s="14" t="str">
        <f>IFERROR(__xludf.DUMMYFUNCTION("split(P775,"":"")"),"Packaging")</f>
        <v>Packaging</v>
      </c>
      <c r="R775" s="14" t="str">
        <f>IFERROR(__xludf.DUMMYFUNCTION("""COMPUTED_VALUE""")," Secure and intact")</f>
        <v> Secure and intact</v>
      </c>
      <c r="S775" s="14" t="str">
        <f t="shared" ref="S775:U775" si="1553">trim(B775)</f>
        <v>ord_10766</v>
      </c>
      <c r="T775" s="14" t="str">
        <f t="shared" si="1553"/>
        <v>Aarohi Kapoor</v>
      </c>
      <c r="U775" s="14" t="str">
        <f t="shared" si="1553"/>
        <v>Bandra</v>
      </c>
      <c r="V775" s="14" t="str">
        <f t="shared" si="4"/>
        <v>Cold Coffee</v>
      </c>
      <c r="W775" s="14">
        <f t="shared" si="5"/>
        <v>1</v>
      </c>
      <c r="X775" s="14" t="str">
        <f t="shared" si="6"/>
        <v>Manju Ajay</v>
      </c>
      <c r="Y775" s="15">
        <f t="shared" si="7"/>
        <v>45273</v>
      </c>
      <c r="Z775" s="14" t="str">
        <f t="shared" si="8"/>
        <v>Online Payment</v>
      </c>
      <c r="AA775" s="14" t="str">
        <f t="shared" si="9"/>
        <v>Delivered</v>
      </c>
      <c r="AB775" s="14" t="str">
        <f t="shared" ref="AB775:AC775" si="1554">trim(Q775)</f>
        <v>Packaging</v>
      </c>
      <c r="AC775" s="14" t="str">
        <f t="shared" si="1554"/>
        <v>Secure and intact</v>
      </c>
      <c r="AD775" s="8"/>
    </row>
    <row r="776">
      <c r="A776" s="14" t="str">
        <f>IFERROR(__xludf.DUMMYFUNCTION("""COMPUTED_VALUE"""),"//ord_10767//Omkar Mishra//Powai//Potato+1*Vivek Kumar/10/24/2023//Online Payment//Delivered*Satisfied with the Delivery: Timely and quality")</f>
        <v>//ord_10767//Omkar Mishra//Powai//Potato+1*Vivek Kumar/10/24/2023//Online Payment//Delivered*Satisfied with the Delivery: Timely and quality</v>
      </c>
      <c r="B776" s="14" t="str">
        <f>IFERROR(__xludf.DUMMYFUNCTION("split(A776,""//"")"),"ord_10767")</f>
        <v>ord_10767</v>
      </c>
      <c r="C776" s="14" t="str">
        <f>IFERROR(__xludf.DUMMYFUNCTION("""COMPUTED_VALUE"""),"Omkar Mishra")</f>
        <v>Omkar Mishra</v>
      </c>
      <c r="D776" s="14" t="str">
        <f>IFERROR(__xludf.DUMMYFUNCTION("""COMPUTED_VALUE"""),"Powai")</f>
        <v>Powai</v>
      </c>
      <c r="E776" s="14" t="str">
        <f>IFERROR(__xludf.DUMMYFUNCTION("""COMPUTED_VALUE"""),"Potato+1*Vivek Kumar")</f>
        <v>Potato+1*Vivek Kumar</v>
      </c>
      <c r="F776" s="14">
        <f>IFERROR(__xludf.DUMMYFUNCTION("""COMPUTED_VALUE"""),10.0)</f>
        <v>10</v>
      </c>
      <c r="G776" s="14">
        <f>IFERROR(__xludf.DUMMYFUNCTION("""COMPUTED_VALUE"""),24.0)</f>
        <v>24</v>
      </c>
      <c r="H776" s="14">
        <f>IFERROR(__xludf.DUMMYFUNCTION("""COMPUTED_VALUE"""),2023.0)</f>
        <v>2023</v>
      </c>
      <c r="I776" s="14" t="str">
        <f>IFERROR(__xludf.DUMMYFUNCTION("""COMPUTED_VALUE"""),"Online Payment")</f>
        <v>Online Payment</v>
      </c>
      <c r="J776" s="14" t="str">
        <f>IFERROR(__xludf.DUMMYFUNCTION("""COMPUTED_VALUE"""),"Delivered*Satisfied with the Delivery: Timely and quality")</f>
        <v>Delivered*Satisfied with the Delivery: Timely and quality</v>
      </c>
      <c r="K776" s="14" t="str">
        <f>IFERROR(__xludf.DUMMYFUNCTION("split(E776,""+"")"),"Potato")</f>
        <v>Potato</v>
      </c>
      <c r="L776" s="14" t="str">
        <f>IFERROR(__xludf.DUMMYFUNCTION("""COMPUTED_VALUE"""),"1*Vivek Kumar")</f>
        <v>1*Vivek Kumar</v>
      </c>
      <c r="M776" s="14">
        <f>IFERROR(__xludf.DUMMYFUNCTION("SPLIT(L776,""*"")"),1.0)</f>
        <v>1</v>
      </c>
      <c r="N776" s="14" t="str">
        <f>IFERROR(__xludf.DUMMYFUNCTION("""COMPUTED_VALUE"""),"Vivek Kumar")</f>
        <v>Vivek Kumar</v>
      </c>
      <c r="O776" s="14" t="str">
        <f>IFERROR(__xludf.DUMMYFUNCTION("split(J776,""*"")"),"Delivered")</f>
        <v>Delivered</v>
      </c>
      <c r="P776" s="14" t="str">
        <f>IFERROR(__xludf.DUMMYFUNCTION("""COMPUTED_VALUE"""),"Satisfied with the Delivery: Timely and quality")</f>
        <v>Satisfied with the Delivery: Timely and quality</v>
      </c>
      <c r="Q776" s="14" t="str">
        <f>IFERROR(__xludf.DUMMYFUNCTION("split(P776,"":"")"),"Satisfied with the Delivery")</f>
        <v>Satisfied with the Delivery</v>
      </c>
      <c r="R776" s="14" t="str">
        <f>IFERROR(__xludf.DUMMYFUNCTION("""COMPUTED_VALUE""")," Timely and quality")</f>
        <v> Timely and quality</v>
      </c>
      <c r="S776" s="14" t="str">
        <f t="shared" ref="S776:U776" si="1555">trim(B776)</f>
        <v>ord_10767</v>
      </c>
      <c r="T776" s="14" t="str">
        <f t="shared" si="1555"/>
        <v>Omkar Mishra</v>
      </c>
      <c r="U776" s="14" t="str">
        <f t="shared" si="1555"/>
        <v>Powai</v>
      </c>
      <c r="V776" s="14" t="str">
        <f t="shared" si="4"/>
        <v>Potato</v>
      </c>
      <c r="W776" s="14">
        <f t="shared" si="5"/>
        <v>1</v>
      </c>
      <c r="X776" s="14" t="str">
        <f t="shared" si="6"/>
        <v>Vivek Kumar</v>
      </c>
      <c r="Y776" s="15">
        <f t="shared" si="7"/>
        <v>45223</v>
      </c>
      <c r="Z776" s="14" t="str">
        <f t="shared" si="8"/>
        <v>Online Payment</v>
      </c>
      <c r="AA776" s="14" t="str">
        <f t="shared" si="9"/>
        <v>Delivered</v>
      </c>
      <c r="AB776" s="14" t="str">
        <f t="shared" ref="AB776:AC776" si="1556">trim(Q776)</f>
        <v>Satisfied with the Delivery</v>
      </c>
      <c r="AC776" s="14" t="str">
        <f t="shared" si="1556"/>
        <v>Timely and quality</v>
      </c>
      <c r="AD776" s="8"/>
    </row>
    <row r="777">
      <c r="A777" s="14" t="str">
        <f>IFERROR(__xludf.DUMMYFUNCTION("""COMPUTED_VALUE"""),"//ord_10768//Ishaan Chaturvedi//Bandra//Juice+5*Venu R/9/9/2023//UPI//Delivered*Customer Service: Seamless and easy")</f>
        <v>//ord_10768//Ishaan Chaturvedi//Bandra//Juice+5*Venu R/9/9/2023//UPI//Delivered*Customer Service: Seamless and easy</v>
      </c>
      <c r="B777" s="14" t="str">
        <f>IFERROR(__xludf.DUMMYFUNCTION("split(A777,""//"")"),"ord_10768")</f>
        <v>ord_10768</v>
      </c>
      <c r="C777" s="14" t="str">
        <f>IFERROR(__xludf.DUMMYFUNCTION("""COMPUTED_VALUE"""),"Ishaan Chaturvedi")</f>
        <v>Ishaan Chaturvedi</v>
      </c>
      <c r="D777" s="14" t="str">
        <f>IFERROR(__xludf.DUMMYFUNCTION("""COMPUTED_VALUE"""),"Bandra")</f>
        <v>Bandra</v>
      </c>
      <c r="E777" s="14" t="str">
        <f>IFERROR(__xludf.DUMMYFUNCTION("""COMPUTED_VALUE"""),"Juice+5*Venu R")</f>
        <v>Juice+5*Venu R</v>
      </c>
      <c r="F777" s="14">
        <f>IFERROR(__xludf.DUMMYFUNCTION("""COMPUTED_VALUE"""),9.0)</f>
        <v>9</v>
      </c>
      <c r="G777" s="14">
        <f>IFERROR(__xludf.DUMMYFUNCTION("""COMPUTED_VALUE"""),9.0)</f>
        <v>9</v>
      </c>
      <c r="H777" s="14">
        <f>IFERROR(__xludf.DUMMYFUNCTION("""COMPUTED_VALUE"""),2023.0)</f>
        <v>2023</v>
      </c>
      <c r="I777" s="14" t="str">
        <f>IFERROR(__xludf.DUMMYFUNCTION("""COMPUTED_VALUE"""),"UPI")</f>
        <v>UPI</v>
      </c>
      <c r="J777" s="14" t="str">
        <f>IFERROR(__xludf.DUMMYFUNCTION("""COMPUTED_VALUE"""),"Delivered*Customer Service: Seamless and easy")</f>
        <v>Delivered*Customer Service: Seamless and easy</v>
      </c>
      <c r="K777" s="14" t="str">
        <f>IFERROR(__xludf.DUMMYFUNCTION("split(E777,""+"")"),"Juice")</f>
        <v>Juice</v>
      </c>
      <c r="L777" s="14" t="str">
        <f>IFERROR(__xludf.DUMMYFUNCTION("""COMPUTED_VALUE"""),"5*Venu R")</f>
        <v>5*Venu R</v>
      </c>
      <c r="M777" s="14">
        <f>IFERROR(__xludf.DUMMYFUNCTION("SPLIT(L777,""*"")"),5.0)</f>
        <v>5</v>
      </c>
      <c r="N777" s="14" t="str">
        <f>IFERROR(__xludf.DUMMYFUNCTION("""COMPUTED_VALUE"""),"Venu R")</f>
        <v>Venu R</v>
      </c>
      <c r="O777" s="14" t="str">
        <f>IFERROR(__xludf.DUMMYFUNCTION("split(J777,""*"")"),"Delivered")</f>
        <v>Delivered</v>
      </c>
      <c r="P777" s="14" t="str">
        <f>IFERROR(__xludf.DUMMYFUNCTION("""COMPUTED_VALUE"""),"Customer Service: Seamless and easy")</f>
        <v>Customer Service: Seamless and easy</v>
      </c>
      <c r="Q777" s="14" t="str">
        <f>IFERROR(__xludf.DUMMYFUNCTION("split(P777,"":"")"),"Customer Service")</f>
        <v>Customer Service</v>
      </c>
      <c r="R777" s="14" t="str">
        <f>IFERROR(__xludf.DUMMYFUNCTION("""COMPUTED_VALUE""")," Seamless and easy")</f>
        <v> Seamless and easy</v>
      </c>
      <c r="S777" s="14" t="str">
        <f t="shared" ref="S777:U777" si="1557">trim(B777)</f>
        <v>ord_10768</v>
      </c>
      <c r="T777" s="14" t="str">
        <f t="shared" si="1557"/>
        <v>Ishaan Chaturvedi</v>
      </c>
      <c r="U777" s="14" t="str">
        <f t="shared" si="1557"/>
        <v>Bandra</v>
      </c>
      <c r="V777" s="14" t="str">
        <f t="shared" si="4"/>
        <v>Juice</v>
      </c>
      <c r="W777" s="14">
        <f t="shared" si="5"/>
        <v>5</v>
      </c>
      <c r="X777" s="14" t="str">
        <f t="shared" si="6"/>
        <v>Venu R</v>
      </c>
      <c r="Y777" s="15">
        <f t="shared" si="7"/>
        <v>45178</v>
      </c>
      <c r="Z777" s="14" t="str">
        <f t="shared" si="8"/>
        <v>UPI</v>
      </c>
      <c r="AA777" s="14" t="str">
        <f t="shared" si="9"/>
        <v>Delivered</v>
      </c>
      <c r="AB777" s="14" t="str">
        <f t="shared" ref="AB777:AC777" si="1558">trim(Q777)</f>
        <v>Customer Service</v>
      </c>
      <c r="AC777" s="14" t="str">
        <f t="shared" si="1558"/>
        <v>Seamless and easy</v>
      </c>
      <c r="AD777" s="8"/>
    </row>
    <row r="778">
      <c r="A778" s="14" t="str">
        <f>IFERROR(__xludf.DUMMYFUNCTION("""COMPUTED_VALUE"""),"//ord_10769//Siya Reddy//Juhu//Veg Puff+3*Vivek Kumar/10/5/2023//UPI//Delivered*Delivery Experience: Quick and professional")</f>
        <v>//ord_10769//Siya Reddy//Juhu//Veg Puff+3*Vivek Kumar/10/5/2023//UPI//Delivered*Delivery Experience: Quick and professional</v>
      </c>
      <c r="B778" s="14" t="str">
        <f>IFERROR(__xludf.DUMMYFUNCTION("split(A778,""//"")"),"ord_10769")</f>
        <v>ord_10769</v>
      </c>
      <c r="C778" s="14" t="str">
        <f>IFERROR(__xludf.DUMMYFUNCTION("""COMPUTED_VALUE"""),"Siya Reddy")</f>
        <v>Siya Reddy</v>
      </c>
      <c r="D778" s="14" t="str">
        <f>IFERROR(__xludf.DUMMYFUNCTION("""COMPUTED_VALUE"""),"Juhu")</f>
        <v>Juhu</v>
      </c>
      <c r="E778" s="14" t="str">
        <f>IFERROR(__xludf.DUMMYFUNCTION("""COMPUTED_VALUE"""),"Veg Puff+3*Vivek Kumar")</f>
        <v>Veg Puff+3*Vivek Kumar</v>
      </c>
      <c r="F778" s="14">
        <f>IFERROR(__xludf.DUMMYFUNCTION("""COMPUTED_VALUE"""),10.0)</f>
        <v>10</v>
      </c>
      <c r="G778" s="14">
        <f>IFERROR(__xludf.DUMMYFUNCTION("""COMPUTED_VALUE"""),5.0)</f>
        <v>5</v>
      </c>
      <c r="H778" s="14">
        <f>IFERROR(__xludf.DUMMYFUNCTION("""COMPUTED_VALUE"""),2023.0)</f>
        <v>2023</v>
      </c>
      <c r="I778" s="14" t="str">
        <f>IFERROR(__xludf.DUMMYFUNCTION("""COMPUTED_VALUE"""),"UPI")</f>
        <v>UPI</v>
      </c>
      <c r="J778" s="14" t="str">
        <f>IFERROR(__xludf.DUMMYFUNCTION("""COMPUTED_VALUE"""),"Delivered*Delivery Experience: Quick and professional")</f>
        <v>Delivered*Delivery Experience: Quick and professional</v>
      </c>
      <c r="K778" s="14" t="str">
        <f>IFERROR(__xludf.DUMMYFUNCTION("split(E778,""+"")"),"Veg Puff")</f>
        <v>Veg Puff</v>
      </c>
      <c r="L778" s="14" t="str">
        <f>IFERROR(__xludf.DUMMYFUNCTION("""COMPUTED_VALUE"""),"3*Vivek Kumar")</f>
        <v>3*Vivek Kumar</v>
      </c>
      <c r="M778" s="14">
        <f>IFERROR(__xludf.DUMMYFUNCTION("SPLIT(L778,""*"")"),3.0)</f>
        <v>3</v>
      </c>
      <c r="N778" s="14" t="str">
        <f>IFERROR(__xludf.DUMMYFUNCTION("""COMPUTED_VALUE"""),"Vivek Kumar")</f>
        <v>Vivek Kumar</v>
      </c>
      <c r="O778" s="14" t="str">
        <f>IFERROR(__xludf.DUMMYFUNCTION("split(J778,""*"")"),"Delivered")</f>
        <v>Delivered</v>
      </c>
      <c r="P778" s="14" t="str">
        <f>IFERROR(__xludf.DUMMYFUNCTION("""COMPUTED_VALUE"""),"Delivery Experience: Quick and professional")</f>
        <v>Delivery Experience: Quick and professional</v>
      </c>
      <c r="Q778" s="14" t="str">
        <f>IFERROR(__xludf.DUMMYFUNCTION("split(P778,"":"")"),"Delivery Experience")</f>
        <v>Delivery Experience</v>
      </c>
      <c r="R778" s="14" t="str">
        <f>IFERROR(__xludf.DUMMYFUNCTION("""COMPUTED_VALUE""")," Quick and professional")</f>
        <v> Quick and professional</v>
      </c>
      <c r="S778" s="14" t="str">
        <f t="shared" ref="S778:U778" si="1559">trim(B778)</f>
        <v>ord_10769</v>
      </c>
      <c r="T778" s="14" t="str">
        <f t="shared" si="1559"/>
        <v>Siya Reddy</v>
      </c>
      <c r="U778" s="14" t="str">
        <f t="shared" si="1559"/>
        <v>Juhu</v>
      </c>
      <c r="V778" s="14" t="str">
        <f t="shared" si="4"/>
        <v>Veg Puff</v>
      </c>
      <c r="W778" s="14">
        <f t="shared" si="5"/>
        <v>3</v>
      </c>
      <c r="X778" s="14" t="str">
        <f t="shared" si="6"/>
        <v>Vivek Kumar</v>
      </c>
      <c r="Y778" s="15">
        <f t="shared" si="7"/>
        <v>45204</v>
      </c>
      <c r="Z778" s="14" t="str">
        <f t="shared" si="8"/>
        <v>UPI</v>
      </c>
      <c r="AA778" s="14" t="str">
        <f t="shared" si="9"/>
        <v>Delivered</v>
      </c>
      <c r="AB778" s="14" t="str">
        <f t="shared" ref="AB778:AC778" si="1560">trim(Q778)</f>
        <v>Delivery Experience</v>
      </c>
      <c r="AC778" s="14" t="str">
        <f t="shared" si="1560"/>
        <v>Quick and professional</v>
      </c>
      <c r="AD778" s="8"/>
    </row>
    <row r="779">
      <c r="A779" s="14" t="str">
        <f>IFERROR(__xludf.DUMMYFUNCTION("""COMPUTED_VALUE"""),"//ord_10770//Sana Malik//Powai//Veg Puff+8*Ramesh S/8/20/2023//Credit Card//Delivered*Convenience: Easy tracking")</f>
        <v>//ord_10770//Sana Malik//Powai//Veg Puff+8*Ramesh S/8/20/2023//Credit Card//Delivered*Convenience: Easy tracking</v>
      </c>
      <c r="B779" s="14" t="str">
        <f>IFERROR(__xludf.DUMMYFUNCTION("split(A779,""//"")"),"ord_10770")</f>
        <v>ord_10770</v>
      </c>
      <c r="C779" s="14" t="str">
        <f>IFERROR(__xludf.DUMMYFUNCTION("""COMPUTED_VALUE"""),"Sana Malik")</f>
        <v>Sana Malik</v>
      </c>
      <c r="D779" s="14" t="str">
        <f>IFERROR(__xludf.DUMMYFUNCTION("""COMPUTED_VALUE"""),"Powai")</f>
        <v>Powai</v>
      </c>
      <c r="E779" s="14" t="str">
        <f>IFERROR(__xludf.DUMMYFUNCTION("""COMPUTED_VALUE"""),"Veg Puff+8*Ramesh S")</f>
        <v>Veg Puff+8*Ramesh S</v>
      </c>
      <c r="F779" s="14">
        <f>IFERROR(__xludf.DUMMYFUNCTION("""COMPUTED_VALUE"""),8.0)</f>
        <v>8</v>
      </c>
      <c r="G779" s="14">
        <f>IFERROR(__xludf.DUMMYFUNCTION("""COMPUTED_VALUE"""),20.0)</f>
        <v>20</v>
      </c>
      <c r="H779" s="14">
        <f>IFERROR(__xludf.DUMMYFUNCTION("""COMPUTED_VALUE"""),2023.0)</f>
        <v>2023</v>
      </c>
      <c r="I779" s="14" t="str">
        <f>IFERROR(__xludf.DUMMYFUNCTION("""COMPUTED_VALUE"""),"Credit Card")</f>
        <v>Credit Card</v>
      </c>
      <c r="J779" s="14" t="str">
        <f>IFERROR(__xludf.DUMMYFUNCTION("""COMPUTED_VALUE"""),"Delivered*Convenience: Easy tracking")</f>
        <v>Delivered*Convenience: Easy tracking</v>
      </c>
      <c r="K779" s="14" t="str">
        <f>IFERROR(__xludf.DUMMYFUNCTION("split(E779,""+"")"),"Veg Puff")</f>
        <v>Veg Puff</v>
      </c>
      <c r="L779" s="14" t="str">
        <f>IFERROR(__xludf.DUMMYFUNCTION("""COMPUTED_VALUE"""),"8*Ramesh S")</f>
        <v>8*Ramesh S</v>
      </c>
      <c r="M779" s="14">
        <f>IFERROR(__xludf.DUMMYFUNCTION("SPLIT(L779,""*"")"),8.0)</f>
        <v>8</v>
      </c>
      <c r="N779" s="14" t="str">
        <f>IFERROR(__xludf.DUMMYFUNCTION("""COMPUTED_VALUE"""),"Ramesh S")</f>
        <v>Ramesh S</v>
      </c>
      <c r="O779" s="14" t="str">
        <f>IFERROR(__xludf.DUMMYFUNCTION("split(J779,""*"")"),"Delivered")</f>
        <v>Delivered</v>
      </c>
      <c r="P779" s="14" t="str">
        <f>IFERROR(__xludf.DUMMYFUNCTION("""COMPUTED_VALUE"""),"Convenience: Easy tracking")</f>
        <v>Convenience: Easy tracking</v>
      </c>
      <c r="Q779" s="14" t="str">
        <f>IFERROR(__xludf.DUMMYFUNCTION("split(P779,"":"")"),"Convenience")</f>
        <v>Convenience</v>
      </c>
      <c r="R779" s="14" t="str">
        <f>IFERROR(__xludf.DUMMYFUNCTION("""COMPUTED_VALUE""")," Easy tracking")</f>
        <v> Easy tracking</v>
      </c>
      <c r="S779" s="14" t="str">
        <f t="shared" ref="S779:U779" si="1561">trim(B779)</f>
        <v>ord_10770</v>
      </c>
      <c r="T779" s="14" t="str">
        <f t="shared" si="1561"/>
        <v>Sana Malik</v>
      </c>
      <c r="U779" s="14" t="str">
        <f t="shared" si="1561"/>
        <v>Powai</v>
      </c>
      <c r="V779" s="14" t="str">
        <f t="shared" si="4"/>
        <v>Veg Puff</v>
      </c>
      <c r="W779" s="14">
        <f t="shared" si="5"/>
        <v>8</v>
      </c>
      <c r="X779" s="14" t="str">
        <f t="shared" si="6"/>
        <v>Ramesh S</v>
      </c>
      <c r="Y779" s="15">
        <f t="shared" si="7"/>
        <v>45158</v>
      </c>
      <c r="Z779" s="14" t="str">
        <f t="shared" si="8"/>
        <v>Credit Card</v>
      </c>
      <c r="AA779" s="14" t="str">
        <f t="shared" si="9"/>
        <v>Delivered</v>
      </c>
      <c r="AB779" s="14" t="str">
        <f t="shared" ref="AB779:AC779" si="1562">trim(Q779)</f>
        <v>Convenience</v>
      </c>
      <c r="AC779" s="14" t="str">
        <f t="shared" si="1562"/>
        <v>Easy tracking</v>
      </c>
      <c r="AD779" s="8"/>
    </row>
    <row r="780">
      <c r="A780" s="14" t="str">
        <f>IFERROR(__xludf.DUMMYFUNCTION("""COMPUTED_VALUE"""),"//ord_10771//Yash Verma//Lower Parel//Orange+2*Venu R/8/2/2023//COD//Delivered*Overall Satisfaction: Great service will order again")</f>
        <v>//ord_10771//Yash Verma//Lower Parel//Orange+2*Venu R/8/2/2023//COD//Delivered*Overall Satisfaction: Great service will order again</v>
      </c>
      <c r="B780" s="14" t="str">
        <f>IFERROR(__xludf.DUMMYFUNCTION("split(A780,""//"")"),"ord_10771")</f>
        <v>ord_10771</v>
      </c>
      <c r="C780" s="14" t="str">
        <f>IFERROR(__xludf.DUMMYFUNCTION("""COMPUTED_VALUE"""),"Yash Verma")</f>
        <v>Yash Verma</v>
      </c>
      <c r="D780" s="14" t="str">
        <f>IFERROR(__xludf.DUMMYFUNCTION("""COMPUTED_VALUE"""),"Lower Parel")</f>
        <v>Lower Parel</v>
      </c>
      <c r="E780" s="14" t="str">
        <f>IFERROR(__xludf.DUMMYFUNCTION("""COMPUTED_VALUE"""),"Orange+2*Venu R")</f>
        <v>Orange+2*Venu R</v>
      </c>
      <c r="F780" s="14">
        <f>IFERROR(__xludf.DUMMYFUNCTION("""COMPUTED_VALUE"""),8.0)</f>
        <v>8</v>
      </c>
      <c r="G780" s="14">
        <f>IFERROR(__xludf.DUMMYFUNCTION("""COMPUTED_VALUE"""),2.0)</f>
        <v>2</v>
      </c>
      <c r="H780" s="14">
        <f>IFERROR(__xludf.DUMMYFUNCTION("""COMPUTED_VALUE"""),2023.0)</f>
        <v>2023</v>
      </c>
      <c r="I780" s="14" t="str">
        <f>IFERROR(__xludf.DUMMYFUNCTION("""COMPUTED_VALUE"""),"COD")</f>
        <v>COD</v>
      </c>
      <c r="J780" s="14" t="str">
        <f>IFERROR(__xludf.DUMMYFUNCTION("""COMPUTED_VALUE"""),"Delivered*Overall Satisfaction: Great service will order again")</f>
        <v>Delivered*Overall Satisfaction: Great service will order again</v>
      </c>
      <c r="K780" s="14" t="str">
        <f>IFERROR(__xludf.DUMMYFUNCTION("split(E780,""+"")"),"Orange")</f>
        <v>Orange</v>
      </c>
      <c r="L780" s="14" t="str">
        <f>IFERROR(__xludf.DUMMYFUNCTION("""COMPUTED_VALUE"""),"2*Venu R")</f>
        <v>2*Venu R</v>
      </c>
      <c r="M780" s="14">
        <f>IFERROR(__xludf.DUMMYFUNCTION("SPLIT(L780,""*"")"),2.0)</f>
        <v>2</v>
      </c>
      <c r="N780" s="14" t="str">
        <f>IFERROR(__xludf.DUMMYFUNCTION("""COMPUTED_VALUE"""),"Venu R")</f>
        <v>Venu R</v>
      </c>
      <c r="O780" s="14" t="str">
        <f>IFERROR(__xludf.DUMMYFUNCTION("split(J780,""*"")"),"Delivered")</f>
        <v>Delivered</v>
      </c>
      <c r="P780" s="14" t="str">
        <f>IFERROR(__xludf.DUMMYFUNCTION("""COMPUTED_VALUE"""),"Overall Satisfaction: Great service will order again")</f>
        <v>Overall Satisfaction: Great service will order again</v>
      </c>
      <c r="Q780" s="14" t="str">
        <f>IFERROR(__xludf.DUMMYFUNCTION("split(P780,"":"")"),"Overall Satisfaction")</f>
        <v>Overall Satisfaction</v>
      </c>
      <c r="R780" s="14" t="str">
        <f>IFERROR(__xludf.DUMMYFUNCTION("""COMPUTED_VALUE""")," Great service will order again")</f>
        <v> Great service will order again</v>
      </c>
      <c r="S780" s="14" t="str">
        <f t="shared" ref="S780:U780" si="1563">trim(B780)</f>
        <v>ord_10771</v>
      </c>
      <c r="T780" s="14" t="str">
        <f t="shared" si="1563"/>
        <v>Yash Verma</v>
      </c>
      <c r="U780" s="14" t="str">
        <f t="shared" si="1563"/>
        <v>Lower Parel</v>
      </c>
      <c r="V780" s="14" t="str">
        <f t="shared" si="4"/>
        <v>Orange</v>
      </c>
      <c r="W780" s="14">
        <f t="shared" si="5"/>
        <v>2</v>
      </c>
      <c r="X780" s="14" t="str">
        <f t="shared" si="6"/>
        <v>Venu R</v>
      </c>
      <c r="Y780" s="15">
        <f t="shared" si="7"/>
        <v>45140</v>
      </c>
      <c r="Z780" s="14" t="str">
        <f t="shared" si="8"/>
        <v>COD</v>
      </c>
      <c r="AA780" s="14" t="str">
        <f t="shared" si="9"/>
        <v>Delivered</v>
      </c>
      <c r="AB780" s="14" t="str">
        <f t="shared" ref="AB780:AC780" si="1564">trim(Q780)</f>
        <v>Overall Satisfaction</v>
      </c>
      <c r="AC780" s="14" t="str">
        <f t="shared" si="1564"/>
        <v>Great service will order again</v>
      </c>
      <c r="AD780" s="8"/>
    </row>
    <row r="781">
      <c r="A781" s="14" t="str">
        <f>IFERROR(__xludf.DUMMYFUNCTION("""COMPUTED_VALUE"""),"//ord_10772//Dev Chauhan//Bandra//Potato+2*Ram Gopal/8/2/2023//COD//Delivered*On-time Delivery: Delivered on time")</f>
        <v>//ord_10772//Dev Chauhan//Bandra//Potato+2*Ram Gopal/8/2/2023//COD//Delivered*On-time Delivery: Delivered on time</v>
      </c>
      <c r="B781" s="14" t="str">
        <f>IFERROR(__xludf.DUMMYFUNCTION("split(A781,""//"")"),"ord_10772")</f>
        <v>ord_10772</v>
      </c>
      <c r="C781" s="14" t="str">
        <f>IFERROR(__xludf.DUMMYFUNCTION("""COMPUTED_VALUE"""),"Dev Chauhan")</f>
        <v>Dev Chauhan</v>
      </c>
      <c r="D781" s="14" t="str">
        <f>IFERROR(__xludf.DUMMYFUNCTION("""COMPUTED_VALUE"""),"Bandra")</f>
        <v>Bandra</v>
      </c>
      <c r="E781" s="14" t="str">
        <f>IFERROR(__xludf.DUMMYFUNCTION("""COMPUTED_VALUE"""),"Potato+2*Ram Gopal")</f>
        <v>Potato+2*Ram Gopal</v>
      </c>
      <c r="F781" s="14">
        <f>IFERROR(__xludf.DUMMYFUNCTION("""COMPUTED_VALUE"""),8.0)</f>
        <v>8</v>
      </c>
      <c r="G781" s="14">
        <f>IFERROR(__xludf.DUMMYFUNCTION("""COMPUTED_VALUE"""),2.0)</f>
        <v>2</v>
      </c>
      <c r="H781" s="14">
        <f>IFERROR(__xludf.DUMMYFUNCTION("""COMPUTED_VALUE"""),2023.0)</f>
        <v>2023</v>
      </c>
      <c r="I781" s="14" t="str">
        <f>IFERROR(__xludf.DUMMYFUNCTION("""COMPUTED_VALUE"""),"COD")</f>
        <v>COD</v>
      </c>
      <c r="J781" s="14" t="str">
        <f>IFERROR(__xludf.DUMMYFUNCTION("""COMPUTED_VALUE"""),"Delivered*On-time Delivery: Delivered on time")</f>
        <v>Delivered*On-time Delivery: Delivered on time</v>
      </c>
      <c r="K781" s="14" t="str">
        <f>IFERROR(__xludf.DUMMYFUNCTION("split(E781,""+"")"),"Potato")</f>
        <v>Potato</v>
      </c>
      <c r="L781" s="14" t="str">
        <f>IFERROR(__xludf.DUMMYFUNCTION("""COMPUTED_VALUE"""),"2*Ram Gopal")</f>
        <v>2*Ram Gopal</v>
      </c>
      <c r="M781" s="14">
        <f>IFERROR(__xludf.DUMMYFUNCTION("SPLIT(L781,""*"")"),2.0)</f>
        <v>2</v>
      </c>
      <c r="N781" s="14" t="str">
        <f>IFERROR(__xludf.DUMMYFUNCTION("""COMPUTED_VALUE"""),"Ram Gopal")</f>
        <v>Ram Gopal</v>
      </c>
      <c r="O781" s="14" t="str">
        <f>IFERROR(__xludf.DUMMYFUNCTION("split(J781,""*"")"),"Delivered")</f>
        <v>Delivered</v>
      </c>
      <c r="P781" s="14" t="str">
        <f>IFERROR(__xludf.DUMMYFUNCTION("""COMPUTED_VALUE"""),"On-time Delivery: Delivered on time")</f>
        <v>On-time Delivery: Delivered on time</v>
      </c>
      <c r="Q781" s="14" t="str">
        <f>IFERROR(__xludf.DUMMYFUNCTION("split(P781,"":"")"),"On-time Delivery")</f>
        <v>On-time Delivery</v>
      </c>
      <c r="R781" s="14" t="str">
        <f>IFERROR(__xludf.DUMMYFUNCTION("""COMPUTED_VALUE""")," Delivered on time")</f>
        <v> Delivered on time</v>
      </c>
      <c r="S781" s="14" t="str">
        <f t="shared" ref="S781:U781" si="1565">trim(B781)</f>
        <v>ord_10772</v>
      </c>
      <c r="T781" s="14" t="str">
        <f t="shared" si="1565"/>
        <v>Dev Chauhan</v>
      </c>
      <c r="U781" s="14" t="str">
        <f t="shared" si="1565"/>
        <v>Bandra</v>
      </c>
      <c r="V781" s="14" t="str">
        <f t="shared" si="4"/>
        <v>Potato</v>
      </c>
      <c r="W781" s="14">
        <f t="shared" si="5"/>
        <v>2</v>
      </c>
      <c r="X781" s="14" t="str">
        <f t="shared" si="6"/>
        <v>Ram Gopal</v>
      </c>
      <c r="Y781" s="15">
        <f t="shared" si="7"/>
        <v>45140</v>
      </c>
      <c r="Z781" s="14" t="str">
        <f t="shared" si="8"/>
        <v>COD</v>
      </c>
      <c r="AA781" s="14" t="str">
        <f t="shared" si="9"/>
        <v>Delivered</v>
      </c>
      <c r="AB781" s="14" t="str">
        <f t="shared" ref="AB781:AC781" si="1566">trim(Q781)</f>
        <v>On-time Delivery</v>
      </c>
      <c r="AC781" s="14" t="str">
        <f t="shared" si="1566"/>
        <v>Delivered on time</v>
      </c>
      <c r="AD781" s="8"/>
    </row>
    <row r="782">
      <c r="A782" s="14" t="str">
        <f>IFERROR(__xludf.DUMMYFUNCTION("""COMPUTED_VALUE"""),"//ord_10773//Aarav Mehta//Andheri//Onion+2*Vivek Kumar/10/2/2023//UPI//Delivered*Quality of Items: Perfect condition")</f>
        <v>//ord_10773//Aarav Mehta//Andheri//Onion+2*Vivek Kumar/10/2/2023//UPI//Delivered*Quality of Items: Perfect condition</v>
      </c>
      <c r="B782" s="14" t="str">
        <f>IFERROR(__xludf.DUMMYFUNCTION("split(A782,""//"")"),"ord_10773")</f>
        <v>ord_10773</v>
      </c>
      <c r="C782" s="14" t="str">
        <f>IFERROR(__xludf.DUMMYFUNCTION("""COMPUTED_VALUE"""),"Aarav Mehta")</f>
        <v>Aarav Mehta</v>
      </c>
      <c r="D782" s="14" t="str">
        <f>IFERROR(__xludf.DUMMYFUNCTION("""COMPUTED_VALUE"""),"Andheri")</f>
        <v>Andheri</v>
      </c>
      <c r="E782" s="14" t="str">
        <f>IFERROR(__xludf.DUMMYFUNCTION("""COMPUTED_VALUE"""),"Onion+2*Vivek Kumar")</f>
        <v>Onion+2*Vivek Kumar</v>
      </c>
      <c r="F782" s="14">
        <f>IFERROR(__xludf.DUMMYFUNCTION("""COMPUTED_VALUE"""),10.0)</f>
        <v>10</v>
      </c>
      <c r="G782" s="14">
        <f>IFERROR(__xludf.DUMMYFUNCTION("""COMPUTED_VALUE"""),2.0)</f>
        <v>2</v>
      </c>
      <c r="H782" s="14">
        <f>IFERROR(__xludf.DUMMYFUNCTION("""COMPUTED_VALUE"""),2023.0)</f>
        <v>2023</v>
      </c>
      <c r="I782" s="14" t="str">
        <f>IFERROR(__xludf.DUMMYFUNCTION("""COMPUTED_VALUE"""),"UPI")</f>
        <v>UPI</v>
      </c>
      <c r="J782" s="14" t="str">
        <f>IFERROR(__xludf.DUMMYFUNCTION("""COMPUTED_VALUE"""),"Delivered*Quality of Items: Perfect condition")</f>
        <v>Delivered*Quality of Items: Perfect condition</v>
      </c>
      <c r="K782" s="14" t="str">
        <f>IFERROR(__xludf.DUMMYFUNCTION("split(E782,""+"")"),"Onion")</f>
        <v>Onion</v>
      </c>
      <c r="L782" s="14" t="str">
        <f>IFERROR(__xludf.DUMMYFUNCTION("""COMPUTED_VALUE"""),"2*Vivek Kumar")</f>
        <v>2*Vivek Kumar</v>
      </c>
      <c r="M782" s="14">
        <f>IFERROR(__xludf.DUMMYFUNCTION("SPLIT(L782,""*"")"),2.0)</f>
        <v>2</v>
      </c>
      <c r="N782" s="14" t="str">
        <f>IFERROR(__xludf.DUMMYFUNCTION("""COMPUTED_VALUE"""),"Vivek Kumar")</f>
        <v>Vivek Kumar</v>
      </c>
      <c r="O782" s="14" t="str">
        <f>IFERROR(__xludf.DUMMYFUNCTION("split(J782,""*"")"),"Delivered")</f>
        <v>Delivered</v>
      </c>
      <c r="P782" s="14" t="str">
        <f>IFERROR(__xludf.DUMMYFUNCTION("""COMPUTED_VALUE"""),"Quality of Items: Perfect condition")</f>
        <v>Quality of Items: Perfect condition</v>
      </c>
      <c r="Q782" s="14" t="str">
        <f>IFERROR(__xludf.DUMMYFUNCTION("split(P782,"":"")"),"Quality of Items")</f>
        <v>Quality of Items</v>
      </c>
      <c r="R782" s="14" t="str">
        <f>IFERROR(__xludf.DUMMYFUNCTION("""COMPUTED_VALUE""")," Perfect condition")</f>
        <v> Perfect condition</v>
      </c>
      <c r="S782" s="14" t="str">
        <f t="shared" ref="S782:U782" si="1567">trim(B782)</f>
        <v>ord_10773</v>
      </c>
      <c r="T782" s="14" t="str">
        <f t="shared" si="1567"/>
        <v>Aarav Mehta</v>
      </c>
      <c r="U782" s="14" t="str">
        <f t="shared" si="1567"/>
        <v>Andheri</v>
      </c>
      <c r="V782" s="14" t="str">
        <f t="shared" si="4"/>
        <v>Onion</v>
      </c>
      <c r="W782" s="14">
        <f t="shared" si="5"/>
        <v>2</v>
      </c>
      <c r="X782" s="14" t="str">
        <f t="shared" si="6"/>
        <v>Vivek Kumar</v>
      </c>
      <c r="Y782" s="15">
        <f t="shared" si="7"/>
        <v>45201</v>
      </c>
      <c r="Z782" s="14" t="str">
        <f t="shared" si="8"/>
        <v>UPI</v>
      </c>
      <c r="AA782" s="14" t="str">
        <f t="shared" si="9"/>
        <v>Delivered</v>
      </c>
      <c r="AB782" s="14" t="str">
        <f t="shared" ref="AB782:AC782" si="1568">trim(Q782)</f>
        <v>Quality of Items</v>
      </c>
      <c r="AC782" s="14" t="str">
        <f t="shared" si="1568"/>
        <v>Perfect condition</v>
      </c>
      <c r="AD782" s="8"/>
    </row>
    <row r="783">
      <c r="A783" s="14" t="str">
        <f>IFERROR(__xludf.DUMMYFUNCTION("""COMPUTED_VALUE"""),"//ord_10774//Sakshi Tandon//Colaba//Icecream+4*Sita T/10/14/2023//UPI//Delivered*On-time Delivery: Delivered on time")</f>
        <v>//ord_10774//Sakshi Tandon//Colaba//Icecream+4*Sita T/10/14/2023//UPI//Delivered*On-time Delivery: Delivered on time</v>
      </c>
      <c r="B783" s="14" t="str">
        <f>IFERROR(__xludf.DUMMYFUNCTION("split(A783,""//"")"),"ord_10774")</f>
        <v>ord_10774</v>
      </c>
      <c r="C783" s="14" t="str">
        <f>IFERROR(__xludf.DUMMYFUNCTION("""COMPUTED_VALUE"""),"Sakshi Tandon")</f>
        <v>Sakshi Tandon</v>
      </c>
      <c r="D783" s="14" t="str">
        <f>IFERROR(__xludf.DUMMYFUNCTION("""COMPUTED_VALUE"""),"Colaba")</f>
        <v>Colaba</v>
      </c>
      <c r="E783" s="14" t="str">
        <f>IFERROR(__xludf.DUMMYFUNCTION("""COMPUTED_VALUE"""),"Icecream+4*Sita T")</f>
        <v>Icecream+4*Sita T</v>
      </c>
      <c r="F783" s="14">
        <f>IFERROR(__xludf.DUMMYFUNCTION("""COMPUTED_VALUE"""),10.0)</f>
        <v>10</v>
      </c>
      <c r="G783" s="14">
        <f>IFERROR(__xludf.DUMMYFUNCTION("""COMPUTED_VALUE"""),14.0)</f>
        <v>14</v>
      </c>
      <c r="H783" s="14">
        <f>IFERROR(__xludf.DUMMYFUNCTION("""COMPUTED_VALUE"""),2023.0)</f>
        <v>2023</v>
      </c>
      <c r="I783" s="14" t="str">
        <f>IFERROR(__xludf.DUMMYFUNCTION("""COMPUTED_VALUE"""),"UPI")</f>
        <v>UPI</v>
      </c>
      <c r="J783" s="14" t="str">
        <f>IFERROR(__xludf.DUMMYFUNCTION("""COMPUTED_VALUE"""),"Delivered*On-time Delivery: Delivered on time")</f>
        <v>Delivered*On-time Delivery: Delivered on time</v>
      </c>
      <c r="K783" s="14" t="str">
        <f>IFERROR(__xludf.DUMMYFUNCTION("split(E783,""+"")"),"Icecream")</f>
        <v>Icecream</v>
      </c>
      <c r="L783" s="14" t="str">
        <f>IFERROR(__xludf.DUMMYFUNCTION("""COMPUTED_VALUE"""),"4*Sita T")</f>
        <v>4*Sita T</v>
      </c>
      <c r="M783" s="14">
        <f>IFERROR(__xludf.DUMMYFUNCTION("SPLIT(L783,""*"")"),4.0)</f>
        <v>4</v>
      </c>
      <c r="N783" s="14" t="str">
        <f>IFERROR(__xludf.DUMMYFUNCTION("""COMPUTED_VALUE"""),"Sita T")</f>
        <v>Sita T</v>
      </c>
      <c r="O783" s="14" t="str">
        <f>IFERROR(__xludf.DUMMYFUNCTION("split(J783,""*"")"),"Delivered")</f>
        <v>Delivered</v>
      </c>
      <c r="P783" s="14" t="str">
        <f>IFERROR(__xludf.DUMMYFUNCTION("""COMPUTED_VALUE"""),"On-time Delivery: Delivered on time")</f>
        <v>On-time Delivery: Delivered on time</v>
      </c>
      <c r="Q783" s="14" t="str">
        <f>IFERROR(__xludf.DUMMYFUNCTION("split(P783,"":"")"),"On-time Delivery")</f>
        <v>On-time Delivery</v>
      </c>
      <c r="R783" s="14" t="str">
        <f>IFERROR(__xludf.DUMMYFUNCTION("""COMPUTED_VALUE""")," Delivered on time")</f>
        <v> Delivered on time</v>
      </c>
      <c r="S783" s="14" t="str">
        <f t="shared" ref="S783:U783" si="1569">trim(B783)</f>
        <v>ord_10774</v>
      </c>
      <c r="T783" s="14" t="str">
        <f t="shared" si="1569"/>
        <v>Sakshi Tandon</v>
      </c>
      <c r="U783" s="14" t="str">
        <f t="shared" si="1569"/>
        <v>Colaba</v>
      </c>
      <c r="V783" s="14" t="str">
        <f t="shared" si="4"/>
        <v>Icecream</v>
      </c>
      <c r="W783" s="14">
        <f t="shared" si="5"/>
        <v>4</v>
      </c>
      <c r="X783" s="14" t="str">
        <f t="shared" si="6"/>
        <v>Sita T</v>
      </c>
      <c r="Y783" s="15">
        <f t="shared" si="7"/>
        <v>45213</v>
      </c>
      <c r="Z783" s="14" t="str">
        <f t="shared" si="8"/>
        <v>UPI</v>
      </c>
      <c r="AA783" s="14" t="str">
        <f t="shared" si="9"/>
        <v>Delivered</v>
      </c>
      <c r="AB783" s="14" t="str">
        <f t="shared" ref="AB783:AC783" si="1570">trim(Q783)</f>
        <v>On-time Delivery</v>
      </c>
      <c r="AC783" s="14" t="str">
        <f t="shared" si="1570"/>
        <v>Delivered on time</v>
      </c>
      <c r="AD783" s="8"/>
    </row>
    <row r="784">
      <c r="A784" s="14" t="str">
        <f>IFERROR(__xludf.DUMMYFUNCTION("""COMPUTED_VALUE"""),"//ord_10775//Sakshi Tandon//Colaba//Guava+2*Nithin Lal/9/5/2023//Credit Card//Delivered*Quality of Items: Perfect condition")</f>
        <v>//ord_10775//Sakshi Tandon//Colaba//Guava+2*Nithin Lal/9/5/2023//Credit Card//Delivered*Quality of Items: Perfect condition</v>
      </c>
      <c r="B784" s="14" t="str">
        <f>IFERROR(__xludf.DUMMYFUNCTION("split(A784,""//"")"),"ord_10775")</f>
        <v>ord_10775</v>
      </c>
      <c r="C784" s="14" t="str">
        <f>IFERROR(__xludf.DUMMYFUNCTION("""COMPUTED_VALUE"""),"Sakshi Tandon")</f>
        <v>Sakshi Tandon</v>
      </c>
      <c r="D784" s="14" t="str">
        <f>IFERROR(__xludf.DUMMYFUNCTION("""COMPUTED_VALUE"""),"Colaba")</f>
        <v>Colaba</v>
      </c>
      <c r="E784" s="14" t="str">
        <f>IFERROR(__xludf.DUMMYFUNCTION("""COMPUTED_VALUE"""),"Guava+2*Nithin Lal")</f>
        <v>Guava+2*Nithin Lal</v>
      </c>
      <c r="F784" s="14">
        <f>IFERROR(__xludf.DUMMYFUNCTION("""COMPUTED_VALUE"""),9.0)</f>
        <v>9</v>
      </c>
      <c r="G784" s="14">
        <f>IFERROR(__xludf.DUMMYFUNCTION("""COMPUTED_VALUE"""),5.0)</f>
        <v>5</v>
      </c>
      <c r="H784" s="14">
        <f>IFERROR(__xludf.DUMMYFUNCTION("""COMPUTED_VALUE"""),2023.0)</f>
        <v>2023</v>
      </c>
      <c r="I784" s="14" t="str">
        <f>IFERROR(__xludf.DUMMYFUNCTION("""COMPUTED_VALUE"""),"Credit Card")</f>
        <v>Credit Card</v>
      </c>
      <c r="J784" s="14" t="str">
        <f>IFERROR(__xludf.DUMMYFUNCTION("""COMPUTED_VALUE"""),"Delivered*Quality of Items: Perfect condition")</f>
        <v>Delivered*Quality of Items: Perfect condition</v>
      </c>
      <c r="K784" s="14" t="str">
        <f>IFERROR(__xludf.DUMMYFUNCTION("split(E784,""+"")"),"Guava")</f>
        <v>Guava</v>
      </c>
      <c r="L784" s="14" t="str">
        <f>IFERROR(__xludf.DUMMYFUNCTION("""COMPUTED_VALUE"""),"2*Nithin Lal")</f>
        <v>2*Nithin Lal</v>
      </c>
      <c r="M784" s="14">
        <f>IFERROR(__xludf.DUMMYFUNCTION("SPLIT(L784,""*"")"),2.0)</f>
        <v>2</v>
      </c>
      <c r="N784" s="14" t="str">
        <f>IFERROR(__xludf.DUMMYFUNCTION("""COMPUTED_VALUE"""),"Nithin Lal")</f>
        <v>Nithin Lal</v>
      </c>
      <c r="O784" s="14" t="str">
        <f>IFERROR(__xludf.DUMMYFUNCTION("split(J784,""*"")"),"Delivered")</f>
        <v>Delivered</v>
      </c>
      <c r="P784" s="14" t="str">
        <f>IFERROR(__xludf.DUMMYFUNCTION("""COMPUTED_VALUE"""),"Quality of Items: Perfect condition")</f>
        <v>Quality of Items: Perfect condition</v>
      </c>
      <c r="Q784" s="14" t="str">
        <f>IFERROR(__xludf.DUMMYFUNCTION("split(P784,"":"")"),"Quality of Items")</f>
        <v>Quality of Items</v>
      </c>
      <c r="R784" s="14" t="str">
        <f>IFERROR(__xludf.DUMMYFUNCTION("""COMPUTED_VALUE""")," Perfect condition")</f>
        <v> Perfect condition</v>
      </c>
      <c r="S784" s="14" t="str">
        <f t="shared" ref="S784:U784" si="1571">trim(B784)</f>
        <v>ord_10775</v>
      </c>
      <c r="T784" s="14" t="str">
        <f t="shared" si="1571"/>
        <v>Sakshi Tandon</v>
      </c>
      <c r="U784" s="14" t="str">
        <f t="shared" si="1571"/>
        <v>Colaba</v>
      </c>
      <c r="V784" s="14" t="str">
        <f t="shared" si="4"/>
        <v>Guava</v>
      </c>
      <c r="W784" s="14">
        <f t="shared" si="5"/>
        <v>2</v>
      </c>
      <c r="X784" s="14" t="str">
        <f t="shared" si="6"/>
        <v>Nithin Lal</v>
      </c>
      <c r="Y784" s="15">
        <f t="shared" si="7"/>
        <v>45174</v>
      </c>
      <c r="Z784" s="14" t="str">
        <f t="shared" si="8"/>
        <v>Credit Card</v>
      </c>
      <c r="AA784" s="14" t="str">
        <f t="shared" si="9"/>
        <v>Delivered</v>
      </c>
      <c r="AB784" s="14" t="str">
        <f t="shared" ref="AB784:AC784" si="1572">trim(Q784)</f>
        <v>Quality of Items</v>
      </c>
      <c r="AC784" s="14" t="str">
        <f t="shared" si="1572"/>
        <v>Perfect condition</v>
      </c>
      <c r="AD784" s="8"/>
    </row>
    <row r="785">
      <c r="A785" s="14" t="str">
        <f>IFERROR(__xludf.DUMMYFUNCTION("""COMPUTED_VALUE"""),"//ord_10776//Ishaan Chaturvedi//Bandra//Guava+1*Nithin Lal/6/18/2023//Credit Card//Delivered*Packaging: Secure and intact")</f>
        <v>//ord_10776//Ishaan Chaturvedi//Bandra//Guava+1*Nithin Lal/6/18/2023//Credit Card//Delivered*Packaging: Secure and intact</v>
      </c>
      <c r="B785" s="14" t="str">
        <f>IFERROR(__xludf.DUMMYFUNCTION("split(A785,""//"")"),"ord_10776")</f>
        <v>ord_10776</v>
      </c>
      <c r="C785" s="14" t="str">
        <f>IFERROR(__xludf.DUMMYFUNCTION("""COMPUTED_VALUE"""),"Ishaan Chaturvedi")</f>
        <v>Ishaan Chaturvedi</v>
      </c>
      <c r="D785" s="14" t="str">
        <f>IFERROR(__xludf.DUMMYFUNCTION("""COMPUTED_VALUE"""),"Bandra")</f>
        <v>Bandra</v>
      </c>
      <c r="E785" s="14" t="str">
        <f>IFERROR(__xludf.DUMMYFUNCTION("""COMPUTED_VALUE"""),"Guava+1*Nithin Lal")</f>
        <v>Guava+1*Nithin Lal</v>
      </c>
      <c r="F785" s="14">
        <f>IFERROR(__xludf.DUMMYFUNCTION("""COMPUTED_VALUE"""),6.0)</f>
        <v>6</v>
      </c>
      <c r="G785" s="14">
        <f>IFERROR(__xludf.DUMMYFUNCTION("""COMPUTED_VALUE"""),18.0)</f>
        <v>18</v>
      </c>
      <c r="H785" s="14">
        <f>IFERROR(__xludf.DUMMYFUNCTION("""COMPUTED_VALUE"""),2023.0)</f>
        <v>2023</v>
      </c>
      <c r="I785" s="14" t="str">
        <f>IFERROR(__xludf.DUMMYFUNCTION("""COMPUTED_VALUE"""),"Credit Card")</f>
        <v>Credit Card</v>
      </c>
      <c r="J785" s="14" t="str">
        <f>IFERROR(__xludf.DUMMYFUNCTION("""COMPUTED_VALUE"""),"Delivered*Packaging: Secure and intact")</f>
        <v>Delivered*Packaging: Secure and intact</v>
      </c>
      <c r="K785" s="14" t="str">
        <f>IFERROR(__xludf.DUMMYFUNCTION("split(E785,""+"")"),"Guava")</f>
        <v>Guava</v>
      </c>
      <c r="L785" s="14" t="str">
        <f>IFERROR(__xludf.DUMMYFUNCTION("""COMPUTED_VALUE"""),"1*Nithin Lal")</f>
        <v>1*Nithin Lal</v>
      </c>
      <c r="M785" s="14">
        <f>IFERROR(__xludf.DUMMYFUNCTION("SPLIT(L785,""*"")"),1.0)</f>
        <v>1</v>
      </c>
      <c r="N785" s="14" t="str">
        <f>IFERROR(__xludf.DUMMYFUNCTION("""COMPUTED_VALUE"""),"Nithin Lal")</f>
        <v>Nithin Lal</v>
      </c>
      <c r="O785" s="14" t="str">
        <f>IFERROR(__xludf.DUMMYFUNCTION("split(J785,""*"")"),"Delivered")</f>
        <v>Delivered</v>
      </c>
      <c r="P785" s="14" t="str">
        <f>IFERROR(__xludf.DUMMYFUNCTION("""COMPUTED_VALUE"""),"Packaging: Secure and intact")</f>
        <v>Packaging: Secure and intact</v>
      </c>
      <c r="Q785" s="14" t="str">
        <f>IFERROR(__xludf.DUMMYFUNCTION("split(P785,"":"")"),"Packaging")</f>
        <v>Packaging</v>
      </c>
      <c r="R785" s="14" t="str">
        <f>IFERROR(__xludf.DUMMYFUNCTION("""COMPUTED_VALUE""")," Secure and intact")</f>
        <v> Secure and intact</v>
      </c>
      <c r="S785" s="14" t="str">
        <f t="shared" ref="S785:U785" si="1573">trim(B785)</f>
        <v>ord_10776</v>
      </c>
      <c r="T785" s="14" t="str">
        <f t="shared" si="1573"/>
        <v>Ishaan Chaturvedi</v>
      </c>
      <c r="U785" s="14" t="str">
        <f t="shared" si="1573"/>
        <v>Bandra</v>
      </c>
      <c r="V785" s="14" t="str">
        <f t="shared" si="4"/>
        <v>Guava</v>
      </c>
      <c r="W785" s="14">
        <f t="shared" si="5"/>
        <v>1</v>
      </c>
      <c r="X785" s="14" t="str">
        <f t="shared" si="6"/>
        <v>Nithin Lal</v>
      </c>
      <c r="Y785" s="15">
        <f t="shared" si="7"/>
        <v>45095</v>
      </c>
      <c r="Z785" s="14" t="str">
        <f t="shared" si="8"/>
        <v>Credit Card</v>
      </c>
      <c r="AA785" s="14" t="str">
        <f t="shared" si="9"/>
        <v>Delivered</v>
      </c>
      <c r="AB785" s="14" t="str">
        <f t="shared" ref="AB785:AC785" si="1574">trim(Q785)</f>
        <v>Packaging</v>
      </c>
      <c r="AC785" s="14" t="str">
        <f t="shared" si="1574"/>
        <v>Secure and intact</v>
      </c>
      <c r="AD785" s="8"/>
    </row>
    <row r="786">
      <c r="A786" s="14" t="str">
        <f>IFERROR(__xludf.DUMMYFUNCTION("""COMPUTED_VALUE"""),"//ord_10777//Kritika Shetty//Malad//Guava+1*Not Assigned/7/14/2023//Credit Card//Cancelled*App Glitches:Error Messages")</f>
        <v>//ord_10777//Kritika Shetty//Malad//Guava+1*Not Assigned/7/14/2023//Credit Card//Cancelled*App Glitches:Error Messages</v>
      </c>
      <c r="B786" s="14" t="str">
        <f>IFERROR(__xludf.DUMMYFUNCTION("split(A786,""//"")"),"ord_10777")</f>
        <v>ord_10777</v>
      </c>
      <c r="C786" s="14" t="str">
        <f>IFERROR(__xludf.DUMMYFUNCTION("""COMPUTED_VALUE"""),"Kritika Shetty")</f>
        <v>Kritika Shetty</v>
      </c>
      <c r="D786" s="14" t="str">
        <f>IFERROR(__xludf.DUMMYFUNCTION("""COMPUTED_VALUE"""),"Malad")</f>
        <v>Malad</v>
      </c>
      <c r="E786" s="14" t="str">
        <f>IFERROR(__xludf.DUMMYFUNCTION("""COMPUTED_VALUE"""),"Guava+1*Not Assigned")</f>
        <v>Guava+1*Not Assigned</v>
      </c>
      <c r="F786" s="14">
        <f>IFERROR(__xludf.DUMMYFUNCTION("""COMPUTED_VALUE"""),7.0)</f>
        <v>7</v>
      </c>
      <c r="G786" s="14">
        <f>IFERROR(__xludf.DUMMYFUNCTION("""COMPUTED_VALUE"""),14.0)</f>
        <v>14</v>
      </c>
      <c r="H786" s="14">
        <f>IFERROR(__xludf.DUMMYFUNCTION("""COMPUTED_VALUE"""),2023.0)</f>
        <v>2023</v>
      </c>
      <c r="I786" s="14" t="str">
        <f>IFERROR(__xludf.DUMMYFUNCTION("""COMPUTED_VALUE"""),"Credit Card")</f>
        <v>Credit Card</v>
      </c>
      <c r="J786" s="14" t="str">
        <f>IFERROR(__xludf.DUMMYFUNCTION("""COMPUTED_VALUE"""),"Cancelled*App Glitches:Error Messages")</f>
        <v>Cancelled*App Glitches:Error Messages</v>
      </c>
      <c r="K786" s="14" t="str">
        <f>IFERROR(__xludf.DUMMYFUNCTION("split(E786,""+"")"),"Guava")</f>
        <v>Guava</v>
      </c>
      <c r="L786" s="14" t="str">
        <f>IFERROR(__xludf.DUMMYFUNCTION("""COMPUTED_VALUE"""),"1*Not Assigned")</f>
        <v>1*Not Assigned</v>
      </c>
      <c r="M786" s="14">
        <f>IFERROR(__xludf.DUMMYFUNCTION("SPLIT(L786,""*"")"),1.0)</f>
        <v>1</v>
      </c>
      <c r="N786" s="14" t="str">
        <f>IFERROR(__xludf.DUMMYFUNCTION("""COMPUTED_VALUE"""),"Not Assigned")</f>
        <v>Not Assigned</v>
      </c>
      <c r="O786" s="14" t="str">
        <f>IFERROR(__xludf.DUMMYFUNCTION("split(J786,""*"")"),"Cancelled")</f>
        <v>Cancelled</v>
      </c>
      <c r="P786" s="14" t="str">
        <f>IFERROR(__xludf.DUMMYFUNCTION("""COMPUTED_VALUE"""),"App Glitches:Error Messages")</f>
        <v>App Glitches:Error Messages</v>
      </c>
      <c r="Q786" s="14" t="str">
        <f>IFERROR(__xludf.DUMMYFUNCTION("split(P786,"":"")"),"App Glitches")</f>
        <v>App Glitches</v>
      </c>
      <c r="R786" s="14" t="str">
        <f>IFERROR(__xludf.DUMMYFUNCTION("""COMPUTED_VALUE"""),"Error Messages")</f>
        <v>Error Messages</v>
      </c>
      <c r="S786" s="14" t="str">
        <f t="shared" ref="S786:U786" si="1575">trim(B786)</f>
        <v>ord_10777</v>
      </c>
      <c r="T786" s="14" t="str">
        <f t="shared" si="1575"/>
        <v>Kritika Shetty</v>
      </c>
      <c r="U786" s="14" t="str">
        <f t="shared" si="1575"/>
        <v>Malad</v>
      </c>
      <c r="V786" s="14" t="str">
        <f t="shared" si="4"/>
        <v>Guava</v>
      </c>
      <c r="W786" s="14">
        <f t="shared" si="5"/>
        <v>1</v>
      </c>
      <c r="X786" s="14" t="str">
        <f t="shared" si="6"/>
        <v>Not Assigned</v>
      </c>
      <c r="Y786" s="15">
        <f t="shared" si="7"/>
        <v>45121</v>
      </c>
      <c r="Z786" s="14" t="str">
        <f t="shared" si="8"/>
        <v>Credit Card</v>
      </c>
      <c r="AA786" s="14" t="str">
        <f t="shared" si="9"/>
        <v>Cancelled</v>
      </c>
      <c r="AB786" s="14" t="str">
        <f t="shared" ref="AB786:AC786" si="1576">trim(Q786)</f>
        <v>App Glitches</v>
      </c>
      <c r="AC786" s="14" t="str">
        <f t="shared" si="1576"/>
        <v>Error Messages</v>
      </c>
      <c r="AD786" s="8"/>
    </row>
    <row r="787">
      <c r="A787" s="14" t="str">
        <f>IFERROR(__xludf.DUMMYFUNCTION("""COMPUTED_VALUE"""),"//ord_10778//Anaya Rao//Colaba//Tiramisu+5*Shine Thomas/6/7/2023//COD//Delivered*Satisfied with the Delivery: Timely and quality")</f>
        <v>//ord_10778//Anaya Rao//Colaba//Tiramisu+5*Shine Thomas/6/7/2023//COD//Delivered*Satisfied with the Delivery: Timely and quality</v>
      </c>
      <c r="B787" s="14" t="str">
        <f>IFERROR(__xludf.DUMMYFUNCTION("split(A787,""//"")"),"ord_10778")</f>
        <v>ord_10778</v>
      </c>
      <c r="C787" s="14" t="str">
        <f>IFERROR(__xludf.DUMMYFUNCTION("""COMPUTED_VALUE"""),"Anaya Rao")</f>
        <v>Anaya Rao</v>
      </c>
      <c r="D787" s="14" t="str">
        <f>IFERROR(__xludf.DUMMYFUNCTION("""COMPUTED_VALUE"""),"Colaba")</f>
        <v>Colaba</v>
      </c>
      <c r="E787" s="14" t="str">
        <f>IFERROR(__xludf.DUMMYFUNCTION("""COMPUTED_VALUE"""),"Tiramisu+5*Shine Thomas")</f>
        <v>Tiramisu+5*Shine Thomas</v>
      </c>
      <c r="F787" s="14">
        <f>IFERROR(__xludf.DUMMYFUNCTION("""COMPUTED_VALUE"""),6.0)</f>
        <v>6</v>
      </c>
      <c r="G787" s="14">
        <f>IFERROR(__xludf.DUMMYFUNCTION("""COMPUTED_VALUE"""),7.0)</f>
        <v>7</v>
      </c>
      <c r="H787" s="14">
        <f>IFERROR(__xludf.DUMMYFUNCTION("""COMPUTED_VALUE"""),2023.0)</f>
        <v>2023</v>
      </c>
      <c r="I787" s="14" t="str">
        <f>IFERROR(__xludf.DUMMYFUNCTION("""COMPUTED_VALUE"""),"COD")</f>
        <v>COD</v>
      </c>
      <c r="J787" s="14" t="str">
        <f>IFERROR(__xludf.DUMMYFUNCTION("""COMPUTED_VALUE"""),"Delivered*Satisfied with the Delivery: Timely and quality")</f>
        <v>Delivered*Satisfied with the Delivery: Timely and quality</v>
      </c>
      <c r="K787" s="14" t="str">
        <f>IFERROR(__xludf.DUMMYFUNCTION("split(E787,""+"")"),"Tiramisu")</f>
        <v>Tiramisu</v>
      </c>
      <c r="L787" s="14" t="str">
        <f>IFERROR(__xludf.DUMMYFUNCTION("""COMPUTED_VALUE"""),"5*Shine Thomas")</f>
        <v>5*Shine Thomas</v>
      </c>
      <c r="M787" s="14">
        <f>IFERROR(__xludf.DUMMYFUNCTION("SPLIT(L787,""*"")"),5.0)</f>
        <v>5</v>
      </c>
      <c r="N787" s="14" t="str">
        <f>IFERROR(__xludf.DUMMYFUNCTION("""COMPUTED_VALUE"""),"Shine Thomas")</f>
        <v>Shine Thomas</v>
      </c>
      <c r="O787" s="14" t="str">
        <f>IFERROR(__xludf.DUMMYFUNCTION("split(J787,""*"")"),"Delivered")</f>
        <v>Delivered</v>
      </c>
      <c r="P787" s="14" t="str">
        <f>IFERROR(__xludf.DUMMYFUNCTION("""COMPUTED_VALUE"""),"Satisfied with the Delivery: Timely and quality")</f>
        <v>Satisfied with the Delivery: Timely and quality</v>
      </c>
      <c r="Q787" s="14" t="str">
        <f>IFERROR(__xludf.DUMMYFUNCTION("split(P787,"":"")"),"Satisfied with the Delivery")</f>
        <v>Satisfied with the Delivery</v>
      </c>
      <c r="R787" s="14" t="str">
        <f>IFERROR(__xludf.DUMMYFUNCTION("""COMPUTED_VALUE""")," Timely and quality")</f>
        <v> Timely and quality</v>
      </c>
      <c r="S787" s="14" t="str">
        <f t="shared" ref="S787:U787" si="1577">trim(B787)</f>
        <v>ord_10778</v>
      </c>
      <c r="T787" s="14" t="str">
        <f t="shared" si="1577"/>
        <v>Anaya Rao</v>
      </c>
      <c r="U787" s="14" t="str">
        <f t="shared" si="1577"/>
        <v>Colaba</v>
      </c>
      <c r="V787" s="14" t="str">
        <f t="shared" si="4"/>
        <v>Tiramisu</v>
      </c>
      <c r="W787" s="14">
        <f t="shared" si="5"/>
        <v>5</v>
      </c>
      <c r="X787" s="14" t="str">
        <f t="shared" si="6"/>
        <v>Shine Thomas</v>
      </c>
      <c r="Y787" s="15">
        <f t="shared" si="7"/>
        <v>45084</v>
      </c>
      <c r="Z787" s="14" t="str">
        <f t="shared" si="8"/>
        <v>COD</v>
      </c>
      <c r="AA787" s="14" t="str">
        <f t="shared" si="9"/>
        <v>Delivered</v>
      </c>
      <c r="AB787" s="14" t="str">
        <f t="shared" ref="AB787:AC787" si="1578">trim(Q787)</f>
        <v>Satisfied with the Delivery</v>
      </c>
      <c r="AC787" s="14" t="str">
        <f t="shared" si="1578"/>
        <v>Timely and quality</v>
      </c>
      <c r="AD787" s="8"/>
    </row>
    <row r="788">
      <c r="A788" s="14" t="str">
        <f>IFERROR(__xludf.DUMMYFUNCTION("""COMPUTED_VALUE"""),"//ord_10779//Parth Goel//Juhu//Icecream+5*Nithin Lal/10/8/2023//UPI//Delivered*Customer Service: Seamless and easy")</f>
        <v>//ord_10779//Parth Goel//Juhu//Icecream+5*Nithin Lal/10/8/2023//UPI//Delivered*Customer Service: Seamless and easy</v>
      </c>
      <c r="B788" s="14" t="str">
        <f>IFERROR(__xludf.DUMMYFUNCTION("split(A788,""//"")"),"ord_10779")</f>
        <v>ord_10779</v>
      </c>
      <c r="C788" s="14" t="str">
        <f>IFERROR(__xludf.DUMMYFUNCTION("""COMPUTED_VALUE"""),"Parth Goel")</f>
        <v>Parth Goel</v>
      </c>
      <c r="D788" s="14" t="str">
        <f>IFERROR(__xludf.DUMMYFUNCTION("""COMPUTED_VALUE"""),"Juhu")</f>
        <v>Juhu</v>
      </c>
      <c r="E788" s="14" t="str">
        <f>IFERROR(__xludf.DUMMYFUNCTION("""COMPUTED_VALUE"""),"Icecream+5*Nithin Lal")</f>
        <v>Icecream+5*Nithin Lal</v>
      </c>
      <c r="F788" s="14">
        <f>IFERROR(__xludf.DUMMYFUNCTION("""COMPUTED_VALUE"""),10.0)</f>
        <v>10</v>
      </c>
      <c r="G788" s="14">
        <f>IFERROR(__xludf.DUMMYFUNCTION("""COMPUTED_VALUE"""),8.0)</f>
        <v>8</v>
      </c>
      <c r="H788" s="14">
        <f>IFERROR(__xludf.DUMMYFUNCTION("""COMPUTED_VALUE"""),2023.0)</f>
        <v>2023</v>
      </c>
      <c r="I788" s="14" t="str">
        <f>IFERROR(__xludf.DUMMYFUNCTION("""COMPUTED_VALUE"""),"UPI")</f>
        <v>UPI</v>
      </c>
      <c r="J788" s="14" t="str">
        <f>IFERROR(__xludf.DUMMYFUNCTION("""COMPUTED_VALUE"""),"Delivered*Customer Service: Seamless and easy")</f>
        <v>Delivered*Customer Service: Seamless and easy</v>
      </c>
      <c r="K788" s="14" t="str">
        <f>IFERROR(__xludf.DUMMYFUNCTION("split(E788,""+"")"),"Icecream")</f>
        <v>Icecream</v>
      </c>
      <c r="L788" s="14" t="str">
        <f>IFERROR(__xludf.DUMMYFUNCTION("""COMPUTED_VALUE"""),"5*Nithin Lal")</f>
        <v>5*Nithin Lal</v>
      </c>
      <c r="M788" s="14">
        <f>IFERROR(__xludf.DUMMYFUNCTION("SPLIT(L788,""*"")"),5.0)</f>
        <v>5</v>
      </c>
      <c r="N788" s="14" t="str">
        <f>IFERROR(__xludf.DUMMYFUNCTION("""COMPUTED_VALUE"""),"Nithin Lal")</f>
        <v>Nithin Lal</v>
      </c>
      <c r="O788" s="14" t="str">
        <f>IFERROR(__xludf.DUMMYFUNCTION("split(J788,""*"")"),"Delivered")</f>
        <v>Delivered</v>
      </c>
      <c r="P788" s="14" t="str">
        <f>IFERROR(__xludf.DUMMYFUNCTION("""COMPUTED_VALUE"""),"Customer Service: Seamless and easy")</f>
        <v>Customer Service: Seamless and easy</v>
      </c>
      <c r="Q788" s="14" t="str">
        <f>IFERROR(__xludf.DUMMYFUNCTION("split(P788,"":"")"),"Customer Service")</f>
        <v>Customer Service</v>
      </c>
      <c r="R788" s="14" t="str">
        <f>IFERROR(__xludf.DUMMYFUNCTION("""COMPUTED_VALUE""")," Seamless and easy")</f>
        <v> Seamless and easy</v>
      </c>
      <c r="S788" s="14" t="str">
        <f t="shared" ref="S788:U788" si="1579">trim(B788)</f>
        <v>ord_10779</v>
      </c>
      <c r="T788" s="14" t="str">
        <f t="shared" si="1579"/>
        <v>Parth Goel</v>
      </c>
      <c r="U788" s="14" t="str">
        <f t="shared" si="1579"/>
        <v>Juhu</v>
      </c>
      <c r="V788" s="14" t="str">
        <f t="shared" si="4"/>
        <v>Icecream</v>
      </c>
      <c r="W788" s="14">
        <f t="shared" si="5"/>
        <v>5</v>
      </c>
      <c r="X788" s="14" t="str">
        <f t="shared" si="6"/>
        <v>Nithin Lal</v>
      </c>
      <c r="Y788" s="15">
        <f t="shared" si="7"/>
        <v>45207</v>
      </c>
      <c r="Z788" s="14" t="str">
        <f t="shared" si="8"/>
        <v>UPI</v>
      </c>
      <c r="AA788" s="14" t="str">
        <f t="shared" si="9"/>
        <v>Delivered</v>
      </c>
      <c r="AB788" s="14" t="str">
        <f t="shared" ref="AB788:AC788" si="1580">trim(Q788)</f>
        <v>Customer Service</v>
      </c>
      <c r="AC788" s="14" t="str">
        <f t="shared" si="1580"/>
        <v>Seamless and easy</v>
      </c>
      <c r="AD788" s="8"/>
    </row>
    <row r="789">
      <c r="A789" s="14" t="str">
        <f>IFERROR(__xludf.DUMMYFUNCTION("""COMPUTED_VALUE"""),"//ord_10780//Aarav Mehta//Andheri//Cold Coffee+5*Ramesh S/7/18/2023//UPI//Delivered*Delivery Experience: Quick and professional")</f>
        <v>//ord_10780//Aarav Mehta//Andheri//Cold Coffee+5*Ramesh S/7/18/2023//UPI//Delivered*Delivery Experience: Quick and professional</v>
      </c>
      <c r="B789" s="14" t="str">
        <f>IFERROR(__xludf.DUMMYFUNCTION("split(A789,""//"")"),"ord_10780")</f>
        <v>ord_10780</v>
      </c>
      <c r="C789" s="14" t="str">
        <f>IFERROR(__xludf.DUMMYFUNCTION("""COMPUTED_VALUE"""),"Aarav Mehta")</f>
        <v>Aarav Mehta</v>
      </c>
      <c r="D789" s="14" t="str">
        <f>IFERROR(__xludf.DUMMYFUNCTION("""COMPUTED_VALUE"""),"Andheri")</f>
        <v>Andheri</v>
      </c>
      <c r="E789" s="14" t="str">
        <f>IFERROR(__xludf.DUMMYFUNCTION("""COMPUTED_VALUE"""),"Cold Coffee+5*Ramesh S")</f>
        <v>Cold Coffee+5*Ramesh S</v>
      </c>
      <c r="F789" s="14">
        <f>IFERROR(__xludf.DUMMYFUNCTION("""COMPUTED_VALUE"""),7.0)</f>
        <v>7</v>
      </c>
      <c r="G789" s="14">
        <f>IFERROR(__xludf.DUMMYFUNCTION("""COMPUTED_VALUE"""),18.0)</f>
        <v>18</v>
      </c>
      <c r="H789" s="14">
        <f>IFERROR(__xludf.DUMMYFUNCTION("""COMPUTED_VALUE"""),2023.0)</f>
        <v>2023</v>
      </c>
      <c r="I789" s="14" t="str">
        <f>IFERROR(__xludf.DUMMYFUNCTION("""COMPUTED_VALUE"""),"UPI")</f>
        <v>UPI</v>
      </c>
      <c r="J789" s="14" t="str">
        <f>IFERROR(__xludf.DUMMYFUNCTION("""COMPUTED_VALUE"""),"Delivered*Delivery Experience: Quick and professional")</f>
        <v>Delivered*Delivery Experience: Quick and professional</v>
      </c>
      <c r="K789" s="14" t="str">
        <f>IFERROR(__xludf.DUMMYFUNCTION("split(E789,""+"")"),"Cold Coffee")</f>
        <v>Cold Coffee</v>
      </c>
      <c r="L789" s="14" t="str">
        <f>IFERROR(__xludf.DUMMYFUNCTION("""COMPUTED_VALUE"""),"5*Ramesh S")</f>
        <v>5*Ramesh S</v>
      </c>
      <c r="M789" s="14">
        <f>IFERROR(__xludf.DUMMYFUNCTION("SPLIT(L789,""*"")"),5.0)</f>
        <v>5</v>
      </c>
      <c r="N789" s="14" t="str">
        <f>IFERROR(__xludf.DUMMYFUNCTION("""COMPUTED_VALUE"""),"Ramesh S")</f>
        <v>Ramesh S</v>
      </c>
      <c r="O789" s="14" t="str">
        <f>IFERROR(__xludf.DUMMYFUNCTION("split(J789,""*"")"),"Delivered")</f>
        <v>Delivered</v>
      </c>
      <c r="P789" s="14" t="str">
        <f>IFERROR(__xludf.DUMMYFUNCTION("""COMPUTED_VALUE"""),"Delivery Experience: Quick and professional")</f>
        <v>Delivery Experience: Quick and professional</v>
      </c>
      <c r="Q789" s="14" t="str">
        <f>IFERROR(__xludf.DUMMYFUNCTION("split(P789,"":"")"),"Delivery Experience")</f>
        <v>Delivery Experience</v>
      </c>
      <c r="R789" s="14" t="str">
        <f>IFERROR(__xludf.DUMMYFUNCTION("""COMPUTED_VALUE""")," Quick and professional")</f>
        <v> Quick and professional</v>
      </c>
      <c r="S789" s="14" t="str">
        <f t="shared" ref="S789:U789" si="1581">trim(B789)</f>
        <v>ord_10780</v>
      </c>
      <c r="T789" s="14" t="str">
        <f t="shared" si="1581"/>
        <v>Aarav Mehta</v>
      </c>
      <c r="U789" s="14" t="str">
        <f t="shared" si="1581"/>
        <v>Andheri</v>
      </c>
      <c r="V789" s="14" t="str">
        <f t="shared" si="4"/>
        <v>Cold Coffee</v>
      </c>
      <c r="W789" s="14">
        <f t="shared" si="5"/>
        <v>5</v>
      </c>
      <c r="X789" s="14" t="str">
        <f t="shared" si="6"/>
        <v>Ramesh S</v>
      </c>
      <c r="Y789" s="15">
        <f t="shared" si="7"/>
        <v>45125</v>
      </c>
      <c r="Z789" s="14" t="str">
        <f t="shared" si="8"/>
        <v>UPI</v>
      </c>
      <c r="AA789" s="14" t="str">
        <f t="shared" si="9"/>
        <v>Delivered</v>
      </c>
      <c r="AB789" s="14" t="str">
        <f t="shared" ref="AB789:AC789" si="1582">trim(Q789)</f>
        <v>Delivery Experience</v>
      </c>
      <c r="AC789" s="14" t="str">
        <f t="shared" si="1582"/>
        <v>Quick and professional</v>
      </c>
      <c r="AD789" s="8"/>
    </row>
    <row r="790">
      <c r="A790" s="14" t="str">
        <f>IFERROR(__xludf.DUMMYFUNCTION("""COMPUTED_VALUE"""),"//ord_10781//Kritika Shetty//Malad//Chilli Cheese Toast+5*Sita T/12/4/2023//Online Payment//Delivered*Convenience: Easy tracking")</f>
        <v>//ord_10781//Kritika Shetty//Malad//Chilli Cheese Toast+5*Sita T/12/4/2023//Online Payment//Delivered*Convenience: Easy tracking</v>
      </c>
      <c r="B790" s="14" t="str">
        <f>IFERROR(__xludf.DUMMYFUNCTION("split(A790,""//"")"),"ord_10781")</f>
        <v>ord_10781</v>
      </c>
      <c r="C790" s="14" t="str">
        <f>IFERROR(__xludf.DUMMYFUNCTION("""COMPUTED_VALUE"""),"Kritika Shetty")</f>
        <v>Kritika Shetty</v>
      </c>
      <c r="D790" s="14" t="str">
        <f>IFERROR(__xludf.DUMMYFUNCTION("""COMPUTED_VALUE"""),"Malad")</f>
        <v>Malad</v>
      </c>
      <c r="E790" s="14" t="str">
        <f>IFERROR(__xludf.DUMMYFUNCTION("""COMPUTED_VALUE"""),"Chilli Cheese Toast+5*Sita T")</f>
        <v>Chilli Cheese Toast+5*Sita T</v>
      </c>
      <c r="F790" s="14">
        <f>IFERROR(__xludf.DUMMYFUNCTION("""COMPUTED_VALUE"""),12.0)</f>
        <v>12</v>
      </c>
      <c r="G790" s="14">
        <f>IFERROR(__xludf.DUMMYFUNCTION("""COMPUTED_VALUE"""),4.0)</f>
        <v>4</v>
      </c>
      <c r="H790" s="14">
        <f>IFERROR(__xludf.DUMMYFUNCTION("""COMPUTED_VALUE"""),2023.0)</f>
        <v>2023</v>
      </c>
      <c r="I790" s="14" t="str">
        <f>IFERROR(__xludf.DUMMYFUNCTION("""COMPUTED_VALUE"""),"Online Payment")</f>
        <v>Online Payment</v>
      </c>
      <c r="J790" s="14" t="str">
        <f>IFERROR(__xludf.DUMMYFUNCTION("""COMPUTED_VALUE"""),"Delivered*Convenience: Easy tracking")</f>
        <v>Delivered*Convenience: Easy tracking</v>
      </c>
      <c r="K790" s="14" t="str">
        <f>IFERROR(__xludf.DUMMYFUNCTION("split(E790,""+"")"),"Chilli Cheese Toast")</f>
        <v>Chilli Cheese Toast</v>
      </c>
      <c r="L790" s="14" t="str">
        <f>IFERROR(__xludf.DUMMYFUNCTION("""COMPUTED_VALUE"""),"5*Sita T")</f>
        <v>5*Sita T</v>
      </c>
      <c r="M790" s="14">
        <f>IFERROR(__xludf.DUMMYFUNCTION("SPLIT(L790,""*"")"),5.0)</f>
        <v>5</v>
      </c>
      <c r="N790" s="14" t="str">
        <f>IFERROR(__xludf.DUMMYFUNCTION("""COMPUTED_VALUE"""),"Sita T")</f>
        <v>Sita T</v>
      </c>
      <c r="O790" s="14" t="str">
        <f>IFERROR(__xludf.DUMMYFUNCTION("split(J790,""*"")"),"Delivered")</f>
        <v>Delivered</v>
      </c>
      <c r="P790" s="14" t="str">
        <f>IFERROR(__xludf.DUMMYFUNCTION("""COMPUTED_VALUE"""),"Convenience: Easy tracking")</f>
        <v>Convenience: Easy tracking</v>
      </c>
      <c r="Q790" s="14" t="str">
        <f>IFERROR(__xludf.DUMMYFUNCTION("split(P790,"":"")"),"Convenience")</f>
        <v>Convenience</v>
      </c>
      <c r="R790" s="14" t="str">
        <f>IFERROR(__xludf.DUMMYFUNCTION("""COMPUTED_VALUE""")," Easy tracking")</f>
        <v> Easy tracking</v>
      </c>
      <c r="S790" s="14" t="str">
        <f t="shared" ref="S790:U790" si="1583">trim(B790)</f>
        <v>ord_10781</v>
      </c>
      <c r="T790" s="14" t="str">
        <f t="shared" si="1583"/>
        <v>Kritika Shetty</v>
      </c>
      <c r="U790" s="14" t="str">
        <f t="shared" si="1583"/>
        <v>Malad</v>
      </c>
      <c r="V790" s="14" t="str">
        <f t="shared" si="4"/>
        <v>Chilli Cheese Toast</v>
      </c>
      <c r="W790" s="14">
        <f t="shared" si="5"/>
        <v>5</v>
      </c>
      <c r="X790" s="14" t="str">
        <f t="shared" si="6"/>
        <v>Sita T</v>
      </c>
      <c r="Y790" s="15">
        <f t="shared" si="7"/>
        <v>45264</v>
      </c>
      <c r="Z790" s="14" t="str">
        <f t="shared" si="8"/>
        <v>Online Payment</v>
      </c>
      <c r="AA790" s="14" t="str">
        <f t="shared" si="9"/>
        <v>Delivered</v>
      </c>
      <c r="AB790" s="14" t="str">
        <f t="shared" ref="AB790:AC790" si="1584">trim(Q790)</f>
        <v>Convenience</v>
      </c>
      <c r="AC790" s="14" t="str">
        <f t="shared" si="1584"/>
        <v>Easy tracking</v>
      </c>
      <c r="AD790" s="8"/>
    </row>
    <row r="791">
      <c r="A791" s="14" t="str">
        <f>IFERROR(__xludf.DUMMYFUNCTION("""COMPUTED_VALUE"""),"//ord_10782//Pallavi Ghosh//Bandra//Tiramisu+2*Shine Thomas/8/21/2023//COD//Delivered*Overall Satisfaction: Great service will order again")</f>
        <v>//ord_10782//Pallavi Ghosh//Bandra//Tiramisu+2*Shine Thomas/8/21/2023//COD//Delivered*Overall Satisfaction: Great service will order again</v>
      </c>
      <c r="B791" s="14" t="str">
        <f>IFERROR(__xludf.DUMMYFUNCTION("split(A791,""//"")"),"ord_10782")</f>
        <v>ord_10782</v>
      </c>
      <c r="C791" s="14" t="str">
        <f>IFERROR(__xludf.DUMMYFUNCTION("""COMPUTED_VALUE"""),"Pallavi Ghosh")</f>
        <v>Pallavi Ghosh</v>
      </c>
      <c r="D791" s="14" t="str">
        <f>IFERROR(__xludf.DUMMYFUNCTION("""COMPUTED_VALUE"""),"Bandra")</f>
        <v>Bandra</v>
      </c>
      <c r="E791" s="14" t="str">
        <f>IFERROR(__xludf.DUMMYFUNCTION("""COMPUTED_VALUE"""),"Tiramisu+2*Shine Thomas")</f>
        <v>Tiramisu+2*Shine Thomas</v>
      </c>
      <c r="F791" s="14">
        <f>IFERROR(__xludf.DUMMYFUNCTION("""COMPUTED_VALUE"""),8.0)</f>
        <v>8</v>
      </c>
      <c r="G791" s="14">
        <f>IFERROR(__xludf.DUMMYFUNCTION("""COMPUTED_VALUE"""),21.0)</f>
        <v>21</v>
      </c>
      <c r="H791" s="14">
        <f>IFERROR(__xludf.DUMMYFUNCTION("""COMPUTED_VALUE"""),2023.0)</f>
        <v>2023</v>
      </c>
      <c r="I791" s="14" t="str">
        <f>IFERROR(__xludf.DUMMYFUNCTION("""COMPUTED_VALUE"""),"COD")</f>
        <v>COD</v>
      </c>
      <c r="J791" s="14" t="str">
        <f>IFERROR(__xludf.DUMMYFUNCTION("""COMPUTED_VALUE"""),"Delivered*Overall Satisfaction: Great service will order again")</f>
        <v>Delivered*Overall Satisfaction: Great service will order again</v>
      </c>
      <c r="K791" s="14" t="str">
        <f>IFERROR(__xludf.DUMMYFUNCTION("split(E791,""+"")"),"Tiramisu")</f>
        <v>Tiramisu</v>
      </c>
      <c r="L791" s="14" t="str">
        <f>IFERROR(__xludf.DUMMYFUNCTION("""COMPUTED_VALUE"""),"2*Shine Thomas")</f>
        <v>2*Shine Thomas</v>
      </c>
      <c r="M791" s="14">
        <f>IFERROR(__xludf.DUMMYFUNCTION("SPLIT(L791,""*"")"),2.0)</f>
        <v>2</v>
      </c>
      <c r="N791" s="14" t="str">
        <f>IFERROR(__xludf.DUMMYFUNCTION("""COMPUTED_VALUE"""),"Shine Thomas")</f>
        <v>Shine Thomas</v>
      </c>
      <c r="O791" s="14" t="str">
        <f>IFERROR(__xludf.DUMMYFUNCTION("split(J791,""*"")"),"Delivered")</f>
        <v>Delivered</v>
      </c>
      <c r="P791" s="14" t="str">
        <f>IFERROR(__xludf.DUMMYFUNCTION("""COMPUTED_VALUE"""),"Overall Satisfaction: Great service will order again")</f>
        <v>Overall Satisfaction: Great service will order again</v>
      </c>
      <c r="Q791" s="14" t="str">
        <f>IFERROR(__xludf.DUMMYFUNCTION("split(P791,"":"")"),"Overall Satisfaction")</f>
        <v>Overall Satisfaction</v>
      </c>
      <c r="R791" s="14" t="str">
        <f>IFERROR(__xludf.DUMMYFUNCTION("""COMPUTED_VALUE""")," Great service will order again")</f>
        <v> Great service will order again</v>
      </c>
      <c r="S791" s="14" t="str">
        <f t="shared" ref="S791:U791" si="1585">trim(B791)</f>
        <v>ord_10782</v>
      </c>
      <c r="T791" s="14" t="str">
        <f t="shared" si="1585"/>
        <v>Pallavi Ghosh</v>
      </c>
      <c r="U791" s="14" t="str">
        <f t="shared" si="1585"/>
        <v>Bandra</v>
      </c>
      <c r="V791" s="14" t="str">
        <f t="shared" si="4"/>
        <v>Tiramisu</v>
      </c>
      <c r="W791" s="14">
        <f t="shared" si="5"/>
        <v>2</v>
      </c>
      <c r="X791" s="14" t="str">
        <f t="shared" si="6"/>
        <v>Shine Thomas</v>
      </c>
      <c r="Y791" s="15">
        <f t="shared" si="7"/>
        <v>45159</v>
      </c>
      <c r="Z791" s="14" t="str">
        <f t="shared" si="8"/>
        <v>COD</v>
      </c>
      <c r="AA791" s="14" t="str">
        <f t="shared" si="9"/>
        <v>Delivered</v>
      </c>
      <c r="AB791" s="14" t="str">
        <f t="shared" ref="AB791:AC791" si="1586">trim(Q791)</f>
        <v>Overall Satisfaction</v>
      </c>
      <c r="AC791" s="14" t="str">
        <f t="shared" si="1586"/>
        <v>Great service will order again</v>
      </c>
      <c r="AD791" s="8"/>
    </row>
    <row r="792">
      <c r="A792" s="14" t="str">
        <f>IFERROR(__xludf.DUMMYFUNCTION("""COMPUTED_VALUE"""),"//ord_10783//Siya Reddy//Juhu//Papaya+1*Priya Joshi/5/13/2023//UPI//Cancelled*Delayed Delivery:High Order Volume")</f>
        <v>//ord_10783//Siya Reddy//Juhu//Papaya+1*Priya Joshi/5/13/2023//UPI//Cancelled*Delayed Delivery:High Order Volume</v>
      </c>
      <c r="B792" s="14" t="str">
        <f>IFERROR(__xludf.DUMMYFUNCTION("split(A792,""//"")"),"ord_10783")</f>
        <v>ord_10783</v>
      </c>
      <c r="C792" s="14" t="str">
        <f>IFERROR(__xludf.DUMMYFUNCTION("""COMPUTED_VALUE"""),"Siya Reddy")</f>
        <v>Siya Reddy</v>
      </c>
      <c r="D792" s="14" t="str">
        <f>IFERROR(__xludf.DUMMYFUNCTION("""COMPUTED_VALUE"""),"Juhu")</f>
        <v>Juhu</v>
      </c>
      <c r="E792" s="14" t="str">
        <f>IFERROR(__xludf.DUMMYFUNCTION("""COMPUTED_VALUE"""),"Papaya+1*Priya Joshi")</f>
        <v>Papaya+1*Priya Joshi</v>
      </c>
      <c r="F792" s="14">
        <f>IFERROR(__xludf.DUMMYFUNCTION("""COMPUTED_VALUE"""),5.0)</f>
        <v>5</v>
      </c>
      <c r="G792" s="14">
        <f>IFERROR(__xludf.DUMMYFUNCTION("""COMPUTED_VALUE"""),13.0)</f>
        <v>13</v>
      </c>
      <c r="H792" s="14">
        <f>IFERROR(__xludf.DUMMYFUNCTION("""COMPUTED_VALUE"""),2023.0)</f>
        <v>2023</v>
      </c>
      <c r="I792" s="14" t="str">
        <f>IFERROR(__xludf.DUMMYFUNCTION("""COMPUTED_VALUE"""),"UPI")</f>
        <v>UPI</v>
      </c>
      <c r="J792" s="14" t="str">
        <f>IFERROR(__xludf.DUMMYFUNCTION("""COMPUTED_VALUE"""),"Cancelled*Delayed Delivery:High Order Volume")</f>
        <v>Cancelled*Delayed Delivery:High Order Volume</v>
      </c>
      <c r="K792" s="14" t="str">
        <f>IFERROR(__xludf.DUMMYFUNCTION("split(E792,""+"")"),"Papaya")</f>
        <v>Papaya</v>
      </c>
      <c r="L792" s="14" t="str">
        <f>IFERROR(__xludf.DUMMYFUNCTION("""COMPUTED_VALUE"""),"1*Priya Joshi")</f>
        <v>1*Priya Joshi</v>
      </c>
      <c r="M792" s="14">
        <f>IFERROR(__xludf.DUMMYFUNCTION("SPLIT(L792,""*"")"),1.0)</f>
        <v>1</v>
      </c>
      <c r="N792" s="14" t="str">
        <f>IFERROR(__xludf.DUMMYFUNCTION("""COMPUTED_VALUE"""),"Priya Joshi")</f>
        <v>Priya Joshi</v>
      </c>
      <c r="O792" s="14" t="str">
        <f>IFERROR(__xludf.DUMMYFUNCTION("split(J792,""*"")"),"Cancelled")</f>
        <v>Cancelled</v>
      </c>
      <c r="P792" s="14" t="str">
        <f>IFERROR(__xludf.DUMMYFUNCTION("""COMPUTED_VALUE"""),"Delayed Delivery:High Order Volume")</f>
        <v>Delayed Delivery:High Order Volume</v>
      </c>
      <c r="Q792" s="14" t="str">
        <f>IFERROR(__xludf.DUMMYFUNCTION("split(P792,"":"")"),"Delayed Delivery")</f>
        <v>Delayed Delivery</v>
      </c>
      <c r="R792" s="14" t="str">
        <f>IFERROR(__xludf.DUMMYFUNCTION("""COMPUTED_VALUE"""),"High Order Volume")</f>
        <v>High Order Volume</v>
      </c>
      <c r="S792" s="14" t="str">
        <f t="shared" ref="S792:U792" si="1587">trim(B792)</f>
        <v>ord_10783</v>
      </c>
      <c r="T792" s="14" t="str">
        <f t="shared" si="1587"/>
        <v>Siya Reddy</v>
      </c>
      <c r="U792" s="14" t="str">
        <f t="shared" si="1587"/>
        <v>Juhu</v>
      </c>
      <c r="V792" s="14" t="str">
        <f t="shared" si="4"/>
        <v>Papaya</v>
      </c>
      <c r="W792" s="14">
        <f t="shared" si="5"/>
        <v>1</v>
      </c>
      <c r="X792" s="14" t="str">
        <f t="shared" si="6"/>
        <v>Priya Joshi</v>
      </c>
      <c r="Y792" s="15">
        <f t="shared" si="7"/>
        <v>45059</v>
      </c>
      <c r="Z792" s="14" t="str">
        <f t="shared" si="8"/>
        <v>UPI</v>
      </c>
      <c r="AA792" s="14" t="str">
        <f t="shared" si="9"/>
        <v>Cancelled</v>
      </c>
      <c r="AB792" s="14" t="str">
        <f t="shared" ref="AB792:AC792" si="1588">trim(Q792)</f>
        <v>Delayed Delivery</v>
      </c>
      <c r="AC792" s="14" t="str">
        <f t="shared" si="1588"/>
        <v>High Order Volume</v>
      </c>
      <c r="AD792" s="8"/>
    </row>
    <row r="793">
      <c r="A793" s="14" t="str">
        <f>IFERROR(__xludf.DUMMYFUNCTION("""COMPUTED_VALUE"""),"//ord_10784//Sakshi Tandon//Colaba//Veg Puff+4*Ramesh S/12/1/2023//UPI//Delivered*On-time Delivery: Delivered on time")</f>
        <v>//ord_10784//Sakshi Tandon//Colaba//Veg Puff+4*Ramesh S/12/1/2023//UPI//Delivered*On-time Delivery: Delivered on time</v>
      </c>
      <c r="B793" s="14" t="str">
        <f>IFERROR(__xludf.DUMMYFUNCTION("split(A793,""//"")"),"ord_10784")</f>
        <v>ord_10784</v>
      </c>
      <c r="C793" s="14" t="str">
        <f>IFERROR(__xludf.DUMMYFUNCTION("""COMPUTED_VALUE"""),"Sakshi Tandon")</f>
        <v>Sakshi Tandon</v>
      </c>
      <c r="D793" s="14" t="str">
        <f>IFERROR(__xludf.DUMMYFUNCTION("""COMPUTED_VALUE"""),"Colaba")</f>
        <v>Colaba</v>
      </c>
      <c r="E793" s="14" t="str">
        <f>IFERROR(__xludf.DUMMYFUNCTION("""COMPUTED_VALUE"""),"Veg Puff+4*Ramesh S")</f>
        <v>Veg Puff+4*Ramesh S</v>
      </c>
      <c r="F793" s="14">
        <f>IFERROR(__xludf.DUMMYFUNCTION("""COMPUTED_VALUE"""),12.0)</f>
        <v>12</v>
      </c>
      <c r="G793" s="14">
        <f>IFERROR(__xludf.DUMMYFUNCTION("""COMPUTED_VALUE"""),1.0)</f>
        <v>1</v>
      </c>
      <c r="H793" s="14">
        <f>IFERROR(__xludf.DUMMYFUNCTION("""COMPUTED_VALUE"""),2023.0)</f>
        <v>2023</v>
      </c>
      <c r="I793" s="14" t="str">
        <f>IFERROR(__xludf.DUMMYFUNCTION("""COMPUTED_VALUE"""),"UPI")</f>
        <v>UPI</v>
      </c>
      <c r="J793" s="14" t="str">
        <f>IFERROR(__xludf.DUMMYFUNCTION("""COMPUTED_VALUE"""),"Delivered*On-time Delivery: Delivered on time")</f>
        <v>Delivered*On-time Delivery: Delivered on time</v>
      </c>
      <c r="K793" s="14" t="str">
        <f>IFERROR(__xludf.DUMMYFUNCTION("split(E793,""+"")"),"Veg Puff")</f>
        <v>Veg Puff</v>
      </c>
      <c r="L793" s="14" t="str">
        <f>IFERROR(__xludf.DUMMYFUNCTION("""COMPUTED_VALUE"""),"4*Ramesh S")</f>
        <v>4*Ramesh S</v>
      </c>
      <c r="M793" s="14">
        <f>IFERROR(__xludf.DUMMYFUNCTION("SPLIT(L793,""*"")"),4.0)</f>
        <v>4</v>
      </c>
      <c r="N793" s="14" t="str">
        <f>IFERROR(__xludf.DUMMYFUNCTION("""COMPUTED_VALUE"""),"Ramesh S")</f>
        <v>Ramesh S</v>
      </c>
      <c r="O793" s="14" t="str">
        <f>IFERROR(__xludf.DUMMYFUNCTION("split(J793,""*"")"),"Delivered")</f>
        <v>Delivered</v>
      </c>
      <c r="P793" s="14" t="str">
        <f>IFERROR(__xludf.DUMMYFUNCTION("""COMPUTED_VALUE"""),"On-time Delivery: Delivered on time")</f>
        <v>On-time Delivery: Delivered on time</v>
      </c>
      <c r="Q793" s="14" t="str">
        <f>IFERROR(__xludf.DUMMYFUNCTION("split(P793,"":"")"),"On-time Delivery")</f>
        <v>On-time Delivery</v>
      </c>
      <c r="R793" s="14" t="str">
        <f>IFERROR(__xludf.DUMMYFUNCTION("""COMPUTED_VALUE""")," Delivered on time")</f>
        <v> Delivered on time</v>
      </c>
      <c r="S793" s="14" t="str">
        <f t="shared" ref="S793:U793" si="1589">trim(B793)</f>
        <v>ord_10784</v>
      </c>
      <c r="T793" s="14" t="str">
        <f t="shared" si="1589"/>
        <v>Sakshi Tandon</v>
      </c>
      <c r="U793" s="14" t="str">
        <f t="shared" si="1589"/>
        <v>Colaba</v>
      </c>
      <c r="V793" s="14" t="str">
        <f t="shared" si="4"/>
        <v>Veg Puff</v>
      </c>
      <c r="W793" s="14">
        <f t="shared" si="5"/>
        <v>4</v>
      </c>
      <c r="X793" s="14" t="str">
        <f t="shared" si="6"/>
        <v>Ramesh S</v>
      </c>
      <c r="Y793" s="15">
        <f t="shared" si="7"/>
        <v>45261</v>
      </c>
      <c r="Z793" s="14" t="str">
        <f t="shared" si="8"/>
        <v>UPI</v>
      </c>
      <c r="AA793" s="14" t="str">
        <f t="shared" si="9"/>
        <v>Delivered</v>
      </c>
      <c r="AB793" s="14" t="str">
        <f t="shared" ref="AB793:AC793" si="1590">trim(Q793)</f>
        <v>On-time Delivery</v>
      </c>
      <c r="AC793" s="14" t="str">
        <f t="shared" si="1590"/>
        <v>Delivered on time</v>
      </c>
      <c r="AD793" s="8"/>
    </row>
    <row r="794">
      <c r="A794" s="14" t="str">
        <f>IFERROR(__xludf.DUMMYFUNCTION("""COMPUTED_VALUE"""),"//ord_10785//Mehul Thakkar//Malad//Banana+1*Not Assigned/9/3/2023//Credit Card//Cancelled*Payment Issues")</f>
        <v>//ord_10785//Mehul Thakkar//Malad//Banana+1*Not Assigned/9/3/2023//Credit Card//Cancelled*Payment Issues</v>
      </c>
      <c r="B794" s="14" t="str">
        <f>IFERROR(__xludf.DUMMYFUNCTION("split(A794,""//"")"),"ord_10785")</f>
        <v>ord_10785</v>
      </c>
      <c r="C794" s="14" t="str">
        <f>IFERROR(__xludf.DUMMYFUNCTION("""COMPUTED_VALUE"""),"Mehul Thakkar")</f>
        <v>Mehul Thakkar</v>
      </c>
      <c r="D794" s="14" t="str">
        <f>IFERROR(__xludf.DUMMYFUNCTION("""COMPUTED_VALUE"""),"Malad")</f>
        <v>Malad</v>
      </c>
      <c r="E794" s="14" t="str">
        <f>IFERROR(__xludf.DUMMYFUNCTION("""COMPUTED_VALUE"""),"Banana+1*Not Assigned")</f>
        <v>Banana+1*Not Assigned</v>
      </c>
      <c r="F794" s="14">
        <f>IFERROR(__xludf.DUMMYFUNCTION("""COMPUTED_VALUE"""),9.0)</f>
        <v>9</v>
      </c>
      <c r="G794" s="14">
        <f>IFERROR(__xludf.DUMMYFUNCTION("""COMPUTED_VALUE"""),3.0)</f>
        <v>3</v>
      </c>
      <c r="H794" s="14">
        <f>IFERROR(__xludf.DUMMYFUNCTION("""COMPUTED_VALUE"""),2023.0)</f>
        <v>2023</v>
      </c>
      <c r="I794" s="14" t="str">
        <f>IFERROR(__xludf.DUMMYFUNCTION("""COMPUTED_VALUE"""),"Credit Card")</f>
        <v>Credit Card</v>
      </c>
      <c r="J794" s="14" t="str">
        <f>IFERROR(__xludf.DUMMYFUNCTION("""COMPUTED_VALUE"""),"Cancelled*Payment Issues")</f>
        <v>Cancelled*Payment Issues</v>
      </c>
      <c r="K794" s="14" t="str">
        <f>IFERROR(__xludf.DUMMYFUNCTION("split(E794,""+"")"),"Banana")</f>
        <v>Banana</v>
      </c>
      <c r="L794" s="14" t="str">
        <f>IFERROR(__xludf.DUMMYFUNCTION("""COMPUTED_VALUE"""),"1*Not Assigned")</f>
        <v>1*Not Assigned</v>
      </c>
      <c r="M794" s="14">
        <f>IFERROR(__xludf.DUMMYFUNCTION("SPLIT(L794,""*"")"),1.0)</f>
        <v>1</v>
      </c>
      <c r="N794" s="14" t="str">
        <f>IFERROR(__xludf.DUMMYFUNCTION("""COMPUTED_VALUE"""),"Not Assigned")</f>
        <v>Not Assigned</v>
      </c>
      <c r="O794" s="14" t="str">
        <f>IFERROR(__xludf.DUMMYFUNCTION("split(J794,""*"")"),"Cancelled")</f>
        <v>Cancelled</v>
      </c>
      <c r="P794" s="14" t="str">
        <f>IFERROR(__xludf.DUMMYFUNCTION("""COMPUTED_VALUE"""),"Payment Issues")</f>
        <v>Payment Issues</v>
      </c>
      <c r="Q794" s="14" t="str">
        <f>IFERROR(__xludf.DUMMYFUNCTION("split(P794,"":"")"),"Payment Issues")</f>
        <v>Payment Issues</v>
      </c>
      <c r="R794" s="14"/>
      <c r="S794" s="14" t="str">
        <f t="shared" ref="S794:U794" si="1591">trim(B794)</f>
        <v>ord_10785</v>
      </c>
      <c r="T794" s="14" t="str">
        <f t="shared" si="1591"/>
        <v>Mehul Thakkar</v>
      </c>
      <c r="U794" s="14" t="str">
        <f t="shared" si="1591"/>
        <v>Malad</v>
      </c>
      <c r="V794" s="14" t="str">
        <f t="shared" si="4"/>
        <v>Banana</v>
      </c>
      <c r="W794" s="14">
        <f t="shared" si="5"/>
        <v>1</v>
      </c>
      <c r="X794" s="14" t="str">
        <f t="shared" si="6"/>
        <v>Not Assigned</v>
      </c>
      <c r="Y794" s="15">
        <f t="shared" si="7"/>
        <v>45172</v>
      </c>
      <c r="Z794" s="14" t="str">
        <f t="shared" si="8"/>
        <v>Credit Card</v>
      </c>
      <c r="AA794" s="14" t="str">
        <f t="shared" si="9"/>
        <v>Cancelled</v>
      </c>
      <c r="AB794" s="14" t="str">
        <f t="shared" ref="AB794:AC794" si="1592">trim(Q794)</f>
        <v>Payment Issues</v>
      </c>
      <c r="AC794" s="14" t="str">
        <f t="shared" si="1592"/>
        <v/>
      </c>
      <c r="AD794" s="8"/>
    </row>
    <row r="795">
      <c r="A795" s="14" t="str">
        <f>IFERROR(__xludf.DUMMYFUNCTION("""COMPUTED_VALUE"""),"//ord_10786//Anaya Rao//Colaba//Icecream+5*Shine Thomas/6/4/2023//UPI//Delivered*Quality of Items: Perfect condition")</f>
        <v>//ord_10786//Anaya Rao//Colaba//Icecream+5*Shine Thomas/6/4/2023//UPI//Delivered*Quality of Items: Perfect condition</v>
      </c>
      <c r="B795" s="14" t="str">
        <f>IFERROR(__xludf.DUMMYFUNCTION("split(A795,""//"")"),"ord_10786")</f>
        <v>ord_10786</v>
      </c>
      <c r="C795" s="14" t="str">
        <f>IFERROR(__xludf.DUMMYFUNCTION("""COMPUTED_VALUE"""),"Anaya Rao")</f>
        <v>Anaya Rao</v>
      </c>
      <c r="D795" s="14" t="str">
        <f>IFERROR(__xludf.DUMMYFUNCTION("""COMPUTED_VALUE"""),"Colaba")</f>
        <v>Colaba</v>
      </c>
      <c r="E795" s="14" t="str">
        <f>IFERROR(__xludf.DUMMYFUNCTION("""COMPUTED_VALUE"""),"Icecream+5*Shine Thomas")</f>
        <v>Icecream+5*Shine Thomas</v>
      </c>
      <c r="F795" s="14">
        <f>IFERROR(__xludf.DUMMYFUNCTION("""COMPUTED_VALUE"""),6.0)</f>
        <v>6</v>
      </c>
      <c r="G795" s="14">
        <f>IFERROR(__xludf.DUMMYFUNCTION("""COMPUTED_VALUE"""),4.0)</f>
        <v>4</v>
      </c>
      <c r="H795" s="14">
        <f>IFERROR(__xludf.DUMMYFUNCTION("""COMPUTED_VALUE"""),2023.0)</f>
        <v>2023</v>
      </c>
      <c r="I795" s="14" t="str">
        <f>IFERROR(__xludf.DUMMYFUNCTION("""COMPUTED_VALUE"""),"UPI")</f>
        <v>UPI</v>
      </c>
      <c r="J795" s="14" t="str">
        <f>IFERROR(__xludf.DUMMYFUNCTION("""COMPUTED_VALUE"""),"Delivered*Quality of Items: Perfect condition")</f>
        <v>Delivered*Quality of Items: Perfect condition</v>
      </c>
      <c r="K795" s="14" t="str">
        <f>IFERROR(__xludf.DUMMYFUNCTION("split(E795,""+"")"),"Icecream")</f>
        <v>Icecream</v>
      </c>
      <c r="L795" s="14" t="str">
        <f>IFERROR(__xludf.DUMMYFUNCTION("""COMPUTED_VALUE"""),"5*Shine Thomas")</f>
        <v>5*Shine Thomas</v>
      </c>
      <c r="M795" s="14">
        <f>IFERROR(__xludf.DUMMYFUNCTION("SPLIT(L795,""*"")"),5.0)</f>
        <v>5</v>
      </c>
      <c r="N795" s="14" t="str">
        <f>IFERROR(__xludf.DUMMYFUNCTION("""COMPUTED_VALUE"""),"Shine Thomas")</f>
        <v>Shine Thomas</v>
      </c>
      <c r="O795" s="14" t="str">
        <f>IFERROR(__xludf.DUMMYFUNCTION("split(J795,""*"")"),"Delivered")</f>
        <v>Delivered</v>
      </c>
      <c r="P795" s="14" t="str">
        <f>IFERROR(__xludf.DUMMYFUNCTION("""COMPUTED_VALUE"""),"Quality of Items: Perfect condition")</f>
        <v>Quality of Items: Perfect condition</v>
      </c>
      <c r="Q795" s="14" t="str">
        <f>IFERROR(__xludf.DUMMYFUNCTION("split(P795,"":"")"),"Quality of Items")</f>
        <v>Quality of Items</v>
      </c>
      <c r="R795" s="14" t="str">
        <f>IFERROR(__xludf.DUMMYFUNCTION("""COMPUTED_VALUE""")," Perfect condition")</f>
        <v> Perfect condition</v>
      </c>
      <c r="S795" s="14" t="str">
        <f t="shared" ref="S795:U795" si="1593">trim(B795)</f>
        <v>ord_10786</v>
      </c>
      <c r="T795" s="14" t="str">
        <f t="shared" si="1593"/>
        <v>Anaya Rao</v>
      </c>
      <c r="U795" s="14" t="str">
        <f t="shared" si="1593"/>
        <v>Colaba</v>
      </c>
      <c r="V795" s="14" t="str">
        <f t="shared" si="4"/>
        <v>Icecream</v>
      </c>
      <c r="W795" s="14">
        <f t="shared" si="5"/>
        <v>5</v>
      </c>
      <c r="X795" s="14" t="str">
        <f t="shared" si="6"/>
        <v>Shine Thomas</v>
      </c>
      <c r="Y795" s="15">
        <f t="shared" si="7"/>
        <v>45081</v>
      </c>
      <c r="Z795" s="14" t="str">
        <f t="shared" si="8"/>
        <v>UPI</v>
      </c>
      <c r="AA795" s="14" t="str">
        <f t="shared" si="9"/>
        <v>Delivered</v>
      </c>
      <c r="AB795" s="14" t="str">
        <f t="shared" ref="AB795:AC795" si="1594">trim(Q795)</f>
        <v>Quality of Items</v>
      </c>
      <c r="AC795" s="14" t="str">
        <f t="shared" si="1594"/>
        <v>Perfect condition</v>
      </c>
      <c r="AD795" s="8"/>
    </row>
    <row r="796">
      <c r="A796" s="14" t="str">
        <f>IFERROR(__xludf.DUMMYFUNCTION("""COMPUTED_VALUE"""),"//ord_10787//Sanjay Nair//Dadar//Apple+2*Nithin Lal/5/25/2023//UPI//Delivered*On-time Delivery: Delivered on time")</f>
        <v>//ord_10787//Sanjay Nair//Dadar//Apple+2*Nithin Lal/5/25/2023//UPI//Delivered*On-time Delivery: Delivered on time</v>
      </c>
      <c r="B796" s="14" t="str">
        <f>IFERROR(__xludf.DUMMYFUNCTION("split(A796,""//"")"),"ord_10787")</f>
        <v>ord_10787</v>
      </c>
      <c r="C796" s="14" t="str">
        <f>IFERROR(__xludf.DUMMYFUNCTION("""COMPUTED_VALUE"""),"Sanjay Nair")</f>
        <v>Sanjay Nair</v>
      </c>
      <c r="D796" s="14" t="str">
        <f>IFERROR(__xludf.DUMMYFUNCTION("""COMPUTED_VALUE"""),"Dadar")</f>
        <v>Dadar</v>
      </c>
      <c r="E796" s="14" t="str">
        <f>IFERROR(__xludf.DUMMYFUNCTION("""COMPUTED_VALUE"""),"Apple+2*Nithin Lal")</f>
        <v>Apple+2*Nithin Lal</v>
      </c>
      <c r="F796" s="14">
        <f>IFERROR(__xludf.DUMMYFUNCTION("""COMPUTED_VALUE"""),5.0)</f>
        <v>5</v>
      </c>
      <c r="G796" s="14">
        <f>IFERROR(__xludf.DUMMYFUNCTION("""COMPUTED_VALUE"""),25.0)</f>
        <v>25</v>
      </c>
      <c r="H796" s="14">
        <f>IFERROR(__xludf.DUMMYFUNCTION("""COMPUTED_VALUE"""),2023.0)</f>
        <v>2023</v>
      </c>
      <c r="I796" s="14" t="str">
        <f>IFERROR(__xludf.DUMMYFUNCTION("""COMPUTED_VALUE"""),"UPI")</f>
        <v>UPI</v>
      </c>
      <c r="J796" s="14" t="str">
        <f>IFERROR(__xludf.DUMMYFUNCTION("""COMPUTED_VALUE"""),"Delivered*On-time Delivery: Delivered on time")</f>
        <v>Delivered*On-time Delivery: Delivered on time</v>
      </c>
      <c r="K796" s="14" t="str">
        <f>IFERROR(__xludf.DUMMYFUNCTION("split(E796,""+"")"),"Apple")</f>
        <v>Apple</v>
      </c>
      <c r="L796" s="14" t="str">
        <f>IFERROR(__xludf.DUMMYFUNCTION("""COMPUTED_VALUE"""),"2*Nithin Lal")</f>
        <v>2*Nithin Lal</v>
      </c>
      <c r="M796" s="14">
        <f>IFERROR(__xludf.DUMMYFUNCTION("SPLIT(L796,""*"")"),2.0)</f>
        <v>2</v>
      </c>
      <c r="N796" s="14" t="str">
        <f>IFERROR(__xludf.DUMMYFUNCTION("""COMPUTED_VALUE"""),"Nithin Lal")</f>
        <v>Nithin Lal</v>
      </c>
      <c r="O796" s="14" t="str">
        <f>IFERROR(__xludf.DUMMYFUNCTION("split(J796,""*"")"),"Delivered")</f>
        <v>Delivered</v>
      </c>
      <c r="P796" s="14" t="str">
        <f>IFERROR(__xludf.DUMMYFUNCTION("""COMPUTED_VALUE"""),"On-time Delivery: Delivered on time")</f>
        <v>On-time Delivery: Delivered on time</v>
      </c>
      <c r="Q796" s="14" t="str">
        <f>IFERROR(__xludf.DUMMYFUNCTION("split(P796,"":"")"),"On-time Delivery")</f>
        <v>On-time Delivery</v>
      </c>
      <c r="R796" s="14" t="str">
        <f>IFERROR(__xludf.DUMMYFUNCTION("""COMPUTED_VALUE""")," Delivered on time")</f>
        <v> Delivered on time</v>
      </c>
      <c r="S796" s="14" t="str">
        <f t="shared" ref="S796:U796" si="1595">trim(B796)</f>
        <v>ord_10787</v>
      </c>
      <c r="T796" s="14" t="str">
        <f t="shared" si="1595"/>
        <v>Sanjay Nair</v>
      </c>
      <c r="U796" s="14" t="str">
        <f t="shared" si="1595"/>
        <v>Dadar</v>
      </c>
      <c r="V796" s="14" t="str">
        <f t="shared" si="4"/>
        <v>Apple</v>
      </c>
      <c r="W796" s="14">
        <f t="shared" si="5"/>
        <v>2</v>
      </c>
      <c r="X796" s="14" t="str">
        <f t="shared" si="6"/>
        <v>Nithin Lal</v>
      </c>
      <c r="Y796" s="15">
        <f t="shared" si="7"/>
        <v>45071</v>
      </c>
      <c r="Z796" s="14" t="str">
        <f t="shared" si="8"/>
        <v>UPI</v>
      </c>
      <c r="AA796" s="14" t="str">
        <f t="shared" si="9"/>
        <v>Delivered</v>
      </c>
      <c r="AB796" s="14" t="str">
        <f t="shared" ref="AB796:AC796" si="1596">trim(Q796)</f>
        <v>On-time Delivery</v>
      </c>
      <c r="AC796" s="14" t="str">
        <f t="shared" si="1596"/>
        <v>Delivered on time</v>
      </c>
      <c r="AD796" s="8"/>
    </row>
    <row r="797">
      <c r="A797" s="14" t="str">
        <f>IFERROR(__xludf.DUMMYFUNCTION("""COMPUTED_VALUE"""),"//ord_10788//Pallavi Ghosh//Bandra//Chicken Puff+4*Manju Ajay/9/28/2023//Credit Card//Delivered*Quality of Items: Perfect condition")</f>
        <v>//ord_10788//Pallavi Ghosh//Bandra//Chicken Puff+4*Manju Ajay/9/28/2023//Credit Card//Delivered*Quality of Items: Perfect condition</v>
      </c>
      <c r="B797" s="14" t="str">
        <f>IFERROR(__xludf.DUMMYFUNCTION("split(A797,""//"")"),"ord_10788")</f>
        <v>ord_10788</v>
      </c>
      <c r="C797" s="14" t="str">
        <f>IFERROR(__xludf.DUMMYFUNCTION("""COMPUTED_VALUE"""),"Pallavi Ghosh")</f>
        <v>Pallavi Ghosh</v>
      </c>
      <c r="D797" s="14" t="str">
        <f>IFERROR(__xludf.DUMMYFUNCTION("""COMPUTED_VALUE"""),"Bandra")</f>
        <v>Bandra</v>
      </c>
      <c r="E797" s="14" t="str">
        <f>IFERROR(__xludf.DUMMYFUNCTION("""COMPUTED_VALUE"""),"Chicken Puff+4*Manju Ajay")</f>
        <v>Chicken Puff+4*Manju Ajay</v>
      </c>
      <c r="F797" s="14">
        <f>IFERROR(__xludf.DUMMYFUNCTION("""COMPUTED_VALUE"""),9.0)</f>
        <v>9</v>
      </c>
      <c r="G797" s="14">
        <f>IFERROR(__xludf.DUMMYFUNCTION("""COMPUTED_VALUE"""),28.0)</f>
        <v>28</v>
      </c>
      <c r="H797" s="14">
        <f>IFERROR(__xludf.DUMMYFUNCTION("""COMPUTED_VALUE"""),2023.0)</f>
        <v>2023</v>
      </c>
      <c r="I797" s="14" t="str">
        <f>IFERROR(__xludf.DUMMYFUNCTION("""COMPUTED_VALUE"""),"Credit Card")</f>
        <v>Credit Card</v>
      </c>
      <c r="J797" s="14" t="str">
        <f>IFERROR(__xludf.DUMMYFUNCTION("""COMPUTED_VALUE"""),"Delivered*Quality of Items: Perfect condition")</f>
        <v>Delivered*Quality of Items: Perfect condition</v>
      </c>
      <c r="K797" s="14" t="str">
        <f>IFERROR(__xludf.DUMMYFUNCTION("split(E797,""+"")"),"Chicken Puff")</f>
        <v>Chicken Puff</v>
      </c>
      <c r="L797" s="14" t="str">
        <f>IFERROR(__xludf.DUMMYFUNCTION("""COMPUTED_VALUE"""),"4*Manju Ajay")</f>
        <v>4*Manju Ajay</v>
      </c>
      <c r="M797" s="14">
        <f>IFERROR(__xludf.DUMMYFUNCTION("SPLIT(L797,""*"")"),4.0)</f>
        <v>4</v>
      </c>
      <c r="N797" s="14" t="str">
        <f>IFERROR(__xludf.DUMMYFUNCTION("""COMPUTED_VALUE"""),"Manju Ajay")</f>
        <v>Manju Ajay</v>
      </c>
      <c r="O797" s="14" t="str">
        <f>IFERROR(__xludf.DUMMYFUNCTION("split(J797,""*"")"),"Delivered")</f>
        <v>Delivered</v>
      </c>
      <c r="P797" s="14" t="str">
        <f>IFERROR(__xludf.DUMMYFUNCTION("""COMPUTED_VALUE"""),"Quality of Items: Perfect condition")</f>
        <v>Quality of Items: Perfect condition</v>
      </c>
      <c r="Q797" s="14" t="str">
        <f>IFERROR(__xludf.DUMMYFUNCTION("split(P797,"":"")"),"Quality of Items")</f>
        <v>Quality of Items</v>
      </c>
      <c r="R797" s="14" t="str">
        <f>IFERROR(__xludf.DUMMYFUNCTION("""COMPUTED_VALUE""")," Perfect condition")</f>
        <v> Perfect condition</v>
      </c>
      <c r="S797" s="14" t="str">
        <f t="shared" ref="S797:U797" si="1597">trim(B797)</f>
        <v>ord_10788</v>
      </c>
      <c r="T797" s="14" t="str">
        <f t="shared" si="1597"/>
        <v>Pallavi Ghosh</v>
      </c>
      <c r="U797" s="14" t="str">
        <f t="shared" si="1597"/>
        <v>Bandra</v>
      </c>
      <c r="V797" s="14" t="str">
        <f t="shared" si="4"/>
        <v>Chicken Puff</v>
      </c>
      <c r="W797" s="14">
        <f t="shared" si="5"/>
        <v>4</v>
      </c>
      <c r="X797" s="14" t="str">
        <f t="shared" si="6"/>
        <v>Manju Ajay</v>
      </c>
      <c r="Y797" s="15">
        <f t="shared" si="7"/>
        <v>45197</v>
      </c>
      <c r="Z797" s="14" t="str">
        <f t="shared" si="8"/>
        <v>Credit Card</v>
      </c>
      <c r="AA797" s="14" t="str">
        <f t="shared" si="9"/>
        <v>Delivered</v>
      </c>
      <c r="AB797" s="14" t="str">
        <f t="shared" ref="AB797:AC797" si="1598">trim(Q797)</f>
        <v>Quality of Items</v>
      </c>
      <c r="AC797" s="14" t="str">
        <f t="shared" si="1598"/>
        <v>Perfect condition</v>
      </c>
      <c r="AD797" s="8"/>
    </row>
    <row r="798">
      <c r="A798" s="14" t="str">
        <f>IFERROR(__xludf.DUMMYFUNCTION("""COMPUTED_VALUE"""),"//ord_10789//Mehul Thakkar//Malad//Tomato+1*Not Assigned/6/17/2023//UPI//Cancelled*App Glitches: Payment Button Malfunction")</f>
        <v>//ord_10789//Mehul Thakkar//Malad//Tomato+1*Not Assigned/6/17/2023//UPI//Cancelled*App Glitches: Payment Button Malfunction</v>
      </c>
      <c r="B798" s="14" t="str">
        <f>IFERROR(__xludf.DUMMYFUNCTION("split(A798,""//"")"),"ord_10789")</f>
        <v>ord_10789</v>
      </c>
      <c r="C798" s="14" t="str">
        <f>IFERROR(__xludf.DUMMYFUNCTION("""COMPUTED_VALUE"""),"Mehul Thakkar")</f>
        <v>Mehul Thakkar</v>
      </c>
      <c r="D798" s="14" t="str">
        <f>IFERROR(__xludf.DUMMYFUNCTION("""COMPUTED_VALUE"""),"Malad")</f>
        <v>Malad</v>
      </c>
      <c r="E798" s="14" t="str">
        <f>IFERROR(__xludf.DUMMYFUNCTION("""COMPUTED_VALUE"""),"Tomato+1*Not Assigned")</f>
        <v>Tomato+1*Not Assigned</v>
      </c>
      <c r="F798" s="14">
        <f>IFERROR(__xludf.DUMMYFUNCTION("""COMPUTED_VALUE"""),6.0)</f>
        <v>6</v>
      </c>
      <c r="G798" s="14">
        <f>IFERROR(__xludf.DUMMYFUNCTION("""COMPUTED_VALUE"""),17.0)</f>
        <v>17</v>
      </c>
      <c r="H798" s="14">
        <f>IFERROR(__xludf.DUMMYFUNCTION("""COMPUTED_VALUE"""),2023.0)</f>
        <v>2023</v>
      </c>
      <c r="I798" s="14" t="str">
        <f>IFERROR(__xludf.DUMMYFUNCTION("""COMPUTED_VALUE"""),"UPI")</f>
        <v>UPI</v>
      </c>
      <c r="J798" s="14" t="str">
        <f>IFERROR(__xludf.DUMMYFUNCTION("""COMPUTED_VALUE"""),"Cancelled*App Glitches: Payment Button Malfunction")</f>
        <v>Cancelled*App Glitches: Payment Button Malfunction</v>
      </c>
      <c r="K798" s="14" t="str">
        <f>IFERROR(__xludf.DUMMYFUNCTION("split(E798,""+"")"),"Tomato")</f>
        <v>Tomato</v>
      </c>
      <c r="L798" s="14" t="str">
        <f>IFERROR(__xludf.DUMMYFUNCTION("""COMPUTED_VALUE"""),"1*Not Assigned")</f>
        <v>1*Not Assigned</v>
      </c>
      <c r="M798" s="14">
        <f>IFERROR(__xludf.DUMMYFUNCTION("SPLIT(L798,""*"")"),1.0)</f>
        <v>1</v>
      </c>
      <c r="N798" s="14" t="str">
        <f>IFERROR(__xludf.DUMMYFUNCTION("""COMPUTED_VALUE"""),"Not Assigned")</f>
        <v>Not Assigned</v>
      </c>
      <c r="O798" s="14" t="str">
        <f>IFERROR(__xludf.DUMMYFUNCTION("split(J798,""*"")"),"Cancelled")</f>
        <v>Cancelled</v>
      </c>
      <c r="P798" s="14" t="str">
        <f>IFERROR(__xludf.DUMMYFUNCTION("""COMPUTED_VALUE"""),"App Glitches: Payment Button Malfunction")</f>
        <v>App Glitches: Payment Button Malfunction</v>
      </c>
      <c r="Q798" s="14" t="str">
        <f>IFERROR(__xludf.DUMMYFUNCTION("split(P798,"":"")"),"App Glitches")</f>
        <v>App Glitches</v>
      </c>
      <c r="R798" s="14" t="str">
        <f>IFERROR(__xludf.DUMMYFUNCTION("""COMPUTED_VALUE""")," Payment Button Malfunction")</f>
        <v> Payment Button Malfunction</v>
      </c>
      <c r="S798" s="14" t="str">
        <f t="shared" ref="S798:U798" si="1599">trim(B798)</f>
        <v>ord_10789</v>
      </c>
      <c r="T798" s="14" t="str">
        <f t="shared" si="1599"/>
        <v>Mehul Thakkar</v>
      </c>
      <c r="U798" s="14" t="str">
        <f t="shared" si="1599"/>
        <v>Malad</v>
      </c>
      <c r="V798" s="14" t="str">
        <f t="shared" si="4"/>
        <v>Tomato</v>
      </c>
      <c r="W798" s="14">
        <f t="shared" si="5"/>
        <v>1</v>
      </c>
      <c r="X798" s="14" t="str">
        <f t="shared" si="6"/>
        <v>Not Assigned</v>
      </c>
      <c r="Y798" s="15">
        <f t="shared" si="7"/>
        <v>45094</v>
      </c>
      <c r="Z798" s="14" t="str">
        <f t="shared" si="8"/>
        <v>UPI</v>
      </c>
      <c r="AA798" s="14" t="str">
        <f t="shared" si="9"/>
        <v>Cancelled</v>
      </c>
      <c r="AB798" s="14" t="str">
        <f t="shared" ref="AB798:AC798" si="1600">trim(Q798)</f>
        <v>App Glitches</v>
      </c>
      <c r="AC798" s="14" t="str">
        <f t="shared" si="1600"/>
        <v>Payment Button Malfunction</v>
      </c>
      <c r="AD798" s="8"/>
    </row>
    <row r="799">
      <c r="A799" s="14" t="str">
        <f>IFERROR(__xludf.DUMMYFUNCTION("""COMPUTED_VALUE"""),"//ord_10790//Sanjay Nair//Dadar//Veg Puff+5*Shine Thomas/6/18/2023//UPI//Delivered*Packaging: Secure and intact")</f>
        <v>//ord_10790//Sanjay Nair//Dadar//Veg Puff+5*Shine Thomas/6/18/2023//UPI//Delivered*Packaging: Secure and intact</v>
      </c>
      <c r="B799" s="14" t="str">
        <f>IFERROR(__xludf.DUMMYFUNCTION("split(A799,""//"")"),"ord_10790")</f>
        <v>ord_10790</v>
      </c>
      <c r="C799" s="14" t="str">
        <f>IFERROR(__xludf.DUMMYFUNCTION("""COMPUTED_VALUE"""),"Sanjay Nair")</f>
        <v>Sanjay Nair</v>
      </c>
      <c r="D799" s="14" t="str">
        <f>IFERROR(__xludf.DUMMYFUNCTION("""COMPUTED_VALUE"""),"Dadar")</f>
        <v>Dadar</v>
      </c>
      <c r="E799" s="14" t="str">
        <f>IFERROR(__xludf.DUMMYFUNCTION("""COMPUTED_VALUE"""),"Veg Puff+5*Shine Thomas")</f>
        <v>Veg Puff+5*Shine Thomas</v>
      </c>
      <c r="F799" s="14">
        <f>IFERROR(__xludf.DUMMYFUNCTION("""COMPUTED_VALUE"""),6.0)</f>
        <v>6</v>
      </c>
      <c r="G799" s="14">
        <f>IFERROR(__xludf.DUMMYFUNCTION("""COMPUTED_VALUE"""),18.0)</f>
        <v>18</v>
      </c>
      <c r="H799" s="14">
        <f>IFERROR(__xludf.DUMMYFUNCTION("""COMPUTED_VALUE"""),2023.0)</f>
        <v>2023</v>
      </c>
      <c r="I799" s="14" t="str">
        <f>IFERROR(__xludf.DUMMYFUNCTION("""COMPUTED_VALUE"""),"UPI")</f>
        <v>UPI</v>
      </c>
      <c r="J799" s="14" t="str">
        <f>IFERROR(__xludf.DUMMYFUNCTION("""COMPUTED_VALUE"""),"Delivered*Packaging: Secure and intact")</f>
        <v>Delivered*Packaging: Secure and intact</v>
      </c>
      <c r="K799" s="14" t="str">
        <f>IFERROR(__xludf.DUMMYFUNCTION("split(E799,""+"")"),"Veg Puff")</f>
        <v>Veg Puff</v>
      </c>
      <c r="L799" s="14" t="str">
        <f>IFERROR(__xludf.DUMMYFUNCTION("""COMPUTED_VALUE"""),"5*Shine Thomas")</f>
        <v>5*Shine Thomas</v>
      </c>
      <c r="M799" s="14">
        <f>IFERROR(__xludf.DUMMYFUNCTION("SPLIT(L799,""*"")"),5.0)</f>
        <v>5</v>
      </c>
      <c r="N799" s="14" t="str">
        <f>IFERROR(__xludf.DUMMYFUNCTION("""COMPUTED_VALUE"""),"Shine Thomas")</f>
        <v>Shine Thomas</v>
      </c>
      <c r="O799" s="14" t="str">
        <f>IFERROR(__xludf.DUMMYFUNCTION("split(J799,""*"")"),"Delivered")</f>
        <v>Delivered</v>
      </c>
      <c r="P799" s="14" t="str">
        <f>IFERROR(__xludf.DUMMYFUNCTION("""COMPUTED_VALUE"""),"Packaging: Secure and intact")</f>
        <v>Packaging: Secure and intact</v>
      </c>
      <c r="Q799" s="14" t="str">
        <f>IFERROR(__xludf.DUMMYFUNCTION("split(P799,"":"")"),"Packaging")</f>
        <v>Packaging</v>
      </c>
      <c r="R799" s="14" t="str">
        <f>IFERROR(__xludf.DUMMYFUNCTION("""COMPUTED_VALUE""")," Secure and intact")</f>
        <v> Secure and intact</v>
      </c>
      <c r="S799" s="14" t="str">
        <f t="shared" ref="S799:U799" si="1601">trim(B799)</f>
        <v>ord_10790</v>
      </c>
      <c r="T799" s="14" t="str">
        <f t="shared" si="1601"/>
        <v>Sanjay Nair</v>
      </c>
      <c r="U799" s="14" t="str">
        <f t="shared" si="1601"/>
        <v>Dadar</v>
      </c>
      <c r="V799" s="14" t="str">
        <f t="shared" si="4"/>
        <v>Veg Puff</v>
      </c>
      <c r="W799" s="14">
        <f t="shared" si="5"/>
        <v>5</v>
      </c>
      <c r="X799" s="14" t="str">
        <f t="shared" si="6"/>
        <v>Shine Thomas</v>
      </c>
      <c r="Y799" s="15">
        <f t="shared" si="7"/>
        <v>45095</v>
      </c>
      <c r="Z799" s="14" t="str">
        <f t="shared" si="8"/>
        <v>UPI</v>
      </c>
      <c r="AA799" s="14" t="str">
        <f t="shared" si="9"/>
        <v>Delivered</v>
      </c>
      <c r="AB799" s="14" t="str">
        <f t="shared" ref="AB799:AC799" si="1602">trim(Q799)</f>
        <v>Packaging</v>
      </c>
      <c r="AC799" s="14" t="str">
        <f t="shared" si="1602"/>
        <v>Secure and intact</v>
      </c>
      <c r="AD799" s="8"/>
    </row>
    <row r="800">
      <c r="A800" s="14" t="str">
        <f>IFERROR(__xludf.DUMMYFUNCTION("""COMPUTED_VALUE"""),"//ord_10791//Aarav Mehta//Andheri//Icecream+2*Manju Ajay/7/26/2023//Credit Card//Delivered*Satisfied with the Delivery: Timely and quality")</f>
        <v>//ord_10791//Aarav Mehta//Andheri//Icecream+2*Manju Ajay/7/26/2023//Credit Card//Delivered*Satisfied with the Delivery: Timely and quality</v>
      </c>
      <c r="B800" s="14" t="str">
        <f>IFERROR(__xludf.DUMMYFUNCTION("split(A800,""//"")"),"ord_10791")</f>
        <v>ord_10791</v>
      </c>
      <c r="C800" s="14" t="str">
        <f>IFERROR(__xludf.DUMMYFUNCTION("""COMPUTED_VALUE"""),"Aarav Mehta")</f>
        <v>Aarav Mehta</v>
      </c>
      <c r="D800" s="14" t="str">
        <f>IFERROR(__xludf.DUMMYFUNCTION("""COMPUTED_VALUE"""),"Andheri")</f>
        <v>Andheri</v>
      </c>
      <c r="E800" s="14" t="str">
        <f>IFERROR(__xludf.DUMMYFUNCTION("""COMPUTED_VALUE"""),"Icecream+2*Manju Ajay")</f>
        <v>Icecream+2*Manju Ajay</v>
      </c>
      <c r="F800" s="14">
        <f>IFERROR(__xludf.DUMMYFUNCTION("""COMPUTED_VALUE"""),7.0)</f>
        <v>7</v>
      </c>
      <c r="G800" s="14">
        <f>IFERROR(__xludf.DUMMYFUNCTION("""COMPUTED_VALUE"""),26.0)</f>
        <v>26</v>
      </c>
      <c r="H800" s="14">
        <f>IFERROR(__xludf.DUMMYFUNCTION("""COMPUTED_VALUE"""),2023.0)</f>
        <v>2023</v>
      </c>
      <c r="I800" s="14" t="str">
        <f>IFERROR(__xludf.DUMMYFUNCTION("""COMPUTED_VALUE"""),"Credit Card")</f>
        <v>Credit Card</v>
      </c>
      <c r="J800" s="14" t="str">
        <f>IFERROR(__xludf.DUMMYFUNCTION("""COMPUTED_VALUE"""),"Delivered*Satisfied with the Delivery: Timely and quality")</f>
        <v>Delivered*Satisfied with the Delivery: Timely and quality</v>
      </c>
      <c r="K800" s="14" t="str">
        <f>IFERROR(__xludf.DUMMYFUNCTION("split(E800,""+"")"),"Icecream")</f>
        <v>Icecream</v>
      </c>
      <c r="L800" s="14" t="str">
        <f>IFERROR(__xludf.DUMMYFUNCTION("""COMPUTED_VALUE"""),"2*Manju Ajay")</f>
        <v>2*Manju Ajay</v>
      </c>
      <c r="M800" s="14">
        <f>IFERROR(__xludf.DUMMYFUNCTION("SPLIT(L800,""*"")"),2.0)</f>
        <v>2</v>
      </c>
      <c r="N800" s="14" t="str">
        <f>IFERROR(__xludf.DUMMYFUNCTION("""COMPUTED_VALUE"""),"Manju Ajay")</f>
        <v>Manju Ajay</v>
      </c>
      <c r="O800" s="14" t="str">
        <f>IFERROR(__xludf.DUMMYFUNCTION("split(J800,""*"")"),"Delivered")</f>
        <v>Delivered</v>
      </c>
      <c r="P800" s="14" t="str">
        <f>IFERROR(__xludf.DUMMYFUNCTION("""COMPUTED_VALUE"""),"Satisfied with the Delivery: Timely and quality")</f>
        <v>Satisfied with the Delivery: Timely and quality</v>
      </c>
      <c r="Q800" s="14" t="str">
        <f>IFERROR(__xludf.DUMMYFUNCTION("split(P800,"":"")"),"Satisfied with the Delivery")</f>
        <v>Satisfied with the Delivery</v>
      </c>
      <c r="R800" s="14" t="str">
        <f>IFERROR(__xludf.DUMMYFUNCTION("""COMPUTED_VALUE""")," Timely and quality")</f>
        <v> Timely and quality</v>
      </c>
      <c r="S800" s="14" t="str">
        <f t="shared" ref="S800:U800" si="1603">trim(B800)</f>
        <v>ord_10791</v>
      </c>
      <c r="T800" s="14" t="str">
        <f t="shared" si="1603"/>
        <v>Aarav Mehta</v>
      </c>
      <c r="U800" s="14" t="str">
        <f t="shared" si="1603"/>
        <v>Andheri</v>
      </c>
      <c r="V800" s="14" t="str">
        <f t="shared" si="4"/>
        <v>Icecream</v>
      </c>
      <c r="W800" s="14">
        <f t="shared" si="5"/>
        <v>2</v>
      </c>
      <c r="X800" s="14" t="str">
        <f t="shared" si="6"/>
        <v>Manju Ajay</v>
      </c>
      <c r="Y800" s="15">
        <f t="shared" si="7"/>
        <v>45133</v>
      </c>
      <c r="Z800" s="14" t="str">
        <f t="shared" si="8"/>
        <v>Credit Card</v>
      </c>
      <c r="AA800" s="14" t="str">
        <f t="shared" si="9"/>
        <v>Delivered</v>
      </c>
      <c r="AB800" s="14" t="str">
        <f t="shared" ref="AB800:AC800" si="1604">trim(Q800)</f>
        <v>Satisfied with the Delivery</v>
      </c>
      <c r="AC800" s="14" t="str">
        <f t="shared" si="1604"/>
        <v>Timely and quality</v>
      </c>
      <c r="AD800" s="8"/>
    </row>
    <row r="801">
      <c r="A801" s="14" t="str">
        <f>IFERROR(__xludf.DUMMYFUNCTION("""COMPUTED_VALUE"""),"//ord_10792//Pranav Joshi//Andheri//Banana+2*Rohan Yadav/8/2/2023//UPI//Delivered*Customer Service: Seamless and easy")</f>
        <v>//ord_10792//Pranav Joshi//Andheri//Banana+2*Rohan Yadav/8/2/2023//UPI//Delivered*Customer Service: Seamless and easy</v>
      </c>
      <c r="B801" s="14" t="str">
        <f>IFERROR(__xludf.DUMMYFUNCTION("split(A801,""//"")"),"ord_10792")</f>
        <v>ord_10792</v>
      </c>
      <c r="C801" s="14" t="str">
        <f>IFERROR(__xludf.DUMMYFUNCTION("""COMPUTED_VALUE"""),"Pranav Joshi")</f>
        <v>Pranav Joshi</v>
      </c>
      <c r="D801" s="14" t="str">
        <f>IFERROR(__xludf.DUMMYFUNCTION("""COMPUTED_VALUE"""),"Andheri")</f>
        <v>Andheri</v>
      </c>
      <c r="E801" s="14" t="str">
        <f>IFERROR(__xludf.DUMMYFUNCTION("""COMPUTED_VALUE"""),"Banana+2*Rohan Yadav")</f>
        <v>Banana+2*Rohan Yadav</v>
      </c>
      <c r="F801" s="14">
        <f>IFERROR(__xludf.DUMMYFUNCTION("""COMPUTED_VALUE"""),8.0)</f>
        <v>8</v>
      </c>
      <c r="G801" s="14">
        <f>IFERROR(__xludf.DUMMYFUNCTION("""COMPUTED_VALUE"""),2.0)</f>
        <v>2</v>
      </c>
      <c r="H801" s="14">
        <f>IFERROR(__xludf.DUMMYFUNCTION("""COMPUTED_VALUE"""),2023.0)</f>
        <v>2023</v>
      </c>
      <c r="I801" s="14" t="str">
        <f>IFERROR(__xludf.DUMMYFUNCTION("""COMPUTED_VALUE"""),"UPI")</f>
        <v>UPI</v>
      </c>
      <c r="J801" s="14" t="str">
        <f>IFERROR(__xludf.DUMMYFUNCTION("""COMPUTED_VALUE"""),"Delivered*Customer Service: Seamless and easy")</f>
        <v>Delivered*Customer Service: Seamless and easy</v>
      </c>
      <c r="K801" s="14" t="str">
        <f>IFERROR(__xludf.DUMMYFUNCTION("split(E801,""+"")"),"Banana")</f>
        <v>Banana</v>
      </c>
      <c r="L801" s="14" t="str">
        <f>IFERROR(__xludf.DUMMYFUNCTION("""COMPUTED_VALUE"""),"2*Rohan Yadav")</f>
        <v>2*Rohan Yadav</v>
      </c>
      <c r="M801" s="14">
        <f>IFERROR(__xludf.DUMMYFUNCTION("SPLIT(L801,""*"")"),2.0)</f>
        <v>2</v>
      </c>
      <c r="N801" s="14" t="str">
        <f>IFERROR(__xludf.DUMMYFUNCTION("""COMPUTED_VALUE"""),"Rohan Yadav")</f>
        <v>Rohan Yadav</v>
      </c>
      <c r="O801" s="14" t="str">
        <f>IFERROR(__xludf.DUMMYFUNCTION("split(J801,""*"")"),"Delivered")</f>
        <v>Delivered</v>
      </c>
      <c r="P801" s="14" t="str">
        <f>IFERROR(__xludf.DUMMYFUNCTION("""COMPUTED_VALUE"""),"Customer Service: Seamless and easy")</f>
        <v>Customer Service: Seamless and easy</v>
      </c>
      <c r="Q801" s="14" t="str">
        <f>IFERROR(__xludf.DUMMYFUNCTION("split(P801,"":"")"),"Customer Service")</f>
        <v>Customer Service</v>
      </c>
      <c r="R801" s="14" t="str">
        <f>IFERROR(__xludf.DUMMYFUNCTION("""COMPUTED_VALUE""")," Seamless and easy")</f>
        <v> Seamless and easy</v>
      </c>
      <c r="S801" s="14" t="str">
        <f t="shared" ref="S801:U801" si="1605">trim(B801)</f>
        <v>ord_10792</v>
      </c>
      <c r="T801" s="14" t="str">
        <f t="shared" si="1605"/>
        <v>Pranav Joshi</v>
      </c>
      <c r="U801" s="14" t="str">
        <f t="shared" si="1605"/>
        <v>Andheri</v>
      </c>
      <c r="V801" s="14" t="str">
        <f t="shared" si="4"/>
        <v>Banana</v>
      </c>
      <c r="W801" s="14">
        <f t="shared" si="5"/>
        <v>2</v>
      </c>
      <c r="X801" s="14" t="str">
        <f t="shared" si="6"/>
        <v>Rohan Yadav</v>
      </c>
      <c r="Y801" s="15">
        <f t="shared" si="7"/>
        <v>45140</v>
      </c>
      <c r="Z801" s="14" t="str">
        <f t="shared" si="8"/>
        <v>UPI</v>
      </c>
      <c r="AA801" s="14" t="str">
        <f t="shared" si="9"/>
        <v>Delivered</v>
      </c>
      <c r="AB801" s="14" t="str">
        <f t="shared" ref="AB801:AC801" si="1606">trim(Q801)</f>
        <v>Customer Service</v>
      </c>
      <c r="AC801" s="14" t="str">
        <f t="shared" si="1606"/>
        <v>Seamless and easy</v>
      </c>
      <c r="AD801" s="8"/>
    </row>
    <row r="802">
      <c r="A802" s="14" t="str">
        <f>IFERROR(__xludf.DUMMYFUNCTION("""COMPUTED_VALUE"""),"//ord_10793//Sanjay Nair//Dadar//Guava+2*Aman Kumar/2/9/2023//Credit Card//Delivered*Delivery Experience: Quick and professional")</f>
        <v>//ord_10793//Sanjay Nair//Dadar//Guava+2*Aman Kumar/2/9/2023//Credit Card//Delivered*Delivery Experience: Quick and professional</v>
      </c>
      <c r="B802" s="14" t="str">
        <f>IFERROR(__xludf.DUMMYFUNCTION("split(A802,""//"")"),"ord_10793")</f>
        <v>ord_10793</v>
      </c>
      <c r="C802" s="14" t="str">
        <f>IFERROR(__xludf.DUMMYFUNCTION("""COMPUTED_VALUE"""),"Sanjay Nair")</f>
        <v>Sanjay Nair</v>
      </c>
      <c r="D802" s="14" t="str">
        <f>IFERROR(__xludf.DUMMYFUNCTION("""COMPUTED_VALUE"""),"Dadar")</f>
        <v>Dadar</v>
      </c>
      <c r="E802" s="14" t="str">
        <f>IFERROR(__xludf.DUMMYFUNCTION("""COMPUTED_VALUE"""),"Guava+2*Aman Kumar")</f>
        <v>Guava+2*Aman Kumar</v>
      </c>
      <c r="F802" s="14">
        <f>IFERROR(__xludf.DUMMYFUNCTION("""COMPUTED_VALUE"""),2.0)</f>
        <v>2</v>
      </c>
      <c r="G802" s="14">
        <f>IFERROR(__xludf.DUMMYFUNCTION("""COMPUTED_VALUE"""),9.0)</f>
        <v>9</v>
      </c>
      <c r="H802" s="14">
        <f>IFERROR(__xludf.DUMMYFUNCTION("""COMPUTED_VALUE"""),2023.0)</f>
        <v>2023</v>
      </c>
      <c r="I802" s="14" t="str">
        <f>IFERROR(__xludf.DUMMYFUNCTION("""COMPUTED_VALUE"""),"Credit Card")</f>
        <v>Credit Card</v>
      </c>
      <c r="J802" s="14" t="str">
        <f>IFERROR(__xludf.DUMMYFUNCTION("""COMPUTED_VALUE"""),"Delivered*Delivery Experience: Quick and professional")</f>
        <v>Delivered*Delivery Experience: Quick and professional</v>
      </c>
      <c r="K802" s="14" t="str">
        <f>IFERROR(__xludf.DUMMYFUNCTION("split(E802,""+"")"),"Guava")</f>
        <v>Guava</v>
      </c>
      <c r="L802" s="14" t="str">
        <f>IFERROR(__xludf.DUMMYFUNCTION("""COMPUTED_VALUE"""),"2*Aman Kumar")</f>
        <v>2*Aman Kumar</v>
      </c>
      <c r="M802" s="14">
        <f>IFERROR(__xludf.DUMMYFUNCTION("SPLIT(L802,""*"")"),2.0)</f>
        <v>2</v>
      </c>
      <c r="N802" s="14" t="str">
        <f>IFERROR(__xludf.DUMMYFUNCTION("""COMPUTED_VALUE"""),"Aman Kumar")</f>
        <v>Aman Kumar</v>
      </c>
      <c r="O802" s="14" t="str">
        <f>IFERROR(__xludf.DUMMYFUNCTION("split(J802,""*"")"),"Delivered")</f>
        <v>Delivered</v>
      </c>
      <c r="P802" s="14" t="str">
        <f>IFERROR(__xludf.DUMMYFUNCTION("""COMPUTED_VALUE"""),"Delivery Experience: Quick and professional")</f>
        <v>Delivery Experience: Quick and professional</v>
      </c>
      <c r="Q802" s="14" t="str">
        <f>IFERROR(__xludf.DUMMYFUNCTION("split(P802,"":"")"),"Delivery Experience")</f>
        <v>Delivery Experience</v>
      </c>
      <c r="R802" s="14" t="str">
        <f>IFERROR(__xludf.DUMMYFUNCTION("""COMPUTED_VALUE""")," Quick and professional")</f>
        <v> Quick and professional</v>
      </c>
      <c r="S802" s="14" t="str">
        <f t="shared" ref="S802:U802" si="1607">trim(B802)</f>
        <v>ord_10793</v>
      </c>
      <c r="T802" s="14" t="str">
        <f t="shared" si="1607"/>
        <v>Sanjay Nair</v>
      </c>
      <c r="U802" s="14" t="str">
        <f t="shared" si="1607"/>
        <v>Dadar</v>
      </c>
      <c r="V802" s="14" t="str">
        <f t="shared" si="4"/>
        <v>Guava</v>
      </c>
      <c r="W802" s="14">
        <f t="shared" si="5"/>
        <v>2</v>
      </c>
      <c r="X802" s="14" t="str">
        <f t="shared" si="6"/>
        <v>Aman Kumar</v>
      </c>
      <c r="Y802" s="15">
        <f t="shared" si="7"/>
        <v>44966</v>
      </c>
      <c r="Z802" s="14" t="str">
        <f t="shared" si="8"/>
        <v>Credit Card</v>
      </c>
      <c r="AA802" s="14" t="str">
        <f t="shared" si="9"/>
        <v>Delivered</v>
      </c>
      <c r="AB802" s="14" t="str">
        <f t="shared" ref="AB802:AC802" si="1608">trim(Q802)</f>
        <v>Delivery Experience</v>
      </c>
      <c r="AC802" s="14" t="str">
        <f t="shared" si="1608"/>
        <v>Quick and professional</v>
      </c>
      <c r="AD802" s="8"/>
    </row>
    <row r="803">
      <c r="A803" s="14" t="str">
        <f>IFERROR(__xludf.DUMMYFUNCTION("""COMPUTED_VALUE"""),"//ord_10794//Pranav Joshi//Andheri//Veg Puff+4*Rohan Yadav/2/24/2023//UPI//Delivered*Convenience: Easy tracking")</f>
        <v>//ord_10794//Pranav Joshi//Andheri//Veg Puff+4*Rohan Yadav/2/24/2023//UPI//Delivered*Convenience: Easy tracking</v>
      </c>
      <c r="B803" s="14" t="str">
        <f>IFERROR(__xludf.DUMMYFUNCTION("split(A803,""//"")"),"ord_10794")</f>
        <v>ord_10794</v>
      </c>
      <c r="C803" s="14" t="str">
        <f>IFERROR(__xludf.DUMMYFUNCTION("""COMPUTED_VALUE"""),"Pranav Joshi")</f>
        <v>Pranav Joshi</v>
      </c>
      <c r="D803" s="14" t="str">
        <f>IFERROR(__xludf.DUMMYFUNCTION("""COMPUTED_VALUE"""),"Andheri")</f>
        <v>Andheri</v>
      </c>
      <c r="E803" s="14" t="str">
        <f>IFERROR(__xludf.DUMMYFUNCTION("""COMPUTED_VALUE"""),"Veg Puff+4*Rohan Yadav")</f>
        <v>Veg Puff+4*Rohan Yadav</v>
      </c>
      <c r="F803" s="14">
        <f>IFERROR(__xludf.DUMMYFUNCTION("""COMPUTED_VALUE"""),2.0)</f>
        <v>2</v>
      </c>
      <c r="G803" s="14">
        <f>IFERROR(__xludf.DUMMYFUNCTION("""COMPUTED_VALUE"""),24.0)</f>
        <v>24</v>
      </c>
      <c r="H803" s="14">
        <f>IFERROR(__xludf.DUMMYFUNCTION("""COMPUTED_VALUE"""),2023.0)</f>
        <v>2023</v>
      </c>
      <c r="I803" s="14" t="str">
        <f>IFERROR(__xludf.DUMMYFUNCTION("""COMPUTED_VALUE"""),"UPI")</f>
        <v>UPI</v>
      </c>
      <c r="J803" s="14" t="str">
        <f>IFERROR(__xludf.DUMMYFUNCTION("""COMPUTED_VALUE"""),"Delivered*Convenience: Easy tracking")</f>
        <v>Delivered*Convenience: Easy tracking</v>
      </c>
      <c r="K803" s="14" t="str">
        <f>IFERROR(__xludf.DUMMYFUNCTION("split(E803,""+"")"),"Veg Puff")</f>
        <v>Veg Puff</v>
      </c>
      <c r="L803" s="14" t="str">
        <f>IFERROR(__xludf.DUMMYFUNCTION("""COMPUTED_VALUE"""),"4*Rohan Yadav")</f>
        <v>4*Rohan Yadav</v>
      </c>
      <c r="M803" s="14">
        <f>IFERROR(__xludf.DUMMYFUNCTION("SPLIT(L803,""*"")"),4.0)</f>
        <v>4</v>
      </c>
      <c r="N803" s="14" t="str">
        <f>IFERROR(__xludf.DUMMYFUNCTION("""COMPUTED_VALUE"""),"Rohan Yadav")</f>
        <v>Rohan Yadav</v>
      </c>
      <c r="O803" s="14" t="str">
        <f>IFERROR(__xludf.DUMMYFUNCTION("split(J803,""*"")"),"Delivered")</f>
        <v>Delivered</v>
      </c>
      <c r="P803" s="14" t="str">
        <f>IFERROR(__xludf.DUMMYFUNCTION("""COMPUTED_VALUE"""),"Convenience: Easy tracking")</f>
        <v>Convenience: Easy tracking</v>
      </c>
      <c r="Q803" s="14" t="str">
        <f>IFERROR(__xludf.DUMMYFUNCTION("split(P803,"":"")"),"Convenience")</f>
        <v>Convenience</v>
      </c>
      <c r="R803" s="14" t="str">
        <f>IFERROR(__xludf.DUMMYFUNCTION("""COMPUTED_VALUE""")," Easy tracking")</f>
        <v> Easy tracking</v>
      </c>
      <c r="S803" s="14" t="str">
        <f t="shared" ref="S803:U803" si="1609">trim(B803)</f>
        <v>ord_10794</v>
      </c>
      <c r="T803" s="14" t="str">
        <f t="shared" si="1609"/>
        <v>Pranav Joshi</v>
      </c>
      <c r="U803" s="14" t="str">
        <f t="shared" si="1609"/>
        <v>Andheri</v>
      </c>
      <c r="V803" s="14" t="str">
        <f t="shared" si="4"/>
        <v>Veg Puff</v>
      </c>
      <c r="W803" s="14">
        <f t="shared" si="5"/>
        <v>4</v>
      </c>
      <c r="X803" s="14" t="str">
        <f t="shared" si="6"/>
        <v>Rohan Yadav</v>
      </c>
      <c r="Y803" s="15">
        <f t="shared" si="7"/>
        <v>44981</v>
      </c>
      <c r="Z803" s="14" t="str">
        <f t="shared" si="8"/>
        <v>UPI</v>
      </c>
      <c r="AA803" s="14" t="str">
        <f t="shared" si="9"/>
        <v>Delivered</v>
      </c>
      <c r="AB803" s="14" t="str">
        <f t="shared" ref="AB803:AC803" si="1610">trim(Q803)</f>
        <v>Convenience</v>
      </c>
      <c r="AC803" s="14" t="str">
        <f t="shared" si="1610"/>
        <v>Easy tracking</v>
      </c>
      <c r="AD803" s="8"/>
    </row>
    <row r="804">
      <c r="A804" s="14" t="str">
        <f>IFERROR(__xludf.DUMMYFUNCTION("""COMPUTED_VALUE"""),"//ord_10795//Ishita Banerjee//Juhu//Apple+2*Tanvi Jain/7/28/2023//UPI//Delivered*Overall Satisfaction: Great service will order again")</f>
        <v>//ord_10795//Ishita Banerjee//Juhu//Apple+2*Tanvi Jain/7/28/2023//UPI//Delivered*Overall Satisfaction: Great service will order again</v>
      </c>
      <c r="B804" s="14" t="str">
        <f>IFERROR(__xludf.DUMMYFUNCTION("split(A804,""//"")"),"ord_10795")</f>
        <v>ord_10795</v>
      </c>
      <c r="C804" s="14" t="str">
        <f>IFERROR(__xludf.DUMMYFUNCTION("""COMPUTED_VALUE"""),"Ishita Banerjee")</f>
        <v>Ishita Banerjee</v>
      </c>
      <c r="D804" s="14" t="str">
        <f>IFERROR(__xludf.DUMMYFUNCTION("""COMPUTED_VALUE"""),"Juhu")</f>
        <v>Juhu</v>
      </c>
      <c r="E804" s="14" t="str">
        <f>IFERROR(__xludf.DUMMYFUNCTION("""COMPUTED_VALUE"""),"Apple+2*Tanvi Jain")</f>
        <v>Apple+2*Tanvi Jain</v>
      </c>
      <c r="F804" s="14">
        <f>IFERROR(__xludf.DUMMYFUNCTION("""COMPUTED_VALUE"""),7.0)</f>
        <v>7</v>
      </c>
      <c r="G804" s="14">
        <f>IFERROR(__xludf.DUMMYFUNCTION("""COMPUTED_VALUE"""),28.0)</f>
        <v>28</v>
      </c>
      <c r="H804" s="14">
        <f>IFERROR(__xludf.DUMMYFUNCTION("""COMPUTED_VALUE"""),2023.0)</f>
        <v>2023</v>
      </c>
      <c r="I804" s="14" t="str">
        <f>IFERROR(__xludf.DUMMYFUNCTION("""COMPUTED_VALUE"""),"UPI")</f>
        <v>UPI</v>
      </c>
      <c r="J804" s="14" t="str">
        <f>IFERROR(__xludf.DUMMYFUNCTION("""COMPUTED_VALUE"""),"Delivered*Overall Satisfaction: Great service will order again")</f>
        <v>Delivered*Overall Satisfaction: Great service will order again</v>
      </c>
      <c r="K804" s="14" t="str">
        <f>IFERROR(__xludf.DUMMYFUNCTION("split(E804,""+"")"),"Apple")</f>
        <v>Apple</v>
      </c>
      <c r="L804" s="14" t="str">
        <f>IFERROR(__xludf.DUMMYFUNCTION("""COMPUTED_VALUE"""),"2*Tanvi Jain")</f>
        <v>2*Tanvi Jain</v>
      </c>
      <c r="M804" s="14">
        <f>IFERROR(__xludf.DUMMYFUNCTION("SPLIT(L804,""*"")"),2.0)</f>
        <v>2</v>
      </c>
      <c r="N804" s="14" t="str">
        <f>IFERROR(__xludf.DUMMYFUNCTION("""COMPUTED_VALUE"""),"Tanvi Jain")</f>
        <v>Tanvi Jain</v>
      </c>
      <c r="O804" s="14" t="str">
        <f>IFERROR(__xludf.DUMMYFUNCTION("split(J804,""*"")"),"Delivered")</f>
        <v>Delivered</v>
      </c>
      <c r="P804" s="14" t="str">
        <f>IFERROR(__xludf.DUMMYFUNCTION("""COMPUTED_VALUE"""),"Overall Satisfaction: Great service will order again")</f>
        <v>Overall Satisfaction: Great service will order again</v>
      </c>
      <c r="Q804" s="14" t="str">
        <f>IFERROR(__xludf.DUMMYFUNCTION("split(P804,"":"")"),"Overall Satisfaction")</f>
        <v>Overall Satisfaction</v>
      </c>
      <c r="R804" s="14" t="str">
        <f>IFERROR(__xludf.DUMMYFUNCTION("""COMPUTED_VALUE""")," Great service will order again")</f>
        <v> Great service will order again</v>
      </c>
      <c r="S804" s="14" t="str">
        <f t="shared" ref="S804:U804" si="1611">trim(B804)</f>
        <v>ord_10795</v>
      </c>
      <c r="T804" s="14" t="str">
        <f t="shared" si="1611"/>
        <v>Ishita Banerjee</v>
      </c>
      <c r="U804" s="14" t="str">
        <f t="shared" si="1611"/>
        <v>Juhu</v>
      </c>
      <c r="V804" s="14" t="str">
        <f t="shared" si="4"/>
        <v>Apple</v>
      </c>
      <c r="W804" s="14">
        <f t="shared" si="5"/>
        <v>2</v>
      </c>
      <c r="X804" s="14" t="str">
        <f t="shared" si="6"/>
        <v>Tanvi Jain</v>
      </c>
      <c r="Y804" s="15">
        <f t="shared" si="7"/>
        <v>45135</v>
      </c>
      <c r="Z804" s="14" t="str">
        <f t="shared" si="8"/>
        <v>UPI</v>
      </c>
      <c r="AA804" s="14" t="str">
        <f t="shared" si="9"/>
        <v>Delivered</v>
      </c>
      <c r="AB804" s="14" t="str">
        <f t="shared" ref="AB804:AC804" si="1612">trim(Q804)</f>
        <v>Overall Satisfaction</v>
      </c>
      <c r="AC804" s="14" t="str">
        <f t="shared" si="1612"/>
        <v>Great service will order again</v>
      </c>
      <c r="AD804" s="8"/>
    </row>
    <row r="805">
      <c r="A805" s="14" t="str">
        <f>IFERROR(__xludf.DUMMYFUNCTION("""COMPUTED_VALUE"""),"//ord_10796//Mehul Thakkar//Malad//Chocolate Mousse+1*Not Assigned/5/19/2023//Credit Card//Cancelled*Out of Stock")</f>
        <v>//ord_10796//Mehul Thakkar//Malad//Chocolate Mousse+1*Not Assigned/5/19/2023//Credit Card//Cancelled*Out of Stock</v>
      </c>
      <c r="B805" s="14" t="str">
        <f>IFERROR(__xludf.DUMMYFUNCTION("split(A805,""//"")"),"ord_10796")</f>
        <v>ord_10796</v>
      </c>
      <c r="C805" s="14" t="str">
        <f>IFERROR(__xludf.DUMMYFUNCTION("""COMPUTED_VALUE"""),"Mehul Thakkar")</f>
        <v>Mehul Thakkar</v>
      </c>
      <c r="D805" s="14" t="str">
        <f>IFERROR(__xludf.DUMMYFUNCTION("""COMPUTED_VALUE"""),"Malad")</f>
        <v>Malad</v>
      </c>
      <c r="E805" s="14" t="str">
        <f>IFERROR(__xludf.DUMMYFUNCTION("""COMPUTED_VALUE"""),"Chocolate Mousse+1*Not Assigned")</f>
        <v>Chocolate Mousse+1*Not Assigned</v>
      </c>
      <c r="F805" s="14">
        <f>IFERROR(__xludf.DUMMYFUNCTION("""COMPUTED_VALUE"""),5.0)</f>
        <v>5</v>
      </c>
      <c r="G805" s="14">
        <f>IFERROR(__xludf.DUMMYFUNCTION("""COMPUTED_VALUE"""),19.0)</f>
        <v>19</v>
      </c>
      <c r="H805" s="14">
        <f>IFERROR(__xludf.DUMMYFUNCTION("""COMPUTED_VALUE"""),2023.0)</f>
        <v>2023</v>
      </c>
      <c r="I805" s="14" t="str">
        <f>IFERROR(__xludf.DUMMYFUNCTION("""COMPUTED_VALUE"""),"Credit Card")</f>
        <v>Credit Card</v>
      </c>
      <c r="J805" s="14" t="str">
        <f>IFERROR(__xludf.DUMMYFUNCTION("""COMPUTED_VALUE"""),"Cancelled*Out of Stock")</f>
        <v>Cancelled*Out of Stock</v>
      </c>
      <c r="K805" s="14" t="str">
        <f>IFERROR(__xludf.DUMMYFUNCTION("split(E805,""+"")"),"Chocolate Mousse")</f>
        <v>Chocolate Mousse</v>
      </c>
      <c r="L805" s="14" t="str">
        <f>IFERROR(__xludf.DUMMYFUNCTION("""COMPUTED_VALUE"""),"1*Not Assigned")</f>
        <v>1*Not Assigned</v>
      </c>
      <c r="M805" s="14">
        <f>IFERROR(__xludf.DUMMYFUNCTION("SPLIT(L805,""*"")"),1.0)</f>
        <v>1</v>
      </c>
      <c r="N805" s="14" t="str">
        <f>IFERROR(__xludf.DUMMYFUNCTION("""COMPUTED_VALUE"""),"Not Assigned")</f>
        <v>Not Assigned</v>
      </c>
      <c r="O805" s="14" t="str">
        <f>IFERROR(__xludf.DUMMYFUNCTION("split(J805,""*"")"),"Cancelled")</f>
        <v>Cancelled</v>
      </c>
      <c r="P805" s="14" t="str">
        <f>IFERROR(__xludf.DUMMYFUNCTION("""COMPUTED_VALUE"""),"Out of Stock")</f>
        <v>Out of Stock</v>
      </c>
      <c r="Q805" s="14" t="str">
        <f>IFERROR(__xludf.DUMMYFUNCTION("split(P805,"":"")"),"Out of Stock")</f>
        <v>Out of Stock</v>
      </c>
      <c r="R805" s="14"/>
      <c r="S805" s="14" t="str">
        <f t="shared" ref="S805:U805" si="1613">trim(B805)</f>
        <v>ord_10796</v>
      </c>
      <c r="T805" s="14" t="str">
        <f t="shared" si="1613"/>
        <v>Mehul Thakkar</v>
      </c>
      <c r="U805" s="14" t="str">
        <f t="shared" si="1613"/>
        <v>Malad</v>
      </c>
      <c r="V805" s="14" t="str">
        <f t="shared" si="4"/>
        <v>Chocolate Mousse</v>
      </c>
      <c r="W805" s="14">
        <f t="shared" si="5"/>
        <v>1</v>
      </c>
      <c r="X805" s="14" t="str">
        <f t="shared" si="6"/>
        <v>Not Assigned</v>
      </c>
      <c r="Y805" s="15">
        <f t="shared" si="7"/>
        <v>45065</v>
      </c>
      <c r="Z805" s="14" t="str">
        <f t="shared" si="8"/>
        <v>Credit Card</v>
      </c>
      <c r="AA805" s="14" t="str">
        <f t="shared" si="9"/>
        <v>Cancelled</v>
      </c>
      <c r="AB805" s="14" t="str">
        <f t="shared" ref="AB805:AC805" si="1614">trim(Q805)</f>
        <v>Out of Stock</v>
      </c>
      <c r="AC805" s="14" t="str">
        <f t="shared" si="1614"/>
        <v/>
      </c>
      <c r="AD805" s="8"/>
    </row>
    <row r="806">
      <c r="A806" s="14" t="str">
        <f>IFERROR(__xludf.DUMMYFUNCTION("""COMPUTED_VALUE"""),"//ord_10797//Siya Reddy//Juhu//Popcorn+3*Shine Thomas/9/18/2023//Credit Card//Cancelled*Delayed Delivery:Bad Weather Conditions ")</f>
        <v>//ord_10797//Siya Reddy//Juhu//Popcorn+3*Shine Thomas/9/18/2023//Credit Card//Cancelled*Delayed Delivery:Bad Weather Conditions </v>
      </c>
      <c r="B806" s="14" t="str">
        <f>IFERROR(__xludf.DUMMYFUNCTION("split(A806,""//"")"),"ord_10797")</f>
        <v>ord_10797</v>
      </c>
      <c r="C806" s="14" t="str">
        <f>IFERROR(__xludf.DUMMYFUNCTION("""COMPUTED_VALUE"""),"Siya Reddy")</f>
        <v>Siya Reddy</v>
      </c>
      <c r="D806" s="14" t="str">
        <f>IFERROR(__xludf.DUMMYFUNCTION("""COMPUTED_VALUE"""),"Juhu")</f>
        <v>Juhu</v>
      </c>
      <c r="E806" s="14" t="str">
        <f>IFERROR(__xludf.DUMMYFUNCTION("""COMPUTED_VALUE"""),"Popcorn+3*Shine Thomas")</f>
        <v>Popcorn+3*Shine Thomas</v>
      </c>
      <c r="F806" s="14">
        <f>IFERROR(__xludf.DUMMYFUNCTION("""COMPUTED_VALUE"""),9.0)</f>
        <v>9</v>
      </c>
      <c r="G806" s="14">
        <f>IFERROR(__xludf.DUMMYFUNCTION("""COMPUTED_VALUE"""),18.0)</f>
        <v>18</v>
      </c>
      <c r="H806" s="14">
        <f>IFERROR(__xludf.DUMMYFUNCTION("""COMPUTED_VALUE"""),2023.0)</f>
        <v>2023</v>
      </c>
      <c r="I806" s="14" t="str">
        <f>IFERROR(__xludf.DUMMYFUNCTION("""COMPUTED_VALUE"""),"Credit Card")</f>
        <v>Credit Card</v>
      </c>
      <c r="J806" s="14" t="str">
        <f>IFERROR(__xludf.DUMMYFUNCTION("""COMPUTED_VALUE"""),"Cancelled*Delayed Delivery:Bad Weather Conditions ")</f>
        <v>Cancelled*Delayed Delivery:Bad Weather Conditions </v>
      </c>
      <c r="K806" s="14" t="str">
        <f>IFERROR(__xludf.DUMMYFUNCTION("split(E806,""+"")"),"Popcorn")</f>
        <v>Popcorn</v>
      </c>
      <c r="L806" s="14" t="str">
        <f>IFERROR(__xludf.DUMMYFUNCTION("""COMPUTED_VALUE"""),"3*Shine Thomas")</f>
        <v>3*Shine Thomas</v>
      </c>
      <c r="M806" s="14">
        <f>IFERROR(__xludf.DUMMYFUNCTION("SPLIT(L806,""*"")"),3.0)</f>
        <v>3</v>
      </c>
      <c r="N806" s="14" t="str">
        <f>IFERROR(__xludf.DUMMYFUNCTION("""COMPUTED_VALUE"""),"Shine Thomas")</f>
        <v>Shine Thomas</v>
      </c>
      <c r="O806" s="14" t="str">
        <f>IFERROR(__xludf.DUMMYFUNCTION("split(J806,""*"")"),"Cancelled")</f>
        <v>Cancelled</v>
      </c>
      <c r="P806" s="14" t="str">
        <f>IFERROR(__xludf.DUMMYFUNCTION("""COMPUTED_VALUE"""),"Delayed Delivery:Bad Weather Conditions ")</f>
        <v>Delayed Delivery:Bad Weather Conditions </v>
      </c>
      <c r="Q806" s="14" t="str">
        <f>IFERROR(__xludf.DUMMYFUNCTION("split(P806,"":"")"),"Delayed Delivery")</f>
        <v>Delayed Delivery</v>
      </c>
      <c r="R806" s="14" t="str">
        <f>IFERROR(__xludf.DUMMYFUNCTION("""COMPUTED_VALUE"""),"Bad Weather Conditions ")</f>
        <v>Bad Weather Conditions </v>
      </c>
      <c r="S806" s="14" t="str">
        <f t="shared" ref="S806:U806" si="1615">trim(B806)</f>
        <v>ord_10797</v>
      </c>
      <c r="T806" s="14" t="str">
        <f t="shared" si="1615"/>
        <v>Siya Reddy</v>
      </c>
      <c r="U806" s="14" t="str">
        <f t="shared" si="1615"/>
        <v>Juhu</v>
      </c>
      <c r="V806" s="14" t="str">
        <f t="shared" si="4"/>
        <v>Popcorn</v>
      </c>
      <c r="W806" s="14">
        <f t="shared" si="5"/>
        <v>3</v>
      </c>
      <c r="X806" s="14" t="str">
        <f t="shared" si="6"/>
        <v>Shine Thomas</v>
      </c>
      <c r="Y806" s="15">
        <f t="shared" si="7"/>
        <v>45187</v>
      </c>
      <c r="Z806" s="14" t="str">
        <f t="shared" si="8"/>
        <v>Credit Card</v>
      </c>
      <c r="AA806" s="14" t="str">
        <f t="shared" si="9"/>
        <v>Cancelled</v>
      </c>
      <c r="AB806" s="14" t="str">
        <f t="shared" ref="AB806:AC806" si="1616">trim(Q806)</f>
        <v>Delayed Delivery</v>
      </c>
      <c r="AC806" s="14" t="str">
        <f t="shared" si="1616"/>
        <v>Bad Weather Conditions</v>
      </c>
      <c r="AD806" s="8"/>
    </row>
    <row r="807">
      <c r="A807" s="14" t="str">
        <f>IFERROR(__xludf.DUMMYFUNCTION("""COMPUTED_VALUE"""),"//ord_10798//Anaya Rao//Colaba//Potato+2*Nikhil Deshmukh/12/10/2023//UPI//Delivered*On-time Delivery: Delivered on time")</f>
        <v>//ord_10798//Anaya Rao//Colaba//Potato+2*Nikhil Deshmukh/12/10/2023//UPI//Delivered*On-time Delivery: Delivered on time</v>
      </c>
      <c r="B807" s="14" t="str">
        <f>IFERROR(__xludf.DUMMYFUNCTION("split(A807,""//"")"),"ord_10798")</f>
        <v>ord_10798</v>
      </c>
      <c r="C807" s="14" t="str">
        <f>IFERROR(__xludf.DUMMYFUNCTION("""COMPUTED_VALUE"""),"Anaya Rao")</f>
        <v>Anaya Rao</v>
      </c>
      <c r="D807" s="14" t="str">
        <f>IFERROR(__xludf.DUMMYFUNCTION("""COMPUTED_VALUE"""),"Colaba")</f>
        <v>Colaba</v>
      </c>
      <c r="E807" s="14" t="str">
        <f>IFERROR(__xludf.DUMMYFUNCTION("""COMPUTED_VALUE"""),"Potato+2*Nikhil Deshmukh")</f>
        <v>Potato+2*Nikhil Deshmukh</v>
      </c>
      <c r="F807" s="14">
        <f>IFERROR(__xludf.DUMMYFUNCTION("""COMPUTED_VALUE"""),12.0)</f>
        <v>12</v>
      </c>
      <c r="G807" s="14">
        <f>IFERROR(__xludf.DUMMYFUNCTION("""COMPUTED_VALUE"""),10.0)</f>
        <v>10</v>
      </c>
      <c r="H807" s="14">
        <f>IFERROR(__xludf.DUMMYFUNCTION("""COMPUTED_VALUE"""),2023.0)</f>
        <v>2023</v>
      </c>
      <c r="I807" s="14" t="str">
        <f>IFERROR(__xludf.DUMMYFUNCTION("""COMPUTED_VALUE"""),"UPI")</f>
        <v>UPI</v>
      </c>
      <c r="J807" s="14" t="str">
        <f>IFERROR(__xludf.DUMMYFUNCTION("""COMPUTED_VALUE"""),"Delivered*On-time Delivery: Delivered on time")</f>
        <v>Delivered*On-time Delivery: Delivered on time</v>
      </c>
      <c r="K807" s="14" t="str">
        <f>IFERROR(__xludf.DUMMYFUNCTION("split(E807,""+"")"),"Potato")</f>
        <v>Potato</v>
      </c>
      <c r="L807" s="14" t="str">
        <f>IFERROR(__xludf.DUMMYFUNCTION("""COMPUTED_VALUE"""),"2*Nikhil Deshmukh")</f>
        <v>2*Nikhil Deshmukh</v>
      </c>
      <c r="M807" s="14">
        <f>IFERROR(__xludf.DUMMYFUNCTION("SPLIT(L807,""*"")"),2.0)</f>
        <v>2</v>
      </c>
      <c r="N807" s="14" t="str">
        <f>IFERROR(__xludf.DUMMYFUNCTION("""COMPUTED_VALUE"""),"Nikhil Deshmukh")</f>
        <v>Nikhil Deshmukh</v>
      </c>
      <c r="O807" s="14" t="str">
        <f>IFERROR(__xludf.DUMMYFUNCTION("split(J807,""*"")"),"Delivered")</f>
        <v>Delivered</v>
      </c>
      <c r="P807" s="14" t="str">
        <f>IFERROR(__xludf.DUMMYFUNCTION("""COMPUTED_VALUE"""),"On-time Delivery: Delivered on time")</f>
        <v>On-time Delivery: Delivered on time</v>
      </c>
      <c r="Q807" s="14" t="str">
        <f>IFERROR(__xludf.DUMMYFUNCTION("split(P807,"":"")"),"On-time Delivery")</f>
        <v>On-time Delivery</v>
      </c>
      <c r="R807" s="14" t="str">
        <f>IFERROR(__xludf.DUMMYFUNCTION("""COMPUTED_VALUE""")," Delivered on time")</f>
        <v> Delivered on time</v>
      </c>
      <c r="S807" s="14" t="str">
        <f t="shared" ref="S807:U807" si="1617">trim(B807)</f>
        <v>ord_10798</v>
      </c>
      <c r="T807" s="14" t="str">
        <f t="shared" si="1617"/>
        <v>Anaya Rao</v>
      </c>
      <c r="U807" s="14" t="str">
        <f t="shared" si="1617"/>
        <v>Colaba</v>
      </c>
      <c r="V807" s="14" t="str">
        <f t="shared" si="4"/>
        <v>Potato</v>
      </c>
      <c r="W807" s="14">
        <f t="shared" si="5"/>
        <v>2</v>
      </c>
      <c r="X807" s="14" t="str">
        <f t="shared" si="6"/>
        <v>Nikhil Deshmukh</v>
      </c>
      <c r="Y807" s="15">
        <f t="shared" si="7"/>
        <v>45270</v>
      </c>
      <c r="Z807" s="14" t="str">
        <f t="shared" si="8"/>
        <v>UPI</v>
      </c>
      <c r="AA807" s="14" t="str">
        <f t="shared" si="9"/>
        <v>Delivered</v>
      </c>
      <c r="AB807" s="14" t="str">
        <f t="shared" ref="AB807:AC807" si="1618">trim(Q807)</f>
        <v>On-time Delivery</v>
      </c>
      <c r="AC807" s="14" t="str">
        <f t="shared" si="1618"/>
        <v>Delivered on time</v>
      </c>
      <c r="AD807" s="8"/>
    </row>
    <row r="808">
      <c r="A808" s="14" t="str">
        <f>IFERROR(__xludf.DUMMYFUNCTION("""COMPUTED_VALUE"""),"//ord_10799//Aditi Iyer//Dadar//Sweet Corn+2*Aman Kumar/8/10/2023//Credit Card//Delivered*Quality of Items: Perfect condition")</f>
        <v>//ord_10799//Aditi Iyer//Dadar//Sweet Corn+2*Aman Kumar/8/10/2023//Credit Card//Delivered*Quality of Items: Perfect condition</v>
      </c>
      <c r="B808" s="14" t="str">
        <f>IFERROR(__xludf.DUMMYFUNCTION("split(A808,""//"")"),"ord_10799")</f>
        <v>ord_10799</v>
      </c>
      <c r="C808" s="14" t="str">
        <f>IFERROR(__xludf.DUMMYFUNCTION("""COMPUTED_VALUE"""),"Aditi Iyer")</f>
        <v>Aditi Iyer</v>
      </c>
      <c r="D808" s="14" t="str">
        <f>IFERROR(__xludf.DUMMYFUNCTION("""COMPUTED_VALUE"""),"Dadar")</f>
        <v>Dadar</v>
      </c>
      <c r="E808" s="14" t="str">
        <f>IFERROR(__xludf.DUMMYFUNCTION("""COMPUTED_VALUE"""),"Sweet Corn+2*Aman Kumar")</f>
        <v>Sweet Corn+2*Aman Kumar</v>
      </c>
      <c r="F808" s="14">
        <f>IFERROR(__xludf.DUMMYFUNCTION("""COMPUTED_VALUE"""),8.0)</f>
        <v>8</v>
      </c>
      <c r="G808" s="14">
        <f>IFERROR(__xludf.DUMMYFUNCTION("""COMPUTED_VALUE"""),10.0)</f>
        <v>10</v>
      </c>
      <c r="H808" s="14">
        <f>IFERROR(__xludf.DUMMYFUNCTION("""COMPUTED_VALUE"""),2023.0)</f>
        <v>2023</v>
      </c>
      <c r="I808" s="14" t="str">
        <f>IFERROR(__xludf.DUMMYFUNCTION("""COMPUTED_VALUE"""),"Credit Card")</f>
        <v>Credit Card</v>
      </c>
      <c r="J808" s="14" t="str">
        <f>IFERROR(__xludf.DUMMYFUNCTION("""COMPUTED_VALUE"""),"Delivered*Quality of Items: Perfect condition")</f>
        <v>Delivered*Quality of Items: Perfect condition</v>
      </c>
      <c r="K808" s="14" t="str">
        <f>IFERROR(__xludf.DUMMYFUNCTION("split(E808,""+"")"),"Sweet Corn")</f>
        <v>Sweet Corn</v>
      </c>
      <c r="L808" s="14" t="str">
        <f>IFERROR(__xludf.DUMMYFUNCTION("""COMPUTED_VALUE"""),"2*Aman Kumar")</f>
        <v>2*Aman Kumar</v>
      </c>
      <c r="M808" s="14">
        <f>IFERROR(__xludf.DUMMYFUNCTION("SPLIT(L808,""*"")"),2.0)</f>
        <v>2</v>
      </c>
      <c r="N808" s="14" t="str">
        <f>IFERROR(__xludf.DUMMYFUNCTION("""COMPUTED_VALUE"""),"Aman Kumar")</f>
        <v>Aman Kumar</v>
      </c>
      <c r="O808" s="14" t="str">
        <f>IFERROR(__xludf.DUMMYFUNCTION("split(J808,""*"")"),"Delivered")</f>
        <v>Delivered</v>
      </c>
      <c r="P808" s="14" t="str">
        <f>IFERROR(__xludf.DUMMYFUNCTION("""COMPUTED_VALUE"""),"Quality of Items: Perfect condition")</f>
        <v>Quality of Items: Perfect condition</v>
      </c>
      <c r="Q808" s="14" t="str">
        <f>IFERROR(__xludf.DUMMYFUNCTION("split(P808,"":"")"),"Quality of Items")</f>
        <v>Quality of Items</v>
      </c>
      <c r="R808" s="14" t="str">
        <f>IFERROR(__xludf.DUMMYFUNCTION("""COMPUTED_VALUE""")," Perfect condition")</f>
        <v> Perfect condition</v>
      </c>
      <c r="S808" s="14" t="str">
        <f t="shared" ref="S808:U808" si="1619">trim(B808)</f>
        <v>ord_10799</v>
      </c>
      <c r="T808" s="14" t="str">
        <f t="shared" si="1619"/>
        <v>Aditi Iyer</v>
      </c>
      <c r="U808" s="14" t="str">
        <f t="shared" si="1619"/>
        <v>Dadar</v>
      </c>
      <c r="V808" s="14" t="str">
        <f t="shared" si="4"/>
        <v>Sweet Corn</v>
      </c>
      <c r="W808" s="14">
        <f t="shared" si="5"/>
        <v>2</v>
      </c>
      <c r="X808" s="14" t="str">
        <f t="shared" si="6"/>
        <v>Aman Kumar</v>
      </c>
      <c r="Y808" s="15">
        <f t="shared" si="7"/>
        <v>45148</v>
      </c>
      <c r="Z808" s="14" t="str">
        <f t="shared" si="8"/>
        <v>Credit Card</v>
      </c>
      <c r="AA808" s="14" t="str">
        <f t="shared" si="9"/>
        <v>Delivered</v>
      </c>
      <c r="AB808" s="14" t="str">
        <f t="shared" ref="AB808:AC808" si="1620">trim(Q808)</f>
        <v>Quality of Items</v>
      </c>
      <c r="AC808" s="14" t="str">
        <f t="shared" si="1620"/>
        <v>Perfect condition</v>
      </c>
      <c r="AD808" s="8"/>
    </row>
    <row r="809">
      <c r="A809" s="14" t="str">
        <f>IFERROR(__xludf.DUMMYFUNCTION("""COMPUTED_VALUE"""),"//ord_10800//Omkar Mishra//Powai//Apple+1*Sandeep Kumar/7/30/2023//UPI//Delivered*On-time Delivery: Delivered on time")</f>
        <v>//ord_10800//Omkar Mishra//Powai//Apple+1*Sandeep Kumar/7/30/2023//UPI//Delivered*On-time Delivery: Delivered on time</v>
      </c>
      <c r="B809" s="14" t="str">
        <f>IFERROR(__xludf.DUMMYFUNCTION("split(A809,""//"")"),"ord_10800")</f>
        <v>ord_10800</v>
      </c>
      <c r="C809" s="14" t="str">
        <f>IFERROR(__xludf.DUMMYFUNCTION("""COMPUTED_VALUE"""),"Omkar Mishra")</f>
        <v>Omkar Mishra</v>
      </c>
      <c r="D809" s="14" t="str">
        <f>IFERROR(__xludf.DUMMYFUNCTION("""COMPUTED_VALUE"""),"Powai")</f>
        <v>Powai</v>
      </c>
      <c r="E809" s="14" t="str">
        <f>IFERROR(__xludf.DUMMYFUNCTION("""COMPUTED_VALUE"""),"Apple+1*Sandeep Kumar")</f>
        <v>Apple+1*Sandeep Kumar</v>
      </c>
      <c r="F809" s="14">
        <f>IFERROR(__xludf.DUMMYFUNCTION("""COMPUTED_VALUE"""),7.0)</f>
        <v>7</v>
      </c>
      <c r="G809" s="14">
        <f>IFERROR(__xludf.DUMMYFUNCTION("""COMPUTED_VALUE"""),30.0)</f>
        <v>30</v>
      </c>
      <c r="H809" s="14">
        <f>IFERROR(__xludf.DUMMYFUNCTION("""COMPUTED_VALUE"""),2023.0)</f>
        <v>2023</v>
      </c>
      <c r="I809" s="14" t="str">
        <f>IFERROR(__xludf.DUMMYFUNCTION("""COMPUTED_VALUE"""),"UPI")</f>
        <v>UPI</v>
      </c>
      <c r="J809" s="14" t="str">
        <f>IFERROR(__xludf.DUMMYFUNCTION("""COMPUTED_VALUE"""),"Delivered*On-time Delivery: Delivered on time")</f>
        <v>Delivered*On-time Delivery: Delivered on time</v>
      </c>
      <c r="K809" s="14" t="str">
        <f>IFERROR(__xludf.DUMMYFUNCTION("split(E809,""+"")"),"Apple")</f>
        <v>Apple</v>
      </c>
      <c r="L809" s="14" t="str">
        <f>IFERROR(__xludf.DUMMYFUNCTION("""COMPUTED_VALUE"""),"1*Sandeep Kumar")</f>
        <v>1*Sandeep Kumar</v>
      </c>
      <c r="M809" s="14">
        <f>IFERROR(__xludf.DUMMYFUNCTION("SPLIT(L809,""*"")"),1.0)</f>
        <v>1</v>
      </c>
      <c r="N809" s="14" t="str">
        <f>IFERROR(__xludf.DUMMYFUNCTION("""COMPUTED_VALUE"""),"Sandeep Kumar")</f>
        <v>Sandeep Kumar</v>
      </c>
      <c r="O809" s="14" t="str">
        <f>IFERROR(__xludf.DUMMYFUNCTION("split(J809,""*"")"),"Delivered")</f>
        <v>Delivered</v>
      </c>
      <c r="P809" s="14" t="str">
        <f>IFERROR(__xludf.DUMMYFUNCTION("""COMPUTED_VALUE"""),"On-time Delivery: Delivered on time")</f>
        <v>On-time Delivery: Delivered on time</v>
      </c>
      <c r="Q809" s="14" t="str">
        <f>IFERROR(__xludf.DUMMYFUNCTION("split(P809,"":"")"),"On-time Delivery")</f>
        <v>On-time Delivery</v>
      </c>
      <c r="R809" s="14" t="str">
        <f>IFERROR(__xludf.DUMMYFUNCTION("""COMPUTED_VALUE""")," Delivered on time")</f>
        <v> Delivered on time</v>
      </c>
      <c r="S809" s="14" t="str">
        <f t="shared" ref="S809:U809" si="1621">trim(B809)</f>
        <v>ord_10800</v>
      </c>
      <c r="T809" s="14" t="str">
        <f t="shared" si="1621"/>
        <v>Omkar Mishra</v>
      </c>
      <c r="U809" s="14" t="str">
        <f t="shared" si="1621"/>
        <v>Powai</v>
      </c>
      <c r="V809" s="14" t="str">
        <f t="shared" si="4"/>
        <v>Apple</v>
      </c>
      <c r="W809" s="14">
        <f t="shared" si="5"/>
        <v>1</v>
      </c>
      <c r="X809" s="14" t="str">
        <f t="shared" si="6"/>
        <v>Sandeep Kumar</v>
      </c>
      <c r="Y809" s="15">
        <f t="shared" si="7"/>
        <v>45137</v>
      </c>
      <c r="Z809" s="14" t="str">
        <f t="shared" si="8"/>
        <v>UPI</v>
      </c>
      <c r="AA809" s="14" t="str">
        <f t="shared" si="9"/>
        <v>Delivered</v>
      </c>
      <c r="AB809" s="14" t="str">
        <f t="shared" ref="AB809:AC809" si="1622">trim(Q809)</f>
        <v>On-time Delivery</v>
      </c>
      <c r="AC809" s="14" t="str">
        <f t="shared" si="1622"/>
        <v>Delivered on time</v>
      </c>
      <c r="AD809" s="8"/>
    </row>
    <row r="810">
      <c r="A810" s="14" t="str">
        <f>IFERROR(__xludf.DUMMYFUNCTION("""COMPUTED_VALUE"""),"//ord_10801//Aditya Basu//Juhu//Papaya+2*Tanvi Jain/6/14/2023//UPI//Delivered*Quality of Items: Perfect condition")</f>
        <v>//ord_10801//Aditya Basu//Juhu//Papaya+2*Tanvi Jain/6/14/2023//UPI//Delivered*Quality of Items: Perfect condition</v>
      </c>
      <c r="B810" s="14" t="str">
        <f>IFERROR(__xludf.DUMMYFUNCTION("split(A810,""//"")"),"ord_10801")</f>
        <v>ord_10801</v>
      </c>
      <c r="C810" s="14" t="str">
        <f>IFERROR(__xludf.DUMMYFUNCTION("""COMPUTED_VALUE"""),"Aditya Basu")</f>
        <v>Aditya Basu</v>
      </c>
      <c r="D810" s="14" t="str">
        <f>IFERROR(__xludf.DUMMYFUNCTION("""COMPUTED_VALUE"""),"Juhu")</f>
        <v>Juhu</v>
      </c>
      <c r="E810" s="14" t="str">
        <f>IFERROR(__xludf.DUMMYFUNCTION("""COMPUTED_VALUE"""),"Papaya+2*Tanvi Jain")</f>
        <v>Papaya+2*Tanvi Jain</v>
      </c>
      <c r="F810" s="14">
        <f>IFERROR(__xludf.DUMMYFUNCTION("""COMPUTED_VALUE"""),6.0)</f>
        <v>6</v>
      </c>
      <c r="G810" s="14">
        <f>IFERROR(__xludf.DUMMYFUNCTION("""COMPUTED_VALUE"""),14.0)</f>
        <v>14</v>
      </c>
      <c r="H810" s="14">
        <f>IFERROR(__xludf.DUMMYFUNCTION("""COMPUTED_VALUE"""),2023.0)</f>
        <v>2023</v>
      </c>
      <c r="I810" s="14" t="str">
        <f>IFERROR(__xludf.DUMMYFUNCTION("""COMPUTED_VALUE"""),"UPI")</f>
        <v>UPI</v>
      </c>
      <c r="J810" s="14" t="str">
        <f>IFERROR(__xludf.DUMMYFUNCTION("""COMPUTED_VALUE"""),"Delivered*Quality of Items: Perfect condition")</f>
        <v>Delivered*Quality of Items: Perfect condition</v>
      </c>
      <c r="K810" s="14" t="str">
        <f>IFERROR(__xludf.DUMMYFUNCTION("split(E810,""+"")"),"Papaya")</f>
        <v>Papaya</v>
      </c>
      <c r="L810" s="14" t="str">
        <f>IFERROR(__xludf.DUMMYFUNCTION("""COMPUTED_VALUE"""),"2*Tanvi Jain")</f>
        <v>2*Tanvi Jain</v>
      </c>
      <c r="M810" s="14">
        <f>IFERROR(__xludf.DUMMYFUNCTION("SPLIT(L810,""*"")"),2.0)</f>
        <v>2</v>
      </c>
      <c r="N810" s="14" t="str">
        <f>IFERROR(__xludf.DUMMYFUNCTION("""COMPUTED_VALUE"""),"Tanvi Jain")</f>
        <v>Tanvi Jain</v>
      </c>
      <c r="O810" s="14" t="str">
        <f>IFERROR(__xludf.DUMMYFUNCTION("split(J810,""*"")"),"Delivered")</f>
        <v>Delivered</v>
      </c>
      <c r="P810" s="14" t="str">
        <f>IFERROR(__xludf.DUMMYFUNCTION("""COMPUTED_VALUE"""),"Quality of Items: Perfect condition")</f>
        <v>Quality of Items: Perfect condition</v>
      </c>
      <c r="Q810" s="14" t="str">
        <f>IFERROR(__xludf.DUMMYFUNCTION("split(P810,"":"")"),"Quality of Items")</f>
        <v>Quality of Items</v>
      </c>
      <c r="R810" s="14" t="str">
        <f>IFERROR(__xludf.DUMMYFUNCTION("""COMPUTED_VALUE""")," Perfect condition")</f>
        <v> Perfect condition</v>
      </c>
      <c r="S810" s="14" t="str">
        <f t="shared" ref="S810:U810" si="1623">trim(B810)</f>
        <v>ord_10801</v>
      </c>
      <c r="T810" s="14" t="str">
        <f t="shared" si="1623"/>
        <v>Aditya Basu</v>
      </c>
      <c r="U810" s="14" t="str">
        <f t="shared" si="1623"/>
        <v>Juhu</v>
      </c>
      <c r="V810" s="14" t="str">
        <f t="shared" si="4"/>
        <v>Papaya</v>
      </c>
      <c r="W810" s="14">
        <f t="shared" si="5"/>
        <v>2</v>
      </c>
      <c r="X810" s="14" t="str">
        <f t="shared" si="6"/>
        <v>Tanvi Jain</v>
      </c>
      <c r="Y810" s="15">
        <f t="shared" si="7"/>
        <v>45091</v>
      </c>
      <c r="Z810" s="14" t="str">
        <f t="shared" si="8"/>
        <v>UPI</v>
      </c>
      <c r="AA810" s="14" t="str">
        <f t="shared" si="9"/>
        <v>Delivered</v>
      </c>
      <c r="AB810" s="14" t="str">
        <f t="shared" ref="AB810:AC810" si="1624">trim(Q810)</f>
        <v>Quality of Items</v>
      </c>
      <c r="AC810" s="14" t="str">
        <f t="shared" si="1624"/>
        <v>Perfect condition</v>
      </c>
      <c r="AD810" s="8"/>
    </row>
    <row r="811">
      <c r="A811" s="14" t="str">
        <f>IFERROR(__xludf.DUMMYFUNCTION("""COMPUTED_VALUE"""),"//ord_10802//Pranav Joshi//Andheri//Chocolate Mousse+3*Rohan Yadav/10/2/2023//UPI//Delivered*Packaging: Secure and intact")</f>
        <v>//ord_10802//Pranav Joshi//Andheri//Chocolate Mousse+3*Rohan Yadav/10/2/2023//UPI//Delivered*Packaging: Secure and intact</v>
      </c>
      <c r="B811" s="14" t="str">
        <f>IFERROR(__xludf.DUMMYFUNCTION("split(A811,""//"")"),"ord_10802")</f>
        <v>ord_10802</v>
      </c>
      <c r="C811" s="14" t="str">
        <f>IFERROR(__xludf.DUMMYFUNCTION("""COMPUTED_VALUE"""),"Pranav Joshi")</f>
        <v>Pranav Joshi</v>
      </c>
      <c r="D811" s="14" t="str">
        <f>IFERROR(__xludf.DUMMYFUNCTION("""COMPUTED_VALUE"""),"Andheri")</f>
        <v>Andheri</v>
      </c>
      <c r="E811" s="14" t="str">
        <f>IFERROR(__xludf.DUMMYFUNCTION("""COMPUTED_VALUE"""),"Chocolate Mousse+3*Rohan Yadav")</f>
        <v>Chocolate Mousse+3*Rohan Yadav</v>
      </c>
      <c r="F811" s="14">
        <f>IFERROR(__xludf.DUMMYFUNCTION("""COMPUTED_VALUE"""),10.0)</f>
        <v>10</v>
      </c>
      <c r="G811" s="14">
        <f>IFERROR(__xludf.DUMMYFUNCTION("""COMPUTED_VALUE"""),2.0)</f>
        <v>2</v>
      </c>
      <c r="H811" s="14">
        <f>IFERROR(__xludf.DUMMYFUNCTION("""COMPUTED_VALUE"""),2023.0)</f>
        <v>2023</v>
      </c>
      <c r="I811" s="14" t="str">
        <f>IFERROR(__xludf.DUMMYFUNCTION("""COMPUTED_VALUE"""),"UPI")</f>
        <v>UPI</v>
      </c>
      <c r="J811" s="14" t="str">
        <f>IFERROR(__xludf.DUMMYFUNCTION("""COMPUTED_VALUE"""),"Delivered*Packaging: Secure and intact")</f>
        <v>Delivered*Packaging: Secure and intact</v>
      </c>
      <c r="K811" s="14" t="str">
        <f>IFERROR(__xludf.DUMMYFUNCTION("split(E811,""+"")"),"Chocolate Mousse")</f>
        <v>Chocolate Mousse</v>
      </c>
      <c r="L811" s="14" t="str">
        <f>IFERROR(__xludf.DUMMYFUNCTION("""COMPUTED_VALUE"""),"3*Rohan Yadav")</f>
        <v>3*Rohan Yadav</v>
      </c>
      <c r="M811" s="14">
        <f>IFERROR(__xludf.DUMMYFUNCTION("SPLIT(L811,""*"")"),3.0)</f>
        <v>3</v>
      </c>
      <c r="N811" s="14" t="str">
        <f>IFERROR(__xludf.DUMMYFUNCTION("""COMPUTED_VALUE"""),"Rohan Yadav")</f>
        <v>Rohan Yadav</v>
      </c>
      <c r="O811" s="14" t="str">
        <f>IFERROR(__xludf.DUMMYFUNCTION("split(J811,""*"")"),"Delivered")</f>
        <v>Delivered</v>
      </c>
      <c r="P811" s="14" t="str">
        <f>IFERROR(__xludf.DUMMYFUNCTION("""COMPUTED_VALUE"""),"Packaging: Secure and intact")</f>
        <v>Packaging: Secure and intact</v>
      </c>
      <c r="Q811" s="14" t="str">
        <f>IFERROR(__xludf.DUMMYFUNCTION("split(P811,"":"")"),"Packaging")</f>
        <v>Packaging</v>
      </c>
      <c r="R811" s="14" t="str">
        <f>IFERROR(__xludf.DUMMYFUNCTION("""COMPUTED_VALUE""")," Secure and intact")</f>
        <v> Secure and intact</v>
      </c>
      <c r="S811" s="14" t="str">
        <f t="shared" ref="S811:U811" si="1625">trim(B811)</f>
        <v>ord_10802</v>
      </c>
      <c r="T811" s="14" t="str">
        <f t="shared" si="1625"/>
        <v>Pranav Joshi</v>
      </c>
      <c r="U811" s="14" t="str">
        <f t="shared" si="1625"/>
        <v>Andheri</v>
      </c>
      <c r="V811" s="14" t="str">
        <f t="shared" si="4"/>
        <v>Chocolate Mousse</v>
      </c>
      <c r="W811" s="14">
        <f t="shared" si="5"/>
        <v>3</v>
      </c>
      <c r="X811" s="14" t="str">
        <f t="shared" si="6"/>
        <v>Rohan Yadav</v>
      </c>
      <c r="Y811" s="15">
        <f t="shared" si="7"/>
        <v>45201</v>
      </c>
      <c r="Z811" s="14" t="str">
        <f t="shared" si="8"/>
        <v>UPI</v>
      </c>
      <c r="AA811" s="14" t="str">
        <f t="shared" si="9"/>
        <v>Delivered</v>
      </c>
      <c r="AB811" s="14" t="str">
        <f t="shared" ref="AB811:AC811" si="1626">trim(Q811)</f>
        <v>Packaging</v>
      </c>
      <c r="AC811" s="14" t="str">
        <f t="shared" si="1626"/>
        <v>Secure and intact</v>
      </c>
      <c r="AD811" s="8"/>
    </row>
    <row r="812">
      <c r="A812" s="14" t="str">
        <f>IFERROR(__xludf.DUMMYFUNCTION("""COMPUTED_VALUE"""),"//ord_10803//Tanishq Bansal//Powai//Icecream+4*Sandeep Kumar/2/14/2023//Credit Card//Delivered*Satisfied with the Delivery: Timely and quality")</f>
        <v>//ord_10803//Tanishq Bansal//Powai//Icecream+4*Sandeep Kumar/2/14/2023//Credit Card//Delivered*Satisfied with the Delivery: Timely and quality</v>
      </c>
      <c r="B812" s="14" t="str">
        <f>IFERROR(__xludf.DUMMYFUNCTION("split(A812,""//"")"),"ord_10803")</f>
        <v>ord_10803</v>
      </c>
      <c r="C812" s="14" t="str">
        <f>IFERROR(__xludf.DUMMYFUNCTION("""COMPUTED_VALUE"""),"Tanishq Bansal")</f>
        <v>Tanishq Bansal</v>
      </c>
      <c r="D812" s="14" t="str">
        <f>IFERROR(__xludf.DUMMYFUNCTION("""COMPUTED_VALUE"""),"Powai")</f>
        <v>Powai</v>
      </c>
      <c r="E812" s="14" t="str">
        <f>IFERROR(__xludf.DUMMYFUNCTION("""COMPUTED_VALUE"""),"Icecream+4*Sandeep Kumar")</f>
        <v>Icecream+4*Sandeep Kumar</v>
      </c>
      <c r="F812" s="14">
        <f>IFERROR(__xludf.DUMMYFUNCTION("""COMPUTED_VALUE"""),2.0)</f>
        <v>2</v>
      </c>
      <c r="G812" s="14">
        <f>IFERROR(__xludf.DUMMYFUNCTION("""COMPUTED_VALUE"""),14.0)</f>
        <v>14</v>
      </c>
      <c r="H812" s="14">
        <f>IFERROR(__xludf.DUMMYFUNCTION("""COMPUTED_VALUE"""),2023.0)</f>
        <v>2023</v>
      </c>
      <c r="I812" s="14" t="str">
        <f>IFERROR(__xludf.DUMMYFUNCTION("""COMPUTED_VALUE"""),"Credit Card")</f>
        <v>Credit Card</v>
      </c>
      <c r="J812" s="14" t="str">
        <f>IFERROR(__xludf.DUMMYFUNCTION("""COMPUTED_VALUE"""),"Delivered*Satisfied with the Delivery: Timely and quality")</f>
        <v>Delivered*Satisfied with the Delivery: Timely and quality</v>
      </c>
      <c r="K812" s="14" t="str">
        <f>IFERROR(__xludf.DUMMYFUNCTION("split(E812,""+"")"),"Icecream")</f>
        <v>Icecream</v>
      </c>
      <c r="L812" s="14" t="str">
        <f>IFERROR(__xludf.DUMMYFUNCTION("""COMPUTED_VALUE"""),"4*Sandeep Kumar")</f>
        <v>4*Sandeep Kumar</v>
      </c>
      <c r="M812" s="14">
        <f>IFERROR(__xludf.DUMMYFUNCTION("SPLIT(L812,""*"")"),4.0)</f>
        <v>4</v>
      </c>
      <c r="N812" s="14" t="str">
        <f>IFERROR(__xludf.DUMMYFUNCTION("""COMPUTED_VALUE"""),"Sandeep Kumar")</f>
        <v>Sandeep Kumar</v>
      </c>
      <c r="O812" s="14" t="str">
        <f>IFERROR(__xludf.DUMMYFUNCTION("split(J812,""*"")"),"Delivered")</f>
        <v>Delivered</v>
      </c>
      <c r="P812" s="14" t="str">
        <f>IFERROR(__xludf.DUMMYFUNCTION("""COMPUTED_VALUE"""),"Satisfied with the Delivery: Timely and quality")</f>
        <v>Satisfied with the Delivery: Timely and quality</v>
      </c>
      <c r="Q812" s="14" t="str">
        <f>IFERROR(__xludf.DUMMYFUNCTION("split(P812,"":"")"),"Satisfied with the Delivery")</f>
        <v>Satisfied with the Delivery</v>
      </c>
      <c r="R812" s="14" t="str">
        <f>IFERROR(__xludf.DUMMYFUNCTION("""COMPUTED_VALUE""")," Timely and quality")</f>
        <v> Timely and quality</v>
      </c>
      <c r="S812" s="14" t="str">
        <f t="shared" ref="S812:U812" si="1627">trim(B812)</f>
        <v>ord_10803</v>
      </c>
      <c r="T812" s="14" t="str">
        <f t="shared" si="1627"/>
        <v>Tanishq Bansal</v>
      </c>
      <c r="U812" s="14" t="str">
        <f t="shared" si="1627"/>
        <v>Powai</v>
      </c>
      <c r="V812" s="14" t="str">
        <f t="shared" si="4"/>
        <v>Icecream</v>
      </c>
      <c r="W812" s="14">
        <f t="shared" si="5"/>
        <v>4</v>
      </c>
      <c r="X812" s="14" t="str">
        <f t="shared" si="6"/>
        <v>Sandeep Kumar</v>
      </c>
      <c r="Y812" s="15">
        <f t="shared" si="7"/>
        <v>44971</v>
      </c>
      <c r="Z812" s="14" t="str">
        <f t="shared" si="8"/>
        <v>Credit Card</v>
      </c>
      <c r="AA812" s="14" t="str">
        <f t="shared" si="9"/>
        <v>Delivered</v>
      </c>
      <c r="AB812" s="14" t="str">
        <f t="shared" ref="AB812:AC812" si="1628">trim(Q812)</f>
        <v>Satisfied with the Delivery</v>
      </c>
      <c r="AC812" s="14" t="str">
        <f t="shared" si="1628"/>
        <v>Timely and quality</v>
      </c>
      <c r="AD812" s="8"/>
    </row>
    <row r="813">
      <c r="A813" s="14" t="str">
        <f>IFERROR(__xludf.DUMMYFUNCTION("""COMPUTED_VALUE"""),"//ord_10804//Arvind Kulkarni//Juhu//Icecream+2*Tanvi Jain/8/15/2023//Credit Card//Delivered*Customer Service: Seamless and easy")</f>
        <v>//ord_10804//Arvind Kulkarni//Juhu//Icecream+2*Tanvi Jain/8/15/2023//Credit Card//Delivered*Customer Service: Seamless and easy</v>
      </c>
      <c r="B813" s="14" t="str">
        <f>IFERROR(__xludf.DUMMYFUNCTION("split(A813,""//"")"),"ord_10804")</f>
        <v>ord_10804</v>
      </c>
      <c r="C813" s="14" t="str">
        <f>IFERROR(__xludf.DUMMYFUNCTION("""COMPUTED_VALUE"""),"Arvind Kulkarni")</f>
        <v>Arvind Kulkarni</v>
      </c>
      <c r="D813" s="14" t="str">
        <f>IFERROR(__xludf.DUMMYFUNCTION("""COMPUTED_VALUE"""),"Juhu")</f>
        <v>Juhu</v>
      </c>
      <c r="E813" s="14" t="str">
        <f>IFERROR(__xludf.DUMMYFUNCTION("""COMPUTED_VALUE"""),"Icecream+2*Tanvi Jain")</f>
        <v>Icecream+2*Tanvi Jain</v>
      </c>
      <c r="F813" s="14">
        <f>IFERROR(__xludf.DUMMYFUNCTION("""COMPUTED_VALUE"""),8.0)</f>
        <v>8</v>
      </c>
      <c r="G813" s="14">
        <f>IFERROR(__xludf.DUMMYFUNCTION("""COMPUTED_VALUE"""),15.0)</f>
        <v>15</v>
      </c>
      <c r="H813" s="14">
        <f>IFERROR(__xludf.DUMMYFUNCTION("""COMPUTED_VALUE"""),2023.0)</f>
        <v>2023</v>
      </c>
      <c r="I813" s="14" t="str">
        <f>IFERROR(__xludf.DUMMYFUNCTION("""COMPUTED_VALUE"""),"Credit Card")</f>
        <v>Credit Card</v>
      </c>
      <c r="J813" s="14" t="str">
        <f>IFERROR(__xludf.DUMMYFUNCTION("""COMPUTED_VALUE"""),"Delivered*Customer Service: Seamless and easy")</f>
        <v>Delivered*Customer Service: Seamless and easy</v>
      </c>
      <c r="K813" s="14" t="str">
        <f>IFERROR(__xludf.DUMMYFUNCTION("split(E813,""+"")"),"Icecream")</f>
        <v>Icecream</v>
      </c>
      <c r="L813" s="14" t="str">
        <f>IFERROR(__xludf.DUMMYFUNCTION("""COMPUTED_VALUE"""),"2*Tanvi Jain")</f>
        <v>2*Tanvi Jain</v>
      </c>
      <c r="M813" s="14">
        <f>IFERROR(__xludf.DUMMYFUNCTION("SPLIT(L813,""*"")"),2.0)</f>
        <v>2</v>
      </c>
      <c r="N813" s="14" t="str">
        <f>IFERROR(__xludf.DUMMYFUNCTION("""COMPUTED_VALUE"""),"Tanvi Jain")</f>
        <v>Tanvi Jain</v>
      </c>
      <c r="O813" s="14" t="str">
        <f>IFERROR(__xludf.DUMMYFUNCTION("split(J813,""*"")"),"Delivered")</f>
        <v>Delivered</v>
      </c>
      <c r="P813" s="14" t="str">
        <f>IFERROR(__xludf.DUMMYFUNCTION("""COMPUTED_VALUE"""),"Customer Service: Seamless and easy")</f>
        <v>Customer Service: Seamless and easy</v>
      </c>
      <c r="Q813" s="14" t="str">
        <f>IFERROR(__xludf.DUMMYFUNCTION("split(P813,"":"")"),"Customer Service")</f>
        <v>Customer Service</v>
      </c>
      <c r="R813" s="14" t="str">
        <f>IFERROR(__xludf.DUMMYFUNCTION("""COMPUTED_VALUE""")," Seamless and easy")</f>
        <v> Seamless and easy</v>
      </c>
      <c r="S813" s="14" t="str">
        <f t="shared" ref="S813:U813" si="1629">trim(B813)</f>
        <v>ord_10804</v>
      </c>
      <c r="T813" s="14" t="str">
        <f t="shared" si="1629"/>
        <v>Arvind Kulkarni</v>
      </c>
      <c r="U813" s="14" t="str">
        <f t="shared" si="1629"/>
        <v>Juhu</v>
      </c>
      <c r="V813" s="14" t="str">
        <f t="shared" si="4"/>
        <v>Icecream</v>
      </c>
      <c r="W813" s="14">
        <f t="shared" si="5"/>
        <v>2</v>
      </c>
      <c r="X813" s="14" t="str">
        <f t="shared" si="6"/>
        <v>Tanvi Jain</v>
      </c>
      <c r="Y813" s="15">
        <f t="shared" si="7"/>
        <v>45153</v>
      </c>
      <c r="Z813" s="14" t="str">
        <f t="shared" si="8"/>
        <v>Credit Card</v>
      </c>
      <c r="AA813" s="14" t="str">
        <f t="shared" si="9"/>
        <v>Delivered</v>
      </c>
      <c r="AB813" s="14" t="str">
        <f t="shared" ref="AB813:AC813" si="1630">trim(Q813)</f>
        <v>Customer Service</v>
      </c>
      <c r="AC813" s="14" t="str">
        <f t="shared" si="1630"/>
        <v>Seamless and easy</v>
      </c>
      <c r="AD813" s="8"/>
    </row>
    <row r="814">
      <c r="A814" s="14" t="str">
        <f>IFERROR(__xludf.DUMMYFUNCTION("""COMPUTED_VALUE"""),"//ord_10805//Siya Reddy//Juhu//Papaya+2*Tanvi Jain/12/22/2023//Credit Card//Delivered*Delivery Experience: Quick and professional")</f>
        <v>//ord_10805//Siya Reddy//Juhu//Papaya+2*Tanvi Jain/12/22/2023//Credit Card//Delivered*Delivery Experience: Quick and professional</v>
      </c>
      <c r="B814" s="14" t="str">
        <f>IFERROR(__xludf.DUMMYFUNCTION("split(A814,""//"")"),"ord_10805")</f>
        <v>ord_10805</v>
      </c>
      <c r="C814" s="14" t="str">
        <f>IFERROR(__xludf.DUMMYFUNCTION("""COMPUTED_VALUE"""),"Siya Reddy")</f>
        <v>Siya Reddy</v>
      </c>
      <c r="D814" s="14" t="str">
        <f>IFERROR(__xludf.DUMMYFUNCTION("""COMPUTED_VALUE"""),"Juhu")</f>
        <v>Juhu</v>
      </c>
      <c r="E814" s="14" t="str">
        <f>IFERROR(__xludf.DUMMYFUNCTION("""COMPUTED_VALUE"""),"Papaya+2*Tanvi Jain")</f>
        <v>Papaya+2*Tanvi Jain</v>
      </c>
      <c r="F814" s="14">
        <f>IFERROR(__xludf.DUMMYFUNCTION("""COMPUTED_VALUE"""),12.0)</f>
        <v>12</v>
      </c>
      <c r="G814" s="14">
        <f>IFERROR(__xludf.DUMMYFUNCTION("""COMPUTED_VALUE"""),22.0)</f>
        <v>22</v>
      </c>
      <c r="H814" s="14">
        <f>IFERROR(__xludf.DUMMYFUNCTION("""COMPUTED_VALUE"""),2023.0)</f>
        <v>2023</v>
      </c>
      <c r="I814" s="14" t="str">
        <f>IFERROR(__xludf.DUMMYFUNCTION("""COMPUTED_VALUE"""),"Credit Card")</f>
        <v>Credit Card</v>
      </c>
      <c r="J814" s="14" t="str">
        <f>IFERROR(__xludf.DUMMYFUNCTION("""COMPUTED_VALUE"""),"Delivered*Delivery Experience: Quick and professional")</f>
        <v>Delivered*Delivery Experience: Quick and professional</v>
      </c>
      <c r="K814" s="14" t="str">
        <f>IFERROR(__xludf.DUMMYFUNCTION("split(E814,""+"")"),"Papaya")</f>
        <v>Papaya</v>
      </c>
      <c r="L814" s="14" t="str">
        <f>IFERROR(__xludf.DUMMYFUNCTION("""COMPUTED_VALUE"""),"2*Tanvi Jain")</f>
        <v>2*Tanvi Jain</v>
      </c>
      <c r="M814" s="14">
        <f>IFERROR(__xludf.DUMMYFUNCTION("SPLIT(L814,""*"")"),2.0)</f>
        <v>2</v>
      </c>
      <c r="N814" s="14" t="str">
        <f>IFERROR(__xludf.DUMMYFUNCTION("""COMPUTED_VALUE"""),"Tanvi Jain")</f>
        <v>Tanvi Jain</v>
      </c>
      <c r="O814" s="14" t="str">
        <f>IFERROR(__xludf.DUMMYFUNCTION("split(J814,""*"")"),"Delivered")</f>
        <v>Delivered</v>
      </c>
      <c r="P814" s="14" t="str">
        <f>IFERROR(__xludf.DUMMYFUNCTION("""COMPUTED_VALUE"""),"Delivery Experience: Quick and professional")</f>
        <v>Delivery Experience: Quick and professional</v>
      </c>
      <c r="Q814" s="14" t="str">
        <f>IFERROR(__xludf.DUMMYFUNCTION("split(P814,"":"")"),"Delivery Experience")</f>
        <v>Delivery Experience</v>
      </c>
      <c r="R814" s="14" t="str">
        <f>IFERROR(__xludf.DUMMYFUNCTION("""COMPUTED_VALUE""")," Quick and professional")</f>
        <v> Quick and professional</v>
      </c>
      <c r="S814" s="14" t="str">
        <f t="shared" ref="S814:U814" si="1631">trim(B814)</f>
        <v>ord_10805</v>
      </c>
      <c r="T814" s="14" t="str">
        <f t="shared" si="1631"/>
        <v>Siya Reddy</v>
      </c>
      <c r="U814" s="14" t="str">
        <f t="shared" si="1631"/>
        <v>Juhu</v>
      </c>
      <c r="V814" s="14" t="str">
        <f t="shared" si="4"/>
        <v>Papaya</v>
      </c>
      <c r="W814" s="14">
        <f t="shared" si="5"/>
        <v>2</v>
      </c>
      <c r="X814" s="14" t="str">
        <f t="shared" si="6"/>
        <v>Tanvi Jain</v>
      </c>
      <c r="Y814" s="15">
        <f t="shared" si="7"/>
        <v>45282</v>
      </c>
      <c r="Z814" s="14" t="str">
        <f t="shared" si="8"/>
        <v>Credit Card</v>
      </c>
      <c r="AA814" s="14" t="str">
        <f t="shared" si="9"/>
        <v>Delivered</v>
      </c>
      <c r="AB814" s="14" t="str">
        <f t="shared" ref="AB814:AC814" si="1632">trim(Q814)</f>
        <v>Delivery Experience</v>
      </c>
      <c r="AC814" s="14" t="str">
        <f t="shared" si="1632"/>
        <v>Quick and professional</v>
      </c>
      <c r="AD814" s="8"/>
    </row>
    <row r="815">
      <c r="A815" s="14" t="str">
        <f>IFERROR(__xludf.DUMMYFUNCTION("""COMPUTED_VALUE"""),"//ord_10806//Dev Chauhan//Bandra//Chicken Puff+5*Priya Joshi/10/28/2023//Online Payment//Delivered*Convenience: Easy tracking")</f>
        <v>//ord_10806//Dev Chauhan//Bandra//Chicken Puff+5*Priya Joshi/10/28/2023//Online Payment//Delivered*Convenience: Easy tracking</v>
      </c>
      <c r="B815" s="14" t="str">
        <f>IFERROR(__xludf.DUMMYFUNCTION("split(A815,""//"")"),"ord_10806")</f>
        <v>ord_10806</v>
      </c>
      <c r="C815" s="14" t="str">
        <f>IFERROR(__xludf.DUMMYFUNCTION("""COMPUTED_VALUE"""),"Dev Chauhan")</f>
        <v>Dev Chauhan</v>
      </c>
      <c r="D815" s="14" t="str">
        <f>IFERROR(__xludf.DUMMYFUNCTION("""COMPUTED_VALUE"""),"Bandra")</f>
        <v>Bandra</v>
      </c>
      <c r="E815" s="14" t="str">
        <f>IFERROR(__xludf.DUMMYFUNCTION("""COMPUTED_VALUE"""),"Chicken Puff+5*Priya Joshi")</f>
        <v>Chicken Puff+5*Priya Joshi</v>
      </c>
      <c r="F815" s="14">
        <f>IFERROR(__xludf.DUMMYFUNCTION("""COMPUTED_VALUE"""),10.0)</f>
        <v>10</v>
      </c>
      <c r="G815" s="14">
        <f>IFERROR(__xludf.DUMMYFUNCTION("""COMPUTED_VALUE"""),28.0)</f>
        <v>28</v>
      </c>
      <c r="H815" s="14">
        <f>IFERROR(__xludf.DUMMYFUNCTION("""COMPUTED_VALUE"""),2023.0)</f>
        <v>2023</v>
      </c>
      <c r="I815" s="14" t="str">
        <f>IFERROR(__xludf.DUMMYFUNCTION("""COMPUTED_VALUE"""),"Online Payment")</f>
        <v>Online Payment</v>
      </c>
      <c r="J815" s="14" t="str">
        <f>IFERROR(__xludf.DUMMYFUNCTION("""COMPUTED_VALUE"""),"Delivered*Convenience: Easy tracking")</f>
        <v>Delivered*Convenience: Easy tracking</v>
      </c>
      <c r="K815" s="14" t="str">
        <f>IFERROR(__xludf.DUMMYFUNCTION("split(E815,""+"")"),"Chicken Puff")</f>
        <v>Chicken Puff</v>
      </c>
      <c r="L815" s="14" t="str">
        <f>IFERROR(__xludf.DUMMYFUNCTION("""COMPUTED_VALUE"""),"5*Priya Joshi")</f>
        <v>5*Priya Joshi</v>
      </c>
      <c r="M815" s="14">
        <f>IFERROR(__xludf.DUMMYFUNCTION("SPLIT(L815,""*"")"),5.0)</f>
        <v>5</v>
      </c>
      <c r="N815" s="14" t="str">
        <f>IFERROR(__xludf.DUMMYFUNCTION("""COMPUTED_VALUE"""),"Priya Joshi")</f>
        <v>Priya Joshi</v>
      </c>
      <c r="O815" s="14" t="str">
        <f>IFERROR(__xludf.DUMMYFUNCTION("split(J815,""*"")"),"Delivered")</f>
        <v>Delivered</v>
      </c>
      <c r="P815" s="14" t="str">
        <f>IFERROR(__xludf.DUMMYFUNCTION("""COMPUTED_VALUE"""),"Convenience: Easy tracking")</f>
        <v>Convenience: Easy tracking</v>
      </c>
      <c r="Q815" s="14" t="str">
        <f>IFERROR(__xludf.DUMMYFUNCTION("split(P815,"":"")"),"Convenience")</f>
        <v>Convenience</v>
      </c>
      <c r="R815" s="14" t="str">
        <f>IFERROR(__xludf.DUMMYFUNCTION("""COMPUTED_VALUE""")," Easy tracking")</f>
        <v> Easy tracking</v>
      </c>
      <c r="S815" s="14" t="str">
        <f t="shared" ref="S815:U815" si="1633">trim(B815)</f>
        <v>ord_10806</v>
      </c>
      <c r="T815" s="14" t="str">
        <f t="shared" si="1633"/>
        <v>Dev Chauhan</v>
      </c>
      <c r="U815" s="14" t="str">
        <f t="shared" si="1633"/>
        <v>Bandra</v>
      </c>
      <c r="V815" s="14" t="str">
        <f t="shared" si="4"/>
        <v>Chicken Puff</v>
      </c>
      <c r="W815" s="14">
        <f t="shared" si="5"/>
        <v>5</v>
      </c>
      <c r="X815" s="14" t="str">
        <f t="shared" si="6"/>
        <v>Priya Joshi</v>
      </c>
      <c r="Y815" s="15">
        <f t="shared" si="7"/>
        <v>45227</v>
      </c>
      <c r="Z815" s="14" t="str">
        <f t="shared" si="8"/>
        <v>Online Payment</v>
      </c>
      <c r="AA815" s="14" t="str">
        <f t="shared" si="9"/>
        <v>Delivered</v>
      </c>
      <c r="AB815" s="14" t="str">
        <f t="shared" ref="AB815:AC815" si="1634">trim(Q815)</f>
        <v>Convenience</v>
      </c>
      <c r="AC815" s="14" t="str">
        <f t="shared" si="1634"/>
        <v>Easy tracking</v>
      </c>
      <c r="AD815" s="8"/>
    </row>
    <row r="816">
      <c r="A816" s="14" t="str">
        <f>IFERROR(__xludf.DUMMYFUNCTION("""COMPUTED_VALUE"""),"//ord_10807//Pranav Joshi//Andheri//Chicken Puff+2*Rohan Yadav/5/27/2023//UPI//Delivered*Overall Satisfaction: Great service will order again")</f>
        <v>//ord_10807//Pranav Joshi//Andheri//Chicken Puff+2*Rohan Yadav/5/27/2023//UPI//Delivered*Overall Satisfaction: Great service will order again</v>
      </c>
      <c r="B816" s="14" t="str">
        <f>IFERROR(__xludf.DUMMYFUNCTION("split(A816,""//"")"),"ord_10807")</f>
        <v>ord_10807</v>
      </c>
      <c r="C816" s="14" t="str">
        <f>IFERROR(__xludf.DUMMYFUNCTION("""COMPUTED_VALUE"""),"Pranav Joshi")</f>
        <v>Pranav Joshi</v>
      </c>
      <c r="D816" s="14" t="str">
        <f>IFERROR(__xludf.DUMMYFUNCTION("""COMPUTED_VALUE"""),"Andheri")</f>
        <v>Andheri</v>
      </c>
      <c r="E816" s="14" t="str">
        <f>IFERROR(__xludf.DUMMYFUNCTION("""COMPUTED_VALUE"""),"Chicken Puff+2*Rohan Yadav")</f>
        <v>Chicken Puff+2*Rohan Yadav</v>
      </c>
      <c r="F816" s="14">
        <f>IFERROR(__xludf.DUMMYFUNCTION("""COMPUTED_VALUE"""),5.0)</f>
        <v>5</v>
      </c>
      <c r="G816" s="14">
        <f>IFERROR(__xludf.DUMMYFUNCTION("""COMPUTED_VALUE"""),27.0)</f>
        <v>27</v>
      </c>
      <c r="H816" s="14">
        <f>IFERROR(__xludf.DUMMYFUNCTION("""COMPUTED_VALUE"""),2023.0)</f>
        <v>2023</v>
      </c>
      <c r="I816" s="14" t="str">
        <f>IFERROR(__xludf.DUMMYFUNCTION("""COMPUTED_VALUE"""),"UPI")</f>
        <v>UPI</v>
      </c>
      <c r="J816" s="14" t="str">
        <f>IFERROR(__xludf.DUMMYFUNCTION("""COMPUTED_VALUE"""),"Delivered*Overall Satisfaction: Great service will order again")</f>
        <v>Delivered*Overall Satisfaction: Great service will order again</v>
      </c>
      <c r="K816" s="14" t="str">
        <f>IFERROR(__xludf.DUMMYFUNCTION("split(E816,""+"")"),"Chicken Puff")</f>
        <v>Chicken Puff</v>
      </c>
      <c r="L816" s="14" t="str">
        <f>IFERROR(__xludf.DUMMYFUNCTION("""COMPUTED_VALUE"""),"2*Rohan Yadav")</f>
        <v>2*Rohan Yadav</v>
      </c>
      <c r="M816" s="14">
        <f>IFERROR(__xludf.DUMMYFUNCTION("SPLIT(L816,""*"")"),2.0)</f>
        <v>2</v>
      </c>
      <c r="N816" s="14" t="str">
        <f>IFERROR(__xludf.DUMMYFUNCTION("""COMPUTED_VALUE"""),"Rohan Yadav")</f>
        <v>Rohan Yadav</v>
      </c>
      <c r="O816" s="14" t="str">
        <f>IFERROR(__xludf.DUMMYFUNCTION("split(J816,""*"")"),"Delivered")</f>
        <v>Delivered</v>
      </c>
      <c r="P816" s="14" t="str">
        <f>IFERROR(__xludf.DUMMYFUNCTION("""COMPUTED_VALUE"""),"Overall Satisfaction: Great service will order again")</f>
        <v>Overall Satisfaction: Great service will order again</v>
      </c>
      <c r="Q816" s="14" t="str">
        <f>IFERROR(__xludf.DUMMYFUNCTION("split(P816,"":"")"),"Overall Satisfaction")</f>
        <v>Overall Satisfaction</v>
      </c>
      <c r="R816" s="14" t="str">
        <f>IFERROR(__xludf.DUMMYFUNCTION("""COMPUTED_VALUE""")," Great service will order again")</f>
        <v> Great service will order again</v>
      </c>
      <c r="S816" s="14" t="str">
        <f t="shared" ref="S816:U816" si="1635">trim(B816)</f>
        <v>ord_10807</v>
      </c>
      <c r="T816" s="14" t="str">
        <f t="shared" si="1635"/>
        <v>Pranav Joshi</v>
      </c>
      <c r="U816" s="14" t="str">
        <f t="shared" si="1635"/>
        <v>Andheri</v>
      </c>
      <c r="V816" s="14" t="str">
        <f t="shared" si="4"/>
        <v>Chicken Puff</v>
      </c>
      <c r="W816" s="14">
        <f t="shared" si="5"/>
        <v>2</v>
      </c>
      <c r="X816" s="14" t="str">
        <f t="shared" si="6"/>
        <v>Rohan Yadav</v>
      </c>
      <c r="Y816" s="15">
        <f t="shared" si="7"/>
        <v>45073</v>
      </c>
      <c r="Z816" s="14" t="str">
        <f t="shared" si="8"/>
        <v>UPI</v>
      </c>
      <c r="AA816" s="14" t="str">
        <f t="shared" si="9"/>
        <v>Delivered</v>
      </c>
      <c r="AB816" s="14" t="str">
        <f t="shared" ref="AB816:AC816" si="1636">trim(Q816)</f>
        <v>Overall Satisfaction</v>
      </c>
      <c r="AC816" s="14" t="str">
        <f t="shared" si="1636"/>
        <v>Great service will order again</v>
      </c>
      <c r="AD816" s="8"/>
    </row>
    <row r="817">
      <c r="A817" s="14" t="str">
        <f>IFERROR(__xludf.DUMMYFUNCTION("""COMPUTED_VALUE"""),"//ord_10808//Siya Reddy//Juhu//Papaya+1*Not Assigned/8/5/2023//Credit Card//Cancelled*High Delivery Fees")</f>
        <v>//ord_10808//Siya Reddy//Juhu//Papaya+1*Not Assigned/8/5/2023//Credit Card//Cancelled*High Delivery Fees</v>
      </c>
      <c r="B817" s="14" t="str">
        <f>IFERROR(__xludf.DUMMYFUNCTION("split(A817,""//"")"),"ord_10808")</f>
        <v>ord_10808</v>
      </c>
      <c r="C817" s="14" t="str">
        <f>IFERROR(__xludf.DUMMYFUNCTION("""COMPUTED_VALUE"""),"Siya Reddy")</f>
        <v>Siya Reddy</v>
      </c>
      <c r="D817" s="14" t="str">
        <f>IFERROR(__xludf.DUMMYFUNCTION("""COMPUTED_VALUE"""),"Juhu")</f>
        <v>Juhu</v>
      </c>
      <c r="E817" s="14" t="str">
        <f>IFERROR(__xludf.DUMMYFUNCTION("""COMPUTED_VALUE"""),"Papaya+1*Not Assigned")</f>
        <v>Papaya+1*Not Assigned</v>
      </c>
      <c r="F817" s="14">
        <f>IFERROR(__xludf.DUMMYFUNCTION("""COMPUTED_VALUE"""),8.0)</f>
        <v>8</v>
      </c>
      <c r="G817" s="14">
        <f>IFERROR(__xludf.DUMMYFUNCTION("""COMPUTED_VALUE"""),5.0)</f>
        <v>5</v>
      </c>
      <c r="H817" s="14">
        <f>IFERROR(__xludf.DUMMYFUNCTION("""COMPUTED_VALUE"""),2023.0)</f>
        <v>2023</v>
      </c>
      <c r="I817" s="14" t="str">
        <f>IFERROR(__xludf.DUMMYFUNCTION("""COMPUTED_VALUE"""),"Credit Card")</f>
        <v>Credit Card</v>
      </c>
      <c r="J817" s="14" t="str">
        <f>IFERROR(__xludf.DUMMYFUNCTION("""COMPUTED_VALUE"""),"Cancelled*High Delivery Fees")</f>
        <v>Cancelled*High Delivery Fees</v>
      </c>
      <c r="K817" s="14" t="str">
        <f>IFERROR(__xludf.DUMMYFUNCTION("split(E817,""+"")"),"Papaya")</f>
        <v>Papaya</v>
      </c>
      <c r="L817" s="14" t="str">
        <f>IFERROR(__xludf.DUMMYFUNCTION("""COMPUTED_VALUE"""),"1*Not Assigned")</f>
        <v>1*Not Assigned</v>
      </c>
      <c r="M817" s="14">
        <f>IFERROR(__xludf.DUMMYFUNCTION("SPLIT(L817,""*"")"),1.0)</f>
        <v>1</v>
      </c>
      <c r="N817" s="14" t="str">
        <f>IFERROR(__xludf.DUMMYFUNCTION("""COMPUTED_VALUE"""),"Not Assigned")</f>
        <v>Not Assigned</v>
      </c>
      <c r="O817" s="14" t="str">
        <f>IFERROR(__xludf.DUMMYFUNCTION("split(J817,""*"")"),"Cancelled")</f>
        <v>Cancelled</v>
      </c>
      <c r="P817" s="14" t="str">
        <f>IFERROR(__xludf.DUMMYFUNCTION("""COMPUTED_VALUE"""),"High Delivery Fees")</f>
        <v>High Delivery Fees</v>
      </c>
      <c r="Q817" s="14" t="str">
        <f>IFERROR(__xludf.DUMMYFUNCTION("split(P817,"":"")"),"High Delivery Fees")</f>
        <v>High Delivery Fees</v>
      </c>
      <c r="R817" s="14"/>
      <c r="S817" s="14" t="str">
        <f t="shared" ref="S817:U817" si="1637">trim(B817)</f>
        <v>ord_10808</v>
      </c>
      <c r="T817" s="14" t="str">
        <f t="shared" si="1637"/>
        <v>Siya Reddy</v>
      </c>
      <c r="U817" s="14" t="str">
        <f t="shared" si="1637"/>
        <v>Juhu</v>
      </c>
      <c r="V817" s="14" t="str">
        <f t="shared" si="4"/>
        <v>Papaya</v>
      </c>
      <c r="W817" s="14">
        <f t="shared" si="5"/>
        <v>1</v>
      </c>
      <c r="X817" s="14" t="str">
        <f t="shared" si="6"/>
        <v>Not Assigned</v>
      </c>
      <c r="Y817" s="15">
        <f t="shared" si="7"/>
        <v>45143</v>
      </c>
      <c r="Z817" s="14" t="str">
        <f t="shared" si="8"/>
        <v>Credit Card</v>
      </c>
      <c r="AA817" s="14" t="str">
        <f t="shared" si="9"/>
        <v>Cancelled</v>
      </c>
      <c r="AB817" s="14" t="str">
        <f t="shared" ref="AB817:AC817" si="1638">trim(Q817)</f>
        <v>High Delivery Fees</v>
      </c>
      <c r="AC817" s="14" t="str">
        <f t="shared" si="1638"/>
        <v/>
      </c>
      <c r="AD817" s="8"/>
    </row>
    <row r="818">
      <c r="A818" s="14" t="str">
        <f>IFERROR(__xludf.DUMMYFUNCTION("""COMPUTED_VALUE"""),"//ord_10809//Aarav Mehta//Andheri//Orange+1*Rohan Yadav/8/27/2023//Online Payment//Delivered*On-time Delivery: Delivered on time")</f>
        <v>//ord_10809//Aarav Mehta//Andheri//Orange+1*Rohan Yadav/8/27/2023//Online Payment//Delivered*On-time Delivery: Delivered on time</v>
      </c>
      <c r="B818" s="14" t="str">
        <f>IFERROR(__xludf.DUMMYFUNCTION("split(A818,""//"")"),"ord_10809")</f>
        <v>ord_10809</v>
      </c>
      <c r="C818" s="14" t="str">
        <f>IFERROR(__xludf.DUMMYFUNCTION("""COMPUTED_VALUE"""),"Aarav Mehta")</f>
        <v>Aarav Mehta</v>
      </c>
      <c r="D818" s="14" t="str">
        <f>IFERROR(__xludf.DUMMYFUNCTION("""COMPUTED_VALUE"""),"Andheri")</f>
        <v>Andheri</v>
      </c>
      <c r="E818" s="14" t="str">
        <f>IFERROR(__xludf.DUMMYFUNCTION("""COMPUTED_VALUE"""),"Orange+1*Rohan Yadav")</f>
        <v>Orange+1*Rohan Yadav</v>
      </c>
      <c r="F818" s="14">
        <f>IFERROR(__xludf.DUMMYFUNCTION("""COMPUTED_VALUE"""),8.0)</f>
        <v>8</v>
      </c>
      <c r="G818" s="14">
        <f>IFERROR(__xludf.DUMMYFUNCTION("""COMPUTED_VALUE"""),27.0)</f>
        <v>27</v>
      </c>
      <c r="H818" s="14">
        <f>IFERROR(__xludf.DUMMYFUNCTION("""COMPUTED_VALUE"""),2023.0)</f>
        <v>2023</v>
      </c>
      <c r="I818" s="14" t="str">
        <f>IFERROR(__xludf.DUMMYFUNCTION("""COMPUTED_VALUE"""),"Online Payment")</f>
        <v>Online Payment</v>
      </c>
      <c r="J818" s="14" t="str">
        <f>IFERROR(__xludf.DUMMYFUNCTION("""COMPUTED_VALUE"""),"Delivered*On-time Delivery: Delivered on time")</f>
        <v>Delivered*On-time Delivery: Delivered on time</v>
      </c>
      <c r="K818" s="14" t="str">
        <f>IFERROR(__xludf.DUMMYFUNCTION("split(E818,""+"")"),"Orange")</f>
        <v>Orange</v>
      </c>
      <c r="L818" s="14" t="str">
        <f>IFERROR(__xludf.DUMMYFUNCTION("""COMPUTED_VALUE"""),"1*Rohan Yadav")</f>
        <v>1*Rohan Yadav</v>
      </c>
      <c r="M818" s="14">
        <f>IFERROR(__xludf.DUMMYFUNCTION("SPLIT(L818,""*"")"),1.0)</f>
        <v>1</v>
      </c>
      <c r="N818" s="14" t="str">
        <f>IFERROR(__xludf.DUMMYFUNCTION("""COMPUTED_VALUE"""),"Rohan Yadav")</f>
        <v>Rohan Yadav</v>
      </c>
      <c r="O818" s="14" t="str">
        <f>IFERROR(__xludf.DUMMYFUNCTION("split(J818,""*"")"),"Delivered")</f>
        <v>Delivered</v>
      </c>
      <c r="P818" s="14" t="str">
        <f>IFERROR(__xludf.DUMMYFUNCTION("""COMPUTED_VALUE"""),"On-time Delivery: Delivered on time")</f>
        <v>On-time Delivery: Delivered on time</v>
      </c>
      <c r="Q818" s="14" t="str">
        <f>IFERROR(__xludf.DUMMYFUNCTION("split(P818,"":"")"),"On-time Delivery")</f>
        <v>On-time Delivery</v>
      </c>
      <c r="R818" s="14" t="str">
        <f>IFERROR(__xludf.DUMMYFUNCTION("""COMPUTED_VALUE""")," Delivered on time")</f>
        <v> Delivered on time</v>
      </c>
      <c r="S818" s="14" t="str">
        <f t="shared" ref="S818:U818" si="1639">trim(B818)</f>
        <v>ord_10809</v>
      </c>
      <c r="T818" s="14" t="str">
        <f t="shared" si="1639"/>
        <v>Aarav Mehta</v>
      </c>
      <c r="U818" s="14" t="str">
        <f t="shared" si="1639"/>
        <v>Andheri</v>
      </c>
      <c r="V818" s="14" t="str">
        <f t="shared" si="4"/>
        <v>Orange</v>
      </c>
      <c r="W818" s="14">
        <f t="shared" si="5"/>
        <v>1</v>
      </c>
      <c r="X818" s="14" t="str">
        <f t="shared" si="6"/>
        <v>Rohan Yadav</v>
      </c>
      <c r="Y818" s="15">
        <f t="shared" si="7"/>
        <v>45165</v>
      </c>
      <c r="Z818" s="14" t="str">
        <f t="shared" si="8"/>
        <v>Online Payment</v>
      </c>
      <c r="AA818" s="14" t="str">
        <f t="shared" si="9"/>
        <v>Delivered</v>
      </c>
      <c r="AB818" s="14" t="str">
        <f t="shared" ref="AB818:AC818" si="1640">trim(Q818)</f>
        <v>On-time Delivery</v>
      </c>
      <c r="AC818" s="14" t="str">
        <f t="shared" si="1640"/>
        <v>Delivered on time</v>
      </c>
      <c r="AD818" s="8"/>
    </row>
    <row r="819">
      <c r="A819" s="14" t="str">
        <f>IFERROR(__xludf.DUMMYFUNCTION("""COMPUTED_VALUE"""),"//ord_10810//Sakshi Tandon//Colaba//Apple+1*Nikhil Deshmukh/8/27/2023//Credit Card//Delivered*Quality of Items: Perfect condition")</f>
        <v>//ord_10810//Sakshi Tandon//Colaba//Apple+1*Nikhil Deshmukh/8/27/2023//Credit Card//Delivered*Quality of Items: Perfect condition</v>
      </c>
      <c r="B819" s="14" t="str">
        <f>IFERROR(__xludf.DUMMYFUNCTION("split(A819,""//"")"),"ord_10810")</f>
        <v>ord_10810</v>
      </c>
      <c r="C819" s="14" t="str">
        <f>IFERROR(__xludf.DUMMYFUNCTION("""COMPUTED_VALUE"""),"Sakshi Tandon")</f>
        <v>Sakshi Tandon</v>
      </c>
      <c r="D819" s="14" t="str">
        <f>IFERROR(__xludf.DUMMYFUNCTION("""COMPUTED_VALUE"""),"Colaba")</f>
        <v>Colaba</v>
      </c>
      <c r="E819" s="14" t="str">
        <f>IFERROR(__xludf.DUMMYFUNCTION("""COMPUTED_VALUE"""),"Apple+1*Nikhil Deshmukh")</f>
        <v>Apple+1*Nikhil Deshmukh</v>
      </c>
      <c r="F819" s="14">
        <f>IFERROR(__xludf.DUMMYFUNCTION("""COMPUTED_VALUE"""),8.0)</f>
        <v>8</v>
      </c>
      <c r="G819" s="14">
        <f>IFERROR(__xludf.DUMMYFUNCTION("""COMPUTED_VALUE"""),27.0)</f>
        <v>27</v>
      </c>
      <c r="H819" s="14">
        <f>IFERROR(__xludf.DUMMYFUNCTION("""COMPUTED_VALUE"""),2023.0)</f>
        <v>2023</v>
      </c>
      <c r="I819" s="14" t="str">
        <f>IFERROR(__xludf.DUMMYFUNCTION("""COMPUTED_VALUE"""),"Credit Card")</f>
        <v>Credit Card</v>
      </c>
      <c r="J819" s="14" t="str">
        <f>IFERROR(__xludf.DUMMYFUNCTION("""COMPUTED_VALUE"""),"Delivered*Quality of Items: Perfect condition")</f>
        <v>Delivered*Quality of Items: Perfect condition</v>
      </c>
      <c r="K819" s="14" t="str">
        <f>IFERROR(__xludf.DUMMYFUNCTION("split(E819,""+"")"),"Apple")</f>
        <v>Apple</v>
      </c>
      <c r="L819" s="14" t="str">
        <f>IFERROR(__xludf.DUMMYFUNCTION("""COMPUTED_VALUE"""),"1*Nikhil Deshmukh")</f>
        <v>1*Nikhil Deshmukh</v>
      </c>
      <c r="M819" s="14">
        <f>IFERROR(__xludf.DUMMYFUNCTION("SPLIT(L819,""*"")"),1.0)</f>
        <v>1</v>
      </c>
      <c r="N819" s="14" t="str">
        <f>IFERROR(__xludf.DUMMYFUNCTION("""COMPUTED_VALUE"""),"Nikhil Deshmukh")</f>
        <v>Nikhil Deshmukh</v>
      </c>
      <c r="O819" s="14" t="str">
        <f>IFERROR(__xludf.DUMMYFUNCTION("split(J819,""*"")"),"Delivered")</f>
        <v>Delivered</v>
      </c>
      <c r="P819" s="14" t="str">
        <f>IFERROR(__xludf.DUMMYFUNCTION("""COMPUTED_VALUE"""),"Quality of Items: Perfect condition")</f>
        <v>Quality of Items: Perfect condition</v>
      </c>
      <c r="Q819" s="14" t="str">
        <f>IFERROR(__xludf.DUMMYFUNCTION("split(P819,"":"")"),"Quality of Items")</f>
        <v>Quality of Items</v>
      </c>
      <c r="R819" s="14" t="str">
        <f>IFERROR(__xludf.DUMMYFUNCTION("""COMPUTED_VALUE""")," Perfect condition")</f>
        <v> Perfect condition</v>
      </c>
      <c r="S819" s="14" t="str">
        <f t="shared" ref="S819:U819" si="1641">trim(B819)</f>
        <v>ord_10810</v>
      </c>
      <c r="T819" s="14" t="str">
        <f t="shared" si="1641"/>
        <v>Sakshi Tandon</v>
      </c>
      <c r="U819" s="14" t="str">
        <f t="shared" si="1641"/>
        <v>Colaba</v>
      </c>
      <c r="V819" s="14" t="str">
        <f t="shared" si="4"/>
        <v>Apple</v>
      </c>
      <c r="W819" s="14">
        <f t="shared" si="5"/>
        <v>1</v>
      </c>
      <c r="X819" s="14" t="str">
        <f t="shared" si="6"/>
        <v>Nikhil Deshmukh</v>
      </c>
      <c r="Y819" s="15">
        <f t="shared" si="7"/>
        <v>45165</v>
      </c>
      <c r="Z819" s="14" t="str">
        <f t="shared" si="8"/>
        <v>Credit Card</v>
      </c>
      <c r="AA819" s="14" t="str">
        <f t="shared" si="9"/>
        <v>Delivered</v>
      </c>
      <c r="AB819" s="14" t="str">
        <f t="shared" ref="AB819:AC819" si="1642">trim(Q819)</f>
        <v>Quality of Items</v>
      </c>
      <c r="AC819" s="14" t="str">
        <f t="shared" si="1642"/>
        <v>Perfect condition</v>
      </c>
      <c r="AD819" s="8"/>
    </row>
    <row r="820">
      <c r="A820" s="14" t="str">
        <f>IFERROR(__xludf.DUMMYFUNCTION("""COMPUTED_VALUE"""),"//ord_10811//Anaya Rao//Colaba//Potato+2*Nikhil Deshmukh/6/17/2023//Credit Card//Delivered*On-time Delivery: Delivered on time")</f>
        <v>//ord_10811//Anaya Rao//Colaba//Potato+2*Nikhil Deshmukh/6/17/2023//Credit Card//Delivered*On-time Delivery: Delivered on time</v>
      </c>
      <c r="B820" s="14" t="str">
        <f>IFERROR(__xludf.DUMMYFUNCTION("split(A820,""//"")"),"ord_10811")</f>
        <v>ord_10811</v>
      </c>
      <c r="C820" s="14" t="str">
        <f>IFERROR(__xludf.DUMMYFUNCTION("""COMPUTED_VALUE"""),"Anaya Rao")</f>
        <v>Anaya Rao</v>
      </c>
      <c r="D820" s="14" t="str">
        <f>IFERROR(__xludf.DUMMYFUNCTION("""COMPUTED_VALUE"""),"Colaba")</f>
        <v>Colaba</v>
      </c>
      <c r="E820" s="14" t="str">
        <f>IFERROR(__xludf.DUMMYFUNCTION("""COMPUTED_VALUE"""),"Potato+2*Nikhil Deshmukh")</f>
        <v>Potato+2*Nikhil Deshmukh</v>
      </c>
      <c r="F820" s="14">
        <f>IFERROR(__xludf.DUMMYFUNCTION("""COMPUTED_VALUE"""),6.0)</f>
        <v>6</v>
      </c>
      <c r="G820" s="14">
        <f>IFERROR(__xludf.DUMMYFUNCTION("""COMPUTED_VALUE"""),17.0)</f>
        <v>17</v>
      </c>
      <c r="H820" s="14">
        <f>IFERROR(__xludf.DUMMYFUNCTION("""COMPUTED_VALUE"""),2023.0)</f>
        <v>2023</v>
      </c>
      <c r="I820" s="14" t="str">
        <f>IFERROR(__xludf.DUMMYFUNCTION("""COMPUTED_VALUE"""),"Credit Card")</f>
        <v>Credit Card</v>
      </c>
      <c r="J820" s="14" t="str">
        <f>IFERROR(__xludf.DUMMYFUNCTION("""COMPUTED_VALUE"""),"Delivered*On-time Delivery: Delivered on time")</f>
        <v>Delivered*On-time Delivery: Delivered on time</v>
      </c>
      <c r="K820" s="14" t="str">
        <f>IFERROR(__xludf.DUMMYFUNCTION("split(E820,""+"")"),"Potato")</f>
        <v>Potato</v>
      </c>
      <c r="L820" s="14" t="str">
        <f>IFERROR(__xludf.DUMMYFUNCTION("""COMPUTED_VALUE"""),"2*Nikhil Deshmukh")</f>
        <v>2*Nikhil Deshmukh</v>
      </c>
      <c r="M820" s="14">
        <f>IFERROR(__xludf.DUMMYFUNCTION("SPLIT(L820,""*"")"),2.0)</f>
        <v>2</v>
      </c>
      <c r="N820" s="14" t="str">
        <f>IFERROR(__xludf.DUMMYFUNCTION("""COMPUTED_VALUE"""),"Nikhil Deshmukh")</f>
        <v>Nikhil Deshmukh</v>
      </c>
      <c r="O820" s="14" t="str">
        <f>IFERROR(__xludf.DUMMYFUNCTION("split(J820,""*"")"),"Delivered")</f>
        <v>Delivered</v>
      </c>
      <c r="P820" s="14" t="str">
        <f>IFERROR(__xludf.DUMMYFUNCTION("""COMPUTED_VALUE"""),"On-time Delivery: Delivered on time")</f>
        <v>On-time Delivery: Delivered on time</v>
      </c>
      <c r="Q820" s="14" t="str">
        <f>IFERROR(__xludf.DUMMYFUNCTION("split(P820,"":"")"),"On-time Delivery")</f>
        <v>On-time Delivery</v>
      </c>
      <c r="R820" s="14" t="str">
        <f>IFERROR(__xludf.DUMMYFUNCTION("""COMPUTED_VALUE""")," Delivered on time")</f>
        <v> Delivered on time</v>
      </c>
      <c r="S820" s="14" t="str">
        <f t="shared" ref="S820:U820" si="1643">trim(B820)</f>
        <v>ord_10811</v>
      </c>
      <c r="T820" s="14" t="str">
        <f t="shared" si="1643"/>
        <v>Anaya Rao</v>
      </c>
      <c r="U820" s="14" t="str">
        <f t="shared" si="1643"/>
        <v>Colaba</v>
      </c>
      <c r="V820" s="14" t="str">
        <f t="shared" si="4"/>
        <v>Potato</v>
      </c>
      <c r="W820" s="14">
        <f t="shared" si="5"/>
        <v>2</v>
      </c>
      <c r="X820" s="14" t="str">
        <f t="shared" si="6"/>
        <v>Nikhil Deshmukh</v>
      </c>
      <c r="Y820" s="15">
        <f t="shared" si="7"/>
        <v>45094</v>
      </c>
      <c r="Z820" s="14" t="str">
        <f t="shared" si="8"/>
        <v>Credit Card</v>
      </c>
      <c r="AA820" s="14" t="str">
        <f t="shared" si="9"/>
        <v>Delivered</v>
      </c>
      <c r="AB820" s="14" t="str">
        <f t="shared" ref="AB820:AC820" si="1644">trim(Q820)</f>
        <v>On-time Delivery</v>
      </c>
      <c r="AC820" s="14" t="str">
        <f t="shared" si="1644"/>
        <v>Delivered on time</v>
      </c>
      <c r="AD820" s="8"/>
    </row>
    <row r="821">
      <c r="A821" s="14" t="str">
        <f>IFERROR(__xludf.DUMMYFUNCTION("""COMPUTED_VALUE"""),"//ord_10812//Arvind Kulkarni//Juhu//Chocolate Mousse+2*Tanvi Jain/10/26/2023//Credit Card//Delivered*Quality of Items: Perfect condition")</f>
        <v>//ord_10812//Arvind Kulkarni//Juhu//Chocolate Mousse+2*Tanvi Jain/10/26/2023//Credit Card//Delivered*Quality of Items: Perfect condition</v>
      </c>
      <c r="B821" s="14" t="str">
        <f>IFERROR(__xludf.DUMMYFUNCTION("split(A821,""//"")"),"ord_10812")</f>
        <v>ord_10812</v>
      </c>
      <c r="C821" s="14" t="str">
        <f>IFERROR(__xludf.DUMMYFUNCTION("""COMPUTED_VALUE"""),"Arvind Kulkarni")</f>
        <v>Arvind Kulkarni</v>
      </c>
      <c r="D821" s="14" t="str">
        <f>IFERROR(__xludf.DUMMYFUNCTION("""COMPUTED_VALUE"""),"Juhu")</f>
        <v>Juhu</v>
      </c>
      <c r="E821" s="14" t="str">
        <f>IFERROR(__xludf.DUMMYFUNCTION("""COMPUTED_VALUE"""),"Chocolate Mousse+2*Tanvi Jain")</f>
        <v>Chocolate Mousse+2*Tanvi Jain</v>
      </c>
      <c r="F821" s="14">
        <f>IFERROR(__xludf.DUMMYFUNCTION("""COMPUTED_VALUE"""),10.0)</f>
        <v>10</v>
      </c>
      <c r="G821" s="14">
        <f>IFERROR(__xludf.DUMMYFUNCTION("""COMPUTED_VALUE"""),26.0)</f>
        <v>26</v>
      </c>
      <c r="H821" s="14">
        <f>IFERROR(__xludf.DUMMYFUNCTION("""COMPUTED_VALUE"""),2023.0)</f>
        <v>2023</v>
      </c>
      <c r="I821" s="14" t="str">
        <f>IFERROR(__xludf.DUMMYFUNCTION("""COMPUTED_VALUE"""),"Credit Card")</f>
        <v>Credit Card</v>
      </c>
      <c r="J821" s="14" t="str">
        <f>IFERROR(__xludf.DUMMYFUNCTION("""COMPUTED_VALUE"""),"Delivered*Quality of Items: Perfect condition")</f>
        <v>Delivered*Quality of Items: Perfect condition</v>
      </c>
      <c r="K821" s="14" t="str">
        <f>IFERROR(__xludf.DUMMYFUNCTION("split(E821,""+"")"),"Chocolate Mousse")</f>
        <v>Chocolate Mousse</v>
      </c>
      <c r="L821" s="14" t="str">
        <f>IFERROR(__xludf.DUMMYFUNCTION("""COMPUTED_VALUE"""),"2*Tanvi Jain")</f>
        <v>2*Tanvi Jain</v>
      </c>
      <c r="M821" s="14">
        <f>IFERROR(__xludf.DUMMYFUNCTION("SPLIT(L821,""*"")"),2.0)</f>
        <v>2</v>
      </c>
      <c r="N821" s="14" t="str">
        <f>IFERROR(__xludf.DUMMYFUNCTION("""COMPUTED_VALUE"""),"Tanvi Jain")</f>
        <v>Tanvi Jain</v>
      </c>
      <c r="O821" s="14" t="str">
        <f>IFERROR(__xludf.DUMMYFUNCTION("split(J821,""*"")"),"Delivered")</f>
        <v>Delivered</v>
      </c>
      <c r="P821" s="14" t="str">
        <f>IFERROR(__xludf.DUMMYFUNCTION("""COMPUTED_VALUE"""),"Quality of Items: Perfect condition")</f>
        <v>Quality of Items: Perfect condition</v>
      </c>
      <c r="Q821" s="14" t="str">
        <f>IFERROR(__xludf.DUMMYFUNCTION("split(P821,"":"")"),"Quality of Items")</f>
        <v>Quality of Items</v>
      </c>
      <c r="R821" s="14" t="str">
        <f>IFERROR(__xludf.DUMMYFUNCTION("""COMPUTED_VALUE""")," Perfect condition")</f>
        <v> Perfect condition</v>
      </c>
      <c r="S821" s="14" t="str">
        <f t="shared" ref="S821:U821" si="1645">trim(B821)</f>
        <v>ord_10812</v>
      </c>
      <c r="T821" s="14" t="str">
        <f t="shared" si="1645"/>
        <v>Arvind Kulkarni</v>
      </c>
      <c r="U821" s="14" t="str">
        <f t="shared" si="1645"/>
        <v>Juhu</v>
      </c>
      <c r="V821" s="14" t="str">
        <f t="shared" si="4"/>
        <v>Chocolate Mousse</v>
      </c>
      <c r="W821" s="14">
        <f t="shared" si="5"/>
        <v>2</v>
      </c>
      <c r="X821" s="14" t="str">
        <f t="shared" si="6"/>
        <v>Tanvi Jain</v>
      </c>
      <c r="Y821" s="15">
        <f t="shared" si="7"/>
        <v>45225</v>
      </c>
      <c r="Z821" s="14" t="str">
        <f t="shared" si="8"/>
        <v>Credit Card</v>
      </c>
      <c r="AA821" s="14" t="str">
        <f t="shared" si="9"/>
        <v>Delivered</v>
      </c>
      <c r="AB821" s="14" t="str">
        <f t="shared" ref="AB821:AC821" si="1646">trim(Q821)</f>
        <v>Quality of Items</v>
      </c>
      <c r="AC821" s="14" t="str">
        <f t="shared" si="1646"/>
        <v>Perfect condition</v>
      </c>
      <c r="AD821" s="8"/>
    </row>
    <row r="822">
      <c r="A822" s="14" t="str">
        <f>IFERROR(__xludf.DUMMYFUNCTION("""COMPUTED_VALUE"""),"//ord_10813//Sakshi Tandon//Colaba//Apple+1*Nikhil Deshmukh/6/14/2023//Credit Card//Delivered*Packaging: Secure and intact")</f>
        <v>//ord_10813//Sakshi Tandon//Colaba//Apple+1*Nikhil Deshmukh/6/14/2023//Credit Card//Delivered*Packaging: Secure and intact</v>
      </c>
      <c r="B822" s="14" t="str">
        <f>IFERROR(__xludf.DUMMYFUNCTION("split(A822,""//"")"),"ord_10813")</f>
        <v>ord_10813</v>
      </c>
      <c r="C822" s="14" t="str">
        <f>IFERROR(__xludf.DUMMYFUNCTION("""COMPUTED_VALUE"""),"Sakshi Tandon")</f>
        <v>Sakshi Tandon</v>
      </c>
      <c r="D822" s="14" t="str">
        <f>IFERROR(__xludf.DUMMYFUNCTION("""COMPUTED_VALUE"""),"Colaba")</f>
        <v>Colaba</v>
      </c>
      <c r="E822" s="14" t="str">
        <f>IFERROR(__xludf.DUMMYFUNCTION("""COMPUTED_VALUE"""),"Apple+1*Nikhil Deshmukh")</f>
        <v>Apple+1*Nikhil Deshmukh</v>
      </c>
      <c r="F822" s="14">
        <f>IFERROR(__xludf.DUMMYFUNCTION("""COMPUTED_VALUE"""),6.0)</f>
        <v>6</v>
      </c>
      <c r="G822" s="14">
        <f>IFERROR(__xludf.DUMMYFUNCTION("""COMPUTED_VALUE"""),14.0)</f>
        <v>14</v>
      </c>
      <c r="H822" s="14">
        <f>IFERROR(__xludf.DUMMYFUNCTION("""COMPUTED_VALUE"""),2023.0)</f>
        <v>2023</v>
      </c>
      <c r="I822" s="14" t="str">
        <f>IFERROR(__xludf.DUMMYFUNCTION("""COMPUTED_VALUE"""),"Credit Card")</f>
        <v>Credit Card</v>
      </c>
      <c r="J822" s="14" t="str">
        <f>IFERROR(__xludf.DUMMYFUNCTION("""COMPUTED_VALUE"""),"Delivered*Packaging: Secure and intact")</f>
        <v>Delivered*Packaging: Secure and intact</v>
      </c>
      <c r="K822" s="14" t="str">
        <f>IFERROR(__xludf.DUMMYFUNCTION("split(E822,""+"")"),"Apple")</f>
        <v>Apple</v>
      </c>
      <c r="L822" s="14" t="str">
        <f>IFERROR(__xludf.DUMMYFUNCTION("""COMPUTED_VALUE"""),"1*Nikhil Deshmukh")</f>
        <v>1*Nikhil Deshmukh</v>
      </c>
      <c r="M822" s="14">
        <f>IFERROR(__xludf.DUMMYFUNCTION("SPLIT(L822,""*"")"),1.0)</f>
        <v>1</v>
      </c>
      <c r="N822" s="14" t="str">
        <f>IFERROR(__xludf.DUMMYFUNCTION("""COMPUTED_VALUE"""),"Nikhil Deshmukh")</f>
        <v>Nikhil Deshmukh</v>
      </c>
      <c r="O822" s="14" t="str">
        <f>IFERROR(__xludf.DUMMYFUNCTION("split(J822,""*"")"),"Delivered")</f>
        <v>Delivered</v>
      </c>
      <c r="P822" s="14" t="str">
        <f>IFERROR(__xludf.DUMMYFUNCTION("""COMPUTED_VALUE"""),"Packaging: Secure and intact")</f>
        <v>Packaging: Secure and intact</v>
      </c>
      <c r="Q822" s="14" t="str">
        <f>IFERROR(__xludf.DUMMYFUNCTION("split(P822,"":"")"),"Packaging")</f>
        <v>Packaging</v>
      </c>
      <c r="R822" s="14" t="str">
        <f>IFERROR(__xludf.DUMMYFUNCTION("""COMPUTED_VALUE""")," Secure and intact")</f>
        <v> Secure and intact</v>
      </c>
      <c r="S822" s="14" t="str">
        <f t="shared" ref="S822:U822" si="1647">trim(B822)</f>
        <v>ord_10813</v>
      </c>
      <c r="T822" s="14" t="str">
        <f t="shared" si="1647"/>
        <v>Sakshi Tandon</v>
      </c>
      <c r="U822" s="14" t="str">
        <f t="shared" si="1647"/>
        <v>Colaba</v>
      </c>
      <c r="V822" s="14" t="str">
        <f t="shared" si="4"/>
        <v>Apple</v>
      </c>
      <c r="W822" s="14">
        <f t="shared" si="5"/>
        <v>1</v>
      </c>
      <c r="X822" s="14" t="str">
        <f t="shared" si="6"/>
        <v>Nikhil Deshmukh</v>
      </c>
      <c r="Y822" s="15">
        <f t="shared" si="7"/>
        <v>45091</v>
      </c>
      <c r="Z822" s="14" t="str">
        <f t="shared" si="8"/>
        <v>Credit Card</v>
      </c>
      <c r="AA822" s="14" t="str">
        <f t="shared" si="9"/>
        <v>Delivered</v>
      </c>
      <c r="AB822" s="14" t="str">
        <f t="shared" ref="AB822:AC822" si="1648">trim(Q822)</f>
        <v>Packaging</v>
      </c>
      <c r="AC822" s="14" t="str">
        <f t="shared" si="1648"/>
        <v>Secure and intact</v>
      </c>
      <c r="AD822" s="8"/>
    </row>
    <row r="823">
      <c r="A823" s="14" t="str">
        <f>IFERROR(__xludf.DUMMYFUNCTION("""COMPUTED_VALUE"""),"//ord_10814//Omkar Mishra//Powai//Apple+1*Sandeep Kumar/6/13/2023//UPI//Delivered*Satisfied with the Delivery: Timely and quality")</f>
        <v>//ord_10814//Omkar Mishra//Powai//Apple+1*Sandeep Kumar/6/13/2023//UPI//Delivered*Satisfied with the Delivery: Timely and quality</v>
      </c>
      <c r="B823" s="14" t="str">
        <f>IFERROR(__xludf.DUMMYFUNCTION("split(A823,""//"")"),"ord_10814")</f>
        <v>ord_10814</v>
      </c>
      <c r="C823" s="14" t="str">
        <f>IFERROR(__xludf.DUMMYFUNCTION("""COMPUTED_VALUE"""),"Omkar Mishra")</f>
        <v>Omkar Mishra</v>
      </c>
      <c r="D823" s="14" t="str">
        <f>IFERROR(__xludf.DUMMYFUNCTION("""COMPUTED_VALUE"""),"Powai")</f>
        <v>Powai</v>
      </c>
      <c r="E823" s="14" t="str">
        <f>IFERROR(__xludf.DUMMYFUNCTION("""COMPUTED_VALUE"""),"Apple+1*Sandeep Kumar")</f>
        <v>Apple+1*Sandeep Kumar</v>
      </c>
      <c r="F823" s="14">
        <f>IFERROR(__xludf.DUMMYFUNCTION("""COMPUTED_VALUE"""),6.0)</f>
        <v>6</v>
      </c>
      <c r="G823" s="14">
        <f>IFERROR(__xludf.DUMMYFUNCTION("""COMPUTED_VALUE"""),13.0)</f>
        <v>13</v>
      </c>
      <c r="H823" s="14">
        <f>IFERROR(__xludf.DUMMYFUNCTION("""COMPUTED_VALUE"""),2023.0)</f>
        <v>2023</v>
      </c>
      <c r="I823" s="14" t="str">
        <f>IFERROR(__xludf.DUMMYFUNCTION("""COMPUTED_VALUE"""),"UPI")</f>
        <v>UPI</v>
      </c>
      <c r="J823" s="14" t="str">
        <f>IFERROR(__xludf.DUMMYFUNCTION("""COMPUTED_VALUE"""),"Delivered*Satisfied with the Delivery: Timely and quality")</f>
        <v>Delivered*Satisfied with the Delivery: Timely and quality</v>
      </c>
      <c r="K823" s="14" t="str">
        <f>IFERROR(__xludf.DUMMYFUNCTION("split(E823,""+"")"),"Apple")</f>
        <v>Apple</v>
      </c>
      <c r="L823" s="14" t="str">
        <f>IFERROR(__xludf.DUMMYFUNCTION("""COMPUTED_VALUE"""),"1*Sandeep Kumar")</f>
        <v>1*Sandeep Kumar</v>
      </c>
      <c r="M823" s="14">
        <f>IFERROR(__xludf.DUMMYFUNCTION("SPLIT(L823,""*"")"),1.0)</f>
        <v>1</v>
      </c>
      <c r="N823" s="14" t="str">
        <f>IFERROR(__xludf.DUMMYFUNCTION("""COMPUTED_VALUE"""),"Sandeep Kumar")</f>
        <v>Sandeep Kumar</v>
      </c>
      <c r="O823" s="14" t="str">
        <f>IFERROR(__xludf.DUMMYFUNCTION("split(J823,""*"")"),"Delivered")</f>
        <v>Delivered</v>
      </c>
      <c r="P823" s="14" t="str">
        <f>IFERROR(__xludf.DUMMYFUNCTION("""COMPUTED_VALUE"""),"Satisfied with the Delivery: Timely and quality")</f>
        <v>Satisfied with the Delivery: Timely and quality</v>
      </c>
      <c r="Q823" s="14" t="str">
        <f>IFERROR(__xludf.DUMMYFUNCTION("split(P823,"":"")"),"Satisfied with the Delivery")</f>
        <v>Satisfied with the Delivery</v>
      </c>
      <c r="R823" s="14" t="str">
        <f>IFERROR(__xludf.DUMMYFUNCTION("""COMPUTED_VALUE""")," Timely and quality")</f>
        <v> Timely and quality</v>
      </c>
      <c r="S823" s="14" t="str">
        <f t="shared" ref="S823:U823" si="1649">trim(B823)</f>
        <v>ord_10814</v>
      </c>
      <c r="T823" s="14" t="str">
        <f t="shared" si="1649"/>
        <v>Omkar Mishra</v>
      </c>
      <c r="U823" s="14" t="str">
        <f t="shared" si="1649"/>
        <v>Powai</v>
      </c>
      <c r="V823" s="14" t="str">
        <f t="shared" si="4"/>
        <v>Apple</v>
      </c>
      <c r="W823" s="14">
        <f t="shared" si="5"/>
        <v>1</v>
      </c>
      <c r="X823" s="14" t="str">
        <f t="shared" si="6"/>
        <v>Sandeep Kumar</v>
      </c>
      <c r="Y823" s="15">
        <f t="shared" si="7"/>
        <v>45090</v>
      </c>
      <c r="Z823" s="14" t="str">
        <f t="shared" si="8"/>
        <v>UPI</v>
      </c>
      <c r="AA823" s="14" t="str">
        <f t="shared" si="9"/>
        <v>Delivered</v>
      </c>
      <c r="AB823" s="14" t="str">
        <f t="shared" ref="AB823:AC823" si="1650">trim(Q823)</f>
        <v>Satisfied with the Delivery</v>
      </c>
      <c r="AC823" s="14" t="str">
        <f t="shared" si="1650"/>
        <v>Timely and quality</v>
      </c>
      <c r="AD823" s="8"/>
    </row>
    <row r="824">
      <c r="A824" s="14" t="str">
        <f>IFERROR(__xludf.DUMMYFUNCTION("""COMPUTED_VALUE"""),"//ord_10815//Dev Chauhan//Bandra//Cucumber+2*Priya Joshi/8/26/2023//UPI//Delivered*Customer Service: Seamless and easy")</f>
        <v>//ord_10815//Dev Chauhan//Bandra//Cucumber+2*Priya Joshi/8/26/2023//UPI//Delivered*Customer Service: Seamless and easy</v>
      </c>
      <c r="B824" s="14" t="str">
        <f>IFERROR(__xludf.DUMMYFUNCTION("split(A824,""//"")"),"ord_10815")</f>
        <v>ord_10815</v>
      </c>
      <c r="C824" s="14" t="str">
        <f>IFERROR(__xludf.DUMMYFUNCTION("""COMPUTED_VALUE"""),"Dev Chauhan")</f>
        <v>Dev Chauhan</v>
      </c>
      <c r="D824" s="14" t="str">
        <f>IFERROR(__xludf.DUMMYFUNCTION("""COMPUTED_VALUE"""),"Bandra")</f>
        <v>Bandra</v>
      </c>
      <c r="E824" s="14" t="str">
        <f>IFERROR(__xludf.DUMMYFUNCTION("""COMPUTED_VALUE"""),"Cucumber+2*Priya Joshi")</f>
        <v>Cucumber+2*Priya Joshi</v>
      </c>
      <c r="F824" s="14">
        <f>IFERROR(__xludf.DUMMYFUNCTION("""COMPUTED_VALUE"""),8.0)</f>
        <v>8</v>
      </c>
      <c r="G824" s="14">
        <f>IFERROR(__xludf.DUMMYFUNCTION("""COMPUTED_VALUE"""),26.0)</f>
        <v>26</v>
      </c>
      <c r="H824" s="14">
        <f>IFERROR(__xludf.DUMMYFUNCTION("""COMPUTED_VALUE"""),2023.0)</f>
        <v>2023</v>
      </c>
      <c r="I824" s="14" t="str">
        <f>IFERROR(__xludf.DUMMYFUNCTION("""COMPUTED_VALUE"""),"UPI")</f>
        <v>UPI</v>
      </c>
      <c r="J824" s="14" t="str">
        <f>IFERROR(__xludf.DUMMYFUNCTION("""COMPUTED_VALUE"""),"Delivered*Customer Service: Seamless and easy")</f>
        <v>Delivered*Customer Service: Seamless and easy</v>
      </c>
      <c r="K824" s="14" t="str">
        <f>IFERROR(__xludf.DUMMYFUNCTION("split(E824,""+"")"),"Cucumber")</f>
        <v>Cucumber</v>
      </c>
      <c r="L824" s="14" t="str">
        <f>IFERROR(__xludf.DUMMYFUNCTION("""COMPUTED_VALUE"""),"2*Priya Joshi")</f>
        <v>2*Priya Joshi</v>
      </c>
      <c r="M824" s="14">
        <f>IFERROR(__xludf.DUMMYFUNCTION("SPLIT(L824,""*"")"),2.0)</f>
        <v>2</v>
      </c>
      <c r="N824" s="14" t="str">
        <f>IFERROR(__xludf.DUMMYFUNCTION("""COMPUTED_VALUE"""),"Priya Joshi")</f>
        <v>Priya Joshi</v>
      </c>
      <c r="O824" s="14" t="str">
        <f>IFERROR(__xludf.DUMMYFUNCTION("split(J824,""*"")"),"Delivered")</f>
        <v>Delivered</v>
      </c>
      <c r="P824" s="14" t="str">
        <f>IFERROR(__xludf.DUMMYFUNCTION("""COMPUTED_VALUE"""),"Customer Service: Seamless and easy")</f>
        <v>Customer Service: Seamless and easy</v>
      </c>
      <c r="Q824" s="14" t="str">
        <f>IFERROR(__xludf.DUMMYFUNCTION("split(P824,"":"")"),"Customer Service")</f>
        <v>Customer Service</v>
      </c>
      <c r="R824" s="14" t="str">
        <f>IFERROR(__xludf.DUMMYFUNCTION("""COMPUTED_VALUE""")," Seamless and easy")</f>
        <v> Seamless and easy</v>
      </c>
      <c r="S824" s="14" t="str">
        <f t="shared" ref="S824:U824" si="1651">trim(B824)</f>
        <v>ord_10815</v>
      </c>
      <c r="T824" s="14" t="str">
        <f t="shared" si="1651"/>
        <v>Dev Chauhan</v>
      </c>
      <c r="U824" s="14" t="str">
        <f t="shared" si="1651"/>
        <v>Bandra</v>
      </c>
      <c r="V824" s="14" t="str">
        <f t="shared" si="4"/>
        <v>Cucumber</v>
      </c>
      <c r="W824" s="14">
        <f t="shared" si="5"/>
        <v>2</v>
      </c>
      <c r="X824" s="14" t="str">
        <f t="shared" si="6"/>
        <v>Priya Joshi</v>
      </c>
      <c r="Y824" s="15">
        <f t="shared" si="7"/>
        <v>45164</v>
      </c>
      <c r="Z824" s="14" t="str">
        <f t="shared" si="8"/>
        <v>UPI</v>
      </c>
      <c r="AA824" s="14" t="str">
        <f t="shared" si="9"/>
        <v>Delivered</v>
      </c>
      <c r="AB824" s="14" t="str">
        <f t="shared" ref="AB824:AC824" si="1652">trim(Q824)</f>
        <v>Customer Service</v>
      </c>
      <c r="AC824" s="14" t="str">
        <f t="shared" si="1652"/>
        <v>Seamless and easy</v>
      </c>
      <c r="AD824" s="8"/>
    </row>
    <row r="825">
      <c r="A825" s="14" t="str">
        <f>IFERROR(__xludf.DUMMYFUNCTION("""COMPUTED_VALUE"""),"//ord_10816//Omkar Mishra//Powai//Juice+1*Sandeep Kumar/6/17/2023//Online Payment//Delivered*Delivery Experience: Quick and professional")</f>
        <v>//ord_10816//Omkar Mishra//Powai//Juice+1*Sandeep Kumar/6/17/2023//Online Payment//Delivered*Delivery Experience: Quick and professional</v>
      </c>
      <c r="B825" s="14" t="str">
        <f>IFERROR(__xludf.DUMMYFUNCTION("split(A825,""//"")"),"ord_10816")</f>
        <v>ord_10816</v>
      </c>
      <c r="C825" s="14" t="str">
        <f>IFERROR(__xludf.DUMMYFUNCTION("""COMPUTED_VALUE"""),"Omkar Mishra")</f>
        <v>Omkar Mishra</v>
      </c>
      <c r="D825" s="14" t="str">
        <f>IFERROR(__xludf.DUMMYFUNCTION("""COMPUTED_VALUE"""),"Powai")</f>
        <v>Powai</v>
      </c>
      <c r="E825" s="14" t="str">
        <f>IFERROR(__xludf.DUMMYFUNCTION("""COMPUTED_VALUE"""),"Juice+1*Sandeep Kumar")</f>
        <v>Juice+1*Sandeep Kumar</v>
      </c>
      <c r="F825" s="14">
        <f>IFERROR(__xludf.DUMMYFUNCTION("""COMPUTED_VALUE"""),6.0)</f>
        <v>6</v>
      </c>
      <c r="G825" s="14">
        <f>IFERROR(__xludf.DUMMYFUNCTION("""COMPUTED_VALUE"""),17.0)</f>
        <v>17</v>
      </c>
      <c r="H825" s="14">
        <f>IFERROR(__xludf.DUMMYFUNCTION("""COMPUTED_VALUE"""),2023.0)</f>
        <v>2023</v>
      </c>
      <c r="I825" s="14" t="str">
        <f>IFERROR(__xludf.DUMMYFUNCTION("""COMPUTED_VALUE"""),"Online Payment")</f>
        <v>Online Payment</v>
      </c>
      <c r="J825" s="14" t="str">
        <f>IFERROR(__xludf.DUMMYFUNCTION("""COMPUTED_VALUE"""),"Delivered*Delivery Experience: Quick and professional")</f>
        <v>Delivered*Delivery Experience: Quick and professional</v>
      </c>
      <c r="K825" s="14" t="str">
        <f>IFERROR(__xludf.DUMMYFUNCTION("split(E825,""+"")"),"Juice")</f>
        <v>Juice</v>
      </c>
      <c r="L825" s="14" t="str">
        <f>IFERROR(__xludf.DUMMYFUNCTION("""COMPUTED_VALUE"""),"1*Sandeep Kumar")</f>
        <v>1*Sandeep Kumar</v>
      </c>
      <c r="M825" s="14">
        <f>IFERROR(__xludf.DUMMYFUNCTION("SPLIT(L825,""*"")"),1.0)</f>
        <v>1</v>
      </c>
      <c r="N825" s="14" t="str">
        <f>IFERROR(__xludf.DUMMYFUNCTION("""COMPUTED_VALUE"""),"Sandeep Kumar")</f>
        <v>Sandeep Kumar</v>
      </c>
      <c r="O825" s="14" t="str">
        <f>IFERROR(__xludf.DUMMYFUNCTION("split(J825,""*"")"),"Delivered")</f>
        <v>Delivered</v>
      </c>
      <c r="P825" s="14" t="str">
        <f>IFERROR(__xludf.DUMMYFUNCTION("""COMPUTED_VALUE"""),"Delivery Experience: Quick and professional")</f>
        <v>Delivery Experience: Quick and professional</v>
      </c>
      <c r="Q825" s="14" t="str">
        <f>IFERROR(__xludf.DUMMYFUNCTION("split(P825,"":"")"),"Delivery Experience")</f>
        <v>Delivery Experience</v>
      </c>
      <c r="R825" s="14" t="str">
        <f>IFERROR(__xludf.DUMMYFUNCTION("""COMPUTED_VALUE""")," Quick and professional")</f>
        <v> Quick and professional</v>
      </c>
      <c r="S825" s="14" t="str">
        <f t="shared" ref="S825:U825" si="1653">trim(B825)</f>
        <v>ord_10816</v>
      </c>
      <c r="T825" s="14" t="str">
        <f t="shared" si="1653"/>
        <v>Omkar Mishra</v>
      </c>
      <c r="U825" s="14" t="str">
        <f t="shared" si="1653"/>
        <v>Powai</v>
      </c>
      <c r="V825" s="14" t="str">
        <f t="shared" si="4"/>
        <v>Juice</v>
      </c>
      <c r="W825" s="14">
        <f t="shared" si="5"/>
        <v>1</v>
      </c>
      <c r="X825" s="14" t="str">
        <f t="shared" si="6"/>
        <v>Sandeep Kumar</v>
      </c>
      <c r="Y825" s="15">
        <f t="shared" si="7"/>
        <v>45094</v>
      </c>
      <c r="Z825" s="14" t="str">
        <f t="shared" si="8"/>
        <v>Online Payment</v>
      </c>
      <c r="AA825" s="14" t="str">
        <f t="shared" si="9"/>
        <v>Delivered</v>
      </c>
      <c r="AB825" s="14" t="str">
        <f t="shared" ref="AB825:AC825" si="1654">trim(Q825)</f>
        <v>Delivery Experience</v>
      </c>
      <c r="AC825" s="14" t="str">
        <f t="shared" si="1654"/>
        <v>Quick and professional</v>
      </c>
      <c r="AD825" s="8"/>
    </row>
    <row r="826">
      <c r="A826" s="14" t="str">
        <f>IFERROR(__xludf.DUMMYFUNCTION("""COMPUTED_VALUE"""),"//ord_10817//Diya Arora//Lower Parel//Orange+1*Kiran Mehta/6/12/2023//UPI//Delivered*Convenience: Easy tracking")</f>
        <v>//ord_10817//Diya Arora//Lower Parel//Orange+1*Kiran Mehta/6/12/2023//UPI//Delivered*Convenience: Easy tracking</v>
      </c>
      <c r="B826" s="14" t="str">
        <f>IFERROR(__xludf.DUMMYFUNCTION("split(A826,""//"")"),"ord_10817")</f>
        <v>ord_10817</v>
      </c>
      <c r="C826" s="14" t="str">
        <f>IFERROR(__xludf.DUMMYFUNCTION("""COMPUTED_VALUE"""),"Diya Arora")</f>
        <v>Diya Arora</v>
      </c>
      <c r="D826" s="14" t="str">
        <f>IFERROR(__xludf.DUMMYFUNCTION("""COMPUTED_VALUE"""),"Lower Parel")</f>
        <v>Lower Parel</v>
      </c>
      <c r="E826" s="14" t="str">
        <f>IFERROR(__xludf.DUMMYFUNCTION("""COMPUTED_VALUE"""),"Orange+1*Kiran Mehta")</f>
        <v>Orange+1*Kiran Mehta</v>
      </c>
      <c r="F826" s="14">
        <f>IFERROR(__xludf.DUMMYFUNCTION("""COMPUTED_VALUE"""),6.0)</f>
        <v>6</v>
      </c>
      <c r="G826" s="14">
        <f>IFERROR(__xludf.DUMMYFUNCTION("""COMPUTED_VALUE"""),12.0)</f>
        <v>12</v>
      </c>
      <c r="H826" s="14">
        <f>IFERROR(__xludf.DUMMYFUNCTION("""COMPUTED_VALUE"""),2023.0)</f>
        <v>2023</v>
      </c>
      <c r="I826" s="14" t="str">
        <f>IFERROR(__xludf.DUMMYFUNCTION("""COMPUTED_VALUE"""),"UPI")</f>
        <v>UPI</v>
      </c>
      <c r="J826" s="14" t="str">
        <f>IFERROR(__xludf.DUMMYFUNCTION("""COMPUTED_VALUE"""),"Delivered*Convenience: Easy tracking")</f>
        <v>Delivered*Convenience: Easy tracking</v>
      </c>
      <c r="K826" s="14" t="str">
        <f>IFERROR(__xludf.DUMMYFUNCTION("split(E826,""+"")"),"Orange")</f>
        <v>Orange</v>
      </c>
      <c r="L826" s="14" t="str">
        <f>IFERROR(__xludf.DUMMYFUNCTION("""COMPUTED_VALUE"""),"1*Kiran Mehta")</f>
        <v>1*Kiran Mehta</v>
      </c>
      <c r="M826" s="14">
        <f>IFERROR(__xludf.DUMMYFUNCTION("SPLIT(L826,""*"")"),1.0)</f>
        <v>1</v>
      </c>
      <c r="N826" s="14" t="str">
        <f>IFERROR(__xludf.DUMMYFUNCTION("""COMPUTED_VALUE"""),"Kiran Mehta")</f>
        <v>Kiran Mehta</v>
      </c>
      <c r="O826" s="14" t="str">
        <f>IFERROR(__xludf.DUMMYFUNCTION("split(J826,""*"")"),"Delivered")</f>
        <v>Delivered</v>
      </c>
      <c r="P826" s="14" t="str">
        <f>IFERROR(__xludf.DUMMYFUNCTION("""COMPUTED_VALUE"""),"Convenience: Easy tracking")</f>
        <v>Convenience: Easy tracking</v>
      </c>
      <c r="Q826" s="14" t="str">
        <f>IFERROR(__xludf.DUMMYFUNCTION("split(P826,"":"")"),"Convenience")</f>
        <v>Convenience</v>
      </c>
      <c r="R826" s="14" t="str">
        <f>IFERROR(__xludf.DUMMYFUNCTION("""COMPUTED_VALUE""")," Easy tracking")</f>
        <v> Easy tracking</v>
      </c>
      <c r="S826" s="14" t="str">
        <f t="shared" ref="S826:U826" si="1655">trim(B826)</f>
        <v>ord_10817</v>
      </c>
      <c r="T826" s="14" t="str">
        <f t="shared" si="1655"/>
        <v>Diya Arora</v>
      </c>
      <c r="U826" s="14" t="str">
        <f t="shared" si="1655"/>
        <v>Lower Parel</v>
      </c>
      <c r="V826" s="14" t="str">
        <f t="shared" si="4"/>
        <v>Orange</v>
      </c>
      <c r="W826" s="14">
        <f t="shared" si="5"/>
        <v>1</v>
      </c>
      <c r="X826" s="14" t="str">
        <f t="shared" si="6"/>
        <v>Kiran Mehta</v>
      </c>
      <c r="Y826" s="15">
        <f t="shared" si="7"/>
        <v>45089</v>
      </c>
      <c r="Z826" s="14" t="str">
        <f t="shared" si="8"/>
        <v>UPI</v>
      </c>
      <c r="AA826" s="14" t="str">
        <f t="shared" si="9"/>
        <v>Delivered</v>
      </c>
      <c r="AB826" s="14" t="str">
        <f t="shared" ref="AB826:AC826" si="1656">trim(Q826)</f>
        <v>Convenience</v>
      </c>
      <c r="AC826" s="14" t="str">
        <f t="shared" si="1656"/>
        <v>Easy tracking</v>
      </c>
      <c r="AD826" s="8"/>
    </row>
    <row r="827">
      <c r="A827" s="14" t="str">
        <f>IFERROR(__xludf.DUMMYFUNCTION("""COMPUTED_VALUE"""),"//ord_10818//Mohit Malhotra//Lower Parel//Juice+4*Kiran Mehta/12/13/2023//Credit Card//Delivered*Overall Satisfaction: Great service will order again")</f>
        <v>//ord_10818//Mohit Malhotra//Lower Parel//Juice+4*Kiran Mehta/12/13/2023//Credit Card//Delivered*Overall Satisfaction: Great service will order again</v>
      </c>
      <c r="B827" s="14" t="str">
        <f>IFERROR(__xludf.DUMMYFUNCTION("split(A827,""//"")"),"ord_10818")</f>
        <v>ord_10818</v>
      </c>
      <c r="C827" s="14" t="str">
        <f>IFERROR(__xludf.DUMMYFUNCTION("""COMPUTED_VALUE"""),"Mohit Malhotra")</f>
        <v>Mohit Malhotra</v>
      </c>
      <c r="D827" s="14" t="str">
        <f>IFERROR(__xludf.DUMMYFUNCTION("""COMPUTED_VALUE"""),"Lower Parel")</f>
        <v>Lower Parel</v>
      </c>
      <c r="E827" s="14" t="str">
        <f>IFERROR(__xludf.DUMMYFUNCTION("""COMPUTED_VALUE"""),"Juice+4*Kiran Mehta")</f>
        <v>Juice+4*Kiran Mehta</v>
      </c>
      <c r="F827" s="14">
        <f>IFERROR(__xludf.DUMMYFUNCTION("""COMPUTED_VALUE"""),12.0)</f>
        <v>12</v>
      </c>
      <c r="G827" s="14">
        <f>IFERROR(__xludf.DUMMYFUNCTION("""COMPUTED_VALUE"""),13.0)</f>
        <v>13</v>
      </c>
      <c r="H827" s="14">
        <f>IFERROR(__xludf.DUMMYFUNCTION("""COMPUTED_VALUE"""),2023.0)</f>
        <v>2023</v>
      </c>
      <c r="I827" s="14" t="str">
        <f>IFERROR(__xludf.DUMMYFUNCTION("""COMPUTED_VALUE"""),"Credit Card")</f>
        <v>Credit Card</v>
      </c>
      <c r="J827" s="14" t="str">
        <f>IFERROR(__xludf.DUMMYFUNCTION("""COMPUTED_VALUE"""),"Delivered*Overall Satisfaction: Great service will order again")</f>
        <v>Delivered*Overall Satisfaction: Great service will order again</v>
      </c>
      <c r="K827" s="14" t="str">
        <f>IFERROR(__xludf.DUMMYFUNCTION("split(E827,""+"")"),"Juice")</f>
        <v>Juice</v>
      </c>
      <c r="L827" s="14" t="str">
        <f>IFERROR(__xludf.DUMMYFUNCTION("""COMPUTED_VALUE"""),"4*Kiran Mehta")</f>
        <v>4*Kiran Mehta</v>
      </c>
      <c r="M827" s="14">
        <f>IFERROR(__xludf.DUMMYFUNCTION("SPLIT(L827,""*"")"),4.0)</f>
        <v>4</v>
      </c>
      <c r="N827" s="14" t="str">
        <f>IFERROR(__xludf.DUMMYFUNCTION("""COMPUTED_VALUE"""),"Kiran Mehta")</f>
        <v>Kiran Mehta</v>
      </c>
      <c r="O827" s="14" t="str">
        <f>IFERROR(__xludf.DUMMYFUNCTION("split(J827,""*"")"),"Delivered")</f>
        <v>Delivered</v>
      </c>
      <c r="P827" s="14" t="str">
        <f>IFERROR(__xludf.DUMMYFUNCTION("""COMPUTED_VALUE"""),"Overall Satisfaction: Great service will order again")</f>
        <v>Overall Satisfaction: Great service will order again</v>
      </c>
      <c r="Q827" s="14" t="str">
        <f>IFERROR(__xludf.DUMMYFUNCTION("split(P827,"":"")"),"Overall Satisfaction")</f>
        <v>Overall Satisfaction</v>
      </c>
      <c r="R827" s="14" t="str">
        <f>IFERROR(__xludf.DUMMYFUNCTION("""COMPUTED_VALUE""")," Great service will order again")</f>
        <v> Great service will order again</v>
      </c>
      <c r="S827" s="14" t="str">
        <f t="shared" ref="S827:U827" si="1657">trim(B827)</f>
        <v>ord_10818</v>
      </c>
      <c r="T827" s="14" t="str">
        <f t="shared" si="1657"/>
        <v>Mohit Malhotra</v>
      </c>
      <c r="U827" s="14" t="str">
        <f t="shared" si="1657"/>
        <v>Lower Parel</v>
      </c>
      <c r="V827" s="14" t="str">
        <f t="shared" si="4"/>
        <v>Juice</v>
      </c>
      <c r="W827" s="14">
        <f t="shared" si="5"/>
        <v>4</v>
      </c>
      <c r="X827" s="14" t="str">
        <f t="shared" si="6"/>
        <v>Kiran Mehta</v>
      </c>
      <c r="Y827" s="15">
        <f t="shared" si="7"/>
        <v>45273</v>
      </c>
      <c r="Z827" s="14" t="str">
        <f t="shared" si="8"/>
        <v>Credit Card</v>
      </c>
      <c r="AA827" s="14" t="str">
        <f t="shared" si="9"/>
        <v>Delivered</v>
      </c>
      <c r="AB827" s="14" t="str">
        <f t="shared" ref="AB827:AC827" si="1658">trim(Q827)</f>
        <v>Overall Satisfaction</v>
      </c>
      <c r="AC827" s="14" t="str">
        <f t="shared" si="1658"/>
        <v>Great service will order again</v>
      </c>
      <c r="AD827" s="8"/>
    </row>
    <row r="828">
      <c r="A828" s="14" t="str">
        <f>IFERROR(__xludf.DUMMYFUNCTION("""COMPUTED_VALUE"""),"//ord_10819//Omkar Mishra//Powai//Guava+1*Sandeep Kumar/8/6/2023//UPI//Delivered*On-time Delivery: Delivered on time")</f>
        <v>//ord_10819//Omkar Mishra//Powai//Guava+1*Sandeep Kumar/8/6/2023//UPI//Delivered*On-time Delivery: Delivered on time</v>
      </c>
      <c r="B828" s="14" t="str">
        <f>IFERROR(__xludf.DUMMYFUNCTION("split(A828,""//"")"),"ord_10819")</f>
        <v>ord_10819</v>
      </c>
      <c r="C828" s="14" t="str">
        <f>IFERROR(__xludf.DUMMYFUNCTION("""COMPUTED_VALUE"""),"Omkar Mishra")</f>
        <v>Omkar Mishra</v>
      </c>
      <c r="D828" s="14" t="str">
        <f>IFERROR(__xludf.DUMMYFUNCTION("""COMPUTED_VALUE"""),"Powai")</f>
        <v>Powai</v>
      </c>
      <c r="E828" s="14" t="str">
        <f>IFERROR(__xludf.DUMMYFUNCTION("""COMPUTED_VALUE"""),"Guava+1*Sandeep Kumar")</f>
        <v>Guava+1*Sandeep Kumar</v>
      </c>
      <c r="F828" s="14">
        <f>IFERROR(__xludf.DUMMYFUNCTION("""COMPUTED_VALUE"""),8.0)</f>
        <v>8</v>
      </c>
      <c r="G828" s="14">
        <f>IFERROR(__xludf.DUMMYFUNCTION("""COMPUTED_VALUE"""),6.0)</f>
        <v>6</v>
      </c>
      <c r="H828" s="14">
        <f>IFERROR(__xludf.DUMMYFUNCTION("""COMPUTED_VALUE"""),2023.0)</f>
        <v>2023</v>
      </c>
      <c r="I828" s="14" t="str">
        <f>IFERROR(__xludf.DUMMYFUNCTION("""COMPUTED_VALUE"""),"UPI")</f>
        <v>UPI</v>
      </c>
      <c r="J828" s="14" t="str">
        <f>IFERROR(__xludf.DUMMYFUNCTION("""COMPUTED_VALUE"""),"Delivered*On-time Delivery: Delivered on time")</f>
        <v>Delivered*On-time Delivery: Delivered on time</v>
      </c>
      <c r="K828" s="14" t="str">
        <f>IFERROR(__xludf.DUMMYFUNCTION("split(E828,""+"")"),"Guava")</f>
        <v>Guava</v>
      </c>
      <c r="L828" s="14" t="str">
        <f>IFERROR(__xludf.DUMMYFUNCTION("""COMPUTED_VALUE"""),"1*Sandeep Kumar")</f>
        <v>1*Sandeep Kumar</v>
      </c>
      <c r="M828" s="14">
        <f>IFERROR(__xludf.DUMMYFUNCTION("SPLIT(L828,""*"")"),1.0)</f>
        <v>1</v>
      </c>
      <c r="N828" s="14" t="str">
        <f>IFERROR(__xludf.DUMMYFUNCTION("""COMPUTED_VALUE"""),"Sandeep Kumar")</f>
        <v>Sandeep Kumar</v>
      </c>
      <c r="O828" s="14" t="str">
        <f>IFERROR(__xludf.DUMMYFUNCTION("split(J828,""*"")"),"Delivered")</f>
        <v>Delivered</v>
      </c>
      <c r="P828" s="14" t="str">
        <f>IFERROR(__xludf.DUMMYFUNCTION("""COMPUTED_VALUE"""),"On-time Delivery: Delivered on time")</f>
        <v>On-time Delivery: Delivered on time</v>
      </c>
      <c r="Q828" s="14" t="str">
        <f>IFERROR(__xludf.DUMMYFUNCTION("split(P828,"":"")"),"On-time Delivery")</f>
        <v>On-time Delivery</v>
      </c>
      <c r="R828" s="14" t="str">
        <f>IFERROR(__xludf.DUMMYFUNCTION("""COMPUTED_VALUE""")," Delivered on time")</f>
        <v> Delivered on time</v>
      </c>
      <c r="S828" s="14" t="str">
        <f t="shared" ref="S828:U828" si="1659">trim(B828)</f>
        <v>ord_10819</v>
      </c>
      <c r="T828" s="14" t="str">
        <f t="shared" si="1659"/>
        <v>Omkar Mishra</v>
      </c>
      <c r="U828" s="14" t="str">
        <f t="shared" si="1659"/>
        <v>Powai</v>
      </c>
      <c r="V828" s="14" t="str">
        <f t="shared" si="4"/>
        <v>Guava</v>
      </c>
      <c r="W828" s="14">
        <f t="shared" si="5"/>
        <v>1</v>
      </c>
      <c r="X828" s="14" t="str">
        <f t="shared" si="6"/>
        <v>Sandeep Kumar</v>
      </c>
      <c r="Y828" s="15">
        <f t="shared" si="7"/>
        <v>45144</v>
      </c>
      <c r="Z828" s="14" t="str">
        <f t="shared" si="8"/>
        <v>UPI</v>
      </c>
      <c r="AA828" s="14" t="str">
        <f t="shared" si="9"/>
        <v>Delivered</v>
      </c>
      <c r="AB828" s="14" t="str">
        <f t="shared" ref="AB828:AC828" si="1660">trim(Q828)</f>
        <v>On-time Delivery</v>
      </c>
      <c r="AC828" s="14" t="str">
        <f t="shared" si="1660"/>
        <v>Delivered on time</v>
      </c>
      <c r="AD828" s="8"/>
    </row>
    <row r="829">
      <c r="A829" s="14" t="str">
        <f>IFERROR(__xludf.DUMMYFUNCTION("""COMPUTED_VALUE"""),"//ord_10820//Pallavi Ghosh//Bandra//Potato+2*Priya Joshi/9/28/2023//Online Payment//Delivered*Quality of Items: Perfect condition")</f>
        <v>//ord_10820//Pallavi Ghosh//Bandra//Potato+2*Priya Joshi/9/28/2023//Online Payment//Delivered*Quality of Items: Perfect condition</v>
      </c>
      <c r="B829" s="14" t="str">
        <f>IFERROR(__xludf.DUMMYFUNCTION("split(A829,""//"")"),"ord_10820")</f>
        <v>ord_10820</v>
      </c>
      <c r="C829" s="14" t="str">
        <f>IFERROR(__xludf.DUMMYFUNCTION("""COMPUTED_VALUE"""),"Pallavi Ghosh")</f>
        <v>Pallavi Ghosh</v>
      </c>
      <c r="D829" s="14" t="str">
        <f>IFERROR(__xludf.DUMMYFUNCTION("""COMPUTED_VALUE"""),"Bandra")</f>
        <v>Bandra</v>
      </c>
      <c r="E829" s="14" t="str">
        <f>IFERROR(__xludf.DUMMYFUNCTION("""COMPUTED_VALUE"""),"Potato+2*Priya Joshi")</f>
        <v>Potato+2*Priya Joshi</v>
      </c>
      <c r="F829" s="14">
        <f>IFERROR(__xludf.DUMMYFUNCTION("""COMPUTED_VALUE"""),9.0)</f>
        <v>9</v>
      </c>
      <c r="G829" s="14">
        <f>IFERROR(__xludf.DUMMYFUNCTION("""COMPUTED_VALUE"""),28.0)</f>
        <v>28</v>
      </c>
      <c r="H829" s="14">
        <f>IFERROR(__xludf.DUMMYFUNCTION("""COMPUTED_VALUE"""),2023.0)</f>
        <v>2023</v>
      </c>
      <c r="I829" s="14" t="str">
        <f>IFERROR(__xludf.DUMMYFUNCTION("""COMPUTED_VALUE"""),"Online Payment")</f>
        <v>Online Payment</v>
      </c>
      <c r="J829" s="14" t="str">
        <f>IFERROR(__xludf.DUMMYFUNCTION("""COMPUTED_VALUE"""),"Delivered*Quality of Items: Perfect condition")</f>
        <v>Delivered*Quality of Items: Perfect condition</v>
      </c>
      <c r="K829" s="14" t="str">
        <f>IFERROR(__xludf.DUMMYFUNCTION("split(E829,""+"")"),"Potato")</f>
        <v>Potato</v>
      </c>
      <c r="L829" s="14" t="str">
        <f>IFERROR(__xludf.DUMMYFUNCTION("""COMPUTED_VALUE"""),"2*Priya Joshi")</f>
        <v>2*Priya Joshi</v>
      </c>
      <c r="M829" s="14">
        <f>IFERROR(__xludf.DUMMYFUNCTION("SPLIT(L829,""*"")"),2.0)</f>
        <v>2</v>
      </c>
      <c r="N829" s="14" t="str">
        <f>IFERROR(__xludf.DUMMYFUNCTION("""COMPUTED_VALUE"""),"Priya Joshi")</f>
        <v>Priya Joshi</v>
      </c>
      <c r="O829" s="14" t="str">
        <f>IFERROR(__xludf.DUMMYFUNCTION("split(J829,""*"")"),"Delivered")</f>
        <v>Delivered</v>
      </c>
      <c r="P829" s="14" t="str">
        <f>IFERROR(__xludf.DUMMYFUNCTION("""COMPUTED_VALUE"""),"Quality of Items: Perfect condition")</f>
        <v>Quality of Items: Perfect condition</v>
      </c>
      <c r="Q829" s="14" t="str">
        <f>IFERROR(__xludf.DUMMYFUNCTION("split(P829,"":"")"),"Quality of Items")</f>
        <v>Quality of Items</v>
      </c>
      <c r="R829" s="14" t="str">
        <f>IFERROR(__xludf.DUMMYFUNCTION("""COMPUTED_VALUE""")," Perfect condition")</f>
        <v> Perfect condition</v>
      </c>
      <c r="S829" s="14" t="str">
        <f t="shared" ref="S829:U829" si="1661">trim(B829)</f>
        <v>ord_10820</v>
      </c>
      <c r="T829" s="14" t="str">
        <f t="shared" si="1661"/>
        <v>Pallavi Ghosh</v>
      </c>
      <c r="U829" s="14" t="str">
        <f t="shared" si="1661"/>
        <v>Bandra</v>
      </c>
      <c r="V829" s="14" t="str">
        <f t="shared" si="4"/>
        <v>Potato</v>
      </c>
      <c r="W829" s="14">
        <f t="shared" si="5"/>
        <v>2</v>
      </c>
      <c r="X829" s="14" t="str">
        <f t="shared" si="6"/>
        <v>Priya Joshi</v>
      </c>
      <c r="Y829" s="15">
        <f t="shared" si="7"/>
        <v>45197</v>
      </c>
      <c r="Z829" s="14" t="str">
        <f t="shared" si="8"/>
        <v>Online Payment</v>
      </c>
      <c r="AA829" s="14" t="str">
        <f t="shared" si="9"/>
        <v>Delivered</v>
      </c>
      <c r="AB829" s="14" t="str">
        <f t="shared" ref="AB829:AC829" si="1662">trim(Q829)</f>
        <v>Quality of Items</v>
      </c>
      <c r="AC829" s="14" t="str">
        <f t="shared" si="1662"/>
        <v>Perfect condition</v>
      </c>
      <c r="AD829" s="8"/>
    </row>
    <row r="830">
      <c r="A830" s="14" t="str">
        <f>IFERROR(__xludf.DUMMYFUNCTION("""COMPUTED_VALUE"""),"//ord_10821//Ishita Banerjee//Juhu//Chilli Cheese Toast+5*Tanvi Jain/12/14/2023//UPI//Delivered*On-time Delivery: Delivered on time")</f>
        <v>//ord_10821//Ishita Banerjee//Juhu//Chilli Cheese Toast+5*Tanvi Jain/12/14/2023//UPI//Delivered*On-time Delivery: Delivered on time</v>
      </c>
      <c r="B830" s="14" t="str">
        <f>IFERROR(__xludf.DUMMYFUNCTION("split(A830,""//"")"),"ord_10821")</f>
        <v>ord_10821</v>
      </c>
      <c r="C830" s="14" t="str">
        <f>IFERROR(__xludf.DUMMYFUNCTION("""COMPUTED_VALUE"""),"Ishita Banerjee")</f>
        <v>Ishita Banerjee</v>
      </c>
      <c r="D830" s="14" t="str">
        <f>IFERROR(__xludf.DUMMYFUNCTION("""COMPUTED_VALUE"""),"Juhu")</f>
        <v>Juhu</v>
      </c>
      <c r="E830" s="14" t="str">
        <f>IFERROR(__xludf.DUMMYFUNCTION("""COMPUTED_VALUE"""),"Chilli Cheese Toast+5*Tanvi Jain")</f>
        <v>Chilli Cheese Toast+5*Tanvi Jain</v>
      </c>
      <c r="F830" s="14">
        <f>IFERROR(__xludf.DUMMYFUNCTION("""COMPUTED_VALUE"""),12.0)</f>
        <v>12</v>
      </c>
      <c r="G830" s="14">
        <f>IFERROR(__xludf.DUMMYFUNCTION("""COMPUTED_VALUE"""),14.0)</f>
        <v>14</v>
      </c>
      <c r="H830" s="14">
        <f>IFERROR(__xludf.DUMMYFUNCTION("""COMPUTED_VALUE"""),2023.0)</f>
        <v>2023</v>
      </c>
      <c r="I830" s="14" t="str">
        <f>IFERROR(__xludf.DUMMYFUNCTION("""COMPUTED_VALUE"""),"UPI")</f>
        <v>UPI</v>
      </c>
      <c r="J830" s="14" t="str">
        <f>IFERROR(__xludf.DUMMYFUNCTION("""COMPUTED_VALUE"""),"Delivered*On-time Delivery: Delivered on time")</f>
        <v>Delivered*On-time Delivery: Delivered on time</v>
      </c>
      <c r="K830" s="14" t="str">
        <f>IFERROR(__xludf.DUMMYFUNCTION("split(E830,""+"")"),"Chilli Cheese Toast")</f>
        <v>Chilli Cheese Toast</v>
      </c>
      <c r="L830" s="14" t="str">
        <f>IFERROR(__xludf.DUMMYFUNCTION("""COMPUTED_VALUE"""),"5*Tanvi Jain")</f>
        <v>5*Tanvi Jain</v>
      </c>
      <c r="M830" s="14">
        <f>IFERROR(__xludf.DUMMYFUNCTION("SPLIT(L830,""*"")"),5.0)</f>
        <v>5</v>
      </c>
      <c r="N830" s="14" t="str">
        <f>IFERROR(__xludf.DUMMYFUNCTION("""COMPUTED_VALUE"""),"Tanvi Jain")</f>
        <v>Tanvi Jain</v>
      </c>
      <c r="O830" s="14" t="str">
        <f>IFERROR(__xludf.DUMMYFUNCTION("split(J830,""*"")"),"Delivered")</f>
        <v>Delivered</v>
      </c>
      <c r="P830" s="14" t="str">
        <f>IFERROR(__xludf.DUMMYFUNCTION("""COMPUTED_VALUE"""),"On-time Delivery: Delivered on time")</f>
        <v>On-time Delivery: Delivered on time</v>
      </c>
      <c r="Q830" s="14" t="str">
        <f>IFERROR(__xludf.DUMMYFUNCTION("split(P830,"":"")"),"On-time Delivery")</f>
        <v>On-time Delivery</v>
      </c>
      <c r="R830" s="14" t="str">
        <f>IFERROR(__xludf.DUMMYFUNCTION("""COMPUTED_VALUE""")," Delivered on time")</f>
        <v> Delivered on time</v>
      </c>
      <c r="S830" s="14" t="str">
        <f t="shared" ref="S830:U830" si="1663">trim(B830)</f>
        <v>ord_10821</v>
      </c>
      <c r="T830" s="14" t="str">
        <f t="shared" si="1663"/>
        <v>Ishita Banerjee</v>
      </c>
      <c r="U830" s="14" t="str">
        <f t="shared" si="1663"/>
        <v>Juhu</v>
      </c>
      <c r="V830" s="14" t="str">
        <f t="shared" si="4"/>
        <v>Chilli Cheese Toast</v>
      </c>
      <c r="W830" s="14">
        <f t="shared" si="5"/>
        <v>5</v>
      </c>
      <c r="X830" s="14" t="str">
        <f t="shared" si="6"/>
        <v>Tanvi Jain</v>
      </c>
      <c r="Y830" s="15">
        <f t="shared" si="7"/>
        <v>45274</v>
      </c>
      <c r="Z830" s="14" t="str">
        <f t="shared" si="8"/>
        <v>UPI</v>
      </c>
      <c r="AA830" s="14" t="str">
        <f t="shared" si="9"/>
        <v>Delivered</v>
      </c>
      <c r="AB830" s="14" t="str">
        <f t="shared" ref="AB830:AC830" si="1664">trim(Q830)</f>
        <v>On-time Delivery</v>
      </c>
      <c r="AC830" s="14" t="str">
        <f t="shared" si="1664"/>
        <v>Delivered on time</v>
      </c>
      <c r="AD830" s="8"/>
    </row>
    <row r="831">
      <c r="A831" s="14" t="str">
        <f>IFERROR(__xludf.DUMMYFUNCTION("""COMPUTED_VALUE"""),"//ord_10822//Ishita Banerjee//Juhu//Rasmalai+3*Aman Kumar/11/17/2023//Credit Card//Cancelled*Delayed Delivery:Heavy Traffic")</f>
        <v>//ord_10822//Ishita Banerjee//Juhu//Rasmalai+3*Aman Kumar/11/17/2023//Credit Card//Cancelled*Delayed Delivery:Heavy Traffic</v>
      </c>
      <c r="B831" s="14" t="str">
        <f>IFERROR(__xludf.DUMMYFUNCTION("split(A831,""//"")"),"ord_10822")</f>
        <v>ord_10822</v>
      </c>
      <c r="C831" s="14" t="str">
        <f>IFERROR(__xludf.DUMMYFUNCTION("""COMPUTED_VALUE"""),"Ishita Banerjee")</f>
        <v>Ishita Banerjee</v>
      </c>
      <c r="D831" s="14" t="str">
        <f>IFERROR(__xludf.DUMMYFUNCTION("""COMPUTED_VALUE"""),"Juhu")</f>
        <v>Juhu</v>
      </c>
      <c r="E831" s="14" t="str">
        <f>IFERROR(__xludf.DUMMYFUNCTION("""COMPUTED_VALUE"""),"Rasmalai+3*Aman Kumar")</f>
        <v>Rasmalai+3*Aman Kumar</v>
      </c>
      <c r="F831" s="14">
        <f>IFERROR(__xludf.DUMMYFUNCTION("""COMPUTED_VALUE"""),11.0)</f>
        <v>11</v>
      </c>
      <c r="G831" s="14">
        <f>IFERROR(__xludf.DUMMYFUNCTION("""COMPUTED_VALUE"""),17.0)</f>
        <v>17</v>
      </c>
      <c r="H831" s="14">
        <f>IFERROR(__xludf.DUMMYFUNCTION("""COMPUTED_VALUE"""),2023.0)</f>
        <v>2023</v>
      </c>
      <c r="I831" s="14" t="str">
        <f>IFERROR(__xludf.DUMMYFUNCTION("""COMPUTED_VALUE"""),"Credit Card")</f>
        <v>Credit Card</v>
      </c>
      <c r="J831" s="14" t="str">
        <f>IFERROR(__xludf.DUMMYFUNCTION("""COMPUTED_VALUE"""),"Cancelled*Delayed Delivery:Heavy Traffic")</f>
        <v>Cancelled*Delayed Delivery:Heavy Traffic</v>
      </c>
      <c r="K831" s="14" t="str">
        <f>IFERROR(__xludf.DUMMYFUNCTION("split(E831,""+"")"),"Rasmalai")</f>
        <v>Rasmalai</v>
      </c>
      <c r="L831" s="14" t="str">
        <f>IFERROR(__xludf.DUMMYFUNCTION("""COMPUTED_VALUE"""),"3*Aman Kumar")</f>
        <v>3*Aman Kumar</v>
      </c>
      <c r="M831" s="14">
        <f>IFERROR(__xludf.DUMMYFUNCTION("SPLIT(L831,""*"")"),3.0)</f>
        <v>3</v>
      </c>
      <c r="N831" s="14" t="str">
        <f>IFERROR(__xludf.DUMMYFUNCTION("""COMPUTED_VALUE"""),"Aman Kumar")</f>
        <v>Aman Kumar</v>
      </c>
      <c r="O831" s="14" t="str">
        <f>IFERROR(__xludf.DUMMYFUNCTION("split(J831,""*"")"),"Cancelled")</f>
        <v>Cancelled</v>
      </c>
      <c r="P831" s="14" t="str">
        <f>IFERROR(__xludf.DUMMYFUNCTION("""COMPUTED_VALUE"""),"Delayed Delivery:Heavy Traffic")</f>
        <v>Delayed Delivery:Heavy Traffic</v>
      </c>
      <c r="Q831" s="14" t="str">
        <f>IFERROR(__xludf.DUMMYFUNCTION("split(P831,"":"")"),"Delayed Delivery")</f>
        <v>Delayed Delivery</v>
      </c>
      <c r="R831" s="14" t="str">
        <f>IFERROR(__xludf.DUMMYFUNCTION("""COMPUTED_VALUE"""),"Heavy Traffic")</f>
        <v>Heavy Traffic</v>
      </c>
      <c r="S831" s="14" t="str">
        <f t="shared" ref="S831:U831" si="1665">trim(B831)</f>
        <v>ord_10822</v>
      </c>
      <c r="T831" s="14" t="str">
        <f t="shared" si="1665"/>
        <v>Ishita Banerjee</v>
      </c>
      <c r="U831" s="14" t="str">
        <f t="shared" si="1665"/>
        <v>Juhu</v>
      </c>
      <c r="V831" s="14" t="str">
        <f t="shared" si="4"/>
        <v>Rasmalai</v>
      </c>
      <c r="W831" s="14">
        <f t="shared" si="5"/>
        <v>3</v>
      </c>
      <c r="X831" s="14" t="str">
        <f t="shared" si="6"/>
        <v>Aman Kumar</v>
      </c>
      <c r="Y831" s="15">
        <f t="shared" si="7"/>
        <v>45247</v>
      </c>
      <c r="Z831" s="14" t="str">
        <f t="shared" si="8"/>
        <v>Credit Card</v>
      </c>
      <c r="AA831" s="14" t="str">
        <f t="shared" si="9"/>
        <v>Cancelled</v>
      </c>
      <c r="AB831" s="14" t="str">
        <f t="shared" ref="AB831:AC831" si="1666">trim(Q831)</f>
        <v>Delayed Delivery</v>
      </c>
      <c r="AC831" s="14" t="str">
        <f t="shared" si="1666"/>
        <v>Heavy Traffic</v>
      </c>
      <c r="AD831" s="8"/>
    </row>
    <row r="832">
      <c r="A832" s="14" t="str">
        <f>IFERROR(__xludf.DUMMYFUNCTION("""COMPUTED_VALUE"""),"//ord_10823//Omkar Mishra//Powai//Cucumber+1*Sandeep Kumar/10/14/2023//UPI//Delivered*Quality of Items: Perfect condition")</f>
        <v>//ord_10823//Omkar Mishra//Powai//Cucumber+1*Sandeep Kumar/10/14/2023//UPI//Delivered*Quality of Items: Perfect condition</v>
      </c>
      <c r="B832" s="14" t="str">
        <f>IFERROR(__xludf.DUMMYFUNCTION("split(A832,""//"")"),"ord_10823")</f>
        <v>ord_10823</v>
      </c>
      <c r="C832" s="14" t="str">
        <f>IFERROR(__xludf.DUMMYFUNCTION("""COMPUTED_VALUE"""),"Omkar Mishra")</f>
        <v>Omkar Mishra</v>
      </c>
      <c r="D832" s="14" t="str">
        <f>IFERROR(__xludf.DUMMYFUNCTION("""COMPUTED_VALUE"""),"Powai")</f>
        <v>Powai</v>
      </c>
      <c r="E832" s="14" t="str">
        <f>IFERROR(__xludf.DUMMYFUNCTION("""COMPUTED_VALUE"""),"Cucumber+1*Sandeep Kumar")</f>
        <v>Cucumber+1*Sandeep Kumar</v>
      </c>
      <c r="F832" s="14">
        <f>IFERROR(__xludf.DUMMYFUNCTION("""COMPUTED_VALUE"""),10.0)</f>
        <v>10</v>
      </c>
      <c r="G832" s="14">
        <f>IFERROR(__xludf.DUMMYFUNCTION("""COMPUTED_VALUE"""),14.0)</f>
        <v>14</v>
      </c>
      <c r="H832" s="14">
        <f>IFERROR(__xludf.DUMMYFUNCTION("""COMPUTED_VALUE"""),2023.0)</f>
        <v>2023</v>
      </c>
      <c r="I832" s="14" t="str">
        <f>IFERROR(__xludf.DUMMYFUNCTION("""COMPUTED_VALUE"""),"UPI")</f>
        <v>UPI</v>
      </c>
      <c r="J832" s="14" t="str">
        <f>IFERROR(__xludf.DUMMYFUNCTION("""COMPUTED_VALUE"""),"Delivered*Quality of Items: Perfect condition")</f>
        <v>Delivered*Quality of Items: Perfect condition</v>
      </c>
      <c r="K832" s="14" t="str">
        <f>IFERROR(__xludf.DUMMYFUNCTION("split(E832,""+"")"),"Cucumber")</f>
        <v>Cucumber</v>
      </c>
      <c r="L832" s="14" t="str">
        <f>IFERROR(__xludf.DUMMYFUNCTION("""COMPUTED_VALUE"""),"1*Sandeep Kumar")</f>
        <v>1*Sandeep Kumar</v>
      </c>
      <c r="M832" s="14">
        <f>IFERROR(__xludf.DUMMYFUNCTION("SPLIT(L832,""*"")"),1.0)</f>
        <v>1</v>
      </c>
      <c r="N832" s="14" t="str">
        <f>IFERROR(__xludf.DUMMYFUNCTION("""COMPUTED_VALUE"""),"Sandeep Kumar")</f>
        <v>Sandeep Kumar</v>
      </c>
      <c r="O832" s="14" t="str">
        <f>IFERROR(__xludf.DUMMYFUNCTION("split(J832,""*"")"),"Delivered")</f>
        <v>Delivered</v>
      </c>
      <c r="P832" s="14" t="str">
        <f>IFERROR(__xludf.DUMMYFUNCTION("""COMPUTED_VALUE"""),"Quality of Items: Perfect condition")</f>
        <v>Quality of Items: Perfect condition</v>
      </c>
      <c r="Q832" s="14" t="str">
        <f>IFERROR(__xludf.DUMMYFUNCTION("split(P832,"":"")"),"Quality of Items")</f>
        <v>Quality of Items</v>
      </c>
      <c r="R832" s="14" t="str">
        <f>IFERROR(__xludf.DUMMYFUNCTION("""COMPUTED_VALUE""")," Perfect condition")</f>
        <v> Perfect condition</v>
      </c>
      <c r="S832" s="14" t="str">
        <f t="shared" ref="S832:U832" si="1667">trim(B832)</f>
        <v>ord_10823</v>
      </c>
      <c r="T832" s="14" t="str">
        <f t="shared" si="1667"/>
        <v>Omkar Mishra</v>
      </c>
      <c r="U832" s="14" t="str">
        <f t="shared" si="1667"/>
        <v>Powai</v>
      </c>
      <c r="V832" s="14" t="str">
        <f t="shared" si="4"/>
        <v>Cucumber</v>
      </c>
      <c r="W832" s="14">
        <f t="shared" si="5"/>
        <v>1</v>
      </c>
      <c r="X832" s="14" t="str">
        <f t="shared" si="6"/>
        <v>Sandeep Kumar</v>
      </c>
      <c r="Y832" s="15">
        <f t="shared" si="7"/>
        <v>45213</v>
      </c>
      <c r="Z832" s="14" t="str">
        <f t="shared" si="8"/>
        <v>UPI</v>
      </c>
      <c r="AA832" s="14" t="str">
        <f t="shared" si="9"/>
        <v>Delivered</v>
      </c>
      <c r="AB832" s="14" t="str">
        <f t="shared" ref="AB832:AC832" si="1668">trim(Q832)</f>
        <v>Quality of Items</v>
      </c>
      <c r="AC832" s="14" t="str">
        <f t="shared" si="1668"/>
        <v>Perfect condition</v>
      </c>
      <c r="AD832" s="8"/>
    </row>
    <row r="833">
      <c r="A833" s="14" t="str">
        <f>IFERROR(__xludf.DUMMYFUNCTION("""COMPUTED_VALUE"""),"//ord_10824//Aarav Mehta//Andheri//Veg Puff+4*Rohan Yadav/11/4/2023//Credit Card//Delivered*Packaging: Secure and intact")</f>
        <v>//ord_10824//Aarav Mehta//Andheri//Veg Puff+4*Rohan Yadav/11/4/2023//Credit Card//Delivered*Packaging: Secure and intact</v>
      </c>
      <c r="B833" s="14" t="str">
        <f>IFERROR(__xludf.DUMMYFUNCTION("split(A833,""//"")"),"ord_10824")</f>
        <v>ord_10824</v>
      </c>
      <c r="C833" s="14" t="str">
        <f>IFERROR(__xludf.DUMMYFUNCTION("""COMPUTED_VALUE"""),"Aarav Mehta")</f>
        <v>Aarav Mehta</v>
      </c>
      <c r="D833" s="14" t="str">
        <f>IFERROR(__xludf.DUMMYFUNCTION("""COMPUTED_VALUE"""),"Andheri")</f>
        <v>Andheri</v>
      </c>
      <c r="E833" s="14" t="str">
        <f>IFERROR(__xludf.DUMMYFUNCTION("""COMPUTED_VALUE"""),"Veg Puff+4*Rohan Yadav")</f>
        <v>Veg Puff+4*Rohan Yadav</v>
      </c>
      <c r="F833" s="14">
        <f>IFERROR(__xludf.DUMMYFUNCTION("""COMPUTED_VALUE"""),11.0)</f>
        <v>11</v>
      </c>
      <c r="G833" s="14">
        <f>IFERROR(__xludf.DUMMYFUNCTION("""COMPUTED_VALUE"""),4.0)</f>
        <v>4</v>
      </c>
      <c r="H833" s="14">
        <f>IFERROR(__xludf.DUMMYFUNCTION("""COMPUTED_VALUE"""),2023.0)</f>
        <v>2023</v>
      </c>
      <c r="I833" s="14" t="str">
        <f>IFERROR(__xludf.DUMMYFUNCTION("""COMPUTED_VALUE"""),"Credit Card")</f>
        <v>Credit Card</v>
      </c>
      <c r="J833" s="14" t="str">
        <f>IFERROR(__xludf.DUMMYFUNCTION("""COMPUTED_VALUE"""),"Delivered*Packaging: Secure and intact")</f>
        <v>Delivered*Packaging: Secure and intact</v>
      </c>
      <c r="K833" s="14" t="str">
        <f>IFERROR(__xludf.DUMMYFUNCTION("split(E833,""+"")"),"Veg Puff")</f>
        <v>Veg Puff</v>
      </c>
      <c r="L833" s="14" t="str">
        <f>IFERROR(__xludf.DUMMYFUNCTION("""COMPUTED_VALUE"""),"4*Rohan Yadav")</f>
        <v>4*Rohan Yadav</v>
      </c>
      <c r="M833" s="14">
        <f>IFERROR(__xludf.DUMMYFUNCTION("SPLIT(L833,""*"")"),4.0)</f>
        <v>4</v>
      </c>
      <c r="N833" s="14" t="str">
        <f>IFERROR(__xludf.DUMMYFUNCTION("""COMPUTED_VALUE"""),"Rohan Yadav")</f>
        <v>Rohan Yadav</v>
      </c>
      <c r="O833" s="14" t="str">
        <f>IFERROR(__xludf.DUMMYFUNCTION("split(J833,""*"")"),"Delivered")</f>
        <v>Delivered</v>
      </c>
      <c r="P833" s="14" t="str">
        <f>IFERROR(__xludf.DUMMYFUNCTION("""COMPUTED_VALUE"""),"Packaging: Secure and intact")</f>
        <v>Packaging: Secure and intact</v>
      </c>
      <c r="Q833" s="14" t="str">
        <f>IFERROR(__xludf.DUMMYFUNCTION("split(P833,"":"")"),"Packaging")</f>
        <v>Packaging</v>
      </c>
      <c r="R833" s="14" t="str">
        <f>IFERROR(__xludf.DUMMYFUNCTION("""COMPUTED_VALUE""")," Secure and intact")</f>
        <v> Secure and intact</v>
      </c>
      <c r="S833" s="14" t="str">
        <f t="shared" ref="S833:U833" si="1669">trim(B833)</f>
        <v>ord_10824</v>
      </c>
      <c r="T833" s="14" t="str">
        <f t="shared" si="1669"/>
        <v>Aarav Mehta</v>
      </c>
      <c r="U833" s="14" t="str">
        <f t="shared" si="1669"/>
        <v>Andheri</v>
      </c>
      <c r="V833" s="14" t="str">
        <f t="shared" si="4"/>
        <v>Veg Puff</v>
      </c>
      <c r="W833" s="14">
        <f t="shared" si="5"/>
        <v>4</v>
      </c>
      <c r="X833" s="14" t="str">
        <f t="shared" si="6"/>
        <v>Rohan Yadav</v>
      </c>
      <c r="Y833" s="15">
        <f t="shared" si="7"/>
        <v>45234</v>
      </c>
      <c r="Z833" s="14" t="str">
        <f t="shared" si="8"/>
        <v>Credit Card</v>
      </c>
      <c r="AA833" s="14" t="str">
        <f t="shared" si="9"/>
        <v>Delivered</v>
      </c>
      <c r="AB833" s="14" t="str">
        <f t="shared" ref="AB833:AC833" si="1670">trim(Q833)</f>
        <v>Packaging</v>
      </c>
      <c r="AC833" s="14" t="str">
        <f t="shared" si="1670"/>
        <v>Secure and intact</v>
      </c>
      <c r="AD833" s="8"/>
    </row>
    <row r="834">
      <c r="A834" s="14" t="str">
        <f>IFERROR(__xludf.DUMMYFUNCTION("""COMPUTED_VALUE"""),"//ord_10825//Sakshi Tandon//Colaba//Cold Coffee+5*Nikhil Deshmukh/5/30/2023//Online Payment//Delivered*Satisfied with the Delivery: Timely and quality")</f>
        <v>//ord_10825//Sakshi Tandon//Colaba//Cold Coffee+5*Nikhil Deshmukh/5/30/2023//Online Payment//Delivered*Satisfied with the Delivery: Timely and quality</v>
      </c>
      <c r="B834" s="14" t="str">
        <f>IFERROR(__xludf.DUMMYFUNCTION("split(A834,""//"")"),"ord_10825")</f>
        <v>ord_10825</v>
      </c>
      <c r="C834" s="14" t="str">
        <f>IFERROR(__xludf.DUMMYFUNCTION("""COMPUTED_VALUE"""),"Sakshi Tandon")</f>
        <v>Sakshi Tandon</v>
      </c>
      <c r="D834" s="14" t="str">
        <f>IFERROR(__xludf.DUMMYFUNCTION("""COMPUTED_VALUE"""),"Colaba")</f>
        <v>Colaba</v>
      </c>
      <c r="E834" s="14" t="str">
        <f>IFERROR(__xludf.DUMMYFUNCTION("""COMPUTED_VALUE"""),"Cold Coffee+5*Nikhil Deshmukh")</f>
        <v>Cold Coffee+5*Nikhil Deshmukh</v>
      </c>
      <c r="F834" s="14">
        <f>IFERROR(__xludf.DUMMYFUNCTION("""COMPUTED_VALUE"""),5.0)</f>
        <v>5</v>
      </c>
      <c r="G834" s="14">
        <f>IFERROR(__xludf.DUMMYFUNCTION("""COMPUTED_VALUE"""),30.0)</f>
        <v>30</v>
      </c>
      <c r="H834" s="14">
        <f>IFERROR(__xludf.DUMMYFUNCTION("""COMPUTED_VALUE"""),2023.0)</f>
        <v>2023</v>
      </c>
      <c r="I834" s="14" t="str">
        <f>IFERROR(__xludf.DUMMYFUNCTION("""COMPUTED_VALUE"""),"Online Payment")</f>
        <v>Online Payment</v>
      </c>
      <c r="J834" s="14" t="str">
        <f>IFERROR(__xludf.DUMMYFUNCTION("""COMPUTED_VALUE"""),"Delivered*Satisfied with the Delivery: Timely and quality")</f>
        <v>Delivered*Satisfied with the Delivery: Timely and quality</v>
      </c>
      <c r="K834" s="14" t="str">
        <f>IFERROR(__xludf.DUMMYFUNCTION("split(E834,""+"")"),"Cold Coffee")</f>
        <v>Cold Coffee</v>
      </c>
      <c r="L834" s="14" t="str">
        <f>IFERROR(__xludf.DUMMYFUNCTION("""COMPUTED_VALUE"""),"5*Nikhil Deshmukh")</f>
        <v>5*Nikhil Deshmukh</v>
      </c>
      <c r="M834" s="14">
        <f>IFERROR(__xludf.DUMMYFUNCTION("SPLIT(L834,""*"")"),5.0)</f>
        <v>5</v>
      </c>
      <c r="N834" s="14" t="str">
        <f>IFERROR(__xludf.DUMMYFUNCTION("""COMPUTED_VALUE"""),"Nikhil Deshmukh")</f>
        <v>Nikhil Deshmukh</v>
      </c>
      <c r="O834" s="14" t="str">
        <f>IFERROR(__xludf.DUMMYFUNCTION("split(J834,""*"")"),"Delivered")</f>
        <v>Delivered</v>
      </c>
      <c r="P834" s="14" t="str">
        <f>IFERROR(__xludf.DUMMYFUNCTION("""COMPUTED_VALUE"""),"Satisfied with the Delivery: Timely and quality")</f>
        <v>Satisfied with the Delivery: Timely and quality</v>
      </c>
      <c r="Q834" s="14" t="str">
        <f>IFERROR(__xludf.DUMMYFUNCTION("split(P834,"":"")"),"Satisfied with the Delivery")</f>
        <v>Satisfied with the Delivery</v>
      </c>
      <c r="R834" s="14" t="str">
        <f>IFERROR(__xludf.DUMMYFUNCTION("""COMPUTED_VALUE""")," Timely and quality")</f>
        <v> Timely and quality</v>
      </c>
      <c r="S834" s="14" t="str">
        <f t="shared" ref="S834:U834" si="1671">trim(B834)</f>
        <v>ord_10825</v>
      </c>
      <c r="T834" s="14" t="str">
        <f t="shared" si="1671"/>
        <v>Sakshi Tandon</v>
      </c>
      <c r="U834" s="14" t="str">
        <f t="shared" si="1671"/>
        <v>Colaba</v>
      </c>
      <c r="V834" s="14" t="str">
        <f t="shared" si="4"/>
        <v>Cold Coffee</v>
      </c>
      <c r="W834" s="14">
        <f t="shared" si="5"/>
        <v>5</v>
      </c>
      <c r="X834" s="14" t="str">
        <f t="shared" si="6"/>
        <v>Nikhil Deshmukh</v>
      </c>
      <c r="Y834" s="15">
        <f t="shared" si="7"/>
        <v>45076</v>
      </c>
      <c r="Z834" s="14" t="str">
        <f t="shared" si="8"/>
        <v>Online Payment</v>
      </c>
      <c r="AA834" s="14" t="str">
        <f t="shared" si="9"/>
        <v>Delivered</v>
      </c>
      <c r="AB834" s="14" t="str">
        <f t="shared" ref="AB834:AC834" si="1672">trim(Q834)</f>
        <v>Satisfied with the Delivery</v>
      </c>
      <c r="AC834" s="14" t="str">
        <f t="shared" si="1672"/>
        <v>Timely and quality</v>
      </c>
      <c r="AD834" s="8"/>
    </row>
    <row r="835">
      <c r="A835" s="14" t="str">
        <f>IFERROR(__xludf.DUMMYFUNCTION("""COMPUTED_VALUE"""),"//ord_10826//Anaya Rao//Colaba//Apple+1*Nikhil Deshmukh/12/4/2023//Credit Card//Delivered*Customer Service: Seamless and easy")</f>
        <v>//ord_10826//Anaya Rao//Colaba//Apple+1*Nikhil Deshmukh/12/4/2023//Credit Card//Delivered*Customer Service: Seamless and easy</v>
      </c>
      <c r="B835" s="14" t="str">
        <f>IFERROR(__xludf.DUMMYFUNCTION("split(A835,""//"")"),"ord_10826")</f>
        <v>ord_10826</v>
      </c>
      <c r="C835" s="14" t="str">
        <f>IFERROR(__xludf.DUMMYFUNCTION("""COMPUTED_VALUE"""),"Anaya Rao")</f>
        <v>Anaya Rao</v>
      </c>
      <c r="D835" s="14" t="str">
        <f>IFERROR(__xludf.DUMMYFUNCTION("""COMPUTED_VALUE"""),"Colaba")</f>
        <v>Colaba</v>
      </c>
      <c r="E835" s="14" t="str">
        <f>IFERROR(__xludf.DUMMYFUNCTION("""COMPUTED_VALUE"""),"Apple+1*Nikhil Deshmukh")</f>
        <v>Apple+1*Nikhil Deshmukh</v>
      </c>
      <c r="F835" s="14">
        <f>IFERROR(__xludf.DUMMYFUNCTION("""COMPUTED_VALUE"""),12.0)</f>
        <v>12</v>
      </c>
      <c r="G835" s="14">
        <f>IFERROR(__xludf.DUMMYFUNCTION("""COMPUTED_VALUE"""),4.0)</f>
        <v>4</v>
      </c>
      <c r="H835" s="14">
        <f>IFERROR(__xludf.DUMMYFUNCTION("""COMPUTED_VALUE"""),2023.0)</f>
        <v>2023</v>
      </c>
      <c r="I835" s="14" t="str">
        <f>IFERROR(__xludf.DUMMYFUNCTION("""COMPUTED_VALUE"""),"Credit Card")</f>
        <v>Credit Card</v>
      </c>
      <c r="J835" s="14" t="str">
        <f>IFERROR(__xludf.DUMMYFUNCTION("""COMPUTED_VALUE"""),"Delivered*Customer Service: Seamless and easy")</f>
        <v>Delivered*Customer Service: Seamless and easy</v>
      </c>
      <c r="K835" s="14" t="str">
        <f>IFERROR(__xludf.DUMMYFUNCTION("split(E835,""+"")"),"Apple")</f>
        <v>Apple</v>
      </c>
      <c r="L835" s="14" t="str">
        <f>IFERROR(__xludf.DUMMYFUNCTION("""COMPUTED_VALUE"""),"1*Nikhil Deshmukh")</f>
        <v>1*Nikhil Deshmukh</v>
      </c>
      <c r="M835" s="14">
        <f>IFERROR(__xludf.DUMMYFUNCTION("SPLIT(L835,""*"")"),1.0)</f>
        <v>1</v>
      </c>
      <c r="N835" s="14" t="str">
        <f>IFERROR(__xludf.DUMMYFUNCTION("""COMPUTED_VALUE"""),"Nikhil Deshmukh")</f>
        <v>Nikhil Deshmukh</v>
      </c>
      <c r="O835" s="14" t="str">
        <f>IFERROR(__xludf.DUMMYFUNCTION("split(J835,""*"")"),"Delivered")</f>
        <v>Delivered</v>
      </c>
      <c r="P835" s="14" t="str">
        <f>IFERROR(__xludf.DUMMYFUNCTION("""COMPUTED_VALUE"""),"Customer Service: Seamless and easy")</f>
        <v>Customer Service: Seamless and easy</v>
      </c>
      <c r="Q835" s="14" t="str">
        <f>IFERROR(__xludf.DUMMYFUNCTION("split(P835,"":"")"),"Customer Service")</f>
        <v>Customer Service</v>
      </c>
      <c r="R835" s="14" t="str">
        <f>IFERROR(__xludf.DUMMYFUNCTION("""COMPUTED_VALUE""")," Seamless and easy")</f>
        <v> Seamless and easy</v>
      </c>
      <c r="S835" s="14" t="str">
        <f t="shared" ref="S835:U835" si="1673">trim(B835)</f>
        <v>ord_10826</v>
      </c>
      <c r="T835" s="14" t="str">
        <f t="shared" si="1673"/>
        <v>Anaya Rao</v>
      </c>
      <c r="U835" s="14" t="str">
        <f t="shared" si="1673"/>
        <v>Colaba</v>
      </c>
      <c r="V835" s="14" t="str">
        <f t="shared" si="4"/>
        <v>Apple</v>
      </c>
      <c r="W835" s="14">
        <f t="shared" si="5"/>
        <v>1</v>
      </c>
      <c r="X835" s="14" t="str">
        <f t="shared" si="6"/>
        <v>Nikhil Deshmukh</v>
      </c>
      <c r="Y835" s="15">
        <f t="shared" si="7"/>
        <v>45264</v>
      </c>
      <c r="Z835" s="14" t="str">
        <f t="shared" si="8"/>
        <v>Credit Card</v>
      </c>
      <c r="AA835" s="14" t="str">
        <f t="shared" si="9"/>
        <v>Delivered</v>
      </c>
      <c r="AB835" s="14" t="str">
        <f t="shared" ref="AB835:AC835" si="1674">trim(Q835)</f>
        <v>Customer Service</v>
      </c>
      <c r="AC835" s="14" t="str">
        <f t="shared" si="1674"/>
        <v>Seamless and easy</v>
      </c>
      <c r="AD835" s="8"/>
    </row>
    <row r="836">
      <c r="A836" s="14" t="str">
        <f>IFERROR(__xludf.DUMMYFUNCTION("""COMPUTED_VALUE"""),"//ord_10827//Aditi Iyer//Dadar//Cold Coffee+1*Aman Kumar/7/7/2023//Credit Card//Delivered*Delivery Experience: Quick and professional")</f>
        <v>//ord_10827//Aditi Iyer//Dadar//Cold Coffee+1*Aman Kumar/7/7/2023//Credit Card//Delivered*Delivery Experience: Quick and professional</v>
      </c>
      <c r="B836" s="14" t="str">
        <f>IFERROR(__xludf.DUMMYFUNCTION("split(A836,""//"")"),"ord_10827")</f>
        <v>ord_10827</v>
      </c>
      <c r="C836" s="14" t="str">
        <f>IFERROR(__xludf.DUMMYFUNCTION("""COMPUTED_VALUE"""),"Aditi Iyer")</f>
        <v>Aditi Iyer</v>
      </c>
      <c r="D836" s="14" t="str">
        <f>IFERROR(__xludf.DUMMYFUNCTION("""COMPUTED_VALUE"""),"Dadar")</f>
        <v>Dadar</v>
      </c>
      <c r="E836" s="14" t="str">
        <f>IFERROR(__xludf.DUMMYFUNCTION("""COMPUTED_VALUE"""),"Cold Coffee+1*Aman Kumar")</f>
        <v>Cold Coffee+1*Aman Kumar</v>
      </c>
      <c r="F836" s="14">
        <f>IFERROR(__xludf.DUMMYFUNCTION("""COMPUTED_VALUE"""),7.0)</f>
        <v>7</v>
      </c>
      <c r="G836" s="14">
        <f>IFERROR(__xludf.DUMMYFUNCTION("""COMPUTED_VALUE"""),7.0)</f>
        <v>7</v>
      </c>
      <c r="H836" s="14">
        <f>IFERROR(__xludf.DUMMYFUNCTION("""COMPUTED_VALUE"""),2023.0)</f>
        <v>2023</v>
      </c>
      <c r="I836" s="14" t="str">
        <f>IFERROR(__xludf.DUMMYFUNCTION("""COMPUTED_VALUE"""),"Credit Card")</f>
        <v>Credit Card</v>
      </c>
      <c r="J836" s="14" t="str">
        <f>IFERROR(__xludf.DUMMYFUNCTION("""COMPUTED_VALUE"""),"Delivered*Delivery Experience: Quick and professional")</f>
        <v>Delivered*Delivery Experience: Quick and professional</v>
      </c>
      <c r="K836" s="14" t="str">
        <f>IFERROR(__xludf.DUMMYFUNCTION("split(E836,""+"")"),"Cold Coffee")</f>
        <v>Cold Coffee</v>
      </c>
      <c r="L836" s="14" t="str">
        <f>IFERROR(__xludf.DUMMYFUNCTION("""COMPUTED_VALUE"""),"1*Aman Kumar")</f>
        <v>1*Aman Kumar</v>
      </c>
      <c r="M836" s="14">
        <f>IFERROR(__xludf.DUMMYFUNCTION("SPLIT(L836,""*"")"),1.0)</f>
        <v>1</v>
      </c>
      <c r="N836" s="14" t="str">
        <f>IFERROR(__xludf.DUMMYFUNCTION("""COMPUTED_VALUE"""),"Aman Kumar")</f>
        <v>Aman Kumar</v>
      </c>
      <c r="O836" s="14" t="str">
        <f>IFERROR(__xludf.DUMMYFUNCTION("split(J836,""*"")"),"Delivered")</f>
        <v>Delivered</v>
      </c>
      <c r="P836" s="14" t="str">
        <f>IFERROR(__xludf.DUMMYFUNCTION("""COMPUTED_VALUE"""),"Delivery Experience: Quick and professional")</f>
        <v>Delivery Experience: Quick and professional</v>
      </c>
      <c r="Q836" s="14" t="str">
        <f>IFERROR(__xludf.DUMMYFUNCTION("split(P836,"":"")"),"Delivery Experience")</f>
        <v>Delivery Experience</v>
      </c>
      <c r="R836" s="14" t="str">
        <f>IFERROR(__xludf.DUMMYFUNCTION("""COMPUTED_VALUE""")," Quick and professional")</f>
        <v> Quick and professional</v>
      </c>
      <c r="S836" s="14" t="str">
        <f t="shared" ref="S836:U836" si="1675">trim(B836)</f>
        <v>ord_10827</v>
      </c>
      <c r="T836" s="14" t="str">
        <f t="shared" si="1675"/>
        <v>Aditi Iyer</v>
      </c>
      <c r="U836" s="14" t="str">
        <f t="shared" si="1675"/>
        <v>Dadar</v>
      </c>
      <c r="V836" s="14" t="str">
        <f t="shared" si="4"/>
        <v>Cold Coffee</v>
      </c>
      <c r="W836" s="14">
        <f t="shared" si="5"/>
        <v>1</v>
      </c>
      <c r="X836" s="14" t="str">
        <f t="shared" si="6"/>
        <v>Aman Kumar</v>
      </c>
      <c r="Y836" s="15">
        <f t="shared" si="7"/>
        <v>45114</v>
      </c>
      <c r="Z836" s="14" t="str">
        <f t="shared" si="8"/>
        <v>Credit Card</v>
      </c>
      <c r="AA836" s="14" t="str">
        <f t="shared" si="9"/>
        <v>Delivered</v>
      </c>
      <c r="AB836" s="14" t="str">
        <f t="shared" ref="AB836:AC836" si="1676">trim(Q836)</f>
        <v>Delivery Experience</v>
      </c>
      <c r="AC836" s="14" t="str">
        <f t="shared" si="1676"/>
        <v>Quick and professional</v>
      </c>
      <c r="AD836" s="8"/>
    </row>
    <row r="837">
      <c r="A837" s="14" t="str">
        <f>IFERROR(__xludf.DUMMYFUNCTION("""COMPUTED_VALUE"""),"//ord_10828//Aditi Iyer//Dadar//Rasmalai+1*Aman Kumar/2/20/2023//Credit Card//Delivered*Convenience: Easy tracking")</f>
        <v>//ord_10828//Aditi Iyer//Dadar//Rasmalai+1*Aman Kumar/2/20/2023//Credit Card//Delivered*Convenience: Easy tracking</v>
      </c>
      <c r="B837" s="14" t="str">
        <f>IFERROR(__xludf.DUMMYFUNCTION("split(A837,""//"")"),"ord_10828")</f>
        <v>ord_10828</v>
      </c>
      <c r="C837" s="14" t="str">
        <f>IFERROR(__xludf.DUMMYFUNCTION("""COMPUTED_VALUE"""),"Aditi Iyer")</f>
        <v>Aditi Iyer</v>
      </c>
      <c r="D837" s="14" t="str">
        <f>IFERROR(__xludf.DUMMYFUNCTION("""COMPUTED_VALUE"""),"Dadar")</f>
        <v>Dadar</v>
      </c>
      <c r="E837" s="14" t="str">
        <f>IFERROR(__xludf.DUMMYFUNCTION("""COMPUTED_VALUE"""),"Rasmalai+1*Aman Kumar")</f>
        <v>Rasmalai+1*Aman Kumar</v>
      </c>
      <c r="F837" s="14">
        <f>IFERROR(__xludf.DUMMYFUNCTION("""COMPUTED_VALUE"""),2.0)</f>
        <v>2</v>
      </c>
      <c r="G837" s="14">
        <f>IFERROR(__xludf.DUMMYFUNCTION("""COMPUTED_VALUE"""),20.0)</f>
        <v>20</v>
      </c>
      <c r="H837" s="14">
        <f>IFERROR(__xludf.DUMMYFUNCTION("""COMPUTED_VALUE"""),2023.0)</f>
        <v>2023</v>
      </c>
      <c r="I837" s="14" t="str">
        <f>IFERROR(__xludf.DUMMYFUNCTION("""COMPUTED_VALUE"""),"Credit Card")</f>
        <v>Credit Card</v>
      </c>
      <c r="J837" s="14" t="str">
        <f>IFERROR(__xludf.DUMMYFUNCTION("""COMPUTED_VALUE"""),"Delivered*Convenience: Easy tracking")</f>
        <v>Delivered*Convenience: Easy tracking</v>
      </c>
      <c r="K837" s="14" t="str">
        <f>IFERROR(__xludf.DUMMYFUNCTION("split(E837,""+"")"),"Rasmalai")</f>
        <v>Rasmalai</v>
      </c>
      <c r="L837" s="14" t="str">
        <f>IFERROR(__xludf.DUMMYFUNCTION("""COMPUTED_VALUE"""),"1*Aman Kumar")</f>
        <v>1*Aman Kumar</v>
      </c>
      <c r="M837" s="14">
        <f>IFERROR(__xludf.DUMMYFUNCTION("SPLIT(L837,""*"")"),1.0)</f>
        <v>1</v>
      </c>
      <c r="N837" s="14" t="str">
        <f>IFERROR(__xludf.DUMMYFUNCTION("""COMPUTED_VALUE"""),"Aman Kumar")</f>
        <v>Aman Kumar</v>
      </c>
      <c r="O837" s="14" t="str">
        <f>IFERROR(__xludf.DUMMYFUNCTION("split(J837,""*"")"),"Delivered")</f>
        <v>Delivered</v>
      </c>
      <c r="P837" s="14" t="str">
        <f>IFERROR(__xludf.DUMMYFUNCTION("""COMPUTED_VALUE"""),"Convenience: Easy tracking")</f>
        <v>Convenience: Easy tracking</v>
      </c>
      <c r="Q837" s="14" t="str">
        <f>IFERROR(__xludf.DUMMYFUNCTION("split(P837,"":"")"),"Convenience")</f>
        <v>Convenience</v>
      </c>
      <c r="R837" s="14" t="str">
        <f>IFERROR(__xludf.DUMMYFUNCTION("""COMPUTED_VALUE""")," Easy tracking")</f>
        <v> Easy tracking</v>
      </c>
      <c r="S837" s="14" t="str">
        <f t="shared" ref="S837:U837" si="1677">trim(B837)</f>
        <v>ord_10828</v>
      </c>
      <c r="T837" s="14" t="str">
        <f t="shared" si="1677"/>
        <v>Aditi Iyer</v>
      </c>
      <c r="U837" s="14" t="str">
        <f t="shared" si="1677"/>
        <v>Dadar</v>
      </c>
      <c r="V837" s="14" t="str">
        <f t="shared" si="4"/>
        <v>Rasmalai</v>
      </c>
      <c r="W837" s="14">
        <f t="shared" si="5"/>
        <v>1</v>
      </c>
      <c r="X837" s="14" t="str">
        <f t="shared" si="6"/>
        <v>Aman Kumar</v>
      </c>
      <c r="Y837" s="15">
        <f t="shared" si="7"/>
        <v>44977</v>
      </c>
      <c r="Z837" s="14" t="str">
        <f t="shared" si="8"/>
        <v>Credit Card</v>
      </c>
      <c r="AA837" s="14" t="str">
        <f t="shared" si="9"/>
        <v>Delivered</v>
      </c>
      <c r="AB837" s="14" t="str">
        <f t="shared" ref="AB837:AC837" si="1678">trim(Q837)</f>
        <v>Convenience</v>
      </c>
      <c r="AC837" s="14" t="str">
        <f t="shared" si="1678"/>
        <v>Easy tracking</v>
      </c>
      <c r="AD837" s="8"/>
    </row>
    <row r="838">
      <c r="A838" s="14" t="str">
        <f>IFERROR(__xludf.DUMMYFUNCTION("""COMPUTED_VALUE"""),"//ord_10829//Kritika Shetty//Malad//Guava+1*Manju Ajay/6/23/2023//Credit Card//Cancelled*Delayed Delivery:Bad Weather Conditions ")</f>
        <v>//ord_10829//Kritika Shetty//Malad//Guava+1*Manju Ajay/6/23/2023//Credit Card//Cancelled*Delayed Delivery:Bad Weather Conditions </v>
      </c>
      <c r="B838" s="14" t="str">
        <f>IFERROR(__xludf.DUMMYFUNCTION("split(A838,""//"")"),"ord_10829")</f>
        <v>ord_10829</v>
      </c>
      <c r="C838" s="14" t="str">
        <f>IFERROR(__xludf.DUMMYFUNCTION("""COMPUTED_VALUE"""),"Kritika Shetty")</f>
        <v>Kritika Shetty</v>
      </c>
      <c r="D838" s="14" t="str">
        <f>IFERROR(__xludf.DUMMYFUNCTION("""COMPUTED_VALUE"""),"Malad")</f>
        <v>Malad</v>
      </c>
      <c r="E838" s="14" t="str">
        <f>IFERROR(__xludf.DUMMYFUNCTION("""COMPUTED_VALUE"""),"Guava+1*Manju Ajay")</f>
        <v>Guava+1*Manju Ajay</v>
      </c>
      <c r="F838" s="14">
        <f>IFERROR(__xludf.DUMMYFUNCTION("""COMPUTED_VALUE"""),6.0)</f>
        <v>6</v>
      </c>
      <c r="G838" s="14">
        <f>IFERROR(__xludf.DUMMYFUNCTION("""COMPUTED_VALUE"""),23.0)</f>
        <v>23</v>
      </c>
      <c r="H838" s="14">
        <f>IFERROR(__xludf.DUMMYFUNCTION("""COMPUTED_VALUE"""),2023.0)</f>
        <v>2023</v>
      </c>
      <c r="I838" s="14" t="str">
        <f>IFERROR(__xludf.DUMMYFUNCTION("""COMPUTED_VALUE"""),"Credit Card")</f>
        <v>Credit Card</v>
      </c>
      <c r="J838" s="14" t="str">
        <f>IFERROR(__xludf.DUMMYFUNCTION("""COMPUTED_VALUE"""),"Cancelled*Delayed Delivery:Bad Weather Conditions ")</f>
        <v>Cancelled*Delayed Delivery:Bad Weather Conditions </v>
      </c>
      <c r="K838" s="14" t="str">
        <f>IFERROR(__xludf.DUMMYFUNCTION("split(E838,""+"")"),"Guava")</f>
        <v>Guava</v>
      </c>
      <c r="L838" s="14" t="str">
        <f>IFERROR(__xludf.DUMMYFUNCTION("""COMPUTED_VALUE"""),"1*Manju Ajay")</f>
        <v>1*Manju Ajay</v>
      </c>
      <c r="M838" s="14">
        <f>IFERROR(__xludf.DUMMYFUNCTION("SPLIT(L838,""*"")"),1.0)</f>
        <v>1</v>
      </c>
      <c r="N838" s="14" t="str">
        <f>IFERROR(__xludf.DUMMYFUNCTION("""COMPUTED_VALUE"""),"Manju Ajay")</f>
        <v>Manju Ajay</v>
      </c>
      <c r="O838" s="14" t="str">
        <f>IFERROR(__xludf.DUMMYFUNCTION("split(J838,""*"")"),"Cancelled")</f>
        <v>Cancelled</v>
      </c>
      <c r="P838" s="14" t="str">
        <f>IFERROR(__xludf.DUMMYFUNCTION("""COMPUTED_VALUE"""),"Delayed Delivery:Bad Weather Conditions ")</f>
        <v>Delayed Delivery:Bad Weather Conditions </v>
      </c>
      <c r="Q838" s="14" t="str">
        <f>IFERROR(__xludf.DUMMYFUNCTION("split(P838,"":"")"),"Delayed Delivery")</f>
        <v>Delayed Delivery</v>
      </c>
      <c r="R838" s="14" t="str">
        <f>IFERROR(__xludf.DUMMYFUNCTION("""COMPUTED_VALUE"""),"Bad Weather Conditions ")</f>
        <v>Bad Weather Conditions </v>
      </c>
      <c r="S838" s="14" t="str">
        <f t="shared" ref="S838:U838" si="1679">trim(B838)</f>
        <v>ord_10829</v>
      </c>
      <c r="T838" s="14" t="str">
        <f t="shared" si="1679"/>
        <v>Kritika Shetty</v>
      </c>
      <c r="U838" s="14" t="str">
        <f t="shared" si="1679"/>
        <v>Malad</v>
      </c>
      <c r="V838" s="14" t="str">
        <f t="shared" si="4"/>
        <v>Guava</v>
      </c>
      <c r="W838" s="14">
        <f t="shared" si="5"/>
        <v>1</v>
      </c>
      <c r="X838" s="14" t="str">
        <f t="shared" si="6"/>
        <v>Manju Ajay</v>
      </c>
      <c r="Y838" s="15">
        <f t="shared" si="7"/>
        <v>45100</v>
      </c>
      <c r="Z838" s="14" t="str">
        <f t="shared" si="8"/>
        <v>Credit Card</v>
      </c>
      <c r="AA838" s="14" t="str">
        <f t="shared" si="9"/>
        <v>Cancelled</v>
      </c>
      <c r="AB838" s="14" t="str">
        <f t="shared" ref="AB838:AC838" si="1680">trim(Q838)</f>
        <v>Delayed Delivery</v>
      </c>
      <c r="AC838" s="14" t="str">
        <f t="shared" si="1680"/>
        <v>Bad Weather Conditions</v>
      </c>
      <c r="AD838" s="8"/>
    </row>
    <row r="839">
      <c r="A839" s="14" t="str">
        <f>IFERROR(__xludf.DUMMYFUNCTION("""COMPUTED_VALUE"""),"//ord_30830//Siya Reddy//Juhu//Veg Puff+1*Tanvi Jain/10/29/2023//Online Payment//Delivered*Overall Satisfaction: Great service will order again")</f>
        <v>//ord_30830//Siya Reddy//Juhu//Veg Puff+1*Tanvi Jain/10/29/2023//Online Payment//Delivered*Overall Satisfaction: Great service will order again</v>
      </c>
      <c r="B839" s="14" t="str">
        <f>IFERROR(__xludf.DUMMYFUNCTION("split(A839,""//"")"),"ord_30830")</f>
        <v>ord_30830</v>
      </c>
      <c r="C839" s="14" t="str">
        <f>IFERROR(__xludf.DUMMYFUNCTION("""COMPUTED_VALUE"""),"Siya Reddy")</f>
        <v>Siya Reddy</v>
      </c>
      <c r="D839" s="14" t="str">
        <f>IFERROR(__xludf.DUMMYFUNCTION("""COMPUTED_VALUE"""),"Juhu")</f>
        <v>Juhu</v>
      </c>
      <c r="E839" s="14" t="str">
        <f>IFERROR(__xludf.DUMMYFUNCTION("""COMPUTED_VALUE"""),"Veg Puff+1*Tanvi Jain")</f>
        <v>Veg Puff+1*Tanvi Jain</v>
      </c>
      <c r="F839" s="14">
        <f>IFERROR(__xludf.DUMMYFUNCTION("""COMPUTED_VALUE"""),10.0)</f>
        <v>10</v>
      </c>
      <c r="G839" s="14">
        <f>IFERROR(__xludf.DUMMYFUNCTION("""COMPUTED_VALUE"""),29.0)</f>
        <v>29</v>
      </c>
      <c r="H839" s="14">
        <f>IFERROR(__xludf.DUMMYFUNCTION("""COMPUTED_VALUE"""),2023.0)</f>
        <v>2023</v>
      </c>
      <c r="I839" s="14" t="str">
        <f>IFERROR(__xludf.DUMMYFUNCTION("""COMPUTED_VALUE"""),"Online Payment")</f>
        <v>Online Payment</v>
      </c>
      <c r="J839" s="14" t="str">
        <f>IFERROR(__xludf.DUMMYFUNCTION("""COMPUTED_VALUE"""),"Delivered*Overall Satisfaction: Great service will order again")</f>
        <v>Delivered*Overall Satisfaction: Great service will order again</v>
      </c>
      <c r="K839" s="14" t="str">
        <f>IFERROR(__xludf.DUMMYFUNCTION("split(E839,""+"")"),"Veg Puff")</f>
        <v>Veg Puff</v>
      </c>
      <c r="L839" s="14" t="str">
        <f>IFERROR(__xludf.DUMMYFUNCTION("""COMPUTED_VALUE"""),"1*Tanvi Jain")</f>
        <v>1*Tanvi Jain</v>
      </c>
      <c r="M839" s="14">
        <f>IFERROR(__xludf.DUMMYFUNCTION("SPLIT(L839,""*"")"),1.0)</f>
        <v>1</v>
      </c>
      <c r="N839" s="14" t="str">
        <f>IFERROR(__xludf.DUMMYFUNCTION("""COMPUTED_VALUE"""),"Tanvi Jain")</f>
        <v>Tanvi Jain</v>
      </c>
      <c r="O839" s="14" t="str">
        <f>IFERROR(__xludf.DUMMYFUNCTION("split(J839,""*"")"),"Delivered")</f>
        <v>Delivered</v>
      </c>
      <c r="P839" s="14" t="str">
        <f>IFERROR(__xludf.DUMMYFUNCTION("""COMPUTED_VALUE"""),"Overall Satisfaction: Great service will order again")</f>
        <v>Overall Satisfaction: Great service will order again</v>
      </c>
      <c r="Q839" s="14" t="str">
        <f>IFERROR(__xludf.DUMMYFUNCTION("split(P839,"":"")"),"Overall Satisfaction")</f>
        <v>Overall Satisfaction</v>
      </c>
      <c r="R839" s="14" t="str">
        <f>IFERROR(__xludf.DUMMYFUNCTION("""COMPUTED_VALUE""")," Great service will order again")</f>
        <v> Great service will order again</v>
      </c>
      <c r="S839" s="14" t="str">
        <f t="shared" ref="S839:U839" si="1681">trim(B839)</f>
        <v>ord_30830</v>
      </c>
      <c r="T839" s="14" t="str">
        <f t="shared" si="1681"/>
        <v>Siya Reddy</v>
      </c>
      <c r="U839" s="14" t="str">
        <f t="shared" si="1681"/>
        <v>Juhu</v>
      </c>
      <c r="V839" s="14" t="str">
        <f t="shared" si="4"/>
        <v>Veg Puff</v>
      </c>
      <c r="W839" s="14">
        <f t="shared" si="5"/>
        <v>1</v>
      </c>
      <c r="X839" s="14" t="str">
        <f t="shared" si="6"/>
        <v>Tanvi Jain</v>
      </c>
      <c r="Y839" s="15">
        <f t="shared" si="7"/>
        <v>45228</v>
      </c>
      <c r="Z839" s="14" t="str">
        <f t="shared" si="8"/>
        <v>Online Payment</v>
      </c>
      <c r="AA839" s="14" t="str">
        <f t="shared" si="9"/>
        <v>Delivered</v>
      </c>
      <c r="AB839" s="14" t="str">
        <f t="shared" ref="AB839:AC839" si="1682">trim(Q839)</f>
        <v>Overall Satisfaction</v>
      </c>
      <c r="AC839" s="14" t="str">
        <f t="shared" si="1682"/>
        <v>Great service will order again</v>
      </c>
      <c r="AD839" s="8"/>
    </row>
    <row r="840">
      <c r="A840" s="14" t="str">
        <f>IFERROR(__xludf.DUMMYFUNCTION("""COMPUTED_VALUE"""),"//ord_30831//Diya Arora//Lower Parel//Juice+3*Kiran Mehta/2/14/2023//Credit Card//Delivered*On-time Delivery: Delivered on time")</f>
        <v>//ord_30831//Diya Arora//Lower Parel//Juice+3*Kiran Mehta/2/14/2023//Credit Card//Delivered*On-time Delivery: Delivered on time</v>
      </c>
      <c r="B840" s="14" t="str">
        <f>IFERROR(__xludf.DUMMYFUNCTION("split(A840,""//"")"),"ord_30831")</f>
        <v>ord_30831</v>
      </c>
      <c r="C840" s="14" t="str">
        <f>IFERROR(__xludf.DUMMYFUNCTION("""COMPUTED_VALUE"""),"Diya Arora")</f>
        <v>Diya Arora</v>
      </c>
      <c r="D840" s="14" t="str">
        <f>IFERROR(__xludf.DUMMYFUNCTION("""COMPUTED_VALUE"""),"Lower Parel")</f>
        <v>Lower Parel</v>
      </c>
      <c r="E840" s="14" t="str">
        <f>IFERROR(__xludf.DUMMYFUNCTION("""COMPUTED_VALUE"""),"Juice+3*Kiran Mehta")</f>
        <v>Juice+3*Kiran Mehta</v>
      </c>
      <c r="F840" s="14">
        <f>IFERROR(__xludf.DUMMYFUNCTION("""COMPUTED_VALUE"""),2.0)</f>
        <v>2</v>
      </c>
      <c r="G840" s="14">
        <f>IFERROR(__xludf.DUMMYFUNCTION("""COMPUTED_VALUE"""),14.0)</f>
        <v>14</v>
      </c>
      <c r="H840" s="14">
        <f>IFERROR(__xludf.DUMMYFUNCTION("""COMPUTED_VALUE"""),2023.0)</f>
        <v>2023</v>
      </c>
      <c r="I840" s="14" t="str">
        <f>IFERROR(__xludf.DUMMYFUNCTION("""COMPUTED_VALUE"""),"Credit Card")</f>
        <v>Credit Card</v>
      </c>
      <c r="J840" s="14" t="str">
        <f>IFERROR(__xludf.DUMMYFUNCTION("""COMPUTED_VALUE"""),"Delivered*On-time Delivery: Delivered on time")</f>
        <v>Delivered*On-time Delivery: Delivered on time</v>
      </c>
      <c r="K840" s="14" t="str">
        <f>IFERROR(__xludf.DUMMYFUNCTION("split(E840,""+"")"),"Juice")</f>
        <v>Juice</v>
      </c>
      <c r="L840" s="14" t="str">
        <f>IFERROR(__xludf.DUMMYFUNCTION("""COMPUTED_VALUE"""),"3*Kiran Mehta")</f>
        <v>3*Kiran Mehta</v>
      </c>
      <c r="M840" s="14">
        <f>IFERROR(__xludf.DUMMYFUNCTION("SPLIT(L840,""*"")"),3.0)</f>
        <v>3</v>
      </c>
      <c r="N840" s="14" t="str">
        <f>IFERROR(__xludf.DUMMYFUNCTION("""COMPUTED_VALUE"""),"Kiran Mehta")</f>
        <v>Kiran Mehta</v>
      </c>
      <c r="O840" s="14" t="str">
        <f>IFERROR(__xludf.DUMMYFUNCTION("split(J840,""*"")"),"Delivered")</f>
        <v>Delivered</v>
      </c>
      <c r="P840" s="14" t="str">
        <f>IFERROR(__xludf.DUMMYFUNCTION("""COMPUTED_VALUE"""),"On-time Delivery: Delivered on time")</f>
        <v>On-time Delivery: Delivered on time</v>
      </c>
      <c r="Q840" s="14" t="str">
        <f>IFERROR(__xludf.DUMMYFUNCTION("split(P840,"":"")"),"On-time Delivery")</f>
        <v>On-time Delivery</v>
      </c>
      <c r="R840" s="14" t="str">
        <f>IFERROR(__xludf.DUMMYFUNCTION("""COMPUTED_VALUE""")," Delivered on time")</f>
        <v> Delivered on time</v>
      </c>
      <c r="S840" s="14" t="str">
        <f t="shared" ref="S840:U840" si="1683">trim(B840)</f>
        <v>ord_30831</v>
      </c>
      <c r="T840" s="14" t="str">
        <f t="shared" si="1683"/>
        <v>Diya Arora</v>
      </c>
      <c r="U840" s="14" t="str">
        <f t="shared" si="1683"/>
        <v>Lower Parel</v>
      </c>
      <c r="V840" s="14" t="str">
        <f t="shared" si="4"/>
        <v>Juice</v>
      </c>
      <c r="W840" s="14">
        <f t="shared" si="5"/>
        <v>3</v>
      </c>
      <c r="X840" s="14" t="str">
        <f t="shared" si="6"/>
        <v>Kiran Mehta</v>
      </c>
      <c r="Y840" s="15">
        <f t="shared" si="7"/>
        <v>44971</v>
      </c>
      <c r="Z840" s="14" t="str">
        <f t="shared" si="8"/>
        <v>Credit Card</v>
      </c>
      <c r="AA840" s="14" t="str">
        <f t="shared" si="9"/>
        <v>Delivered</v>
      </c>
      <c r="AB840" s="14" t="str">
        <f t="shared" ref="AB840:AC840" si="1684">trim(Q840)</f>
        <v>On-time Delivery</v>
      </c>
      <c r="AC840" s="14" t="str">
        <f t="shared" si="1684"/>
        <v>Delivered on time</v>
      </c>
      <c r="AD840" s="8"/>
    </row>
    <row r="841">
      <c r="A841" s="14" t="str">
        <f>IFERROR(__xludf.DUMMYFUNCTION("""COMPUTED_VALUE"""),"//ord_30832//Anaya Rao//Colaba//Banana+2*Nikhil Deshmukh/5/18/2023//Credit Card//Delivered*Quality of Items: Perfect condition")</f>
        <v>//ord_30832//Anaya Rao//Colaba//Banana+2*Nikhil Deshmukh/5/18/2023//Credit Card//Delivered*Quality of Items: Perfect condition</v>
      </c>
      <c r="B841" s="14" t="str">
        <f>IFERROR(__xludf.DUMMYFUNCTION("split(A841,""//"")"),"ord_30832")</f>
        <v>ord_30832</v>
      </c>
      <c r="C841" s="14" t="str">
        <f>IFERROR(__xludf.DUMMYFUNCTION("""COMPUTED_VALUE"""),"Anaya Rao")</f>
        <v>Anaya Rao</v>
      </c>
      <c r="D841" s="14" t="str">
        <f>IFERROR(__xludf.DUMMYFUNCTION("""COMPUTED_VALUE"""),"Colaba")</f>
        <v>Colaba</v>
      </c>
      <c r="E841" s="14" t="str">
        <f>IFERROR(__xludf.DUMMYFUNCTION("""COMPUTED_VALUE"""),"Banana+2*Nikhil Deshmukh")</f>
        <v>Banana+2*Nikhil Deshmukh</v>
      </c>
      <c r="F841" s="14">
        <f>IFERROR(__xludf.DUMMYFUNCTION("""COMPUTED_VALUE"""),5.0)</f>
        <v>5</v>
      </c>
      <c r="G841" s="14">
        <f>IFERROR(__xludf.DUMMYFUNCTION("""COMPUTED_VALUE"""),18.0)</f>
        <v>18</v>
      </c>
      <c r="H841" s="14">
        <f>IFERROR(__xludf.DUMMYFUNCTION("""COMPUTED_VALUE"""),2023.0)</f>
        <v>2023</v>
      </c>
      <c r="I841" s="14" t="str">
        <f>IFERROR(__xludf.DUMMYFUNCTION("""COMPUTED_VALUE"""),"Credit Card")</f>
        <v>Credit Card</v>
      </c>
      <c r="J841" s="14" t="str">
        <f>IFERROR(__xludf.DUMMYFUNCTION("""COMPUTED_VALUE"""),"Delivered*Quality of Items: Perfect condition")</f>
        <v>Delivered*Quality of Items: Perfect condition</v>
      </c>
      <c r="K841" s="14" t="str">
        <f>IFERROR(__xludf.DUMMYFUNCTION("split(E841,""+"")"),"Banana")</f>
        <v>Banana</v>
      </c>
      <c r="L841" s="14" t="str">
        <f>IFERROR(__xludf.DUMMYFUNCTION("""COMPUTED_VALUE"""),"2*Nikhil Deshmukh")</f>
        <v>2*Nikhil Deshmukh</v>
      </c>
      <c r="M841" s="14">
        <f>IFERROR(__xludf.DUMMYFUNCTION("SPLIT(L841,""*"")"),2.0)</f>
        <v>2</v>
      </c>
      <c r="N841" s="14" t="str">
        <f>IFERROR(__xludf.DUMMYFUNCTION("""COMPUTED_VALUE"""),"Nikhil Deshmukh")</f>
        <v>Nikhil Deshmukh</v>
      </c>
      <c r="O841" s="14" t="str">
        <f>IFERROR(__xludf.DUMMYFUNCTION("split(J841,""*"")"),"Delivered")</f>
        <v>Delivered</v>
      </c>
      <c r="P841" s="14" t="str">
        <f>IFERROR(__xludf.DUMMYFUNCTION("""COMPUTED_VALUE"""),"Quality of Items: Perfect condition")</f>
        <v>Quality of Items: Perfect condition</v>
      </c>
      <c r="Q841" s="14" t="str">
        <f>IFERROR(__xludf.DUMMYFUNCTION("split(P841,"":"")"),"Quality of Items")</f>
        <v>Quality of Items</v>
      </c>
      <c r="R841" s="14" t="str">
        <f>IFERROR(__xludf.DUMMYFUNCTION("""COMPUTED_VALUE""")," Perfect condition")</f>
        <v> Perfect condition</v>
      </c>
      <c r="S841" s="14" t="str">
        <f t="shared" ref="S841:U841" si="1685">trim(B841)</f>
        <v>ord_30832</v>
      </c>
      <c r="T841" s="14" t="str">
        <f t="shared" si="1685"/>
        <v>Anaya Rao</v>
      </c>
      <c r="U841" s="14" t="str">
        <f t="shared" si="1685"/>
        <v>Colaba</v>
      </c>
      <c r="V841" s="14" t="str">
        <f t="shared" si="4"/>
        <v>Banana</v>
      </c>
      <c r="W841" s="14">
        <f t="shared" si="5"/>
        <v>2</v>
      </c>
      <c r="X841" s="14" t="str">
        <f t="shared" si="6"/>
        <v>Nikhil Deshmukh</v>
      </c>
      <c r="Y841" s="15">
        <f t="shared" si="7"/>
        <v>45064</v>
      </c>
      <c r="Z841" s="14" t="str">
        <f t="shared" si="8"/>
        <v>Credit Card</v>
      </c>
      <c r="AA841" s="14" t="str">
        <f t="shared" si="9"/>
        <v>Delivered</v>
      </c>
      <c r="AB841" s="14" t="str">
        <f t="shared" ref="AB841:AC841" si="1686">trim(Q841)</f>
        <v>Quality of Items</v>
      </c>
      <c r="AC841" s="14" t="str">
        <f t="shared" si="1686"/>
        <v>Perfect condition</v>
      </c>
      <c r="AD841" s="8"/>
    </row>
    <row r="842">
      <c r="A842" s="14" t="str">
        <f>IFERROR(__xludf.DUMMYFUNCTION("""COMPUTED_VALUE"""),"//ord_30833//Sanjay Nair//Dadar//Tiramisu+3*Aman Kumar/3/7/2023//Online Payment//Delivered*On-time Delivery: Delivered on time")</f>
        <v>//ord_30833//Sanjay Nair//Dadar//Tiramisu+3*Aman Kumar/3/7/2023//Online Payment//Delivered*On-time Delivery: Delivered on time</v>
      </c>
      <c r="B842" s="14" t="str">
        <f>IFERROR(__xludf.DUMMYFUNCTION("split(A842,""//"")"),"ord_30833")</f>
        <v>ord_30833</v>
      </c>
      <c r="C842" s="14" t="str">
        <f>IFERROR(__xludf.DUMMYFUNCTION("""COMPUTED_VALUE"""),"Sanjay Nair")</f>
        <v>Sanjay Nair</v>
      </c>
      <c r="D842" s="14" t="str">
        <f>IFERROR(__xludf.DUMMYFUNCTION("""COMPUTED_VALUE"""),"Dadar")</f>
        <v>Dadar</v>
      </c>
      <c r="E842" s="14" t="str">
        <f>IFERROR(__xludf.DUMMYFUNCTION("""COMPUTED_VALUE"""),"Tiramisu+3*Aman Kumar")</f>
        <v>Tiramisu+3*Aman Kumar</v>
      </c>
      <c r="F842" s="14">
        <f>IFERROR(__xludf.DUMMYFUNCTION("""COMPUTED_VALUE"""),3.0)</f>
        <v>3</v>
      </c>
      <c r="G842" s="14">
        <f>IFERROR(__xludf.DUMMYFUNCTION("""COMPUTED_VALUE"""),7.0)</f>
        <v>7</v>
      </c>
      <c r="H842" s="14">
        <f>IFERROR(__xludf.DUMMYFUNCTION("""COMPUTED_VALUE"""),2023.0)</f>
        <v>2023</v>
      </c>
      <c r="I842" s="14" t="str">
        <f>IFERROR(__xludf.DUMMYFUNCTION("""COMPUTED_VALUE"""),"Online Payment")</f>
        <v>Online Payment</v>
      </c>
      <c r="J842" s="14" t="str">
        <f>IFERROR(__xludf.DUMMYFUNCTION("""COMPUTED_VALUE"""),"Delivered*On-time Delivery: Delivered on time")</f>
        <v>Delivered*On-time Delivery: Delivered on time</v>
      </c>
      <c r="K842" s="14" t="str">
        <f>IFERROR(__xludf.DUMMYFUNCTION("split(E842,""+"")"),"Tiramisu")</f>
        <v>Tiramisu</v>
      </c>
      <c r="L842" s="14" t="str">
        <f>IFERROR(__xludf.DUMMYFUNCTION("""COMPUTED_VALUE"""),"3*Aman Kumar")</f>
        <v>3*Aman Kumar</v>
      </c>
      <c r="M842" s="14">
        <f>IFERROR(__xludf.DUMMYFUNCTION("SPLIT(L842,""*"")"),3.0)</f>
        <v>3</v>
      </c>
      <c r="N842" s="14" t="str">
        <f>IFERROR(__xludf.DUMMYFUNCTION("""COMPUTED_VALUE"""),"Aman Kumar")</f>
        <v>Aman Kumar</v>
      </c>
      <c r="O842" s="14" t="str">
        <f>IFERROR(__xludf.DUMMYFUNCTION("split(J842,""*"")"),"Delivered")</f>
        <v>Delivered</v>
      </c>
      <c r="P842" s="14" t="str">
        <f>IFERROR(__xludf.DUMMYFUNCTION("""COMPUTED_VALUE"""),"On-time Delivery: Delivered on time")</f>
        <v>On-time Delivery: Delivered on time</v>
      </c>
      <c r="Q842" s="14" t="str">
        <f>IFERROR(__xludf.DUMMYFUNCTION("split(P842,"":"")"),"On-time Delivery")</f>
        <v>On-time Delivery</v>
      </c>
      <c r="R842" s="14" t="str">
        <f>IFERROR(__xludf.DUMMYFUNCTION("""COMPUTED_VALUE""")," Delivered on time")</f>
        <v> Delivered on time</v>
      </c>
      <c r="S842" s="14" t="str">
        <f t="shared" ref="S842:U842" si="1687">trim(B842)</f>
        <v>ord_30833</v>
      </c>
      <c r="T842" s="14" t="str">
        <f t="shared" si="1687"/>
        <v>Sanjay Nair</v>
      </c>
      <c r="U842" s="14" t="str">
        <f t="shared" si="1687"/>
        <v>Dadar</v>
      </c>
      <c r="V842" s="14" t="str">
        <f t="shared" si="4"/>
        <v>Tiramisu</v>
      </c>
      <c r="W842" s="14">
        <f t="shared" si="5"/>
        <v>3</v>
      </c>
      <c r="X842" s="14" t="str">
        <f t="shared" si="6"/>
        <v>Aman Kumar</v>
      </c>
      <c r="Y842" s="15">
        <f t="shared" si="7"/>
        <v>44992</v>
      </c>
      <c r="Z842" s="14" t="str">
        <f t="shared" si="8"/>
        <v>Online Payment</v>
      </c>
      <c r="AA842" s="14" t="str">
        <f t="shared" si="9"/>
        <v>Delivered</v>
      </c>
      <c r="AB842" s="14" t="str">
        <f t="shared" ref="AB842:AC842" si="1688">trim(Q842)</f>
        <v>On-time Delivery</v>
      </c>
      <c r="AC842" s="14" t="str">
        <f t="shared" si="1688"/>
        <v>Delivered on time</v>
      </c>
      <c r="AD842" s="8"/>
    </row>
    <row r="843">
      <c r="A843" s="14" t="str">
        <f>IFERROR(__xludf.DUMMYFUNCTION("""COMPUTED_VALUE"""),"//ord_30834//Pranav Joshi//Andheri//Potato+1*Rohan Yadav/10/7/2023//Credit Card//Delivered*Quality of Items: Perfect condition")</f>
        <v>//ord_30834//Pranav Joshi//Andheri//Potato+1*Rohan Yadav/10/7/2023//Credit Card//Delivered*Quality of Items: Perfect condition</v>
      </c>
      <c r="B843" s="14" t="str">
        <f>IFERROR(__xludf.DUMMYFUNCTION("split(A843,""//"")"),"ord_30834")</f>
        <v>ord_30834</v>
      </c>
      <c r="C843" s="14" t="str">
        <f>IFERROR(__xludf.DUMMYFUNCTION("""COMPUTED_VALUE"""),"Pranav Joshi")</f>
        <v>Pranav Joshi</v>
      </c>
      <c r="D843" s="14" t="str">
        <f>IFERROR(__xludf.DUMMYFUNCTION("""COMPUTED_VALUE"""),"Andheri")</f>
        <v>Andheri</v>
      </c>
      <c r="E843" s="14" t="str">
        <f>IFERROR(__xludf.DUMMYFUNCTION("""COMPUTED_VALUE"""),"Potato+1*Rohan Yadav")</f>
        <v>Potato+1*Rohan Yadav</v>
      </c>
      <c r="F843" s="14">
        <f>IFERROR(__xludf.DUMMYFUNCTION("""COMPUTED_VALUE"""),10.0)</f>
        <v>10</v>
      </c>
      <c r="G843" s="14">
        <f>IFERROR(__xludf.DUMMYFUNCTION("""COMPUTED_VALUE"""),7.0)</f>
        <v>7</v>
      </c>
      <c r="H843" s="14">
        <f>IFERROR(__xludf.DUMMYFUNCTION("""COMPUTED_VALUE"""),2023.0)</f>
        <v>2023</v>
      </c>
      <c r="I843" s="14" t="str">
        <f>IFERROR(__xludf.DUMMYFUNCTION("""COMPUTED_VALUE"""),"Credit Card")</f>
        <v>Credit Card</v>
      </c>
      <c r="J843" s="14" t="str">
        <f>IFERROR(__xludf.DUMMYFUNCTION("""COMPUTED_VALUE"""),"Delivered*Quality of Items: Perfect condition")</f>
        <v>Delivered*Quality of Items: Perfect condition</v>
      </c>
      <c r="K843" s="14" t="str">
        <f>IFERROR(__xludf.DUMMYFUNCTION("split(E843,""+"")"),"Potato")</f>
        <v>Potato</v>
      </c>
      <c r="L843" s="14" t="str">
        <f>IFERROR(__xludf.DUMMYFUNCTION("""COMPUTED_VALUE"""),"1*Rohan Yadav")</f>
        <v>1*Rohan Yadav</v>
      </c>
      <c r="M843" s="14">
        <f>IFERROR(__xludf.DUMMYFUNCTION("SPLIT(L843,""*"")"),1.0)</f>
        <v>1</v>
      </c>
      <c r="N843" s="14" t="str">
        <f>IFERROR(__xludf.DUMMYFUNCTION("""COMPUTED_VALUE"""),"Rohan Yadav")</f>
        <v>Rohan Yadav</v>
      </c>
      <c r="O843" s="14" t="str">
        <f>IFERROR(__xludf.DUMMYFUNCTION("split(J843,""*"")"),"Delivered")</f>
        <v>Delivered</v>
      </c>
      <c r="P843" s="14" t="str">
        <f>IFERROR(__xludf.DUMMYFUNCTION("""COMPUTED_VALUE"""),"Quality of Items: Perfect condition")</f>
        <v>Quality of Items: Perfect condition</v>
      </c>
      <c r="Q843" s="14" t="str">
        <f>IFERROR(__xludf.DUMMYFUNCTION("split(P843,"":"")"),"Quality of Items")</f>
        <v>Quality of Items</v>
      </c>
      <c r="R843" s="14" t="str">
        <f>IFERROR(__xludf.DUMMYFUNCTION("""COMPUTED_VALUE""")," Perfect condition")</f>
        <v> Perfect condition</v>
      </c>
      <c r="S843" s="14" t="str">
        <f t="shared" ref="S843:U843" si="1689">trim(B843)</f>
        <v>ord_30834</v>
      </c>
      <c r="T843" s="14" t="str">
        <f t="shared" si="1689"/>
        <v>Pranav Joshi</v>
      </c>
      <c r="U843" s="14" t="str">
        <f t="shared" si="1689"/>
        <v>Andheri</v>
      </c>
      <c r="V843" s="14" t="str">
        <f t="shared" si="4"/>
        <v>Potato</v>
      </c>
      <c r="W843" s="14">
        <f t="shared" si="5"/>
        <v>1</v>
      </c>
      <c r="X843" s="14" t="str">
        <f t="shared" si="6"/>
        <v>Rohan Yadav</v>
      </c>
      <c r="Y843" s="15">
        <f t="shared" si="7"/>
        <v>45206</v>
      </c>
      <c r="Z843" s="14" t="str">
        <f t="shared" si="8"/>
        <v>Credit Card</v>
      </c>
      <c r="AA843" s="14" t="str">
        <f t="shared" si="9"/>
        <v>Delivered</v>
      </c>
      <c r="AB843" s="14" t="str">
        <f t="shared" ref="AB843:AC843" si="1690">trim(Q843)</f>
        <v>Quality of Items</v>
      </c>
      <c r="AC843" s="14" t="str">
        <f t="shared" si="1690"/>
        <v>Perfect condition</v>
      </c>
      <c r="AD843" s="8"/>
    </row>
    <row r="844">
      <c r="A844" s="14" t="str">
        <f>IFERROR(__xludf.DUMMYFUNCTION("""COMPUTED_VALUE"""),"//ord_30835//Sakshi Tandon//Colaba//Tomato+2*Nikhil Deshmukh/6/11/2023//UPI//Delivered*Packaging: Secure and intact")</f>
        <v>//ord_30835//Sakshi Tandon//Colaba//Tomato+2*Nikhil Deshmukh/6/11/2023//UPI//Delivered*Packaging: Secure and intact</v>
      </c>
      <c r="B844" s="14" t="str">
        <f>IFERROR(__xludf.DUMMYFUNCTION("split(A844,""//"")"),"ord_30835")</f>
        <v>ord_30835</v>
      </c>
      <c r="C844" s="14" t="str">
        <f>IFERROR(__xludf.DUMMYFUNCTION("""COMPUTED_VALUE"""),"Sakshi Tandon")</f>
        <v>Sakshi Tandon</v>
      </c>
      <c r="D844" s="14" t="str">
        <f>IFERROR(__xludf.DUMMYFUNCTION("""COMPUTED_VALUE"""),"Colaba")</f>
        <v>Colaba</v>
      </c>
      <c r="E844" s="14" t="str">
        <f>IFERROR(__xludf.DUMMYFUNCTION("""COMPUTED_VALUE"""),"Tomato+2*Nikhil Deshmukh")</f>
        <v>Tomato+2*Nikhil Deshmukh</v>
      </c>
      <c r="F844" s="14">
        <f>IFERROR(__xludf.DUMMYFUNCTION("""COMPUTED_VALUE"""),6.0)</f>
        <v>6</v>
      </c>
      <c r="G844" s="14">
        <f>IFERROR(__xludf.DUMMYFUNCTION("""COMPUTED_VALUE"""),11.0)</f>
        <v>11</v>
      </c>
      <c r="H844" s="14">
        <f>IFERROR(__xludf.DUMMYFUNCTION("""COMPUTED_VALUE"""),2023.0)</f>
        <v>2023</v>
      </c>
      <c r="I844" s="14" t="str">
        <f>IFERROR(__xludf.DUMMYFUNCTION("""COMPUTED_VALUE"""),"UPI")</f>
        <v>UPI</v>
      </c>
      <c r="J844" s="14" t="str">
        <f>IFERROR(__xludf.DUMMYFUNCTION("""COMPUTED_VALUE"""),"Delivered*Packaging: Secure and intact")</f>
        <v>Delivered*Packaging: Secure and intact</v>
      </c>
      <c r="K844" s="14" t="str">
        <f>IFERROR(__xludf.DUMMYFUNCTION("split(E844,""+"")"),"Tomato")</f>
        <v>Tomato</v>
      </c>
      <c r="L844" s="14" t="str">
        <f>IFERROR(__xludf.DUMMYFUNCTION("""COMPUTED_VALUE"""),"2*Nikhil Deshmukh")</f>
        <v>2*Nikhil Deshmukh</v>
      </c>
      <c r="M844" s="14">
        <f>IFERROR(__xludf.DUMMYFUNCTION("SPLIT(L844,""*"")"),2.0)</f>
        <v>2</v>
      </c>
      <c r="N844" s="14" t="str">
        <f>IFERROR(__xludf.DUMMYFUNCTION("""COMPUTED_VALUE"""),"Nikhil Deshmukh")</f>
        <v>Nikhil Deshmukh</v>
      </c>
      <c r="O844" s="14" t="str">
        <f>IFERROR(__xludf.DUMMYFUNCTION("split(J844,""*"")"),"Delivered")</f>
        <v>Delivered</v>
      </c>
      <c r="P844" s="14" t="str">
        <f>IFERROR(__xludf.DUMMYFUNCTION("""COMPUTED_VALUE"""),"Packaging: Secure and intact")</f>
        <v>Packaging: Secure and intact</v>
      </c>
      <c r="Q844" s="14" t="str">
        <f>IFERROR(__xludf.DUMMYFUNCTION("split(P844,"":"")"),"Packaging")</f>
        <v>Packaging</v>
      </c>
      <c r="R844" s="14" t="str">
        <f>IFERROR(__xludf.DUMMYFUNCTION("""COMPUTED_VALUE""")," Secure and intact")</f>
        <v> Secure and intact</v>
      </c>
      <c r="S844" s="14" t="str">
        <f t="shared" ref="S844:U844" si="1691">trim(B844)</f>
        <v>ord_30835</v>
      </c>
      <c r="T844" s="14" t="str">
        <f t="shared" si="1691"/>
        <v>Sakshi Tandon</v>
      </c>
      <c r="U844" s="14" t="str">
        <f t="shared" si="1691"/>
        <v>Colaba</v>
      </c>
      <c r="V844" s="14" t="str">
        <f t="shared" si="4"/>
        <v>Tomato</v>
      </c>
      <c r="W844" s="14">
        <f t="shared" si="5"/>
        <v>2</v>
      </c>
      <c r="X844" s="14" t="str">
        <f t="shared" si="6"/>
        <v>Nikhil Deshmukh</v>
      </c>
      <c r="Y844" s="15">
        <f t="shared" si="7"/>
        <v>45088</v>
      </c>
      <c r="Z844" s="14" t="str">
        <f t="shared" si="8"/>
        <v>UPI</v>
      </c>
      <c r="AA844" s="14" t="str">
        <f t="shared" si="9"/>
        <v>Delivered</v>
      </c>
      <c r="AB844" s="14" t="str">
        <f t="shared" ref="AB844:AC844" si="1692">trim(Q844)</f>
        <v>Packaging</v>
      </c>
      <c r="AC844" s="14" t="str">
        <f t="shared" si="1692"/>
        <v>Secure and intact</v>
      </c>
      <c r="AD844" s="8"/>
    </row>
    <row r="845">
      <c r="A845" s="14" t="str">
        <f>IFERROR(__xludf.DUMMYFUNCTION("""COMPUTED_VALUE"""),"//ord_30836//Aarohi Kapoor//Bandra//Icecream+3*Priya Joshi/9/20/2023//UPI//Delivered*Satisfied with the Delivery: Timely and quality")</f>
        <v>//ord_30836//Aarohi Kapoor//Bandra//Icecream+3*Priya Joshi/9/20/2023//UPI//Delivered*Satisfied with the Delivery: Timely and quality</v>
      </c>
      <c r="B845" s="14" t="str">
        <f>IFERROR(__xludf.DUMMYFUNCTION("split(A845,""//"")"),"ord_30836")</f>
        <v>ord_30836</v>
      </c>
      <c r="C845" s="14" t="str">
        <f>IFERROR(__xludf.DUMMYFUNCTION("""COMPUTED_VALUE"""),"Aarohi Kapoor")</f>
        <v>Aarohi Kapoor</v>
      </c>
      <c r="D845" s="14" t="str">
        <f>IFERROR(__xludf.DUMMYFUNCTION("""COMPUTED_VALUE"""),"Bandra")</f>
        <v>Bandra</v>
      </c>
      <c r="E845" s="14" t="str">
        <f>IFERROR(__xludf.DUMMYFUNCTION("""COMPUTED_VALUE"""),"Icecream+3*Priya Joshi")</f>
        <v>Icecream+3*Priya Joshi</v>
      </c>
      <c r="F845" s="14">
        <f>IFERROR(__xludf.DUMMYFUNCTION("""COMPUTED_VALUE"""),9.0)</f>
        <v>9</v>
      </c>
      <c r="G845" s="14">
        <f>IFERROR(__xludf.DUMMYFUNCTION("""COMPUTED_VALUE"""),20.0)</f>
        <v>20</v>
      </c>
      <c r="H845" s="14">
        <f>IFERROR(__xludf.DUMMYFUNCTION("""COMPUTED_VALUE"""),2023.0)</f>
        <v>2023</v>
      </c>
      <c r="I845" s="14" t="str">
        <f>IFERROR(__xludf.DUMMYFUNCTION("""COMPUTED_VALUE"""),"UPI")</f>
        <v>UPI</v>
      </c>
      <c r="J845" s="14" t="str">
        <f>IFERROR(__xludf.DUMMYFUNCTION("""COMPUTED_VALUE"""),"Delivered*Satisfied with the Delivery: Timely and quality")</f>
        <v>Delivered*Satisfied with the Delivery: Timely and quality</v>
      </c>
      <c r="K845" s="14" t="str">
        <f>IFERROR(__xludf.DUMMYFUNCTION("split(E845,""+"")"),"Icecream")</f>
        <v>Icecream</v>
      </c>
      <c r="L845" s="14" t="str">
        <f>IFERROR(__xludf.DUMMYFUNCTION("""COMPUTED_VALUE"""),"3*Priya Joshi")</f>
        <v>3*Priya Joshi</v>
      </c>
      <c r="M845" s="14">
        <f>IFERROR(__xludf.DUMMYFUNCTION("SPLIT(L845,""*"")"),3.0)</f>
        <v>3</v>
      </c>
      <c r="N845" s="14" t="str">
        <f>IFERROR(__xludf.DUMMYFUNCTION("""COMPUTED_VALUE"""),"Priya Joshi")</f>
        <v>Priya Joshi</v>
      </c>
      <c r="O845" s="14" t="str">
        <f>IFERROR(__xludf.DUMMYFUNCTION("split(J845,""*"")"),"Delivered")</f>
        <v>Delivered</v>
      </c>
      <c r="P845" s="14" t="str">
        <f>IFERROR(__xludf.DUMMYFUNCTION("""COMPUTED_VALUE"""),"Satisfied with the Delivery: Timely and quality")</f>
        <v>Satisfied with the Delivery: Timely and quality</v>
      </c>
      <c r="Q845" s="14" t="str">
        <f>IFERROR(__xludf.DUMMYFUNCTION("split(P845,"":"")"),"Satisfied with the Delivery")</f>
        <v>Satisfied with the Delivery</v>
      </c>
      <c r="R845" s="14" t="str">
        <f>IFERROR(__xludf.DUMMYFUNCTION("""COMPUTED_VALUE""")," Timely and quality")</f>
        <v> Timely and quality</v>
      </c>
      <c r="S845" s="14" t="str">
        <f t="shared" ref="S845:U845" si="1693">trim(B845)</f>
        <v>ord_30836</v>
      </c>
      <c r="T845" s="14" t="str">
        <f t="shared" si="1693"/>
        <v>Aarohi Kapoor</v>
      </c>
      <c r="U845" s="14" t="str">
        <f t="shared" si="1693"/>
        <v>Bandra</v>
      </c>
      <c r="V845" s="14" t="str">
        <f t="shared" si="4"/>
        <v>Icecream</v>
      </c>
      <c r="W845" s="14">
        <f t="shared" si="5"/>
        <v>3</v>
      </c>
      <c r="X845" s="14" t="str">
        <f t="shared" si="6"/>
        <v>Priya Joshi</v>
      </c>
      <c r="Y845" s="15">
        <f t="shared" si="7"/>
        <v>45189</v>
      </c>
      <c r="Z845" s="14" t="str">
        <f t="shared" si="8"/>
        <v>UPI</v>
      </c>
      <c r="AA845" s="14" t="str">
        <f t="shared" si="9"/>
        <v>Delivered</v>
      </c>
      <c r="AB845" s="14" t="str">
        <f t="shared" ref="AB845:AC845" si="1694">trim(Q845)</f>
        <v>Satisfied with the Delivery</v>
      </c>
      <c r="AC845" s="14" t="str">
        <f t="shared" si="1694"/>
        <v>Timely and quality</v>
      </c>
      <c r="AD845" s="8"/>
    </row>
    <row r="846">
      <c r="A846" s="14" t="str">
        <f>IFERROR(__xludf.DUMMYFUNCTION("""COMPUTED_VALUE"""),"//ord_30837//Aarohi Kapoor//Bandra//Cold Coffee+3*Vivek Kumar/12/26/2023//Online Payment//Delivered*Customer Service: Seamless and easy")</f>
        <v>//ord_30837//Aarohi Kapoor//Bandra//Cold Coffee+3*Vivek Kumar/12/26/2023//Online Payment//Delivered*Customer Service: Seamless and easy</v>
      </c>
      <c r="B846" s="14" t="str">
        <f>IFERROR(__xludf.DUMMYFUNCTION("split(A846,""//"")"),"ord_30837")</f>
        <v>ord_30837</v>
      </c>
      <c r="C846" s="14" t="str">
        <f>IFERROR(__xludf.DUMMYFUNCTION("""COMPUTED_VALUE"""),"Aarohi Kapoor")</f>
        <v>Aarohi Kapoor</v>
      </c>
      <c r="D846" s="14" t="str">
        <f>IFERROR(__xludf.DUMMYFUNCTION("""COMPUTED_VALUE"""),"Bandra")</f>
        <v>Bandra</v>
      </c>
      <c r="E846" s="14" t="str">
        <f>IFERROR(__xludf.DUMMYFUNCTION("""COMPUTED_VALUE"""),"Cold Coffee+3*Vivek Kumar")</f>
        <v>Cold Coffee+3*Vivek Kumar</v>
      </c>
      <c r="F846" s="14">
        <f>IFERROR(__xludf.DUMMYFUNCTION("""COMPUTED_VALUE"""),12.0)</f>
        <v>12</v>
      </c>
      <c r="G846" s="14">
        <f>IFERROR(__xludf.DUMMYFUNCTION("""COMPUTED_VALUE"""),26.0)</f>
        <v>26</v>
      </c>
      <c r="H846" s="14">
        <f>IFERROR(__xludf.DUMMYFUNCTION("""COMPUTED_VALUE"""),2023.0)</f>
        <v>2023</v>
      </c>
      <c r="I846" s="14" t="str">
        <f>IFERROR(__xludf.DUMMYFUNCTION("""COMPUTED_VALUE"""),"Online Payment")</f>
        <v>Online Payment</v>
      </c>
      <c r="J846" s="14" t="str">
        <f>IFERROR(__xludf.DUMMYFUNCTION("""COMPUTED_VALUE"""),"Delivered*Customer Service: Seamless and easy")</f>
        <v>Delivered*Customer Service: Seamless and easy</v>
      </c>
      <c r="K846" s="14" t="str">
        <f>IFERROR(__xludf.DUMMYFUNCTION("split(E846,""+"")"),"Cold Coffee")</f>
        <v>Cold Coffee</v>
      </c>
      <c r="L846" s="14" t="str">
        <f>IFERROR(__xludf.DUMMYFUNCTION("""COMPUTED_VALUE"""),"3*Vivek Kumar")</f>
        <v>3*Vivek Kumar</v>
      </c>
      <c r="M846" s="14">
        <f>IFERROR(__xludf.DUMMYFUNCTION("SPLIT(L846,""*"")"),3.0)</f>
        <v>3</v>
      </c>
      <c r="N846" s="14" t="str">
        <f>IFERROR(__xludf.DUMMYFUNCTION("""COMPUTED_VALUE"""),"Vivek Kumar")</f>
        <v>Vivek Kumar</v>
      </c>
      <c r="O846" s="14" t="str">
        <f>IFERROR(__xludf.DUMMYFUNCTION("split(J846,""*"")"),"Delivered")</f>
        <v>Delivered</v>
      </c>
      <c r="P846" s="14" t="str">
        <f>IFERROR(__xludf.DUMMYFUNCTION("""COMPUTED_VALUE"""),"Customer Service: Seamless and easy")</f>
        <v>Customer Service: Seamless and easy</v>
      </c>
      <c r="Q846" s="14" t="str">
        <f>IFERROR(__xludf.DUMMYFUNCTION("split(P846,"":"")"),"Customer Service")</f>
        <v>Customer Service</v>
      </c>
      <c r="R846" s="14" t="str">
        <f>IFERROR(__xludf.DUMMYFUNCTION("""COMPUTED_VALUE""")," Seamless and easy")</f>
        <v> Seamless and easy</v>
      </c>
      <c r="S846" s="14" t="str">
        <f t="shared" ref="S846:U846" si="1695">trim(B846)</f>
        <v>ord_30837</v>
      </c>
      <c r="T846" s="14" t="str">
        <f t="shared" si="1695"/>
        <v>Aarohi Kapoor</v>
      </c>
      <c r="U846" s="14" t="str">
        <f t="shared" si="1695"/>
        <v>Bandra</v>
      </c>
      <c r="V846" s="14" t="str">
        <f t="shared" si="4"/>
        <v>Cold Coffee</v>
      </c>
      <c r="W846" s="14">
        <f t="shared" si="5"/>
        <v>3</v>
      </c>
      <c r="X846" s="14" t="str">
        <f t="shared" si="6"/>
        <v>Vivek Kumar</v>
      </c>
      <c r="Y846" s="15">
        <f t="shared" si="7"/>
        <v>45286</v>
      </c>
      <c r="Z846" s="14" t="str">
        <f t="shared" si="8"/>
        <v>Online Payment</v>
      </c>
      <c r="AA846" s="14" t="str">
        <f t="shared" si="9"/>
        <v>Delivered</v>
      </c>
      <c r="AB846" s="14" t="str">
        <f t="shared" ref="AB846:AC846" si="1696">trim(Q846)</f>
        <v>Customer Service</v>
      </c>
      <c r="AC846" s="14" t="str">
        <f t="shared" si="1696"/>
        <v>Seamless and easy</v>
      </c>
      <c r="AD846" s="8"/>
    </row>
    <row r="847">
      <c r="A847" s="14" t="str">
        <f>IFERROR(__xludf.DUMMYFUNCTION("""COMPUTED_VALUE"""),"//ord_30838//Omkar Mishra//Powai//Icecream+1*Vivek Kumar/12/5/2023//UPI//Delivered*Delivery Experience: Quick and professional")</f>
        <v>//ord_30838//Omkar Mishra//Powai//Icecream+1*Vivek Kumar/12/5/2023//UPI//Delivered*Delivery Experience: Quick and professional</v>
      </c>
      <c r="B847" s="14" t="str">
        <f>IFERROR(__xludf.DUMMYFUNCTION("split(A847,""//"")"),"ord_30838")</f>
        <v>ord_30838</v>
      </c>
      <c r="C847" s="14" t="str">
        <f>IFERROR(__xludf.DUMMYFUNCTION("""COMPUTED_VALUE"""),"Omkar Mishra")</f>
        <v>Omkar Mishra</v>
      </c>
      <c r="D847" s="14" t="str">
        <f>IFERROR(__xludf.DUMMYFUNCTION("""COMPUTED_VALUE"""),"Powai")</f>
        <v>Powai</v>
      </c>
      <c r="E847" s="14" t="str">
        <f>IFERROR(__xludf.DUMMYFUNCTION("""COMPUTED_VALUE"""),"Icecream+1*Vivek Kumar")</f>
        <v>Icecream+1*Vivek Kumar</v>
      </c>
      <c r="F847" s="14">
        <f>IFERROR(__xludf.DUMMYFUNCTION("""COMPUTED_VALUE"""),12.0)</f>
        <v>12</v>
      </c>
      <c r="G847" s="14">
        <f>IFERROR(__xludf.DUMMYFUNCTION("""COMPUTED_VALUE"""),5.0)</f>
        <v>5</v>
      </c>
      <c r="H847" s="14">
        <f>IFERROR(__xludf.DUMMYFUNCTION("""COMPUTED_VALUE"""),2023.0)</f>
        <v>2023</v>
      </c>
      <c r="I847" s="14" t="str">
        <f>IFERROR(__xludf.DUMMYFUNCTION("""COMPUTED_VALUE"""),"UPI")</f>
        <v>UPI</v>
      </c>
      <c r="J847" s="14" t="str">
        <f>IFERROR(__xludf.DUMMYFUNCTION("""COMPUTED_VALUE"""),"Delivered*Delivery Experience: Quick and professional")</f>
        <v>Delivered*Delivery Experience: Quick and professional</v>
      </c>
      <c r="K847" s="14" t="str">
        <f>IFERROR(__xludf.DUMMYFUNCTION("split(E847,""+"")"),"Icecream")</f>
        <v>Icecream</v>
      </c>
      <c r="L847" s="14" t="str">
        <f>IFERROR(__xludf.DUMMYFUNCTION("""COMPUTED_VALUE"""),"1*Vivek Kumar")</f>
        <v>1*Vivek Kumar</v>
      </c>
      <c r="M847" s="14">
        <f>IFERROR(__xludf.DUMMYFUNCTION("SPLIT(L847,""*"")"),1.0)</f>
        <v>1</v>
      </c>
      <c r="N847" s="14" t="str">
        <f>IFERROR(__xludf.DUMMYFUNCTION("""COMPUTED_VALUE"""),"Vivek Kumar")</f>
        <v>Vivek Kumar</v>
      </c>
      <c r="O847" s="14" t="str">
        <f>IFERROR(__xludf.DUMMYFUNCTION("split(J847,""*"")"),"Delivered")</f>
        <v>Delivered</v>
      </c>
      <c r="P847" s="14" t="str">
        <f>IFERROR(__xludf.DUMMYFUNCTION("""COMPUTED_VALUE"""),"Delivery Experience: Quick and professional")</f>
        <v>Delivery Experience: Quick and professional</v>
      </c>
      <c r="Q847" s="14" t="str">
        <f>IFERROR(__xludf.DUMMYFUNCTION("split(P847,"":"")"),"Delivery Experience")</f>
        <v>Delivery Experience</v>
      </c>
      <c r="R847" s="14" t="str">
        <f>IFERROR(__xludf.DUMMYFUNCTION("""COMPUTED_VALUE""")," Quick and professional")</f>
        <v> Quick and professional</v>
      </c>
      <c r="S847" s="14" t="str">
        <f t="shared" ref="S847:U847" si="1697">trim(B847)</f>
        <v>ord_30838</v>
      </c>
      <c r="T847" s="14" t="str">
        <f t="shared" si="1697"/>
        <v>Omkar Mishra</v>
      </c>
      <c r="U847" s="14" t="str">
        <f t="shared" si="1697"/>
        <v>Powai</v>
      </c>
      <c r="V847" s="14" t="str">
        <f t="shared" si="4"/>
        <v>Icecream</v>
      </c>
      <c r="W847" s="14">
        <f t="shared" si="5"/>
        <v>1</v>
      </c>
      <c r="X847" s="14" t="str">
        <f t="shared" si="6"/>
        <v>Vivek Kumar</v>
      </c>
      <c r="Y847" s="15">
        <f t="shared" si="7"/>
        <v>45265</v>
      </c>
      <c r="Z847" s="14" t="str">
        <f t="shared" si="8"/>
        <v>UPI</v>
      </c>
      <c r="AA847" s="14" t="str">
        <f t="shared" si="9"/>
        <v>Delivered</v>
      </c>
      <c r="AB847" s="14" t="str">
        <f t="shared" ref="AB847:AC847" si="1698">trim(Q847)</f>
        <v>Delivery Experience</v>
      </c>
      <c r="AC847" s="14" t="str">
        <f t="shared" si="1698"/>
        <v>Quick and professional</v>
      </c>
      <c r="AD847" s="8"/>
    </row>
    <row r="848">
      <c r="A848" s="14" t="str">
        <f>IFERROR(__xludf.DUMMYFUNCTION("""COMPUTED_VALUE"""),"//ord_30839//Kritika Shetty//Malad//Icecream+4*Not Assigned/4/18/2023//Online Payment//Cancelled*App Glitches:Slow Loading Time")</f>
        <v>//ord_30839//Kritika Shetty//Malad//Icecream+4*Not Assigned/4/18/2023//Online Payment//Cancelled*App Glitches:Slow Loading Time</v>
      </c>
      <c r="B848" s="14" t="str">
        <f>IFERROR(__xludf.DUMMYFUNCTION("split(A848,""//"")"),"ord_30839")</f>
        <v>ord_30839</v>
      </c>
      <c r="C848" s="14" t="str">
        <f>IFERROR(__xludf.DUMMYFUNCTION("""COMPUTED_VALUE"""),"Kritika Shetty")</f>
        <v>Kritika Shetty</v>
      </c>
      <c r="D848" s="14" t="str">
        <f>IFERROR(__xludf.DUMMYFUNCTION("""COMPUTED_VALUE"""),"Malad")</f>
        <v>Malad</v>
      </c>
      <c r="E848" s="14" t="str">
        <f>IFERROR(__xludf.DUMMYFUNCTION("""COMPUTED_VALUE"""),"Icecream+4*Not Assigned")</f>
        <v>Icecream+4*Not Assigned</v>
      </c>
      <c r="F848" s="14">
        <f>IFERROR(__xludf.DUMMYFUNCTION("""COMPUTED_VALUE"""),4.0)</f>
        <v>4</v>
      </c>
      <c r="G848" s="14">
        <f>IFERROR(__xludf.DUMMYFUNCTION("""COMPUTED_VALUE"""),18.0)</f>
        <v>18</v>
      </c>
      <c r="H848" s="14">
        <f>IFERROR(__xludf.DUMMYFUNCTION("""COMPUTED_VALUE"""),2023.0)</f>
        <v>2023</v>
      </c>
      <c r="I848" s="14" t="str">
        <f>IFERROR(__xludf.DUMMYFUNCTION("""COMPUTED_VALUE"""),"Online Payment")</f>
        <v>Online Payment</v>
      </c>
      <c r="J848" s="14" t="str">
        <f>IFERROR(__xludf.DUMMYFUNCTION("""COMPUTED_VALUE"""),"Cancelled*App Glitches:Slow Loading Time")</f>
        <v>Cancelled*App Glitches:Slow Loading Time</v>
      </c>
      <c r="K848" s="14" t="str">
        <f>IFERROR(__xludf.DUMMYFUNCTION("split(E848,""+"")"),"Icecream")</f>
        <v>Icecream</v>
      </c>
      <c r="L848" s="14" t="str">
        <f>IFERROR(__xludf.DUMMYFUNCTION("""COMPUTED_VALUE"""),"4*Not Assigned")</f>
        <v>4*Not Assigned</v>
      </c>
      <c r="M848" s="14">
        <f>IFERROR(__xludf.DUMMYFUNCTION("SPLIT(L848,""*"")"),4.0)</f>
        <v>4</v>
      </c>
      <c r="N848" s="14" t="str">
        <f>IFERROR(__xludf.DUMMYFUNCTION("""COMPUTED_VALUE"""),"Not Assigned")</f>
        <v>Not Assigned</v>
      </c>
      <c r="O848" s="14" t="str">
        <f>IFERROR(__xludf.DUMMYFUNCTION("split(J848,""*"")"),"Cancelled")</f>
        <v>Cancelled</v>
      </c>
      <c r="P848" s="14" t="str">
        <f>IFERROR(__xludf.DUMMYFUNCTION("""COMPUTED_VALUE"""),"App Glitches:Slow Loading Time")</f>
        <v>App Glitches:Slow Loading Time</v>
      </c>
      <c r="Q848" s="14" t="str">
        <f>IFERROR(__xludf.DUMMYFUNCTION("split(P848,"":"")"),"App Glitches")</f>
        <v>App Glitches</v>
      </c>
      <c r="R848" s="14" t="str">
        <f>IFERROR(__xludf.DUMMYFUNCTION("""COMPUTED_VALUE"""),"Slow Loading Time")</f>
        <v>Slow Loading Time</v>
      </c>
      <c r="S848" s="14" t="str">
        <f t="shared" ref="S848:U848" si="1699">trim(B848)</f>
        <v>ord_30839</v>
      </c>
      <c r="T848" s="14" t="str">
        <f t="shared" si="1699"/>
        <v>Kritika Shetty</v>
      </c>
      <c r="U848" s="14" t="str">
        <f t="shared" si="1699"/>
        <v>Malad</v>
      </c>
      <c r="V848" s="14" t="str">
        <f t="shared" si="4"/>
        <v>Icecream</v>
      </c>
      <c r="W848" s="14">
        <f t="shared" si="5"/>
        <v>4</v>
      </c>
      <c r="X848" s="14" t="str">
        <f t="shared" si="6"/>
        <v>Not Assigned</v>
      </c>
      <c r="Y848" s="15">
        <f t="shared" si="7"/>
        <v>45034</v>
      </c>
      <c r="Z848" s="14" t="str">
        <f t="shared" si="8"/>
        <v>Online Payment</v>
      </c>
      <c r="AA848" s="14" t="str">
        <f t="shared" si="9"/>
        <v>Cancelled</v>
      </c>
      <c r="AB848" s="14" t="str">
        <f t="shared" ref="AB848:AC848" si="1700">trim(Q848)</f>
        <v>App Glitches</v>
      </c>
      <c r="AC848" s="14" t="str">
        <f t="shared" si="1700"/>
        <v>Slow Loading Time</v>
      </c>
      <c r="AD848" s="8"/>
    </row>
    <row r="849">
      <c r="A849" s="14" t="str">
        <f>IFERROR(__xludf.DUMMYFUNCTION("""COMPUTED_VALUE"""),"//ord_30840//Siya Reddy//Juhu//Chicken Puff+3*Not Assigned/10/23/2023//UPI//Cancelled*App Glitches:Missing Content")</f>
        <v>//ord_30840//Siya Reddy//Juhu//Chicken Puff+3*Not Assigned/10/23/2023//UPI//Cancelled*App Glitches:Missing Content</v>
      </c>
      <c r="B849" s="14" t="str">
        <f>IFERROR(__xludf.DUMMYFUNCTION("split(A849,""//"")"),"ord_30840")</f>
        <v>ord_30840</v>
      </c>
      <c r="C849" s="14" t="str">
        <f>IFERROR(__xludf.DUMMYFUNCTION("""COMPUTED_VALUE"""),"Siya Reddy")</f>
        <v>Siya Reddy</v>
      </c>
      <c r="D849" s="14" t="str">
        <f>IFERROR(__xludf.DUMMYFUNCTION("""COMPUTED_VALUE"""),"Juhu")</f>
        <v>Juhu</v>
      </c>
      <c r="E849" s="14" t="str">
        <f>IFERROR(__xludf.DUMMYFUNCTION("""COMPUTED_VALUE"""),"Chicken Puff+3*Not Assigned")</f>
        <v>Chicken Puff+3*Not Assigned</v>
      </c>
      <c r="F849" s="14">
        <f>IFERROR(__xludf.DUMMYFUNCTION("""COMPUTED_VALUE"""),10.0)</f>
        <v>10</v>
      </c>
      <c r="G849" s="14">
        <f>IFERROR(__xludf.DUMMYFUNCTION("""COMPUTED_VALUE"""),23.0)</f>
        <v>23</v>
      </c>
      <c r="H849" s="14">
        <f>IFERROR(__xludf.DUMMYFUNCTION("""COMPUTED_VALUE"""),2023.0)</f>
        <v>2023</v>
      </c>
      <c r="I849" s="14" t="str">
        <f>IFERROR(__xludf.DUMMYFUNCTION("""COMPUTED_VALUE"""),"UPI")</f>
        <v>UPI</v>
      </c>
      <c r="J849" s="14" t="str">
        <f>IFERROR(__xludf.DUMMYFUNCTION("""COMPUTED_VALUE"""),"Cancelled*App Glitches:Missing Content")</f>
        <v>Cancelled*App Glitches:Missing Content</v>
      </c>
      <c r="K849" s="14" t="str">
        <f>IFERROR(__xludf.DUMMYFUNCTION("split(E849,""+"")"),"Chicken Puff")</f>
        <v>Chicken Puff</v>
      </c>
      <c r="L849" s="14" t="str">
        <f>IFERROR(__xludf.DUMMYFUNCTION("""COMPUTED_VALUE"""),"3*Not Assigned")</f>
        <v>3*Not Assigned</v>
      </c>
      <c r="M849" s="14">
        <f>IFERROR(__xludf.DUMMYFUNCTION("SPLIT(L849,""*"")"),3.0)</f>
        <v>3</v>
      </c>
      <c r="N849" s="14" t="str">
        <f>IFERROR(__xludf.DUMMYFUNCTION("""COMPUTED_VALUE"""),"Not Assigned")</f>
        <v>Not Assigned</v>
      </c>
      <c r="O849" s="14" t="str">
        <f>IFERROR(__xludf.DUMMYFUNCTION("split(J849,""*"")"),"Cancelled")</f>
        <v>Cancelled</v>
      </c>
      <c r="P849" s="14" t="str">
        <f>IFERROR(__xludf.DUMMYFUNCTION("""COMPUTED_VALUE"""),"App Glitches:Missing Content")</f>
        <v>App Glitches:Missing Content</v>
      </c>
      <c r="Q849" s="14" t="str">
        <f>IFERROR(__xludf.DUMMYFUNCTION("split(P849,"":"")"),"App Glitches")</f>
        <v>App Glitches</v>
      </c>
      <c r="R849" s="14" t="str">
        <f>IFERROR(__xludf.DUMMYFUNCTION("""COMPUTED_VALUE"""),"Missing Content")</f>
        <v>Missing Content</v>
      </c>
      <c r="S849" s="14" t="str">
        <f t="shared" ref="S849:U849" si="1701">trim(B849)</f>
        <v>ord_30840</v>
      </c>
      <c r="T849" s="14" t="str">
        <f t="shared" si="1701"/>
        <v>Siya Reddy</v>
      </c>
      <c r="U849" s="14" t="str">
        <f t="shared" si="1701"/>
        <v>Juhu</v>
      </c>
      <c r="V849" s="14" t="str">
        <f t="shared" si="4"/>
        <v>Chicken Puff</v>
      </c>
      <c r="W849" s="14">
        <f t="shared" si="5"/>
        <v>3</v>
      </c>
      <c r="X849" s="14" t="str">
        <f t="shared" si="6"/>
        <v>Not Assigned</v>
      </c>
      <c r="Y849" s="15">
        <f t="shared" si="7"/>
        <v>45222</v>
      </c>
      <c r="Z849" s="14" t="str">
        <f t="shared" si="8"/>
        <v>UPI</v>
      </c>
      <c r="AA849" s="14" t="str">
        <f t="shared" si="9"/>
        <v>Cancelled</v>
      </c>
      <c r="AB849" s="14" t="str">
        <f t="shared" ref="AB849:AC849" si="1702">trim(Q849)</f>
        <v>App Glitches</v>
      </c>
      <c r="AC849" s="14" t="str">
        <f t="shared" si="1702"/>
        <v>Missing Content</v>
      </c>
      <c r="AD849" s="8"/>
    </row>
    <row r="850">
      <c r="A850" s="14" t="str">
        <f>IFERROR(__xludf.DUMMYFUNCTION("""COMPUTED_VALUE"""),"//ord_30841//Kritika Shetty//Malad//Sweet Corn+1*Ramesh S/12/23/2023//UPI//Delivered*Convenience: Easy tracking")</f>
        <v>//ord_30841//Kritika Shetty//Malad//Sweet Corn+1*Ramesh S/12/23/2023//UPI//Delivered*Convenience: Easy tracking</v>
      </c>
      <c r="B850" s="14" t="str">
        <f>IFERROR(__xludf.DUMMYFUNCTION("split(A850,""//"")"),"ord_30841")</f>
        <v>ord_30841</v>
      </c>
      <c r="C850" s="14" t="str">
        <f>IFERROR(__xludf.DUMMYFUNCTION("""COMPUTED_VALUE"""),"Kritika Shetty")</f>
        <v>Kritika Shetty</v>
      </c>
      <c r="D850" s="14" t="str">
        <f>IFERROR(__xludf.DUMMYFUNCTION("""COMPUTED_VALUE"""),"Malad")</f>
        <v>Malad</v>
      </c>
      <c r="E850" s="14" t="str">
        <f>IFERROR(__xludf.DUMMYFUNCTION("""COMPUTED_VALUE"""),"Sweet Corn+1*Ramesh S")</f>
        <v>Sweet Corn+1*Ramesh S</v>
      </c>
      <c r="F850" s="14">
        <f>IFERROR(__xludf.DUMMYFUNCTION("""COMPUTED_VALUE"""),12.0)</f>
        <v>12</v>
      </c>
      <c r="G850" s="14">
        <f>IFERROR(__xludf.DUMMYFUNCTION("""COMPUTED_VALUE"""),23.0)</f>
        <v>23</v>
      </c>
      <c r="H850" s="14">
        <f>IFERROR(__xludf.DUMMYFUNCTION("""COMPUTED_VALUE"""),2023.0)</f>
        <v>2023</v>
      </c>
      <c r="I850" s="14" t="str">
        <f>IFERROR(__xludf.DUMMYFUNCTION("""COMPUTED_VALUE"""),"UPI")</f>
        <v>UPI</v>
      </c>
      <c r="J850" s="14" t="str">
        <f>IFERROR(__xludf.DUMMYFUNCTION("""COMPUTED_VALUE"""),"Delivered*Convenience: Easy tracking")</f>
        <v>Delivered*Convenience: Easy tracking</v>
      </c>
      <c r="K850" s="14" t="str">
        <f>IFERROR(__xludf.DUMMYFUNCTION("split(E850,""+"")"),"Sweet Corn")</f>
        <v>Sweet Corn</v>
      </c>
      <c r="L850" s="14" t="str">
        <f>IFERROR(__xludf.DUMMYFUNCTION("""COMPUTED_VALUE"""),"1*Ramesh S")</f>
        <v>1*Ramesh S</v>
      </c>
      <c r="M850" s="14">
        <f>IFERROR(__xludf.DUMMYFUNCTION("SPLIT(L850,""*"")"),1.0)</f>
        <v>1</v>
      </c>
      <c r="N850" s="14" t="str">
        <f>IFERROR(__xludf.DUMMYFUNCTION("""COMPUTED_VALUE"""),"Ramesh S")</f>
        <v>Ramesh S</v>
      </c>
      <c r="O850" s="14" t="str">
        <f>IFERROR(__xludf.DUMMYFUNCTION("split(J850,""*"")"),"Delivered")</f>
        <v>Delivered</v>
      </c>
      <c r="P850" s="14" t="str">
        <f>IFERROR(__xludf.DUMMYFUNCTION("""COMPUTED_VALUE"""),"Convenience: Easy tracking")</f>
        <v>Convenience: Easy tracking</v>
      </c>
      <c r="Q850" s="14" t="str">
        <f>IFERROR(__xludf.DUMMYFUNCTION("split(P850,"":"")"),"Convenience")</f>
        <v>Convenience</v>
      </c>
      <c r="R850" s="14" t="str">
        <f>IFERROR(__xludf.DUMMYFUNCTION("""COMPUTED_VALUE""")," Easy tracking")</f>
        <v> Easy tracking</v>
      </c>
      <c r="S850" s="14" t="str">
        <f t="shared" ref="S850:U850" si="1703">trim(B850)</f>
        <v>ord_30841</v>
      </c>
      <c r="T850" s="14" t="str">
        <f t="shared" si="1703"/>
        <v>Kritika Shetty</v>
      </c>
      <c r="U850" s="14" t="str">
        <f t="shared" si="1703"/>
        <v>Malad</v>
      </c>
      <c r="V850" s="14" t="str">
        <f t="shared" si="4"/>
        <v>Sweet Corn</v>
      </c>
      <c r="W850" s="14">
        <f t="shared" si="5"/>
        <v>1</v>
      </c>
      <c r="X850" s="14" t="str">
        <f t="shared" si="6"/>
        <v>Ramesh S</v>
      </c>
      <c r="Y850" s="15">
        <f t="shared" si="7"/>
        <v>45283</v>
      </c>
      <c r="Z850" s="14" t="str">
        <f t="shared" si="8"/>
        <v>UPI</v>
      </c>
      <c r="AA850" s="14" t="str">
        <f t="shared" si="9"/>
        <v>Delivered</v>
      </c>
      <c r="AB850" s="14" t="str">
        <f t="shared" ref="AB850:AC850" si="1704">trim(Q850)</f>
        <v>Convenience</v>
      </c>
      <c r="AC850" s="14" t="str">
        <f t="shared" si="1704"/>
        <v>Easy tracking</v>
      </c>
      <c r="AD850" s="8"/>
    </row>
    <row r="851">
      <c r="A851" s="14" t="str">
        <f>IFERROR(__xludf.DUMMYFUNCTION("""COMPUTED_VALUE"""),"//ord_30842//Anaya Rao//Colaba//Chilli Cheese Toast+1*Shine Thomas/8/20/2023//Online Payment//Delivered*Overall Satisfaction: Great service will order again")</f>
        <v>//ord_30842//Anaya Rao//Colaba//Chilli Cheese Toast+1*Shine Thomas/8/20/2023//Online Payment//Delivered*Overall Satisfaction: Great service will order again</v>
      </c>
      <c r="B851" s="14" t="str">
        <f>IFERROR(__xludf.DUMMYFUNCTION("split(A851,""//"")"),"ord_30842")</f>
        <v>ord_30842</v>
      </c>
      <c r="C851" s="14" t="str">
        <f>IFERROR(__xludf.DUMMYFUNCTION("""COMPUTED_VALUE"""),"Anaya Rao")</f>
        <v>Anaya Rao</v>
      </c>
      <c r="D851" s="14" t="str">
        <f>IFERROR(__xludf.DUMMYFUNCTION("""COMPUTED_VALUE"""),"Colaba")</f>
        <v>Colaba</v>
      </c>
      <c r="E851" s="14" t="str">
        <f>IFERROR(__xludf.DUMMYFUNCTION("""COMPUTED_VALUE"""),"Chilli Cheese Toast+1*Shine Thomas")</f>
        <v>Chilli Cheese Toast+1*Shine Thomas</v>
      </c>
      <c r="F851" s="14">
        <f>IFERROR(__xludf.DUMMYFUNCTION("""COMPUTED_VALUE"""),8.0)</f>
        <v>8</v>
      </c>
      <c r="G851" s="14">
        <f>IFERROR(__xludf.DUMMYFUNCTION("""COMPUTED_VALUE"""),20.0)</f>
        <v>20</v>
      </c>
      <c r="H851" s="14">
        <f>IFERROR(__xludf.DUMMYFUNCTION("""COMPUTED_VALUE"""),2023.0)</f>
        <v>2023</v>
      </c>
      <c r="I851" s="14" t="str">
        <f>IFERROR(__xludf.DUMMYFUNCTION("""COMPUTED_VALUE"""),"Online Payment")</f>
        <v>Online Payment</v>
      </c>
      <c r="J851" s="14" t="str">
        <f>IFERROR(__xludf.DUMMYFUNCTION("""COMPUTED_VALUE"""),"Delivered*Overall Satisfaction: Great service will order again")</f>
        <v>Delivered*Overall Satisfaction: Great service will order again</v>
      </c>
      <c r="K851" s="14" t="str">
        <f>IFERROR(__xludf.DUMMYFUNCTION("split(E851,""+"")"),"Chilli Cheese Toast")</f>
        <v>Chilli Cheese Toast</v>
      </c>
      <c r="L851" s="14" t="str">
        <f>IFERROR(__xludf.DUMMYFUNCTION("""COMPUTED_VALUE"""),"1*Shine Thomas")</f>
        <v>1*Shine Thomas</v>
      </c>
      <c r="M851" s="14">
        <f>IFERROR(__xludf.DUMMYFUNCTION("SPLIT(L851,""*"")"),1.0)</f>
        <v>1</v>
      </c>
      <c r="N851" s="14" t="str">
        <f>IFERROR(__xludf.DUMMYFUNCTION("""COMPUTED_VALUE"""),"Shine Thomas")</f>
        <v>Shine Thomas</v>
      </c>
      <c r="O851" s="14" t="str">
        <f>IFERROR(__xludf.DUMMYFUNCTION("split(J851,""*"")"),"Delivered")</f>
        <v>Delivered</v>
      </c>
      <c r="P851" s="14" t="str">
        <f>IFERROR(__xludf.DUMMYFUNCTION("""COMPUTED_VALUE"""),"Overall Satisfaction: Great service will order again")</f>
        <v>Overall Satisfaction: Great service will order again</v>
      </c>
      <c r="Q851" s="14" t="str">
        <f>IFERROR(__xludf.DUMMYFUNCTION("split(P851,"":"")"),"Overall Satisfaction")</f>
        <v>Overall Satisfaction</v>
      </c>
      <c r="R851" s="14" t="str">
        <f>IFERROR(__xludf.DUMMYFUNCTION("""COMPUTED_VALUE""")," Great service will order again")</f>
        <v> Great service will order again</v>
      </c>
      <c r="S851" s="14" t="str">
        <f t="shared" ref="S851:U851" si="1705">trim(B851)</f>
        <v>ord_30842</v>
      </c>
      <c r="T851" s="14" t="str">
        <f t="shared" si="1705"/>
        <v>Anaya Rao</v>
      </c>
      <c r="U851" s="14" t="str">
        <f t="shared" si="1705"/>
        <v>Colaba</v>
      </c>
      <c r="V851" s="14" t="str">
        <f t="shared" si="4"/>
        <v>Chilli Cheese Toast</v>
      </c>
      <c r="W851" s="14">
        <f t="shared" si="5"/>
        <v>1</v>
      </c>
      <c r="X851" s="14" t="str">
        <f t="shared" si="6"/>
        <v>Shine Thomas</v>
      </c>
      <c r="Y851" s="15">
        <f t="shared" si="7"/>
        <v>45158</v>
      </c>
      <c r="Z851" s="14" t="str">
        <f t="shared" si="8"/>
        <v>Online Payment</v>
      </c>
      <c r="AA851" s="14" t="str">
        <f t="shared" si="9"/>
        <v>Delivered</v>
      </c>
      <c r="AB851" s="14" t="str">
        <f t="shared" ref="AB851:AC851" si="1706">trim(Q851)</f>
        <v>Overall Satisfaction</v>
      </c>
      <c r="AC851" s="14" t="str">
        <f t="shared" si="1706"/>
        <v>Great service will order again</v>
      </c>
      <c r="AD851" s="8"/>
    </row>
    <row r="852">
      <c r="A852" s="14" t="str">
        <f>IFERROR(__xludf.DUMMYFUNCTION("""COMPUTED_VALUE"""),"//ord_30843//Kritika Shetty//Malad//Chilli Cheese Toast+1*Nithin Lal/12/23/2023//UPI//Delivered*On-time Delivery: Delivered on time")</f>
        <v>//ord_30843//Kritika Shetty//Malad//Chilli Cheese Toast+1*Nithin Lal/12/23/2023//UPI//Delivered*On-time Delivery: Delivered on time</v>
      </c>
      <c r="B852" s="14" t="str">
        <f>IFERROR(__xludf.DUMMYFUNCTION("split(A852,""//"")"),"ord_30843")</f>
        <v>ord_30843</v>
      </c>
      <c r="C852" s="14" t="str">
        <f>IFERROR(__xludf.DUMMYFUNCTION("""COMPUTED_VALUE"""),"Kritika Shetty")</f>
        <v>Kritika Shetty</v>
      </c>
      <c r="D852" s="14" t="str">
        <f>IFERROR(__xludf.DUMMYFUNCTION("""COMPUTED_VALUE"""),"Malad")</f>
        <v>Malad</v>
      </c>
      <c r="E852" s="14" t="str">
        <f>IFERROR(__xludf.DUMMYFUNCTION("""COMPUTED_VALUE"""),"Chilli Cheese Toast+1*Nithin Lal")</f>
        <v>Chilli Cheese Toast+1*Nithin Lal</v>
      </c>
      <c r="F852" s="14">
        <f>IFERROR(__xludf.DUMMYFUNCTION("""COMPUTED_VALUE"""),12.0)</f>
        <v>12</v>
      </c>
      <c r="G852" s="14">
        <f>IFERROR(__xludf.DUMMYFUNCTION("""COMPUTED_VALUE"""),23.0)</f>
        <v>23</v>
      </c>
      <c r="H852" s="14">
        <f>IFERROR(__xludf.DUMMYFUNCTION("""COMPUTED_VALUE"""),2023.0)</f>
        <v>2023</v>
      </c>
      <c r="I852" s="14" t="str">
        <f>IFERROR(__xludf.DUMMYFUNCTION("""COMPUTED_VALUE"""),"UPI")</f>
        <v>UPI</v>
      </c>
      <c r="J852" s="14" t="str">
        <f>IFERROR(__xludf.DUMMYFUNCTION("""COMPUTED_VALUE"""),"Delivered*On-time Delivery: Delivered on time")</f>
        <v>Delivered*On-time Delivery: Delivered on time</v>
      </c>
      <c r="K852" s="14" t="str">
        <f>IFERROR(__xludf.DUMMYFUNCTION("split(E852,""+"")"),"Chilli Cheese Toast")</f>
        <v>Chilli Cheese Toast</v>
      </c>
      <c r="L852" s="14" t="str">
        <f>IFERROR(__xludf.DUMMYFUNCTION("""COMPUTED_VALUE"""),"1*Nithin Lal")</f>
        <v>1*Nithin Lal</v>
      </c>
      <c r="M852" s="14">
        <f>IFERROR(__xludf.DUMMYFUNCTION("SPLIT(L852,""*"")"),1.0)</f>
        <v>1</v>
      </c>
      <c r="N852" s="14" t="str">
        <f>IFERROR(__xludf.DUMMYFUNCTION("""COMPUTED_VALUE"""),"Nithin Lal")</f>
        <v>Nithin Lal</v>
      </c>
      <c r="O852" s="14" t="str">
        <f>IFERROR(__xludf.DUMMYFUNCTION("split(J852,""*"")"),"Delivered")</f>
        <v>Delivered</v>
      </c>
      <c r="P852" s="14" t="str">
        <f>IFERROR(__xludf.DUMMYFUNCTION("""COMPUTED_VALUE"""),"On-time Delivery: Delivered on time")</f>
        <v>On-time Delivery: Delivered on time</v>
      </c>
      <c r="Q852" s="14" t="str">
        <f>IFERROR(__xludf.DUMMYFUNCTION("split(P852,"":"")"),"On-time Delivery")</f>
        <v>On-time Delivery</v>
      </c>
      <c r="R852" s="14" t="str">
        <f>IFERROR(__xludf.DUMMYFUNCTION("""COMPUTED_VALUE""")," Delivered on time")</f>
        <v> Delivered on time</v>
      </c>
      <c r="S852" s="14" t="str">
        <f t="shared" ref="S852:U852" si="1707">trim(B852)</f>
        <v>ord_30843</v>
      </c>
      <c r="T852" s="14" t="str">
        <f t="shared" si="1707"/>
        <v>Kritika Shetty</v>
      </c>
      <c r="U852" s="14" t="str">
        <f t="shared" si="1707"/>
        <v>Malad</v>
      </c>
      <c r="V852" s="14" t="str">
        <f t="shared" si="4"/>
        <v>Chilli Cheese Toast</v>
      </c>
      <c r="W852" s="14">
        <f t="shared" si="5"/>
        <v>1</v>
      </c>
      <c r="X852" s="14" t="str">
        <f t="shared" si="6"/>
        <v>Nithin Lal</v>
      </c>
      <c r="Y852" s="15">
        <f t="shared" si="7"/>
        <v>45283</v>
      </c>
      <c r="Z852" s="14" t="str">
        <f t="shared" si="8"/>
        <v>UPI</v>
      </c>
      <c r="AA852" s="14" t="str">
        <f t="shared" si="9"/>
        <v>Delivered</v>
      </c>
      <c r="AB852" s="14" t="str">
        <f t="shared" ref="AB852:AC852" si="1708">trim(Q852)</f>
        <v>On-time Delivery</v>
      </c>
      <c r="AC852" s="14" t="str">
        <f t="shared" si="1708"/>
        <v>Delivered on time</v>
      </c>
      <c r="AD852" s="8"/>
    </row>
    <row r="853">
      <c r="A853" s="14" t="str">
        <f>IFERROR(__xludf.DUMMYFUNCTION("""COMPUTED_VALUE"""),"//ord_30844//Mehul Thakkar//Malad//Banana+1*Not Assigned/11/27/2023//UPI//Cancelled*Out of Stock")</f>
        <v>//ord_30844//Mehul Thakkar//Malad//Banana+1*Not Assigned/11/27/2023//UPI//Cancelled*Out of Stock</v>
      </c>
      <c r="B853" s="14" t="str">
        <f>IFERROR(__xludf.DUMMYFUNCTION("split(A853,""//"")"),"ord_30844")</f>
        <v>ord_30844</v>
      </c>
      <c r="C853" s="14" t="str">
        <f>IFERROR(__xludf.DUMMYFUNCTION("""COMPUTED_VALUE"""),"Mehul Thakkar")</f>
        <v>Mehul Thakkar</v>
      </c>
      <c r="D853" s="14" t="str">
        <f>IFERROR(__xludf.DUMMYFUNCTION("""COMPUTED_VALUE"""),"Malad")</f>
        <v>Malad</v>
      </c>
      <c r="E853" s="14" t="str">
        <f>IFERROR(__xludf.DUMMYFUNCTION("""COMPUTED_VALUE"""),"Banana+1*Not Assigned")</f>
        <v>Banana+1*Not Assigned</v>
      </c>
      <c r="F853" s="14">
        <f>IFERROR(__xludf.DUMMYFUNCTION("""COMPUTED_VALUE"""),11.0)</f>
        <v>11</v>
      </c>
      <c r="G853" s="14">
        <f>IFERROR(__xludf.DUMMYFUNCTION("""COMPUTED_VALUE"""),27.0)</f>
        <v>27</v>
      </c>
      <c r="H853" s="14">
        <f>IFERROR(__xludf.DUMMYFUNCTION("""COMPUTED_VALUE"""),2023.0)</f>
        <v>2023</v>
      </c>
      <c r="I853" s="14" t="str">
        <f>IFERROR(__xludf.DUMMYFUNCTION("""COMPUTED_VALUE"""),"UPI")</f>
        <v>UPI</v>
      </c>
      <c r="J853" s="14" t="str">
        <f>IFERROR(__xludf.DUMMYFUNCTION("""COMPUTED_VALUE"""),"Cancelled*Out of Stock")</f>
        <v>Cancelled*Out of Stock</v>
      </c>
      <c r="K853" s="14" t="str">
        <f>IFERROR(__xludf.DUMMYFUNCTION("split(E853,""+"")"),"Banana")</f>
        <v>Banana</v>
      </c>
      <c r="L853" s="14" t="str">
        <f>IFERROR(__xludf.DUMMYFUNCTION("""COMPUTED_VALUE"""),"1*Not Assigned")</f>
        <v>1*Not Assigned</v>
      </c>
      <c r="M853" s="14">
        <f>IFERROR(__xludf.DUMMYFUNCTION("SPLIT(L853,""*"")"),1.0)</f>
        <v>1</v>
      </c>
      <c r="N853" s="14" t="str">
        <f>IFERROR(__xludf.DUMMYFUNCTION("""COMPUTED_VALUE"""),"Not Assigned")</f>
        <v>Not Assigned</v>
      </c>
      <c r="O853" s="14" t="str">
        <f>IFERROR(__xludf.DUMMYFUNCTION("split(J853,""*"")"),"Cancelled")</f>
        <v>Cancelled</v>
      </c>
      <c r="P853" s="14" t="str">
        <f>IFERROR(__xludf.DUMMYFUNCTION("""COMPUTED_VALUE"""),"Out of Stock")</f>
        <v>Out of Stock</v>
      </c>
      <c r="Q853" s="14" t="str">
        <f>IFERROR(__xludf.DUMMYFUNCTION("split(P853,"":"")"),"Out of Stock")</f>
        <v>Out of Stock</v>
      </c>
      <c r="R853" s="14"/>
      <c r="S853" s="14" t="str">
        <f t="shared" ref="S853:U853" si="1709">trim(B853)</f>
        <v>ord_30844</v>
      </c>
      <c r="T853" s="14" t="str">
        <f t="shared" si="1709"/>
        <v>Mehul Thakkar</v>
      </c>
      <c r="U853" s="14" t="str">
        <f t="shared" si="1709"/>
        <v>Malad</v>
      </c>
      <c r="V853" s="14" t="str">
        <f t="shared" si="4"/>
        <v>Banana</v>
      </c>
      <c r="W853" s="14">
        <f t="shared" si="5"/>
        <v>1</v>
      </c>
      <c r="X853" s="14" t="str">
        <f t="shared" si="6"/>
        <v>Not Assigned</v>
      </c>
      <c r="Y853" s="15">
        <f t="shared" si="7"/>
        <v>45257</v>
      </c>
      <c r="Z853" s="14" t="str">
        <f t="shared" si="8"/>
        <v>UPI</v>
      </c>
      <c r="AA853" s="14" t="str">
        <f t="shared" si="9"/>
        <v>Cancelled</v>
      </c>
      <c r="AB853" s="14" t="str">
        <f t="shared" ref="AB853:AC853" si="1710">trim(Q853)</f>
        <v>Out of Stock</v>
      </c>
      <c r="AC853" s="14" t="str">
        <f t="shared" si="1710"/>
        <v/>
      </c>
      <c r="AD853" s="8"/>
    </row>
    <row r="854">
      <c r="A854" s="14" t="str">
        <f>IFERROR(__xludf.DUMMYFUNCTION("""COMPUTED_VALUE"""),"//ord_30845//Sakshi Tandon//Colaba//Chocolate Mousse+4*Shine Thomas/8/21/2023//Credit Card//Delivered*Quality of Items: Perfect condition")</f>
        <v>//ord_30845//Sakshi Tandon//Colaba//Chocolate Mousse+4*Shine Thomas/8/21/2023//Credit Card//Delivered*Quality of Items: Perfect condition</v>
      </c>
      <c r="B854" s="14" t="str">
        <f>IFERROR(__xludf.DUMMYFUNCTION("split(A854,""//"")"),"ord_30845")</f>
        <v>ord_30845</v>
      </c>
      <c r="C854" s="14" t="str">
        <f>IFERROR(__xludf.DUMMYFUNCTION("""COMPUTED_VALUE"""),"Sakshi Tandon")</f>
        <v>Sakshi Tandon</v>
      </c>
      <c r="D854" s="14" t="str">
        <f>IFERROR(__xludf.DUMMYFUNCTION("""COMPUTED_VALUE"""),"Colaba")</f>
        <v>Colaba</v>
      </c>
      <c r="E854" s="14" t="str">
        <f>IFERROR(__xludf.DUMMYFUNCTION("""COMPUTED_VALUE"""),"Chocolate Mousse+4*Shine Thomas")</f>
        <v>Chocolate Mousse+4*Shine Thomas</v>
      </c>
      <c r="F854" s="14">
        <f>IFERROR(__xludf.DUMMYFUNCTION("""COMPUTED_VALUE"""),8.0)</f>
        <v>8</v>
      </c>
      <c r="G854" s="14">
        <f>IFERROR(__xludf.DUMMYFUNCTION("""COMPUTED_VALUE"""),21.0)</f>
        <v>21</v>
      </c>
      <c r="H854" s="14">
        <f>IFERROR(__xludf.DUMMYFUNCTION("""COMPUTED_VALUE"""),2023.0)</f>
        <v>2023</v>
      </c>
      <c r="I854" s="14" t="str">
        <f>IFERROR(__xludf.DUMMYFUNCTION("""COMPUTED_VALUE"""),"Credit Card")</f>
        <v>Credit Card</v>
      </c>
      <c r="J854" s="14" t="str">
        <f>IFERROR(__xludf.DUMMYFUNCTION("""COMPUTED_VALUE"""),"Delivered*Quality of Items: Perfect condition")</f>
        <v>Delivered*Quality of Items: Perfect condition</v>
      </c>
      <c r="K854" s="14" t="str">
        <f>IFERROR(__xludf.DUMMYFUNCTION("split(E854,""+"")"),"Chocolate Mousse")</f>
        <v>Chocolate Mousse</v>
      </c>
      <c r="L854" s="14" t="str">
        <f>IFERROR(__xludf.DUMMYFUNCTION("""COMPUTED_VALUE"""),"4*Shine Thomas")</f>
        <v>4*Shine Thomas</v>
      </c>
      <c r="M854" s="14">
        <f>IFERROR(__xludf.DUMMYFUNCTION("SPLIT(L854,""*"")"),4.0)</f>
        <v>4</v>
      </c>
      <c r="N854" s="14" t="str">
        <f>IFERROR(__xludf.DUMMYFUNCTION("""COMPUTED_VALUE"""),"Shine Thomas")</f>
        <v>Shine Thomas</v>
      </c>
      <c r="O854" s="14" t="str">
        <f>IFERROR(__xludf.DUMMYFUNCTION("split(J854,""*"")"),"Delivered")</f>
        <v>Delivered</v>
      </c>
      <c r="P854" s="14" t="str">
        <f>IFERROR(__xludf.DUMMYFUNCTION("""COMPUTED_VALUE"""),"Quality of Items: Perfect condition")</f>
        <v>Quality of Items: Perfect condition</v>
      </c>
      <c r="Q854" s="14" t="str">
        <f>IFERROR(__xludf.DUMMYFUNCTION("split(P854,"":"")"),"Quality of Items")</f>
        <v>Quality of Items</v>
      </c>
      <c r="R854" s="14" t="str">
        <f>IFERROR(__xludf.DUMMYFUNCTION("""COMPUTED_VALUE""")," Perfect condition")</f>
        <v> Perfect condition</v>
      </c>
      <c r="S854" s="14" t="str">
        <f t="shared" ref="S854:U854" si="1711">trim(B854)</f>
        <v>ord_30845</v>
      </c>
      <c r="T854" s="14" t="str">
        <f t="shared" si="1711"/>
        <v>Sakshi Tandon</v>
      </c>
      <c r="U854" s="14" t="str">
        <f t="shared" si="1711"/>
        <v>Colaba</v>
      </c>
      <c r="V854" s="14" t="str">
        <f t="shared" si="4"/>
        <v>Chocolate Mousse</v>
      </c>
      <c r="W854" s="14">
        <f t="shared" si="5"/>
        <v>4</v>
      </c>
      <c r="X854" s="14" t="str">
        <f t="shared" si="6"/>
        <v>Shine Thomas</v>
      </c>
      <c r="Y854" s="15">
        <f t="shared" si="7"/>
        <v>45159</v>
      </c>
      <c r="Z854" s="14" t="str">
        <f t="shared" si="8"/>
        <v>Credit Card</v>
      </c>
      <c r="AA854" s="14" t="str">
        <f t="shared" si="9"/>
        <v>Delivered</v>
      </c>
      <c r="AB854" s="14" t="str">
        <f t="shared" ref="AB854:AC854" si="1712">trim(Q854)</f>
        <v>Quality of Items</v>
      </c>
      <c r="AC854" s="14" t="str">
        <f t="shared" si="1712"/>
        <v>Perfect condition</v>
      </c>
      <c r="AD854" s="8"/>
    </row>
    <row r="855">
      <c r="A855" s="14" t="str">
        <f>IFERROR(__xludf.DUMMYFUNCTION("""COMPUTED_VALUE"""),"//ord_30846//Arvind Kulkarni//Juhu//Chilli Cheese Toast+2*Not Assigned/5/9/2023//Credit Card//Cancelled*Out of Stock")</f>
        <v>//ord_30846//Arvind Kulkarni//Juhu//Chilli Cheese Toast+2*Not Assigned/5/9/2023//Credit Card//Cancelled*Out of Stock</v>
      </c>
      <c r="B855" s="14" t="str">
        <f>IFERROR(__xludf.DUMMYFUNCTION("split(A855,""//"")"),"ord_30846")</f>
        <v>ord_30846</v>
      </c>
      <c r="C855" s="14" t="str">
        <f>IFERROR(__xludf.DUMMYFUNCTION("""COMPUTED_VALUE"""),"Arvind Kulkarni")</f>
        <v>Arvind Kulkarni</v>
      </c>
      <c r="D855" s="14" t="str">
        <f>IFERROR(__xludf.DUMMYFUNCTION("""COMPUTED_VALUE"""),"Juhu")</f>
        <v>Juhu</v>
      </c>
      <c r="E855" s="14" t="str">
        <f>IFERROR(__xludf.DUMMYFUNCTION("""COMPUTED_VALUE"""),"Chilli Cheese Toast+2*Not Assigned")</f>
        <v>Chilli Cheese Toast+2*Not Assigned</v>
      </c>
      <c r="F855" s="14">
        <f>IFERROR(__xludf.DUMMYFUNCTION("""COMPUTED_VALUE"""),5.0)</f>
        <v>5</v>
      </c>
      <c r="G855" s="14">
        <f>IFERROR(__xludf.DUMMYFUNCTION("""COMPUTED_VALUE"""),9.0)</f>
        <v>9</v>
      </c>
      <c r="H855" s="14">
        <f>IFERROR(__xludf.DUMMYFUNCTION("""COMPUTED_VALUE"""),2023.0)</f>
        <v>2023</v>
      </c>
      <c r="I855" s="14" t="str">
        <f>IFERROR(__xludf.DUMMYFUNCTION("""COMPUTED_VALUE"""),"Credit Card")</f>
        <v>Credit Card</v>
      </c>
      <c r="J855" s="14" t="str">
        <f>IFERROR(__xludf.DUMMYFUNCTION("""COMPUTED_VALUE"""),"Cancelled*Out of Stock")</f>
        <v>Cancelled*Out of Stock</v>
      </c>
      <c r="K855" s="14" t="str">
        <f>IFERROR(__xludf.DUMMYFUNCTION("split(E855,""+"")"),"Chilli Cheese Toast")</f>
        <v>Chilli Cheese Toast</v>
      </c>
      <c r="L855" s="14" t="str">
        <f>IFERROR(__xludf.DUMMYFUNCTION("""COMPUTED_VALUE"""),"2*Not Assigned")</f>
        <v>2*Not Assigned</v>
      </c>
      <c r="M855" s="14">
        <f>IFERROR(__xludf.DUMMYFUNCTION("SPLIT(L855,""*"")"),2.0)</f>
        <v>2</v>
      </c>
      <c r="N855" s="14" t="str">
        <f>IFERROR(__xludf.DUMMYFUNCTION("""COMPUTED_VALUE"""),"Not Assigned")</f>
        <v>Not Assigned</v>
      </c>
      <c r="O855" s="14" t="str">
        <f>IFERROR(__xludf.DUMMYFUNCTION("split(J855,""*"")"),"Cancelled")</f>
        <v>Cancelled</v>
      </c>
      <c r="P855" s="14" t="str">
        <f>IFERROR(__xludf.DUMMYFUNCTION("""COMPUTED_VALUE"""),"Out of Stock")</f>
        <v>Out of Stock</v>
      </c>
      <c r="Q855" s="14" t="str">
        <f>IFERROR(__xludf.DUMMYFUNCTION("split(P855,"":"")"),"Out of Stock")</f>
        <v>Out of Stock</v>
      </c>
      <c r="R855" s="14"/>
      <c r="S855" s="14" t="str">
        <f t="shared" ref="S855:U855" si="1713">trim(B855)</f>
        <v>ord_30846</v>
      </c>
      <c r="T855" s="14" t="str">
        <f t="shared" si="1713"/>
        <v>Arvind Kulkarni</v>
      </c>
      <c r="U855" s="14" t="str">
        <f t="shared" si="1713"/>
        <v>Juhu</v>
      </c>
      <c r="V855" s="14" t="str">
        <f t="shared" si="4"/>
        <v>Chilli Cheese Toast</v>
      </c>
      <c r="W855" s="14">
        <f t="shared" si="5"/>
        <v>2</v>
      </c>
      <c r="X855" s="14" t="str">
        <f t="shared" si="6"/>
        <v>Not Assigned</v>
      </c>
      <c r="Y855" s="15">
        <f t="shared" si="7"/>
        <v>45055</v>
      </c>
      <c r="Z855" s="14" t="str">
        <f t="shared" si="8"/>
        <v>Credit Card</v>
      </c>
      <c r="AA855" s="14" t="str">
        <f t="shared" si="9"/>
        <v>Cancelled</v>
      </c>
      <c r="AB855" s="14" t="str">
        <f t="shared" ref="AB855:AC855" si="1714">trim(Q855)</f>
        <v>Out of Stock</v>
      </c>
      <c r="AC855" s="14" t="str">
        <f t="shared" si="1714"/>
        <v/>
      </c>
      <c r="AD855" s="8"/>
    </row>
    <row r="856">
      <c r="A856" s="14" t="str">
        <f>IFERROR(__xludf.DUMMYFUNCTION("""COMPUTED_VALUE"""),"//ord_30847//Sakshi Tandon//Colaba//Popcorn+1*Ramesh S/8/8/2023//UPI//Delivered*On-time Delivery: Delivered on time")</f>
        <v>//ord_30847//Sakshi Tandon//Colaba//Popcorn+1*Ramesh S/8/8/2023//UPI//Delivered*On-time Delivery: Delivered on time</v>
      </c>
      <c r="B856" s="14" t="str">
        <f>IFERROR(__xludf.DUMMYFUNCTION("split(A856,""//"")"),"ord_30847")</f>
        <v>ord_30847</v>
      </c>
      <c r="C856" s="14" t="str">
        <f>IFERROR(__xludf.DUMMYFUNCTION("""COMPUTED_VALUE"""),"Sakshi Tandon")</f>
        <v>Sakshi Tandon</v>
      </c>
      <c r="D856" s="14" t="str">
        <f>IFERROR(__xludf.DUMMYFUNCTION("""COMPUTED_VALUE"""),"Colaba")</f>
        <v>Colaba</v>
      </c>
      <c r="E856" s="14" t="str">
        <f>IFERROR(__xludf.DUMMYFUNCTION("""COMPUTED_VALUE"""),"Popcorn+1*Ramesh S")</f>
        <v>Popcorn+1*Ramesh S</v>
      </c>
      <c r="F856" s="14">
        <f>IFERROR(__xludf.DUMMYFUNCTION("""COMPUTED_VALUE"""),8.0)</f>
        <v>8</v>
      </c>
      <c r="G856" s="14">
        <f>IFERROR(__xludf.DUMMYFUNCTION("""COMPUTED_VALUE"""),8.0)</f>
        <v>8</v>
      </c>
      <c r="H856" s="14">
        <f>IFERROR(__xludf.DUMMYFUNCTION("""COMPUTED_VALUE"""),2023.0)</f>
        <v>2023</v>
      </c>
      <c r="I856" s="14" t="str">
        <f>IFERROR(__xludf.DUMMYFUNCTION("""COMPUTED_VALUE"""),"UPI")</f>
        <v>UPI</v>
      </c>
      <c r="J856" s="14" t="str">
        <f>IFERROR(__xludf.DUMMYFUNCTION("""COMPUTED_VALUE"""),"Delivered*On-time Delivery: Delivered on time")</f>
        <v>Delivered*On-time Delivery: Delivered on time</v>
      </c>
      <c r="K856" s="14" t="str">
        <f>IFERROR(__xludf.DUMMYFUNCTION("split(E856,""+"")"),"Popcorn")</f>
        <v>Popcorn</v>
      </c>
      <c r="L856" s="14" t="str">
        <f>IFERROR(__xludf.DUMMYFUNCTION("""COMPUTED_VALUE"""),"1*Ramesh S")</f>
        <v>1*Ramesh S</v>
      </c>
      <c r="M856" s="14">
        <f>IFERROR(__xludf.DUMMYFUNCTION("SPLIT(L856,""*"")"),1.0)</f>
        <v>1</v>
      </c>
      <c r="N856" s="14" t="str">
        <f>IFERROR(__xludf.DUMMYFUNCTION("""COMPUTED_VALUE"""),"Ramesh S")</f>
        <v>Ramesh S</v>
      </c>
      <c r="O856" s="14" t="str">
        <f>IFERROR(__xludf.DUMMYFUNCTION("split(J856,""*"")"),"Delivered")</f>
        <v>Delivered</v>
      </c>
      <c r="P856" s="14" t="str">
        <f>IFERROR(__xludf.DUMMYFUNCTION("""COMPUTED_VALUE"""),"On-time Delivery: Delivered on time")</f>
        <v>On-time Delivery: Delivered on time</v>
      </c>
      <c r="Q856" s="14" t="str">
        <f>IFERROR(__xludf.DUMMYFUNCTION("split(P856,"":"")"),"On-time Delivery")</f>
        <v>On-time Delivery</v>
      </c>
      <c r="R856" s="14" t="str">
        <f>IFERROR(__xludf.DUMMYFUNCTION("""COMPUTED_VALUE""")," Delivered on time")</f>
        <v> Delivered on time</v>
      </c>
      <c r="S856" s="14" t="str">
        <f t="shared" ref="S856:U856" si="1715">trim(B856)</f>
        <v>ord_30847</v>
      </c>
      <c r="T856" s="14" t="str">
        <f t="shared" si="1715"/>
        <v>Sakshi Tandon</v>
      </c>
      <c r="U856" s="14" t="str">
        <f t="shared" si="1715"/>
        <v>Colaba</v>
      </c>
      <c r="V856" s="14" t="str">
        <f t="shared" si="4"/>
        <v>Popcorn</v>
      </c>
      <c r="W856" s="14">
        <f t="shared" si="5"/>
        <v>1</v>
      </c>
      <c r="X856" s="14" t="str">
        <f t="shared" si="6"/>
        <v>Ramesh S</v>
      </c>
      <c r="Y856" s="15">
        <f t="shared" si="7"/>
        <v>45146</v>
      </c>
      <c r="Z856" s="14" t="str">
        <f t="shared" si="8"/>
        <v>UPI</v>
      </c>
      <c r="AA856" s="14" t="str">
        <f t="shared" si="9"/>
        <v>Delivered</v>
      </c>
      <c r="AB856" s="14" t="str">
        <f t="shared" ref="AB856:AC856" si="1716">trim(Q856)</f>
        <v>On-time Delivery</v>
      </c>
      <c r="AC856" s="14" t="str">
        <f t="shared" si="1716"/>
        <v>Delivered on time</v>
      </c>
      <c r="AD856" s="8"/>
    </row>
    <row r="857">
      <c r="A857" s="14" t="str">
        <f>IFERROR(__xludf.DUMMYFUNCTION("""COMPUTED_VALUE"""),"//ord_30848//Ishaan Chaturvedi//Bandra//Cucumber+1*Nithin Lal/12/10/2023//Credit Card//Delivered*Quality of Items: Perfect condition")</f>
        <v>//ord_30848//Ishaan Chaturvedi//Bandra//Cucumber+1*Nithin Lal/12/10/2023//Credit Card//Delivered*Quality of Items: Perfect condition</v>
      </c>
      <c r="B857" s="14" t="str">
        <f>IFERROR(__xludf.DUMMYFUNCTION("split(A857,""//"")"),"ord_30848")</f>
        <v>ord_30848</v>
      </c>
      <c r="C857" s="14" t="str">
        <f>IFERROR(__xludf.DUMMYFUNCTION("""COMPUTED_VALUE"""),"Ishaan Chaturvedi")</f>
        <v>Ishaan Chaturvedi</v>
      </c>
      <c r="D857" s="14" t="str">
        <f>IFERROR(__xludf.DUMMYFUNCTION("""COMPUTED_VALUE"""),"Bandra")</f>
        <v>Bandra</v>
      </c>
      <c r="E857" s="14" t="str">
        <f>IFERROR(__xludf.DUMMYFUNCTION("""COMPUTED_VALUE"""),"Cucumber+1*Nithin Lal")</f>
        <v>Cucumber+1*Nithin Lal</v>
      </c>
      <c r="F857" s="14">
        <f>IFERROR(__xludf.DUMMYFUNCTION("""COMPUTED_VALUE"""),12.0)</f>
        <v>12</v>
      </c>
      <c r="G857" s="14">
        <f>IFERROR(__xludf.DUMMYFUNCTION("""COMPUTED_VALUE"""),10.0)</f>
        <v>10</v>
      </c>
      <c r="H857" s="14">
        <f>IFERROR(__xludf.DUMMYFUNCTION("""COMPUTED_VALUE"""),2023.0)</f>
        <v>2023</v>
      </c>
      <c r="I857" s="14" t="str">
        <f>IFERROR(__xludf.DUMMYFUNCTION("""COMPUTED_VALUE"""),"Credit Card")</f>
        <v>Credit Card</v>
      </c>
      <c r="J857" s="14" t="str">
        <f>IFERROR(__xludf.DUMMYFUNCTION("""COMPUTED_VALUE"""),"Delivered*Quality of Items: Perfect condition")</f>
        <v>Delivered*Quality of Items: Perfect condition</v>
      </c>
      <c r="K857" s="14" t="str">
        <f>IFERROR(__xludf.DUMMYFUNCTION("split(E857,""+"")"),"Cucumber")</f>
        <v>Cucumber</v>
      </c>
      <c r="L857" s="14" t="str">
        <f>IFERROR(__xludf.DUMMYFUNCTION("""COMPUTED_VALUE"""),"1*Nithin Lal")</f>
        <v>1*Nithin Lal</v>
      </c>
      <c r="M857" s="14">
        <f>IFERROR(__xludf.DUMMYFUNCTION("SPLIT(L857,""*"")"),1.0)</f>
        <v>1</v>
      </c>
      <c r="N857" s="14" t="str">
        <f>IFERROR(__xludf.DUMMYFUNCTION("""COMPUTED_VALUE"""),"Nithin Lal")</f>
        <v>Nithin Lal</v>
      </c>
      <c r="O857" s="14" t="str">
        <f>IFERROR(__xludf.DUMMYFUNCTION("split(J857,""*"")"),"Delivered")</f>
        <v>Delivered</v>
      </c>
      <c r="P857" s="14" t="str">
        <f>IFERROR(__xludf.DUMMYFUNCTION("""COMPUTED_VALUE"""),"Quality of Items: Perfect condition")</f>
        <v>Quality of Items: Perfect condition</v>
      </c>
      <c r="Q857" s="14" t="str">
        <f>IFERROR(__xludf.DUMMYFUNCTION("split(P857,"":"")"),"Quality of Items")</f>
        <v>Quality of Items</v>
      </c>
      <c r="R857" s="14" t="str">
        <f>IFERROR(__xludf.DUMMYFUNCTION("""COMPUTED_VALUE""")," Perfect condition")</f>
        <v> Perfect condition</v>
      </c>
      <c r="S857" s="14" t="str">
        <f t="shared" ref="S857:U857" si="1717">trim(B857)</f>
        <v>ord_30848</v>
      </c>
      <c r="T857" s="14" t="str">
        <f t="shared" si="1717"/>
        <v>Ishaan Chaturvedi</v>
      </c>
      <c r="U857" s="14" t="str">
        <f t="shared" si="1717"/>
        <v>Bandra</v>
      </c>
      <c r="V857" s="14" t="str">
        <f t="shared" si="4"/>
        <v>Cucumber</v>
      </c>
      <c r="W857" s="14">
        <f t="shared" si="5"/>
        <v>1</v>
      </c>
      <c r="X857" s="14" t="str">
        <f t="shared" si="6"/>
        <v>Nithin Lal</v>
      </c>
      <c r="Y857" s="15">
        <f t="shared" si="7"/>
        <v>45270</v>
      </c>
      <c r="Z857" s="14" t="str">
        <f t="shared" si="8"/>
        <v>Credit Card</v>
      </c>
      <c r="AA857" s="14" t="str">
        <f t="shared" si="9"/>
        <v>Delivered</v>
      </c>
      <c r="AB857" s="14" t="str">
        <f t="shared" ref="AB857:AC857" si="1718">trim(Q857)</f>
        <v>Quality of Items</v>
      </c>
      <c r="AC857" s="14" t="str">
        <f t="shared" si="1718"/>
        <v>Perfect condition</v>
      </c>
      <c r="AD857" s="8"/>
    </row>
    <row r="858">
      <c r="A858" s="14" t="str">
        <f>IFERROR(__xludf.DUMMYFUNCTION("""COMPUTED_VALUE"""),"//ord_30849//Mehul Thakkar//Malad//Chicken Puff+2*Vivek Kumar/5/25/2023//UPI//Delivered*Packaging: Secure and intact")</f>
        <v>//ord_30849//Mehul Thakkar//Malad//Chicken Puff+2*Vivek Kumar/5/25/2023//UPI//Delivered*Packaging: Secure and intact</v>
      </c>
      <c r="B858" s="14" t="str">
        <f>IFERROR(__xludf.DUMMYFUNCTION("split(A858,""//"")"),"ord_30849")</f>
        <v>ord_30849</v>
      </c>
      <c r="C858" s="14" t="str">
        <f>IFERROR(__xludf.DUMMYFUNCTION("""COMPUTED_VALUE"""),"Mehul Thakkar")</f>
        <v>Mehul Thakkar</v>
      </c>
      <c r="D858" s="14" t="str">
        <f>IFERROR(__xludf.DUMMYFUNCTION("""COMPUTED_VALUE"""),"Malad")</f>
        <v>Malad</v>
      </c>
      <c r="E858" s="14" t="str">
        <f>IFERROR(__xludf.DUMMYFUNCTION("""COMPUTED_VALUE"""),"Chicken Puff+2*Vivek Kumar")</f>
        <v>Chicken Puff+2*Vivek Kumar</v>
      </c>
      <c r="F858" s="14">
        <f>IFERROR(__xludf.DUMMYFUNCTION("""COMPUTED_VALUE"""),5.0)</f>
        <v>5</v>
      </c>
      <c r="G858" s="14">
        <f>IFERROR(__xludf.DUMMYFUNCTION("""COMPUTED_VALUE"""),25.0)</f>
        <v>25</v>
      </c>
      <c r="H858" s="14">
        <f>IFERROR(__xludf.DUMMYFUNCTION("""COMPUTED_VALUE"""),2023.0)</f>
        <v>2023</v>
      </c>
      <c r="I858" s="14" t="str">
        <f>IFERROR(__xludf.DUMMYFUNCTION("""COMPUTED_VALUE"""),"UPI")</f>
        <v>UPI</v>
      </c>
      <c r="J858" s="14" t="str">
        <f>IFERROR(__xludf.DUMMYFUNCTION("""COMPUTED_VALUE"""),"Delivered*Packaging: Secure and intact")</f>
        <v>Delivered*Packaging: Secure and intact</v>
      </c>
      <c r="K858" s="14" t="str">
        <f>IFERROR(__xludf.DUMMYFUNCTION("split(E858,""+"")"),"Chicken Puff")</f>
        <v>Chicken Puff</v>
      </c>
      <c r="L858" s="14" t="str">
        <f>IFERROR(__xludf.DUMMYFUNCTION("""COMPUTED_VALUE"""),"2*Vivek Kumar")</f>
        <v>2*Vivek Kumar</v>
      </c>
      <c r="M858" s="14">
        <f>IFERROR(__xludf.DUMMYFUNCTION("SPLIT(L858,""*"")"),2.0)</f>
        <v>2</v>
      </c>
      <c r="N858" s="14" t="str">
        <f>IFERROR(__xludf.DUMMYFUNCTION("""COMPUTED_VALUE"""),"Vivek Kumar")</f>
        <v>Vivek Kumar</v>
      </c>
      <c r="O858" s="14" t="str">
        <f>IFERROR(__xludf.DUMMYFUNCTION("split(J858,""*"")"),"Delivered")</f>
        <v>Delivered</v>
      </c>
      <c r="P858" s="14" t="str">
        <f>IFERROR(__xludf.DUMMYFUNCTION("""COMPUTED_VALUE"""),"Packaging: Secure and intact")</f>
        <v>Packaging: Secure and intact</v>
      </c>
      <c r="Q858" s="14" t="str">
        <f>IFERROR(__xludf.DUMMYFUNCTION("split(P858,"":"")"),"Packaging")</f>
        <v>Packaging</v>
      </c>
      <c r="R858" s="14" t="str">
        <f>IFERROR(__xludf.DUMMYFUNCTION("""COMPUTED_VALUE""")," Secure and intact")</f>
        <v> Secure and intact</v>
      </c>
      <c r="S858" s="14" t="str">
        <f t="shared" ref="S858:U858" si="1719">trim(B858)</f>
        <v>ord_30849</v>
      </c>
      <c r="T858" s="14" t="str">
        <f t="shared" si="1719"/>
        <v>Mehul Thakkar</v>
      </c>
      <c r="U858" s="14" t="str">
        <f t="shared" si="1719"/>
        <v>Malad</v>
      </c>
      <c r="V858" s="14" t="str">
        <f t="shared" si="4"/>
        <v>Chicken Puff</v>
      </c>
      <c r="W858" s="14">
        <f t="shared" si="5"/>
        <v>2</v>
      </c>
      <c r="X858" s="14" t="str">
        <f t="shared" si="6"/>
        <v>Vivek Kumar</v>
      </c>
      <c r="Y858" s="15">
        <f t="shared" si="7"/>
        <v>45071</v>
      </c>
      <c r="Z858" s="14" t="str">
        <f t="shared" si="8"/>
        <v>UPI</v>
      </c>
      <c r="AA858" s="14" t="str">
        <f t="shared" si="9"/>
        <v>Delivered</v>
      </c>
      <c r="AB858" s="14" t="str">
        <f t="shared" ref="AB858:AC858" si="1720">trim(Q858)</f>
        <v>Packaging</v>
      </c>
      <c r="AC858" s="14" t="str">
        <f t="shared" si="1720"/>
        <v>Secure and intact</v>
      </c>
      <c r="AD858" s="8"/>
    </row>
    <row r="859">
      <c r="A859" s="14" t="str">
        <f>IFERROR(__xludf.DUMMYFUNCTION("""COMPUTED_VALUE"""),"//ord_30850//Aarav Mehta//Andheri//Icecream+2*Shine Thomas/11/23/2023//Online Payment//Delivered*Satisfied with the Delivery: Timely and quality")</f>
        <v>//ord_30850//Aarav Mehta//Andheri//Icecream+2*Shine Thomas/11/23/2023//Online Payment//Delivered*Satisfied with the Delivery: Timely and quality</v>
      </c>
      <c r="B859" s="14" t="str">
        <f>IFERROR(__xludf.DUMMYFUNCTION("split(A859,""//"")"),"ord_30850")</f>
        <v>ord_30850</v>
      </c>
      <c r="C859" s="14" t="str">
        <f>IFERROR(__xludf.DUMMYFUNCTION("""COMPUTED_VALUE"""),"Aarav Mehta")</f>
        <v>Aarav Mehta</v>
      </c>
      <c r="D859" s="14" t="str">
        <f>IFERROR(__xludf.DUMMYFUNCTION("""COMPUTED_VALUE"""),"Andheri")</f>
        <v>Andheri</v>
      </c>
      <c r="E859" s="14" t="str">
        <f>IFERROR(__xludf.DUMMYFUNCTION("""COMPUTED_VALUE"""),"Icecream+2*Shine Thomas")</f>
        <v>Icecream+2*Shine Thomas</v>
      </c>
      <c r="F859" s="14">
        <f>IFERROR(__xludf.DUMMYFUNCTION("""COMPUTED_VALUE"""),11.0)</f>
        <v>11</v>
      </c>
      <c r="G859" s="14">
        <f>IFERROR(__xludf.DUMMYFUNCTION("""COMPUTED_VALUE"""),23.0)</f>
        <v>23</v>
      </c>
      <c r="H859" s="14">
        <f>IFERROR(__xludf.DUMMYFUNCTION("""COMPUTED_VALUE"""),2023.0)</f>
        <v>2023</v>
      </c>
      <c r="I859" s="14" t="str">
        <f>IFERROR(__xludf.DUMMYFUNCTION("""COMPUTED_VALUE"""),"Online Payment")</f>
        <v>Online Payment</v>
      </c>
      <c r="J859" s="14" t="str">
        <f>IFERROR(__xludf.DUMMYFUNCTION("""COMPUTED_VALUE"""),"Delivered*Satisfied with the Delivery: Timely and quality")</f>
        <v>Delivered*Satisfied with the Delivery: Timely and quality</v>
      </c>
      <c r="K859" s="14" t="str">
        <f>IFERROR(__xludf.DUMMYFUNCTION("split(E859,""+"")"),"Icecream")</f>
        <v>Icecream</v>
      </c>
      <c r="L859" s="14" t="str">
        <f>IFERROR(__xludf.DUMMYFUNCTION("""COMPUTED_VALUE"""),"2*Shine Thomas")</f>
        <v>2*Shine Thomas</v>
      </c>
      <c r="M859" s="14">
        <f>IFERROR(__xludf.DUMMYFUNCTION("SPLIT(L859,""*"")"),2.0)</f>
        <v>2</v>
      </c>
      <c r="N859" s="14" t="str">
        <f>IFERROR(__xludf.DUMMYFUNCTION("""COMPUTED_VALUE"""),"Shine Thomas")</f>
        <v>Shine Thomas</v>
      </c>
      <c r="O859" s="14" t="str">
        <f>IFERROR(__xludf.DUMMYFUNCTION("split(J859,""*"")"),"Delivered")</f>
        <v>Delivered</v>
      </c>
      <c r="P859" s="14" t="str">
        <f>IFERROR(__xludf.DUMMYFUNCTION("""COMPUTED_VALUE"""),"Satisfied with the Delivery: Timely and quality")</f>
        <v>Satisfied with the Delivery: Timely and quality</v>
      </c>
      <c r="Q859" s="14" t="str">
        <f>IFERROR(__xludf.DUMMYFUNCTION("split(P859,"":"")"),"Satisfied with the Delivery")</f>
        <v>Satisfied with the Delivery</v>
      </c>
      <c r="R859" s="14" t="str">
        <f>IFERROR(__xludf.DUMMYFUNCTION("""COMPUTED_VALUE""")," Timely and quality")</f>
        <v> Timely and quality</v>
      </c>
      <c r="S859" s="14" t="str">
        <f t="shared" ref="S859:U859" si="1721">trim(B859)</f>
        <v>ord_30850</v>
      </c>
      <c r="T859" s="14" t="str">
        <f t="shared" si="1721"/>
        <v>Aarav Mehta</v>
      </c>
      <c r="U859" s="14" t="str">
        <f t="shared" si="1721"/>
        <v>Andheri</v>
      </c>
      <c r="V859" s="14" t="str">
        <f t="shared" si="4"/>
        <v>Icecream</v>
      </c>
      <c r="W859" s="14">
        <f t="shared" si="5"/>
        <v>2</v>
      </c>
      <c r="X859" s="14" t="str">
        <f t="shared" si="6"/>
        <v>Shine Thomas</v>
      </c>
      <c r="Y859" s="15">
        <f t="shared" si="7"/>
        <v>45253</v>
      </c>
      <c r="Z859" s="14" t="str">
        <f t="shared" si="8"/>
        <v>Online Payment</v>
      </c>
      <c r="AA859" s="14" t="str">
        <f t="shared" si="9"/>
        <v>Delivered</v>
      </c>
      <c r="AB859" s="14" t="str">
        <f t="shared" ref="AB859:AC859" si="1722">trim(Q859)</f>
        <v>Satisfied with the Delivery</v>
      </c>
      <c r="AC859" s="14" t="str">
        <f t="shared" si="1722"/>
        <v>Timely and quality</v>
      </c>
      <c r="AD859" s="8"/>
    </row>
    <row r="860">
      <c r="A860" s="14" t="str">
        <f>IFERROR(__xludf.DUMMYFUNCTION("""COMPUTED_VALUE"""),"//ord_30851//Mehul Thakkar//Malad//Tomato+2*Rohan Yadav/12/16/2023//Credit Card//Cancelled*Delayed Delivery:Heavy Traffic")</f>
        <v>//ord_30851//Mehul Thakkar//Malad//Tomato+2*Rohan Yadav/12/16/2023//Credit Card//Cancelled*Delayed Delivery:Heavy Traffic</v>
      </c>
      <c r="B860" s="14" t="str">
        <f>IFERROR(__xludf.DUMMYFUNCTION("split(A860,""//"")"),"ord_30851")</f>
        <v>ord_30851</v>
      </c>
      <c r="C860" s="14" t="str">
        <f>IFERROR(__xludf.DUMMYFUNCTION("""COMPUTED_VALUE"""),"Mehul Thakkar")</f>
        <v>Mehul Thakkar</v>
      </c>
      <c r="D860" s="14" t="str">
        <f>IFERROR(__xludf.DUMMYFUNCTION("""COMPUTED_VALUE"""),"Malad")</f>
        <v>Malad</v>
      </c>
      <c r="E860" s="14" t="str">
        <f>IFERROR(__xludf.DUMMYFUNCTION("""COMPUTED_VALUE"""),"Tomato+2*Rohan Yadav")</f>
        <v>Tomato+2*Rohan Yadav</v>
      </c>
      <c r="F860" s="14">
        <f>IFERROR(__xludf.DUMMYFUNCTION("""COMPUTED_VALUE"""),12.0)</f>
        <v>12</v>
      </c>
      <c r="G860" s="14">
        <f>IFERROR(__xludf.DUMMYFUNCTION("""COMPUTED_VALUE"""),16.0)</f>
        <v>16</v>
      </c>
      <c r="H860" s="14">
        <f>IFERROR(__xludf.DUMMYFUNCTION("""COMPUTED_VALUE"""),2023.0)</f>
        <v>2023</v>
      </c>
      <c r="I860" s="14" t="str">
        <f>IFERROR(__xludf.DUMMYFUNCTION("""COMPUTED_VALUE"""),"Credit Card")</f>
        <v>Credit Card</v>
      </c>
      <c r="J860" s="14" t="str">
        <f>IFERROR(__xludf.DUMMYFUNCTION("""COMPUTED_VALUE"""),"Cancelled*Delayed Delivery:Heavy Traffic")</f>
        <v>Cancelled*Delayed Delivery:Heavy Traffic</v>
      </c>
      <c r="K860" s="14" t="str">
        <f>IFERROR(__xludf.DUMMYFUNCTION("split(E860,""+"")"),"Tomato")</f>
        <v>Tomato</v>
      </c>
      <c r="L860" s="14" t="str">
        <f>IFERROR(__xludf.DUMMYFUNCTION("""COMPUTED_VALUE"""),"2*Rohan Yadav")</f>
        <v>2*Rohan Yadav</v>
      </c>
      <c r="M860" s="14">
        <f>IFERROR(__xludf.DUMMYFUNCTION("SPLIT(L860,""*"")"),2.0)</f>
        <v>2</v>
      </c>
      <c r="N860" s="14" t="str">
        <f>IFERROR(__xludf.DUMMYFUNCTION("""COMPUTED_VALUE"""),"Rohan Yadav")</f>
        <v>Rohan Yadav</v>
      </c>
      <c r="O860" s="14" t="str">
        <f>IFERROR(__xludf.DUMMYFUNCTION("split(J860,""*"")"),"Cancelled")</f>
        <v>Cancelled</v>
      </c>
      <c r="P860" s="14" t="str">
        <f>IFERROR(__xludf.DUMMYFUNCTION("""COMPUTED_VALUE"""),"Delayed Delivery:Heavy Traffic")</f>
        <v>Delayed Delivery:Heavy Traffic</v>
      </c>
      <c r="Q860" s="14" t="str">
        <f>IFERROR(__xludf.DUMMYFUNCTION("split(P860,"":"")"),"Delayed Delivery")</f>
        <v>Delayed Delivery</v>
      </c>
      <c r="R860" s="14" t="str">
        <f>IFERROR(__xludf.DUMMYFUNCTION("""COMPUTED_VALUE"""),"Heavy Traffic")</f>
        <v>Heavy Traffic</v>
      </c>
      <c r="S860" s="14" t="str">
        <f t="shared" ref="S860:U860" si="1723">trim(B860)</f>
        <v>ord_30851</v>
      </c>
      <c r="T860" s="14" t="str">
        <f t="shared" si="1723"/>
        <v>Mehul Thakkar</v>
      </c>
      <c r="U860" s="14" t="str">
        <f t="shared" si="1723"/>
        <v>Malad</v>
      </c>
      <c r="V860" s="14" t="str">
        <f t="shared" si="4"/>
        <v>Tomato</v>
      </c>
      <c r="W860" s="14">
        <f t="shared" si="5"/>
        <v>2</v>
      </c>
      <c r="X860" s="14" t="str">
        <f t="shared" si="6"/>
        <v>Rohan Yadav</v>
      </c>
      <c r="Y860" s="15">
        <f t="shared" si="7"/>
        <v>45276</v>
      </c>
      <c r="Z860" s="14" t="str">
        <f t="shared" si="8"/>
        <v>Credit Card</v>
      </c>
      <c r="AA860" s="14" t="str">
        <f t="shared" si="9"/>
        <v>Cancelled</v>
      </c>
      <c r="AB860" s="14" t="str">
        <f t="shared" ref="AB860:AC860" si="1724">trim(Q860)</f>
        <v>Delayed Delivery</v>
      </c>
      <c r="AC860" s="14" t="str">
        <f t="shared" si="1724"/>
        <v>Heavy Traffic</v>
      </c>
      <c r="AD860" s="8"/>
    </row>
    <row r="861">
      <c r="A861" s="14" t="str">
        <f>IFERROR(__xludf.DUMMYFUNCTION("""COMPUTED_VALUE"""),"//ord_30852//Parth Goel//Juhu//Tiramisu+5*Shine Thomas/6/22/2023//UPI//Delivered*Customer Service: Seamless and easy")</f>
        <v>//ord_30852//Parth Goel//Juhu//Tiramisu+5*Shine Thomas/6/22/2023//UPI//Delivered*Customer Service: Seamless and easy</v>
      </c>
      <c r="B861" s="14" t="str">
        <f>IFERROR(__xludf.DUMMYFUNCTION("split(A861,""//"")"),"ord_30852")</f>
        <v>ord_30852</v>
      </c>
      <c r="C861" s="14" t="str">
        <f>IFERROR(__xludf.DUMMYFUNCTION("""COMPUTED_VALUE"""),"Parth Goel")</f>
        <v>Parth Goel</v>
      </c>
      <c r="D861" s="14" t="str">
        <f>IFERROR(__xludf.DUMMYFUNCTION("""COMPUTED_VALUE"""),"Juhu")</f>
        <v>Juhu</v>
      </c>
      <c r="E861" s="14" t="str">
        <f>IFERROR(__xludf.DUMMYFUNCTION("""COMPUTED_VALUE"""),"Tiramisu+5*Shine Thomas")</f>
        <v>Tiramisu+5*Shine Thomas</v>
      </c>
      <c r="F861" s="14">
        <f>IFERROR(__xludf.DUMMYFUNCTION("""COMPUTED_VALUE"""),6.0)</f>
        <v>6</v>
      </c>
      <c r="G861" s="14">
        <f>IFERROR(__xludf.DUMMYFUNCTION("""COMPUTED_VALUE"""),22.0)</f>
        <v>22</v>
      </c>
      <c r="H861" s="14">
        <f>IFERROR(__xludf.DUMMYFUNCTION("""COMPUTED_VALUE"""),2023.0)</f>
        <v>2023</v>
      </c>
      <c r="I861" s="14" t="str">
        <f>IFERROR(__xludf.DUMMYFUNCTION("""COMPUTED_VALUE"""),"UPI")</f>
        <v>UPI</v>
      </c>
      <c r="J861" s="14" t="str">
        <f>IFERROR(__xludf.DUMMYFUNCTION("""COMPUTED_VALUE"""),"Delivered*Customer Service: Seamless and easy")</f>
        <v>Delivered*Customer Service: Seamless and easy</v>
      </c>
      <c r="K861" s="14" t="str">
        <f>IFERROR(__xludf.DUMMYFUNCTION("split(E861,""+"")"),"Tiramisu")</f>
        <v>Tiramisu</v>
      </c>
      <c r="L861" s="14" t="str">
        <f>IFERROR(__xludf.DUMMYFUNCTION("""COMPUTED_VALUE"""),"5*Shine Thomas")</f>
        <v>5*Shine Thomas</v>
      </c>
      <c r="M861" s="14">
        <f>IFERROR(__xludf.DUMMYFUNCTION("SPLIT(L861,""*"")"),5.0)</f>
        <v>5</v>
      </c>
      <c r="N861" s="14" t="str">
        <f>IFERROR(__xludf.DUMMYFUNCTION("""COMPUTED_VALUE"""),"Shine Thomas")</f>
        <v>Shine Thomas</v>
      </c>
      <c r="O861" s="14" t="str">
        <f>IFERROR(__xludf.DUMMYFUNCTION("split(J861,""*"")"),"Delivered")</f>
        <v>Delivered</v>
      </c>
      <c r="P861" s="14" t="str">
        <f>IFERROR(__xludf.DUMMYFUNCTION("""COMPUTED_VALUE"""),"Customer Service: Seamless and easy")</f>
        <v>Customer Service: Seamless and easy</v>
      </c>
      <c r="Q861" s="14" t="str">
        <f>IFERROR(__xludf.DUMMYFUNCTION("split(P861,"":"")"),"Customer Service")</f>
        <v>Customer Service</v>
      </c>
      <c r="R861" s="14" t="str">
        <f>IFERROR(__xludf.DUMMYFUNCTION("""COMPUTED_VALUE""")," Seamless and easy")</f>
        <v> Seamless and easy</v>
      </c>
      <c r="S861" s="14" t="str">
        <f t="shared" ref="S861:U861" si="1725">trim(B861)</f>
        <v>ord_30852</v>
      </c>
      <c r="T861" s="14" t="str">
        <f t="shared" si="1725"/>
        <v>Parth Goel</v>
      </c>
      <c r="U861" s="14" t="str">
        <f t="shared" si="1725"/>
        <v>Juhu</v>
      </c>
      <c r="V861" s="14" t="str">
        <f t="shared" si="4"/>
        <v>Tiramisu</v>
      </c>
      <c r="W861" s="14">
        <f t="shared" si="5"/>
        <v>5</v>
      </c>
      <c r="X861" s="14" t="str">
        <f t="shared" si="6"/>
        <v>Shine Thomas</v>
      </c>
      <c r="Y861" s="15">
        <f t="shared" si="7"/>
        <v>45099</v>
      </c>
      <c r="Z861" s="14" t="str">
        <f t="shared" si="8"/>
        <v>UPI</v>
      </c>
      <c r="AA861" s="14" t="str">
        <f t="shared" si="9"/>
        <v>Delivered</v>
      </c>
      <c r="AB861" s="14" t="str">
        <f t="shared" ref="AB861:AC861" si="1726">trim(Q861)</f>
        <v>Customer Service</v>
      </c>
      <c r="AC861" s="14" t="str">
        <f t="shared" si="1726"/>
        <v>Seamless and easy</v>
      </c>
      <c r="AD861" s="8"/>
    </row>
    <row r="862">
      <c r="A862" s="14" t="str">
        <f>IFERROR(__xludf.DUMMYFUNCTION("""COMPUTED_VALUE"""),"//ord_30853//Ishita Banerjee//Juhu//Papaya+2*Ramesh S/1/4/2023//Online Payment//Delivered*Delivery Experience: Quick and professional")</f>
        <v>//ord_30853//Ishita Banerjee//Juhu//Papaya+2*Ramesh S/1/4/2023//Online Payment//Delivered*Delivery Experience: Quick and professional</v>
      </c>
      <c r="B862" s="14" t="str">
        <f>IFERROR(__xludf.DUMMYFUNCTION("split(A862,""//"")"),"ord_30853")</f>
        <v>ord_30853</v>
      </c>
      <c r="C862" s="14" t="str">
        <f>IFERROR(__xludf.DUMMYFUNCTION("""COMPUTED_VALUE"""),"Ishita Banerjee")</f>
        <v>Ishita Banerjee</v>
      </c>
      <c r="D862" s="14" t="str">
        <f>IFERROR(__xludf.DUMMYFUNCTION("""COMPUTED_VALUE"""),"Juhu")</f>
        <v>Juhu</v>
      </c>
      <c r="E862" s="14" t="str">
        <f>IFERROR(__xludf.DUMMYFUNCTION("""COMPUTED_VALUE"""),"Papaya+2*Ramesh S")</f>
        <v>Papaya+2*Ramesh S</v>
      </c>
      <c r="F862" s="14">
        <f>IFERROR(__xludf.DUMMYFUNCTION("""COMPUTED_VALUE"""),1.0)</f>
        <v>1</v>
      </c>
      <c r="G862" s="14">
        <f>IFERROR(__xludf.DUMMYFUNCTION("""COMPUTED_VALUE"""),4.0)</f>
        <v>4</v>
      </c>
      <c r="H862" s="14">
        <f>IFERROR(__xludf.DUMMYFUNCTION("""COMPUTED_VALUE"""),2023.0)</f>
        <v>2023</v>
      </c>
      <c r="I862" s="14" t="str">
        <f>IFERROR(__xludf.DUMMYFUNCTION("""COMPUTED_VALUE"""),"Online Payment")</f>
        <v>Online Payment</v>
      </c>
      <c r="J862" s="14" t="str">
        <f>IFERROR(__xludf.DUMMYFUNCTION("""COMPUTED_VALUE"""),"Delivered*Delivery Experience: Quick and professional")</f>
        <v>Delivered*Delivery Experience: Quick and professional</v>
      </c>
      <c r="K862" s="14" t="str">
        <f>IFERROR(__xludf.DUMMYFUNCTION("split(E862,""+"")"),"Papaya")</f>
        <v>Papaya</v>
      </c>
      <c r="L862" s="14" t="str">
        <f>IFERROR(__xludf.DUMMYFUNCTION("""COMPUTED_VALUE"""),"2*Ramesh S")</f>
        <v>2*Ramesh S</v>
      </c>
      <c r="M862" s="14">
        <f>IFERROR(__xludf.DUMMYFUNCTION("SPLIT(L862,""*"")"),2.0)</f>
        <v>2</v>
      </c>
      <c r="N862" s="14" t="str">
        <f>IFERROR(__xludf.DUMMYFUNCTION("""COMPUTED_VALUE"""),"Ramesh S")</f>
        <v>Ramesh S</v>
      </c>
      <c r="O862" s="14" t="str">
        <f>IFERROR(__xludf.DUMMYFUNCTION("split(J862,""*"")"),"Delivered")</f>
        <v>Delivered</v>
      </c>
      <c r="P862" s="14" t="str">
        <f>IFERROR(__xludf.DUMMYFUNCTION("""COMPUTED_VALUE"""),"Delivery Experience: Quick and professional")</f>
        <v>Delivery Experience: Quick and professional</v>
      </c>
      <c r="Q862" s="14" t="str">
        <f>IFERROR(__xludf.DUMMYFUNCTION("split(P862,"":"")"),"Delivery Experience")</f>
        <v>Delivery Experience</v>
      </c>
      <c r="R862" s="14" t="str">
        <f>IFERROR(__xludf.DUMMYFUNCTION("""COMPUTED_VALUE""")," Quick and professional")</f>
        <v> Quick and professional</v>
      </c>
      <c r="S862" s="14" t="str">
        <f t="shared" ref="S862:U862" si="1727">trim(B862)</f>
        <v>ord_30853</v>
      </c>
      <c r="T862" s="14" t="str">
        <f t="shared" si="1727"/>
        <v>Ishita Banerjee</v>
      </c>
      <c r="U862" s="14" t="str">
        <f t="shared" si="1727"/>
        <v>Juhu</v>
      </c>
      <c r="V862" s="14" t="str">
        <f t="shared" si="4"/>
        <v>Papaya</v>
      </c>
      <c r="W862" s="14">
        <f t="shared" si="5"/>
        <v>2</v>
      </c>
      <c r="X862" s="14" t="str">
        <f t="shared" si="6"/>
        <v>Ramesh S</v>
      </c>
      <c r="Y862" s="15">
        <f t="shared" si="7"/>
        <v>44930</v>
      </c>
      <c r="Z862" s="14" t="str">
        <f t="shared" si="8"/>
        <v>Online Payment</v>
      </c>
      <c r="AA862" s="14" t="str">
        <f t="shared" si="9"/>
        <v>Delivered</v>
      </c>
      <c r="AB862" s="14" t="str">
        <f t="shared" ref="AB862:AC862" si="1728">trim(Q862)</f>
        <v>Delivery Experience</v>
      </c>
      <c r="AC862" s="14" t="str">
        <f t="shared" si="1728"/>
        <v>Quick and professional</v>
      </c>
      <c r="AD862" s="8"/>
    </row>
    <row r="863">
      <c r="A863" s="14" t="str">
        <f>IFERROR(__xludf.DUMMYFUNCTION("""COMPUTED_VALUE"""),"//ord_30854//Pranav Joshi//Andheri//Popcorn+1*Ramesh S/2/1/2023//Online Payment//Delivered*Convenience: Easy tracking")</f>
        <v>//ord_30854//Pranav Joshi//Andheri//Popcorn+1*Ramesh S/2/1/2023//Online Payment//Delivered*Convenience: Easy tracking</v>
      </c>
      <c r="B863" s="14" t="str">
        <f>IFERROR(__xludf.DUMMYFUNCTION("split(A863,""//"")"),"ord_30854")</f>
        <v>ord_30854</v>
      </c>
      <c r="C863" s="14" t="str">
        <f>IFERROR(__xludf.DUMMYFUNCTION("""COMPUTED_VALUE"""),"Pranav Joshi")</f>
        <v>Pranav Joshi</v>
      </c>
      <c r="D863" s="14" t="str">
        <f>IFERROR(__xludf.DUMMYFUNCTION("""COMPUTED_VALUE"""),"Andheri")</f>
        <v>Andheri</v>
      </c>
      <c r="E863" s="14" t="str">
        <f>IFERROR(__xludf.DUMMYFUNCTION("""COMPUTED_VALUE"""),"Popcorn+1*Ramesh S")</f>
        <v>Popcorn+1*Ramesh S</v>
      </c>
      <c r="F863" s="14">
        <f>IFERROR(__xludf.DUMMYFUNCTION("""COMPUTED_VALUE"""),2.0)</f>
        <v>2</v>
      </c>
      <c r="G863" s="14">
        <f>IFERROR(__xludf.DUMMYFUNCTION("""COMPUTED_VALUE"""),1.0)</f>
        <v>1</v>
      </c>
      <c r="H863" s="14">
        <f>IFERROR(__xludf.DUMMYFUNCTION("""COMPUTED_VALUE"""),2023.0)</f>
        <v>2023</v>
      </c>
      <c r="I863" s="14" t="str">
        <f>IFERROR(__xludf.DUMMYFUNCTION("""COMPUTED_VALUE"""),"Online Payment")</f>
        <v>Online Payment</v>
      </c>
      <c r="J863" s="14" t="str">
        <f>IFERROR(__xludf.DUMMYFUNCTION("""COMPUTED_VALUE"""),"Delivered*Convenience: Easy tracking")</f>
        <v>Delivered*Convenience: Easy tracking</v>
      </c>
      <c r="K863" s="14" t="str">
        <f>IFERROR(__xludf.DUMMYFUNCTION("split(E863,""+"")"),"Popcorn")</f>
        <v>Popcorn</v>
      </c>
      <c r="L863" s="14" t="str">
        <f>IFERROR(__xludf.DUMMYFUNCTION("""COMPUTED_VALUE"""),"1*Ramesh S")</f>
        <v>1*Ramesh S</v>
      </c>
      <c r="M863" s="14">
        <f>IFERROR(__xludf.DUMMYFUNCTION("SPLIT(L863,""*"")"),1.0)</f>
        <v>1</v>
      </c>
      <c r="N863" s="14" t="str">
        <f>IFERROR(__xludf.DUMMYFUNCTION("""COMPUTED_VALUE"""),"Ramesh S")</f>
        <v>Ramesh S</v>
      </c>
      <c r="O863" s="14" t="str">
        <f>IFERROR(__xludf.DUMMYFUNCTION("split(J863,""*"")"),"Delivered")</f>
        <v>Delivered</v>
      </c>
      <c r="P863" s="14" t="str">
        <f>IFERROR(__xludf.DUMMYFUNCTION("""COMPUTED_VALUE"""),"Convenience: Easy tracking")</f>
        <v>Convenience: Easy tracking</v>
      </c>
      <c r="Q863" s="14" t="str">
        <f>IFERROR(__xludf.DUMMYFUNCTION("split(P863,"":"")"),"Convenience")</f>
        <v>Convenience</v>
      </c>
      <c r="R863" s="14" t="str">
        <f>IFERROR(__xludf.DUMMYFUNCTION("""COMPUTED_VALUE""")," Easy tracking")</f>
        <v> Easy tracking</v>
      </c>
      <c r="S863" s="14" t="str">
        <f t="shared" ref="S863:U863" si="1729">trim(B863)</f>
        <v>ord_30854</v>
      </c>
      <c r="T863" s="14" t="str">
        <f t="shared" si="1729"/>
        <v>Pranav Joshi</v>
      </c>
      <c r="U863" s="14" t="str">
        <f t="shared" si="1729"/>
        <v>Andheri</v>
      </c>
      <c r="V863" s="14" t="str">
        <f t="shared" si="4"/>
        <v>Popcorn</v>
      </c>
      <c r="W863" s="14">
        <f t="shared" si="5"/>
        <v>1</v>
      </c>
      <c r="X863" s="14" t="str">
        <f t="shared" si="6"/>
        <v>Ramesh S</v>
      </c>
      <c r="Y863" s="15">
        <f t="shared" si="7"/>
        <v>44958</v>
      </c>
      <c r="Z863" s="14" t="str">
        <f t="shared" si="8"/>
        <v>Online Payment</v>
      </c>
      <c r="AA863" s="14" t="str">
        <f t="shared" si="9"/>
        <v>Delivered</v>
      </c>
      <c r="AB863" s="14" t="str">
        <f t="shared" ref="AB863:AC863" si="1730">trim(Q863)</f>
        <v>Convenience</v>
      </c>
      <c r="AC863" s="14" t="str">
        <f t="shared" si="1730"/>
        <v>Easy tracking</v>
      </c>
      <c r="AD863" s="8"/>
    </row>
    <row r="864">
      <c r="A864" s="14" t="str">
        <f>IFERROR(__xludf.DUMMYFUNCTION("""COMPUTED_VALUE"""),"//ord_30855//Pranav Joshi//Andheri//Apple+2*Sita T/1/10/2023//UPI//Delivered*Overall Satisfaction: Great service will order again")</f>
        <v>//ord_30855//Pranav Joshi//Andheri//Apple+2*Sita T/1/10/2023//UPI//Delivered*Overall Satisfaction: Great service will order again</v>
      </c>
      <c r="B864" s="14" t="str">
        <f>IFERROR(__xludf.DUMMYFUNCTION("split(A864,""//"")"),"ord_30855")</f>
        <v>ord_30855</v>
      </c>
      <c r="C864" s="14" t="str">
        <f>IFERROR(__xludf.DUMMYFUNCTION("""COMPUTED_VALUE"""),"Pranav Joshi")</f>
        <v>Pranav Joshi</v>
      </c>
      <c r="D864" s="14" t="str">
        <f>IFERROR(__xludf.DUMMYFUNCTION("""COMPUTED_VALUE"""),"Andheri")</f>
        <v>Andheri</v>
      </c>
      <c r="E864" s="14" t="str">
        <f>IFERROR(__xludf.DUMMYFUNCTION("""COMPUTED_VALUE"""),"Apple+2*Sita T")</f>
        <v>Apple+2*Sita T</v>
      </c>
      <c r="F864" s="14">
        <f>IFERROR(__xludf.DUMMYFUNCTION("""COMPUTED_VALUE"""),1.0)</f>
        <v>1</v>
      </c>
      <c r="G864" s="14">
        <f>IFERROR(__xludf.DUMMYFUNCTION("""COMPUTED_VALUE"""),10.0)</f>
        <v>10</v>
      </c>
      <c r="H864" s="14">
        <f>IFERROR(__xludf.DUMMYFUNCTION("""COMPUTED_VALUE"""),2023.0)</f>
        <v>2023</v>
      </c>
      <c r="I864" s="14" t="str">
        <f>IFERROR(__xludf.DUMMYFUNCTION("""COMPUTED_VALUE"""),"UPI")</f>
        <v>UPI</v>
      </c>
      <c r="J864" s="14" t="str">
        <f>IFERROR(__xludf.DUMMYFUNCTION("""COMPUTED_VALUE"""),"Delivered*Overall Satisfaction: Great service will order again")</f>
        <v>Delivered*Overall Satisfaction: Great service will order again</v>
      </c>
      <c r="K864" s="14" t="str">
        <f>IFERROR(__xludf.DUMMYFUNCTION("split(E864,""+"")"),"Apple")</f>
        <v>Apple</v>
      </c>
      <c r="L864" s="14" t="str">
        <f>IFERROR(__xludf.DUMMYFUNCTION("""COMPUTED_VALUE"""),"2*Sita T")</f>
        <v>2*Sita T</v>
      </c>
      <c r="M864" s="14">
        <f>IFERROR(__xludf.DUMMYFUNCTION("SPLIT(L864,""*"")"),2.0)</f>
        <v>2</v>
      </c>
      <c r="N864" s="14" t="str">
        <f>IFERROR(__xludf.DUMMYFUNCTION("""COMPUTED_VALUE"""),"Sita T")</f>
        <v>Sita T</v>
      </c>
      <c r="O864" s="14" t="str">
        <f>IFERROR(__xludf.DUMMYFUNCTION("split(J864,""*"")"),"Delivered")</f>
        <v>Delivered</v>
      </c>
      <c r="P864" s="14" t="str">
        <f>IFERROR(__xludf.DUMMYFUNCTION("""COMPUTED_VALUE"""),"Overall Satisfaction: Great service will order again")</f>
        <v>Overall Satisfaction: Great service will order again</v>
      </c>
      <c r="Q864" s="14" t="str">
        <f>IFERROR(__xludf.DUMMYFUNCTION("split(P864,"":"")"),"Overall Satisfaction")</f>
        <v>Overall Satisfaction</v>
      </c>
      <c r="R864" s="14" t="str">
        <f>IFERROR(__xludf.DUMMYFUNCTION("""COMPUTED_VALUE""")," Great service will order again")</f>
        <v> Great service will order again</v>
      </c>
      <c r="S864" s="14" t="str">
        <f t="shared" ref="S864:U864" si="1731">trim(B864)</f>
        <v>ord_30855</v>
      </c>
      <c r="T864" s="14" t="str">
        <f t="shared" si="1731"/>
        <v>Pranav Joshi</v>
      </c>
      <c r="U864" s="14" t="str">
        <f t="shared" si="1731"/>
        <v>Andheri</v>
      </c>
      <c r="V864" s="14" t="str">
        <f t="shared" si="4"/>
        <v>Apple</v>
      </c>
      <c r="W864" s="14">
        <f t="shared" si="5"/>
        <v>2</v>
      </c>
      <c r="X864" s="14" t="str">
        <f t="shared" si="6"/>
        <v>Sita T</v>
      </c>
      <c r="Y864" s="15">
        <f t="shared" si="7"/>
        <v>44936</v>
      </c>
      <c r="Z864" s="14" t="str">
        <f t="shared" si="8"/>
        <v>UPI</v>
      </c>
      <c r="AA864" s="14" t="str">
        <f t="shared" si="9"/>
        <v>Delivered</v>
      </c>
      <c r="AB864" s="14" t="str">
        <f t="shared" ref="AB864:AC864" si="1732">trim(Q864)</f>
        <v>Overall Satisfaction</v>
      </c>
      <c r="AC864" s="14" t="str">
        <f t="shared" si="1732"/>
        <v>Great service will order again</v>
      </c>
      <c r="AD864" s="8"/>
    </row>
    <row r="865">
      <c r="A865" s="14" t="str">
        <f>IFERROR(__xludf.DUMMYFUNCTION("""COMPUTED_VALUE"""),"//ord_30856//Pranav Joshi//Andheri//Juice+2*Sita T/12/5/2023//UPI//Delivered*On-time Delivery: Delivered on time")</f>
        <v>//ord_30856//Pranav Joshi//Andheri//Juice+2*Sita T/12/5/2023//UPI//Delivered*On-time Delivery: Delivered on time</v>
      </c>
      <c r="B865" s="14" t="str">
        <f>IFERROR(__xludf.DUMMYFUNCTION("split(A865,""//"")"),"ord_30856")</f>
        <v>ord_30856</v>
      </c>
      <c r="C865" s="14" t="str">
        <f>IFERROR(__xludf.DUMMYFUNCTION("""COMPUTED_VALUE"""),"Pranav Joshi")</f>
        <v>Pranav Joshi</v>
      </c>
      <c r="D865" s="14" t="str">
        <f>IFERROR(__xludf.DUMMYFUNCTION("""COMPUTED_VALUE"""),"Andheri")</f>
        <v>Andheri</v>
      </c>
      <c r="E865" s="14" t="str">
        <f>IFERROR(__xludf.DUMMYFUNCTION("""COMPUTED_VALUE"""),"Juice+2*Sita T")</f>
        <v>Juice+2*Sita T</v>
      </c>
      <c r="F865" s="14">
        <f>IFERROR(__xludf.DUMMYFUNCTION("""COMPUTED_VALUE"""),12.0)</f>
        <v>12</v>
      </c>
      <c r="G865" s="14">
        <f>IFERROR(__xludf.DUMMYFUNCTION("""COMPUTED_VALUE"""),5.0)</f>
        <v>5</v>
      </c>
      <c r="H865" s="14">
        <f>IFERROR(__xludf.DUMMYFUNCTION("""COMPUTED_VALUE"""),2023.0)</f>
        <v>2023</v>
      </c>
      <c r="I865" s="14" t="str">
        <f>IFERROR(__xludf.DUMMYFUNCTION("""COMPUTED_VALUE"""),"UPI")</f>
        <v>UPI</v>
      </c>
      <c r="J865" s="14" t="str">
        <f>IFERROR(__xludf.DUMMYFUNCTION("""COMPUTED_VALUE"""),"Delivered*On-time Delivery: Delivered on time")</f>
        <v>Delivered*On-time Delivery: Delivered on time</v>
      </c>
      <c r="K865" s="14" t="str">
        <f>IFERROR(__xludf.DUMMYFUNCTION("split(E865,""+"")"),"Juice")</f>
        <v>Juice</v>
      </c>
      <c r="L865" s="14" t="str">
        <f>IFERROR(__xludf.DUMMYFUNCTION("""COMPUTED_VALUE"""),"2*Sita T")</f>
        <v>2*Sita T</v>
      </c>
      <c r="M865" s="14">
        <f>IFERROR(__xludf.DUMMYFUNCTION("SPLIT(L865,""*"")"),2.0)</f>
        <v>2</v>
      </c>
      <c r="N865" s="14" t="str">
        <f>IFERROR(__xludf.DUMMYFUNCTION("""COMPUTED_VALUE"""),"Sita T")</f>
        <v>Sita T</v>
      </c>
      <c r="O865" s="14" t="str">
        <f>IFERROR(__xludf.DUMMYFUNCTION("split(J865,""*"")"),"Delivered")</f>
        <v>Delivered</v>
      </c>
      <c r="P865" s="14" t="str">
        <f>IFERROR(__xludf.DUMMYFUNCTION("""COMPUTED_VALUE"""),"On-time Delivery: Delivered on time")</f>
        <v>On-time Delivery: Delivered on time</v>
      </c>
      <c r="Q865" s="14" t="str">
        <f>IFERROR(__xludf.DUMMYFUNCTION("split(P865,"":"")"),"On-time Delivery")</f>
        <v>On-time Delivery</v>
      </c>
      <c r="R865" s="14" t="str">
        <f>IFERROR(__xludf.DUMMYFUNCTION("""COMPUTED_VALUE""")," Delivered on time")</f>
        <v> Delivered on time</v>
      </c>
      <c r="S865" s="14" t="str">
        <f t="shared" ref="S865:U865" si="1733">trim(B865)</f>
        <v>ord_30856</v>
      </c>
      <c r="T865" s="14" t="str">
        <f t="shared" si="1733"/>
        <v>Pranav Joshi</v>
      </c>
      <c r="U865" s="14" t="str">
        <f t="shared" si="1733"/>
        <v>Andheri</v>
      </c>
      <c r="V865" s="14" t="str">
        <f t="shared" si="4"/>
        <v>Juice</v>
      </c>
      <c r="W865" s="14">
        <f t="shared" si="5"/>
        <v>2</v>
      </c>
      <c r="X865" s="14" t="str">
        <f t="shared" si="6"/>
        <v>Sita T</v>
      </c>
      <c r="Y865" s="15">
        <f t="shared" si="7"/>
        <v>45265</v>
      </c>
      <c r="Z865" s="14" t="str">
        <f t="shared" si="8"/>
        <v>UPI</v>
      </c>
      <c r="AA865" s="14" t="str">
        <f t="shared" si="9"/>
        <v>Delivered</v>
      </c>
      <c r="AB865" s="14" t="str">
        <f t="shared" ref="AB865:AC865" si="1734">trim(Q865)</f>
        <v>On-time Delivery</v>
      </c>
      <c r="AC865" s="14" t="str">
        <f t="shared" si="1734"/>
        <v>Delivered on time</v>
      </c>
      <c r="AD865" s="8"/>
    </row>
    <row r="866">
      <c r="A866" s="14" t="str">
        <f>IFERROR(__xludf.DUMMYFUNCTION("""COMPUTED_VALUE"""),"//ord_30857//Mehul Thakkar//Malad//Tiramisu+2*Not Assigned/3/6/2023//Credit Card//Cancelled*App Glitches: Payment Button Malfunction")</f>
        <v>//ord_30857//Mehul Thakkar//Malad//Tiramisu+2*Not Assigned/3/6/2023//Credit Card//Cancelled*App Glitches: Payment Button Malfunction</v>
      </c>
      <c r="B866" s="14" t="str">
        <f>IFERROR(__xludf.DUMMYFUNCTION("split(A866,""//"")"),"ord_30857")</f>
        <v>ord_30857</v>
      </c>
      <c r="C866" s="14" t="str">
        <f>IFERROR(__xludf.DUMMYFUNCTION("""COMPUTED_VALUE"""),"Mehul Thakkar")</f>
        <v>Mehul Thakkar</v>
      </c>
      <c r="D866" s="14" t="str">
        <f>IFERROR(__xludf.DUMMYFUNCTION("""COMPUTED_VALUE"""),"Malad")</f>
        <v>Malad</v>
      </c>
      <c r="E866" s="14" t="str">
        <f>IFERROR(__xludf.DUMMYFUNCTION("""COMPUTED_VALUE"""),"Tiramisu+2*Not Assigned")</f>
        <v>Tiramisu+2*Not Assigned</v>
      </c>
      <c r="F866" s="14">
        <f>IFERROR(__xludf.DUMMYFUNCTION("""COMPUTED_VALUE"""),3.0)</f>
        <v>3</v>
      </c>
      <c r="G866" s="14">
        <f>IFERROR(__xludf.DUMMYFUNCTION("""COMPUTED_VALUE"""),6.0)</f>
        <v>6</v>
      </c>
      <c r="H866" s="14">
        <f>IFERROR(__xludf.DUMMYFUNCTION("""COMPUTED_VALUE"""),2023.0)</f>
        <v>2023</v>
      </c>
      <c r="I866" s="14" t="str">
        <f>IFERROR(__xludf.DUMMYFUNCTION("""COMPUTED_VALUE"""),"Credit Card")</f>
        <v>Credit Card</v>
      </c>
      <c r="J866" s="14" t="str">
        <f>IFERROR(__xludf.DUMMYFUNCTION("""COMPUTED_VALUE"""),"Cancelled*App Glitches: Payment Button Malfunction")</f>
        <v>Cancelled*App Glitches: Payment Button Malfunction</v>
      </c>
      <c r="K866" s="14" t="str">
        <f>IFERROR(__xludf.DUMMYFUNCTION("split(E866,""+"")"),"Tiramisu")</f>
        <v>Tiramisu</v>
      </c>
      <c r="L866" s="14" t="str">
        <f>IFERROR(__xludf.DUMMYFUNCTION("""COMPUTED_VALUE"""),"2*Not Assigned")</f>
        <v>2*Not Assigned</v>
      </c>
      <c r="M866" s="14">
        <f>IFERROR(__xludf.DUMMYFUNCTION("SPLIT(L866,""*"")"),2.0)</f>
        <v>2</v>
      </c>
      <c r="N866" s="14" t="str">
        <f>IFERROR(__xludf.DUMMYFUNCTION("""COMPUTED_VALUE"""),"Not Assigned")</f>
        <v>Not Assigned</v>
      </c>
      <c r="O866" s="14" t="str">
        <f>IFERROR(__xludf.DUMMYFUNCTION("split(J866,""*"")"),"Cancelled")</f>
        <v>Cancelled</v>
      </c>
      <c r="P866" s="14" t="str">
        <f>IFERROR(__xludf.DUMMYFUNCTION("""COMPUTED_VALUE"""),"App Glitches: Payment Button Malfunction")</f>
        <v>App Glitches: Payment Button Malfunction</v>
      </c>
      <c r="Q866" s="14" t="str">
        <f>IFERROR(__xludf.DUMMYFUNCTION("split(P866,"":"")"),"App Glitches")</f>
        <v>App Glitches</v>
      </c>
      <c r="R866" s="14" t="str">
        <f>IFERROR(__xludf.DUMMYFUNCTION("""COMPUTED_VALUE""")," Payment Button Malfunction")</f>
        <v> Payment Button Malfunction</v>
      </c>
      <c r="S866" s="14" t="str">
        <f t="shared" ref="S866:U866" si="1735">trim(B866)</f>
        <v>ord_30857</v>
      </c>
      <c r="T866" s="14" t="str">
        <f t="shared" si="1735"/>
        <v>Mehul Thakkar</v>
      </c>
      <c r="U866" s="14" t="str">
        <f t="shared" si="1735"/>
        <v>Malad</v>
      </c>
      <c r="V866" s="14" t="str">
        <f t="shared" si="4"/>
        <v>Tiramisu</v>
      </c>
      <c r="W866" s="14">
        <f t="shared" si="5"/>
        <v>2</v>
      </c>
      <c r="X866" s="14" t="str">
        <f t="shared" si="6"/>
        <v>Not Assigned</v>
      </c>
      <c r="Y866" s="15">
        <f t="shared" si="7"/>
        <v>44991</v>
      </c>
      <c r="Z866" s="14" t="str">
        <f t="shared" si="8"/>
        <v>Credit Card</v>
      </c>
      <c r="AA866" s="14" t="str">
        <f t="shared" si="9"/>
        <v>Cancelled</v>
      </c>
      <c r="AB866" s="14" t="str">
        <f t="shared" ref="AB866:AC866" si="1736">trim(Q866)</f>
        <v>App Glitches</v>
      </c>
      <c r="AC866" s="14" t="str">
        <f t="shared" si="1736"/>
        <v>Payment Button Malfunction</v>
      </c>
      <c r="AD866" s="8"/>
    </row>
    <row r="867">
      <c r="A867" s="14" t="str">
        <f>IFERROR(__xludf.DUMMYFUNCTION("""COMPUTED_VALUE"""),"//ord_30858//Mohit Malhotra//Lower Parel//Onion+2*Shine Thomas/12/24/2023//Credit Card//Delivered*Quality of Items: Perfect condition")</f>
        <v>//ord_30858//Mohit Malhotra//Lower Parel//Onion+2*Shine Thomas/12/24/2023//Credit Card//Delivered*Quality of Items: Perfect condition</v>
      </c>
      <c r="B867" s="14" t="str">
        <f>IFERROR(__xludf.DUMMYFUNCTION("split(A867,""//"")"),"ord_30858")</f>
        <v>ord_30858</v>
      </c>
      <c r="C867" s="14" t="str">
        <f>IFERROR(__xludf.DUMMYFUNCTION("""COMPUTED_VALUE"""),"Mohit Malhotra")</f>
        <v>Mohit Malhotra</v>
      </c>
      <c r="D867" s="14" t="str">
        <f>IFERROR(__xludf.DUMMYFUNCTION("""COMPUTED_VALUE"""),"Lower Parel")</f>
        <v>Lower Parel</v>
      </c>
      <c r="E867" s="14" t="str">
        <f>IFERROR(__xludf.DUMMYFUNCTION("""COMPUTED_VALUE"""),"Onion+2*Shine Thomas")</f>
        <v>Onion+2*Shine Thomas</v>
      </c>
      <c r="F867" s="14">
        <f>IFERROR(__xludf.DUMMYFUNCTION("""COMPUTED_VALUE"""),12.0)</f>
        <v>12</v>
      </c>
      <c r="G867" s="14">
        <f>IFERROR(__xludf.DUMMYFUNCTION("""COMPUTED_VALUE"""),24.0)</f>
        <v>24</v>
      </c>
      <c r="H867" s="14">
        <f>IFERROR(__xludf.DUMMYFUNCTION("""COMPUTED_VALUE"""),2023.0)</f>
        <v>2023</v>
      </c>
      <c r="I867" s="14" t="str">
        <f>IFERROR(__xludf.DUMMYFUNCTION("""COMPUTED_VALUE"""),"Credit Card")</f>
        <v>Credit Card</v>
      </c>
      <c r="J867" s="14" t="str">
        <f>IFERROR(__xludf.DUMMYFUNCTION("""COMPUTED_VALUE"""),"Delivered*Quality of Items: Perfect condition")</f>
        <v>Delivered*Quality of Items: Perfect condition</v>
      </c>
      <c r="K867" s="14" t="str">
        <f>IFERROR(__xludf.DUMMYFUNCTION("split(E867,""+"")"),"Onion")</f>
        <v>Onion</v>
      </c>
      <c r="L867" s="14" t="str">
        <f>IFERROR(__xludf.DUMMYFUNCTION("""COMPUTED_VALUE"""),"2*Shine Thomas")</f>
        <v>2*Shine Thomas</v>
      </c>
      <c r="M867" s="14">
        <f>IFERROR(__xludf.DUMMYFUNCTION("SPLIT(L867,""*"")"),2.0)</f>
        <v>2</v>
      </c>
      <c r="N867" s="14" t="str">
        <f>IFERROR(__xludf.DUMMYFUNCTION("""COMPUTED_VALUE"""),"Shine Thomas")</f>
        <v>Shine Thomas</v>
      </c>
      <c r="O867" s="14" t="str">
        <f>IFERROR(__xludf.DUMMYFUNCTION("split(J867,""*"")"),"Delivered")</f>
        <v>Delivered</v>
      </c>
      <c r="P867" s="14" t="str">
        <f>IFERROR(__xludf.DUMMYFUNCTION("""COMPUTED_VALUE"""),"Quality of Items: Perfect condition")</f>
        <v>Quality of Items: Perfect condition</v>
      </c>
      <c r="Q867" s="14" t="str">
        <f>IFERROR(__xludf.DUMMYFUNCTION("split(P867,"":"")"),"Quality of Items")</f>
        <v>Quality of Items</v>
      </c>
      <c r="R867" s="14" t="str">
        <f>IFERROR(__xludf.DUMMYFUNCTION("""COMPUTED_VALUE""")," Perfect condition")</f>
        <v> Perfect condition</v>
      </c>
      <c r="S867" s="14" t="str">
        <f t="shared" ref="S867:U867" si="1737">trim(B867)</f>
        <v>ord_30858</v>
      </c>
      <c r="T867" s="14" t="str">
        <f t="shared" si="1737"/>
        <v>Mohit Malhotra</v>
      </c>
      <c r="U867" s="14" t="str">
        <f t="shared" si="1737"/>
        <v>Lower Parel</v>
      </c>
      <c r="V867" s="14" t="str">
        <f t="shared" si="4"/>
        <v>Onion</v>
      </c>
      <c r="W867" s="14">
        <f t="shared" si="5"/>
        <v>2</v>
      </c>
      <c r="X867" s="14" t="str">
        <f t="shared" si="6"/>
        <v>Shine Thomas</v>
      </c>
      <c r="Y867" s="15">
        <f t="shared" si="7"/>
        <v>45284</v>
      </c>
      <c r="Z867" s="14" t="str">
        <f t="shared" si="8"/>
        <v>Credit Card</v>
      </c>
      <c r="AA867" s="14" t="str">
        <f t="shared" si="9"/>
        <v>Delivered</v>
      </c>
      <c r="AB867" s="14" t="str">
        <f t="shared" ref="AB867:AC867" si="1738">trim(Q867)</f>
        <v>Quality of Items</v>
      </c>
      <c r="AC867" s="14" t="str">
        <f t="shared" si="1738"/>
        <v>Perfect condition</v>
      </c>
      <c r="AD867" s="8"/>
    </row>
    <row r="868">
      <c r="A868" s="14" t="str">
        <f>IFERROR(__xludf.DUMMYFUNCTION("""COMPUTED_VALUE"""),"//ord_30859//Pallavi Ghosh//Bandra//Juice+1*Ram Gopal/12/6/2023//UPI//Delivered*On-time Delivery: Delivered on time")</f>
        <v>//ord_30859//Pallavi Ghosh//Bandra//Juice+1*Ram Gopal/12/6/2023//UPI//Delivered*On-time Delivery: Delivered on time</v>
      </c>
      <c r="B868" s="14" t="str">
        <f>IFERROR(__xludf.DUMMYFUNCTION("split(A868,""//"")"),"ord_30859")</f>
        <v>ord_30859</v>
      </c>
      <c r="C868" s="14" t="str">
        <f>IFERROR(__xludf.DUMMYFUNCTION("""COMPUTED_VALUE"""),"Pallavi Ghosh")</f>
        <v>Pallavi Ghosh</v>
      </c>
      <c r="D868" s="14" t="str">
        <f>IFERROR(__xludf.DUMMYFUNCTION("""COMPUTED_VALUE"""),"Bandra")</f>
        <v>Bandra</v>
      </c>
      <c r="E868" s="14" t="str">
        <f>IFERROR(__xludf.DUMMYFUNCTION("""COMPUTED_VALUE"""),"Juice+1*Ram Gopal")</f>
        <v>Juice+1*Ram Gopal</v>
      </c>
      <c r="F868" s="14">
        <f>IFERROR(__xludf.DUMMYFUNCTION("""COMPUTED_VALUE"""),12.0)</f>
        <v>12</v>
      </c>
      <c r="G868" s="14">
        <f>IFERROR(__xludf.DUMMYFUNCTION("""COMPUTED_VALUE"""),6.0)</f>
        <v>6</v>
      </c>
      <c r="H868" s="14">
        <f>IFERROR(__xludf.DUMMYFUNCTION("""COMPUTED_VALUE"""),2023.0)</f>
        <v>2023</v>
      </c>
      <c r="I868" s="14" t="str">
        <f>IFERROR(__xludf.DUMMYFUNCTION("""COMPUTED_VALUE"""),"UPI")</f>
        <v>UPI</v>
      </c>
      <c r="J868" s="14" t="str">
        <f>IFERROR(__xludf.DUMMYFUNCTION("""COMPUTED_VALUE"""),"Delivered*On-time Delivery: Delivered on time")</f>
        <v>Delivered*On-time Delivery: Delivered on time</v>
      </c>
      <c r="K868" s="14" t="str">
        <f>IFERROR(__xludf.DUMMYFUNCTION("split(E868,""+"")"),"Juice")</f>
        <v>Juice</v>
      </c>
      <c r="L868" s="14" t="str">
        <f>IFERROR(__xludf.DUMMYFUNCTION("""COMPUTED_VALUE"""),"1*Ram Gopal")</f>
        <v>1*Ram Gopal</v>
      </c>
      <c r="M868" s="14">
        <f>IFERROR(__xludf.DUMMYFUNCTION("SPLIT(L868,""*"")"),1.0)</f>
        <v>1</v>
      </c>
      <c r="N868" s="14" t="str">
        <f>IFERROR(__xludf.DUMMYFUNCTION("""COMPUTED_VALUE"""),"Ram Gopal")</f>
        <v>Ram Gopal</v>
      </c>
      <c r="O868" s="14" t="str">
        <f>IFERROR(__xludf.DUMMYFUNCTION("split(J868,""*"")"),"Delivered")</f>
        <v>Delivered</v>
      </c>
      <c r="P868" s="14" t="str">
        <f>IFERROR(__xludf.DUMMYFUNCTION("""COMPUTED_VALUE"""),"On-time Delivery: Delivered on time")</f>
        <v>On-time Delivery: Delivered on time</v>
      </c>
      <c r="Q868" s="14" t="str">
        <f>IFERROR(__xludf.DUMMYFUNCTION("split(P868,"":"")"),"On-time Delivery")</f>
        <v>On-time Delivery</v>
      </c>
      <c r="R868" s="14" t="str">
        <f>IFERROR(__xludf.DUMMYFUNCTION("""COMPUTED_VALUE""")," Delivered on time")</f>
        <v> Delivered on time</v>
      </c>
      <c r="S868" s="14" t="str">
        <f t="shared" ref="S868:U868" si="1739">trim(B868)</f>
        <v>ord_30859</v>
      </c>
      <c r="T868" s="14" t="str">
        <f t="shared" si="1739"/>
        <v>Pallavi Ghosh</v>
      </c>
      <c r="U868" s="14" t="str">
        <f t="shared" si="1739"/>
        <v>Bandra</v>
      </c>
      <c r="V868" s="14" t="str">
        <f t="shared" si="4"/>
        <v>Juice</v>
      </c>
      <c r="W868" s="14">
        <f t="shared" si="5"/>
        <v>1</v>
      </c>
      <c r="X868" s="14" t="str">
        <f t="shared" si="6"/>
        <v>Ram Gopal</v>
      </c>
      <c r="Y868" s="15">
        <f t="shared" si="7"/>
        <v>45266</v>
      </c>
      <c r="Z868" s="14" t="str">
        <f t="shared" si="8"/>
        <v>UPI</v>
      </c>
      <c r="AA868" s="14" t="str">
        <f t="shared" si="9"/>
        <v>Delivered</v>
      </c>
      <c r="AB868" s="14" t="str">
        <f t="shared" ref="AB868:AC868" si="1740">trim(Q868)</f>
        <v>On-time Delivery</v>
      </c>
      <c r="AC868" s="14" t="str">
        <f t="shared" si="1740"/>
        <v>Delivered on time</v>
      </c>
      <c r="AD868" s="8"/>
    </row>
    <row r="869">
      <c r="A869" s="14" t="str">
        <f>IFERROR(__xludf.DUMMYFUNCTION("""COMPUTED_VALUE"""),"//ord_30860//Tanishq Bansal//Powai//Banana+2*Vivek Kumar/9/21/2023//UPI//Delivered*Quality of Items: Perfect condition")</f>
        <v>//ord_30860//Tanishq Bansal//Powai//Banana+2*Vivek Kumar/9/21/2023//UPI//Delivered*Quality of Items: Perfect condition</v>
      </c>
      <c r="B869" s="14" t="str">
        <f>IFERROR(__xludf.DUMMYFUNCTION("split(A869,""//"")"),"ord_30860")</f>
        <v>ord_30860</v>
      </c>
      <c r="C869" s="14" t="str">
        <f>IFERROR(__xludf.DUMMYFUNCTION("""COMPUTED_VALUE"""),"Tanishq Bansal")</f>
        <v>Tanishq Bansal</v>
      </c>
      <c r="D869" s="14" t="str">
        <f>IFERROR(__xludf.DUMMYFUNCTION("""COMPUTED_VALUE"""),"Powai")</f>
        <v>Powai</v>
      </c>
      <c r="E869" s="14" t="str">
        <f>IFERROR(__xludf.DUMMYFUNCTION("""COMPUTED_VALUE"""),"Banana+2*Vivek Kumar")</f>
        <v>Banana+2*Vivek Kumar</v>
      </c>
      <c r="F869" s="14">
        <f>IFERROR(__xludf.DUMMYFUNCTION("""COMPUTED_VALUE"""),9.0)</f>
        <v>9</v>
      </c>
      <c r="G869" s="14">
        <f>IFERROR(__xludf.DUMMYFUNCTION("""COMPUTED_VALUE"""),21.0)</f>
        <v>21</v>
      </c>
      <c r="H869" s="14">
        <f>IFERROR(__xludf.DUMMYFUNCTION("""COMPUTED_VALUE"""),2023.0)</f>
        <v>2023</v>
      </c>
      <c r="I869" s="14" t="str">
        <f>IFERROR(__xludf.DUMMYFUNCTION("""COMPUTED_VALUE"""),"UPI")</f>
        <v>UPI</v>
      </c>
      <c r="J869" s="14" t="str">
        <f>IFERROR(__xludf.DUMMYFUNCTION("""COMPUTED_VALUE"""),"Delivered*Quality of Items: Perfect condition")</f>
        <v>Delivered*Quality of Items: Perfect condition</v>
      </c>
      <c r="K869" s="14" t="str">
        <f>IFERROR(__xludf.DUMMYFUNCTION("split(E869,""+"")"),"Banana")</f>
        <v>Banana</v>
      </c>
      <c r="L869" s="14" t="str">
        <f>IFERROR(__xludf.DUMMYFUNCTION("""COMPUTED_VALUE"""),"2*Vivek Kumar")</f>
        <v>2*Vivek Kumar</v>
      </c>
      <c r="M869" s="14">
        <f>IFERROR(__xludf.DUMMYFUNCTION("SPLIT(L869,""*"")"),2.0)</f>
        <v>2</v>
      </c>
      <c r="N869" s="14" t="str">
        <f>IFERROR(__xludf.DUMMYFUNCTION("""COMPUTED_VALUE"""),"Vivek Kumar")</f>
        <v>Vivek Kumar</v>
      </c>
      <c r="O869" s="14" t="str">
        <f>IFERROR(__xludf.DUMMYFUNCTION("split(J869,""*"")"),"Delivered")</f>
        <v>Delivered</v>
      </c>
      <c r="P869" s="14" t="str">
        <f>IFERROR(__xludf.DUMMYFUNCTION("""COMPUTED_VALUE"""),"Quality of Items: Perfect condition")</f>
        <v>Quality of Items: Perfect condition</v>
      </c>
      <c r="Q869" s="14" t="str">
        <f>IFERROR(__xludf.DUMMYFUNCTION("split(P869,"":"")"),"Quality of Items")</f>
        <v>Quality of Items</v>
      </c>
      <c r="R869" s="14" t="str">
        <f>IFERROR(__xludf.DUMMYFUNCTION("""COMPUTED_VALUE""")," Perfect condition")</f>
        <v> Perfect condition</v>
      </c>
      <c r="S869" s="14" t="str">
        <f t="shared" ref="S869:U869" si="1741">trim(B869)</f>
        <v>ord_30860</v>
      </c>
      <c r="T869" s="14" t="str">
        <f t="shared" si="1741"/>
        <v>Tanishq Bansal</v>
      </c>
      <c r="U869" s="14" t="str">
        <f t="shared" si="1741"/>
        <v>Powai</v>
      </c>
      <c r="V869" s="14" t="str">
        <f t="shared" si="4"/>
        <v>Banana</v>
      </c>
      <c r="W869" s="14">
        <f t="shared" si="5"/>
        <v>2</v>
      </c>
      <c r="X869" s="14" t="str">
        <f t="shared" si="6"/>
        <v>Vivek Kumar</v>
      </c>
      <c r="Y869" s="15">
        <f t="shared" si="7"/>
        <v>45190</v>
      </c>
      <c r="Z869" s="14" t="str">
        <f t="shared" si="8"/>
        <v>UPI</v>
      </c>
      <c r="AA869" s="14" t="str">
        <f t="shared" si="9"/>
        <v>Delivered</v>
      </c>
      <c r="AB869" s="14" t="str">
        <f t="shared" ref="AB869:AC869" si="1742">trim(Q869)</f>
        <v>Quality of Items</v>
      </c>
      <c r="AC869" s="14" t="str">
        <f t="shared" si="1742"/>
        <v>Perfect condition</v>
      </c>
      <c r="AD869" s="8"/>
    </row>
    <row r="870">
      <c r="A870" s="14" t="str">
        <f>IFERROR(__xludf.DUMMYFUNCTION("""COMPUTED_VALUE"""),"//ord_30861//Pallavi Ghosh//Bandra//Cucumber+1*Not Assigned/11/9/2023//Online Payment//Cancelled*App Glitches:App Freezes")</f>
        <v>//ord_30861//Pallavi Ghosh//Bandra//Cucumber+1*Not Assigned/11/9/2023//Online Payment//Cancelled*App Glitches:App Freezes</v>
      </c>
      <c r="B870" s="14" t="str">
        <f>IFERROR(__xludf.DUMMYFUNCTION("split(A870,""//"")"),"ord_30861")</f>
        <v>ord_30861</v>
      </c>
      <c r="C870" s="14" t="str">
        <f>IFERROR(__xludf.DUMMYFUNCTION("""COMPUTED_VALUE"""),"Pallavi Ghosh")</f>
        <v>Pallavi Ghosh</v>
      </c>
      <c r="D870" s="14" t="str">
        <f>IFERROR(__xludf.DUMMYFUNCTION("""COMPUTED_VALUE"""),"Bandra")</f>
        <v>Bandra</v>
      </c>
      <c r="E870" s="14" t="str">
        <f>IFERROR(__xludf.DUMMYFUNCTION("""COMPUTED_VALUE"""),"Cucumber+1*Not Assigned")</f>
        <v>Cucumber+1*Not Assigned</v>
      </c>
      <c r="F870" s="14">
        <f>IFERROR(__xludf.DUMMYFUNCTION("""COMPUTED_VALUE"""),11.0)</f>
        <v>11</v>
      </c>
      <c r="G870" s="14">
        <f>IFERROR(__xludf.DUMMYFUNCTION("""COMPUTED_VALUE"""),9.0)</f>
        <v>9</v>
      </c>
      <c r="H870" s="14">
        <f>IFERROR(__xludf.DUMMYFUNCTION("""COMPUTED_VALUE"""),2023.0)</f>
        <v>2023</v>
      </c>
      <c r="I870" s="14" t="str">
        <f>IFERROR(__xludf.DUMMYFUNCTION("""COMPUTED_VALUE"""),"Online Payment")</f>
        <v>Online Payment</v>
      </c>
      <c r="J870" s="14" t="str">
        <f>IFERROR(__xludf.DUMMYFUNCTION("""COMPUTED_VALUE"""),"Cancelled*App Glitches:App Freezes")</f>
        <v>Cancelled*App Glitches:App Freezes</v>
      </c>
      <c r="K870" s="14" t="str">
        <f>IFERROR(__xludf.DUMMYFUNCTION("split(E870,""+"")"),"Cucumber")</f>
        <v>Cucumber</v>
      </c>
      <c r="L870" s="14" t="str">
        <f>IFERROR(__xludf.DUMMYFUNCTION("""COMPUTED_VALUE"""),"1*Not Assigned")</f>
        <v>1*Not Assigned</v>
      </c>
      <c r="M870" s="14">
        <f>IFERROR(__xludf.DUMMYFUNCTION("SPLIT(L870,""*"")"),1.0)</f>
        <v>1</v>
      </c>
      <c r="N870" s="14" t="str">
        <f>IFERROR(__xludf.DUMMYFUNCTION("""COMPUTED_VALUE"""),"Not Assigned")</f>
        <v>Not Assigned</v>
      </c>
      <c r="O870" s="14" t="str">
        <f>IFERROR(__xludf.DUMMYFUNCTION("split(J870,""*"")"),"Cancelled")</f>
        <v>Cancelled</v>
      </c>
      <c r="P870" s="14" t="str">
        <f>IFERROR(__xludf.DUMMYFUNCTION("""COMPUTED_VALUE"""),"App Glitches:App Freezes")</f>
        <v>App Glitches:App Freezes</v>
      </c>
      <c r="Q870" s="14" t="str">
        <f>IFERROR(__xludf.DUMMYFUNCTION("split(P870,"":"")"),"App Glitches")</f>
        <v>App Glitches</v>
      </c>
      <c r="R870" s="14" t="str">
        <f>IFERROR(__xludf.DUMMYFUNCTION("""COMPUTED_VALUE"""),"App Freezes")</f>
        <v>App Freezes</v>
      </c>
      <c r="S870" s="14" t="str">
        <f t="shared" ref="S870:U870" si="1743">trim(B870)</f>
        <v>ord_30861</v>
      </c>
      <c r="T870" s="14" t="str">
        <f t="shared" si="1743"/>
        <v>Pallavi Ghosh</v>
      </c>
      <c r="U870" s="14" t="str">
        <f t="shared" si="1743"/>
        <v>Bandra</v>
      </c>
      <c r="V870" s="14" t="str">
        <f t="shared" si="4"/>
        <v>Cucumber</v>
      </c>
      <c r="W870" s="14">
        <f t="shared" si="5"/>
        <v>1</v>
      </c>
      <c r="X870" s="14" t="str">
        <f t="shared" si="6"/>
        <v>Not Assigned</v>
      </c>
      <c r="Y870" s="15">
        <f t="shared" si="7"/>
        <v>45239</v>
      </c>
      <c r="Z870" s="14" t="str">
        <f t="shared" si="8"/>
        <v>Online Payment</v>
      </c>
      <c r="AA870" s="14" t="str">
        <f t="shared" si="9"/>
        <v>Cancelled</v>
      </c>
      <c r="AB870" s="14" t="str">
        <f t="shared" ref="AB870:AC870" si="1744">trim(Q870)</f>
        <v>App Glitches</v>
      </c>
      <c r="AC870" s="14" t="str">
        <f t="shared" si="1744"/>
        <v>App Freezes</v>
      </c>
      <c r="AD870" s="8"/>
    </row>
    <row r="871">
      <c r="A871" s="14" t="str">
        <f>IFERROR(__xludf.DUMMYFUNCTION("""COMPUTED_VALUE"""),"//ord_30862//Ishaan Chaturvedi//Bandra//Tiramisu+1*Vivek Kumar/5/16/2023//UPI//Delivered*Packaging: Secure and intact")</f>
        <v>//ord_30862//Ishaan Chaturvedi//Bandra//Tiramisu+1*Vivek Kumar/5/16/2023//UPI//Delivered*Packaging: Secure and intact</v>
      </c>
      <c r="B871" s="14" t="str">
        <f>IFERROR(__xludf.DUMMYFUNCTION("split(A871,""//"")"),"ord_30862")</f>
        <v>ord_30862</v>
      </c>
      <c r="C871" s="14" t="str">
        <f>IFERROR(__xludf.DUMMYFUNCTION("""COMPUTED_VALUE"""),"Ishaan Chaturvedi")</f>
        <v>Ishaan Chaturvedi</v>
      </c>
      <c r="D871" s="14" t="str">
        <f>IFERROR(__xludf.DUMMYFUNCTION("""COMPUTED_VALUE"""),"Bandra")</f>
        <v>Bandra</v>
      </c>
      <c r="E871" s="14" t="str">
        <f>IFERROR(__xludf.DUMMYFUNCTION("""COMPUTED_VALUE"""),"Tiramisu+1*Vivek Kumar")</f>
        <v>Tiramisu+1*Vivek Kumar</v>
      </c>
      <c r="F871" s="14">
        <f>IFERROR(__xludf.DUMMYFUNCTION("""COMPUTED_VALUE"""),5.0)</f>
        <v>5</v>
      </c>
      <c r="G871" s="14">
        <f>IFERROR(__xludf.DUMMYFUNCTION("""COMPUTED_VALUE"""),16.0)</f>
        <v>16</v>
      </c>
      <c r="H871" s="14">
        <f>IFERROR(__xludf.DUMMYFUNCTION("""COMPUTED_VALUE"""),2023.0)</f>
        <v>2023</v>
      </c>
      <c r="I871" s="14" t="str">
        <f>IFERROR(__xludf.DUMMYFUNCTION("""COMPUTED_VALUE"""),"UPI")</f>
        <v>UPI</v>
      </c>
      <c r="J871" s="14" t="str">
        <f>IFERROR(__xludf.DUMMYFUNCTION("""COMPUTED_VALUE"""),"Delivered*Packaging: Secure and intact")</f>
        <v>Delivered*Packaging: Secure and intact</v>
      </c>
      <c r="K871" s="14" t="str">
        <f>IFERROR(__xludf.DUMMYFUNCTION("split(E871,""+"")"),"Tiramisu")</f>
        <v>Tiramisu</v>
      </c>
      <c r="L871" s="14" t="str">
        <f>IFERROR(__xludf.DUMMYFUNCTION("""COMPUTED_VALUE"""),"1*Vivek Kumar")</f>
        <v>1*Vivek Kumar</v>
      </c>
      <c r="M871" s="14">
        <f>IFERROR(__xludf.DUMMYFUNCTION("SPLIT(L871,""*"")"),1.0)</f>
        <v>1</v>
      </c>
      <c r="N871" s="14" t="str">
        <f>IFERROR(__xludf.DUMMYFUNCTION("""COMPUTED_VALUE"""),"Vivek Kumar")</f>
        <v>Vivek Kumar</v>
      </c>
      <c r="O871" s="14" t="str">
        <f>IFERROR(__xludf.DUMMYFUNCTION("split(J871,""*"")"),"Delivered")</f>
        <v>Delivered</v>
      </c>
      <c r="P871" s="14" t="str">
        <f>IFERROR(__xludf.DUMMYFUNCTION("""COMPUTED_VALUE"""),"Packaging: Secure and intact")</f>
        <v>Packaging: Secure and intact</v>
      </c>
      <c r="Q871" s="14" t="str">
        <f>IFERROR(__xludf.DUMMYFUNCTION("split(P871,"":"")"),"Packaging")</f>
        <v>Packaging</v>
      </c>
      <c r="R871" s="14" t="str">
        <f>IFERROR(__xludf.DUMMYFUNCTION("""COMPUTED_VALUE""")," Secure and intact")</f>
        <v> Secure and intact</v>
      </c>
      <c r="S871" s="14" t="str">
        <f t="shared" ref="S871:U871" si="1745">trim(B871)</f>
        <v>ord_30862</v>
      </c>
      <c r="T871" s="14" t="str">
        <f t="shared" si="1745"/>
        <v>Ishaan Chaturvedi</v>
      </c>
      <c r="U871" s="14" t="str">
        <f t="shared" si="1745"/>
        <v>Bandra</v>
      </c>
      <c r="V871" s="14" t="str">
        <f t="shared" si="4"/>
        <v>Tiramisu</v>
      </c>
      <c r="W871" s="14">
        <f t="shared" si="5"/>
        <v>1</v>
      </c>
      <c r="X871" s="14" t="str">
        <f t="shared" si="6"/>
        <v>Vivek Kumar</v>
      </c>
      <c r="Y871" s="15">
        <f t="shared" si="7"/>
        <v>45062</v>
      </c>
      <c r="Z871" s="14" t="str">
        <f t="shared" si="8"/>
        <v>UPI</v>
      </c>
      <c r="AA871" s="14" t="str">
        <f t="shared" si="9"/>
        <v>Delivered</v>
      </c>
      <c r="AB871" s="14" t="str">
        <f t="shared" ref="AB871:AC871" si="1746">trim(Q871)</f>
        <v>Packaging</v>
      </c>
      <c r="AC871" s="14" t="str">
        <f t="shared" si="1746"/>
        <v>Secure and intact</v>
      </c>
      <c r="AD871" s="8"/>
    </row>
    <row r="872">
      <c r="A872" s="14" t="str">
        <f>IFERROR(__xludf.DUMMYFUNCTION("""COMPUTED_VALUE"""),"//ord_30863//Sanjay Nair//Dadar//Tiramisu+5*Vivek Kumar/9/30/2023//Credit Card//Delivered*Satisfied with the Delivery: Timely and quality")</f>
        <v>//ord_30863//Sanjay Nair//Dadar//Tiramisu+5*Vivek Kumar/9/30/2023//Credit Card//Delivered*Satisfied with the Delivery: Timely and quality</v>
      </c>
      <c r="B872" s="14" t="str">
        <f>IFERROR(__xludf.DUMMYFUNCTION("split(A872,""//"")"),"ord_30863")</f>
        <v>ord_30863</v>
      </c>
      <c r="C872" s="14" t="str">
        <f>IFERROR(__xludf.DUMMYFUNCTION("""COMPUTED_VALUE"""),"Sanjay Nair")</f>
        <v>Sanjay Nair</v>
      </c>
      <c r="D872" s="14" t="str">
        <f>IFERROR(__xludf.DUMMYFUNCTION("""COMPUTED_VALUE"""),"Dadar")</f>
        <v>Dadar</v>
      </c>
      <c r="E872" s="14" t="str">
        <f>IFERROR(__xludf.DUMMYFUNCTION("""COMPUTED_VALUE"""),"Tiramisu+5*Vivek Kumar")</f>
        <v>Tiramisu+5*Vivek Kumar</v>
      </c>
      <c r="F872" s="14">
        <f>IFERROR(__xludf.DUMMYFUNCTION("""COMPUTED_VALUE"""),9.0)</f>
        <v>9</v>
      </c>
      <c r="G872" s="14">
        <f>IFERROR(__xludf.DUMMYFUNCTION("""COMPUTED_VALUE"""),30.0)</f>
        <v>30</v>
      </c>
      <c r="H872" s="14">
        <f>IFERROR(__xludf.DUMMYFUNCTION("""COMPUTED_VALUE"""),2023.0)</f>
        <v>2023</v>
      </c>
      <c r="I872" s="14" t="str">
        <f>IFERROR(__xludf.DUMMYFUNCTION("""COMPUTED_VALUE"""),"Credit Card")</f>
        <v>Credit Card</v>
      </c>
      <c r="J872" s="14" t="str">
        <f>IFERROR(__xludf.DUMMYFUNCTION("""COMPUTED_VALUE"""),"Delivered*Satisfied with the Delivery: Timely and quality")</f>
        <v>Delivered*Satisfied with the Delivery: Timely and quality</v>
      </c>
      <c r="K872" s="14" t="str">
        <f>IFERROR(__xludf.DUMMYFUNCTION("split(E872,""+"")"),"Tiramisu")</f>
        <v>Tiramisu</v>
      </c>
      <c r="L872" s="14" t="str">
        <f>IFERROR(__xludf.DUMMYFUNCTION("""COMPUTED_VALUE"""),"5*Vivek Kumar")</f>
        <v>5*Vivek Kumar</v>
      </c>
      <c r="M872" s="14">
        <f>IFERROR(__xludf.DUMMYFUNCTION("SPLIT(L872,""*"")"),5.0)</f>
        <v>5</v>
      </c>
      <c r="N872" s="14" t="str">
        <f>IFERROR(__xludf.DUMMYFUNCTION("""COMPUTED_VALUE"""),"Vivek Kumar")</f>
        <v>Vivek Kumar</v>
      </c>
      <c r="O872" s="14" t="str">
        <f>IFERROR(__xludf.DUMMYFUNCTION("split(J872,""*"")"),"Delivered")</f>
        <v>Delivered</v>
      </c>
      <c r="P872" s="14" t="str">
        <f>IFERROR(__xludf.DUMMYFUNCTION("""COMPUTED_VALUE"""),"Satisfied with the Delivery: Timely and quality")</f>
        <v>Satisfied with the Delivery: Timely and quality</v>
      </c>
      <c r="Q872" s="14" t="str">
        <f>IFERROR(__xludf.DUMMYFUNCTION("split(P872,"":"")"),"Satisfied with the Delivery")</f>
        <v>Satisfied with the Delivery</v>
      </c>
      <c r="R872" s="14" t="str">
        <f>IFERROR(__xludf.DUMMYFUNCTION("""COMPUTED_VALUE""")," Timely and quality")</f>
        <v> Timely and quality</v>
      </c>
      <c r="S872" s="14" t="str">
        <f t="shared" ref="S872:U872" si="1747">trim(B872)</f>
        <v>ord_30863</v>
      </c>
      <c r="T872" s="14" t="str">
        <f t="shared" si="1747"/>
        <v>Sanjay Nair</v>
      </c>
      <c r="U872" s="14" t="str">
        <f t="shared" si="1747"/>
        <v>Dadar</v>
      </c>
      <c r="V872" s="14" t="str">
        <f t="shared" si="4"/>
        <v>Tiramisu</v>
      </c>
      <c r="W872" s="14">
        <f t="shared" si="5"/>
        <v>5</v>
      </c>
      <c r="X872" s="14" t="str">
        <f t="shared" si="6"/>
        <v>Vivek Kumar</v>
      </c>
      <c r="Y872" s="15">
        <f t="shared" si="7"/>
        <v>45199</v>
      </c>
      <c r="Z872" s="14" t="str">
        <f t="shared" si="8"/>
        <v>Credit Card</v>
      </c>
      <c r="AA872" s="14" t="str">
        <f t="shared" si="9"/>
        <v>Delivered</v>
      </c>
      <c r="AB872" s="14" t="str">
        <f t="shared" ref="AB872:AC872" si="1748">trim(Q872)</f>
        <v>Satisfied with the Delivery</v>
      </c>
      <c r="AC872" s="14" t="str">
        <f t="shared" si="1748"/>
        <v>Timely and quality</v>
      </c>
      <c r="AD872" s="8"/>
    </row>
    <row r="873">
      <c r="A873" s="14" t="str">
        <f>IFERROR(__xludf.DUMMYFUNCTION("""COMPUTED_VALUE"""),"//ord_30864//Tanishq Bansal//Powai//Apple+1*Not Assigned/7/26/2023//Credit Card//Cancelled*App Glitches:Slow Loading Time")</f>
        <v>//ord_30864//Tanishq Bansal//Powai//Apple+1*Not Assigned/7/26/2023//Credit Card//Cancelled*App Glitches:Slow Loading Time</v>
      </c>
      <c r="B873" s="14" t="str">
        <f>IFERROR(__xludf.DUMMYFUNCTION("split(A873,""//"")"),"ord_30864")</f>
        <v>ord_30864</v>
      </c>
      <c r="C873" s="14" t="str">
        <f>IFERROR(__xludf.DUMMYFUNCTION("""COMPUTED_VALUE"""),"Tanishq Bansal")</f>
        <v>Tanishq Bansal</v>
      </c>
      <c r="D873" s="14" t="str">
        <f>IFERROR(__xludf.DUMMYFUNCTION("""COMPUTED_VALUE"""),"Powai")</f>
        <v>Powai</v>
      </c>
      <c r="E873" s="14" t="str">
        <f>IFERROR(__xludf.DUMMYFUNCTION("""COMPUTED_VALUE"""),"Apple+1*Not Assigned")</f>
        <v>Apple+1*Not Assigned</v>
      </c>
      <c r="F873" s="14">
        <f>IFERROR(__xludf.DUMMYFUNCTION("""COMPUTED_VALUE"""),7.0)</f>
        <v>7</v>
      </c>
      <c r="G873" s="14">
        <f>IFERROR(__xludf.DUMMYFUNCTION("""COMPUTED_VALUE"""),26.0)</f>
        <v>26</v>
      </c>
      <c r="H873" s="14">
        <f>IFERROR(__xludf.DUMMYFUNCTION("""COMPUTED_VALUE"""),2023.0)</f>
        <v>2023</v>
      </c>
      <c r="I873" s="14" t="str">
        <f>IFERROR(__xludf.DUMMYFUNCTION("""COMPUTED_VALUE"""),"Credit Card")</f>
        <v>Credit Card</v>
      </c>
      <c r="J873" s="14" t="str">
        <f>IFERROR(__xludf.DUMMYFUNCTION("""COMPUTED_VALUE"""),"Cancelled*App Glitches:Slow Loading Time")</f>
        <v>Cancelled*App Glitches:Slow Loading Time</v>
      </c>
      <c r="K873" s="14" t="str">
        <f>IFERROR(__xludf.DUMMYFUNCTION("split(E873,""+"")"),"Apple")</f>
        <v>Apple</v>
      </c>
      <c r="L873" s="14" t="str">
        <f>IFERROR(__xludf.DUMMYFUNCTION("""COMPUTED_VALUE"""),"1*Not Assigned")</f>
        <v>1*Not Assigned</v>
      </c>
      <c r="M873" s="14">
        <f>IFERROR(__xludf.DUMMYFUNCTION("SPLIT(L873,""*"")"),1.0)</f>
        <v>1</v>
      </c>
      <c r="N873" s="14" t="str">
        <f>IFERROR(__xludf.DUMMYFUNCTION("""COMPUTED_VALUE"""),"Not Assigned")</f>
        <v>Not Assigned</v>
      </c>
      <c r="O873" s="14" t="str">
        <f>IFERROR(__xludf.DUMMYFUNCTION("split(J873,""*"")"),"Cancelled")</f>
        <v>Cancelled</v>
      </c>
      <c r="P873" s="14" t="str">
        <f>IFERROR(__xludf.DUMMYFUNCTION("""COMPUTED_VALUE"""),"App Glitches:Slow Loading Time")</f>
        <v>App Glitches:Slow Loading Time</v>
      </c>
      <c r="Q873" s="14" t="str">
        <f>IFERROR(__xludf.DUMMYFUNCTION("split(P873,"":"")"),"App Glitches")</f>
        <v>App Glitches</v>
      </c>
      <c r="R873" s="14" t="str">
        <f>IFERROR(__xludf.DUMMYFUNCTION("""COMPUTED_VALUE"""),"Slow Loading Time")</f>
        <v>Slow Loading Time</v>
      </c>
      <c r="S873" s="14" t="str">
        <f t="shared" ref="S873:U873" si="1749">trim(B873)</f>
        <v>ord_30864</v>
      </c>
      <c r="T873" s="14" t="str">
        <f t="shared" si="1749"/>
        <v>Tanishq Bansal</v>
      </c>
      <c r="U873" s="14" t="str">
        <f t="shared" si="1749"/>
        <v>Powai</v>
      </c>
      <c r="V873" s="14" t="str">
        <f t="shared" si="4"/>
        <v>Apple</v>
      </c>
      <c r="W873" s="14">
        <f t="shared" si="5"/>
        <v>1</v>
      </c>
      <c r="X873" s="14" t="str">
        <f t="shared" si="6"/>
        <v>Not Assigned</v>
      </c>
      <c r="Y873" s="15">
        <f t="shared" si="7"/>
        <v>45133</v>
      </c>
      <c r="Z873" s="14" t="str">
        <f t="shared" si="8"/>
        <v>Credit Card</v>
      </c>
      <c r="AA873" s="14" t="str">
        <f t="shared" si="9"/>
        <v>Cancelled</v>
      </c>
      <c r="AB873" s="14" t="str">
        <f t="shared" ref="AB873:AC873" si="1750">trim(Q873)</f>
        <v>App Glitches</v>
      </c>
      <c r="AC873" s="14" t="str">
        <f t="shared" si="1750"/>
        <v>Slow Loading Time</v>
      </c>
      <c r="AD873" s="8"/>
    </row>
    <row r="874">
      <c r="A874" s="14" t="str">
        <f>IFERROR(__xludf.DUMMYFUNCTION("""COMPUTED_VALUE"""),"//ord_30865//Omkar Mishra//Powai//Rasmalai+5*Venu R/8/19/2023//Credit Card//Cancelled*Delayed Delivery:Traffic Accidents or Road Closures")</f>
        <v>//ord_30865//Omkar Mishra//Powai//Rasmalai+5*Venu R/8/19/2023//Credit Card//Cancelled*Delayed Delivery:Traffic Accidents or Road Closures</v>
      </c>
      <c r="B874" s="14" t="str">
        <f>IFERROR(__xludf.DUMMYFUNCTION("split(A874,""//"")"),"ord_30865")</f>
        <v>ord_30865</v>
      </c>
      <c r="C874" s="14" t="str">
        <f>IFERROR(__xludf.DUMMYFUNCTION("""COMPUTED_VALUE"""),"Omkar Mishra")</f>
        <v>Omkar Mishra</v>
      </c>
      <c r="D874" s="14" t="str">
        <f>IFERROR(__xludf.DUMMYFUNCTION("""COMPUTED_VALUE"""),"Powai")</f>
        <v>Powai</v>
      </c>
      <c r="E874" s="14" t="str">
        <f>IFERROR(__xludf.DUMMYFUNCTION("""COMPUTED_VALUE"""),"Rasmalai+5*Venu R")</f>
        <v>Rasmalai+5*Venu R</v>
      </c>
      <c r="F874" s="14">
        <f>IFERROR(__xludf.DUMMYFUNCTION("""COMPUTED_VALUE"""),8.0)</f>
        <v>8</v>
      </c>
      <c r="G874" s="14">
        <f>IFERROR(__xludf.DUMMYFUNCTION("""COMPUTED_VALUE"""),19.0)</f>
        <v>19</v>
      </c>
      <c r="H874" s="14">
        <f>IFERROR(__xludf.DUMMYFUNCTION("""COMPUTED_VALUE"""),2023.0)</f>
        <v>2023</v>
      </c>
      <c r="I874" s="14" t="str">
        <f>IFERROR(__xludf.DUMMYFUNCTION("""COMPUTED_VALUE"""),"Credit Card")</f>
        <v>Credit Card</v>
      </c>
      <c r="J874" s="14" t="str">
        <f>IFERROR(__xludf.DUMMYFUNCTION("""COMPUTED_VALUE"""),"Cancelled*Delayed Delivery:Traffic Accidents or Road Closures")</f>
        <v>Cancelled*Delayed Delivery:Traffic Accidents or Road Closures</v>
      </c>
      <c r="K874" s="14" t="str">
        <f>IFERROR(__xludf.DUMMYFUNCTION("split(E874,""+"")"),"Rasmalai")</f>
        <v>Rasmalai</v>
      </c>
      <c r="L874" s="14" t="str">
        <f>IFERROR(__xludf.DUMMYFUNCTION("""COMPUTED_VALUE"""),"5*Venu R")</f>
        <v>5*Venu R</v>
      </c>
      <c r="M874" s="14">
        <f>IFERROR(__xludf.DUMMYFUNCTION("SPLIT(L874,""*"")"),5.0)</f>
        <v>5</v>
      </c>
      <c r="N874" s="14" t="str">
        <f>IFERROR(__xludf.DUMMYFUNCTION("""COMPUTED_VALUE"""),"Venu R")</f>
        <v>Venu R</v>
      </c>
      <c r="O874" s="14" t="str">
        <f>IFERROR(__xludf.DUMMYFUNCTION("split(J874,""*"")"),"Cancelled")</f>
        <v>Cancelled</v>
      </c>
      <c r="P874" s="14" t="str">
        <f>IFERROR(__xludf.DUMMYFUNCTION("""COMPUTED_VALUE"""),"Delayed Delivery:Traffic Accidents or Road Closures")</f>
        <v>Delayed Delivery:Traffic Accidents or Road Closures</v>
      </c>
      <c r="Q874" s="14" t="str">
        <f>IFERROR(__xludf.DUMMYFUNCTION("split(P874,"":"")"),"Delayed Delivery")</f>
        <v>Delayed Delivery</v>
      </c>
      <c r="R874" s="14" t="str">
        <f>IFERROR(__xludf.DUMMYFUNCTION("""COMPUTED_VALUE"""),"Traffic Accidents or Road Closures")</f>
        <v>Traffic Accidents or Road Closures</v>
      </c>
      <c r="S874" s="14" t="str">
        <f t="shared" ref="S874:U874" si="1751">trim(B874)</f>
        <v>ord_30865</v>
      </c>
      <c r="T874" s="14" t="str">
        <f t="shared" si="1751"/>
        <v>Omkar Mishra</v>
      </c>
      <c r="U874" s="14" t="str">
        <f t="shared" si="1751"/>
        <v>Powai</v>
      </c>
      <c r="V874" s="14" t="str">
        <f t="shared" si="4"/>
        <v>Rasmalai</v>
      </c>
      <c r="W874" s="14">
        <f t="shared" si="5"/>
        <v>5</v>
      </c>
      <c r="X874" s="14" t="str">
        <f t="shared" si="6"/>
        <v>Venu R</v>
      </c>
      <c r="Y874" s="15">
        <f t="shared" si="7"/>
        <v>45157</v>
      </c>
      <c r="Z874" s="14" t="str">
        <f t="shared" si="8"/>
        <v>Credit Card</v>
      </c>
      <c r="AA874" s="14" t="str">
        <f t="shared" si="9"/>
        <v>Cancelled</v>
      </c>
      <c r="AB874" s="14" t="str">
        <f t="shared" ref="AB874:AC874" si="1752">trim(Q874)</f>
        <v>Delayed Delivery</v>
      </c>
      <c r="AC874" s="14" t="str">
        <f t="shared" si="1752"/>
        <v>Traffic Accidents or Road Closures</v>
      </c>
      <c r="AD874" s="8"/>
    </row>
    <row r="875">
      <c r="A875" s="14" t="str">
        <f>IFERROR(__xludf.DUMMYFUNCTION("""COMPUTED_VALUE"""),"//ord_30866//Tanishq Bansal//Powai//Sweet Corn+1*Aman Kumar/9/13/2023//Credit Card//Cancelled*Delayed Delivery:Heavy Traffic")</f>
        <v>//ord_30866//Tanishq Bansal//Powai//Sweet Corn+1*Aman Kumar/9/13/2023//Credit Card//Cancelled*Delayed Delivery:Heavy Traffic</v>
      </c>
      <c r="B875" s="14" t="str">
        <f>IFERROR(__xludf.DUMMYFUNCTION("split(A875,""//"")"),"ord_30866")</f>
        <v>ord_30866</v>
      </c>
      <c r="C875" s="14" t="str">
        <f>IFERROR(__xludf.DUMMYFUNCTION("""COMPUTED_VALUE"""),"Tanishq Bansal")</f>
        <v>Tanishq Bansal</v>
      </c>
      <c r="D875" s="14" t="str">
        <f>IFERROR(__xludf.DUMMYFUNCTION("""COMPUTED_VALUE"""),"Powai")</f>
        <v>Powai</v>
      </c>
      <c r="E875" s="14" t="str">
        <f>IFERROR(__xludf.DUMMYFUNCTION("""COMPUTED_VALUE"""),"Sweet Corn+1*Aman Kumar")</f>
        <v>Sweet Corn+1*Aman Kumar</v>
      </c>
      <c r="F875" s="14">
        <f>IFERROR(__xludf.DUMMYFUNCTION("""COMPUTED_VALUE"""),9.0)</f>
        <v>9</v>
      </c>
      <c r="G875" s="14">
        <f>IFERROR(__xludf.DUMMYFUNCTION("""COMPUTED_VALUE"""),13.0)</f>
        <v>13</v>
      </c>
      <c r="H875" s="14">
        <f>IFERROR(__xludf.DUMMYFUNCTION("""COMPUTED_VALUE"""),2023.0)</f>
        <v>2023</v>
      </c>
      <c r="I875" s="14" t="str">
        <f>IFERROR(__xludf.DUMMYFUNCTION("""COMPUTED_VALUE"""),"Credit Card")</f>
        <v>Credit Card</v>
      </c>
      <c r="J875" s="14" t="str">
        <f>IFERROR(__xludf.DUMMYFUNCTION("""COMPUTED_VALUE"""),"Cancelled*Delayed Delivery:Heavy Traffic")</f>
        <v>Cancelled*Delayed Delivery:Heavy Traffic</v>
      </c>
      <c r="K875" s="14" t="str">
        <f>IFERROR(__xludf.DUMMYFUNCTION("split(E875,""+"")"),"Sweet Corn")</f>
        <v>Sweet Corn</v>
      </c>
      <c r="L875" s="14" t="str">
        <f>IFERROR(__xludf.DUMMYFUNCTION("""COMPUTED_VALUE"""),"1*Aman Kumar")</f>
        <v>1*Aman Kumar</v>
      </c>
      <c r="M875" s="14">
        <f>IFERROR(__xludf.DUMMYFUNCTION("SPLIT(L875,""*"")"),1.0)</f>
        <v>1</v>
      </c>
      <c r="N875" s="14" t="str">
        <f>IFERROR(__xludf.DUMMYFUNCTION("""COMPUTED_VALUE"""),"Aman Kumar")</f>
        <v>Aman Kumar</v>
      </c>
      <c r="O875" s="14" t="str">
        <f>IFERROR(__xludf.DUMMYFUNCTION("split(J875,""*"")"),"Cancelled")</f>
        <v>Cancelled</v>
      </c>
      <c r="P875" s="14" t="str">
        <f>IFERROR(__xludf.DUMMYFUNCTION("""COMPUTED_VALUE"""),"Delayed Delivery:Heavy Traffic")</f>
        <v>Delayed Delivery:Heavy Traffic</v>
      </c>
      <c r="Q875" s="14" t="str">
        <f>IFERROR(__xludf.DUMMYFUNCTION("split(P875,"":"")"),"Delayed Delivery")</f>
        <v>Delayed Delivery</v>
      </c>
      <c r="R875" s="14" t="str">
        <f>IFERROR(__xludf.DUMMYFUNCTION("""COMPUTED_VALUE"""),"Heavy Traffic")</f>
        <v>Heavy Traffic</v>
      </c>
      <c r="S875" s="14" t="str">
        <f t="shared" ref="S875:U875" si="1753">trim(B875)</f>
        <v>ord_30866</v>
      </c>
      <c r="T875" s="14" t="str">
        <f t="shared" si="1753"/>
        <v>Tanishq Bansal</v>
      </c>
      <c r="U875" s="14" t="str">
        <f t="shared" si="1753"/>
        <v>Powai</v>
      </c>
      <c r="V875" s="14" t="str">
        <f t="shared" si="4"/>
        <v>Sweet Corn</v>
      </c>
      <c r="W875" s="14">
        <f t="shared" si="5"/>
        <v>1</v>
      </c>
      <c r="X875" s="14" t="str">
        <f t="shared" si="6"/>
        <v>Aman Kumar</v>
      </c>
      <c r="Y875" s="15">
        <f t="shared" si="7"/>
        <v>45182</v>
      </c>
      <c r="Z875" s="14" t="str">
        <f t="shared" si="8"/>
        <v>Credit Card</v>
      </c>
      <c r="AA875" s="14" t="str">
        <f t="shared" si="9"/>
        <v>Cancelled</v>
      </c>
      <c r="AB875" s="14" t="str">
        <f t="shared" ref="AB875:AC875" si="1754">trim(Q875)</f>
        <v>Delayed Delivery</v>
      </c>
      <c r="AC875" s="14" t="str">
        <f t="shared" si="1754"/>
        <v>Heavy Traffic</v>
      </c>
      <c r="AD875" s="8"/>
    </row>
    <row r="876">
      <c r="A876" s="14" t="str">
        <f>IFERROR(__xludf.DUMMYFUNCTION("""COMPUTED_VALUE"""),"//ord_30867//Ishita Banerjee//Juhu//Popcorn+5*Not Assigned/2/26/2023//UPI//Cancelled*Out of Stock")</f>
        <v>//ord_30867//Ishita Banerjee//Juhu//Popcorn+5*Not Assigned/2/26/2023//UPI//Cancelled*Out of Stock</v>
      </c>
      <c r="B876" s="14" t="str">
        <f>IFERROR(__xludf.DUMMYFUNCTION("split(A876,""//"")"),"ord_30867")</f>
        <v>ord_30867</v>
      </c>
      <c r="C876" s="14" t="str">
        <f>IFERROR(__xludf.DUMMYFUNCTION("""COMPUTED_VALUE"""),"Ishita Banerjee")</f>
        <v>Ishita Banerjee</v>
      </c>
      <c r="D876" s="14" t="str">
        <f>IFERROR(__xludf.DUMMYFUNCTION("""COMPUTED_VALUE"""),"Juhu")</f>
        <v>Juhu</v>
      </c>
      <c r="E876" s="14" t="str">
        <f>IFERROR(__xludf.DUMMYFUNCTION("""COMPUTED_VALUE"""),"Popcorn+5*Not Assigned")</f>
        <v>Popcorn+5*Not Assigned</v>
      </c>
      <c r="F876" s="14">
        <f>IFERROR(__xludf.DUMMYFUNCTION("""COMPUTED_VALUE"""),2.0)</f>
        <v>2</v>
      </c>
      <c r="G876" s="14">
        <f>IFERROR(__xludf.DUMMYFUNCTION("""COMPUTED_VALUE"""),26.0)</f>
        <v>26</v>
      </c>
      <c r="H876" s="14">
        <f>IFERROR(__xludf.DUMMYFUNCTION("""COMPUTED_VALUE"""),2023.0)</f>
        <v>2023</v>
      </c>
      <c r="I876" s="14" t="str">
        <f>IFERROR(__xludf.DUMMYFUNCTION("""COMPUTED_VALUE"""),"UPI")</f>
        <v>UPI</v>
      </c>
      <c r="J876" s="14" t="str">
        <f>IFERROR(__xludf.DUMMYFUNCTION("""COMPUTED_VALUE"""),"Cancelled*Out of Stock")</f>
        <v>Cancelled*Out of Stock</v>
      </c>
      <c r="K876" s="14" t="str">
        <f>IFERROR(__xludf.DUMMYFUNCTION("split(E876,""+"")"),"Popcorn")</f>
        <v>Popcorn</v>
      </c>
      <c r="L876" s="14" t="str">
        <f>IFERROR(__xludf.DUMMYFUNCTION("""COMPUTED_VALUE"""),"5*Not Assigned")</f>
        <v>5*Not Assigned</v>
      </c>
      <c r="M876" s="14">
        <f>IFERROR(__xludf.DUMMYFUNCTION("SPLIT(L876,""*"")"),5.0)</f>
        <v>5</v>
      </c>
      <c r="N876" s="14" t="str">
        <f>IFERROR(__xludf.DUMMYFUNCTION("""COMPUTED_VALUE"""),"Not Assigned")</f>
        <v>Not Assigned</v>
      </c>
      <c r="O876" s="14" t="str">
        <f>IFERROR(__xludf.DUMMYFUNCTION("split(J876,""*"")"),"Cancelled")</f>
        <v>Cancelled</v>
      </c>
      <c r="P876" s="14" t="str">
        <f>IFERROR(__xludf.DUMMYFUNCTION("""COMPUTED_VALUE"""),"Out of Stock")</f>
        <v>Out of Stock</v>
      </c>
      <c r="Q876" s="14" t="str">
        <f>IFERROR(__xludf.DUMMYFUNCTION("split(P876,"":"")"),"Out of Stock")</f>
        <v>Out of Stock</v>
      </c>
      <c r="R876" s="14"/>
      <c r="S876" s="14" t="str">
        <f t="shared" ref="S876:U876" si="1755">trim(B876)</f>
        <v>ord_30867</v>
      </c>
      <c r="T876" s="14" t="str">
        <f t="shared" si="1755"/>
        <v>Ishita Banerjee</v>
      </c>
      <c r="U876" s="14" t="str">
        <f t="shared" si="1755"/>
        <v>Juhu</v>
      </c>
      <c r="V876" s="14" t="str">
        <f t="shared" si="4"/>
        <v>Popcorn</v>
      </c>
      <c r="W876" s="14">
        <f t="shared" si="5"/>
        <v>5</v>
      </c>
      <c r="X876" s="14" t="str">
        <f t="shared" si="6"/>
        <v>Not Assigned</v>
      </c>
      <c r="Y876" s="15">
        <f t="shared" si="7"/>
        <v>44983</v>
      </c>
      <c r="Z876" s="14" t="str">
        <f t="shared" si="8"/>
        <v>UPI</v>
      </c>
      <c r="AA876" s="14" t="str">
        <f t="shared" si="9"/>
        <v>Cancelled</v>
      </c>
      <c r="AB876" s="14" t="str">
        <f t="shared" ref="AB876:AC876" si="1756">trim(Q876)</f>
        <v>Out of Stock</v>
      </c>
      <c r="AC876" s="14" t="str">
        <f t="shared" si="1756"/>
        <v/>
      </c>
      <c r="AD876" s="8"/>
    </row>
    <row r="877">
      <c r="A877" s="14" t="str">
        <f>IFERROR(__xludf.DUMMYFUNCTION("""COMPUTED_VALUE"""),"//ord_30868//Siya Reddy//Juhu//Tiramisu+1*Not Assigned/3/27/2023//Online Payment//Cancelled*App Glitches:Slow Loading Time")</f>
        <v>//ord_30868//Siya Reddy//Juhu//Tiramisu+1*Not Assigned/3/27/2023//Online Payment//Cancelled*App Glitches:Slow Loading Time</v>
      </c>
      <c r="B877" s="14" t="str">
        <f>IFERROR(__xludf.DUMMYFUNCTION("split(A877,""//"")"),"ord_30868")</f>
        <v>ord_30868</v>
      </c>
      <c r="C877" s="14" t="str">
        <f>IFERROR(__xludf.DUMMYFUNCTION("""COMPUTED_VALUE"""),"Siya Reddy")</f>
        <v>Siya Reddy</v>
      </c>
      <c r="D877" s="14" t="str">
        <f>IFERROR(__xludf.DUMMYFUNCTION("""COMPUTED_VALUE"""),"Juhu")</f>
        <v>Juhu</v>
      </c>
      <c r="E877" s="14" t="str">
        <f>IFERROR(__xludf.DUMMYFUNCTION("""COMPUTED_VALUE"""),"Tiramisu+1*Not Assigned")</f>
        <v>Tiramisu+1*Not Assigned</v>
      </c>
      <c r="F877" s="14">
        <f>IFERROR(__xludf.DUMMYFUNCTION("""COMPUTED_VALUE"""),3.0)</f>
        <v>3</v>
      </c>
      <c r="G877" s="14">
        <f>IFERROR(__xludf.DUMMYFUNCTION("""COMPUTED_VALUE"""),27.0)</f>
        <v>27</v>
      </c>
      <c r="H877" s="14">
        <f>IFERROR(__xludf.DUMMYFUNCTION("""COMPUTED_VALUE"""),2023.0)</f>
        <v>2023</v>
      </c>
      <c r="I877" s="14" t="str">
        <f>IFERROR(__xludf.DUMMYFUNCTION("""COMPUTED_VALUE"""),"Online Payment")</f>
        <v>Online Payment</v>
      </c>
      <c r="J877" s="14" t="str">
        <f>IFERROR(__xludf.DUMMYFUNCTION("""COMPUTED_VALUE"""),"Cancelled*App Glitches:Slow Loading Time")</f>
        <v>Cancelled*App Glitches:Slow Loading Time</v>
      </c>
      <c r="K877" s="14" t="str">
        <f>IFERROR(__xludf.DUMMYFUNCTION("split(E877,""+"")"),"Tiramisu")</f>
        <v>Tiramisu</v>
      </c>
      <c r="L877" s="14" t="str">
        <f>IFERROR(__xludf.DUMMYFUNCTION("""COMPUTED_VALUE"""),"1*Not Assigned")</f>
        <v>1*Not Assigned</v>
      </c>
      <c r="M877" s="14">
        <f>IFERROR(__xludf.DUMMYFUNCTION("SPLIT(L877,""*"")"),1.0)</f>
        <v>1</v>
      </c>
      <c r="N877" s="14" t="str">
        <f>IFERROR(__xludf.DUMMYFUNCTION("""COMPUTED_VALUE"""),"Not Assigned")</f>
        <v>Not Assigned</v>
      </c>
      <c r="O877" s="14" t="str">
        <f>IFERROR(__xludf.DUMMYFUNCTION("split(J877,""*"")"),"Cancelled")</f>
        <v>Cancelled</v>
      </c>
      <c r="P877" s="14" t="str">
        <f>IFERROR(__xludf.DUMMYFUNCTION("""COMPUTED_VALUE"""),"App Glitches:Slow Loading Time")</f>
        <v>App Glitches:Slow Loading Time</v>
      </c>
      <c r="Q877" s="14" t="str">
        <f>IFERROR(__xludf.DUMMYFUNCTION("split(P877,"":"")"),"App Glitches")</f>
        <v>App Glitches</v>
      </c>
      <c r="R877" s="14" t="str">
        <f>IFERROR(__xludf.DUMMYFUNCTION("""COMPUTED_VALUE"""),"Slow Loading Time")</f>
        <v>Slow Loading Time</v>
      </c>
      <c r="S877" s="14" t="str">
        <f t="shared" ref="S877:U877" si="1757">trim(B877)</f>
        <v>ord_30868</v>
      </c>
      <c r="T877" s="14" t="str">
        <f t="shared" si="1757"/>
        <v>Siya Reddy</v>
      </c>
      <c r="U877" s="14" t="str">
        <f t="shared" si="1757"/>
        <v>Juhu</v>
      </c>
      <c r="V877" s="14" t="str">
        <f t="shared" si="4"/>
        <v>Tiramisu</v>
      </c>
      <c r="W877" s="14">
        <f t="shared" si="5"/>
        <v>1</v>
      </c>
      <c r="X877" s="14" t="str">
        <f t="shared" si="6"/>
        <v>Not Assigned</v>
      </c>
      <c r="Y877" s="15">
        <f t="shared" si="7"/>
        <v>45012</v>
      </c>
      <c r="Z877" s="14" t="str">
        <f t="shared" si="8"/>
        <v>Online Payment</v>
      </c>
      <c r="AA877" s="14" t="str">
        <f t="shared" si="9"/>
        <v>Cancelled</v>
      </c>
      <c r="AB877" s="14" t="str">
        <f t="shared" ref="AB877:AC877" si="1758">trim(Q877)</f>
        <v>App Glitches</v>
      </c>
      <c r="AC877" s="14" t="str">
        <f t="shared" si="1758"/>
        <v>Slow Loading Time</v>
      </c>
      <c r="AD877" s="8"/>
    </row>
    <row r="878">
      <c r="A878" s="14" t="str">
        <f>IFERROR(__xludf.DUMMYFUNCTION("""COMPUTED_VALUE"""),"//ord_30869//Mehul Thakkar//Malad//Rasmalai+2*Ramesh S/1/28/2023//UPI//Delivered*Customer Service: Seamless and easy")</f>
        <v>//ord_30869//Mehul Thakkar//Malad//Rasmalai+2*Ramesh S/1/28/2023//UPI//Delivered*Customer Service: Seamless and easy</v>
      </c>
      <c r="B878" s="14" t="str">
        <f>IFERROR(__xludf.DUMMYFUNCTION("split(A878,""//"")"),"ord_30869")</f>
        <v>ord_30869</v>
      </c>
      <c r="C878" s="14" t="str">
        <f>IFERROR(__xludf.DUMMYFUNCTION("""COMPUTED_VALUE"""),"Mehul Thakkar")</f>
        <v>Mehul Thakkar</v>
      </c>
      <c r="D878" s="14" t="str">
        <f>IFERROR(__xludf.DUMMYFUNCTION("""COMPUTED_VALUE"""),"Malad")</f>
        <v>Malad</v>
      </c>
      <c r="E878" s="14" t="str">
        <f>IFERROR(__xludf.DUMMYFUNCTION("""COMPUTED_VALUE"""),"Rasmalai+2*Ramesh S")</f>
        <v>Rasmalai+2*Ramesh S</v>
      </c>
      <c r="F878" s="14">
        <f>IFERROR(__xludf.DUMMYFUNCTION("""COMPUTED_VALUE"""),1.0)</f>
        <v>1</v>
      </c>
      <c r="G878" s="14">
        <f>IFERROR(__xludf.DUMMYFUNCTION("""COMPUTED_VALUE"""),28.0)</f>
        <v>28</v>
      </c>
      <c r="H878" s="14">
        <f>IFERROR(__xludf.DUMMYFUNCTION("""COMPUTED_VALUE"""),2023.0)</f>
        <v>2023</v>
      </c>
      <c r="I878" s="14" t="str">
        <f>IFERROR(__xludf.DUMMYFUNCTION("""COMPUTED_VALUE"""),"UPI")</f>
        <v>UPI</v>
      </c>
      <c r="J878" s="14" t="str">
        <f>IFERROR(__xludf.DUMMYFUNCTION("""COMPUTED_VALUE"""),"Delivered*Customer Service: Seamless and easy")</f>
        <v>Delivered*Customer Service: Seamless and easy</v>
      </c>
      <c r="K878" s="14" t="str">
        <f>IFERROR(__xludf.DUMMYFUNCTION("split(E878,""+"")"),"Rasmalai")</f>
        <v>Rasmalai</v>
      </c>
      <c r="L878" s="14" t="str">
        <f>IFERROR(__xludf.DUMMYFUNCTION("""COMPUTED_VALUE"""),"2*Ramesh S")</f>
        <v>2*Ramesh S</v>
      </c>
      <c r="M878" s="14">
        <f>IFERROR(__xludf.DUMMYFUNCTION("SPLIT(L878,""*"")"),2.0)</f>
        <v>2</v>
      </c>
      <c r="N878" s="14" t="str">
        <f>IFERROR(__xludf.DUMMYFUNCTION("""COMPUTED_VALUE"""),"Ramesh S")</f>
        <v>Ramesh S</v>
      </c>
      <c r="O878" s="14" t="str">
        <f>IFERROR(__xludf.DUMMYFUNCTION("split(J878,""*"")"),"Delivered")</f>
        <v>Delivered</v>
      </c>
      <c r="P878" s="14" t="str">
        <f>IFERROR(__xludf.DUMMYFUNCTION("""COMPUTED_VALUE"""),"Customer Service: Seamless and easy")</f>
        <v>Customer Service: Seamless and easy</v>
      </c>
      <c r="Q878" s="14" t="str">
        <f>IFERROR(__xludf.DUMMYFUNCTION("split(P878,"":"")"),"Customer Service")</f>
        <v>Customer Service</v>
      </c>
      <c r="R878" s="14" t="str">
        <f>IFERROR(__xludf.DUMMYFUNCTION("""COMPUTED_VALUE""")," Seamless and easy")</f>
        <v> Seamless and easy</v>
      </c>
      <c r="S878" s="14" t="str">
        <f t="shared" ref="S878:U878" si="1759">trim(B878)</f>
        <v>ord_30869</v>
      </c>
      <c r="T878" s="14" t="str">
        <f t="shared" si="1759"/>
        <v>Mehul Thakkar</v>
      </c>
      <c r="U878" s="14" t="str">
        <f t="shared" si="1759"/>
        <v>Malad</v>
      </c>
      <c r="V878" s="14" t="str">
        <f t="shared" si="4"/>
        <v>Rasmalai</v>
      </c>
      <c r="W878" s="14">
        <f t="shared" si="5"/>
        <v>2</v>
      </c>
      <c r="X878" s="14" t="str">
        <f t="shared" si="6"/>
        <v>Ramesh S</v>
      </c>
      <c r="Y878" s="15">
        <f t="shared" si="7"/>
        <v>44954</v>
      </c>
      <c r="Z878" s="14" t="str">
        <f t="shared" si="8"/>
        <v>UPI</v>
      </c>
      <c r="AA878" s="14" t="str">
        <f t="shared" si="9"/>
        <v>Delivered</v>
      </c>
      <c r="AB878" s="14" t="str">
        <f t="shared" ref="AB878:AC878" si="1760">trim(Q878)</f>
        <v>Customer Service</v>
      </c>
      <c r="AC878" s="14" t="str">
        <f t="shared" si="1760"/>
        <v>Seamless and easy</v>
      </c>
      <c r="AD878" s="8"/>
    </row>
    <row r="879">
      <c r="A879" s="14" t="str">
        <f>IFERROR(__xludf.DUMMYFUNCTION("""COMPUTED_VALUE"""),"//ord_30870//Arvind Kulkarni//Juhu//Guava+1*Shine Thomas/3/19/2023//UPI//Cancelled*Delayed Delivery:Heavy Traffic")</f>
        <v>//ord_30870//Arvind Kulkarni//Juhu//Guava+1*Shine Thomas/3/19/2023//UPI//Cancelled*Delayed Delivery:Heavy Traffic</v>
      </c>
      <c r="B879" s="14" t="str">
        <f>IFERROR(__xludf.DUMMYFUNCTION("split(A879,""//"")"),"ord_30870")</f>
        <v>ord_30870</v>
      </c>
      <c r="C879" s="14" t="str">
        <f>IFERROR(__xludf.DUMMYFUNCTION("""COMPUTED_VALUE"""),"Arvind Kulkarni")</f>
        <v>Arvind Kulkarni</v>
      </c>
      <c r="D879" s="14" t="str">
        <f>IFERROR(__xludf.DUMMYFUNCTION("""COMPUTED_VALUE"""),"Juhu")</f>
        <v>Juhu</v>
      </c>
      <c r="E879" s="14" t="str">
        <f>IFERROR(__xludf.DUMMYFUNCTION("""COMPUTED_VALUE"""),"Guava+1*Shine Thomas")</f>
        <v>Guava+1*Shine Thomas</v>
      </c>
      <c r="F879" s="14">
        <f>IFERROR(__xludf.DUMMYFUNCTION("""COMPUTED_VALUE"""),3.0)</f>
        <v>3</v>
      </c>
      <c r="G879" s="14">
        <f>IFERROR(__xludf.DUMMYFUNCTION("""COMPUTED_VALUE"""),19.0)</f>
        <v>19</v>
      </c>
      <c r="H879" s="14">
        <f>IFERROR(__xludf.DUMMYFUNCTION("""COMPUTED_VALUE"""),2023.0)</f>
        <v>2023</v>
      </c>
      <c r="I879" s="14" t="str">
        <f>IFERROR(__xludf.DUMMYFUNCTION("""COMPUTED_VALUE"""),"UPI")</f>
        <v>UPI</v>
      </c>
      <c r="J879" s="14" t="str">
        <f>IFERROR(__xludf.DUMMYFUNCTION("""COMPUTED_VALUE"""),"Cancelled*Delayed Delivery:Heavy Traffic")</f>
        <v>Cancelled*Delayed Delivery:Heavy Traffic</v>
      </c>
      <c r="K879" s="14" t="str">
        <f>IFERROR(__xludf.DUMMYFUNCTION("split(E879,""+"")"),"Guava")</f>
        <v>Guava</v>
      </c>
      <c r="L879" s="14" t="str">
        <f>IFERROR(__xludf.DUMMYFUNCTION("""COMPUTED_VALUE"""),"1*Shine Thomas")</f>
        <v>1*Shine Thomas</v>
      </c>
      <c r="M879" s="14">
        <f>IFERROR(__xludf.DUMMYFUNCTION("SPLIT(L879,""*"")"),1.0)</f>
        <v>1</v>
      </c>
      <c r="N879" s="14" t="str">
        <f>IFERROR(__xludf.DUMMYFUNCTION("""COMPUTED_VALUE"""),"Shine Thomas")</f>
        <v>Shine Thomas</v>
      </c>
      <c r="O879" s="14" t="str">
        <f>IFERROR(__xludf.DUMMYFUNCTION("split(J879,""*"")"),"Cancelled")</f>
        <v>Cancelled</v>
      </c>
      <c r="P879" s="14" t="str">
        <f>IFERROR(__xludf.DUMMYFUNCTION("""COMPUTED_VALUE"""),"Delayed Delivery:Heavy Traffic")</f>
        <v>Delayed Delivery:Heavy Traffic</v>
      </c>
      <c r="Q879" s="14" t="str">
        <f>IFERROR(__xludf.DUMMYFUNCTION("split(P879,"":"")"),"Delayed Delivery")</f>
        <v>Delayed Delivery</v>
      </c>
      <c r="R879" s="14" t="str">
        <f>IFERROR(__xludf.DUMMYFUNCTION("""COMPUTED_VALUE"""),"Heavy Traffic")</f>
        <v>Heavy Traffic</v>
      </c>
      <c r="S879" s="14" t="str">
        <f t="shared" ref="S879:U879" si="1761">trim(B879)</f>
        <v>ord_30870</v>
      </c>
      <c r="T879" s="14" t="str">
        <f t="shared" si="1761"/>
        <v>Arvind Kulkarni</v>
      </c>
      <c r="U879" s="14" t="str">
        <f t="shared" si="1761"/>
        <v>Juhu</v>
      </c>
      <c r="V879" s="14" t="str">
        <f t="shared" si="4"/>
        <v>Guava</v>
      </c>
      <c r="W879" s="14">
        <f t="shared" si="5"/>
        <v>1</v>
      </c>
      <c r="X879" s="14" t="str">
        <f t="shared" si="6"/>
        <v>Shine Thomas</v>
      </c>
      <c r="Y879" s="15">
        <f t="shared" si="7"/>
        <v>45004</v>
      </c>
      <c r="Z879" s="14" t="str">
        <f t="shared" si="8"/>
        <v>UPI</v>
      </c>
      <c r="AA879" s="14" t="str">
        <f t="shared" si="9"/>
        <v>Cancelled</v>
      </c>
      <c r="AB879" s="14" t="str">
        <f t="shared" ref="AB879:AC879" si="1762">trim(Q879)</f>
        <v>Delayed Delivery</v>
      </c>
      <c r="AC879" s="14" t="str">
        <f t="shared" si="1762"/>
        <v>Heavy Traffic</v>
      </c>
      <c r="AD879" s="8"/>
    </row>
    <row r="880">
      <c r="A880" s="14" t="str">
        <f>IFERROR(__xludf.DUMMYFUNCTION("""COMPUTED_VALUE"""),"//ord_30871//Sanjay Nair//Dadar//Cold Coffee+5*Not Assigned/11/15/2023//Online Payment//Cancelled*Out of Stock")</f>
        <v>//ord_30871//Sanjay Nair//Dadar//Cold Coffee+5*Not Assigned/11/15/2023//Online Payment//Cancelled*Out of Stock</v>
      </c>
      <c r="B880" s="14" t="str">
        <f>IFERROR(__xludf.DUMMYFUNCTION("split(A880,""//"")"),"ord_30871")</f>
        <v>ord_30871</v>
      </c>
      <c r="C880" s="14" t="str">
        <f>IFERROR(__xludf.DUMMYFUNCTION("""COMPUTED_VALUE"""),"Sanjay Nair")</f>
        <v>Sanjay Nair</v>
      </c>
      <c r="D880" s="14" t="str">
        <f>IFERROR(__xludf.DUMMYFUNCTION("""COMPUTED_VALUE"""),"Dadar")</f>
        <v>Dadar</v>
      </c>
      <c r="E880" s="14" t="str">
        <f>IFERROR(__xludf.DUMMYFUNCTION("""COMPUTED_VALUE"""),"Cold Coffee+5*Not Assigned")</f>
        <v>Cold Coffee+5*Not Assigned</v>
      </c>
      <c r="F880" s="14">
        <f>IFERROR(__xludf.DUMMYFUNCTION("""COMPUTED_VALUE"""),11.0)</f>
        <v>11</v>
      </c>
      <c r="G880" s="14">
        <f>IFERROR(__xludf.DUMMYFUNCTION("""COMPUTED_VALUE"""),15.0)</f>
        <v>15</v>
      </c>
      <c r="H880" s="14">
        <f>IFERROR(__xludf.DUMMYFUNCTION("""COMPUTED_VALUE"""),2023.0)</f>
        <v>2023</v>
      </c>
      <c r="I880" s="14" t="str">
        <f>IFERROR(__xludf.DUMMYFUNCTION("""COMPUTED_VALUE"""),"Online Payment")</f>
        <v>Online Payment</v>
      </c>
      <c r="J880" s="14" t="str">
        <f>IFERROR(__xludf.DUMMYFUNCTION("""COMPUTED_VALUE"""),"Cancelled*Out of Stock")</f>
        <v>Cancelled*Out of Stock</v>
      </c>
      <c r="K880" s="14" t="str">
        <f>IFERROR(__xludf.DUMMYFUNCTION("split(E880,""+"")"),"Cold Coffee")</f>
        <v>Cold Coffee</v>
      </c>
      <c r="L880" s="14" t="str">
        <f>IFERROR(__xludf.DUMMYFUNCTION("""COMPUTED_VALUE"""),"5*Not Assigned")</f>
        <v>5*Not Assigned</v>
      </c>
      <c r="M880" s="14">
        <f>IFERROR(__xludf.DUMMYFUNCTION("SPLIT(L880,""*"")"),5.0)</f>
        <v>5</v>
      </c>
      <c r="N880" s="14" t="str">
        <f>IFERROR(__xludf.DUMMYFUNCTION("""COMPUTED_VALUE"""),"Not Assigned")</f>
        <v>Not Assigned</v>
      </c>
      <c r="O880" s="14" t="str">
        <f>IFERROR(__xludf.DUMMYFUNCTION("split(J880,""*"")"),"Cancelled")</f>
        <v>Cancelled</v>
      </c>
      <c r="P880" s="14" t="str">
        <f>IFERROR(__xludf.DUMMYFUNCTION("""COMPUTED_VALUE"""),"Out of Stock")</f>
        <v>Out of Stock</v>
      </c>
      <c r="Q880" s="14" t="str">
        <f>IFERROR(__xludf.DUMMYFUNCTION("split(P880,"":"")"),"Out of Stock")</f>
        <v>Out of Stock</v>
      </c>
      <c r="R880" s="14"/>
      <c r="S880" s="14" t="str">
        <f t="shared" ref="S880:U880" si="1763">trim(B880)</f>
        <v>ord_30871</v>
      </c>
      <c r="T880" s="14" t="str">
        <f t="shared" si="1763"/>
        <v>Sanjay Nair</v>
      </c>
      <c r="U880" s="14" t="str">
        <f t="shared" si="1763"/>
        <v>Dadar</v>
      </c>
      <c r="V880" s="14" t="str">
        <f t="shared" si="4"/>
        <v>Cold Coffee</v>
      </c>
      <c r="W880" s="14">
        <f t="shared" si="5"/>
        <v>5</v>
      </c>
      <c r="X880" s="14" t="str">
        <f t="shared" si="6"/>
        <v>Not Assigned</v>
      </c>
      <c r="Y880" s="15">
        <f t="shared" si="7"/>
        <v>45245</v>
      </c>
      <c r="Z880" s="14" t="str">
        <f t="shared" si="8"/>
        <v>Online Payment</v>
      </c>
      <c r="AA880" s="14" t="str">
        <f t="shared" si="9"/>
        <v>Cancelled</v>
      </c>
      <c r="AB880" s="14" t="str">
        <f t="shared" ref="AB880:AC880" si="1764">trim(Q880)</f>
        <v>Out of Stock</v>
      </c>
      <c r="AC880" s="14" t="str">
        <f t="shared" si="1764"/>
        <v/>
      </c>
      <c r="AD880" s="8"/>
    </row>
    <row r="881">
      <c r="A881" s="14" t="str">
        <f>IFERROR(__xludf.DUMMYFUNCTION("""COMPUTED_VALUE"""),"//ord_30872//Aditi Iyer//Dadar//Potato+2*Not Assigned/12/22/2023//Online Payment//Cancelled*Out of Stock")</f>
        <v>//ord_30872//Aditi Iyer//Dadar//Potato+2*Not Assigned/12/22/2023//Online Payment//Cancelled*Out of Stock</v>
      </c>
      <c r="B881" s="14" t="str">
        <f>IFERROR(__xludf.DUMMYFUNCTION("split(A881,""//"")"),"ord_30872")</f>
        <v>ord_30872</v>
      </c>
      <c r="C881" s="14" t="str">
        <f>IFERROR(__xludf.DUMMYFUNCTION("""COMPUTED_VALUE"""),"Aditi Iyer")</f>
        <v>Aditi Iyer</v>
      </c>
      <c r="D881" s="14" t="str">
        <f>IFERROR(__xludf.DUMMYFUNCTION("""COMPUTED_VALUE"""),"Dadar")</f>
        <v>Dadar</v>
      </c>
      <c r="E881" s="14" t="str">
        <f>IFERROR(__xludf.DUMMYFUNCTION("""COMPUTED_VALUE"""),"Potato+2*Not Assigned")</f>
        <v>Potato+2*Not Assigned</v>
      </c>
      <c r="F881" s="14">
        <f>IFERROR(__xludf.DUMMYFUNCTION("""COMPUTED_VALUE"""),12.0)</f>
        <v>12</v>
      </c>
      <c r="G881" s="14">
        <f>IFERROR(__xludf.DUMMYFUNCTION("""COMPUTED_VALUE"""),22.0)</f>
        <v>22</v>
      </c>
      <c r="H881" s="14">
        <f>IFERROR(__xludf.DUMMYFUNCTION("""COMPUTED_VALUE"""),2023.0)</f>
        <v>2023</v>
      </c>
      <c r="I881" s="14" t="str">
        <f>IFERROR(__xludf.DUMMYFUNCTION("""COMPUTED_VALUE"""),"Online Payment")</f>
        <v>Online Payment</v>
      </c>
      <c r="J881" s="14" t="str">
        <f>IFERROR(__xludf.DUMMYFUNCTION("""COMPUTED_VALUE"""),"Cancelled*Out of Stock")</f>
        <v>Cancelled*Out of Stock</v>
      </c>
      <c r="K881" s="14" t="str">
        <f>IFERROR(__xludf.DUMMYFUNCTION("split(E881,""+"")"),"Potato")</f>
        <v>Potato</v>
      </c>
      <c r="L881" s="14" t="str">
        <f>IFERROR(__xludf.DUMMYFUNCTION("""COMPUTED_VALUE"""),"2*Not Assigned")</f>
        <v>2*Not Assigned</v>
      </c>
      <c r="M881" s="14">
        <f>IFERROR(__xludf.DUMMYFUNCTION("SPLIT(L881,""*"")"),2.0)</f>
        <v>2</v>
      </c>
      <c r="N881" s="14" t="str">
        <f>IFERROR(__xludf.DUMMYFUNCTION("""COMPUTED_VALUE"""),"Not Assigned")</f>
        <v>Not Assigned</v>
      </c>
      <c r="O881" s="14" t="str">
        <f>IFERROR(__xludf.DUMMYFUNCTION("split(J881,""*"")"),"Cancelled")</f>
        <v>Cancelled</v>
      </c>
      <c r="P881" s="14" t="str">
        <f>IFERROR(__xludf.DUMMYFUNCTION("""COMPUTED_VALUE"""),"Out of Stock")</f>
        <v>Out of Stock</v>
      </c>
      <c r="Q881" s="14" t="str">
        <f>IFERROR(__xludf.DUMMYFUNCTION("split(P881,"":"")"),"Out of Stock")</f>
        <v>Out of Stock</v>
      </c>
      <c r="R881" s="14"/>
      <c r="S881" s="14" t="str">
        <f t="shared" ref="S881:U881" si="1765">trim(B881)</f>
        <v>ord_30872</v>
      </c>
      <c r="T881" s="14" t="str">
        <f t="shared" si="1765"/>
        <v>Aditi Iyer</v>
      </c>
      <c r="U881" s="14" t="str">
        <f t="shared" si="1765"/>
        <v>Dadar</v>
      </c>
      <c r="V881" s="14" t="str">
        <f t="shared" si="4"/>
        <v>Potato</v>
      </c>
      <c r="W881" s="14">
        <f t="shared" si="5"/>
        <v>2</v>
      </c>
      <c r="X881" s="14" t="str">
        <f t="shared" si="6"/>
        <v>Not Assigned</v>
      </c>
      <c r="Y881" s="15">
        <f t="shared" si="7"/>
        <v>45282</v>
      </c>
      <c r="Z881" s="14" t="str">
        <f t="shared" si="8"/>
        <v>Online Payment</v>
      </c>
      <c r="AA881" s="14" t="str">
        <f t="shared" si="9"/>
        <v>Cancelled</v>
      </c>
      <c r="AB881" s="14" t="str">
        <f t="shared" ref="AB881:AC881" si="1766">trim(Q881)</f>
        <v>Out of Stock</v>
      </c>
      <c r="AC881" s="14" t="str">
        <f t="shared" si="1766"/>
        <v/>
      </c>
      <c r="AD881" s="8"/>
    </row>
    <row r="882">
      <c r="A882" s="14" t="str">
        <f>IFERROR(__xludf.DUMMYFUNCTION("""COMPUTED_VALUE"""),"//ord_30873//Pranav Joshi//Andheri//Onion+1*Not Assigned/10/24/2023//Credit Card//Cancelled*App Glitches: Inconsistent Data Display")</f>
        <v>//ord_30873//Pranav Joshi//Andheri//Onion+1*Not Assigned/10/24/2023//Credit Card//Cancelled*App Glitches: Inconsistent Data Display</v>
      </c>
      <c r="B882" s="14" t="str">
        <f>IFERROR(__xludf.DUMMYFUNCTION("split(A882,""//"")"),"ord_30873")</f>
        <v>ord_30873</v>
      </c>
      <c r="C882" s="14" t="str">
        <f>IFERROR(__xludf.DUMMYFUNCTION("""COMPUTED_VALUE"""),"Pranav Joshi")</f>
        <v>Pranav Joshi</v>
      </c>
      <c r="D882" s="14" t="str">
        <f>IFERROR(__xludf.DUMMYFUNCTION("""COMPUTED_VALUE"""),"Andheri")</f>
        <v>Andheri</v>
      </c>
      <c r="E882" s="14" t="str">
        <f>IFERROR(__xludf.DUMMYFUNCTION("""COMPUTED_VALUE"""),"Onion+1*Not Assigned")</f>
        <v>Onion+1*Not Assigned</v>
      </c>
      <c r="F882" s="14">
        <f>IFERROR(__xludf.DUMMYFUNCTION("""COMPUTED_VALUE"""),10.0)</f>
        <v>10</v>
      </c>
      <c r="G882" s="14">
        <f>IFERROR(__xludf.DUMMYFUNCTION("""COMPUTED_VALUE"""),24.0)</f>
        <v>24</v>
      </c>
      <c r="H882" s="14">
        <f>IFERROR(__xludf.DUMMYFUNCTION("""COMPUTED_VALUE"""),2023.0)</f>
        <v>2023</v>
      </c>
      <c r="I882" s="14" t="str">
        <f>IFERROR(__xludf.DUMMYFUNCTION("""COMPUTED_VALUE"""),"Credit Card")</f>
        <v>Credit Card</v>
      </c>
      <c r="J882" s="14" t="str">
        <f>IFERROR(__xludf.DUMMYFUNCTION("""COMPUTED_VALUE"""),"Cancelled*App Glitches: Inconsistent Data Display")</f>
        <v>Cancelled*App Glitches: Inconsistent Data Display</v>
      </c>
      <c r="K882" s="14" t="str">
        <f>IFERROR(__xludf.DUMMYFUNCTION("split(E882,""+"")"),"Onion")</f>
        <v>Onion</v>
      </c>
      <c r="L882" s="14" t="str">
        <f>IFERROR(__xludf.DUMMYFUNCTION("""COMPUTED_VALUE"""),"1*Not Assigned")</f>
        <v>1*Not Assigned</v>
      </c>
      <c r="M882" s="14">
        <f>IFERROR(__xludf.DUMMYFUNCTION("SPLIT(L882,""*"")"),1.0)</f>
        <v>1</v>
      </c>
      <c r="N882" s="14" t="str">
        <f>IFERROR(__xludf.DUMMYFUNCTION("""COMPUTED_VALUE"""),"Not Assigned")</f>
        <v>Not Assigned</v>
      </c>
      <c r="O882" s="14" t="str">
        <f>IFERROR(__xludf.DUMMYFUNCTION("split(J882,""*"")"),"Cancelled")</f>
        <v>Cancelled</v>
      </c>
      <c r="P882" s="14" t="str">
        <f>IFERROR(__xludf.DUMMYFUNCTION("""COMPUTED_VALUE"""),"App Glitches: Inconsistent Data Display")</f>
        <v>App Glitches: Inconsistent Data Display</v>
      </c>
      <c r="Q882" s="14" t="str">
        <f>IFERROR(__xludf.DUMMYFUNCTION("split(P882,"":"")"),"App Glitches")</f>
        <v>App Glitches</v>
      </c>
      <c r="R882" s="14" t="str">
        <f>IFERROR(__xludf.DUMMYFUNCTION("""COMPUTED_VALUE""")," Inconsistent Data Display")</f>
        <v> Inconsistent Data Display</v>
      </c>
      <c r="S882" s="14" t="str">
        <f t="shared" ref="S882:U882" si="1767">trim(B882)</f>
        <v>ord_30873</v>
      </c>
      <c r="T882" s="14" t="str">
        <f t="shared" si="1767"/>
        <v>Pranav Joshi</v>
      </c>
      <c r="U882" s="14" t="str">
        <f t="shared" si="1767"/>
        <v>Andheri</v>
      </c>
      <c r="V882" s="14" t="str">
        <f t="shared" si="4"/>
        <v>Onion</v>
      </c>
      <c r="W882" s="14">
        <f t="shared" si="5"/>
        <v>1</v>
      </c>
      <c r="X882" s="14" t="str">
        <f t="shared" si="6"/>
        <v>Not Assigned</v>
      </c>
      <c r="Y882" s="15">
        <f t="shared" si="7"/>
        <v>45223</v>
      </c>
      <c r="Z882" s="14" t="str">
        <f t="shared" si="8"/>
        <v>Credit Card</v>
      </c>
      <c r="AA882" s="14" t="str">
        <f t="shared" si="9"/>
        <v>Cancelled</v>
      </c>
      <c r="AB882" s="14" t="str">
        <f t="shared" ref="AB882:AC882" si="1768">trim(Q882)</f>
        <v>App Glitches</v>
      </c>
      <c r="AC882" s="14" t="str">
        <f t="shared" si="1768"/>
        <v>Inconsistent Data Display</v>
      </c>
      <c r="AD882" s="8"/>
    </row>
    <row r="883">
      <c r="A883" s="14" t="str">
        <f>IFERROR(__xludf.DUMMYFUNCTION("""COMPUTED_VALUE"""),"//ord_30874//Ishita Banerjee//Juhu//Chilli Cheese Toast+5*Not Assigned/1/27/2023//Online Payment//Cancelled*App Glitches: Payment Button Malfunction")</f>
        <v>//ord_30874//Ishita Banerjee//Juhu//Chilli Cheese Toast+5*Not Assigned/1/27/2023//Online Payment//Cancelled*App Glitches: Payment Button Malfunction</v>
      </c>
      <c r="B883" s="14" t="str">
        <f>IFERROR(__xludf.DUMMYFUNCTION("split(A883,""//"")"),"ord_30874")</f>
        <v>ord_30874</v>
      </c>
      <c r="C883" s="14" t="str">
        <f>IFERROR(__xludf.DUMMYFUNCTION("""COMPUTED_VALUE"""),"Ishita Banerjee")</f>
        <v>Ishita Banerjee</v>
      </c>
      <c r="D883" s="14" t="str">
        <f>IFERROR(__xludf.DUMMYFUNCTION("""COMPUTED_VALUE"""),"Juhu")</f>
        <v>Juhu</v>
      </c>
      <c r="E883" s="14" t="str">
        <f>IFERROR(__xludf.DUMMYFUNCTION("""COMPUTED_VALUE"""),"Chilli Cheese Toast+5*Not Assigned")</f>
        <v>Chilli Cheese Toast+5*Not Assigned</v>
      </c>
      <c r="F883" s="14">
        <f>IFERROR(__xludf.DUMMYFUNCTION("""COMPUTED_VALUE"""),1.0)</f>
        <v>1</v>
      </c>
      <c r="G883" s="14">
        <f>IFERROR(__xludf.DUMMYFUNCTION("""COMPUTED_VALUE"""),27.0)</f>
        <v>27</v>
      </c>
      <c r="H883" s="14">
        <f>IFERROR(__xludf.DUMMYFUNCTION("""COMPUTED_VALUE"""),2023.0)</f>
        <v>2023</v>
      </c>
      <c r="I883" s="14" t="str">
        <f>IFERROR(__xludf.DUMMYFUNCTION("""COMPUTED_VALUE"""),"Online Payment")</f>
        <v>Online Payment</v>
      </c>
      <c r="J883" s="14" t="str">
        <f>IFERROR(__xludf.DUMMYFUNCTION("""COMPUTED_VALUE"""),"Cancelled*App Glitches: Payment Button Malfunction")</f>
        <v>Cancelled*App Glitches: Payment Button Malfunction</v>
      </c>
      <c r="K883" s="14" t="str">
        <f>IFERROR(__xludf.DUMMYFUNCTION("split(E883,""+"")"),"Chilli Cheese Toast")</f>
        <v>Chilli Cheese Toast</v>
      </c>
      <c r="L883" s="14" t="str">
        <f>IFERROR(__xludf.DUMMYFUNCTION("""COMPUTED_VALUE"""),"5*Not Assigned")</f>
        <v>5*Not Assigned</v>
      </c>
      <c r="M883" s="14">
        <f>IFERROR(__xludf.DUMMYFUNCTION("SPLIT(L883,""*"")"),5.0)</f>
        <v>5</v>
      </c>
      <c r="N883" s="14" t="str">
        <f>IFERROR(__xludf.DUMMYFUNCTION("""COMPUTED_VALUE"""),"Not Assigned")</f>
        <v>Not Assigned</v>
      </c>
      <c r="O883" s="14" t="str">
        <f>IFERROR(__xludf.DUMMYFUNCTION("split(J883,""*"")"),"Cancelled")</f>
        <v>Cancelled</v>
      </c>
      <c r="P883" s="14" t="str">
        <f>IFERROR(__xludf.DUMMYFUNCTION("""COMPUTED_VALUE"""),"App Glitches: Payment Button Malfunction")</f>
        <v>App Glitches: Payment Button Malfunction</v>
      </c>
      <c r="Q883" s="14" t="str">
        <f>IFERROR(__xludf.DUMMYFUNCTION("split(P883,"":"")"),"App Glitches")</f>
        <v>App Glitches</v>
      </c>
      <c r="R883" s="14" t="str">
        <f>IFERROR(__xludf.DUMMYFUNCTION("""COMPUTED_VALUE""")," Payment Button Malfunction")</f>
        <v> Payment Button Malfunction</v>
      </c>
      <c r="S883" s="14" t="str">
        <f t="shared" ref="S883:U883" si="1769">trim(B883)</f>
        <v>ord_30874</v>
      </c>
      <c r="T883" s="14" t="str">
        <f t="shared" si="1769"/>
        <v>Ishita Banerjee</v>
      </c>
      <c r="U883" s="14" t="str">
        <f t="shared" si="1769"/>
        <v>Juhu</v>
      </c>
      <c r="V883" s="14" t="str">
        <f t="shared" si="4"/>
        <v>Chilli Cheese Toast</v>
      </c>
      <c r="W883" s="14">
        <f t="shared" si="5"/>
        <v>5</v>
      </c>
      <c r="X883" s="14" t="str">
        <f t="shared" si="6"/>
        <v>Not Assigned</v>
      </c>
      <c r="Y883" s="15">
        <f t="shared" si="7"/>
        <v>44953</v>
      </c>
      <c r="Z883" s="14" t="str">
        <f t="shared" si="8"/>
        <v>Online Payment</v>
      </c>
      <c r="AA883" s="14" t="str">
        <f t="shared" si="9"/>
        <v>Cancelled</v>
      </c>
      <c r="AB883" s="14" t="str">
        <f t="shared" ref="AB883:AC883" si="1770">trim(Q883)</f>
        <v>App Glitches</v>
      </c>
      <c r="AC883" s="14" t="str">
        <f t="shared" si="1770"/>
        <v>Payment Button Malfunction</v>
      </c>
      <c r="AD883" s="8"/>
    </row>
    <row r="884">
      <c r="A884" s="14" t="str">
        <f>IFERROR(__xludf.DUMMYFUNCTION("""COMPUTED_VALUE"""),"//ord_30875//Mohit Malhotra//Lower Parel//Tiramisu+4*Ramesh S/12/22/2023//Online Payment//Delivered*Delivery Experience: Quick and professional")</f>
        <v>//ord_30875//Mohit Malhotra//Lower Parel//Tiramisu+4*Ramesh S/12/22/2023//Online Payment//Delivered*Delivery Experience: Quick and professional</v>
      </c>
      <c r="B884" s="14" t="str">
        <f>IFERROR(__xludf.DUMMYFUNCTION("split(A884,""//"")"),"ord_30875")</f>
        <v>ord_30875</v>
      </c>
      <c r="C884" s="14" t="str">
        <f>IFERROR(__xludf.DUMMYFUNCTION("""COMPUTED_VALUE"""),"Mohit Malhotra")</f>
        <v>Mohit Malhotra</v>
      </c>
      <c r="D884" s="14" t="str">
        <f>IFERROR(__xludf.DUMMYFUNCTION("""COMPUTED_VALUE"""),"Lower Parel")</f>
        <v>Lower Parel</v>
      </c>
      <c r="E884" s="14" t="str">
        <f>IFERROR(__xludf.DUMMYFUNCTION("""COMPUTED_VALUE"""),"Tiramisu+4*Ramesh S")</f>
        <v>Tiramisu+4*Ramesh S</v>
      </c>
      <c r="F884" s="14">
        <f>IFERROR(__xludf.DUMMYFUNCTION("""COMPUTED_VALUE"""),12.0)</f>
        <v>12</v>
      </c>
      <c r="G884" s="14">
        <f>IFERROR(__xludf.DUMMYFUNCTION("""COMPUTED_VALUE"""),22.0)</f>
        <v>22</v>
      </c>
      <c r="H884" s="14">
        <f>IFERROR(__xludf.DUMMYFUNCTION("""COMPUTED_VALUE"""),2023.0)</f>
        <v>2023</v>
      </c>
      <c r="I884" s="14" t="str">
        <f>IFERROR(__xludf.DUMMYFUNCTION("""COMPUTED_VALUE"""),"Online Payment")</f>
        <v>Online Payment</v>
      </c>
      <c r="J884" s="14" t="str">
        <f>IFERROR(__xludf.DUMMYFUNCTION("""COMPUTED_VALUE"""),"Delivered*Delivery Experience: Quick and professional")</f>
        <v>Delivered*Delivery Experience: Quick and professional</v>
      </c>
      <c r="K884" s="14" t="str">
        <f>IFERROR(__xludf.DUMMYFUNCTION("split(E884,""+"")"),"Tiramisu")</f>
        <v>Tiramisu</v>
      </c>
      <c r="L884" s="14" t="str">
        <f>IFERROR(__xludf.DUMMYFUNCTION("""COMPUTED_VALUE"""),"4*Ramesh S")</f>
        <v>4*Ramesh S</v>
      </c>
      <c r="M884" s="14">
        <f>IFERROR(__xludf.DUMMYFUNCTION("SPLIT(L884,""*"")"),4.0)</f>
        <v>4</v>
      </c>
      <c r="N884" s="14" t="str">
        <f>IFERROR(__xludf.DUMMYFUNCTION("""COMPUTED_VALUE"""),"Ramesh S")</f>
        <v>Ramesh S</v>
      </c>
      <c r="O884" s="14" t="str">
        <f>IFERROR(__xludf.DUMMYFUNCTION("split(J884,""*"")"),"Delivered")</f>
        <v>Delivered</v>
      </c>
      <c r="P884" s="14" t="str">
        <f>IFERROR(__xludf.DUMMYFUNCTION("""COMPUTED_VALUE"""),"Delivery Experience: Quick and professional")</f>
        <v>Delivery Experience: Quick and professional</v>
      </c>
      <c r="Q884" s="14" t="str">
        <f>IFERROR(__xludf.DUMMYFUNCTION("split(P884,"":"")"),"Delivery Experience")</f>
        <v>Delivery Experience</v>
      </c>
      <c r="R884" s="14" t="str">
        <f>IFERROR(__xludf.DUMMYFUNCTION("""COMPUTED_VALUE""")," Quick and professional")</f>
        <v> Quick and professional</v>
      </c>
      <c r="S884" s="14" t="str">
        <f t="shared" ref="S884:U884" si="1771">trim(B884)</f>
        <v>ord_30875</v>
      </c>
      <c r="T884" s="14" t="str">
        <f t="shared" si="1771"/>
        <v>Mohit Malhotra</v>
      </c>
      <c r="U884" s="14" t="str">
        <f t="shared" si="1771"/>
        <v>Lower Parel</v>
      </c>
      <c r="V884" s="14" t="str">
        <f t="shared" si="4"/>
        <v>Tiramisu</v>
      </c>
      <c r="W884" s="14">
        <f t="shared" si="5"/>
        <v>4</v>
      </c>
      <c r="X884" s="14" t="str">
        <f t="shared" si="6"/>
        <v>Ramesh S</v>
      </c>
      <c r="Y884" s="15">
        <f t="shared" si="7"/>
        <v>45282</v>
      </c>
      <c r="Z884" s="14" t="str">
        <f t="shared" si="8"/>
        <v>Online Payment</v>
      </c>
      <c r="AA884" s="14" t="str">
        <f t="shared" si="9"/>
        <v>Delivered</v>
      </c>
      <c r="AB884" s="14" t="str">
        <f t="shared" ref="AB884:AC884" si="1772">trim(Q884)</f>
        <v>Delivery Experience</v>
      </c>
      <c r="AC884" s="14" t="str">
        <f t="shared" si="1772"/>
        <v>Quick and professional</v>
      </c>
      <c r="AD884" s="8"/>
    </row>
    <row r="885">
      <c r="A885" s="14" t="str">
        <f>IFERROR(__xludf.DUMMYFUNCTION("""COMPUTED_VALUE"""),"//ord_30876//Anaya Rao//Colaba//Cucumber+1*Ram Gopal/10/6/2023//Online Payment//Delivered*Convenience: Easy tracking")</f>
        <v>//ord_30876//Anaya Rao//Colaba//Cucumber+1*Ram Gopal/10/6/2023//Online Payment//Delivered*Convenience: Easy tracking</v>
      </c>
      <c r="B885" s="14" t="str">
        <f>IFERROR(__xludf.DUMMYFUNCTION("split(A885,""//"")"),"ord_30876")</f>
        <v>ord_30876</v>
      </c>
      <c r="C885" s="14" t="str">
        <f>IFERROR(__xludf.DUMMYFUNCTION("""COMPUTED_VALUE"""),"Anaya Rao")</f>
        <v>Anaya Rao</v>
      </c>
      <c r="D885" s="14" t="str">
        <f>IFERROR(__xludf.DUMMYFUNCTION("""COMPUTED_VALUE"""),"Colaba")</f>
        <v>Colaba</v>
      </c>
      <c r="E885" s="14" t="str">
        <f>IFERROR(__xludf.DUMMYFUNCTION("""COMPUTED_VALUE"""),"Cucumber+1*Ram Gopal")</f>
        <v>Cucumber+1*Ram Gopal</v>
      </c>
      <c r="F885" s="14">
        <f>IFERROR(__xludf.DUMMYFUNCTION("""COMPUTED_VALUE"""),10.0)</f>
        <v>10</v>
      </c>
      <c r="G885" s="14">
        <f>IFERROR(__xludf.DUMMYFUNCTION("""COMPUTED_VALUE"""),6.0)</f>
        <v>6</v>
      </c>
      <c r="H885" s="14">
        <f>IFERROR(__xludf.DUMMYFUNCTION("""COMPUTED_VALUE"""),2023.0)</f>
        <v>2023</v>
      </c>
      <c r="I885" s="14" t="str">
        <f>IFERROR(__xludf.DUMMYFUNCTION("""COMPUTED_VALUE"""),"Online Payment")</f>
        <v>Online Payment</v>
      </c>
      <c r="J885" s="14" t="str">
        <f>IFERROR(__xludf.DUMMYFUNCTION("""COMPUTED_VALUE"""),"Delivered*Convenience: Easy tracking")</f>
        <v>Delivered*Convenience: Easy tracking</v>
      </c>
      <c r="K885" s="14" t="str">
        <f>IFERROR(__xludf.DUMMYFUNCTION("split(E885,""+"")"),"Cucumber")</f>
        <v>Cucumber</v>
      </c>
      <c r="L885" s="14" t="str">
        <f>IFERROR(__xludf.DUMMYFUNCTION("""COMPUTED_VALUE"""),"1*Ram Gopal")</f>
        <v>1*Ram Gopal</v>
      </c>
      <c r="M885" s="14">
        <f>IFERROR(__xludf.DUMMYFUNCTION("SPLIT(L885,""*"")"),1.0)</f>
        <v>1</v>
      </c>
      <c r="N885" s="14" t="str">
        <f>IFERROR(__xludf.DUMMYFUNCTION("""COMPUTED_VALUE"""),"Ram Gopal")</f>
        <v>Ram Gopal</v>
      </c>
      <c r="O885" s="14" t="str">
        <f>IFERROR(__xludf.DUMMYFUNCTION("split(J885,""*"")"),"Delivered")</f>
        <v>Delivered</v>
      </c>
      <c r="P885" s="14" t="str">
        <f>IFERROR(__xludf.DUMMYFUNCTION("""COMPUTED_VALUE"""),"Convenience: Easy tracking")</f>
        <v>Convenience: Easy tracking</v>
      </c>
      <c r="Q885" s="14" t="str">
        <f>IFERROR(__xludf.DUMMYFUNCTION("split(P885,"":"")"),"Convenience")</f>
        <v>Convenience</v>
      </c>
      <c r="R885" s="14" t="str">
        <f>IFERROR(__xludf.DUMMYFUNCTION("""COMPUTED_VALUE""")," Easy tracking")</f>
        <v> Easy tracking</v>
      </c>
      <c r="S885" s="14" t="str">
        <f t="shared" ref="S885:U885" si="1773">trim(B885)</f>
        <v>ord_30876</v>
      </c>
      <c r="T885" s="14" t="str">
        <f t="shared" si="1773"/>
        <v>Anaya Rao</v>
      </c>
      <c r="U885" s="14" t="str">
        <f t="shared" si="1773"/>
        <v>Colaba</v>
      </c>
      <c r="V885" s="14" t="str">
        <f t="shared" si="4"/>
        <v>Cucumber</v>
      </c>
      <c r="W885" s="14">
        <f t="shared" si="5"/>
        <v>1</v>
      </c>
      <c r="X885" s="14" t="str">
        <f t="shared" si="6"/>
        <v>Ram Gopal</v>
      </c>
      <c r="Y885" s="15">
        <f t="shared" si="7"/>
        <v>45205</v>
      </c>
      <c r="Z885" s="14" t="str">
        <f t="shared" si="8"/>
        <v>Online Payment</v>
      </c>
      <c r="AA885" s="14" t="str">
        <f t="shared" si="9"/>
        <v>Delivered</v>
      </c>
      <c r="AB885" s="14" t="str">
        <f t="shared" ref="AB885:AC885" si="1774">trim(Q885)</f>
        <v>Convenience</v>
      </c>
      <c r="AC885" s="14" t="str">
        <f t="shared" si="1774"/>
        <v>Easy tracking</v>
      </c>
      <c r="AD885" s="8"/>
    </row>
    <row r="886">
      <c r="A886" s="14" t="str">
        <f>IFERROR(__xludf.DUMMYFUNCTION("""COMPUTED_VALUE"""),"//ord_30877//Ishaan Chaturvedi//Bandra//Sweet Corn+2*Nithin Lal/8/10/2023//Credit Card//Delivered*Overall Satisfaction: Great service will order again")</f>
        <v>//ord_30877//Ishaan Chaturvedi//Bandra//Sweet Corn+2*Nithin Lal/8/10/2023//Credit Card//Delivered*Overall Satisfaction: Great service will order again</v>
      </c>
      <c r="B886" s="14" t="str">
        <f>IFERROR(__xludf.DUMMYFUNCTION("split(A886,""//"")"),"ord_30877")</f>
        <v>ord_30877</v>
      </c>
      <c r="C886" s="14" t="str">
        <f>IFERROR(__xludf.DUMMYFUNCTION("""COMPUTED_VALUE"""),"Ishaan Chaturvedi")</f>
        <v>Ishaan Chaturvedi</v>
      </c>
      <c r="D886" s="14" t="str">
        <f>IFERROR(__xludf.DUMMYFUNCTION("""COMPUTED_VALUE"""),"Bandra")</f>
        <v>Bandra</v>
      </c>
      <c r="E886" s="14" t="str">
        <f>IFERROR(__xludf.DUMMYFUNCTION("""COMPUTED_VALUE"""),"Sweet Corn+2*Nithin Lal")</f>
        <v>Sweet Corn+2*Nithin Lal</v>
      </c>
      <c r="F886" s="14">
        <f>IFERROR(__xludf.DUMMYFUNCTION("""COMPUTED_VALUE"""),8.0)</f>
        <v>8</v>
      </c>
      <c r="G886" s="14">
        <f>IFERROR(__xludf.DUMMYFUNCTION("""COMPUTED_VALUE"""),10.0)</f>
        <v>10</v>
      </c>
      <c r="H886" s="14">
        <f>IFERROR(__xludf.DUMMYFUNCTION("""COMPUTED_VALUE"""),2023.0)</f>
        <v>2023</v>
      </c>
      <c r="I886" s="14" t="str">
        <f>IFERROR(__xludf.DUMMYFUNCTION("""COMPUTED_VALUE"""),"Credit Card")</f>
        <v>Credit Card</v>
      </c>
      <c r="J886" s="14" t="str">
        <f>IFERROR(__xludf.DUMMYFUNCTION("""COMPUTED_VALUE"""),"Delivered*Overall Satisfaction: Great service will order again")</f>
        <v>Delivered*Overall Satisfaction: Great service will order again</v>
      </c>
      <c r="K886" s="14" t="str">
        <f>IFERROR(__xludf.DUMMYFUNCTION("split(E886,""+"")"),"Sweet Corn")</f>
        <v>Sweet Corn</v>
      </c>
      <c r="L886" s="14" t="str">
        <f>IFERROR(__xludf.DUMMYFUNCTION("""COMPUTED_VALUE"""),"2*Nithin Lal")</f>
        <v>2*Nithin Lal</v>
      </c>
      <c r="M886" s="14">
        <f>IFERROR(__xludf.DUMMYFUNCTION("SPLIT(L886,""*"")"),2.0)</f>
        <v>2</v>
      </c>
      <c r="N886" s="14" t="str">
        <f>IFERROR(__xludf.DUMMYFUNCTION("""COMPUTED_VALUE"""),"Nithin Lal")</f>
        <v>Nithin Lal</v>
      </c>
      <c r="O886" s="14" t="str">
        <f>IFERROR(__xludf.DUMMYFUNCTION("split(J886,""*"")"),"Delivered")</f>
        <v>Delivered</v>
      </c>
      <c r="P886" s="14" t="str">
        <f>IFERROR(__xludf.DUMMYFUNCTION("""COMPUTED_VALUE"""),"Overall Satisfaction: Great service will order again")</f>
        <v>Overall Satisfaction: Great service will order again</v>
      </c>
      <c r="Q886" s="14" t="str">
        <f>IFERROR(__xludf.DUMMYFUNCTION("split(P886,"":"")"),"Overall Satisfaction")</f>
        <v>Overall Satisfaction</v>
      </c>
      <c r="R886" s="14" t="str">
        <f>IFERROR(__xludf.DUMMYFUNCTION("""COMPUTED_VALUE""")," Great service will order again")</f>
        <v> Great service will order again</v>
      </c>
      <c r="S886" s="14" t="str">
        <f t="shared" ref="S886:U886" si="1775">trim(B886)</f>
        <v>ord_30877</v>
      </c>
      <c r="T886" s="14" t="str">
        <f t="shared" si="1775"/>
        <v>Ishaan Chaturvedi</v>
      </c>
      <c r="U886" s="14" t="str">
        <f t="shared" si="1775"/>
        <v>Bandra</v>
      </c>
      <c r="V886" s="14" t="str">
        <f t="shared" si="4"/>
        <v>Sweet Corn</v>
      </c>
      <c r="W886" s="14">
        <f t="shared" si="5"/>
        <v>2</v>
      </c>
      <c r="X886" s="14" t="str">
        <f t="shared" si="6"/>
        <v>Nithin Lal</v>
      </c>
      <c r="Y886" s="15">
        <f t="shared" si="7"/>
        <v>45148</v>
      </c>
      <c r="Z886" s="14" t="str">
        <f t="shared" si="8"/>
        <v>Credit Card</v>
      </c>
      <c r="AA886" s="14" t="str">
        <f t="shared" si="9"/>
        <v>Delivered</v>
      </c>
      <c r="AB886" s="14" t="str">
        <f t="shared" ref="AB886:AC886" si="1776">trim(Q886)</f>
        <v>Overall Satisfaction</v>
      </c>
      <c r="AC886" s="14" t="str">
        <f t="shared" si="1776"/>
        <v>Great service will order again</v>
      </c>
      <c r="AD886" s="8"/>
    </row>
    <row r="887">
      <c r="A887" s="14" t="str">
        <f>IFERROR(__xludf.DUMMYFUNCTION("""COMPUTED_VALUE"""),"//ord_30878//Pranav Joshi//Andheri//Cold Coffee+5*Vivek Kumar/6/21/2023//COD//Delivered*On-time Delivery: Delivered on time")</f>
        <v>//ord_30878//Pranav Joshi//Andheri//Cold Coffee+5*Vivek Kumar/6/21/2023//COD//Delivered*On-time Delivery: Delivered on time</v>
      </c>
      <c r="B887" s="14" t="str">
        <f>IFERROR(__xludf.DUMMYFUNCTION("split(A887,""//"")"),"ord_30878")</f>
        <v>ord_30878</v>
      </c>
      <c r="C887" s="14" t="str">
        <f>IFERROR(__xludf.DUMMYFUNCTION("""COMPUTED_VALUE"""),"Pranav Joshi")</f>
        <v>Pranav Joshi</v>
      </c>
      <c r="D887" s="14" t="str">
        <f>IFERROR(__xludf.DUMMYFUNCTION("""COMPUTED_VALUE"""),"Andheri")</f>
        <v>Andheri</v>
      </c>
      <c r="E887" s="14" t="str">
        <f>IFERROR(__xludf.DUMMYFUNCTION("""COMPUTED_VALUE"""),"Cold Coffee+5*Vivek Kumar")</f>
        <v>Cold Coffee+5*Vivek Kumar</v>
      </c>
      <c r="F887" s="14">
        <f>IFERROR(__xludf.DUMMYFUNCTION("""COMPUTED_VALUE"""),6.0)</f>
        <v>6</v>
      </c>
      <c r="G887" s="14">
        <f>IFERROR(__xludf.DUMMYFUNCTION("""COMPUTED_VALUE"""),21.0)</f>
        <v>21</v>
      </c>
      <c r="H887" s="14">
        <f>IFERROR(__xludf.DUMMYFUNCTION("""COMPUTED_VALUE"""),2023.0)</f>
        <v>2023</v>
      </c>
      <c r="I887" s="14" t="str">
        <f>IFERROR(__xludf.DUMMYFUNCTION("""COMPUTED_VALUE"""),"COD")</f>
        <v>COD</v>
      </c>
      <c r="J887" s="14" t="str">
        <f>IFERROR(__xludf.DUMMYFUNCTION("""COMPUTED_VALUE"""),"Delivered*On-time Delivery: Delivered on time")</f>
        <v>Delivered*On-time Delivery: Delivered on time</v>
      </c>
      <c r="K887" s="14" t="str">
        <f>IFERROR(__xludf.DUMMYFUNCTION("split(E887,""+"")"),"Cold Coffee")</f>
        <v>Cold Coffee</v>
      </c>
      <c r="L887" s="14" t="str">
        <f>IFERROR(__xludf.DUMMYFUNCTION("""COMPUTED_VALUE"""),"5*Vivek Kumar")</f>
        <v>5*Vivek Kumar</v>
      </c>
      <c r="M887" s="14">
        <f>IFERROR(__xludf.DUMMYFUNCTION("SPLIT(L887,""*"")"),5.0)</f>
        <v>5</v>
      </c>
      <c r="N887" s="14" t="str">
        <f>IFERROR(__xludf.DUMMYFUNCTION("""COMPUTED_VALUE"""),"Vivek Kumar")</f>
        <v>Vivek Kumar</v>
      </c>
      <c r="O887" s="14" t="str">
        <f>IFERROR(__xludf.DUMMYFUNCTION("split(J887,""*"")"),"Delivered")</f>
        <v>Delivered</v>
      </c>
      <c r="P887" s="14" t="str">
        <f>IFERROR(__xludf.DUMMYFUNCTION("""COMPUTED_VALUE"""),"On-time Delivery: Delivered on time")</f>
        <v>On-time Delivery: Delivered on time</v>
      </c>
      <c r="Q887" s="14" t="str">
        <f>IFERROR(__xludf.DUMMYFUNCTION("split(P887,"":"")"),"On-time Delivery")</f>
        <v>On-time Delivery</v>
      </c>
      <c r="R887" s="14" t="str">
        <f>IFERROR(__xludf.DUMMYFUNCTION("""COMPUTED_VALUE""")," Delivered on time")</f>
        <v> Delivered on time</v>
      </c>
      <c r="S887" s="14" t="str">
        <f t="shared" ref="S887:U887" si="1777">trim(B887)</f>
        <v>ord_30878</v>
      </c>
      <c r="T887" s="14" t="str">
        <f t="shared" si="1777"/>
        <v>Pranav Joshi</v>
      </c>
      <c r="U887" s="14" t="str">
        <f t="shared" si="1777"/>
        <v>Andheri</v>
      </c>
      <c r="V887" s="14" t="str">
        <f t="shared" si="4"/>
        <v>Cold Coffee</v>
      </c>
      <c r="W887" s="14">
        <f t="shared" si="5"/>
        <v>5</v>
      </c>
      <c r="X887" s="14" t="str">
        <f t="shared" si="6"/>
        <v>Vivek Kumar</v>
      </c>
      <c r="Y887" s="15">
        <f t="shared" si="7"/>
        <v>45098</v>
      </c>
      <c r="Z887" s="14" t="str">
        <f t="shared" si="8"/>
        <v>COD</v>
      </c>
      <c r="AA887" s="14" t="str">
        <f t="shared" si="9"/>
        <v>Delivered</v>
      </c>
      <c r="AB887" s="14" t="str">
        <f t="shared" ref="AB887:AC887" si="1778">trim(Q887)</f>
        <v>On-time Delivery</v>
      </c>
      <c r="AC887" s="14" t="str">
        <f t="shared" si="1778"/>
        <v>Delivered on time</v>
      </c>
      <c r="AD887" s="8"/>
    </row>
    <row r="888">
      <c r="A888" s="14" t="str">
        <f>IFERROR(__xludf.DUMMYFUNCTION("""COMPUTED_VALUE"""),"//ord_30879//Pranav Joshi//Andheri//Cold Coffee+1*Sita T/4/19/2023//Online Payment//Delivered*Quality of Items: Perfect condition")</f>
        <v>//ord_30879//Pranav Joshi//Andheri//Cold Coffee+1*Sita T/4/19/2023//Online Payment//Delivered*Quality of Items: Perfect condition</v>
      </c>
      <c r="B888" s="14" t="str">
        <f>IFERROR(__xludf.DUMMYFUNCTION("split(A888,""//"")"),"ord_30879")</f>
        <v>ord_30879</v>
      </c>
      <c r="C888" s="14" t="str">
        <f>IFERROR(__xludf.DUMMYFUNCTION("""COMPUTED_VALUE"""),"Pranav Joshi")</f>
        <v>Pranav Joshi</v>
      </c>
      <c r="D888" s="14" t="str">
        <f>IFERROR(__xludf.DUMMYFUNCTION("""COMPUTED_VALUE"""),"Andheri")</f>
        <v>Andheri</v>
      </c>
      <c r="E888" s="14" t="str">
        <f>IFERROR(__xludf.DUMMYFUNCTION("""COMPUTED_VALUE"""),"Cold Coffee+1*Sita T")</f>
        <v>Cold Coffee+1*Sita T</v>
      </c>
      <c r="F888" s="14">
        <f>IFERROR(__xludf.DUMMYFUNCTION("""COMPUTED_VALUE"""),4.0)</f>
        <v>4</v>
      </c>
      <c r="G888" s="14">
        <f>IFERROR(__xludf.DUMMYFUNCTION("""COMPUTED_VALUE"""),19.0)</f>
        <v>19</v>
      </c>
      <c r="H888" s="14">
        <f>IFERROR(__xludf.DUMMYFUNCTION("""COMPUTED_VALUE"""),2023.0)</f>
        <v>2023</v>
      </c>
      <c r="I888" s="14" t="str">
        <f>IFERROR(__xludf.DUMMYFUNCTION("""COMPUTED_VALUE"""),"Online Payment")</f>
        <v>Online Payment</v>
      </c>
      <c r="J888" s="14" t="str">
        <f>IFERROR(__xludf.DUMMYFUNCTION("""COMPUTED_VALUE"""),"Delivered*Quality of Items: Perfect condition")</f>
        <v>Delivered*Quality of Items: Perfect condition</v>
      </c>
      <c r="K888" s="14" t="str">
        <f>IFERROR(__xludf.DUMMYFUNCTION("split(E888,""+"")"),"Cold Coffee")</f>
        <v>Cold Coffee</v>
      </c>
      <c r="L888" s="14" t="str">
        <f>IFERROR(__xludf.DUMMYFUNCTION("""COMPUTED_VALUE"""),"1*Sita T")</f>
        <v>1*Sita T</v>
      </c>
      <c r="M888" s="14">
        <f>IFERROR(__xludf.DUMMYFUNCTION("SPLIT(L888,""*"")"),1.0)</f>
        <v>1</v>
      </c>
      <c r="N888" s="14" t="str">
        <f>IFERROR(__xludf.DUMMYFUNCTION("""COMPUTED_VALUE"""),"Sita T")</f>
        <v>Sita T</v>
      </c>
      <c r="O888" s="14" t="str">
        <f>IFERROR(__xludf.DUMMYFUNCTION("split(J888,""*"")"),"Delivered")</f>
        <v>Delivered</v>
      </c>
      <c r="P888" s="14" t="str">
        <f>IFERROR(__xludf.DUMMYFUNCTION("""COMPUTED_VALUE"""),"Quality of Items: Perfect condition")</f>
        <v>Quality of Items: Perfect condition</v>
      </c>
      <c r="Q888" s="14" t="str">
        <f>IFERROR(__xludf.DUMMYFUNCTION("split(P888,"":"")"),"Quality of Items")</f>
        <v>Quality of Items</v>
      </c>
      <c r="R888" s="14" t="str">
        <f>IFERROR(__xludf.DUMMYFUNCTION("""COMPUTED_VALUE""")," Perfect condition")</f>
        <v> Perfect condition</v>
      </c>
      <c r="S888" s="14" t="str">
        <f t="shared" ref="S888:U888" si="1779">trim(B888)</f>
        <v>ord_30879</v>
      </c>
      <c r="T888" s="14" t="str">
        <f t="shared" si="1779"/>
        <v>Pranav Joshi</v>
      </c>
      <c r="U888" s="14" t="str">
        <f t="shared" si="1779"/>
        <v>Andheri</v>
      </c>
      <c r="V888" s="14" t="str">
        <f t="shared" si="4"/>
        <v>Cold Coffee</v>
      </c>
      <c r="W888" s="14">
        <f t="shared" si="5"/>
        <v>1</v>
      </c>
      <c r="X888" s="14" t="str">
        <f t="shared" si="6"/>
        <v>Sita T</v>
      </c>
      <c r="Y888" s="15">
        <f t="shared" si="7"/>
        <v>45035</v>
      </c>
      <c r="Z888" s="14" t="str">
        <f t="shared" si="8"/>
        <v>Online Payment</v>
      </c>
      <c r="AA888" s="14" t="str">
        <f t="shared" si="9"/>
        <v>Delivered</v>
      </c>
      <c r="AB888" s="14" t="str">
        <f t="shared" ref="AB888:AC888" si="1780">trim(Q888)</f>
        <v>Quality of Items</v>
      </c>
      <c r="AC888" s="14" t="str">
        <f t="shared" si="1780"/>
        <v>Perfect condition</v>
      </c>
      <c r="AD888" s="8"/>
    </row>
    <row r="889">
      <c r="A889" s="14" t="str">
        <f>IFERROR(__xludf.DUMMYFUNCTION("""COMPUTED_VALUE"""),"//ord_30880//Dev Chauhan//Bandra//Banana+2*Sita T/3/4/2023//COD//Delivered*On-time Delivery: Delivered on time")</f>
        <v>//ord_30880//Dev Chauhan//Bandra//Banana+2*Sita T/3/4/2023//COD//Delivered*On-time Delivery: Delivered on time</v>
      </c>
      <c r="B889" s="14" t="str">
        <f>IFERROR(__xludf.DUMMYFUNCTION("split(A889,""//"")"),"ord_30880")</f>
        <v>ord_30880</v>
      </c>
      <c r="C889" s="14" t="str">
        <f>IFERROR(__xludf.DUMMYFUNCTION("""COMPUTED_VALUE"""),"Dev Chauhan")</f>
        <v>Dev Chauhan</v>
      </c>
      <c r="D889" s="14" t="str">
        <f>IFERROR(__xludf.DUMMYFUNCTION("""COMPUTED_VALUE"""),"Bandra")</f>
        <v>Bandra</v>
      </c>
      <c r="E889" s="14" t="str">
        <f>IFERROR(__xludf.DUMMYFUNCTION("""COMPUTED_VALUE"""),"Banana+2*Sita T")</f>
        <v>Banana+2*Sita T</v>
      </c>
      <c r="F889" s="14">
        <f>IFERROR(__xludf.DUMMYFUNCTION("""COMPUTED_VALUE"""),3.0)</f>
        <v>3</v>
      </c>
      <c r="G889" s="14">
        <f>IFERROR(__xludf.DUMMYFUNCTION("""COMPUTED_VALUE"""),4.0)</f>
        <v>4</v>
      </c>
      <c r="H889" s="14">
        <f>IFERROR(__xludf.DUMMYFUNCTION("""COMPUTED_VALUE"""),2023.0)</f>
        <v>2023</v>
      </c>
      <c r="I889" s="14" t="str">
        <f>IFERROR(__xludf.DUMMYFUNCTION("""COMPUTED_VALUE"""),"COD")</f>
        <v>COD</v>
      </c>
      <c r="J889" s="14" t="str">
        <f>IFERROR(__xludf.DUMMYFUNCTION("""COMPUTED_VALUE"""),"Delivered*On-time Delivery: Delivered on time")</f>
        <v>Delivered*On-time Delivery: Delivered on time</v>
      </c>
      <c r="K889" s="14" t="str">
        <f>IFERROR(__xludf.DUMMYFUNCTION("split(E889,""+"")"),"Banana")</f>
        <v>Banana</v>
      </c>
      <c r="L889" s="14" t="str">
        <f>IFERROR(__xludf.DUMMYFUNCTION("""COMPUTED_VALUE"""),"2*Sita T")</f>
        <v>2*Sita T</v>
      </c>
      <c r="M889" s="14">
        <f>IFERROR(__xludf.DUMMYFUNCTION("SPLIT(L889,""*"")"),2.0)</f>
        <v>2</v>
      </c>
      <c r="N889" s="14" t="str">
        <f>IFERROR(__xludf.DUMMYFUNCTION("""COMPUTED_VALUE"""),"Sita T")</f>
        <v>Sita T</v>
      </c>
      <c r="O889" s="14" t="str">
        <f>IFERROR(__xludf.DUMMYFUNCTION("split(J889,""*"")"),"Delivered")</f>
        <v>Delivered</v>
      </c>
      <c r="P889" s="14" t="str">
        <f>IFERROR(__xludf.DUMMYFUNCTION("""COMPUTED_VALUE"""),"On-time Delivery: Delivered on time")</f>
        <v>On-time Delivery: Delivered on time</v>
      </c>
      <c r="Q889" s="14" t="str">
        <f>IFERROR(__xludf.DUMMYFUNCTION("split(P889,"":"")"),"On-time Delivery")</f>
        <v>On-time Delivery</v>
      </c>
      <c r="R889" s="14" t="str">
        <f>IFERROR(__xludf.DUMMYFUNCTION("""COMPUTED_VALUE""")," Delivered on time")</f>
        <v> Delivered on time</v>
      </c>
      <c r="S889" s="14" t="str">
        <f t="shared" ref="S889:U889" si="1781">trim(B889)</f>
        <v>ord_30880</v>
      </c>
      <c r="T889" s="14" t="str">
        <f t="shared" si="1781"/>
        <v>Dev Chauhan</v>
      </c>
      <c r="U889" s="14" t="str">
        <f t="shared" si="1781"/>
        <v>Bandra</v>
      </c>
      <c r="V889" s="14" t="str">
        <f t="shared" si="4"/>
        <v>Banana</v>
      </c>
      <c r="W889" s="14">
        <f t="shared" si="5"/>
        <v>2</v>
      </c>
      <c r="X889" s="14" t="str">
        <f t="shared" si="6"/>
        <v>Sita T</v>
      </c>
      <c r="Y889" s="15">
        <f t="shared" si="7"/>
        <v>44989</v>
      </c>
      <c r="Z889" s="14" t="str">
        <f t="shared" si="8"/>
        <v>COD</v>
      </c>
      <c r="AA889" s="14" t="str">
        <f t="shared" si="9"/>
        <v>Delivered</v>
      </c>
      <c r="AB889" s="14" t="str">
        <f t="shared" ref="AB889:AC889" si="1782">trim(Q889)</f>
        <v>On-time Delivery</v>
      </c>
      <c r="AC889" s="14" t="str">
        <f t="shared" si="1782"/>
        <v>Delivered on time</v>
      </c>
      <c r="AD889" s="8"/>
    </row>
    <row r="890">
      <c r="A890" s="14" t="str">
        <f>IFERROR(__xludf.DUMMYFUNCTION("""COMPUTED_VALUE"""),"//ord_30881//Kritika Shetty//Malad//Juice+4*Rohan Yadav/7/8/2023//UPI//Cancelled*Delayed Delivery:Heavy Traffic")</f>
        <v>//ord_30881//Kritika Shetty//Malad//Juice+4*Rohan Yadav/7/8/2023//UPI//Cancelled*Delayed Delivery:Heavy Traffic</v>
      </c>
      <c r="B890" s="14" t="str">
        <f>IFERROR(__xludf.DUMMYFUNCTION("split(A890,""//"")"),"ord_30881")</f>
        <v>ord_30881</v>
      </c>
      <c r="C890" s="14" t="str">
        <f>IFERROR(__xludf.DUMMYFUNCTION("""COMPUTED_VALUE"""),"Kritika Shetty")</f>
        <v>Kritika Shetty</v>
      </c>
      <c r="D890" s="14" t="str">
        <f>IFERROR(__xludf.DUMMYFUNCTION("""COMPUTED_VALUE"""),"Malad")</f>
        <v>Malad</v>
      </c>
      <c r="E890" s="14" t="str">
        <f>IFERROR(__xludf.DUMMYFUNCTION("""COMPUTED_VALUE"""),"Juice+4*Rohan Yadav")</f>
        <v>Juice+4*Rohan Yadav</v>
      </c>
      <c r="F890" s="14">
        <f>IFERROR(__xludf.DUMMYFUNCTION("""COMPUTED_VALUE"""),7.0)</f>
        <v>7</v>
      </c>
      <c r="G890" s="14">
        <f>IFERROR(__xludf.DUMMYFUNCTION("""COMPUTED_VALUE"""),8.0)</f>
        <v>8</v>
      </c>
      <c r="H890" s="14">
        <f>IFERROR(__xludf.DUMMYFUNCTION("""COMPUTED_VALUE"""),2023.0)</f>
        <v>2023</v>
      </c>
      <c r="I890" s="14" t="str">
        <f>IFERROR(__xludf.DUMMYFUNCTION("""COMPUTED_VALUE"""),"UPI")</f>
        <v>UPI</v>
      </c>
      <c r="J890" s="14" t="str">
        <f>IFERROR(__xludf.DUMMYFUNCTION("""COMPUTED_VALUE"""),"Cancelled*Delayed Delivery:Heavy Traffic")</f>
        <v>Cancelled*Delayed Delivery:Heavy Traffic</v>
      </c>
      <c r="K890" s="14" t="str">
        <f>IFERROR(__xludf.DUMMYFUNCTION("split(E890,""+"")"),"Juice")</f>
        <v>Juice</v>
      </c>
      <c r="L890" s="14" t="str">
        <f>IFERROR(__xludf.DUMMYFUNCTION("""COMPUTED_VALUE"""),"4*Rohan Yadav")</f>
        <v>4*Rohan Yadav</v>
      </c>
      <c r="M890" s="14">
        <f>IFERROR(__xludf.DUMMYFUNCTION("SPLIT(L890,""*"")"),4.0)</f>
        <v>4</v>
      </c>
      <c r="N890" s="14" t="str">
        <f>IFERROR(__xludf.DUMMYFUNCTION("""COMPUTED_VALUE"""),"Rohan Yadav")</f>
        <v>Rohan Yadav</v>
      </c>
      <c r="O890" s="14" t="str">
        <f>IFERROR(__xludf.DUMMYFUNCTION("split(J890,""*"")"),"Cancelled")</f>
        <v>Cancelled</v>
      </c>
      <c r="P890" s="14" t="str">
        <f>IFERROR(__xludf.DUMMYFUNCTION("""COMPUTED_VALUE"""),"Delayed Delivery:Heavy Traffic")</f>
        <v>Delayed Delivery:Heavy Traffic</v>
      </c>
      <c r="Q890" s="14" t="str">
        <f>IFERROR(__xludf.DUMMYFUNCTION("split(P890,"":"")"),"Delayed Delivery")</f>
        <v>Delayed Delivery</v>
      </c>
      <c r="R890" s="14" t="str">
        <f>IFERROR(__xludf.DUMMYFUNCTION("""COMPUTED_VALUE"""),"Heavy Traffic")</f>
        <v>Heavy Traffic</v>
      </c>
      <c r="S890" s="14" t="str">
        <f t="shared" ref="S890:U890" si="1783">trim(B890)</f>
        <v>ord_30881</v>
      </c>
      <c r="T890" s="14" t="str">
        <f t="shared" si="1783"/>
        <v>Kritika Shetty</v>
      </c>
      <c r="U890" s="14" t="str">
        <f t="shared" si="1783"/>
        <v>Malad</v>
      </c>
      <c r="V890" s="14" t="str">
        <f t="shared" si="4"/>
        <v>Juice</v>
      </c>
      <c r="W890" s="14">
        <f t="shared" si="5"/>
        <v>4</v>
      </c>
      <c r="X890" s="14" t="str">
        <f t="shared" si="6"/>
        <v>Rohan Yadav</v>
      </c>
      <c r="Y890" s="15">
        <f t="shared" si="7"/>
        <v>45115</v>
      </c>
      <c r="Z890" s="14" t="str">
        <f t="shared" si="8"/>
        <v>UPI</v>
      </c>
      <c r="AA890" s="14" t="str">
        <f t="shared" si="9"/>
        <v>Cancelled</v>
      </c>
      <c r="AB890" s="14" t="str">
        <f t="shared" ref="AB890:AC890" si="1784">trim(Q890)</f>
        <v>Delayed Delivery</v>
      </c>
      <c r="AC890" s="14" t="str">
        <f t="shared" si="1784"/>
        <v>Heavy Traffic</v>
      </c>
      <c r="AD890" s="8"/>
    </row>
    <row r="891">
      <c r="A891" s="14" t="str">
        <f>IFERROR(__xludf.DUMMYFUNCTION("""COMPUTED_VALUE"""),"//ord_30882//Pranav Joshi//Andheri//Chocolate Mousse+4*Shine Thomas/2/27/2023//Online Payment//Delivered*Quality of Items: Perfect condition")</f>
        <v>//ord_30882//Pranav Joshi//Andheri//Chocolate Mousse+4*Shine Thomas/2/27/2023//Online Payment//Delivered*Quality of Items: Perfect condition</v>
      </c>
      <c r="B891" s="14" t="str">
        <f>IFERROR(__xludf.DUMMYFUNCTION("split(A891,""//"")"),"ord_30882")</f>
        <v>ord_30882</v>
      </c>
      <c r="C891" s="14" t="str">
        <f>IFERROR(__xludf.DUMMYFUNCTION("""COMPUTED_VALUE"""),"Pranav Joshi")</f>
        <v>Pranav Joshi</v>
      </c>
      <c r="D891" s="14" t="str">
        <f>IFERROR(__xludf.DUMMYFUNCTION("""COMPUTED_VALUE"""),"Andheri")</f>
        <v>Andheri</v>
      </c>
      <c r="E891" s="14" t="str">
        <f>IFERROR(__xludf.DUMMYFUNCTION("""COMPUTED_VALUE"""),"Chocolate Mousse+4*Shine Thomas")</f>
        <v>Chocolate Mousse+4*Shine Thomas</v>
      </c>
      <c r="F891" s="14">
        <f>IFERROR(__xludf.DUMMYFUNCTION("""COMPUTED_VALUE"""),2.0)</f>
        <v>2</v>
      </c>
      <c r="G891" s="14">
        <f>IFERROR(__xludf.DUMMYFUNCTION("""COMPUTED_VALUE"""),27.0)</f>
        <v>27</v>
      </c>
      <c r="H891" s="14">
        <f>IFERROR(__xludf.DUMMYFUNCTION("""COMPUTED_VALUE"""),2023.0)</f>
        <v>2023</v>
      </c>
      <c r="I891" s="14" t="str">
        <f>IFERROR(__xludf.DUMMYFUNCTION("""COMPUTED_VALUE"""),"Online Payment")</f>
        <v>Online Payment</v>
      </c>
      <c r="J891" s="14" t="str">
        <f>IFERROR(__xludf.DUMMYFUNCTION("""COMPUTED_VALUE"""),"Delivered*Quality of Items: Perfect condition")</f>
        <v>Delivered*Quality of Items: Perfect condition</v>
      </c>
      <c r="K891" s="14" t="str">
        <f>IFERROR(__xludf.DUMMYFUNCTION("split(E891,""+"")"),"Chocolate Mousse")</f>
        <v>Chocolate Mousse</v>
      </c>
      <c r="L891" s="14" t="str">
        <f>IFERROR(__xludf.DUMMYFUNCTION("""COMPUTED_VALUE"""),"4*Shine Thomas")</f>
        <v>4*Shine Thomas</v>
      </c>
      <c r="M891" s="14">
        <f>IFERROR(__xludf.DUMMYFUNCTION("SPLIT(L891,""*"")"),4.0)</f>
        <v>4</v>
      </c>
      <c r="N891" s="14" t="str">
        <f>IFERROR(__xludf.DUMMYFUNCTION("""COMPUTED_VALUE"""),"Shine Thomas")</f>
        <v>Shine Thomas</v>
      </c>
      <c r="O891" s="14" t="str">
        <f>IFERROR(__xludf.DUMMYFUNCTION("split(J891,""*"")"),"Delivered")</f>
        <v>Delivered</v>
      </c>
      <c r="P891" s="14" t="str">
        <f>IFERROR(__xludf.DUMMYFUNCTION("""COMPUTED_VALUE"""),"Quality of Items: Perfect condition")</f>
        <v>Quality of Items: Perfect condition</v>
      </c>
      <c r="Q891" s="14" t="str">
        <f>IFERROR(__xludf.DUMMYFUNCTION("split(P891,"":"")"),"Quality of Items")</f>
        <v>Quality of Items</v>
      </c>
      <c r="R891" s="14" t="str">
        <f>IFERROR(__xludf.DUMMYFUNCTION("""COMPUTED_VALUE""")," Perfect condition")</f>
        <v> Perfect condition</v>
      </c>
      <c r="S891" s="14" t="str">
        <f t="shared" ref="S891:U891" si="1785">trim(B891)</f>
        <v>ord_30882</v>
      </c>
      <c r="T891" s="14" t="str">
        <f t="shared" si="1785"/>
        <v>Pranav Joshi</v>
      </c>
      <c r="U891" s="14" t="str">
        <f t="shared" si="1785"/>
        <v>Andheri</v>
      </c>
      <c r="V891" s="14" t="str">
        <f t="shared" si="4"/>
        <v>Chocolate Mousse</v>
      </c>
      <c r="W891" s="14">
        <f t="shared" si="5"/>
        <v>4</v>
      </c>
      <c r="X891" s="14" t="str">
        <f t="shared" si="6"/>
        <v>Shine Thomas</v>
      </c>
      <c r="Y891" s="15">
        <f t="shared" si="7"/>
        <v>44984</v>
      </c>
      <c r="Z891" s="14" t="str">
        <f t="shared" si="8"/>
        <v>Online Payment</v>
      </c>
      <c r="AA891" s="14" t="str">
        <f t="shared" si="9"/>
        <v>Delivered</v>
      </c>
      <c r="AB891" s="14" t="str">
        <f t="shared" ref="AB891:AC891" si="1786">trim(Q891)</f>
        <v>Quality of Items</v>
      </c>
      <c r="AC891" s="14" t="str">
        <f t="shared" si="1786"/>
        <v>Perfect condition</v>
      </c>
      <c r="AD891" s="8"/>
    </row>
    <row r="892">
      <c r="A892" s="14" t="str">
        <f>IFERROR(__xludf.DUMMYFUNCTION("""COMPUTED_VALUE"""),"//ord_30883//Pallavi Ghosh//Bandra//Chocolate Mousse+4*Sita T/10/8/2023//COD//Delivered*Packaging: Secure and intact")</f>
        <v>//ord_30883//Pallavi Ghosh//Bandra//Chocolate Mousse+4*Sita T/10/8/2023//COD//Delivered*Packaging: Secure and intact</v>
      </c>
      <c r="B892" s="14" t="str">
        <f>IFERROR(__xludf.DUMMYFUNCTION("split(A892,""//"")"),"ord_30883")</f>
        <v>ord_30883</v>
      </c>
      <c r="C892" s="14" t="str">
        <f>IFERROR(__xludf.DUMMYFUNCTION("""COMPUTED_VALUE"""),"Pallavi Ghosh")</f>
        <v>Pallavi Ghosh</v>
      </c>
      <c r="D892" s="14" t="str">
        <f>IFERROR(__xludf.DUMMYFUNCTION("""COMPUTED_VALUE"""),"Bandra")</f>
        <v>Bandra</v>
      </c>
      <c r="E892" s="14" t="str">
        <f>IFERROR(__xludf.DUMMYFUNCTION("""COMPUTED_VALUE"""),"Chocolate Mousse+4*Sita T")</f>
        <v>Chocolate Mousse+4*Sita T</v>
      </c>
      <c r="F892" s="14">
        <f>IFERROR(__xludf.DUMMYFUNCTION("""COMPUTED_VALUE"""),10.0)</f>
        <v>10</v>
      </c>
      <c r="G892" s="14">
        <f>IFERROR(__xludf.DUMMYFUNCTION("""COMPUTED_VALUE"""),8.0)</f>
        <v>8</v>
      </c>
      <c r="H892" s="14">
        <f>IFERROR(__xludf.DUMMYFUNCTION("""COMPUTED_VALUE"""),2023.0)</f>
        <v>2023</v>
      </c>
      <c r="I892" s="14" t="str">
        <f>IFERROR(__xludf.DUMMYFUNCTION("""COMPUTED_VALUE"""),"COD")</f>
        <v>COD</v>
      </c>
      <c r="J892" s="14" t="str">
        <f>IFERROR(__xludf.DUMMYFUNCTION("""COMPUTED_VALUE"""),"Delivered*Packaging: Secure and intact")</f>
        <v>Delivered*Packaging: Secure and intact</v>
      </c>
      <c r="K892" s="14" t="str">
        <f>IFERROR(__xludf.DUMMYFUNCTION("split(E892,""+"")"),"Chocolate Mousse")</f>
        <v>Chocolate Mousse</v>
      </c>
      <c r="L892" s="14" t="str">
        <f>IFERROR(__xludf.DUMMYFUNCTION("""COMPUTED_VALUE"""),"4*Sita T")</f>
        <v>4*Sita T</v>
      </c>
      <c r="M892" s="14">
        <f>IFERROR(__xludf.DUMMYFUNCTION("SPLIT(L892,""*"")"),4.0)</f>
        <v>4</v>
      </c>
      <c r="N892" s="14" t="str">
        <f>IFERROR(__xludf.DUMMYFUNCTION("""COMPUTED_VALUE"""),"Sita T")</f>
        <v>Sita T</v>
      </c>
      <c r="O892" s="14" t="str">
        <f>IFERROR(__xludf.DUMMYFUNCTION("split(J892,""*"")"),"Delivered")</f>
        <v>Delivered</v>
      </c>
      <c r="P892" s="14" t="str">
        <f>IFERROR(__xludf.DUMMYFUNCTION("""COMPUTED_VALUE"""),"Packaging: Secure and intact")</f>
        <v>Packaging: Secure and intact</v>
      </c>
      <c r="Q892" s="14" t="str">
        <f>IFERROR(__xludf.DUMMYFUNCTION("split(P892,"":"")"),"Packaging")</f>
        <v>Packaging</v>
      </c>
      <c r="R892" s="14" t="str">
        <f>IFERROR(__xludf.DUMMYFUNCTION("""COMPUTED_VALUE""")," Secure and intact")</f>
        <v> Secure and intact</v>
      </c>
      <c r="S892" s="14" t="str">
        <f t="shared" ref="S892:U892" si="1787">trim(B892)</f>
        <v>ord_30883</v>
      </c>
      <c r="T892" s="14" t="str">
        <f t="shared" si="1787"/>
        <v>Pallavi Ghosh</v>
      </c>
      <c r="U892" s="14" t="str">
        <f t="shared" si="1787"/>
        <v>Bandra</v>
      </c>
      <c r="V892" s="14" t="str">
        <f t="shared" si="4"/>
        <v>Chocolate Mousse</v>
      </c>
      <c r="W892" s="14">
        <f t="shared" si="5"/>
        <v>4</v>
      </c>
      <c r="X892" s="14" t="str">
        <f t="shared" si="6"/>
        <v>Sita T</v>
      </c>
      <c r="Y892" s="15">
        <f t="shared" si="7"/>
        <v>45207</v>
      </c>
      <c r="Z892" s="14" t="str">
        <f t="shared" si="8"/>
        <v>COD</v>
      </c>
      <c r="AA892" s="14" t="str">
        <f t="shared" si="9"/>
        <v>Delivered</v>
      </c>
      <c r="AB892" s="14" t="str">
        <f t="shared" ref="AB892:AC892" si="1788">trim(Q892)</f>
        <v>Packaging</v>
      </c>
      <c r="AC892" s="14" t="str">
        <f t="shared" si="1788"/>
        <v>Secure and intact</v>
      </c>
      <c r="AD892" s="8"/>
    </row>
    <row r="893">
      <c r="A893" s="14" t="str">
        <f>IFERROR(__xludf.DUMMYFUNCTION("""COMPUTED_VALUE"""),"//ord_30884//Pranav Joshi//Andheri//Cucumber+1*Vivek Kumar/2/12/2023//Credit Card//Delivered*Satisfied with the Delivery: Timely and quality")</f>
        <v>//ord_30884//Pranav Joshi//Andheri//Cucumber+1*Vivek Kumar/2/12/2023//Credit Card//Delivered*Satisfied with the Delivery: Timely and quality</v>
      </c>
      <c r="B893" s="14" t="str">
        <f>IFERROR(__xludf.DUMMYFUNCTION("split(A893,""//"")"),"ord_30884")</f>
        <v>ord_30884</v>
      </c>
      <c r="C893" s="14" t="str">
        <f>IFERROR(__xludf.DUMMYFUNCTION("""COMPUTED_VALUE"""),"Pranav Joshi")</f>
        <v>Pranav Joshi</v>
      </c>
      <c r="D893" s="14" t="str">
        <f>IFERROR(__xludf.DUMMYFUNCTION("""COMPUTED_VALUE"""),"Andheri")</f>
        <v>Andheri</v>
      </c>
      <c r="E893" s="14" t="str">
        <f>IFERROR(__xludf.DUMMYFUNCTION("""COMPUTED_VALUE"""),"Cucumber+1*Vivek Kumar")</f>
        <v>Cucumber+1*Vivek Kumar</v>
      </c>
      <c r="F893" s="14">
        <f>IFERROR(__xludf.DUMMYFUNCTION("""COMPUTED_VALUE"""),2.0)</f>
        <v>2</v>
      </c>
      <c r="G893" s="14">
        <f>IFERROR(__xludf.DUMMYFUNCTION("""COMPUTED_VALUE"""),12.0)</f>
        <v>12</v>
      </c>
      <c r="H893" s="14">
        <f>IFERROR(__xludf.DUMMYFUNCTION("""COMPUTED_VALUE"""),2023.0)</f>
        <v>2023</v>
      </c>
      <c r="I893" s="14" t="str">
        <f>IFERROR(__xludf.DUMMYFUNCTION("""COMPUTED_VALUE"""),"Credit Card")</f>
        <v>Credit Card</v>
      </c>
      <c r="J893" s="14" t="str">
        <f>IFERROR(__xludf.DUMMYFUNCTION("""COMPUTED_VALUE"""),"Delivered*Satisfied with the Delivery: Timely and quality")</f>
        <v>Delivered*Satisfied with the Delivery: Timely and quality</v>
      </c>
      <c r="K893" s="14" t="str">
        <f>IFERROR(__xludf.DUMMYFUNCTION("split(E893,""+"")"),"Cucumber")</f>
        <v>Cucumber</v>
      </c>
      <c r="L893" s="14" t="str">
        <f>IFERROR(__xludf.DUMMYFUNCTION("""COMPUTED_VALUE"""),"1*Vivek Kumar")</f>
        <v>1*Vivek Kumar</v>
      </c>
      <c r="M893" s="14">
        <f>IFERROR(__xludf.DUMMYFUNCTION("SPLIT(L893,""*"")"),1.0)</f>
        <v>1</v>
      </c>
      <c r="N893" s="14" t="str">
        <f>IFERROR(__xludf.DUMMYFUNCTION("""COMPUTED_VALUE"""),"Vivek Kumar")</f>
        <v>Vivek Kumar</v>
      </c>
      <c r="O893" s="14" t="str">
        <f>IFERROR(__xludf.DUMMYFUNCTION("split(J893,""*"")"),"Delivered")</f>
        <v>Delivered</v>
      </c>
      <c r="P893" s="14" t="str">
        <f>IFERROR(__xludf.DUMMYFUNCTION("""COMPUTED_VALUE"""),"Satisfied with the Delivery: Timely and quality")</f>
        <v>Satisfied with the Delivery: Timely and quality</v>
      </c>
      <c r="Q893" s="14" t="str">
        <f>IFERROR(__xludf.DUMMYFUNCTION("split(P893,"":"")"),"Satisfied with the Delivery")</f>
        <v>Satisfied with the Delivery</v>
      </c>
      <c r="R893" s="14" t="str">
        <f>IFERROR(__xludf.DUMMYFUNCTION("""COMPUTED_VALUE""")," Timely and quality")</f>
        <v> Timely and quality</v>
      </c>
      <c r="S893" s="14" t="str">
        <f t="shared" ref="S893:U893" si="1789">trim(B893)</f>
        <v>ord_30884</v>
      </c>
      <c r="T893" s="14" t="str">
        <f t="shared" si="1789"/>
        <v>Pranav Joshi</v>
      </c>
      <c r="U893" s="14" t="str">
        <f t="shared" si="1789"/>
        <v>Andheri</v>
      </c>
      <c r="V893" s="14" t="str">
        <f t="shared" si="4"/>
        <v>Cucumber</v>
      </c>
      <c r="W893" s="14">
        <f t="shared" si="5"/>
        <v>1</v>
      </c>
      <c r="X893" s="14" t="str">
        <f t="shared" si="6"/>
        <v>Vivek Kumar</v>
      </c>
      <c r="Y893" s="15">
        <f t="shared" si="7"/>
        <v>44969</v>
      </c>
      <c r="Z893" s="14" t="str">
        <f t="shared" si="8"/>
        <v>Credit Card</v>
      </c>
      <c r="AA893" s="14" t="str">
        <f t="shared" si="9"/>
        <v>Delivered</v>
      </c>
      <c r="AB893" s="14" t="str">
        <f t="shared" ref="AB893:AC893" si="1790">trim(Q893)</f>
        <v>Satisfied with the Delivery</v>
      </c>
      <c r="AC893" s="14" t="str">
        <f t="shared" si="1790"/>
        <v>Timely and quality</v>
      </c>
      <c r="AD893" s="8"/>
    </row>
    <row r="894">
      <c r="A894" s="14" t="str">
        <f>IFERROR(__xludf.DUMMYFUNCTION("""COMPUTED_VALUE"""),"//ord_30885//Mehul Thakkar//Malad//Cucumber+1*Not Assigned/10/3/2023//Online Payment//Cancelled*Out of Stock")</f>
        <v>//ord_30885//Mehul Thakkar//Malad//Cucumber+1*Not Assigned/10/3/2023//Online Payment//Cancelled*Out of Stock</v>
      </c>
      <c r="B894" s="14" t="str">
        <f>IFERROR(__xludf.DUMMYFUNCTION("split(A894,""//"")"),"ord_30885")</f>
        <v>ord_30885</v>
      </c>
      <c r="C894" s="14" t="str">
        <f>IFERROR(__xludf.DUMMYFUNCTION("""COMPUTED_VALUE"""),"Mehul Thakkar")</f>
        <v>Mehul Thakkar</v>
      </c>
      <c r="D894" s="14" t="str">
        <f>IFERROR(__xludf.DUMMYFUNCTION("""COMPUTED_VALUE"""),"Malad")</f>
        <v>Malad</v>
      </c>
      <c r="E894" s="14" t="str">
        <f>IFERROR(__xludf.DUMMYFUNCTION("""COMPUTED_VALUE"""),"Cucumber+1*Not Assigned")</f>
        <v>Cucumber+1*Not Assigned</v>
      </c>
      <c r="F894" s="14">
        <f>IFERROR(__xludf.DUMMYFUNCTION("""COMPUTED_VALUE"""),10.0)</f>
        <v>10</v>
      </c>
      <c r="G894" s="14">
        <f>IFERROR(__xludf.DUMMYFUNCTION("""COMPUTED_VALUE"""),3.0)</f>
        <v>3</v>
      </c>
      <c r="H894" s="14">
        <f>IFERROR(__xludf.DUMMYFUNCTION("""COMPUTED_VALUE"""),2023.0)</f>
        <v>2023</v>
      </c>
      <c r="I894" s="14" t="str">
        <f>IFERROR(__xludf.DUMMYFUNCTION("""COMPUTED_VALUE"""),"Online Payment")</f>
        <v>Online Payment</v>
      </c>
      <c r="J894" s="14" t="str">
        <f>IFERROR(__xludf.DUMMYFUNCTION("""COMPUTED_VALUE"""),"Cancelled*Out of Stock")</f>
        <v>Cancelled*Out of Stock</v>
      </c>
      <c r="K894" s="14" t="str">
        <f>IFERROR(__xludf.DUMMYFUNCTION("split(E894,""+"")"),"Cucumber")</f>
        <v>Cucumber</v>
      </c>
      <c r="L894" s="14" t="str">
        <f>IFERROR(__xludf.DUMMYFUNCTION("""COMPUTED_VALUE"""),"1*Not Assigned")</f>
        <v>1*Not Assigned</v>
      </c>
      <c r="M894" s="14">
        <f>IFERROR(__xludf.DUMMYFUNCTION("SPLIT(L894,""*"")"),1.0)</f>
        <v>1</v>
      </c>
      <c r="N894" s="14" t="str">
        <f>IFERROR(__xludf.DUMMYFUNCTION("""COMPUTED_VALUE"""),"Not Assigned")</f>
        <v>Not Assigned</v>
      </c>
      <c r="O894" s="14" t="str">
        <f>IFERROR(__xludf.DUMMYFUNCTION("split(J894,""*"")"),"Cancelled")</f>
        <v>Cancelled</v>
      </c>
      <c r="P894" s="14" t="str">
        <f>IFERROR(__xludf.DUMMYFUNCTION("""COMPUTED_VALUE"""),"Out of Stock")</f>
        <v>Out of Stock</v>
      </c>
      <c r="Q894" s="14" t="str">
        <f>IFERROR(__xludf.DUMMYFUNCTION("split(P894,"":"")"),"Out of Stock")</f>
        <v>Out of Stock</v>
      </c>
      <c r="R894" s="14"/>
      <c r="S894" s="14" t="str">
        <f t="shared" ref="S894:U894" si="1791">trim(B894)</f>
        <v>ord_30885</v>
      </c>
      <c r="T894" s="14" t="str">
        <f t="shared" si="1791"/>
        <v>Mehul Thakkar</v>
      </c>
      <c r="U894" s="14" t="str">
        <f t="shared" si="1791"/>
        <v>Malad</v>
      </c>
      <c r="V894" s="14" t="str">
        <f t="shared" si="4"/>
        <v>Cucumber</v>
      </c>
      <c r="W894" s="14">
        <f t="shared" si="5"/>
        <v>1</v>
      </c>
      <c r="X894" s="14" t="str">
        <f t="shared" si="6"/>
        <v>Not Assigned</v>
      </c>
      <c r="Y894" s="15">
        <f t="shared" si="7"/>
        <v>45202</v>
      </c>
      <c r="Z894" s="14" t="str">
        <f t="shared" si="8"/>
        <v>Online Payment</v>
      </c>
      <c r="AA894" s="14" t="str">
        <f t="shared" si="9"/>
        <v>Cancelled</v>
      </c>
      <c r="AB894" s="14" t="str">
        <f t="shared" ref="AB894:AC894" si="1792">trim(Q894)</f>
        <v>Out of Stock</v>
      </c>
      <c r="AC894" s="14" t="str">
        <f t="shared" si="1792"/>
        <v/>
      </c>
      <c r="AD894" s="8"/>
    </row>
    <row r="895">
      <c r="A895" s="14" t="str">
        <f>IFERROR(__xludf.DUMMYFUNCTION("""COMPUTED_VALUE"""),"//ord_30886//Aarav Mehta//Andheri//Apple+1*Shine Thomas/11/21/2023//COD//Delivered*Customer Service: Seamless and easy")</f>
        <v>//ord_30886//Aarav Mehta//Andheri//Apple+1*Shine Thomas/11/21/2023//COD//Delivered*Customer Service: Seamless and easy</v>
      </c>
      <c r="B895" s="14" t="str">
        <f>IFERROR(__xludf.DUMMYFUNCTION("split(A895,""//"")"),"ord_30886")</f>
        <v>ord_30886</v>
      </c>
      <c r="C895" s="14" t="str">
        <f>IFERROR(__xludf.DUMMYFUNCTION("""COMPUTED_VALUE"""),"Aarav Mehta")</f>
        <v>Aarav Mehta</v>
      </c>
      <c r="D895" s="14" t="str">
        <f>IFERROR(__xludf.DUMMYFUNCTION("""COMPUTED_VALUE"""),"Andheri")</f>
        <v>Andheri</v>
      </c>
      <c r="E895" s="14" t="str">
        <f>IFERROR(__xludf.DUMMYFUNCTION("""COMPUTED_VALUE"""),"Apple+1*Shine Thomas")</f>
        <v>Apple+1*Shine Thomas</v>
      </c>
      <c r="F895" s="14">
        <f>IFERROR(__xludf.DUMMYFUNCTION("""COMPUTED_VALUE"""),11.0)</f>
        <v>11</v>
      </c>
      <c r="G895" s="14">
        <f>IFERROR(__xludf.DUMMYFUNCTION("""COMPUTED_VALUE"""),21.0)</f>
        <v>21</v>
      </c>
      <c r="H895" s="14">
        <f>IFERROR(__xludf.DUMMYFUNCTION("""COMPUTED_VALUE"""),2023.0)</f>
        <v>2023</v>
      </c>
      <c r="I895" s="14" t="str">
        <f>IFERROR(__xludf.DUMMYFUNCTION("""COMPUTED_VALUE"""),"COD")</f>
        <v>COD</v>
      </c>
      <c r="J895" s="14" t="str">
        <f>IFERROR(__xludf.DUMMYFUNCTION("""COMPUTED_VALUE"""),"Delivered*Customer Service: Seamless and easy")</f>
        <v>Delivered*Customer Service: Seamless and easy</v>
      </c>
      <c r="K895" s="14" t="str">
        <f>IFERROR(__xludf.DUMMYFUNCTION("split(E895,""+"")"),"Apple")</f>
        <v>Apple</v>
      </c>
      <c r="L895" s="14" t="str">
        <f>IFERROR(__xludf.DUMMYFUNCTION("""COMPUTED_VALUE"""),"1*Shine Thomas")</f>
        <v>1*Shine Thomas</v>
      </c>
      <c r="M895" s="14">
        <f>IFERROR(__xludf.DUMMYFUNCTION("SPLIT(L895,""*"")"),1.0)</f>
        <v>1</v>
      </c>
      <c r="N895" s="14" t="str">
        <f>IFERROR(__xludf.DUMMYFUNCTION("""COMPUTED_VALUE"""),"Shine Thomas")</f>
        <v>Shine Thomas</v>
      </c>
      <c r="O895" s="14" t="str">
        <f>IFERROR(__xludf.DUMMYFUNCTION("split(J895,""*"")"),"Delivered")</f>
        <v>Delivered</v>
      </c>
      <c r="P895" s="14" t="str">
        <f>IFERROR(__xludf.DUMMYFUNCTION("""COMPUTED_VALUE"""),"Customer Service: Seamless and easy")</f>
        <v>Customer Service: Seamless and easy</v>
      </c>
      <c r="Q895" s="14" t="str">
        <f>IFERROR(__xludf.DUMMYFUNCTION("split(P895,"":"")"),"Customer Service")</f>
        <v>Customer Service</v>
      </c>
      <c r="R895" s="14" t="str">
        <f>IFERROR(__xludf.DUMMYFUNCTION("""COMPUTED_VALUE""")," Seamless and easy")</f>
        <v> Seamless and easy</v>
      </c>
      <c r="S895" s="14" t="str">
        <f t="shared" ref="S895:U895" si="1793">trim(B895)</f>
        <v>ord_30886</v>
      </c>
      <c r="T895" s="14" t="str">
        <f t="shared" si="1793"/>
        <v>Aarav Mehta</v>
      </c>
      <c r="U895" s="14" t="str">
        <f t="shared" si="1793"/>
        <v>Andheri</v>
      </c>
      <c r="V895" s="14" t="str">
        <f t="shared" si="4"/>
        <v>Apple</v>
      </c>
      <c r="W895" s="14">
        <f t="shared" si="5"/>
        <v>1</v>
      </c>
      <c r="X895" s="14" t="str">
        <f t="shared" si="6"/>
        <v>Shine Thomas</v>
      </c>
      <c r="Y895" s="15">
        <f t="shared" si="7"/>
        <v>45251</v>
      </c>
      <c r="Z895" s="14" t="str">
        <f t="shared" si="8"/>
        <v>COD</v>
      </c>
      <c r="AA895" s="14" t="str">
        <f t="shared" si="9"/>
        <v>Delivered</v>
      </c>
      <c r="AB895" s="14" t="str">
        <f t="shared" ref="AB895:AC895" si="1794">trim(Q895)</f>
        <v>Customer Service</v>
      </c>
      <c r="AC895" s="14" t="str">
        <f t="shared" si="1794"/>
        <v>Seamless and easy</v>
      </c>
      <c r="AD895" s="8"/>
    </row>
    <row r="896">
      <c r="A896" s="14" t="str">
        <f>IFERROR(__xludf.DUMMYFUNCTION("""COMPUTED_VALUE"""),"//ord_30887//Siya Reddy//Juhu//Tiramisu+4*Sita T/9/11/2023//Credit Card//Cancelled*Delayed Delivery:Bad Weather Conditions ")</f>
        <v>//ord_30887//Siya Reddy//Juhu//Tiramisu+4*Sita T/9/11/2023//Credit Card//Cancelled*Delayed Delivery:Bad Weather Conditions </v>
      </c>
      <c r="B896" s="14" t="str">
        <f>IFERROR(__xludf.DUMMYFUNCTION("split(A896,""//"")"),"ord_30887")</f>
        <v>ord_30887</v>
      </c>
      <c r="C896" s="14" t="str">
        <f>IFERROR(__xludf.DUMMYFUNCTION("""COMPUTED_VALUE"""),"Siya Reddy")</f>
        <v>Siya Reddy</v>
      </c>
      <c r="D896" s="14" t="str">
        <f>IFERROR(__xludf.DUMMYFUNCTION("""COMPUTED_VALUE"""),"Juhu")</f>
        <v>Juhu</v>
      </c>
      <c r="E896" s="14" t="str">
        <f>IFERROR(__xludf.DUMMYFUNCTION("""COMPUTED_VALUE"""),"Tiramisu+4*Sita T")</f>
        <v>Tiramisu+4*Sita T</v>
      </c>
      <c r="F896" s="14">
        <f>IFERROR(__xludf.DUMMYFUNCTION("""COMPUTED_VALUE"""),9.0)</f>
        <v>9</v>
      </c>
      <c r="G896" s="14">
        <f>IFERROR(__xludf.DUMMYFUNCTION("""COMPUTED_VALUE"""),11.0)</f>
        <v>11</v>
      </c>
      <c r="H896" s="14">
        <f>IFERROR(__xludf.DUMMYFUNCTION("""COMPUTED_VALUE"""),2023.0)</f>
        <v>2023</v>
      </c>
      <c r="I896" s="14" t="str">
        <f>IFERROR(__xludf.DUMMYFUNCTION("""COMPUTED_VALUE"""),"Credit Card")</f>
        <v>Credit Card</v>
      </c>
      <c r="J896" s="14" t="str">
        <f>IFERROR(__xludf.DUMMYFUNCTION("""COMPUTED_VALUE"""),"Cancelled*Delayed Delivery:Bad Weather Conditions ")</f>
        <v>Cancelled*Delayed Delivery:Bad Weather Conditions </v>
      </c>
      <c r="K896" s="14" t="str">
        <f>IFERROR(__xludf.DUMMYFUNCTION("split(E896,""+"")"),"Tiramisu")</f>
        <v>Tiramisu</v>
      </c>
      <c r="L896" s="14" t="str">
        <f>IFERROR(__xludf.DUMMYFUNCTION("""COMPUTED_VALUE"""),"4*Sita T")</f>
        <v>4*Sita T</v>
      </c>
      <c r="M896" s="14">
        <f>IFERROR(__xludf.DUMMYFUNCTION("SPLIT(L896,""*"")"),4.0)</f>
        <v>4</v>
      </c>
      <c r="N896" s="14" t="str">
        <f>IFERROR(__xludf.DUMMYFUNCTION("""COMPUTED_VALUE"""),"Sita T")</f>
        <v>Sita T</v>
      </c>
      <c r="O896" s="14" t="str">
        <f>IFERROR(__xludf.DUMMYFUNCTION("split(J896,""*"")"),"Cancelled")</f>
        <v>Cancelled</v>
      </c>
      <c r="P896" s="14" t="str">
        <f>IFERROR(__xludf.DUMMYFUNCTION("""COMPUTED_VALUE"""),"Delayed Delivery:Bad Weather Conditions ")</f>
        <v>Delayed Delivery:Bad Weather Conditions </v>
      </c>
      <c r="Q896" s="14" t="str">
        <f>IFERROR(__xludf.DUMMYFUNCTION("split(P896,"":"")"),"Delayed Delivery")</f>
        <v>Delayed Delivery</v>
      </c>
      <c r="R896" s="14" t="str">
        <f>IFERROR(__xludf.DUMMYFUNCTION("""COMPUTED_VALUE"""),"Bad Weather Conditions ")</f>
        <v>Bad Weather Conditions </v>
      </c>
      <c r="S896" s="14" t="str">
        <f t="shared" ref="S896:U896" si="1795">trim(B896)</f>
        <v>ord_30887</v>
      </c>
      <c r="T896" s="14" t="str">
        <f t="shared" si="1795"/>
        <v>Siya Reddy</v>
      </c>
      <c r="U896" s="14" t="str">
        <f t="shared" si="1795"/>
        <v>Juhu</v>
      </c>
      <c r="V896" s="14" t="str">
        <f t="shared" si="4"/>
        <v>Tiramisu</v>
      </c>
      <c r="W896" s="14">
        <f t="shared" si="5"/>
        <v>4</v>
      </c>
      <c r="X896" s="14" t="str">
        <f t="shared" si="6"/>
        <v>Sita T</v>
      </c>
      <c r="Y896" s="15">
        <f t="shared" si="7"/>
        <v>45180</v>
      </c>
      <c r="Z896" s="14" t="str">
        <f t="shared" si="8"/>
        <v>Credit Card</v>
      </c>
      <c r="AA896" s="14" t="str">
        <f t="shared" si="9"/>
        <v>Cancelled</v>
      </c>
      <c r="AB896" s="14" t="str">
        <f t="shared" ref="AB896:AC896" si="1796">trim(Q896)</f>
        <v>Delayed Delivery</v>
      </c>
      <c r="AC896" s="14" t="str">
        <f t="shared" si="1796"/>
        <v>Bad Weather Conditions</v>
      </c>
      <c r="AD896" s="8"/>
    </row>
    <row r="897">
      <c r="A897" s="14" t="str">
        <f>IFERROR(__xludf.DUMMYFUNCTION("""COMPUTED_VALUE"""),"//ord_30888//Diya Arora//Lower Parel//Cold Coffee+2*Ramesh S/7/22/2023//UPI//Delivered*Delivery Experience: Quick and professional")</f>
        <v>//ord_30888//Diya Arora//Lower Parel//Cold Coffee+2*Ramesh S/7/22/2023//UPI//Delivered*Delivery Experience: Quick and professional</v>
      </c>
      <c r="B897" s="14" t="str">
        <f>IFERROR(__xludf.DUMMYFUNCTION("split(A897,""//"")"),"ord_30888")</f>
        <v>ord_30888</v>
      </c>
      <c r="C897" s="14" t="str">
        <f>IFERROR(__xludf.DUMMYFUNCTION("""COMPUTED_VALUE"""),"Diya Arora")</f>
        <v>Diya Arora</v>
      </c>
      <c r="D897" s="14" t="str">
        <f>IFERROR(__xludf.DUMMYFUNCTION("""COMPUTED_VALUE"""),"Lower Parel")</f>
        <v>Lower Parel</v>
      </c>
      <c r="E897" s="14" t="str">
        <f>IFERROR(__xludf.DUMMYFUNCTION("""COMPUTED_VALUE"""),"Cold Coffee+2*Ramesh S")</f>
        <v>Cold Coffee+2*Ramesh S</v>
      </c>
      <c r="F897" s="14">
        <f>IFERROR(__xludf.DUMMYFUNCTION("""COMPUTED_VALUE"""),7.0)</f>
        <v>7</v>
      </c>
      <c r="G897" s="14">
        <f>IFERROR(__xludf.DUMMYFUNCTION("""COMPUTED_VALUE"""),22.0)</f>
        <v>22</v>
      </c>
      <c r="H897" s="14">
        <f>IFERROR(__xludf.DUMMYFUNCTION("""COMPUTED_VALUE"""),2023.0)</f>
        <v>2023</v>
      </c>
      <c r="I897" s="14" t="str">
        <f>IFERROR(__xludf.DUMMYFUNCTION("""COMPUTED_VALUE"""),"UPI")</f>
        <v>UPI</v>
      </c>
      <c r="J897" s="14" t="str">
        <f>IFERROR(__xludf.DUMMYFUNCTION("""COMPUTED_VALUE"""),"Delivered*Delivery Experience: Quick and professional")</f>
        <v>Delivered*Delivery Experience: Quick and professional</v>
      </c>
      <c r="K897" s="14" t="str">
        <f>IFERROR(__xludf.DUMMYFUNCTION("split(E897,""+"")"),"Cold Coffee")</f>
        <v>Cold Coffee</v>
      </c>
      <c r="L897" s="14" t="str">
        <f>IFERROR(__xludf.DUMMYFUNCTION("""COMPUTED_VALUE"""),"2*Ramesh S")</f>
        <v>2*Ramesh S</v>
      </c>
      <c r="M897" s="14">
        <f>IFERROR(__xludf.DUMMYFUNCTION("SPLIT(L897,""*"")"),2.0)</f>
        <v>2</v>
      </c>
      <c r="N897" s="14" t="str">
        <f>IFERROR(__xludf.DUMMYFUNCTION("""COMPUTED_VALUE"""),"Ramesh S")</f>
        <v>Ramesh S</v>
      </c>
      <c r="O897" s="14" t="str">
        <f>IFERROR(__xludf.DUMMYFUNCTION("split(J897,""*"")"),"Delivered")</f>
        <v>Delivered</v>
      </c>
      <c r="P897" s="14" t="str">
        <f>IFERROR(__xludf.DUMMYFUNCTION("""COMPUTED_VALUE"""),"Delivery Experience: Quick and professional")</f>
        <v>Delivery Experience: Quick and professional</v>
      </c>
      <c r="Q897" s="14" t="str">
        <f>IFERROR(__xludf.DUMMYFUNCTION("split(P897,"":"")"),"Delivery Experience")</f>
        <v>Delivery Experience</v>
      </c>
      <c r="R897" s="14" t="str">
        <f>IFERROR(__xludf.DUMMYFUNCTION("""COMPUTED_VALUE""")," Quick and professional")</f>
        <v> Quick and professional</v>
      </c>
      <c r="S897" s="14" t="str">
        <f t="shared" ref="S897:U897" si="1797">trim(B897)</f>
        <v>ord_30888</v>
      </c>
      <c r="T897" s="14" t="str">
        <f t="shared" si="1797"/>
        <v>Diya Arora</v>
      </c>
      <c r="U897" s="14" t="str">
        <f t="shared" si="1797"/>
        <v>Lower Parel</v>
      </c>
      <c r="V897" s="14" t="str">
        <f t="shared" si="4"/>
        <v>Cold Coffee</v>
      </c>
      <c r="W897" s="14">
        <f t="shared" si="5"/>
        <v>2</v>
      </c>
      <c r="X897" s="14" t="str">
        <f t="shared" si="6"/>
        <v>Ramesh S</v>
      </c>
      <c r="Y897" s="15">
        <f t="shared" si="7"/>
        <v>45129</v>
      </c>
      <c r="Z897" s="14" t="str">
        <f t="shared" si="8"/>
        <v>UPI</v>
      </c>
      <c r="AA897" s="14" t="str">
        <f t="shared" si="9"/>
        <v>Delivered</v>
      </c>
      <c r="AB897" s="14" t="str">
        <f t="shared" ref="AB897:AC897" si="1798">trim(Q897)</f>
        <v>Delivery Experience</v>
      </c>
      <c r="AC897" s="14" t="str">
        <f t="shared" si="1798"/>
        <v>Quick and professional</v>
      </c>
      <c r="AD897" s="8"/>
    </row>
    <row r="898">
      <c r="A898" s="14" t="str">
        <f>IFERROR(__xludf.DUMMYFUNCTION("""COMPUTED_VALUE"""),"//ord_30889//Pallavi Ghosh//Bandra//Chocolate Mousse+3*Ram Gopal/12/1/2023//UPI//Delivered*Convenience: Easy tracking")</f>
        <v>//ord_30889//Pallavi Ghosh//Bandra//Chocolate Mousse+3*Ram Gopal/12/1/2023//UPI//Delivered*Convenience: Easy tracking</v>
      </c>
      <c r="B898" s="14" t="str">
        <f>IFERROR(__xludf.DUMMYFUNCTION("split(A898,""//"")"),"ord_30889")</f>
        <v>ord_30889</v>
      </c>
      <c r="C898" s="14" t="str">
        <f>IFERROR(__xludf.DUMMYFUNCTION("""COMPUTED_VALUE"""),"Pallavi Ghosh")</f>
        <v>Pallavi Ghosh</v>
      </c>
      <c r="D898" s="14" t="str">
        <f>IFERROR(__xludf.DUMMYFUNCTION("""COMPUTED_VALUE"""),"Bandra")</f>
        <v>Bandra</v>
      </c>
      <c r="E898" s="14" t="str">
        <f>IFERROR(__xludf.DUMMYFUNCTION("""COMPUTED_VALUE"""),"Chocolate Mousse+3*Ram Gopal")</f>
        <v>Chocolate Mousse+3*Ram Gopal</v>
      </c>
      <c r="F898" s="14">
        <f>IFERROR(__xludf.DUMMYFUNCTION("""COMPUTED_VALUE"""),12.0)</f>
        <v>12</v>
      </c>
      <c r="G898" s="14">
        <f>IFERROR(__xludf.DUMMYFUNCTION("""COMPUTED_VALUE"""),1.0)</f>
        <v>1</v>
      </c>
      <c r="H898" s="14">
        <f>IFERROR(__xludf.DUMMYFUNCTION("""COMPUTED_VALUE"""),2023.0)</f>
        <v>2023</v>
      </c>
      <c r="I898" s="14" t="str">
        <f>IFERROR(__xludf.DUMMYFUNCTION("""COMPUTED_VALUE"""),"UPI")</f>
        <v>UPI</v>
      </c>
      <c r="J898" s="14" t="str">
        <f>IFERROR(__xludf.DUMMYFUNCTION("""COMPUTED_VALUE"""),"Delivered*Convenience: Easy tracking")</f>
        <v>Delivered*Convenience: Easy tracking</v>
      </c>
      <c r="K898" s="14" t="str">
        <f>IFERROR(__xludf.DUMMYFUNCTION("split(E898,""+"")"),"Chocolate Mousse")</f>
        <v>Chocolate Mousse</v>
      </c>
      <c r="L898" s="14" t="str">
        <f>IFERROR(__xludf.DUMMYFUNCTION("""COMPUTED_VALUE"""),"3*Ram Gopal")</f>
        <v>3*Ram Gopal</v>
      </c>
      <c r="M898" s="14">
        <f>IFERROR(__xludf.DUMMYFUNCTION("SPLIT(L898,""*"")"),3.0)</f>
        <v>3</v>
      </c>
      <c r="N898" s="14" t="str">
        <f>IFERROR(__xludf.DUMMYFUNCTION("""COMPUTED_VALUE"""),"Ram Gopal")</f>
        <v>Ram Gopal</v>
      </c>
      <c r="O898" s="14" t="str">
        <f>IFERROR(__xludf.DUMMYFUNCTION("split(J898,""*"")"),"Delivered")</f>
        <v>Delivered</v>
      </c>
      <c r="P898" s="14" t="str">
        <f>IFERROR(__xludf.DUMMYFUNCTION("""COMPUTED_VALUE"""),"Convenience: Easy tracking")</f>
        <v>Convenience: Easy tracking</v>
      </c>
      <c r="Q898" s="14" t="str">
        <f>IFERROR(__xludf.DUMMYFUNCTION("split(P898,"":"")"),"Convenience")</f>
        <v>Convenience</v>
      </c>
      <c r="R898" s="14" t="str">
        <f>IFERROR(__xludf.DUMMYFUNCTION("""COMPUTED_VALUE""")," Easy tracking")</f>
        <v> Easy tracking</v>
      </c>
      <c r="S898" s="14" t="str">
        <f t="shared" ref="S898:U898" si="1799">trim(B898)</f>
        <v>ord_30889</v>
      </c>
      <c r="T898" s="14" t="str">
        <f t="shared" si="1799"/>
        <v>Pallavi Ghosh</v>
      </c>
      <c r="U898" s="14" t="str">
        <f t="shared" si="1799"/>
        <v>Bandra</v>
      </c>
      <c r="V898" s="14" t="str">
        <f t="shared" si="4"/>
        <v>Chocolate Mousse</v>
      </c>
      <c r="W898" s="14">
        <f t="shared" si="5"/>
        <v>3</v>
      </c>
      <c r="X898" s="14" t="str">
        <f t="shared" si="6"/>
        <v>Ram Gopal</v>
      </c>
      <c r="Y898" s="15">
        <f t="shared" si="7"/>
        <v>45261</v>
      </c>
      <c r="Z898" s="14" t="str">
        <f t="shared" si="8"/>
        <v>UPI</v>
      </c>
      <c r="AA898" s="14" t="str">
        <f t="shared" si="9"/>
        <v>Delivered</v>
      </c>
      <c r="AB898" s="14" t="str">
        <f t="shared" ref="AB898:AC898" si="1800">trim(Q898)</f>
        <v>Convenience</v>
      </c>
      <c r="AC898" s="14" t="str">
        <f t="shared" si="1800"/>
        <v>Easy tracking</v>
      </c>
      <c r="AD898" s="8"/>
    </row>
    <row r="899">
      <c r="A899" s="14" t="str">
        <f>IFERROR(__xludf.DUMMYFUNCTION("""COMPUTED_VALUE"""),"//ord_30890//Tanishq Bansal//Powai//Cold Coffee+1*Vivek Kumar/8/26/2023//Credit Card//Delivered*Overall Satisfaction: Great service will order again")</f>
        <v>//ord_30890//Tanishq Bansal//Powai//Cold Coffee+1*Vivek Kumar/8/26/2023//Credit Card//Delivered*Overall Satisfaction: Great service will order again</v>
      </c>
      <c r="B899" s="14" t="str">
        <f>IFERROR(__xludf.DUMMYFUNCTION("split(A899,""//"")"),"ord_30890")</f>
        <v>ord_30890</v>
      </c>
      <c r="C899" s="14" t="str">
        <f>IFERROR(__xludf.DUMMYFUNCTION("""COMPUTED_VALUE"""),"Tanishq Bansal")</f>
        <v>Tanishq Bansal</v>
      </c>
      <c r="D899" s="14" t="str">
        <f>IFERROR(__xludf.DUMMYFUNCTION("""COMPUTED_VALUE"""),"Powai")</f>
        <v>Powai</v>
      </c>
      <c r="E899" s="14" t="str">
        <f>IFERROR(__xludf.DUMMYFUNCTION("""COMPUTED_VALUE"""),"Cold Coffee+1*Vivek Kumar")</f>
        <v>Cold Coffee+1*Vivek Kumar</v>
      </c>
      <c r="F899" s="14">
        <f>IFERROR(__xludf.DUMMYFUNCTION("""COMPUTED_VALUE"""),8.0)</f>
        <v>8</v>
      </c>
      <c r="G899" s="14">
        <f>IFERROR(__xludf.DUMMYFUNCTION("""COMPUTED_VALUE"""),26.0)</f>
        <v>26</v>
      </c>
      <c r="H899" s="14">
        <f>IFERROR(__xludf.DUMMYFUNCTION("""COMPUTED_VALUE"""),2023.0)</f>
        <v>2023</v>
      </c>
      <c r="I899" s="14" t="str">
        <f>IFERROR(__xludf.DUMMYFUNCTION("""COMPUTED_VALUE"""),"Credit Card")</f>
        <v>Credit Card</v>
      </c>
      <c r="J899" s="14" t="str">
        <f>IFERROR(__xludf.DUMMYFUNCTION("""COMPUTED_VALUE"""),"Delivered*Overall Satisfaction: Great service will order again")</f>
        <v>Delivered*Overall Satisfaction: Great service will order again</v>
      </c>
      <c r="K899" s="14" t="str">
        <f>IFERROR(__xludf.DUMMYFUNCTION("split(E899,""+"")"),"Cold Coffee")</f>
        <v>Cold Coffee</v>
      </c>
      <c r="L899" s="14" t="str">
        <f>IFERROR(__xludf.DUMMYFUNCTION("""COMPUTED_VALUE"""),"1*Vivek Kumar")</f>
        <v>1*Vivek Kumar</v>
      </c>
      <c r="M899" s="14">
        <f>IFERROR(__xludf.DUMMYFUNCTION("SPLIT(L899,""*"")"),1.0)</f>
        <v>1</v>
      </c>
      <c r="N899" s="14" t="str">
        <f>IFERROR(__xludf.DUMMYFUNCTION("""COMPUTED_VALUE"""),"Vivek Kumar")</f>
        <v>Vivek Kumar</v>
      </c>
      <c r="O899" s="14" t="str">
        <f>IFERROR(__xludf.DUMMYFUNCTION("split(J899,""*"")"),"Delivered")</f>
        <v>Delivered</v>
      </c>
      <c r="P899" s="14" t="str">
        <f>IFERROR(__xludf.DUMMYFUNCTION("""COMPUTED_VALUE"""),"Overall Satisfaction: Great service will order again")</f>
        <v>Overall Satisfaction: Great service will order again</v>
      </c>
      <c r="Q899" s="14" t="str">
        <f>IFERROR(__xludf.DUMMYFUNCTION("split(P899,"":"")"),"Overall Satisfaction")</f>
        <v>Overall Satisfaction</v>
      </c>
      <c r="R899" s="14" t="str">
        <f>IFERROR(__xludf.DUMMYFUNCTION("""COMPUTED_VALUE""")," Great service will order again")</f>
        <v> Great service will order again</v>
      </c>
      <c r="S899" s="14" t="str">
        <f t="shared" ref="S899:U899" si="1801">trim(B899)</f>
        <v>ord_30890</v>
      </c>
      <c r="T899" s="14" t="str">
        <f t="shared" si="1801"/>
        <v>Tanishq Bansal</v>
      </c>
      <c r="U899" s="14" t="str">
        <f t="shared" si="1801"/>
        <v>Powai</v>
      </c>
      <c r="V899" s="14" t="str">
        <f t="shared" si="4"/>
        <v>Cold Coffee</v>
      </c>
      <c r="W899" s="14">
        <f t="shared" si="5"/>
        <v>1</v>
      </c>
      <c r="X899" s="14" t="str">
        <f t="shared" si="6"/>
        <v>Vivek Kumar</v>
      </c>
      <c r="Y899" s="15">
        <f t="shared" si="7"/>
        <v>45164</v>
      </c>
      <c r="Z899" s="14" t="str">
        <f t="shared" si="8"/>
        <v>Credit Card</v>
      </c>
      <c r="AA899" s="14" t="str">
        <f t="shared" si="9"/>
        <v>Delivered</v>
      </c>
      <c r="AB899" s="14" t="str">
        <f t="shared" ref="AB899:AC899" si="1802">trim(Q899)</f>
        <v>Overall Satisfaction</v>
      </c>
      <c r="AC899" s="14" t="str">
        <f t="shared" si="1802"/>
        <v>Great service will order again</v>
      </c>
      <c r="AD899" s="8"/>
    </row>
    <row r="900">
      <c r="A900" s="14" t="str">
        <f>IFERROR(__xludf.DUMMYFUNCTION("""COMPUTED_VALUE"""),"//ord_30891//Mehul Thakkar//Malad//Chocolate Mousse+1*Priya Joshi/12/27/2023//Online Payment//Cancelled*Delayed Delivery:Bad Weather Conditions ")</f>
        <v>//ord_30891//Mehul Thakkar//Malad//Chocolate Mousse+1*Priya Joshi/12/27/2023//Online Payment//Cancelled*Delayed Delivery:Bad Weather Conditions </v>
      </c>
      <c r="B900" s="14" t="str">
        <f>IFERROR(__xludf.DUMMYFUNCTION("split(A900,""//"")"),"ord_30891")</f>
        <v>ord_30891</v>
      </c>
      <c r="C900" s="14" t="str">
        <f>IFERROR(__xludf.DUMMYFUNCTION("""COMPUTED_VALUE"""),"Mehul Thakkar")</f>
        <v>Mehul Thakkar</v>
      </c>
      <c r="D900" s="14" t="str">
        <f>IFERROR(__xludf.DUMMYFUNCTION("""COMPUTED_VALUE"""),"Malad")</f>
        <v>Malad</v>
      </c>
      <c r="E900" s="14" t="str">
        <f>IFERROR(__xludf.DUMMYFUNCTION("""COMPUTED_VALUE"""),"Chocolate Mousse+1*Priya Joshi")</f>
        <v>Chocolate Mousse+1*Priya Joshi</v>
      </c>
      <c r="F900" s="14">
        <f>IFERROR(__xludf.DUMMYFUNCTION("""COMPUTED_VALUE"""),12.0)</f>
        <v>12</v>
      </c>
      <c r="G900" s="14">
        <f>IFERROR(__xludf.DUMMYFUNCTION("""COMPUTED_VALUE"""),27.0)</f>
        <v>27</v>
      </c>
      <c r="H900" s="14">
        <f>IFERROR(__xludf.DUMMYFUNCTION("""COMPUTED_VALUE"""),2023.0)</f>
        <v>2023</v>
      </c>
      <c r="I900" s="14" t="str">
        <f>IFERROR(__xludf.DUMMYFUNCTION("""COMPUTED_VALUE"""),"Online Payment")</f>
        <v>Online Payment</v>
      </c>
      <c r="J900" s="14" t="str">
        <f>IFERROR(__xludf.DUMMYFUNCTION("""COMPUTED_VALUE"""),"Cancelled*Delayed Delivery:Bad Weather Conditions ")</f>
        <v>Cancelled*Delayed Delivery:Bad Weather Conditions </v>
      </c>
      <c r="K900" s="14" t="str">
        <f>IFERROR(__xludf.DUMMYFUNCTION("split(E900,""+"")"),"Chocolate Mousse")</f>
        <v>Chocolate Mousse</v>
      </c>
      <c r="L900" s="14" t="str">
        <f>IFERROR(__xludf.DUMMYFUNCTION("""COMPUTED_VALUE"""),"1*Priya Joshi")</f>
        <v>1*Priya Joshi</v>
      </c>
      <c r="M900" s="14">
        <f>IFERROR(__xludf.DUMMYFUNCTION("SPLIT(L900,""*"")"),1.0)</f>
        <v>1</v>
      </c>
      <c r="N900" s="14" t="str">
        <f>IFERROR(__xludf.DUMMYFUNCTION("""COMPUTED_VALUE"""),"Priya Joshi")</f>
        <v>Priya Joshi</v>
      </c>
      <c r="O900" s="14" t="str">
        <f>IFERROR(__xludf.DUMMYFUNCTION("split(J900,""*"")"),"Cancelled")</f>
        <v>Cancelled</v>
      </c>
      <c r="P900" s="14" t="str">
        <f>IFERROR(__xludf.DUMMYFUNCTION("""COMPUTED_VALUE"""),"Delayed Delivery:Bad Weather Conditions ")</f>
        <v>Delayed Delivery:Bad Weather Conditions </v>
      </c>
      <c r="Q900" s="14" t="str">
        <f>IFERROR(__xludf.DUMMYFUNCTION("split(P900,"":"")"),"Delayed Delivery")</f>
        <v>Delayed Delivery</v>
      </c>
      <c r="R900" s="14" t="str">
        <f>IFERROR(__xludf.DUMMYFUNCTION("""COMPUTED_VALUE"""),"Bad Weather Conditions ")</f>
        <v>Bad Weather Conditions </v>
      </c>
      <c r="S900" s="14" t="str">
        <f t="shared" ref="S900:U900" si="1803">trim(B900)</f>
        <v>ord_30891</v>
      </c>
      <c r="T900" s="14" t="str">
        <f t="shared" si="1803"/>
        <v>Mehul Thakkar</v>
      </c>
      <c r="U900" s="14" t="str">
        <f t="shared" si="1803"/>
        <v>Malad</v>
      </c>
      <c r="V900" s="14" t="str">
        <f t="shared" si="4"/>
        <v>Chocolate Mousse</v>
      </c>
      <c r="W900" s="14">
        <f t="shared" si="5"/>
        <v>1</v>
      </c>
      <c r="X900" s="14" t="str">
        <f t="shared" si="6"/>
        <v>Priya Joshi</v>
      </c>
      <c r="Y900" s="15">
        <f t="shared" si="7"/>
        <v>45287</v>
      </c>
      <c r="Z900" s="14" t="str">
        <f t="shared" si="8"/>
        <v>Online Payment</v>
      </c>
      <c r="AA900" s="14" t="str">
        <f t="shared" si="9"/>
        <v>Cancelled</v>
      </c>
      <c r="AB900" s="14" t="str">
        <f t="shared" ref="AB900:AC900" si="1804">trim(Q900)</f>
        <v>Delayed Delivery</v>
      </c>
      <c r="AC900" s="14" t="str">
        <f t="shared" si="1804"/>
        <v>Bad Weather Conditions</v>
      </c>
      <c r="AD900" s="8"/>
    </row>
    <row r="901">
      <c r="A901" s="14" t="str">
        <f>IFERROR(__xludf.DUMMYFUNCTION("""COMPUTED_VALUE"""),"//ord_30892//Dev Chauhan//Bandra//Rasmalai+2*Shine Thomas/12/5/2023//UPI//Delivered*On-time Delivery: Delivered on time")</f>
        <v>//ord_30892//Dev Chauhan//Bandra//Rasmalai+2*Shine Thomas/12/5/2023//UPI//Delivered*On-time Delivery: Delivered on time</v>
      </c>
      <c r="B901" s="14" t="str">
        <f>IFERROR(__xludf.DUMMYFUNCTION("split(A901,""//"")"),"ord_30892")</f>
        <v>ord_30892</v>
      </c>
      <c r="C901" s="14" t="str">
        <f>IFERROR(__xludf.DUMMYFUNCTION("""COMPUTED_VALUE"""),"Dev Chauhan")</f>
        <v>Dev Chauhan</v>
      </c>
      <c r="D901" s="14" t="str">
        <f>IFERROR(__xludf.DUMMYFUNCTION("""COMPUTED_VALUE"""),"Bandra")</f>
        <v>Bandra</v>
      </c>
      <c r="E901" s="14" t="str">
        <f>IFERROR(__xludf.DUMMYFUNCTION("""COMPUTED_VALUE"""),"Rasmalai+2*Shine Thomas")</f>
        <v>Rasmalai+2*Shine Thomas</v>
      </c>
      <c r="F901" s="14">
        <f>IFERROR(__xludf.DUMMYFUNCTION("""COMPUTED_VALUE"""),12.0)</f>
        <v>12</v>
      </c>
      <c r="G901" s="14">
        <f>IFERROR(__xludf.DUMMYFUNCTION("""COMPUTED_VALUE"""),5.0)</f>
        <v>5</v>
      </c>
      <c r="H901" s="14">
        <f>IFERROR(__xludf.DUMMYFUNCTION("""COMPUTED_VALUE"""),2023.0)</f>
        <v>2023</v>
      </c>
      <c r="I901" s="14" t="str">
        <f>IFERROR(__xludf.DUMMYFUNCTION("""COMPUTED_VALUE"""),"UPI")</f>
        <v>UPI</v>
      </c>
      <c r="J901" s="14" t="str">
        <f>IFERROR(__xludf.DUMMYFUNCTION("""COMPUTED_VALUE"""),"Delivered*On-time Delivery: Delivered on time")</f>
        <v>Delivered*On-time Delivery: Delivered on time</v>
      </c>
      <c r="K901" s="14" t="str">
        <f>IFERROR(__xludf.DUMMYFUNCTION("split(E901,""+"")"),"Rasmalai")</f>
        <v>Rasmalai</v>
      </c>
      <c r="L901" s="14" t="str">
        <f>IFERROR(__xludf.DUMMYFUNCTION("""COMPUTED_VALUE"""),"2*Shine Thomas")</f>
        <v>2*Shine Thomas</v>
      </c>
      <c r="M901" s="14">
        <f>IFERROR(__xludf.DUMMYFUNCTION("SPLIT(L901,""*"")"),2.0)</f>
        <v>2</v>
      </c>
      <c r="N901" s="14" t="str">
        <f>IFERROR(__xludf.DUMMYFUNCTION("""COMPUTED_VALUE"""),"Shine Thomas")</f>
        <v>Shine Thomas</v>
      </c>
      <c r="O901" s="14" t="str">
        <f>IFERROR(__xludf.DUMMYFUNCTION("split(J901,""*"")"),"Delivered")</f>
        <v>Delivered</v>
      </c>
      <c r="P901" s="14" t="str">
        <f>IFERROR(__xludf.DUMMYFUNCTION("""COMPUTED_VALUE"""),"On-time Delivery: Delivered on time")</f>
        <v>On-time Delivery: Delivered on time</v>
      </c>
      <c r="Q901" s="14" t="str">
        <f>IFERROR(__xludf.DUMMYFUNCTION("split(P901,"":"")"),"On-time Delivery")</f>
        <v>On-time Delivery</v>
      </c>
      <c r="R901" s="14" t="str">
        <f>IFERROR(__xludf.DUMMYFUNCTION("""COMPUTED_VALUE""")," Delivered on time")</f>
        <v> Delivered on time</v>
      </c>
      <c r="S901" s="14" t="str">
        <f t="shared" ref="S901:U901" si="1805">trim(B901)</f>
        <v>ord_30892</v>
      </c>
      <c r="T901" s="14" t="str">
        <f t="shared" si="1805"/>
        <v>Dev Chauhan</v>
      </c>
      <c r="U901" s="14" t="str">
        <f t="shared" si="1805"/>
        <v>Bandra</v>
      </c>
      <c r="V901" s="14" t="str">
        <f t="shared" si="4"/>
        <v>Rasmalai</v>
      </c>
      <c r="W901" s="14">
        <f t="shared" si="5"/>
        <v>2</v>
      </c>
      <c r="X901" s="14" t="str">
        <f t="shared" si="6"/>
        <v>Shine Thomas</v>
      </c>
      <c r="Y901" s="15">
        <f t="shared" si="7"/>
        <v>45265</v>
      </c>
      <c r="Z901" s="14" t="str">
        <f t="shared" si="8"/>
        <v>UPI</v>
      </c>
      <c r="AA901" s="14" t="str">
        <f t="shared" si="9"/>
        <v>Delivered</v>
      </c>
      <c r="AB901" s="14" t="str">
        <f t="shared" ref="AB901:AC901" si="1806">trim(Q901)</f>
        <v>On-time Delivery</v>
      </c>
      <c r="AC901" s="14" t="str">
        <f t="shared" si="1806"/>
        <v>Delivered on time</v>
      </c>
      <c r="AD901" s="8"/>
    </row>
    <row r="902">
      <c r="A902" s="14" t="str">
        <f>IFERROR(__xludf.DUMMYFUNCTION("""COMPUTED_VALUE"""),"//ord_30893//Siya Reddy//Juhu//Cucumber+1*Not Assigned/12/9/2023//Credit Card//Cancelled*Out of Stock")</f>
        <v>//ord_30893//Siya Reddy//Juhu//Cucumber+1*Not Assigned/12/9/2023//Credit Card//Cancelled*Out of Stock</v>
      </c>
      <c r="B902" s="14" t="str">
        <f>IFERROR(__xludf.DUMMYFUNCTION("split(A902,""//"")"),"ord_30893")</f>
        <v>ord_30893</v>
      </c>
      <c r="C902" s="14" t="str">
        <f>IFERROR(__xludf.DUMMYFUNCTION("""COMPUTED_VALUE"""),"Siya Reddy")</f>
        <v>Siya Reddy</v>
      </c>
      <c r="D902" s="14" t="str">
        <f>IFERROR(__xludf.DUMMYFUNCTION("""COMPUTED_VALUE"""),"Juhu")</f>
        <v>Juhu</v>
      </c>
      <c r="E902" s="14" t="str">
        <f>IFERROR(__xludf.DUMMYFUNCTION("""COMPUTED_VALUE"""),"Cucumber+1*Not Assigned")</f>
        <v>Cucumber+1*Not Assigned</v>
      </c>
      <c r="F902" s="14">
        <f>IFERROR(__xludf.DUMMYFUNCTION("""COMPUTED_VALUE"""),12.0)</f>
        <v>12</v>
      </c>
      <c r="G902" s="14">
        <f>IFERROR(__xludf.DUMMYFUNCTION("""COMPUTED_VALUE"""),9.0)</f>
        <v>9</v>
      </c>
      <c r="H902" s="14">
        <f>IFERROR(__xludf.DUMMYFUNCTION("""COMPUTED_VALUE"""),2023.0)</f>
        <v>2023</v>
      </c>
      <c r="I902" s="14" t="str">
        <f>IFERROR(__xludf.DUMMYFUNCTION("""COMPUTED_VALUE"""),"Credit Card")</f>
        <v>Credit Card</v>
      </c>
      <c r="J902" s="14" t="str">
        <f>IFERROR(__xludf.DUMMYFUNCTION("""COMPUTED_VALUE"""),"Cancelled*Out of Stock")</f>
        <v>Cancelled*Out of Stock</v>
      </c>
      <c r="K902" s="14" t="str">
        <f>IFERROR(__xludf.DUMMYFUNCTION("split(E902,""+"")"),"Cucumber")</f>
        <v>Cucumber</v>
      </c>
      <c r="L902" s="14" t="str">
        <f>IFERROR(__xludf.DUMMYFUNCTION("""COMPUTED_VALUE"""),"1*Not Assigned")</f>
        <v>1*Not Assigned</v>
      </c>
      <c r="M902" s="14">
        <f>IFERROR(__xludf.DUMMYFUNCTION("SPLIT(L902,""*"")"),1.0)</f>
        <v>1</v>
      </c>
      <c r="N902" s="14" t="str">
        <f>IFERROR(__xludf.DUMMYFUNCTION("""COMPUTED_VALUE"""),"Not Assigned")</f>
        <v>Not Assigned</v>
      </c>
      <c r="O902" s="14" t="str">
        <f>IFERROR(__xludf.DUMMYFUNCTION("split(J902,""*"")"),"Cancelled")</f>
        <v>Cancelled</v>
      </c>
      <c r="P902" s="14" t="str">
        <f>IFERROR(__xludf.DUMMYFUNCTION("""COMPUTED_VALUE"""),"Out of Stock")</f>
        <v>Out of Stock</v>
      </c>
      <c r="Q902" s="14" t="str">
        <f>IFERROR(__xludf.DUMMYFUNCTION("split(P902,"":"")"),"Out of Stock")</f>
        <v>Out of Stock</v>
      </c>
      <c r="R902" s="14"/>
      <c r="S902" s="14" t="str">
        <f t="shared" ref="S902:U902" si="1807">trim(B902)</f>
        <v>ord_30893</v>
      </c>
      <c r="T902" s="14" t="str">
        <f t="shared" si="1807"/>
        <v>Siya Reddy</v>
      </c>
      <c r="U902" s="14" t="str">
        <f t="shared" si="1807"/>
        <v>Juhu</v>
      </c>
      <c r="V902" s="14" t="str">
        <f t="shared" si="4"/>
        <v>Cucumber</v>
      </c>
      <c r="W902" s="14">
        <f t="shared" si="5"/>
        <v>1</v>
      </c>
      <c r="X902" s="14" t="str">
        <f t="shared" si="6"/>
        <v>Not Assigned</v>
      </c>
      <c r="Y902" s="15">
        <f t="shared" si="7"/>
        <v>45269</v>
      </c>
      <c r="Z902" s="14" t="str">
        <f t="shared" si="8"/>
        <v>Credit Card</v>
      </c>
      <c r="AA902" s="14" t="str">
        <f t="shared" si="9"/>
        <v>Cancelled</v>
      </c>
      <c r="AB902" s="14" t="str">
        <f t="shared" ref="AB902:AC902" si="1808">trim(Q902)</f>
        <v>Out of Stock</v>
      </c>
      <c r="AC902" s="14" t="str">
        <f t="shared" si="1808"/>
        <v/>
      </c>
      <c r="AD902" s="8"/>
    </row>
    <row r="903">
      <c r="A903" s="14" t="str">
        <f>IFERROR(__xludf.DUMMYFUNCTION("""COMPUTED_VALUE"""),"//ord_30894//Ishaan Chaturvedi//Bandra//Potato+1*Ramesh S/10/16/2023//COD//Delivered*Quality of Items: Perfect condition")</f>
        <v>//ord_30894//Ishaan Chaturvedi//Bandra//Potato+1*Ramesh S/10/16/2023//COD//Delivered*Quality of Items: Perfect condition</v>
      </c>
      <c r="B903" s="14" t="str">
        <f>IFERROR(__xludf.DUMMYFUNCTION("split(A903,""//"")"),"ord_30894")</f>
        <v>ord_30894</v>
      </c>
      <c r="C903" s="14" t="str">
        <f>IFERROR(__xludf.DUMMYFUNCTION("""COMPUTED_VALUE"""),"Ishaan Chaturvedi")</f>
        <v>Ishaan Chaturvedi</v>
      </c>
      <c r="D903" s="14" t="str">
        <f>IFERROR(__xludf.DUMMYFUNCTION("""COMPUTED_VALUE"""),"Bandra")</f>
        <v>Bandra</v>
      </c>
      <c r="E903" s="14" t="str">
        <f>IFERROR(__xludf.DUMMYFUNCTION("""COMPUTED_VALUE"""),"Potato+1*Ramesh S")</f>
        <v>Potato+1*Ramesh S</v>
      </c>
      <c r="F903" s="14">
        <f>IFERROR(__xludf.DUMMYFUNCTION("""COMPUTED_VALUE"""),10.0)</f>
        <v>10</v>
      </c>
      <c r="G903" s="14">
        <f>IFERROR(__xludf.DUMMYFUNCTION("""COMPUTED_VALUE"""),16.0)</f>
        <v>16</v>
      </c>
      <c r="H903" s="14">
        <f>IFERROR(__xludf.DUMMYFUNCTION("""COMPUTED_VALUE"""),2023.0)</f>
        <v>2023</v>
      </c>
      <c r="I903" s="14" t="str">
        <f>IFERROR(__xludf.DUMMYFUNCTION("""COMPUTED_VALUE"""),"COD")</f>
        <v>COD</v>
      </c>
      <c r="J903" s="14" t="str">
        <f>IFERROR(__xludf.DUMMYFUNCTION("""COMPUTED_VALUE"""),"Delivered*Quality of Items: Perfect condition")</f>
        <v>Delivered*Quality of Items: Perfect condition</v>
      </c>
      <c r="K903" s="14" t="str">
        <f>IFERROR(__xludf.DUMMYFUNCTION("split(E903,""+"")"),"Potato")</f>
        <v>Potato</v>
      </c>
      <c r="L903" s="14" t="str">
        <f>IFERROR(__xludf.DUMMYFUNCTION("""COMPUTED_VALUE"""),"1*Ramesh S")</f>
        <v>1*Ramesh S</v>
      </c>
      <c r="M903" s="14">
        <f>IFERROR(__xludf.DUMMYFUNCTION("SPLIT(L903,""*"")"),1.0)</f>
        <v>1</v>
      </c>
      <c r="N903" s="14" t="str">
        <f>IFERROR(__xludf.DUMMYFUNCTION("""COMPUTED_VALUE"""),"Ramesh S")</f>
        <v>Ramesh S</v>
      </c>
      <c r="O903" s="14" t="str">
        <f>IFERROR(__xludf.DUMMYFUNCTION("split(J903,""*"")"),"Delivered")</f>
        <v>Delivered</v>
      </c>
      <c r="P903" s="14" t="str">
        <f>IFERROR(__xludf.DUMMYFUNCTION("""COMPUTED_VALUE"""),"Quality of Items: Perfect condition")</f>
        <v>Quality of Items: Perfect condition</v>
      </c>
      <c r="Q903" s="14" t="str">
        <f>IFERROR(__xludf.DUMMYFUNCTION("split(P903,"":"")"),"Quality of Items")</f>
        <v>Quality of Items</v>
      </c>
      <c r="R903" s="14" t="str">
        <f>IFERROR(__xludf.DUMMYFUNCTION("""COMPUTED_VALUE""")," Perfect condition")</f>
        <v> Perfect condition</v>
      </c>
      <c r="S903" s="14" t="str">
        <f t="shared" ref="S903:U903" si="1809">trim(B903)</f>
        <v>ord_30894</v>
      </c>
      <c r="T903" s="14" t="str">
        <f t="shared" si="1809"/>
        <v>Ishaan Chaturvedi</v>
      </c>
      <c r="U903" s="14" t="str">
        <f t="shared" si="1809"/>
        <v>Bandra</v>
      </c>
      <c r="V903" s="14" t="str">
        <f t="shared" si="4"/>
        <v>Potato</v>
      </c>
      <c r="W903" s="14">
        <f t="shared" si="5"/>
        <v>1</v>
      </c>
      <c r="X903" s="14" t="str">
        <f t="shared" si="6"/>
        <v>Ramesh S</v>
      </c>
      <c r="Y903" s="15">
        <f t="shared" si="7"/>
        <v>45215</v>
      </c>
      <c r="Z903" s="14" t="str">
        <f t="shared" si="8"/>
        <v>COD</v>
      </c>
      <c r="AA903" s="14" t="str">
        <f t="shared" si="9"/>
        <v>Delivered</v>
      </c>
      <c r="AB903" s="14" t="str">
        <f t="shared" ref="AB903:AC903" si="1810">trim(Q903)</f>
        <v>Quality of Items</v>
      </c>
      <c r="AC903" s="14" t="str">
        <f t="shared" si="1810"/>
        <v>Perfect condition</v>
      </c>
      <c r="AD903" s="8"/>
    </row>
    <row r="904">
      <c r="A904" s="14" t="str">
        <f>IFERROR(__xludf.DUMMYFUNCTION("""COMPUTED_VALUE"""),"//ord_30895//Aarav Mehta//Andheri//Orange+2*Vivek Kumar/12/18/2023//Credit Card//Delivered*On-time Delivery: Delivered on time")</f>
        <v>//ord_30895//Aarav Mehta//Andheri//Orange+2*Vivek Kumar/12/18/2023//Credit Card//Delivered*On-time Delivery: Delivered on time</v>
      </c>
      <c r="B904" s="14" t="str">
        <f>IFERROR(__xludf.DUMMYFUNCTION("split(A904,""//"")"),"ord_30895")</f>
        <v>ord_30895</v>
      </c>
      <c r="C904" s="14" t="str">
        <f>IFERROR(__xludf.DUMMYFUNCTION("""COMPUTED_VALUE"""),"Aarav Mehta")</f>
        <v>Aarav Mehta</v>
      </c>
      <c r="D904" s="14" t="str">
        <f>IFERROR(__xludf.DUMMYFUNCTION("""COMPUTED_VALUE"""),"Andheri")</f>
        <v>Andheri</v>
      </c>
      <c r="E904" s="14" t="str">
        <f>IFERROR(__xludf.DUMMYFUNCTION("""COMPUTED_VALUE"""),"Orange+2*Vivek Kumar")</f>
        <v>Orange+2*Vivek Kumar</v>
      </c>
      <c r="F904" s="14">
        <f>IFERROR(__xludf.DUMMYFUNCTION("""COMPUTED_VALUE"""),12.0)</f>
        <v>12</v>
      </c>
      <c r="G904" s="14">
        <f>IFERROR(__xludf.DUMMYFUNCTION("""COMPUTED_VALUE"""),18.0)</f>
        <v>18</v>
      </c>
      <c r="H904" s="14">
        <f>IFERROR(__xludf.DUMMYFUNCTION("""COMPUTED_VALUE"""),2023.0)</f>
        <v>2023</v>
      </c>
      <c r="I904" s="14" t="str">
        <f>IFERROR(__xludf.DUMMYFUNCTION("""COMPUTED_VALUE"""),"Credit Card")</f>
        <v>Credit Card</v>
      </c>
      <c r="J904" s="14" t="str">
        <f>IFERROR(__xludf.DUMMYFUNCTION("""COMPUTED_VALUE"""),"Delivered*On-time Delivery: Delivered on time")</f>
        <v>Delivered*On-time Delivery: Delivered on time</v>
      </c>
      <c r="K904" s="14" t="str">
        <f>IFERROR(__xludf.DUMMYFUNCTION("split(E904,""+"")"),"Orange")</f>
        <v>Orange</v>
      </c>
      <c r="L904" s="14" t="str">
        <f>IFERROR(__xludf.DUMMYFUNCTION("""COMPUTED_VALUE"""),"2*Vivek Kumar")</f>
        <v>2*Vivek Kumar</v>
      </c>
      <c r="M904" s="14">
        <f>IFERROR(__xludf.DUMMYFUNCTION("SPLIT(L904,""*"")"),2.0)</f>
        <v>2</v>
      </c>
      <c r="N904" s="14" t="str">
        <f>IFERROR(__xludf.DUMMYFUNCTION("""COMPUTED_VALUE"""),"Vivek Kumar")</f>
        <v>Vivek Kumar</v>
      </c>
      <c r="O904" s="14" t="str">
        <f>IFERROR(__xludf.DUMMYFUNCTION("split(J904,""*"")"),"Delivered")</f>
        <v>Delivered</v>
      </c>
      <c r="P904" s="14" t="str">
        <f>IFERROR(__xludf.DUMMYFUNCTION("""COMPUTED_VALUE"""),"On-time Delivery: Delivered on time")</f>
        <v>On-time Delivery: Delivered on time</v>
      </c>
      <c r="Q904" s="14" t="str">
        <f>IFERROR(__xludf.DUMMYFUNCTION("split(P904,"":"")"),"On-time Delivery")</f>
        <v>On-time Delivery</v>
      </c>
      <c r="R904" s="14" t="str">
        <f>IFERROR(__xludf.DUMMYFUNCTION("""COMPUTED_VALUE""")," Delivered on time")</f>
        <v> Delivered on time</v>
      </c>
      <c r="S904" s="14" t="str">
        <f t="shared" ref="S904:U904" si="1811">trim(B904)</f>
        <v>ord_30895</v>
      </c>
      <c r="T904" s="14" t="str">
        <f t="shared" si="1811"/>
        <v>Aarav Mehta</v>
      </c>
      <c r="U904" s="14" t="str">
        <f t="shared" si="1811"/>
        <v>Andheri</v>
      </c>
      <c r="V904" s="14" t="str">
        <f t="shared" si="4"/>
        <v>Orange</v>
      </c>
      <c r="W904" s="14">
        <f t="shared" si="5"/>
        <v>2</v>
      </c>
      <c r="X904" s="14" t="str">
        <f t="shared" si="6"/>
        <v>Vivek Kumar</v>
      </c>
      <c r="Y904" s="15">
        <f t="shared" si="7"/>
        <v>45278</v>
      </c>
      <c r="Z904" s="14" t="str">
        <f t="shared" si="8"/>
        <v>Credit Card</v>
      </c>
      <c r="AA904" s="14" t="str">
        <f t="shared" si="9"/>
        <v>Delivered</v>
      </c>
      <c r="AB904" s="14" t="str">
        <f t="shared" ref="AB904:AC904" si="1812">trim(Q904)</f>
        <v>On-time Delivery</v>
      </c>
      <c r="AC904" s="14" t="str">
        <f t="shared" si="1812"/>
        <v>Delivered on time</v>
      </c>
      <c r="AD904" s="8"/>
    </row>
    <row r="905">
      <c r="A905" s="14" t="str">
        <f>IFERROR(__xludf.DUMMYFUNCTION("""COMPUTED_VALUE"""),"//ord_30896//Pallavi Ghosh//Bandra//Veg Puff+4*Sita T/5/17/2023//COD//Delivered*Quality of Items: Perfect condition")</f>
        <v>//ord_30896//Pallavi Ghosh//Bandra//Veg Puff+4*Sita T/5/17/2023//COD//Delivered*Quality of Items: Perfect condition</v>
      </c>
      <c r="B905" s="14" t="str">
        <f>IFERROR(__xludf.DUMMYFUNCTION("split(A905,""//"")"),"ord_30896")</f>
        <v>ord_30896</v>
      </c>
      <c r="C905" s="14" t="str">
        <f>IFERROR(__xludf.DUMMYFUNCTION("""COMPUTED_VALUE"""),"Pallavi Ghosh")</f>
        <v>Pallavi Ghosh</v>
      </c>
      <c r="D905" s="14" t="str">
        <f>IFERROR(__xludf.DUMMYFUNCTION("""COMPUTED_VALUE"""),"Bandra")</f>
        <v>Bandra</v>
      </c>
      <c r="E905" s="14" t="str">
        <f>IFERROR(__xludf.DUMMYFUNCTION("""COMPUTED_VALUE"""),"Veg Puff+4*Sita T")</f>
        <v>Veg Puff+4*Sita T</v>
      </c>
      <c r="F905" s="14">
        <f>IFERROR(__xludf.DUMMYFUNCTION("""COMPUTED_VALUE"""),5.0)</f>
        <v>5</v>
      </c>
      <c r="G905" s="14">
        <f>IFERROR(__xludf.DUMMYFUNCTION("""COMPUTED_VALUE"""),17.0)</f>
        <v>17</v>
      </c>
      <c r="H905" s="14">
        <f>IFERROR(__xludf.DUMMYFUNCTION("""COMPUTED_VALUE"""),2023.0)</f>
        <v>2023</v>
      </c>
      <c r="I905" s="14" t="str">
        <f>IFERROR(__xludf.DUMMYFUNCTION("""COMPUTED_VALUE"""),"COD")</f>
        <v>COD</v>
      </c>
      <c r="J905" s="14" t="str">
        <f>IFERROR(__xludf.DUMMYFUNCTION("""COMPUTED_VALUE"""),"Delivered*Quality of Items: Perfect condition")</f>
        <v>Delivered*Quality of Items: Perfect condition</v>
      </c>
      <c r="K905" s="14" t="str">
        <f>IFERROR(__xludf.DUMMYFUNCTION("split(E905,""+"")"),"Veg Puff")</f>
        <v>Veg Puff</v>
      </c>
      <c r="L905" s="14" t="str">
        <f>IFERROR(__xludf.DUMMYFUNCTION("""COMPUTED_VALUE"""),"4*Sita T")</f>
        <v>4*Sita T</v>
      </c>
      <c r="M905" s="14">
        <f>IFERROR(__xludf.DUMMYFUNCTION("SPLIT(L905,""*"")"),4.0)</f>
        <v>4</v>
      </c>
      <c r="N905" s="14" t="str">
        <f>IFERROR(__xludf.DUMMYFUNCTION("""COMPUTED_VALUE"""),"Sita T")</f>
        <v>Sita T</v>
      </c>
      <c r="O905" s="14" t="str">
        <f>IFERROR(__xludf.DUMMYFUNCTION("split(J905,""*"")"),"Delivered")</f>
        <v>Delivered</v>
      </c>
      <c r="P905" s="14" t="str">
        <f>IFERROR(__xludf.DUMMYFUNCTION("""COMPUTED_VALUE"""),"Quality of Items: Perfect condition")</f>
        <v>Quality of Items: Perfect condition</v>
      </c>
      <c r="Q905" s="14" t="str">
        <f>IFERROR(__xludf.DUMMYFUNCTION("split(P905,"":"")"),"Quality of Items")</f>
        <v>Quality of Items</v>
      </c>
      <c r="R905" s="14" t="str">
        <f>IFERROR(__xludf.DUMMYFUNCTION("""COMPUTED_VALUE""")," Perfect condition")</f>
        <v> Perfect condition</v>
      </c>
      <c r="S905" s="14" t="str">
        <f t="shared" ref="S905:U905" si="1813">trim(B905)</f>
        <v>ord_30896</v>
      </c>
      <c r="T905" s="14" t="str">
        <f t="shared" si="1813"/>
        <v>Pallavi Ghosh</v>
      </c>
      <c r="U905" s="14" t="str">
        <f t="shared" si="1813"/>
        <v>Bandra</v>
      </c>
      <c r="V905" s="14" t="str">
        <f t="shared" si="4"/>
        <v>Veg Puff</v>
      </c>
      <c r="W905" s="14">
        <f t="shared" si="5"/>
        <v>4</v>
      </c>
      <c r="X905" s="14" t="str">
        <f t="shared" si="6"/>
        <v>Sita T</v>
      </c>
      <c r="Y905" s="15">
        <f t="shared" si="7"/>
        <v>45063</v>
      </c>
      <c r="Z905" s="14" t="str">
        <f t="shared" si="8"/>
        <v>COD</v>
      </c>
      <c r="AA905" s="14" t="str">
        <f t="shared" si="9"/>
        <v>Delivered</v>
      </c>
      <c r="AB905" s="14" t="str">
        <f t="shared" ref="AB905:AC905" si="1814">trim(Q905)</f>
        <v>Quality of Items</v>
      </c>
      <c r="AC905" s="14" t="str">
        <f t="shared" si="1814"/>
        <v>Perfect condition</v>
      </c>
      <c r="AD905" s="8"/>
    </row>
    <row r="906">
      <c r="A906" s="14" t="str">
        <f>IFERROR(__xludf.DUMMYFUNCTION("""COMPUTED_VALUE"""),"//ord_30897//Aarohi Kapoor//Bandra//Juice+2*Vivek Kumar/9/20/2023//Online Payment//Delivered*Packaging: Secure and intact")</f>
        <v>//ord_30897//Aarohi Kapoor//Bandra//Juice+2*Vivek Kumar/9/20/2023//Online Payment//Delivered*Packaging: Secure and intact</v>
      </c>
      <c r="B906" s="14" t="str">
        <f>IFERROR(__xludf.DUMMYFUNCTION("split(A906,""//"")"),"ord_30897")</f>
        <v>ord_30897</v>
      </c>
      <c r="C906" s="14" t="str">
        <f>IFERROR(__xludf.DUMMYFUNCTION("""COMPUTED_VALUE"""),"Aarohi Kapoor")</f>
        <v>Aarohi Kapoor</v>
      </c>
      <c r="D906" s="14" t="str">
        <f>IFERROR(__xludf.DUMMYFUNCTION("""COMPUTED_VALUE"""),"Bandra")</f>
        <v>Bandra</v>
      </c>
      <c r="E906" s="14" t="str">
        <f>IFERROR(__xludf.DUMMYFUNCTION("""COMPUTED_VALUE"""),"Juice+2*Vivek Kumar")</f>
        <v>Juice+2*Vivek Kumar</v>
      </c>
      <c r="F906" s="14">
        <f>IFERROR(__xludf.DUMMYFUNCTION("""COMPUTED_VALUE"""),9.0)</f>
        <v>9</v>
      </c>
      <c r="G906" s="14">
        <f>IFERROR(__xludf.DUMMYFUNCTION("""COMPUTED_VALUE"""),20.0)</f>
        <v>20</v>
      </c>
      <c r="H906" s="14">
        <f>IFERROR(__xludf.DUMMYFUNCTION("""COMPUTED_VALUE"""),2023.0)</f>
        <v>2023</v>
      </c>
      <c r="I906" s="14" t="str">
        <f>IFERROR(__xludf.DUMMYFUNCTION("""COMPUTED_VALUE"""),"Online Payment")</f>
        <v>Online Payment</v>
      </c>
      <c r="J906" s="14" t="str">
        <f>IFERROR(__xludf.DUMMYFUNCTION("""COMPUTED_VALUE"""),"Delivered*Packaging: Secure and intact")</f>
        <v>Delivered*Packaging: Secure and intact</v>
      </c>
      <c r="K906" s="14" t="str">
        <f>IFERROR(__xludf.DUMMYFUNCTION("split(E906,""+"")"),"Juice")</f>
        <v>Juice</v>
      </c>
      <c r="L906" s="14" t="str">
        <f>IFERROR(__xludf.DUMMYFUNCTION("""COMPUTED_VALUE"""),"2*Vivek Kumar")</f>
        <v>2*Vivek Kumar</v>
      </c>
      <c r="M906" s="14">
        <f>IFERROR(__xludf.DUMMYFUNCTION("SPLIT(L906,""*"")"),2.0)</f>
        <v>2</v>
      </c>
      <c r="N906" s="14" t="str">
        <f>IFERROR(__xludf.DUMMYFUNCTION("""COMPUTED_VALUE"""),"Vivek Kumar")</f>
        <v>Vivek Kumar</v>
      </c>
      <c r="O906" s="14" t="str">
        <f>IFERROR(__xludf.DUMMYFUNCTION("split(J906,""*"")"),"Delivered")</f>
        <v>Delivered</v>
      </c>
      <c r="P906" s="14" t="str">
        <f>IFERROR(__xludf.DUMMYFUNCTION("""COMPUTED_VALUE"""),"Packaging: Secure and intact")</f>
        <v>Packaging: Secure and intact</v>
      </c>
      <c r="Q906" s="14" t="str">
        <f>IFERROR(__xludf.DUMMYFUNCTION("split(P906,"":"")"),"Packaging")</f>
        <v>Packaging</v>
      </c>
      <c r="R906" s="14" t="str">
        <f>IFERROR(__xludf.DUMMYFUNCTION("""COMPUTED_VALUE""")," Secure and intact")</f>
        <v> Secure and intact</v>
      </c>
      <c r="S906" s="14" t="str">
        <f t="shared" ref="S906:U906" si="1815">trim(B906)</f>
        <v>ord_30897</v>
      </c>
      <c r="T906" s="14" t="str">
        <f t="shared" si="1815"/>
        <v>Aarohi Kapoor</v>
      </c>
      <c r="U906" s="14" t="str">
        <f t="shared" si="1815"/>
        <v>Bandra</v>
      </c>
      <c r="V906" s="14" t="str">
        <f t="shared" si="4"/>
        <v>Juice</v>
      </c>
      <c r="W906" s="14">
        <f t="shared" si="5"/>
        <v>2</v>
      </c>
      <c r="X906" s="14" t="str">
        <f t="shared" si="6"/>
        <v>Vivek Kumar</v>
      </c>
      <c r="Y906" s="15">
        <f t="shared" si="7"/>
        <v>45189</v>
      </c>
      <c r="Z906" s="14" t="str">
        <f t="shared" si="8"/>
        <v>Online Payment</v>
      </c>
      <c r="AA906" s="14" t="str">
        <f t="shared" si="9"/>
        <v>Delivered</v>
      </c>
      <c r="AB906" s="14" t="str">
        <f t="shared" ref="AB906:AC906" si="1816">trim(Q906)</f>
        <v>Packaging</v>
      </c>
      <c r="AC906" s="14" t="str">
        <f t="shared" si="1816"/>
        <v>Secure and intact</v>
      </c>
      <c r="AD906" s="8"/>
    </row>
    <row r="907">
      <c r="A907" s="14" t="str">
        <f>IFERROR(__xludf.DUMMYFUNCTION("""COMPUTED_VALUE"""),"//ord_30898//Pallavi Ghosh//Bandra//Chicken Puff+3*Vivek Kumar/3/14/2023//Online Payment//Delivered*Satisfied with the Delivery: Timely and quality")</f>
        <v>//ord_30898//Pallavi Ghosh//Bandra//Chicken Puff+3*Vivek Kumar/3/14/2023//Online Payment//Delivered*Satisfied with the Delivery: Timely and quality</v>
      </c>
      <c r="B907" s="14" t="str">
        <f>IFERROR(__xludf.DUMMYFUNCTION("split(A907,""//"")"),"ord_30898")</f>
        <v>ord_30898</v>
      </c>
      <c r="C907" s="14" t="str">
        <f>IFERROR(__xludf.DUMMYFUNCTION("""COMPUTED_VALUE"""),"Pallavi Ghosh")</f>
        <v>Pallavi Ghosh</v>
      </c>
      <c r="D907" s="14" t="str">
        <f>IFERROR(__xludf.DUMMYFUNCTION("""COMPUTED_VALUE"""),"Bandra")</f>
        <v>Bandra</v>
      </c>
      <c r="E907" s="14" t="str">
        <f>IFERROR(__xludf.DUMMYFUNCTION("""COMPUTED_VALUE"""),"Chicken Puff+3*Vivek Kumar")</f>
        <v>Chicken Puff+3*Vivek Kumar</v>
      </c>
      <c r="F907" s="14">
        <f>IFERROR(__xludf.DUMMYFUNCTION("""COMPUTED_VALUE"""),3.0)</f>
        <v>3</v>
      </c>
      <c r="G907" s="14">
        <f>IFERROR(__xludf.DUMMYFUNCTION("""COMPUTED_VALUE"""),14.0)</f>
        <v>14</v>
      </c>
      <c r="H907" s="14">
        <f>IFERROR(__xludf.DUMMYFUNCTION("""COMPUTED_VALUE"""),2023.0)</f>
        <v>2023</v>
      </c>
      <c r="I907" s="14" t="str">
        <f>IFERROR(__xludf.DUMMYFUNCTION("""COMPUTED_VALUE"""),"Online Payment")</f>
        <v>Online Payment</v>
      </c>
      <c r="J907" s="14" t="str">
        <f>IFERROR(__xludf.DUMMYFUNCTION("""COMPUTED_VALUE"""),"Delivered*Satisfied with the Delivery: Timely and quality")</f>
        <v>Delivered*Satisfied with the Delivery: Timely and quality</v>
      </c>
      <c r="K907" s="14" t="str">
        <f>IFERROR(__xludf.DUMMYFUNCTION("split(E907,""+"")"),"Chicken Puff")</f>
        <v>Chicken Puff</v>
      </c>
      <c r="L907" s="14" t="str">
        <f>IFERROR(__xludf.DUMMYFUNCTION("""COMPUTED_VALUE"""),"3*Vivek Kumar")</f>
        <v>3*Vivek Kumar</v>
      </c>
      <c r="M907" s="14">
        <f>IFERROR(__xludf.DUMMYFUNCTION("SPLIT(L907,""*"")"),3.0)</f>
        <v>3</v>
      </c>
      <c r="N907" s="14" t="str">
        <f>IFERROR(__xludf.DUMMYFUNCTION("""COMPUTED_VALUE"""),"Vivek Kumar")</f>
        <v>Vivek Kumar</v>
      </c>
      <c r="O907" s="14" t="str">
        <f>IFERROR(__xludf.DUMMYFUNCTION("split(J907,""*"")"),"Delivered")</f>
        <v>Delivered</v>
      </c>
      <c r="P907" s="14" t="str">
        <f>IFERROR(__xludf.DUMMYFUNCTION("""COMPUTED_VALUE"""),"Satisfied with the Delivery: Timely and quality")</f>
        <v>Satisfied with the Delivery: Timely and quality</v>
      </c>
      <c r="Q907" s="14" t="str">
        <f>IFERROR(__xludf.DUMMYFUNCTION("split(P907,"":"")"),"Satisfied with the Delivery")</f>
        <v>Satisfied with the Delivery</v>
      </c>
      <c r="R907" s="14" t="str">
        <f>IFERROR(__xludf.DUMMYFUNCTION("""COMPUTED_VALUE""")," Timely and quality")</f>
        <v> Timely and quality</v>
      </c>
      <c r="S907" s="14" t="str">
        <f t="shared" ref="S907:U907" si="1817">trim(B907)</f>
        <v>ord_30898</v>
      </c>
      <c r="T907" s="14" t="str">
        <f t="shared" si="1817"/>
        <v>Pallavi Ghosh</v>
      </c>
      <c r="U907" s="14" t="str">
        <f t="shared" si="1817"/>
        <v>Bandra</v>
      </c>
      <c r="V907" s="14" t="str">
        <f t="shared" si="4"/>
        <v>Chicken Puff</v>
      </c>
      <c r="W907" s="14">
        <f t="shared" si="5"/>
        <v>3</v>
      </c>
      <c r="X907" s="14" t="str">
        <f t="shared" si="6"/>
        <v>Vivek Kumar</v>
      </c>
      <c r="Y907" s="15">
        <f t="shared" si="7"/>
        <v>44999</v>
      </c>
      <c r="Z907" s="14" t="str">
        <f t="shared" si="8"/>
        <v>Online Payment</v>
      </c>
      <c r="AA907" s="14" t="str">
        <f t="shared" si="9"/>
        <v>Delivered</v>
      </c>
      <c r="AB907" s="14" t="str">
        <f t="shared" ref="AB907:AC907" si="1818">trim(Q907)</f>
        <v>Satisfied with the Delivery</v>
      </c>
      <c r="AC907" s="14" t="str">
        <f t="shared" si="1818"/>
        <v>Timely and quality</v>
      </c>
      <c r="AD907" s="8"/>
    </row>
    <row r="908">
      <c r="A908" s="14" t="str">
        <f>IFERROR(__xludf.DUMMYFUNCTION("""COMPUTED_VALUE"""),"//ord_30899//Arvind Kulkarni//Juhu//Chocolate Mousse+3*Not Assigned/6/9/2023//UPI//Cancelled*Out of Stock")</f>
        <v>//ord_30899//Arvind Kulkarni//Juhu//Chocolate Mousse+3*Not Assigned/6/9/2023//UPI//Cancelled*Out of Stock</v>
      </c>
      <c r="B908" s="14" t="str">
        <f>IFERROR(__xludf.DUMMYFUNCTION("split(A908,""//"")"),"ord_30899")</f>
        <v>ord_30899</v>
      </c>
      <c r="C908" s="14" t="str">
        <f>IFERROR(__xludf.DUMMYFUNCTION("""COMPUTED_VALUE"""),"Arvind Kulkarni")</f>
        <v>Arvind Kulkarni</v>
      </c>
      <c r="D908" s="14" t="str">
        <f>IFERROR(__xludf.DUMMYFUNCTION("""COMPUTED_VALUE"""),"Juhu")</f>
        <v>Juhu</v>
      </c>
      <c r="E908" s="14" t="str">
        <f>IFERROR(__xludf.DUMMYFUNCTION("""COMPUTED_VALUE"""),"Chocolate Mousse+3*Not Assigned")</f>
        <v>Chocolate Mousse+3*Not Assigned</v>
      </c>
      <c r="F908" s="14">
        <f>IFERROR(__xludf.DUMMYFUNCTION("""COMPUTED_VALUE"""),6.0)</f>
        <v>6</v>
      </c>
      <c r="G908" s="14">
        <f>IFERROR(__xludf.DUMMYFUNCTION("""COMPUTED_VALUE"""),9.0)</f>
        <v>9</v>
      </c>
      <c r="H908" s="14">
        <f>IFERROR(__xludf.DUMMYFUNCTION("""COMPUTED_VALUE"""),2023.0)</f>
        <v>2023</v>
      </c>
      <c r="I908" s="14" t="str">
        <f>IFERROR(__xludf.DUMMYFUNCTION("""COMPUTED_VALUE"""),"UPI")</f>
        <v>UPI</v>
      </c>
      <c r="J908" s="14" t="str">
        <f>IFERROR(__xludf.DUMMYFUNCTION("""COMPUTED_VALUE"""),"Cancelled*Out of Stock")</f>
        <v>Cancelled*Out of Stock</v>
      </c>
      <c r="K908" s="14" t="str">
        <f>IFERROR(__xludf.DUMMYFUNCTION("split(E908,""+"")"),"Chocolate Mousse")</f>
        <v>Chocolate Mousse</v>
      </c>
      <c r="L908" s="14" t="str">
        <f>IFERROR(__xludf.DUMMYFUNCTION("""COMPUTED_VALUE"""),"3*Not Assigned")</f>
        <v>3*Not Assigned</v>
      </c>
      <c r="M908" s="14">
        <f>IFERROR(__xludf.DUMMYFUNCTION("SPLIT(L908,""*"")"),3.0)</f>
        <v>3</v>
      </c>
      <c r="N908" s="14" t="str">
        <f>IFERROR(__xludf.DUMMYFUNCTION("""COMPUTED_VALUE"""),"Not Assigned")</f>
        <v>Not Assigned</v>
      </c>
      <c r="O908" s="14" t="str">
        <f>IFERROR(__xludf.DUMMYFUNCTION("split(J908,""*"")"),"Cancelled")</f>
        <v>Cancelled</v>
      </c>
      <c r="P908" s="14" t="str">
        <f>IFERROR(__xludf.DUMMYFUNCTION("""COMPUTED_VALUE"""),"Out of Stock")</f>
        <v>Out of Stock</v>
      </c>
      <c r="Q908" s="14" t="str">
        <f>IFERROR(__xludf.DUMMYFUNCTION("split(P908,"":"")"),"Out of Stock")</f>
        <v>Out of Stock</v>
      </c>
      <c r="R908" s="14"/>
      <c r="S908" s="14" t="str">
        <f t="shared" ref="S908:U908" si="1819">trim(B908)</f>
        <v>ord_30899</v>
      </c>
      <c r="T908" s="14" t="str">
        <f t="shared" si="1819"/>
        <v>Arvind Kulkarni</v>
      </c>
      <c r="U908" s="14" t="str">
        <f t="shared" si="1819"/>
        <v>Juhu</v>
      </c>
      <c r="V908" s="14" t="str">
        <f t="shared" si="4"/>
        <v>Chocolate Mousse</v>
      </c>
      <c r="W908" s="14">
        <f t="shared" si="5"/>
        <v>3</v>
      </c>
      <c r="X908" s="14" t="str">
        <f t="shared" si="6"/>
        <v>Not Assigned</v>
      </c>
      <c r="Y908" s="15">
        <f t="shared" si="7"/>
        <v>45086</v>
      </c>
      <c r="Z908" s="14" t="str">
        <f t="shared" si="8"/>
        <v>UPI</v>
      </c>
      <c r="AA908" s="14" t="str">
        <f t="shared" si="9"/>
        <v>Cancelled</v>
      </c>
      <c r="AB908" s="14" t="str">
        <f t="shared" ref="AB908:AC908" si="1820">trim(Q908)</f>
        <v>Out of Stock</v>
      </c>
      <c r="AC908" s="14" t="str">
        <f t="shared" si="1820"/>
        <v/>
      </c>
      <c r="AD908" s="8"/>
    </row>
    <row r="909">
      <c r="A909" s="14" t="str">
        <f>IFERROR(__xludf.DUMMYFUNCTION("""COMPUTED_VALUE"""),"//ord_30900//Ishaan Chaturvedi//Bandra//Icecream+1*Ramesh S/4/8/2023//COD//Delivered*Customer Service: Seamless and easy")</f>
        <v>//ord_30900//Ishaan Chaturvedi//Bandra//Icecream+1*Ramesh S/4/8/2023//COD//Delivered*Customer Service: Seamless and easy</v>
      </c>
      <c r="B909" s="14" t="str">
        <f>IFERROR(__xludf.DUMMYFUNCTION("split(A909,""//"")"),"ord_30900")</f>
        <v>ord_30900</v>
      </c>
      <c r="C909" s="14" t="str">
        <f>IFERROR(__xludf.DUMMYFUNCTION("""COMPUTED_VALUE"""),"Ishaan Chaturvedi")</f>
        <v>Ishaan Chaturvedi</v>
      </c>
      <c r="D909" s="14" t="str">
        <f>IFERROR(__xludf.DUMMYFUNCTION("""COMPUTED_VALUE"""),"Bandra")</f>
        <v>Bandra</v>
      </c>
      <c r="E909" s="14" t="str">
        <f>IFERROR(__xludf.DUMMYFUNCTION("""COMPUTED_VALUE"""),"Icecream+1*Ramesh S")</f>
        <v>Icecream+1*Ramesh S</v>
      </c>
      <c r="F909" s="14">
        <f>IFERROR(__xludf.DUMMYFUNCTION("""COMPUTED_VALUE"""),4.0)</f>
        <v>4</v>
      </c>
      <c r="G909" s="14">
        <f>IFERROR(__xludf.DUMMYFUNCTION("""COMPUTED_VALUE"""),8.0)</f>
        <v>8</v>
      </c>
      <c r="H909" s="14">
        <f>IFERROR(__xludf.DUMMYFUNCTION("""COMPUTED_VALUE"""),2023.0)</f>
        <v>2023</v>
      </c>
      <c r="I909" s="14" t="str">
        <f>IFERROR(__xludf.DUMMYFUNCTION("""COMPUTED_VALUE"""),"COD")</f>
        <v>COD</v>
      </c>
      <c r="J909" s="14" t="str">
        <f>IFERROR(__xludf.DUMMYFUNCTION("""COMPUTED_VALUE"""),"Delivered*Customer Service: Seamless and easy")</f>
        <v>Delivered*Customer Service: Seamless and easy</v>
      </c>
      <c r="K909" s="14" t="str">
        <f>IFERROR(__xludf.DUMMYFUNCTION("split(E909,""+"")"),"Icecream")</f>
        <v>Icecream</v>
      </c>
      <c r="L909" s="14" t="str">
        <f>IFERROR(__xludf.DUMMYFUNCTION("""COMPUTED_VALUE"""),"1*Ramesh S")</f>
        <v>1*Ramesh S</v>
      </c>
      <c r="M909" s="14">
        <f>IFERROR(__xludf.DUMMYFUNCTION("SPLIT(L909,""*"")"),1.0)</f>
        <v>1</v>
      </c>
      <c r="N909" s="14" t="str">
        <f>IFERROR(__xludf.DUMMYFUNCTION("""COMPUTED_VALUE"""),"Ramesh S")</f>
        <v>Ramesh S</v>
      </c>
      <c r="O909" s="14" t="str">
        <f>IFERROR(__xludf.DUMMYFUNCTION("split(J909,""*"")"),"Delivered")</f>
        <v>Delivered</v>
      </c>
      <c r="P909" s="14" t="str">
        <f>IFERROR(__xludf.DUMMYFUNCTION("""COMPUTED_VALUE"""),"Customer Service: Seamless and easy")</f>
        <v>Customer Service: Seamless and easy</v>
      </c>
      <c r="Q909" s="14" t="str">
        <f>IFERROR(__xludf.DUMMYFUNCTION("split(P909,"":"")"),"Customer Service")</f>
        <v>Customer Service</v>
      </c>
      <c r="R909" s="14" t="str">
        <f>IFERROR(__xludf.DUMMYFUNCTION("""COMPUTED_VALUE""")," Seamless and easy")</f>
        <v> Seamless and easy</v>
      </c>
      <c r="S909" s="14" t="str">
        <f t="shared" ref="S909:U909" si="1821">trim(B909)</f>
        <v>ord_30900</v>
      </c>
      <c r="T909" s="14" t="str">
        <f t="shared" si="1821"/>
        <v>Ishaan Chaturvedi</v>
      </c>
      <c r="U909" s="14" t="str">
        <f t="shared" si="1821"/>
        <v>Bandra</v>
      </c>
      <c r="V909" s="14" t="str">
        <f t="shared" si="4"/>
        <v>Icecream</v>
      </c>
      <c r="W909" s="14">
        <f t="shared" si="5"/>
        <v>1</v>
      </c>
      <c r="X909" s="14" t="str">
        <f t="shared" si="6"/>
        <v>Ramesh S</v>
      </c>
      <c r="Y909" s="15">
        <f t="shared" si="7"/>
        <v>45024</v>
      </c>
      <c r="Z909" s="14" t="str">
        <f t="shared" si="8"/>
        <v>COD</v>
      </c>
      <c r="AA909" s="14" t="str">
        <f t="shared" si="9"/>
        <v>Delivered</v>
      </c>
      <c r="AB909" s="14" t="str">
        <f t="shared" ref="AB909:AC909" si="1822">trim(Q909)</f>
        <v>Customer Service</v>
      </c>
      <c r="AC909" s="14" t="str">
        <f t="shared" si="1822"/>
        <v>Seamless and easy</v>
      </c>
      <c r="AD909" s="8"/>
    </row>
    <row r="910">
      <c r="A910" s="14" t="str">
        <f>IFERROR(__xludf.DUMMYFUNCTION("""COMPUTED_VALUE"""),"//ord_30901//Pranav Joshi//Andheri//Juice+5*Vivek Kumar/2/27/2023//Credit Card//Delivered*Delivery Experience: Quick and professional")</f>
        <v>//ord_30901//Pranav Joshi//Andheri//Juice+5*Vivek Kumar/2/27/2023//Credit Card//Delivered*Delivery Experience: Quick and professional</v>
      </c>
      <c r="B910" s="14" t="str">
        <f>IFERROR(__xludf.DUMMYFUNCTION("split(A910,""//"")"),"ord_30901")</f>
        <v>ord_30901</v>
      </c>
      <c r="C910" s="14" t="str">
        <f>IFERROR(__xludf.DUMMYFUNCTION("""COMPUTED_VALUE"""),"Pranav Joshi")</f>
        <v>Pranav Joshi</v>
      </c>
      <c r="D910" s="14" t="str">
        <f>IFERROR(__xludf.DUMMYFUNCTION("""COMPUTED_VALUE"""),"Andheri")</f>
        <v>Andheri</v>
      </c>
      <c r="E910" s="14" t="str">
        <f>IFERROR(__xludf.DUMMYFUNCTION("""COMPUTED_VALUE"""),"Juice+5*Vivek Kumar")</f>
        <v>Juice+5*Vivek Kumar</v>
      </c>
      <c r="F910" s="14">
        <f>IFERROR(__xludf.DUMMYFUNCTION("""COMPUTED_VALUE"""),2.0)</f>
        <v>2</v>
      </c>
      <c r="G910" s="14">
        <f>IFERROR(__xludf.DUMMYFUNCTION("""COMPUTED_VALUE"""),27.0)</f>
        <v>27</v>
      </c>
      <c r="H910" s="14">
        <f>IFERROR(__xludf.DUMMYFUNCTION("""COMPUTED_VALUE"""),2023.0)</f>
        <v>2023</v>
      </c>
      <c r="I910" s="14" t="str">
        <f>IFERROR(__xludf.DUMMYFUNCTION("""COMPUTED_VALUE"""),"Credit Card")</f>
        <v>Credit Card</v>
      </c>
      <c r="J910" s="14" t="str">
        <f>IFERROR(__xludf.DUMMYFUNCTION("""COMPUTED_VALUE"""),"Delivered*Delivery Experience: Quick and professional")</f>
        <v>Delivered*Delivery Experience: Quick and professional</v>
      </c>
      <c r="K910" s="14" t="str">
        <f>IFERROR(__xludf.DUMMYFUNCTION("split(E910,""+"")"),"Juice")</f>
        <v>Juice</v>
      </c>
      <c r="L910" s="14" t="str">
        <f>IFERROR(__xludf.DUMMYFUNCTION("""COMPUTED_VALUE"""),"5*Vivek Kumar")</f>
        <v>5*Vivek Kumar</v>
      </c>
      <c r="M910" s="14">
        <f>IFERROR(__xludf.DUMMYFUNCTION("SPLIT(L910,""*"")"),5.0)</f>
        <v>5</v>
      </c>
      <c r="N910" s="14" t="str">
        <f>IFERROR(__xludf.DUMMYFUNCTION("""COMPUTED_VALUE"""),"Vivek Kumar")</f>
        <v>Vivek Kumar</v>
      </c>
      <c r="O910" s="14" t="str">
        <f>IFERROR(__xludf.DUMMYFUNCTION("split(J910,""*"")"),"Delivered")</f>
        <v>Delivered</v>
      </c>
      <c r="P910" s="14" t="str">
        <f>IFERROR(__xludf.DUMMYFUNCTION("""COMPUTED_VALUE"""),"Delivery Experience: Quick and professional")</f>
        <v>Delivery Experience: Quick and professional</v>
      </c>
      <c r="Q910" s="14" t="str">
        <f>IFERROR(__xludf.DUMMYFUNCTION("split(P910,"":"")"),"Delivery Experience")</f>
        <v>Delivery Experience</v>
      </c>
      <c r="R910" s="14" t="str">
        <f>IFERROR(__xludf.DUMMYFUNCTION("""COMPUTED_VALUE""")," Quick and professional")</f>
        <v> Quick and professional</v>
      </c>
      <c r="S910" s="14" t="str">
        <f t="shared" ref="S910:U910" si="1823">trim(B910)</f>
        <v>ord_30901</v>
      </c>
      <c r="T910" s="14" t="str">
        <f t="shared" si="1823"/>
        <v>Pranav Joshi</v>
      </c>
      <c r="U910" s="14" t="str">
        <f t="shared" si="1823"/>
        <v>Andheri</v>
      </c>
      <c r="V910" s="14" t="str">
        <f t="shared" si="4"/>
        <v>Juice</v>
      </c>
      <c r="W910" s="14">
        <f t="shared" si="5"/>
        <v>5</v>
      </c>
      <c r="X910" s="14" t="str">
        <f t="shared" si="6"/>
        <v>Vivek Kumar</v>
      </c>
      <c r="Y910" s="15">
        <f t="shared" si="7"/>
        <v>44984</v>
      </c>
      <c r="Z910" s="14" t="str">
        <f t="shared" si="8"/>
        <v>Credit Card</v>
      </c>
      <c r="AA910" s="14" t="str">
        <f t="shared" si="9"/>
        <v>Delivered</v>
      </c>
      <c r="AB910" s="14" t="str">
        <f t="shared" ref="AB910:AC910" si="1824">trim(Q910)</f>
        <v>Delivery Experience</v>
      </c>
      <c r="AC910" s="14" t="str">
        <f t="shared" si="1824"/>
        <v>Quick and professional</v>
      </c>
      <c r="AD910" s="8"/>
    </row>
    <row r="911">
      <c r="A911" s="14" t="str">
        <f>IFERROR(__xludf.DUMMYFUNCTION("""COMPUTED_VALUE"""),"//ord_30902//Kritika Shetty//Malad//Veg Puff+4*Sita T/5/18/2023//Credit Card//Cancelled*Delayed Delivery:Heavy Traffic")</f>
        <v>//ord_30902//Kritika Shetty//Malad//Veg Puff+4*Sita T/5/18/2023//Credit Card//Cancelled*Delayed Delivery:Heavy Traffic</v>
      </c>
      <c r="B911" s="14" t="str">
        <f>IFERROR(__xludf.DUMMYFUNCTION("split(A911,""//"")"),"ord_30902")</f>
        <v>ord_30902</v>
      </c>
      <c r="C911" s="14" t="str">
        <f>IFERROR(__xludf.DUMMYFUNCTION("""COMPUTED_VALUE"""),"Kritika Shetty")</f>
        <v>Kritika Shetty</v>
      </c>
      <c r="D911" s="14" t="str">
        <f>IFERROR(__xludf.DUMMYFUNCTION("""COMPUTED_VALUE"""),"Malad")</f>
        <v>Malad</v>
      </c>
      <c r="E911" s="14" t="str">
        <f>IFERROR(__xludf.DUMMYFUNCTION("""COMPUTED_VALUE"""),"Veg Puff+4*Sita T")</f>
        <v>Veg Puff+4*Sita T</v>
      </c>
      <c r="F911" s="14">
        <f>IFERROR(__xludf.DUMMYFUNCTION("""COMPUTED_VALUE"""),5.0)</f>
        <v>5</v>
      </c>
      <c r="G911" s="14">
        <f>IFERROR(__xludf.DUMMYFUNCTION("""COMPUTED_VALUE"""),18.0)</f>
        <v>18</v>
      </c>
      <c r="H911" s="14">
        <f>IFERROR(__xludf.DUMMYFUNCTION("""COMPUTED_VALUE"""),2023.0)</f>
        <v>2023</v>
      </c>
      <c r="I911" s="14" t="str">
        <f>IFERROR(__xludf.DUMMYFUNCTION("""COMPUTED_VALUE"""),"Credit Card")</f>
        <v>Credit Card</v>
      </c>
      <c r="J911" s="14" t="str">
        <f>IFERROR(__xludf.DUMMYFUNCTION("""COMPUTED_VALUE"""),"Cancelled*Delayed Delivery:Heavy Traffic")</f>
        <v>Cancelled*Delayed Delivery:Heavy Traffic</v>
      </c>
      <c r="K911" s="14" t="str">
        <f>IFERROR(__xludf.DUMMYFUNCTION("split(E911,""+"")"),"Veg Puff")</f>
        <v>Veg Puff</v>
      </c>
      <c r="L911" s="14" t="str">
        <f>IFERROR(__xludf.DUMMYFUNCTION("""COMPUTED_VALUE"""),"4*Sita T")</f>
        <v>4*Sita T</v>
      </c>
      <c r="M911" s="14">
        <f>IFERROR(__xludf.DUMMYFUNCTION("SPLIT(L911,""*"")"),4.0)</f>
        <v>4</v>
      </c>
      <c r="N911" s="14" t="str">
        <f>IFERROR(__xludf.DUMMYFUNCTION("""COMPUTED_VALUE"""),"Sita T")</f>
        <v>Sita T</v>
      </c>
      <c r="O911" s="14" t="str">
        <f>IFERROR(__xludf.DUMMYFUNCTION("split(J911,""*"")"),"Cancelled")</f>
        <v>Cancelled</v>
      </c>
      <c r="P911" s="14" t="str">
        <f>IFERROR(__xludf.DUMMYFUNCTION("""COMPUTED_VALUE"""),"Delayed Delivery:Heavy Traffic")</f>
        <v>Delayed Delivery:Heavy Traffic</v>
      </c>
      <c r="Q911" s="14" t="str">
        <f>IFERROR(__xludf.DUMMYFUNCTION("split(P911,"":"")"),"Delayed Delivery")</f>
        <v>Delayed Delivery</v>
      </c>
      <c r="R911" s="14" t="str">
        <f>IFERROR(__xludf.DUMMYFUNCTION("""COMPUTED_VALUE"""),"Heavy Traffic")</f>
        <v>Heavy Traffic</v>
      </c>
      <c r="S911" s="14" t="str">
        <f t="shared" ref="S911:U911" si="1825">trim(B911)</f>
        <v>ord_30902</v>
      </c>
      <c r="T911" s="14" t="str">
        <f t="shared" si="1825"/>
        <v>Kritika Shetty</v>
      </c>
      <c r="U911" s="14" t="str">
        <f t="shared" si="1825"/>
        <v>Malad</v>
      </c>
      <c r="V911" s="14" t="str">
        <f t="shared" si="4"/>
        <v>Veg Puff</v>
      </c>
      <c r="W911" s="14">
        <f t="shared" si="5"/>
        <v>4</v>
      </c>
      <c r="X911" s="14" t="str">
        <f t="shared" si="6"/>
        <v>Sita T</v>
      </c>
      <c r="Y911" s="15">
        <f t="shared" si="7"/>
        <v>45064</v>
      </c>
      <c r="Z911" s="14" t="str">
        <f t="shared" si="8"/>
        <v>Credit Card</v>
      </c>
      <c r="AA911" s="14" t="str">
        <f t="shared" si="9"/>
        <v>Cancelled</v>
      </c>
      <c r="AB911" s="14" t="str">
        <f t="shared" ref="AB911:AC911" si="1826">trim(Q911)</f>
        <v>Delayed Delivery</v>
      </c>
      <c r="AC911" s="14" t="str">
        <f t="shared" si="1826"/>
        <v>Heavy Traffic</v>
      </c>
      <c r="AD911" s="8"/>
    </row>
    <row r="912">
      <c r="A912" s="14" t="str">
        <f>IFERROR(__xludf.DUMMYFUNCTION("""COMPUTED_VALUE"""),"//ord_30903//Mehul Thakkar//Malad//Apple+1*Aman Kumar/1/7/2023//Credit Card//Cancelled*Delayed Delivery:Heavy Traffic")</f>
        <v>//ord_30903//Mehul Thakkar//Malad//Apple+1*Aman Kumar/1/7/2023//Credit Card//Cancelled*Delayed Delivery:Heavy Traffic</v>
      </c>
      <c r="B912" s="14" t="str">
        <f>IFERROR(__xludf.DUMMYFUNCTION("split(A912,""//"")"),"ord_30903")</f>
        <v>ord_30903</v>
      </c>
      <c r="C912" s="14" t="str">
        <f>IFERROR(__xludf.DUMMYFUNCTION("""COMPUTED_VALUE"""),"Mehul Thakkar")</f>
        <v>Mehul Thakkar</v>
      </c>
      <c r="D912" s="14" t="str">
        <f>IFERROR(__xludf.DUMMYFUNCTION("""COMPUTED_VALUE"""),"Malad")</f>
        <v>Malad</v>
      </c>
      <c r="E912" s="14" t="str">
        <f>IFERROR(__xludf.DUMMYFUNCTION("""COMPUTED_VALUE"""),"Apple+1*Aman Kumar")</f>
        <v>Apple+1*Aman Kumar</v>
      </c>
      <c r="F912" s="14">
        <f>IFERROR(__xludf.DUMMYFUNCTION("""COMPUTED_VALUE"""),1.0)</f>
        <v>1</v>
      </c>
      <c r="G912" s="14">
        <f>IFERROR(__xludf.DUMMYFUNCTION("""COMPUTED_VALUE"""),7.0)</f>
        <v>7</v>
      </c>
      <c r="H912" s="14">
        <f>IFERROR(__xludf.DUMMYFUNCTION("""COMPUTED_VALUE"""),2023.0)</f>
        <v>2023</v>
      </c>
      <c r="I912" s="14" t="str">
        <f>IFERROR(__xludf.DUMMYFUNCTION("""COMPUTED_VALUE"""),"Credit Card")</f>
        <v>Credit Card</v>
      </c>
      <c r="J912" s="14" t="str">
        <f>IFERROR(__xludf.DUMMYFUNCTION("""COMPUTED_VALUE"""),"Cancelled*Delayed Delivery:Heavy Traffic")</f>
        <v>Cancelled*Delayed Delivery:Heavy Traffic</v>
      </c>
      <c r="K912" s="14" t="str">
        <f>IFERROR(__xludf.DUMMYFUNCTION("split(E912,""+"")"),"Apple")</f>
        <v>Apple</v>
      </c>
      <c r="L912" s="14" t="str">
        <f>IFERROR(__xludf.DUMMYFUNCTION("""COMPUTED_VALUE"""),"1*Aman Kumar")</f>
        <v>1*Aman Kumar</v>
      </c>
      <c r="M912" s="14">
        <f>IFERROR(__xludf.DUMMYFUNCTION("SPLIT(L912,""*"")"),1.0)</f>
        <v>1</v>
      </c>
      <c r="N912" s="14" t="str">
        <f>IFERROR(__xludf.DUMMYFUNCTION("""COMPUTED_VALUE"""),"Aman Kumar")</f>
        <v>Aman Kumar</v>
      </c>
      <c r="O912" s="14" t="str">
        <f>IFERROR(__xludf.DUMMYFUNCTION("split(J912,""*"")"),"Cancelled")</f>
        <v>Cancelled</v>
      </c>
      <c r="P912" s="14" t="str">
        <f>IFERROR(__xludf.DUMMYFUNCTION("""COMPUTED_VALUE"""),"Delayed Delivery:Heavy Traffic")</f>
        <v>Delayed Delivery:Heavy Traffic</v>
      </c>
      <c r="Q912" s="14" t="str">
        <f>IFERROR(__xludf.DUMMYFUNCTION("split(P912,"":"")"),"Delayed Delivery")</f>
        <v>Delayed Delivery</v>
      </c>
      <c r="R912" s="14" t="str">
        <f>IFERROR(__xludf.DUMMYFUNCTION("""COMPUTED_VALUE"""),"Heavy Traffic")</f>
        <v>Heavy Traffic</v>
      </c>
      <c r="S912" s="14" t="str">
        <f t="shared" ref="S912:U912" si="1827">trim(B912)</f>
        <v>ord_30903</v>
      </c>
      <c r="T912" s="14" t="str">
        <f t="shared" si="1827"/>
        <v>Mehul Thakkar</v>
      </c>
      <c r="U912" s="14" t="str">
        <f t="shared" si="1827"/>
        <v>Malad</v>
      </c>
      <c r="V912" s="14" t="str">
        <f t="shared" si="4"/>
        <v>Apple</v>
      </c>
      <c r="W912" s="14">
        <f t="shared" si="5"/>
        <v>1</v>
      </c>
      <c r="X912" s="14" t="str">
        <f t="shared" si="6"/>
        <v>Aman Kumar</v>
      </c>
      <c r="Y912" s="15">
        <f t="shared" si="7"/>
        <v>44933</v>
      </c>
      <c r="Z912" s="14" t="str">
        <f t="shared" si="8"/>
        <v>Credit Card</v>
      </c>
      <c r="AA912" s="14" t="str">
        <f t="shared" si="9"/>
        <v>Cancelled</v>
      </c>
      <c r="AB912" s="14" t="str">
        <f t="shared" ref="AB912:AC912" si="1828">trim(Q912)</f>
        <v>Delayed Delivery</v>
      </c>
      <c r="AC912" s="14" t="str">
        <f t="shared" si="1828"/>
        <v>Heavy Traffic</v>
      </c>
      <c r="AD912" s="8"/>
    </row>
    <row r="913">
      <c r="A913" s="14" t="str">
        <f>IFERROR(__xludf.DUMMYFUNCTION("""COMPUTED_VALUE"""),"//ord_30904//Omkar Mishra//Powai//Tiramisu+5*Shine Thomas/12/19/2023//Credit Card//Delivered*Convenience: Easy tracking")</f>
        <v>//ord_30904//Omkar Mishra//Powai//Tiramisu+5*Shine Thomas/12/19/2023//Credit Card//Delivered*Convenience: Easy tracking</v>
      </c>
      <c r="B913" s="14" t="str">
        <f>IFERROR(__xludf.DUMMYFUNCTION("split(A913,""//"")"),"ord_30904")</f>
        <v>ord_30904</v>
      </c>
      <c r="C913" s="14" t="str">
        <f>IFERROR(__xludf.DUMMYFUNCTION("""COMPUTED_VALUE"""),"Omkar Mishra")</f>
        <v>Omkar Mishra</v>
      </c>
      <c r="D913" s="14" t="str">
        <f>IFERROR(__xludf.DUMMYFUNCTION("""COMPUTED_VALUE"""),"Powai")</f>
        <v>Powai</v>
      </c>
      <c r="E913" s="14" t="str">
        <f>IFERROR(__xludf.DUMMYFUNCTION("""COMPUTED_VALUE"""),"Tiramisu+5*Shine Thomas")</f>
        <v>Tiramisu+5*Shine Thomas</v>
      </c>
      <c r="F913" s="14">
        <f>IFERROR(__xludf.DUMMYFUNCTION("""COMPUTED_VALUE"""),12.0)</f>
        <v>12</v>
      </c>
      <c r="G913" s="14">
        <f>IFERROR(__xludf.DUMMYFUNCTION("""COMPUTED_VALUE"""),19.0)</f>
        <v>19</v>
      </c>
      <c r="H913" s="14">
        <f>IFERROR(__xludf.DUMMYFUNCTION("""COMPUTED_VALUE"""),2023.0)</f>
        <v>2023</v>
      </c>
      <c r="I913" s="14" t="str">
        <f>IFERROR(__xludf.DUMMYFUNCTION("""COMPUTED_VALUE"""),"Credit Card")</f>
        <v>Credit Card</v>
      </c>
      <c r="J913" s="14" t="str">
        <f>IFERROR(__xludf.DUMMYFUNCTION("""COMPUTED_VALUE"""),"Delivered*Convenience: Easy tracking")</f>
        <v>Delivered*Convenience: Easy tracking</v>
      </c>
      <c r="K913" s="14" t="str">
        <f>IFERROR(__xludf.DUMMYFUNCTION("split(E913,""+"")"),"Tiramisu")</f>
        <v>Tiramisu</v>
      </c>
      <c r="L913" s="14" t="str">
        <f>IFERROR(__xludf.DUMMYFUNCTION("""COMPUTED_VALUE"""),"5*Shine Thomas")</f>
        <v>5*Shine Thomas</v>
      </c>
      <c r="M913" s="14">
        <f>IFERROR(__xludf.DUMMYFUNCTION("SPLIT(L913,""*"")"),5.0)</f>
        <v>5</v>
      </c>
      <c r="N913" s="14" t="str">
        <f>IFERROR(__xludf.DUMMYFUNCTION("""COMPUTED_VALUE"""),"Shine Thomas")</f>
        <v>Shine Thomas</v>
      </c>
      <c r="O913" s="14" t="str">
        <f>IFERROR(__xludf.DUMMYFUNCTION("split(J913,""*"")"),"Delivered")</f>
        <v>Delivered</v>
      </c>
      <c r="P913" s="14" t="str">
        <f>IFERROR(__xludf.DUMMYFUNCTION("""COMPUTED_VALUE"""),"Convenience: Easy tracking")</f>
        <v>Convenience: Easy tracking</v>
      </c>
      <c r="Q913" s="14" t="str">
        <f>IFERROR(__xludf.DUMMYFUNCTION("split(P913,"":"")"),"Convenience")</f>
        <v>Convenience</v>
      </c>
      <c r="R913" s="14" t="str">
        <f>IFERROR(__xludf.DUMMYFUNCTION("""COMPUTED_VALUE""")," Easy tracking")</f>
        <v> Easy tracking</v>
      </c>
      <c r="S913" s="14" t="str">
        <f t="shared" ref="S913:U913" si="1829">trim(B913)</f>
        <v>ord_30904</v>
      </c>
      <c r="T913" s="14" t="str">
        <f t="shared" si="1829"/>
        <v>Omkar Mishra</v>
      </c>
      <c r="U913" s="14" t="str">
        <f t="shared" si="1829"/>
        <v>Powai</v>
      </c>
      <c r="V913" s="14" t="str">
        <f t="shared" si="4"/>
        <v>Tiramisu</v>
      </c>
      <c r="W913" s="14">
        <f t="shared" si="5"/>
        <v>5</v>
      </c>
      <c r="X913" s="14" t="str">
        <f t="shared" si="6"/>
        <v>Shine Thomas</v>
      </c>
      <c r="Y913" s="15">
        <f t="shared" si="7"/>
        <v>45279</v>
      </c>
      <c r="Z913" s="14" t="str">
        <f t="shared" si="8"/>
        <v>Credit Card</v>
      </c>
      <c r="AA913" s="14" t="str">
        <f t="shared" si="9"/>
        <v>Delivered</v>
      </c>
      <c r="AB913" s="14" t="str">
        <f t="shared" ref="AB913:AC913" si="1830">trim(Q913)</f>
        <v>Convenience</v>
      </c>
      <c r="AC913" s="14" t="str">
        <f t="shared" si="1830"/>
        <v>Easy tracking</v>
      </c>
      <c r="AD913" s="8"/>
    </row>
    <row r="914">
      <c r="A914" s="14" t="str">
        <f>IFERROR(__xludf.DUMMYFUNCTION("""COMPUTED_VALUE"""),"//ord_30905//Sakshi Tandon//Colaba//Sweet Corn+2*Nikhil Deshmukh/4/30/2023//Credit Card//Delivered*Overall Satisfaction: Great service will order again")</f>
        <v>//ord_30905//Sakshi Tandon//Colaba//Sweet Corn+2*Nikhil Deshmukh/4/30/2023//Credit Card//Delivered*Overall Satisfaction: Great service will order again</v>
      </c>
      <c r="B914" s="14" t="str">
        <f>IFERROR(__xludf.DUMMYFUNCTION("split(A914,""//"")"),"ord_30905")</f>
        <v>ord_30905</v>
      </c>
      <c r="C914" s="14" t="str">
        <f>IFERROR(__xludf.DUMMYFUNCTION("""COMPUTED_VALUE"""),"Sakshi Tandon")</f>
        <v>Sakshi Tandon</v>
      </c>
      <c r="D914" s="14" t="str">
        <f>IFERROR(__xludf.DUMMYFUNCTION("""COMPUTED_VALUE"""),"Colaba")</f>
        <v>Colaba</v>
      </c>
      <c r="E914" s="14" t="str">
        <f>IFERROR(__xludf.DUMMYFUNCTION("""COMPUTED_VALUE"""),"Sweet Corn+2*Nikhil Deshmukh")</f>
        <v>Sweet Corn+2*Nikhil Deshmukh</v>
      </c>
      <c r="F914" s="14">
        <f>IFERROR(__xludf.DUMMYFUNCTION("""COMPUTED_VALUE"""),4.0)</f>
        <v>4</v>
      </c>
      <c r="G914" s="14">
        <f>IFERROR(__xludf.DUMMYFUNCTION("""COMPUTED_VALUE"""),30.0)</f>
        <v>30</v>
      </c>
      <c r="H914" s="14">
        <f>IFERROR(__xludf.DUMMYFUNCTION("""COMPUTED_VALUE"""),2023.0)</f>
        <v>2023</v>
      </c>
      <c r="I914" s="14" t="str">
        <f>IFERROR(__xludf.DUMMYFUNCTION("""COMPUTED_VALUE"""),"Credit Card")</f>
        <v>Credit Card</v>
      </c>
      <c r="J914" s="14" t="str">
        <f>IFERROR(__xludf.DUMMYFUNCTION("""COMPUTED_VALUE"""),"Delivered*Overall Satisfaction: Great service will order again")</f>
        <v>Delivered*Overall Satisfaction: Great service will order again</v>
      </c>
      <c r="K914" s="14" t="str">
        <f>IFERROR(__xludf.DUMMYFUNCTION("split(E914,""+"")"),"Sweet Corn")</f>
        <v>Sweet Corn</v>
      </c>
      <c r="L914" s="14" t="str">
        <f>IFERROR(__xludf.DUMMYFUNCTION("""COMPUTED_VALUE"""),"2*Nikhil Deshmukh")</f>
        <v>2*Nikhil Deshmukh</v>
      </c>
      <c r="M914" s="14">
        <f>IFERROR(__xludf.DUMMYFUNCTION("SPLIT(L914,""*"")"),2.0)</f>
        <v>2</v>
      </c>
      <c r="N914" s="14" t="str">
        <f>IFERROR(__xludf.DUMMYFUNCTION("""COMPUTED_VALUE"""),"Nikhil Deshmukh")</f>
        <v>Nikhil Deshmukh</v>
      </c>
      <c r="O914" s="14" t="str">
        <f>IFERROR(__xludf.DUMMYFUNCTION("split(J914,""*"")"),"Delivered")</f>
        <v>Delivered</v>
      </c>
      <c r="P914" s="14" t="str">
        <f>IFERROR(__xludf.DUMMYFUNCTION("""COMPUTED_VALUE"""),"Overall Satisfaction: Great service will order again")</f>
        <v>Overall Satisfaction: Great service will order again</v>
      </c>
      <c r="Q914" s="14" t="str">
        <f>IFERROR(__xludf.DUMMYFUNCTION("split(P914,"":"")"),"Overall Satisfaction")</f>
        <v>Overall Satisfaction</v>
      </c>
      <c r="R914" s="14" t="str">
        <f>IFERROR(__xludf.DUMMYFUNCTION("""COMPUTED_VALUE""")," Great service will order again")</f>
        <v> Great service will order again</v>
      </c>
      <c r="S914" s="14" t="str">
        <f t="shared" ref="S914:U914" si="1831">trim(B914)</f>
        <v>ord_30905</v>
      </c>
      <c r="T914" s="14" t="str">
        <f t="shared" si="1831"/>
        <v>Sakshi Tandon</v>
      </c>
      <c r="U914" s="14" t="str">
        <f t="shared" si="1831"/>
        <v>Colaba</v>
      </c>
      <c r="V914" s="14" t="str">
        <f t="shared" si="4"/>
        <v>Sweet Corn</v>
      </c>
      <c r="W914" s="14">
        <f t="shared" si="5"/>
        <v>2</v>
      </c>
      <c r="X914" s="14" t="str">
        <f t="shared" si="6"/>
        <v>Nikhil Deshmukh</v>
      </c>
      <c r="Y914" s="15">
        <f t="shared" si="7"/>
        <v>45046</v>
      </c>
      <c r="Z914" s="14" t="str">
        <f t="shared" si="8"/>
        <v>Credit Card</v>
      </c>
      <c r="AA914" s="14" t="str">
        <f t="shared" si="9"/>
        <v>Delivered</v>
      </c>
      <c r="AB914" s="14" t="str">
        <f t="shared" ref="AB914:AC914" si="1832">trim(Q914)</f>
        <v>Overall Satisfaction</v>
      </c>
      <c r="AC914" s="14" t="str">
        <f t="shared" si="1832"/>
        <v>Great service will order again</v>
      </c>
      <c r="AD914" s="8"/>
    </row>
    <row r="915">
      <c r="A915" s="14" t="str">
        <f>IFERROR(__xludf.DUMMYFUNCTION("""COMPUTED_VALUE"""),"//ord_30906//Dev Chauhan//Bandra//Chicken Puff+2*Priya Joshi/11/19/2023//UPI//Delivered*On-time Delivery: Delivered on time")</f>
        <v>//ord_30906//Dev Chauhan//Bandra//Chicken Puff+2*Priya Joshi/11/19/2023//UPI//Delivered*On-time Delivery: Delivered on time</v>
      </c>
      <c r="B915" s="14" t="str">
        <f>IFERROR(__xludf.DUMMYFUNCTION("split(A915,""//"")"),"ord_30906")</f>
        <v>ord_30906</v>
      </c>
      <c r="C915" s="14" t="str">
        <f>IFERROR(__xludf.DUMMYFUNCTION("""COMPUTED_VALUE"""),"Dev Chauhan")</f>
        <v>Dev Chauhan</v>
      </c>
      <c r="D915" s="14" t="str">
        <f>IFERROR(__xludf.DUMMYFUNCTION("""COMPUTED_VALUE"""),"Bandra")</f>
        <v>Bandra</v>
      </c>
      <c r="E915" s="14" t="str">
        <f>IFERROR(__xludf.DUMMYFUNCTION("""COMPUTED_VALUE"""),"Chicken Puff+2*Priya Joshi")</f>
        <v>Chicken Puff+2*Priya Joshi</v>
      </c>
      <c r="F915" s="14">
        <f>IFERROR(__xludf.DUMMYFUNCTION("""COMPUTED_VALUE"""),11.0)</f>
        <v>11</v>
      </c>
      <c r="G915" s="14">
        <f>IFERROR(__xludf.DUMMYFUNCTION("""COMPUTED_VALUE"""),19.0)</f>
        <v>19</v>
      </c>
      <c r="H915" s="14">
        <f>IFERROR(__xludf.DUMMYFUNCTION("""COMPUTED_VALUE"""),2023.0)</f>
        <v>2023</v>
      </c>
      <c r="I915" s="14" t="str">
        <f>IFERROR(__xludf.DUMMYFUNCTION("""COMPUTED_VALUE"""),"UPI")</f>
        <v>UPI</v>
      </c>
      <c r="J915" s="14" t="str">
        <f>IFERROR(__xludf.DUMMYFUNCTION("""COMPUTED_VALUE"""),"Delivered*On-time Delivery: Delivered on time")</f>
        <v>Delivered*On-time Delivery: Delivered on time</v>
      </c>
      <c r="K915" s="14" t="str">
        <f>IFERROR(__xludf.DUMMYFUNCTION("split(E915,""+"")"),"Chicken Puff")</f>
        <v>Chicken Puff</v>
      </c>
      <c r="L915" s="14" t="str">
        <f>IFERROR(__xludf.DUMMYFUNCTION("""COMPUTED_VALUE"""),"2*Priya Joshi")</f>
        <v>2*Priya Joshi</v>
      </c>
      <c r="M915" s="14">
        <f>IFERROR(__xludf.DUMMYFUNCTION("SPLIT(L915,""*"")"),2.0)</f>
        <v>2</v>
      </c>
      <c r="N915" s="14" t="str">
        <f>IFERROR(__xludf.DUMMYFUNCTION("""COMPUTED_VALUE"""),"Priya Joshi")</f>
        <v>Priya Joshi</v>
      </c>
      <c r="O915" s="14" t="str">
        <f>IFERROR(__xludf.DUMMYFUNCTION("split(J915,""*"")"),"Delivered")</f>
        <v>Delivered</v>
      </c>
      <c r="P915" s="14" t="str">
        <f>IFERROR(__xludf.DUMMYFUNCTION("""COMPUTED_VALUE"""),"On-time Delivery: Delivered on time")</f>
        <v>On-time Delivery: Delivered on time</v>
      </c>
      <c r="Q915" s="14" t="str">
        <f>IFERROR(__xludf.DUMMYFUNCTION("split(P915,"":"")"),"On-time Delivery")</f>
        <v>On-time Delivery</v>
      </c>
      <c r="R915" s="14" t="str">
        <f>IFERROR(__xludf.DUMMYFUNCTION("""COMPUTED_VALUE""")," Delivered on time")</f>
        <v> Delivered on time</v>
      </c>
      <c r="S915" s="14" t="str">
        <f t="shared" ref="S915:U915" si="1833">trim(B915)</f>
        <v>ord_30906</v>
      </c>
      <c r="T915" s="14" t="str">
        <f t="shared" si="1833"/>
        <v>Dev Chauhan</v>
      </c>
      <c r="U915" s="14" t="str">
        <f t="shared" si="1833"/>
        <v>Bandra</v>
      </c>
      <c r="V915" s="14" t="str">
        <f t="shared" si="4"/>
        <v>Chicken Puff</v>
      </c>
      <c r="W915" s="14">
        <f t="shared" si="5"/>
        <v>2</v>
      </c>
      <c r="X915" s="14" t="str">
        <f t="shared" si="6"/>
        <v>Priya Joshi</v>
      </c>
      <c r="Y915" s="15">
        <f t="shared" si="7"/>
        <v>45249</v>
      </c>
      <c r="Z915" s="14" t="str">
        <f t="shared" si="8"/>
        <v>UPI</v>
      </c>
      <c r="AA915" s="14" t="str">
        <f t="shared" si="9"/>
        <v>Delivered</v>
      </c>
      <c r="AB915" s="14" t="str">
        <f t="shared" ref="AB915:AC915" si="1834">trim(Q915)</f>
        <v>On-time Delivery</v>
      </c>
      <c r="AC915" s="14" t="str">
        <f t="shared" si="1834"/>
        <v>Delivered on time</v>
      </c>
      <c r="AD915" s="8"/>
    </row>
    <row r="916">
      <c r="A916" s="14" t="str">
        <f>IFERROR(__xludf.DUMMYFUNCTION("""COMPUTED_VALUE"""),"//ord_30907//Mehul Thakkar//Malad//Tomato+2*Not Assigned/5/14/2023//Credit Card//Cancelled*Payment Issues")</f>
        <v>//ord_30907//Mehul Thakkar//Malad//Tomato+2*Not Assigned/5/14/2023//Credit Card//Cancelled*Payment Issues</v>
      </c>
      <c r="B916" s="14" t="str">
        <f>IFERROR(__xludf.DUMMYFUNCTION("split(A916,""//"")"),"ord_30907")</f>
        <v>ord_30907</v>
      </c>
      <c r="C916" s="14" t="str">
        <f>IFERROR(__xludf.DUMMYFUNCTION("""COMPUTED_VALUE"""),"Mehul Thakkar")</f>
        <v>Mehul Thakkar</v>
      </c>
      <c r="D916" s="14" t="str">
        <f>IFERROR(__xludf.DUMMYFUNCTION("""COMPUTED_VALUE"""),"Malad")</f>
        <v>Malad</v>
      </c>
      <c r="E916" s="14" t="str">
        <f>IFERROR(__xludf.DUMMYFUNCTION("""COMPUTED_VALUE"""),"Tomato+2*Not Assigned")</f>
        <v>Tomato+2*Not Assigned</v>
      </c>
      <c r="F916" s="14">
        <f>IFERROR(__xludf.DUMMYFUNCTION("""COMPUTED_VALUE"""),5.0)</f>
        <v>5</v>
      </c>
      <c r="G916" s="14">
        <f>IFERROR(__xludf.DUMMYFUNCTION("""COMPUTED_VALUE"""),14.0)</f>
        <v>14</v>
      </c>
      <c r="H916" s="14">
        <f>IFERROR(__xludf.DUMMYFUNCTION("""COMPUTED_VALUE"""),2023.0)</f>
        <v>2023</v>
      </c>
      <c r="I916" s="14" t="str">
        <f>IFERROR(__xludf.DUMMYFUNCTION("""COMPUTED_VALUE"""),"Credit Card")</f>
        <v>Credit Card</v>
      </c>
      <c r="J916" s="14" t="str">
        <f>IFERROR(__xludf.DUMMYFUNCTION("""COMPUTED_VALUE"""),"Cancelled*Payment Issues")</f>
        <v>Cancelled*Payment Issues</v>
      </c>
      <c r="K916" s="14" t="str">
        <f>IFERROR(__xludf.DUMMYFUNCTION("split(E916,""+"")"),"Tomato")</f>
        <v>Tomato</v>
      </c>
      <c r="L916" s="14" t="str">
        <f>IFERROR(__xludf.DUMMYFUNCTION("""COMPUTED_VALUE"""),"2*Not Assigned")</f>
        <v>2*Not Assigned</v>
      </c>
      <c r="M916" s="14">
        <f>IFERROR(__xludf.DUMMYFUNCTION("SPLIT(L916,""*"")"),2.0)</f>
        <v>2</v>
      </c>
      <c r="N916" s="14" t="str">
        <f>IFERROR(__xludf.DUMMYFUNCTION("""COMPUTED_VALUE"""),"Not Assigned")</f>
        <v>Not Assigned</v>
      </c>
      <c r="O916" s="14" t="str">
        <f>IFERROR(__xludf.DUMMYFUNCTION("split(J916,""*"")"),"Cancelled")</f>
        <v>Cancelled</v>
      </c>
      <c r="P916" s="14" t="str">
        <f>IFERROR(__xludf.DUMMYFUNCTION("""COMPUTED_VALUE"""),"Payment Issues")</f>
        <v>Payment Issues</v>
      </c>
      <c r="Q916" s="14" t="str">
        <f>IFERROR(__xludf.DUMMYFUNCTION("split(P916,"":"")"),"Payment Issues")</f>
        <v>Payment Issues</v>
      </c>
      <c r="R916" s="14"/>
      <c r="S916" s="14" t="str">
        <f t="shared" ref="S916:U916" si="1835">trim(B916)</f>
        <v>ord_30907</v>
      </c>
      <c r="T916" s="14" t="str">
        <f t="shared" si="1835"/>
        <v>Mehul Thakkar</v>
      </c>
      <c r="U916" s="14" t="str">
        <f t="shared" si="1835"/>
        <v>Malad</v>
      </c>
      <c r="V916" s="14" t="str">
        <f t="shared" si="4"/>
        <v>Tomato</v>
      </c>
      <c r="W916" s="14">
        <f t="shared" si="5"/>
        <v>2</v>
      </c>
      <c r="X916" s="14" t="str">
        <f t="shared" si="6"/>
        <v>Not Assigned</v>
      </c>
      <c r="Y916" s="15">
        <f t="shared" si="7"/>
        <v>45060</v>
      </c>
      <c r="Z916" s="14" t="str">
        <f t="shared" si="8"/>
        <v>Credit Card</v>
      </c>
      <c r="AA916" s="14" t="str">
        <f t="shared" si="9"/>
        <v>Cancelled</v>
      </c>
      <c r="AB916" s="14" t="str">
        <f t="shared" ref="AB916:AC916" si="1836">trim(Q916)</f>
        <v>Payment Issues</v>
      </c>
      <c r="AC916" s="14" t="str">
        <f t="shared" si="1836"/>
        <v/>
      </c>
      <c r="AD916" s="8"/>
    </row>
    <row r="917">
      <c r="A917" s="14" t="str">
        <f>IFERROR(__xludf.DUMMYFUNCTION("""COMPUTED_VALUE"""),"//ord_30908//Aditi Iyer//Dadar//Apple+1*Aman Kumar/7/15/2023//Credit Card//Delivered*Quality of Items: Perfect condition")</f>
        <v>//ord_30908//Aditi Iyer//Dadar//Apple+1*Aman Kumar/7/15/2023//Credit Card//Delivered*Quality of Items: Perfect condition</v>
      </c>
      <c r="B917" s="14" t="str">
        <f>IFERROR(__xludf.DUMMYFUNCTION("split(A917,""//"")"),"ord_30908")</f>
        <v>ord_30908</v>
      </c>
      <c r="C917" s="14" t="str">
        <f>IFERROR(__xludf.DUMMYFUNCTION("""COMPUTED_VALUE"""),"Aditi Iyer")</f>
        <v>Aditi Iyer</v>
      </c>
      <c r="D917" s="14" t="str">
        <f>IFERROR(__xludf.DUMMYFUNCTION("""COMPUTED_VALUE"""),"Dadar")</f>
        <v>Dadar</v>
      </c>
      <c r="E917" s="14" t="str">
        <f>IFERROR(__xludf.DUMMYFUNCTION("""COMPUTED_VALUE"""),"Apple+1*Aman Kumar")</f>
        <v>Apple+1*Aman Kumar</v>
      </c>
      <c r="F917" s="14">
        <f>IFERROR(__xludf.DUMMYFUNCTION("""COMPUTED_VALUE"""),7.0)</f>
        <v>7</v>
      </c>
      <c r="G917" s="14">
        <f>IFERROR(__xludf.DUMMYFUNCTION("""COMPUTED_VALUE"""),15.0)</f>
        <v>15</v>
      </c>
      <c r="H917" s="14">
        <f>IFERROR(__xludf.DUMMYFUNCTION("""COMPUTED_VALUE"""),2023.0)</f>
        <v>2023</v>
      </c>
      <c r="I917" s="14" t="str">
        <f>IFERROR(__xludf.DUMMYFUNCTION("""COMPUTED_VALUE"""),"Credit Card")</f>
        <v>Credit Card</v>
      </c>
      <c r="J917" s="14" t="str">
        <f>IFERROR(__xludf.DUMMYFUNCTION("""COMPUTED_VALUE"""),"Delivered*Quality of Items: Perfect condition")</f>
        <v>Delivered*Quality of Items: Perfect condition</v>
      </c>
      <c r="K917" s="14" t="str">
        <f>IFERROR(__xludf.DUMMYFUNCTION("split(E917,""+"")"),"Apple")</f>
        <v>Apple</v>
      </c>
      <c r="L917" s="14" t="str">
        <f>IFERROR(__xludf.DUMMYFUNCTION("""COMPUTED_VALUE"""),"1*Aman Kumar")</f>
        <v>1*Aman Kumar</v>
      </c>
      <c r="M917" s="14">
        <f>IFERROR(__xludf.DUMMYFUNCTION("SPLIT(L917,""*"")"),1.0)</f>
        <v>1</v>
      </c>
      <c r="N917" s="14" t="str">
        <f>IFERROR(__xludf.DUMMYFUNCTION("""COMPUTED_VALUE"""),"Aman Kumar")</f>
        <v>Aman Kumar</v>
      </c>
      <c r="O917" s="14" t="str">
        <f>IFERROR(__xludf.DUMMYFUNCTION("split(J917,""*"")"),"Delivered")</f>
        <v>Delivered</v>
      </c>
      <c r="P917" s="14" t="str">
        <f>IFERROR(__xludf.DUMMYFUNCTION("""COMPUTED_VALUE"""),"Quality of Items: Perfect condition")</f>
        <v>Quality of Items: Perfect condition</v>
      </c>
      <c r="Q917" s="14" t="str">
        <f>IFERROR(__xludf.DUMMYFUNCTION("split(P917,"":"")"),"Quality of Items")</f>
        <v>Quality of Items</v>
      </c>
      <c r="R917" s="14" t="str">
        <f>IFERROR(__xludf.DUMMYFUNCTION("""COMPUTED_VALUE""")," Perfect condition")</f>
        <v> Perfect condition</v>
      </c>
      <c r="S917" s="14" t="str">
        <f t="shared" ref="S917:U917" si="1837">trim(B917)</f>
        <v>ord_30908</v>
      </c>
      <c r="T917" s="14" t="str">
        <f t="shared" si="1837"/>
        <v>Aditi Iyer</v>
      </c>
      <c r="U917" s="14" t="str">
        <f t="shared" si="1837"/>
        <v>Dadar</v>
      </c>
      <c r="V917" s="14" t="str">
        <f t="shared" si="4"/>
        <v>Apple</v>
      </c>
      <c r="W917" s="14">
        <f t="shared" si="5"/>
        <v>1</v>
      </c>
      <c r="X917" s="14" t="str">
        <f t="shared" si="6"/>
        <v>Aman Kumar</v>
      </c>
      <c r="Y917" s="15">
        <f t="shared" si="7"/>
        <v>45122</v>
      </c>
      <c r="Z917" s="14" t="str">
        <f t="shared" si="8"/>
        <v>Credit Card</v>
      </c>
      <c r="AA917" s="14" t="str">
        <f t="shared" si="9"/>
        <v>Delivered</v>
      </c>
      <c r="AB917" s="14" t="str">
        <f t="shared" ref="AB917:AC917" si="1838">trim(Q917)</f>
        <v>Quality of Items</v>
      </c>
      <c r="AC917" s="14" t="str">
        <f t="shared" si="1838"/>
        <v>Perfect condition</v>
      </c>
      <c r="AD917" s="8"/>
    </row>
    <row r="918">
      <c r="A918" s="14" t="str">
        <f>IFERROR(__xludf.DUMMYFUNCTION("""COMPUTED_VALUE"""),"//ord_30909//Kritika Shetty//Malad//Icecream+4*Manju Ajay/4/21/2023//Online Payment//Cancelled*Delayed Delivery:Bad Weather Conditions ")</f>
        <v>//ord_30909//Kritika Shetty//Malad//Icecream+4*Manju Ajay/4/21/2023//Online Payment//Cancelled*Delayed Delivery:Bad Weather Conditions </v>
      </c>
      <c r="B918" s="14" t="str">
        <f>IFERROR(__xludf.DUMMYFUNCTION("split(A918,""//"")"),"ord_30909")</f>
        <v>ord_30909</v>
      </c>
      <c r="C918" s="14" t="str">
        <f>IFERROR(__xludf.DUMMYFUNCTION("""COMPUTED_VALUE"""),"Kritika Shetty")</f>
        <v>Kritika Shetty</v>
      </c>
      <c r="D918" s="14" t="str">
        <f>IFERROR(__xludf.DUMMYFUNCTION("""COMPUTED_VALUE"""),"Malad")</f>
        <v>Malad</v>
      </c>
      <c r="E918" s="14" t="str">
        <f>IFERROR(__xludf.DUMMYFUNCTION("""COMPUTED_VALUE"""),"Icecream+4*Manju Ajay")</f>
        <v>Icecream+4*Manju Ajay</v>
      </c>
      <c r="F918" s="14">
        <f>IFERROR(__xludf.DUMMYFUNCTION("""COMPUTED_VALUE"""),4.0)</f>
        <v>4</v>
      </c>
      <c r="G918" s="14">
        <f>IFERROR(__xludf.DUMMYFUNCTION("""COMPUTED_VALUE"""),21.0)</f>
        <v>21</v>
      </c>
      <c r="H918" s="14">
        <f>IFERROR(__xludf.DUMMYFUNCTION("""COMPUTED_VALUE"""),2023.0)</f>
        <v>2023</v>
      </c>
      <c r="I918" s="14" t="str">
        <f>IFERROR(__xludf.DUMMYFUNCTION("""COMPUTED_VALUE"""),"Online Payment")</f>
        <v>Online Payment</v>
      </c>
      <c r="J918" s="14" t="str">
        <f>IFERROR(__xludf.DUMMYFUNCTION("""COMPUTED_VALUE"""),"Cancelled*Delayed Delivery:Bad Weather Conditions ")</f>
        <v>Cancelled*Delayed Delivery:Bad Weather Conditions </v>
      </c>
      <c r="K918" s="14" t="str">
        <f>IFERROR(__xludf.DUMMYFUNCTION("split(E918,""+"")"),"Icecream")</f>
        <v>Icecream</v>
      </c>
      <c r="L918" s="14" t="str">
        <f>IFERROR(__xludf.DUMMYFUNCTION("""COMPUTED_VALUE"""),"4*Manju Ajay")</f>
        <v>4*Manju Ajay</v>
      </c>
      <c r="M918" s="14">
        <f>IFERROR(__xludf.DUMMYFUNCTION("SPLIT(L918,""*"")"),4.0)</f>
        <v>4</v>
      </c>
      <c r="N918" s="14" t="str">
        <f>IFERROR(__xludf.DUMMYFUNCTION("""COMPUTED_VALUE"""),"Manju Ajay")</f>
        <v>Manju Ajay</v>
      </c>
      <c r="O918" s="14" t="str">
        <f>IFERROR(__xludf.DUMMYFUNCTION("split(J918,""*"")"),"Cancelled")</f>
        <v>Cancelled</v>
      </c>
      <c r="P918" s="14" t="str">
        <f>IFERROR(__xludf.DUMMYFUNCTION("""COMPUTED_VALUE"""),"Delayed Delivery:Bad Weather Conditions ")</f>
        <v>Delayed Delivery:Bad Weather Conditions </v>
      </c>
      <c r="Q918" s="14" t="str">
        <f>IFERROR(__xludf.DUMMYFUNCTION("split(P918,"":"")"),"Delayed Delivery")</f>
        <v>Delayed Delivery</v>
      </c>
      <c r="R918" s="14" t="str">
        <f>IFERROR(__xludf.DUMMYFUNCTION("""COMPUTED_VALUE"""),"Bad Weather Conditions ")</f>
        <v>Bad Weather Conditions </v>
      </c>
      <c r="S918" s="14" t="str">
        <f t="shared" ref="S918:U918" si="1839">trim(B918)</f>
        <v>ord_30909</v>
      </c>
      <c r="T918" s="14" t="str">
        <f t="shared" si="1839"/>
        <v>Kritika Shetty</v>
      </c>
      <c r="U918" s="14" t="str">
        <f t="shared" si="1839"/>
        <v>Malad</v>
      </c>
      <c r="V918" s="14" t="str">
        <f t="shared" si="4"/>
        <v>Icecream</v>
      </c>
      <c r="W918" s="14">
        <f t="shared" si="5"/>
        <v>4</v>
      </c>
      <c r="X918" s="14" t="str">
        <f t="shared" si="6"/>
        <v>Manju Ajay</v>
      </c>
      <c r="Y918" s="15">
        <f t="shared" si="7"/>
        <v>45037</v>
      </c>
      <c r="Z918" s="14" t="str">
        <f t="shared" si="8"/>
        <v>Online Payment</v>
      </c>
      <c r="AA918" s="14" t="str">
        <f t="shared" si="9"/>
        <v>Cancelled</v>
      </c>
      <c r="AB918" s="14" t="str">
        <f t="shared" ref="AB918:AC918" si="1840">trim(Q918)</f>
        <v>Delayed Delivery</v>
      </c>
      <c r="AC918" s="14" t="str">
        <f t="shared" si="1840"/>
        <v>Bad Weather Conditions</v>
      </c>
      <c r="AD918" s="8"/>
    </row>
    <row r="919">
      <c r="A919" s="14" t="str">
        <f>IFERROR(__xludf.DUMMYFUNCTION("""COMPUTED_VALUE"""),"//ord_30910//Sanjay Nair//Dadar//Juice+1*Aman Kumar/6/2/2023//Online Payment//Delivered*Satisfied with the Delivery: Timely and quality")</f>
        <v>//ord_30910//Sanjay Nair//Dadar//Juice+1*Aman Kumar/6/2/2023//Online Payment//Delivered*Satisfied with the Delivery: Timely and quality</v>
      </c>
      <c r="B919" s="14" t="str">
        <f>IFERROR(__xludf.DUMMYFUNCTION("split(A919,""//"")"),"ord_30910")</f>
        <v>ord_30910</v>
      </c>
      <c r="C919" s="14" t="str">
        <f>IFERROR(__xludf.DUMMYFUNCTION("""COMPUTED_VALUE"""),"Sanjay Nair")</f>
        <v>Sanjay Nair</v>
      </c>
      <c r="D919" s="14" t="str">
        <f>IFERROR(__xludf.DUMMYFUNCTION("""COMPUTED_VALUE"""),"Dadar")</f>
        <v>Dadar</v>
      </c>
      <c r="E919" s="14" t="str">
        <f>IFERROR(__xludf.DUMMYFUNCTION("""COMPUTED_VALUE"""),"Juice+1*Aman Kumar")</f>
        <v>Juice+1*Aman Kumar</v>
      </c>
      <c r="F919" s="14">
        <f>IFERROR(__xludf.DUMMYFUNCTION("""COMPUTED_VALUE"""),6.0)</f>
        <v>6</v>
      </c>
      <c r="G919" s="14">
        <f>IFERROR(__xludf.DUMMYFUNCTION("""COMPUTED_VALUE"""),2.0)</f>
        <v>2</v>
      </c>
      <c r="H919" s="14">
        <f>IFERROR(__xludf.DUMMYFUNCTION("""COMPUTED_VALUE"""),2023.0)</f>
        <v>2023</v>
      </c>
      <c r="I919" s="14" t="str">
        <f>IFERROR(__xludf.DUMMYFUNCTION("""COMPUTED_VALUE"""),"Online Payment")</f>
        <v>Online Payment</v>
      </c>
      <c r="J919" s="14" t="str">
        <f>IFERROR(__xludf.DUMMYFUNCTION("""COMPUTED_VALUE"""),"Delivered*Satisfied with the Delivery: Timely and quality")</f>
        <v>Delivered*Satisfied with the Delivery: Timely and quality</v>
      </c>
      <c r="K919" s="14" t="str">
        <f>IFERROR(__xludf.DUMMYFUNCTION("split(E919,""+"")"),"Juice")</f>
        <v>Juice</v>
      </c>
      <c r="L919" s="14" t="str">
        <f>IFERROR(__xludf.DUMMYFUNCTION("""COMPUTED_VALUE"""),"1*Aman Kumar")</f>
        <v>1*Aman Kumar</v>
      </c>
      <c r="M919" s="14">
        <f>IFERROR(__xludf.DUMMYFUNCTION("SPLIT(L919,""*"")"),1.0)</f>
        <v>1</v>
      </c>
      <c r="N919" s="14" t="str">
        <f>IFERROR(__xludf.DUMMYFUNCTION("""COMPUTED_VALUE"""),"Aman Kumar")</f>
        <v>Aman Kumar</v>
      </c>
      <c r="O919" s="14" t="str">
        <f>IFERROR(__xludf.DUMMYFUNCTION("split(J919,""*"")"),"Delivered")</f>
        <v>Delivered</v>
      </c>
      <c r="P919" s="14" t="str">
        <f>IFERROR(__xludf.DUMMYFUNCTION("""COMPUTED_VALUE"""),"Satisfied with the Delivery: Timely and quality")</f>
        <v>Satisfied with the Delivery: Timely and quality</v>
      </c>
      <c r="Q919" s="14" t="str">
        <f>IFERROR(__xludf.DUMMYFUNCTION("split(P919,"":"")"),"Satisfied with the Delivery")</f>
        <v>Satisfied with the Delivery</v>
      </c>
      <c r="R919" s="14" t="str">
        <f>IFERROR(__xludf.DUMMYFUNCTION("""COMPUTED_VALUE""")," Timely and quality")</f>
        <v> Timely and quality</v>
      </c>
      <c r="S919" s="14" t="str">
        <f t="shared" ref="S919:U919" si="1841">trim(B919)</f>
        <v>ord_30910</v>
      </c>
      <c r="T919" s="14" t="str">
        <f t="shared" si="1841"/>
        <v>Sanjay Nair</v>
      </c>
      <c r="U919" s="14" t="str">
        <f t="shared" si="1841"/>
        <v>Dadar</v>
      </c>
      <c r="V919" s="14" t="str">
        <f t="shared" si="4"/>
        <v>Juice</v>
      </c>
      <c r="W919" s="14">
        <f t="shared" si="5"/>
        <v>1</v>
      </c>
      <c r="X919" s="14" t="str">
        <f t="shared" si="6"/>
        <v>Aman Kumar</v>
      </c>
      <c r="Y919" s="15">
        <f t="shared" si="7"/>
        <v>45079</v>
      </c>
      <c r="Z919" s="14" t="str">
        <f t="shared" si="8"/>
        <v>Online Payment</v>
      </c>
      <c r="AA919" s="14" t="str">
        <f t="shared" si="9"/>
        <v>Delivered</v>
      </c>
      <c r="AB919" s="14" t="str">
        <f t="shared" ref="AB919:AC919" si="1842">trim(Q919)</f>
        <v>Satisfied with the Delivery</v>
      </c>
      <c r="AC919" s="14" t="str">
        <f t="shared" si="1842"/>
        <v>Timely and quality</v>
      </c>
      <c r="AD919" s="8"/>
    </row>
    <row r="920">
      <c r="A920" s="14" t="str">
        <f>IFERROR(__xludf.DUMMYFUNCTION("""COMPUTED_VALUE"""),"//ord_96334//Parth Goel//Juhu//Chocolate Mousse+1*Tanvi Jain/1/15/2023//Credit Card//Delivered*Satisfied with the Delivery: Timely and quality")</f>
        <v>//ord_96334//Parth Goel//Juhu//Chocolate Mousse+1*Tanvi Jain/1/15/2023//Credit Card//Delivered*Satisfied with the Delivery: Timely and quality</v>
      </c>
      <c r="B920" s="14" t="str">
        <f>IFERROR(__xludf.DUMMYFUNCTION("split(A920,""//"")"),"ord_96334")</f>
        <v>ord_96334</v>
      </c>
      <c r="C920" s="14" t="str">
        <f>IFERROR(__xludf.DUMMYFUNCTION("""COMPUTED_VALUE"""),"Parth Goel")</f>
        <v>Parth Goel</v>
      </c>
      <c r="D920" s="14" t="str">
        <f>IFERROR(__xludf.DUMMYFUNCTION("""COMPUTED_VALUE"""),"Juhu")</f>
        <v>Juhu</v>
      </c>
      <c r="E920" s="14" t="str">
        <f>IFERROR(__xludf.DUMMYFUNCTION("""COMPUTED_VALUE"""),"Chocolate Mousse+1*Tanvi Jain")</f>
        <v>Chocolate Mousse+1*Tanvi Jain</v>
      </c>
      <c r="F920" s="14">
        <f>IFERROR(__xludf.DUMMYFUNCTION("""COMPUTED_VALUE"""),1.0)</f>
        <v>1</v>
      </c>
      <c r="G920" s="14">
        <f>IFERROR(__xludf.DUMMYFUNCTION("""COMPUTED_VALUE"""),15.0)</f>
        <v>15</v>
      </c>
      <c r="H920" s="14">
        <f>IFERROR(__xludf.DUMMYFUNCTION("""COMPUTED_VALUE"""),2023.0)</f>
        <v>2023</v>
      </c>
      <c r="I920" s="14" t="str">
        <f>IFERROR(__xludf.DUMMYFUNCTION("""COMPUTED_VALUE"""),"Credit Card")</f>
        <v>Credit Card</v>
      </c>
      <c r="J920" s="14" t="str">
        <f>IFERROR(__xludf.DUMMYFUNCTION("""COMPUTED_VALUE"""),"Delivered*Satisfied with the Delivery: Timely and quality")</f>
        <v>Delivered*Satisfied with the Delivery: Timely and quality</v>
      </c>
      <c r="K920" s="14" t="str">
        <f>IFERROR(__xludf.DUMMYFUNCTION("split(E920,""+"")"),"Chocolate Mousse")</f>
        <v>Chocolate Mousse</v>
      </c>
      <c r="L920" s="14" t="str">
        <f>IFERROR(__xludf.DUMMYFUNCTION("""COMPUTED_VALUE"""),"1*Tanvi Jain")</f>
        <v>1*Tanvi Jain</v>
      </c>
      <c r="M920" s="14">
        <f>IFERROR(__xludf.DUMMYFUNCTION("SPLIT(L920,""*"")"),1.0)</f>
        <v>1</v>
      </c>
      <c r="N920" s="14" t="str">
        <f>IFERROR(__xludf.DUMMYFUNCTION("""COMPUTED_VALUE"""),"Tanvi Jain")</f>
        <v>Tanvi Jain</v>
      </c>
      <c r="O920" s="14" t="str">
        <f>IFERROR(__xludf.DUMMYFUNCTION("split(J920,""*"")"),"Delivered")</f>
        <v>Delivered</v>
      </c>
      <c r="P920" s="14" t="str">
        <f>IFERROR(__xludf.DUMMYFUNCTION("""COMPUTED_VALUE"""),"Satisfied with the Delivery: Timely and quality")</f>
        <v>Satisfied with the Delivery: Timely and quality</v>
      </c>
      <c r="Q920" s="14" t="str">
        <f>IFERROR(__xludf.DUMMYFUNCTION("split(P920,"":"")"),"Satisfied with the Delivery")</f>
        <v>Satisfied with the Delivery</v>
      </c>
      <c r="R920" s="14" t="str">
        <f>IFERROR(__xludf.DUMMYFUNCTION("""COMPUTED_VALUE""")," Timely and quality")</f>
        <v> Timely and quality</v>
      </c>
      <c r="S920" s="14" t="str">
        <f t="shared" ref="S920:U920" si="1843">trim(B920)</f>
        <v>ord_96334</v>
      </c>
      <c r="T920" s="14" t="str">
        <f t="shared" si="1843"/>
        <v>Parth Goel</v>
      </c>
      <c r="U920" s="14" t="str">
        <f t="shared" si="1843"/>
        <v>Juhu</v>
      </c>
      <c r="V920" s="14" t="str">
        <f t="shared" si="4"/>
        <v>Chocolate Mousse</v>
      </c>
      <c r="W920" s="14">
        <f t="shared" si="5"/>
        <v>1</v>
      </c>
      <c r="X920" s="14" t="str">
        <f t="shared" si="6"/>
        <v>Tanvi Jain</v>
      </c>
      <c r="Y920" s="15">
        <f t="shared" si="7"/>
        <v>44941</v>
      </c>
      <c r="Z920" s="14" t="str">
        <f t="shared" si="8"/>
        <v>Credit Card</v>
      </c>
      <c r="AA920" s="14" t="str">
        <f t="shared" si="9"/>
        <v>Delivered</v>
      </c>
      <c r="AB920" s="14" t="str">
        <f t="shared" ref="AB920:AC920" si="1844">trim(Q920)</f>
        <v>Satisfied with the Delivery</v>
      </c>
      <c r="AC920" s="14" t="str">
        <f t="shared" si="1844"/>
        <v>Timely and quality</v>
      </c>
      <c r="AD920" s="8"/>
    </row>
    <row r="921">
      <c r="A921" s="14" t="str">
        <f>IFERROR(__xludf.DUMMYFUNCTION("""COMPUTED_VALUE"""),"//ord_96428//Omkar Mishra//Powai//Orange+2*Sandeep Kumar/4/19/2023//UPI//Delivered*Customer Service: Seamless and easy")</f>
        <v>//ord_96428//Omkar Mishra//Powai//Orange+2*Sandeep Kumar/4/19/2023//UPI//Delivered*Customer Service: Seamless and easy</v>
      </c>
      <c r="B921" s="14" t="str">
        <f>IFERROR(__xludf.DUMMYFUNCTION("split(A921,""//"")"),"ord_96428")</f>
        <v>ord_96428</v>
      </c>
      <c r="C921" s="14" t="str">
        <f>IFERROR(__xludf.DUMMYFUNCTION("""COMPUTED_VALUE"""),"Omkar Mishra")</f>
        <v>Omkar Mishra</v>
      </c>
      <c r="D921" s="14" t="str">
        <f>IFERROR(__xludf.DUMMYFUNCTION("""COMPUTED_VALUE"""),"Powai")</f>
        <v>Powai</v>
      </c>
      <c r="E921" s="14" t="str">
        <f>IFERROR(__xludf.DUMMYFUNCTION("""COMPUTED_VALUE"""),"Orange+2*Sandeep Kumar")</f>
        <v>Orange+2*Sandeep Kumar</v>
      </c>
      <c r="F921" s="14">
        <f>IFERROR(__xludf.DUMMYFUNCTION("""COMPUTED_VALUE"""),4.0)</f>
        <v>4</v>
      </c>
      <c r="G921" s="14">
        <f>IFERROR(__xludf.DUMMYFUNCTION("""COMPUTED_VALUE"""),19.0)</f>
        <v>19</v>
      </c>
      <c r="H921" s="14">
        <f>IFERROR(__xludf.DUMMYFUNCTION("""COMPUTED_VALUE"""),2023.0)</f>
        <v>2023</v>
      </c>
      <c r="I921" s="14" t="str">
        <f>IFERROR(__xludf.DUMMYFUNCTION("""COMPUTED_VALUE"""),"UPI")</f>
        <v>UPI</v>
      </c>
      <c r="J921" s="14" t="str">
        <f>IFERROR(__xludf.DUMMYFUNCTION("""COMPUTED_VALUE"""),"Delivered*Customer Service: Seamless and easy")</f>
        <v>Delivered*Customer Service: Seamless and easy</v>
      </c>
      <c r="K921" s="14" t="str">
        <f>IFERROR(__xludf.DUMMYFUNCTION("split(E921,""+"")"),"Orange")</f>
        <v>Orange</v>
      </c>
      <c r="L921" s="14" t="str">
        <f>IFERROR(__xludf.DUMMYFUNCTION("""COMPUTED_VALUE"""),"2*Sandeep Kumar")</f>
        <v>2*Sandeep Kumar</v>
      </c>
      <c r="M921" s="14">
        <f>IFERROR(__xludf.DUMMYFUNCTION("SPLIT(L921,""*"")"),2.0)</f>
        <v>2</v>
      </c>
      <c r="N921" s="14" t="str">
        <f>IFERROR(__xludf.DUMMYFUNCTION("""COMPUTED_VALUE"""),"Sandeep Kumar")</f>
        <v>Sandeep Kumar</v>
      </c>
      <c r="O921" s="14" t="str">
        <f>IFERROR(__xludf.DUMMYFUNCTION("split(J921,""*"")"),"Delivered")</f>
        <v>Delivered</v>
      </c>
      <c r="P921" s="14" t="str">
        <f>IFERROR(__xludf.DUMMYFUNCTION("""COMPUTED_VALUE"""),"Customer Service: Seamless and easy")</f>
        <v>Customer Service: Seamless and easy</v>
      </c>
      <c r="Q921" s="14" t="str">
        <f>IFERROR(__xludf.DUMMYFUNCTION("split(P921,"":"")"),"Customer Service")</f>
        <v>Customer Service</v>
      </c>
      <c r="R921" s="14" t="str">
        <f>IFERROR(__xludf.DUMMYFUNCTION("""COMPUTED_VALUE""")," Seamless and easy")</f>
        <v> Seamless and easy</v>
      </c>
      <c r="S921" s="14" t="str">
        <f t="shared" ref="S921:U921" si="1845">trim(B921)</f>
        <v>ord_96428</v>
      </c>
      <c r="T921" s="14" t="str">
        <f t="shared" si="1845"/>
        <v>Omkar Mishra</v>
      </c>
      <c r="U921" s="14" t="str">
        <f t="shared" si="1845"/>
        <v>Powai</v>
      </c>
      <c r="V921" s="14" t="str">
        <f t="shared" si="4"/>
        <v>Orange</v>
      </c>
      <c r="W921" s="14">
        <f t="shared" si="5"/>
        <v>2</v>
      </c>
      <c r="X921" s="14" t="str">
        <f t="shared" si="6"/>
        <v>Sandeep Kumar</v>
      </c>
      <c r="Y921" s="15">
        <f t="shared" si="7"/>
        <v>45035</v>
      </c>
      <c r="Z921" s="14" t="str">
        <f t="shared" si="8"/>
        <v>UPI</v>
      </c>
      <c r="AA921" s="14" t="str">
        <f t="shared" si="9"/>
        <v>Delivered</v>
      </c>
      <c r="AB921" s="14" t="str">
        <f t="shared" ref="AB921:AC921" si="1846">trim(Q921)</f>
        <v>Customer Service</v>
      </c>
      <c r="AC921" s="14" t="str">
        <f t="shared" si="1846"/>
        <v>Seamless and easy</v>
      </c>
      <c r="AD921" s="8"/>
    </row>
    <row r="922">
      <c r="A922" s="14" t="str">
        <f>IFERROR(__xludf.DUMMYFUNCTION("""COMPUTED_VALUE"""),"//ord_96522//Sakshi Tandon//Colaba//Cold Coffee+2*Nikhil Deshmukh/8/15/2023//COD//Delivered*On-time Delivery: Delivered on time")</f>
        <v>//ord_96522//Sakshi Tandon//Colaba//Cold Coffee+2*Nikhil Deshmukh/8/15/2023//COD//Delivered*On-time Delivery: Delivered on time</v>
      </c>
      <c r="B922" s="14" t="str">
        <f>IFERROR(__xludf.DUMMYFUNCTION("split(A922,""//"")"),"ord_96522")</f>
        <v>ord_96522</v>
      </c>
      <c r="C922" s="14" t="str">
        <f>IFERROR(__xludf.DUMMYFUNCTION("""COMPUTED_VALUE"""),"Sakshi Tandon")</f>
        <v>Sakshi Tandon</v>
      </c>
      <c r="D922" s="14" t="str">
        <f>IFERROR(__xludf.DUMMYFUNCTION("""COMPUTED_VALUE"""),"Colaba")</f>
        <v>Colaba</v>
      </c>
      <c r="E922" s="14" t="str">
        <f>IFERROR(__xludf.DUMMYFUNCTION("""COMPUTED_VALUE"""),"Cold Coffee+2*Nikhil Deshmukh")</f>
        <v>Cold Coffee+2*Nikhil Deshmukh</v>
      </c>
      <c r="F922" s="14">
        <f>IFERROR(__xludf.DUMMYFUNCTION("""COMPUTED_VALUE"""),8.0)</f>
        <v>8</v>
      </c>
      <c r="G922" s="14">
        <f>IFERROR(__xludf.DUMMYFUNCTION("""COMPUTED_VALUE"""),15.0)</f>
        <v>15</v>
      </c>
      <c r="H922" s="14">
        <f>IFERROR(__xludf.DUMMYFUNCTION("""COMPUTED_VALUE"""),2023.0)</f>
        <v>2023</v>
      </c>
      <c r="I922" s="14" t="str">
        <f>IFERROR(__xludf.DUMMYFUNCTION("""COMPUTED_VALUE"""),"COD")</f>
        <v>COD</v>
      </c>
      <c r="J922" s="14" t="str">
        <f>IFERROR(__xludf.DUMMYFUNCTION("""COMPUTED_VALUE"""),"Delivered*On-time Delivery: Delivered on time")</f>
        <v>Delivered*On-time Delivery: Delivered on time</v>
      </c>
      <c r="K922" s="14" t="str">
        <f>IFERROR(__xludf.DUMMYFUNCTION("split(E922,""+"")"),"Cold Coffee")</f>
        <v>Cold Coffee</v>
      </c>
      <c r="L922" s="14" t="str">
        <f>IFERROR(__xludf.DUMMYFUNCTION("""COMPUTED_VALUE"""),"2*Nikhil Deshmukh")</f>
        <v>2*Nikhil Deshmukh</v>
      </c>
      <c r="M922" s="14">
        <f>IFERROR(__xludf.DUMMYFUNCTION("SPLIT(L922,""*"")"),2.0)</f>
        <v>2</v>
      </c>
      <c r="N922" s="14" t="str">
        <f>IFERROR(__xludf.DUMMYFUNCTION("""COMPUTED_VALUE"""),"Nikhil Deshmukh")</f>
        <v>Nikhil Deshmukh</v>
      </c>
      <c r="O922" s="14" t="str">
        <f>IFERROR(__xludf.DUMMYFUNCTION("split(J922,""*"")"),"Delivered")</f>
        <v>Delivered</v>
      </c>
      <c r="P922" s="14" t="str">
        <f>IFERROR(__xludf.DUMMYFUNCTION("""COMPUTED_VALUE"""),"On-time Delivery: Delivered on time")</f>
        <v>On-time Delivery: Delivered on time</v>
      </c>
      <c r="Q922" s="14" t="str">
        <f>IFERROR(__xludf.DUMMYFUNCTION("split(P922,"":"")"),"On-time Delivery")</f>
        <v>On-time Delivery</v>
      </c>
      <c r="R922" s="14" t="str">
        <f>IFERROR(__xludf.DUMMYFUNCTION("""COMPUTED_VALUE""")," Delivered on time")</f>
        <v> Delivered on time</v>
      </c>
      <c r="S922" s="14" t="str">
        <f t="shared" ref="S922:U922" si="1847">trim(B922)</f>
        <v>ord_96522</v>
      </c>
      <c r="T922" s="14" t="str">
        <f t="shared" si="1847"/>
        <v>Sakshi Tandon</v>
      </c>
      <c r="U922" s="14" t="str">
        <f t="shared" si="1847"/>
        <v>Colaba</v>
      </c>
      <c r="V922" s="14" t="str">
        <f t="shared" si="4"/>
        <v>Cold Coffee</v>
      </c>
      <c r="W922" s="14">
        <f t="shared" si="5"/>
        <v>2</v>
      </c>
      <c r="X922" s="14" t="str">
        <f t="shared" si="6"/>
        <v>Nikhil Deshmukh</v>
      </c>
      <c r="Y922" s="15">
        <f t="shared" si="7"/>
        <v>45153</v>
      </c>
      <c r="Z922" s="14" t="str">
        <f t="shared" si="8"/>
        <v>COD</v>
      </c>
      <c r="AA922" s="14" t="str">
        <f t="shared" si="9"/>
        <v>Delivered</v>
      </c>
      <c r="AB922" s="14" t="str">
        <f t="shared" ref="AB922:AC922" si="1848">trim(Q922)</f>
        <v>On-time Delivery</v>
      </c>
      <c r="AC922" s="14" t="str">
        <f t="shared" si="1848"/>
        <v>Delivered on time</v>
      </c>
      <c r="AD922" s="8"/>
    </row>
    <row r="923">
      <c r="A923" s="14" t="str">
        <f>IFERROR(__xludf.DUMMYFUNCTION("""COMPUTED_VALUE"""),"//ord_96616//Mohit Malhotra//Lower Parel//Tiramisu+1*Kiran Mehta/8/20/2023//UPI//Delivered*Delivery Experience: Quick and professional")</f>
        <v>//ord_96616//Mohit Malhotra//Lower Parel//Tiramisu+1*Kiran Mehta/8/20/2023//UPI//Delivered*Delivery Experience: Quick and professional</v>
      </c>
      <c r="B923" s="14" t="str">
        <f>IFERROR(__xludf.DUMMYFUNCTION("split(A923,""//"")"),"ord_96616")</f>
        <v>ord_96616</v>
      </c>
      <c r="C923" s="14" t="str">
        <f>IFERROR(__xludf.DUMMYFUNCTION("""COMPUTED_VALUE"""),"Mohit Malhotra")</f>
        <v>Mohit Malhotra</v>
      </c>
      <c r="D923" s="14" t="str">
        <f>IFERROR(__xludf.DUMMYFUNCTION("""COMPUTED_VALUE"""),"Lower Parel")</f>
        <v>Lower Parel</v>
      </c>
      <c r="E923" s="14" t="str">
        <f>IFERROR(__xludf.DUMMYFUNCTION("""COMPUTED_VALUE"""),"Tiramisu+1*Kiran Mehta")</f>
        <v>Tiramisu+1*Kiran Mehta</v>
      </c>
      <c r="F923" s="14">
        <f>IFERROR(__xludf.DUMMYFUNCTION("""COMPUTED_VALUE"""),8.0)</f>
        <v>8</v>
      </c>
      <c r="G923" s="14">
        <f>IFERROR(__xludf.DUMMYFUNCTION("""COMPUTED_VALUE"""),20.0)</f>
        <v>20</v>
      </c>
      <c r="H923" s="14">
        <f>IFERROR(__xludf.DUMMYFUNCTION("""COMPUTED_VALUE"""),2023.0)</f>
        <v>2023</v>
      </c>
      <c r="I923" s="14" t="str">
        <f>IFERROR(__xludf.DUMMYFUNCTION("""COMPUTED_VALUE"""),"UPI")</f>
        <v>UPI</v>
      </c>
      <c r="J923" s="14" t="str">
        <f>IFERROR(__xludf.DUMMYFUNCTION("""COMPUTED_VALUE"""),"Delivered*Delivery Experience: Quick and professional")</f>
        <v>Delivered*Delivery Experience: Quick and professional</v>
      </c>
      <c r="K923" s="14" t="str">
        <f>IFERROR(__xludf.DUMMYFUNCTION("split(E923,""+"")"),"Tiramisu")</f>
        <v>Tiramisu</v>
      </c>
      <c r="L923" s="14" t="str">
        <f>IFERROR(__xludf.DUMMYFUNCTION("""COMPUTED_VALUE"""),"1*Kiran Mehta")</f>
        <v>1*Kiran Mehta</v>
      </c>
      <c r="M923" s="14">
        <f>IFERROR(__xludf.DUMMYFUNCTION("SPLIT(L923,""*"")"),1.0)</f>
        <v>1</v>
      </c>
      <c r="N923" s="14" t="str">
        <f>IFERROR(__xludf.DUMMYFUNCTION("""COMPUTED_VALUE"""),"Kiran Mehta")</f>
        <v>Kiran Mehta</v>
      </c>
      <c r="O923" s="14" t="str">
        <f>IFERROR(__xludf.DUMMYFUNCTION("split(J923,""*"")"),"Delivered")</f>
        <v>Delivered</v>
      </c>
      <c r="P923" s="14" t="str">
        <f>IFERROR(__xludf.DUMMYFUNCTION("""COMPUTED_VALUE"""),"Delivery Experience: Quick and professional")</f>
        <v>Delivery Experience: Quick and professional</v>
      </c>
      <c r="Q923" s="14" t="str">
        <f>IFERROR(__xludf.DUMMYFUNCTION("split(P923,"":"")"),"Delivery Experience")</f>
        <v>Delivery Experience</v>
      </c>
      <c r="R923" s="14" t="str">
        <f>IFERROR(__xludf.DUMMYFUNCTION("""COMPUTED_VALUE""")," Quick and professional")</f>
        <v> Quick and professional</v>
      </c>
      <c r="S923" s="14" t="str">
        <f t="shared" ref="S923:U923" si="1849">trim(B923)</f>
        <v>ord_96616</v>
      </c>
      <c r="T923" s="14" t="str">
        <f t="shared" si="1849"/>
        <v>Mohit Malhotra</v>
      </c>
      <c r="U923" s="14" t="str">
        <f t="shared" si="1849"/>
        <v>Lower Parel</v>
      </c>
      <c r="V923" s="14" t="str">
        <f t="shared" si="4"/>
        <v>Tiramisu</v>
      </c>
      <c r="W923" s="14">
        <f t="shared" si="5"/>
        <v>1</v>
      </c>
      <c r="X923" s="14" t="str">
        <f t="shared" si="6"/>
        <v>Kiran Mehta</v>
      </c>
      <c r="Y923" s="15">
        <f t="shared" si="7"/>
        <v>45158</v>
      </c>
      <c r="Z923" s="14" t="str">
        <f t="shared" si="8"/>
        <v>UPI</v>
      </c>
      <c r="AA923" s="14" t="str">
        <f t="shared" si="9"/>
        <v>Delivered</v>
      </c>
      <c r="AB923" s="14" t="str">
        <f t="shared" ref="AB923:AC923" si="1850">trim(Q923)</f>
        <v>Delivery Experience</v>
      </c>
      <c r="AC923" s="14" t="str">
        <f t="shared" si="1850"/>
        <v>Quick and professional</v>
      </c>
      <c r="AD923" s="8"/>
    </row>
    <row r="924">
      <c r="A924" s="14" t="str">
        <f>IFERROR(__xludf.DUMMYFUNCTION("""COMPUTED_VALUE"""),"//ord_96710//Anaya Rao//Colaba//Cold Coffee+4*Nikhil Deshmukh/3/15/2023//COD//Delivered*Convenience: Easy tracking")</f>
        <v>//ord_96710//Anaya Rao//Colaba//Cold Coffee+4*Nikhil Deshmukh/3/15/2023//COD//Delivered*Convenience: Easy tracking</v>
      </c>
      <c r="B924" s="14" t="str">
        <f>IFERROR(__xludf.DUMMYFUNCTION("split(A924,""//"")"),"ord_96710")</f>
        <v>ord_96710</v>
      </c>
      <c r="C924" s="14" t="str">
        <f>IFERROR(__xludf.DUMMYFUNCTION("""COMPUTED_VALUE"""),"Anaya Rao")</f>
        <v>Anaya Rao</v>
      </c>
      <c r="D924" s="14" t="str">
        <f>IFERROR(__xludf.DUMMYFUNCTION("""COMPUTED_VALUE"""),"Colaba")</f>
        <v>Colaba</v>
      </c>
      <c r="E924" s="14" t="str">
        <f>IFERROR(__xludf.DUMMYFUNCTION("""COMPUTED_VALUE"""),"Cold Coffee+4*Nikhil Deshmukh")</f>
        <v>Cold Coffee+4*Nikhil Deshmukh</v>
      </c>
      <c r="F924" s="14">
        <f>IFERROR(__xludf.DUMMYFUNCTION("""COMPUTED_VALUE"""),3.0)</f>
        <v>3</v>
      </c>
      <c r="G924" s="14">
        <f>IFERROR(__xludf.DUMMYFUNCTION("""COMPUTED_VALUE"""),15.0)</f>
        <v>15</v>
      </c>
      <c r="H924" s="14">
        <f>IFERROR(__xludf.DUMMYFUNCTION("""COMPUTED_VALUE"""),2023.0)</f>
        <v>2023</v>
      </c>
      <c r="I924" s="14" t="str">
        <f>IFERROR(__xludf.DUMMYFUNCTION("""COMPUTED_VALUE"""),"COD")</f>
        <v>COD</v>
      </c>
      <c r="J924" s="14" t="str">
        <f>IFERROR(__xludf.DUMMYFUNCTION("""COMPUTED_VALUE"""),"Delivered*Convenience: Easy tracking")</f>
        <v>Delivered*Convenience: Easy tracking</v>
      </c>
      <c r="K924" s="14" t="str">
        <f>IFERROR(__xludf.DUMMYFUNCTION("split(E924,""+"")"),"Cold Coffee")</f>
        <v>Cold Coffee</v>
      </c>
      <c r="L924" s="14" t="str">
        <f>IFERROR(__xludf.DUMMYFUNCTION("""COMPUTED_VALUE"""),"4*Nikhil Deshmukh")</f>
        <v>4*Nikhil Deshmukh</v>
      </c>
      <c r="M924" s="14">
        <f>IFERROR(__xludf.DUMMYFUNCTION("SPLIT(L924,""*"")"),4.0)</f>
        <v>4</v>
      </c>
      <c r="N924" s="14" t="str">
        <f>IFERROR(__xludf.DUMMYFUNCTION("""COMPUTED_VALUE"""),"Nikhil Deshmukh")</f>
        <v>Nikhil Deshmukh</v>
      </c>
      <c r="O924" s="14" t="str">
        <f>IFERROR(__xludf.DUMMYFUNCTION("split(J924,""*"")"),"Delivered")</f>
        <v>Delivered</v>
      </c>
      <c r="P924" s="14" t="str">
        <f>IFERROR(__xludf.DUMMYFUNCTION("""COMPUTED_VALUE"""),"Convenience: Easy tracking")</f>
        <v>Convenience: Easy tracking</v>
      </c>
      <c r="Q924" s="14" t="str">
        <f>IFERROR(__xludf.DUMMYFUNCTION("split(P924,"":"")"),"Convenience")</f>
        <v>Convenience</v>
      </c>
      <c r="R924" s="14" t="str">
        <f>IFERROR(__xludf.DUMMYFUNCTION("""COMPUTED_VALUE""")," Easy tracking")</f>
        <v> Easy tracking</v>
      </c>
      <c r="S924" s="14" t="str">
        <f t="shared" ref="S924:U924" si="1851">trim(B924)</f>
        <v>ord_96710</v>
      </c>
      <c r="T924" s="14" t="str">
        <f t="shared" si="1851"/>
        <v>Anaya Rao</v>
      </c>
      <c r="U924" s="14" t="str">
        <f t="shared" si="1851"/>
        <v>Colaba</v>
      </c>
      <c r="V924" s="14" t="str">
        <f t="shared" si="4"/>
        <v>Cold Coffee</v>
      </c>
      <c r="W924" s="14">
        <f t="shared" si="5"/>
        <v>4</v>
      </c>
      <c r="X924" s="14" t="str">
        <f t="shared" si="6"/>
        <v>Nikhil Deshmukh</v>
      </c>
      <c r="Y924" s="15">
        <f t="shared" si="7"/>
        <v>45000</v>
      </c>
      <c r="Z924" s="14" t="str">
        <f t="shared" si="8"/>
        <v>COD</v>
      </c>
      <c r="AA924" s="14" t="str">
        <f t="shared" si="9"/>
        <v>Delivered</v>
      </c>
      <c r="AB924" s="14" t="str">
        <f t="shared" ref="AB924:AC924" si="1852">trim(Q924)</f>
        <v>Convenience</v>
      </c>
      <c r="AC924" s="14" t="str">
        <f t="shared" si="1852"/>
        <v>Easy tracking</v>
      </c>
      <c r="AD924" s="8"/>
    </row>
    <row r="925">
      <c r="A925" s="14" t="str">
        <f>IFERROR(__xludf.DUMMYFUNCTION("""COMPUTED_VALUE"""),"//ord_96804//Dev Chauhan//Bandra//Orange+1*Priya Joshi/10/7/2023//COD//Delivered*Overall Satisfaction: Great service will order again")</f>
        <v>//ord_96804//Dev Chauhan//Bandra//Orange+1*Priya Joshi/10/7/2023//COD//Delivered*Overall Satisfaction: Great service will order again</v>
      </c>
      <c r="B925" s="14" t="str">
        <f>IFERROR(__xludf.DUMMYFUNCTION("split(A925,""//"")"),"ord_96804")</f>
        <v>ord_96804</v>
      </c>
      <c r="C925" s="14" t="str">
        <f>IFERROR(__xludf.DUMMYFUNCTION("""COMPUTED_VALUE"""),"Dev Chauhan")</f>
        <v>Dev Chauhan</v>
      </c>
      <c r="D925" s="14" t="str">
        <f>IFERROR(__xludf.DUMMYFUNCTION("""COMPUTED_VALUE"""),"Bandra")</f>
        <v>Bandra</v>
      </c>
      <c r="E925" s="14" t="str">
        <f>IFERROR(__xludf.DUMMYFUNCTION("""COMPUTED_VALUE"""),"Orange+1*Priya Joshi")</f>
        <v>Orange+1*Priya Joshi</v>
      </c>
      <c r="F925" s="14">
        <f>IFERROR(__xludf.DUMMYFUNCTION("""COMPUTED_VALUE"""),10.0)</f>
        <v>10</v>
      </c>
      <c r="G925" s="14">
        <f>IFERROR(__xludf.DUMMYFUNCTION("""COMPUTED_VALUE"""),7.0)</f>
        <v>7</v>
      </c>
      <c r="H925" s="14">
        <f>IFERROR(__xludf.DUMMYFUNCTION("""COMPUTED_VALUE"""),2023.0)</f>
        <v>2023</v>
      </c>
      <c r="I925" s="14" t="str">
        <f>IFERROR(__xludf.DUMMYFUNCTION("""COMPUTED_VALUE"""),"COD")</f>
        <v>COD</v>
      </c>
      <c r="J925" s="14" t="str">
        <f>IFERROR(__xludf.DUMMYFUNCTION("""COMPUTED_VALUE"""),"Delivered*Overall Satisfaction: Great service will order again")</f>
        <v>Delivered*Overall Satisfaction: Great service will order again</v>
      </c>
      <c r="K925" s="14" t="str">
        <f>IFERROR(__xludf.DUMMYFUNCTION("split(E925,""+"")"),"Orange")</f>
        <v>Orange</v>
      </c>
      <c r="L925" s="14" t="str">
        <f>IFERROR(__xludf.DUMMYFUNCTION("""COMPUTED_VALUE"""),"1*Priya Joshi")</f>
        <v>1*Priya Joshi</v>
      </c>
      <c r="M925" s="14">
        <f>IFERROR(__xludf.DUMMYFUNCTION("SPLIT(L925,""*"")"),1.0)</f>
        <v>1</v>
      </c>
      <c r="N925" s="14" t="str">
        <f>IFERROR(__xludf.DUMMYFUNCTION("""COMPUTED_VALUE"""),"Priya Joshi")</f>
        <v>Priya Joshi</v>
      </c>
      <c r="O925" s="14" t="str">
        <f>IFERROR(__xludf.DUMMYFUNCTION("split(J925,""*"")"),"Delivered")</f>
        <v>Delivered</v>
      </c>
      <c r="P925" s="14" t="str">
        <f>IFERROR(__xludf.DUMMYFUNCTION("""COMPUTED_VALUE"""),"Overall Satisfaction: Great service will order again")</f>
        <v>Overall Satisfaction: Great service will order again</v>
      </c>
      <c r="Q925" s="14" t="str">
        <f>IFERROR(__xludf.DUMMYFUNCTION("split(P925,"":"")"),"Overall Satisfaction")</f>
        <v>Overall Satisfaction</v>
      </c>
      <c r="R925" s="14" t="str">
        <f>IFERROR(__xludf.DUMMYFUNCTION("""COMPUTED_VALUE""")," Great service will order again")</f>
        <v> Great service will order again</v>
      </c>
      <c r="S925" s="14" t="str">
        <f t="shared" ref="S925:U925" si="1853">trim(B925)</f>
        <v>ord_96804</v>
      </c>
      <c r="T925" s="14" t="str">
        <f t="shared" si="1853"/>
        <v>Dev Chauhan</v>
      </c>
      <c r="U925" s="14" t="str">
        <f t="shared" si="1853"/>
        <v>Bandra</v>
      </c>
      <c r="V925" s="14" t="str">
        <f t="shared" si="4"/>
        <v>Orange</v>
      </c>
      <c r="W925" s="14">
        <f t="shared" si="5"/>
        <v>1</v>
      </c>
      <c r="X925" s="14" t="str">
        <f t="shared" si="6"/>
        <v>Priya Joshi</v>
      </c>
      <c r="Y925" s="15">
        <f t="shared" si="7"/>
        <v>45206</v>
      </c>
      <c r="Z925" s="14" t="str">
        <f t="shared" si="8"/>
        <v>COD</v>
      </c>
      <c r="AA925" s="14" t="str">
        <f t="shared" si="9"/>
        <v>Delivered</v>
      </c>
      <c r="AB925" s="14" t="str">
        <f t="shared" ref="AB925:AC925" si="1854">trim(Q925)</f>
        <v>Overall Satisfaction</v>
      </c>
      <c r="AC925" s="14" t="str">
        <f t="shared" si="1854"/>
        <v>Great service will order again</v>
      </c>
      <c r="AD925" s="8"/>
    </row>
    <row r="926">
      <c r="A926" s="14" t="str">
        <f>IFERROR(__xludf.DUMMYFUNCTION("""COMPUTED_VALUE"""),"//ord_96898//Pallavi Ghosh//Bandra//Orange+2*Aman Kumar/2/17/2023//Credit Card//Cancelled*Delayed Delivery:Bad Weather Conditions ")</f>
        <v>//ord_96898//Pallavi Ghosh//Bandra//Orange+2*Aman Kumar/2/17/2023//Credit Card//Cancelled*Delayed Delivery:Bad Weather Conditions </v>
      </c>
      <c r="B926" s="14" t="str">
        <f>IFERROR(__xludf.DUMMYFUNCTION("split(A926,""//"")"),"ord_96898")</f>
        <v>ord_96898</v>
      </c>
      <c r="C926" s="14" t="str">
        <f>IFERROR(__xludf.DUMMYFUNCTION("""COMPUTED_VALUE"""),"Pallavi Ghosh")</f>
        <v>Pallavi Ghosh</v>
      </c>
      <c r="D926" s="14" t="str">
        <f>IFERROR(__xludf.DUMMYFUNCTION("""COMPUTED_VALUE"""),"Bandra")</f>
        <v>Bandra</v>
      </c>
      <c r="E926" s="14" t="str">
        <f>IFERROR(__xludf.DUMMYFUNCTION("""COMPUTED_VALUE"""),"Orange+2*Aman Kumar")</f>
        <v>Orange+2*Aman Kumar</v>
      </c>
      <c r="F926" s="14">
        <f>IFERROR(__xludf.DUMMYFUNCTION("""COMPUTED_VALUE"""),2.0)</f>
        <v>2</v>
      </c>
      <c r="G926" s="14">
        <f>IFERROR(__xludf.DUMMYFUNCTION("""COMPUTED_VALUE"""),17.0)</f>
        <v>17</v>
      </c>
      <c r="H926" s="14">
        <f>IFERROR(__xludf.DUMMYFUNCTION("""COMPUTED_VALUE"""),2023.0)</f>
        <v>2023</v>
      </c>
      <c r="I926" s="14" t="str">
        <f>IFERROR(__xludf.DUMMYFUNCTION("""COMPUTED_VALUE"""),"Credit Card")</f>
        <v>Credit Card</v>
      </c>
      <c r="J926" s="14" t="str">
        <f>IFERROR(__xludf.DUMMYFUNCTION("""COMPUTED_VALUE"""),"Cancelled*Delayed Delivery:Bad Weather Conditions ")</f>
        <v>Cancelled*Delayed Delivery:Bad Weather Conditions </v>
      </c>
      <c r="K926" s="14" t="str">
        <f>IFERROR(__xludf.DUMMYFUNCTION("split(E926,""+"")"),"Orange")</f>
        <v>Orange</v>
      </c>
      <c r="L926" s="14" t="str">
        <f>IFERROR(__xludf.DUMMYFUNCTION("""COMPUTED_VALUE"""),"2*Aman Kumar")</f>
        <v>2*Aman Kumar</v>
      </c>
      <c r="M926" s="14">
        <f>IFERROR(__xludf.DUMMYFUNCTION("SPLIT(L926,""*"")"),2.0)</f>
        <v>2</v>
      </c>
      <c r="N926" s="14" t="str">
        <f>IFERROR(__xludf.DUMMYFUNCTION("""COMPUTED_VALUE"""),"Aman Kumar")</f>
        <v>Aman Kumar</v>
      </c>
      <c r="O926" s="14" t="str">
        <f>IFERROR(__xludf.DUMMYFUNCTION("split(J926,""*"")"),"Cancelled")</f>
        <v>Cancelled</v>
      </c>
      <c r="P926" s="14" t="str">
        <f>IFERROR(__xludf.DUMMYFUNCTION("""COMPUTED_VALUE"""),"Delayed Delivery:Bad Weather Conditions ")</f>
        <v>Delayed Delivery:Bad Weather Conditions </v>
      </c>
      <c r="Q926" s="14" t="str">
        <f>IFERROR(__xludf.DUMMYFUNCTION("split(P926,"":"")"),"Delayed Delivery")</f>
        <v>Delayed Delivery</v>
      </c>
      <c r="R926" s="14" t="str">
        <f>IFERROR(__xludf.DUMMYFUNCTION("""COMPUTED_VALUE"""),"Bad Weather Conditions ")</f>
        <v>Bad Weather Conditions </v>
      </c>
      <c r="S926" s="14" t="str">
        <f t="shared" ref="S926:U926" si="1855">trim(B926)</f>
        <v>ord_96898</v>
      </c>
      <c r="T926" s="14" t="str">
        <f t="shared" si="1855"/>
        <v>Pallavi Ghosh</v>
      </c>
      <c r="U926" s="14" t="str">
        <f t="shared" si="1855"/>
        <v>Bandra</v>
      </c>
      <c r="V926" s="14" t="str">
        <f t="shared" si="4"/>
        <v>Orange</v>
      </c>
      <c r="W926" s="14">
        <f t="shared" si="5"/>
        <v>2</v>
      </c>
      <c r="X926" s="14" t="str">
        <f t="shared" si="6"/>
        <v>Aman Kumar</v>
      </c>
      <c r="Y926" s="15">
        <f t="shared" si="7"/>
        <v>44974</v>
      </c>
      <c r="Z926" s="14" t="str">
        <f t="shared" si="8"/>
        <v>Credit Card</v>
      </c>
      <c r="AA926" s="14" t="str">
        <f t="shared" si="9"/>
        <v>Cancelled</v>
      </c>
      <c r="AB926" s="14" t="str">
        <f t="shared" ref="AB926:AC926" si="1856">trim(Q926)</f>
        <v>Delayed Delivery</v>
      </c>
      <c r="AC926" s="14" t="str">
        <f t="shared" si="1856"/>
        <v>Bad Weather Conditions</v>
      </c>
      <c r="AD926" s="8"/>
    </row>
    <row r="927">
      <c r="A927" s="14" t="str">
        <f>IFERROR(__xludf.DUMMYFUNCTION("""COMPUTED_VALUE"""),"//ord_96992//Siya Reddy//Juhu//Veg Puff+1*Tanvi Jain/10/3/2023//UPI//Delivered*On-time Delivery: Delivered on time")</f>
        <v>//ord_96992//Siya Reddy//Juhu//Veg Puff+1*Tanvi Jain/10/3/2023//UPI//Delivered*On-time Delivery: Delivered on time</v>
      </c>
      <c r="B927" s="14" t="str">
        <f>IFERROR(__xludf.DUMMYFUNCTION("split(A927,""//"")"),"ord_96992")</f>
        <v>ord_96992</v>
      </c>
      <c r="C927" s="14" t="str">
        <f>IFERROR(__xludf.DUMMYFUNCTION("""COMPUTED_VALUE"""),"Siya Reddy")</f>
        <v>Siya Reddy</v>
      </c>
      <c r="D927" s="14" t="str">
        <f>IFERROR(__xludf.DUMMYFUNCTION("""COMPUTED_VALUE"""),"Juhu")</f>
        <v>Juhu</v>
      </c>
      <c r="E927" s="14" t="str">
        <f>IFERROR(__xludf.DUMMYFUNCTION("""COMPUTED_VALUE"""),"Veg Puff+1*Tanvi Jain")</f>
        <v>Veg Puff+1*Tanvi Jain</v>
      </c>
      <c r="F927" s="14">
        <f>IFERROR(__xludf.DUMMYFUNCTION("""COMPUTED_VALUE"""),10.0)</f>
        <v>10</v>
      </c>
      <c r="G927" s="14">
        <f>IFERROR(__xludf.DUMMYFUNCTION("""COMPUTED_VALUE"""),3.0)</f>
        <v>3</v>
      </c>
      <c r="H927" s="14">
        <f>IFERROR(__xludf.DUMMYFUNCTION("""COMPUTED_VALUE"""),2023.0)</f>
        <v>2023</v>
      </c>
      <c r="I927" s="14" t="str">
        <f>IFERROR(__xludf.DUMMYFUNCTION("""COMPUTED_VALUE"""),"UPI")</f>
        <v>UPI</v>
      </c>
      <c r="J927" s="14" t="str">
        <f>IFERROR(__xludf.DUMMYFUNCTION("""COMPUTED_VALUE"""),"Delivered*On-time Delivery: Delivered on time")</f>
        <v>Delivered*On-time Delivery: Delivered on time</v>
      </c>
      <c r="K927" s="14" t="str">
        <f>IFERROR(__xludf.DUMMYFUNCTION("split(E927,""+"")"),"Veg Puff")</f>
        <v>Veg Puff</v>
      </c>
      <c r="L927" s="14" t="str">
        <f>IFERROR(__xludf.DUMMYFUNCTION("""COMPUTED_VALUE"""),"1*Tanvi Jain")</f>
        <v>1*Tanvi Jain</v>
      </c>
      <c r="M927" s="14">
        <f>IFERROR(__xludf.DUMMYFUNCTION("SPLIT(L927,""*"")"),1.0)</f>
        <v>1</v>
      </c>
      <c r="N927" s="14" t="str">
        <f>IFERROR(__xludf.DUMMYFUNCTION("""COMPUTED_VALUE"""),"Tanvi Jain")</f>
        <v>Tanvi Jain</v>
      </c>
      <c r="O927" s="14" t="str">
        <f>IFERROR(__xludf.DUMMYFUNCTION("split(J927,""*"")"),"Delivered")</f>
        <v>Delivered</v>
      </c>
      <c r="P927" s="14" t="str">
        <f>IFERROR(__xludf.DUMMYFUNCTION("""COMPUTED_VALUE"""),"On-time Delivery: Delivered on time")</f>
        <v>On-time Delivery: Delivered on time</v>
      </c>
      <c r="Q927" s="14" t="str">
        <f>IFERROR(__xludf.DUMMYFUNCTION("split(P927,"":"")"),"On-time Delivery")</f>
        <v>On-time Delivery</v>
      </c>
      <c r="R927" s="14" t="str">
        <f>IFERROR(__xludf.DUMMYFUNCTION("""COMPUTED_VALUE""")," Delivered on time")</f>
        <v> Delivered on time</v>
      </c>
      <c r="S927" s="14" t="str">
        <f t="shared" ref="S927:U927" si="1857">trim(B927)</f>
        <v>ord_96992</v>
      </c>
      <c r="T927" s="14" t="str">
        <f t="shared" si="1857"/>
        <v>Siya Reddy</v>
      </c>
      <c r="U927" s="14" t="str">
        <f t="shared" si="1857"/>
        <v>Juhu</v>
      </c>
      <c r="V927" s="14" t="str">
        <f t="shared" si="4"/>
        <v>Veg Puff</v>
      </c>
      <c r="W927" s="14">
        <f t="shared" si="5"/>
        <v>1</v>
      </c>
      <c r="X927" s="14" t="str">
        <f t="shared" si="6"/>
        <v>Tanvi Jain</v>
      </c>
      <c r="Y927" s="15">
        <f t="shared" si="7"/>
        <v>45202</v>
      </c>
      <c r="Z927" s="14" t="str">
        <f t="shared" si="8"/>
        <v>UPI</v>
      </c>
      <c r="AA927" s="14" t="str">
        <f t="shared" si="9"/>
        <v>Delivered</v>
      </c>
      <c r="AB927" s="14" t="str">
        <f t="shared" ref="AB927:AC927" si="1858">trim(Q927)</f>
        <v>On-time Delivery</v>
      </c>
      <c r="AC927" s="14" t="str">
        <f t="shared" si="1858"/>
        <v>Delivered on time</v>
      </c>
      <c r="AD927" s="8"/>
    </row>
    <row r="928">
      <c r="A928" s="14" t="str">
        <f>IFERROR(__xludf.DUMMYFUNCTION("""COMPUTED_VALUE"""),"//ord_97086//Tanishq Bansal//Powai//Cold Coffee+2*Sandeep Kumar/6/16/2023//UPI//Delivered*Quality of Items: Perfect condition")</f>
        <v>//ord_97086//Tanishq Bansal//Powai//Cold Coffee+2*Sandeep Kumar/6/16/2023//UPI//Delivered*Quality of Items: Perfect condition</v>
      </c>
      <c r="B928" s="14" t="str">
        <f>IFERROR(__xludf.DUMMYFUNCTION("split(A928,""//"")"),"ord_97086")</f>
        <v>ord_97086</v>
      </c>
      <c r="C928" s="14" t="str">
        <f>IFERROR(__xludf.DUMMYFUNCTION("""COMPUTED_VALUE"""),"Tanishq Bansal")</f>
        <v>Tanishq Bansal</v>
      </c>
      <c r="D928" s="14" t="str">
        <f>IFERROR(__xludf.DUMMYFUNCTION("""COMPUTED_VALUE"""),"Powai")</f>
        <v>Powai</v>
      </c>
      <c r="E928" s="14" t="str">
        <f>IFERROR(__xludf.DUMMYFUNCTION("""COMPUTED_VALUE"""),"Cold Coffee+2*Sandeep Kumar")</f>
        <v>Cold Coffee+2*Sandeep Kumar</v>
      </c>
      <c r="F928" s="14">
        <f>IFERROR(__xludf.DUMMYFUNCTION("""COMPUTED_VALUE"""),6.0)</f>
        <v>6</v>
      </c>
      <c r="G928" s="14">
        <f>IFERROR(__xludf.DUMMYFUNCTION("""COMPUTED_VALUE"""),16.0)</f>
        <v>16</v>
      </c>
      <c r="H928" s="14">
        <f>IFERROR(__xludf.DUMMYFUNCTION("""COMPUTED_VALUE"""),2023.0)</f>
        <v>2023</v>
      </c>
      <c r="I928" s="14" t="str">
        <f>IFERROR(__xludf.DUMMYFUNCTION("""COMPUTED_VALUE"""),"UPI")</f>
        <v>UPI</v>
      </c>
      <c r="J928" s="14" t="str">
        <f>IFERROR(__xludf.DUMMYFUNCTION("""COMPUTED_VALUE"""),"Delivered*Quality of Items: Perfect condition")</f>
        <v>Delivered*Quality of Items: Perfect condition</v>
      </c>
      <c r="K928" s="14" t="str">
        <f>IFERROR(__xludf.DUMMYFUNCTION("split(E928,""+"")"),"Cold Coffee")</f>
        <v>Cold Coffee</v>
      </c>
      <c r="L928" s="14" t="str">
        <f>IFERROR(__xludf.DUMMYFUNCTION("""COMPUTED_VALUE"""),"2*Sandeep Kumar")</f>
        <v>2*Sandeep Kumar</v>
      </c>
      <c r="M928" s="14">
        <f>IFERROR(__xludf.DUMMYFUNCTION("SPLIT(L928,""*"")"),2.0)</f>
        <v>2</v>
      </c>
      <c r="N928" s="14" t="str">
        <f>IFERROR(__xludf.DUMMYFUNCTION("""COMPUTED_VALUE"""),"Sandeep Kumar")</f>
        <v>Sandeep Kumar</v>
      </c>
      <c r="O928" s="14" t="str">
        <f>IFERROR(__xludf.DUMMYFUNCTION("split(J928,""*"")"),"Delivered")</f>
        <v>Delivered</v>
      </c>
      <c r="P928" s="14" t="str">
        <f>IFERROR(__xludf.DUMMYFUNCTION("""COMPUTED_VALUE"""),"Quality of Items: Perfect condition")</f>
        <v>Quality of Items: Perfect condition</v>
      </c>
      <c r="Q928" s="14" t="str">
        <f>IFERROR(__xludf.DUMMYFUNCTION("split(P928,"":"")"),"Quality of Items")</f>
        <v>Quality of Items</v>
      </c>
      <c r="R928" s="14" t="str">
        <f>IFERROR(__xludf.DUMMYFUNCTION("""COMPUTED_VALUE""")," Perfect condition")</f>
        <v> Perfect condition</v>
      </c>
      <c r="S928" s="14" t="str">
        <f t="shared" ref="S928:U928" si="1859">trim(B928)</f>
        <v>ord_97086</v>
      </c>
      <c r="T928" s="14" t="str">
        <f t="shared" si="1859"/>
        <v>Tanishq Bansal</v>
      </c>
      <c r="U928" s="14" t="str">
        <f t="shared" si="1859"/>
        <v>Powai</v>
      </c>
      <c r="V928" s="14" t="str">
        <f t="shared" si="4"/>
        <v>Cold Coffee</v>
      </c>
      <c r="W928" s="14">
        <f t="shared" si="5"/>
        <v>2</v>
      </c>
      <c r="X928" s="14" t="str">
        <f t="shared" si="6"/>
        <v>Sandeep Kumar</v>
      </c>
      <c r="Y928" s="15">
        <f t="shared" si="7"/>
        <v>45093</v>
      </c>
      <c r="Z928" s="14" t="str">
        <f t="shared" si="8"/>
        <v>UPI</v>
      </c>
      <c r="AA928" s="14" t="str">
        <f t="shared" si="9"/>
        <v>Delivered</v>
      </c>
      <c r="AB928" s="14" t="str">
        <f t="shared" ref="AB928:AC928" si="1860">trim(Q928)</f>
        <v>Quality of Items</v>
      </c>
      <c r="AC928" s="14" t="str">
        <f t="shared" si="1860"/>
        <v>Perfect condition</v>
      </c>
      <c r="AD928" s="8"/>
    </row>
    <row r="929">
      <c r="A929" s="14" t="str">
        <f>IFERROR(__xludf.DUMMYFUNCTION("""COMPUTED_VALUE"""),"//ord_97180//Anaya Rao//Colaba//Tiramisu+3*Nikhil Deshmukh/8/2/2023//Credit Card//Delivered*Quality of Items: Perfect condition")</f>
        <v>//ord_97180//Anaya Rao//Colaba//Tiramisu+3*Nikhil Deshmukh/8/2/2023//Credit Card//Delivered*Quality of Items: Perfect condition</v>
      </c>
      <c r="B929" s="14" t="str">
        <f>IFERROR(__xludf.DUMMYFUNCTION("split(A929,""//"")"),"ord_97180")</f>
        <v>ord_97180</v>
      </c>
      <c r="C929" s="14" t="str">
        <f>IFERROR(__xludf.DUMMYFUNCTION("""COMPUTED_VALUE"""),"Anaya Rao")</f>
        <v>Anaya Rao</v>
      </c>
      <c r="D929" s="14" t="str">
        <f>IFERROR(__xludf.DUMMYFUNCTION("""COMPUTED_VALUE"""),"Colaba")</f>
        <v>Colaba</v>
      </c>
      <c r="E929" s="14" t="str">
        <f>IFERROR(__xludf.DUMMYFUNCTION("""COMPUTED_VALUE"""),"Tiramisu+3*Nikhil Deshmukh")</f>
        <v>Tiramisu+3*Nikhil Deshmukh</v>
      </c>
      <c r="F929" s="14">
        <f>IFERROR(__xludf.DUMMYFUNCTION("""COMPUTED_VALUE"""),8.0)</f>
        <v>8</v>
      </c>
      <c r="G929" s="14">
        <f>IFERROR(__xludf.DUMMYFUNCTION("""COMPUTED_VALUE"""),2.0)</f>
        <v>2</v>
      </c>
      <c r="H929" s="14">
        <f>IFERROR(__xludf.DUMMYFUNCTION("""COMPUTED_VALUE"""),2023.0)</f>
        <v>2023</v>
      </c>
      <c r="I929" s="14" t="str">
        <f>IFERROR(__xludf.DUMMYFUNCTION("""COMPUTED_VALUE"""),"Credit Card")</f>
        <v>Credit Card</v>
      </c>
      <c r="J929" s="14" t="str">
        <f>IFERROR(__xludf.DUMMYFUNCTION("""COMPUTED_VALUE"""),"Delivered*Quality of Items: Perfect condition")</f>
        <v>Delivered*Quality of Items: Perfect condition</v>
      </c>
      <c r="K929" s="14" t="str">
        <f>IFERROR(__xludf.DUMMYFUNCTION("split(E929,""+"")"),"Tiramisu")</f>
        <v>Tiramisu</v>
      </c>
      <c r="L929" s="14" t="str">
        <f>IFERROR(__xludf.DUMMYFUNCTION("""COMPUTED_VALUE"""),"3*Nikhil Deshmukh")</f>
        <v>3*Nikhil Deshmukh</v>
      </c>
      <c r="M929" s="14">
        <f>IFERROR(__xludf.DUMMYFUNCTION("SPLIT(L929,""*"")"),3.0)</f>
        <v>3</v>
      </c>
      <c r="N929" s="14" t="str">
        <f>IFERROR(__xludf.DUMMYFUNCTION("""COMPUTED_VALUE"""),"Nikhil Deshmukh")</f>
        <v>Nikhil Deshmukh</v>
      </c>
      <c r="O929" s="14" t="str">
        <f>IFERROR(__xludf.DUMMYFUNCTION("split(J929,""*"")"),"Delivered")</f>
        <v>Delivered</v>
      </c>
      <c r="P929" s="14" t="str">
        <f>IFERROR(__xludf.DUMMYFUNCTION("""COMPUTED_VALUE"""),"Quality of Items: Perfect condition")</f>
        <v>Quality of Items: Perfect condition</v>
      </c>
      <c r="Q929" s="14" t="str">
        <f>IFERROR(__xludf.DUMMYFUNCTION("split(P929,"":"")"),"Quality of Items")</f>
        <v>Quality of Items</v>
      </c>
      <c r="R929" s="14" t="str">
        <f>IFERROR(__xludf.DUMMYFUNCTION("""COMPUTED_VALUE""")," Perfect condition")</f>
        <v> Perfect condition</v>
      </c>
      <c r="S929" s="14" t="str">
        <f t="shared" ref="S929:U929" si="1861">trim(B929)</f>
        <v>ord_97180</v>
      </c>
      <c r="T929" s="14" t="str">
        <f t="shared" si="1861"/>
        <v>Anaya Rao</v>
      </c>
      <c r="U929" s="14" t="str">
        <f t="shared" si="1861"/>
        <v>Colaba</v>
      </c>
      <c r="V929" s="14" t="str">
        <f t="shared" si="4"/>
        <v>Tiramisu</v>
      </c>
      <c r="W929" s="14">
        <f t="shared" si="5"/>
        <v>3</v>
      </c>
      <c r="X929" s="14" t="str">
        <f t="shared" si="6"/>
        <v>Nikhil Deshmukh</v>
      </c>
      <c r="Y929" s="15">
        <f t="shared" si="7"/>
        <v>45140</v>
      </c>
      <c r="Z929" s="14" t="str">
        <f t="shared" si="8"/>
        <v>Credit Card</v>
      </c>
      <c r="AA929" s="14" t="str">
        <f t="shared" si="9"/>
        <v>Delivered</v>
      </c>
      <c r="AB929" s="14" t="str">
        <f t="shared" ref="AB929:AC929" si="1862">trim(Q929)</f>
        <v>Quality of Items</v>
      </c>
      <c r="AC929" s="14" t="str">
        <f t="shared" si="1862"/>
        <v>Perfect condition</v>
      </c>
      <c r="AD929" s="8"/>
    </row>
    <row r="930">
      <c r="A930" s="14" t="str">
        <f>IFERROR(__xludf.DUMMYFUNCTION("""COMPUTED_VALUE"""),"//ord_30911//Arvind Kulkarni//Juhu//Onion+2*Nithin Lal/5/3/2023//Credit Card//Cancelled*Delayed Delivery:Heavy Traffic")</f>
        <v>//ord_30911//Arvind Kulkarni//Juhu//Onion+2*Nithin Lal/5/3/2023//Credit Card//Cancelled*Delayed Delivery:Heavy Traffic</v>
      </c>
      <c r="B930" s="14" t="str">
        <f>IFERROR(__xludf.DUMMYFUNCTION("split(A930,""//"")"),"ord_30911")</f>
        <v>ord_30911</v>
      </c>
      <c r="C930" s="14" t="str">
        <f>IFERROR(__xludf.DUMMYFUNCTION("""COMPUTED_VALUE"""),"Arvind Kulkarni")</f>
        <v>Arvind Kulkarni</v>
      </c>
      <c r="D930" s="14" t="str">
        <f>IFERROR(__xludf.DUMMYFUNCTION("""COMPUTED_VALUE"""),"Juhu")</f>
        <v>Juhu</v>
      </c>
      <c r="E930" s="14" t="str">
        <f>IFERROR(__xludf.DUMMYFUNCTION("""COMPUTED_VALUE"""),"Onion+2*Nithin Lal")</f>
        <v>Onion+2*Nithin Lal</v>
      </c>
      <c r="F930" s="14">
        <f>IFERROR(__xludf.DUMMYFUNCTION("""COMPUTED_VALUE"""),5.0)</f>
        <v>5</v>
      </c>
      <c r="G930" s="14">
        <f>IFERROR(__xludf.DUMMYFUNCTION("""COMPUTED_VALUE"""),3.0)</f>
        <v>3</v>
      </c>
      <c r="H930" s="14">
        <f>IFERROR(__xludf.DUMMYFUNCTION("""COMPUTED_VALUE"""),2023.0)</f>
        <v>2023</v>
      </c>
      <c r="I930" s="14" t="str">
        <f>IFERROR(__xludf.DUMMYFUNCTION("""COMPUTED_VALUE"""),"Credit Card")</f>
        <v>Credit Card</v>
      </c>
      <c r="J930" s="14" t="str">
        <f>IFERROR(__xludf.DUMMYFUNCTION("""COMPUTED_VALUE"""),"Cancelled*Delayed Delivery:Heavy Traffic")</f>
        <v>Cancelled*Delayed Delivery:Heavy Traffic</v>
      </c>
      <c r="K930" s="14" t="str">
        <f>IFERROR(__xludf.DUMMYFUNCTION("split(E930,""+"")"),"Onion")</f>
        <v>Onion</v>
      </c>
      <c r="L930" s="14" t="str">
        <f>IFERROR(__xludf.DUMMYFUNCTION("""COMPUTED_VALUE"""),"2*Nithin Lal")</f>
        <v>2*Nithin Lal</v>
      </c>
      <c r="M930" s="14">
        <f>IFERROR(__xludf.DUMMYFUNCTION("SPLIT(L930,""*"")"),2.0)</f>
        <v>2</v>
      </c>
      <c r="N930" s="14" t="str">
        <f>IFERROR(__xludf.DUMMYFUNCTION("""COMPUTED_VALUE"""),"Nithin Lal")</f>
        <v>Nithin Lal</v>
      </c>
      <c r="O930" s="14" t="str">
        <f>IFERROR(__xludf.DUMMYFUNCTION("split(J930,""*"")"),"Cancelled")</f>
        <v>Cancelled</v>
      </c>
      <c r="P930" s="14" t="str">
        <f>IFERROR(__xludf.DUMMYFUNCTION("""COMPUTED_VALUE"""),"Delayed Delivery:Heavy Traffic")</f>
        <v>Delayed Delivery:Heavy Traffic</v>
      </c>
      <c r="Q930" s="14" t="str">
        <f>IFERROR(__xludf.DUMMYFUNCTION("split(P930,"":"")"),"Delayed Delivery")</f>
        <v>Delayed Delivery</v>
      </c>
      <c r="R930" s="14" t="str">
        <f>IFERROR(__xludf.DUMMYFUNCTION("""COMPUTED_VALUE"""),"Heavy Traffic")</f>
        <v>Heavy Traffic</v>
      </c>
      <c r="S930" s="14" t="str">
        <f t="shared" ref="S930:U930" si="1863">trim(B930)</f>
        <v>ord_30911</v>
      </c>
      <c r="T930" s="14" t="str">
        <f t="shared" si="1863"/>
        <v>Arvind Kulkarni</v>
      </c>
      <c r="U930" s="14" t="str">
        <f t="shared" si="1863"/>
        <v>Juhu</v>
      </c>
      <c r="V930" s="14" t="str">
        <f t="shared" si="4"/>
        <v>Onion</v>
      </c>
      <c r="W930" s="14">
        <f t="shared" si="5"/>
        <v>2</v>
      </c>
      <c r="X930" s="14" t="str">
        <f t="shared" si="6"/>
        <v>Nithin Lal</v>
      </c>
      <c r="Y930" s="15">
        <f t="shared" si="7"/>
        <v>45049</v>
      </c>
      <c r="Z930" s="14" t="str">
        <f t="shared" si="8"/>
        <v>Credit Card</v>
      </c>
      <c r="AA930" s="14" t="str">
        <f t="shared" si="9"/>
        <v>Cancelled</v>
      </c>
      <c r="AB930" s="14" t="str">
        <f t="shared" ref="AB930:AC930" si="1864">trim(Q930)</f>
        <v>Delayed Delivery</v>
      </c>
      <c r="AC930" s="14" t="str">
        <f t="shared" si="1864"/>
        <v>Heavy Traffic</v>
      </c>
      <c r="AD930" s="8"/>
    </row>
    <row r="931">
      <c r="A931" s="14" t="str">
        <f>IFERROR(__xludf.DUMMYFUNCTION("""COMPUTED_VALUE"""),"//ord_30912//Aditi Iyer//Dadar//Tiramisu+2*Aman Kumar/3/5/2023//UPI//Delivered*Quality of Items: Perfect condition")</f>
        <v>//ord_30912//Aditi Iyer//Dadar//Tiramisu+2*Aman Kumar/3/5/2023//UPI//Delivered*Quality of Items: Perfect condition</v>
      </c>
      <c r="B931" s="14" t="str">
        <f>IFERROR(__xludf.DUMMYFUNCTION("split(A931,""//"")"),"ord_30912")</f>
        <v>ord_30912</v>
      </c>
      <c r="C931" s="14" t="str">
        <f>IFERROR(__xludf.DUMMYFUNCTION("""COMPUTED_VALUE"""),"Aditi Iyer")</f>
        <v>Aditi Iyer</v>
      </c>
      <c r="D931" s="14" t="str">
        <f>IFERROR(__xludf.DUMMYFUNCTION("""COMPUTED_VALUE"""),"Dadar")</f>
        <v>Dadar</v>
      </c>
      <c r="E931" s="14" t="str">
        <f>IFERROR(__xludf.DUMMYFUNCTION("""COMPUTED_VALUE"""),"Tiramisu+2*Aman Kumar")</f>
        <v>Tiramisu+2*Aman Kumar</v>
      </c>
      <c r="F931" s="14">
        <f>IFERROR(__xludf.DUMMYFUNCTION("""COMPUTED_VALUE"""),3.0)</f>
        <v>3</v>
      </c>
      <c r="G931" s="14">
        <f>IFERROR(__xludf.DUMMYFUNCTION("""COMPUTED_VALUE"""),5.0)</f>
        <v>5</v>
      </c>
      <c r="H931" s="14">
        <f>IFERROR(__xludf.DUMMYFUNCTION("""COMPUTED_VALUE"""),2023.0)</f>
        <v>2023</v>
      </c>
      <c r="I931" s="14" t="str">
        <f>IFERROR(__xludf.DUMMYFUNCTION("""COMPUTED_VALUE"""),"UPI")</f>
        <v>UPI</v>
      </c>
      <c r="J931" s="14" t="str">
        <f>IFERROR(__xludf.DUMMYFUNCTION("""COMPUTED_VALUE"""),"Delivered*Quality of Items: Perfect condition")</f>
        <v>Delivered*Quality of Items: Perfect condition</v>
      </c>
      <c r="K931" s="14" t="str">
        <f>IFERROR(__xludf.DUMMYFUNCTION("split(E931,""+"")"),"Tiramisu")</f>
        <v>Tiramisu</v>
      </c>
      <c r="L931" s="14" t="str">
        <f>IFERROR(__xludf.DUMMYFUNCTION("""COMPUTED_VALUE"""),"2*Aman Kumar")</f>
        <v>2*Aman Kumar</v>
      </c>
      <c r="M931" s="14">
        <f>IFERROR(__xludf.DUMMYFUNCTION("SPLIT(L931,""*"")"),2.0)</f>
        <v>2</v>
      </c>
      <c r="N931" s="14" t="str">
        <f>IFERROR(__xludf.DUMMYFUNCTION("""COMPUTED_VALUE"""),"Aman Kumar")</f>
        <v>Aman Kumar</v>
      </c>
      <c r="O931" s="14" t="str">
        <f>IFERROR(__xludf.DUMMYFUNCTION("split(J931,""*"")"),"Delivered")</f>
        <v>Delivered</v>
      </c>
      <c r="P931" s="14" t="str">
        <f>IFERROR(__xludf.DUMMYFUNCTION("""COMPUTED_VALUE"""),"Quality of Items: Perfect condition")</f>
        <v>Quality of Items: Perfect condition</v>
      </c>
      <c r="Q931" s="14" t="str">
        <f>IFERROR(__xludf.DUMMYFUNCTION("split(P931,"":"")"),"Quality of Items")</f>
        <v>Quality of Items</v>
      </c>
      <c r="R931" s="14" t="str">
        <f>IFERROR(__xludf.DUMMYFUNCTION("""COMPUTED_VALUE""")," Perfect condition")</f>
        <v> Perfect condition</v>
      </c>
      <c r="S931" s="14" t="str">
        <f t="shared" ref="S931:U931" si="1865">trim(B931)</f>
        <v>ord_30912</v>
      </c>
      <c r="T931" s="14" t="str">
        <f t="shared" si="1865"/>
        <v>Aditi Iyer</v>
      </c>
      <c r="U931" s="14" t="str">
        <f t="shared" si="1865"/>
        <v>Dadar</v>
      </c>
      <c r="V931" s="14" t="str">
        <f t="shared" si="4"/>
        <v>Tiramisu</v>
      </c>
      <c r="W931" s="14">
        <f t="shared" si="5"/>
        <v>2</v>
      </c>
      <c r="X931" s="14" t="str">
        <f t="shared" si="6"/>
        <v>Aman Kumar</v>
      </c>
      <c r="Y931" s="15">
        <f t="shared" si="7"/>
        <v>44990</v>
      </c>
      <c r="Z931" s="14" t="str">
        <f t="shared" si="8"/>
        <v>UPI</v>
      </c>
      <c r="AA931" s="14" t="str">
        <f t="shared" si="9"/>
        <v>Delivered</v>
      </c>
      <c r="AB931" s="14" t="str">
        <f t="shared" ref="AB931:AC931" si="1866">trim(Q931)</f>
        <v>Quality of Items</v>
      </c>
      <c r="AC931" s="14" t="str">
        <f t="shared" si="1866"/>
        <v>Perfect condition</v>
      </c>
      <c r="AD931" s="8"/>
    </row>
    <row r="932">
      <c r="A932" s="14" t="str">
        <f>IFERROR(__xludf.DUMMYFUNCTION("""COMPUTED_VALUE"""),"//ord_30913//Sakshi Tandon//Colaba//Chocolate Mousse+3*Nikhil Deshmukh/4/5/2023//COD//Delivered*Packaging: Secure and intact")</f>
        <v>//ord_30913//Sakshi Tandon//Colaba//Chocolate Mousse+3*Nikhil Deshmukh/4/5/2023//COD//Delivered*Packaging: Secure and intact</v>
      </c>
      <c r="B932" s="14" t="str">
        <f>IFERROR(__xludf.DUMMYFUNCTION("split(A932,""//"")"),"ord_30913")</f>
        <v>ord_30913</v>
      </c>
      <c r="C932" s="14" t="str">
        <f>IFERROR(__xludf.DUMMYFUNCTION("""COMPUTED_VALUE"""),"Sakshi Tandon")</f>
        <v>Sakshi Tandon</v>
      </c>
      <c r="D932" s="14" t="str">
        <f>IFERROR(__xludf.DUMMYFUNCTION("""COMPUTED_VALUE"""),"Colaba")</f>
        <v>Colaba</v>
      </c>
      <c r="E932" s="14" t="str">
        <f>IFERROR(__xludf.DUMMYFUNCTION("""COMPUTED_VALUE"""),"Chocolate Mousse+3*Nikhil Deshmukh")</f>
        <v>Chocolate Mousse+3*Nikhil Deshmukh</v>
      </c>
      <c r="F932" s="14">
        <f>IFERROR(__xludf.DUMMYFUNCTION("""COMPUTED_VALUE"""),4.0)</f>
        <v>4</v>
      </c>
      <c r="G932" s="14">
        <f>IFERROR(__xludf.DUMMYFUNCTION("""COMPUTED_VALUE"""),5.0)</f>
        <v>5</v>
      </c>
      <c r="H932" s="14">
        <f>IFERROR(__xludf.DUMMYFUNCTION("""COMPUTED_VALUE"""),2023.0)</f>
        <v>2023</v>
      </c>
      <c r="I932" s="14" t="str">
        <f>IFERROR(__xludf.DUMMYFUNCTION("""COMPUTED_VALUE"""),"COD")</f>
        <v>COD</v>
      </c>
      <c r="J932" s="14" t="str">
        <f>IFERROR(__xludf.DUMMYFUNCTION("""COMPUTED_VALUE"""),"Delivered*Packaging: Secure and intact")</f>
        <v>Delivered*Packaging: Secure and intact</v>
      </c>
      <c r="K932" s="14" t="str">
        <f>IFERROR(__xludf.DUMMYFUNCTION("split(E932,""+"")"),"Chocolate Mousse")</f>
        <v>Chocolate Mousse</v>
      </c>
      <c r="L932" s="14" t="str">
        <f>IFERROR(__xludf.DUMMYFUNCTION("""COMPUTED_VALUE"""),"3*Nikhil Deshmukh")</f>
        <v>3*Nikhil Deshmukh</v>
      </c>
      <c r="M932" s="14">
        <f>IFERROR(__xludf.DUMMYFUNCTION("SPLIT(L932,""*"")"),3.0)</f>
        <v>3</v>
      </c>
      <c r="N932" s="14" t="str">
        <f>IFERROR(__xludf.DUMMYFUNCTION("""COMPUTED_VALUE"""),"Nikhil Deshmukh")</f>
        <v>Nikhil Deshmukh</v>
      </c>
      <c r="O932" s="14" t="str">
        <f>IFERROR(__xludf.DUMMYFUNCTION("split(J932,""*"")"),"Delivered")</f>
        <v>Delivered</v>
      </c>
      <c r="P932" s="14" t="str">
        <f>IFERROR(__xludf.DUMMYFUNCTION("""COMPUTED_VALUE"""),"Packaging: Secure and intact")</f>
        <v>Packaging: Secure and intact</v>
      </c>
      <c r="Q932" s="14" t="str">
        <f>IFERROR(__xludf.DUMMYFUNCTION("split(P932,"":"")"),"Packaging")</f>
        <v>Packaging</v>
      </c>
      <c r="R932" s="14" t="str">
        <f>IFERROR(__xludf.DUMMYFUNCTION("""COMPUTED_VALUE""")," Secure and intact")</f>
        <v> Secure and intact</v>
      </c>
      <c r="S932" s="14" t="str">
        <f t="shared" ref="S932:U932" si="1867">trim(B932)</f>
        <v>ord_30913</v>
      </c>
      <c r="T932" s="14" t="str">
        <f t="shared" si="1867"/>
        <v>Sakshi Tandon</v>
      </c>
      <c r="U932" s="14" t="str">
        <f t="shared" si="1867"/>
        <v>Colaba</v>
      </c>
      <c r="V932" s="14" t="str">
        <f t="shared" si="4"/>
        <v>Chocolate Mousse</v>
      </c>
      <c r="W932" s="14">
        <f t="shared" si="5"/>
        <v>3</v>
      </c>
      <c r="X932" s="14" t="str">
        <f t="shared" si="6"/>
        <v>Nikhil Deshmukh</v>
      </c>
      <c r="Y932" s="15">
        <f t="shared" si="7"/>
        <v>45021</v>
      </c>
      <c r="Z932" s="14" t="str">
        <f t="shared" si="8"/>
        <v>COD</v>
      </c>
      <c r="AA932" s="14" t="str">
        <f t="shared" si="9"/>
        <v>Delivered</v>
      </c>
      <c r="AB932" s="14" t="str">
        <f t="shared" ref="AB932:AC932" si="1868">trim(Q932)</f>
        <v>Packaging</v>
      </c>
      <c r="AC932" s="14" t="str">
        <f t="shared" si="1868"/>
        <v>Secure and intact</v>
      </c>
      <c r="AD932" s="8"/>
    </row>
    <row r="933">
      <c r="A933" s="14" t="str">
        <f>IFERROR(__xludf.DUMMYFUNCTION("""COMPUTED_VALUE"""),"//ord_30914//Aarohi Kapoor//Bandra//Papaya+1*Priya Joshi/7/28/2023//COD//Delivered*Satisfied with the Delivery: Timely and quality")</f>
        <v>//ord_30914//Aarohi Kapoor//Bandra//Papaya+1*Priya Joshi/7/28/2023//COD//Delivered*Satisfied with the Delivery: Timely and quality</v>
      </c>
      <c r="B933" s="14" t="str">
        <f>IFERROR(__xludf.DUMMYFUNCTION("split(A933,""//"")"),"ord_30914")</f>
        <v>ord_30914</v>
      </c>
      <c r="C933" s="14" t="str">
        <f>IFERROR(__xludf.DUMMYFUNCTION("""COMPUTED_VALUE"""),"Aarohi Kapoor")</f>
        <v>Aarohi Kapoor</v>
      </c>
      <c r="D933" s="14" t="str">
        <f>IFERROR(__xludf.DUMMYFUNCTION("""COMPUTED_VALUE"""),"Bandra")</f>
        <v>Bandra</v>
      </c>
      <c r="E933" s="14" t="str">
        <f>IFERROR(__xludf.DUMMYFUNCTION("""COMPUTED_VALUE"""),"Papaya+1*Priya Joshi")</f>
        <v>Papaya+1*Priya Joshi</v>
      </c>
      <c r="F933" s="14">
        <f>IFERROR(__xludf.DUMMYFUNCTION("""COMPUTED_VALUE"""),7.0)</f>
        <v>7</v>
      </c>
      <c r="G933" s="14">
        <f>IFERROR(__xludf.DUMMYFUNCTION("""COMPUTED_VALUE"""),28.0)</f>
        <v>28</v>
      </c>
      <c r="H933" s="14">
        <f>IFERROR(__xludf.DUMMYFUNCTION("""COMPUTED_VALUE"""),2023.0)</f>
        <v>2023</v>
      </c>
      <c r="I933" s="14" t="str">
        <f>IFERROR(__xludf.DUMMYFUNCTION("""COMPUTED_VALUE"""),"COD")</f>
        <v>COD</v>
      </c>
      <c r="J933" s="14" t="str">
        <f>IFERROR(__xludf.DUMMYFUNCTION("""COMPUTED_VALUE"""),"Delivered*Satisfied with the Delivery: Timely and quality")</f>
        <v>Delivered*Satisfied with the Delivery: Timely and quality</v>
      </c>
      <c r="K933" s="14" t="str">
        <f>IFERROR(__xludf.DUMMYFUNCTION("split(E933,""+"")"),"Papaya")</f>
        <v>Papaya</v>
      </c>
      <c r="L933" s="14" t="str">
        <f>IFERROR(__xludf.DUMMYFUNCTION("""COMPUTED_VALUE"""),"1*Priya Joshi")</f>
        <v>1*Priya Joshi</v>
      </c>
      <c r="M933" s="14">
        <f>IFERROR(__xludf.DUMMYFUNCTION("SPLIT(L933,""*"")"),1.0)</f>
        <v>1</v>
      </c>
      <c r="N933" s="14" t="str">
        <f>IFERROR(__xludf.DUMMYFUNCTION("""COMPUTED_VALUE"""),"Priya Joshi")</f>
        <v>Priya Joshi</v>
      </c>
      <c r="O933" s="14" t="str">
        <f>IFERROR(__xludf.DUMMYFUNCTION("split(J933,""*"")"),"Delivered")</f>
        <v>Delivered</v>
      </c>
      <c r="P933" s="14" t="str">
        <f>IFERROR(__xludf.DUMMYFUNCTION("""COMPUTED_VALUE"""),"Satisfied with the Delivery: Timely and quality")</f>
        <v>Satisfied with the Delivery: Timely and quality</v>
      </c>
      <c r="Q933" s="14" t="str">
        <f>IFERROR(__xludf.DUMMYFUNCTION("split(P933,"":"")"),"Satisfied with the Delivery")</f>
        <v>Satisfied with the Delivery</v>
      </c>
      <c r="R933" s="14" t="str">
        <f>IFERROR(__xludf.DUMMYFUNCTION("""COMPUTED_VALUE""")," Timely and quality")</f>
        <v> Timely and quality</v>
      </c>
      <c r="S933" s="14" t="str">
        <f t="shared" ref="S933:U933" si="1869">trim(B933)</f>
        <v>ord_30914</v>
      </c>
      <c r="T933" s="14" t="str">
        <f t="shared" si="1869"/>
        <v>Aarohi Kapoor</v>
      </c>
      <c r="U933" s="14" t="str">
        <f t="shared" si="1869"/>
        <v>Bandra</v>
      </c>
      <c r="V933" s="14" t="str">
        <f t="shared" si="4"/>
        <v>Papaya</v>
      </c>
      <c r="W933" s="14">
        <f t="shared" si="5"/>
        <v>1</v>
      </c>
      <c r="X933" s="14" t="str">
        <f t="shared" si="6"/>
        <v>Priya Joshi</v>
      </c>
      <c r="Y933" s="15">
        <f t="shared" si="7"/>
        <v>45135</v>
      </c>
      <c r="Z933" s="14" t="str">
        <f t="shared" si="8"/>
        <v>COD</v>
      </c>
      <c r="AA933" s="14" t="str">
        <f t="shared" si="9"/>
        <v>Delivered</v>
      </c>
      <c r="AB933" s="14" t="str">
        <f t="shared" ref="AB933:AC933" si="1870">trim(Q933)</f>
        <v>Satisfied with the Delivery</v>
      </c>
      <c r="AC933" s="14" t="str">
        <f t="shared" si="1870"/>
        <v>Timely and quality</v>
      </c>
      <c r="AD933" s="8"/>
    </row>
    <row r="934">
      <c r="A934" s="14" t="str">
        <f>IFERROR(__xludf.DUMMYFUNCTION("""COMPUTED_VALUE"""),"//ord_30915//Aditi Iyer//Dadar//Sweet Corn+1*Aman Kumar/12/14/2023//Online Payment//Delivered*Customer Service: Seamless and easy")</f>
        <v>//ord_30915//Aditi Iyer//Dadar//Sweet Corn+1*Aman Kumar/12/14/2023//Online Payment//Delivered*Customer Service: Seamless and easy</v>
      </c>
      <c r="B934" s="14" t="str">
        <f>IFERROR(__xludf.DUMMYFUNCTION("split(A934,""//"")"),"ord_30915")</f>
        <v>ord_30915</v>
      </c>
      <c r="C934" s="14" t="str">
        <f>IFERROR(__xludf.DUMMYFUNCTION("""COMPUTED_VALUE"""),"Aditi Iyer")</f>
        <v>Aditi Iyer</v>
      </c>
      <c r="D934" s="14" t="str">
        <f>IFERROR(__xludf.DUMMYFUNCTION("""COMPUTED_VALUE"""),"Dadar")</f>
        <v>Dadar</v>
      </c>
      <c r="E934" s="14" t="str">
        <f>IFERROR(__xludf.DUMMYFUNCTION("""COMPUTED_VALUE"""),"Sweet Corn+1*Aman Kumar")</f>
        <v>Sweet Corn+1*Aman Kumar</v>
      </c>
      <c r="F934" s="14">
        <f>IFERROR(__xludf.DUMMYFUNCTION("""COMPUTED_VALUE"""),12.0)</f>
        <v>12</v>
      </c>
      <c r="G934" s="14">
        <f>IFERROR(__xludf.DUMMYFUNCTION("""COMPUTED_VALUE"""),14.0)</f>
        <v>14</v>
      </c>
      <c r="H934" s="14">
        <f>IFERROR(__xludf.DUMMYFUNCTION("""COMPUTED_VALUE"""),2023.0)</f>
        <v>2023</v>
      </c>
      <c r="I934" s="14" t="str">
        <f>IFERROR(__xludf.DUMMYFUNCTION("""COMPUTED_VALUE"""),"Online Payment")</f>
        <v>Online Payment</v>
      </c>
      <c r="J934" s="14" t="str">
        <f>IFERROR(__xludf.DUMMYFUNCTION("""COMPUTED_VALUE"""),"Delivered*Customer Service: Seamless and easy")</f>
        <v>Delivered*Customer Service: Seamless and easy</v>
      </c>
      <c r="K934" s="14" t="str">
        <f>IFERROR(__xludf.DUMMYFUNCTION("split(E934,""+"")"),"Sweet Corn")</f>
        <v>Sweet Corn</v>
      </c>
      <c r="L934" s="14" t="str">
        <f>IFERROR(__xludf.DUMMYFUNCTION("""COMPUTED_VALUE"""),"1*Aman Kumar")</f>
        <v>1*Aman Kumar</v>
      </c>
      <c r="M934" s="14">
        <f>IFERROR(__xludf.DUMMYFUNCTION("SPLIT(L934,""*"")"),1.0)</f>
        <v>1</v>
      </c>
      <c r="N934" s="14" t="str">
        <f>IFERROR(__xludf.DUMMYFUNCTION("""COMPUTED_VALUE"""),"Aman Kumar")</f>
        <v>Aman Kumar</v>
      </c>
      <c r="O934" s="14" t="str">
        <f>IFERROR(__xludf.DUMMYFUNCTION("split(J934,""*"")"),"Delivered")</f>
        <v>Delivered</v>
      </c>
      <c r="P934" s="14" t="str">
        <f>IFERROR(__xludf.DUMMYFUNCTION("""COMPUTED_VALUE"""),"Customer Service: Seamless and easy")</f>
        <v>Customer Service: Seamless and easy</v>
      </c>
      <c r="Q934" s="14" t="str">
        <f>IFERROR(__xludf.DUMMYFUNCTION("split(P934,"":"")"),"Customer Service")</f>
        <v>Customer Service</v>
      </c>
      <c r="R934" s="14" t="str">
        <f>IFERROR(__xludf.DUMMYFUNCTION("""COMPUTED_VALUE""")," Seamless and easy")</f>
        <v> Seamless and easy</v>
      </c>
      <c r="S934" s="14" t="str">
        <f t="shared" ref="S934:U934" si="1871">trim(B934)</f>
        <v>ord_30915</v>
      </c>
      <c r="T934" s="14" t="str">
        <f t="shared" si="1871"/>
        <v>Aditi Iyer</v>
      </c>
      <c r="U934" s="14" t="str">
        <f t="shared" si="1871"/>
        <v>Dadar</v>
      </c>
      <c r="V934" s="14" t="str">
        <f t="shared" si="4"/>
        <v>Sweet Corn</v>
      </c>
      <c r="W934" s="14">
        <f t="shared" si="5"/>
        <v>1</v>
      </c>
      <c r="X934" s="14" t="str">
        <f t="shared" si="6"/>
        <v>Aman Kumar</v>
      </c>
      <c r="Y934" s="15">
        <f t="shared" si="7"/>
        <v>45274</v>
      </c>
      <c r="Z934" s="14" t="str">
        <f t="shared" si="8"/>
        <v>Online Payment</v>
      </c>
      <c r="AA934" s="14" t="str">
        <f t="shared" si="9"/>
        <v>Delivered</v>
      </c>
      <c r="AB934" s="14" t="str">
        <f t="shared" ref="AB934:AC934" si="1872">trim(Q934)</f>
        <v>Customer Service</v>
      </c>
      <c r="AC934" s="14" t="str">
        <f t="shared" si="1872"/>
        <v>Seamless and easy</v>
      </c>
      <c r="AD934" s="8"/>
    </row>
    <row r="935">
      <c r="A935" s="14" t="str">
        <f>IFERROR(__xludf.DUMMYFUNCTION("""COMPUTED_VALUE"""),"//ord_30916//Aarohi Kapoor//Bandra//Cucumber+1*Priya Joshi/3/15/2023//UPI//Delivered*Delivery Experience: Quick and professional")</f>
        <v>//ord_30916//Aarohi Kapoor//Bandra//Cucumber+1*Priya Joshi/3/15/2023//UPI//Delivered*Delivery Experience: Quick and professional</v>
      </c>
      <c r="B935" s="14" t="str">
        <f>IFERROR(__xludf.DUMMYFUNCTION("split(A935,""//"")"),"ord_30916")</f>
        <v>ord_30916</v>
      </c>
      <c r="C935" s="14" t="str">
        <f>IFERROR(__xludf.DUMMYFUNCTION("""COMPUTED_VALUE"""),"Aarohi Kapoor")</f>
        <v>Aarohi Kapoor</v>
      </c>
      <c r="D935" s="14" t="str">
        <f>IFERROR(__xludf.DUMMYFUNCTION("""COMPUTED_VALUE"""),"Bandra")</f>
        <v>Bandra</v>
      </c>
      <c r="E935" s="14" t="str">
        <f>IFERROR(__xludf.DUMMYFUNCTION("""COMPUTED_VALUE"""),"Cucumber+1*Priya Joshi")</f>
        <v>Cucumber+1*Priya Joshi</v>
      </c>
      <c r="F935" s="14">
        <f>IFERROR(__xludf.DUMMYFUNCTION("""COMPUTED_VALUE"""),3.0)</f>
        <v>3</v>
      </c>
      <c r="G935" s="14">
        <f>IFERROR(__xludf.DUMMYFUNCTION("""COMPUTED_VALUE"""),15.0)</f>
        <v>15</v>
      </c>
      <c r="H935" s="14">
        <f>IFERROR(__xludf.DUMMYFUNCTION("""COMPUTED_VALUE"""),2023.0)</f>
        <v>2023</v>
      </c>
      <c r="I935" s="14" t="str">
        <f>IFERROR(__xludf.DUMMYFUNCTION("""COMPUTED_VALUE"""),"UPI")</f>
        <v>UPI</v>
      </c>
      <c r="J935" s="14" t="str">
        <f>IFERROR(__xludf.DUMMYFUNCTION("""COMPUTED_VALUE"""),"Delivered*Delivery Experience: Quick and professional")</f>
        <v>Delivered*Delivery Experience: Quick and professional</v>
      </c>
      <c r="K935" s="14" t="str">
        <f>IFERROR(__xludf.DUMMYFUNCTION("split(E935,""+"")"),"Cucumber")</f>
        <v>Cucumber</v>
      </c>
      <c r="L935" s="14" t="str">
        <f>IFERROR(__xludf.DUMMYFUNCTION("""COMPUTED_VALUE"""),"1*Priya Joshi")</f>
        <v>1*Priya Joshi</v>
      </c>
      <c r="M935" s="14">
        <f>IFERROR(__xludf.DUMMYFUNCTION("SPLIT(L935,""*"")"),1.0)</f>
        <v>1</v>
      </c>
      <c r="N935" s="14" t="str">
        <f>IFERROR(__xludf.DUMMYFUNCTION("""COMPUTED_VALUE"""),"Priya Joshi")</f>
        <v>Priya Joshi</v>
      </c>
      <c r="O935" s="14" t="str">
        <f>IFERROR(__xludf.DUMMYFUNCTION("split(J935,""*"")"),"Delivered")</f>
        <v>Delivered</v>
      </c>
      <c r="P935" s="14" t="str">
        <f>IFERROR(__xludf.DUMMYFUNCTION("""COMPUTED_VALUE"""),"Delivery Experience: Quick and professional")</f>
        <v>Delivery Experience: Quick and professional</v>
      </c>
      <c r="Q935" s="14" t="str">
        <f>IFERROR(__xludf.DUMMYFUNCTION("split(P935,"":"")"),"Delivery Experience")</f>
        <v>Delivery Experience</v>
      </c>
      <c r="R935" s="14" t="str">
        <f>IFERROR(__xludf.DUMMYFUNCTION("""COMPUTED_VALUE""")," Quick and professional")</f>
        <v> Quick and professional</v>
      </c>
      <c r="S935" s="14" t="str">
        <f t="shared" ref="S935:U935" si="1873">trim(B935)</f>
        <v>ord_30916</v>
      </c>
      <c r="T935" s="14" t="str">
        <f t="shared" si="1873"/>
        <v>Aarohi Kapoor</v>
      </c>
      <c r="U935" s="14" t="str">
        <f t="shared" si="1873"/>
        <v>Bandra</v>
      </c>
      <c r="V935" s="14" t="str">
        <f t="shared" si="4"/>
        <v>Cucumber</v>
      </c>
      <c r="W935" s="14">
        <f t="shared" si="5"/>
        <v>1</v>
      </c>
      <c r="X935" s="14" t="str">
        <f t="shared" si="6"/>
        <v>Priya Joshi</v>
      </c>
      <c r="Y935" s="15">
        <f t="shared" si="7"/>
        <v>45000</v>
      </c>
      <c r="Z935" s="14" t="str">
        <f t="shared" si="8"/>
        <v>UPI</v>
      </c>
      <c r="AA935" s="14" t="str">
        <f t="shared" si="9"/>
        <v>Delivered</v>
      </c>
      <c r="AB935" s="14" t="str">
        <f t="shared" ref="AB935:AC935" si="1874">trim(Q935)</f>
        <v>Delivery Experience</v>
      </c>
      <c r="AC935" s="14" t="str">
        <f t="shared" si="1874"/>
        <v>Quick and professional</v>
      </c>
      <c r="AD935" s="8"/>
    </row>
    <row r="936">
      <c r="A936" s="14" t="str">
        <f>IFERROR(__xludf.DUMMYFUNCTION("""COMPUTED_VALUE"""),"//ord_30917//Sakshi Tandon//Colaba//Potato+1*Nikhil Deshmukh/1/22/2023//UPI//Delivered*Convenience: Easy tracking")</f>
        <v>//ord_30917//Sakshi Tandon//Colaba//Potato+1*Nikhil Deshmukh/1/22/2023//UPI//Delivered*Convenience: Easy tracking</v>
      </c>
      <c r="B936" s="14" t="str">
        <f>IFERROR(__xludf.DUMMYFUNCTION("split(A936,""//"")"),"ord_30917")</f>
        <v>ord_30917</v>
      </c>
      <c r="C936" s="14" t="str">
        <f>IFERROR(__xludf.DUMMYFUNCTION("""COMPUTED_VALUE"""),"Sakshi Tandon")</f>
        <v>Sakshi Tandon</v>
      </c>
      <c r="D936" s="14" t="str">
        <f>IFERROR(__xludf.DUMMYFUNCTION("""COMPUTED_VALUE"""),"Colaba")</f>
        <v>Colaba</v>
      </c>
      <c r="E936" s="14" t="str">
        <f>IFERROR(__xludf.DUMMYFUNCTION("""COMPUTED_VALUE"""),"Potato+1*Nikhil Deshmukh")</f>
        <v>Potato+1*Nikhil Deshmukh</v>
      </c>
      <c r="F936" s="14">
        <f>IFERROR(__xludf.DUMMYFUNCTION("""COMPUTED_VALUE"""),1.0)</f>
        <v>1</v>
      </c>
      <c r="G936" s="14">
        <f>IFERROR(__xludf.DUMMYFUNCTION("""COMPUTED_VALUE"""),22.0)</f>
        <v>22</v>
      </c>
      <c r="H936" s="14">
        <f>IFERROR(__xludf.DUMMYFUNCTION("""COMPUTED_VALUE"""),2023.0)</f>
        <v>2023</v>
      </c>
      <c r="I936" s="14" t="str">
        <f>IFERROR(__xludf.DUMMYFUNCTION("""COMPUTED_VALUE"""),"UPI")</f>
        <v>UPI</v>
      </c>
      <c r="J936" s="14" t="str">
        <f>IFERROR(__xludf.DUMMYFUNCTION("""COMPUTED_VALUE"""),"Delivered*Convenience: Easy tracking")</f>
        <v>Delivered*Convenience: Easy tracking</v>
      </c>
      <c r="K936" s="14" t="str">
        <f>IFERROR(__xludf.DUMMYFUNCTION("split(E936,""+"")"),"Potato")</f>
        <v>Potato</v>
      </c>
      <c r="L936" s="14" t="str">
        <f>IFERROR(__xludf.DUMMYFUNCTION("""COMPUTED_VALUE"""),"1*Nikhil Deshmukh")</f>
        <v>1*Nikhil Deshmukh</v>
      </c>
      <c r="M936" s="14">
        <f>IFERROR(__xludf.DUMMYFUNCTION("SPLIT(L936,""*"")"),1.0)</f>
        <v>1</v>
      </c>
      <c r="N936" s="14" t="str">
        <f>IFERROR(__xludf.DUMMYFUNCTION("""COMPUTED_VALUE"""),"Nikhil Deshmukh")</f>
        <v>Nikhil Deshmukh</v>
      </c>
      <c r="O936" s="14" t="str">
        <f>IFERROR(__xludf.DUMMYFUNCTION("split(J936,""*"")"),"Delivered")</f>
        <v>Delivered</v>
      </c>
      <c r="P936" s="14" t="str">
        <f>IFERROR(__xludf.DUMMYFUNCTION("""COMPUTED_VALUE"""),"Convenience: Easy tracking")</f>
        <v>Convenience: Easy tracking</v>
      </c>
      <c r="Q936" s="14" t="str">
        <f>IFERROR(__xludf.DUMMYFUNCTION("split(P936,"":"")"),"Convenience")</f>
        <v>Convenience</v>
      </c>
      <c r="R936" s="14" t="str">
        <f>IFERROR(__xludf.DUMMYFUNCTION("""COMPUTED_VALUE""")," Easy tracking")</f>
        <v> Easy tracking</v>
      </c>
      <c r="S936" s="14" t="str">
        <f t="shared" ref="S936:U936" si="1875">trim(B936)</f>
        <v>ord_30917</v>
      </c>
      <c r="T936" s="14" t="str">
        <f t="shared" si="1875"/>
        <v>Sakshi Tandon</v>
      </c>
      <c r="U936" s="14" t="str">
        <f t="shared" si="1875"/>
        <v>Colaba</v>
      </c>
      <c r="V936" s="14" t="str">
        <f t="shared" si="4"/>
        <v>Potato</v>
      </c>
      <c r="W936" s="14">
        <f t="shared" si="5"/>
        <v>1</v>
      </c>
      <c r="X936" s="14" t="str">
        <f t="shared" si="6"/>
        <v>Nikhil Deshmukh</v>
      </c>
      <c r="Y936" s="15">
        <f t="shared" si="7"/>
        <v>44948</v>
      </c>
      <c r="Z936" s="14" t="str">
        <f t="shared" si="8"/>
        <v>UPI</v>
      </c>
      <c r="AA936" s="14" t="str">
        <f t="shared" si="9"/>
        <v>Delivered</v>
      </c>
      <c r="AB936" s="14" t="str">
        <f t="shared" ref="AB936:AC936" si="1876">trim(Q936)</f>
        <v>Convenience</v>
      </c>
      <c r="AC936" s="14" t="str">
        <f t="shared" si="1876"/>
        <v>Easy tracking</v>
      </c>
      <c r="AD936" s="8"/>
    </row>
    <row r="937">
      <c r="A937" s="14" t="str">
        <f>IFERROR(__xludf.DUMMYFUNCTION("""COMPUTED_VALUE"""),"//ord_30918//Aarav Mehta//Andheri//Sweet Corn+1*Rohan Yadav/5/15/2023//Online Payment//Delivered*Overall Satisfaction: Great service will order again")</f>
        <v>//ord_30918//Aarav Mehta//Andheri//Sweet Corn+1*Rohan Yadav/5/15/2023//Online Payment//Delivered*Overall Satisfaction: Great service will order again</v>
      </c>
      <c r="B937" s="14" t="str">
        <f>IFERROR(__xludf.DUMMYFUNCTION("split(A937,""//"")"),"ord_30918")</f>
        <v>ord_30918</v>
      </c>
      <c r="C937" s="14" t="str">
        <f>IFERROR(__xludf.DUMMYFUNCTION("""COMPUTED_VALUE"""),"Aarav Mehta")</f>
        <v>Aarav Mehta</v>
      </c>
      <c r="D937" s="14" t="str">
        <f>IFERROR(__xludf.DUMMYFUNCTION("""COMPUTED_VALUE"""),"Andheri")</f>
        <v>Andheri</v>
      </c>
      <c r="E937" s="14" t="str">
        <f>IFERROR(__xludf.DUMMYFUNCTION("""COMPUTED_VALUE"""),"Sweet Corn+1*Rohan Yadav")</f>
        <v>Sweet Corn+1*Rohan Yadav</v>
      </c>
      <c r="F937" s="14">
        <f>IFERROR(__xludf.DUMMYFUNCTION("""COMPUTED_VALUE"""),5.0)</f>
        <v>5</v>
      </c>
      <c r="G937" s="14">
        <f>IFERROR(__xludf.DUMMYFUNCTION("""COMPUTED_VALUE"""),15.0)</f>
        <v>15</v>
      </c>
      <c r="H937" s="14">
        <f>IFERROR(__xludf.DUMMYFUNCTION("""COMPUTED_VALUE"""),2023.0)</f>
        <v>2023</v>
      </c>
      <c r="I937" s="14" t="str">
        <f>IFERROR(__xludf.DUMMYFUNCTION("""COMPUTED_VALUE"""),"Online Payment")</f>
        <v>Online Payment</v>
      </c>
      <c r="J937" s="14" t="str">
        <f>IFERROR(__xludf.DUMMYFUNCTION("""COMPUTED_VALUE"""),"Delivered*Overall Satisfaction: Great service will order again")</f>
        <v>Delivered*Overall Satisfaction: Great service will order again</v>
      </c>
      <c r="K937" s="14" t="str">
        <f>IFERROR(__xludf.DUMMYFUNCTION("split(E937,""+"")"),"Sweet Corn")</f>
        <v>Sweet Corn</v>
      </c>
      <c r="L937" s="14" t="str">
        <f>IFERROR(__xludf.DUMMYFUNCTION("""COMPUTED_VALUE"""),"1*Rohan Yadav")</f>
        <v>1*Rohan Yadav</v>
      </c>
      <c r="M937" s="14">
        <f>IFERROR(__xludf.DUMMYFUNCTION("SPLIT(L937,""*"")"),1.0)</f>
        <v>1</v>
      </c>
      <c r="N937" s="14" t="str">
        <f>IFERROR(__xludf.DUMMYFUNCTION("""COMPUTED_VALUE"""),"Rohan Yadav")</f>
        <v>Rohan Yadav</v>
      </c>
      <c r="O937" s="14" t="str">
        <f>IFERROR(__xludf.DUMMYFUNCTION("split(J937,""*"")"),"Delivered")</f>
        <v>Delivered</v>
      </c>
      <c r="P937" s="14" t="str">
        <f>IFERROR(__xludf.DUMMYFUNCTION("""COMPUTED_VALUE"""),"Overall Satisfaction: Great service will order again")</f>
        <v>Overall Satisfaction: Great service will order again</v>
      </c>
      <c r="Q937" s="14" t="str">
        <f>IFERROR(__xludf.DUMMYFUNCTION("split(P937,"":"")"),"Overall Satisfaction")</f>
        <v>Overall Satisfaction</v>
      </c>
      <c r="R937" s="14" t="str">
        <f>IFERROR(__xludf.DUMMYFUNCTION("""COMPUTED_VALUE""")," Great service will order again")</f>
        <v> Great service will order again</v>
      </c>
      <c r="S937" s="14" t="str">
        <f t="shared" ref="S937:U937" si="1877">trim(B937)</f>
        <v>ord_30918</v>
      </c>
      <c r="T937" s="14" t="str">
        <f t="shared" si="1877"/>
        <v>Aarav Mehta</v>
      </c>
      <c r="U937" s="14" t="str">
        <f t="shared" si="1877"/>
        <v>Andheri</v>
      </c>
      <c r="V937" s="14" t="str">
        <f t="shared" si="4"/>
        <v>Sweet Corn</v>
      </c>
      <c r="W937" s="14">
        <f t="shared" si="5"/>
        <v>1</v>
      </c>
      <c r="X937" s="14" t="str">
        <f t="shared" si="6"/>
        <v>Rohan Yadav</v>
      </c>
      <c r="Y937" s="15">
        <f t="shared" si="7"/>
        <v>45061</v>
      </c>
      <c r="Z937" s="14" t="str">
        <f t="shared" si="8"/>
        <v>Online Payment</v>
      </c>
      <c r="AA937" s="14" t="str">
        <f t="shared" si="9"/>
        <v>Delivered</v>
      </c>
      <c r="AB937" s="14" t="str">
        <f t="shared" ref="AB937:AC937" si="1878">trim(Q937)</f>
        <v>Overall Satisfaction</v>
      </c>
      <c r="AC937" s="14" t="str">
        <f t="shared" si="1878"/>
        <v>Great service will order again</v>
      </c>
      <c r="AD937" s="8"/>
    </row>
    <row r="938">
      <c r="A938" s="14" t="str">
        <f>IFERROR(__xludf.DUMMYFUNCTION("""COMPUTED_VALUE"""),"//ord_30919//Siya Reddy//Juhu//Veg Puff+4*Tanvi Jain/6/6/2023//Credit Card//Cancelled*Delayed Delivery:Heavy Traffic")</f>
        <v>//ord_30919//Siya Reddy//Juhu//Veg Puff+4*Tanvi Jain/6/6/2023//Credit Card//Cancelled*Delayed Delivery:Heavy Traffic</v>
      </c>
      <c r="B938" s="14" t="str">
        <f>IFERROR(__xludf.DUMMYFUNCTION("split(A938,""//"")"),"ord_30919")</f>
        <v>ord_30919</v>
      </c>
      <c r="C938" s="14" t="str">
        <f>IFERROR(__xludf.DUMMYFUNCTION("""COMPUTED_VALUE"""),"Siya Reddy")</f>
        <v>Siya Reddy</v>
      </c>
      <c r="D938" s="14" t="str">
        <f>IFERROR(__xludf.DUMMYFUNCTION("""COMPUTED_VALUE"""),"Juhu")</f>
        <v>Juhu</v>
      </c>
      <c r="E938" s="14" t="str">
        <f>IFERROR(__xludf.DUMMYFUNCTION("""COMPUTED_VALUE"""),"Veg Puff+4*Tanvi Jain")</f>
        <v>Veg Puff+4*Tanvi Jain</v>
      </c>
      <c r="F938" s="14">
        <f>IFERROR(__xludf.DUMMYFUNCTION("""COMPUTED_VALUE"""),6.0)</f>
        <v>6</v>
      </c>
      <c r="G938" s="14">
        <f>IFERROR(__xludf.DUMMYFUNCTION("""COMPUTED_VALUE"""),6.0)</f>
        <v>6</v>
      </c>
      <c r="H938" s="14">
        <f>IFERROR(__xludf.DUMMYFUNCTION("""COMPUTED_VALUE"""),2023.0)</f>
        <v>2023</v>
      </c>
      <c r="I938" s="14" t="str">
        <f>IFERROR(__xludf.DUMMYFUNCTION("""COMPUTED_VALUE"""),"Credit Card")</f>
        <v>Credit Card</v>
      </c>
      <c r="J938" s="14" t="str">
        <f>IFERROR(__xludf.DUMMYFUNCTION("""COMPUTED_VALUE"""),"Cancelled*Delayed Delivery:Heavy Traffic")</f>
        <v>Cancelled*Delayed Delivery:Heavy Traffic</v>
      </c>
      <c r="K938" s="14" t="str">
        <f>IFERROR(__xludf.DUMMYFUNCTION("split(E938,""+"")"),"Veg Puff")</f>
        <v>Veg Puff</v>
      </c>
      <c r="L938" s="14" t="str">
        <f>IFERROR(__xludf.DUMMYFUNCTION("""COMPUTED_VALUE"""),"4*Tanvi Jain")</f>
        <v>4*Tanvi Jain</v>
      </c>
      <c r="M938" s="14">
        <f>IFERROR(__xludf.DUMMYFUNCTION("SPLIT(L938,""*"")"),4.0)</f>
        <v>4</v>
      </c>
      <c r="N938" s="14" t="str">
        <f>IFERROR(__xludf.DUMMYFUNCTION("""COMPUTED_VALUE"""),"Tanvi Jain")</f>
        <v>Tanvi Jain</v>
      </c>
      <c r="O938" s="14" t="str">
        <f>IFERROR(__xludf.DUMMYFUNCTION("split(J938,""*"")"),"Cancelled")</f>
        <v>Cancelled</v>
      </c>
      <c r="P938" s="14" t="str">
        <f>IFERROR(__xludf.DUMMYFUNCTION("""COMPUTED_VALUE"""),"Delayed Delivery:Heavy Traffic")</f>
        <v>Delayed Delivery:Heavy Traffic</v>
      </c>
      <c r="Q938" s="14" t="str">
        <f>IFERROR(__xludf.DUMMYFUNCTION("split(P938,"":"")"),"Delayed Delivery")</f>
        <v>Delayed Delivery</v>
      </c>
      <c r="R938" s="14" t="str">
        <f>IFERROR(__xludf.DUMMYFUNCTION("""COMPUTED_VALUE"""),"Heavy Traffic")</f>
        <v>Heavy Traffic</v>
      </c>
      <c r="S938" s="14" t="str">
        <f t="shared" ref="S938:U938" si="1879">trim(B938)</f>
        <v>ord_30919</v>
      </c>
      <c r="T938" s="14" t="str">
        <f t="shared" si="1879"/>
        <v>Siya Reddy</v>
      </c>
      <c r="U938" s="14" t="str">
        <f t="shared" si="1879"/>
        <v>Juhu</v>
      </c>
      <c r="V938" s="14" t="str">
        <f t="shared" si="4"/>
        <v>Veg Puff</v>
      </c>
      <c r="W938" s="14">
        <f t="shared" si="5"/>
        <v>4</v>
      </c>
      <c r="X938" s="14" t="str">
        <f t="shared" si="6"/>
        <v>Tanvi Jain</v>
      </c>
      <c r="Y938" s="15">
        <f t="shared" si="7"/>
        <v>45083</v>
      </c>
      <c r="Z938" s="14" t="str">
        <f t="shared" si="8"/>
        <v>Credit Card</v>
      </c>
      <c r="AA938" s="14" t="str">
        <f t="shared" si="9"/>
        <v>Cancelled</v>
      </c>
      <c r="AB938" s="14" t="str">
        <f t="shared" ref="AB938:AC938" si="1880">trim(Q938)</f>
        <v>Delayed Delivery</v>
      </c>
      <c r="AC938" s="14" t="str">
        <f t="shared" si="1880"/>
        <v>Heavy Traffic</v>
      </c>
      <c r="AD938" s="8"/>
    </row>
    <row r="939">
      <c r="A939" s="14" t="str">
        <f>IFERROR(__xludf.DUMMYFUNCTION("""COMPUTED_VALUE"""),"//ord_30920//Parth Goel//Juhu//Banana+2*Tanvi Jain/7/12/2023//UPI//Delivered*On-time Delivery: Delivered on time")</f>
        <v>//ord_30920//Parth Goel//Juhu//Banana+2*Tanvi Jain/7/12/2023//UPI//Delivered*On-time Delivery: Delivered on time</v>
      </c>
      <c r="B939" s="14" t="str">
        <f>IFERROR(__xludf.DUMMYFUNCTION("split(A939,""//"")"),"ord_30920")</f>
        <v>ord_30920</v>
      </c>
      <c r="C939" s="14" t="str">
        <f>IFERROR(__xludf.DUMMYFUNCTION("""COMPUTED_VALUE"""),"Parth Goel")</f>
        <v>Parth Goel</v>
      </c>
      <c r="D939" s="14" t="str">
        <f>IFERROR(__xludf.DUMMYFUNCTION("""COMPUTED_VALUE"""),"Juhu")</f>
        <v>Juhu</v>
      </c>
      <c r="E939" s="14" t="str">
        <f>IFERROR(__xludf.DUMMYFUNCTION("""COMPUTED_VALUE"""),"Banana+2*Tanvi Jain")</f>
        <v>Banana+2*Tanvi Jain</v>
      </c>
      <c r="F939" s="14">
        <f>IFERROR(__xludf.DUMMYFUNCTION("""COMPUTED_VALUE"""),7.0)</f>
        <v>7</v>
      </c>
      <c r="G939" s="14">
        <f>IFERROR(__xludf.DUMMYFUNCTION("""COMPUTED_VALUE"""),12.0)</f>
        <v>12</v>
      </c>
      <c r="H939" s="14">
        <f>IFERROR(__xludf.DUMMYFUNCTION("""COMPUTED_VALUE"""),2023.0)</f>
        <v>2023</v>
      </c>
      <c r="I939" s="14" t="str">
        <f>IFERROR(__xludf.DUMMYFUNCTION("""COMPUTED_VALUE"""),"UPI")</f>
        <v>UPI</v>
      </c>
      <c r="J939" s="14" t="str">
        <f>IFERROR(__xludf.DUMMYFUNCTION("""COMPUTED_VALUE"""),"Delivered*On-time Delivery: Delivered on time")</f>
        <v>Delivered*On-time Delivery: Delivered on time</v>
      </c>
      <c r="K939" s="14" t="str">
        <f>IFERROR(__xludf.DUMMYFUNCTION("split(E939,""+"")"),"Banana")</f>
        <v>Banana</v>
      </c>
      <c r="L939" s="14" t="str">
        <f>IFERROR(__xludf.DUMMYFUNCTION("""COMPUTED_VALUE"""),"2*Tanvi Jain")</f>
        <v>2*Tanvi Jain</v>
      </c>
      <c r="M939" s="14">
        <f>IFERROR(__xludf.DUMMYFUNCTION("SPLIT(L939,""*"")"),2.0)</f>
        <v>2</v>
      </c>
      <c r="N939" s="14" t="str">
        <f>IFERROR(__xludf.DUMMYFUNCTION("""COMPUTED_VALUE"""),"Tanvi Jain")</f>
        <v>Tanvi Jain</v>
      </c>
      <c r="O939" s="14" t="str">
        <f>IFERROR(__xludf.DUMMYFUNCTION("split(J939,""*"")"),"Delivered")</f>
        <v>Delivered</v>
      </c>
      <c r="P939" s="14" t="str">
        <f>IFERROR(__xludf.DUMMYFUNCTION("""COMPUTED_VALUE"""),"On-time Delivery: Delivered on time")</f>
        <v>On-time Delivery: Delivered on time</v>
      </c>
      <c r="Q939" s="14" t="str">
        <f>IFERROR(__xludf.DUMMYFUNCTION("split(P939,"":"")"),"On-time Delivery")</f>
        <v>On-time Delivery</v>
      </c>
      <c r="R939" s="14" t="str">
        <f>IFERROR(__xludf.DUMMYFUNCTION("""COMPUTED_VALUE""")," Delivered on time")</f>
        <v> Delivered on time</v>
      </c>
      <c r="S939" s="14" t="str">
        <f t="shared" ref="S939:U939" si="1881">trim(B939)</f>
        <v>ord_30920</v>
      </c>
      <c r="T939" s="14" t="str">
        <f t="shared" si="1881"/>
        <v>Parth Goel</v>
      </c>
      <c r="U939" s="14" t="str">
        <f t="shared" si="1881"/>
        <v>Juhu</v>
      </c>
      <c r="V939" s="14" t="str">
        <f t="shared" si="4"/>
        <v>Banana</v>
      </c>
      <c r="W939" s="14">
        <f t="shared" si="5"/>
        <v>2</v>
      </c>
      <c r="X939" s="14" t="str">
        <f t="shared" si="6"/>
        <v>Tanvi Jain</v>
      </c>
      <c r="Y939" s="15">
        <f t="shared" si="7"/>
        <v>45119</v>
      </c>
      <c r="Z939" s="14" t="str">
        <f t="shared" si="8"/>
        <v>UPI</v>
      </c>
      <c r="AA939" s="14" t="str">
        <f t="shared" si="9"/>
        <v>Delivered</v>
      </c>
      <c r="AB939" s="14" t="str">
        <f t="shared" ref="AB939:AC939" si="1882">trim(Q939)</f>
        <v>On-time Delivery</v>
      </c>
      <c r="AC939" s="14" t="str">
        <f t="shared" si="1882"/>
        <v>Delivered on time</v>
      </c>
      <c r="AD939" s="8"/>
    </row>
    <row r="940">
      <c r="A940" s="14" t="str">
        <f>IFERROR(__xludf.DUMMYFUNCTION("""COMPUTED_VALUE"""),"//ord_30921//Dev Chauhan//Bandra//Tiramisu+4*Priya Joshi/1/8/2023//UPI//Delivered*Quality of Items: Perfect condition")</f>
        <v>//ord_30921//Dev Chauhan//Bandra//Tiramisu+4*Priya Joshi/1/8/2023//UPI//Delivered*Quality of Items: Perfect condition</v>
      </c>
      <c r="B940" s="14" t="str">
        <f>IFERROR(__xludf.DUMMYFUNCTION("split(A940,""//"")"),"ord_30921")</f>
        <v>ord_30921</v>
      </c>
      <c r="C940" s="14" t="str">
        <f>IFERROR(__xludf.DUMMYFUNCTION("""COMPUTED_VALUE"""),"Dev Chauhan")</f>
        <v>Dev Chauhan</v>
      </c>
      <c r="D940" s="14" t="str">
        <f>IFERROR(__xludf.DUMMYFUNCTION("""COMPUTED_VALUE"""),"Bandra")</f>
        <v>Bandra</v>
      </c>
      <c r="E940" s="14" t="str">
        <f>IFERROR(__xludf.DUMMYFUNCTION("""COMPUTED_VALUE"""),"Tiramisu+4*Priya Joshi")</f>
        <v>Tiramisu+4*Priya Joshi</v>
      </c>
      <c r="F940" s="14">
        <f>IFERROR(__xludf.DUMMYFUNCTION("""COMPUTED_VALUE"""),1.0)</f>
        <v>1</v>
      </c>
      <c r="G940" s="14">
        <f>IFERROR(__xludf.DUMMYFUNCTION("""COMPUTED_VALUE"""),8.0)</f>
        <v>8</v>
      </c>
      <c r="H940" s="14">
        <f>IFERROR(__xludf.DUMMYFUNCTION("""COMPUTED_VALUE"""),2023.0)</f>
        <v>2023</v>
      </c>
      <c r="I940" s="14" t="str">
        <f>IFERROR(__xludf.DUMMYFUNCTION("""COMPUTED_VALUE"""),"UPI")</f>
        <v>UPI</v>
      </c>
      <c r="J940" s="14" t="str">
        <f>IFERROR(__xludf.DUMMYFUNCTION("""COMPUTED_VALUE"""),"Delivered*Quality of Items: Perfect condition")</f>
        <v>Delivered*Quality of Items: Perfect condition</v>
      </c>
      <c r="K940" s="14" t="str">
        <f>IFERROR(__xludf.DUMMYFUNCTION("split(E940,""+"")"),"Tiramisu")</f>
        <v>Tiramisu</v>
      </c>
      <c r="L940" s="14" t="str">
        <f>IFERROR(__xludf.DUMMYFUNCTION("""COMPUTED_VALUE"""),"4*Priya Joshi")</f>
        <v>4*Priya Joshi</v>
      </c>
      <c r="M940" s="14">
        <f>IFERROR(__xludf.DUMMYFUNCTION("SPLIT(L940,""*"")"),4.0)</f>
        <v>4</v>
      </c>
      <c r="N940" s="14" t="str">
        <f>IFERROR(__xludf.DUMMYFUNCTION("""COMPUTED_VALUE"""),"Priya Joshi")</f>
        <v>Priya Joshi</v>
      </c>
      <c r="O940" s="14" t="str">
        <f>IFERROR(__xludf.DUMMYFUNCTION("split(J940,""*"")"),"Delivered")</f>
        <v>Delivered</v>
      </c>
      <c r="P940" s="14" t="str">
        <f>IFERROR(__xludf.DUMMYFUNCTION("""COMPUTED_VALUE"""),"Quality of Items: Perfect condition")</f>
        <v>Quality of Items: Perfect condition</v>
      </c>
      <c r="Q940" s="14" t="str">
        <f>IFERROR(__xludf.DUMMYFUNCTION("split(P940,"":"")"),"Quality of Items")</f>
        <v>Quality of Items</v>
      </c>
      <c r="R940" s="14" t="str">
        <f>IFERROR(__xludf.DUMMYFUNCTION("""COMPUTED_VALUE""")," Perfect condition")</f>
        <v> Perfect condition</v>
      </c>
      <c r="S940" s="14" t="str">
        <f t="shared" ref="S940:U940" si="1883">trim(B940)</f>
        <v>ord_30921</v>
      </c>
      <c r="T940" s="14" t="str">
        <f t="shared" si="1883"/>
        <v>Dev Chauhan</v>
      </c>
      <c r="U940" s="14" t="str">
        <f t="shared" si="1883"/>
        <v>Bandra</v>
      </c>
      <c r="V940" s="14" t="str">
        <f t="shared" si="4"/>
        <v>Tiramisu</v>
      </c>
      <c r="W940" s="14">
        <f t="shared" si="5"/>
        <v>4</v>
      </c>
      <c r="X940" s="14" t="str">
        <f t="shared" si="6"/>
        <v>Priya Joshi</v>
      </c>
      <c r="Y940" s="15">
        <f t="shared" si="7"/>
        <v>44934</v>
      </c>
      <c r="Z940" s="14" t="str">
        <f t="shared" si="8"/>
        <v>UPI</v>
      </c>
      <c r="AA940" s="14" t="str">
        <f t="shared" si="9"/>
        <v>Delivered</v>
      </c>
      <c r="AB940" s="14" t="str">
        <f t="shared" ref="AB940:AC940" si="1884">trim(Q940)</f>
        <v>Quality of Items</v>
      </c>
      <c r="AC940" s="14" t="str">
        <f t="shared" si="1884"/>
        <v>Perfect condition</v>
      </c>
      <c r="AD940" s="8"/>
    </row>
    <row r="941">
      <c r="A941" s="14" t="str">
        <f>IFERROR(__xludf.DUMMYFUNCTION("""COMPUTED_VALUE"""),"//ord_30922//Siya Reddy//Juhu//Icecream+5*Vivek Kumar/6/21/2023//Online Payment//Cancelled*Delayed Delivery:Vehicle Breakdown")</f>
        <v>//ord_30922//Siya Reddy//Juhu//Icecream+5*Vivek Kumar/6/21/2023//Online Payment//Cancelled*Delayed Delivery:Vehicle Breakdown</v>
      </c>
      <c r="B941" s="14" t="str">
        <f>IFERROR(__xludf.DUMMYFUNCTION("split(A941,""//"")"),"ord_30922")</f>
        <v>ord_30922</v>
      </c>
      <c r="C941" s="14" t="str">
        <f>IFERROR(__xludf.DUMMYFUNCTION("""COMPUTED_VALUE"""),"Siya Reddy")</f>
        <v>Siya Reddy</v>
      </c>
      <c r="D941" s="14" t="str">
        <f>IFERROR(__xludf.DUMMYFUNCTION("""COMPUTED_VALUE"""),"Juhu")</f>
        <v>Juhu</v>
      </c>
      <c r="E941" s="14" t="str">
        <f>IFERROR(__xludf.DUMMYFUNCTION("""COMPUTED_VALUE"""),"Icecream+5*Vivek Kumar")</f>
        <v>Icecream+5*Vivek Kumar</v>
      </c>
      <c r="F941" s="14">
        <f>IFERROR(__xludf.DUMMYFUNCTION("""COMPUTED_VALUE"""),6.0)</f>
        <v>6</v>
      </c>
      <c r="G941" s="14">
        <f>IFERROR(__xludf.DUMMYFUNCTION("""COMPUTED_VALUE"""),21.0)</f>
        <v>21</v>
      </c>
      <c r="H941" s="14">
        <f>IFERROR(__xludf.DUMMYFUNCTION("""COMPUTED_VALUE"""),2023.0)</f>
        <v>2023</v>
      </c>
      <c r="I941" s="14" t="str">
        <f>IFERROR(__xludf.DUMMYFUNCTION("""COMPUTED_VALUE"""),"Online Payment")</f>
        <v>Online Payment</v>
      </c>
      <c r="J941" s="14" t="str">
        <f>IFERROR(__xludf.DUMMYFUNCTION("""COMPUTED_VALUE"""),"Cancelled*Delayed Delivery:Vehicle Breakdown")</f>
        <v>Cancelled*Delayed Delivery:Vehicle Breakdown</v>
      </c>
      <c r="K941" s="14" t="str">
        <f>IFERROR(__xludf.DUMMYFUNCTION("split(E941,""+"")"),"Icecream")</f>
        <v>Icecream</v>
      </c>
      <c r="L941" s="14" t="str">
        <f>IFERROR(__xludf.DUMMYFUNCTION("""COMPUTED_VALUE"""),"5*Vivek Kumar")</f>
        <v>5*Vivek Kumar</v>
      </c>
      <c r="M941" s="14">
        <f>IFERROR(__xludf.DUMMYFUNCTION("SPLIT(L941,""*"")"),5.0)</f>
        <v>5</v>
      </c>
      <c r="N941" s="14" t="str">
        <f>IFERROR(__xludf.DUMMYFUNCTION("""COMPUTED_VALUE"""),"Vivek Kumar")</f>
        <v>Vivek Kumar</v>
      </c>
      <c r="O941" s="14" t="str">
        <f>IFERROR(__xludf.DUMMYFUNCTION("split(J941,""*"")"),"Cancelled")</f>
        <v>Cancelled</v>
      </c>
      <c r="P941" s="14" t="str">
        <f>IFERROR(__xludf.DUMMYFUNCTION("""COMPUTED_VALUE"""),"Delayed Delivery:Vehicle Breakdown")</f>
        <v>Delayed Delivery:Vehicle Breakdown</v>
      </c>
      <c r="Q941" s="14" t="str">
        <f>IFERROR(__xludf.DUMMYFUNCTION("split(P941,"":"")"),"Delayed Delivery")</f>
        <v>Delayed Delivery</v>
      </c>
      <c r="R941" s="14" t="str">
        <f>IFERROR(__xludf.DUMMYFUNCTION("""COMPUTED_VALUE"""),"Vehicle Breakdown")</f>
        <v>Vehicle Breakdown</v>
      </c>
      <c r="S941" s="14" t="str">
        <f t="shared" ref="S941:U941" si="1885">trim(B941)</f>
        <v>ord_30922</v>
      </c>
      <c r="T941" s="14" t="str">
        <f t="shared" si="1885"/>
        <v>Siya Reddy</v>
      </c>
      <c r="U941" s="14" t="str">
        <f t="shared" si="1885"/>
        <v>Juhu</v>
      </c>
      <c r="V941" s="14" t="str">
        <f t="shared" si="4"/>
        <v>Icecream</v>
      </c>
      <c r="W941" s="14">
        <f t="shared" si="5"/>
        <v>5</v>
      </c>
      <c r="X941" s="14" t="str">
        <f t="shared" si="6"/>
        <v>Vivek Kumar</v>
      </c>
      <c r="Y941" s="15">
        <f t="shared" si="7"/>
        <v>45098</v>
      </c>
      <c r="Z941" s="14" t="str">
        <f t="shared" si="8"/>
        <v>Online Payment</v>
      </c>
      <c r="AA941" s="14" t="str">
        <f t="shared" si="9"/>
        <v>Cancelled</v>
      </c>
      <c r="AB941" s="14" t="str">
        <f t="shared" ref="AB941:AC941" si="1886">trim(Q941)</f>
        <v>Delayed Delivery</v>
      </c>
      <c r="AC941" s="14" t="str">
        <f t="shared" si="1886"/>
        <v>Vehicle Breakdown</v>
      </c>
      <c r="AD941" s="8"/>
    </row>
    <row r="942">
      <c r="A942" s="14" t="str">
        <f>IFERROR(__xludf.DUMMYFUNCTION("""COMPUTED_VALUE"""),"//ord_30923//Dev Chauhan//Bandra//Chilli Cheese Toast+3*Priya Joshi/5/5/2023//Credit Card//Delivered*On-time Delivery: Delivered on time")</f>
        <v>//ord_30923//Dev Chauhan//Bandra//Chilli Cheese Toast+3*Priya Joshi/5/5/2023//Credit Card//Delivered*On-time Delivery: Delivered on time</v>
      </c>
      <c r="B942" s="14" t="str">
        <f>IFERROR(__xludf.DUMMYFUNCTION("split(A942,""//"")"),"ord_30923")</f>
        <v>ord_30923</v>
      </c>
      <c r="C942" s="14" t="str">
        <f>IFERROR(__xludf.DUMMYFUNCTION("""COMPUTED_VALUE"""),"Dev Chauhan")</f>
        <v>Dev Chauhan</v>
      </c>
      <c r="D942" s="14" t="str">
        <f>IFERROR(__xludf.DUMMYFUNCTION("""COMPUTED_VALUE"""),"Bandra")</f>
        <v>Bandra</v>
      </c>
      <c r="E942" s="14" t="str">
        <f>IFERROR(__xludf.DUMMYFUNCTION("""COMPUTED_VALUE"""),"Chilli Cheese Toast+3*Priya Joshi")</f>
        <v>Chilli Cheese Toast+3*Priya Joshi</v>
      </c>
      <c r="F942" s="14">
        <f>IFERROR(__xludf.DUMMYFUNCTION("""COMPUTED_VALUE"""),5.0)</f>
        <v>5</v>
      </c>
      <c r="G942" s="14">
        <f>IFERROR(__xludf.DUMMYFUNCTION("""COMPUTED_VALUE"""),5.0)</f>
        <v>5</v>
      </c>
      <c r="H942" s="14">
        <f>IFERROR(__xludf.DUMMYFUNCTION("""COMPUTED_VALUE"""),2023.0)</f>
        <v>2023</v>
      </c>
      <c r="I942" s="14" t="str">
        <f>IFERROR(__xludf.DUMMYFUNCTION("""COMPUTED_VALUE"""),"Credit Card")</f>
        <v>Credit Card</v>
      </c>
      <c r="J942" s="14" t="str">
        <f>IFERROR(__xludf.DUMMYFUNCTION("""COMPUTED_VALUE"""),"Delivered*On-time Delivery: Delivered on time")</f>
        <v>Delivered*On-time Delivery: Delivered on time</v>
      </c>
      <c r="K942" s="14" t="str">
        <f>IFERROR(__xludf.DUMMYFUNCTION("split(E942,""+"")"),"Chilli Cheese Toast")</f>
        <v>Chilli Cheese Toast</v>
      </c>
      <c r="L942" s="14" t="str">
        <f>IFERROR(__xludf.DUMMYFUNCTION("""COMPUTED_VALUE"""),"3*Priya Joshi")</f>
        <v>3*Priya Joshi</v>
      </c>
      <c r="M942" s="14">
        <f>IFERROR(__xludf.DUMMYFUNCTION("SPLIT(L942,""*"")"),3.0)</f>
        <v>3</v>
      </c>
      <c r="N942" s="14" t="str">
        <f>IFERROR(__xludf.DUMMYFUNCTION("""COMPUTED_VALUE"""),"Priya Joshi")</f>
        <v>Priya Joshi</v>
      </c>
      <c r="O942" s="14" t="str">
        <f>IFERROR(__xludf.DUMMYFUNCTION("split(J942,""*"")"),"Delivered")</f>
        <v>Delivered</v>
      </c>
      <c r="P942" s="14" t="str">
        <f>IFERROR(__xludf.DUMMYFUNCTION("""COMPUTED_VALUE"""),"On-time Delivery: Delivered on time")</f>
        <v>On-time Delivery: Delivered on time</v>
      </c>
      <c r="Q942" s="14" t="str">
        <f>IFERROR(__xludf.DUMMYFUNCTION("split(P942,"":"")"),"On-time Delivery")</f>
        <v>On-time Delivery</v>
      </c>
      <c r="R942" s="14" t="str">
        <f>IFERROR(__xludf.DUMMYFUNCTION("""COMPUTED_VALUE""")," Delivered on time")</f>
        <v> Delivered on time</v>
      </c>
      <c r="S942" s="14" t="str">
        <f t="shared" ref="S942:U942" si="1887">trim(B942)</f>
        <v>ord_30923</v>
      </c>
      <c r="T942" s="14" t="str">
        <f t="shared" si="1887"/>
        <v>Dev Chauhan</v>
      </c>
      <c r="U942" s="14" t="str">
        <f t="shared" si="1887"/>
        <v>Bandra</v>
      </c>
      <c r="V942" s="14" t="str">
        <f t="shared" si="4"/>
        <v>Chilli Cheese Toast</v>
      </c>
      <c r="W942" s="14">
        <f t="shared" si="5"/>
        <v>3</v>
      </c>
      <c r="X942" s="14" t="str">
        <f t="shared" si="6"/>
        <v>Priya Joshi</v>
      </c>
      <c r="Y942" s="15">
        <f t="shared" si="7"/>
        <v>45051</v>
      </c>
      <c r="Z942" s="14" t="str">
        <f t="shared" si="8"/>
        <v>Credit Card</v>
      </c>
      <c r="AA942" s="14" t="str">
        <f t="shared" si="9"/>
        <v>Delivered</v>
      </c>
      <c r="AB942" s="14" t="str">
        <f t="shared" ref="AB942:AC942" si="1888">trim(Q942)</f>
        <v>On-time Delivery</v>
      </c>
      <c r="AC942" s="14" t="str">
        <f t="shared" si="1888"/>
        <v>Delivered on time</v>
      </c>
      <c r="AD942" s="8"/>
    </row>
    <row r="943">
      <c r="A943" s="14" t="str">
        <f>IFERROR(__xludf.DUMMYFUNCTION("""COMPUTED_VALUE"""),"//ord_30924//Arvind Kulkarni//Juhu//Apple+1*Kiran Mehta/8/26/2023//Credit Card//Cancelled*Delayed Delivery:Heavy Traffic")</f>
        <v>//ord_30924//Arvind Kulkarni//Juhu//Apple+1*Kiran Mehta/8/26/2023//Credit Card//Cancelled*Delayed Delivery:Heavy Traffic</v>
      </c>
      <c r="B943" s="14" t="str">
        <f>IFERROR(__xludf.DUMMYFUNCTION("split(A943,""//"")"),"ord_30924")</f>
        <v>ord_30924</v>
      </c>
      <c r="C943" s="14" t="str">
        <f>IFERROR(__xludf.DUMMYFUNCTION("""COMPUTED_VALUE"""),"Arvind Kulkarni")</f>
        <v>Arvind Kulkarni</v>
      </c>
      <c r="D943" s="14" t="str">
        <f>IFERROR(__xludf.DUMMYFUNCTION("""COMPUTED_VALUE"""),"Juhu")</f>
        <v>Juhu</v>
      </c>
      <c r="E943" s="14" t="str">
        <f>IFERROR(__xludf.DUMMYFUNCTION("""COMPUTED_VALUE"""),"Apple+1*Kiran Mehta")</f>
        <v>Apple+1*Kiran Mehta</v>
      </c>
      <c r="F943" s="14">
        <f>IFERROR(__xludf.DUMMYFUNCTION("""COMPUTED_VALUE"""),8.0)</f>
        <v>8</v>
      </c>
      <c r="G943" s="14">
        <f>IFERROR(__xludf.DUMMYFUNCTION("""COMPUTED_VALUE"""),26.0)</f>
        <v>26</v>
      </c>
      <c r="H943" s="14">
        <f>IFERROR(__xludf.DUMMYFUNCTION("""COMPUTED_VALUE"""),2023.0)</f>
        <v>2023</v>
      </c>
      <c r="I943" s="14" t="str">
        <f>IFERROR(__xludf.DUMMYFUNCTION("""COMPUTED_VALUE"""),"Credit Card")</f>
        <v>Credit Card</v>
      </c>
      <c r="J943" s="14" t="str">
        <f>IFERROR(__xludf.DUMMYFUNCTION("""COMPUTED_VALUE"""),"Cancelled*Delayed Delivery:Heavy Traffic")</f>
        <v>Cancelled*Delayed Delivery:Heavy Traffic</v>
      </c>
      <c r="K943" s="14" t="str">
        <f>IFERROR(__xludf.DUMMYFUNCTION("split(E943,""+"")"),"Apple")</f>
        <v>Apple</v>
      </c>
      <c r="L943" s="14" t="str">
        <f>IFERROR(__xludf.DUMMYFUNCTION("""COMPUTED_VALUE"""),"1*Kiran Mehta")</f>
        <v>1*Kiran Mehta</v>
      </c>
      <c r="M943" s="14">
        <f>IFERROR(__xludf.DUMMYFUNCTION("SPLIT(L943,""*"")"),1.0)</f>
        <v>1</v>
      </c>
      <c r="N943" s="14" t="str">
        <f>IFERROR(__xludf.DUMMYFUNCTION("""COMPUTED_VALUE"""),"Kiran Mehta")</f>
        <v>Kiran Mehta</v>
      </c>
      <c r="O943" s="14" t="str">
        <f>IFERROR(__xludf.DUMMYFUNCTION("split(J943,""*"")"),"Cancelled")</f>
        <v>Cancelled</v>
      </c>
      <c r="P943" s="14" t="str">
        <f>IFERROR(__xludf.DUMMYFUNCTION("""COMPUTED_VALUE"""),"Delayed Delivery:Heavy Traffic")</f>
        <v>Delayed Delivery:Heavy Traffic</v>
      </c>
      <c r="Q943" s="14" t="str">
        <f>IFERROR(__xludf.DUMMYFUNCTION("split(P943,"":"")"),"Delayed Delivery")</f>
        <v>Delayed Delivery</v>
      </c>
      <c r="R943" s="14" t="str">
        <f>IFERROR(__xludf.DUMMYFUNCTION("""COMPUTED_VALUE"""),"Heavy Traffic")</f>
        <v>Heavy Traffic</v>
      </c>
      <c r="S943" s="14" t="str">
        <f t="shared" ref="S943:U943" si="1889">trim(B943)</f>
        <v>ord_30924</v>
      </c>
      <c r="T943" s="14" t="str">
        <f t="shared" si="1889"/>
        <v>Arvind Kulkarni</v>
      </c>
      <c r="U943" s="14" t="str">
        <f t="shared" si="1889"/>
        <v>Juhu</v>
      </c>
      <c r="V943" s="14" t="str">
        <f t="shared" si="4"/>
        <v>Apple</v>
      </c>
      <c r="W943" s="14">
        <f t="shared" si="5"/>
        <v>1</v>
      </c>
      <c r="X943" s="14" t="str">
        <f t="shared" si="6"/>
        <v>Kiran Mehta</v>
      </c>
      <c r="Y943" s="15">
        <f t="shared" si="7"/>
        <v>45164</v>
      </c>
      <c r="Z943" s="14" t="str">
        <f t="shared" si="8"/>
        <v>Credit Card</v>
      </c>
      <c r="AA943" s="14" t="str">
        <f t="shared" si="9"/>
        <v>Cancelled</v>
      </c>
      <c r="AB943" s="14" t="str">
        <f t="shared" ref="AB943:AC943" si="1890">trim(Q943)</f>
        <v>Delayed Delivery</v>
      </c>
      <c r="AC943" s="14" t="str">
        <f t="shared" si="1890"/>
        <v>Heavy Traffic</v>
      </c>
      <c r="AD943" s="8"/>
    </row>
    <row r="944">
      <c r="A944" s="14" t="str">
        <f>IFERROR(__xludf.DUMMYFUNCTION("""COMPUTED_VALUE"""),"//ord_30925//Mehul Thakkar//Dadar//Cucumber+1*Aman Kumar/4/17/2023//Online Payment//Delivered*Quality of Items: Perfect condition")</f>
        <v>//ord_30925//Mehul Thakkar//Dadar//Cucumber+1*Aman Kumar/4/17/2023//Online Payment//Delivered*Quality of Items: Perfect condition</v>
      </c>
      <c r="B944" s="14" t="str">
        <f>IFERROR(__xludf.DUMMYFUNCTION("split(A944,""//"")"),"ord_30925")</f>
        <v>ord_30925</v>
      </c>
      <c r="C944" s="14" t="str">
        <f>IFERROR(__xludf.DUMMYFUNCTION("""COMPUTED_VALUE"""),"Mehul Thakkar")</f>
        <v>Mehul Thakkar</v>
      </c>
      <c r="D944" s="14" t="str">
        <f>IFERROR(__xludf.DUMMYFUNCTION("""COMPUTED_VALUE"""),"Dadar")</f>
        <v>Dadar</v>
      </c>
      <c r="E944" s="14" t="str">
        <f>IFERROR(__xludf.DUMMYFUNCTION("""COMPUTED_VALUE"""),"Cucumber+1*Aman Kumar")</f>
        <v>Cucumber+1*Aman Kumar</v>
      </c>
      <c r="F944" s="14">
        <f>IFERROR(__xludf.DUMMYFUNCTION("""COMPUTED_VALUE"""),4.0)</f>
        <v>4</v>
      </c>
      <c r="G944" s="14">
        <f>IFERROR(__xludf.DUMMYFUNCTION("""COMPUTED_VALUE"""),17.0)</f>
        <v>17</v>
      </c>
      <c r="H944" s="14">
        <f>IFERROR(__xludf.DUMMYFUNCTION("""COMPUTED_VALUE"""),2023.0)</f>
        <v>2023</v>
      </c>
      <c r="I944" s="14" t="str">
        <f>IFERROR(__xludf.DUMMYFUNCTION("""COMPUTED_VALUE"""),"Online Payment")</f>
        <v>Online Payment</v>
      </c>
      <c r="J944" s="14" t="str">
        <f>IFERROR(__xludf.DUMMYFUNCTION("""COMPUTED_VALUE"""),"Delivered*Quality of Items: Perfect condition")</f>
        <v>Delivered*Quality of Items: Perfect condition</v>
      </c>
      <c r="K944" s="14" t="str">
        <f>IFERROR(__xludf.DUMMYFUNCTION("split(E944,""+"")"),"Cucumber")</f>
        <v>Cucumber</v>
      </c>
      <c r="L944" s="14" t="str">
        <f>IFERROR(__xludf.DUMMYFUNCTION("""COMPUTED_VALUE"""),"1*Aman Kumar")</f>
        <v>1*Aman Kumar</v>
      </c>
      <c r="M944" s="14">
        <f>IFERROR(__xludf.DUMMYFUNCTION("SPLIT(L944,""*"")"),1.0)</f>
        <v>1</v>
      </c>
      <c r="N944" s="14" t="str">
        <f>IFERROR(__xludf.DUMMYFUNCTION("""COMPUTED_VALUE"""),"Aman Kumar")</f>
        <v>Aman Kumar</v>
      </c>
      <c r="O944" s="14" t="str">
        <f>IFERROR(__xludf.DUMMYFUNCTION("split(J944,""*"")"),"Delivered")</f>
        <v>Delivered</v>
      </c>
      <c r="P944" s="14" t="str">
        <f>IFERROR(__xludf.DUMMYFUNCTION("""COMPUTED_VALUE"""),"Quality of Items: Perfect condition")</f>
        <v>Quality of Items: Perfect condition</v>
      </c>
      <c r="Q944" s="14" t="str">
        <f>IFERROR(__xludf.DUMMYFUNCTION("split(P944,"":"")"),"Quality of Items")</f>
        <v>Quality of Items</v>
      </c>
      <c r="R944" s="14" t="str">
        <f>IFERROR(__xludf.DUMMYFUNCTION("""COMPUTED_VALUE""")," Perfect condition")</f>
        <v> Perfect condition</v>
      </c>
      <c r="S944" s="14" t="str">
        <f t="shared" ref="S944:U944" si="1891">trim(B944)</f>
        <v>ord_30925</v>
      </c>
      <c r="T944" s="14" t="str">
        <f t="shared" si="1891"/>
        <v>Mehul Thakkar</v>
      </c>
      <c r="U944" s="14" t="str">
        <f t="shared" si="1891"/>
        <v>Dadar</v>
      </c>
      <c r="V944" s="14" t="str">
        <f t="shared" si="4"/>
        <v>Cucumber</v>
      </c>
      <c r="W944" s="14">
        <f t="shared" si="5"/>
        <v>1</v>
      </c>
      <c r="X944" s="14" t="str">
        <f t="shared" si="6"/>
        <v>Aman Kumar</v>
      </c>
      <c r="Y944" s="15">
        <f t="shared" si="7"/>
        <v>45033</v>
      </c>
      <c r="Z944" s="14" t="str">
        <f t="shared" si="8"/>
        <v>Online Payment</v>
      </c>
      <c r="AA944" s="14" t="str">
        <f t="shared" si="9"/>
        <v>Delivered</v>
      </c>
      <c r="AB944" s="14" t="str">
        <f t="shared" ref="AB944:AC944" si="1892">trim(Q944)</f>
        <v>Quality of Items</v>
      </c>
      <c r="AC944" s="14" t="str">
        <f t="shared" si="1892"/>
        <v>Perfect condition</v>
      </c>
      <c r="AD944" s="8"/>
    </row>
    <row r="945">
      <c r="A945" s="14" t="str">
        <f>IFERROR(__xludf.DUMMYFUNCTION("""COMPUTED_VALUE"""),"//ord_30926//Aditi Iyer//Bandra//Rasmalai+3*Priya Joshi/10/28/2023//Online Payment//Delivered*Packaging: Secure and intact")</f>
        <v>//ord_30926//Aditi Iyer//Bandra//Rasmalai+3*Priya Joshi/10/28/2023//Online Payment//Delivered*Packaging: Secure and intact</v>
      </c>
      <c r="B945" s="14" t="str">
        <f>IFERROR(__xludf.DUMMYFUNCTION("split(A945,""//"")"),"ord_30926")</f>
        <v>ord_30926</v>
      </c>
      <c r="C945" s="14" t="str">
        <f>IFERROR(__xludf.DUMMYFUNCTION("""COMPUTED_VALUE"""),"Aditi Iyer")</f>
        <v>Aditi Iyer</v>
      </c>
      <c r="D945" s="14" t="str">
        <f>IFERROR(__xludf.DUMMYFUNCTION("""COMPUTED_VALUE"""),"Bandra")</f>
        <v>Bandra</v>
      </c>
      <c r="E945" s="14" t="str">
        <f>IFERROR(__xludf.DUMMYFUNCTION("""COMPUTED_VALUE"""),"Rasmalai+3*Priya Joshi")</f>
        <v>Rasmalai+3*Priya Joshi</v>
      </c>
      <c r="F945" s="14">
        <f>IFERROR(__xludf.DUMMYFUNCTION("""COMPUTED_VALUE"""),10.0)</f>
        <v>10</v>
      </c>
      <c r="G945" s="14">
        <f>IFERROR(__xludf.DUMMYFUNCTION("""COMPUTED_VALUE"""),28.0)</f>
        <v>28</v>
      </c>
      <c r="H945" s="14">
        <f>IFERROR(__xludf.DUMMYFUNCTION("""COMPUTED_VALUE"""),2023.0)</f>
        <v>2023</v>
      </c>
      <c r="I945" s="14" t="str">
        <f>IFERROR(__xludf.DUMMYFUNCTION("""COMPUTED_VALUE"""),"Online Payment")</f>
        <v>Online Payment</v>
      </c>
      <c r="J945" s="14" t="str">
        <f>IFERROR(__xludf.DUMMYFUNCTION("""COMPUTED_VALUE"""),"Delivered*Packaging: Secure and intact")</f>
        <v>Delivered*Packaging: Secure and intact</v>
      </c>
      <c r="K945" s="14" t="str">
        <f>IFERROR(__xludf.DUMMYFUNCTION("split(E945,""+"")"),"Rasmalai")</f>
        <v>Rasmalai</v>
      </c>
      <c r="L945" s="14" t="str">
        <f>IFERROR(__xludf.DUMMYFUNCTION("""COMPUTED_VALUE"""),"3*Priya Joshi")</f>
        <v>3*Priya Joshi</v>
      </c>
      <c r="M945" s="14">
        <f>IFERROR(__xludf.DUMMYFUNCTION("SPLIT(L945,""*"")"),3.0)</f>
        <v>3</v>
      </c>
      <c r="N945" s="14" t="str">
        <f>IFERROR(__xludf.DUMMYFUNCTION("""COMPUTED_VALUE"""),"Priya Joshi")</f>
        <v>Priya Joshi</v>
      </c>
      <c r="O945" s="14" t="str">
        <f>IFERROR(__xludf.DUMMYFUNCTION("split(J945,""*"")"),"Delivered")</f>
        <v>Delivered</v>
      </c>
      <c r="P945" s="14" t="str">
        <f>IFERROR(__xludf.DUMMYFUNCTION("""COMPUTED_VALUE"""),"Packaging: Secure and intact")</f>
        <v>Packaging: Secure and intact</v>
      </c>
      <c r="Q945" s="14" t="str">
        <f>IFERROR(__xludf.DUMMYFUNCTION("split(P945,"":"")"),"Packaging")</f>
        <v>Packaging</v>
      </c>
      <c r="R945" s="14" t="str">
        <f>IFERROR(__xludf.DUMMYFUNCTION("""COMPUTED_VALUE""")," Secure and intact")</f>
        <v> Secure and intact</v>
      </c>
      <c r="S945" s="14" t="str">
        <f t="shared" ref="S945:U945" si="1893">trim(B945)</f>
        <v>ord_30926</v>
      </c>
      <c r="T945" s="14" t="str">
        <f t="shared" si="1893"/>
        <v>Aditi Iyer</v>
      </c>
      <c r="U945" s="14" t="str">
        <f t="shared" si="1893"/>
        <v>Bandra</v>
      </c>
      <c r="V945" s="14" t="str">
        <f t="shared" si="4"/>
        <v>Rasmalai</v>
      </c>
      <c r="W945" s="14">
        <f t="shared" si="5"/>
        <v>3</v>
      </c>
      <c r="X945" s="14" t="str">
        <f t="shared" si="6"/>
        <v>Priya Joshi</v>
      </c>
      <c r="Y945" s="15">
        <f t="shared" si="7"/>
        <v>45227</v>
      </c>
      <c r="Z945" s="14" t="str">
        <f t="shared" si="8"/>
        <v>Online Payment</v>
      </c>
      <c r="AA945" s="14" t="str">
        <f t="shared" si="9"/>
        <v>Delivered</v>
      </c>
      <c r="AB945" s="14" t="str">
        <f t="shared" ref="AB945:AC945" si="1894">trim(Q945)</f>
        <v>Packaging</v>
      </c>
      <c r="AC945" s="14" t="str">
        <f t="shared" si="1894"/>
        <v>Secure and intact</v>
      </c>
      <c r="AD945" s="8"/>
    </row>
    <row r="946">
      <c r="A946" s="14" t="str">
        <f>IFERROR(__xludf.DUMMYFUNCTION("""COMPUTED_VALUE"""),"//ord_30927//Aditi Iyer//Dadar//Sweet Corn+2*Aman Kumar/1/13/2023//UPI//Delivered*Satisfied with the Delivery: Timely and quality")</f>
        <v>//ord_30927//Aditi Iyer//Dadar//Sweet Corn+2*Aman Kumar/1/13/2023//UPI//Delivered*Satisfied with the Delivery: Timely and quality</v>
      </c>
      <c r="B946" s="14" t="str">
        <f>IFERROR(__xludf.DUMMYFUNCTION("split(A946,""//"")"),"ord_30927")</f>
        <v>ord_30927</v>
      </c>
      <c r="C946" s="14" t="str">
        <f>IFERROR(__xludf.DUMMYFUNCTION("""COMPUTED_VALUE"""),"Aditi Iyer")</f>
        <v>Aditi Iyer</v>
      </c>
      <c r="D946" s="14" t="str">
        <f>IFERROR(__xludf.DUMMYFUNCTION("""COMPUTED_VALUE"""),"Dadar")</f>
        <v>Dadar</v>
      </c>
      <c r="E946" s="14" t="str">
        <f>IFERROR(__xludf.DUMMYFUNCTION("""COMPUTED_VALUE"""),"Sweet Corn+2*Aman Kumar")</f>
        <v>Sweet Corn+2*Aman Kumar</v>
      </c>
      <c r="F946" s="14">
        <f>IFERROR(__xludf.DUMMYFUNCTION("""COMPUTED_VALUE"""),1.0)</f>
        <v>1</v>
      </c>
      <c r="G946" s="14">
        <f>IFERROR(__xludf.DUMMYFUNCTION("""COMPUTED_VALUE"""),13.0)</f>
        <v>13</v>
      </c>
      <c r="H946" s="14">
        <f>IFERROR(__xludf.DUMMYFUNCTION("""COMPUTED_VALUE"""),2023.0)</f>
        <v>2023</v>
      </c>
      <c r="I946" s="14" t="str">
        <f>IFERROR(__xludf.DUMMYFUNCTION("""COMPUTED_VALUE"""),"UPI")</f>
        <v>UPI</v>
      </c>
      <c r="J946" s="14" t="str">
        <f>IFERROR(__xludf.DUMMYFUNCTION("""COMPUTED_VALUE"""),"Delivered*Satisfied with the Delivery: Timely and quality")</f>
        <v>Delivered*Satisfied with the Delivery: Timely and quality</v>
      </c>
      <c r="K946" s="14" t="str">
        <f>IFERROR(__xludf.DUMMYFUNCTION("split(E946,""+"")"),"Sweet Corn")</f>
        <v>Sweet Corn</v>
      </c>
      <c r="L946" s="14" t="str">
        <f>IFERROR(__xludf.DUMMYFUNCTION("""COMPUTED_VALUE"""),"2*Aman Kumar")</f>
        <v>2*Aman Kumar</v>
      </c>
      <c r="M946" s="14">
        <f>IFERROR(__xludf.DUMMYFUNCTION("SPLIT(L946,""*"")"),2.0)</f>
        <v>2</v>
      </c>
      <c r="N946" s="14" t="str">
        <f>IFERROR(__xludf.DUMMYFUNCTION("""COMPUTED_VALUE"""),"Aman Kumar")</f>
        <v>Aman Kumar</v>
      </c>
      <c r="O946" s="14" t="str">
        <f>IFERROR(__xludf.DUMMYFUNCTION("split(J946,""*"")"),"Delivered")</f>
        <v>Delivered</v>
      </c>
      <c r="P946" s="14" t="str">
        <f>IFERROR(__xludf.DUMMYFUNCTION("""COMPUTED_VALUE"""),"Satisfied with the Delivery: Timely and quality")</f>
        <v>Satisfied with the Delivery: Timely and quality</v>
      </c>
      <c r="Q946" s="14" t="str">
        <f>IFERROR(__xludf.DUMMYFUNCTION("split(P946,"":"")"),"Satisfied with the Delivery")</f>
        <v>Satisfied with the Delivery</v>
      </c>
      <c r="R946" s="14" t="str">
        <f>IFERROR(__xludf.DUMMYFUNCTION("""COMPUTED_VALUE""")," Timely and quality")</f>
        <v> Timely and quality</v>
      </c>
      <c r="S946" s="14" t="str">
        <f t="shared" ref="S946:U946" si="1895">trim(B946)</f>
        <v>ord_30927</v>
      </c>
      <c r="T946" s="14" t="str">
        <f t="shared" si="1895"/>
        <v>Aditi Iyer</v>
      </c>
      <c r="U946" s="14" t="str">
        <f t="shared" si="1895"/>
        <v>Dadar</v>
      </c>
      <c r="V946" s="14" t="str">
        <f t="shared" si="4"/>
        <v>Sweet Corn</v>
      </c>
      <c r="W946" s="14">
        <f t="shared" si="5"/>
        <v>2</v>
      </c>
      <c r="X946" s="14" t="str">
        <f t="shared" si="6"/>
        <v>Aman Kumar</v>
      </c>
      <c r="Y946" s="15">
        <f t="shared" si="7"/>
        <v>44939</v>
      </c>
      <c r="Z946" s="14" t="str">
        <f t="shared" si="8"/>
        <v>UPI</v>
      </c>
      <c r="AA946" s="14" t="str">
        <f t="shared" si="9"/>
        <v>Delivered</v>
      </c>
      <c r="AB946" s="14" t="str">
        <f t="shared" ref="AB946:AC946" si="1896">trim(Q946)</f>
        <v>Satisfied with the Delivery</v>
      </c>
      <c r="AC946" s="14" t="str">
        <f t="shared" si="1896"/>
        <v>Timely and quality</v>
      </c>
      <c r="AD946" s="8"/>
    </row>
    <row r="947">
      <c r="A947" s="14" t="str">
        <f>IFERROR(__xludf.DUMMYFUNCTION("""COMPUTED_VALUE"""),"//ord_30928//Ishita Banerjee//Juhu//Veg Puff+3*Tanvi Jain/11/5/2023//COD//Delivered*Customer Service: Seamless and easy")</f>
        <v>//ord_30928//Ishita Banerjee//Juhu//Veg Puff+3*Tanvi Jain/11/5/2023//COD//Delivered*Customer Service: Seamless and easy</v>
      </c>
      <c r="B947" s="14" t="str">
        <f>IFERROR(__xludf.DUMMYFUNCTION("split(A947,""//"")"),"ord_30928")</f>
        <v>ord_30928</v>
      </c>
      <c r="C947" s="14" t="str">
        <f>IFERROR(__xludf.DUMMYFUNCTION("""COMPUTED_VALUE"""),"Ishita Banerjee")</f>
        <v>Ishita Banerjee</v>
      </c>
      <c r="D947" s="14" t="str">
        <f>IFERROR(__xludf.DUMMYFUNCTION("""COMPUTED_VALUE"""),"Juhu")</f>
        <v>Juhu</v>
      </c>
      <c r="E947" s="14" t="str">
        <f>IFERROR(__xludf.DUMMYFUNCTION("""COMPUTED_VALUE"""),"Veg Puff+3*Tanvi Jain")</f>
        <v>Veg Puff+3*Tanvi Jain</v>
      </c>
      <c r="F947" s="14">
        <f>IFERROR(__xludf.DUMMYFUNCTION("""COMPUTED_VALUE"""),11.0)</f>
        <v>11</v>
      </c>
      <c r="G947" s="14">
        <f>IFERROR(__xludf.DUMMYFUNCTION("""COMPUTED_VALUE"""),5.0)</f>
        <v>5</v>
      </c>
      <c r="H947" s="14">
        <f>IFERROR(__xludf.DUMMYFUNCTION("""COMPUTED_VALUE"""),2023.0)</f>
        <v>2023</v>
      </c>
      <c r="I947" s="14" t="str">
        <f>IFERROR(__xludf.DUMMYFUNCTION("""COMPUTED_VALUE"""),"COD")</f>
        <v>COD</v>
      </c>
      <c r="J947" s="14" t="str">
        <f>IFERROR(__xludf.DUMMYFUNCTION("""COMPUTED_VALUE"""),"Delivered*Customer Service: Seamless and easy")</f>
        <v>Delivered*Customer Service: Seamless and easy</v>
      </c>
      <c r="K947" s="14" t="str">
        <f>IFERROR(__xludf.DUMMYFUNCTION("split(E947,""+"")"),"Veg Puff")</f>
        <v>Veg Puff</v>
      </c>
      <c r="L947" s="14" t="str">
        <f>IFERROR(__xludf.DUMMYFUNCTION("""COMPUTED_VALUE"""),"3*Tanvi Jain")</f>
        <v>3*Tanvi Jain</v>
      </c>
      <c r="M947" s="14">
        <f>IFERROR(__xludf.DUMMYFUNCTION("SPLIT(L947,""*"")"),3.0)</f>
        <v>3</v>
      </c>
      <c r="N947" s="14" t="str">
        <f>IFERROR(__xludf.DUMMYFUNCTION("""COMPUTED_VALUE"""),"Tanvi Jain")</f>
        <v>Tanvi Jain</v>
      </c>
      <c r="O947" s="14" t="str">
        <f>IFERROR(__xludf.DUMMYFUNCTION("split(J947,""*"")"),"Delivered")</f>
        <v>Delivered</v>
      </c>
      <c r="P947" s="14" t="str">
        <f>IFERROR(__xludf.DUMMYFUNCTION("""COMPUTED_VALUE"""),"Customer Service: Seamless and easy")</f>
        <v>Customer Service: Seamless and easy</v>
      </c>
      <c r="Q947" s="14" t="str">
        <f>IFERROR(__xludf.DUMMYFUNCTION("split(P947,"":"")"),"Customer Service")</f>
        <v>Customer Service</v>
      </c>
      <c r="R947" s="14" t="str">
        <f>IFERROR(__xludf.DUMMYFUNCTION("""COMPUTED_VALUE""")," Seamless and easy")</f>
        <v> Seamless and easy</v>
      </c>
      <c r="S947" s="14" t="str">
        <f t="shared" ref="S947:U947" si="1897">trim(B947)</f>
        <v>ord_30928</v>
      </c>
      <c r="T947" s="14" t="str">
        <f t="shared" si="1897"/>
        <v>Ishita Banerjee</v>
      </c>
      <c r="U947" s="14" t="str">
        <f t="shared" si="1897"/>
        <v>Juhu</v>
      </c>
      <c r="V947" s="14" t="str">
        <f t="shared" si="4"/>
        <v>Veg Puff</v>
      </c>
      <c r="W947" s="14">
        <f t="shared" si="5"/>
        <v>3</v>
      </c>
      <c r="X947" s="14" t="str">
        <f t="shared" si="6"/>
        <v>Tanvi Jain</v>
      </c>
      <c r="Y947" s="15">
        <f t="shared" si="7"/>
        <v>45235</v>
      </c>
      <c r="Z947" s="14" t="str">
        <f t="shared" si="8"/>
        <v>COD</v>
      </c>
      <c r="AA947" s="14" t="str">
        <f t="shared" si="9"/>
        <v>Delivered</v>
      </c>
      <c r="AB947" s="14" t="str">
        <f t="shared" ref="AB947:AC947" si="1898">trim(Q947)</f>
        <v>Customer Service</v>
      </c>
      <c r="AC947" s="14" t="str">
        <f t="shared" si="1898"/>
        <v>Seamless and easy</v>
      </c>
      <c r="AD947" s="8"/>
    </row>
    <row r="948">
      <c r="A948" s="14" t="str">
        <f>IFERROR(__xludf.DUMMYFUNCTION("""COMPUTED_VALUE"""),"//ord_30929//Diya Arora//Lower Parel//Potato+2*Kiran Mehta/11/9/2023//Credit Card//Delivered*Delivery Experience: Quick and professional")</f>
        <v>//ord_30929//Diya Arora//Lower Parel//Potato+2*Kiran Mehta/11/9/2023//Credit Card//Delivered*Delivery Experience: Quick and professional</v>
      </c>
      <c r="B948" s="14" t="str">
        <f>IFERROR(__xludf.DUMMYFUNCTION("split(A948,""//"")"),"ord_30929")</f>
        <v>ord_30929</v>
      </c>
      <c r="C948" s="14" t="str">
        <f>IFERROR(__xludf.DUMMYFUNCTION("""COMPUTED_VALUE"""),"Diya Arora")</f>
        <v>Diya Arora</v>
      </c>
      <c r="D948" s="14" t="str">
        <f>IFERROR(__xludf.DUMMYFUNCTION("""COMPUTED_VALUE"""),"Lower Parel")</f>
        <v>Lower Parel</v>
      </c>
      <c r="E948" s="14" t="str">
        <f>IFERROR(__xludf.DUMMYFUNCTION("""COMPUTED_VALUE"""),"Potato+2*Kiran Mehta")</f>
        <v>Potato+2*Kiran Mehta</v>
      </c>
      <c r="F948" s="14">
        <f>IFERROR(__xludf.DUMMYFUNCTION("""COMPUTED_VALUE"""),11.0)</f>
        <v>11</v>
      </c>
      <c r="G948" s="14">
        <f>IFERROR(__xludf.DUMMYFUNCTION("""COMPUTED_VALUE"""),9.0)</f>
        <v>9</v>
      </c>
      <c r="H948" s="14">
        <f>IFERROR(__xludf.DUMMYFUNCTION("""COMPUTED_VALUE"""),2023.0)</f>
        <v>2023</v>
      </c>
      <c r="I948" s="14" t="str">
        <f>IFERROR(__xludf.DUMMYFUNCTION("""COMPUTED_VALUE"""),"Credit Card")</f>
        <v>Credit Card</v>
      </c>
      <c r="J948" s="14" t="str">
        <f>IFERROR(__xludf.DUMMYFUNCTION("""COMPUTED_VALUE"""),"Delivered*Delivery Experience: Quick and professional")</f>
        <v>Delivered*Delivery Experience: Quick and professional</v>
      </c>
      <c r="K948" s="14" t="str">
        <f>IFERROR(__xludf.DUMMYFUNCTION("split(E948,""+"")"),"Potato")</f>
        <v>Potato</v>
      </c>
      <c r="L948" s="14" t="str">
        <f>IFERROR(__xludf.DUMMYFUNCTION("""COMPUTED_VALUE"""),"2*Kiran Mehta")</f>
        <v>2*Kiran Mehta</v>
      </c>
      <c r="M948" s="14">
        <f>IFERROR(__xludf.DUMMYFUNCTION("SPLIT(L948,""*"")"),2.0)</f>
        <v>2</v>
      </c>
      <c r="N948" s="14" t="str">
        <f>IFERROR(__xludf.DUMMYFUNCTION("""COMPUTED_VALUE"""),"Kiran Mehta")</f>
        <v>Kiran Mehta</v>
      </c>
      <c r="O948" s="14" t="str">
        <f>IFERROR(__xludf.DUMMYFUNCTION("split(J948,""*"")"),"Delivered")</f>
        <v>Delivered</v>
      </c>
      <c r="P948" s="14" t="str">
        <f>IFERROR(__xludf.DUMMYFUNCTION("""COMPUTED_VALUE"""),"Delivery Experience: Quick and professional")</f>
        <v>Delivery Experience: Quick and professional</v>
      </c>
      <c r="Q948" s="14" t="str">
        <f>IFERROR(__xludf.DUMMYFUNCTION("split(P948,"":"")"),"Delivery Experience")</f>
        <v>Delivery Experience</v>
      </c>
      <c r="R948" s="14" t="str">
        <f>IFERROR(__xludf.DUMMYFUNCTION("""COMPUTED_VALUE""")," Quick and professional")</f>
        <v> Quick and professional</v>
      </c>
      <c r="S948" s="14" t="str">
        <f t="shared" ref="S948:U948" si="1899">trim(B948)</f>
        <v>ord_30929</v>
      </c>
      <c r="T948" s="14" t="str">
        <f t="shared" si="1899"/>
        <v>Diya Arora</v>
      </c>
      <c r="U948" s="14" t="str">
        <f t="shared" si="1899"/>
        <v>Lower Parel</v>
      </c>
      <c r="V948" s="14" t="str">
        <f t="shared" si="4"/>
        <v>Potato</v>
      </c>
      <c r="W948" s="14">
        <f t="shared" si="5"/>
        <v>2</v>
      </c>
      <c r="X948" s="14" t="str">
        <f t="shared" si="6"/>
        <v>Kiran Mehta</v>
      </c>
      <c r="Y948" s="15">
        <f t="shared" si="7"/>
        <v>45239</v>
      </c>
      <c r="Z948" s="14" t="str">
        <f t="shared" si="8"/>
        <v>Credit Card</v>
      </c>
      <c r="AA948" s="14" t="str">
        <f t="shared" si="9"/>
        <v>Delivered</v>
      </c>
      <c r="AB948" s="14" t="str">
        <f t="shared" ref="AB948:AC948" si="1900">trim(Q948)</f>
        <v>Delivery Experience</v>
      </c>
      <c r="AC948" s="14" t="str">
        <f t="shared" si="1900"/>
        <v>Quick and professional</v>
      </c>
      <c r="AD948" s="8"/>
    </row>
    <row r="949">
      <c r="A949" s="14" t="str">
        <f>IFERROR(__xludf.DUMMYFUNCTION("""COMPUTED_VALUE"""),"//ord_30930//Mohit Malhotra//Lower Parel//Potato+2*Kiran Mehta/7/28/2023//Online Payment//Delivered*Convenience: Easy tracking")</f>
        <v>//ord_30930//Mohit Malhotra//Lower Parel//Potato+2*Kiran Mehta/7/28/2023//Online Payment//Delivered*Convenience: Easy tracking</v>
      </c>
      <c r="B949" s="14" t="str">
        <f>IFERROR(__xludf.DUMMYFUNCTION("split(A949,""//"")"),"ord_30930")</f>
        <v>ord_30930</v>
      </c>
      <c r="C949" s="14" t="str">
        <f>IFERROR(__xludf.DUMMYFUNCTION("""COMPUTED_VALUE"""),"Mohit Malhotra")</f>
        <v>Mohit Malhotra</v>
      </c>
      <c r="D949" s="14" t="str">
        <f>IFERROR(__xludf.DUMMYFUNCTION("""COMPUTED_VALUE"""),"Lower Parel")</f>
        <v>Lower Parel</v>
      </c>
      <c r="E949" s="14" t="str">
        <f>IFERROR(__xludf.DUMMYFUNCTION("""COMPUTED_VALUE"""),"Potato+2*Kiran Mehta")</f>
        <v>Potato+2*Kiran Mehta</v>
      </c>
      <c r="F949" s="14">
        <f>IFERROR(__xludf.DUMMYFUNCTION("""COMPUTED_VALUE"""),7.0)</f>
        <v>7</v>
      </c>
      <c r="G949" s="14">
        <f>IFERROR(__xludf.DUMMYFUNCTION("""COMPUTED_VALUE"""),28.0)</f>
        <v>28</v>
      </c>
      <c r="H949" s="14">
        <f>IFERROR(__xludf.DUMMYFUNCTION("""COMPUTED_VALUE"""),2023.0)</f>
        <v>2023</v>
      </c>
      <c r="I949" s="14" t="str">
        <f>IFERROR(__xludf.DUMMYFUNCTION("""COMPUTED_VALUE"""),"Online Payment")</f>
        <v>Online Payment</v>
      </c>
      <c r="J949" s="14" t="str">
        <f>IFERROR(__xludf.DUMMYFUNCTION("""COMPUTED_VALUE"""),"Delivered*Convenience: Easy tracking")</f>
        <v>Delivered*Convenience: Easy tracking</v>
      </c>
      <c r="K949" s="14" t="str">
        <f>IFERROR(__xludf.DUMMYFUNCTION("split(E949,""+"")"),"Potato")</f>
        <v>Potato</v>
      </c>
      <c r="L949" s="14" t="str">
        <f>IFERROR(__xludf.DUMMYFUNCTION("""COMPUTED_VALUE"""),"2*Kiran Mehta")</f>
        <v>2*Kiran Mehta</v>
      </c>
      <c r="M949" s="14">
        <f>IFERROR(__xludf.DUMMYFUNCTION("SPLIT(L949,""*"")"),2.0)</f>
        <v>2</v>
      </c>
      <c r="N949" s="14" t="str">
        <f>IFERROR(__xludf.DUMMYFUNCTION("""COMPUTED_VALUE"""),"Kiran Mehta")</f>
        <v>Kiran Mehta</v>
      </c>
      <c r="O949" s="14" t="str">
        <f>IFERROR(__xludf.DUMMYFUNCTION("split(J949,""*"")"),"Delivered")</f>
        <v>Delivered</v>
      </c>
      <c r="P949" s="14" t="str">
        <f>IFERROR(__xludf.DUMMYFUNCTION("""COMPUTED_VALUE"""),"Convenience: Easy tracking")</f>
        <v>Convenience: Easy tracking</v>
      </c>
      <c r="Q949" s="14" t="str">
        <f>IFERROR(__xludf.DUMMYFUNCTION("split(P949,"":"")"),"Convenience")</f>
        <v>Convenience</v>
      </c>
      <c r="R949" s="14" t="str">
        <f>IFERROR(__xludf.DUMMYFUNCTION("""COMPUTED_VALUE""")," Easy tracking")</f>
        <v> Easy tracking</v>
      </c>
      <c r="S949" s="14" t="str">
        <f t="shared" ref="S949:U949" si="1901">trim(B949)</f>
        <v>ord_30930</v>
      </c>
      <c r="T949" s="14" t="str">
        <f t="shared" si="1901"/>
        <v>Mohit Malhotra</v>
      </c>
      <c r="U949" s="14" t="str">
        <f t="shared" si="1901"/>
        <v>Lower Parel</v>
      </c>
      <c r="V949" s="14" t="str">
        <f t="shared" si="4"/>
        <v>Potato</v>
      </c>
      <c r="W949" s="14">
        <f t="shared" si="5"/>
        <v>2</v>
      </c>
      <c r="X949" s="14" t="str">
        <f t="shared" si="6"/>
        <v>Kiran Mehta</v>
      </c>
      <c r="Y949" s="15">
        <f t="shared" si="7"/>
        <v>45135</v>
      </c>
      <c r="Z949" s="14" t="str">
        <f t="shared" si="8"/>
        <v>Online Payment</v>
      </c>
      <c r="AA949" s="14" t="str">
        <f t="shared" si="9"/>
        <v>Delivered</v>
      </c>
      <c r="AB949" s="14" t="str">
        <f t="shared" ref="AB949:AC949" si="1902">trim(Q949)</f>
        <v>Convenience</v>
      </c>
      <c r="AC949" s="14" t="str">
        <f t="shared" si="1902"/>
        <v>Easy tracking</v>
      </c>
      <c r="AD949" s="8"/>
    </row>
    <row r="950">
      <c r="A950" s="14" t="str">
        <f>IFERROR(__xludf.DUMMYFUNCTION("""COMPUTED_VALUE"""),"//ord_30931//Ishita Banerjee//Juhu//Onion+2*Tanvi Jain/7/11/2023//UPI//Delivered*Overall Satisfaction: Great service will order again")</f>
        <v>//ord_30931//Ishita Banerjee//Juhu//Onion+2*Tanvi Jain/7/11/2023//UPI//Delivered*Overall Satisfaction: Great service will order again</v>
      </c>
      <c r="B950" s="14" t="str">
        <f>IFERROR(__xludf.DUMMYFUNCTION("split(A950,""//"")"),"ord_30931")</f>
        <v>ord_30931</v>
      </c>
      <c r="C950" s="14" t="str">
        <f>IFERROR(__xludf.DUMMYFUNCTION("""COMPUTED_VALUE"""),"Ishita Banerjee")</f>
        <v>Ishita Banerjee</v>
      </c>
      <c r="D950" s="14" t="str">
        <f>IFERROR(__xludf.DUMMYFUNCTION("""COMPUTED_VALUE"""),"Juhu")</f>
        <v>Juhu</v>
      </c>
      <c r="E950" s="14" t="str">
        <f>IFERROR(__xludf.DUMMYFUNCTION("""COMPUTED_VALUE"""),"Onion+2*Tanvi Jain")</f>
        <v>Onion+2*Tanvi Jain</v>
      </c>
      <c r="F950" s="14">
        <f>IFERROR(__xludf.DUMMYFUNCTION("""COMPUTED_VALUE"""),7.0)</f>
        <v>7</v>
      </c>
      <c r="G950" s="14">
        <f>IFERROR(__xludf.DUMMYFUNCTION("""COMPUTED_VALUE"""),11.0)</f>
        <v>11</v>
      </c>
      <c r="H950" s="14">
        <f>IFERROR(__xludf.DUMMYFUNCTION("""COMPUTED_VALUE"""),2023.0)</f>
        <v>2023</v>
      </c>
      <c r="I950" s="14" t="str">
        <f>IFERROR(__xludf.DUMMYFUNCTION("""COMPUTED_VALUE"""),"UPI")</f>
        <v>UPI</v>
      </c>
      <c r="J950" s="14" t="str">
        <f>IFERROR(__xludf.DUMMYFUNCTION("""COMPUTED_VALUE"""),"Delivered*Overall Satisfaction: Great service will order again")</f>
        <v>Delivered*Overall Satisfaction: Great service will order again</v>
      </c>
      <c r="K950" s="14" t="str">
        <f>IFERROR(__xludf.DUMMYFUNCTION("split(E950,""+"")"),"Onion")</f>
        <v>Onion</v>
      </c>
      <c r="L950" s="14" t="str">
        <f>IFERROR(__xludf.DUMMYFUNCTION("""COMPUTED_VALUE"""),"2*Tanvi Jain")</f>
        <v>2*Tanvi Jain</v>
      </c>
      <c r="M950" s="14">
        <f>IFERROR(__xludf.DUMMYFUNCTION("SPLIT(L950,""*"")"),2.0)</f>
        <v>2</v>
      </c>
      <c r="N950" s="14" t="str">
        <f>IFERROR(__xludf.DUMMYFUNCTION("""COMPUTED_VALUE"""),"Tanvi Jain")</f>
        <v>Tanvi Jain</v>
      </c>
      <c r="O950" s="14" t="str">
        <f>IFERROR(__xludf.DUMMYFUNCTION("split(J950,""*"")"),"Delivered")</f>
        <v>Delivered</v>
      </c>
      <c r="P950" s="14" t="str">
        <f>IFERROR(__xludf.DUMMYFUNCTION("""COMPUTED_VALUE"""),"Overall Satisfaction: Great service will order again")</f>
        <v>Overall Satisfaction: Great service will order again</v>
      </c>
      <c r="Q950" s="14" t="str">
        <f>IFERROR(__xludf.DUMMYFUNCTION("split(P950,"":"")"),"Overall Satisfaction")</f>
        <v>Overall Satisfaction</v>
      </c>
      <c r="R950" s="14" t="str">
        <f>IFERROR(__xludf.DUMMYFUNCTION("""COMPUTED_VALUE""")," Great service will order again")</f>
        <v> Great service will order again</v>
      </c>
      <c r="S950" s="14" t="str">
        <f t="shared" ref="S950:U950" si="1903">trim(B950)</f>
        <v>ord_30931</v>
      </c>
      <c r="T950" s="14" t="str">
        <f t="shared" si="1903"/>
        <v>Ishita Banerjee</v>
      </c>
      <c r="U950" s="14" t="str">
        <f t="shared" si="1903"/>
        <v>Juhu</v>
      </c>
      <c r="V950" s="14" t="str">
        <f t="shared" si="4"/>
        <v>Onion</v>
      </c>
      <c r="W950" s="14">
        <f t="shared" si="5"/>
        <v>2</v>
      </c>
      <c r="X950" s="14" t="str">
        <f t="shared" si="6"/>
        <v>Tanvi Jain</v>
      </c>
      <c r="Y950" s="15">
        <f t="shared" si="7"/>
        <v>45118</v>
      </c>
      <c r="Z950" s="14" t="str">
        <f t="shared" si="8"/>
        <v>UPI</v>
      </c>
      <c r="AA950" s="14" t="str">
        <f t="shared" si="9"/>
        <v>Delivered</v>
      </c>
      <c r="AB950" s="14" t="str">
        <f t="shared" ref="AB950:AC950" si="1904">trim(Q950)</f>
        <v>Overall Satisfaction</v>
      </c>
      <c r="AC950" s="14" t="str">
        <f t="shared" si="1904"/>
        <v>Great service will order again</v>
      </c>
      <c r="AD950" s="8"/>
    </row>
    <row r="951">
      <c r="A951" s="14" t="str">
        <f>IFERROR(__xludf.DUMMYFUNCTION("""COMPUTED_VALUE"""),"//ord_30932//Tanishq Bansal//Powai//Popcorn+1*Sandeep Kumar/1/25/2023//Credit Card//Delivered*On-time Delivery: Delivered on time")</f>
        <v>//ord_30932//Tanishq Bansal//Powai//Popcorn+1*Sandeep Kumar/1/25/2023//Credit Card//Delivered*On-time Delivery: Delivered on time</v>
      </c>
      <c r="B951" s="14" t="str">
        <f>IFERROR(__xludf.DUMMYFUNCTION("split(A951,""//"")"),"ord_30932")</f>
        <v>ord_30932</v>
      </c>
      <c r="C951" s="14" t="str">
        <f>IFERROR(__xludf.DUMMYFUNCTION("""COMPUTED_VALUE"""),"Tanishq Bansal")</f>
        <v>Tanishq Bansal</v>
      </c>
      <c r="D951" s="14" t="str">
        <f>IFERROR(__xludf.DUMMYFUNCTION("""COMPUTED_VALUE"""),"Powai")</f>
        <v>Powai</v>
      </c>
      <c r="E951" s="14" t="str">
        <f>IFERROR(__xludf.DUMMYFUNCTION("""COMPUTED_VALUE"""),"Popcorn+1*Sandeep Kumar")</f>
        <v>Popcorn+1*Sandeep Kumar</v>
      </c>
      <c r="F951" s="14">
        <f>IFERROR(__xludf.DUMMYFUNCTION("""COMPUTED_VALUE"""),1.0)</f>
        <v>1</v>
      </c>
      <c r="G951" s="14">
        <f>IFERROR(__xludf.DUMMYFUNCTION("""COMPUTED_VALUE"""),25.0)</f>
        <v>25</v>
      </c>
      <c r="H951" s="14">
        <f>IFERROR(__xludf.DUMMYFUNCTION("""COMPUTED_VALUE"""),2023.0)</f>
        <v>2023</v>
      </c>
      <c r="I951" s="14" t="str">
        <f>IFERROR(__xludf.DUMMYFUNCTION("""COMPUTED_VALUE"""),"Credit Card")</f>
        <v>Credit Card</v>
      </c>
      <c r="J951" s="14" t="str">
        <f>IFERROR(__xludf.DUMMYFUNCTION("""COMPUTED_VALUE"""),"Delivered*On-time Delivery: Delivered on time")</f>
        <v>Delivered*On-time Delivery: Delivered on time</v>
      </c>
      <c r="K951" s="14" t="str">
        <f>IFERROR(__xludf.DUMMYFUNCTION("split(E951,""+"")"),"Popcorn")</f>
        <v>Popcorn</v>
      </c>
      <c r="L951" s="14" t="str">
        <f>IFERROR(__xludf.DUMMYFUNCTION("""COMPUTED_VALUE"""),"1*Sandeep Kumar")</f>
        <v>1*Sandeep Kumar</v>
      </c>
      <c r="M951" s="14">
        <f>IFERROR(__xludf.DUMMYFUNCTION("SPLIT(L951,""*"")"),1.0)</f>
        <v>1</v>
      </c>
      <c r="N951" s="14" t="str">
        <f>IFERROR(__xludf.DUMMYFUNCTION("""COMPUTED_VALUE"""),"Sandeep Kumar")</f>
        <v>Sandeep Kumar</v>
      </c>
      <c r="O951" s="14" t="str">
        <f>IFERROR(__xludf.DUMMYFUNCTION("split(J951,""*"")"),"Delivered")</f>
        <v>Delivered</v>
      </c>
      <c r="P951" s="14" t="str">
        <f>IFERROR(__xludf.DUMMYFUNCTION("""COMPUTED_VALUE"""),"On-time Delivery: Delivered on time")</f>
        <v>On-time Delivery: Delivered on time</v>
      </c>
      <c r="Q951" s="14" t="str">
        <f>IFERROR(__xludf.DUMMYFUNCTION("split(P951,"":"")"),"On-time Delivery")</f>
        <v>On-time Delivery</v>
      </c>
      <c r="R951" s="14" t="str">
        <f>IFERROR(__xludf.DUMMYFUNCTION("""COMPUTED_VALUE""")," Delivered on time")</f>
        <v> Delivered on time</v>
      </c>
      <c r="S951" s="14" t="str">
        <f t="shared" ref="S951:U951" si="1905">trim(B951)</f>
        <v>ord_30932</v>
      </c>
      <c r="T951" s="14" t="str">
        <f t="shared" si="1905"/>
        <v>Tanishq Bansal</v>
      </c>
      <c r="U951" s="14" t="str">
        <f t="shared" si="1905"/>
        <v>Powai</v>
      </c>
      <c r="V951" s="14" t="str">
        <f t="shared" si="4"/>
        <v>Popcorn</v>
      </c>
      <c r="W951" s="14">
        <f t="shared" si="5"/>
        <v>1</v>
      </c>
      <c r="X951" s="14" t="str">
        <f t="shared" si="6"/>
        <v>Sandeep Kumar</v>
      </c>
      <c r="Y951" s="15">
        <f t="shared" si="7"/>
        <v>44951</v>
      </c>
      <c r="Z951" s="14" t="str">
        <f t="shared" si="8"/>
        <v>Credit Card</v>
      </c>
      <c r="AA951" s="14" t="str">
        <f t="shared" si="9"/>
        <v>Delivered</v>
      </c>
      <c r="AB951" s="14" t="str">
        <f t="shared" ref="AB951:AC951" si="1906">trim(Q951)</f>
        <v>On-time Delivery</v>
      </c>
      <c r="AC951" s="14" t="str">
        <f t="shared" si="1906"/>
        <v>Delivered on time</v>
      </c>
      <c r="AD951" s="8"/>
    </row>
    <row r="952">
      <c r="A952" s="14" t="str">
        <f>IFERROR(__xludf.DUMMYFUNCTION("""COMPUTED_VALUE"""),"//ord_30933//Mohit Malhotra//Lower Parel//Juice+2*Kiran Mehta/5/8/2023//Online Payment//Delivered*Quality of Items: Perfect condition")</f>
        <v>//ord_30933//Mohit Malhotra//Lower Parel//Juice+2*Kiran Mehta/5/8/2023//Online Payment//Delivered*Quality of Items: Perfect condition</v>
      </c>
      <c r="B952" s="14" t="str">
        <f>IFERROR(__xludf.DUMMYFUNCTION("split(A952,""//"")"),"ord_30933")</f>
        <v>ord_30933</v>
      </c>
      <c r="C952" s="14" t="str">
        <f>IFERROR(__xludf.DUMMYFUNCTION("""COMPUTED_VALUE"""),"Mohit Malhotra")</f>
        <v>Mohit Malhotra</v>
      </c>
      <c r="D952" s="14" t="str">
        <f>IFERROR(__xludf.DUMMYFUNCTION("""COMPUTED_VALUE"""),"Lower Parel")</f>
        <v>Lower Parel</v>
      </c>
      <c r="E952" s="14" t="str">
        <f>IFERROR(__xludf.DUMMYFUNCTION("""COMPUTED_VALUE"""),"Juice+2*Kiran Mehta")</f>
        <v>Juice+2*Kiran Mehta</v>
      </c>
      <c r="F952" s="14">
        <f>IFERROR(__xludf.DUMMYFUNCTION("""COMPUTED_VALUE"""),5.0)</f>
        <v>5</v>
      </c>
      <c r="G952" s="14">
        <f>IFERROR(__xludf.DUMMYFUNCTION("""COMPUTED_VALUE"""),8.0)</f>
        <v>8</v>
      </c>
      <c r="H952" s="14">
        <f>IFERROR(__xludf.DUMMYFUNCTION("""COMPUTED_VALUE"""),2023.0)</f>
        <v>2023</v>
      </c>
      <c r="I952" s="14" t="str">
        <f>IFERROR(__xludf.DUMMYFUNCTION("""COMPUTED_VALUE"""),"Online Payment")</f>
        <v>Online Payment</v>
      </c>
      <c r="J952" s="14" t="str">
        <f>IFERROR(__xludf.DUMMYFUNCTION("""COMPUTED_VALUE"""),"Delivered*Quality of Items: Perfect condition")</f>
        <v>Delivered*Quality of Items: Perfect condition</v>
      </c>
      <c r="K952" s="14" t="str">
        <f>IFERROR(__xludf.DUMMYFUNCTION("split(E952,""+"")"),"Juice")</f>
        <v>Juice</v>
      </c>
      <c r="L952" s="14" t="str">
        <f>IFERROR(__xludf.DUMMYFUNCTION("""COMPUTED_VALUE"""),"2*Kiran Mehta")</f>
        <v>2*Kiran Mehta</v>
      </c>
      <c r="M952" s="14">
        <f>IFERROR(__xludf.DUMMYFUNCTION("SPLIT(L952,""*"")"),2.0)</f>
        <v>2</v>
      </c>
      <c r="N952" s="14" t="str">
        <f>IFERROR(__xludf.DUMMYFUNCTION("""COMPUTED_VALUE"""),"Kiran Mehta")</f>
        <v>Kiran Mehta</v>
      </c>
      <c r="O952" s="14" t="str">
        <f>IFERROR(__xludf.DUMMYFUNCTION("split(J952,""*"")"),"Delivered")</f>
        <v>Delivered</v>
      </c>
      <c r="P952" s="14" t="str">
        <f>IFERROR(__xludf.DUMMYFUNCTION("""COMPUTED_VALUE"""),"Quality of Items: Perfect condition")</f>
        <v>Quality of Items: Perfect condition</v>
      </c>
      <c r="Q952" s="14" t="str">
        <f>IFERROR(__xludf.DUMMYFUNCTION("split(P952,"":"")"),"Quality of Items")</f>
        <v>Quality of Items</v>
      </c>
      <c r="R952" s="14" t="str">
        <f>IFERROR(__xludf.DUMMYFUNCTION("""COMPUTED_VALUE""")," Perfect condition")</f>
        <v> Perfect condition</v>
      </c>
      <c r="S952" s="14" t="str">
        <f t="shared" ref="S952:U952" si="1907">trim(B952)</f>
        <v>ord_30933</v>
      </c>
      <c r="T952" s="14" t="str">
        <f t="shared" si="1907"/>
        <v>Mohit Malhotra</v>
      </c>
      <c r="U952" s="14" t="str">
        <f t="shared" si="1907"/>
        <v>Lower Parel</v>
      </c>
      <c r="V952" s="14" t="str">
        <f t="shared" si="4"/>
        <v>Juice</v>
      </c>
      <c r="W952" s="14">
        <f t="shared" si="5"/>
        <v>2</v>
      </c>
      <c r="X952" s="14" t="str">
        <f t="shared" si="6"/>
        <v>Kiran Mehta</v>
      </c>
      <c r="Y952" s="15">
        <f t="shared" si="7"/>
        <v>45054</v>
      </c>
      <c r="Z952" s="14" t="str">
        <f t="shared" si="8"/>
        <v>Online Payment</v>
      </c>
      <c r="AA952" s="14" t="str">
        <f t="shared" si="9"/>
        <v>Delivered</v>
      </c>
      <c r="AB952" s="14" t="str">
        <f t="shared" ref="AB952:AC952" si="1908">trim(Q952)</f>
        <v>Quality of Items</v>
      </c>
      <c r="AC952" s="14" t="str">
        <f t="shared" si="1908"/>
        <v>Perfect condition</v>
      </c>
      <c r="AD952" s="8"/>
    </row>
    <row r="953">
      <c r="A953" s="14" t="str">
        <f>IFERROR(__xludf.DUMMYFUNCTION("""COMPUTED_VALUE"""),"//ord_30934//Siya Reddy//Juhu//Papaya+2*Tanvi Jain/11/24/2023//Online Payment//Delivered*On-time Delivery: Delivered on time")</f>
        <v>//ord_30934//Siya Reddy//Juhu//Papaya+2*Tanvi Jain/11/24/2023//Online Payment//Delivered*On-time Delivery: Delivered on time</v>
      </c>
      <c r="B953" s="14" t="str">
        <f>IFERROR(__xludf.DUMMYFUNCTION("split(A953,""//"")"),"ord_30934")</f>
        <v>ord_30934</v>
      </c>
      <c r="C953" s="14" t="str">
        <f>IFERROR(__xludf.DUMMYFUNCTION("""COMPUTED_VALUE"""),"Siya Reddy")</f>
        <v>Siya Reddy</v>
      </c>
      <c r="D953" s="14" t="str">
        <f>IFERROR(__xludf.DUMMYFUNCTION("""COMPUTED_VALUE"""),"Juhu")</f>
        <v>Juhu</v>
      </c>
      <c r="E953" s="14" t="str">
        <f>IFERROR(__xludf.DUMMYFUNCTION("""COMPUTED_VALUE"""),"Papaya+2*Tanvi Jain")</f>
        <v>Papaya+2*Tanvi Jain</v>
      </c>
      <c r="F953" s="14">
        <f>IFERROR(__xludf.DUMMYFUNCTION("""COMPUTED_VALUE"""),11.0)</f>
        <v>11</v>
      </c>
      <c r="G953" s="14">
        <f>IFERROR(__xludf.DUMMYFUNCTION("""COMPUTED_VALUE"""),24.0)</f>
        <v>24</v>
      </c>
      <c r="H953" s="14">
        <f>IFERROR(__xludf.DUMMYFUNCTION("""COMPUTED_VALUE"""),2023.0)</f>
        <v>2023</v>
      </c>
      <c r="I953" s="14" t="str">
        <f>IFERROR(__xludf.DUMMYFUNCTION("""COMPUTED_VALUE"""),"Online Payment")</f>
        <v>Online Payment</v>
      </c>
      <c r="J953" s="14" t="str">
        <f>IFERROR(__xludf.DUMMYFUNCTION("""COMPUTED_VALUE"""),"Delivered*On-time Delivery: Delivered on time")</f>
        <v>Delivered*On-time Delivery: Delivered on time</v>
      </c>
      <c r="K953" s="14" t="str">
        <f>IFERROR(__xludf.DUMMYFUNCTION("split(E953,""+"")"),"Papaya")</f>
        <v>Papaya</v>
      </c>
      <c r="L953" s="14" t="str">
        <f>IFERROR(__xludf.DUMMYFUNCTION("""COMPUTED_VALUE"""),"2*Tanvi Jain")</f>
        <v>2*Tanvi Jain</v>
      </c>
      <c r="M953" s="14">
        <f>IFERROR(__xludf.DUMMYFUNCTION("SPLIT(L953,""*"")"),2.0)</f>
        <v>2</v>
      </c>
      <c r="N953" s="14" t="str">
        <f>IFERROR(__xludf.DUMMYFUNCTION("""COMPUTED_VALUE"""),"Tanvi Jain")</f>
        <v>Tanvi Jain</v>
      </c>
      <c r="O953" s="14" t="str">
        <f>IFERROR(__xludf.DUMMYFUNCTION("split(J953,""*"")"),"Delivered")</f>
        <v>Delivered</v>
      </c>
      <c r="P953" s="14" t="str">
        <f>IFERROR(__xludf.DUMMYFUNCTION("""COMPUTED_VALUE"""),"On-time Delivery: Delivered on time")</f>
        <v>On-time Delivery: Delivered on time</v>
      </c>
      <c r="Q953" s="14" t="str">
        <f>IFERROR(__xludf.DUMMYFUNCTION("split(P953,"":"")"),"On-time Delivery")</f>
        <v>On-time Delivery</v>
      </c>
      <c r="R953" s="14" t="str">
        <f>IFERROR(__xludf.DUMMYFUNCTION("""COMPUTED_VALUE""")," Delivered on time")</f>
        <v> Delivered on time</v>
      </c>
      <c r="S953" s="14" t="str">
        <f t="shared" ref="S953:U953" si="1909">trim(B953)</f>
        <v>ord_30934</v>
      </c>
      <c r="T953" s="14" t="str">
        <f t="shared" si="1909"/>
        <v>Siya Reddy</v>
      </c>
      <c r="U953" s="14" t="str">
        <f t="shared" si="1909"/>
        <v>Juhu</v>
      </c>
      <c r="V953" s="14" t="str">
        <f t="shared" si="4"/>
        <v>Papaya</v>
      </c>
      <c r="W953" s="14">
        <f t="shared" si="5"/>
        <v>2</v>
      </c>
      <c r="X953" s="14" t="str">
        <f t="shared" si="6"/>
        <v>Tanvi Jain</v>
      </c>
      <c r="Y953" s="15">
        <f t="shared" si="7"/>
        <v>45254</v>
      </c>
      <c r="Z953" s="14" t="str">
        <f t="shared" si="8"/>
        <v>Online Payment</v>
      </c>
      <c r="AA953" s="14" t="str">
        <f t="shared" si="9"/>
        <v>Delivered</v>
      </c>
      <c r="AB953" s="14" t="str">
        <f t="shared" ref="AB953:AC953" si="1910">trim(Q953)</f>
        <v>On-time Delivery</v>
      </c>
      <c r="AC953" s="14" t="str">
        <f t="shared" si="1910"/>
        <v>Delivered on time</v>
      </c>
      <c r="AD953" s="8"/>
    </row>
    <row r="954">
      <c r="A954" s="14" t="str">
        <f>IFERROR(__xludf.DUMMYFUNCTION("""COMPUTED_VALUE"""),"//ord_30935//Aarav Mehta//Andheri//Chocolate Mousse+2*Rohan Yadav/11/18/2023//COD//Delivered*Quality of Items: Perfect condition")</f>
        <v>//ord_30935//Aarav Mehta//Andheri//Chocolate Mousse+2*Rohan Yadav/11/18/2023//COD//Delivered*Quality of Items: Perfect condition</v>
      </c>
      <c r="B954" s="14" t="str">
        <f>IFERROR(__xludf.DUMMYFUNCTION("split(A954,""//"")"),"ord_30935")</f>
        <v>ord_30935</v>
      </c>
      <c r="C954" s="14" t="str">
        <f>IFERROR(__xludf.DUMMYFUNCTION("""COMPUTED_VALUE"""),"Aarav Mehta")</f>
        <v>Aarav Mehta</v>
      </c>
      <c r="D954" s="14" t="str">
        <f>IFERROR(__xludf.DUMMYFUNCTION("""COMPUTED_VALUE"""),"Andheri")</f>
        <v>Andheri</v>
      </c>
      <c r="E954" s="14" t="str">
        <f>IFERROR(__xludf.DUMMYFUNCTION("""COMPUTED_VALUE"""),"Chocolate Mousse+2*Rohan Yadav")</f>
        <v>Chocolate Mousse+2*Rohan Yadav</v>
      </c>
      <c r="F954" s="14">
        <f>IFERROR(__xludf.DUMMYFUNCTION("""COMPUTED_VALUE"""),11.0)</f>
        <v>11</v>
      </c>
      <c r="G954" s="14">
        <f>IFERROR(__xludf.DUMMYFUNCTION("""COMPUTED_VALUE"""),18.0)</f>
        <v>18</v>
      </c>
      <c r="H954" s="14">
        <f>IFERROR(__xludf.DUMMYFUNCTION("""COMPUTED_VALUE"""),2023.0)</f>
        <v>2023</v>
      </c>
      <c r="I954" s="14" t="str">
        <f>IFERROR(__xludf.DUMMYFUNCTION("""COMPUTED_VALUE"""),"COD")</f>
        <v>COD</v>
      </c>
      <c r="J954" s="14" t="str">
        <f>IFERROR(__xludf.DUMMYFUNCTION("""COMPUTED_VALUE"""),"Delivered*Quality of Items: Perfect condition")</f>
        <v>Delivered*Quality of Items: Perfect condition</v>
      </c>
      <c r="K954" s="14" t="str">
        <f>IFERROR(__xludf.DUMMYFUNCTION("split(E954,""+"")"),"Chocolate Mousse")</f>
        <v>Chocolate Mousse</v>
      </c>
      <c r="L954" s="14" t="str">
        <f>IFERROR(__xludf.DUMMYFUNCTION("""COMPUTED_VALUE"""),"2*Rohan Yadav")</f>
        <v>2*Rohan Yadav</v>
      </c>
      <c r="M954" s="14">
        <f>IFERROR(__xludf.DUMMYFUNCTION("SPLIT(L954,""*"")"),2.0)</f>
        <v>2</v>
      </c>
      <c r="N954" s="14" t="str">
        <f>IFERROR(__xludf.DUMMYFUNCTION("""COMPUTED_VALUE"""),"Rohan Yadav")</f>
        <v>Rohan Yadav</v>
      </c>
      <c r="O954" s="14" t="str">
        <f>IFERROR(__xludf.DUMMYFUNCTION("split(J954,""*"")"),"Delivered")</f>
        <v>Delivered</v>
      </c>
      <c r="P954" s="14" t="str">
        <f>IFERROR(__xludf.DUMMYFUNCTION("""COMPUTED_VALUE"""),"Quality of Items: Perfect condition")</f>
        <v>Quality of Items: Perfect condition</v>
      </c>
      <c r="Q954" s="14" t="str">
        <f>IFERROR(__xludf.DUMMYFUNCTION("split(P954,"":"")"),"Quality of Items")</f>
        <v>Quality of Items</v>
      </c>
      <c r="R954" s="14" t="str">
        <f>IFERROR(__xludf.DUMMYFUNCTION("""COMPUTED_VALUE""")," Perfect condition")</f>
        <v> Perfect condition</v>
      </c>
      <c r="S954" s="14" t="str">
        <f t="shared" ref="S954:U954" si="1911">trim(B954)</f>
        <v>ord_30935</v>
      </c>
      <c r="T954" s="14" t="str">
        <f t="shared" si="1911"/>
        <v>Aarav Mehta</v>
      </c>
      <c r="U954" s="14" t="str">
        <f t="shared" si="1911"/>
        <v>Andheri</v>
      </c>
      <c r="V954" s="14" t="str">
        <f t="shared" si="4"/>
        <v>Chocolate Mousse</v>
      </c>
      <c r="W954" s="14">
        <f t="shared" si="5"/>
        <v>2</v>
      </c>
      <c r="X954" s="14" t="str">
        <f t="shared" si="6"/>
        <v>Rohan Yadav</v>
      </c>
      <c r="Y954" s="15">
        <f t="shared" si="7"/>
        <v>45248</v>
      </c>
      <c r="Z954" s="14" t="str">
        <f t="shared" si="8"/>
        <v>COD</v>
      </c>
      <c r="AA954" s="14" t="str">
        <f t="shared" si="9"/>
        <v>Delivered</v>
      </c>
      <c r="AB954" s="14" t="str">
        <f t="shared" ref="AB954:AC954" si="1912">trim(Q954)</f>
        <v>Quality of Items</v>
      </c>
      <c r="AC954" s="14" t="str">
        <f t="shared" si="1912"/>
        <v>Perfect condition</v>
      </c>
      <c r="AD954" s="8"/>
    </row>
    <row r="955">
      <c r="A955" s="14" t="str">
        <f>IFERROR(__xludf.DUMMYFUNCTION("""COMPUTED_VALUE"""),"//ord_30936//Ishita Banerjee//Juhu//Popcorn+4*Sita T/12/15/2023//Credit Card//Cancelled*Delayed Delivery:Bad Weather Conditions ")</f>
        <v>//ord_30936//Ishita Banerjee//Juhu//Popcorn+4*Sita T/12/15/2023//Credit Card//Cancelled*Delayed Delivery:Bad Weather Conditions </v>
      </c>
      <c r="B955" s="14" t="str">
        <f>IFERROR(__xludf.DUMMYFUNCTION("split(A955,""//"")"),"ord_30936")</f>
        <v>ord_30936</v>
      </c>
      <c r="C955" s="14" t="str">
        <f>IFERROR(__xludf.DUMMYFUNCTION("""COMPUTED_VALUE"""),"Ishita Banerjee")</f>
        <v>Ishita Banerjee</v>
      </c>
      <c r="D955" s="14" t="str">
        <f>IFERROR(__xludf.DUMMYFUNCTION("""COMPUTED_VALUE"""),"Juhu")</f>
        <v>Juhu</v>
      </c>
      <c r="E955" s="14" t="str">
        <f>IFERROR(__xludf.DUMMYFUNCTION("""COMPUTED_VALUE"""),"Popcorn+4*Sita T")</f>
        <v>Popcorn+4*Sita T</v>
      </c>
      <c r="F955" s="14">
        <f>IFERROR(__xludf.DUMMYFUNCTION("""COMPUTED_VALUE"""),12.0)</f>
        <v>12</v>
      </c>
      <c r="G955" s="14">
        <f>IFERROR(__xludf.DUMMYFUNCTION("""COMPUTED_VALUE"""),15.0)</f>
        <v>15</v>
      </c>
      <c r="H955" s="14">
        <f>IFERROR(__xludf.DUMMYFUNCTION("""COMPUTED_VALUE"""),2023.0)</f>
        <v>2023</v>
      </c>
      <c r="I955" s="14" t="str">
        <f>IFERROR(__xludf.DUMMYFUNCTION("""COMPUTED_VALUE"""),"Credit Card")</f>
        <v>Credit Card</v>
      </c>
      <c r="J955" s="14" t="str">
        <f>IFERROR(__xludf.DUMMYFUNCTION("""COMPUTED_VALUE"""),"Cancelled*Delayed Delivery:Bad Weather Conditions ")</f>
        <v>Cancelled*Delayed Delivery:Bad Weather Conditions </v>
      </c>
      <c r="K955" s="14" t="str">
        <f>IFERROR(__xludf.DUMMYFUNCTION("split(E955,""+"")"),"Popcorn")</f>
        <v>Popcorn</v>
      </c>
      <c r="L955" s="14" t="str">
        <f>IFERROR(__xludf.DUMMYFUNCTION("""COMPUTED_VALUE"""),"4*Sita T")</f>
        <v>4*Sita T</v>
      </c>
      <c r="M955" s="14">
        <f>IFERROR(__xludf.DUMMYFUNCTION("SPLIT(L955,""*"")"),4.0)</f>
        <v>4</v>
      </c>
      <c r="N955" s="14" t="str">
        <f>IFERROR(__xludf.DUMMYFUNCTION("""COMPUTED_VALUE"""),"Sita T")</f>
        <v>Sita T</v>
      </c>
      <c r="O955" s="14" t="str">
        <f>IFERROR(__xludf.DUMMYFUNCTION("split(J955,""*"")"),"Cancelled")</f>
        <v>Cancelled</v>
      </c>
      <c r="P955" s="14" t="str">
        <f>IFERROR(__xludf.DUMMYFUNCTION("""COMPUTED_VALUE"""),"Delayed Delivery:Bad Weather Conditions ")</f>
        <v>Delayed Delivery:Bad Weather Conditions </v>
      </c>
      <c r="Q955" s="14" t="str">
        <f>IFERROR(__xludf.DUMMYFUNCTION("split(P955,"":"")"),"Delayed Delivery")</f>
        <v>Delayed Delivery</v>
      </c>
      <c r="R955" s="14" t="str">
        <f>IFERROR(__xludf.DUMMYFUNCTION("""COMPUTED_VALUE"""),"Bad Weather Conditions ")</f>
        <v>Bad Weather Conditions </v>
      </c>
      <c r="S955" s="14" t="str">
        <f t="shared" ref="S955:U955" si="1913">trim(B955)</f>
        <v>ord_30936</v>
      </c>
      <c r="T955" s="14" t="str">
        <f t="shared" si="1913"/>
        <v>Ishita Banerjee</v>
      </c>
      <c r="U955" s="14" t="str">
        <f t="shared" si="1913"/>
        <v>Juhu</v>
      </c>
      <c r="V955" s="14" t="str">
        <f t="shared" si="4"/>
        <v>Popcorn</v>
      </c>
      <c r="W955" s="14">
        <f t="shared" si="5"/>
        <v>4</v>
      </c>
      <c r="X955" s="14" t="str">
        <f t="shared" si="6"/>
        <v>Sita T</v>
      </c>
      <c r="Y955" s="15">
        <f t="shared" si="7"/>
        <v>45275</v>
      </c>
      <c r="Z955" s="14" t="str">
        <f t="shared" si="8"/>
        <v>Credit Card</v>
      </c>
      <c r="AA955" s="14" t="str">
        <f t="shared" si="9"/>
        <v>Cancelled</v>
      </c>
      <c r="AB955" s="14" t="str">
        <f t="shared" ref="AB955:AC955" si="1914">trim(Q955)</f>
        <v>Delayed Delivery</v>
      </c>
      <c r="AC955" s="14" t="str">
        <f t="shared" si="1914"/>
        <v>Bad Weather Conditions</v>
      </c>
      <c r="AD955" s="8"/>
    </row>
    <row r="956">
      <c r="A956" s="14" t="str">
        <f>IFERROR(__xludf.DUMMYFUNCTION("""COMPUTED_VALUE"""),"//ord_30937//Dev Chauhan//Bandra//Rasmalai+3*Priya Joshi/5/21/2023//COD//Delivered*Packaging: Secure and intact")</f>
        <v>//ord_30937//Dev Chauhan//Bandra//Rasmalai+3*Priya Joshi/5/21/2023//COD//Delivered*Packaging: Secure and intact</v>
      </c>
      <c r="B956" s="14" t="str">
        <f>IFERROR(__xludf.DUMMYFUNCTION("split(A956,""//"")"),"ord_30937")</f>
        <v>ord_30937</v>
      </c>
      <c r="C956" s="14" t="str">
        <f>IFERROR(__xludf.DUMMYFUNCTION("""COMPUTED_VALUE"""),"Dev Chauhan")</f>
        <v>Dev Chauhan</v>
      </c>
      <c r="D956" s="14" t="str">
        <f>IFERROR(__xludf.DUMMYFUNCTION("""COMPUTED_VALUE"""),"Bandra")</f>
        <v>Bandra</v>
      </c>
      <c r="E956" s="14" t="str">
        <f>IFERROR(__xludf.DUMMYFUNCTION("""COMPUTED_VALUE"""),"Rasmalai+3*Priya Joshi")</f>
        <v>Rasmalai+3*Priya Joshi</v>
      </c>
      <c r="F956" s="14">
        <f>IFERROR(__xludf.DUMMYFUNCTION("""COMPUTED_VALUE"""),5.0)</f>
        <v>5</v>
      </c>
      <c r="G956" s="14">
        <f>IFERROR(__xludf.DUMMYFUNCTION("""COMPUTED_VALUE"""),21.0)</f>
        <v>21</v>
      </c>
      <c r="H956" s="14">
        <f>IFERROR(__xludf.DUMMYFUNCTION("""COMPUTED_VALUE"""),2023.0)</f>
        <v>2023</v>
      </c>
      <c r="I956" s="14" t="str">
        <f>IFERROR(__xludf.DUMMYFUNCTION("""COMPUTED_VALUE"""),"COD")</f>
        <v>COD</v>
      </c>
      <c r="J956" s="14" t="str">
        <f>IFERROR(__xludf.DUMMYFUNCTION("""COMPUTED_VALUE"""),"Delivered*Packaging: Secure and intact")</f>
        <v>Delivered*Packaging: Secure and intact</v>
      </c>
      <c r="K956" s="14" t="str">
        <f>IFERROR(__xludf.DUMMYFUNCTION("split(E956,""+"")"),"Rasmalai")</f>
        <v>Rasmalai</v>
      </c>
      <c r="L956" s="14" t="str">
        <f>IFERROR(__xludf.DUMMYFUNCTION("""COMPUTED_VALUE"""),"3*Priya Joshi")</f>
        <v>3*Priya Joshi</v>
      </c>
      <c r="M956" s="14">
        <f>IFERROR(__xludf.DUMMYFUNCTION("SPLIT(L956,""*"")"),3.0)</f>
        <v>3</v>
      </c>
      <c r="N956" s="14" t="str">
        <f>IFERROR(__xludf.DUMMYFUNCTION("""COMPUTED_VALUE"""),"Priya Joshi")</f>
        <v>Priya Joshi</v>
      </c>
      <c r="O956" s="14" t="str">
        <f>IFERROR(__xludf.DUMMYFUNCTION("split(J956,""*"")"),"Delivered")</f>
        <v>Delivered</v>
      </c>
      <c r="P956" s="14" t="str">
        <f>IFERROR(__xludf.DUMMYFUNCTION("""COMPUTED_VALUE"""),"Packaging: Secure and intact")</f>
        <v>Packaging: Secure and intact</v>
      </c>
      <c r="Q956" s="14" t="str">
        <f>IFERROR(__xludf.DUMMYFUNCTION("split(P956,"":"")"),"Packaging")</f>
        <v>Packaging</v>
      </c>
      <c r="R956" s="14" t="str">
        <f>IFERROR(__xludf.DUMMYFUNCTION("""COMPUTED_VALUE""")," Secure and intact")</f>
        <v> Secure and intact</v>
      </c>
      <c r="S956" s="14" t="str">
        <f t="shared" ref="S956:U956" si="1915">trim(B956)</f>
        <v>ord_30937</v>
      </c>
      <c r="T956" s="14" t="str">
        <f t="shared" si="1915"/>
        <v>Dev Chauhan</v>
      </c>
      <c r="U956" s="14" t="str">
        <f t="shared" si="1915"/>
        <v>Bandra</v>
      </c>
      <c r="V956" s="14" t="str">
        <f t="shared" si="4"/>
        <v>Rasmalai</v>
      </c>
      <c r="W956" s="14">
        <f t="shared" si="5"/>
        <v>3</v>
      </c>
      <c r="X956" s="14" t="str">
        <f t="shared" si="6"/>
        <v>Priya Joshi</v>
      </c>
      <c r="Y956" s="15">
        <f t="shared" si="7"/>
        <v>45067</v>
      </c>
      <c r="Z956" s="14" t="str">
        <f t="shared" si="8"/>
        <v>COD</v>
      </c>
      <c r="AA956" s="14" t="str">
        <f t="shared" si="9"/>
        <v>Delivered</v>
      </c>
      <c r="AB956" s="14" t="str">
        <f t="shared" ref="AB956:AC956" si="1916">trim(Q956)</f>
        <v>Packaging</v>
      </c>
      <c r="AC956" s="14" t="str">
        <f t="shared" si="1916"/>
        <v>Secure and intact</v>
      </c>
      <c r="AD956" s="8"/>
    </row>
    <row r="957">
      <c r="A957" s="14" t="str">
        <f>IFERROR(__xludf.DUMMYFUNCTION("""COMPUTED_VALUE"""),"//ord_30938//Arvind Kulkarni//Juhu//Rasmalai+2*Tanvi Jain/1/24/2023//Online Payment//Delivered*Satisfied with the Delivery: Timely and quality")</f>
        <v>//ord_30938//Arvind Kulkarni//Juhu//Rasmalai+2*Tanvi Jain/1/24/2023//Online Payment//Delivered*Satisfied with the Delivery: Timely and quality</v>
      </c>
      <c r="B957" s="14" t="str">
        <f>IFERROR(__xludf.DUMMYFUNCTION("split(A957,""//"")"),"ord_30938")</f>
        <v>ord_30938</v>
      </c>
      <c r="C957" s="14" t="str">
        <f>IFERROR(__xludf.DUMMYFUNCTION("""COMPUTED_VALUE"""),"Arvind Kulkarni")</f>
        <v>Arvind Kulkarni</v>
      </c>
      <c r="D957" s="14" t="str">
        <f>IFERROR(__xludf.DUMMYFUNCTION("""COMPUTED_VALUE"""),"Juhu")</f>
        <v>Juhu</v>
      </c>
      <c r="E957" s="14" t="str">
        <f>IFERROR(__xludf.DUMMYFUNCTION("""COMPUTED_VALUE"""),"Rasmalai+2*Tanvi Jain")</f>
        <v>Rasmalai+2*Tanvi Jain</v>
      </c>
      <c r="F957" s="14">
        <f>IFERROR(__xludf.DUMMYFUNCTION("""COMPUTED_VALUE"""),1.0)</f>
        <v>1</v>
      </c>
      <c r="G957" s="14">
        <f>IFERROR(__xludf.DUMMYFUNCTION("""COMPUTED_VALUE"""),24.0)</f>
        <v>24</v>
      </c>
      <c r="H957" s="14">
        <f>IFERROR(__xludf.DUMMYFUNCTION("""COMPUTED_VALUE"""),2023.0)</f>
        <v>2023</v>
      </c>
      <c r="I957" s="14" t="str">
        <f>IFERROR(__xludf.DUMMYFUNCTION("""COMPUTED_VALUE"""),"Online Payment")</f>
        <v>Online Payment</v>
      </c>
      <c r="J957" s="14" t="str">
        <f>IFERROR(__xludf.DUMMYFUNCTION("""COMPUTED_VALUE"""),"Delivered*Satisfied with the Delivery: Timely and quality")</f>
        <v>Delivered*Satisfied with the Delivery: Timely and quality</v>
      </c>
      <c r="K957" s="14" t="str">
        <f>IFERROR(__xludf.DUMMYFUNCTION("split(E957,""+"")"),"Rasmalai")</f>
        <v>Rasmalai</v>
      </c>
      <c r="L957" s="14" t="str">
        <f>IFERROR(__xludf.DUMMYFUNCTION("""COMPUTED_VALUE"""),"2*Tanvi Jain")</f>
        <v>2*Tanvi Jain</v>
      </c>
      <c r="M957" s="14">
        <f>IFERROR(__xludf.DUMMYFUNCTION("SPLIT(L957,""*"")"),2.0)</f>
        <v>2</v>
      </c>
      <c r="N957" s="14" t="str">
        <f>IFERROR(__xludf.DUMMYFUNCTION("""COMPUTED_VALUE"""),"Tanvi Jain")</f>
        <v>Tanvi Jain</v>
      </c>
      <c r="O957" s="14" t="str">
        <f>IFERROR(__xludf.DUMMYFUNCTION("split(J957,""*"")"),"Delivered")</f>
        <v>Delivered</v>
      </c>
      <c r="P957" s="14" t="str">
        <f>IFERROR(__xludf.DUMMYFUNCTION("""COMPUTED_VALUE"""),"Satisfied with the Delivery: Timely and quality")</f>
        <v>Satisfied with the Delivery: Timely and quality</v>
      </c>
      <c r="Q957" s="14" t="str">
        <f>IFERROR(__xludf.DUMMYFUNCTION("split(P957,"":"")"),"Satisfied with the Delivery")</f>
        <v>Satisfied with the Delivery</v>
      </c>
      <c r="R957" s="14" t="str">
        <f>IFERROR(__xludf.DUMMYFUNCTION("""COMPUTED_VALUE""")," Timely and quality")</f>
        <v> Timely and quality</v>
      </c>
      <c r="S957" s="14" t="str">
        <f t="shared" ref="S957:U957" si="1917">trim(B957)</f>
        <v>ord_30938</v>
      </c>
      <c r="T957" s="14" t="str">
        <f t="shared" si="1917"/>
        <v>Arvind Kulkarni</v>
      </c>
      <c r="U957" s="14" t="str">
        <f t="shared" si="1917"/>
        <v>Juhu</v>
      </c>
      <c r="V957" s="14" t="str">
        <f t="shared" si="4"/>
        <v>Rasmalai</v>
      </c>
      <c r="W957" s="14">
        <f t="shared" si="5"/>
        <v>2</v>
      </c>
      <c r="X957" s="14" t="str">
        <f t="shared" si="6"/>
        <v>Tanvi Jain</v>
      </c>
      <c r="Y957" s="15">
        <f t="shared" si="7"/>
        <v>44950</v>
      </c>
      <c r="Z957" s="14" t="str">
        <f t="shared" si="8"/>
        <v>Online Payment</v>
      </c>
      <c r="AA957" s="14" t="str">
        <f t="shared" si="9"/>
        <v>Delivered</v>
      </c>
      <c r="AB957" s="14" t="str">
        <f t="shared" ref="AB957:AC957" si="1918">trim(Q957)</f>
        <v>Satisfied with the Delivery</v>
      </c>
      <c r="AC957" s="14" t="str">
        <f t="shared" si="1918"/>
        <v>Timely and quality</v>
      </c>
      <c r="AD957" s="8"/>
    </row>
    <row r="958">
      <c r="A958" s="14" t="str">
        <f>IFERROR(__xludf.DUMMYFUNCTION("""COMPUTED_VALUE"""),"//ord_30939//Mohit Malhotra//Lower Parel//Icecream+4*Ramesh S/2/15/2023//Credit Card//Delivered*Customer Service: Seamless and easy")</f>
        <v>//ord_30939//Mohit Malhotra//Lower Parel//Icecream+4*Ramesh S/2/15/2023//Credit Card//Delivered*Customer Service: Seamless and easy</v>
      </c>
      <c r="B958" s="14" t="str">
        <f>IFERROR(__xludf.DUMMYFUNCTION("split(A958,""//"")"),"ord_30939")</f>
        <v>ord_30939</v>
      </c>
      <c r="C958" s="14" t="str">
        <f>IFERROR(__xludf.DUMMYFUNCTION("""COMPUTED_VALUE"""),"Mohit Malhotra")</f>
        <v>Mohit Malhotra</v>
      </c>
      <c r="D958" s="14" t="str">
        <f>IFERROR(__xludf.DUMMYFUNCTION("""COMPUTED_VALUE"""),"Lower Parel")</f>
        <v>Lower Parel</v>
      </c>
      <c r="E958" s="14" t="str">
        <f>IFERROR(__xludf.DUMMYFUNCTION("""COMPUTED_VALUE"""),"Icecream+4*Ramesh S")</f>
        <v>Icecream+4*Ramesh S</v>
      </c>
      <c r="F958" s="14">
        <f>IFERROR(__xludf.DUMMYFUNCTION("""COMPUTED_VALUE"""),2.0)</f>
        <v>2</v>
      </c>
      <c r="G958" s="14">
        <f>IFERROR(__xludf.DUMMYFUNCTION("""COMPUTED_VALUE"""),15.0)</f>
        <v>15</v>
      </c>
      <c r="H958" s="14">
        <f>IFERROR(__xludf.DUMMYFUNCTION("""COMPUTED_VALUE"""),2023.0)</f>
        <v>2023</v>
      </c>
      <c r="I958" s="14" t="str">
        <f>IFERROR(__xludf.DUMMYFUNCTION("""COMPUTED_VALUE"""),"Credit Card")</f>
        <v>Credit Card</v>
      </c>
      <c r="J958" s="14" t="str">
        <f>IFERROR(__xludf.DUMMYFUNCTION("""COMPUTED_VALUE"""),"Delivered*Customer Service: Seamless and easy")</f>
        <v>Delivered*Customer Service: Seamless and easy</v>
      </c>
      <c r="K958" s="14" t="str">
        <f>IFERROR(__xludf.DUMMYFUNCTION("split(E958,""+"")"),"Icecream")</f>
        <v>Icecream</v>
      </c>
      <c r="L958" s="14" t="str">
        <f>IFERROR(__xludf.DUMMYFUNCTION("""COMPUTED_VALUE"""),"4*Ramesh S")</f>
        <v>4*Ramesh S</v>
      </c>
      <c r="M958" s="14">
        <f>IFERROR(__xludf.DUMMYFUNCTION("SPLIT(L958,""*"")"),4.0)</f>
        <v>4</v>
      </c>
      <c r="N958" s="14" t="str">
        <f>IFERROR(__xludf.DUMMYFUNCTION("""COMPUTED_VALUE"""),"Ramesh S")</f>
        <v>Ramesh S</v>
      </c>
      <c r="O958" s="14" t="str">
        <f>IFERROR(__xludf.DUMMYFUNCTION("split(J958,""*"")"),"Delivered")</f>
        <v>Delivered</v>
      </c>
      <c r="P958" s="14" t="str">
        <f>IFERROR(__xludf.DUMMYFUNCTION("""COMPUTED_VALUE"""),"Customer Service: Seamless and easy")</f>
        <v>Customer Service: Seamless and easy</v>
      </c>
      <c r="Q958" s="14" t="str">
        <f>IFERROR(__xludf.DUMMYFUNCTION("split(P958,"":"")"),"Customer Service")</f>
        <v>Customer Service</v>
      </c>
      <c r="R958" s="14" t="str">
        <f>IFERROR(__xludf.DUMMYFUNCTION("""COMPUTED_VALUE""")," Seamless and easy")</f>
        <v> Seamless and easy</v>
      </c>
      <c r="S958" s="14" t="str">
        <f t="shared" ref="S958:U958" si="1919">trim(B958)</f>
        <v>ord_30939</v>
      </c>
      <c r="T958" s="14" t="str">
        <f t="shared" si="1919"/>
        <v>Mohit Malhotra</v>
      </c>
      <c r="U958" s="14" t="str">
        <f t="shared" si="1919"/>
        <v>Lower Parel</v>
      </c>
      <c r="V958" s="14" t="str">
        <f t="shared" si="4"/>
        <v>Icecream</v>
      </c>
      <c r="W958" s="14">
        <f t="shared" si="5"/>
        <v>4</v>
      </c>
      <c r="X958" s="14" t="str">
        <f t="shared" si="6"/>
        <v>Ramesh S</v>
      </c>
      <c r="Y958" s="15">
        <f t="shared" si="7"/>
        <v>44972</v>
      </c>
      <c r="Z958" s="14" t="str">
        <f t="shared" si="8"/>
        <v>Credit Card</v>
      </c>
      <c r="AA958" s="14" t="str">
        <f t="shared" si="9"/>
        <v>Delivered</v>
      </c>
      <c r="AB958" s="14" t="str">
        <f t="shared" ref="AB958:AC958" si="1920">trim(Q958)</f>
        <v>Customer Service</v>
      </c>
      <c r="AC958" s="14" t="str">
        <f t="shared" si="1920"/>
        <v>Seamless and easy</v>
      </c>
      <c r="AD958" s="8"/>
    </row>
    <row r="959">
      <c r="A959" s="14" t="str">
        <f>IFERROR(__xludf.DUMMYFUNCTION("""COMPUTED_VALUE"""),"//ord_30940//Mehul Thakkar//Malad//Sweet Corn+2*Ram Gopal/5/30/2023//Credit Card//Delivered*Delivery Experience: Quick and professional")</f>
        <v>//ord_30940//Mehul Thakkar//Malad//Sweet Corn+2*Ram Gopal/5/30/2023//Credit Card//Delivered*Delivery Experience: Quick and professional</v>
      </c>
      <c r="B959" s="14" t="str">
        <f>IFERROR(__xludf.DUMMYFUNCTION("split(A959,""//"")"),"ord_30940")</f>
        <v>ord_30940</v>
      </c>
      <c r="C959" s="14" t="str">
        <f>IFERROR(__xludf.DUMMYFUNCTION("""COMPUTED_VALUE"""),"Mehul Thakkar")</f>
        <v>Mehul Thakkar</v>
      </c>
      <c r="D959" s="14" t="str">
        <f>IFERROR(__xludf.DUMMYFUNCTION("""COMPUTED_VALUE"""),"Malad")</f>
        <v>Malad</v>
      </c>
      <c r="E959" s="14" t="str">
        <f>IFERROR(__xludf.DUMMYFUNCTION("""COMPUTED_VALUE"""),"Sweet Corn+2*Ram Gopal")</f>
        <v>Sweet Corn+2*Ram Gopal</v>
      </c>
      <c r="F959" s="14">
        <f>IFERROR(__xludf.DUMMYFUNCTION("""COMPUTED_VALUE"""),5.0)</f>
        <v>5</v>
      </c>
      <c r="G959" s="14">
        <f>IFERROR(__xludf.DUMMYFUNCTION("""COMPUTED_VALUE"""),30.0)</f>
        <v>30</v>
      </c>
      <c r="H959" s="14">
        <f>IFERROR(__xludf.DUMMYFUNCTION("""COMPUTED_VALUE"""),2023.0)</f>
        <v>2023</v>
      </c>
      <c r="I959" s="14" t="str">
        <f>IFERROR(__xludf.DUMMYFUNCTION("""COMPUTED_VALUE"""),"Credit Card")</f>
        <v>Credit Card</v>
      </c>
      <c r="J959" s="14" t="str">
        <f>IFERROR(__xludf.DUMMYFUNCTION("""COMPUTED_VALUE"""),"Delivered*Delivery Experience: Quick and professional")</f>
        <v>Delivered*Delivery Experience: Quick and professional</v>
      </c>
      <c r="K959" s="14" t="str">
        <f>IFERROR(__xludf.DUMMYFUNCTION("split(E959,""+"")"),"Sweet Corn")</f>
        <v>Sweet Corn</v>
      </c>
      <c r="L959" s="14" t="str">
        <f>IFERROR(__xludf.DUMMYFUNCTION("""COMPUTED_VALUE"""),"2*Ram Gopal")</f>
        <v>2*Ram Gopal</v>
      </c>
      <c r="M959" s="14">
        <f>IFERROR(__xludf.DUMMYFUNCTION("SPLIT(L959,""*"")"),2.0)</f>
        <v>2</v>
      </c>
      <c r="N959" s="14" t="str">
        <f>IFERROR(__xludf.DUMMYFUNCTION("""COMPUTED_VALUE"""),"Ram Gopal")</f>
        <v>Ram Gopal</v>
      </c>
      <c r="O959" s="14" t="str">
        <f>IFERROR(__xludf.DUMMYFUNCTION("split(J959,""*"")"),"Delivered")</f>
        <v>Delivered</v>
      </c>
      <c r="P959" s="14" t="str">
        <f>IFERROR(__xludf.DUMMYFUNCTION("""COMPUTED_VALUE"""),"Delivery Experience: Quick and professional")</f>
        <v>Delivery Experience: Quick and professional</v>
      </c>
      <c r="Q959" s="14" t="str">
        <f>IFERROR(__xludf.DUMMYFUNCTION("split(P959,"":"")"),"Delivery Experience")</f>
        <v>Delivery Experience</v>
      </c>
      <c r="R959" s="14" t="str">
        <f>IFERROR(__xludf.DUMMYFUNCTION("""COMPUTED_VALUE""")," Quick and professional")</f>
        <v> Quick and professional</v>
      </c>
      <c r="S959" s="14" t="str">
        <f t="shared" ref="S959:U959" si="1921">trim(B959)</f>
        <v>ord_30940</v>
      </c>
      <c r="T959" s="14" t="str">
        <f t="shared" si="1921"/>
        <v>Mehul Thakkar</v>
      </c>
      <c r="U959" s="14" t="str">
        <f t="shared" si="1921"/>
        <v>Malad</v>
      </c>
      <c r="V959" s="14" t="str">
        <f t="shared" si="4"/>
        <v>Sweet Corn</v>
      </c>
      <c r="W959" s="14">
        <f t="shared" si="5"/>
        <v>2</v>
      </c>
      <c r="X959" s="14" t="str">
        <f t="shared" si="6"/>
        <v>Ram Gopal</v>
      </c>
      <c r="Y959" s="15">
        <f t="shared" si="7"/>
        <v>45076</v>
      </c>
      <c r="Z959" s="14" t="str">
        <f t="shared" si="8"/>
        <v>Credit Card</v>
      </c>
      <c r="AA959" s="14" t="str">
        <f t="shared" si="9"/>
        <v>Delivered</v>
      </c>
      <c r="AB959" s="14" t="str">
        <f t="shared" ref="AB959:AC959" si="1922">trim(Q959)</f>
        <v>Delivery Experience</v>
      </c>
      <c r="AC959" s="14" t="str">
        <f t="shared" si="1922"/>
        <v>Quick and professional</v>
      </c>
      <c r="AD959" s="8"/>
    </row>
    <row r="960">
      <c r="A960" s="14" t="str">
        <f>IFERROR(__xludf.DUMMYFUNCTION("""COMPUTED_VALUE"""),"//ord_30941//Diya Arora//Lower Parel//Popcorn+5*Shine Thomas/7/6/2023//Online Payment//Delivered*Convenience: Easy tracking")</f>
        <v>//ord_30941//Diya Arora//Lower Parel//Popcorn+5*Shine Thomas/7/6/2023//Online Payment//Delivered*Convenience: Easy tracking</v>
      </c>
      <c r="B960" s="14" t="str">
        <f>IFERROR(__xludf.DUMMYFUNCTION("split(A960,""//"")"),"ord_30941")</f>
        <v>ord_30941</v>
      </c>
      <c r="C960" s="14" t="str">
        <f>IFERROR(__xludf.DUMMYFUNCTION("""COMPUTED_VALUE"""),"Diya Arora")</f>
        <v>Diya Arora</v>
      </c>
      <c r="D960" s="14" t="str">
        <f>IFERROR(__xludf.DUMMYFUNCTION("""COMPUTED_VALUE"""),"Lower Parel")</f>
        <v>Lower Parel</v>
      </c>
      <c r="E960" s="14" t="str">
        <f>IFERROR(__xludf.DUMMYFUNCTION("""COMPUTED_VALUE"""),"Popcorn+5*Shine Thomas")</f>
        <v>Popcorn+5*Shine Thomas</v>
      </c>
      <c r="F960" s="14">
        <f>IFERROR(__xludf.DUMMYFUNCTION("""COMPUTED_VALUE"""),7.0)</f>
        <v>7</v>
      </c>
      <c r="G960" s="14">
        <f>IFERROR(__xludf.DUMMYFUNCTION("""COMPUTED_VALUE"""),6.0)</f>
        <v>6</v>
      </c>
      <c r="H960" s="14">
        <f>IFERROR(__xludf.DUMMYFUNCTION("""COMPUTED_VALUE"""),2023.0)</f>
        <v>2023</v>
      </c>
      <c r="I960" s="14" t="str">
        <f>IFERROR(__xludf.DUMMYFUNCTION("""COMPUTED_VALUE"""),"Online Payment")</f>
        <v>Online Payment</v>
      </c>
      <c r="J960" s="14" t="str">
        <f>IFERROR(__xludf.DUMMYFUNCTION("""COMPUTED_VALUE"""),"Delivered*Convenience: Easy tracking")</f>
        <v>Delivered*Convenience: Easy tracking</v>
      </c>
      <c r="K960" s="14" t="str">
        <f>IFERROR(__xludf.DUMMYFUNCTION("split(E960,""+"")"),"Popcorn")</f>
        <v>Popcorn</v>
      </c>
      <c r="L960" s="14" t="str">
        <f>IFERROR(__xludf.DUMMYFUNCTION("""COMPUTED_VALUE"""),"5*Shine Thomas")</f>
        <v>5*Shine Thomas</v>
      </c>
      <c r="M960" s="14">
        <f>IFERROR(__xludf.DUMMYFUNCTION("SPLIT(L960,""*"")"),5.0)</f>
        <v>5</v>
      </c>
      <c r="N960" s="14" t="str">
        <f>IFERROR(__xludf.DUMMYFUNCTION("""COMPUTED_VALUE"""),"Shine Thomas")</f>
        <v>Shine Thomas</v>
      </c>
      <c r="O960" s="14" t="str">
        <f>IFERROR(__xludf.DUMMYFUNCTION("split(J960,""*"")"),"Delivered")</f>
        <v>Delivered</v>
      </c>
      <c r="P960" s="14" t="str">
        <f>IFERROR(__xludf.DUMMYFUNCTION("""COMPUTED_VALUE"""),"Convenience: Easy tracking")</f>
        <v>Convenience: Easy tracking</v>
      </c>
      <c r="Q960" s="14" t="str">
        <f>IFERROR(__xludf.DUMMYFUNCTION("split(P960,"":"")"),"Convenience")</f>
        <v>Convenience</v>
      </c>
      <c r="R960" s="14" t="str">
        <f>IFERROR(__xludf.DUMMYFUNCTION("""COMPUTED_VALUE""")," Easy tracking")</f>
        <v> Easy tracking</v>
      </c>
      <c r="S960" s="14" t="str">
        <f t="shared" ref="S960:U960" si="1923">trim(B960)</f>
        <v>ord_30941</v>
      </c>
      <c r="T960" s="14" t="str">
        <f t="shared" si="1923"/>
        <v>Diya Arora</v>
      </c>
      <c r="U960" s="14" t="str">
        <f t="shared" si="1923"/>
        <v>Lower Parel</v>
      </c>
      <c r="V960" s="14" t="str">
        <f t="shared" si="4"/>
        <v>Popcorn</v>
      </c>
      <c r="W960" s="14">
        <f t="shared" si="5"/>
        <v>5</v>
      </c>
      <c r="X960" s="14" t="str">
        <f t="shared" si="6"/>
        <v>Shine Thomas</v>
      </c>
      <c r="Y960" s="15">
        <f t="shared" si="7"/>
        <v>45113</v>
      </c>
      <c r="Z960" s="14" t="str">
        <f t="shared" si="8"/>
        <v>Online Payment</v>
      </c>
      <c r="AA960" s="14" t="str">
        <f t="shared" si="9"/>
        <v>Delivered</v>
      </c>
      <c r="AB960" s="14" t="str">
        <f t="shared" ref="AB960:AC960" si="1924">trim(Q960)</f>
        <v>Convenience</v>
      </c>
      <c r="AC960" s="14" t="str">
        <f t="shared" si="1924"/>
        <v>Easy tracking</v>
      </c>
      <c r="AD960" s="8"/>
    </row>
    <row r="961">
      <c r="A961" s="14" t="str">
        <f>IFERROR(__xludf.DUMMYFUNCTION("""COMPUTED_VALUE"""),"//ord_30942//Pallavi Ghosh//Bandra//Tomato+2*Ram Gopal/5/11/2023//COD//Delivered*Overall Satisfaction: Great service will order again")</f>
        <v>//ord_30942//Pallavi Ghosh//Bandra//Tomato+2*Ram Gopal/5/11/2023//COD//Delivered*Overall Satisfaction: Great service will order again</v>
      </c>
      <c r="B961" s="14" t="str">
        <f>IFERROR(__xludf.DUMMYFUNCTION("split(A961,""//"")"),"ord_30942")</f>
        <v>ord_30942</v>
      </c>
      <c r="C961" s="14" t="str">
        <f>IFERROR(__xludf.DUMMYFUNCTION("""COMPUTED_VALUE"""),"Pallavi Ghosh")</f>
        <v>Pallavi Ghosh</v>
      </c>
      <c r="D961" s="14" t="str">
        <f>IFERROR(__xludf.DUMMYFUNCTION("""COMPUTED_VALUE"""),"Bandra")</f>
        <v>Bandra</v>
      </c>
      <c r="E961" s="14" t="str">
        <f>IFERROR(__xludf.DUMMYFUNCTION("""COMPUTED_VALUE"""),"Tomato+2*Ram Gopal")</f>
        <v>Tomato+2*Ram Gopal</v>
      </c>
      <c r="F961" s="14">
        <f>IFERROR(__xludf.DUMMYFUNCTION("""COMPUTED_VALUE"""),5.0)</f>
        <v>5</v>
      </c>
      <c r="G961" s="14">
        <f>IFERROR(__xludf.DUMMYFUNCTION("""COMPUTED_VALUE"""),11.0)</f>
        <v>11</v>
      </c>
      <c r="H961" s="14">
        <f>IFERROR(__xludf.DUMMYFUNCTION("""COMPUTED_VALUE"""),2023.0)</f>
        <v>2023</v>
      </c>
      <c r="I961" s="14" t="str">
        <f>IFERROR(__xludf.DUMMYFUNCTION("""COMPUTED_VALUE"""),"COD")</f>
        <v>COD</v>
      </c>
      <c r="J961" s="14" t="str">
        <f>IFERROR(__xludf.DUMMYFUNCTION("""COMPUTED_VALUE"""),"Delivered*Overall Satisfaction: Great service will order again")</f>
        <v>Delivered*Overall Satisfaction: Great service will order again</v>
      </c>
      <c r="K961" s="14" t="str">
        <f>IFERROR(__xludf.DUMMYFUNCTION("split(E961,""+"")"),"Tomato")</f>
        <v>Tomato</v>
      </c>
      <c r="L961" s="14" t="str">
        <f>IFERROR(__xludf.DUMMYFUNCTION("""COMPUTED_VALUE"""),"2*Ram Gopal")</f>
        <v>2*Ram Gopal</v>
      </c>
      <c r="M961" s="14">
        <f>IFERROR(__xludf.DUMMYFUNCTION("SPLIT(L961,""*"")"),2.0)</f>
        <v>2</v>
      </c>
      <c r="N961" s="14" t="str">
        <f>IFERROR(__xludf.DUMMYFUNCTION("""COMPUTED_VALUE"""),"Ram Gopal")</f>
        <v>Ram Gopal</v>
      </c>
      <c r="O961" s="14" t="str">
        <f>IFERROR(__xludf.DUMMYFUNCTION("split(J961,""*"")"),"Delivered")</f>
        <v>Delivered</v>
      </c>
      <c r="P961" s="14" t="str">
        <f>IFERROR(__xludf.DUMMYFUNCTION("""COMPUTED_VALUE"""),"Overall Satisfaction: Great service will order again")</f>
        <v>Overall Satisfaction: Great service will order again</v>
      </c>
      <c r="Q961" s="14" t="str">
        <f>IFERROR(__xludf.DUMMYFUNCTION("split(P961,"":"")"),"Overall Satisfaction")</f>
        <v>Overall Satisfaction</v>
      </c>
      <c r="R961" s="14" t="str">
        <f>IFERROR(__xludf.DUMMYFUNCTION("""COMPUTED_VALUE""")," Great service will order again")</f>
        <v> Great service will order again</v>
      </c>
      <c r="S961" s="14" t="str">
        <f t="shared" ref="S961:U961" si="1925">trim(B961)</f>
        <v>ord_30942</v>
      </c>
      <c r="T961" s="14" t="str">
        <f t="shared" si="1925"/>
        <v>Pallavi Ghosh</v>
      </c>
      <c r="U961" s="14" t="str">
        <f t="shared" si="1925"/>
        <v>Bandra</v>
      </c>
      <c r="V961" s="14" t="str">
        <f t="shared" si="4"/>
        <v>Tomato</v>
      </c>
      <c r="W961" s="14">
        <f t="shared" si="5"/>
        <v>2</v>
      </c>
      <c r="X961" s="14" t="str">
        <f t="shared" si="6"/>
        <v>Ram Gopal</v>
      </c>
      <c r="Y961" s="15">
        <f t="shared" si="7"/>
        <v>45057</v>
      </c>
      <c r="Z961" s="14" t="str">
        <f t="shared" si="8"/>
        <v>COD</v>
      </c>
      <c r="AA961" s="14" t="str">
        <f t="shared" si="9"/>
        <v>Delivered</v>
      </c>
      <c r="AB961" s="14" t="str">
        <f t="shared" ref="AB961:AC961" si="1926">trim(Q961)</f>
        <v>Overall Satisfaction</v>
      </c>
      <c r="AC961" s="14" t="str">
        <f t="shared" si="1926"/>
        <v>Great service will order again</v>
      </c>
      <c r="AD961" s="8"/>
    </row>
    <row r="962">
      <c r="A962" s="14" t="str">
        <f>IFERROR(__xludf.DUMMYFUNCTION("""COMPUTED_VALUE"""),"//ord_30943//Ishita Banerjee//Juhu//Veg Puff+1*Vivek Kumar/2/20/2023//COD//Delivered*On-time Delivery: Delivered on time")</f>
        <v>//ord_30943//Ishita Banerjee//Juhu//Veg Puff+1*Vivek Kumar/2/20/2023//COD//Delivered*On-time Delivery: Delivered on time</v>
      </c>
      <c r="B962" s="14" t="str">
        <f>IFERROR(__xludf.DUMMYFUNCTION("split(A962,""//"")"),"ord_30943")</f>
        <v>ord_30943</v>
      </c>
      <c r="C962" s="14" t="str">
        <f>IFERROR(__xludf.DUMMYFUNCTION("""COMPUTED_VALUE"""),"Ishita Banerjee")</f>
        <v>Ishita Banerjee</v>
      </c>
      <c r="D962" s="14" t="str">
        <f>IFERROR(__xludf.DUMMYFUNCTION("""COMPUTED_VALUE"""),"Juhu")</f>
        <v>Juhu</v>
      </c>
      <c r="E962" s="14" t="str">
        <f>IFERROR(__xludf.DUMMYFUNCTION("""COMPUTED_VALUE"""),"Veg Puff+1*Vivek Kumar")</f>
        <v>Veg Puff+1*Vivek Kumar</v>
      </c>
      <c r="F962" s="14">
        <f>IFERROR(__xludf.DUMMYFUNCTION("""COMPUTED_VALUE"""),2.0)</f>
        <v>2</v>
      </c>
      <c r="G962" s="14">
        <f>IFERROR(__xludf.DUMMYFUNCTION("""COMPUTED_VALUE"""),20.0)</f>
        <v>20</v>
      </c>
      <c r="H962" s="14">
        <f>IFERROR(__xludf.DUMMYFUNCTION("""COMPUTED_VALUE"""),2023.0)</f>
        <v>2023</v>
      </c>
      <c r="I962" s="14" t="str">
        <f>IFERROR(__xludf.DUMMYFUNCTION("""COMPUTED_VALUE"""),"COD")</f>
        <v>COD</v>
      </c>
      <c r="J962" s="14" t="str">
        <f>IFERROR(__xludf.DUMMYFUNCTION("""COMPUTED_VALUE"""),"Delivered*On-time Delivery: Delivered on time")</f>
        <v>Delivered*On-time Delivery: Delivered on time</v>
      </c>
      <c r="K962" s="14" t="str">
        <f>IFERROR(__xludf.DUMMYFUNCTION("split(E962,""+"")"),"Veg Puff")</f>
        <v>Veg Puff</v>
      </c>
      <c r="L962" s="14" t="str">
        <f>IFERROR(__xludf.DUMMYFUNCTION("""COMPUTED_VALUE"""),"1*Vivek Kumar")</f>
        <v>1*Vivek Kumar</v>
      </c>
      <c r="M962" s="14">
        <f>IFERROR(__xludf.DUMMYFUNCTION("SPLIT(L962,""*"")"),1.0)</f>
        <v>1</v>
      </c>
      <c r="N962" s="14" t="str">
        <f>IFERROR(__xludf.DUMMYFUNCTION("""COMPUTED_VALUE"""),"Vivek Kumar")</f>
        <v>Vivek Kumar</v>
      </c>
      <c r="O962" s="14" t="str">
        <f>IFERROR(__xludf.DUMMYFUNCTION("split(J962,""*"")"),"Delivered")</f>
        <v>Delivered</v>
      </c>
      <c r="P962" s="14" t="str">
        <f>IFERROR(__xludf.DUMMYFUNCTION("""COMPUTED_VALUE"""),"On-time Delivery: Delivered on time")</f>
        <v>On-time Delivery: Delivered on time</v>
      </c>
      <c r="Q962" s="14" t="str">
        <f>IFERROR(__xludf.DUMMYFUNCTION("split(P962,"":"")"),"On-time Delivery")</f>
        <v>On-time Delivery</v>
      </c>
      <c r="R962" s="14" t="str">
        <f>IFERROR(__xludf.DUMMYFUNCTION("""COMPUTED_VALUE""")," Delivered on time")</f>
        <v> Delivered on time</v>
      </c>
      <c r="S962" s="14" t="str">
        <f t="shared" ref="S962:U962" si="1927">trim(B962)</f>
        <v>ord_30943</v>
      </c>
      <c r="T962" s="14" t="str">
        <f t="shared" si="1927"/>
        <v>Ishita Banerjee</v>
      </c>
      <c r="U962" s="14" t="str">
        <f t="shared" si="1927"/>
        <v>Juhu</v>
      </c>
      <c r="V962" s="14" t="str">
        <f t="shared" si="4"/>
        <v>Veg Puff</v>
      </c>
      <c r="W962" s="14">
        <f t="shared" si="5"/>
        <v>1</v>
      </c>
      <c r="X962" s="14" t="str">
        <f t="shared" si="6"/>
        <v>Vivek Kumar</v>
      </c>
      <c r="Y962" s="15">
        <f t="shared" si="7"/>
        <v>44977</v>
      </c>
      <c r="Z962" s="14" t="str">
        <f t="shared" si="8"/>
        <v>COD</v>
      </c>
      <c r="AA962" s="14" t="str">
        <f t="shared" si="9"/>
        <v>Delivered</v>
      </c>
      <c r="AB962" s="14" t="str">
        <f t="shared" ref="AB962:AC962" si="1928">trim(Q962)</f>
        <v>On-time Delivery</v>
      </c>
      <c r="AC962" s="14" t="str">
        <f t="shared" si="1928"/>
        <v>Delivered on time</v>
      </c>
      <c r="AD962" s="8"/>
    </row>
    <row r="963">
      <c r="A963" s="14" t="str">
        <f>IFERROR(__xludf.DUMMYFUNCTION("""COMPUTED_VALUE"""),"//ord_30944//Mohit Malhotra//Lower Parel//Papaya+1*Ramesh S/2/9/2023//Credit Card//Delivered*Quality of Items: Perfect condition")</f>
        <v>//ord_30944//Mohit Malhotra//Lower Parel//Papaya+1*Ramesh S/2/9/2023//Credit Card//Delivered*Quality of Items: Perfect condition</v>
      </c>
      <c r="B963" s="14" t="str">
        <f>IFERROR(__xludf.DUMMYFUNCTION("split(A963,""//"")"),"ord_30944")</f>
        <v>ord_30944</v>
      </c>
      <c r="C963" s="14" t="str">
        <f>IFERROR(__xludf.DUMMYFUNCTION("""COMPUTED_VALUE"""),"Mohit Malhotra")</f>
        <v>Mohit Malhotra</v>
      </c>
      <c r="D963" s="14" t="str">
        <f>IFERROR(__xludf.DUMMYFUNCTION("""COMPUTED_VALUE"""),"Lower Parel")</f>
        <v>Lower Parel</v>
      </c>
      <c r="E963" s="14" t="str">
        <f>IFERROR(__xludf.DUMMYFUNCTION("""COMPUTED_VALUE"""),"Papaya+1*Ramesh S")</f>
        <v>Papaya+1*Ramesh S</v>
      </c>
      <c r="F963" s="14">
        <f>IFERROR(__xludf.DUMMYFUNCTION("""COMPUTED_VALUE"""),2.0)</f>
        <v>2</v>
      </c>
      <c r="G963" s="14">
        <f>IFERROR(__xludf.DUMMYFUNCTION("""COMPUTED_VALUE"""),9.0)</f>
        <v>9</v>
      </c>
      <c r="H963" s="14">
        <f>IFERROR(__xludf.DUMMYFUNCTION("""COMPUTED_VALUE"""),2023.0)</f>
        <v>2023</v>
      </c>
      <c r="I963" s="14" t="str">
        <f>IFERROR(__xludf.DUMMYFUNCTION("""COMPUTED_VALUE"""),"Credit Card")</f>
        <v>Credit Card</v>
      </c>
      <c r="J963" s="14" t="str">
        <f>IFERROR(__xludf.DUMMYFUNCTION("""COMPUTED_VALUE"""),"Delivered*Quality of Items: Perfect condition")</f>
        <v>Delivered*Quality of Items: Perfect condition</v>
      </c>
      <c r="K963" s="14" t="str">
        <f>IFERROR(__xludf.DUMMYFUNCTION("split(E963,""+"")"),"Papaya")</f>
        <v>Papaya</v>
      </c>
      <c r="L963" s="14" t="str">
        <f>IFERROR(__xludf.DUMMYFUNCTION("""COMPUTED_VALUE"""),"1*Ramesh S")</f>
        <v>1*Ramesh S</v>
      </c>
      <c r="M963" s="14">
        <f>IFERROR(__xludf.DUMMYFUNCTION("SPLIT(L963,""*"")"),1.0)</f>
        <v>1</v>
      </c>
      <c r="N963" s="14" t="str">
        <f>IFERROR(__xludf.DUMMYFUNCTION("""COMPUTED_VALUE"""),"Ramesh S")</f>
        <v>Ramesh S</v>
      </c>
      <c r="O963" s="14" t="str">
        <f>IFERROR(__xludf.DUMMYFUNCTION("split(J963,""*"")"),"Delivered")</f>
        <v>Delivered</v>
      </c>
      <c r="P963" s="14" t="str">
        <f>IFERROR(__xludf.DUMMYFUNCTION("""COMPUTED_VALUE"""),"Quality of Items: Perfect condition")</f>
        <v>Quality of Items: Perfect condition</v>
      </c>
      <c r="Q963" s="14" t="str">
        <f>IFERROR(__xludf.DUMMYFUNCTION("split(P963,"":"")"),"Quality of Items")</f>
        <v>Quality of Items</v>
      </c>
      <c r="R963" s="14" t="str">
        <f>IFERROR(__xludf.DUMMYFUNCTION("""COMPUTED_VALUE""")," Perfect condition")</f>
        <v> Perfect condition</v>
      </c>
      <c r="S963" s="14" t="str">
        <f t="shared" ref="S963:U963" si="1929">trim(B963)</f>
        <v>ord_30944</v>
      </c>
      <c r="T963" s="14" t="str">
        <f t="shared" si="1929"/>
        <v>Mohit Malhotra</v>
      </c>
      <c r="U963" s="14" t="str">
        <f t="shared" si="1929"/>
        <v>Lower Parel</v>
      </c>
      <c r="V963" s="14" t="str">
        <f t="shared" si="4"/>
        <v>Papaya</v>
      </c>
      <c r="W963" s="14">
        <f t="shared" si="5"/>
        <v>1</v>
      </c>
      <c r="X963" s="14" t="str">
        <f t="shared" si="6"/>
        <v>Ramesh S</v>
      </c>
      <c r="Y963" s="15">
        <f t="shared" si="7"/>
        <v>44966</v>
      </c>
      <c r="Z963" s="14" t="str">
        <f t="shared" si="8"/>
        <v>Credit Card</v>
      </c>
      <c r="AA963" s="14" t="str">
        <f t="shared" si="9"/>
        <v>Delivered</v>
      </c>
      <c r="AB963" s="14" t="str">
        <f t="shared" ref="AB963:AC963" si="1930">trim(Q963)</f>
        <v>Quality of Items</v>
      </c>
      <c r="AC963" s="14" t="str">
        <f t="shared" si="1930"/>
        <v>Perfect condition</v>
      </c>
      <c r="AD963" s="8"/>
    </row>
    <row r="964">
      <c r="A964" s="14" t="str">
        <f>IFERROR(__xludf.DUMMYFUNCTION("""COMPUTED_VALUE"""),"//ord_30945//Anaya Rao//Colaba//Onion+2*Ram Gopal/12/16/2023//COD//Delivered*On-time Delivery: Delivered on time")</f>
        <v>//ord_30945//Anaya Rao//Colaba//Onion+2*Ram Gopal/12/16/2023//COD//Delivered*On-time Delivery: Delivered on time</v>
      </c>
      <c r="B964" s="14" t="str">
        <f>IFERROR(__xludf.DUMMYFUNCTION("split(A964,""//"")"),"ord_30945")</f>
        <v>ord_30945</v>
      </c>
      <c r="C964" s="14" t="str">
        <f>IFERROR(__xludf.DUMMYFUNCTION("""COMPUTED_VALUE"""),"Anaya Rao")</f>
        <v>Anaya Rao</v>
      </c>
      <c r="D964" s="14" t="str">
        <f>IFERROR(__xludf.DUMMYFUNCTION("""COMPUTED_VALUE"""),"Colaba")</f>
        <v>Colaba</v>
      </c>
      <c r="E964" s="14" t="str">
        <f>IFERROR(__xludf.DUMMYFUNCTION("""COMPUTED_VALUE"""),"Onion+2*Ram Gopal")</f>
        <v>Onion+2*Ram Gopal</v>
      </c>
      <c r="F964" s="14">
        <f>IFERROR(__xludf.DUMMYFUNCTION("""COMPUTED_VALUE"""),12.0)</f>
        <v>12</v>
      </c>
      <c r="G964" s="14">
        <f>IFERROR(__xludf.DUMMYFUNCTION("""COMPUTED_VALUE"""),16.0)</f>
        <v>16</v>
      </c>
      <c r="H964" s="14">
        <f>IFERROR(__xludf.DUMMYFUNCTION("""COMPUTED_VALUE"""),2023.0)</f>
        <v>2023</v>
      </c>
      <c r="I964" s="14" t="str">
        <f>IFERROR(__xludf.DUMMYFUNCTION("""COMPUTED_VALUE"""),"COD")</f>
        <v>COD</v>
      </c>
      <c r="J964" s="14" t="str">
        <f>IFERROR(__xludf.DUMMYFUNCTION("""COMPUTED_VALUE"""),"Delivered*On-time Delivery: Delivered on time")</f>
        <v>Delivered*On-time Delivery: Delivered on time</v>
      </c>
      <c r="K964" s="14" t="str">
        <f>IFERROR(__xludf.DUMMYFUNCTION("split(E964,""+"")"),"Onion")</f>
        <v>Onion</v>
      </c>
      <c r="L964" s="14" t="str">
        <f>IFERROR(__xludf.DUMMYFUNCTION("""COMPUTED_VALUE"""),"2*Ram Gopal")</f>
        <v>2*Ram Gopal</v>
      </c>
      <c r="M964" s="14">
        <f>IFERROR(__xludf.DUMMYFUNCTION("SPLIT(L964,""*"")"),2.0)</f>
        <v>2</v>
      </c>
      <c r="N964" s="14" t="str">
        <f>IFERROR(__xludf.DUMMYFUNCTION("""COMPUTED_VALUE"""),"Ram Gopal")</f>
        <v>Ram Gopal</v>
      </c>
      <c r="O964" s="14" t="str">
        <f>IFERROR(__xludf.DUMMYFUNCTION("split(J964,""*"")"),"Delivered")</f>
        <v>Delivered</v>
      </c>
      <c r="P964" s="14" t="str">
        <f>IFERROR(__xludf.DUMMYFUNCTION("""COMPUTED_VALUE"""),"On-time Delivery: Delivered on time")</f>
        <v>On-time Delivery: Delivered on time</v>
      </c>
      <c r="Q964" s="14" t="str">
        <f>IFERROR(__xludf.DUMMYFUNCTION("split(P964,"":"")"),"On-time Delivery")</f>
        <v>On-time Delivery</v>
      </c>
      <c r="R964" s="14" t="str">
        <f>IFERROR(__xludf.DUMMYFUNCTION("""COMPUTED_VALUE""")," Delivered on time")</f>
        <v> Delivered on time</v>
      </c>
      <c r="S964" s="14" t="str">
        <f t="shared" ref="S964:U964" si="1931">trim(B964)</f>
        <v>ord_30945</v>
      </c>
      <c r="T964" s="14" t="str">
        <f t="shared" si="1931"/>
        <v>Anaya Rao</v>
      </c>
      <c r="U964" s="14" t="str">
        <f t="shared" si="1931"/>
        <v>Colaba</v>
      </c>
      <c r="V964" s="14" t="str">
        <f t="shared" si="4"/>
        <v>Onion</v>
      </c>
      <c r="W964" s="14">
        <f t="shared" si="5"/>
        <v>2</v>
      </c>
      <c r="X964" s="14" t="str">
        <f t="shared" si="6"/>
        <v>Ram Gopal</v>
      </c>
      <c r="Y964" s="15">
        <f t="shared" si="7"/>
        <v>45276</v>
      </c>
      <c r="Z964" s="14" t="str">
        <f t="shared" si="8"/>
        <v>COD</v>
      </c>
      <c r="AA964" s="14" t="str">
        <f t="shared" si="9"/>
        <v>Delivered</v>
      </c>
      <c r="AB964" s="14" t="str">
        <f t="shared" ref="AB964:AC964" si="1932">trim(Q964)</f>
        <v>On-time Delivery</v>
      </c>
      <c r="AC964" s="14" t="str">
        <f t="shared" si="1932"/>
        <v>Delivered on time</v>
      </c>
      <c r="AD964" s="8"/>
    </row>
    <row r="965">
      <c r="A965" s="14" t="str">
        <f>IFERROR(__xludf.DUMMYFUNCTION("""COMPUTED_VALUE"""),"//ord_30946//Tanishq Bansal//Powai//Popcorn+5*Nithin Lal/3/9/2023//Online Payment//Delivered*Quality of Items: Perfect condition")</f>
        <v>//ord_30946//Tanishq Bansal//Powai//Popcorn+5*Nithin Lal/3/9/2023//Online Payment//Delivered*Quality of Items: Perfect condition</v>
      </c>
      <c r="B965" s="14" t="str">
        <f>IFERROR(__xludf.DUMMYFUNCTION("split(A965,""//"")"),"ord_30946")</f>
        <v>ord_30946</v>
      </c>
      <c r="C965" s="14" t="str">
        <f>IFERROR(__xludf.DUMMYFUNCTION("""COMPUTED_VALUE"""),"Tanishq Bansal")</f>
        <v>Tanishq Bansal</v>
      </c>
      <c r="D965" s="14" t="str">
        <f>IFERROR(__xludf.DUMMYFUNCTION("""COMPUTED_VALUE"""),"Powai")</f>
        <v>Powai</v>
      </c>
      <c r="E965" s="14" t="str">
        <f>IFERROR(__xludf.DUMMYFUNCTION("""COMPUTED_VALUE"""),"Popcorn+5*Nithin Lal")</f>
        <v>Popcorn+5*Nithin Lal</v>
      </c>
      <c r="F965" s="14">
        <f>IFERROR(__xludf.DUMMYFUNCTION("""COMPUTED_VALUE"""),3.0)</f>
        <v>3</v>
      </c>
      <c r="G965" s="14">
        <f>IFERROR(__xludf.DUMMYFUNCTION("""COMPUTED_VALUE"""),9.0)</f>
        <v>9</v>
      </c>
      <c r="H965" s="14">
        <f>IFERROR(__xludf.DUMMYFUNCTION("""COMPUTED_VALUE"""),2023.0)</f>
        <v>2023</v>
      </c>
      <c r="I965" s="14" t="str">
        <f>IFERROR(__xludf.DUMMYFUNCTION("""COMPUTED_VALUE"""),"Online Payment")</f>
        <v>Online Payment</v>
      </c>
      <c r="J965" s="14" t="str">
        <f>IFERROR(__xludf.DUMMYFUNCTION("""COMPUTED_VALUE"""),"Delivered*Quality of Items: Perfect condition")</f>
        <v>Delivered*Quality of Items: Perfect condition</v>
      </c>
      <c r="K965" s="14" t="str">
        <f>IFERROR(__xludf.DUMMYFUNCTION("split(E965,""+"")"),"Popcorn")</f>
        <v>Popcorn</v>
      </c>
      <c r="L965" s="14" t="str">
        <f>IFERROR(__xludf.DUMMYFUNCTION("""COMPUTED_VALUE"""),"5*Nithin Lal")</f>
        <v>5*Nithin Lal</v>
      </c>
      <c r="M965" s="14">
        <f>IFERROR(__xludf.DUMMYFUNCTION("SPLIT(L965,""*"")"),5.0)</f>
        <v>5</v>
      </c>
      <c r="N965" s="14" t="str">
        <f>IFERROR(__xludf.DUMMYFUNCTION("""COMPUTED_VALUE"""),"Nithin Lal")</f>
        <v>Nithin Lal</v>
      </c>
      <c r="O965" s="14" t="str">
        <f>IFERROR(__xludf.DUMMYFUNCTION("split(J965,""*"")"),"Delivered")</f>
        <v>Delivered</v>
      </c>
      <c r="P965" s="14" t="str">
        <f>IFERROR(__xludf.DUMMYFUNCTION("""COMPUTED_VALUE"""),"Quality of Items: Perfect condition")</f>
        <v>Quality of Items: Perfect condition</v>
      </c>
      <c r="Q965" s="14" t="str">
        <f>IFERROR(__xludf.DUMMYFUNCTION("split(P965,"":"")"),"Quality of Items")</f>
        <v>Quality of Items</v>
      </c>
      <c r="R965" s="14" t="str">
        <f>IFERROR(__xludf.DUMMYFUNCTION("""COMPUTED_VALUE""")," Perfect condition")</f>
        <v> Perfect condition</v>
      </c>
      <c r="S965" s="14" t="str">
        <f t="shared" ref="S965:U965" si="1933">trim(B965)</f>
        <v>ord_30946</v>
      </c>
      <c r="T965" s="14" t="str">
        <f t="shared" si="1933"/>
        <v>Tanishq Bansal</v>
      </c>
      <c r="U965" s="14" t="str">
        <f t="shared" si="1933"/>
        <v>Powai</v>
      </c>
      <c r="V965" s="14" t="str">
        <f t="shared" si="4"/>
        <v>Popcorn</v>
      </c>
      <c r="W965" s="14">
        <f t="shared" si="5"/>
        <v>5</v>
      </c>
      <c r="X965" s="14" t="str">
        <f t="shared" si="6"/>
        <v>Nithin Lal</v>
      </c>
      <c r="Y965" s="15">
        <f t="shared" si="7"/>
        <v>44994</v>
      </c>
      <c r="Z965" s="14" t="str">
        <f t="shared" si="8"/>
        <v>Online Payment</v>
      </c>
      <c r="AA965" s="14" t="str">
        <f t="shared" si="9"/>
        <v>Delivered</v>
      </c>
      <c r="AB965" s="14" t="str">
        <f t="shared" ref="AB965:AC965" si="1934">trim(Q965)</f>
        <v>Quality of Items</v>
      </c>
      <c r="AC965" s="14" t="str">
        <f t="shared" si="1934"/>
        <v>Perfect condition</v>
      </c>
      <c r="AD965" s="8"/>
    </row>
    <row r="966">
      <c r="A966" s="14" t="str">
        <f>IFERROR(__xludf.DUMMYFUNCTION("""COMPUTED_VALUE"""),"//ord_30947//Dev Chauhan//Bandra//Popcorn+1*Venu R/8/14/2023//UPI//Delivered*Packaging: Secure and intact")</f>
        <v>//ord_30947//Dev Chauhan//Bandra//Popcorn+1*Venu R/8/14/2023//UPI//Delivered*Packaging: Secure and intact</v>
      </c>
      <c r="B966" s="14" t="str">
        <f>IFERROR(__xludf.DUMMYFUNCTION("split(A966,""//"")"),"ord_30947")</f>
        <v>ord_30947</v>
      </c>
      <c r="C966" s="14" t="str">
        <f>IFERROR(__xludf.DUMMYFUNCTION("""COMPUTED_VALUE"""),"Dev Chauhan")</f>
        <v>Dev Chauhan</v>
      </c>
      <c r="D966" s="14" t="str">
        <f>IFERROR(__xludf.DUMMYFUNCTION("""COMPUTED_VALUE"""),"Bandra")</f>
        <v>Bandra</v>
      </c>
      <c r="E966" s="14" t="str">
        <f>IFERROR(__xludf.DUMMYFUNCTION("""COMPUTED_VALUE"""),"Popcorn+1*Venu R")</f>
        <v>Popcorn+1*Venu R</v>
      </c>
      <c r="F966" s="14">
        <f>IFERROR(__xludf.DUMMYFUNCTION("""COMPUTED_VALUE"""),8.0)</f>
        <v>8</v>
      </c>
      <c r="G966" s="14">
        <f>IFERROR(__xludf.DUMMYFUNCTION("""COMPUTED_VALUE"""),14.0)</f>
        <v>14</v>
      </c>
      <c r="H966" s="14">
        <f>IFERROR(__xludf.DUMMYFUNCTION("""COMPUTED_VALUE"""),2023.0)</f>
        <v>2023</v>
      </c>
      <c r="I966" s="14" t="str">
        <f>IFERROR(__xludf.DUMMYFUNCTION("""COMPUTED_VALUE"""),"UPI")</f>
        <v>UPI</v>
      </c>
      <c r="J966" s="14" t="str">
        <f>IFERROR(__xludf.DUMMYFUNCTION("""COMPUTED_VALUE"""),"Delivered*Packaging: Secure and intact")</f>
        <v>Delivered*Packaging: Secure and intact</v>
      </c>
      <c r="K966" s="14" t="str">
        <f>IFERROR(__xludf.DUMMYFUNCTION("split(E966,""+"")"),"Popcorn")</f>
        <v>Popcorn</v>
      </c>
      <c r="L966" s="14" t="str">
        <f>IFERROR(__xludf.DUMMYFUNCTION("""COMPUTED_VALUE"""),"1*Venu R")</f>
        <v>1*Venu R</v>
      </c>
      <c r="M966" s="14">
        <f>IFERROR(__xludf.DUMMYFUNCTION("SPLIT(L966,""*"")"),1.0)</f>
        <v>1</v>
      </c>
      <c r="N966" s="14" t="str">
        <f>IFERROR(__xludf.DUMMYFUNCTION("""COMPUTED_VALUE"""),"Venu R")</f>
        <v>Venu R</v>
      </c>
      <c r="O966" s="14" t="str">
        <f>IFERROR(__xludf.DUMMYFUNCTION("split(J966,""*"")"),"Delivered")</f>
        <v>Delivered</v>
      </c>
      <c r="P966" s="14" t="str">
        <f>IFERROR(__xludf.DUMMYFUNCTION("""COMPUTED_VALUE"""),"Packaging: Secure and intact")</f>
        <v>Packaging: Secure and intact</v>
      </c>
      <c r="Q966" s="14" t="str">
        <f>IFERROR(__xludf.DUMMYFUNCTION("split(P966,"":"")"),"Packaging")</f>
        <v>Packaging</v>
      </c>
      <c r="R966" s="14" t="str">
        <f>IFERROR(__xludf.DUMMYFUNCTION("""COMPUTED_VALUE""")," Secure and intact")</f>
        <v> Secure and intact</v>
      </c>
      <c r="S966" s="14" t="str">
        <f t="shared" ref="S966:U966" si="1935">trim(B966)</f>
        <v>ord_30947</v>
      </c>
      <c r="T966" s="14" t="str">
        <f t="shared" si="1935"/>
        <v>Dev Chauhan</v>
      </c>
      <c r="U966" s="14" t="str">
        <f t="shared" si="1935"/>
        <v>Bandra</v>
      </c>
      <c r="V966" s="14" t="str">
        <f t="shared" si="4"/>
        <v>Popcorn</v>
      </c>
      <c r="W966" s="14">
        <f t="shared" si="5"/>
        <v>1</v>
      </c>
      <c r="X966" s="14" t="str">
        <f t="shared" si="6"/>
        <v>Venu R</v>
      </c>
      <c r="Y966" s="15">
        <f t="shared" si="7"/>
        <v>45152</v>
      </c>
      <c r="Z966" s="14" t="str">
        <f t="shared" si="8"/>
        <v>UPI</v>
      </c>
      <c r="AA966" s="14" t="str">
        <f t="shared" si="9"/>
        <v>Delivered</v>
      </c>
      <c r="AB966" s="14" t="str">
        <f t="shared" ref="AB966:AC966" si="1936">trim(Q966)</f>
        <v>Packaging</v>
      </c>
      <c r="AC966" s="14" t="str">
        <f t="shared" si="1936"/>
        <v>Secure and intact</v>
      </c>
      <c r="AD966" s="8"/>
    </row>
    <row r="967">
      <c r="A967" s="14" t="str">
        <f>IFERROR(__xludf.DUMMYFUNCTION("""COMPUTED_VALUE"""),"//ord_30948//Pranav Joshi//Andheri//Popcorn+1*Vivek Kumar/7/5/2023//Online Payment//Delivered*Satisfied with the Delivery: Timely and quality")</f>
        <v>//ord_30948//Pranav Joshi//Andheri//Popcorn+1*Vivek Kumar/7/5/2023//Online Payment//Delivered*Satisfied with the Delivery: Timely and quality</v>
      </c>
      <c r="B967" s="14" t="str">
        <f>IFERROR(__xludf.DUMMYFUNCTION("split(A967,""//"")"),"ord_30948")</f>
        <v>ord_30948</v>
      </c>
      <c r="C967" s="14" t="str">
        <f>IFERROR(__xludf.DUMMYFUNCTION("""COMPUTED_VALUE"""),"Pranav Joshi")</f>
        <v>Pranav Joshi</v>
      </c>
      <c r="D967" s="14" t="str">
        <f>IFERROR(__xludf.DUMMYFUNCTION("""COMPUTED_VALUE"""),"Andheri")</f>
        <v>Andheri</v>
      </c>
      <c r="E967" s="14" t="str">
        <f>IFERROR(__xludf.DUMMYFUNCTION("""COMPUTED_VALUE"""),"Popcorn+1*Vivek Kumar")</f>
        <v>Popcorn+1*Vivek Kumar</v>
      </c>
      <c r="F967" s="14">
        <f>IFERROR(__xludf.DUMMYFUNCTION("""COMPUTED_VALUE"""),7.0)</f>
        <v>7</v>
      </c>
      <c r="G967" s="14">
        <f>IFERROR(__xludf.DUMMYFUNCTION("""COMPUTED_VALUE"""),5.0)</f>
        <v>5</v>
      </c>
      <c r="H967" s="14">
        <f>IFERROR(__xludf.DUMMYFUNCTION("""COMPUTED_VALUE"""),2023.0)</f>
        <v>2023</v>
      </c>
      <c r="I967" s="14" t="str">
        <f>IFERROR(__xludf.DUMMYFUNCTION("""COMPUTED_VALUE"""),"Online Payment")</f>
        <v>Online Payment</v>
      </c>
      <c r="J967" s="14" t="str">
        <f>IFERROR(__xludf.DUMMYFUNCTION("""COMPUTED_VALUE"""),"Delivered*Satisfied with the Delivery: Timely and quality")</f>
        <v>Delivered*Satisfied with the Delivery: Timely and quality</v>
      </c>
      <c r="K967" s="14" t="str">
        <f>IFERROR(__xludf.DUMMYFUNCTION("split(E967,""+"")"),"Popcorn")</f>
        <v>Popcorn</v>
      </c>
      <c r="L967" s="14" t="str">
        <f>IFERROR(__xludf.DUMMYFUNCTION("""COMPUTED_VALUE"""),"1*Vivek Kumar")</f>
        <v>1*Vivek Kumar</v>
      </c>
      <c r="M967" s="14">
        <f>IFERROR(__xludf.DUMMYFUNCTION("SPLIT(L967,""*"")"),1.0)</f>
        <v>1</v>
      </c>
      <c r="N967" s="14" t="str">
        <f>IFERROR(__xludf.DUMMYFUNCTION("""COMPUTED_VALUE"""),"Vivek Kumar")</f>
        <v>Vivek Kumar</v>
      </c>
      <c r="O967" s="14" t="str">
        <f>IFERROR(__xludf.DUMMYFUNCTION("split(J967,""*"")"),"Delivered")</f>
        <v>Delivered</v>
      </c>
      <c r="P967" s="14" t="str">
        <f>IFERROR(__xludf.DUMMYFUNCTION("""COMPUTED_VALUE"""),"Satisfied with the Delivery: Timely and quality")</f>
        <v>Satisfied with the Delivery: Timely and quality</v>
      </c>
      <c r="Q967" s="14" t="str">
        <f>IFERROR(__xludf.DUMMYFUNCTION("split(P967,"":"")"),"Satisfied with the Delivery")</f>
        <v>Satisfied with the Delivery</v>
      </c>
      <c r="R967" s="14" t="str">
        <f>IFERROR(__xludf.DUMMYFUNCTION("""COMPUTED_VALUE""")," Timely and quality")</f>
        <v> Timely and quality</v>
      </c>
      <c r="S967" s="14" t="str">
        <f t="shared" ref="S967:U967" si="1937">trim(B967)</f>
        <v>ord_30948</v>
      </c>
      <c r="T967" s="14" t="str">
        <f t="shared" si="1937"/>
        <v>Pranav Joshi</v>
      </c>
      <c r="U967" s="14" t="str">
        <f t="shared" si="1937"/>
        <v>Andheri</v>
      </c>
      <c r="V967" s="14" t="str">
        <f t="shared" si="4"/>
        <v>Popcorn</v>
      </c>
      <c r="W967" s="14">
        <f t="shared" si="5"/>
        <v>1</v>
      </c>
      <c r="X967" s="14" t="str">
        <f t="shared" si="6"/>
        <v>Vivek Kumar</v>
      </c>
      <c r="Y967" s="15">
        <f t="shared" si="7"/>
        <v>45112</v>
      </c>
      <c r="Z967" s="14" t="str">
        <f t="shared" si="8"/>
        <v>Online Payment</v>
      </c>
      <c r="AA967" s="14" t="str">
        <f t="shared" si="9"/>
        <v>Delivered</v>
      </c>
      <c r="AB967" s="14" t="str">
        <f t="shared" ref="AB967:AC967" si="1938">trim(Q967)</f>
        <v>Satisfied with the Delivery</v>
      </c>
      <c r="AC967" s="14" t="str">
        <f t="shared" si="1938"/>
        <v>Timely and quality</v>
      </c>
      <c r="AD967" s="8"/>
    </row>
    <row r="968">
      <c r="A968" s="14" t="str">
        <f>IFERROR(__xludf.DUMMYFUNCTION("""COMPUTED_VALUE"""),"//ord_30949//Parth Goel//Juhu//Icecream+4*Sita T/8/3/2023//UPI//Delivered*Customer Service: Seamless and easy")</f>
        <v>//ord_30949//Parth Goel//Juhu//Icecream+4*Sita T/8/3/2023//UPI//Delivered*Customer Service: Seamless and easy</v>
      </c>
      <c r="B968" s="14" t="str">
        <f>IFERROR(__xludf.DUMMYFUNCTION("split(A968,""//"")"),"ord_30949")</f>
        <v>ord_30949</v>
      </c>
      <c r="C968" s="14" t="str">
        <f>IFERROR(__xludf.DUMMYFUNCTION("""COMPUTED_VALUE"""),"Parth Goel")</f>
        <v>Parth Goel</v>
      </c>
      <c r="D968" s="14" t="str">
        <f>IFERROR(__xludf.DUMMYFUNCTION("""COMPUTED_VALUE"""),"Juhu")</f>
        <v>Juhu</v>
      </c>
      <c r="E968" s="14" t="str">
        <f>IFERROR(__xludf.DUMMYFUNCTION("""COMPUTED_VALUE"""),"Icecream+4*Sita T")</f>
        <v>Icecream+4*Sita T</v>
      </c>
      <c r="F968" s="14">
        <f>IFERROR(__xludf.DUMMYFUNCTION("""COMPUTED_VALUE"""),8.0)</f>
        <v>8</v>
      </c>
      <c r="G968" s="14">
        <f>IFERROR(__xludf.DUMMYFUNCTION("""COMPUTED_VALUE"""),3.0)</f>
        <v>3</v>
      </c>
      <c r="H968" s="14">
        <f>IFERROR(__xludf.DUMMYFUNCTION("""COMPUTED_VALUE"""),2023.0)</f>
        <v>2023</v>
      </c>
      <c r="I968" s="14" t="str">
        <f>IFERROR(__xludf.DUMMYFUNCTION("""COMPUTED_VALUE"""),"UPI")</f>
        <v>UPI</v>
      </c>
      <c r="J968" s="14" t="str">
        <f>IFERROR(__xludf.DUMMYFUNCTION("""COMPUTED_VALUE"""),"Delivered*Customer Service: Seamless and easy")</f>
        <v>Delivered*Customer Service: Seamless and easy</v>
      </c>
      <c r="K968" s="14" t="str">
        <f>IFERROR(__xludf.DUMMYFUNCTION("split(E968,""+"")"),"Icecream")</f>
        <v>Icecream</v>
      </c>
      <c r="L968" s="14" t="str">
        <f>IFERROR(__xludf.DUMMYFUNCTION("""COMPUTED_VALUE"""),"4*Sita T")</f>
        <v>4*Sita T</v>
      </c>
      <c r="M968" s="14">
        <f>IFERROR(__xludf.DUMMYFUNCTION("SPLIT(L968,""*"")"),4.0)</f>
        <v>4</v>
      </c>
      <c r="N968" s="14" t="str">
        <f>IFERROR(__xludf.DUMMYFUNCTION("""COMPUTED_VALUE"""),"Sita T")</f>
        <v>Sita T</v>
      </c>
      <c r="O968" s="14" t="str">
        <f>IFERROR(__xludf.DUMMYFUNCTION("split(J968,""*"")"),"Delivered")</f>
        <v>Delivered</v>
      </c>
      <c r="P968" s="14" t="str">
        <f>IFERROR(__xludf.DUMMYFUNCTION("""COMPUTED_VALUE"""),"Customer Service: Seamless and easy")</f>
        <v>Customer Service: Seamless and easy</v>
      </c>
      <c r="Q968" s="14" t="str">
        <f>IFERROR(__xludf.DUMMYFUNCTION("split(P968,"":"")"),"Customer Service")</f>
        <v>Customer Service</v>
      </c>
      <c r="R968" s="14" t="str">
        <f>IFERROR(__xludf.DUMMYFUNCTION("""COMPUTED_VALUE""")," Seamless and easy")</f>
        <v> Seamless and easy</v>
      </c>
      <c r="S968" s="14" t="str">
        <f t="shared" ref="S968:U968" si="1939">trim(B968)</f>
        <v>ord_30949</v>
      </c>
      <c r="T968" s="14" t="str">
        <f t="shared" si="1939"/>
        <v>Parth Goel</v>
      </c>
      <c r="U968" s="14" t="str">
        <f t="shared" si="1939"/>
        <v>Juhu</v>
      </c>
      <c r="V968" s="14" t="str">
        <f t="shared" si="4"/>
        <v>Icecream</v>
      </c>
      <c r="W968" s="14">
        <f t="shared" si="5"/>
        <v>4</v>
      </c>
      <c r="X968" s="14" t="str">
        <f t="shared" si="6"/>
        <v>Sita T</v>
      </c>
      <c r="Y968" s="15">
        <f t="shared" si="7"/>
        <v>45141</v>
      </c>
      <c r="Z968" s="14" t="str">
        <f t="shared" si="8"/>
        <v>UPI</v>
      </c>
      <c r="AA968" s="14" t="str">
        <f t="shared" si="9"/>
        <v>Delivered</v>
      </c>
      <c r="AB968" s="14" t="str">
        <f t="shared" ref="AB968:AC968" si="1940">trim(Q968)</f>
        <v>Customer Service</v>
      </c>
      <c r="AC968" s="14" t="str">
        <f t="shared" si="1940"/>
        <v>Seamless and easy</v>
      </c>
      <c r="AD968" s="8"/>
    </row>
    <row r="969">
      <c r="A969" s="14" t="str">
        <f>IFERROR(__xludf.DUMMYFUNCTION("""COMPUTED_VALUE"""),"//ord_30950//Kritika Shetty//Malad//Banana+2*Ramesh S/6/2/2023//UPI//Delivered*Delivery Experience: Quick and professional")</f>
        <v>//ord_30950//Kritika Shetty//Malad//Banana+2*Ramesh S/6/2/2023//UPI//Delivered*Delivery Experience: Quick and professional</v>
      </c>
      <c r="B969" s="14" t="str">
        <f>IFERROR(__xludf.DUMMYFUNCTION("split(A969,""//"")"),"ord_30950")</f>
        <v>ord_30950</v>
      </c>
      <c r="C969" s="14" t="str">
        <f>IFERROR(__xludf.DUMMYFUNCTION("""COMPUTED_VALUE"""),"Kritika Shetty")</f>
        <v>Kritika Shetty</v>
      </c>
      <c r="D969" s="14" t="str">
        <f>IFERROR(__xludf.DUMMYFUNCTION("""COMPUTED_VALUE"""),"Malad")</f>
        <v>Malad</v>
      </c>
      <c r="E969" s="14" t="str">
        <f>IFERROR(__xludf.DUMMYFUNCTION("""COMPUTED_VALUE"""),"Banana+2*Ramesh S")</f>
        <v>Banana+2*Ramesh S</v>
      </c>
      <c r="F969" s="14">
        <f>IFERROR(__xludf.DUMMYFUNCTION("""COMPUTED_VALUE"""),6.0)</f>
        <v>6</v>
      </c>
      <c r="G969" s="14">
        <f>IFERROR(__xludf.DUMMYFUNCTION("""COMPUTED_VALUE"""),2.0)</f>
        <v>2</v>
      </c>
      <c r="H969" s="14">
        <f>IFERROR(__xludf.DUMMYFUNCTION("""COMPUTED_VALUE"""),2023.0)</f>
        <v>2023</v>
      </c>
      <c r="I969" s="14" t="str">
        <f>IFERROR(__xludf.DUMMYFUNCTION("""COMPUTED_VALUE"""),"UPI")</f>
        <v>UPI</v>
      </c>
      <c r="J969" s="14" t="str">
        <f>IFERROR(__xludf.DUMMYFUNCTION("""COMPUTED_VALUE"""),"Delivered*Delivery Experience: Quick and professional")</f>
        <v>Delivered*Delivery Experience: Quick and professional</v>
      </c>
      <c r="K969" s="14" t="str">
        <f>IFERROR(__xludf.DUMMYFUNCTION("split(E969,""+"")"),"Banana")</f>
        <v>Banana</v>
      </c>
      <c r="L969" s="14" t="str">
        <f>IFERROR(__xludf.DUMMYFUNCTION("""COMPUTED_VALUE"""),"2*Ramesh S")</f>
        <v>2*Ramesh S</v>
      </c>
      <c r="M969" s="14">
        <f>IFERROR(__xludf.DUMMYFUNCTION("SPLIT(L969,""*"")"),2.0)</f>
        <v>2</v>
      </c>
      <c r="N969" s="14" t="str">
        <f>IFERROR(__xludf.DUMMYFUNCTION("""COMPUTED_VALUE"""),"Ramesh S")</f>
        <v>Ramesh S</v>
      </c>
      <c r="O969" s="14" t="str">
        <f>IFERROR(__xludf.DUMMYFUNCTION("split(J969,""*"")"),"Delivered")</f>
        <v>Delivered</v>
      </c>
      <c r="P969" s="14" t="str">
        <f>IFERROR(__xludf.DUMMYFUNCTION("""COMPUTED_VALUE"""),"Delivery Experience: Quick and professional")</f>
        <v>Delivery Experience: Quick and professional</v>
      </c>
      <c r="Q969" s="14" t="str">
        <f>IFERROR(__xludf.DUMMYFUNCTION("split(P969,"":"")"),"Delivery Experience")</f>
        <v>Delivery Experience</v>
      </c>
      <c r="R969" s="14" t="str">
        <f>IFERROR(__xludf.DUMMYFUNCTION("""COMPUTED_VALUE""")," Quick and professional")</f>
        <v> Quick and professional</v>
      </c>
      <c r="S969" s="14" t="str">
        <f t="shared" ref="S969:U969" si="1941">trim(B969)</f>
        <v>ord_30950</v>
      </c>
      <c r="T969" s="14" t="str">
        <f t="shared" si="1941"/>
        <v>Kritika Shetty</v>
      </c>
      <c r="U969" s="14" t="str">
        <f t="shared" si="1941"/>
        <v>Malad</v>
      </c>
      <c r="V969" s="14" t="str">
        <f t="shared" si="4"/>
        <v>Banana</v>
      </c>
      <c r="W969" s="14">
        <f t="shared" si="5"/>
        <v>2</v>
      </c>
      <c r="X969" s="14" t="str">
        <f t="shared" si="6"/>
        <v>Ramesh S</v>
      </c>
      <c r="Y969" s="15">
        <f t="shared" si="7"/>
        <v>45079</v>
      </c>
      <c r="Z969" s="14" t="str">
        <f t="shared" si="8"/>
        <v>UPI</v>
      </c>
      <c r="AA969" s="14" t="str">
        <f t="shared" si="9"/>
        <v>Delivered</v>
      </c>
      <c r="AB969" s="14" t="str">
        <f t="shared" ref="AB969:AC969" si="1942">trim(Q969)</f>
        <v>Delivery Experience</v>
      </c>
      <c r="AC969" s="14" t="str">
        <f t="shared" si="1942"/>
        <v>Quick and professional</v>
      </c>
      <c r="AD969" s="8"/>
    </row>
    <row r="970">
      <c r="A970" s="14" t="str">
        <f>IFERROR(__xludf.DUMMYFUNCTION("""COMPUTED_VALUE"""),"//ord_30951//Aarohi Kapoor//Bandra//Popcorn+3*Shine Thomas/6/10/2023//Credit Card//Delivered*Convenience: Easy tracking")</f>
        <v>//ord_30951//Aarohi Kapoor//Bandra//Popcorn+3*Shine Thomas/6/10/2023//Credit Card//Delivered*Convenience: Easy tracking</v>
      </c>
      <c r="B970" s="14" t="str">
        <f>IFERROR(__xludf.DUMMYFUNCTION("split(A970,""//"")"),"ord_30951")</f>
        <v>ord_30951</v>
      </c>
      <c r="C970" s="14" t="str">
        <f>IFERROR(__xludf.DUMMYFUNCTION("""COMPUTED_VALUE"""),"Aarohi Kapoor")</f>
        <v>Aarohi Kapoor</v>
      </c>
      <c r="D970" s="14" t="str">
        <f>IFERROR(__xludf.DUMMYFUNCTION("""COMPUTED_VALUE"""),"Bandra")</f>
        <v>Bandra</v>
      </c>
      <c r="E970" s="14" t="str">
        <f>IFERROR(__xludf.DUMMYFUNCTION("""COMPUTED_VALUE"""),"Popcorn+3*Shine Thomas")</f>
        <v>Popcorn+3*Shine Thomas</v>
      </c>
      <c r="F970" s="14">
        <f>IFERROR(__xludf.DUMMYFUNCTION("""COMPUTED_VALUE"""),6.0)</f>
        <v>6</v>
      </c>
      <c r="G970" s="14">
        <f>IFERROR(__xludf.DUMMYFUNCTION("""COMPUTED_VALUE"""),10.0)</f>
        <v>10</v>
      </c>
      <c r="H970" s="14">
        <f>IFERROR(__xludf.DUMMYFUNCTION("""COMPUTED_VALUE"""),2023.0)</f>
        <v>2023</v>
      </c>
      <c r="I970" s="14" t="str">
        <f>IFERROR(__xludf.DUMMYFUNCTION("""COMPUTED_VALUE"""),"Credit Card")</f>
        <v>Credit Card</v>
      </c>
      <c r="J970" s="14" t="str">
        <f>IFERROR(__xludf.DUMMYFUNCTION("""COMPUTED_VALUE"""),"Delivered*Convenience: Easy tracking")</f>
        <v>Delivered*Convenience: Easy tracking</v>
      </c>
      <c r="K970" s="14" t="str">
        <f>IFERROR(__xludf.DUMMYFUNCTION("split(E970,""+"")"),"Popcorn")</f>
        <v>Popcorn</v>
      </c>
      <c r="L970" s="14" t="str">
        <f>IFERROR(__xludf.DUMMYFUNCTION("""COMPUTED_VALUE"""),"3*Shine Thomas")</f>
        <v>3*Shine Thomas</v>
      </c>
      <c r="M970" s="14">
        <f>IFERROR(__xludf.DUMMYFUNCTION("SPLIT(L970,""*"")"),3.0)</f>
        <v>3</v>
      </c>
      <c r="N970" s="14" t="str">
        <f>IFERROR(__xludf.DUMMYFUNCTION("""COMPUTED_VALUE"""),"Shine Thomas")</f>
        <v>Shine Thomas</v>
      </c>
      <c r="O970" s="14" t="str">
        <f>IFERROR(__xludf.DUMMYFUNCTION("split(J970,""*"")"),"Delivered")</f>
        <v>Delivered</v>
      </c>
      <c r="P970" s="14" t="str">
        <f>IFERROR(__xludf.DUMMYFUNCTION("""COMPUTED_VALUE"""),"Convenience: Easy tracking")</f>
        <v>Convenience: Easy tracking</v>
      </c>
      <c r="Q970" s="14" t="str">
        <f>IFERROR(__xludf.DUMMYFUNCTION("split(P970,"":"")"),"Convenience")</f>
        <v>Convenience</v>
      </c>
      <c r="R970" s="14" t="str">
        <f>IFERROR(__xludf.DUMMYFUNCTION("""COMPUTED_VALUE""")," Easy tracking")</f>
        <v> Easy tracking</v>
      </c>
      <c r="S970" s="14" t="str">
        <f t="shared" ref="S970:U970" si="1943">trim(B970)</f>
        <v>ord_30951</v>
      </c>
      <c r="T970" s="14" t="str">
        <f t="shared" si="1943"/>
        <v>Aarohi Kapoor</v>
      </c>
      <c r="U970" s="14" t="str">
        <f t="shared" si="1943"/>
        <v>Bandra</v>
      </c>
      <c r="V970" s="14" t="str">
        <f t="shared" si="4"/>
        <v>Popcorn</v>
      </c>
      <c r="W970" s="14">
        <f t="shared" si="5"/>
        <v>3</v>
      </c>
      <c r="X970" s="14" t="str">
        <f t="shared" si="6"/>
        <v>Shine Thomas</v>
      </c>
      <c r="Y970" s="15">
        <f t="shared" si="7"/>
        <v>45087</v>
      </c>
      <c r="Z970" s="14" t="str">
        <f t="shared" si="8"/>
        <v>Credit Card</v>
      </c>
      <c r="AA970" s="14" t="str">
        <f t="shared" si="9"/>
        <v>Delivered</v>
      </c>
      <c r="AB970" s="14" t="str">
        <f t="shared" ref="AB970:AC970" si="1944">trim(Q970)</f>
        <v>Convenience</v>
      </c>
      <c r="AC970" s="14" t="str">
        <f t="shared" si="1944"/>
        <v>Easy tracking</v>
      </c>
      <c r="AD970" s="8"/>
    </row>
    <row r="971">
      <c r="A971" s="14" t="str">
        <f>IFERROR(__xludf.DUMMYFUNCTION("""COMPUTED_VALUE"""),"//ord_30952//Mehul Thakkar//Malad//Papaya+2*Not Assigned/9/20/2023//Credit Card//Cancelled*App Glitches: Inconsistent Data Display")</f>
        <v>//ord_30952//Mehul Thakkar//Malad//Papaya+2*Not Assigned/9/20/2023//Credit Card//Cancelled*App Glitches: Inconsistent Data Display</v>
      </c>
      <c r="B971" s="14" t="str">
        <f>IFERROR(__xludf.DUMMYFUNCTION("split(A971,""//"")"),"ord_30952")</f>
        <v>ord_30952</v>
      </c>
      <c r="C971" s="14" t="str">
        <f>IFERROR(__xludf.DUMMYFUNCTION("""COMPUTED_VALUE"""),"Mehul Thakkar")</f>
        <v>Mehul Thakkar</v>
      </c>
      <c r="D971" s="14" t="str">
        <f>IFERROR(__xludf.DUMMYFUNCTION("""COMPUTED_VALUE"""),"Malad")</f>
        <v>Malad</v>
      </c>
      <c r="E971" s="14" t="str">
        <f>IFERROR(__xludf.DUMMYFUNCTION("""COMPUTED_VALUE"""),"Papaya+2*Not Assigned")</f>
        <v>Papaya+2*Not Assigned</v>
      </c>
      <c r="F971" s="14">
        <f>IFERROR(__xludf.DUMMYFUNCTION("""COMPUTED_VALUE"""),9.0)</f>
        <v>9</v>
      </c>
      <c r="G971" s="14">
        <f>IFERROR(__xludf.DUMMYFUNCTION("""COMPUTED_VALUE"""),20.0)</f>
        <v>20</v>
      </c>
      <c r="H971" s="14">
        <f>IFERROR(__xludf.DUMMYFUNCTION("""COMPUTED_VALUE"""),2023.0)</f>
        <v>2023</v>
      </c>
      <c r="I971" s="14" t="str">
        <f>IFERROR(__xludf.DUMMYFUNCTION("""COMPUTED_VALUE"""),"Credit Card")</f>
        <v>Credit Card</v>
      </c>
      <c r="J971" s="14" t="str">
        <f>IFERROR(__xludf.DUMMYFUNCTION("""COMPUTED_VALUE"""),"Cancelled*App Glitches: Inconsistent Data Display")</f>
        <v>Cancelled*App Glitches: Inconsistent Data Display</v>
      </c>
      <c r="K971" s="14" t="str">
        <f>IFERROR(__xludf.DUMMYFUNCTION("split(E971,""+"")"),"Papaya")</f>
        <v>Papaya</v>
      </c>
      <c r="L971" s="14" t="str">
        <f>IFERROR(__xludf.DUMMYFUNCTION("""COMPUTED_VALUE"""),"2*Not Assigned")</f>
        <v>2*Not Assigned</v>
      </c>
      <c r="M971" s="14">
        <f>IFERROR(__xludf.DUMMYFUNCTION("SPLIT(L971,""*"")"),2.0)</f>
        <v>2</v>
      </c>
      <c r="N971" s="14" t="str">
        <f>IFERROR(__xludf.DUMMYFUNCTION("""COMPUTED_VALUE"""),"Not Assigned")</f>
        <v>Not Assigned</v>
      </c>
      <c r="O971" s="14" t="str">
        <f>IFERROR(__xludf.DUMMYFUNCTION("split(J971,""*"")"),"Cancelled")</f>
        <v>Cancelled</v>
      </c>
      <c r="P971" s="14" t="str">
        <f>IFERROR(__xludf.DUMMYFUNCTION("""COMPUTED_VALUE"""),"App Glitches: Inconsistent Data Display")</f>
        <v>App Glitches: Inconsistent Data Display</v>
      </c>
      <c r="Q971" s="14" t="str">
        <f>IFERROR(__xludf.DUMMYFUNCTION("split(P971,"":"")"),"App Glitches")</f>
        <v>App Glitches</v>
      </c>
      <c r="R971" s="14" t="str">
        <f>IFERROR(__xludf.DUMMYFUNCTION("""COMPUTED_VALUE""")," Inconsistent Data Display")</f>
        <v> Inconsistent Data Display</v>
      </c>
      <c r="S971" s="14" t="str">
        <f t="shared" ref="S971:U971" si="1945">trim(B971)</f>
        <v>ord_30952</v>
      </c>
      <c r="T971" s="14" t="str">
        <f t="shared" si="1945"/>
        <v>Mehul Thakkar</v>
      </c>
      <c r="U971" s="14" t="str">
        <f t="shared" si="1945"/>
        <v>Malad</v>
      </c>
      <c r="V971" s="14" t="str">
        <f t="shared" si="4"/>
        <v>Papaya</v>
      </c>
      <c r="W971" s="14">
        <f t="shared" si="5"/>
        <v>2</v>
      </c>
      <c r="X971" s="14" t="str">
        <f t="shared" si="6"/>
        <v>Not Assigned</v>
      </c>
      <c r="Y971" s="15">
        <f t="shared" si="7"/>
        <v>45189</v>
      </c>
      <c r="Z971" s="14" t="str">
        <f t="shared" si="8"/>
        <v>Credit Card</v>
      </c>
      <c r="AA971" s="14" t="str">
        <f t="shared" si="9"/>
        <v>Cancelled</v>
      </c>
      <c r="AB971" s="14" t="str">
        <f t="shared" ref="AB971:AC971" si="1946">trim(Q971)</f>
        <v>App Glitches</v>
      </c>
      <c r="AC971" s="14" t="str">
        <f t="shared" si="1946"/>
        <v>Inconsistent Data Display</v>
      </c>
      <c r="AD971" s="8"/>
    </row>
    <row r="972">
      <c r="A972" s="14" t="str">
        <f>IFERROR(__xludf.DUMMYFUNCTION("""COMPUTED_VALUE"""),"//ord_30953//Ishaan Chaturvedi//Bandra//Icecream+4*Shine Thomas/3/12/2023//UPI//Delivered*Overall Satisfaction: Great service will order again")</f>
        <v>//ord_30953//Ishaan Chaturvedi//Bandra//Icecream+4*Shine Thomas/3/12/2023//UPI//Delivered*Overall Satisfaction: Great service will order again</v>
      </c>
      <c r="B972" s="14" t="str">
        <f>IFERROR(__xludf.DUMMYFUNCTION("split(A972,""//"")"),"ord_30953")</f>
        <v>ord_30953</v>
      </c>
      <c r="C972" s="14" t="str">
        <f>IFERROR(__xludf.DUMMYFUNCTION("""COMPUTED_VALUE"""),"Ishaan Chaturvedi")</f>
        <v>Ishaan Chaturvedi</v>
      </c>
      <c r="D972" s="14" t="str">
        <f>IFERROR(__xludf.DUMMYFUNCTION("""COMPUTED_VALUE"""),"Bandra")</f>
        <v>Bandra</v>
      </c>
      <c r="E972" s="14" t="str">
        <f>IFERROR(__xludf.DUMMYFUNCTION("""COMPUTED_VALUE"""),"Icecream+4*Shine Thomas")</f>
        <v>Icecream+4*Shine Thomas</v>
      </c>
      <c r="F972" s="14">
        <f>IFERROR(__xludf.DUMMYFUNCTION("""COMPUTED_VALUE"""),3.0)</f>
        <v>3</v>
      </c>
      <c r="G972" s="14">
        <f>IFERROR(__xludf.DUMMYFUNCTION("""COMPUTED_VALUE"""),12.0)</f>
        <v>12</v>
      </c>
      <c r="H972" s="14">
        <f>IFERROR(__xludf.DUMMYFUNCTION("""COMPUTED_VALUE"""),2023.0)</f>
        <v>2023</v>
      </c>
      <c r="I972" s="14" t="str">
        <f>IFERROR(__xludf.DUMMYFUNCTION("""COMPUTED_VALUE"""),"UPI")</f>
        <v>UPI</v>
      </c>
      <c r="J972" s="14" t="str">
        <f>IFERROR(__xludf.DUMMYFUNCTION("""COMPUTED_VALUE"""),"Delivered*Overall Satisfaction: Great service will order again")</f>
        <v>Delivered*Overall Satisfaction: Great service will order again</v>
      </c>
      <c r="K972" s="14" t="str">
        <f>IFERROR(__xludf.DUMMYFUNCTION("split(E972,""+"")"),"Icecream")</f>
        <v>Icecream</v>
      </c>
      <c r="L972" s="14" t="str">
        <f>IFERROR(__xludf.DUMMYFUNCTION("""COMPUTED_VALUE"""),"4*Shine Thomas")</f>
        <v>4*Shine Thomas</v>
      </c>
      <c r="M972" s="14">
        <f>IFERROR(__xludf.DUMMYFUNCTION("SPLIT(L972,""*"")"),4.0)</f>
        <v>4</v>
      </c>
      <c r="N972" s="14" t="str">
        <f>IFERROR(__xludf.DUMMYFUNCTION("""COMPUTED_VALUE"""),"Shine Thomas")</f>
        <v>Shine Thomas</v>
      </c>
      <c r="O972" s="14" t="str">
        <f>IFERROR(__xludf.DUMMYFUNCTION("split(J972,""*"")"),"Delivered")</f>
        <v>Delivered</v>
      </c>
      <c r="P972" s="14" t="str">
        <f>IFERROR(__xludf.DUMMYFUNCTION("""COMPUTED_VALUE"""),"Overall Satisfaction: Great service will order again")</f>
        <v>Overall Satisfaction: Great service will order again</v>
      </c>
      <c r="Q972" s="14" t="str">
        <f>IFERROR(__xludf.DUMMYFUNCTION("split(P972,"":"")"),"Overall Satisfaction")</f>
        <v>Overall Satisfaction</v>
      </c>
      <c r="R972" s="14" t="str">
        <f>IFERROR(__xludf.DUMMYFUNCTION("""COMPUTED_VALUE""")," Great service will order again")</f>
        <v> Great service will order again</v>
      </c>
      <c r="S972" s="14" t="str">
        <f t="shared" ref="S972:U972" si="1947">trim(B972)</f>
        <v>ord_30953</v>
      </c>
      <c r="T972" s="14" t="str">
        <f t="shared" si="1947"/>
        <v>Ishaan Chaturvedi</v>
      </c>
      <c r="U972" s="14" t="str">
        <f t="shared" si="1947"/>
        <v>Bandra</v>
      </c>
      <c r="V972" s="14" t="str">
        <f t="shared" si="4"/>
        <v>Icecream</v>
      </c>
      <c r="W972" s="14">
        <f t="shared" si="5"/>
        <v>4</v>
      </c>
      <c r="X972" s="14" t="str">
        <f t="shared" si="6"/>
        <v>Shine Thomas</v>
      </c>
      <c r="Y972" s="15">
        <f t="shared" si="7"/>
        <v>44997</v>
      </c>
      <c r="Z972" s="14" t="str">
        <f t="shared" si="8"/>
        <v>UPI</v>
      </c>
      <c r="AA972" s="14" t="str">
        <f t="shared" si="9"/>
        <v>Delivered</v>
      </c>
      <c r="AB972" s="14" t="str">
        <f t="shared" ref="AB972:AC972" si="1948">trim(Q972)</f>
        <v>Overall Satisfaction</v>
      </c>
      <c r="AC972" s="14" t="str">
        <f t="shared" si="1948"/>
        <v>Great service will order again</v>
      </c>
      <c r="AD972" s="8"/>
    </row>
    <row r="973">
      <c r="A973" s="14" t="str">
        <f>IFERROR(__xludf.DUMMYFUNCTION("""COMPUTED_VALUE"""),"//ord_30954//Pallavi Ghosh//Bandra//Chicken Puff+3*Vivek Kumar/10/25/2023//Online Payment//Delivered*On-time Delivery: Delivered on time")</f>
        <v>//ord_30954//Pallavi Ghosh//Bandra//Chicken Puff+3*Vivek Kumar/10/25/2023//Online Payment//Delivered*On-time Delivery: Delivered on time</v>
      </c>
      <c r="B973" s="14" t="str">
        <f>IFERROR(__xludf.DUMMYFUNCTION("split(A973,""//"")"),"ord_30954")</f>
        <v>ord_30954</v>
      </c>
      <c r="C973" s="14" t="str">
        <f>IFERROR(__xludf.DUMMYFUNCTION("""COMPUTED_VALUE"""),"Pallavi Ghosh")</f>
        <v>Pallavi Ghosh</v>
      </c>
      <c r="D973" s="14" t="str">
        <f>IFERROR(__xludf.DUMMYFUNCTION("""COMPUTED_VALUE"""),"Bandra")</f>
        <v>Bandra</v>
      </c>
      <c r="E973" s="14" t="str">
        <f>IFERROR(__xludf.DUMMYFUNCTION("""COMPUTED_VALUE"""),"Chicken Puff+3*Vivek Kumar")</f>
        <v>Chicken Puff+3*Vivek Kumar</v>
      </c>
      <c r="F973" s="14">
        <f>IFERROR(__xludf.DUMMYFUNCTION("""COMPUTED_VALUE"""),10.0)</f>
        <v>10</v>
      </c>
      <c r="G973" s="14">
        <f>IFERROR(__xludf.DUMMYFUNCTION("""COMPUTED_VALUE"""),25.0)</f>
        <v>25</v>
      </c>
      <c r="H973" s="14">
        <f>IFERROR(__xludf.DUMMYFUNCTION("""COMPUTED_VALUE"""),2023.0)</f>
        <v>2023</v>
      </c>
      <c r="I973" s="14" t="str">
        <f>IFERROR(__xludf.DUMMYFUNCTION("""COMPUTED_VALUE"""),"Online Payment")</f>
        <v>Online Payment</v>
      </c>
      <c r="J973" s="14" t="str">
        <f>IFERROR(__xludf.DUMMYFUNCTION("""COMPUTED_VALUE"""),"Delivered*On-time Delivery: Delivered on time")</f>
        <v>Delivered*On-time Delivery: Delivered on time</v>
      </c>
      <c r="K973" s="14" t="str">
        <f>IFERROR(__xludf.DUMMYFUNCTION("split(E973,""+"")"),"Chicken Puff")</f>
        <v>Chicken Puff</v>
      </c>
      <c r="L973" s="14" t="str">
        <f>IFERROR(__xludf.DUMMYFUNCTION("""COMPUTED_VALUE"""),"3*Vivek Kumar")</f>
        <v>3*Vivek Kumar</v>
      </c>
      <c r="M973" s="14">
        <f>IFERROR(__xludf.DUMMYFUNCTION("SPLIT(L973,""*"")"),3.0)</f>
        <v>3</v>
      </c>
      <c r="N973" s="14" t="str">
        <f>IFERROR(__xludf.DUMMYFUNCTION("""COMPUTED_VALUE"""),"Vivek Kumar")</f>
        <v>Vivek Kumar</v>
      </c>
      <c r="O973" s="14" t="str">
        <f>IFERROR(__xludf.DUMMYFUNCTION("split(J973,""*"")"),"Delivered")</f>
        <v>Delivered</v>
      </c>
      <c r="P973" s="14" t="str">
        <f>IFERROR(__xludf.DUMMYFUNCTION("""COMPUTED_VALUE"""),"On-time Delivery: Delivered on time")</f>
        <v>On-time Delivery: Delivered on time</v>
      </c>
      <c r="Q973" s="14" t="str">
        <f>IFERROR(__xludf.DUMMYFUNCTION("split(P973,"":"")"),"On-time Delivery")</f>
        <v>On-time Delivery</v>
      </c>
      <c r="R973" s="14" t="str">
        <f>IFERROR(__xludf.DUMMYFUNCTION("""COMPUTED_VALUE""")," Delivered on time")</f>
        <v> Delivered on time</v>
      </c>
      <c r="S973" s="14" t="str">
        <f t="shared" ref="S973:U973" si="1949">trim(B973)</f>
        <v>ord_30954</v>
      </c>
      <c r="T973" s="14" t="str">
        <f t="shared" si="1949"/>
        <v>Pallavi Ghosh</v>
      </c>
      <c r="U973" s="14" t="str">
        <f t="shared" si="1949"/>
        <v>Bandra</v>
      </c>
      <c r="V973" s="14" t="str">
        <f t="shared" si="4"/>
        <v>Chicken Puff</v>
      </c>
      <c r="W973" s="14">
        <f t="shared" si="5"/>
        <v>3</v>
      </c>
      <c r="X973" s="14" t="str">
        <f t="shared" si="6"/>
        <v>Vivek Kumar</v>
      </c>
      <c r="Y973" s="15">
        <f t="shared" si="7"/>
        <v>45224</v>
      </c>
      <c r="Z973" s="14" t="str">
        <f t="shared" si="8"/>
        <v>Online Payment</v>
      </c>
      <c r="AA973" s="14" t="str">
        <f t="shared" si="9"/>
        <v>Delivered</v>
      </c>
      <c r="AB973" s="14" t="str">
        <f t="shared" ref="AB973:AC973" si="1950">trim(Q973)</f>
        <v>On-time Delivery</v>
      </c>
      <c r="AC973" s="14" t="str">
        <f t="shared" si="1950"/>
        <v>Delivered on time</v>
      </c>
      <c r="AD973" s="8"/>
    </row>
    <row r="974">
      <c r="A974" s="14" t="str">
        <f>IFERROR(__xludf.DUMMYFUNCTION("""COMPUTED_VALUE"""),"//ord_30955//Mohit Malhotra//Lower Parel//Juice+1*Vivek Kumar/1/11/2023//UPI//Delivered*Quality of Items: Perfect condition")</f>
        <v>//ord_30955//Mohit Malhotra//Lower Parel//Juice+1*Vivek Kumar/1/11/2023//UPI//Delivered*Quality of Items: Perfect condition</v>
      </c>
      <c r="B974" s="14" t="str">
        <f>IFERROR(__xludf.DUMMYFUNCTION("split(A974,""//"")"),"ord_30955")</f>
        <v>ord_30955</v>
      </c>
      <c r="C974" s="14" t="str">
        <f>IFERROR(__xludf.DUMMYFUNCTION("""COMPUTED_VALUE"""),"Mohit Malhotra")</f>
        <v>Mohit Malhotra</v>
      </c>
      <c r="D974" s="14" t="str">
        <f>IFERROR(__xludf.DUMMYFUNCTION("""COMPUTED_VALUE"""),"Lower Parel")</f>
        <v>Lower Parel</v>
      </c>
      <c r="E974" s="14" t="str">
        <f>IFERROR(__xludf.DUMMYFUNCTION("""COMPUTED_VALUE"""),"Juice+1*Vivek Kumar")</f>
        <v>Juice+1*Vivek Kumar</v>
      </c>
      <c r="F974" s="14">
        <f>IFERROR(__xludf.DUMMYFUNCTION("""COMPUTED_VALUE"""),1.0)</f>
        <v>1</v>
      </c>
      <c r="G974" s="14">
        <f>IFERROR(__xludf.DUMMYFUNCTION("""COMPUTED_VALUE"""),11.0)</f>
        <v>11</v>
      </c>
      <c r="H974" s="14">
        <f>IFERROR(__xludf.DUMMYFUNCTION("""COMPUTED_VALUE"""),2023.0)</f>
        <v>2023</v>
      </c>
      <c r="I974" s="14" t="str">
        <f>IFERROR(__xludf.DUMMYFUNCTION("""COMPUTED_VALUE"""),"UPI")</f>
        <v>UPI</v>
      </c>
      <c r="J974" s="14" t="str">
        <f>IFERROR(__xludf.DUMMYFUNCTION("""COMPUTED_VALUE"""),"Delivered*Quality of Items: Perfect condition")</f>
        <v>Delivered*Quality of Items: Perfect condition</v>
      </c>
      <c r="K974" s="14" t="str">
        <f>IFERROR(__xludf.DUMMYFUNCTION("split(E974,""+"")"),"Juice")</f>
        <v>Juice</v>
      </c>
      <c r="L974" s="14" t="str">
        <f>IFERROR(__xludf.DUMMYFUNCTION("""COMPUTED_VALUE"""),"1*Vivek Kumar")</f>
        <v>1*Vivek Kumar</v>
      </c>
      <c r="M974" s="14">
        <f>IFERROR(__xludf.DUMMYFUNCTION("SPLIT(L974,""*"")"),1.0)</f>
        <v>1</v>
      </c>
      <c r="N974" s="14" t="str">
        <f>IFERROR(__xludf.DUMMYFUNCTION("""COMPUTED_VALUE"""),"Vivek Kumar")</f>
        <v>Vivek Kumar</v>
      </c>
      <c r="O974" s="14" t="str">
        <f>IFERROR(__xludf.DUMMYFUNCTION("split(J974,""*"")"),"Delivered")</f>
        <v>Delivered</v>
      </c>
      <c r="P974" s="14" t="str">
        <f>IFERROR(__xludf.DUMMYFUNCTION("""COMPUTED_VALUE"""),"Quality of Items: Perfect condition")</f>
        <v>Quality of Items: Perfect condition</v>
      </c>
      <c r="Q974" s="14" t="str">
        <f>IFERROR(__xludf.DUMMYFUNCTION("split(P974,"":"")"),"Quality of Items")</f>
        <v>Quality of Items</v>
      </c>
      <c r="R974" s="14" t="str">
        <f>IFERROR(__xludf.DUMMYFUNCTION("""COMPUTED_VALUE""")," Perfect condition")</f>
        <v> Perfect condition</v>
      </c>
      <c r="S974" s="14" t="str">
        <f t="shared" ref="S974:U974" si="1951">trim(B974)</f>
        <v>ord_30955</v>
      </c>
      <c r="T974" s="14" t="str">
        <f t="shared" si="1951"/>
        <v>Mohit Malhotra</v>
      </c>
      <c r="U974" s="14" t="str">
        <f t="shared" si="1951"/>
        <v>Lower Parel</v>
      </c>
      <c r="V974" s="14" t="str">
        <f t="shared" si="4"/>
        <v>Juice</v>
      </c>
      <c r="W974" s="14">
        <f t="shared" si="5"/>
        <v>1</v>
      </c>
      <c r="X974" s="14" t="str">
        <f t="shared" si="6"/>
        <v>Vivek Kumar</v>
      </c>
      <c r="Y974" s="15">
        <f t="shared" si="7"/>
        <v>44937</v>
      </c>
      <c r="Z974" s="14" t="str">
        <f t="shared" si="8"/>
        <v>UPI</v>
      </c>
      <c r="AA974" s="14" t="str">
        <f t="shared" si="9"/>
        <v>Delivered</v>
      </c>
      <c r="AB974" s="14" t="str">
        <f t="shared" ref="AB974:AC974" si="1952">trim(Q974)</f>
        <v>Quality of Items</v>
      </c>
      <c r="AC974" s="14" t="str">
        <f t="shared" si="1952"/>
        <v>Perfect condition</v>
      </c>
      <c r="AD974" s="8"/>
    </row>
    <row r="975">
      <c r="A975" s="14" t="str">
        <f>IFERROR(__xludf.DUMMYFUNCTION("""COMPUTED_VALUE"""),"//ord_40956//Sakshi Tandon//Colaba//Veg Puff+5*Ram Gopal/5/2/2023//UPI//Delivered*On-time Delivery: Delivered on time")</f>
        <v>//ord_40956//Sakshi Tandon//Colaba//Veg Puff+5*Ram Gopal/5/2/2023//UPI//Delivered*On-time Delivery: Delivered on time</v>
      </c>
      <c r="B975" s="14" t="str">
        <f>IFERROR(__xludf.DUMMYFUNCTION("split(A975,""//"")"),"ord_40956")</f>
        <v>ord_40956</v>
      </c>
      <c r="C975" s="14" t="str">
        <f>IFERROR(__xludf.DUMMYFUNCTION("""COMPUTED_VALUE"""),"Sakshi Tandon")</f>
        <v>Sakshi Tandon</v>
      </c>
      <c r="D975" s="14" t="str">
        <f>IFERROR(__xludf.DUMMYFUNCTION("""COMPUTED_VALUE"""),"Colaba")</f>
        <v>Colaba</v>
      </c>
      <c r="E975" s="14" t="str">
        <f>IFERROR(__xludf.DUMMYFUNCTION("""COMPUTED_VALUE"""),"Veg Puff+5*Ram Gopal")</f>
        <v>Veg Puff+5*Ram Gopal</v>
      </c>
      <c r="F975" s="14">
        <f>IFERROR(__xludf.DUMMYFUNCTION("""COMPUTED_VALUE"""),5.0)</f>
        <v>5</v>
      </c>
      <c r="G975" s="14">
        <f>IFERROR(__xludf.DUMMYFUNCTION("""COMPUTED_VALUE"""),2.0)</f>
        <v>2</v>
      </c>
      <c r="H975" s="14">
        <f>IFERROR(__xludf.DUMMYFUNCTION("""COMPUTED_VALUE"""),2023.0)</f>
        <v>2023</v>
      </c>
      <c r="I975" s="14" t="str">
        <f>IFERROR(__xludf.DUMMYFUNCTION("""COMPUTED_VALUE"""),"UPI")</f>
        <v>UPI</v>
      </c>
      <c r="J975" s="14" t="str">
        <f>IFERROR(__xludf.DUMMYFUNCTION("""COMPUTED_VALUE"""),"Delivered*On-time Delivery: Delivered on time")</f>
        <v>Delivered*On-time Delivery: Delivered on time</v>
      </c>
      <c r="K975" s="14" t="str">
        <f>IFERROR(__xludf.DUMMYFUNCTION("split(E975,""+"")"),"Veg Puff")</f>
        <v>Veg Puff</v>
      </c>
      <c r="L975" s="14" t="str">
        <f>IFERROR(__xludf.DUMMYFUNCTION("""COMPUTED_VALUE"""),"5*Ram Gopal")</f>
        <v>5*Ram Gopal</v>
      </c>
      <c r="M975" s="14">
        <f>IFERROR(__xludf.DUMMYFUNCTION("SPLIT(L975,""*"")"),5.0)</f>
        <v>5</v>
      </c>
      <c r="N975" s="14" t="str">
        <f>IFERROR(__xludf.DUMMYFUNCTION("""COMPUTED_VALUE"""),"Ram Gopal")</f>
        <v>Ram Gopal</v>
      </c>
      <c r="O975" s="14" t="str">
        <f>IFERROR(__xludf.DUMMYFUNCTION("split(J975,""*"")"),"Delivered")</f>
        <v>Delivered</v>
      </c>
      <c r="P975" s="14" t="str">
        <f>IFERROR(__xludf.DUMMYFUNCTION("""COMPUTED_VALUE"""),"On-time Delivery: Delivered on time")</f>
        <v>On-time Delivery: Delivered on time</v>
      </c>
      <c r="Q975" s="14" t="str">
        <f>IFERROR(__xludf.DUMMYFUNCTION("split(P975,"":"")"),"On-time Delivery")</f>
        <v>On-time Delivery</v>
      </c>
      <c r="R975" s="14" t="str">
        <f>IFERROR(__xludf.DUMMYFUNCTION("""COMPUTED_VALUE""")," Delivered on time")</f>
        <v> Delivered on time</v>
      </c>
      <c r="S975" s="14" t="str">
        <f t="shared" ref="S975:U975" si="1953">trim(B975)</f>
        <v>ord_40956</v>
      </c>
      <c r="T975" s="14" t="str">
        <f t="shared" si="1953"/>
        <v>Sakshi Tandon</v>
      </c>
      <c r="U975" s="14" t="str">
        <f t="shared" si="1953"/>
        <v>Colaba</v>
      </c>
      <c r="V975" s="14" t="str">
        <f t="shared" si="4"/>
        <v>Veg Puff</v>
      </c>
      <c r="W975" s="14">
        <f t="shared" si="5"/>
        <v>5</v>
      </c>
      <c r="X975" s="14" t="str">
        <f t="shared" si="6"/>
        <v>Ram Gopal</v>
      </c>
      <c r="Y975" s="15">
        <f t="shared" si="7"/>
        <v>45048</v>
      </c>
      <c r="Z975" s="14" t="str">
        <f t="shared" si="8"/>
        <v>UPI</v>
      </c>
      <c r="AA975" s="14" t="str">
        <f t="shared" si="9"/>
        <v>Delivered</v>
      </c>
      <c r="AB975" s="14" t="str">
        <f t="shared" ref="AB975:AC975" si="1954">trim(Q975)</f>
        <v>On-time Delivery</v>
      </c>
      <c r="AC975" s="14" t="str">
        <f t="shared" si="1954"/>
        <v>Delivered on time</v>
      </c>
      <c r="AD975" s="8"/>
    </row>
    <row r="976">
      <c r="A976" s="14" t="str">
        <f>IFERROR(__xludf.DUMMYFUNCTION("""COMPUTED_VALUE"""),"//ord_40957//Aarohi Kapoor//Bandra//Tiramisu+2*Nithin Lal/8/29/2023//Online Payment//Delivered*Quality of Items: Perfect condition")</f>
        <v>//ord_40957//Aarohi Kapoor//Bandra//Tiramisu+2*Nithin Lal/8/29/2023//Online Payment//Delivered*Quality of Items: Perfect condition</v>
      </c>
      <c r="B976" s="14" t="str">
        <f>IFERROR(__xludf.DUMMYFUNCTION("split(A976,""//"")"),"ord_40957")</f>
        <v>ord_40957</v>
      </c>
      <c r="C976" s="14" t="str">
        <f>IFERROR(__xludf.DUMMYFUNCTION("""COMPUTED_VALUE"""),"Aarohi Kapoor")</f>
        <v>Aarohi Kapoor</v>
      </c>
      <c r="D976" s="14" t="str">
        <f>IFERROR(__xludf.DUMMYFUNCTION("""COMPUTED_VALUE"""),"Bandra")</f>
        <v>Bandra</v>
      </c>
      <c r="E976" s="14" t="str">
        <f>IFERROR(__xludf.DUMMYFUNCTION("""COMPUTED_VALUE"""),"Tiramisu+2*Nithin Lal")</f>
        <v>Tiramisu+2*Nithin Lal</v>
      </c>
      <c r="F976" s="14">
        <f>IFERROR(__xludf.DUMMYFUNCTION("""COMPUTED_VALUE"""),8.0)</f>
        <v>8</v>
      </c>
      <c r="G976" s="14">
        <f>IFERROR(__xludf.DUMMYFUNCTION("""COMPUTED_VALUE"""),29.0)</f>
        <v>29</v>
      </c>
      <c r="H976" s="14">
        <f>IFERROR(__xludf.DUMMYFUNCTION("""COMPUTED_VALUE"""),2023.0)</f>
        <v>2023</v>
      </c>
      <c r="I976" s="14" t="str">
        <f>IFERROR(__xludf.DUMMYFUNCTION("""COMPUTED_VALUE"""),"Online Payment")</f>
        <v>Online Payment</v>
      </c>
      <c r="J976" s="14" t="str">
        <f>IFERROR(__xludf.DUMMYFUNCTION("""COMPUTED_VALUE"""),"Delivered*Quality of Items: Perfect condition")</f>
        <v>Delivered*Quality of Items: Perfect condition</v>
      </c>
      <c r="K976" s="14" t="str">
        <f>IFERROR(__xludf.DUMMYFUNCTION("split(E976,""+"")"),"Tiramisu")</f>
        <v>Tiramisu</v>
      </c>
      <c r="L976" s="14" t="str">
        <f>IFERROR(__xludf.DUMMYFUNCTION("""COMPUTED_VALUE"""),"2*Nithin Lal")</f>
        <v>2*Nithin Lal</v>
      </c>
      <c r="M976" s="14">
        <f>IFERROR(__xludf.DUMMYFUNCTION("SPLIT(L976,""*"")"),2.0)</f>
        <v>2</v>
      </c>
      <c r="N976" s="14" t="str">
        <f>IFERROR(__xludf.DUMMYFUNCTION("""COMPUTED_VALUE"""),"Nithin Lal")</f>
        <v>Nithin Lal</v>
      </c>
      <c r="O976" s="14" t="str">
        <f>IFERROR(__xludf.DUMMYFUNCTION("split(J976,""*"")"),"Delivered")</f>
        <v>Delivered</v>
      </c>
      <c r="P976" s="14" t="str">
        <f>IFERROR(__xludf.DUMMYFUNCTION("""COMPUTED_VALUE"""),"Quality of Items: Perfect condition")</f>
        <v>Quality of Items: Perfect condition</v>
      </c>
      <c r="Q976" s="14" t="str">
        <f>IFERROR(__xludf.DUMMYFUNCTION("split(P976,"":"")"),"Quality of Items")</f>
        <v>Quality of Items</v>
      </c>
      <c r="R976" s="14" t="str">
        <f>IFERROR(__xludf.DUMMYFUNCTION("""COMPUTED_VALUE""")," Perfect condition")</f>
        <v> Perfect condition</v>
      </c>
      <c r="S976" s="14" t="str">
        <f t="shared" ref="S976:U976" si="1955">trim(B976)</f>
        <v>ord_40957</v>
      </c>
      <c r="T976" s="14" t="str">
        <f t="shared" si="1955"/>
        <v>Aarohi Kapoor</v>
      </c>
      <c r="U976" s="14" t="str">
        <f t="shared" si="1955"/>
        <v>Bandra</v>
      </c>
      <c r="V976" s="14" t="str">
        <f t="shared" si="4"/>
        <v>Tiramisu</v>
      </c>
      <c r="W976" s="14">
        <f t="shared" si="5"/>
        <v>2</v>
      </c>
      <c r="X976" s="14" t="str">
        <f t="shared" si="6"/>
        <v>Nithin Lal</v>
      </c>
      <c r="Y976" s="15">
        <f t="shared" si="7"/>
        <v>45167</v>
      </c>
      <c r="Z976" s="14" t="str">
        <f t="shared" si="8"/>
        <v>Online Payment</v>
      </c>
      <c r="AA976" s="14" t="str">
        <f t="shared" si="9"/>
        <v>Delivered</v>
      </c>
      <c r="AB976" s="14" t="str">
        <f t="shared" ref="AB976:AC976" si="1956">trim(Q976)</f>
        <v>Quality of Items</v>
      </c>
      <c r="AC976" s="14" t="str">
        <f t="shared" si="1956"/>
        <v>Perfect condition</v>
      </c>
      <c r="AD976" s="8"/>
    </row>
    <row r="977">
      <c r="A977" s="14" t="str">
        <f>IFERROR(__xludf.DUMMYFUNCTION("""COMPUTED_VALUE"""),"//ord_40958//Tanishq Bansal//Powai//Cucumber+2*Vivek Kumar/6/7/2023//UPI//Delivered*Packaging: Secure and intact")</f>
        <v>//ord_40958//Tanishq Bansal//Powai//Cucumber+2*Vivek Kumar/6/7/2023//UPI//Delivered*Packaging: Secure and intact</v>
      </c>
      <c r="B977" s="14" t="str">
        <f>IFERROR(__xludf.DUMMYFUNCTION("split(A977,""//"")"),"ord_40958")</f>
        <v>ord_40958</v>
      </c>
      <c r="C977" s="14" t="str">
        <f>IFERROR(__xludf.DUMMYFUNCTION("""COMPUTED_VALUE"""),"Tanishq Bansal")</f>
        <v>Tanishq Bansal</v>
      </c>
      <c r="D977" s="14" t="str">
        <f>IFERROR(__xludf.DUMMYFUNCTION("""COMPUTED_VALUE"""),"Powai")</f>
        <v>Powai</v>
      </c>
      <c r="E977" s="14" t="str">
        <f>IFERROR(__xludf.DUMMYFUNCTION("""COMPUTED_VALUE"""),"Cucumber+2*Vivek Kumar")</f>
        <v>Cucumber+2*Vivek Kumar</v>
      </c>
      <c r="F977" s="14">
        <f>IFERROR(__xludf.DUMMYFUNCTION("""COMPUTED_VALUE"""),6.0)</f>
        <v>6</v>
      </c>
      <c r="G977" s="14">
        <f>IFERROR(__xludf.DUMMYFUNCTION("""COMPUTED_VALUE"""),7.0)</f>
        <v>7</v>
      </c>
      <c r="H977" s="14">
        <f>IFERROR(__xludf.DUMMYFUNCTION("""COMPUTED_VALUE"""),2023.0)</f>
        <v>2023</v>
      </c>
      <c r="I977" s="14" t="str">
        <f>IFERROR(__xludf.DUMMYFUNCTION("""COMPUTED_VALUE"""),"UPI")</f>
        <v>UPI</v>
      </c>
      <c r="J977" s="14" t="str">
        <f>IFERROR(__xludf.DUMMYFUNCTION("""COMPUTED_VALUE"""),"Delivered*Packaging: Secure and intact")</f>
        <v>Delivered*Packaging: Secure and intact</v>
      </c>
      <c r="K977" s="14" t="str">
        <f>IFERROR(__xludf.DUMMYFUNCTION("split(E977,""+"")"),"Cucumber")</f>
        <v>Cucumber</v>
      </c>
      <c r="L977" s="14" t="str">
        <f>IFERROR(__xludf.DUMMYFUNCTION("""COMPUTED_VALUE"""),"2*Vivek Kumar")</f>
        <v>2*Vivek Kumar</v>
      </c>
      <c r="M977" s="14">
        <f>IFERROR(__xludf.DUMMYFUNCTION("SPLIT(L977,""*"")"),2.0)</f>
        <v>2</v>
      </c>
      <c r="N977" s="14" t="str">
        <f>IFERROR(__xludf.DUMMYFUNCTION("""COMPUTED_VALUE"""),"Vivek Kumar")</f>
        <v>Vivek Kumar</v>
      </c>
      <c r="O977" s="14" t="str">
        <f>IFERROR(__xludf.DUMMYFUNCTION("split(J977,""*"")"),"Delivered")</f>
        <v>Delivered</v>
      </c>
      <c r="P977" s="14" t="str">
        <f>IFERROR(__xludf.DUMMYFUNCTION("""COMPUTED_VALUE"""),"Packaging: Secure and intact")</f>
        <v>Packaging: Secure and intact</v>
      </c>
      <c r="Q977" s="14" t="str">
        <f>IFERROR(__xludf.DUMMYFUNCTION("split(P977,"":"")"),"Packaging")</f>
        <v>Packaging</v>
      </c>
      <c r="R977" s="14" t="str">
        <f>IFERROR(__xludf.DUMMYFUNCTION("""COMPUTED_VALUE""")," Secure and intact")</f>
        <v> Secure and intact</v>
      </c>
      <c r="S977" s="14" t="str">
        <f t="shared" ref="S977:U977" si="1957">trim(B977)</f>
        <v>ord_40958</v>
      </c>
      <c r="T977" s="14" t="str">
        <f t="shared" si="1957"/>
        <v>Tanishq Bansal</v>
      </c>
      <c r="U977" s="14" t="str">
        <f t="shared" si="1957"/>
        <v>Powai</v>
      </c>
      <c r="V977" s="14" t="str">
        <f t="shared" si="4"/>
        <v>Cucumber</v>
      </c>
      <c r="W977" s="14">
        <f t="shared" si="5"/>
        <v>2</v>
      </c>
      <c r="X977" s="14" t="str">
        <f t="shared" si="6"/>
        <v>Vivek Kumar</v>
      </c>
      <c r="Y977" s="15">
        <f t="shared" si="7"/>
        <v>45084</v>
      </c>
      <c r="Z977" s="14" t="str">
        <f t="shared" si="8"/>
        <v>UPI</v>
      </c>
      <c r="AA977" s="14" t="str">
        <f t="shared" si="9"/>
        <v>Delivered</v>
      </c>
      <c r="AB977" s="14" t="str">
        <f t="shared" ref="AB977:AC977" si="1958">trim(Q977)</f>
        <v>Packaging</v>
      </c>
      <c r="AC977" s="14" t="str">
        <f t="shared" si="1958"/>
        <v>Secure and intact</v>
      </c>
      <c r="AD977" s="8"/>
    </row>
    <row r="978">
      <c r="A978" s="14" t="str">
        <f>IFERROR(__xludf.DUMMYFUNCTION("""COMPUTED_VALUE"""),"//ord_40959//Siya Reddy//Juhu//Juice+4*Not Assigned/12/18/2023//Credit Card//Cancelled*High Delivery Fees")</f>
        <v>//ord_40959//Siya Reddy//Juhu//Juice+4*Not Assigned/12/18/2023//Credit Card//Cancelled*High Delivery Fees</v>
      </c>
      <c r="B978" s="14" t="str">
        <f>IFERROR(__xludf.DUMMYFUNCTION("split(A978,""//"")"),"ord_40959")</f>
        <v>ord_40959</v>
      </c>
      <c r="C978" s="14" t="str">
        <f>IFERROR(__xludf.DUMMYFUNCTION("""COMPUTED_VALUE"""),"Siya Reddy")</f>
        <v>Siya Reddy</v>
      </c>
      <c r="D978" s="14" t="str">
        <f>IFERROR(__xludf.DUMMYFUNCTION("""COMPUTED_VALUE"""),"Juhu")</f>
        <v>Juhu</v>
      </c>
      <c r="E978" s="14" t="str">
        <f>IFERROR(__xludf.DUMMYFUNCTION("""COMPUTED_VALUE"""),"Juice+4*Not Assigned")</f>
        <v>Juice+4*Not Assigned</v>
      </c>
      <c r="F978" s="14">
        <f>IFERROR(__xludf.DUMMYFUNCTION("""COMPUTED_VALUE"""),12.0)</f>
        <v>12</v>
      </c>
      <c r="G978" s="14">
        <f>IFERROR(__xludf.DUMMYFUNCTION("""COMPUTED_VALUE"""),18.0)</f>
        <v>18</v>
      </c>
      <c r="H978" s="14">
        <f>IFERROR(__xludf.DUMMYFUNCTION("""COMPUTED_VALUE"""),2023.0)</f>
        <v>2023</v>
      </c>
      <c r="I978" s="14" t="str">
        <f>IFERROR(__xludf.DUMMYFUNCTION("""COMPUTED_VALUE"""),"Credit Card")</f>
        <v>Credit Card</v>
      </c>
      <c r="J978" s="14" t="str">
        <f>IFERROR(__xludf.DUMMYFUNCTION("""COMPUTED_VALUE"""),"Cancelled*High Delivery Fees")</f>
        <v>Cancelled*High Delivery Fees</v>
      </c>
      <c r="K978" s="14" t="str">
        <f>IFERROR(__xludf.DUMMYFUNCTION("split(E978,""+"")"),"Juice")</f>
        <v>Juice</v>
      </c>
      <c r="L978" s="14" t="str">
        <f>IFERROR(__xludf.DUMMYFUNCTION("""COMPUTED_VALUE"""),"4*Not Assigned")</f>
        <v>4*Not Assigned</v>
      </c>
      <c r="M978" s="14">
        <f>IFERROR(__xludf.DUMMYFUNCTION("SPLIT(L978,""*"")"),4.0)</f>
        <v>4</v>
      </c>
      <c r="N978" s="14" t="str">
        <f>IFERROR(__xludf.DUMMYFUNCTION("""COMPUTED_VALUE"""),"Not Assigned")</f>
        <v>Not Assigned</v>
      </c>
      <c r="O978" s="14" t="str">
        <f>IFERROR(__xludf.DUMMYFUNCTION("split(J978,""*"")"),"Cancelled")</f>
        <v>Cancelled</v>
      </c>
      <c r="P978" s="14" t="str">
        <f>IFERROR(__xludf.DUMMYFUNCTION("""COMPUTED_VALUE"""),"High Delivery Fees")</f>
        <v>High Delivery Fees</v>
      </c>
      <c r="Q978" s="14" t="str">
        <f>IFERROR(__xludf.DUMMYFUNCTION("split(P978,"":"")"),"High Delivery Fees")</f>
        <v>High Delivery Fees</v>
      </c>
      <c r="R978" s="14"/>
      <c r="S978" s="14" t="str">
        <f t="shared" ref="S978:U978" si="1959">trim(B978)</f>
        <v>ord_40959</v>
      </c>
      <c r="T978" s="14" t="str">
        <f t="shared" si="1959"/>
        <v>Siya Reddy</v>
      </c>
      <c r="U978" s="14" t="str">
        <f t="shared" si="1959"/>
        <v>Juhu</v>
      </c>
      <c r="V978" s="14" t="str">
        <f t="shared" si="4"/>
        <v>Juice</v>
      </c>
      <c r="W978" s="14">
        <f t="shared" si="5"/>
        <v>4</v>
      </c>
      <c r="X978" s="14" t="str">
        <f t="shared" si="6"/>
        <v>Not Assigned</v>
      </c>
      <c r="Y978" s="15">
        <f t="shared" si="7"/>
        <v>45278</v>
      </c>
      <c r="Z978" s="14" t="str">
        <f t="shared" si="8"/>
        <v>Credit Card</v>
      </c>
      <c r="AA978" s="14" t="str">
        <f t="shared" si="9"/>
        <v>Cancelled</v>
      </c>
      <c r="AB978" s="14" t="str">
        <f t="shared" ref="AB978:AC978" si="1960">trim(Q978)</f>
        <v>High Delivery Fees</v>
      </c>
      <c r="AC978" s="14" t="str">
        <f t="shared" si="1960"/>
        <v/>
      </c>
      <c r="AD978" s="8"/>
    </row>
    <row r="979">
      <c r="A979" s="14" t="str">
        <f>IFERROR(__xludf.DUMMYFUNCTION("""COMPUTED_VALUE"""),"//ord_40960//Kritika Shetty//Malad//Juice+4*Ramesh S/5/16/2023//UPI//Delivered*Satisfied with the Delivery: Timely and quality")</f>
        <v>//ord_40960//Kritika Shetty//Malad//Juice+4*Ramesh S/5/16/2023//UPI//Delivered*Satisfied with the Delivery: Timely and quality</v>
      </c>
      <c r="B979" s="14" t="str">
        <f>IFERROR(__xludf.DUMMYFUNCTION("split(A979,""//"")"),"ord_40960")</f>
        <v>ord_40960</v>
      </c>
      <c r="C979" s="14" t="str">
        <f>IFERROR(__xludf.DUMMYFUNCTION("""COMPUTED_VALUE"""),"Kritika Shetty")</f>
        <v>Kritika Shetty</v>
      </c>
      <c r="D979" s="14" t="str">
        <f>IFERROR(__xludf.DUMMYFUNCTION("""COMPUTED_VALUE"""),"Malad")</f>
        <v>Malad</v>
      </c>
      <c r="E979" s="14" t="str">
        <f>IFERROR(__xludf.DUMMYFUNCTION("""COMPUTED_VALUE"""),"Juice+4*Ramesh S")</f>
        <v>Juice+4*Ramesh S</v>
      </c>
      <c r="F979" s="14">
        <f>IFERROR(__xludf.DUMMYFUNCTION("""COMPUTED_VALUE"""),5.0)</f>
        <v>5</v>
      </c>
      <c r="G979" s="14">
        <f>IFERROR(__xludf.DUMMYFUNCTION("""COMPUTED_VALUE"""),16.0)</f>
        <v>16</v>
      </c>
      <c r="H979" s="14">
        <f>IFERROR(__xludf.DUMMYFUNCTION("""COMPUTED_VALUE"""),2023.0)</f>
        <v>2023</v>
      </c>
      <c r="I979" s="14" t="str">
        <f>IFERROR(__xludf.DUMMYFUNCTION("""COMPUTED_VALUE"""),"UPI")</f>
        <v>UPI</v>
      </c>
      <c r="J979" s="14" t="str">
        <f>IFERROR(__xludf.DUMMYFUNCTION("""COMPUTED_VALUE"""),"Delivered*Satisfied with the Delivery: Timely and quality")</f>
        <v>Delivered*Satisfied with the Delivery: Timely and quality</v>
      </c>
      <c r="K979" s="14" t="str">
        <f>IFERROR(__xludf.DUMMYFUNCTION("split(E979,""+"")"),"Juice")</f>
        <v>Juice</v>
      </c>
      <c r="L979" s="14" t="str">
        <f>IFERROR(__xludf.DUMMYFUNCTION("""COMPUTED_VALUE"""),"4*Ramesh S")</f>
        <v>4*Ramesh S</v>
      </c>
      <c r="M979" s="14">
        <f>IFERROR(__xludf.DUMMYFUNCTION("SPLIT(L979,""*"")"),4.0)</f>
        <v>4</v>
      </c>
      <c r="N979" s="14" t="str">
        <f>IFERROR(__xludf.DUMMYFUNCTION("""COMPUTED_VALUE"""),"Ramesh S")</f>
        <v>Ramesh S</v>
      </c>
      <c r="O979" s="14" t="str">
        <f>IFERROR(__xludf.DUMMYFUNCTION("split(J979,""*"")"),"Delivered")</f>
        <v>Delivered</v>
      </c>
      <c r="P979" s="14" t="str">
        <f>IFERROR(__xludf.DUMMYFUNCTION("""COMPUTED_VALUE"""),"Satisfied with the Delivery: Timely and quality")</f>
        <v>Satisfied with the Delivery: Timely and quality</v>
      </c>
      <c r="Q979" s="14" t="str">
        <f>IFERROR(__xludf.DUMMYFUNCTION("split(P979,"":"")"),"Satisfied with the Delivery")</f>
        <v>Satisfied with the Delivery</v>
      </c>
      <c r="R979" s="14" t="str">
        <f>IFERROR(__xludf.DUMMYFUNCTION("""COMPUTED_VALUE""")," Timely and quality")</f>
        <v> Timely and quality</v>
      </c>
      <c r="S979" s="14" t="str">
        <f t="shared" ref="S979:U979" si="1961">trim(B979)</f>
        <v>ord_40960</v>
      </c>
      <c r="T979" s="14" t="str">
        <f t="shared" si="1961"/>
        <v>Kritika Shetty</v>
      </c>
      <c r="U979" s="14" t="str">
        <f t="shared" si="1961"/>
        <v>Malad</v>
      </c>
      <c r="V979" s="14" t="str">
        <f t="shared" si="4"/>
        <v>Juice</v>
      </c>
      <c r="W979" s="14">
        <f t="shared" si="5"/>
        <v>4</v>
      </c>
      <c r="X979" s="14" t="str">
        <f t="shared" si="6"/>
        <v>Ramesh S</v>
      </c>
      <c r="Y979" s="15">
        <f t="shared" si="7"/>
        <v>45062</v>
      </c>
      <c r="Z979" s="14" t="str">
        <f t="shared" si="8"/>
        <v>UPI</v>
      </c>
      <c r="AA979" s="14" t="str">
        <f t="shared" si="9"/>
        <v>Delivered</v>
      </c>
      <c r="AB979" s="14" t="str">
        <f t="shared" ref="AB979:AC979" si="1962">trim(Q979)</f>
        <v>Satisfied with the Delivery</v>
      </c>
      <c r="AC979" s="14" t="str">
        <f t="shared" si="1962"/>
        <v>Timely and quality</v>
      </c>
      <c r="AD979" s="8"/>
    </row>
    <row r="980">
      <c r="A980" s="14" t="str">
        <f>IFERROR(__xludf.DUMMYFUNCTION("""COMPUTED_VALUE"""),"//ord_40961//Parth Goel//Juhu//Cucumber+2*Shine Thomas/12/22/2023//UPI//Delivered*Customer Service: Seamless and easy")</f>
        <v>//ord_40961//Parth Goel//Juhu//Cucumber+2*Shine Thomas/12/22/2023//UPI//Delivered*Customer Service: Seamless and easy</v>
      </c>
      <c r="B980" s="14" t="str">
        <f>IFERROR(__xludf.DUMMYFUNCTION("split(A980,""//"")"),"ord_40961")</f>
        <v>ord_40961</v>
      </c>
      <c r="C980" s="14" t="str">
        <f>IFERROR(__xludf.DUMMYFUNCTION("""COMPUTED_VALUE"""),"Parth Goel")</f>
        <v>Parth Goel</v>
      </c>
      <c r="D980" s="14" t="str">
        <f>IFERROR(__xludf.DUMMYFUNCTION("""COMPUTED_VALUE"""),"Juhu")</f>
        <v>Juhu</v>
      </c>
      <c r="E980" s="14" t="str">
        <f>IFERROR(__xludf.DUMMYFUNCTION("""COMPUTED_VALUE"""),"Cucumber+2*Shine Thomas")</f>
        <v>Cucumber+2*Shine Thomas</v>
      </c>
      <c r="F980" s="14">
        <f>IFERROR(__xludf.DUMMYFUNCTION("""COMPUTED_VALUE"""),12.0)</f>
        <v>12</v>
      </c>
      <c r="G980" s="14">
        <f>IFERROR(__xludf.DUMMYFUNCTION("""COMPUTED_VALUE"""),22.0)</f>
        <v>22</v>
      </c>
      <c r="H980" s="14">
        <f>IFERROR(__xludf.DUMMYFUNCTION("""COMPUTED_VALUE"""),2023.0)</f>
        <v>2023</v>
      </c>
      <c r="I980" s="14" t="str">
        <f>IFERROR(__xludf.DUMMYFUNCTION("""COMPUTED_VALUE"""),"UPI")</f>
        <v>UPI</v>
      </c>
      <c r="J980" s="14" t="str">
        <f>IFERROR(__xludf.DUMMYFUNCTION("""COMPUTED_VALUE"""),"Delivered*Customer Service: Seamless and easy")</f>
        <v>Delivered*Customer Service: Seamless and easy</v>
      </c>
      <c r="K980" s="14" t="str">
        <f>IFERROR(__xludf.DUMMYFUNCTION("split(E980,""+"")"),"Cucumber")</f>
        <v>Cucumber</v>
      </c>
      <c r="L980" s="14" t="str">
        <f>IFERROR(__xludf.DUMMYFUNCTION("""COMPUTED_VALUE"""),"2*Shine Thomas")</f>
        <v>2*Shine Thomas</v>
      </c>
      <c r="M980" s="14">
        <f>IFERROR(__xludf.DUMMYFUNCTION("SPLIT(L980,""*"")"),2.0)</f>
        <v>2</v>
      </c>
      <c r="N980" s="14" t="str">
        <f>IFERROR(__xludf.DUMMYFUNCTION("""COMPUTED_VALUE"""),"Shine Thomas")</f>
        <v>Shine Thomas</v>
      </c>
      <c r="O980" s="14" t="str">
        <f>IFERROR(__xludf.DUMMYFUNCTION("split(J980,""*"")"),"Delivered")</f>
        <v>Delivered</v>
      </c>
      <c r="P980" s="14" t="str">
        <f>IFERROR(__xludf.DUMMYFUNCTION("""COMPUTED_VALUE"""),"Customer Service: Seamless and easy")</f>
        <v>Customer Service: Seamless and easy</v>
      </c>
      <c r="Q980" s="14" t="str">
        <f>IFERROR(__xludf.DUMMYFUNCTION("split(P980,"":"")"),"Customer Service")</f>
        <v>Customer Service</v>
      </c>
      <c r="R980" s="14" t="str">
        <f>IFERROR(__xludf.DUMMYFUNCTION("""COMPUTED_VALUE""")," Seamless and easy")</f>
        <v> Seamless and easy</v>
      </c>
      <c r="S980" s="14" t="str">
        <f t="shared" ref="S980:U980" si="1963">trim(B980)</f>
        <v>ord_40961</v>
      </c>
      <c r="T980" s="14" t="str">
        <f t="shared" si="1963"/>
        <v>Parth Goel</v>
      </c>
      <c r="U980" s="14" t="str">
        <f t="shared" si="1963"/>
        <v>Juhu</v>
      </c>
      <c r="V980" s="14" t="str">
        <f t="shared" si="4"/>
        <v>Cucumber</v>
      </c>
      <c r="W980" s="14">
        <f t="shared" si="5"/>
        <v>2</v>
      </c>
      <c r="X980" s="14" t="str">
        <f t="shared" si="6"/>
        <v>Shine Thomas</v>
      </c>
      <c r="Y980" s="15">
        <f t="shared" si="7"/>
        <v>45282</v>
      </c>
      <c r="Z980" s="14" t="str">
        <f t="shared" si="8"/>
        <v>UPI</v>
      </c>
      <c r="AA980" s="14" t="str">
        <f t="shared" si="9"/>
        <v>Delivered</v>
      </c>
      <c r="AB980" s="14" t="str">
        <f t="shared" ref="AB980:AC980" si="1964">trim(Q980)</f>
        <v>Customer Service</v>
      </c>
      <c r="AC980" s="14" t="str">
        <f t="shared" si="1964"/>
        <v>Seamless and easy</v>
      </c>
      <c r="AD980" s="8"/>
    </row>
    <row r="981">
      <c r="A981" s="14" t="str">
        <f>IFERROR(__xludf.DUMMYFUNCTION("""COMPUTED_VALUE"""),"//ord_40962//Pranav Joshi//Andheri//Potato+2*Ramesh S/5/3/2023//UPI//Delivered*Delivery Experience: Quick and professional")</f>
        <v>//ord_40962//Pranav Joshi//Andheri//Potato+2*Ramesh S/5/3/2023//UPI//Delivered*Delivery Experience: Quick and professional</v>
      </c>
      <c r="B981" s="14" t="str">
        <f>IFERROR(__xludf.DUMMYFUNCTION("split(A981,""//"")"),"ord_40962")</f>
        <v>ord_40962</v>
      </c>
      <c r="C981" s="14" t="str">
        <f>IFERROR(__xludf.DUMMYFUNCTION("""COMPUTED_VALUE"""),"Pranav Joshi")</f>
        <v>Pranav Joshi</v>
      </c>
      <c r="D981" s="14" t="str">
        <f>IFERROR(__xludf.DUMMYFUNCTION("""COMPUTED_VALUE"""),"Andheri")</f>
        <v>Andheri</v>
      </c>
      <c r="E981" s="14" t="str">
        <f>IFERROR(__xludf.DUMMYFUNCTION("""COMPUTED_VALUE"""),"Potato+2*Ramesh S")</f>
        <v>Potato+2*Ramesh S</v>
      </c>
      <c r="F981" s="14">
        <f>IFERROR(__xludf.DUMMYFUNCTION("""COMPUTED_VALUE"""),5.0)</f>
        <v>5</v>
      </c>
      <c r="G981" s="14">
        <f>IFERROR(__xludf.DUMMYFUNCTION("""COMPUTED_VALUE"""),3.0)</f>
        <v>3</v>
      </c>
      <c r="H981" s="14">
        <f>IFERROR(__xludf.DUMMYFUNCTION("""COMPUTED_VALUE"""),2023.0)</f>
        <v>2023</v>
      </c>
      <c r="I981" s="14" t="str">
        <f>IFERROR(__xludf.DUMMYFUNCTION("""COMPUTED_VALUE"""),"UPI")</f>
        <v>UPI</v>
      </c>
      <c r="J981" s="14" t="str">
        <f>IFERROR(__xludf.DUMMYFUNCTION("""COMPUTED_VALUE"""),"Delivered*Delivery Experience: Quick and professional")</f>
        <v>Delivered*Delivery Experience: Quick and professional</v>
      </c>
      <c r="K981" s="14" t="str">
        <f>IFERROR(__xludf.DUMMYFUNCTION("split(E981,""+"")"),"Potato")</f>
        <v>Potato</v>
      </c>
      <c r="L981" s="14" t="str">
        <f>IFERROR(__xludf.DUMMYFUNCTION("""COMPUTED_VALUE"""),"2*Ramesh S")</f>
        <v>2*Ramesh S</v>
      </c>
      <c r="M981" s="14">
        <f>IFERROR(__xludf.DUMMYFUNCTION("SPLIT(L981,""*"")"),2.0)</f>
        <v>2</v>
      </c>
      <c r="N981" s="14" t="str">
        <f>IFERROR(__xludf.DUMMYFUNCTION("""COMPUTED_VALUE"""),"Ramesh S")</f>
        <v>Ramesh S</v>
      </c>
      <c r="O981" s="14" t="str">
        <f>IFERROR(__xludf.DUMMYFUNCTION("split(J981,""*"")"),"Delivered")</f>
        <v>Delivered</v>
      </c>
      <c r="P981" s="14" t="str">
        <f>IFERROR(__xludf.DUMMYFUNCTION("""COMPUTED_VALUE"""),"Delivery Experience: Quick and professional")</f>
        <v>Delivery Experience: Quick and professional</v>
      </c>
      <c r="Q981" s="14" t="str">
        <f>IFERROR(__xludf.DUMMYFUNCTION("split(P981,"":"")"),"Delivery Experience")</f>
        <v>Delivery Experience</v>
      </c>
      <c r="R981" s="14" t="str">
        <f>IFERROR(__xludf.DUMMYFUNCTION("""COMPUTED_VALUE""")," Quick and professional")</f>
        <v> Quick and professional</v>
      </c>
      <c r="S981" s="14" t="str">
        <f t="shared" ref="S981:U981" si="1965">trim(B981)</f>
        <v>ord_40962</v>
      </c>
      <c r="T981" s="14" t="str">
        <f t="shared" si="1965"/>
        <v>Pranav Joshi</v>
      </c>
      <c r="U981" s="14" t="str">
        <f t="shared" si="1965"/>
        <v>Andheri</v>
      </c>
      <c r="V981" s="14" t="str">
        <f t="shared" si="4"/>
        <v>Potato</v>
      </c>
      <c r="W981" s="14">
        <f t="shared" si="5"/>
        <v>2</v>
      </c>
      <c r="X981" s="14" t="str">
        <f t="shared" si="6"/>
        <v>Ramesh S</v>
      </c>
      <c r="Y981" s="15">
        <f t="shared" si="7"/>
        <v>45049</v>
      </c>
      <c r="Z981" s="14" t="str">
        <f t="shared" si="8"/>
        <v>UPI</v>
      </c>
      <c r="AA981" s="14" t="str">
        <f t="shared" si="9"/>
        <v>Delivered</v>
      </c>
      <c r="AB981" s="14" t="str">
        <f t="shared" ref="AB981:AC981" si="1966">trim(Q981)</f>
        <v>Delivery Experience</v>
      </c>
      <c r="AC981" s="14" t="str">
        <f t="shared" si="1966"/>
        <v>Quick and professional</v>
      </c>
      <c r="AD981" s="8"/>
    </row>
    <row r="982">
      <c r="A982" s="14" t="str">
        <f>IFERROR(__xludf.DUMMYFUNCTION("""COMPUTED_VALUE"""),"//ord_40963//Pallavi Ghosh//Bandra//Chocolate Mousse+3*Sita T/3/10/2023//Credit Card//Delivered*Convenience: Easy tracking")</f>
        <v>//ord_40963//Pallavi Ghosh//Bandra//Chocolate Mousse+3*Sita T/3/10/2023//Credit Card//Delivered*Convenience: Easy tracking</v>
      </c>
      <c r="B982" s="14" t="str">
        <f>IFERROR(__xludf.DUMMYFUNCTION("split(A982,""//"")"),"ord_40963")</f>
        <v>ord_40963</v>
      </c>
      <c r="C982" s="14" t="str">
        <f>IFERROR(__xludf.DUMMYFUNCTION("""COMPUTED_VALUE"""),"Pallavi Ghosh")</f>
        <v>Pallavi Ghosh</v>
      </c>
      <c r="D982" s="14" t="str">
        <f>IFERROR(__xludf.DUMMYFUNCTION("""COMPUTED_VALUE"""),"Bandra")</f>
        <v>Bandra</v>
      </c>
      <c r="E982" s="14" t="str">
        <f>IFERROR(__xludf.DUMMYFUNCTION("""COMPUTED_VALUE"""),"Chocolate Mousse+3*Sita T")</f>
        <v>Chocolate Mousse+3*Sita T</v>
      </c>
      <c r="F982" s="14">
        <f>IFERROR(__xludf.DUMMYFUNCTION("""COMPUTED_VALUE"""),3.0)</f>
        <v>3</v>
      </c>
      <c r="G982" s="14">
        <f>IFERROR(__xludf.DUMMYFUNCTION("""COMPUTED_VALUE"""),10.0)</f>
        <v>10</v>
      </c>
      <c r="H982" s="14">
        <f>IFERROR(__xludf.DUMMYFUNCTION("""COMPUTED_VALUE"""),2023.0)</f>
        <v>2023</v>
      </c>
      <c r="I982" s="14" t="str">
        <f>IFERROR(__xludf.DUMMYFUNCTION("""COMPUTED_VALUE"""),"Credit Card")</f>
        <v>Credit Card</v>
      </c>
      <c r="J982" s="14" t="str">
        <f>IFERROR(__xludf.DUMMYFUNCTION("""COMPUTED_VALUE"""),"Delivered*Convenience: Easy tracking")</f>
        <v>Delivered*Convenience: Easy tracking</v>
      </c>
      <c r="K982" s="14" t="str">
        <f>IFERROR(__xludf.DUMMYFUNCTION("split(E982,""+"")"),"Chocolate Mousse")</f>
        <v>Chocolate Mousse</v>
      </c>
      <c r="L982" s="14" t="str">
        <f>IFERROR(__xludf.DUMMYFUNCTION("""COMPUTED_VALUE"""),"3*Sita T")</f>
        <v>3*Sita T</v>
      </c>
      <c r="M982" s="14">
        <f>IFERROR(__xludf.DUMMYFUNCTION("SPLIT(L982,""*"")"),3.0)</f>
        <v>3</v>
      </c>
      <c r="N982" s="14" t="str">
        <f>IFERROR(__xludf.DUMMYFUNCTION("""COMPUTED_VALUE"""),"Sita T")</f>
        <v>Sita T</v>
      </c>
      <c r="O982" s="14" t="str">
        <f>IFERROR(__xludf.DUMMYFUNCTION("split(J982,""*"")"),"Delivered")</f>
        <v>Delivered</v>
      </c>
      <c r="P982" s="14" t="str">
        <f>IFERROR(__xludf.DUMMYFUNCTION("""COMPUTED_VALUE"""),"Convenience: Easy tracking")</f>
        <v>Convenience: Easy tracking</v>
      </c>
      <c r="Q982" s="14" t="str">
        <f>IFERROR(__xludf.DUMMYFUNCTION("split(P982,"":"")"),"Convenience")</f>
        <v>Convenience</v>
      </c>
      <c r="R982" s="14" t="str">
        <f>IFERROR(__xludf.DUMMYFUNCTION("""COMPUTED_VALUE""")," Easy tracking")</f>
        <v> Easy tracking</v>
      </c>
      <c r="S982" s="14" t="str">
        <f t="shared" ref="S982:U982" si="1967">trim(B982)</f>
        <v>ord_40963</v>
      </c>
      <c r="T982" s="14" t="str">
        <f t="shared" si="1967"/>
        <v>Pallavi Ghosh</v>
      </c>
      <c r="U982" s="14" t="str">
        <f t="shared" si="1967"/>
        <v>Bandra</v>
      </c>
      <c r="V982" s="14" t="str">
        <f t="shared" si="4"/>
        <v>Chocolate Mousse</v>
      </c>
      <c r="W982" s="14">
        <f t="shared" si="5"/>
        <v>3</v>
      </c>
      <c r="X982" s="14" t="str">
        <f t="shared" si="6"/>
        <v>Sita T</v>
      </c>
      <c r="Y982" s="15">
        <f t="shared" si="7"/>
        <v>44995</v>
      </c>
      <c r="Z982" s="14" t="str">
        <f t="shared" si="8"/>
        <v>Credit Card</v>
      </c>
      <c r="AA982" s="14" t="str">
        <f t="shared" si="9"/>
        <v>Delivered</v>
      </c>
      <c r="AB982" s="14" t="str">
        <f t="shared" ref="AB982:AC982" si="1968">trim(Q982)</f>
        <v>Convenience</v>
      </c>
      <c r="AC982" s="14" t="str">
        <f t="shared" si="1968"/>
        <v>Easy tracking</v>
      </c>
      <c r="AD982" s="8"/>
    </row>
    <row r="983">
      <c r="A983" s="14" t="str">
        <f>IFERROR(__xludf.DUMMYFUNCTION("""COMPUTED_VALUE"""),"//ord_40964//Mehul Thakkar//Malad//Apple+2*Vivek Kumar/3/19/2023//UPI//Delivered*Overall Satisfaction: Great service will order again")</f>
        <v>//ord_40964//Mehul Thakkar//Malad//Apple+2*Vivek Kumar/3/19/2023//UPI//Delivered*Overall Satisfaction: Great service will order again</v>
      </c>
      <c r="B983" s="14" t="str">
        <f>IFERROR(__xludf.DUMMYFUNCTION("split(A983,""//"")"),"ord_40964")</f>
        <v>ord_40964</v>
      </c>
      <c r="C983" s="14" t="str">
        <f>IFERROR(__xludf.DUMMYFUNCTION("""COMPUTED_VALUE"""),"Mehul Thakkar")</f>
        <v>Mehul Thakkar</v>
      </c>
      <c r="D983" s="14" t="str">
        <f>IFERROR(__xludf.DUMMYFUNCTION("""COMPUTED_VALUE"""),"Malad")</f>
        <v>Malad</v>
      </c>
      <c r="E983" s="14" t="str">
        <f>IFERROR(__xludf.DUMMYFUNCTION("""COMPUTED_VALUE"""),"Apple+2*Vivek Kumar")</f>
        <v>Apple+2*Vivek Kumar</v>
      </c>
      <c r="F983" s="14">
        <f>IFERROR(__xludf.DUMMYFUNCTION("""COMPUTED_VALUE"""),3.0)</f>
        <v>3</v>
      </c>
      <c r="G983" s="14">
        <f>IFERROR(__xludf.DUMMYFUNCTION("""COMPUTED_VALUE"""),19.0)</f>
        <v>19</v>
      </c>
      <c r="H983" s="14">
        <f>IFERROR(__xludf.DUMMYFUNCTION("""COMPUTED_VALUE"""),2023.0)</f>
        <v>2023</v>
      </c>
      <c r="I983" s="14" t="str">
        <f>IFERROR(__xludf.DUMMYFUNCTION("""COMPUTED_VALUE"""),"UPI")</f>
        <v>UPI</v>
      </c>
      <c r="J983" s="14" t="str">
        <f>IFERROR(__xludf.DUMMYFUNCTION("""COMPUTED_VALUE"""),"Delivered*Overall Satisfaction: Great service will order again")</f>
        <v>Delivered*Overall Satisfaction: Great service will order again</v>
      </c>
      <c r="K983" s="14" t="str">
        <f>IFERROR(__xludf.DUMMYFUNCTION("split(E983,""+"")"),"Apple")</f>
        <v>Apple</v>
      </c>
      <c r="L983" s="14" t="str">
        <f>IFERROR(__xludf.DUMMYFUNCTION("""COMPUTED_VALUE"""),"2*Vivek Kumar")</f>
        <v>2*Vivek Kumar</v>
      </c>
      <c r="M983" s="14">
        <f>IFERROR(__xludf.DUMMYFUNCTION("SPLIT(L983,""*"")"),2.0)</f>
        <v>2</v>
      </c>
      <c r="N983" s="14" t="str">
        <f>IFERROR(__xludf.DUMMYFUNCTION("""COMPUTED_VALUE"""),"Vivek Kumar")</f>
        <v>Vivek Kumar</v>
      </c>
      <c r="O983" s="14" t="str">
        <f>IFERROR(__xludf.DUMMYFUNCTION("split(J983,""*"")"),"Delivered")</f>
        <v>Delivered</v>
      </c>
      <c r="P983" s="14" t="str">
        <f>IFERROR(__xludf.DUMMYFUNCTION("""COMPUTED_VALUE"""),"Overall Satisfaction: Great service will order again")</f>
        <v>Overall Satisfaction: Great service will order again</v>
      </c>
      <c r="Q983" s="14" t="str">
        <f>IFERROR(__xludf.DUMMYFUNCTION("split(P983,"":"")"),"Overall Satisfaction")</f>
        <v>Overall Satisfaction</v>
      </c>
      <c r="R983" s="14" t="str">
        <f>IFERROR(__xludf.DUMMYFUNCTION("""COMPUTED_VALUE""")," Great service will order again")</f>
        <v> Great service will order again</v>
      </c>
      <c r="S983" s="14" t="str">
        <f t="shared" ref="S983:U983" si="1969">trim(B983)</f>
        <v>ord_40964</v>
      </c>
      <c r="T983" s="14" t="str">
        <f t="shared" si="1969"/>
        <v>Mehul Thakkar</v>
      </c>
      <c r="U983" s="14" t="str">
        <f t="shared" si="1969"/>
        <v>Malad</v>
      </c>
      <c r="V983" s="14" t="str">
        <f t="shared" si="4"/>
        <v>Apple</v>
      </c>
      <c r="W983" s="14">
        <f t="shared" si="5"/>
        <v>2</v>
      </c>
      <c r="X983" s="14" t="str">
        <f t="shared" si="6"/>
        <v>Vivek Kumar</v>
      </c>
      <c r="Y983" s="15">
        <f t="shared" si="7"/>
        <v>45004</v>
      </c>
      <c r="Z983" s="14" t="str">
        <f t="shared" si="8"/>
        <v>UPI</v>
      </c>
      <c r="AA983" s="14" t="str">
        <f t="shared" si="9"/>
        <v>Delivered</v>
      </c>
      <c r="AB983" s="14" t="str">
        <f t="shared" ref="AB983:AC983" si="1970">trim(Q983)</f>
        <v>Overall Satisfaction</v>
      </c>
      <c r="AC983" s="14" t="str">
        <f t="shared" si="1970"/>
        <v>Great service will order again</v>
      </c>
      <c r="AD983" s="8"/>
    </row>
    <row r="984">
      <c r="A984" s="14" t="str">
        <f>IFERROR(__xludf.DUMMYFUNCTION("""COMPUTED_VALUE"""),"//ord_40965//Omkar Mishra//Powai//Potato+2*Shine Thomas/9/21/2023//Credit Card//Delivered*On-time Delivery: Delivered on time")</f>
        <v>//ord_40965//Omkar Mishra//Powai//Potato+2*Shine Thomas/9/21/2023//Credit Card//Delivered*On-time Delivery: Delivered on time</v>
      </c>
      <c r="B984" s="14" t="str">
        <f>IFERROR(__xludf.DUMMYFUNCTION("split(A984,""//"")"),"ord_40965")</f>
        <v>ord_40965</v>
      </c>
      <c r="C984" s="14" t="str">
        <f>IFERROR(__xludf.DUMMYFUNCTION("""COMPUTED_VALUE"""),"Omkar Mishra")</f>
        <v>Omkar Mishra</v>
      </c>
      <c r="D984" s="14" t="str">
        <f>IFERROR(__xludf.DUMMYFUNCTION("""COMPUTED_VALUE"""),"Powai")</f>
        <v>Powai</v>
      </c>
      <c r="E984" s="14" t="str">
        <f>IFERROR(__xludf.DUMMYFUNCTION("""COMPUTED_VALUE"""),"Potato+2*Shine Thomas")</f>
        <v>Potato+2*Shine Thomas</v>
      </c>
      <c r="F984" s="14">
        <f>IFERROR(__xludf.DUMMYFUNCTION("""COMPUTED_VALUE"""),9.0)</f>
        <v>9</v>
      </c>
      <c r="G984" s="14">
        <f>IFERROR(__xludf.DUMMYFUNCTION("""COMPUTED_VALUE"""),21.0)</f>
        <v>21</v>
      </c>
      <c r="H984" s="14">
        <f>IFERROR(__xludf.DUMMYFUNCTION("""COMPUTED_VALUE"""),2023.0)</f>
        <v>2023</v>
      </c>
      <c r="I984" s="14" t="str">
        <f>IFERROR(__xludf.DUMMYFUNCTION("""COMPUTED_VALUE"""),"Credit Card")</f>
        <v>Credit Card</v>
      </c>
      <c r="J984" s="14" t="str">
        <f>IFERROR(__xludf.DUMMYFUNCTION("""COMPUTED_VALUE"""),"Delivered*On-time Delivery: Delivered on time")</f>
        <v>Delivered*On-time Delivery: Delivered on time</v>
      </c>
      <c r="K984" s="14" t="str">
        <f>IFERROR(__xludf.DUMMYFUNCTION("split(E984,""+"")"),"Potato")</f>
        <v>Potato</v>
      </c>
      <c r="L984" s="14" t="str">
        <f>IFERROR(__xludf.DUMMYFUNCTION("""COMPUTED_VALUE"""),"2*Shine Thomas")</f>
        <v>2*Shine Thomas</v>
      </c>
      <c r="M984" s="14">
        <f>IFERROR(__xludf.DUMMYFUNCTION("SPLIT(L984,""*"")"),2.0)</f>
        <v>2</v>
      </c>
      <c r="N984" s="14" t="str">
        <f>IFERROR(__xludf.DUMMYFUNCTION("""COMPUTED_VALUE"""),"Shine Thomas")</f>
        <v>Shine Thomas</v>
      </c>
      <c r="O984" s="14" t="str">
        <f>IFERROR(__xludf.DUMMYFUNCTION("split(J984,""*"")"),"Delivered")</f>
        <v>Delivered</v>
      </c>
      <c r="P984" s="14" t="str">
        <f>IFERROR(__xludf.DUMMYFUNCTION("""COMPUTED_VALUE"""),"On-time Delivery: Delivered on time")</f>
        <v>On-time Delivery: Delivered on time</v>
      </c>
      <c r="Q984" s="14" t="str">
        <f>IFERROR(__xludf.DUMMYFUNCTION("split(P984,"":"")"),"On-time Delivery")</f>
        <v>On-time Delivery</v>
      </c>
      <c r="R984" s="14" t="str">
        <f>IFERROR(__xludf.DUMMYFUNCTION("""COMPUTED_VALUE""")," Delivered on time")</f>
        <v> Delivered on time</v>
      </c>
      <c r="S984" s="14" t="str">
        <f t="shared" ref="S984:U984" si="1971">trim(B984)</f>
        <v>ord_40965</v>
      </c>
      <c r="T984" s="14" t="str">
        <f t="shared" si="1971"/>
        <v>Omkar Mishra</v>
      </c>
      <c r="U984" s="14" t="str">
        <f t="shared" si="1971"/>
        <v>Powai</v>
      </c>
      <c r="V984" s="14" t="str">
        <f t="shared" si="4"/>
        <v>Potato</v>
      </c>
      <c r="W984" s="14">
        <f t="shared" si="5"/>
        <v>2</v>
      </c>
      <c r="X984" s="14" t="str">
        <f t="shared" si="6"/>
        <v>Shine Thomas</v>
      </c>
      <c r="Y984" s="15">
        <f t="shared" si="7"/>
        <v>45190</v>
      </c>
      <c r="Z984" s="14" t="str">
        <f t="shared" si="8"/>
        <v>Credit Card</v>
      </c>
      <c r="AA984" s="14" t="str">
        <f t="shared" si="9"/>
        <v>Delivered</v>
      </c>
      <c r="AB984" s="14" t="str">
        <f t="shared" ref="AB984:AC984" si="1972">trim(Q984)</f>
        <v>On-time Delivery</v>
      </c>
      <c r="AC984" s="14" t="str">
        <f t="shared" si="1972"/>
        <v>Delivered on time</v>
      </c>
      <c r="AD984" s="8"/>
    </row>
    <row r="985">
      <c r="A985" s="14" t="str">
        <f>IFERROR(__xludf.DUMMYFUNCTION("""COMPUTED_VALUE"""),"//ord_40966//Arvind Kulkarni//Juhu//Chicken Puff+3*Venu R/6/16/2023//UPI//Delivered*Quality of Items: Perfect condition")</f>
        <v>//ord_40966//Arvind Kulkarni//Juhu//Chicken Puff+3*Venu R/6/16/2023//UPI//Delivered*Quality of Items: Perfect condition</v>
      </c>
      <c r="B985" s="14" t="str">
        <f>IFERROR(__xludf.DUMMYFUNCTION("split(A985,""//"")"),"ord_40966")</f>
        <v>ord_40966</v>
      </c>
      <c r="C985" s="14" t="str">
        <f>IFERROR(__xludf.DUMMYFUNCTION("""COMPUTED_VALUE"""),"Arvind Kulkarni")</f>
        <v>Arvind Kulkarni</v>
      </c>
      <c r="D985" s="14" t="str">
        <f>IFERROR(__xludf.DUMMYFUNCTION("""COMPUTED_VALUE"""),"Juhu")</f>
        <v>Juhu</v>
      </c>
      <c r="E985" s="14" t="str">
        <f>IFERROR(__xludf.DUMMYFUNCTION("""COMPUTED_VALUE"""),"Chicken Puff+3*Venu R")</f>
        <v>Chicken Puff+3*Venu R</v>
      </c>
      <c r="F985" s="14">
        <f>IFERROR(__xludf.DUMMYFUNCTION("""COMPUTED_VALUE"""),6.0)</f>
        <v>6</v>
      </c>
      <c r="G985" s="14">
        <f>IFERROR(__xludf.DUMMYFUNCTION("""COMPUTED_VALUE"""),16.0)</f>
        <v>16</v>
      </c>
      <c r="H985" s="14">
        <f>IFERROR(__xludf.DUMMYFUNCTION("""COMPUTED_VALUE"""),2023.0)</f>
        <v>2023</v>
      </c>
      <c r="I985" s="14" t="str">
        <f>IFERROR(__xludf.DUMMYFUNCTION("""COMPUTED_VALUE"""),"UPI")</f>
        <v>UPI</v>
      </c>
      <c r="J985" s="14" t="str">
        <f>IFERROR(__xludf.DUMMYFUNCTION("""COMPUTED_VALUE"""),"Delivered*Quality of Items: Perfect condition")</f>
        <v>Delivered*Quality of Items: Perfect condition</v>
      </c>
      <c r="K985" s="14" t="str">
        <f>IFERROR(__xludf.DUMMYFUNCTION("split(E985,""+"")"),"Chicken Puff")</f>
        <v>Chicken Puff</v>
      </c>
      <c r="L985" s="14" t="str">
        <f>IFERROR(__xludf.DUMMYFUNCTION("""COMPUTED_VALUE"""),"3*Venu R")</f>
        <v>3*Venu R</v>
      </c>
      <c r="M985" s="14">
        <f>IFERROR(__xludf.DUMMYFUNCTION("SPLIT(L985,""*"")"),3.0)</f>
        <v>3</v>
      </c>
      <c r="N985" s="14" t="str">
        <f>IFERROR(__xludf.DUMMYFUNCTION("""COMPUTED_VALUE"""),"Venu R")</f>
        <v>Venu R</v>
      </c>
      <c r="O985" s="14" t="str">
        <f>IFERROR(__xludf.DUMMYFUNCTION("split(J985,""*"")"),"Delivered")</f>
        <v>Delivered</v>
      </c>
      <c r="P985" s="14" t="str">
        <f>IFERROR(__xludf.DUMMYFUNCTION("""COMPUTED_VALUE"""),"Quality of Items: Perfect condition")</f>
        <v>Quality of Items: Perfect condition</v>
      </c>
      <c r="Q985" s="14" t="str">
        <f>IFERROR(__xludf.DUMMYFUNCTION("split(P985,"":"")"),"Quality of Items")</f>
        <v>Quality of Items</v>
      </c>
      <c r="R985" s="14" t="str">
        <f>IFERROR(__xludf.DUMMYFUNCTION("""COMPUTED_VALUE""")," Perfect condition")</f>
        <v> Perfect condition</v>
      </c>
      <c r="S985" s="14" t="str">
        <f t="shared" ref="S985:U985" si="1973">trim(B985)</f>
        <v>ord_40966</v>
      </c>
      <c r="T985" s="14" t="str">
        <f t="shared" si="1973"/>
        <v>Arvind Kulkarni</v>
      </c>
      <c r="U985" s="14" t="str">
        <f t="shared" si="1973"/>
        <v>Juhu</v>
      </c>
      <c r="V985" s="14" t="str">
        <f t="shared" si="4"/>
        <v>Chicken Puff</v>
      </c>
      <c r="W985" s="14">
        <f t="shared" si="5"/>
        <v>3</v>
      </c>
      <c r="X985" s="14" t="str">
        <f t="shared" si="6"/>
        <v>Venu R</v>
      </c>
      <c r="Y985" s="15">
        <f t="shared" si="7"/>
        <v>45093</v>
      </c>
      <c r="Z985" s="14" t="str">
        <f t="shared" si="8"/>
        <v>UPI</v>
      </c>
      <c r="AA985" s="14" t="str">
        <f t="shared" si="9"/>
        <v>Delivered</v>
      </c>
      <c r="AB985" s="14" t="str">
        <f t="shared" ref="AB985:AC985" si="1974">trim(Q985)</f>
        <v>Quality of Items</v>
      </c>
      <c r="AC985" s="14" t="str">
        <f t="shared" si="1974"/>
        <v>Perfect condition</v>
      </c>
      <c r="AD985" s="8"/>
    </row>
    <row r="986">
      <c r="A986" s="14" t="str">
        <f>IFERROR(__xludf.DUMMYFUNCTION("""COMPUTED_VALUE"""),"//ord_40967//Aditya Rao//Lower Parel//Chocolate Mousse+3*Ramesh S/12/17/2023//UPI//Delivered*On-time Delivery: Delivered on time")</f>
        <v>//ord_40967//Aditya Rao//Lower Parel//Chocolate Mousse+3*Ramesh S/12/17/2023//UPI//Delivered*On-time Delivery: Delivered on time</v>
      </c>
      <c r="B986" s="14" t="str">
        <f>IFERROR(__xludf.DUMMYFUNCTION("split(A986,""//"")"),"ord_40967")</f>
        <v>ord_40967</v>
      </c>
      <c r="C986" s="14" t="str">
        <f>IFERROR(__xludf.DUMMYFUNCTION("""COMPUTED_VALUE"""),"Aditya Rao")</f>
        <v>Aditya Rao</v>
      </c>
      <c r="D986" s="14" t="str">
        <f>IFERROR(__xludf.DUMMYFUNCTION("""COMPUTED_VALUE"""),"Lower Parel")</f>
        <v>Lower Parel</v>
      </c>
      <c r="E986" s="14" t="str">
        <f>IFERROR(__xludf.DUMMYFUNCTION("""COMPUTED_VALUE"""),"Chocolate Mousse+3*Ramesh S")</f>
        <v>Chocolate Mousse+3*Ramesh S</v>
      </c>
      <c r="F986" s="14">
        <f>IFERROR(__xludf.DUMMYFUNCTION("""COMPUTED_VALUE"""),12.0)</f>
        <v>12</v>
      </c>
      <c r="G986" s="14">
        <f>IFERROR(__xludf.DUMMYFUNCTION("""COMPUTED_VALUE"""),17.0)</f>
        <v>17</v>
      </c>
      <c r="H986" s="14">
        <f>IFERROR(__xludf.DUMMYFUNCTION("""COMPUTED_VALUE"""),2023.0)</f>
        <v>2023</v>
      </c>
      <c r="I986" s="14" t="str">
        <f>IFERROR(__xludf.DUMMYFUNCTION("""COMPUTED_VALUE"""),"UPI")</f>
        <v>UPI</v>
      </c>
      <c r="J986" s="14" t="str">
        <f>IFERROR(__xludf.DUMMYFUNCTION("""COMPUTED_VALUE"""),"Delivered*On-time Delivery: Delivered on time")</f>
        <v>Delivered*On-time Delivery: Delivered on time</v>
      </c>
      <c r="K986" s="14" t="str">
        <f>IFERROR(__xludf.DUMMYFUNCTION("split(E986,""+"")"),"Chocolate Mousse")</f>
        <v>Chocolate Mousse</v>
      </c>
      <c r="L986" s="14" t="str">
        <f>IFERROR(__xludf.DUMMYFUNCTION("""COMPUTED_VALUE"""),"3*Ramesh S")</f>
        <v>3*Ramesh S</v>
      </c>
      <c r="M986" s="14">
        <f>IFERROR(__xludf.DUMMYFUNCTION("SPLIT(L986,""*"")"),3.0)</f>
        <v>3</v>
      </c>
      <c r="N986" s="14" t="str">
        <f>IFERROR(__xludf.DUMMYFUNCTION("""COMPUTED_VALUE"""),"Ramesh S")</f>
        <v>Ramesh S</v>
      </c>
      <c r="O986" s="14" t="str">
        <f>IFERROR(__xludf.DUMMYFUNCTION("split(J986,""*"")"),"Delivered")</f>
        <v>Delivered</v>
      </c>
      <c r="P986" s="14" t="str">
        <f>IFERROR(__xludf.DUMMYFUNCTION("""COMPUTED_VALUE"""),"On-time Delivery: Delivered on time")</f>
        <v>On-time Delivery: Delivered on time</v>
      </c>
      <c r="Q986" s="14" t="str">
        <f>IFERROR(__xludf.DUMMYFUNCTION("split(P986,"":"")"),"On-time Delivery")</f>
        <v>On-time Delivery</v>
      </c>
      <c r="R986" s="14" t="str">
        <f>IFERROR(__xludf.DUMMYFUNCTION("""COMPUTED_VALUE""")," Delivered on time")</f>
        <v> Delivered on time</v>
      </c>
      <c r="S986" s="14" t="str">
        <f t="shared" ref="S986:U986" si="1975">trim(B986)</f>
        <v>ord_40967</v>
      </c>
      <c r="T986" s="14" t="str">
        <f t="shared" si="1975"/>
        <v>Aditya Rao</v>
      </c>
      <c r="U986" s="14" t="str">
        <f t="shared" si="1975"/>
        <v>Lower Parel</v>
      </c>
      <c r="V986" s="14" t="str">
        <f t="shared" si="4"/>
        <v>Chocolate Mousse</v>
      </c>
      <c r="W986" s="14">
        <f t="shared" si="5"/>
        <v>3</v>
      </c>
      <c r="X986" s="14" t="str">
        <f t="shared" si="6"/>
        <v>Ramesh S</v>
      </c>
      <c r="Y986" s="15">
        <f t="shared" si="7"/>
        <v>45277</v>
      </c>
      <c r="Z986" s="14" t="str">
        <f t="shared" si="8"/>
        <v>UPI</v>
      </c>
      <c r="AA986" s="14" t="str">
        <f t="shared" si="9"/>
        <v>Delivered</v>
      </c>
      <c r="AB986" s="14" t="str">
        <f t="shared" ref="AB986:AC986" si="1976">trim(Q986)</f>
        <v>On-time Delivery</v>
      </c>
      <c r="AC986" s="14" t="str">
        <f t="shared" si="1976"/>
        <v>Delivered on time</v>
      </c>
      <c r="AD986" s="8"/>
    </row>
    <row r="987">
      <c r="A987" s="14" t="str">
        <f>IFERROR(__xludf.DUMMYFUNCTION("""COMPUTED_VALUE"""),"//ord_40968//Aditi Iyer//Dadar//Apple+2*Ram Gopal/12/17/2023//UPI//Delivered*Quality of Items: Perfect condition")</f>
        <v>//ord_40968//Aditi Iyer//Dadar//Apple+2*Ram Gopal/12/17/2023//UPI//Delivered*Quality of Items: Perfect condition</v>
      </c>
      <c r="B987" s="14" t="str">
        <f>IFERROR(__xludf.DUMMYFUNCTION("split(A987,""//"")"),"ord_40968")</f>
        <v>ord_40968</v>
      </c>
      <c r="C987" s="14" t="str">
        <f>IFERROR(__xludf.DUMMYFUNCTION("""COMPUTED_VALUE"""),"Aditi Iyer")</f>
        <v>Aditi Iyer</v>
      </c>
      <c r="D987" s="14" t="str">
        <f>IFERROR(__xludf.DUMMYFUNCTION("""COMPUTED_VALUE"""),"Dadar")</f>
        <v>Dadar</v>
      </c>
      <c r="E987" s="14" t="str">
        <f>IFERROR(__xludf.DUMMYFUNCTION("""COMPUTED_VALUE"""),"Apple+2*Ram Gopal")</f>
        <v>Apple+2*Ram Gopal</v>
      </c>
      <c r="F987" s="14">
        <f>IFERROR(__xludf.DUMMYFUNCTION("""COMPUTED_VALUE"""),12.0)</f>
        <v>12</v>
      </c>
      <c r="G987" s="14">
        <f>IFERROR(__xludf.DUMMYFUNCTION("""COMPUTED_VALUE"""),17.0)</f>
        <v>17</v>
      </c>
      <c r="H987" s="14">
        <f>IFERROR(__xludf.DUMMYFUNCTION("""COMPUTED_VALUE"""),2023.0)</f>
        <v>2023</v>
      </c>
      <c r="I987" s="14" t="str">
        <f>IFERROR(__xludf.DUMMYFUNCTION("""COMPUTED_VALUE"""),"UPI")</f>
        <v>UPI</v>
      </c>
      <c r="J987" s="14" t="str">
        <f>IFERROR(__xludf.DUMMYFUNCTION("""COMPUTED_VALUE"""),"Delivered*Quality of Items: Perfect condition")</f>
        <v>Delivered*Quality of Items: Perfect condition</v>
      </c>
      <c r="K987" s="14" t="str">
        <f>IFERROR(__xludf.DUMMYFUNCTION("split(E987,""+"")"),"Apple")</f>
        <v>Apple</v>
      </c>
      <c r="L987" s="14" t="str">
        <f>IFERROR(__xludf.DUMMYFUNCTION("""COMPUTED_VALUE"""),"2*Ram Gopal")</f>
        <v>2*Ram Gopal</v>
      </c>
      <c r="M987" s="14">
        <f>IFERROR(__xludf.DUMMYFUNCTION("SPLIT(L987,""*"")"),2.0)</f>
        <v>2</v>
      </c>
      <c r="N987" s="14" t="str">
        <f>IFERROR(__xludf.DUMMYFUNCTION("""COMPUTED_VALUE"""),"Ram Gopal")</f>
        <v>Ram Gopal</v>
      </c>
      <c r="O987" s="14" t="str">
        <f>IFERROR(__xludf.DUMMYFUNCTION("split(J987,""*"")"),"Delivered")</f>
        <v>Delivered</v>
      </c>
      <c r="P987" s="14" t="str">
        <f>IFERROR(__xludf.DUMMYFUNCTION("""COMPUTED_VALUE"""),"Quality of Items: Perfect condition")</f>
        <v>Quality of Items: Perfect condition</v>
      </c>
      <c r="Q987" s="14" t="str">
        <f>IFERROR(__xludf.DUMMYFUNCTION("split(P987,"":"")"),"Quality of Items")</f>
        <v>Quality of Items</v>
      </c>
      <c r="R987" s="14" t="str">
        <f>IFERROR(__xludf.DUMMYFUNCTION("""COMPUTED_VALUE""")," Perfect condition")</f>
        <v> Perfect condition</v>
      </c>
      <c r="S987" s="14" t="str">
        <f t="shared" ref="S987:U987" si="1977">trim(B987)</f>
        <v>ord_40968</v>
      </c>
      <c r="T987" s="14" t="str">
        <f t="shared" si="1977"/>
        <v>Aditi Iyer</v>
      </c>
      <c r="U987" s="14" t="str">
        <f t="shared" si="1977"/>
        <v>Dadar</v>
      </c>
      <c r="V987" s="14" t="str">
        <f t="shared" si="4"/>
        <v>Apple</v>
      </c>
      <c r="W987" s="14">
        <f t="shared" si="5"/>
        <v>2</v>
      </c>
      <c r="X987" s="14" t="str">
        <f t="shared" si="6"/>
        <v>Ram Gopal</v>
      </c>
      <c r="Y987" s="15">
        <f t="shared" si="7"/>
        <v>45277</v>
      </c>
      <c r="Z987" s="14" t="str">
        <f t="shared" si="8"/>
        <v>UPI</v>
      </c>
      <c r="AA987" s="14" t="str">
        <f t="shared" si="9"/>
        <v>Delivered</v>
      </c>
      <c r="AB987" s="14" t="str">
        <f t="shared" ref="AB987:AC987" si="1978">trim(Q987)</f>
        <v>Quality of Items</v>
      </c>
      <c r="AC987" s="14" t="str">
        <f t="shared" si="1978"/>
        <v>Perfect condition</v>
      </c>
      <c r="AD987" s="8"/>
    </row>
    <row r="988">
      <c r="A988" s="14" t="str">
        <f>IFERROR(__xludf.DUMMYFUNCTION("""COMPUTED_VALUE"""),"//ord_40969//Aditi Iyer//Dadar//Chicken Puff+5*Manju Ajay/12/18/2023//Credit Card//Delivered*Packaging: Secure and intact")</f>
        <v>//ord_40969//Aditi Iyer//Dadar//Chicken Puff+5*Manju Ajay/12/18/2023//Credit Card//Delivered*Packaging: Secure and intact</v>
      </c>
      <c r="B988" s="14" t="str">
        <f>IFERROR(__xludf.DUMMYFUNCTION("split(A988,""//"")"),"ord_40969")</f>
        <v>ord_40969</v>
      </c>
      <c r="C988" s="14" t="str">
        <f>IFERROR(__xludf.DUMMYFUNCTION("""COMPUTED_VALUE"""),"Aditi Iyer")</f>
        <v>Aditi Iyer</v>
      </c>
      <c r="D988" s="14" t="str">
        <f>IFERROR(__xludf.DUMMYFUNCTION("""COMPUTED_VALUE"""),"Dadar")</f>
        <v>Dadar</v>
      </c>
      <c r="E988" s="14" t="str">
        <f>IFERROR(__xludf.DUMMYFUNCTION("""COMPUTED_VALUE"""),"Chicken Puff+5*Manju Ajay")</f>
        <v>Chicken Puff+5*Manju Ajay</v>
      </c>
      <c r="F988" s="14">
        <f>IFERROR(__xludf.DUMMYFUNCTION("""COMPUTED_VALUE"""),12.0)</f>
        <v>12</v>
      </c>
      <c r="G988" s="14">
        <f>IFERROR(__xludf.DUMMYFUNCTION("""COMPUTED_VALUE"""),18.0)</f>
        <v>18</v>
      </c>
      <c r="H988" s="14">
        <f>IFERROR(__xludf.DUMMYFUNCTION("""COMPUTED_VALUE"""),2023.0)</f>
        <v>2023</v>
      </c>
      <c r="I988" s="14" t="str">
        <f>IFERROR(__xludf.DUMMYFUNCTION("""COMPUTED_VALUE"""),"Credit Card")</f>
        <v>Credit Card</v>
      </c>
      <c r="J988" s="14" t="str">
        <f>IFERROR(__xludf.DUMMYFUNCTION("""COMPUTED_VALUE"""),"Delivered*Packaging: Secure and intact")</f>
        <v>Delivered*Packaging: Secure and intact</v>
      </c>
      <c r="K988" s="14" t="str">
        <f>IFERROR(__xludf.DUMMYFUNCTION("split(E988,""+"")"),"Chicken Puff")</f>
        <v>Chicken Puff</v>
      </c>
      <c r="L988" s="14" t="str">
        <f>IFERROR(__xludf.DUMMYFUNCTION("""COMPUTED_VALUE"""),"5*Manju Ajay")</f>
        <v>5*Manju Ajay</v>
      </c>
      <c r="M988" s="14">
        <f>IFERROR(__xludf.DUMMYFUNCTION("SPLIT(L988,""*"")"),5.0)</f>
        <v>5</v>
      </c>
      <c r="N988" s="14" t="str">
        <f>IFERROR(__xludf.DUMMYFUNCTION("""COMPUTED_VALUE"""),"Manju Ajay")</f>
        <v>Manju Ajay</v>
      </c>
      <c r="O988" s="14" t="str">
        <f>IFERROR(__xludf.DUMMYFUNCTION("split(J988,""*"")"),"Delivered")</f>
        <v>Delivered</v>
      </c>
      <c r="P988" s="14" t="str">
        <f>IFERROR(__xludf.DUMMYFUNCTION("""COMPUTED_VALUE"""),"Packaging: Secure and intact")</f>
        <v>Packaging: Secure and intact</v>
      </c>
      <c r="Q988" s="14" t="str">
        <f>IFERROR(__xludf.DUMMYFUNCTION("split(P988,"":"")"),"Packaging")</f>
        <v>Packaging</v>
      </c>
      <c r="R988" s="14" t="str">
        <f>IFERROR(__xludf.DUMMYFUNCTION("""COMPUTED_VALUE""")," Secure and intact")</f>
        <v> Secure and intact</v>
      </c>
      <c r="S988" s="14" t="str">
        <f t="shared" ref="S988:U988" si="1979">trim(B988)</f>
        <v>ord_40969</v>
      </c>
      <c r="T988" s="14" t="str">
        <f t="shared" si="1979"/>
        <v>Aditi Iyer</v>
      </c>
      <c r="U988" s="14" t="str">
        <f t="shared" si="1979"/>
        <v>Dadar</v>
      </c>
      <c r="V988" s="14" t="str">
        <f t="shared" si="4"/>
        <v>Chicken Puff</v>
      </c>
      <c r="W988" s="14">
        <f t="shared" si="5"/>
        <v>5</v>
      </c>
      <c r="X988" s="14" t="str">
        <f t="shared" si="6"/>
        <v>Manju Ajay</v>
      </c>
      <c r="Y988" s="15">
        <f t="shared" si="7"/>
        <v>45278</v>
      </c>
      <c r="Z988" s="14" t="str">
        <f t="shared" si="8"/>
        <v>Credit Card</v>
      </c>
      <c r="AA988" s="14" t="str">
        <f t="shared" si="9"/>
        <v>Delivered</v>
      </c>
      <c r="AB988" s="14" t="str">
        <f t="shared" ref="AB988:AC988" si="1980">trim(Q988)</f>
        <v>Packaging</v>
      </c>
      <c r="AC988" s="14" t="str">
        <f t="shared" si="1980"/>
        <v>Secure and intact</v>
      </c>
      <c r="AD988" s="8"/>
    </row>
    <row r="989">
      <c r="A989" s="14" t="str">
        <f>IFERROR(__xludf.DUMMYFUNCTION("""COMPUTED_VALUE"""),"//ord_40970//Aditi Iyer//Dadar//Potato+2*Manju Ajay/2/20/2023//Online Payment//Delivered*Satisfied with the Delivery: Timely and quality")</f>
        <v>//ord_40970//Aditi Iyer//Dadar//Potato+2*Manju Ajay/2/20/2023//Online Payment//Delivered*Satisfied with the Delivery: Timely and quality</v>
      </c>
      <c r="B989" s="14" t="str">
        <f>IFERROR(__xludf.DUMMYFUNCTION("split(A989,""//"")"),"ord_40970")</f>
        <v>ord_40970</v>
      </c>
      <c r="C989" s="14" t="str">
        <f>IFERROR(__xludf.DUMMYFUNCTION("""COMPUTED_VALUE"""),"Aditi Iyer")</f>
        <v>Aditi Iyer</v>
      </c>
      <c r="D989" s="14" t="str">
        <f>IFERROR(__xludf.DUMMYFUNCTION("""COMPUTED_VALUE"""),"Dadar")</f>
        <v>Dadar</v>
      </c>
      <c r="E989" s="14" t="str">
        <f>IFERROR(__xludf.DUMMYFUNCTION("""COMPUTED_VALUE"""),"Potato+2*Manju Ajay")</f>
        <v>Potato+2*Manju Ajay</v>
      </c>
      <c r="F989" s="14">
        <f>IFERROR(__xludf.DUMMYFUNCTION("""COMPUTED_VALUE"""),2.0)</f>
        <v>2</v>
      </c>
      <c r="G989" s="14">
        <f>IFERROR(__xludf.DUMMYFUNCTION("""COMPUTED_VALUE"""),20.0)</f>
        <v>20</v>
      </c>
      <c r="H989" s="14">
        <f>IFERROR(__xludf.DUMMYFUNCTION("""COMPUTED_VALUE"""),2023.0)</f>
        <v>2023</v>
      </c>
      <c r="I989" s="14" t="str">
        <f>IFERROR(__xludf.DUMMYFUNCTION("""COMPUTED_VALUE"""),"Online Payment")</f>
        <v>Online Payment</v>
      </c>
      <c r="J989" s="14" t="str">
        <f>IFERROR(__xludf.DUMMYFUNCTION("""COMPUTED_VALUE"""),"Delivered*Satisfied with the Delivery: Timely and quality")</f>
        <v>Delivered*Satisfied with the Delivery: Timely and quality</v>
      </c>
      <c r="K989" s="14" t="str">
        <f>IFERROR(__xludf.DUMMYFUNCTION("split(E989,""+"")"),"Potato")</f>
        <v>Potato</v>
      </c>
      <c r="L989" s="14" t="str">
        <f>IFERROR(__xludf.DUMMYFUNCTION("""COMPUTED_VALUE"""),"2*Manju Ajay")</f>
        <v>2*Manju Ajay</v>
      </c>
      <c r="M989" s="14">
        <f>IFERROR(__xludf.DUMMYFUNCTION("SPLIT(L989,""*"")"),2.0)</f>
        <v>2</v>
      </c>
      <c r="N989" s="14" t="str">
        <f>IFERROR(__xludf.DUMMYFUNCTION("""COMPUTED_VALUE"""),"Manju Ajay")</f>
        <v>Manju Ajay</v>
      </c>
      <c r="O989" s="14" t="str">
        <f>IFERROR(__xludf.DUMMYFUNCTION("split(J989,""*"")"),"Delivered")</f>
        <v>Delivered</v>
      </c>
      <c r="P989" s="14" t="str">
        <f>IFERROR(__xludf.DUMMYFUNCTION("""COMPUTED_VALUE"""),"Satisfied with the Delivery: Timely and quality")</f>
        <v>Satisfied with the Delivery: Timely and quality</v>
      </c>
      <c r="Q989" s="14" t="str">
        <f>IFERROR(__xludf.DUMMYFUNCTION("split(P989,"":"")"),"Satisfied with the Delivery")</f>
        <v>Satisfied with the Delivery</v>
      </c>
      <c r="R989" s="14" t="str">
        <f>IFERROR(__xludf.DUMMYFUNCTION("""COMPUTED_VALUE""")," Timely and quality")</f>
        <v> Timely and quality</v>
      </c>
      <c r="S989" s="14" t="str">
        <f t="shared" ref="S989:U989" si="1981">trim(B989)</f>
        <v>ord_40970</v>
      </c>
      <c r="T989" s="14" t="str">
        <f t="shared" si="1981"/>
        <v>Aditi Iyer</v>
      </c>
      <c r="U989" s="14" t="str">
        <f t="shared" si="1981"/>
        <v>Dadar</v>
      </c>
      <c r="V989" s="14" t="str">
        <f t="shared" si="4"/>
        <v>Potato</v>
      </c>
      <c r="W989" s="14">
        <f t="shared" si="5"/>
        <v>2</v>
      </c>
      <c r="X989" s="14" t="str">
        <f t="shared" si="6"/>
        <v>Manju Ajay</v>
      </c>
      <c r="Y989" s="15">
        <f t="shared" si="7"/>
        <v>44977</v>
      </c>
      <c r="Z989" s="14" t="str">
        <f t="shared" si="8"/>
        <v>Online Payment</v>
      </c>
      <c r="AA989" s="14" t="str">
        <f t="shared" si="9"/>
        <v>Delivered</v>
      </c>
      <c r="AB989" s="14" t="str">
        <f t="shared" ref="AB989:AC989" si="1982">trim(Q989)</f>
        <v>Satisfied with the Delivery</v>
      </c>
      <c r="AC989" s="14" t="str">
        <f t="shared" si="1982"/>
        <v>Timely and quality</v>
      </c>
      <c r="AD989" s="8"/>
    </row>
    <row r="990">
      <c r="A990" s="14" t="str">
        <f>IFERROR(__xludf.DUMMYFUNCTION("""COMPUTED_VALUE"""),"//ord_40971//Mohit Malhotra//Lower Parel//Tiramisu+5*Manju Ajay/7/14/2023//Online Payment//Delivered*Customer Service: Seamless and easy")</f>
        <v>//ord_40971//Mohit Malhotra//Lower Parel//Tiramisu+5*Manju Ajay/7/14/2023//Online Payment//Delivered*Customer Service: Seamless and easy</v>
      </c>
      <c r="B990" s="14" t="str">
        <f>IFERROR(__xludf.DUMMYFUNCTION("split(A990,""//"")"),"ord_40971")</f>
        <v>ord_40971</v>
      </c>
      <c r="C990" s="14" t="str">
        <f>IFERROR(__xludf.DUMMYFUNCTION("""COMPUTED_VALUE"""),"Mohit Malhotra")</f>
        <v>Mohit Malhotra</v>
      </c>
      <c r="D990" s="14" t="str">
        <f>IFERROR(__xludf.DUMMYFUNCTION("""COMPUTED_VALUE"""),"Lower Parel")</f>
        <v>Lower Parel</v>
      </c>
      <c r="E990" s="14" t="str">
        <f>IFERROR(__xludf.DUMMYFUNCTION("""COMPUTED_VALUE"""),"Tiramisu+5*Manju Ajay")</f>
        <v>Tiramisu+5*Manju Ajay</v>
      </c>
      <c r="F990" s="14">
        <f>IFERROR(__xludf.DUMMYFUNCTION("""COMPUTED_VALUE"""),7.0)</f>
        <v>7</v>
      </c>
      <c r="G990" s="14">
        <f>IFERROR(__xludf.DUMMYFUNCTION("""COMPUTED_VALUE"""),14.0)</f>
        <v>14</v>
      </c>
      <c r="H990" s="14">
        <f>IFERROR(__xludf.DUMMYFUNCTION("""COMPUTED_VALUE"""),2023.0)</f>
        <v>2023</v>
      </c>
      <c r="I990" s="14" t="str">
        <f>IFERROR(__xludf.DUMMYFUNCTION("""COMPUTED_VALUE"""),"Online Payment")</f>
        <v>Online Payment</v>
      </c>
      <c r="J990" s="14" t="str">
        <f>IFERROR(__xludf.DUMMYFUNCTION("""COMPUTED_VALUE"""),"Delivered*Customer Service: Seamless and easy")</f>
        <v>Delivered*Customer Service: Seamless and easy</v>
      </c>
      <c r="K990" s="14" t="str">
        <f>IFERROR(__xludf.DUMMYFUNCTION("split(E990,""+"")"),"Tiramisu")</f>
        <v>Tiramisu</v>
      </c>
      <c r="L990" s="14" t="str">
        <f>IFERROR(__xludf.DUMMYFUNCTION("""COMPUTED_VALUE"""),"5*Manju Ajay")</f>
        <v>5*Manju Ajay</v>
      </c>
      <c r="M990" s="14">
        <f>IFERROR(__xludf.DUMMYFUNCTION("SPLIT(L990,""*"")"),5.0)</f>
        <v>5</v>
      </c>
      <c r="N990" s="14" t="str">
        <f>IFERROR(__xludf.DUMMYFUNCTION("""COMPUTED_VALUE"""),"Manju Ajay")</f>
        <v>Manju Ajay</v>
      </c>
      <c r="O990" s="14" t="str">
        <f>IFERROR(__xludf.DUMMYFUNCTION("split(J990,""*"")"),"Delivered")</f>
        <v>Delivered</v>
      </c>
      <c r="P990" s="14" t="str">
        <f>IFERROR(__xludf.DUMMYFUNCTION("""COMPUTED_VALUE"""),"Customer Service: Seamless and easy")</f>
        <v>Customer Service: Seamless and easy</v>
      </c>
      <c r="Q990" s="14" t="str">
        <f>IFERROR(__xludf.DUMMYFUNCTION("split(P990,"":"")"),"Customer Service")</f>
        <v>Customer Service</v>
      </c>
      <c r="R990" s="14" t="str">
        <f>IFERROR(__xludf.DUMMYFUNCTION("""COMPUTED_VALUE""")," Seamless and easy")</f>
        <v> Seamless and easy</v>
      </c>
      <c r="S990" s="14" t="str">
        <f t="shared" ref="S990:U990" si="1983">trim(B990)</f>
        <v>ord_40971</v>
      </c>
      <c r="T990" s="14" t="str">
        <f t="shared" si="1983"/>
        <v>Mohit Malhotra</v>
      </c>
      <c r="U990" s="14" t="str">
        <f t="shared" si="1983"/>
        <v>Lower Parel</v>
      </c>
      <c r="V990" s="14" t="str">
        <f t="shared" si="4"/>
        <v>Tiramisu</v>
      </c>
      <c r="W990" s="14">
        <f t="shared" si="5"/>
        <v>5</v>
      </c>
      <c r="X990" s="14" t="str">
        <f t="shared" si="6"/>
        <v>Manju Ajay</v>
      </c>
      <c r="Y990" s="15">
        <f t="shared" si="7"/>
        <v>45121</v>
      </c>
      <c r="Z990" s="14" t="str">
        <f t="shared" si="8"/>
        <v>Online Payment</v>
      </c>
      <c r="AA990" s="14" t="str">
        <f t="shared" si="9"/>
        <v>Delivered</v>
      </c>
      <c r="AB990" s="14" t="str">
        <f t="shared" ref="AB990:AC990" si="1984">trim(Q990)</f>
        <v>Customer Service</v>
      </c>
      <c r="AC990" s="14" t="str">
        <f t="shared" si="1984"/>
        <v>Seamless and easy</v>
      </c>
      <c r="AD990" s="8"/>
    </row>
    <row r="991">
      <c r="A991" s="14" t="str">
        <f>IFERROR(__xludf.DUMMYFUNCTION("""COMPUTED_VALUE"""),"//ord_40972//Anaya Rao//Colaba//Tomato+1*Ram Gopal/4/29/2023//Credit Card//Delivered*Delivery Experience: Quick and professional")</f>
        <v>//ord_40972//Anaya Rao//Colaba//Tomato+1*Ram Gopal/4/29/2023//Credit Card//Delivered*Delivery Experience: Quick and professional</v>
      </c>
      <c r="B991" s="14" t="str">
        <f>IFERROR(__xludf.DUMMYFUNCTION("split(A991,""//"")"),"ord_40972")</f>
        <v>ord_40972</v>
      </c>
      <c r="C991" s="14" t="str">
        <f>IFERROR(__xludf.DUMMYFUNCTION("""COMPUTED_VALUE"""),"Anaya Rao")</f>
        <v>Anaya Rao</v>
      </c>
      <c r="D991" s="14" t="str">
        <f>IFERROR(__xludf.DUMMYFUNCTION("""COMPUTED_VALUE"""),"Colaba")</f>
        <v>Colaba</v>
      </c>
      <c r="E991" s="14" t="str">
        <f>IFERROR(__xludf.DUMMYFUNCTION("""COMPUTED_VALUE"""),"Tomato+1*Ram Gopal")</f>
        <v>Tomato+1*Ram Gopal</v>
      </c>
      <c r="F991" s="14">
        <f>IFERROR(__xludf.DUMMYFUNCTION("""COMPUTED_VALUE"""),4.0)</f>
        <v>4</v>
      </c>
      <c r="G991" s="14">
        <f>IFERROR(__xludf.DUMMYFUNCTION("""COMPUTED_VALUE"""),29.0)</f>
        <v>29</v>
      </c>
      <c r="H991" s="14">
        <f>IFERROR(__xludf.DUMMYFUNCTION("""COMPUTED_VALUE"""),2023.0)</f>
        <v>2023</v>
      </c>
      <c r="I991" s="14" t="str">
        <f>IFERROR(__xludf.DUMMYFUNCTION("""COMPUTED_VALUE"""),"Credit Card")</f>
        <v>Credit Card</v>
      </c>
      <c r="J991" s="14" t="str">
        <f>IFERROR(__xludf.DUMMYFUNCTION("""COMPUTED_VALUE"""),"Delivered*Delivery Experience: Quick and professional")</f>
        <v>Delivered*Delivery Experience: Quick and professional</v>
      </c>
      <c r="K991" s="14" t="str">
        <f>IFERROR(__xludf.DUMMYFUNCTION("split(E991,""+"")"),"Tomato")</f>
        <v>Tomato</v>
      </c>
      <c r="L991" s="14" t="str">
        <f>IFERROR(__xludf.DUMMYFUNCTION("""COMPUTED_VALUE"""),"1*Ram Gopal")</f>
        <v>1*Ram Gopal</v>
      </c>
      <c r="M991" s="14">
        <f>IFERROR(__xludf.DUMMYFUNCTION("SPLIT(L991,""*"")"),1.0)</f>
        <v>1</v>
      </c>
      <c r="N991" s="14" t="str">
        <f>IFERROR(__xludf.DUMMYFUNCTION("""COMPUTED_VALUE"""),"Ram Gopal")</f>
        <v>Ram Gopal</v>
      </c>
      <c r="O991" s="14" t="str">
        <f>IFERROR(__xludf.DUMMYFUNCTION("split(J991,""*"")"),"Delivered")</f>
        <v>Delivered</v>
      </c>
      <c r="P991" s="14" t="str">
        <f>IFERROR(__xludf.DUMMYFUNCTION("""COMPUTED_VALUE"""),"Delivery Experience: Quick and professional")</f>
        <v>Delivery Experience: Quick and professional</v>
      </c>
      <c r="Q991" s="14" t="str">
        <f>IFERROR(__xludf.DUMMYFUNCTION("split(P991,"":"")"),"Delivery Experience")</f>
        <v>Delivery Experience</v>
      </c>
      <c r="R991" s="14" t="str">
        <f>IFERROR(__xludf.DUMMYFUNCTION("""COMPUTED_VALUE""")," Quick and professional")</f>
        <v> Quick and professional</v>
      </c>
      <c r="S991" s="14" t="str">
        <f t="shared" ref="S991:U991" si="1985">trim(B991)</f>
        <v>ord_40972</v>
      </c>
      <c r="T991" s="14" t="str">
        <f t="shared" si="1985"/>
        <v>Anaya Rao</v>
      </c>
      <c r="U991" s="14" t="str">
        <f t="shared" si="1985"/>
        <v>Colaba</v>
      </c>
      <c r="V991" s="14" t="str">
        <f t="shared" si="4"/>
        <v>Tomato</v>
      </c>
      <c r="W991" s="14">
        <f t="shared" si="5"/>
        <v>1</v>
      </c>
      <c r="X991" s="14" t="str">
        <f t="shared" si="6"/>
        <v>Ram Gopal</v>
      </c>
      <c r="Y991" s="15">
        <f t="shared" si="7"/>
        <v>45045</v>
      </c>
      <c r="Z991" s="14" t="str">
        <f t="shared" si="8"/>
        <v>Credit Card</v>
      </c>
      <c r="AA991" s="14" t="str">
        <f t="shared" si="9"/>
        <v>Delivered</v>
      </c>
      <c r="AB991" s="14" t="str">
        <f t="shared" ref="AB991:AC991" si="1986">trim(Q991)</f>
        <v>Delivery Experience</v>
      </c>
      <c r="AC991" s="14" t="str">
        <f t="shared" si="1986"/>
        <v>Quick and professional</v>
      </c>
      <c r="AD991" s="8"/>
    </row>
    <row r="992">
      <c r="A992" s="14" t="str">
        <f>IFERROR(__xludf.DUMMYFUNCTION("""COMPUTED_VALUE"""),"//ord_40973//Kritika Shetty//Malad//Papaya+1*Not Assigned/5/12/2023//Credit Card//Cancelled*App Glitches:Slow Loading Time")</f>
        <v>//ord_40973//Kritika Shetty//Malad//Papaya+1*Not Assigned/5/12/2023//Credit Card//Cancelled*App Glitches:Slow Loading Time</v>
      </c>
      <c r="B992" s="14" t="str">
        <f>IFERROR(__xludf.DUMMYFUNCTION("split(A992,""//"")"),"ord_40973")</f>
        <v>ord_40973</v>
      </c>
      <c r="C992" s="14" t="str">
        <f>IFERROR(__xludf.DUMMYFUNCTION("""COMPUTED_VALUE"""),"Kritika Shetty")</f>
        <v>Kritika Shetty</v>
      </c>
      <c r="D992" s="14" t="str">
        <f>IFERROR(__xludf.DUMMYFUNCTION("""COMPUTED_VALUE"""),"Malad")</f>
        <v>Malad</v>
      </c>
      <c r="E992" s="14" t="str">
        <f>IFERROR(__xludf.DUMMYFUNCTION("""COMPUTED_VALUE"""),"Papaya+1*Not Assigned")</f>
        <v>Papaya+1*Not Assigned</v>
      </c>
      <c r="F992" s="14">
        <f>IFERROR(__xludf.DUMMYFUNCTION("""COMPUTED_VALUE"""),5.0)</f>
        <v>5</v>
      </c>
      <c r="G992" s="14">
        <f>IFERROR(__xludf.DUMMYFUNCTION("""COMPUTED_VALUE"""),12.0)</f>
        <v>12</v>
      </c>
      <c r="H992" s="14">
        <f>IFERROR(__xludf.DUMMYFUNCTION("""COMPUTED_VALUE"""),2023.0)</f>
        <v>2023</v>
      </c>
      <c r="I992" s="14" t="str">
        <f>IFERROR(__xludf.DUMMYFUNCTION("""COMPUTED_VALUE"""),"Credit Card")</f>
        <v>Credit Card</v>
      </c>
      <c r="J992" s="14" t="str">
        <f>IFERROR(__xludf.DUMMYFUNCTION("""COMPUTED_VALUE"""),"Cancelled*App Glitches:Slow Loading Time")</f>
        <v>Cancelled*App Glitches:Slow Loading Time</v>
      </c>
      <c r="K992" s="14" t="str">
        <f>IFERROR(__xludf.DUMMYFUNCTION("split(E992,""+"")"),"Papaya")</f>
        <v>Papaya</v>
      </c>
      <c r="L992" s="14" t="str">
        <f>IFERROR(__xludf.DUMMYFUNCTION("""COMPUTED_VALUE"""),"1*Not Assigned")</f>
        <v>1*Not Assigned</v>
      </c>
      <c r="M992" s="14">
        <f>IFERROR(__xludf.DUMMYFUNCTION("SPLIT(L992,""*"")"),1.0)</f>
        <v>1</v>
      </c>
      <c r="N992" s="14" t="str">
        <f>IFERROR(__xludf.DUMMYFUNCTION("""COMPUTED_VALUE"""),"Not Assigned")</f>
        <v>Not Assigned</v>
      </c>
      <c r="O992" s="14" t="str">
        <f>IFERROR(__xludf.DUMMYFUNCTION("split(J992,""*"")"),"Cancelled")</f>
        <v>Cancelled</v>
      </c>
      <c r="P992" s="14" t="str">
        <f>IFERROR(__xludf.DUMMYFUNCTION("""COMPUTED_VALUE"""),"App Glitches:Slow Loading Time")</f>
        <v>App Glitches:Slow Loading Time</v>
      </c>
      <c r="Q992" s="14" t="str">
        <f>IFERROR(__xludf.DUMMYFUNCTION("split(P992,"":"")"),"App Glitches")</f>
        <v>App Glitches</v>
      </c>
      <c r="R992" s="14" t="str">
        <f>IFERROR(__xludf.DUMMYFUNCTION("""COMPUTED_VALUE"""),"Slow Loading Time")</f>
        <v>Slow Loading Time</v>
      </c>
      <c r="S992" s="14" t="str">
        <f t="shared" ref="S992:U992" si="1987">trim(B992)</f>
        <v>ord_40973</v>
      </c>
      <c r="T992" s="14" t="str">
        <f t="shared" si="1987"/>
        <v>Kritika Shetty</v>
      </c>
      <c r="U992" s="14" t="str">
        <f t="shared" si="1987"/>
        <v>Malad</v>
      </c>
      <c r="V992" s="14" t="str">
        <f t="shared" si="4"/>
        <v>Papaya</v>
      </c>
      <c r="W992" s="14">
        <f t="shared" si="5"/>
        <v>1</v>
      </c>
      <c r="X992" s="14" t="str">
        <f t="shared" si="6"/>
        <v>Not Assigned</v>
      </c>
      <c r="Y992" s="15">
        <f t="shared" si="7"/>
        <v>45058</v>
      </c>
      <c r="Z992" s="14" t="str">
        <f t="shared" si="8"/>
        <v>Credit Card</v>
      </c>
      <c r="AA992" s="14" t="str">
        <f t="shared" si="9"/>
        <v>Cancelled</v>
      </c>
      <c r="AB992" s="14" t="str">
        <f t="shared" ref="AB992:AC992" si="1988">trim(Q992)</f>
        <v>App Glitches</v>
      </c>
      <c r="AC992" s="14" t="str">
        <f t="shared" si="1988"/>
        <v>Slow Loading Time</v>
      </c>
      <c r="AD992" s="8"/>
    </row>
    <row r="993">
      <c r="A993" s="14" t="str">
        <f>IFERROR(__xludf.DUMMYFUNCTION("""COMPUTED_VALUE"""),"//ord_40974//Pranav Joshi//Andheri//Papaya+1*Shine Thomas/12/4/2023//Online Payment//Delivered*Convenience: Easy tracking")</f>
        <v>//ord_40974//Pranav Joshi//Andheri//Papaya+1*Shine Thomas/12/4/2023//Online Payment//Delivered*Convenience: Easy tracking</v>
      </c>
      <c r="B993" s="14" t="str">
        <f>IFERROR(__xludf.DUMMYFUNCTION("split(A993,""//"")"),"ord_40974")</f>
        <v>ord_40974</v>
      </c>
      <c r="C993" s="14" t="str">
        <f>IFERROR(__xludf.DUMMYFUNCTION("""COMPUTED_VALUE"""),"Pranav Joshi")</f>
        <v>Pranav Joshi</v>
      </c>
      <c r="D993" s="14" t="str">
        <f>IFERROR(__xludf.DUMMYFUNCTION("""COMPUTED_VALUE"""),"Andheri")</f>
        <v>Andheri</v>
      </c>
      <c r="E993" s="14" t="str">
        <f>IFERROR(__xludf.DUMMYFUNCTION("""COMPUTED_VALUE"""),"Papaya+1*Shine Thomas")</f>
        <v>Papaya+1*Shine Thomas</v>
      </c>
      <c r="F993" s="14">
        <f>IFERROR(__xludf.DUMMYFUNCTION("""COMPUTED_VALUE"""),12.0)</f>
        <v>12</v>
      </c>
      <c r="G993" s="14">
        <f>IFERROR(__xludf.DUMMYFUNCTION("""COMPUTED_VALUE"""),4.0)</f>
        <v>4</v>
      </c>
      <c r="H993" s="14">
        <f>IFERROR(__xludf.DUMMYFUNCTION("""COMPUTED_VALUE"""),2023.0)</f>
        <v>2023</v>
      </c>
      <c r="I993" s="14" t="str">
        <f>IFERROR(__xludf.DUMMYFUNCTION("""COMPUTED_VALUE"""),"Online Payment")</f>
        <v>Online Payment</v>
      </c>
      <c r="J993" s="14" t="str">
        <f>IFERROR(__xludf.DUMMYFUNCTION("""COMPUTED_VALUE"""),"Delivered*Convenience: Easy tracking")</f>
        <v>Delivered*Convenience: Easy tracking</v>
      </c>
      <c r="K993" s="14" t="str">
        <f>IFERROR(__xludf.DUMMYFUNCTION("split(E993,""+"")"),"Papaya")</f>
        <v>Papaya</v>
      </c>
      <c r="L993" s="14" t="str">
        <f>IFERROR(__xludf.DUMMYFUNCTION("""COMPUTED_VALUE"""),"1*Shine Thomas")</f>
        <v>1*Shine Thomas</v>
      </c>
      <c r="M993" s="14">
        <f>IFERROR(__xludf.DUMMYFUNCTION("SPLIT(L993,""*"")"),1.0)</f>
        <v>1</v>
      </c>
      <c r="N993" s="14" t="str">
        <f>IFERROR(__xludf.DUMMYFUNCTION("""COMPUTED_VALUE"""),"Shine Thomas")</f>
        <v>Shine Thomas</v>
      </c>
      <c r="O993" s="14" t="str">
        <f>IFERROR(__xludf.DUMMYFUNCTION("split(J993,""*"")"),"Delivered")</f>
        <v>Delivered</v>
      </c>
      <c r="P993" s="14" t="str">
        <f>IFERROR(__xludf.DUMMYFUNCTION("""COMPUTED_VALUE"""),"Convenience: Easy tracking")</f>
        <v>Convenience: Easy tracking</v>
      </c>
      <c r="Q993" s="14" t="str">
        <f>IFERROR(__xludf.DUMMYFUNCTION("split(P993,"":"")"),"Convenience")</f>
        <v>Convenience</v>
      </c>
      <c r="R993" s="14" t="str">
        <f>IFERROR(__xludf.DUMMYFUNCTION("""COMPUTED_VALUE""")," Easy tracking")</f>
        <v> Easy tracking</v>
      </c>
      <c r="S993" s="14" t="str">
        <f t="shared" ref="S993:U993" si="1989">trim(B993)</f>
        <v>ord_40974</v>
      </c>
      <c r="T993" s="14" t="str">
        <f t="shared" si="1989"/>
        <v>Pranav Joshi</v>
      </c>
      <c r="U993" s="14" t="str">
        <f t="shared" si="1989"/>
        <v>Andheri</v>
      </c>
      <c r="V993" s="14" t="str">
        <f t="shared" si="4"/>
        <v>Papaya</v>
      </c>
      <c r="W993" s="14">
        <f t="shared" si="5"/>
        <v>1</v>
      </c>
      <c r="X993" s="14" t="str">
        <f t="shared" si="6"/>
        <v>Shine Thomas</v>
      </c>
      <c r="Y993" s="15">
        <f t="shared" si="7"/>
        <v>45264</v>
      </c>
      <c r="Z993" s="14" t="str">
        <f t="shared" si="8"/>
        <v>Online Payment</v>
      </c>
      <c r="AA993" s="14" t="str">
        <f t="shared" si="9"/>
        <v>Delivered</v>
      </c>
      <c r="AB993" s="14" t="str">
        <f t="shared" ref="AB993:AC993" si="1990">trim(Q993)</f>
        <v>Convenience</v>
      </c>
      <c r="AC993" s="14" t="str">
        <f t="shared" si="1990"/>
        <v>Easy tracking</v>
      </c>
      <c r="AD993" s="8"/>
    </row>
    <row r="994">
      <c r="A994" s="14" t="str">
        <f>IFERROR(__xludf.DUMMYFUNCTION("""COMPUTED_VALUE"""),"//ord_40975//Aditi Iyer//Dadar//Guava+2*Sita T/4/20/2023//Online Payment//Delivered*Overall Satisfaction: Great service will order again")</f>
        <v>//ord_40975//Aditi Iyer//Dadar//Guava+2*Sita T/4/20/2023//Online Payment//Delivered*Overall Satisfaction: Great service will order again</v>
      </c>
      <c r="B994" s="14" t="str">
        <f>IFERROR(__xludf.DUMMYFUNCTION("split(A994,""//"")"),"ord_40975")</f>
        <v>ord_40975</v>
      </c>
      <c r="C994" s="14" t="str">
        <f>IFERROR(__xludf.DUMMYFUNCTION("""COMPUTED_VALUE"""),"Aditi Iyer")</f>
        <v>Aditi Iyer</v>
      </c>
      <c r="D994" s="14" t="str">
        <f>IFERROR(__xludf.DUMMYFUNCTION("""COMPUTED_VALUE"""),"Dadar")</f>
        <v>Dadar</v>
      </c>
      <c r="E994" s="14" t="str">
        <f>IFERROR(__xludf.DUMMYFUNCTION("""COMPUTED_VALUE"""),"Guava+2*Sita T")</f>
        <v>Guava+2*Sita T</v>
      </c>
      <c r="F994" s="14">
        <f>IFERROR(__xludf.DUMMYFUNCTION("""COMPUTED_VALUE"""),4.0)</f>
        <v>4</v>
      </c>
      <c r="G994" s="14">
        <f>IFERROR(__xludf.DUMMYFUNCTION("""COMPUTED_VALUE"""),20.0)</f>
        <v>20</v>
      </c>
      <c r="H994" s="14">
        <f>IFERROR(__xludf.DUMMYFUNCTION("""COMPUTED_VALUE"""),2023.0)</f>
        <v>2023</v>
      </c>
      <c r="I994" s="14" t="str">
        <f>IFERROR(__xludf.DUMMYFUNCTION("""COMPUTED_VALUE"""),"Online Payment")</f>
        <v>Online Payment</v>
      </c>
      <c r="J994" s="14" t="str">
        <f>IFERROR(__xludf.DUMMYFUNCTION("""COMPUTED_VALUE"""),"Delivered*Overall Satisfaction: Great service will order again")</f>
        <v>Delivered*Overall Satisfaction: Great service will order again</v>
      </c>
      <c r="K994" s="14" t="str">
        <f>IFERROR(__xludf.DUMMYFUNCTION("split(E994,""+"")"),"Guava")</f>
        <v>Guava</v>
      </c>
      <c r="L994" s="14" t="str">
        <f>IFERROR(__xludf.DUMMYFUNCTION("""COMPUTED_VALUE"""),"2*Sita T")</f>
        <v>2*Sita T</v>
      </c>
      <c r="M994" s="14">
        <f>IFERROR(__xludf.DUMMYFUNCTION("SPLIT(L994,""*"")"),2.0)</f>
        <v>2</v>
      </c>
      <c r="N994" s="14" t="str">
        <f>IFERROR(__xludf.DUMMYFUNCTION("""COMPUTED_VALUE"""),"Sita T")</f>
        <v>Sita T</v>
      </c>
      <c r="O994" s="14" t="str">
        <f>IFERROR(__xludf.DUMMYFUNCTION("split(J994,""*"")"),"Delivered")</f>
        <v>Delivered</v>
      </c>
      <c r="P994" s="14" t="str">
        <f>IFERROR(__xludf.DUMMYFUNCTION("""COMPUTED_VALUE"""),"Overall Satisfaction: Great service will order again")</f>
        <v>Overall Satisfaction: Great service will order again</v>
      </c>
      <c r="Q994" s="14" t="str">
        <f>IFERROR(__xludf.DUMMYFUNCTION("split(P994,"":"")"),"Overall Satisfaction")</f>
        <v>Overall Satisfaction</v>
      </c>
      <c r="R994" s="14" t="str">
        <f>IFERROR(__xludf.DUMMYFUNCTION("""COMPUTED_VALUE""")," Great service will order again")</f>
        <v> Great service will order again</v>
      </c>
      <c r="S994" s="14" t="str">
        <f t="shared" ref="S994:U994" si="1991">trim(B994)</f>
        <v>ord_40975</v>
      </c>
      <c r="T994" s="14" t="str">
        <f t="shared" si="1991"/>
        <v>Aditi Iyer</v>
      </c>
      <c r="U994" s="14" t="str">
        <f t="shared" si="1991"/>
        <v>Dadar</v>
      </c>
      <c r="V994" s="14" t="str">
        <f t="shared" si="4"/>
        <v>Guava</v>
      </c>
      <c r="W994" s="14">
        <f t="shared" si="5"/>
        <v>2</v>
      </c>
      <c r="X994" s="14" t="str">
        <f t="shared" si="6"/>
        <v>Sita T</v>
      </c>
      <c r="Y994" s="15">
        <f t="shared" si="7"/>
        <v>45036</v>
      </c>
      <c r="Z994" s="14" t="str">
        <f t="shared" si="8"/>
        <v>Online Payment</v>
      </c>
      <c r="AA994" s="14" t="str">
        <f t="shared" si="9"/>
        <v>Delivered</v>
      </c>
      <c r="AB994" s="14" t="str">
        <f t="shared" ref="AB994:AC994" si="1992">trim(Q994)</f>
        <v>Overall Satisfaction</v>
      </c>
      <c r="AC994" s="14" t="str">
        <f t="shared" si="1992"/>
        <v>Great service will order again</v>
      </c>
      <c r="AD994" s="8"/>
    </row>
    <row r="995">
      <c r="A995" s="14" t="str">
        <f>IFERROR(__xludf.DUMMYFUNCTION("""COMPUTED_VALUE"""),"//ord_40976//Aditya Basu//Juhu//Cucumber+2*Manju Ajay/3/14/2023//UPI//Delivered*On-time Delivery: Delivered on time")</f>
        <v>//ord_40976//Aditya Basu//Juhu//Cucumber+2*Manju Ajay/3/14/2023//UPI//Delivered*On-time Delivery: Delivered on time</v>
      </c>
      <c r="B995" s="14" t="str">
        <f>IFERROR(__xludf.DUMMYFUNCTION("split(A995,""//"")"),"ord_40976")</f>
        <v>ord_40976</v>
      </c>
      <c r="C995" s="14" t="str">
        <f>IFERROR(__xludf.DUMMYFUNCTION("""COMPUTED_VALUE"""),"Aditya Basu")</f>
        <v>Aditya Basu</v>
      </c>
      <c r="D995" s="14" t="str">
        <f>IFERROR(__xludf.DUMMYFUNCTION("""COMPUTED_VALUE"""),"Juhu")</f>
        <v>Juhu</v>
      </c>
      <c r="E995" s="14" t="str">
        <f>IFERROR(__xludf.DUMMYFUNCTION("""COMPUTED_VALUE"""),"Cucumber+2*Manju Ajay")</f>
        <v>Cucumber+2*Manju Ajay</v>
      </c>
      <c r="F995" s="14">
        <f>IFERROR(__xludf.DUMMYFUNCTION("""COMPUTED_VALUE"""),3.0)</f>
        <v>3</v>
      </c>
      <c r="G995" s="14">
        <f>IFERROR(__xludf.DUMMYFUNCTION("""COMPUTED_VALUE"""),14.0)</f>
        <v>14</v>
      </c>
      <c r="H995" s="14">
        <f>IFERROR(__xludf.DUMMYFUNCTION("""COMPUTED_VALUE"""),2023.0)</f>
        <v>2023</v>
      </c>
      <c r="I995" s="14" t="str">
        <f>IFERROR(__xludf.DUMMYFUNCTION("""COMPUTED_VALUE"""),"UPI")</f>
        <v>UPI</v>
      </c>
      <c r="J995" s="14" t="str">
        <f>IFERROR(__xludf.DUMMYFUNCTION("""COMPUTED_VALUE"""),"Delivered*On-time Delivery: Delivered on time")</f>
        <v>Delivered*On-time Delivery: Delivered on time</v>
      </c>
      <c r="K995" s="14" t="str">
        <f>IFERROR(__xludf.DUMMYFUNCTION("split(E995,""+"")"),"Cucumber")</f>
        <v>Cucumber</v>
      </c>
      <c r="L995" s="14" t="str">
        <f>IFERROR(__xludf.DUMMYFUNCTION("""COMPUTED_VALUE"""),"2*Manju Ajay")</f>
        <v>2*Manju Ajay</v>
      </c>
      <c r="M995" s="14">
        <f>IFERROR(__xludf.DUMMYFUNCTION("SPLIT(L995,""*"")"),2.0)</f>
        <v>2</v>
      </c>
      <c r="N995" s="14" t="str">
        <f>IFERROR(__xludf.DUMMYFUNCTION("""COMPUTED_VALUE"""),"Manju Ajay")</f>
        <v>Manju Ajay</v>
      </c>
      <c r="O995" s="14" t="str">
        <f>IFERROR(__xludf.DUMMYFUNCTION("split(J995,""*"")"),"Delivered")</f>
        <v>Delivered</v>
      </c>
      <c r="P995" s="14" t="str">
        <f>IFERROR(__xludf.DUMMYFUNCTION("""COMPUTED_VALUE"""),"On-time Delivery: Delivered on time")</f>
        <v>On-time Delivery: Delivered on time</v>
      </c>
      <c r="Q995" s="14" t="str">
        <f>IFERROR(__xludf.DUMMYFUNCTION("split(P995,"":"")"),"On-time Delivery")</f>
        <v>On-time Delivery</v>
      </c>
      <c r="R995" s="14" t="str">
        <f>IFERROR(__xludf.DUMMYFUNCTION("""COMPUTED_VALUE""")," Delivered on time")</f>
        <v> Delivered on time</v>
      </c>
      <c r="S995" s="14" t="str">
        <f t="shared" ref="S995:U995" si="1993">trim(B995)</f>
        <v>ord_40976</v>
      </c>
      <c r="T995" s="14" t="str">
        <f t="shared" si="1993"/>
        <v>Aditya Basu</v>
      </c>
      <c r="U995" s="14" t="str">
        <f t="shared" si="1993"/>
        <v>Juhu</v>
      </c>
      <c r="V995" s="14" t="str">
        <f t="shared" si="4"/>
        <v>Cucumber</v>
      </c>
      <c r="W995" s="14">
        <f t="shared" si="5"/>
        <v>2</v>
      </c>
      <c r="X995" s="14" t="str">
        <f t="shared" si="6"/>
        <v>Manju Ajay</v>
      </c>
      <c r="Y995" s="15">
        <f t="shared" si="7"/>
        <v>44999</v>
      </c>
      <c r="Z995" s="14" t="str">
        <f t="shared" si="8"/>
        <v>UPI</v>
      </c>
      <c r="AA995" s="14" t="str">
        <f t="shared" si="9"/>
        <v>Delivered</v>
      </c>
      <c r="AB995" s="14" t="str">
        <f t="shared" ref="AB995:AC995" si="1994">trim(Q995)</f>
        <v>On-time Delivery</v>
      </c>
      <c r="AC995" s="14" t="str">
        <f t="shared" si="1994"/>
        <v>Delivered on time</v>
      </c>
      <c r="AD995" s="8"/>
    </row>
    <row r="996">
      <c r="A996" s="14" t="str">
        <f>IFERROR(__xludf.DUMMYFUNCTION("""COMPUTED_VALUE"""),"//ord_40977//Aditya Rao//Lower Parel//Tiramisu+2*Ramesh S/2/20/2023//Credit Card//Delivered*Quality of Items: Perfect condition")</f>
        <v>//ord_40977//Aditya Rao//Lower Parel//Tiramisu+2*Ramesh S/2/20/2023//Credit Card//Delivered*Quality of Items: Perfect condition</v>
      </c>
      <c r="B996" s="14" t="str">
        <f>IFERROR(__xludf.DUMMYFUNCTION("split(A996,""//"")"),"ord_40977")</f>
        <v>ord_40977</v>
      </c>
      <c r="C996" s="14" t="str">
        <f>IFERROR(__xludf.DUMMYFUNCTION("""COMPUTED_VALUE"""),"Aditya Rao")</f>
        <v>Aditya Rao</v>
      </c>
      <c r="D996" s="14" t="str">
        <f>IFERROR(__xludf.DUMMYFUNCTION("""COMPUTED_VALUE"""),"Lower Parel")</f>
        <v>Lower Parel</v>
      </c>
      <c r="E996" s="14" t="str">
        <f>IFERROR(__xludf.DUMMYFUNCTION("""COMPUTED_VALUE"""),"Tiramisu+2*Ramesh S")</f>
        <v>Tiramisu+2*Ramesh S</v>
      </c>
      <c r="F996" s="14">
        <f>IFERROR(__xludf.DUMMYFUNCTION("""COMPUTED_VALUE"""),2.0)</f>
        <v>2</v>
      </c>
      <c r="G996" s="14">
        <f>IFERROR(__xludf.DUMMYFUNCTION("""COMPUTED_VALUE"""),20.0)</f>
        <v>20</v>
      </c>
      <c r="H996" s="14">
        <f>IFERROR(__xludf.DUMMYFUNCTION("""COMPUTED_VALUE"""),2023.0)</f>
        <v>2023</v>
      </c>
      <c r="I996" s="14" t="str">
        <f>IFERROR(__xludf.DUMMYFUNCTION("""COMPUTED_VALUE"""),"Credit Card")</f>
        <v>Credit Card</v>
      </c>
      <c r="J996" s="14" t="str">
        <f>IFERROR(__xludf.DUMMYFUNCTION("""COMPUTED_VALUE"""),"Delivered*Quality of Items: Perfect condition")</f>
        <v>Delivered*Quality of Items: Perfect condition</v>
      </c>
      <c r="K996" s="14" t="str">
        <f>IFERROR(__xludf.DUMMYFUNCTION("split(E996,""+"")"),"Tiramisu")</f>
        <v>Tiramisu</v>
      </c>
      <c r="L996" s="14" t="str">
        <f>IFERROR(__xludf.DUMMYFUNCTION("""COMPUTED_VALUE"""),"2*Ramesh S")</f>
        <v>2*Ramesh S</v>
      </c>
      <c r="M996" s="14">
        <f>IFERROR(__xludf.DUMMYFUNCTION("SPLIT(L996,""*"")"),2.0)</f>
        <v>2</v>
      </c>
      <c r="N996" s="14" t="str">
        <f>IFERROR(__xludf.DUMMYFUNCTION("""COMPUTED_VALUE"""),"Ramesh S")</f>
        <v>Ramesh S</v>
      </c>
      <c r="O996" s="14" t="str">
        <f>IFERROR(__xludf.DUMMYFUNCTION("split(J996,""*"")"),"Delivered")</f>
        <v>Delivered</v>
      </c>
      <c r="P996" s="14" t="str">
        <f>IFERROR(__xludf.DUMMYFUNCTION("""COMPUTED_VALUE"""),"Quality of Items: Perfect condition")</f>
        <v>Quality of Items: Perfect condition</v>
      </c>
      <c r="Q996" s="14" t="str">
        <f>IFERROR(__xludf.DUMMYFUNCTION("split(P996,"":"")"),"Quality of Items")</f>
        <v>Quality of Items</v>
      </c>
      <c r="R996" s="14" t="str">
        <f>IFERROR(__xludf.DUMMYFUNCTION("""COMPUTED_VALUE""")," Perfect condition")</f>
        <v> Perfect condition</v>
      </c>
      <c r="S996" s="14" t="str">
        <f t="shared" ref="S996:U996" si="1995">trim(B996)</f>
        <v>ord_40977</v>
      </c>
      <c r="T996" s="14" t="str">
        <f t="shared" si="1995"/>
        <v>Aditya Rao</v>
      </c>
      <c r="U996" s="14" t="str">
        <f t="shared" si="1995"/>
        <v>Lower Parel</v>
      </c>
      <c r="V996" s="14" t="str">
        <f t="shared" si="4"/>
        <v>Tiramisu</v>
      </c>
      <c r="W996" s="14">
        <f t="shared" si="5"/>
        <v>2</v>
      </c>
      <c r="X996" s="14" t="str">
        <f t="shared" si="6"/>
        <v>Ramesh S</v>
      </c>
      <c r="Y996" s="15">
        <f t="shared" si="7"/>
        <v>44977</v>
      </c>
      <c r="Z996" s="14" t="str">
        <f t="shared" si="8"/>
        <v>Credit Card</v>
      </c>
      <c r="AA996" s="14" t="str">
        <f t="shared" si="9"/>
        <v>Delivered</v>
      </c>
      <c r="AB996" s="14" t="str">
        <f t="shared" ref="AB996:AC996" si="1996">trim(Q996)</f>
        <v>Quality of Items</v>
      </c>
      <c r="AC996" s="14" t="str">
        <f t="shared" si="1996"/>
        <v>Perfect condition</v>
      </c>
      <c r="AD996" s="8"/>
    </row>
    <row r="997">
      <c r="A997" s="14" t="str">
        <f>IFERROR(__xludf.DUMMYFUNCTION("""COMPUTED_VALUE"""),"//ord_40978//Mehul Thakkar//Malad//Onion+2*Not Assigned/10/28/2023//Credit Card//Cancelled*App Glitches:Missing Content")</f>
        <v>//ord_40978//Mehul Thakkar//Malad//Onion+2*Not Assigned/10/28/2023//Credit Card//Cancelled*App Glitches:Missing Content</v>
      </c>
      <c r="B997" s="14" t="str">
        <f>IFERROR(__xludf.DUMMYFUNCTION("split(A997,""//"")"),"ord_40978")</f>
        <v>ord_40978</v>
      </c>
      <c r="C997" s="14" t="str">
        <f>IFERROR(__xludf.DUMMYFUNCTION("""COMPUTED_VALUE"""),"Mehul Thakkar")</f>
        <v>Mehul Thakkar</v>
      </c>
      <c r="D997" s="14" t="str">
        <f>IFERROR(__xludf.DUMMYFUNCTION("""COMPUTED_VALUE"""),"Malad")</f>
        <v>Malad</v>
      </c>
      <c r="E997" s="14" t="str">
        <f>IFERROR(__xludf.DUMMYFUNCTION("""COMPUTED_VALUE"""),"Onion+2*Not Assigned")</f>
        <v>Onion+2*Not Assigned</v>
      </c>
      <c r="F997" s="14">
        <f>IFERROR(__xludf.DUMMYFUNCTION("""COMPUTED_VALUE"""),10.0)</f>
        <v>10</v>
      </c>
      <c r="G997" s="14">
        <f>IFERROR(__xludf.DUMMYFUNCTION("""COMPUTED_VALUE"""),28.0)</f>
        <v>28</v>
      </c>
      <c r="H997" s="14">
        <f>IFERROR(__xludf.DUMMYFUNCTION("""COMPUTED_VALUE"""),2023.0)</f>
        <v>2023</v>
      </c>
      <c r="I997" s="14" t="str">
        <f>IFERROR(__xludf.DUMMYFUNCTION("""COMPUTED_VALUE"""),"Credit Card")</f>
        <v>Credit Card</v>
      </c>
      <c r="J997" s="14" t="str">
        <f>IFERROR(__xludf.DUMMYFUNCTION("""COMPUTED_VALUE"""),"Cancelled*App Glitches:Missing Content")</f>
        <v>Cancelled*App Glitches:Missing Content</v>
      </c>
      <c r="K997" s="14" t="str">
        <f>IFERROR(__xludf.DUMMYFUNCTION("split(E997,""+"")"),"Onion")</f>
        <v>Onion</v>
      </c>
      <c r="L997" s="14" t="str">
        <f>IFERROR(__xludf.DUMMYFUNCTION("""COMPUTED_VALUE"""),"2*Not Assigned")</f>
        <v>2*Not Assigned</v>
      </c>
      <c r="M997" s="14">
        <f>IFERROR(__xludf.DUMMYFUNCTION("SPLIT(L997,""*"")"),2.0)</f>
        <v>2</v>
      </c>
      <c r="N997" s="14" t="str">
        <f>IFERROR(__xludf.DUMMYFUNCTION("""COMPUTED_VALUE"""),"Not Assigned")</f>
        <v>Not Assigned</v>
      </c>
      <c r="O997" s="14" t="str">
        <f>IFERROR(__xludf.DUMMYFUNCTION("split(J997,""*"")"),"Cancelled")</f>
        <v>Cancelled</v>
      </c>
      <c r="P997" s="14" t="str">
        <f>IFERROR(__xludf.DUMMYFUNCTION("""COMPUTED_VALUE"""),"App Glitches:Missing Content")</f>
        <v>App Glitches:Missing Content</v>
      </c>
      <c r="Q997" s="14" t="str">
        <f>IFERROR(__xludf.DUMMYFUNCTION("split(P997,"":"")"),"App Glitches")</f>
        <v>App Glitches</v>
      </c>
      <c r="R997" s="14" t="str">
        <f>IFERROR(__xludf.DUMMYFUNCTION("""COMPUTED_VALUE"""),"Missing Content")</f>
        <v>Missing Content</v>
      </c>
      <c r="S997" s="14" t="str">
        <f t="shared" ref="S997:U997" si="1997">trim(B997)</f>
        <v>ord_40978</v>
      </c>
      <c r="T997" s="14" t="str">
        <f t="shared" si="1997"/>
        <v>Mehul Thakkar</v>
      </c>
      <c r="U997" s="14" t="str">
        <f t="shared" si="1997"/>
        <v>Malad</v>
      </c>
      <c r="V997" s="14" t="str">
        <f t="shared" si="4"/>
        <v>Onion</v>
      </c>
      <c r="W997" s="14">
        <f t="shared" si="5"/>
        <v>2</v>
      </c>
      <c r="X997" s="14" t="str">
        <f t="shared" si="6"/>
        <v>Not Assigned</v>
      </c>
      <c r="Y997" s="15">
        <f t="shared" si="7"/>
        <v>45227</v>
      </c>
      <c r="Z997" s="14" t="str">
        <f t="shared" si="8"/>
        <v>Credit Card</v>
      </c>
      <c r="AA997" s="14" t="str">
        <f t="shared" si="9"/>
        <v>Cancelled</v>
      </c>
      <c r="AB997" s="14" t="str">
        <f t="shared" ref="AB997:AC997" si="1998">trim(Q997)</f>
        <v>App Glitches</v>
      </c>
      <c r="AC997" s="14" t="str">
        <f t="shared" si="1998"/>
        <v>Missing Content</v>
      </c>
      <c r="AD997" s="8"/>
    </row>
    <row r="998">
      <c r="A998" s="14" t="str">
        <f>IFERROR(__xludf.DUMMYFUNCTION("""COMPUTED_VALUE"""),"//ord_40979//Aarohi Kapoor//Bandra//Papaya+2*Shine Thomas/10/25/2023//Online Payment//Delivered*On-time Delivery: Delivered on time")</f>
        <v>//ord_40979//Aarohi Kapoor//Bandra//Papaya+2*Shine Thomas/10/25/2023//Online Payment//Delivered*On-time Delivery: Delivered on time</v>
      </c>
      <c r="B998" s="14" t="str">
        <f>IFERROR(__xludf.DUMMYFUNCTION("split(A998,""//"")"),"ord_40979")</f>
        <v>ord_40979</v>
      </c>
      <c r="C998" s="14" t="str">
        <f>IFERROR(__xludf.DUMMYFUNCTION("""COMPUTED_VALUE"""),"Aarohi Kapoor")</f>
        <v>Aarohi Kapoor</v>
      </c>
      <c r="D998" s="14" t="str">
        <f>IFERROR(__xludf.DUMMYFUNCTION("""COMPUTED_VALUE"""),"Bandra")</f>
        <v>Bandra</v>
      </c>
      <c r="E998" s="14" t="str">
        <f>IFERROR(__xludf.DUMMYFUNCTION("""COMPUTED_VALUE"""),"Papaya+2*Shine Thomas")</f>
        <v>Papaya+2*Shine Thomas</v>
      </c>
      <c r="F998" s="14">
        <f>IFERROR(__xludf.DUMMYFUNCTION("""COMPUTED_VALUE"""),10.0)</f>
        <v>10</v>
      </c>
      <c r="G998" s="14">
        <f>IFERROR(__xludf.DUMMYFUNCTION("""COMPUTED_VALUE"""),25.0)</f>
        <v>25</v>
      </c>
      <c r="H998" s="14">
        <f>IFERROR(__xludf.DUMMYFUNCTION("""COMPUTED_VALUE"""),2023.0)</f>
        <v>2023</v>
      </c>
      <c r="I998" s="14" t="str">
        <f>IFERROR(__xludf.DUMMYFUNCTION("""COMPUTED_VALUE"""),"Online Payment")</f>
        <v>Online Payment</v>
      </c>
      <c r="J998" s="14" t="str">
        <f>IFERROR(__xludf.DUMMYFUNCTION("""COMPUTED_VALUE"""),"Delivered*On-time Delivery: Delivered on time")</f>
        <v>Delivered*On-time Delivery: Delivered on time</v>
      </c>
      <c r="K998" s="14" t="str">
        <f>IFERROR(__xludf.DUMMYFUNCTION("split(E998,""+"")"),"Papaya")</f>
        <v>Papaya</v>
      </c>
      <c r="L998" s="14" t="str">
        <f>IFERROR(__xludf.DUMMYFUNCTION("""COMPUTED_VALUE"""),"2*Shine Thomas")</f>
        <v>2*Shine Thomas</v>
      </c>
      <c r="M998" s="14">
        <f>IFERROR(__xludf.DUMMYFUNCTION("SPLIT(L998,""*"")"),2.0)</f>
        <v>2</v>
      </c>
      <c r="N998" s="14" t="str">
        <f>IFERROR(__xludf.DUMMYFUNCTION("""COMPUTED_VALUE"""),"Shine Thomas")</f>
        <v>Shine Thomas</v>
      </c>
      <c r="O998" s="14" t="str">
        <f>IFERROR(__xludf.DUMMYFUNCTION("split(J998,""*"")"),"Delivered")</f>
        <v>Delivered</v>
      </c>
      <c r="P998" s="14" t="str">
        <f>IFERROR(__xludf.DUMMYFUNCTION("""COMPUTED_VALUE"""),"On-time Delivery: Delivered on time")</f>
        <v>On-time Delivery: Delivered on time</v>
      </c>
      <c r="Q998" s="14" t="str">
        <f>IFERROR(__xludf.DUMMYFUNCTION("split(P998,"":"")"),"On-time Delivery")</f>
        <v>On-time Delivery</v>
      </c>
      <c r="R998" s="14" t="str">
        <f>IFERROR(__xludf.DUMMYFUNCTION("""COMPUTED_VALUE""")," Delivered on time")</f>
        <v> Delivered on time</v>
      </c>
      <c r="S998" s="14" t="str">
        <f t="shared" ref="S998:U998" si="1999">trim(B998)</f>
        <v>ord_40979</v>
      </c>
      <c r="T998" s="14" t="str">
        <f t="shared" si="1999"/>
        <v>Aarohi Kapoor</v>
      </c>
      <c r="U998" s="14" t="str">
        <f t="shared" si="1999"/>
        <v>Bandra</v>
      </c>
      <c r="V998" s="14" t="str">
        <f t="shared" si="4"/>
        <v>Papaya</v>
      </c>
      <c r="W998" s="14">
        <f t="shared" si="5"/>
        <v>2</v>
      </c>
      <c r="X998" s="14" t="str">
        <f t="shared" si="6"/>
        <v>Shine Thomas</v>
      </c>
      <c r="Y998" s="15">
        <f t="shared" si="7"/>
        <v>45224</v>
      </c>
      <c r="Z998" s="14" t="str">
        <f t="shared" si="8"/>
        <v>Online Payment</v>
      </c>
      <c r="AA998" s="14" t="str">
        <f t="shared" si="9"/>
        <v>Delivered</v>
      </c>
      <c r="AB998" s="14" t="str">
        <f t="shared" ref="AB998:AC998" si="2000">trim(Q998)</f>
        <v>On-time Delivery</v>
      </c>
      <c r="AC998" s="14" t="str">
        <f t="shared" si="2000"/>
        <v>Delivered on time</v>
      </c>
      <c r="AD998" s="8"/>
    </row>
    <row r="999">
      <c r="A999" s="14" t="str">
        <f>IFERROR(__xludf.DUMMYFUNCTION("""COMPUTED_VALUE"""),"//ord_40980//Pranav Joshi//Andheri//Orange+1*Vivek Kumar/9/14/2023//Online Payment//Delivered*Quality of Items: Perfect condition")</f>
        <v>//ord_40980//Pranav Joshi//Andheri//Orange+1*Vivek Kumar/9/14/2023//Online Payment//Delivered*Quality of Items: Perfect condition</v>
      </c>
      <c r="B999" s="14" t="str">
        <f>IFERROR(__xludf.DUMMYFUNCTION("split(A999,""//"")"),"ord_40980")</f>
        <v>ord_40980</v>
      </c>
      <c r="C999" s="14" t="str">
        <f>IFERROR(__xludf.DUMMYFUNCTION("""COMPUTED_VALUE"""),"Pranav Joshi")</f>
        <v>Pranav Joshi</v>
      </c>
      <c r="D999" s="14" t="str">
        <f>IFERROR(__xludf.DUMMYFUNCTION("""COMPUTED_VALUE"""),"Andheri")</f>
        <v>Andheri</v>
      </c>
      <c r="E999" s="14" t="str">
        <f>IFERROR(__xludf.DUMMYFUNCTION("""COMPUTED_VALUE"""),"Orange+1*Vivek Kumar")</f>
        <v>Orange+1*Vivek Kumar</v>
      </c>
      <c r="F999" s="14">
        <f>IFERROR(__xludf.DUMMYFUNCTION("""COMPUTED_VALUE"""),9.0)</f>
        <v>9</v>
      </c>
      <c r="G999" s="14">
        <f>IFERROR(__xludf.DUMMYFUNCTION("""COMPUTED_VALUE"""),14.0)</f>
        <v>14</v>
      </c>
      <c r="H999" s="14">
        <f>IFERROR(__xludf.DUMMYFUNCTION("""COMPUTED_VALUE"""),2023.0)</f>
        <v>2023</v>
      </c>
      <c r="I999" s="14" t="str">
        <f>IFERROR(__xludf.DUMMYFUNCTION("""COMPUTED_VALUE"""),"Online Payment")</f>
        <v>Online Payment</v>
      </c>
      <c r="J999" s="14" t="str">
        <f>IFERROR(__xludf.DUMMYFUNCTION("""COMPUTED_VALUE"""),"Delivered*Quality of Items: Perfect condition")</f>
        <v>Delivered*Quality of Items: Perfect condition</v>
      </c>
      <c r="K999" s="14" t="str">
        <f>IFERROR(__xludf.DUMMYFUNCTION("split(E999,""+"")"),"Orange")</f>
        <v>Orange</v>
      </c>
      <c r="L999" s="14" t="str">
        <f>IFERROR(__xludf.DUMMYFUNCTION("""COMPUTED_VALUE"""),"1*Vivek Kumar")</f>
        <v>1*Vivek Kumar</v>
      </c>
      <c r="M999" s="14">
        <f>IFERROR(__xludf.DUMMYFUNCTION("SPLIT(L999,""*"")"),1.0)</f>
        <v>1</v>
      </c>
      <c r="N999" s="14" t="str">
        <f>IFERROR(__xludf.DUMMYFUNCTION("""COMPUTED_VALUE"""),"Vivek Kumar")</f>
        <v>Vivek Kumar</v>
      </c>
      <c r="O999" s="14" t="str">
        <f>IFERROR(__xludf.DUMMYFUNCTION("split(J999,""*"")"),"Delivered")</f>
        <v>Delivered</v>
      </c>
      <c r="P999" s="14" t="str">
        <f>IFERROR(__xludf.DUMMYFUNCTION("""COMPUTED_VALUE"""),"Quality of Items: Perfect condition")</f>
        <v>Quality of Items: Perfect condition</v>
      </c>
      <c r="Q999" s="14" t="str">
        <f>IFERROR(__xludf.DUMMYFUNCTION("split(P999,"":"")"),"Quality of Items")</f>
        <v>Quality of Items</v>
      </c>
      <c r="R999" s="14" t="str">
        <f>IFERROR(__xludf.DUMMYFUNCTION("""COMPUTED_VALUE""")," Perfect condition")</f>
        <v> Perfect condition</v>
      </c>
      <c r="S999" s="14" t="str">
        <f t="shared" ref="S999:U999" si="2001">trim(B999)</f>
        <v>ord_40980</v>
      </c>
      <c r="T999" s="14" t="str">
        <f t="shared" si="2001"/>
        <v>Pranav Joshi</v>
      </c>
      <c r="U999" s="14" t="str">
        <f t="shared" si="2001"/>
        <v>Andheri</v>
      </c>
      <c r="V999" s="14" t="str">
        <f t="shared" si="4"/>
        <v>Orange</v>
      </c>
      <c r="W999" s="14">
        <f t="shared" si="5"/>
        <v>1</v>
      </c>
      <c r="X999" s="14" t="str">
        <f t="shared" si="6"/>
        <v>Vivek Kumar</v>
      </c>
      <c r="Y999" s="15">
        <f t="shared" si="7"/>
        <v>45183</v>
      </c>
      <c r="Z999" s="14" t="str">
        <f t="shared" si="8"/>
        <v>Online Payment</v>
      </c>
      <c r="AA999" s="14" t="str">
        <f t="shared" si="9"/>
        <v>Delivered</v>
      </c>
      <c r="AB999" s="14" t="str">
        <f t="shared" ref="AB999:AC999" si="2002">trim(Q999)</f>
        <v>Quality of Items</v>
      </c>
      <c r="AC999" s="14" t="str">
        <f t="shared" si="2002"/>
        <v>Perfect condition</v>
      </c>
      <c r="AD999" s="8"/>
    </row>
    <row r="1000">
      <c r="A1000" s="14" t="str">
        <f>IFERROR(__xludf.DUMMYFUNCTION("""COMPUTED_VALUE"""),"//ord_40981//Ishita Banerjee//Juhu//Sweet Corn+2*Not Assigned/7/1/2023//Credit Card//Cancelled*App Glitches: Payment Button Malfunction")</f>
        <v>//ord_40981//Ishita Banerjee//Juhu//Sweet Corn+2*Not Assigned/7/1/2023//Credit Card//Cancelled*App Glitches: Payment Button Malfunction</v>
      </c>
      <c r="B1000" s="14" t="str">
        <f>IFERROR(__xludf.DUMMYFUNCTION("split(A1000,""//"")"),"ord_40981")</f>
        <v>ord_40981</v>
      </c>
      <c r="C1000" s="14" t="str">
        <f>IFERROR(__xludf.DUMMYFUNCTION("""COMPUTED_VALUE"""),"Ishita Banerjee")</f>
        <v>Ishita Banerjee</v>
      </c>
      <c r="D1000" s="14" t="str">
        <f>IFERROR(__xludf.DUMMYFUNCTION("""COMPUTED_VALUE"""),"Juhu")</f>
        <v>Juhu</v>
      </c>
      <c r="E1000" s="14" t="str">
        <f>IFERROR(__xludf.DUMMYFUNCTION("""COMPUTED_VALUE"""),"Sweet Corn+2*Not Assigned")</f>
        <v>Sweet Corn+2*Not Assigned</v>
      </c>
      <c r="F1000" s="14">
        <f>IFERROR(__xludf.DUMMYFUNCTION("""COMPUTED_VALUE"""),7.0)</f>
        <v>7</v>
      </c>
      <c r="G1000" s="14">
        <f>IFERROR(__xludf.DUMMYFUNCTION("""COMPUTED_VALUE"""),1.0)</f>
        <v>1</v>
      </c>
      <c r="H1000" s="14">
        <f>IFERROR(__xludf.DUMMYFUNCTION("""COMPUTED_VALUE"""),2023.0)</f>
        <v>2023</v>
      </c>
      <c r="I1000" s="14" t="str">
        <f>IFERROR(__xludf.DUMMYFUNCTION("""COMPUTED_VALUE"""),"Credit Card")</f>
        <v>Credit Card</v>
      </c>
      <c r="J1000" s="14" t="str">
        <f>IFERROR(__xludf.DUMMYFUNCTION("""COMPUTED_VALUE"""),"Cancelled*App Glitches: Payment Button Malfunction")</f>
        <v>Cancelled*App Glitches: Payment Button Malfunction</v>
      </c>
      <c r="K1000" s="14" t="str">
        <f>IFERROR(__xludf.DUMMYFUNCTION("split(E1000,""+"")"),"Sweet Corn")</f>
        <v>Sweet Corn</v>
      </c>
      <c r="L1000" s="14" t="str">
        <f>IFERROR(__xludf.DUMMYFUNCTION("""COMPUTED_VALUE"""),"2*Not Assigned")</f>
        <v>2*Not Assigned</v>
      </c>
      <c r="M1000" s="14">
        <f>IFERROR(__xludf.DUMMYFUNCTION("SPLIT(L1000,""*"")"),2.0)</f>
        <v>2</v>
      </c>
      <c r="N1000" s="14" t="str">
        <f>IFERROR(__xludf.DUMMYFUNCTION("""COMPUTED_VALUE"""),"Not Assigned")</f>
        <v>Not Assigned</v>
      </c>
      <c r="O1000" s="14" t="str">
        <f>IFERROR(__xludf.DUMMYFUNCTION("split(J1000,""*"")"),"Cancelled")</f>
        <v>Cancelled</v>
      </c>
      <c r="P1000" s="14" t="str">
        <f>IFERROR(__xludf.DUMMYFUNCTION("""COMPUTED_VALUE"""),"App Glitches: Payment Button Malfunction")</f>
        <v>App Glitches: Payment Button Malfunction</v>
      </c>
      <c r="Q1000" s="14" t="str">
        <f>IFERROR(__xludf.DUMMYFUNCTION("split(P1000,"":"")"),"App Glitches")</f>
        <v>App Glitches</v>
      </c>
      <c r="R1000" s="14" t="str">
        <f>IFERROR(__xludf.DUMMYFUNCTION("""COMPUTED_VALUE""")," Payment Button Malfunction")</f>
        <v> Payment Button Malfunction</v>
      </c>
      <c r="S1000" s="14" t="str">
        <f t="shared" ref="S1000:U1000" si="2003">trim(B1000)</f>
        <v>ord_40981</v>
      </c>
      <c r="T1000" s="14" t="str">
        <f t="shared" si="2003"/>
        <v>Ishita Banerjee</v>
      </c>
      <c r="U1000" s="14" t="str">
        <f t="shared" si="2003"/>
        <v>Juhu</v>
      </c>
      <c r="V1000" s="14" t="str">
        <f t="shared" si="4"/>
        <v>Sweet Corn</v>
      </c>
      <c r="W1000" s="14">
        <f t="shared" si="5"/>
        <v>2</v>
      </c>
      <c r="X1000" s="14" t="str">
        <f t="shared" si="6"/>
        <v>Not Assigned</v>
      </c>
      <c r="Y1000" s="15">
        <f t="shared" si="7"/>
        <v>45108</v>
      </c>
      <c r="Z1000" s="14" t="str">
        <f t="shared" si="8"/>
        <v>Credit Card</v>
      </c>
      <c r="AA1000" s="14" t="str">
        <f t="shared" si="9"/>
        <v>Cancelled</v>
      </c>
      <c r="AB1000" s="14" t="str">
        <f t="shared" ref="AB1000:AC1000" si="2004">trim(Q1000)</f>
        <v>App Glitches</v>
      </c>
      <c r="AC1000" s="14" t="str">
        <f t="shared" si="2004"/>
        <v>Payment Button Malfunction</v>
      </c>
      <c r="AD1000" s="8"/>
    </row>
    <row r="1001">
      <c r="A1001" s="14" t="str">
        <f>IFERROR(__xludf.DUMMYFUNCTION("""COMPUTED_VALUE"""),"//ord_40982//Sanjay Nair//Dadar//Juice+2*Ramesh S/11/6/2023//UPI//Delivered*Packaging: Secure and intact")</f>
        <v>//ord_40982//Sanjay Nair//Dadar//Juice+2*Ramesh S/11/6/2023//UPI//Delivered*Packaging: Secure and intact</v>
      </c>
      <c r="B1001" s="14" t="str">
        <f>IFERROR(__xludf.DUMMYFUNCTION("split(A1001,""//"")"),"ord_40982")</f>
        <v>ord_40982</v>
      </c>
      <c r="C1001" s="14" t="str">
        <f>IFERROR(__xludf.DUMMYFUNCTION("""COMPUTED_VALUE"""),"Sanjay Nair")</f>
        <v>Sanjay Nair</v>
      </c>
      <c r="D1001" s="14" t="str">
        <f>IFERROR(__xludf.DUMMYFUNCTION("""COMPUTED_VALUE"""),"Dadar")</f>
        <v>Dadar</v>
      </c>
      <c r="E1001" s="14" t="str">
        <f>IFERROR(__xludf.DUMMYFUNCTION("""COMPUTED_VALUE"""),"Juice+2*Ramesh S")</f>
        <v>Juice+2*Ramesh S</v>
      </c>
      <c r="F1001" s="14">
        <f>IFERROR(__xludf.DUMMYFUNCTION("""COMPUTED_VALUE"""),11.0)</f>
        <v>11</v>
      </c>
      <c r="G1001" s="14">
        <f>IFERROR(__xludf.DUMMYFUNCTION("""COMPUTED_VALUE"""),6.0)</f>
        <v>6</v>
      </c>
      <c r="H1001" s="14">
        <f>IFERROR(__xludf.DUMMYFUNCTION("""COMPUTED_VALUE"""),2023.0)</f>
        <v>2023</v>
      </c>
      <c r="I1001" s="14" t="str">
        <f>IFERROR(__xludf.DUMMYFUNCTION("""COMPUTED_VALUE"""),"UPI")</f>
        <v>UPI</v>
      </c>
      <c r="J1001" s="14" t="str">
        <f>IFERROR(__xludf.DUMMYFUNCTION("""COMPUTED_VALUE"""),"Delivered*Packaging: Secure and intact")</f>
        <v>Delivered*Packaging: Secure and intact</v>
      </c>
      <c r="K1001" s="14" t="str">
        <f>IFERROR(__xludf.DUMMYFUNCTION("split(E1001,""+"")"),"Juice")</f>
        <v>Juice</v>
      </c>
      <c r="L1001" s="14" t="str">
        <f>IFERROR(__xludf.DUMMYFUNCTION("""COMPUTED_VALUE"""),"2*Ramesh S")</f>
        <v>2*Ramesh S</v>
      </c>
      <c r="M1001" s="14">
        <f>IFERROR(__xludf.DUMMYFUNCTION("SPLIT(L1001,""*"")"),2.0)</f>
        <v>2</v>
      </c>
      <c r="N1001" s="14" t="str">
        <f>IFERROR(__xludf.DUMMYFUNCTION("""COMPUTED_VALUE"""),"Ramesh S")</f>
        <v>Ramesh S</v>
      </c>
      <c r="O1001" s="14" t="str">
        <f>IFERROR(__xludf.DUMMYFUNCTION("split(J1001,""*"")"),"Delivered")</f>
        <v>Delivered</v>
      </c>
      <c r="P1001" s="14" t="str">
        <f>IFERROR(__xludf.DUMMYFUNCTION("""COMPUTED_VALUE"""),"Packaging: Secure and intact")</f>
        <v>Packaging: Secure and intact</v>
      </c>
      <c r="Q1001" s="14" t="str">
        <f>IFERROR(__xludf.DUMMYFUNCTION("split(P1001,"":"")"),"Packaging")</f>
        <v>Packaging</v>
      </c>
      <c r="R1001" s="14" t="str">
        <f>IFERROR(__xludf.DUMMYFUNCTION("""COMPUTED_VALUE""")," Secure and intact")</f>
        <v> Secure and intact</v>
      </c>
      <c r="S1001" s="14" t="str">
        <f t="shared" ref="S1001:U1001" si="2005">trim(B1001)</f>
        <v>ord_40982</v>
      </c>
      <c r="T1001" s="14" t="str">
        <f t="shared" si="2005"/>
        <v>Sanjay Nair</v>
      </c>
      <c r="U1001" s="14" t="str">
        <f t="shared" si="2005"/>
        <v>Dadar</v>
      </c>
      <c r="V1001" s="14" t="str">
        <f t="shared" si="4"/>
        <v>Juice</v>
      </c>
      <c r="W1001" s="14">
        <f t="shared" si="5"/>
        <v>2</v>
      </c>
      <c r="X1001" s="14" t="str">
        <f t="shared" si="6"/>
        <v>Ramesh S</v>
      </c>
      <c r="Y1001" s="15">
        <f t="shared" si="7"/>
        <v>45236</v>
      </c>
      <c r="Z1001" s="14" t="str">
        <f t="shared" si="8"/>
        <v>UPI</v>
      </c>
      <c r="AA1001" s="14" t="str">
        <f t="shared" si="9"/>
        <v>Delivered</v>
      </c>
      <c r="AB1001" s="14" t="str">
        <f t="shared" ref="AB1001:AC1001" si="2006">trim(Q1001)</f>
        <v>Packaging</v>
      </c>
      <c r="AC1001" s="14" t="str">
        <f t="shared" si="2006"/>
        <v>Secure and intact</v>
      </c>
      <c r="AD1001" s="8"/>
    </row>
    <row r="1002">
      <c r="A1002" s="14" t="str">
        <f>IFERROR(__xludf.DUMMYFUNCTION("""COMPUTED_VALUE"""),"//ord_40983//Siya Reddy//Juhu//Rasmalai+4*Manju Ajay/3/25/2023//Credit Card//Delivered*Satisfied with the Delivery: Timely and quality")</f>
        <v>//ord_40983//Siya Reddy//Juhu//Rasmalai+4*Manju Ajay/3/25/2023//Credit Card//Delivered*Satisfied with the Delivery: Timely and quality</v>
      </c>
      <c r="B1002" s="14" t="str">
        <f>IFERROR(__xludf.DUMMYFUNCTION("split(A1002,""//"")"),"ord_40983")</f>
        <v>ord_40983</v>
      </c>
      <c r="C1002" s="14" t="str">
        <f>IFERROR(__xludf.DUMMYFUNCTION("""COMPUTED_VALUE"""),"Siya Reddy")</f>
        <v>Siya Reddy</v>
      </c>
      <c r="D1002" s="14" t="str">
        <f>IFERROR(__xludf.DUMMYFUNCTION("""COMPUTED_VALUE"""),"Juhu")</f>
        <v>Juhu</v>
      </c>
      <c r="E1002" s="14" t="str">
        <f>IFERROR(__xludf.DUMMYFUNCTION("""COMPUTED_VALUE"""),"Rasmalai+4*Manju Ajay")</f>
        <v>Rasmalai+4*Manju Ajay</v>
      </c>
      <c r="F1002" s="14">
        <f>IFERROR(__xludf.DUMMYFUNCTION("""COMPUTED_VALUE"""),3.0)</f>
        <v>3</v>
      </c>
      <c r="G1002" s="14">
        <f>IFERROR(__xludf.DUMMYFUNCTION("""COMPUTED_VALUE"""),25.0)</f>
        <v>25</v>
      </c>
      <c r="H1002" s="14">
        <f>IFERROR(__xludf.DUMMYFUNCTION("""COMPUTED_VALUE"""),2023.0)</f>
        <v>2023</v>
      </c>
      <c r="I1002" s="14" t="str">
        <f>IFERROR(__xludf.DUMMYFUNCTION("""COMPUTED_VALUE"""),"Credit Card")</f>
        <v>Credit Card</v>
      </c>
      <c r="J1002" s="14" t="str">
        <f>IFERROR(__xludf.DUMMYFUNCTION("""COMPUTED_VALUE"""),"Delivered*Satisfied with the Delivery: Timely and quality")</f>
        <v>Delivered*Satisfied with the Delivery: Timely and quality</v>
      </c>
      <c r="K1002" s="14" t="str">
        <f>IFERROR(__xludf.DUMMYFUNCTION("split(E1002,""+"")"),"Rasmalai")</f>
        <v>Rasmalai</v>
      </c>
      <c r="L1002" s="14" t="str">
        <f>IFERROR(__xludf.DUMMYFUNCTION("""COMPUTED_VALUE"""),"4*Manju Ajay")</f>
        <v>4*Manju Ajay</v>
      </c>
      <c r="M1002" s="14">
        <f>IFERROR(__xludf.DUMMYFUNCTION("SPLIT(L1002,""*"")"),4.0)</f>
        <v>4</v>
      </c>
      <c r="N1002" s="14" t="str">
        <f>IFERROR(__xludf.DUMMYFUNCTION("""COMPUTED_VALUE"""),"Manju Ajay")</f>
        <v>Manju Ajay</v>
      </c>
      <c r="O1002" s="14" t="str">
        <f>IFERROR(__xludf.DUMMYFUNCTION("split(J1002,""*"")"),"Delivered")</f>
        <v>Delivered</v>
      </c>
      <c r="P1002" s="14" t="str">
        <f>IFERROR(__xludf.DUMMYFUNCTION("""COMPUTED_VALUE"""),"Satisfied with the Delivery: Timely and quality")</f>
        <v>Satisfied with the Delivery: Timely and quality</v>
      </c>
      <c r="Q1002" s="14" t="str">
        <f>IFERROR(__xludf.DUMMYFUNCTION("split(P1002,"":"")"),"Satisfied with the Delivery")</f>
        <v>Satisfied with the Delivery</v>
      </c>
      <c r="R1002" s="14" t="str">
        <f>IFERROR(__xludf.DUMMYFUNCTION("""COMPUTED_VALUE""")," Timely and quality")</f>
        <v> Timely and quality</v>
      </c>
      <c r="S1002" s="14" t="str">
        <f t="shared" ref="S1002:U1002" si="2007">trim(B1002)</f>
        <v>ord_40983</v>
      </c>
      <c r="T1002" s="14" t="str">
        <f t="shared" si="2007"/>
        <v>Siya Reddy</v>
      </c>
      <c r="U1002" s="14" t="str">
        <f t="shared" si="2007"/>
        <v>Juhu</v>
      </c>
      <c r="V1002" s="14" t="str">
        <f t="shared" si="4"/>
        <v>Rasmalai</v>
      </c>
      <c r="W1002" s="14">
        <f t="shared" si="5"/>
        <v>4</v>
      </c>
      <c r="X1002" s="14" t="str">
        <f t="shared" si="6"/>
        <v>Manju Ajay</v>
      </c>
      <c r="Y1002" s="15">
        <f t="shared" si="7"/>
        <v>45010</v>
      </c>
      <c r="Z1002" s="14" t="str">
        <f t="shared" si="8"/>
        <v>Credit Card</v>
      </c>
      <c r="AA1002" s="14" t="str">
        <f t="shared" si="9"/>
        <v>Delivered</v>
      </c>
      <c r="AB1002" s="14" t="str">
        <f t="shared" ref="AB1002:AC1002" si="2008">trim(Q1002)</f>
        <v>Satisfied with the Delivery</v>
      </c>
      <c r="AC1002" s="14" t="str">
        <f t="shared" si="2008"/>
        <v>Timely and quality</v>
      </c>
      <c r="AD1002" s="8"/>
    </row>
    <row r="1003">
      <c r="A1003" s="14" t="str">
        <f>IFERROR(__xludf.DUMMYFUNCTION("""COMPUTED_VALUE"""),"//ord_40984//Sanjay Nair//Dadar//Chicken Puff+3*Ramesh S/11/6/2023//UPI//Delivered*Customer Service: Seamless and easy")</f>
        <v>//ord_40984//Sanjay Nair//Dadar//Chicken Puff+3*Ramesh S/11/6/2023//UPI//Delivered*Customer Service: Seamless and easy</v>
      </c>
      <c r="B1003" s="14" t="str">
        <f>IFERROR(__xludf.DUMMYFUNCTION("split(A1003,""//"")"),"ord_40984")</f>
        <v>ord_40984</v>
      </c>
      <c r="C1003" s="14" t="str">
        <f>IFERROR(__xludf.DUMMYFUNCTION("""COMPUTED_VALUE"""),"Sanjay Nair")</f>
        <v>Sanjay Nair</v>
      </c>
      <c r="D1003" s="14" t="str">
        <f>IFERROR(__xludf.DUMMYFUNCTION("""COMPUTED_VALUE"""),"Dadar")</f>
        <v>Dadar</v>
      </c>
      <c r="E1003" s="14" t="str">
        <f>IFERROR(__xludf.DUMMYFUNCTION("""COMPUTED_VALUE"""),"Chicken Puff+3*Ramesh S")</f>
        <v>Chicken Puff+3*Ramesh S</v>
      </c>
      <c r="F1003" s="14">
        <f>IFERROR(__xludf.DUMMYFUNCTION("""COMPUTED_VALUE"""),11.0)</f>
        <v>11</v>
      </c>
      <c r="G1003" s="14">
        <f>IFERROR(__xludf.DUMMYFUNCTION("""COMPUTED_VALUE"""),6.0)</f>
        <v>6</v>
      </c>
      <c r="H1003" s="14">
        <f>IFERROR(__xludf.DUMMYFUNCTION("""COMPUTED_VALUE"""),2023.0)</f>
        <v>2023</v>
      </c>
      <c r="I1003" s="14" t="str">
        <f>IFERROR(__xludf.DUMMYFUNCTION("""COMPUTED_VALUE"""),"UPI")</f>
        <v>UPI</v>
      </c>
      <c r="J1003" s="14" t="str">
        <f>IFERROR(__xludf.DUMMYFUNCTION("""COMPUTED_VALUE"""),"Delivered*Customer Service: Seamless and easy")</f>
        <v>Delivered*Customer Service: Seamless and easy</v>
      </c>
      <c r="K1003" s="14" t="str">
        <f>IFERROR(__xludf.DUMMYFUNCTION("split(E1003,""+"")"),"Chicken Puff")</f>
        <v>Chicken Puff</v>
      </c>
      <c r="L1003" s="14" t="str">
        <f>IFERROR(__xludf.DUMMYFUNCTION("""COMPUTED_VALUE"""),"3*Ramesh S")</f>
        <v>3*Ramesh S</v>
      </c>
      <c r="M1003" s="14">
        <f>IFERROR(__xludf.DUMMYFUNCTION("SPLIT(L1003,""*"")"),3.0)</f>
        <v>3</v>
      </c>
      <c r="N1003" s="14" t="str">
        <f>IFERROR(__xludf.DUMMYFUNCTION("""COMPUTED_VALUE"""),"Ramesh S")</f>
        <v>Ramesh S</v>
      </c>
      <c r="O1003" s="14" t="str">
        <f>IFERROR(__xludf.DUMMYFUNCTION("split(J1003,""*"")"),"Delivered")</f>
        <v>Delivered</v>
      </c>
      <c r="P1003" s="14" t="str">
        <f>IFERROR(__xludf.DUMMYFUNCTION("""COMPUTED_VALUE"""),"Customer Service: Seamless and easy")</f>
        <v>Customer Service: Seamless and easy</v>
      </c>
      <c r="Q1003" s="14" t="str">
        <f>IFERROR(__xludf.DUMMYFUNCTION("split(P1003,"":"")"),"Customer Service")</f>
        <v>Customer Service</v>
      </c>
      <c r="R1003" s="14" t="str">
        <f>IFERROR(__xludf.DUMMYFUNCTION("""COMPUTED_VALUE""")," Seamless and easy")</f>
        <v> Seamless and easy</v>
      </c>
      <c r="S1003" s="14" t="str">
        <f t="shared" ref="S1003:U1003" si="2009">trim(B1003)</f>
        <v>ord_40984</v>
      </c>
      <c r="T1003" s="14" t="str">
        <f t="shared" si="2009"/>
        <v>Sanjay Nair</v>
      </c>
      <c r="U1003" s="14" t="str">
        <f t="shared" si="2009"/>
        <v>Dadar</v>
      </c>
      <c r="V1003" s="14" t="str">
        <f t="shared" si="4"/>
        <v>Chicken Puff</v>
      </c>
      <c r="W1003" s="14">
        <f t="shared" si="5"/>
        <v>3</v>
      </c>
      <c r="X1003" s="14" t="str">
        <f t="shared" si="6"/>
        <v>Ramesh S</v>
      </c>
      <c r="Y1003" s="15">
        <f t="shared" si="7"/>
        <v>45236</v>
      </c>
      <c r="Z1003" s="14" t="str">
        <f t="shared" si="8"/>
        <v>UPI</v>
      </c>
      <c r="AA1003" s="14" t="str">
        <f t="shared" si="9"/>
        <v>Delivered</v>
      </c>
      <c r="AB1003" s="14" t="str">
        <f t="shared" ref="AB1003:AC1003" si="2010">trim(Q1003)</f>
        <v>Customer Service</v>
      </c>
      <c r="AC1003" s="14" t="str">
        <f t="shared" si="2010"/>
        <v>Seamless and easy</v>
      </c>
      <c r="AD1003" s="8"/>
    </row>
    <row r="1004">
      <c r="A1004" s="14" t="str">
        <f>IFERROR(__xludf.DUMMYFUNCTION("""COMPUTED_VALUE"""),"//ord_40985//Pranav Joshi//Andheri//Banana+1*Manju Ajay/2/25/2023//UPI//Delivered*Delivery Experience: Quick and professional")</f>
        <v>//ord_40985//Pranav Joshi//Andheri//Banana+1*Manju Ajay/2/25/2023//UPI//Delivered*Delivery Experience: Quick and professional</v>
      </c>
      <c r="B1004" s="14" t="str">
        <f>IFERROR(__xludf.DUMMYFUNCTION("split(A1004,""//"")"),"ord_40985")</f>
        <v>ord_40985</v>
      </c>
      <c r="C1004" s="14" t="str">
        <f>IFERROR(__xludf.DUMMYFUNCTION("""COMPUTED_VALUE"""),"Pranav Joshi")</f>
        <v>Pranav Joshi</v>
      </c>
      <c r="D1004" s="14" t="str">
        <f>IFERROR(__xludf.DUMMYFUNCTION("""COMPUTED_VALUE"""),"Andheri")</f>
        <v>Andheri</v>
      </c>
      <c r="E1004" s="14" t="str">
        <f>IFERROR(__xludf.DUMMYFUNCTION("""COMPUTED_VALUE"""),"Banana+1*Manju Ajay")</f>
        <v>Banana+1*Manju Ajay</v>
      </c>
      <c r="F1004" s="14">
        <f>IFERROR(__xludf.DUMMYFUNCTION("""COMPUTED_VALUE"""),2.0)</f>
        <v>2</v>
      </c>
      <c r="G1004" s="14">
        <f>IFERROR(__xludf.DUMMYFUNCTION("""COMPUTED_VALUE"""),25.0)</f>
        <v>25</v>
      </c>
      <c r="H1004" s="14">
        <f>IFERROR(__xludf.DUMMYFUNCTION("""COMPUTED_VALUE"""),2023.0)</f>
        <v>2023</v>
      </c>
      <c r="I1004" s="14" t="str">
        <f>IFERROR(__xludf.DUMMYFUNCTION("""COMPUTED_VALUE"""),"UPI")</f>
        <v>UPI</v>
      </c>
      <c r="J1004" s="14" t="str">
        <f>IFERROR(__xludf.DUMMYFUNCTION("""COMPUTED_VALUE"""),"Delivered*Delivery Experience: Quick and professional")</f>
        <v>Delivered*Delivery Experience: Quick and professional</v>
      </c>
      <c r="K1004" s="14" t="str">
        <f>IFERROR(__xludf.DUMMYFUNCTION("split(E1004,""+"")"),"Banana")</f>
        <v>Banana</v>
      </c>
      <c r="L1004" s="14" t="str">
        <f>IFERROR(__xludf.DUMMYFUNCTION("""COMPUTED_VALUE"""),"1*Manju Ajay")</f>
        <v>1*Manju Ajay</v>
      </c>
      <c r="M1004" s="14">
        <f>IFERROR(__xludf.DUMMYFUNCTION("SPLIT(L1004,""*"")"),1.0)</f>
        <v>1</v>
      </c>
      <c r="N1004" s="14" t="str">
        <f>IFERROR(__xludf.DUMMYFUNCTION("""COMPUTED_VALUE"""),"Manju Ajay")</f>
        <v>Manju Ajay</v>
      </c>
      <c r="O1004" s="14" t="str">
        <f>IFERROR(__xludf.DUMMYFUNCTION("split(J1004,""*"")"),"Delivered")</f>
        <v>Delivered</v>
      </c>
      <c r="P1004" s="14" t="str">
        <f>IFERROR(__xludf.DUMMYFUNCTION("""COMPUTED_VALUE"""),"Delivery Experience: Quick and professional")</f>
        <v>Delivery Experience: Quick and professional</v>
      </c>
      <c r="Q1004" s="14" t="str">
        <f>IFERROR(__xludf.DUMMYFUNCTION("split(P1004,"":"")"),"Delivery Experience")</f>
        <v>Delivery Experience</v>
      </c>
      <c r="R1004" s="14" t="str">
        <f>IFERROR(__xludf.DUMMYFUNCTION("""COMPUTED_VALUE""")," Quick and professional")</f>
        <v> Quick and professional</v>
      </c>
      <c r="S1004" s="14" t="str">
        <f t="shared" ref="S1004:U1004" si="2011">trim(B1004)</f>
        <v>ord_40985</v>
      </c>
      <c r="T1004" s="14" t="str">
        <f t="shared" si="2011"/>
        <v>Pranav Joshi</v>
      </c>
      <c r="U1004" s="14" t="str">
        <f t="shared" si="2011"/>
        <v>Andheri</v>
      </c>
      <c r="V1004" s="14" t="str">
        <f t="shared" si="4"/>
        <v>Banana</v>
      </c>
      <c r="W1004" s="14">
        <f t="shared" si="5"/>
        <v>1</v>
      </c>
      <c r="X1004" s="14" t="str">
        <f t="shared" si="6"/>
        <v>Manju Ajay</v>
      </c>
      <c r="Y1004" s="15">
        <f t="shared" si="7"/>
        <v>44982</v>
      </c>
      <c r="Z1004" s="14" t="str">
        <f t="shared" si="8"/>
        <v>UPI</v>
      </c>
      <c r="AA1004" s="14" t="str">
        <f t="shared" si="9"/>
        <v>Delivered</v>
      </c>
      <c r="AB1004" s="14" t="str">
        <f t="shared" ref="AB1004:AC1004" si="2012">trim(Q1004)</f>
        <v>Delivery Experience</v>
      </c>
      <c r="AC1004" s="14" t="str">
        <f t="shared" si="2012"/>
        <v>Quick and professional</v>
      </c>
      <c r="AD1004" s="8"/>
    </row>
    <row r="1005">
      <c r="A1005" s="14" t="str">
        <f>IFERROR(__xludf.DUMMYFUNCTION("""COMPUTED_VALUE"""),"//ord_40986//Mehul Thakkar//Malad//Apple+1*Priya Joshi/9/5/2023//Credit Card//Cancelled*Delayed Delivery:Bad Weather Conditions ")</f>
        <v>//ord_40986//Mehul Thakkar//Malad//Apple+1*Priya Joshi/9/5/2023//Credit Card//Cancelled*Delayed Delivery:Bad Weather Conditions </v>
      </c>
      <c r="B1005" s="14" t="str">
        <f>IFERROR(__xludf.DUMMYFUNCTION("split(A1005,""//"")"),"ord_40986")</f>
        <v>ord_40986</v>
      </c>
      <c r="C1005" s="14" t="str">
        <f>IFERROR(__xludf.DUMMYFUNCTION("""COMPUTED_VALUE"""),"Mehul Thakkar")</f>
        <v>Mehul Thakkar</v>
      </c>
      <c r="D1005" s="14" t="str">
        <f>IFERROR(__xludf.DUMMYFUNCTION("""COMPUTED_VALUE"""),"Malad")</f>
        <v>Malad</v>
      </c>
      <c r="E1005" s="14" t="str">
        <f>IFERROR(__xludf.DUMMYFUNCTION("""COMPUTED_VALUE"""),"Apple+1*Priya Joshi")</f>
        <v>Apple+1*Priya Joshi</v>
      </c>
      <c r="F1005" s="14">
        <f>IFERROR(__xludf.DUMMYFUNCTION("""COMPUTED_VALUE"""),9.0)</f>
        <v>9</v>
      </c>
      <c r="G1005" s="14">
        <f>IFERROR(__xludf.DUMMYFUNCTION("""COMPUTED_VALUE"""),5.0)</f>
        <v>5</v>
      </c>
      <c r="H1005" s="14">
        <f>IFERROR(__xludf.DUMMYFUNCTION("""COMPUTED_VALUE"""),2023.0)</f>
        <v>2023</v>
      </c>
      <c r="I1005" s="14" t="str">
        <f>IFERROR(__xludf.DUMMYFUNCTION("""COMPUTED_VALUE"""),"Credit Card")</f>
        <v>Credit Card</v>
      </c>
      <c r="J1005" s="14" t="str">
        <f>IFERROR(__xludf.DUMMYFUNCTION("""COMPUTED_VALUE"""),"Cancelled*Delayed Delivery:Bad Weather Conditions ")</f>
        <v>Cancelled*Delayed Delivery:Bad Weather Conditions </v>
      </c>
      <c r="K1005" s="14" t="str">
        <f>IFERROR(__xludf.DUMMYFUNCTION("split(E1005,""+"")"),"Apple")</f>
        <v>Apple</v>
      </c>
      <c r="L1005" s="14" t="str">
        <f>IFERROR(__xludf.DUMMYFUNCTION("""COMPUTED_VALUE"""),"1*Priya Joshi")</f>
        <v>1*Priya Joshi</v>
      </c>
      <c r="M1005" s="14">
        <f>IFERROR(__xludf.DUMMYFUNCTION("SPLIT(L1005,""*"")"),1.0)</f>
        <v>1</v>
      </c>
      <c r="N1005" s="14" t="str">
        <f>IFERROR(__xludf.DUMMYFUNCTION("""COMPUTED_VALUE"""),"Priya Joshi")</f>
        <v>Priya Joshi</v>
      </c>
      <c r="O1005" s="14" t="str">
        <f>IFERROR(__xludf.DUMMYFUNCTION("split(J1005,""*"")"),"Cancelled")</f>
        <v>Cancelled</v>
      </c>
      <c r="P1005" s="14" t="str">
        <f>IFERROR(__xludf.DUMMYFUNCTION("""COMPUTED_VALUE"""),"Delayed Delivery:Bad Weather Conditions ")</f>
        <v>Delayed Delivery:Bad Weather Conditions </v>
      </c>
      <c r="Q1005" s="14" t="str">
        <f>IFERROR(__xludf.DUMMYFUNCTION("split(P1005,"":"")"),"Delayed Delivery")</f>
        <v>Delayed Delivery</v>
      </c>
      <c r="R1005" s="14" t="str">
        <f>IFERROR(__xludf.DUMMYFUNCTION("""COMPUTED_VALUE"""),"Bad Weather Conditions ")</f>
        <v>Bad Weather Conditions </v>
      </c>
      <c r="S1005" s="14" t="str">
        <f t="shared" ref="S1005:U1005" si="2013">trim(B1005)</f>
        <v>ord_40986</v>
      </c>
      <c r="T1005" s="14" t="str">
        <f t="shared" si="2013"/>
        <v>Mehul Thakkar</v>
      </c>
      <c r="U1005" s="14" t="str">
        <f t="shared" si="2013"/>
        <v>Malad</v>
      </c>
      <c r="V1005" s="14" t="str">
        <f t="shared" si="4"/>
        <v>Apple</v>
      </c>
      <c r="W1005" s="14">
        <f t="shared" si="5"/>
        <v>1</v>
      </c>
      <c r="X1005" s="14" t="str">
        <f t="shared" si="6"/>
        <v>Priya Joshi</v>
      </c>
      <c r="Y1005" s="15">
        <f t="shared" si="7"/>
        <v>45174</v>
      </c>
      <c r="Z1005" s="14" t="str">
        <f t="shared" si="8"/>
        <v>Credit Card</v>
      </c>
      <c r="AA1005" s="14" t="str">
        <f t="shared" si="9"/>
        <v>Cancelled</v>
      </c>
      <c r="AB1005" s="14" t="str">
        <f t="shared" ref="AB1005:AC1005" si="2014">trim(Q1005)</f>
        <v>Delayed Delivery</v>
      </c>
      <c r="AC1005" s="14" t="str">
        <f t="shared" si="2014"/>
        <v>Bad Weather Conditions</v>
      </c>
      <c r="AD1005" s="8"/>
    </row>
    <row r="1006">
      <c r="A1006" s="14" t="str">
        <f>IFERROR(__xludf.DUMMYFUNCTION("""COMPUTED_VALUE"""),"//ord_40987//Aarav Mehta//Andheri//Tiramisu+4*Shine Thomas/6/26/2023//UPI//Delivered*Convenience: Easy tracking")</f>
        <v>//ord_40987//Aarav Mehta//Andheri//Tiramisu+4*Shine Thomas/6/26/2023//UPI//Delivered*Convenience: Easy tracking</v>
      </c>
      <c r="B1006" s="14" t="str">
        <f>IFERROR(__xludf.DUMMYFUNCTION("split(A1006,""//"")"),"ord_40987")</f>
        <v>ord_40987</v>
      </c>
      <c r="C1006" s="14" t="str">
        <f>IFERROR(__xludf.DUMMYFUNCTION("""COMPUTED_VALUE"""),"Aarav Mehta")</f>
        <v>Aarav Mehta</v>
      </c>
      <c r="D1006" s="14" t="str">
        <f>IFERROR(__xludf.DUMMYFUNCTION("""COMPUTED_VALUE"""),"Andheri")</f>
        <v>Andheri</v>
      </c>
      <c r="E1006" s="14" t="str">
        <f>IFERROR(__xludf.DUMMYFUNCTION("""COMPUTED_VALUE"""),"Tiramisu+4*Shine Thomas")</f>
        <v>Tiramisu+4*Shine Thomas</v>
      </c>
      <c r="F1006" s="14">
        <f>IFERROR(__xludf.DUMMYFUNCTION("""COMPUTED_VALUE"""),6.0)</f>
        <v>6</v>
      </c>
      <c r="G1006" s="14">
        <f>IFERROR(__xludf.DUMMYFUNCTION("""COMPUTED_VALUE"""),26.0)</f>
        <v>26</v>
      </c>
      <c r="H1006" s="14">
        <f>IFERROR(__xludf.DUMMYFUNCTION("""COMPUTED_VALUE"""),2023.0)</f>
        <v>2023</v>
      </c>
      <c r="I1006" s="14" t="str">
        <f>IFERROR(__xludf.DUMMYFUNCTION("""COMPUTED_VALUE"""),"UPI")</f>
        <v>UPI</v>
      </c>
      <c r="J1006" s="14" t="str">
        <f>IFERROR(__xludf.DUMMYFUNCTION("""COMPUTED_VALUE"""),"Delivered*Convenience: Easy tracking")</f>
        <v>Delivered*Convenience: Easy tracking</v>
      </c>
      <c r="K1006" s="14" t="str">
        <f>IFERROR(__xludf.DUMMYFUNCTION("split(E1006,""+"")"),"Tiramisu")</f>
        <v>Tiramisu</v>
      </c>
      <c r="L1006" s="14" t="str">
        <f>IFERROR(__xludf.DUMMYFUNCTION("""COMPUTED_VALUE"""),"4*Shine Thomas")</f>
        <v>4*Shine Thomas</v>
      </c>
      <c r="M1006" s="14">
        <f>IFERROR(__xludf.DUMMYFUNCTION("SPLIT(L1006,""*"")"),4.0)</f>
        <v>4</v>
      </c>
      <c r="N1006" s="14" t="str">
        <f>IFERROR(__xludf.DUMMYFUNCTION("""COMPUTED_VALUE"""),"Shine Thomas")</f>
        <v>Shine Thomas</v>
      </c>
      <c r="O1006" s="14" t="str">
        <f>IFERROR(__xludf.DUMMYFUNCTION("split(J1006,""*"")"),"Delivered")</f>
        <v>Delivered</v>
      </c>
      <c r="P1006" s="14" t="str">
        <f>IFERROR(__xludf.DUMMYFUNCTION("""COMPUTED_VALUE"""),"Convenience: Easy tracking")</f>
        <v>Convenience: Easy tracking</v>
      </c>
      <c r="Q1006" s="14" t="str">
        <f>IFERROR(__xludf.DUMMYFUNCTION("split(P1006,"":"")"),"Convenience")</f>
        <v>Convenience</v>
      </c>
      <c r="R1006" s="14" t="str">
        <f>IFERROR(__xludf.DUMMYFUNCTION("""COMPUTED_VALUE""")," Easy tracking")</f>
        <v> Easy tracking</v>
      </c>
      <c r="S1006" s="14" t="str">
        <f t="shared" ref="S1006:U1006" si="2015">trim(B1006)</f>
        <v>ord_40987</v>
      </c>
      <c r="T1006" s="14" t="str">
        <f t="shared" si="2015"/>
        <v>Aarav Mehta</v>
      </c>
      <c r="U1006" s="14" t="str">
        <f t="shared" si="2015"/>
        <v>Andheri</v>
      </c>
      <c r="V1006" s="14" t="str">
        <f t="shared" si="4"/>
        <v>Tiramisu</v>
      </c>
      <c r="W1006" s="14">
        <f t="shared" si="5"/>
        <v>4</v>
      </c>
      <c r="X1006" s="14" t="str">
        <f t="shared" si="6"/>
        <v>Shine Thomas</v>
      </c>
      <c r="Y1006" s="15">
        <f t="shared" si="7"/>
        <v>45103</v>
      </c>
      <c r="Z1006" s="14" t="str">
        <f t="shared" si="8"/>
        <v>UPI</v>
      </c>
      <c r="AA1006" s="14" t="str">
        <f t="shared" si="9"/>
        <v>Delivered</v>
      </c>
      <c r="AB1006" s="14" t="str">
        <f t="shared" ref="AB1006:AC1006" si="2016">trim(Q1006)</f>
        <v>Convenience</v>
      </c>
      <c r="AC1006" s="14" t="str">
        <f t="shared" si="2016"/>
        <v>Easy tracking</v>
      </c>
      <c r="AD1006" s="8"/>
    </row>
    <row r="1007">
      <c r="A1007" s="14" t="str">
        <f>IFERROR(__xludf.DUMMYFUNCTION("""COMPUTED_VALUE"""),"//ord_10090//Siya Reddy//Juhu//Banana+2*Sita T/2/13/2023//Online Payment//Delivered*Customer Service: Seamless and easy")</f>
        <v>//ord_10090//Siya Reddy//Juhu//Banana+2*Sita T/2/13/2023//Online Payment//Delivered*Customer Service: Seamless and easy</v>
      </c>
      <c r="B1007" s="14" t="str">
        <f>IFERROR(__xludf.DUMMYFUNCTION("split(A1007,""//"")"),"ord_10090")</f>
        <v>ord_10090</v>
      </c>
      <c r="C1007" s="14" t="str">
        <f>IFERROR(__xludf.DUMMYFUNCTION("""COMPUTED_VALUE"""),"Siya Reddy")</f>
        <v>Siya Reddy</v>
      </c>
      <c r="D1007" s="14" t="str">
        <f>IFERROR(__xludf.DUMMYFUNCTION("""COMPUTED_VALUE"""),"Juhu")</f>
        <v>Juhu</v>
      </c>
      <c r="E1007" s="14" t="str">
        <f>IFERROR(__xludf.DUMMYFUNCTION("""COMPUTED_VALUE"""),"Banana+2*Sita T")</f>
        <v>Banana+2*Sita T</v>
      </c>
      <c r="F1007" s="14">
        <f>IFERROR(__xludf.DUMMYFUNCTION("""COMPUTED_VALUE"""),2.0)</f>
        <v>2</v>
      </c>
      <c r="G1007" s="14">
        <f>IFERROR(__xludf.DUMMYFUNCTION("""COMPUTED_VALUE"""),13.0)</f>
        <v>13</v>
      </c>
      <c r="H1007" s="14">
        <f>IFERROR(__xludf.DUMMYFUNCTION("""COMPUTED_VALUE"""),2023.0)</f>
        <v>2023</v>
      </c>
      <c r="I1007" s="14" t="str">
        <f>IFERROR(__xludf.DUMMYFUNCTION("""COMPUTED_VALUE"""),"Online Payment")</f>
        <v>Online Payment</v>
      </c>
      <c r="J1007" s="14" t="str">
        <f>IFERROR(__xludf.DUMMYFUNCTION("""COMPUTED_VALUE"""),"Delivered*Customer Service: Seamless and easy")</f>
        <v>Delivered*Customer Service: Seamless and easy</v>
      </c>
      <c r="K1007" s="14" t="str">
        <f>IFERROR(__xludf.DUMMYFUNCTION("split(E1007,""+"")"),"Banana")</f>
        <v>Banana</v>
      </c>
      <c r="L1007" s="14" t="str">
        <f>IFERROR(__xludf.DUMMYFUNCTION("""COMPUTED_VALUE"""),"2*Sita T")</f>
        <v>2*Sita T</v>
      </c>
      <c r="M1007" s="14">
        <f>IFERROR(__xludf.DUMMYFUNCTION("SPLIT(L1007,""*"")"),2.0)</f>
        <v>2</v>
      </c>
      <c r="N1007" s="14" t="str">
        <f>IFERROR(__xludf.DUMMYFUNCTION("""COMPUTED_VALUE"""),"Sita T")</f>
        <v>Sita T</v>
      </c>
      <c r="O1007" s="14" t="str">
        <f>IFERROR(__xludf.DUMMYFUNCTION("split(J1007,""*"")"),"Delivered")</f>
        <v>Delivered</v>
      </c>
      <c r="P1007" s="14" t="str">
        <f>IFERROR(__xludf.DUMMYFUNCTION("""COMPUTED_VALUE"""),"Customer Service: Seamless and easy")</f>
        <v>Customer Service: Seamless and easy</v>
      </c>
      <c r="Q1007" s="14" t="str">
        <f>IFERROR(__xludf.DUMMYFUNCTION("split(P1007,"":"")"),"Customer Service")</f>
        <v>Customer Service</v>
      </c>
      <c r="R1007" s="14" t="str">
        <f>IFERROR(__xludf.DUMMYFUNCTION("""COMPUTED_VALUE""")," Seamless and easy")</f>
        <v> Seamless and easy</v>
      </c>
      <c r="S1007" s="14" t="str">
        <f t="shared" ref="S1007:U1007" si="2017">trim(B1007)</f>
        <v>ord_10090</v>
      </c>
      <c r="T1007" s="14" t="str">
        <f t="shared" si="2017"/>
        <v>Siya Reddy</v>
      </c>
      <c r="U1007" s="14" t="str">
        <f t="shared" si="2017"/>
        <v>Juhu</v>
      </c>
      <c r="V1007" s="14" t="str">
        <f t="shared" si="4"/>
        <v>Banana</v>
      </c>
      <c r="W1007" s="14">
        <f t="shared" si="5"/>
        <v>2</v>
      </c>
      <c r="X1007" s="14" t="str">
        <f t="shared" si="6"/>
        <v>Sita T</v>
      </c>
      <c r="Y1007" s="15">
        <f t="shared" si="7"/>
        <v>44970</v>
      </c>
      <c r="Z1007" s="14" t="str">
        <f t="shared" si="8"/>
        <v>Online Payment</v>
      </c>
      <c r="AA1007" s="14" t="str">
        <f t="shared" si="9"/>
        <v>Delivered</v>
      </c>
      <c r="AB1007" s="14" t="str">
        <f t="shared" ref="AB1007:AC1007" si="2018">trim(Q1007)</f>
        <v>Customer Service</v>
      </c>
      <c r="AC1007" s="14" t="str">
        <f t="shared" si="2018"/>
        <v>Seamless and easy</v>
      </c>
      <c r="AD1007" s="8"/>
    </row>
    <row r="1008">
      <c r="A1008" s="14" t="str">
        <f>IFERROR(__xludf.DUMMYFUNCTION("""COMPUTED_VALUE"""),"//ord_10099//Pranav Joshi//Andheri//Banana+1*Ramesh S/3/3/2023//Credit Card//Delivered*Delivery Experience: Quick and professional")</f>
        <v>//ord_10099//Pranav Joshi//Andheri//Banana+1*Ramesh S/3/3/2023//Credit Card//Delivered*Delivery Experience: Quick and professional</v>
      </c>
      <c r="B1008" s="14" t="str">
        <f>IFERROR(__xludf.DUMMYFUNCTION("split(A1008,""//"")"),"ord_10099")</f>
        <v>ord_10099</v>
      </c>
      <c r="C1008" s="14" t="str">
        <f>IFERROR(__xludf.DUMMYFUNCTION("""COMPUTED_VALUE"""),"Pranav Joshi")</f>
        <v>Pranav Joshi</v>
      </c>
      <c r="D1008" s="14" t="str">
        <f>IFERROR(__xludf.DUMMYFUNCTION("""COMPUTED_VALUE"""),"Andheri")</f>
        <v>Andheri</v>
      </c>
      <c r="E1008" s="14" t="str">
        <f>IFERROR(__xludf.DUMMYFUNCTION("""COMPUTED_VALUE"""),"Banana+1*Ramesh S")</f>
        <v>Banana+1*Ramesh S</v>
      </c>
      <c r="F1008" s="14">
        <f>IFERROR(__xludf.DUMMYFUNCTION("""COMPUTED_VALUE"""),3.0)</f>
        <v>3</v>
      </c>
      <c r="G1008" s="14">
        <f>IFERROR(__xludf.DUMMYFUNCTION("""COMPUTED_VALUE"""),3.0)</f>
        <v>3</v>
      </c>
      <c r="H1008" s="14">
        <f>IFERROR(__xludf.DUMMYFUNCTION("""COMPUTED_VALUE"""),2023.0)</f>
        <v>2023</v>
      </c>
      <c r="I1008" s="14" t="str">
        <f>IFERROR(__xludf.DUMMYFUNCTION("""COMPUTED_VALUE"""),"Credit Card")</f>
        <v>Credit Card</v>
      </c>
      <c r="J1008" s="14" t="str">
        <f>IFERROR(__xludf.DUMMYFUNCTION("""COMPUTED_VALUE"""),"Delivered*Delivery Experience: Quick and professional")</f>
        <v>Delivered*Delivery Experience: Quick and professional</v>
      </c>
      <c r="K1008" s="14" t="str">
        <f>IFERROR(__xludf.DUMMYFUNCTION("split(E1008,""+"")"),"Banana")</f>
        <v>Banana</v>
      </c>
      <c r="L1008" s="14" t="str">
        <f>IFERROR(__xludf.DUMMYFUNCTION("""COMPUTED_VALUE"""),"1*Ramesh S")</f>
        <v>1*Ramesh S</v>
      </c>
      <c r="M1008" s="14">
        <f>IFERROR(__xludf.DUMMYFUNCTION("SPLIT(L1008,""*"")"),1.0)</f>
        <v>1</v>
      </c>
      <c r="N1008" s="14" t="str">
        <f>IFERROR(__xludf.DUMMYFUNCTION("""COMPUTED_VALUE"""),"Ramesh S")</f>
        <v>Ramesh S</v>
      </c>
      <c r="O1008" s="14" t="str">
        <f>IFERROR(__xludf.DUMMYFUNCTION("split(J1008,""*"")"),"Delivered")</f>
        <v>Delivered</v>
      </c>
      <c r="P1008" s="14" t="str">
        <f>IFERROR(__xludf.DUMMYFUNCTION("""COMPUTED_VALUE"""),"Delivery Experience: Quick and professional")</f>
        <v>Delivery Experience: Quick and professional</v>
      </c>
      <c r="Q1008" s="14" t="str">
        <f>IFERROR(__xludf.DUMMYFUNCTION("split(P1008,"":"")"),"Delivery Experience")</f>
        <v>Delivery Experience</v>
      </c>
      <c r="R1008" s="14" t="str">
        <f>IFERROR(__xludf.DUMMYFUNCTION("""COMPUTED_VALUE""")," Quick and professional")</f>
        <v> Quick and professional</v>
      </c>
      <c r="S1008" s="14" t="str">
        <f t="shared" ref="S1008:U1008" si="2019">trim(B1008)</f>
        <v>ord_10099</v>
      </c>
      <c r="T1008" s="14" t="str">
        <f t="shared" si="2019"/>
        <v>Pranav Joshi</v>
      </c>
      <c r="U1008" s="14" t="str">
        <f t="shared" si="2019"/>
        <v>Andheri</v>
      </c>
      <c r="V1008" s="14" t="str">
        <f t="shared" si="4"/>
        <v>Banana</v>
      </c>
      <c r="W1008" s="14">
        <f t="shared" si="5"/>
        <v>1</v>
      </c>
      <c r="X1008" s="14" t="str">
        <f t="shared" si="6"/>
        <v>Ramesh S</v>
      </c>
      <c r="Y1008" s="15">
        <f t="shared" si="7"/>
        <v>44988</v>
      </c>
      <c r="Z1008" s="14" t="str">
        <f t="shared" si="8"/>
        <v>Credit Card</v>
      </c>
      <c r="AA1008" s="14" t="str">
        <f t="shared" si="9"/>
        <v>Delivered</v>
      </c>
      <c r="AB1008" s="14" t="str">
        <f t="shared" ref="AB1008:AC1008" si="2020">trim(Q1008)</f>
        <v>Delivery Experience</v>
      </c>
      <c r="AC1008" s="14" t="str">
        <f t="shared" si="2020"/>
        <v>Quick and professional</v>
      </c>
      <c r="AD1008" s="8"/>
    </row>
    <row r="1009">
      <c r="A1009" s="14" t="str">
        <f>IFERROR(__xludf.DUMMYFUNCTION("""COMPUTED_VALUE"""),"//ord_10108//Mehul Thakkar//Malad//Apple+2*Sita T/9/20/2023//Credit Card//Delivered*Convenience: Easy tracking")</f>
        <v>//ord_10108//Mehul Thakkar//Malad//Apple+2*Sita T/9/20/2023//Credit Card//Delivered*Convenience: Easy tracking</v>
      </c>
      <c r="B1009" s="14" t="str">
        <f>IFERROR(__xludf.DUMMYFUNCTION("split(A1009,""//"")"),"ord_10108")</f>
        <v>ord_10108</v>
      </c>
      <c r="C1009" s="14" t="str">
        <f>IFERROR(__xludf.DUMMYFUNCTION("""COMPUTED_VALUE"""),"Mehul Thakkar")</f>
        <v>Mehul Thakkar</v>
      </c>
      <c r="D1009" s="14" t="str">
        <f>IFERROR(__xludf.DUMMYFUNCTION("""COMPUTED_VALUE"""),"Malad")</f>
        <v>Malad</v>
      </c>
      <c r="E1009" s="14" t="str">
        <f>IFERROR(__xludf.DUMMYFUNCTION("""COMPUTED_VALUE"""),"Apple+2*Sita T")</f>
        <v>Apple+2*Sita T</v>
      </c>
      <c r="F1009" s="14">
        <f>IFERROR(__xludf.DUMMYFUNCTION("""COMPUTED_VALUE"""),9.0)</f>
        <v>9</v>
      </c>
      <c r="G1009" s="14">
        <f>IFERROR(__xludf.DUMMYFUNCTION("""COMPUTED_VALUE"""),20.0)</f>
        <v>20</v>
      </c>
      <c r="H1009" s="14">
        <f>IFERROR(__xludf.DUMMYFUNCTION("""COMPUTED_VALUE"""),2023.0)</f>
        <v>2023</v>
      </c>
      <c r="I1009" s="14" t="str">
        <f>IFERROR(__xludf.DUMMYFUNCTION("""COMPUTED_VALUE"""),"Credit Card")</f>
        <v>Credit Card</v>
      </c>
      <c r="J1009" s="14" t="str">
        <f>IFERROR(__xludf.DUMMYFUNCTION("""COMPUTED_VALUE"""),"Delivered*Convenience: Easy tracking")</f>
        <v>Delivered*Convenience: Easy tracking</v>
      </c>
      <c r="K1009" s="14" t="str">
        <f>IFERROR(__xludf.DUMMYFUNCTION("split(E1009,""+"")"),"Apple")</f>
        <v>Apple</v>
      </c>
      <c r="L1009" s="14" t="str">
        <f>IFERROR(__xludf.DUMMYFUNCTION("""COMPUTED_VALUE"""),"2*Sita T")</f>
        <v>2*Sita T</v>
      </c>
      <c r="M1009" s="14">
        <f>IFERROR(__xludf.DUMMYFUNCTION("SPLIT(L1009,""*"")"),2.0)</f>
        <v>2</v>
      </c>
      <c r="N1009" s="14" t="str">
        <f>IFERROR(__xludf.DUMMYFUNCTION("""COMPUTED_VALUE"""),"Sita T")</f>
        <v>Sita T</v>
      </c>
      <c r="O1009" s="14" t="str">
        <f>IFERROR(__xludf.DUMMYFUNCTION("split(J1009,""*"")"),"Delivered")</f>
        <v>Delivered</v>
      </c>
      <c r="P1009" s="14" t="str">
        <f>IFERROR(__xludf.DUMMYFUNCTION("""COMPUTED_VALUE"""),"Convenience: Easy tracking")</f>
        <v>Convenience: Easy tracking</v>
      </c>
      <c r="Q1009" s="14" t="str">
        <f>IFERROR(__xludf.DUMMYFUNCTION("split(P1009,"":"")"),"Convenience")</f>
        <v>Convenience</v>
      </c>
      <c r="R1009" s="14" t="str">
        <f>IFERROR(__xludf.DUMMYFUNCTION("""COMPUTED_VALUE""")," Easy tracking")</f>
        <v> Easy tracking</v>
      </c>
      <c r="S1009" s="14" t="str">
        <f t="shared" ref="S1009:U1009" si="2021">trim(B1009)</f>
        <v>ord_10108</v>
      </c>
      <c r="T1009" s="14" t="str">
        <f t="shared" si="2021"/>
        <v>Mehul Thakkar</v>
      </c>
      <c r="U1009" s="14" t="str">
        <f t="shared" si="2021"/>
        <v>Malad</v>
      </c>
      <c r="V1009" s="14" t="str">
        <f t="shared" si="4"/>
        <v>Apple</v>
      </c>
      <c r="W1009" s="14">
        <f t="shared" si="5"/>
        <v>2</v>
      </c>
      <c r="X1009" s="14" t="str">
        <f t="shared" si="6"/>
        <v>Sita T</v>
      </c>
      <c r="Y1009" s="15">
        <f t="shared" si="7"/>
        <v>45189</v>
      </c>
      <c r="Z1009" s="14" t="str">
        <f t="shared" si="8"/>
        <v>Credit Card</v>
      </c>
      <c r="AA1009" s="14" t="str">
        <f t="shared" si="9"/>
        <v>Delivered</v>
      </c>
      <c r="AB1009" s="14" t="str">
        <f t="shared" ref="AB1009:AC1009" si="2022">trim(Q1009)</f>
        <v>Convenience</v>
      </c>
      <c r="AC1009" s="14" t="str">
        <f t="shared" si="2022"/>
        <v>Easy tracking</v>
      </c>
      <c r="AD1009" s="8"/>
    </row>
    <row r="1010">
      <c r="A1010" s="14" t="str">
        <f>IFERROR(__xludf.DUMMYFUNCTION("""COMPUTED_VALUE"""),"//ord_40988//Dev Chauhan//Bandra//Rasmalai+3*Shine Thomas/6/14/2023//Credit Card//Delivered*Overall Satisfaction: Great service will order again")</f>
        <v>//ord_40988//Dev Chauhan//Bandra//Rasmalai+3*Shine Thomas/6/14/2023//Credit Card//Delivered*Overall Satisfaction: Great service will order again</v>
      </c>
      <c r="B1010" s="14" t="str">
        <f>IFERROR(__xludf.DUMMYFUNCTION("split(A1010,""//"")"),"ord_40988")</f>
        <v>ord_40988</v>
      </c>
      <c r="C1010" s="14" t="str">
        <f>IFERROR(__xludf.DUMMYFUNCTION("""COMPUTED_VALUE"""),"Dev Chauhan")</f>
        <v>Dev Chauhan</v>
      </c>
      <c r="D1010" s="14" t="str">
        <f>IFERROR(__xludf.DUMMYFUNCTION("""COMPUTED_VALUE"""),"Bandra")</f>
        <v>Bandra</v>
      </c>
      <c r="E1010" s="14" t="str">
        <f>IFERROR(__xludf.DUMMYFUNCTION("""COMPUTED_VALUE"""),"Rasmalai+3*Shine Thomas")</f>
        <v>Rasmalai+3*Shine Thomas</v>
      </c>
      <c r="F1010" s="14">
        <f>IFERROR(__xludf.DUMMYFUNCTION("""COMPUTED_VALUE"""),6.0)</f>
        <v>6</v>
      </c>
      <c r="G1010" s="14">
        <f>IFERROR(__xludf.DUMMYFUNCTION("""COMPUTED_VALUE"""),14.0)</f>
        <v>14</v>
      </c>
      <c r="H1010" s="14">
        <f>IFERROR(__xludf.DUMMYFUNCTION("""COMPUTED_VALUE"""),2023.0)</f>
        <v>2023</v>
      </c>
      <c r="I1010" s="14" t="str">
        <f>IFERROR(__xludf.DUMMYFUNCTION("""COMPUTED_VALUE"""),"Credit Card")</f>
        <v>Credit Card</v>
      </c>
      <c r="J1010" s="14" t="str">
        <f>IFERROR(__xludf.DUMMYFUNCTION("""COMPUTED_VALUE"""),"Delivered*Overall Satisfaction: Great service will order again")</f>
        <v>Delivered*Overall Satisfaction: Great service will order again</v>
      </c>
      <c r="K1010" s="14" t="str">
        <f>IFERROR(__xludf.DUMMYFUNCTION("split(E1010,""+"")"),"Rasmalai")</f>
        <v>Rasmalai</v>
      </c>
      <c r="L1010" s="14" t="str">
        <f>IFERROR(__xludf.DUMMYFUNCTION("""COMPUTED_VALUE"""),"3*Shine Thomas")</f>
        <v>3*Shine Thomas</v>
      </c>
      <c r="M1010" s="14">
        <f>IFERROR(__xludf.DUMMYFUNCTION("SPLIT(L1010,""*"")"),3.0)</f>
        <v>3</v>
      </c>
      <c r="N1010" s="14" t="str">
        <f>IFERROR(__xludf.DUMMYFUNCTION("""COMPUTED_VALUE"""),"Shine Thomas")</f>
        <v>Shine Thomas</v>
      </c>
      <c r="O1010" s="14" t="str">
        <f>IFERROR(__xludf.DUMMYFUNCTION("split(J1010,""*"")"),"Delivered")</f>
        <v>Delivered</v>
      </c>
      <c r="P1010" s="14" t="str">
        <f>IFERROR(__xludf.DUMMYFUNCTION("""COMPUTED_VALUE"""),"Overall Satisfaction: Great service will order again")</f>
        <v>Overall Satisfaction: Great service will order again</v>
      </c>
      <c r="Q1010" s="14" t="str">
        <f>IFERROR(__xludf.DUMMYFUNCTION("split(P1010,"":"")"),"Overall Satisfaction")</f>
        <v>Overall Satisfaction</v>
      </c>
      <c r="R1010" s="14" t="str">
        <f>IFERROR(__xludf.DUMMYFUNCTION("""COMPUTED_VALUE""")," Great service will order again")</f>
        <v> Great service will order again</v>
      </c>
      <c r="S1010" s="14" t="str">
        <f t="shared" ref="S1010:U1010" si="2023">trim(B1010)</f>
        <v>ord_40988</v>
      </c>
      <c r="T1010" s="14" t="str">
        <f t="shared" si="2023"/>
        <v>Dev Chauhan</v>
      </c>
      <c r="U1010" s="14" t="str">
        <f t="shared" si="2023"/>
        <v>Bandra</v>
      </c>
      <c r="V1010" s="14" t="str">
        <f t="shared" si="4"/>
        <v>Rasmalai</v>
      </c>
      <c r="W1010" s="14">
        <f t="shared" si="5"/>
        <v>3</v>
      </c>
      <c r="X1010" s="14" t="str">
        <f t="shared" si="6"/>
        <v>Shine Thomas</v>
      </c>
      <c r="Y1010" s="15">
        <f t="shared" si="7"/>
        <v>45091</v>
      </c>
      <c r="Z1010" s="14" t="str">
        <f t="shared" si="8"/>
        <v>Credit Card</v>
      </c>
      <c r="AA1010" s="14" t="str">
        <f t="shared" si="9"/>
        <v>Delivered</v>
      </c>
      <c r="AB1010" s="14" t="str">
        <f t="shared" ref="AB1010:AC1010" si="2024">trim(Q1010)</f>
        <v>Overall Satisfaction</v>
      </c>
      <c r="AC1010" s="14" t="str">
        <f t="shared" si="2024"/>
        <v>Great service will order again</v>
      </c>
      <c r="AD1010" s="8"/>
    </row>
    <row r="1011">
      <c r="A1011" s="14" t="str">
        <f>IFERROR(__xludf.DUMMYFUNCTION("""COMPUTED_VALUE"""),"//ord_40989//Siya Reddy//Juhu//Chilli Cheese Toast+1*Vivek Kumar/4/21/2023//UPI//Delivered*On-time Delivery: Delivered on time")</f>
        <v>//ord_40989//Siya Reddy//Juhu//Chilli Cheese Toast+1*Vivek Kumar/4/21/2023//UPI//Delivered*On-time Delivery: Delivered on time</v>
      </c>
      <c r="B1011" s="14" t="str">
        <f>IFERROR(__xludf.DUMMYFUNCTION("split(A1011,""//"")"),"ord_40989")</f>
        <v>ord_40989</v>
      </c>
      <c r="C1011" s="14" t="str">
        <f>IFERROR(__xludf.DUMMYFUNCTION("""COMPUTED_VALUE"""),"Siya Reddy")</f>
        <v>Siya Reddy</v>
      </c>
      <c r="D1011" s="14" t="str">
        <f>IFERROR(__xludf.DUMMYFUNCTION("""COMPUTED_VALUE"""),"Juhu")</f>
        <v>Juhu</v>
      </c>
      <c r="E1011" s="14" t="str">
        <f>IFERROR(__xludf.DUMMYFUNCTION("""COMPUTED_VALUE"""),"Chilli Cheese Toast+1*Vivek Kumar")</f>
        <v>Chilli Cheese Toast+1*Vivek Kumar</v>
      </c>
      <c r="F1011" s="14">
        <f>IFERROR(__xludf.DUMMYFUNCTION("""COMPUTED_VALUE"""),4.0)</f>
        <v>4</v>
      </c>
      <c r="G1011" s="14">
        <f>IFERROR(__xludf.DUMMYFUNCTION("""COMPUTED_VALUE"""),21.0)</f>
        <v>21</v>
      </c>
      <c r="H1011" s="14">
        <f>IFERROR(__xludf.DUMMYFUNCTION("""COMPUTED_VALUE"""),2023.0)</f>
        <v>2023</v>
      </c>
      <c r="I1011" s="14" t="str">
        <f>IFERROR(__xludf.DUMMYFUNCTION("""COMPUTED_VALUE"""),"UPI")</f>
        <v>UPI</v>
      </c>
      <c r="J1011" s="14" t="str">
        <f>IFERROR(__xludf.DUMMYFUNCTION("""COMPUTED_VALUE"""),"Delivered*On-time Delivery: Delivered on time")</f>
        <v>Delivered*On-time Delivery: Delivered on time</v>
      </c>
      <c r="K1011" s="14" t="str">
        <f>IFERROR(__xludf.DUMMYFUNCTION("split(E1011,""+"")"),"Chilli Cheese Toast")</f>
        <v>Chilli Cheese Toast</v>
      </c>
      <c r="L1011" s="14" t="str">
        <f>IFERROR(__xludf.DUMMYFUNCTION("""COMPUTED_VALUE"""),"1*Vivek Kumar")</f>
        <v>1*Vivek Kumar</v>
      </c>
      <c r="M1011" s="14">
        <f>IFERROR(__xludf.DUMMYFUNCTION("SPLIT(L1011,""*"")"),1.0)</f>
        <v>1</v>
      </c>
      <c r="N1011" s="14" t="str">
        <f>IFERROR(__xludf.DUMMYFUNCTION("""COMPUTED_VALUE"""),"Vivek Kumar")</f>
        <v>Vivek Kumar</v>
      </c>
      <c r="O1011" s="14" t="str">
        <f>IFERROR(__xludf.DUMMYFUNCTION("split(J1011,""*"")"),"Delivered")</f>
        <v>Delivered</v>
      </c>
      <c r="P1011" s="14" t="str">
        <f>IFERROR(__xludf.DUMMYFUNCTION("""COMPUTED_VALUE"""),"On-time Delivery: Delivered on time")</f>
        <v>On-time Delivery: Delivered on time</v>
      </c>
      <c r="Q1011" s="14" t="str">
        <f>IFERROR(__xludf.DUMMYFUNCTION("split(P1011,"":"")"),"On-time Delivery")</f>
        <v>On-time Delivery</v>
      </c>
      <c r="R1011" s="14" t="str">
        <f>IFERROR(__xludf.DUMMYFUNCTION("""COMPUTED_VALUE""")," Delivered on time")</f>
        <v> Delivered on time</v>
      </c>
      <c r="S1011" s="14" t="str">
        <f t="shared" ref="S1011:U1011" si="2025">trim(B1011)</f>
        <v>ord_40989</v>
      </c>
      <c r="T1011" s="14" t="str">
        <f t="shared" si="2025"/>
        <v>Siya Reddy</v>
      </c>
      <c r="U1011" s="14" t="str">
        <f t="shared" si="2025"/>
        <v>Juhu</v>
      </c>
      <c r="V1011" s="14" t="str">
        <f t="shared" si="4"/>
        <v>Chilli Cheese Toast</v>
      </c>
      <c r="W1011" s="14">
        <f t="shared" si="5"/>
        <v>1</v>
      </c>
      <c r="X1011" s="14" t="str">
        <f t="shared" si="6"/>
        <v>Vivek Kumar</v>
      </c>
      <c r="Y1011" s="15">
        <f t="shared" si="7"/>
        <v>45037</v>
      </c>
      <c r="Z1011" s="14" t="str">
        <f t="shared" si="8"/>
        <v>UPI</v>
      </c>
      <c r="AA1011" s="14" t="str">
        <f t="shared" si="9"/>
        <v>Delivered</v>
      </c>
      <c r="AB1011" s="14" t="str">
        <f t="shared" ref="AB1011:AC1011" si="2026">trim(Q1011)</f>
        <v>On-time Delivery</v>
      </c>
      <c r="AC1011" s="14" t="str">
        <f t="shared" si="2026"/>
        <v>Delivered on time</v>
      </c>
      <c r="AD1011" s="8"/>
    </row>
    <row r="1012">
      <c r="A1012" s="14" t="str">
        <f>IFERROR(__xludf.DUMMYFUNCTION("""COMPUTED_VALUE"""),"//ord_40990//Anaya Rao//Colaba//Veg Puff+5*Ramesh S/7/4/2023//UPI//Delivered*Quality of Items: Perfect condition")</f>
        <v>//ord_40990//Anaya Rao//Colaba//Veg Puff+5*Ramesh S/7/4/2023//UPI//Delivered*Quality of Items: Perfect condition</v>
      </c>
      <c r="B1012" s="14" t="str">
        <f>IFERROR(__xludf.DUMMYFUNCTION("split(A1012,""//"")"),"ord_40990")</f>
        <v>ord_40990</v>
      </c>
      <c r="C1012" s="14" t="str">
        <f>IFERROR(__xludf.DUMMYFUNCTION("""COMPUTED_VALUE"""),"Anaya Rao")</f>
        <v>Anaya Rao</v>
      </c>
      <c r="D1012" s="14" t="str">
        <f>IFERROR(__xludf.DUMMYFUNCTION("""COMPUTED_VALUE"""),"Colaba")</f>
        <v>Colaba</v>
      </c>
      <c r="E1012" s="14" t="str">
        <f>IFERROR(__xludf.DUMMYFUNCTION("""COMPUTED_VALUE"""),"Veg Puff+5*Ramesh S")</f>
        <v>Veg Puff+5*Ramesh S</v>
      </c>
      <c r="F1012" s="14">
        <f>IFERROR(__xludf.DUMMYFUNCTION("""COMPUTED_VALUE"""),7.0)</f>
        <v>7</v>
      </c>
      <c r="G1012" s="14">
        <f>IFERROR(__xludf.DUMMYFUNCTION("""COMPUTED_VALUE"""),4.0)</f>
        <v>4</v>
      </c>
      <c r="H1012" s="14">
        <f>IFERROR(__xludf.DUMMYFUNCTION("""COMPUTED_VALUE"""),2023.0)</f>
        <v>2023</v>
      </c>
      <c r="I1012" s="14" t="str">
        <f>IFERROR(__xludf.DUMMYFUNCTION("""COMPUTED_VALUE"""),"UPI")</f>
        <v>UPI</v>
      </c>
      <c r="J1012" s="14" t="str">
        <f>IFERROR(__xludf.DUMMYFUNCTION("""COMPUTED_VALUE"""),"Delivered*Quality of Items: Perfect condition")</f>
        <v>Delivered*Quality of Items: Perfect condition</v>
      </c>
      <c r="K1012" s="14" t="str">
        <f>IFERROR(__xludf.DUMMYFUNCTION("split(E1012,""+"")"),"Veg Puff")</f>
        <v>Veg Puff</v>
      </c>
      <c r="L1012" s="14" t="str">
        <f>IFERROR(__xludf.DUMMYFUNCTION("""COMPUTED_VALUE"""),"5*Ramesh S")</f>
        <v>5*Ramesh S</v>
      </c>
      <c r="M1012" s="14">
        <f>IFERROR(__xludf.DUMMYFUNCTION("SPLIT(L1012,""*"")"),5.0)</f>
        <v>5</v>
      </c>
      <c r="N1012" s="14" t="str">
        <f>IFERROR(__xludf.DUMMYFUNCTION("""COMPUTED_VALUE"""),"Ramesh S")</f>
        <v>Ramesh S</v>
      </c>
      <c r="O1012" s="14" t="str">
        <f>IFERROR(__xludf.DUMMYFUNCTION("split(J1012,""*"")"),"Delivered")</f>
        <v>Delivered</v>
      </c>
      <c r="P1012" s="14" t="str">
        <f>IFERROR(__xludf.DUMMYFUNCTION("""COMPUTED_VALUE"""),"Quality of Items: Perfect condition")</f>
        <v>Quality of Items: Perfect condition</v>
      </c>
      <c r="Q1012" s="14" t="str">
        <f>IFERROR(__xludf.DUMMYFUNCTION("split(P1012,"":"")"),"Quality of Items")</f>
        <v>Quality of Items</v>
      </c>
      <c r="R1012" s="14" t="str">
        <f>IFERROR(__xludf.DUMMYFUNCTION("""COMPUTED_VALUE""")," Perfect condition")</f>
        <v> Perfect condition</v>
      </c>
      <c r="S1012" s="14" t="str">
        <f t="shared" ref="S1012:U1012" si="2027">trim(B1012)</f>
        <v>ord_40990</v>
      </c>
      <c r="T1012" s="14" t="str">
        <f t="shared" si="2027"/>
        <v>Anaya Rao</v>
      </c>
      <c r="U1012" s="14" t="str">
        <f t="shared" si="2027"/>
        <v>Colaba</v>
      </c>
      <c r="V1012" s="14" t="str">
        <f t="shared" si="4"/>
        <v>Veg Puff</v>
      </c>
      <c r="W1012" s="14">
        <f t="shared" si="5"/>
        <v>5</v>
      </c>
      <c r="X1012" s="14" t="str">
        <f t="shared" si="6"/>
        <v>Ramesh S</v>
      </c>
      <c r="Y1012" s="15">
        <f t="shared" si="7"/>
        <v>45111</v>
      </c>
      <c r="Z1012" s="14" t="str">
        <f t="shared" si="8"/>
        <v>UPI</v>
      </c>
      <c r="AA1012" s="14" t="str">
        <f t="shared" si="9"/>
        <v>Delivered</v>
      </c>
      <c r="AB1012" s="14" t="str">
        <f t="shared" ref="AB1012:AC1012" si="2028">trim(Q1012)</f>
        <v>Quality of Items</v>
      </c>
      <c r="AC1012" s="14" t="str">
        <f t="shared" si="2028"/>
        <v>Perfect condition</v>
      </c>
      <c r="AD1012" s="8"/>
    </row>
    <row r="1013">
      <c r="A1013" s="14" t="str">
        <f>IFERROR(__xludf.DUMMYFUNCTION("""COMPUTED_VALUE"""),"//ord_40991//Aarohi Kapoor//Bandra//Orange+1*Nithin Lal/8/1/2023//Credit Card//Delivered*On-time Delivery: Delivered on time")</f>
        <v>//ord_40991//Aarohi Kapoor//Bandra//Orange+1*Nithin Lal/8/1/2023//Credit Card//Delivered*On-time Delivery: Delivered on time</v>
      </c>
      <c r="B1013" s="14" t="str">
        <f>IFERROR(__xludf.DUMMYFUNCTION("split(A1013,""//"")"),"ord_40991")</f>
        <v>ord_40991</v>
      </c>
      <c r="C1013" s="14" t="str">
        <f>IFERROR(__xludf.DUMMYFUNCTION("""COMPUTED_VALUE"""),"Aarohi Kapoor")</f>
        <v>Aarohi Kapoor</v>
      </c>
      <c r="D1013" s="14" t="str">
        <f>IFERROR(__xludf.DUMMYFUNCTION("""COMPUTED_VALUE"""),"Bandra")</f>
        <v>Bandra</v>
      </c>
      <c r="E1013" s="14" t="str">
        <f>IFERROR(__xludf.DUMMYFUNCTION("""COMPUTED_VALUE"""),"Orange+1*Nithin Lal")</f>
        <v>Orange+1*Nithin Lal</v>
      </c>
      <c r="F1013" s="14">
        <f>IFERROR(__xludf.DUMMYFUNCTION("""COMPUTED_VALUE"""),8.0)</f>
        <v>8</v>
      </c>
      <c r="G1013" s="14">
        <f>IFERROR(__xludf.DUMMYFUNCTION("""COMPUTED_VALUE"""),1.0)</f>
        <v>1</v>
      </c>
      <c r="H1013" s="14">
        <f>IFERROR(__xludf.DUMMYFUNCTION("""COMPUTED_VALUE"""),2023.0)</f>
        <v>2023</v>
      </c>
      <c r="I1013" s="14" t="str">
        <f>IFERROR(__xludf.DUMMYFUNCTION("""COMPUTED_VALUE"""),"Credit Card")</f>
        <v>Credit Card</v>
      </c>
      <c r="J1013" s="14" t="str">
        <f>IFERROR(__xludf.DUMMYFUNCTION("""COMPUTED_VALUE"""),"Delivered*On-time Delivery: Delivered on time")</f>
        <v>Delivered*On-time Delivery: Delivered on time</v>
      </c>
      <c r="K1013" s="14" t="str">
        <f>IFERROR(__xludf.DUMMYFUNCTION("split(E1013,""+"")"),"Orange")</f>
        <v>Orange</v>
      </c>
      <c r="L1013" s="14" t="str">
        <f>IFERROR(__xludf.DUMMYFUNCTION("""COMPUTED_VALUE"""),"1*Nithin Lal")</f>
        <v>1*Nithin Lal</v>
      </c>
      <c r="M1013" s="14">
        <f>IFERROR(__xludf.DUMMYFUNCTION("SPLIT(L1013,""*"")"),1.0)</f>
        <v>1</v>
      </c>
      <c r="N1013" s="14" t="str">
        <f>IFERROR(__xludf.DUMMYFUNCTION("""COMPUTED_VALUE"""),"Nithin Lal")</f>
        <v>Nithin Lal</v>
      </c>
      <c r="O1013" s="14" t="str">
        <f>IFERROR(__xludf.DUMMYFUNCTION("split(J1013,""*"")"),"Delivered")</f>
        <v>Delivered</v>
      </c>
      <c r="P1013" s="14" t="str">
        <f>IFERROR(__xludf.DUMMYFUNCTION("""COMPUTED_VALUE"""),"On-time Delivery: Delivered on time")</f>
        <v>On-time Delivery: Delivered on time</v>
      </c>
      <c r="Q1013" s="14" t="str">
        <f>IFERROR(__xludf.DUMMYFUNCTION("split(P1013,"":"")"),"On-time Delivery")</f>
        <v>On-time Delivery</v>
      </c>
      <c r="R1013" s="14" t="str">
        <f>IFERROR(__xludf.DUMMYFUNCTION("""COMPUTED_VALUE""")," Delivered on time")</f>
        <v> Delivered on time</v>
      </c>
      <c r="S1013" s="14" t="str">
        <f t="shared" ref="S1013:U1013" si="2029">trim(B1013)</f>
        <v>ord_40991</v>
      </c>
      <c r="T1013" s="14" t="str">
        <f t="shared" si="2029"/>
        <v>Aarohi Kapoor</v>
      </c>
      <c r="U1013" s="14" t="str">
        <f t="shared" si="2029"/>
        <v>Bandra</v>
      </c>
      <c r="V1013" s="14" t="str">
        <f t="shared" si="4"/>
        <v>Orange</v>
      </c>
      <c r="W1013" s="14">
        <f t="shared" si="5"/>
        <v>1</v>
      </c>
      <c r="X1013" s="14" t="str">
        <f t="shared" si="6"/>
        <v>Nithin Lal</v>
      </c>
      <c r="Y1013" s="15">
        <f t="shared" si="7"/>
        <v>45139</v>
      </c>
      <c r="Z1013" s="14" t="str">
        <f t="shared" si="8"/>
        <v>Credit Card</v>
      </c>
      <c r="AA1013" s="14" t="str">
        <f t="shared" si="9"/>
        <v>Delivered</v>
      </c>
      <c r="AB1013" s="14" t="str">
        <f t="shared" ref="AB1013:AC1013" si="2030">trim(Q1013)</f>
        <v>On-time Delivery</v>
      </c>
      <c r="AC1013" s="14" t="str">
        <f t="shared" si="2030"/>
        <v>Delivered on time</v>
      </c>
      <c r="AD1013" s="8"/>
    </row>
    <row r="1014">
      <c r="A1014" s="14" t="str">
        <f>IFERROR(__xludf.DUMMYFUNCTION("""COMPUTED_VALUE"""),"//ord_40992//Kritika Shetty//Malad//Juice+1*Vivek Kumar/7/3/2023//UPI//Delivered*Quality of Items: Perfect condition")</f>
        <v>//ord_40992//Kritika Shetty//Malad//Juice+1*Vivek Kumar/7/3/2023//UPI//Delivered*Quality of Items: Perfect condition</v>
      </c>
      <c r="B1014" s="14" t="str">
        <f>IFERROR(__xludf.DUMMYFUNCTION("split(A1014,""//"")"),"ord_40992")</f>
        <v>ord_40992</v>
      </c>
      <c r="C1014" s="14" t="str">
        <f>IFERROR(__xludf.DUMMYFUNCTION("""COMPUTED_VALUE"""),"Kritika Shetty")</f>
        <v>Kritika Shetty</v>
      </c>
      <c r="D1014" s="14" t="str">
        <f>IFERROR(__xludf.DUMMYFUNCTION("""COMPUTED_VALUE"""),"Malad")</f>
        <v>Malad</v>
      </c>
      <c r="E1014" s="14" t="str">
        <f>IFERROR(__xludf.DUMMYFUNCTION("""COMPUTED_VALUE"""),"Juice+1*Vivek Kumar")</f>
        <v>Juice+1*Vivek Kumar</v>
      </c>
      <c r="F1014" s="14">
        <f>IFERROR(__xludf.DUMMYFUNCTION("""COMPUTED_VALUE"""),7.0)</f>
        <v>7</v>
      </c>
      <c r="G1014" s="14">
        <f>IFERROR(__xludf.DUMMYFUNCTION("""COMPUTED_VALUE"""),3.0)</f>
        <v>3</v>
      </c>
      <c r="H1014" s="14">
        <f>IFERROR(__xludf.DUMMYFUNCTION("""COMPUTED_VALUE"""),2023.0)</f>
        <v>2023</v>
      </c>
      <c r="I1014" s="14" t="str">
        <f>IFERROR(__xludf.DUMMYFUNCTION("""COMPUTED_VALUE"""),"UPI")</f>
        <v>UPI</v>
      </c>
      <c r="J1014" s="14" t="str">
        <f>IFERROR(__xludf.DUMMYFUNCTION("""COMPUTED_VALUE"""),"Delivered*Quality of Items: Perfect condition")</f>
        <v>Delivered*Quality of Items: Perfect condition</v>
      </c>
      <c r="K1014" s="14" t="str">
        <f>IFERROR(__xludf.DUMMYFUNCTION("split(E1014,""+"")"),"Juice")</f>
        <v>Juice</v>
      </c>
      <c r="L1014" s="14" t="str">
        <f>IFERROR(__xludf.DUMMYFUNCTION("""COMPUTED_VALUE"""),"1*Vivek Kumar")</f>
        <v>1*Vivek Kumar</v>
      </c>
      <c r="M1014" s="14">
        <f>IFERROR(__xludf.DUMMYFUNCTION("SPLIT(L1014,""*"")"),1.0)</f>
        <v>1</v>
      </c>
      <c r="N1014" s="14" t="str">
        <f>IFERROR(__xludf.DUMMYFUNCTION("""COMPUTED_VALUE"""),"Vivek Kumar")</f>
        <v>Vivek Kumar</v>
      </c>
      <c r="O1014" s="14" t="str">
        <f>IFERROR(__xludf.DUMMYFUNCTION("split(J1014,""*"")"),"Delivered")</f>
        <v>Delivered</v>
      </c>
      <c r="P1014" s="14" t="str">
        <f>IFERROR(__xludf.DUMMYFUNCTION("""COMPUTED_VALUE"""),"Quality of Items: Perfect condition")</f>
        <v>Quality of Items: Perfect condition</v>
      </c>
      <c r="Q1014" s="14" t="str">
        <f>IFERROR(__xludf.DUMMYFUNCTION("split(P1014,"":"")"),"Quality of Items")</f>
        <v>Quality of Items</v>
      </c>
      <c r="R1014" s="14" t="str">
        <f>IFERROR(__xludf.DUMMYFUNCTION("""COMPUTED_VALUE""")," Perfect condition")</f>
        <v> Perfect condition</v>
      </c>
      <c r="S1014" s="14" t="str">
        <f t="shared" ref="S1014:U1014" si="2031">trim(B1014)</f>
        <v>ord_40992</v>
      </c>
      <c r="T1014" s="14" t="str">
        <f t="shared" si="2031"/>
        <v>Kritika Shetty</v>
      </c>
      <c r="U1014" s="14" t="str">
        <f t="shared" si="2031"/>
        <v>Malad</v>
      </c>
      <c r="V1014" s="14" t="str">
        <f t="shared" si="4"/>
        <v>Juice</v>
      </c>
      <c r="W1014" s="14">
        <f t="shared" si="5"/>
        <v>1</v>
      </c>
      <c r="X1014" s="14" t="str">
        <f t="shared" si="6"/>
        <v>Vivek Kumar</v>
      </c>
      <c r="Y1014" s="15">
        <f t="shared" si="7"/>
        <v>45110</v>
      </c>
      <c r="Z1014" s="14" t="str">
        <f t="shared" si="8"/>
        <v>UPI</v>
      </c>
      <c r="AA1014" s="14" t="str">
        <f t="shared" si="9"/>
        <v>Delivered</v>
      </c>
      <c r="AB1014" s="14" t="str">
        <f t="shared" ref="AB1014:AC1014" si="2032">trim(Q1014)</f>
        <v>Quality of Items</v>
      </c>
      <c r="AC1014" s="14" t="str">
        <f t="shared" si="2032"/>
        <v>Perfect condition</v>
      </c>
      <c r="AD1014" s="8"/>
    </row>
    <row r="1015">
      <c r="A1015" s="14" t="str">
        <f>IFERROR(__xludf.DUMMYFUNCTION("""COMPUTED_VALUE"""),"//ord_40993//Siya Reddy//Juhu//Apple+2*Shine Thomas/9/30/2023//UPI//Delivered*Packaging: Secure and intact")</f>
        <v>//ord_40993//Siya Reddy//Juhu//Apple+2*Shine Thomas/9/30/2023//UPI//Delivered*Packaging: Secure and intact</v>
      </c>
      <c r="B1015" s="14" t="str">
        <f>IFERROR(__xludf.DUMMYFUNCTION("split(A1015,""//"")"),"ord_40993")</f>
        <v>ord_40993</v>
      </c>
      <c r="C1015" s="14" t="str">
        <f>IFERROR(__xludf.DUMMYFUNCTION("""COMPUTED_VALUE"""),"Siya Reddy")</f>
        <v>Siya Reddy</v>
      </c>
      <c r="D1015" s="14" t="str">
        <f>IFERROR(__xludf.DUMMYFUNCTION("""COMPUTED_VALUE"""),"Juhu")</f>
        <v>Juhu</v>
      </c>
      <c r="E1015" s="14" t="str">
        <f>IFERROR(__xludf.DUMMYFUNCTION("""COMPUTED_VALUE"""),"Apple+2*Shine Thomas")</f>
        <v>Apple+2*Shine Thomas</v>
      </c>
      <c r="F1015" s="14">
        <f>IFERROR(__xludf.DUMMYFUNCTION("""COMPUTED_VALUE"""),9.0)</f>
        <v>9</v>
      </c>
      <c r="G1015" s="14">
        <f>IFERROR(__xludf.DUMMYFUNCTION("""COMPUTED_VALUE"""),30.0)</f>
        <v>30</v>
      </c>
      <c r="H1015" s="14">
        <f>IFERROR(__xludf.DUMMYFUNCTION("""COMPUTED_VALUE"""),2023.0)</f>
        <v>2023</v>
      </c>
      <c r="I1015" s="14" t="str">
        <f>IFERROR(__xludf.DUMMYFUNCTION("""COMPUTED_VALUE"""),"UPI")</f>
        <v>UPI</v>
      </c>
      <c r="J1015" s="14" t="str">
        <f>IFERROR(__xludf.DUMMYFUNCTION("""COMPUTED_VALUE"""),"Delivered*Packaging: Secure and intact")</f>
        <v>Delivered*Packaging: Secure and intact</v>
      </c>
      <c r="K1015" s="14" t="str">
        <f>IFERROR(__xludf.DUMMYFUNCTION("split(E1015,""+"")"),"Apple")</f>
        <v>Apple</v>
      </c>
      <c r="L1015" s="14" t="str">
        <f>IFERROR(__xludf.DUMMYFUNCTION("""COMPUTED_VALUE"""),"2*Shine Thomas")</f>
        <v>2*Shine Thomas</v>
      </c>
      <c r="M1015" s="14">
        <f>IFERROR(__xludf.DUMMYFUNCTION("SPLIT(L1015,""*"")"),2.0)</f>
        <v>2</v>
      </c>
      <c r="N1015" s="14" t="str">
        <f>IFERROR(__xludf.DUMMYFUNCTION("""COMPUTED_VALUE"""),"Shine Thomas")</f>
        <v>Shine Thomas</v>
      </c>
      <c r="O1015" s="14" t="str">
        <f>IFERROR(__xludf.DUMMYFUNCTION("split(J1015,""*"")"),"Delivered")</f>
        <v>Delivered</v>
      </c>
      <c r="P1015" s="14" t="str">
        <f>IFERROR(__xludf.DUMMYFUNCTION("""COMPUTED_VALUE"""),"Packaging: Secure and intact")</f>
        <v>Packaging: Secure and intact</v>
      </c>
      <c r="Q1015" s="14" t="str">
        <f>IFERROR(__xludf.DUMMYFUNCTION("split(P1015,"":"")"),"Packaging")</f>
        <v>Packaging</v>
      </c>
      <c r="R1015" s="14" t="str">
        <f>IFERROR(__xludf.DUMMYFUNCTION("""COMPUTED_VALUE""")," Secure and intact")</f>
        <v> Secure and intact</v>
      </c>
      <c r="S1015" s="14" t="str">
        <f t="shared" ref="S1015:U1015" si="2033">trim(B1015)</f>
        <v>ord_40993</v>
      </c>
      <c r="T1015" s="14" t="str">
        <f t="shared" si="2033"/>
        <v>Siya Reddy</v>
      </c>
      <c r="U1015" s="14" t="str">
        <f t="shared" si="2033"/>
        <v>Juhu</v>
      </c>
      <c r="V1015" s="14" t="str">
        <f t="shared" si="4"/>
        <v>Apple</v>
      </c>
      <c r="W1015" s="14">
        <f t="shared" si="5"/>
        <v>2</v>
      </c>
      <c r="X1015" s="14" t="str">
        <f t="shared" si="6"/>
        <v>Shine Thomas</v>
      </c>
      <c r="Y1015" s="15">
        <f t="shared" si="7"/>
        <v>45199</v>
      </c>
      <c r="Z1015" s="14" t="str">
        <f t="shared" si="8"/>
        <v>UPI</v>
      </c>
      <c r="AA1015" s="14" t="str">
        <f t="shared" si="9"/>
        <v>Delivered</v>
      </c>
      <c r="AB1015" s="14" t="str">
        <f t="shared" ref="AB1015:AC1015" si="2034">trim(Q1015)</f>
        <v>Packaging</v>
      </c>
      <c r="AC1015" s="14" t="str">
        <f t="shared" si="2034"/>
        <v>Secure and intact</v>
      </c>
      <c r="AD1015" s="8"/>
    </row>
    <row r="1016">
      <c r="A1016" s="14" t="str">
        <f>IFERROR(__xludf.DUMMYFUNCTION("""COMPUTED_VALUE"""),"//ord_40994//Anaya Rao//Colaba//Cold Coffee+4*Ramesh S/12/17/2023//UPI//Delivered*Satisfied with the Delivery: Timely and quality")</f>
        <v>//ord_40994//Anaya Rao//Colaba//Cold Coffee+4*Ramesh S/12/17/2023//UPI//Delivered*Satisfied with the Delivery: Timely and quality</v>
      </c>
      <c r="B1016" s="14" t="str">
        <f>IFERROR(__xludf.DUMMYFUNCTION("split(A1016,""//"")"),"ord_40994")</f>
        <v>ord_40994</v>
      </c>
      <c r="C1016" s="14" t="str">
        <f>IFERROR(__xludf.DUMMYFUNCTION("""COMPUTED_VALUE"""),"Anaya Rao")</f>
        <v>Anaya Rao</v>
      </c>
      <c r="D1016" s="14" t="str">
        <f>IFERROR(__xludf.DUMMYFUNCTION("""COMPUTED_VALUE"""),"Colaba")</f>
        <v>Colaba</v>
      </c>
      <c r="E1016" s="14" t="str">
        <f>IFERROR(__xludf.DUMMYFUNCTION("""COMPUTED_VALUE"""),"Cold Coffee+4*Ramesh S")</f>
        <v>Cold Coffee+4*Ramesh S</v>
      </c>
      <c r="F1016" s="14">
        <f>IFERROR(__xludf.DUMMYFUNCTION("""COMPUTED_VALUE"""),12.0)</f>
        <v>12</v>
      </c>
      <c r="G1016" s="14">
        <f>IFERROR(__xludf.DUMMYFUNCTION("""COMPUTED_VALUE"""),17.0)</f>
        <v>17</v>
      </c>
      <c r="H1016" s="14">
        <f>IFERROR(__xludf.DUMMYFUNCTION("""COMPUTED_VALUE"""),2023.0)</f>
        <v>2023</v>
      </c>
      <c r="I1016" s="14" t="str">
        <f>IFERROR(__xludf.DUMMYFUNCTION("""COMPUTED_VALUE"""),"UPI")</f>
        <v>UPI</v>
      </c>
      <c r="J1016" s="14" t="str">
        <f>IFERROR(__xludf.DUMMYFUNCTION("""COMPUTED_VALUE"""),"Delivered*Satisfied with the Delivery: Timely and quality")</f>
        <v>Delivered*Satisfied with the Delivery: Timely and quality</v>
      </c>
      <c r="K1016" s="14" t="str">
        <f>IFERROR(__xludf.DUMMYFUNCTION("split(E1016,""+"")"),"Cold Coffee")</f>
        <v>Cold Coffee</v>
      </c>
      <c r="L1016" s="14" t="str">
        <f>IFERROR(__xludf.DUMMYFUNCTION("""COMPUTED_VALUE"""),"4*Ramesh S")</f>
        <v>4*Ramesh S</v>
      </c>
      <c r="M1016" s="14">
        <f>IFERROR(__xludf.DUMMYFUNCTION("SPLIT(L1016,""*"")"),4.0)</f>
        <v>4</v>
      </c>
      <c r="N1016" s="14" t="str">
        <f>IFERROR(__xludf.DUMMYFUNCTION("""COMPUTED_VALUE"""),"Ramesh S")</f>
        <v>Ramesh S</v>
      </c>
      <c r="O1016" s="14" t="str">
        <f>IFERROR(__xludf.DUMMYFUNCTION("split(J1016,""*"")"),"Delivered")</f>
        <v>Delivered</v>
      </c>
      <c r="P1016" s="14" t="str">
        <f>IFERROR(__xludf.DUMMYFUNCTION("""COMPUTED_VALUE"""),"Satisfied with the Delivery: Timely and quality")</f>
        <v>Satisfied with the Delivery: Timely and quality</v>
      </c>
      <c r="Q1016" s="14" t="str">
        <f>IFERROR(__xludf.DUMMYFUNCTION("split(P1016,"":"")"),"Satisfied with the Delivery")</f>
        <v>Satisfied with the Delivery</v>
      </c>
      <c r="R1016" s="14" t="str">
        <f>IFERROR(__xludf.DUMMYFUNCTION("""COMPUTED_VALUE""")," Timely and quality")</f>
        <v> Timely and quality</v>
      </c>
      <c r="S1016" s="14" t="str">
        <f t="shared" ref="S1016:U1016" si="2035">trim(B1016)</f>
        <v>ord_40994</v>
      </c>
      <c r="T1016" s="14" t="str">
        <f t="shared" si="2035"/>
        <v>Anaya Rao</v>
      </c>
      <c r="U1016" s="14" t="str">
        <f t="shared" si="2035"/>
        <v>Colaba</v>
      </c>
      <c r="V1016" s="14" t="str">
        <f t="shared" si="4"/>
        <v>Cold Coffee</v>
      </c>
      <c r="W1016" s="14">
        <f t="shared" si="5"/>
        <v>4</v>
      </c>
      <c r="X1016" s="14" t="str">
        <f t="shared" si="6"/>
        <v>Ramesh S</v>
      </c>
      <c r="Y1016" s="15">
        <f t="shared" si="7"/>
        <v>45277</v>
      </c>
      <c r="Z1016" s="14" t="str">
        <f t="shared" si="8"/>
        <v>UPI</v>
      </c>
      <c r="AA1016" s="14" t="str">
        <f t="shared" si="9"/>
        <v>Delivered</v>
      </c>
      <c r="AB1016" s="14" t="str">
        <f t="shared" ref="AB1016:AC1016" si="2036">trim(Q1016)</f>
        <v>Satisfied with the Delivery</v>
      </c>
      <c r="AC1016" s="14" t="str">
        <f t="shared" si="2036"/>
        <v>Timely and quality</v>
      </c>
      <c r="AD1016" s="8"/>
    </row>
    <row r="1017">
      <c r="A1017" s="14" t="str">
        <f>IFERROR(__xludf.DUMMYFUNCTION("""COMPUTED_VALUE"""),"//ord_40995//Aditi Iyer//Dadar//Guava+1*Nithin Lal/12/18/2023//Credit Card//Delivered*Customer Service: Seamless and easy")</f>
        <v>//ord_40995//Aditi Iyer//Dadar//Guava+1*Nithin Lal/12/18/2023//Credit Card//Delivered*Customer Service: Seamless and easy</v>
      </c>
      <c r="B1017" s="14" t="str">
        <f>IFERROR(__xludf.DUMMYFUNCTION("split(A1017,""//"")"),"ord_40995")</f>
        <v>ord_40995</v>
      </c>
      <c r="C1017" s="14" t="str">
        <f>IFERROR(__xludf.DUMMYFUNCTION("""COMPUTED_VALUE"""),"Aditi Iyer")</f>
        <v>Aditi Iyer</v>
      </c>
      <c r="D1017" s="14" t="str">
        <f>IFERROR(__xludf.DUMMYFUNCTION("""COMPUTED_VALUE"""),"Dadar")</f>
        <v>Dadar</v>
      </c>
      <c r="E1017" s="14" t="str">
        <f>IFERROR(__xludf.DUMMYFUNCTION("""COMPUTED_VALUE"""),"Guava+1*Nithin Lal")</f>
        <v>Guava+1*Nithin Lal</v>
      </c>
      <c r="F1017" s="14">
        <f>IFERROR(__xludf.DUMMYFUNCTION("""COMPUTED_VALUE"""),12.0)</f>
        <v>12</v>
      </c>
      <c r="G1017" s="14">
        <f>IFERROR(__xludf.DUMMYFUNCTION("""COMPUTED_VALUE"""),18.0)</f>
        <v>18</v>
      </c>
      <c r="H1017" s="14">
        <f>IFERROR(__xludf.DUMMYFUNCTION("""COMPUTED_VALUE"""),2023.0)</f>
        <v>2023</v>
      </c>
      <c r="I1017" s="14" t="str">
        <f>IFERROR(__xludf.DUMMYFUNCTION("""COMPUTED_VALUE"""),"Credit Card")</f>
        <v>Credit Card</v>
      </c>
      <c r="J1017" s="14" t="str">
        <f>IFERROR(__xludf.DUMMYFUNCTION("""COMPUTED_VALUE"""),"Delivered*Customer Service: Seamless and easy")</f>
        <v>Delivered*Customer Service: Seamless and easy</v>
      </c>
      <c r="K1017" s="14" t="str">
        <f>IFERROR(__xludf.DUMMYFUNCTION("split(E1017,""+"")"),"Guava")</f>
        <v>Guava</v>
      </c>
      <c r="L1017" s="14" t="str">
        <f>IFERROR(__xludf.DUMMYFUNCTION("""COMPUTED_VALUE"""),"1*Nithin Lal")</f>
        <v>1*Nithin Lal</v>
      </c>
      <c r="M1017" s="14">
        <f>IFERROR(__xludf.DUMMYFUNCTION("SPLIT(L1017,""*"")"),1.0)</f>
        <v>1</v>
      </c>
      <c r="N1017" s="14" t="str">
        <f>IFERROR(__xludf.DUMMYFUNCTION("""COMPUTED_VALUE"""),"Nithin Lal")</f>
        <v>Nithin Lal</v>
      </c>
      <c r="O1017" s="14" t="str">
        <f>IFERROR(__xludf.DUMMYFUNCTION("split(J1017,""*"")"),"Delivered")</f>
        <v>Delivered</v>
      </c>
      <c r="P1017" s="14" t="str">
        <f>IFERROR(__xludf.DUMMYFUNCTION("""COMPUTED_VALUE"""),"Customer Service: Seamless and easy")</f>
        <v>Customer Service: Seamless and easy</v>
      </c>
      <c r="Q1017" s="14" t="str">
        <f>IFERROR(__xludf.DUMMYFUNCTION("split(P1017,"":"")"),"Customer Service")</f>
        <v>Customer Service</v>
      </c>
      <c r="R1017" s="14" t="str">
        <f>IFERROR(__xludf.DUMMYFUNCTION("""COMPUTED_VALUE""")," Seamless and easy")</f>
        <v> Seamless and easy</v>
      </c>
      <c r="S1017" s="14" t="str">
        <f t="shared" ref="S1017:U1017" si="2037">trim(B1017)</f>
        <v>ord_40995</v>
      </c>
      <c r="T1017" s="14" t="str">
        <f t="shared" si="2037"/>
        <v>Aditi Iyer</v>
      </c>
      <c r="U1017" s="14" t="str">
        <f t="shared" si="2037"/>
        <v>Dadar</v>
      </c>
      <c r="V1017" s="14" t="str">
        <f t="shared" si="4"/>
        <v>Guava</v>
      </c>
      <c r="W1017" s="14">
        <f t="shared" si="5"/>
        <v>1</v>
      </c>
      <c r="X1017" s="14" t="str">
        <f t="shared" si="6"/>
        <v>Nithin Lal</v>
      </c>
      <c r="Y1017" s="15">
        <f t="shared" si="7"/>
        <v>45278</v>
      </c>
      <c r="Z1017" s="14" t="str">
        <f t="shared" si="8"/>
        <v>Credit Card</v>
      </c>
      <c r="AA1017" s="14" t="str">
        <f t="shared" si="9"/>
        <v>Delivered</v>
      </c>
      <c r="AB1017" s="14" t="str">
        <f t="shared" ref="AB1017:AC1017" si="2038">trim(Q1017)</f>
        <v>Customer Service</v>
      </c>
      <c r="AC1017" s="14" t="str">
        <f t="shared" si="2038"/>
        <v>Seamless and easy</v>
      </c>
      <c r="AD1017" s="8"/>
    </row>
    <row r="1018">
      <c r="A1018" s="14" t="str">
        <f>IFERROR(__xludf.DUMMYFUNCTION("""COMPUTED_VALUE"""),"//ord_40996//Aarohi Kapoor//Bandra//Veg Puff+1*Manju Ajay/12/12/2023//UPI//Delivered*Delivery Experience: Quick and professional")</f>
        <v>//ord_40996//Aarohi Kapoor//Bandra//Veg Puff+1*Manju Ajay/12/12/2023//UPI//Delivered*Delivery Experience: Quick and professional</v>
      </c>
      <c r="B1018" s="14" t="str">
        <f>IFERROR(__xludf.DUMMYFUNCTION("split(A1018,""//"")"),"ord_40996")</f>
        <v>ord_40996</v>
      </c>
      <c r="C1018" s="14" t="str">
        <f>IFERROR(__xludf.DUMMYFUNCTION("""COMPUTED_VALUE"""),"Aarohi Kapoor")</f>
        <v>Aarohi Kapoor</v>
      </c>
      <c r="D1018" s="14" t="str">
        <f>IFERROR(__xludf.DUMMYFUNCTION("""COMPUTED_VALUE"""),"Bandra")</f>
        <v>Bandra</v>
      </c>
      <c r="E1018" s="14" t="str">
        <f>IFERROR(__xludf.DUMMYFUNCTION("""COMPUTED_VALUE"""),"Veg Puff+1*Manju Ajay")</f>
        <v>Veg Puff+1*Manju Ajay</v>
      </c>
      <c r="F1018" s="14">
        <f>IFERROR(__xludf.DUMMYFUNCTION("""COMPUTED_VALUE"""),12.0)</f>
        <v>12</v>
      </c>
      <c r="G1018" s="14">
        <f>IFERROR(__xludf.DUMMYFUNCTION("""COMPUTED_VALUE"""),12.0)</f>
        <v>12</v>
      </c>
      <c r="H1018" s="14">
        <f>IFERROR(__xludf.DUMMYFUNCTION("""COMPUTED_VALUE"""),2023.0)</f>
        <v>2023</v>
      </c>
      <c r="I1018" s="14" t="str">
        <f>IFERROR(__xludf.DUMMYFUNCTION("""COMPUTED_VALUE"""),"UPI")</f>
        <v>UPI</v>
      </c>
      <c r="J1018" s="14" t="str">
        <f>IFERROR(__xludf.DUMMYFUNCTION("""COMPUTED_VALUE"""),"Delivered*Delivery Experience: Quick and professional")</f>
        <v>Delivered*Delivery Experience: Quick and professional</v>
      </c>
      <c r="K1018" s="14" t="str">
        <f>IFERROR(__xludf.DUMMYFUNCTION("split(E1018,""+"")"),"Veg Puff")</f>
        <v>Veg Puff</v>
      </c>
      <c r="L1018" s="14" t="str">
        <f>IFERROR(__xludf.DUMMYFUNCTION("""COMPUTED_VALUE"""),"1*Manju Ajay")</f>
        <v>1*Manju Ajay</v>
      </c>
      <c r="M1018" s="14">
        <f>IFERROR(__xludf.DUMMYFUNCTION("SPLIT(L1018,""*"")"),1.0)</f>
        <v>1</v>
      </c>
      <c r="N1018" s="14" t="str">
        <f>IFERROR(__xludf.DUMMYFUNCTION("""COMPUTED_VALUE"""),"Manju Ajay")</f>
        <v>Manju Ajay</v>
      </c>
      <c r="O1018" s="14" t="str">
        <f>IFERROR(__xludf.DUMMYFUNCTION("split(J1018,""*"")"),"Delivered")</f>
        <v>Delivered</v>
      </c>
      <c r="P1018" s="14" t="str">
        <f>IFERROR(__xludf.DUMMYFUNCTION("""COMPUTED_VALUE"""),"Delivery Experience: Quick and professional")</f>
        <v>Delivery Experience: Quick and professional</v>
      </c>
      <c r="Q1018" s="14" t="str">
        <f>IFERROR(__xludf.DUMMYFUNCTION("split(P1018,"":"")"),"Delivery Experience")</f>
        <v>Delivery Experience</v>
      </c>
      <c r="R1018" s="14" t="str">
        <f>IFERROR(__xludf.DUMMYFUNCTION("""COMPUTED_VALUE""")," Quick and professional")</f>
        <v> Quick and professional</v>
      </c>
      <c r="S1018" s="14" t="str">
        <f t="shared" ref="S1018:U1018" si="2039">trim(B1018)</f>
        <v>ord_40996</v>
      </c>
      <c r="T1018" s="14" t="str">
        <f t="shared" si="2039"/>
        <v>Aarohi Kapoor</v>
      </c>
      <c r="U1018" s="14" t="str">
        <f t="shared" si="2039"/>
        <v>Bandra</v>
      </c>
      <c r="V1018" s="14" t="str">
        <f t="shared" si="4"/>
        <v>Veg Puff</v>
      </c>
      <c r="W1018" s="14">
        <f t="shared" si="5"/>
        <v>1</v>
      </c>
      <c r="X1018" s="14" t="str">
        <f t="shared" si="6"/>
        <v>Manju Ajay</v>
      </c>
      <c r="Y1018" s="15">
        <f t="shared" si="7"/>
        <v>45272</v>
      </c>
      <c r="Z1018" s="14" t="str">
        <f t="shared" si="8"/>
        <v>UPI</v>
      </c>
      <c r="AA1018" s="14" t="str">
        <f t="shared" si="9"/>
        <v>Delivered</v>
      </c>
      <c r="AB1018" s="14" t="str">
        <f t="shared" ref="AB1018:AC1018" si="2040">trim(Q1018)</f>
        <v>Delivery Experience</v>
      </c>
      <c r="AC1018" s="14" t="str">
        <f t="shared" si="2040"/>
        <v>Quick and professional</v>
      </c>
      <c r="AD1018" s="8"/>
    </row>
    <row r="1019">
      <c r="A1019" s="14" t="str">
        <f>IFERROR(__xludf.DUMMYFUNCTION("""COMPUTED_VALUE"""),"//ord_40997//Tanishq Bansal//Powai//Apple+1*Vivek Kumar/2/18/2023//Credit Card//Delivered*Convenience: Easy tracking")</f>
        <v>//ord_40997//Tanishq Bansal//Powai//Apple+1*Vivek Kumar/2/18/2023//Credit Card//Delivered*Convenience: Easy tracking</v>
      </c>
      <c r="B1019" s="14" t="str">
        <f>IFERROR(__xludf.DUMMYFUNCTION("split(A1019,""//"")"),"ord_40997")</f>
        <v>ord_40997</v>
      </c>
      <c r="C1019" s="14" t="str">
        <f>IFERROR(__xludf.DUMMYFUNCTION("""COMPUTED_VALUE"""),"Tanishq Bansal")</f>
        <v>Tanishq Bansal</v>
      </c>
      <c r="D1019" s="14" t="str">
        <f>IFERROR(__xludf.DUMMYFUNCTION("""COMPUTED_VALUE"""),"Powai")</f>
        <v>Powai</v>
      </c>
      <c r="E1019" s="14" t="str">
        <f>IFERROR(__xludf.DUMMYFUNCTION("""COMPUTED_VALUE"""),"Apple+1*Vivek Kumar")</f>
        <v>Apple+1*Vivek Kumar</v>
      </c>
      <c r="F1019" s="14">
        <f>IFERROR(__xludf.DUMMYFUNCTION("""COMPUTED_VALUE"""),2.0)</f>
        <v>2</v>
      </c>
      <c r="G1019" s="14">
        <f>IFERROR(__xludf.DUMMYFUNCTION("""COMPUTED_VALUE"""),18.0)</f>
        <v>18</v>
      </c>
      <c r="H1019" s="14">
        <f>IFERROR(__xludf.DUMMYFUNCTION("""COMPUTED_VALUE"""),2023.0)</f>
        <v>2023</v>
      </c>
      <c r="I1019" s="14" t="str">
        <f>IFERROR(__xludf.DUMMYFUNCTION("""COMPUTED_VALUE"""),"Credit Card")</f>
        <v>Credit Card</v>
      </c>
      <c r="J1019" s="14" t="str">
        <f>IFERROR(__xludf.DUMMYFUNCTION("""COMPUTED_VALUE"""),"Delivered*Convenience: Easy tracking")</f>
        <v>Delivered*Convenience: Easy tracking</v>
      </c>
      <c r="K1019" s="14" t="str">
        <f>IFERROR(__xludf.DUMMYFUNCTION("split(E1019,""+"")"),"Apple")</f>
        <v>Apple</v>
      </c>
      <c r="L1019" s="14" t="str">
        <f>IFERROR(__xludf.DUMMYFUNCTION("""COMPUTED_VALUE"""),"1*Vivek Kumar")</f>
        <v>1*Vivek Kumar</v>
      </c>
      <c r="M1019" s="14">
        <f>IFERROR(__xludf.DUMMYFUNCTION("SPLIT(L1019,""*"")"),1.0)</f>
        <v>1</v>
      </c>
      <c r="N1019" s="14" t="str">
        <f>IFERROR(__xludf.DUMMYFUNCTION("""COMPUTED_VALUE"""),"Vivek Kumar")</f>
        <v>Vivek Kumar</v>
      </c>
      <c r="O1019" s="14" t="str">
        <f>IFERROR(__xludf.DUMMYFUNCTION("split(J1019,""*"")"),"Delivered")</f>
        <v>Delivered</v>
      </c>
      <c r="P1019" s="14" t="str">
        <f>IFERROR(__xludf.DUMMYFUNCTION("""COMPUTED_VALUE"""),"Convenience: Easy tracking")</f>
        <v>Convenience: Easy tracking</v>
      </c>
      <c r="Q1019" s="14" t="str">
        <f>IFERROR(__xludf.DUMMYFUNCTION("split(P1019,"":"")"),"Convenience")</f>
        <v>Convenience</v>
      </c>
      <c r="R1019" s="14" t="str">
        <f>IFERROR(__xludf.DUMMYFUNCTION("""COMPUTED_VALUE""")," Easy tracking")</f>
        <v> Easy tracking</v>
      </c>
      <c r="S1019" s="14" t="str">
        <f t="shared" ref="S1019:U1019" si="2041">trim(B1019)</f>
        <v>ord_40997</v>
      </c>
      <c r="T1019" s="14" t="str">
        <f t="shared" si="2041"/>
        <v>Tanishq Bansal</v>
      </c>
      <c r="U1019" s="14" t="str">
        <f t="shared" si="2041"/>
        <v>Powai</v>
      </c>
      <c r="V1019" s="14" t="str">
        <f t="shared" si="4"/>
        <v>Apple</v>
      </c>
      <c r="W1019" s="14">
        <f t="shared" si="5"/>
        <v>1</v>
      </c>
      <c r="X1019" s="14" t="str">
        <f t="shared" si="6"/>
        <v>Vivek Kumar</v>
      </c>
      <c r="Y1019" s="15">
        <f t="shared" si="7"/>
        <v>44975</v>
      </c>
      <c r="Z1019" s="14" t="str">
        <f t="shared" si="8"/>
        <v>Credit Card</v>
      </c>
      <c r="AA1019" s="14" t="str">
        <f t="shared" si="9"/>
        <v>Delivered</v>
      </c>
      <c r="AB1019" s="14" t="str">
        <f t="shared" ref="AB1019:AC1019" si="2042">trim(Q1019)</f>
        <v>Convenience</v>
      </c>
      <c r="AC1019" s="14" t="str">
        <f t="shared" si="2042"/>
        <v>Easy tracking</v>
      </c>
      <c r="AD1019" s="8"/>
    </row>
    <row r="1020">
      <c r="A1020" s="14" t="str">
        <f>IFERROR(__xludf.DUMMYFUNCTION("""COMPUTED_VALUE"""),"//ord_40998//Parth Goel//Juhu//Veg Puff+4*Venu R/3/1/2023//UPI//Delivered*Overall Satisfaction: Great service will order again")</f>
        <v>//ord_40998//Parth Goel//Juhu//Veg Puff+4*Venu R/3/1/2023//UPI//Delivered*Overall Satisfaction: Great service will order again</v>
      </c>
      <c r="B1020" s="14" t="str">
        <f>IFERROR(__xludf.DUMMYFUNCTION("split(A1020,""//"")"),"ord_40998")</f>
        <v>ord_40998</v>
      </c>
      <c r="C1020" s="14" t="str">
        <f>IFERROR(__xludf.DUMMYFUNCTION("""COMPUTED_VALUE"""),"Parth Goel")</f>
        <v>Parth Goel</v>
      </c>
      <c r="D1020" s="14" t="str">
        <f>IFERROR(__xludf.DUMMYFUNCTION("""COMPUTED_VALUE"""),"Juhu")</f>
        <v>Juhu</v>
      </c>
      <c r="E1020" s="14" t="str">
        <f>IFERROR(__xludf.DUMMYFUNCTION("""COMPUTED_VALUE"""),"Veg Puff+4*Venu R")</f>
        <v>Veg Puff+4*Venu R</v>
      </c>
      <c r="F1020" s="14">
        <f>IFERROR(__xludf.DUMMYFUNCTION("""COMPUTED_VALUE"""),3.0)</f>
        <v>3</v>
      </c>
      <c r="G1020" s="14">
        <f>IFERROR(__xludf.DUMMYFUNCTION("""COMPUTED_VALUE"""),1.0)</f>
        <v>1</v>
      </c>
      <c r="H1020" s="14">
        <f>IFERROR(__xludf.DUMMYFUNCTION("""COMPUTED_VALUE"""),2023.0)</f>
        <v>2023</v>
      </c>
      <c r="I1020" s="14" t="str">
        <f>IFERROR(__xludf.DUMMYFUNCTION("""COMPUTED_VALUE"""),"UPI")</f>
        <v>UPI</v>
      </c>
      <c r="J1020" s="14" t="str">
        <f>IFERROR(__xludf.DUMMYFUNCTION("""COMPUTED_VALUE"""),"Delivered*Overall Satisfaction: Great service will order again")</f>
        <v>Delivered*Overall Satisfaction: Great service will order again</v>
      </c>
      <c r="K1020" s="14" t="str">
        <f>IFERROR(__xludf.DUMMYFUNCTION("split(E1020,""+"")"),"Veg Puff")</f>
        <v>Veg Puff</v>
      </c>
      <c r="L1020" s="14" t="str">
        <f>IFERROR(__xludf.DUMMYFUNCTION("""COMPUTED_VALUE"""),"4*Venu R")</f>
        <v>4*Venu R</v>
      </c>
      <c r="M1020" s="14">
        <f>IFERROR(__xludf.DUMMYFUNCTION("SPLIT(L1020,""*"")"),4.0)</f>
        <v>4</v>
      </c>
      <c r="N1020" s="14" t="str">
        <f>IFERROR(__xludf.DUMMYFUNCTION("""COMPUTED_VALUE"""),"Venu R")</f>
        <v>Venu R</v>
      </c>
      <c r="O1020" s="14" t="str">
        <f>IFERROR(__xludf.DUMMYFUNCTION("split(J1020,""*"")"),"Delivered")</f>
        <v>Delivered</v>
      </c>
      <c r="P1020" s="14" t="str">
        <f>IFERROR(__xludf.DUMMYFUNCTION("""COMPUTED_VALUE"""),"Overall Satisfaction: Great service will order again")</f>
        <v>Overall Satisfaction: Great service will order again</v>
      </c>
      <c r="Q1020" s="14" t="str">
        <f>IFERROR(__xludf.DUMMYFUNCTION("split(P1020,"":"")"),"Overall Satisfaction")</f>
        <v>Overall Satisfaction</v>
      </c>
      <c r="R1020" s="14" t="str">
        <f>IFERROR(__xludf.DUMMYFUNCTION("""COMPUTED_VALUE""")," Great service will order again")</f>
        <v> Great service will order again</v>
      </c>
      <c r="S1020" s="14" t="str">
        <f t="shared" ref="S1020:U1020" si="2043">trim(B1020)</f>
        <v>ord_40998</v>
      </c>
      <c r="T1020" s="14" t="str">
        <f t="shared" si="2043"/>
        <v>Parth Goel</v>
      </c>
      <c r="U1020" s="14" t="str">
        <f t="shared" si="2043"/>
        <v>Juhu</v>
      </c>
      <c r="V1020" s="14" t="str">
        <f t="shared" si="4"/>
        <v>Veg Puff</v>
      </c>
      <c r="W1020" s="14">
        <f t="shared" si="5"/>
        <v>4</v>
      </c>
      <c r="X1020" s="14" t="str">
        <f t="shared" si="6"/>
        <v>Venu R</v>
      </c>
      <c r="Y1020" s="15">
        <f t="shared" si="7"/>
        <v>44986</v>
      </c>
      <c r="Z1020" s="14" t="str">
        <f t="shared" si="8"/>
        <v>UPI</v>
      </c>
      <c r="AA1020" s="14" t="str">
        <f t="shared" si="9"/>
        <v>Delivered</v>
      </c>
      <c r="AB1020" s="14" t="str">
        <f t="shared" ref="AB1020:AC1020" si="2044">trim(Q1020)</f>
        <v>Overall Satisfaction</v>
      </c>
      <c r="AC1020" s="14" t="str">
        <f t="shared" si="2044"/>
        <v>Great service will order again</v>
      </c>
      <c r="AD1020" s="8"/>
    </row>
    <row r="1021">
      <c r="A1021" s="14" t="str">
        <f>IFERROR(__xludf.DUMMYFUNCTION("""COMPUTED_VALUE"""),"//ord_40999//Anaya Rao//Colaba//Chocolate Mousse+4*Ramesh S/12/7/2023//Online Payment//Delivered*On-time Delivery: Delivered on time")</f>
        <v>//ord_40999//Anaya Rao//Colaba//Chocolate Mousse+4*Ramesh S/12/7/2023//Online Payment//Delivered*On-time Delivery: Delivered on time</v>
      </c>
      <c r="B1021" s="14" t="str">
        <f>IFERROR(__xludf.DUMMYFUNCTION("split(A1021,""//"")"),"ord_40999")</f>
        <v>ord_40999</v>
      </c>
      <c r="C1021" s="14" t="str">
        <f>IFERROR(__xludf.DUMMYFUNCTION("""COMPUTED_VALUE"""),"Anaya Rao")</f>
        <v>Anaya Rao</v>
      </c>
      <c r="D1021" s="14" t="str">
        <f>IFERROR(__xludf.DUMMYFUNCTION("""COMPUTED_VALUE"""),"Colaba")</f>
        <v>Colaba</v>
      </c>
      <c r="E1021" s="14" t="str">
        <f>IFERROR(__xludf.DUMMYFUNCTION("""COMPUTED_VALUE"""),"Chocolate Mousse+4*Ramesh S")</f>
        <v>Chocolate Mousse+4*Ramesh S</v>
      </c>
      <c r="F1021" s="14">
        <f>IFERROR(__xludf.DUMMYFUNCTION("""COMPUTED_VALUE"""),12.0)</f>
        <v>12</v>
      </c>
      <c r="G1021" s="14">
        <f>IFERROR(__xludf.DUMMYFUNCTION("""COMPUTED_VALUE"""),7.0)</f>
        <v>7</v>
      </c>
      <c r="H1021" s="14">
        <f>IFERROR(__xludf.DUMMYFUNCTION("""COMPUTED_VALUE"""),2023.0)</f>
        <v>2023</v>
      </c>
      <c r="I1021" s="14" t="str">
        <f>IFERROR(__xludf.DUMMYFUNCTION("""COMPUTED_VALUE"""),"Online Payment")</f>
        <v>Online Payment</v>
      </c>
      <c r="J1021" s="14" t="str">
        <f>IFERROR(__xludf.DUMMYFUNCTION("""COMPUTED_VALUE"""),"Delivered*On-time Delivery: Delivered on time")</f>
        <v>Delivered*On-time Delivery: Delivered on time</v>
      </c>
      <c r="K1021" s="14" t="str">
        <f>IFERROR(__xludf.DUMMYFUNCTION("split(E1021,""+"")"),"Chocolate Mousse")</f>
        <v>Chocolate Mousse</v>
      </c>
      <c r="L1021" s="14" t="str">
        <f>IFERROR(__xludf.DUMMYFUNCTION("""COMPUTED_VALUE"""),"4*Ramesh S")</f>
        <v>4*Ramesh S</v>
      </c>
      <c r="M1021" s="14">
        <f>IFERROR(__xludf.DUMMYFUNCTION("SPLIT(L1021,""*"")"),4.0)</f>
        <v>4</v>
      </c>
      <c r="N1021" s="14" t="str">
        <f>IFERROR(__xludf.DUMMYFUNCTION("""COMPUTED_VALUE"""),"Ramesh S")</f>
        <v>Ramesh S</v>
      </c>
      <c r="O1021" s="14" t="str">
        <f>IFERROR(__xludf.DUMMYFUNCTION("split(J1021,""*"")"),"Delivered")</f>
        <v>Delivered</v>
      </c>
      <c r="P1021" s="14" t="str">
        <f>IFERROR(__xludf.DUMMYFUNCTION("""COMPUTED_VALUE"""),"On-time Delivery: Delivered on time")</f>
        <v>On-time Delivery: Delivered on time</v>
      </c>
      <c r="Q1021" s="14" t="str">
        <f>IFERROR(__xludf.DUMMYFUNCTION("split(P1021,"":"")"),"On-time Delivery")</f>
        <v>On-time Delivery</v>
      </c>
      <c r="R1021" s="14" t="str">
        <f>IFERROR(__xludf.DUMMYFUNCTION("""COMPUTED_VALUE""")," Delivered on time")</f>
        <v> Delivered on time</v>
      </c>
      <c r="S1021" s="14" t="str">
        <f t="shared" ref="S1021:U1021" si="2045">trim(B1021)</f>
        <v>ord_40999</v>
      </c>
      <c r="T1021" s="14" t="str">
        <f t="shared" si="2045"/>
        <v>Anaya Rao</v>
      </c>
      <c r="U1021" s="14" t="str">
        <f t="shared" si="2045"/>
        <v>Colaba</v>
      </c>
      <c r="V1021" s="14" t="str">
        <f t="shared" si="4"/>
        <v>Chocolate Mousse</v>
      </c>
      <c r="W1021" s="14">
        <f t="shared" si="5"/>
        <v>4</v>
      </c>
      <c r="X1021" s="14" t="str">
        <f t="shared" si="6"/>
        <v>Ramesh S</v>
      </c>
      <c r="Y1021" s="15">
        <f t="shared" si="7"/>
        <v>45267</v>
      </c>
      <c r="Z1021" s="14" t="str">
        <f t="shared" si="8"/>
        <v>Online Payment</v>
      </c>
      <c r="AA1021" s="14" t="str">
        <f t="shared" si="9"/>
        <v>Delivered</v>
      </c>
      <c r="AB1021" s="14" t="str">
        <f t="shared" ref="AB1021:AC1021" si="2046">trim(Q1021)</f>
        <v>On-time Delivery</v>
      </c>
      <c r="AC1021" s="14" t="str">
        <f t="shared" si="2046"/>
        <v>Delivered on time</v>
      </c>
      <c r="AD1021" s="8"/>
    </row>
    <row r="1022">
      <c r="A1022" s="14" t="str">
        <f>IFERROR(__xludf.DUMMYFUNCTION("""COMPUTED_VALUE"""),"//ord_41000//Ishita Banerjee//Juhu//Papaya+1*Not Assigned/6/4/2023//UPI//Cancelled*App Glitches: Payment Button Malfunction")</f>
        <v>//ord_41000//Ishita Banerjee//Juhu//Papaya+1*Not Assigned/6/4/2023//UPI//Cancelled*App Glitches: Payment Button Malfunction</v>
      </c>
      <c r="B1022" s="14" t="str">
        <f>IFERROR(__xludf.DUMMYFUNCTION("split(A1022,""//"")"),"ord_41000")</f>
        <v>ord_41000</v>
      </c>
      <c r="C1022" s="14" t="str">
        <f>IFERROR(__xludf.DUMMYFUNCTION("""COMPUTED_VALUE"""),"Ishita Banerjee")</f>
        <v>Ishita Banerjee</v>
      </c>
      <c r="D1022" s="14" t="str">
        <f>IFERROR(__xludf.DUMMYFUNCTION("""COMPUTED_VALUE"""),"Juhu")</f>
        <v>Juhu</v>
      </c>
      <c r="E1022" s="14" t="str">
        <f>IFERROR(__xludf.DUMMYFUNCTION("""COMPUTED_VALUE"""),"Papaya+1*Not Assigned")</f>
        <v>Papaya+1*Not Assigned</v>
      </c>
      <c r="F1022" s="14">
        <f>IFERROR(__xludf.DUMMYFUNCTION("""COMPUTED_VALUE"""),6.0)</f>
        <v>6</v>
      </c>
      <c r="G1022" s="14">
        <f>IFERROR(__xludf.DUMMYFUNCTION("""COMPUTED_VALUE"""),4.0)</f>
        <v>4</v>
      </c>
      <c r="H1022" s="14">
        <f>IFERROR(__xludf.DUMMYFUNCTION("""COMPUTED_VALUE"""),2023.0)</f>
        <v>2023</v>
      </c>
      <c r="I1022" s="14" t="str">
        <f>IFERROR(__xludf.DUMMYFUNCTION("""COMPUTED_VALUE"""),"UPI")</f>
        <v>UPI</v>
      </c>
      <c r="J1022" s="14" t="str">
        <f>IFERROR(__xludf.DUMMYFUNCTION("""COMPUTED_VALUE"""),"Cancelled*App Glitches: Payment Button Malfunction")</f>
        <v>Cancelled*App Glitches: Payment Button Malfunction</v>
      </c>
      <c r="K1022" s="14" t="str">
        <f>IFERROR(__xludf.DUMMYFUNCTION("split(E1022,""+"")"),"Papaya")</f>
        <v>Papaya</v>
      </c>
      <c r="L1022" s="14" t="str">
        <f>IFERROR(__xludf.DUMMYFUNCTION("""COMPUTED_VALUE"""),"1*Not Assigned")</f>
        <v>1*Not Assigned</v>
      </c>
      <c r="M1022" s="14">
        <f>IFERROR(__xludf.DUMMYFUNCTION("SPLIT(L1022,""*"")"),1.0)</f>
        <v>1</v>
      </c>
      <c r="N1022" s="14" t="str">
        <f>IFERROR(__xludf.DUMMYFUNCTION("""COMPUTED_VALUE"""),"Not Assigned")</f>
        <v>Not Assigned</v>
      </c>
      <c r="O1022" s="14" t="str">
        <f>IFERROR(__xludf.DUMMYFUNCTION("split(J1022,""*"")"),"Cancelled")</f>
        <v>Cancelled</v>
      </c>
      <c r="P1022" s="14" t="str">
        <f>IFERROR(__xludf.DUMMYFUNCTION("""COMPUTED_VALUE"""),"App Glitches: Payment Button Malfunction")</f>
        <v>App Glitches: Payment Button Malfunction</v>
      </c>
      <c r="Q1022" s="14" t="str">
        <f>IFERROR(__xludf.DUMMYFUNCTION("split(P1022,"":"")"),"App Glitches")</f>
        <v>App Glitches</v>
      </c>
      <c r="R1022" s="14" t="str">
        <f>IFERROR(__xludf.DUMMYFUNCTION("""COMPUTED_VALUE""")," Payment Button Malfunction")</f>
        <v> Payment Button Malfunction</v>
      </c>
      <c r="S1022" s="14" t="str">
        <f t="shared" ref="S1022:U1022" si="2047">trim(B1022)</f>
        <v>ord_41000</v>
      </c>
      <c r="T1022" s="14" t="str">
        <f t="shared" si="2047"/>
        <v>Ishita Banerjee</v>
      </c>
      <c r="U1022" s="14" t="str">
        <f t="shared" si="2047"/>
        <v>Juhu</v>
      </c>
      <c r="V1022" s="14" t="str">
        <f t="shared" si="4"/>
        <v>Papaya</v>
      </c>
      <c r="W1022" s="14">
        <f t="shared" si="5"/>
        <v>1</v>
      </c>
      <c r="X1022" s="14" t="str">
        <f t="shared" si="6"/>
        <v>Not Assigned</v>
      </c>
      <c r="Y1022" s="15">
        <f t="shared" si="7"/>
        <v>45081</v>
      </c>
      <c r="Z1022" s="14" t="str">
        <f t="shared" si="8"/>
        <v>UPI</v>
      </c>
      <c r="AA1022" s="14" t="str">
        <f t="shared" si="9"/>
        <v>Cancelled</v>
      </c>
      <c r="AB1022" s="14" t="str">
        <f t="shared" ref="AB1022:AC1022" si="2048">trim(Q1022)</f>
        <v>App Glitches</v>
      </c>
      <c r="AC1022" s="14" t="str">
        <f t="shared" si="2048"/>
        <v>Payment Button Malfunction</v>
      </c>
      <c r="AD1022" s="8"/>
    </row>
    <row r="1023">
      <c r="A1023" s="14" t="str">
        <f>IFERROR(__xludf.DUMMYFUNCTION("""COMPUTED_VALUE"""),"//ord_41001//Sanjay Nair//Dadar//Apple+2*Ramesh S/6/6/2023//Online Payment//Delivered*Quality of Items: Perfect condition")</f>
        <v>//ord_41001//Sanjay Nair//Dadar//Apple+2*Ramesh S/6/6/2023//Online Payment//Delivered*Quality of Items: Perfect condition</v>
      </c>
      <c r="B1023" s="14" t="str">
        <f>IFERROR(__xludf.DUMMYFUNCTION("split(A1023,""//"")"),"ord_41001")</f>
        <v>ord_41001</v>
      </c>
      <c r="C1023" s="14" t="str">
        <f>IFERROR(__xludf.DUMMYFUNCTION("""COMPUTED_VALUE"""),"Sanjay Nair")</f>
        <v>Sanjay Nair</v>
      </c>
      <c r="D1023" s="14" t="str">
        <f>IFERROR(__xludf.DUMMYFUNCTION("""COMPUTED_VALUE"""),"Dadar")</f>
        <v>Dadar</v>
      </c>
      <c r="E1023" s="14" t="str">
        <f>IFERROR(__xludf.DUMMYFUNCTION("""COMPUTED_VALUE"""),"Apple+2*Ramesh S")</f>
        <v>Apple+2*Ramesh S</v>
      </c>
      <c r="F1023" s="14">
        <f>IFERROR(__xludf.DUMMYFUNCTION("""COMPUTED_VALUE"""),6.0)</f>
        <v>6</v>
      </c>
      <c r="G1023" s="14">
        <f>IFERROR(__xludf.DUMMYFUNCTION("""COMPUTED_VALUE"""),6.0)</f>
        <v>6</v>
      </c>
      <c r="H1023" s="14">
        <f>IFERROR(__xludf.DUMMYFUNCTION("""COMPUTED_VALUE"""),2023.0)</f>
        <v>2023</v>
      </c>
      <c r="I1023" s="14" t="str">
        <f>IFERROR(__xludf.DUMMYFUNCTION("""COMPUTED_VALUE"""),"Online Payment")</f>
        <v>Online Payment</v>
      </c>
      <c r="J1023" s="14" t="str">
        <f>IFERROR(__xludf.DUMMYFUNCTION("""COMPUTED_VALUE"""),"Delivered*Quality of Items: Perfect condition")</f>
        <v>Delivered*Quality of Items: Perfect condition</v>
      </c>
      <c r="K1023" s="14" t="str">
        <f>IFERROR(__xludf.DUMMYFUNCTION("split(E1023,""+"")"),"Apple")</f>
        <v>Apple</v>
      </c>
      <c r="L1023" s="14" t="str">
        <f>IFERROR(__xludf.DUMMYFUNCTION("""COMPUTED_VALUE"""),"2*Ramesh S")</f>
        <v>2*Ramesh S</v>
      </c>
      <c r="M1023" s="14">
        <f>IFERROR(__xludf.DUMMYFUNCTION("SPLIT(L1023,""*"")"),2.0)</f>
        <v>2</v>
      </c>
      <c r="N1023" s="14" t="str">
        <f>IFERROR(__xludf.DUMMYFUNCTION("""COMPUTED_VALUE"""),"Ramesh S")</f>
        <v>Ramesh S</v>
      </c>
      <c r="O1023" s="14" t="str">
        <f>IFERROR(__xludf.DUMMYFUNCTION("split(J1023,""*"")"),"Delivered")</f>
        <v>Delivered</v>
      </c>
      <c r="P1023" s="14" t="str">
        <f>IFERROR(__xludf.DUMMYFUNCTION("""COMPUTED_VALUE"""),"Quality of Items: Perfect condition")</f>
        <v>Quality of Items: Perfect condition</v>
      </c>
      <c r="Q1023" s="14" t="str">
        <f>IFERROR(__xludf.DUMMYFUNCTION("split(P1023,"":"")"),"Quality of Items")</f>
        <v>Quality of Items</v>
      </c>
      <c r="R1023" s="14" t="str">
        <f>IFERROR(__xludf.DUMMYFUNCTION("""COMPUTED_VALUE""")," Perfect condition")</f>
        <v> Perfect condition</v>
      </c>
      <c r="S1023" s="14" t="str">
        <f t="shared" ref="S1023:U1023" si="2049">trim(B1023)</f>
        <v>ord_41001</v>
      </c>
      <c r="T1023" s="14" t="str">
        <f t="shared" si="2049"/>
        <v>Sanjay Nair</v>
      </c>
      <c r="U1023" s="14" t="str">
        <f t="shared" si="2049"/>
        <v>Dadar</v>
      </c>
      <c r="V1023" s="14" t="str">
        <f t="shared" si="4"/>
        <v>Apple</v>
      </c>
      <c r="W1023" s="14">
        <f t="shared" si="5"/>
        <v>2</v>
      </c>
      <c r="X1023" s="14" t="str">
        <f t="shared" si="6"/>
        <v>Ramesh S</v>
      </c>
      <c r="Y1023" s="15">
        <f t="shared" si="7"/>
        <v>45083</v>
      </c>
      <c r="Z1023" s="14" t="str">
        <f t="shared" si="8"/>
        <v>Online Payment</v>
      </c>
      <c r="AA1023" s="14" t="str">
        <f t="shared" si="9"/>
        <v>Delivered</v>
      </c>
      <c r="AB1023" s="14" t="str">
        <f t="shared" ref="AB1023:AC1023" si="2050">trim(Q1023)</f>
        <v>Quality of Items</v>
      </c>
      <c r="AC1023" s="14" t="str">
        <f t="shared" si="2050"/>
        <v>Perfect condition</v>
      </c>
      <c r="AD1023" s="8"/>
    </row>
    <row r="1024">
      <c r="A1024" s="14" t="str">
        <f>IFERROR(__xludf.DUMMYFUNCTION("""COMPUTED_VALUE"""),"//ord_41002//Diya Arora//Lower Parel//Cucumber+2*Manju Ajay/9/15/2023//UPI//Delivered*On-time Delivery: Delivered on time")</f>
        <v>//ord_41002//Diya Arora//Lower Parel//Cucumber+2*Manju Ajay/9/15/2023//UPI//Delivered*On-time Delivery: Delivered on time</v>
      </c>
      <c r="B1024" s="14" t="str">
        <f>IFERROR(__xludf.DUMMYFUNCTION("split(A1024,""//"")"),"ord_41002")</f>
        <v>ord_41002</v>
      </c>
      <c r="C1024" s="14" t="str">
        <f>IFERROR(__xludf.DUMMYFUNCTION("""COMPUTED_VALUE"""),"Diya Arora")</f>
        <v>Diya Arora</v>
      </c>
      <c r="D1024" s="14" t="str">
        <f>IFERROR(__xludf.DUMMYFUNCTION("""COMPUTED_VALUE"""),"Lower Parel")</f>
        <v>Lower Parel</v>
      </c>
      <c r="E1024" s="14" t="str">
        <f>IFERROR(__xludf.DUMMYFUNCTION("""COMPUTED_VALUE"""),"Cucumber+2*Manju Ajay")</f>
        <v>Cucumber+2*Manju Ajay</v>
      </c>
      <c r="F1024" s="14">
        <f>IFERROR(__xludf.DUMMYFUNCTION("""COMPUTED_VALUE"""),9.0)</f>
        <v>9</v>
      </c>
      <c r="G1024" s="14">
        <f>IFERROR(__xludf.DUMMYFUNCTION("""COMPUTED_VALUE"""),15.0)</f>
        <v>15</v>
      </c>
      <c r="H1024" s="14">
        <f>IFERROR(__xludf.DUMMYFUNCTION("""COMPUTED_VALUE"""),2023.0)</f>
        <v>2023</v>
      </c>
      <c r="I1024" s="14" t="str">
        <f>IFERROR(__xludf.DUMMYFUNCTION("""COMPUTED_VALUE"""),"UPI")</f>
        <v>UPI</v>
      </c>
      <c r="J1024" s="14" t="str">
        <f>IFERROR(__xludf.DUMMYFUNCTION("""COMPUTED_VALUE"""),"Delivered*On-time Delivery: Delivered on time")</f>
        <v>Delivered*On-time Delivery: Delivered on time</v>
      </c>
      <c r="K1024" s="14" t="str">
        <f>IFERROR(__xludf.DUMMYFUNCTION("split(E1024,""+"")"),"Cucumber")</f>
        <v>Cucumber</v>
      </c>
      <c r="L1024" s="14" t="str">
        <f>IFERROR(__xludf.DUMMYFUNCTION("""COMPUTED_VALUE"""),"2*Manju Ajay")</f>
        <v>2*Manju Ajay</v>
      </c>
      <c r="M1024" s="14">
        <f>IFERROR(__xludf.DUMMYFUNCTION("SPLIT(L1024,""*"")"),2.0)</f>
        <v>2</v>
      </c>
      <c r="N1024" s="14" t="str">
        <f>IFERROR(__xludf.DUMMYFUNCTION("""COMPUTED_VALUE"""),"Manju Ajay")</f>
        <v>Manju Ajay</v>
      </c>
      <c r="O1024" s="14" t="str">
        <f>IFERROR(__xludf.DUMMYFUNCTION("split(J1024,""*"")"),"Delivered")</f>
        <v>Delivered</v>
      </c>
      <c r="P1024" s="14" t="str">
        <f>IFERROR(__xludf.DUMMYFUNCTION("""COMPUTED_VALUE"""),"On-time Delivery: Delivered on time")</f>
        <v>On-time Delivery: Delivered on time</v>
      </c>
      <c r="Q1024" s="14" t="str">
        <f>IFERROR(__xludf.DUMMYFUNCTION("split(P1024,"":"")"),"On-time Delivery")</f>
        <v>On-time Delivery</v>
      </c>
      <c r="R1024" s="14" t="str">
        <f>IFERROR(__xludf.DUMMYFUNCTION("""COMPUTED_VALUE""")," Delivered on time")</f>
        <v> Delivered on time</v>
      </c>
      <c r="S1024" s="14" t="str">
        <f t="shared" ref="S1024:U1024" si="2051">trim(B1024)</f>
        <v>ord_41002</v>
      </c>
      <c r="T1024" s="14" t="str">
        <f t="shared" si="2051"/>
        <v>Diya Arora</v>
      </c>
      <c r="U1024" s="14" t="str">
        <f t="shared" si="2051"/>
        <v>Lower Parel</v>
      </c>
      <c r="V1024" s="14" t="str">
        <f t="shared" si="4"/>
        <v>Cucumber</v>
      </c>
      <c r="W1024" s="14">
        <f t="shared" si="5"/>
        <v>2</v>
      </c>
      <c r="X1024" s="14" t="str">
        <f t="shared" si="6"/>
        <v>Manju Ajay</v>
      </c>
      <c r="Y1024" s="15">
        <f t="shared" si="7"/>
        <v>45184</v>
      </c>
      <c r="Z1024" s="14" t="str">
        <f t="shared" si="8"/>
        <v>UPI</v>
      </c>
      <c r="AA1024" s="14" t="str">
        <f t="shared" si="9"/>
        <v>Delivered</v>
      </c>
      <c r="AB1024" s="14" t="str">
        <f t="shared" ref="AB1024:AC1024" si="2052">trim(Q1024)</f>
        <v>On-time Delivery</v>
      </c>
      <c r="AC1024" s="14" t="str">
        <f t="shared" si="2052"/>
        <v>Delivered on time</v>
      </c>
      <c r="AD1024" s="8"/>
    </row>
    <row r="1025">
      <c r="A1025" s="14" t="str">
        <f>IFERROR(__xludf.DUMMYFUNCTION("""COMPUTED_VALUE"""),"//ord_41003//Siya Reddy//Juhu//Chocolate Mousse+2*Ram Gopal/3/30/2023//Credit Card//Delivered*Quality of Items: Perfect condition")</f>
        <v>//ord_41003//Siya Reddy//Juhu//Chocolate Mousse+2*Ram Gopal/3/30/2023//Credit Card//Delivered*Quality of Items: Perfect condition</v>
      </c>
      <c r="B1025" s="14" t="str">
        <f>IFERROR(__xludf.DUMMYFUNCTION("split(A1025,""//"")"),"ord_41003")</f>
        <v>ord_41003</v>
      </c>
      <c r="C1025" s="14" t="str">
        <f>IFERROR(__xludf.DUMMYFUNCTION("""COMPUTED_VALUE"""),"Siya Reddy")</f>
        <v>Siya Reddy</v>
      </c>
      <c r="D1025" s="14" t="str">
        <f>IFERROR(__xludf.DUMMYFUNCTION("""COMPUTED_VALUE"""),"Juhu")</f>
        <v>Juhu</v>
      </c>
      <c r="E1025" s="14" t="str">
        <f>IFERROR(__xludf.DUMMYFUNCTION("""COMPUTED_VALUE"""),"Chocolate Mousse+2*Ram Gopal")</f>
        <v>Chocolate Mousse+2*Ram Gopal</v>
      </c>
      <c r="F1025" s="14">
        <f>IFERROR(__xludf.DUMMYFUNCTION("""COMPUTED_VALUE"""),3.0)</f>
        <v>3</v>
      </c>
      <c r="G1025" s="14">
        <f>IFERROR(__xludf.DUMMYFUNCTION("""COMPUTED_VALUE"""),30.0)</f>
        <v>30</v>
      </c>
      <c r="H1025" s="14">
        <f>IFERROR(__xludf.DUMMYFUNCTION("""COMPUTED_VALUE"""),2023.0)</f>
        <v>2023</v>
      </c>
      <c r="I1025" s="14" t="str">
        <f>IFERROR(__xludf.DUMMYFUNCTION("""COMPUTED_VALUE"""),"Credit Card")</f>
        <v>Credit Card</v>
      </c>
      <c r="J1025" s="14" t="str">
        <f>IFERROR(__xludf.DUMMYFUNCTION("""COMPUTED_VALUE"""),"Delivered*Quality of Items: Perfect condition")</f>
        <v>Delivered*Quality of Items: Perfect condition</v>
      </c>
      <c r="K1025" s="14" t="str">
        <f>IFERROR(__xludf.DUMMYFUNCTION("split(E1025,""+"")"),"Chocolate Mousse")</f>
        <v>Chocolate Mousse</v>
      </c>
      <c r="L1025" s="14" t="str">
        <f>IFERROR(__xludf.DUMMYFUNCTION("""COMPUTED_VALUE"""),"2*Ram Gopal")</f>
        <v>2*Ram Gopal</v>
      </c>
      <c r="M1025" s="14">
        <f>IFERROR(__xludf.DUMMYFUNCTION("SPLIT(L1025,""*"")"),2.0)</f>
        <v>2</v>
      </c>
      <c r="N1025" s="14" t="str">
        <f>IFERROR(__xludf.DUMMYFUNCTION("""COMPUTED_VALUE"""),"Ram Gopal")</f>
        <v>Ram Gopal</v>
      </c>
      <c r="O1025" s="14" t="str">
        <f>IFERROR(__xludf.DUMMYFUNCTION("split(J1025,""*"")"),"Delivered")</f>
        <v>Delivered</v>
      </c>
      <c r="P1025" s="14" t="str">
        <f>IFERROR(__xludf.DUMMYFUNCTION("""COMPUTED_VALUE"""),"Quality of Items: Perfect condition")</f>
        <v>Quality of Items: Perfect condition</v>
      </c>
      <c r="Q1025" s="14" t="str">
        <f>IFERROR(__xludf.DUMMYFUNCTION("split(P1025,"":"")"),"Quality of Items")</f>
        <v>Quality of Items</v>
      </c>
      <c r="R1025" s="14" t="str">
        <f>IFERROR(__xludf.DUMMYFUNCTION("""COMPUTED_VALUE""")," Perfect condition")</f>
        <v> Perfect condition</v>
      </c>
      <c r="S1025" s="14" t="str">
        <f t="shared" ref="S1025:U1025" si="2053">trim(B1025)</f>
        <v>ord_41003</v>
      </c>
      <c r="T1025" s="14" t="str">
        <f t="shared" si="2053"/>
        <v>Siya Reddy</v>
      </c>
      <c r="U1025" s="14" t="str">
        <f t="shared" si="2053"/>
        <v>Juhu</v>
      </c>
      <c r="V1025" s="14" t="str">
        <f t="shared" si="4"/>
        <v>Chocolate Mousse</v>
      </c>
      <c r="W1025" s="14">
        <f t="shared" si="5"/>
        <v>2</v>
      </c>
      <c r="X1025" s="14" t="str">
        <f t="shared" si="6"/>
        <v>Ram Gopal</v>
      </c>
      <c r="Y1025" s="15">
        <f t="shared" si="7"/>
        <v>45015</v>
      </c>
      <c r="Z1025" s="14" t="str">
        <f t="shared" si="8"/>
        <v>Credit Card</v>
      </c>
      <c r="AA1025" s="14" t="str">
        <f t="shared" si="9"/>
        <v>Delivered</v>
      </c>
      <c r="AB1025" s="14" t="str">
        <f t="shared" ref="AB1025:AC1025" si="2054">trim(Q1025)</f>
        <v>Quality of Items</v>
      </c>
      <c r="AC1025" s="14" t="str">
        <f t="shared" si="2054"/>
        <v>Perfect condition</v>
      </c>
      <c r="AD1025" s="8"/>
    </row>
    <row r="1026">
      <c r="A1026" s="14" t="str">
        <f>IFERROR(__xludf.DUMMYFUNCTION("""COMPUTED_VALUE"""),"//ord_41004//Siya Reddy//Juhu//Chicken Puff+4*Ramesh S/11/13/2023//Online Payment//Delivered*Packaging: Secure and intact")</f>
        <v>//ord_41004//Siya Reddy//Juhu//Chicken Puff+4*Ramesh S/11/13/2023//Online Payment//Delivered*Packaging: Secure and intact</v>
      </c>
      <c r="B1026" s="14" t="str">
        <f>IFERROR(__xludf.DUMMYFUNCTION("split(A1026,""//"")"),"ord_41004")</f>
        <v>ord_41004</v>
      </c>
      <c r="C1026" s="14" t="str">
        <f>IFERROR(__xludf.DUMMYFUNCTION("""COMPUTED_VALUE"""),"Siya Reddy")</f>
        <v>Siya Reddy</v>
      </c>
      <c r="D1026" s="14" t="str">
        <f>IFERROR(__xludf.DUMMYFUNCTION("""COMPUTED_VALUE"""),"Juhu")</f>
        <v>Juhu</v>
      </c>
      <c r="E1026" s="14" t="str">
        <f>IFERROR(__xludf.DUMMYFUNCTION("""COMPUTED_VALUE"""),"Chicken Puff+4*Ramesh S")</f>
        <v>Chicken Puff+4*Ramesh S</v>
      </c>
      <c r="F1026" s="14">
        <f>IFERROR(__xludf.DUMMYFUNCTION("""COMPUTED_VALUE"""),11.0)</f>
        <v>11</v>
      </c>
      <c r="G1026" s="14">
        <f>IFERROR(__xludf.DUMMYFUNCTION("""COMPUTED_VALUE"""),13.0)</f>
        <v>13</v>
      </c>
      <c r="H1026" s="14">
        <f>IFERROR(__xludf.DUMMYFUNCTION("""COMPUTED_VALUE"""),2023.0)</f>
        <v>2023</v>
      </c>
      <c r="I1026" s="14" t="str">
        <f>IFERROR(__xludf.DUMMYFUNCTION("""COMPUTED_VALUE"""),"Online Payment")</f>
        <v>Online Payment</v>
      </c>
      <c r="J1026" s="14" t="str">
        <f>IFERROR(__xludf.DUMMYFUNCTION("""COMPUTED_VALUE"""),"Delivered*Packaging: Secure and intact")</f>
        <v>Delivered*Packaging: Secure and intact</v>
      </c>
      <c r="K1026" s="14" t="str">
        <f>IFERROR(__xludf.DUMMYFUNCTION("split(E1026,""+"")"),"Chicken Puff")</f>
        <v>Chicken Puff</v>
      </c>
      <c r="L1026" s="14" t="str">
        <f>IFERROR(__xludf.DUMMYFUNCTION("""COMPUTED_VALUE"""),"4*Ramesh S")</f>
        <v>4*Ramesh S</v>
      </c>
      <c r="M1026" s="14">
        <f>IFERROR(__xludf.DUMMYFUNCTION("SPLIT(L1026,""*"")"),4.0)</f>
        <v>4</v>
      </c>
      <c r="N1026" s="14" t="str">
        <f>IFERROR(__xludf.DUMMYFUNCTION("""COMPUTED_VALUE"""),"Ramesh S")</f>
        <v>Ramesh S</v>
      </c>
      <c r="O1026" s="14" t="str">
        <f>IFERROR(__xludf.DUMMYFUNCTION("split(J1026,""*"")"),"Delivered")</f>
        <v>Delivered</v>
      </c>
      <c r="P1026" s="14" t="str">
        <f>IFERROR(__xludf.DUMMYFUNCTION("""COMPUTED_VALUE"""),"Packaging: Secure and intact")</f>
        <v>Packaging: Secure and intact</v>
      </c>
      <c r="Q1026" s="14" t="str">
        <f>IFERROR(__xludf.DUMMYFUNCTION("split(P1026,"":"")"),"Packaging")</f>
        <v>Packaging</v>
      </c>
      <c r="R1026" s="14" t="str">
        <f>IFERROR(__xludf.DUMMYFUNCTION("""COMPUTED_VALUE""")," Secure and intact")</f>
        <v> Secure and intact</v>
      </c>
      <c r="S1026" s="14" t="str">
        <f t="shared" ref="S1026:U1026" si="2055">trim(B1026)</f>
        <v>ord_41004</v>
      </c>
      <c r="T1026" s="14" t="str">
        <f t="shared" si="2055"/>
        <v>Siya Reddy</v>
      </c>
      <c r="U1026" s="14" t="str">
        <f t="shared" si="2055"/>
        <v>Juhu</v>
      </c>
      <c r="V1026" s="14" t="str">
        <f t="shared" si="4"/>
        <v>Chicken Puff</v>
      </c>
      <c r="W1026" s="14">
        <f t="shared" si="5"/>
        <v>4</v>
      </c>
      <c r="X1026" s="14" t="str">
        <f t="shared" si="6"/>
        <v>Ramesh S</v>
      </c>
      <c r="Y1026" s="15">
        <f t="shared" si="7"/>
        <v>45243</v>
      </c>
      <c r="Z1026" s="14" t="str">
        <f t="shared" si="8"/>
        <v>Online Payment</v>
      </c>
      <c r="AA1026" s="14" t="str">
        <f t="shared" si="9"/>
        <v>Delivered</v>
      </c>
      <c r="AB1026" s="14" t="str">
        <f t="shared" ref="AB1026:AC1026" si="2056">trim(Q1026)</f>
        <v>Packaging</v>
      </c>
      <c r="AC1026" s="14" t="str">
        <f t="shared" si="2056"/>
        <v>Secure and intact</v>
      </c>
      <c r="AD1026" s="8"/>
    </row>
    <row r="1027">
      <c r="A1027" s="14" t="str">
        <f>IFERROR(__xludf.DUMMYFUNCTION("""COMPUTED_VALUE"""),"//ord_41005//Dev Chauhan//Bandra//Cold Coffee+4*Ramesh S/8/27/2023//Online Payment//Delivered*Satisfied with the Delivery: Timely and quality")</f>
        <v>//ord_41005//Dev Chauhan//Bandra//Cold Coffee+4*Ramesh S/8/27/2023//Online Payment//Delivered*Satisfied with the Delivery: Timely and quality</v>
      </c>
      <c r="B1027" s="14" t="str">
        <f>IFERROR(__xludf.DUMMYFUNCTION("split(A1027,""//"")"),"ord_41005")</f>
        <v>ord_41005</v>
      </c>
      <c r="C1027" s="14" t="str">
        <f>IFERROR(__xludf.DUMMYFUNCTION("""COMPUTED_VALUE"""),"Dev Chauhan")</f>
        <v>Dev Chauhan</v>
      </c>
      <c r="D1027" s="14" t="str">
        <f>IFERROR(__xludf.DUMMYFUNCTION("""COMPUTED_VALUE"""),"Bandra")</f>
        <v>Bandra</v>
      </c>
      <c r="E1027" s="14" t="str">
        <f>IFERROR(__xludf.DUMMYFUNCTION("""COMPUTED_VALUE"""),"Cold Coffee+4*Ramesh S")</f>
        <v>Cold Coffee+4*Ramesh S</v>
      </c>
      <c r="F1027" s="14">
        <f>IFERROR(__xludf.DUMMYFUNCTION("""COMPUTED_VALUE"""),8.0)</f>
        <v>8</v>
      </c>
      <c r="G1027" s="14">
        <f>IFERROR(__xludf.DUMMYFUNCTION("""COMPUTED_VALUE"""),27.0)</f>
        <v>27</v>
      </c>
      <c r="H1027" s="14">
        <f>IFERROR(__xludf.DUMMYFUNCTION("""COMPUTED_VALUE"""),2023.0)</f>
        <v>2023</v>
      </c>
      <c r="I1027" s="14" t="str">
        <f>IFERROR(__xludf.DUMMYFUNCTION("""COMPUTED_VALUE"""),"Online Payment")</f>
        <v>Online Payment</v>
      </c>
      <c r="J1027" s="14" t="str">
        <f>IFERROR(__xludf.DUMMYFUNCTION("""COMPUTED_VALUE"""),"Delivered*Satisfied with the Delivery: Timely and quality")</f>
        <v>Delivered*Satisfied with the Delivery: Timely and quality</v>
      </c>
      <c r="K1027" s="14" t="str">
        <f>IFERROR(__xludf.DUMMYFUNCTION("split(E1027,""+"")"),"Cold Coffee")</f>
        <v>Cold Coffee</v>
      </c>
      <c r="L1027" s="14" t="str">
        <f>IFERROR(__xludf.DUMMYFUNCTION("""COMPUTED_VALUE"""),"4*Ramesh S")</f>
        <v>4*Ramesh S</v>
      </c>
      <c r="M1027" s="14">
        <f>IFERROR(__xludf.DUMMYFUNCTION("SPLIT(L1027,""*"")"),4.0)</f>
        <v>4</v>
      </c>
      <c r="N1027" s="14" t="str">
        <f>IFERROR(__xludf.DUMMYFUNCTION("""COMPUTED_VALUE"""),"Ramesh S")</f>
        <v>Ramesh S</v>
      </c>
      <c r="O1027" s="14" t="str">
        <f>IFERROR(__xludf.DUMMYFUNCTION("split(J1027,""*"")"),"Delivered")</f>
        <v>Delivered</v>
      </c>
      <c r="P1027" s="14" t="str">
        <f>IFERROR(__xludf.DUMMYFUNCTION("""COMPUTED_VALUE"""),"Satisfied with the Delivery: Timely and quality")</f>
        <v>Satisfied with the Delivery: Timely and quality</v>
      </c>
      <c r="Q1027" s="14" t="str">
        <f>IFERROR(__xludf.DUMMYFUNCTION("split(P1027,"":"")"),"Satisfied with the Delivery")</f>
        <v>Satisfied with the Delivery</v>
      </c>
      <c r="R1027" s="14" t="str">
        <f>IFERROR(__xludf.DUMMYFUNCTION("""COMPUTED_VALUE""")," Timely and quality")</f>
        <v> Timely and quality</v>
      </c>
      <c r="S1027" s="14" t="str">
        <f t="shared" ref="S1027:U1027" si="2057">trim(B1027)</f>
        <v>ord_41005</v>
      </c>
      <c r="T1027" s="14" t="str">
        <f t="shared" si="2057"/>
        <v>Dev Chauhan</v>
      </c>
      <c r="U1027" s="14" t="str">
        <f t="shared" si="2057"/>
        <v>Bandra</v>
      </c>
      <c r="V1027" s="14" t="str">
        <f t="shared" si="4"/>
        <v>Cold Coffee</v>
      </c>
      <c r="W1027" s="14">
        <f t="shared" si="5"/>
        <v>4</v>
      </c>
      <c r="X1027" s="14" t="str">
        <f t="shared" si="6"/>
        <v>Ramesh S</v>
      </c>
      <c r="Y1027" s="15">
        <f t="shared" si="7"/>
        <v>45165</v>
      </c>
      <c r="Z1027" s="14" t="str">
        <f t="shared" si="8"/>
        <v>Online Payment</v>
      </c>
      <c r="AA1027" s="14" t="str">
        <f t="shared" si="9"/>
        <v>Delivered</v>
      </c>
      <c r="AB1027" s="14" t="str">
        <f t="shared" ref="AB1027:AC1027" si="2058">trim(Q1027)</f>
        <v>Satisfied with the Delivery</v>
      </c>
      <c r="AC1027" s="14" t="str">
        <f t="shared" si="2058"/>
        <v>Timely and quality</v>
      </c>
      <c r="AD1027" s="8"/>
    </row>
    <row r="1028">
      <c r="A1028" s="14" t="str">
        <f>IFERROR(__xludf.DUMMYFUNCTION("""COMPUTED_VALUE"""),"//ord_41006//Pranav Joshi//Andheri//Veg Puff+1*Vivek Kumar/6/11/2023//UPI//Delivered*Customer Service: Seamless and easy")</f>
        <v>//ord_41006//Pranav Joshi//Andheri//Veg Puff+1*Vivek Kumar/6/11/2023//UPI//Delivered*Customer Service: Seamless and easy</v>
      </c>
      <c r="B1028" s="14" t="str">
        <f>IFERROR(__xludf.DUMMYFUNCTION("split(A1028,""//"")"),"ord_41006")</f>
        <v>ord_41006</v>
      </c>
      <c r="C1028" s="14" t="str">
        <f>IFERROR(__xludf.DUMMYFUNCTION("""COMPUTED_VALUE"""),"Pranav Joshi")</f>
        <v>Pranav Joshi</v>
      </c>
      <c r="D1028" s="14" t="str">
        <f>IFERROR(__xludf.DUMMYFUNCTION("""COMPUTED_VALUE"""),"Andheri")</f>
        <v>Andheri</v>
      </c>
      <c r="E1028" s="14" t="str">
        <f>IFERROR(__xludf.DUMMYFUNCTION("""COMPUTED_VALUE"""),"Veg Puff+1*Vivek Kumar")</f>
        <v>Veg Puff+1*Vivek Kumar</v>
      </c>
      <c r="F1028" s="14">
        <f>IFERROR(__xludf.DUMMYFUNCTION("""COMPUTED_VALUE"""),6.0)</f>
        <v>6</v>
      </c>
      <c r="G1028" s="14">
        <f>IFERROR(__xludf.DUMMYFUNCTION("""COMPUTED_VALUE"""),11.0)</f>
        <v>11</v>
      </c>
      <c r="H1028" s="14">
        <f>IFERROR(__xludf.DUMMYFUNCTION("""COMPUTED_VALUE"""),2023.0)</f>
        <v>2023</v>
      </c>
      <c r="I1028" s="14" t="str">
        <f>IFERROR(__xludf.DUMMYFUNCTION("""COMPUTED_VALUE"""),"UPI")</f>
        <v>UPI</v>
      </c>
      <c r="J1028" s="14" t="str">
        <f>IFERROR(__xludf.DUMMYFUNCTION("""COMPUTED_VALUE"""),"Delivered*Customer Service: Seamless and easy")</f>
        <v>Delivered*Customer Service: Seamless and easy</v>
      </c>
      <c r="K1028" s="14" t="str">
        <f>IFERROR(__xludf.DUMMYFUNCTION("split(E1028,""+"")"),"Veg Puff")</f>
        <v>Veg Puff</v>
      </c>
      <c r="L1028" s="14" t="str">
        <f>IFERROR(__xludf.DUMMYFUNCTION("""COMPUTED_VALUE"""),"1*Vivek Kumar")</f>
        <v>1*Vivek Kumar</v>
      </c>
      <c r="M1028" s="14">
        <f>IFERROR(__xludf.DUMMYFUNCTION("SPLIT(L1028,""*"")"),1.0)</f>
        <v>1</v>
      </c>
      <c r="N1028" s="14" t="str">
        <f>IFERROR(__xludf.DUMMYFUNCTION("""COMPUTED_VALUE"""),"Vivek Kumar")</f>
        <v>Vivek Kumar</v>
      </c>
      <c r="O1028" s="14" t="str">
        <f>IFERROR(__xludf.DUMMYFUNCTION("split(J1028,""*"")"),"Delivered")</f>
        <v>Delivered</v>
      </c>
      <c r="P1028" s="14" t="str">
        <f>IFERROR(__xludf.DUMMYFUNCTION("""COMPUTED_VALUE"""),"Customer Service: Seamless and easy")</f>
        <v>Customer Service: Seamless and easy</v>
      </c>
      <c r="Q1028" s="14" t="str">
        <f>IFERROR(__xludf.DUMMYFUNCTION("split(P1028,"":"")"),"Customer Service")</f>
        <v>Customer Service</v>
      </c>
      <c r="R1028" s="14" t="str">
        <f>IFERROR(__xludf.DUMMYFUNCTION("""COMPUTED_VALUE""")," Seamless and easy")</f>
        <v> Seamless and easy</v>
      </c>
      <c r="S1028" s="14" t="str">
        <f t="shared" ref="S1028:U1028" si="2059">trim(B1028)</f>
        <v>ord_41006</v>
      </c>
      <c r="T1028" s="14" t="str">
        <f t="shared" si="2059"/>
        <v>Pranav Joshi</v>
      </c>
      <c r="U1028" s="14" t="str">
        <f t="shared" si="2059"/>
        <v>Andheri</v>
      </c>
      <c r="V1028" s="14" t="str">
        <f t="shared" si="4"/>
        <v>Veg Puff</v>
      </c>
      <c r="W1028" s="14">
        <f t="shared" si="5"/>
        <v>1</v>
      </c>
      <c r="X1028" s="14" t="str">
        <f t="shared" si="6"/>
        <v>Vivek Kumar</v>
      </c>
      <c r="Y1028" s="15">
        <f t="shared" si="7"/>
        <v>45088</v>
      </c>
      <c r="Z1028" s="14" t="str">
        <f t="shared" si="8"/>
        <v>UPI</v>
      </c>
      <c r="AA1028" s="14" t="str">
        <f t="shared" si="9"/>
        <v>Delivered</v>
      </c>
      <c r="AB1028" s="14" t="str">
        <f t="shared" ref="AB1028:AC1028" si="2060">trim(Q1028)</f>
        <v>Customer Service</v>
      </c>
      <c r="AC1028" s="14" t="str">
        <f t="shared" si="2060"/>
        <v>Seamless and easy</v>
      </c>
      <c r="AD1028" s="8"/>
    </row>
    <row r="1029">
      <c r="A1029" s="14" t="str">
        <f>IFERROR(__xludf.DUMMYFUNCTION("""COMPUTED_VALUE"""),"//ord_41007//Pranav Joshi//Andheri//Tiramisu+2*Sita T/1/8/2023//Credit Card//Delivered*Delivery Experience: Quick and professional")</f>
        <v>//ord_41007//Pranav Joshi//Andheri//Tiramisu+2*Sita T/1/8/2023//Credit Card//Delivered*Delivery Experience: Quick and professional</v>
      </c>
      <c r="B1029" s="14" t="str">
        <f>IFERROR(__xludf.DUMMYFUNCTION("split(A1029,""//"")"),"ord_41007")</f>
        <v>ord_41007</v>
      </c>
      <c r="C1029" s="14" t="str">
        <f>IFERROR(__xludf.DUMMYFUNCTION("""COMPUTED_VALUE"""),"Pranav Joshi")</f>
        <v>Pranav Joshi</v>
      </c>
      <c r="D1029" s="14" t="str">
        <f>IFERROR(__xludf.DUMMYFUNCTION("""COMPUTED_VALUE"""),"Andheri")</f>
        <v>Andheri</v>
      </c>
      <c r="E1029" s="14" t="str">
        <f>IFERROR(__xludf.DUMMYFUNCTION("""COMPUTED_VALUE"""),"Tiramisu+2*Sita T")</f>
        <v>Tiramisu+2*Sita T</v>
      </c>
      <c r="F1029" s="14">
        <f>IFERROR(__xludf.DUMMYFUNCTION("""COMPUTED_VALUE"""),1.0)</f>
        <v>1</v>
      </c>
      <c r="G1029" s="14">
        <f>IFERROR(__xludf.DUMMYFUNCTION("""COMPUTED_VALUE"""),8.0)</f>
        <v>8</v>
      </c>
      <c r="H1029" s="14">
        <f>IFERROR(__xludf.DUMMYFUNCTION("""COMPUTED_VALUE"""),2023.0)</f>
        <v>2023</v>
      </c>
      <c r="I1029" s="14" t="str">
        <f>IFERROR(__xludf.DUMMYFUNCTION("""COMPUTED_VALUE"""),"Credit Card")</f>
        <v>Credit Card</v>
      </c>
      <c r="J1029" s="14" t="str">
        <f>IFERROR(__xludf.DUMMYFUNCTION("""COMPUTED_VALUE"""),"Delivered*Delivery Experience: Quick and professional")</f>
        <v>Delivered*Delivery Experience: Quick and professional</v>
      </c>
      <c r="K1029" s="14" t="str">
        <f>IFERROR(__xludf.DUMMYFUNCTION("split(E1029,""+"")"),"Tiramisu")</f>
        <v>Tiramisu</v>
      </c>
      <c r="L1029" s="14" t="str">
        <f>IFERROR(__xludf.DUMMYFUNCTION("""COMPUTED_VALUE"""),"2*Sita T")</f>
        <v>2*Sita T</v>
      </c>
      <c r="M1029" s="14">
        <f>IFERROR(__xludf.DUMMYFUNCTION("SPLIT(L1029,""*"")"),2.0)</f>
        <v>2</v>
      </c>
      <c r="N1029" s="14" t="str">
        <f>IFERROR(__xludf.DUMMYFUNCTION("""COMPUTED_VALUE"""),"Sita T")</f>
        <v>Sita T</v>
      </c>
      <c r="O1029" s="14" t="str">
        <f>IFERROR(__xludf.DUMMYFUNCTION("split(J1029,""*"")"),"Delivered")</f>
        <v>Delivered</v>
      </c>
      <c r="P1029" s="14" t="str">
        <f>IFERROR(__xludf.DUMMYFUNCTION("""COMPUTED_VALUE"""),"Delivery Experience: Quick and professional")</f>
        <v>Delivery Experience: Quick and professional</v>
      </c>
      <c r="Q1029" s="14" t="str">
        <f>IFERROR(__xludf.DUMMYFUNCTION("split(P1029,"":"")"),"Delivery Experience")</f>
        <v>Delivery Experience</v>
      </c>
      <c r="R1029" s="14" t="str">
        <f>IFERROR(__xludf.DUMMYFUNCTION("""COMPUTED_VALUE""")," Quick and professional")</f>
        <v> Quick and professional</v>
      </c>
      <c r="S1029" s="14" t="str">
        <f t="shared" ref="S1029:U1029" si="2061">trim(B1029)</f>
        <v>ord_41007</v>
      </c>
      <c r="T1029" s="14" t="str">
        <f t="shared" si="2061"/>
        <v>Pranav Joshi</v>
      </c>
      <c r="U1029" s="14" t="str">
        <f t="shared" si="2061"/>
        <v>Andheri</v>
      </c>
      <c r="V1029" s="14" t="str">
        <f t="shared" si="4"/>
        <v>Tiramisu</v>
      </c>
      <c r="W1029" s="14">
        <f t="shared" si="5"/>
        <v>2</v>
      </c>
      <c r="X1029" s="14" t="str">
        <f t="shared" si="6"/>
        <v>Sita T</v>
      </c>
      <c r="Y1029" s="15">
        <f t="shared" si="7"/>
        <v>44934</v>
      </c>
      <c r="Z1029" s="14" t="str">
        <f t="shared" si="8"/>
        <v>Credit Card</v>
      </c>
      <c r="AA1029" s="14" t="str">
        <f t="shared" si="9"/>
        <v>Delivered</v>
      </c>
      <c r="AB1029" s="14" t="str">
        <f t="shared" ref="AB1029:AC1029" si="2062">trim(Q1029)</f>
        <v>Delivery Experience</v>
      </c>
      <c r="AC1029" s="14" t="str">
        <f t="shared" si="2062"/>
        <v>Quick and professional</v>
      </c>
      <c r="AD1029" s="8"/>
    </row>
    <row r="1030">
      <c r="A1030" s="14" t="str">
        <f>IFERROR(__xludf.DUMMYFUNCTION("""COMPUTED_VALUE"""),"//ord_41008//Dev Chauhan//Bandra//Potato+1*Priya Joshi/4/11/2023//UPI//Delivered*Convenience: Easy tracking")</f>
        <v>//ord_41008//Dev Chauhan//Bandra//Potato+1*Priya Joshi/4/11/2023//UPI//Delivered*Convenience: Easy tracking</v>
      </c>
      <c r="B1030" s="14" t="str">
        <f>IFERROR(__xludf.DUMMYFUNCTION("split(A1030,""//"")"),"ord_41008")</f>
        <v>ord_41008</v>
      </c>
      <c r="C1030" s="14" t="str">
        <f>IFERROR(__xludf.DUMMYFUNCTION("""COMPUTED_VALUE"""),"Dev Chauhan")</f>
        <v>Dev Chauhan</v>
      </c>
      <c r="D1030" s="14" t="str">
        <f>IFERROR(__xludf.DUMMYFUNCTION("""COMPUTED_VALUE"""),"Bandra")</f>
        <v>Bandra</v>
      </c>
      <c r="E1030" s="14" t="str">
        <f>IFERROR(__xludf.DUMMYFUNCTION("""COMPUTED_VALUE"""),"Potato+1*Priya Joshi")</f>
        <v>Potato+1*Priya Joshi</v>
      </c>
      <c r="F1030" s="14">
        <f>IFERROR(__xludf.DUMMYFUNCTION("""COMPUTED_VALUE"""),4.0)</f>
        <v>4</v>
      </c>
      <c r="G1030" s="14">
        <f>IFERROR(__xludf.DUMMYFUNCTION("""COMPUTED_VALUE"""),11.0)</f>
        <v>11</v>
      </c>
      <c r="H1030" s="14">
        <f>IFERROR(__xludf.DUMMYFUNCTION("""COMPUTED_VALUE"""),2023.0)</f>
        <v>2023</v>
      </c>
      <c r="I1030" s="14" t="str">
        <f>IFERROR(__xludf.DUMMYFUNCTION("""COMPUTED_VALUE"""),"UPI")</f>
        <v>UPI</v>
      </c>
      <c r="J1030" s="14" t="str">
        <f>IFERROR(__xludf.DUMMYFUNCTION("""COMPUTED_VALUE"""),"Delivered*Convenience: Easy tracking")</f>
        <v>Delivered*Convenience: Easy tracking</v>
      </c>
      <c r="K1030" s="14" t="str">
        <f>IFERROR(__xludf.DUMMYFUNCTION("split(E1030,""+"")"),"Potato")</f>
        <v>Potato</v>
      </c>
      <c r="L1030" s="14" t="str">
        <f>IFERROR(__xludf.DUMMYFUNCTION("""COMPUTED_VALUE"""),"1*Priya Joshi")</f>
        <v>1*Priya Joshi</v>
      </c>
      <c r="M1030" s="14">
        <f>IFERROR(__xludf.DUMMYFUNCTION("SPLIT(L1030,""*"")"),1.0)</f>
        <v>1</v>
      </c>
      <c r="N1030" s="14" t="str">
        <f>IFERROR(__xludf.DUMMYFUNCTION("""COMPUTED_VALUE"""),"Priya Joshi")</f>
        <v>Priya Joshi</v>
      </c>
      <c r="O1030" s="14" t="str">
        <f>IFERROR(__xludf.DUMMYFUNCTION("split(J1030,""*"")"),"Delivered")</f>
        <v>Delivered</v>
      </c>
      <c r="P1030" s="14" t="str">
        <f>IFERROR(__xludf.DUMMYFUNCTION("""COMPUTED_VALUE"""),"Convenience: Easy tracking")</f>
        <v>Convenience: Easy tracking</v>
      </c>
      <c r="Q1030" s="14" t="str">
        <f>IFERROR(__xludf.DUMMYFUNCTION("split(P1030,"":"")"),"Convenience")</f>
        <v>Convenience</v>
      </c>
      <c r="R1030" s="14" t="str">
        <f>IFERROR(__xludf.DUMMYFUNCTION("""COMPUTED_VALUE""")," Easy tracking")</f>
        <v> Easy tracking</v>
      </c>
      <c r="S1030" s="14" t="str">
        <f t="shared" ref="S1030:U1030" si="2063">trim(B1030)</f>
        <v>ord_41008</v>
      </c>
      <c r="T1030" s="14" t="str">
        <f t="shared" si="2063"/>
        <v>Dev Chauhan</v>
      </c>
      <c r="U1030" s="14" t="str">
        <f t="shared" si="2063"/>
        <v>Bandra</v>
      </c>
      <c r="V1030" s="14" t="str">
        <f t="shared" si="4"/>
        <v>Potato</v>
      </c>
      <c r="W1030" s="14">
        <f t="shared" si="5"/>
        <v>1</v>
      </c>
      <c r="X1030" s="14" t="str">
        <f t="shared" si="6"/>
        <v>Priya Joshi</v>
      </c>
      <c r="Y1030" s="15">
        <f t="shared" si="7"/>
        <v>45027</v>
      </c>
      <c r="Z1030" s="14" t="str">
        <f t="shared" si="8"/>
        <v>UPI</v>
      </c>
      <c r="AA1030" s="14" t="str">
        <f t="shared" si="9"/>
        <v>Delivered</v>
      </c>
      <c r="AB1030" s="14" t="str">
        <f t="shared" ref="AB1030:AC1030" si="2064">trim(Q1030)</f>
        <v>Convenience</v>
      </c>
      <c r="AC1030" s="14" t="str">
        <f t="shared" si="2064"/>
        <v>Easy tracking</v>
      </c>
      <c r="AD1030" s="8"/>
    </row>
    <row r="1031">
      <c r="A1031" s="14" t="str">
        <f>IFERROR(__xludf.DUMMYFUNCTION("""COMPUTED_VALUE"""),"//ord_41009//Arvind Kulkarni//Juhu//Potato+2*Tanvi Jain/12/15/2023//Credit Card//Delivered*Overall Satisfaction: Great service will order again")</f>
        <v>//ord_41009//Arvind Kulkarni//Juhu//Potato+2*Tanvi Jain/12/15/2023//Credit Card//Delivered*Overall Satisfaction: Great service will order again</v>
      </c>
      <c r="B1031" s="14" t="str">
        <f>IFERROR(__xludf.DUMMYFUNCTION("split(A1031,""//"")"),"ord_41009")</f>
        <v>ord_41009</v>
      </c>
      <c r="C1031" s="14" t="str">
        <f>IFERROR(__xludf.DUMMYFUNCTION("""COMPUTED_VALUE"""),"Arvind Kulkarni")</f>
        <v>Arvind Kulkarni</v>
      </c>
      <c r="D1031" s="14" t="str">
        <f>IFERROR(__xludf.DUMMYFUNCTION("""COMPUTED_VALUE"""),"Juhu")</f>
        <v>Juhu</v>
      </c>
      <c r="E1031" s="14" t="str">
        <f>IFERROR(__xludf.DUMMYFUNCTION("""COMPUTED_VALUE"""),"Potato+2*Tanvi Jain")</f>
        <v>Potato+2*Tanvi Jain</v>
      </c>
      <c r="F1031" s="14">
        <f>IFERROR(__xludf.DUMMYFUNCTION("""COMPUTED_VALUE"""),12.0)</f>
        <v>12</v>
      </c>
      <c r="G1031" s="14">
        <f>IFERROR(__xludf.DUMMYFUNCTION("""COMPUTED_VALUE"""),15.0)</f>
        <v>15</v>
      </c>
      <c r="H1031" s="14">
        <f>IFERROR(__xludf.DUMMYFUNCTION("""COMPUTED_VALUE"""),2023.0)</f>
        <v>2023</v>
      </c>
      <c r="I1031" s="14" t="str">
        <f>IFERROR(__xludf.DUMMYFUNCTION("""COMPUTED_VALUE"""),"Credit Card")</f>
        <v>Credit Card</v>
      </c>
      <c r="J1031" s="14" t="str">
        <f>IFERROR(__xludf.DUMMYFUNCTION("""COMPUTED_VALUE"""),"Delivered*Overall Satisfaction: Great service will order again")</f>
        <v>Delivered*Overall Satisfaction: Great service will order again</v>
      </c>
      <c r="K1031" s="14" t="str">
        <f>IFERROR(__xludf.DUMMYFUNCTION("split(E1031,""+"")"),"Potato")</f>
        <v>Potato</v>
      </c>
      <c r="L1031" s="14" t="str">
        <f>IFERROR(__xludf.DUMMYFUNCTION("""COMPUTED_VALUE"""),"2*Tanvi Jain")</f>
        <v>2*Tanvi Jain</v>
      </c>
      <c r="M1031" s="14">
        <f>IFERROR(__xludf.DUMMYFUNCTION("SPLIT(L1031,""*"")"),2.0)</f>
        <v>2</v>
      </c>
      <c r="N1031" s="14" t="str">
        <f>IFERROR(__xludf.DUMMYFUNCTION("""COMPUTED_VALUE"""),"Tanvi Jain")</f>
        <v>Tanvi Jain</v>
      </c>
      <c r="O1031" s="14" t="str">
        <f>IFERROR(__xludf.DUMMYFUNCTION("split(J1031,""*"")"),"Delivered")</f>
        <v>Delivered</v>
      </c>
      <c r="P1031" s="14" t="str">
        <f>IFERROR(__xludf.DUMMYFUNCTION("""COMPUTED_VALUE"""),"Overall Satisfaction: Great service will order again")</f>
        <v>Overall Satisfaction: Great service will order again</v>
      </c>
      <c r="Q1031" s="14" t="str">
        <f>IFERROR(__xludf.DUMMYFUNCTION("split(P1031,"":"")"),"Overall Satisfaction")</f>
        <v>Overall Satisfaction</v>
      </c>
      <c r="R1031" s="14" t="str">
        <f>IFERROR(__xludf.DUMMYFUNCTION("""COMPUTED_VALUE""")," Great service will order again")</f>
        <v> Great service will order again</v>
      </c>
      <c r="S1031" s="14" t="str">
        <f t="shared" ref="S1031:U1031" si="2065">trim(B1031)</f>
        <v>ord_41009</v>
      </c>
      <c r="T1031" s="14" t="str">
        <f t="shared" si="2065"/>
        <v>Arvind Kulkarni</v>
      </c>
      <c r="U1031" s="14" t="str">
        <f t="shared" si="2065"/>
        <v>Juhu</v>
      </c>
      <c r="V1031" s="14" t="str">
        <f t="shared" si="4"/>
        <v>Potato</v>
      </c>
      <c r="W1031" s="14">
        <f t="shared" si="5"/>
        <v>2</v>
      </c>
      <c r="X1031" s="14" t="str">
        <f t="shared" si="6"/>
        <v>Tanvi Jain</v>
      </c>
      <c r="Y1031" s="15">
        <f t="shared" si="7"/>
        <v>45275</v>
      </c>
      <c r="Z1031" s="14" t="str">
        <f t="shared" si="8"/>
        <v>Credit Card</v>
      </c>
      <c r="AA1031" s="14" t="str">
        <f t="shared" si="9"/>
        <v>Delivered</v>
      </c>
      <c r="AB1031" s="14" t="str">
        <f t="shared" ref="AB1031:AC1031" si="2066">trim(Q1031)</f>
        <v>Overall Satisfaction</v>
      </c>
      <c r="AC1031" s="14" t="str">
        <f t="shared" si="2066"/>
        <v>Great service will order again</v>
      </c>
      <c r="AD1031" s="8"/>
    </row>
    <row r="1032">
      <c r="A1032" s="14" t="str">
        <f>IFERROR(__xludf.DUMMYFUNCTION("""COMPUTED_VALUE"""),"//ord_41010//Aarohi Kapoor//Bandra//Apple+2*Priya Joshi/1/27/2023//Credit Card//Delivered*On-time Delivery: Delivered on time")</f>
        <v>//ord_41010//Aarohi Kapoor//Bandra//Apple+2*Priya Joshi/1/27/2023//Credit Card//Delivered*On-time Delivery: Delivered on time</v>
      </c>
      <c r="B1032" s="14" t="str">
        <f>IFERROR(__xludf.DUMMYFUNCTION("split(A1032,""//"")"),"ord_41010")</f>
        <v>ord_41010</v>
      </c>
      <c r="C1032" s="14" t="str">
        <f>IFERROR(__xludf.DUMMYFUNCTION("""COMPUTED_VALUE"""),"Aarohi Kapoor")</f>
        <v>Aarohi Kapoor</v>
      </c>
      <c r="D1032" s="14" t="str">
        <f>IFERROR(__xludf.DUMMYFUNCTION("""COMPUTED_VALUE"""),"Bandra")</f>
        <v>Bandra</v>
      </c>
      <c r="E1032" s="14" t="str">
        <f>IFERROR(__xludf.DUMMYFUNCTION("""COMPUTED_VALUE"""),"Apple+2*Priya Joshi")</f>
        <v>Apple+2*Priya Joshi</v>
      </c>
      <c r="F1032" s="14">
        <f>IFERROR(__xludf.DUMMYFUNCTION("""COMPUTED_VALUE"""),1.0)</f>
        <v>1</v>
      </c>
      <c r="G1032" s="14">
        <f>IFERROR(__xludf.DUMMYFUNCTION("""COMPUTED_VALUE"""),27.0)</f>
        <v>27</v>
      </c>
      <c r="H1032" s="14">
        <f>IFERROR(__xludf.DUMMYFUNCTION("""COMPUTED_VALUE"""),2023.0)</f>
        <v>2023</v>
      </c>
      <c r="I1032" s="14" t="str">
        <f>IFERROR(__xludf.DUMMYFUNCTION("""COMPUTED_VALUE"""),"Credit Card")</f>
        <v>Credit Card</v>
      </c>
      <c r="J1032" s="14" t="str">
        <f>IFERROR(__xludf.DUMMYFUNCTION("""COMPUTED_VALUE"""),"Delivered*On-time Delivery: Delivered on time")</f>
        <v>Delivered*On-time Delivery: Delivered on time</v>
      </c>
      <c r="K1032" s="14" t="str">
        <f>IFERROR(__xludf.DUMMYFUNCTION("split(E1032,""+"")"),"Apple")</f>
        <v>Apple</v>
      </c>
      <c r="L1032" s="14" t="str">
        <f>IFERROR(__xludf.DUMMYFUNCTION("""COMPUTED_VALUE"""),"2*Priya Joshi")</f>
        <v>2*Priya Joshi</v>
      </c>
      <c r="M1032" s="14">
        <f>IFERROR(__xludf.DUMMYFUNCTION("SPLIT(L1032,""*"")"),2.0)</f>
        <v>2</v>
      </c>
      <c r="N1032" s="14" t="str">
        <f>IFERROR(__xludf.DUMMYFUNCTION("""COMPUTED_VALUE"""),"Priya Joshi")</f>
        <v>Priya Joshi</v>
      </c>
      <c r="O1032" s="14" t="str">
        <f>IFERROR(__xludf.DUMMYFUNCTION("split(J1032,""*"")"),"Delivered")</f>
        <v>Delivered</v>
      </c>
      <c r="P1032" s="14" t="str">
        <f>IFERROR(__xludf.DUMMYFUNCTION("""COMPUTED_VALUE"""),"On-time Delivery: Delivered on time")</f>
        <v>On-time Delivery: Delivered on time</v>
      </c>
      <c r="Q1032" s="14" t="str">
        <f>IFERROR(__xludf.DUMMYFUNCTION("split(P1032,"":"")"),"On-time Delivery")</f>
        <v>On-time Delivery</v>
      </c>
      <c r="R1032" s="14" t="str">
        <f>IFERROR(__xludf.DUMMYFUNCTION("""COMPUTED_VALUE""")," Delivered on time")</f>
        <v> Delivered on time</v>
      </c>
      <c r="S1032" s="14" t="str">
        <f t="shared" ref="S1032:U1032" si="2067">trim(B1032)</f>
        <v>ord_41010</v>
      </c>
      <c r="T1032" s="14" t="str">
        <f t="shared" si="2067"/>
        <v>Aarohi Kapoor</v>
      </c>
      <c r="U1032" s="14" t="str">
        <f t="shared" si="2067"/>
        <v>Bandra</v>
      </c>
      <c r="V1032" s="14" t="str">
        <f t="shared" si="4"/>
        <v>Apple</v>
      </c>
      <c r="W1032" s="14">
        <f t="shared" si="5"/>
        <v>2</v>
      </c>
      <c r="X1032" s="14" t="str">
        <f t="shared" si="6"/>
        <v>Priya Joshi</v>
      </c>
      <c r="Y1032" s="15">
        <f t="shared" si="7"/>
        <v>44953</v>
      </c>
      <c r="Z1032" s="14" t="str">
        <f t="shared" si="8"/>
        <v>Credit Card</v>
      </c>
      <c r="AA1032" s="14" t="str">
        <f t="shared" si="9"/>
        <v>Delivered</v>
      </c>
      <c r="AB1032" s="14" t="str">
        <f t="shared" ref="AB1032:AC1032" si="2068">trim(Q1032)</f>
        <v>On-time Delivery</v>
      </c>
      <c r="AC1032" s="14" t="str">
        <f t="shared" si="2068"/>
        <v>Delivered on time</v>
      </c>
      <c r="AD1032" s="8"/>
    </row>
    <row r="1033">
      <c r="A1033" s="14" t="str">
        <f>IFERROR(__xludf.DUMMYFUNCTION("""COMPUTED_VALUE"""),"//ord_41011//Tanishq Bansal//Powai//Icecream+4*Sandeep Kumar/4/15/2023//UPI//Delivered*Quality of Items: Perfect condition")</f>
        <v>//ord_41011//Tanishq Bansal//Powai//Icecream+4*Sandeep Kumar/4/15/2023//UPI//Delivered*Quality of Items: Perfect condition</v>
      </c>
      <c r="B1033" s="14" t="str">
        <f>IFERROR(__xludf.DUMMYFUNCTION("split(A1033,""//"")"),"ord_41011")</f>
        <v>ord_41011</v>
      </c>
      <c r="C1033" s="14" t="str">
        <f>IFERROR(__xludf.DUMMYFUNCTION("""COMPUTED_VALUE"""),"Tanishq Bansal")</f>
        <v>Tanishq Bansal</v>
      </c>
      <c r="D1033" s="14" t="str">
        <f>IFERROR(__xludf.DUMMYFUNCTION("""COMPUTED_VALUE"""),"Powai")</f>
        <v>Powai</v>
      </c>
      <c r="E1033" s="14" t="str">
        <f>IFERROR(__xludf.DUMMYFUNCTION("""COMPUTED_VALUE"""),"Icecream+4*Sandeep Kumar")</f>
        <v>Icecream+4*Sandeep Kumar</v>
      </c>
      <c r="F1033" s="14">
        <f>IFERROR(__xludf.DUMMYFUNCTION("""COMPUTED_VALUE"""),4.0)</f>
        <v>4</v>
      </c>
      <c r="G1033" s="14">
        <f>IFERROR(__xludf.DUMMYFUNCTION("""COMPUTED_VALUE"""),15.0)</f>
        <v>15</v>
      </c>
      <c r="H1033" s="14">
        <f>IFERROR(__xludf.DUMMYFUNCTION("""COMPUTED_VALUE"""),2023.0)</f>
        <v>2023</v>
      </c>
      <c r="I1033" s="14" t="str">
        <f>IFERROR(__xludf.DUMMYFUNCTION("""COMPUTED_VALUE"""),"UPI")</f>
        <v>UPI</v>
      </c>
      <c r="J1033" s="14" t="str">
        <f>IFERROR(__xludf.DUMMYFUNCTION("""COMPUTED_VALUE"""),"Delivered*Quality of Items: Perfect condition")</f>
        <v>Delivered*Quality of Items: Perfect condition</v>
      </c>
      <c r="K1033" s="14" t="str">
        <f>IFERROR(__xludf.DUMMYFUNCTION("split(E1033,""+"")"),"Icecream")</f>
        <v>Icecream</v>
      </c>
      <c r="L1033" s="14" t="str">
        <f>IFERROR(__xludf.DUMMYFUNCTION("""COMPUTED_VALUE"""),"4*Sandeep Kumar")</f>
        <v>4*Sandeep Kumar</v>
      </c>
      <c r="M1033" s="14">
        <f>IFERROR(__xludf.DUMMYFUNCTION("SPLIT(L1033,""*"")"),4.0)</f>
        <v>4</v>
      </c>
      <c r="N1033" s="14" t="str">
        <f>IFERROR(__xludf.DUMMYFUNCTION("""COMPUTED_VALUE"""),"Sandeep Kumar")</f>
        <v>Sandeep Kumar</v>
      </c>
      <c r="O1033" s="14" t="str">
        <f>IFERROR(__xludf.DUMMYFUNCTION("split(J1033,""*"")"),"Delivered")</f>
        <v>Delivered</v>
      </c>
      <c r="P1033" s="14" t="str">
        <f>IFERROR(__xludf.DUMMYFUNCTION("""COMPUTED_VALUE"""),"Quality of Items: Perfect condition")</f>
        <v>Quality of Items: Perfect condition</v>
      </c>
      <c r="Q1033" s="14" t="str">
        <f>IFERROR(__xludf.DUMMYFUNCTION("split(P1033,"":"")"),"Quality of Items")</f>
        <v>Quality of Items</v>
      </c>
      <c r="R1033" s="14" t="str">
        <f>IFERROR(__xludf.DUMMYFUNCTION("""COMPUTED_VALUE""")," Perfect condition")</f>
        <v> Perfect condition</v>
      </c>
      <c r="S1033" s="14" t="str">
        <f t="shared" ref="S1033:U1033" si="2069">trim(B1033)</f>
        <v>ord_41011</v>
      </c>
      <c r="T1033" s="14" t="str">
        <f t="shared" si="2069"/>
        <v>Tanishq Bansal</v>
      </c>
      <c r="U1033" s="14" t="str">
        <f t="shared" si="2069"/>
        <v>Powai</v>
      </c>
      <c r="V1033" s="14" t="str">
        <f t="shared" si="4"/>
        <v>Icecream</v>
      </c>
      <c r="W1033" s="14">
        <f t="shared" si="5"/>
        <v>4</v>
      </c>
      <c r="X1033" s="14" t="str">
        <f t="shared" si="6"/>
        <v>Sandeep Kumar</v>
      </c>
      <c r="Y1033" s="15">
        <f t="shared" si="7"/>
        <v>45031</v>
      </c>
      <c r="Z1033" s="14" t="str">
        <f t="shared" si="8"/>
        <v>UPI</v>
      </c>
      <c r="AA1033" s="14" t="str">
        <f t="shared" si="9"/>
        <v>Delivered</v>
      </c>
      <c r="AB1033" s="14" t="str">
        <f t="shared" ref="AB1033:AC1033" si="2070">trim(Q1033)</f>
        <v>Quality of Items</v>
      </c>
      <c r="AC1033" s="14" t="str">
        <f t="shared" si="2070"/>
        <v>Perfect condition</v>
      </c>
      <c r="AD1033" s="8"/>
    </row>
    <row r="1034">
      <c r="A1034" s="14" t="str">
        <f>IFERROR(__xludf.DUMMYFUNCTION("""COMPUTED_VALUE"""),"//ord_41012//Aarav Mehta//Andheri//Sweet Corn+1*Rohan Yadav/2/14/2023//Online Payment//Delivered*On-time Delivery: Delivered on time")</f>
        <v>//ord_41012//Aarav Mehta//Andheri//Sweet Corn+1*Rohan Yadav/2/14/2023//Online Payment//Delivered*On-time Delivery: Delivered on time</v>
      </c>
      <c r="B1034" s="14" t="str">
        <f>IFERROR(__xludf.DUMMYFUNCTION("split(A1034,""//"")"),"ord_41012")</f>
        <v>ord_41012</v>
      </c>
      <c r="C1034" s="14" t="str">
        <f>IFERROR(__xludf.DUMMYFUNCTION("""COMPUTED_VALUE"""),"Aarav Mehta")</f>
        <v>Aarav Mehta</v>
      </c>
      <c r="D1034" s="14" t="str">
        <f>IFERROR(__xludf.DUMMYFUNCTION("""COMPUTED_VALUE"""),"Andheri")</f>
        <v>Andheri</v>
      </c>
      <c r="E1034" s="14" t="str">
        <f>IFERROR(__xludf.DUMMYFUNCTION("""COMPUTED_VALUE"""),"Sweet Corn+1*Rohan Yadav")</f>
        <v>Sweet Corn+1*Rohan Yadav</v>
      </c>
      <c r="F1034" s="14">
        <f>IFERROR(__xludf.DUMMYFUNCTION("""COMPUTED_VALUE"""),2.0)</f>
        <v>2</v>
      </c>
      <c r="G1034" s="14">
        <f>IFERROR(__xludf.DUMMYFUNCTION("""COMPUTED_VALUE"""),14.0)</f>
        <v>14</v>
      </c>
      <c r="H1034" s="14">
        <f>IFERROR(__xludf.DUMMYFUNCTION("""COMPUTED_VALUE"""),2023.0)</f>
        <v>2023</v>
      </c>
      <c r="I1034" s="14" t="str">
        <f>IFERROR(__xludf.DUMMYFUNCTION("""COMPUTED_VALUE"""),"Online Payment")</f>
        <v>Online Payment</v>
      </c>
      <c r="J1034" s="14" t="str">
        <f>IFERROR(__xludf.DUMMYFUNCTION("""COMPUTED_VALUE"""),"Delivered*On-time Delivery: Delivered on time")</f>
        <v>Delivered*On-time Delivery: Delivered on time</v>
      </c>
      <c r="K1034" s="14" t="str">
        <f>IFERROR(__xludf.DUMMYFUNCTION("split(E1034,""+"")"),"Sweet Corn")</f>
        <v>Sweet Corn</v>
      </c>
      <c r="L1034" s="14" t="str">
        <f>IFERROR(__xludf.DUMMYFUNCTION("""COMPUTED_VALUE"""),"1*Rohan Yadav")</f>
        <v>1*Rohan Yadav</v>
      </c>
      <c r="M1034" s="14">
        <f>IFERROR(__xludf.DUMMYFUNCTION("SPLIT(L1034,""*"")"),1.0)</f>
        <v>1</v>
      </c>
      <c r="N1034" s="14" t="str">
        <f>IFERROR(__xludf.DUMMYFUNCTION("""COMPUTED_VALUE"""),"Rohan Yadav")</f>
        <v>Rohan Yadav</v>
      </c>
      <c r="O1034" s="14" t="str">
        <f>IFERROR(__xludf.DUMMYFUNCTION("split(J1034,""*"")"),"Delivered")</f>
        <v>Delivered</v>
      </c>
      <c r="P1034" s="14" t="str">
        <f>IFERROR(__xludf.DUMMYFUNCTION("""COMPUTED_VALUE"""),"On-time Delivery: Delivered on time")</f>
        <v>On-time Delivery: Delivered on time</v>
      </c>
      <c r="Q1034" s="14" t="str">
        <f>IFERROR(__xludf.DUMMYFUNCTION("split(P1034,"":"")"),"On-time Delivery")</f>
        <v>On-time Delivery</v>
      </c>
      <c r="R1034" s="14" t="str">
        <f>IFERROR(__xludf.DUMMYFUNCTION("""COMPUTED_VALUE""")," Delivered on time")</f>
        <v> Delivered on time</v>
      </c>
      <c r="S1034" s="14" t="str">
        <f t="shared" ref="S1034:U1034" si="2071">trim(B1034)</f>
        <v>ord_41012</v>
      </c>
      <c r="T1034" s="14" t="str">
        <f t="shared" si="2071"/>
        <v>Aarav Mehta</v>
      </c>
      <c r="U1034" s="14" t="str">
        <f t="shared" si="2071"/>
        <v>Andheri</v>
      </c>
      <c r="V1034" s="14" t="str">
        <f t="shared" si="4"/>
        <v>Sweet Corn</v>
      </c>
      <c r="W1034" s="14">
        <f t="shared" si="5"/>
        <v>1</v>
      </c>
      <c r="X1034" s="14" t="str">
        <f t="shared" si="6"/>
        <v>Rohan Yadav</v>
      </c>
      <c r="Y1034" s="15">
        <f t="shared" si="7"/>
        <v>44971</v>
      </c>
      <c r="Z1034" s="14" t="str">
        <f t="shared" si="8"/>
        <v>Online Payment</v>
      </c>
      <c r="AA1034" s="14" t="str">
        <f t="shared" si="9"/>
        <v>Delivered</v>
      </c>
      <c r="AB1034" s="14" t="str">
        <f t="shared" ref="AB1034:AC1034" si="2072">trim(Q1034)</f>
        <v>On-time Delivery</v>
      </c>
      <c r="AC1034" s="14" t="str">
        <f t="shared" si="2072"/>
        <v>Delivered on time</v>
      </c>
      <c r="AD1034" s="8"/>
    </row>
    <row r="1035">
      <c r="A1035" s="14" t="str">
        <f>IFERROR(__xludf.DUMMYFUNCTION("""COMPUTED_VALUE"""),"//ord_41013//Tanishq Bansal//Powai//Veg Puff+5*Sandeep Kumar/6/18/2023//UPI//Delivered*Quality of Items: Perfect condition")</f>
        <v>//ord_41013//Tanishq Bansal//Powai//Veg Puff+5*Sandeep Kumar/6/18/2023//UPI//Delivered*Quality of Items: Perfect condition</v>
      </c>
      <c r="B1035" s="14" t="str">
        <f>IFERROR(__xludf.DUMMYFUNCTION("split(A1035,""//"")"),"ord_41013")</f>
        <v>ord_41013</v>
      </c>
      <c r="C1035" s="14" t="str">
        <f>IFERROR(__xludf.DUMMYFUNCTION("""COMPUTED_VALUE"""),"Tanishq Bansal")</f>
        <v>Tanishq Bansal</v>
      </c>
      <c r="D1035" s="14" t="str">
        <f>IFERROR(__xludf.DUMMYFUNCTION("""COMPUTED_VALUE"""),"Powai")</f>
        <v>Powai</v>
      </c>
      <c r="E1035" s="14" t="str">
        <f>IFERROR(__xludf.DUMMYFUNCTION("""COMPUTED_VALUE"""),"Veg Puff+5*Sandeep Kumar")</f>
        <v>Veg Puff+5*Sandeep Kumar</v>
      </c>
      <c r="F1035" s="14">
        <f>IFERROR(__xludf.DUMMYFUNCTION("""COMPUTED_VALUE"""),6.0)</f>
        <v>6</v>
      </c>
      <c r="G1035" s="14">
        <f>IFERROR(__xludf.DUMMYFUNCTION("""COMPUTED_VALUE"""),18.0)</f>
        <v>18</v>
      </c>
      <c r="H1035" s="14">
        <f>IFERROR(__xludf.DUMMYFUNCTION("""COMPUTED_VALUE"""),2023.0)</f>
        <v>2023</v>
      </c>
      <c r="I1035" s="14" t="str">
        <f>IFERROR(__xludf.DUMMYFUNCTION("""COMPUTED_VALUE"""),"UPI")</f>
        <v>UPI</v>
      </c>
      <c r="J1035" s="14" t="str">
        <f>IFERROR(__xludf.DUMMYFUNCTION("""COMPUTED_VALUE"""),"Delivered*Quality of Items: Perfect condition")</f>
        <v>Delivered*Quality of Items: Perfect condition</v>
      </c>
      <c r="K1035" s="14" t="str">
        <f>IFERROR(__xludf.DUMMYFUNCTION("split(E1035,""+"")"),"Veg Puff")</f>
        <v>Veg Puff</v>
      </c>
      <c r="L1035" s="14" t="str">
        <f>IFERROR(__xludf.DUMMYFUNCTION("""COMPUTED_VALUE"""),"5*Sandeep Kumar")</f>
        <v>5*Sandeep Kumar</v>
      </c>
      <c r="M1035" s="14">
        <f>IFERROR(__xludf.DUMMYFUNCTION("SPLIT(L1035,""*"")"),5.0)</f>
        <v>5</v>
      </c>
      <c r="N1035" s="14" t="str">
        <f>IFERROR(__xludf.DUMMYFUNCTION("""COMPUTED_VALUE"""),"Sandeep Kumar")</f>
        <v>Sandeep Kumar</v>
      </c>
      <c r="O1035" s="14" t="str">
        <f>IFERROR(__xludf.DUMMYFUNCTION("split(J1035,""*"")"),"Delivered")</f>
        <v>Delivered</v>
      </c>
      <c r="P1035" s="14" t="str">
        <f>IFERROR(__xludf.DUMMYFUNCTION("""COMPUTED_VALUE"""),"Quality of Items: Perfect condition")</f>
        <v>Quality of Items: Perfect condition</v>
      </c>
      <c r="Q1035" s="14" t="str">
        <f>IFERROR(__xludf.DUMMYFUNCTION("split(P1035,"":"")"),"Quality of Items")</f>
        <v>Quality of Items</v>
      </c>
      <c r="R1035" s="14" t="str">
        <f>IFERROR(__xludf.DUMMYFUNCTION("""COMPUTED_VALUE""")," Perfect condition")</f>
        <v> Perfect condition</v>
      </c>
      <c r="S1035" s="14" t="str">
        <f t="shared" ref="S1035:U1035" si="2073">trim(B1035)</f>
        <v>ord_41013</v>
      </c>
      <c r="T1035" s="14" t="str">
        <f t="shared" si="2073"/>
        <v>Tanishq Bansal</v>
      </c>
      <c r="U1035" s="14" t="str">
        <f t="shared" si="2073"/>
        <v>Powai</v>
      </c>
      <c r="V1035" s="14" t="str">
        <f t="shared" si="4"/>
        <v>Veg Puff</v>
      </c>
      <c r="W1035" s="14">
        <f t="shared" si="5"/>
        <v>5</v>
      </c>
      <c r="X1035" s="14" t="str">
        <f t="shared" si="6"/>
        <v>Sandeep Kumar</v>
      </c>
      <c r="Y1035" s="15">
        <f t="shared" si="7"/>
        <v>45095</v>
      </c>
      <c r="Z1035" s="14" t="str">
        <f t="shared" si="8"/>
        <v>UPI</v>
      </c>
      <c r="AA1035" s="14" t="str">
        <f t="shared" si="9"/>
        <v>Delivered</v>
      </c>
      <c r="AB1035" s="14" t="str">
        <f t="shared" ref="AB1035:AC1035" si="2074">trim(Q1035)</f>
        <v>Quality of Items</v>
      </c>
      <c r="AC1035" s="14" t="str">
        <f t="shared" si="2074"/>
        <v>Perfect condition</v>
      </c>
      <c r="AD1035" s="8"/>
    </row>
    <row r="1036">
      <c r="A1036" s="14" t="str">
        <f>IFERROR(__xludf.DUMMYFUNCTION("""COMPUTED_VALUE"""),"//ord_41014//Aarohi Kapoor//Bandra//Potato+1*Priya Joshi/9/2/2023//Online Payment//Delivered*Packaging: Secure and intact")</f>
        <v>//ord_41014//Aarohi Kapoor//Bandra//Potato+1*Priya Joshi/9/2/2023//Online Payment//Delivered*Packaging: Secure and intact</v>
      </c>
      <c r="B1036" s="14" t="str">
        <f>IFERROR(__xludf.DUMMYFUNCTION("split(A1036,""//"")"),"ord_41014")</f>
        <v>ord_41014</v>
      </c>
      <c r="C1036" s="14" t="str">
        <f>IFERROR(__xludf.DUMMYFUNCTION("""COMPUTED_VALUE"""),"Aarohi Kapoor")</f>
        <v>Aarohi Kapoor</v>
      </c>
      <c r="D1036" s="14" t="str">
        <f>IFERROR(__xludf.DUMMYFUNCTION("""COMPUTED_VALUE"""),"Bandra")</f>
        <v>Bandra</v>
      </c>
      <c r="E1036" s="14" t="str">
        <f>IFERROR(__xludf.DUMMYFUNCTION("""COMPUTED_VALUE"""),"Potato+1*Priya Joshi")</f>
        <v>Potato+1*Priya Joshi</v>
      </c>
      <c r="F1036" s="14">
        <f>IFERROR(__xludf.DUMMYFUNCTION("""COMPUTED_VALUE"""),9.0)</f>
        <v>9</v>
      </c>
      <c r="G1036" s="14">
        <f>IFERROR(__xludf.DUMMYFUNCTION("""COMPUTED_VALUE"""),2.0)</f>
        <v>2</v>
      </c>
      <c r="H1036" s="14">
        <f>IFERROR(__xludf.DUMMYFUNCTION("""COMPUTED_VALUE"""),2023.0)</f>
        <v>2023</v>
      </c>
      <c r="I1036" s="14" t="str">
        <f>IFERROR(__xludf.DUMMYFUNCTION("""COMPUTED_VALUE"""),"Online Payment")</f>
        <v>Online Payment</v>
      </c>
      <c r="J1036" s="14" t="str">
        <f>IFERROR(__xludf.DUMMYFUNCTION("""COMPUTED_VALUE"""),"Delivered*Packaging: Secure and intact")</f>
        <v>Delivered*Packaging: Secure and intact</v>
      </c>
      <c r="K1036" s="14" t="str">
        <f>IFERROR(__xludf.DUMMYFUNCTION("split(E1036,""+"")"),"Potato")</f>
        <v>Potato</v>
      </c>
      <c r="L1036" s="14" t="str">
        <f>IFERROR(__xludf.DUMMYFUNCTION("""COMPUTED_VALUE"""),"1*Priya Joshi")</f>
        <v>1*Priya Joshi</v>
      </c>
      <c r="M1036" s="14">
        <f>IFERROR(__xludf.DUMMYFUNCTION("SPLIT(L1036,""*"")"),1.0)</f>
        <v>1</v>
      </c>
      <c r="N1036" s="14" t="str">
        <f>IFERROR(__xludf.DUMMYFUNCTION("""COMPUTED_VALUE"""),"Priya Joshi")</f>
        <v>Priya Joshi</v>
      </c>
      <c r="O1036" s="14" t="str">
        <f>IFERROR(__xludf.DUMMYFUNCTION("split(J1036,""*"")"),"Delivered")</f>
        <v>Delivered</v>
      </c>
      <c r="P1036" s="14" t="str">
        <f>IFERROR(__xludf.DUMMYFUNCTION("""COMPUTED_VALUE"""),"Packaging: Secure and intact")</f>
        <v>Packaging: Secure and intact</v>
      </c>
      <c r="Q1036" s="14" t="str">
        <f>IFERROR(__xludf.DUMMYFUNCTION("split(P1036,"":"")"),"Packaging")</f>
        <v>Packaging</v>
      </c>
      <c r="R1036" s="14" t="str">
        <f>IFERROR(__xludf.DUMMYFUNCTION("""COMPUTED_VALUE""")," Secure and intact")</f>
        <v> Secure and intact</v>
      </c>
      <c r="S1036" s="14" t="str">
        <f t="shared" ref="S1036:U1036" si="2075">trim(B1036)</f>
        <v>ord_41014</v>
      </c>
      <c r="T1036" s="14" t="str">
        <f t="shared" si="2075"/>
        <v>Aarohi Kapoor</v>
      </c>
      <c r="U1036" s="14" t="str">
        <f t="shared" si="2075"/>
        <v>Bandra</v>
      </c>
      <c r="V1036" s="14" t="str">
        <f t="shared" si="4"/>
        <v>Potato</v>
      </c>
      <c r="W1036" s="14">
        <f t="shared" si="5"/>
        <v>1</v>
      </c>
      <c r="X1036" s="14" t="str">
        <f t="shared" si="6"/>
        <v>Priya Joshi</v>
      </c>
      <c r="Y1036" s="15">
        <f t="shared" si="7"/>
        <v>45171</v>
      </c>
      <c r="Z1036" s="14" t="str">
        <f t="shared" si="8"/>
        <v>Online Payment</v>
      </c>
      <c r="AA1036" s="14" t="str">
        <f t="shared" si="9"/>
        <v>Delivered</v>
      </c>
      <c r="AB1036" s="14" t="str">
        <f t="shared" ref="AB1036:AC1036" si="2076">trim(Q1036)</f>
        <v>Packaging</v>
      </c>
      <c r="AC1036" s="14" t="str">
        <f t="shared" si="2076"/>
        <v>Secure and intact</v>
      </c>
      <c r="AD1036" s="8"/>
    </row>
    <row r="1037">
      <c r="A1037" s="14" t="str">
        <f>IFERROR(__xludf.DUMMYFUNCTION("""COMPUTED_VALUE"""),"//ord_41015//Aarohi Kapoor//Bandra//Popcorn+3*Priya Joshi/11/2/2023//COD//Delivered*Satisfied with the Delivery: Timely and quality")</f>
        <v>//ord_41015//Aarohi Kapoor//Bandra//Popcorn+3*Priya Joshi/11/2/2023//COD//Delivered*Satisfied with the Delivery: Timely and quality</v>
      </c>
      <c r="B1037" s="14" t="str">
        <f>IFERROR(__xludf.DUMMYFUNCTION("split(A1037,""//"")"),"ord_41015")</f>
        <v>ord_41015</v>
      </c>
      <c r="C1037" s="14" t="str">
        <f>IFERROR(__xludf.DUMMYFUNCTION("""COMPUTED_VALUE"""),"Aarohi Kapoor")</f>
        <v>Aarohi Kapoor</v>
      </c>
      <c r="D1037" s="14" t="str">
        <f>IFERROR(__xludf.DUMMYFUNCTION("""COMPUTED_VALUE"""),"Bandra")</f>
        <v>Bandra</v>
      </c>
      <c r="E1037" s="14" t="str">
        <f>IFERROR(__xludf.DUMMYFUNCTION("""COMPUTED_VALUE"""),"Popcorn+3*Priya Joshi")</f>
        <v>Popcorn+3*Priya Joshi</v>
      </c>
      <c r="F1037" s="14">
        <f>IFERROR(__xludf.DUMMYFUNCTION("""COMPUTED_VALUE"""),11.0)</f>
        <v>11</v>
      </c>
      <c r="G1037" s="14">
        <f>IFERROR(__xludf.DUMMYFUNCTION("""COMPUTED_VALUE"""),2.0)</f>
        <v>2</v>
      </c>
      <c r="H1037" s="14">
        <f>IFERROR(__xludf.DUMMYFUNCTION("""COMPUTED_VALUE"""),2023.0)</f>
        <v>2023</v>
      </c>
      <c r="I1037" s="14" t="str">
        <f>IFERROR(__xludf.DUMMYFUNCTION("""COMPUTED_VALUE"""),"COD")</f>
        <v>COD</v>
      </c>
      <c r="J1037" s="14" t="str">
        <f>IFERROR(__xludf.DUMMYFUNCTION("""COMPUTED_VALUE"""),"Delivered*Satisfied with the Delivery: Timely and quality")</f>
        <v>Delivered*Satisfied with the Delivery: Timely and quality</v>
      </c>
      <c r="K1037" s="14" t="str">
        <f>IFERROR(__xludf.DUMMYFUNCTION("split(E1037,""+"")"),"Popcorn")</f>
        <v>Popcorn</v>
      </c>
      <c r="L1037" s="14" t="str">
        <f>IFERROR(__xludf.DUMMYFUNCTION("""COMPUTED_VALUE"""),"3*Priya Joshi")</f>
        <v>3*Priya Joshi</v>
      </c>
      <c r="M1037" s="14">
        <f>IFERROR(__xludf.DUMMYFUNCTION("SPLIT(L1037,""*"")"),3.0)</f>
        <v>3</v>
      </c>
      <c r="N1037" s="14" t="str">
        <f>IFERROR(__xludf.DUMMYFUNCTION("""COMPUTED_VALUE"""),"Priya Joshi")</f>
        <v>Priya Joshi</v>
      </c>
      <c r="O1037" s="14" t="str">
        <f>IFERROR(__xludf.DUMMYFUNCTION("split(J1037,""*"")"),"Delivered")</f>
        <v>Delivered</v>
      </c>
      <c r="P1037" s="14" t="str">
        <f>IFERROR(__xludf.DUMMYFUNCTION("""COMPUTED_VALUE"""),"Satisfied with the Delivery: Timely and quality")</f>
        <v>Satisfied with the Delivery: Timely and quality</v>
      </c>
      <c r="Q1037" s="14" t="str">
        <f>IFERROR(__xludf.DUMMYFUNCTION("split(P1037,"":"")"),"Satisfied with the Delivery")</f>
        <v>Satisfied with the Delivery</v>
      </c>
      <c r="R1037" s="14" t="str">
        <f>IFERROR(__xludf.DUMMYFUNCTION("""COMPUTED_VALUE""")," Timely and quality")</f>
        <v> Timely and quality</v>
      </c>
      <c r="S1037" s="14" t="str">
        <f t="shared" ref="S1037:U1037" si="2077">trim(B1037)</f>
        <v>ord_41015</v>
      </c>
      <c r="T1037" s="14" t="str">
        <f t="shared" si="2077"/>
        <v>Aarohi Kapoor</v>
      </c>
      <c r="U1037" s="14" t="str">
        <f t="shared" si="2077"/>
        <v>Bandra</v>
      </c>
      <c r="V1037" s="14" t="str">
        <f t="shared" si="4"/>
        <v>Popcorn</v>
      </c>
      <c r="W1037" s="14">
        <f t="shared" si="5"/>
        <v>3</v>
      </c>
      <c r="X1037" s="14" t="str">
        <f t="shared" si="6"/>
        <v>Priya Joshi</v>
      </c>
      <c r="Y1037" s="15">
        <f t="shared" si="7"/>
        <v>45232</v>
      </c>
      <c r="Z1037" s="14" t="str">
        <f t="shared" si="8"/>
        <v>COD</v>
      </c>
      <c r="AA1037" s="14" t="str">
        <f t="shared" si="9"/>
        <v>Delivered</v>
      </c>
      <c r="AB1037" s="14" t="str">
        <f t="shared" ref="AB1037:AC1037" si="2078">trim(Q1037)</f>
        <v>Satisfied with the Delivery</v>
      </c>
      <c r="AC1037" s="14" t="str">
        <f t="shared" si="2078"/>
        <v>Timely and quality</v>
      </c>
      <c r="AD1037" s="8"/>
    </row>
    <row r="1038">
      <c r="A1038" s="14" t="str">
        <f>IFERROR(__xludf.DUMMYFUNCTION("""COMPUTED_VALUE"""),"//ord_41016//Aarohi Kapoor//Bandra//Papaya+2*Priya Joshi/3/14/2023//UPI//Delivered*Customer Service: Seamless and easy")</f>
        <v>//ord_41016//Aarohi Kapoor//Bandra//Papaya+2*Priya Joshi/3/14/2023//UPI//Delivered*Customer Service: Seamless and easy</v>
      </c>
      <c r="B1038" s="14" t="str">
        <f>IFERROR(__xludf.DUMMYFUNCTION("split(A1038,""//"")"),"ord_41016")</f>
        <v>ord_41016</v>
      </c>
      <c r="C1038" s="14" t="str">
        <f>IFERROR(__xludf.DUMMYFUNCTION("""COMPUTED_VALUE"""),"Aarohi Kapoor")</f>
        <v>Aarohi Kapoor</v>
      </c>
      <c r="D1038" s="14" t="str">
        <f>IFERROR(__xludf.DUMMYFUNCTION("""COMPUTED_VALUE"""),"Bandra")</f>
        <v>Bandra</v>
      </c>
      <c r="E1038" s="14" t="str">
        <f>IFERROR(__xludf.DUMMYFUNCTION("""COMPUTED_VALUE"""),"Papaya+2*Priya Joshi")</f>
        <v>Papaya+2*Priya Joshi</v>
      </c>
      <c r="F1038" s="14">
        <f>IFERROR(__xludf.DUMMYFUNCTION("""COMPUTED_VALUE"""),3.0)</f>
        <v>3</v>
      </c>
      <c r="G1038" s="14">
        <f>IFERROR(__xludf.DUMMYFUNCTION("""COMPUTED_VALUE"""),14.0)</f>
        <v>14</v>
      </c>
      <c r="H1038" s="14">
        <f>IFERROR(__xludf.DUMMYFUNCTION("""COMPUTED_VALUE"""),2023.0)</f>
        <v>2023</v>
      </c>
      <c r="I1038" s="14" t="str">
        <f>IFERROR(__xludf.DUMMYFUNCTION("""COMPUTED_VALUE"""),"UPI")</f>
        <v>UPI</v>
      </c>
      <c r="J1038" s="14" t="str">
        <f>IFERROR(__xludf.DUMMYFUNCTION("""COMPUTED_VALUE"""),"Delivered*Customer Service: Seamless and easy")</f>
        <v>Delivered*Customer Service: Seamless and easy</v>
      </c>
      <c r="K1038" s="14" t="str">
        <f>IFERROR(__xludf.DUMMYFUNCTION("split(E1038,""+"")"),"Papaya")</f>
        <v>Papaya</v>
      </c>
      <c r="L1038" s="14" t="str">
        <f>IFERROR(__xludf.DUMMYFUNCTION("""COMPUTED_VALUE"""),"2*Priya Joshi")</f>
        <v>2*Priya Joshi</v>
      </c>
      <c r="M1038" s="14">
        <f>IFERROR(__xludf.DUMMYFUNCTION("SPLIT(L1038,""*"")"),2.0)</f>
        <v>2</v>
      </c>
      <c r="N1038" s="14" t="str">
        <f>IFERROR(__xludf.DUMMYFUNCTION("""COMPUTED_VALUE"""),"Priya Joshi")</f>
        <v>Priya Joshi</v>
      </c>
      <c r="O1038" s="14" t="str">
        <f>IFERROR(__xludf.DUMMYFUNCTION("split(J1038,""*"")"),"Delivered")</f>
        <v>Delivered</v>
      </c>
      <c r="P1038" s="14" t="str">
        <f>IFERROR(__xludf.DUMMYFUNCTION("""COMPUTED_VALUE"""),"Customer Service: Seamless and easy")</f>
        <v>Customer Service: Seamless and easy</v>
      </c>
      <c r="Q1038" s="14" t="str">
        <f>IFERROR(__xludf.DUMMYFUNCTION("split(P1038,"":"")"),"Customer Service")</f>
        <v>Customer Service</v>
      </c>
      <c r="R1038" s="14" t="str">
        <f>IFERROR(__xludf.DUMMYFUNCTION("""COMPUTED_VALUE""")," Seamless and easy")</f>
        <v> Seamless and easy</v>
      </c>
      <c r="S1038" s="14" t="str">
        <f t="shared" ref="S1038:U1038" si="2079">trim(B1038)</f>
        <v>ord_41016</v>
      </c>
      <c r="T1038" s="14" t="str">
        <f t="shared" si="2079"/>
        <v>Aarohi Kapoor</v>
      </c>
      <c r="U1038" s="14" t="str">
        <f t="shared" si="2079"/>
        <v>Bandra</v>
      </c>
      <c r="V1038" s="14" t="str">
        <f t="shared" si="4"/>
        <v>Papaya</v>
      </c>
      <c r="W1038" s="14">
        <f t="shared" si="5"/>
        <v>2</v>
      </c>
      <c r="X1038" s="14" t="str">
        <f t="shared" si="6"/>
        <v>Priya Joshi</v>
      </c>
      <c r="Y1038" s="15">
        <f t="shared" si="7"/>
        <v>44999</v>
      </c>
      <c r="Z1038" s="14" t="str">
        <f t="shared" si="8"/>
        <v>UPI</v>
      </c>
      <c r="AA1038" s="14" t="str">
        <f t="shared" si="9"/>
        <v>Delivered</v>
      </c>
      <c r="AB1038" s="14" t="str">
        <f t="shared" ref="AB1038:AC1038" si="2080">trim(Q1038)</f>
        <v>Customer Service</v>
      </c>
      <c r="AC1038" s="14" t="str">
        <f t="shared" si="2080"/>
        <v>Seamless and easy</v>
      </c>
      <c r="AD1038" s="8"/>
    </row>
    <row r="1039">
      <c r="A1039" s="14" t="str">
        <f>IFERROR(__xludf.DUMMYFUNCTION("""COMPUTED_VALUE"""),"//ord_41017//Ishaan Chaturvedi//Bandra//Tomato+1*Priya Joshi/1/14/2023//COD//Delivered*Delivery Experience: Quick and professional")</f>
        <v>//ord_41017//Ishaan Chaturvedi//Bandra//Tomato+1*Priya Joshi/1/14/2023//COD//Delivered*Delivery Experience: Quick and professional</v>
      </c>
      <c r="B1039" s="14" t="str">
        <f>IFERROR(__xludf.DUMMYFUNCTION("split(A1039,""//"")"),"ord_41017")</f>
        <v>ord_41017</v>
      </c>
      <c r="C1039" s="14" t="str">
        <f>IFERROR(__xludf.DUMMYFUNCTION("""COMPUTED_VALUE"""),"Ishaan Chaturvedi")</f>
        <v>Ishaan Chaturvedi</v>
      </c>
      <c r="D1039" s="14" t="str">
        <f>IFERROR(__xludf.DUMMYFUNCTION("""COMPUTED_VALUE"""),"Bandra")</f>
        <v>Bandra</v>
      </c>
      <c r="E1039" s="14" t="str">
        <f>IFERROR(__xludf.DUMMYFUNCTION("""COMPUTED_VALUE"""),"Tomato+1*Priya Joshi")</f>
        <v>Tomato+1*Priya Joshi</v>
      </c>
      <c r="F1039" s="14">
        <f>IFERROR(__xludf.DUMMYFUNCTION("""COMPUTED_VALUE"""),1.0)</f>
        <v>1</v>
      </c>
      <c r="G1039" s="14">
        <f>IFERROR(__xludf.DUMMYFUNCTION("""COMPUTED_VALUE"""),14.0)</f>
        <v>14</v>
      </c>
      <c r="H1039" s="14">
        <f>IFERROR(__xludf.DUMMYFUNCTION("""COMPUTED_VALUE"""),2023.0)</f>
        <v>2023</v>
      </c>
      <c r="I1039" s="14" t="str">
        <f>IFERROR(__xludf.DUMMYFUNCTION("""COMPUTED_VALUE"""),"COD")</f>
        <v>COD</v>
      </c>
      <c r="J1039" s="14" t="str">
        <f>IFERROR(__xludf.DUMMYFUNCTION("""COMPUTED_VALUE"""),"Delivered*Delivery Experience: Quick and professional")</f>
        <v>Delivered*Delivery Experience: Quick and professional</v>
      </c>
      <c r="K1039" s="14" t="str">
        <f>IFERROR(__xludf.DUMMYFUNCTION("split(E1039,""+"")"),"Tomato")</f>
        <v>Tomato</v>
      </c>
      <c r="L1039" s="14" t="str">
        <f>IFERROR(__xludf.DUMMYFUNCTION("""COMPUTED_VALUE"""),"1*Priya Joshi")</f>
        <v>1*Priya Joshi</v>
      </c>
      <c r="M1039" s="14">
        <f>IFERROR(__xludf.DUMMYFUNCTION("SPLIT(L1039,""*"")"),1.0)</f>
        <v>1</v>
      </c>
      <c r="N1039" s="14" t="str">
        <f>IFERROR(__xludf.DUMMYFUNCTION("""COMPUTED_VALUE"""),"Priya Joshi")</f>
        <v>Priya Joshi</v>
      </c>
      <c r="O1039" s="14" t="str">
        <f>IFERROR(__xludf.DUMMYFUNCTION("split(J1039,""*"")"),"Delivered")</f>
        <v>Delivered</v>
      </c>
      <c r="P1039" s="14" t="str">
        <f>IFERROR(__xludf.DUMMYFUNCTION("""COMPUTED_VALUE"""),"Delivery Experience: Quick and professional")</f>
        <v>Delivery Experience: Quick and professional</v>
      </c>
      <c r="Q1039" s="14" t="str">
        <f>IFERROR(__xludf.DUMMYFUNCTION("split(P1039,"":"")"),"Delivery Experience")</f>
        <v>Delivery Experience</v>
      </c>
      <c r="R1039" s="14" t="str">
        <f>IFERROR(__xludf.DUMMYFUNCTION("""COMPUTED_VALUE""")," Quick and professional")</f>
        <v> Quick and professional</v>
      </c>
      <c r="S1039" s="14" t="str">
        <f t="shared" ref="S1039:U1039" si="2081">trim(B1039)</f>
        <v>ord_41017</v>
      </c>
      <c r="T1039" s="14" t="str">
        <f t="shared" si="2081"/>
        <v>Ishaan Chaturvedi</v>
      </c>
      <c r="U1039" s="14" t="str">
        <f t="shared" si="2081"/>
        <v>Bandra</v>
      </c>
      <c r="V1039" s="14" t="str">
        <f t="shared" si="4"/>
        <v>Tomato</v>
      </c>
      <c r="W1039" s="14">
        <f t="shared" si="5"/>
        <v>1</v>
      </c>
      <c r="X1039" s="14" t="str">
        <f t="shared" si="6"/>
        <v>Priya Joshi</v>
      </c>
      <c r="Y1039" s="15">
        <f t="shared" si="7"/>
        <v>44940</v>
      </c>
      <c r="Z1039" s="14" t="str">
        <f t="shared" si="8"/>
        <v>COD</v>
      </c>
      <c r="AA1039" s="14" t="str">
        <f t="shared" si="9"/>
        <v>Delivered</v>
      </c>
      <c r="AB1039" s="14" t="str">
        <f t="shared" ref="AB1039:AC1039" si="2082">trim(Q1039)</f>
        <v>Delivery Experience</v>
      </c>
      <c r="AC1039" s="14" t="str">
        <f t="shared" si="2082"/>
        <v>Quick and professional</v>
      </c>
      <c r="AD1039" s="8"/>
    </row>
    <row r="1040">
      <c r="A1040" s="14" t="str">
        <f>IFERROR(__xludf.DUMMYFUNCTION("""COMPUTED_VALUE"""),"//ord_41018//Pranav Joshi//Andheri//Papaya+2*Rohan Yadav/11/5/2023//UPI//Delivered*Convenience: Easy tracking")</f>
        <v>//ord_41018//Pranav Joshi//Andheri//Papaya+2*Rohan Yadav/11/5/2023//UPI//Delivered*Convenience: Easy tracking</v>
      </c>
      <c r="B1040" s="14" t="str">
        <f>IFERROR(__xludf.DUMMYFUNCTION("split(A1040,""//"")"),"ord_41018")</f>
        <v>ord_41018</v>
      </c>
      <c r="C1040" s="14" t="str">
        <f>IFERROR(__xludf.DUMMYFUNCTION("""COMPUTED_VALUE"""),"Pranav Joshi")</f>
        <v>Pranav Joshi</v>
      </c>
      <c r="D1040" s="14" t="str">
        <f>IFERROR(__xludf.DUMMYFUNCTION("""COMPUTED_VALUE"""),"Andheri")</f>
        <v>Andheri</v>
      </c>
      <c r="E1040" s="14" t="str">
        <f>IFERROR(__xludf.DUMMYFUNCTION("""COMPUTED_VALUE"""),"Papaya+2*Rohan Yadav")</f>
        <v>Papaya+2*Rohan Yadav</v>
      </c>
      <c r="F1040" s="14">
        <f>IFERROR(__xludf.DUMMYFUNCTION("""COMPUTED_VALUE"""),11.0)</f>
        <v>11</v>
      </c>
      <c r="G1040" s="14">
        <f>IFERROR(__xludf.DUMMYFUNCTION("""COMPUTED_VALUE"""),5.0)</f>
        <v>5</v>
      </c>
      <c r="H1040" s="14">
        <f>IFERROR(__xludf.DUMMYFUNCTION("""COMPUTED_VALUE"""),2023.0)</f>
        <v>2023</v>
      </c>
      <c r="I1040" s="14" t="str">
        <f>IFERROR(__xludf.DUMMYFUNCTION("""COMPUTED_VALUE"""),"UPI")</f>
        <v>UPI</v>
      </c>
      <c r="J1040" s="14" t="str">
        <f>IFERROR(__xludf.DUMMYFUNCTION("""COMPUTED_VALUE"""),"Delivered*Convenience: Easy tracking")</f>
        <v>Delivered*Convenience: Easy tracking</v>
      </c>
      <c r="K1040" s="14" t="str">
        <f>IFERROR(__xludf.DUMMYFUNCTION("split(E1040,""+"")"),"Papaya")</f>
        <v>Papaya</v>
      </c>
      <c r="L1040" s="14" t="str">
        <f>IFERROR(__xludf.DUMMYFUNCTION("""COMPUTED_VALUE"""),"2*Rohan Yadav")</f>
        <v>2*Rohan Yadav</v>
      </c>
      <c r="M1040" s="14">
        <f>IFERROR(__xludf.DUMMYFUNCTION("SPLIT(L1040,""*"")"),2.0)</f>
        <v>2</v>
      </c>
      <c r="N1040" s="14" t="str">
        <f>IFERROR(__xludf.DUMMYFUNCTION("""COMPUTED_VALUE"""),"Rohan Yadav")</f>
        <v>Rohan Yadav</v>
      </c>
      <c r="O1040" s="14" t="str">
        <f>IFERROR(__xludf.DUMMYFUNCTION("split(J1040,""*"")"),"Delivered")</f>
        <v>Delivered</v>
      </c>
      <c r="P1040" s="14" t="str">
        <f>IFERROR(__xludf.DUMMYFUNCTION("""COMPUTED_VALUE"""),"Convenience: Easy tracking")</f>
        <v>Convenience: Easy tracking</v>
      </c>
      <c r="Q1040" s="14" t="str">
        <f>IFERROR(__xludf.DUMMYFUNCTION("split(P1040,"":"")"),"Convenience")</f>
        <v>Convenience</v>
      </c>
      <c r="R1040" s="14" t="str">
        <f>IFERROR(__xludf.DUMMYFUNCTION("""COMPUTED_VALUE""")," Easy tracking")</f>
        <v> Easy tracking</v>
      </c>
      <c r="S1040" s="14" t="str">
        <f t="shared" ref="S1040:U1040" si="2083">trim(B1040)</f>
        <v>ord_41018</v>
      </c>
      <c r="T1040" s="14" t="str">
        <f t="shared" si="2083"/>
        <v>Pranav Joshi</v>
      </c>
      <c r="U1040" s="14" t="str">
        <f t="shared" si="2083"/>
        <v>Andheri</v>
      </c>
      <c r="V1040" s="14" t="str">
        <f t="shared" si="4"/>
        <v>Papaya</v>
      </c>
      <c r="W1040" s="14">
        <f t="shared" si="5"/>
        <v>2</v>
      </c>
      <c r="X1040" s="14" t="str">
        <f t="shared" si="6"/>
        <v>Rohan Yadav</v>
      </c>
      <c r="Y1040" s="15">
        <f t="shared" si="7"/>
        <v>45235</v>
      </c>
      <c r="Z1040" s="14" t="str">
        <f t="shared" si="8"/>
        <v>UPI</v>
      </c>
      <c r="AA1040" s="14" t="str">
        <f t="shared" si="9"/>
        <v>Delivered</v>
      </c>
      <c r="AB1040" s="14" t="str">
        <f t="shared" ref="AB1040:AC1040" si="2084">trim(Q1040)</f>
        <v>Convenience</v>
      </c>
      <c r="AC1040" s="14" t="str">
        <f t="shared" si="2084"/>
        <v>Easy tracking</v>
      </c>
      <c r="AD1040" s="8"/>
    </row>
    <row r="1041">
      <c r="A1041" s="14" t="str">
        <f>IFERROR(__xludf.DUMMYFUNCTION("""COMPUTED_VALUE"""),"//ord_41019//Aarohi Kapoor//Bandra//Icecream+5*Priya Joshi/7/8/2023//Online Payment//Delivered*Overall Satisfaction: Great service will order again")</f>
        <v>//ord_41019//Aarohi Kapoor//Bandra//Icecream+5*Priya Joshi/7/8/2023//Online Payment//Delivered*Overall Satisfaction: Great service will order again</v>
      </c>
      <c r="B1041" s="14" t="str">
        <f>IFERROR(__xludf.DUMMYFUNCTION("split(A1041,""//"")"),"ord_41019")</f>
        <v>ord_41019</v>
      </c>
      <c r="C1041" s="14" t="str">
        <f>IFERROR(__xludf.DUMMYFUNCTION("""COMPUTED_VALUE"""),"Aarohi Kapoor")</f>
        <v>Aarohi Kapoor</v>
      </c>
      <c r="D1041" s="14" t="str">
        <f>IFERROR(__xludf.DUMMYFUNCTION("""COMPUTED_VALUE"""),"Bandra")</f>
        <v>Bandra</v>
      </c>
      <c r="E1041" s="14" t="str">
        <f>IFERROR(__xludf.DUMMYFUNCTION("""COMPUTED_VALUE"""),"Icecream+5*Priya Joshi")</f>
        <v>Icecream+5*Priya Joshi</v>
      </c>
      <c r="F1041" s="14">
        <f>IFERROR(__xludf.DUMMYFUNCTION("""COMPUTED_VALUE"""),7.0)</f>
        <v>7</v>
      </c>
      <c r="G1041" s="14">
        <f>IFERROR(__xludf.DUMMYFUNCTION("""COMPUTED_VALUE"""),8.0)</f>
        <v>8</v>
      </c>
      <c r="H1041" s="14">
        <f>IFERROR(__xludf.DUMMYFUNCTION("""COMPUTED_VALUE"""),2023.0)</f>
        <v>2023</v>
      </c>
      <c r="I1041" s="14" t="str">
        <f>IFERROR(__xludf.DUMMYFUNCTION("""COMPUTED_VALUE"""),"Online Payment")</f>
        <v>Online Payment</v>
      </c>
      <c r="J1041" s="14" t="str">
        <f>IFERROR(__xludf.DUMMYFUNCTION("""COMPUTED_VALUE"""),"Delivered*Overall Satisfaction: Great service will order again")</f>
        <v>Delivered*Overall Satisfaction: Great service will order again</v>
      </c>
      <c r="K1041" s="14" t="str">
        <f>IFERROR(__xludf.DUMMYFUNCTION("split(E1041,""+"")"),"Icecream")</f>
        <v>Icecream</v>
      </c>
      <c r="L1041" s="14" t="str">
        <f>IFERROR(__xludf.DUMMYFUNCTION("""COMPUTED_VALUE"""),"5*Priya Joshi")</f>
        <v>5*Priya Joshi</v>
      </c>
      <c r="M1041" s="14">
        <f>IFERROR(__xludf.DUMMYFUNCTION("SPLIT(L1041,""*"")"),5.0)</f>
        <v>5</v>
      </c>
      <c r="N1041" s="14" t="str">
        <f>IFERROR(__xludf.DUMMYFUNCTION("""COMPUTED_VALUE"""),"Priya Joshi")</f>
        <v>Priya Joshi</v>
      </c>
      <c r="O1041" s="14" t="str">
        <f>IFERROR(__xludf.DUMMYFUNCTION("split(J1041,""*"")"),"Delivered")</f>
        <v>Delivered</v>
      </c>
      <c r="P1041" s="14" t="str">
        <f>IFERROR(__xludf.DUMMYFUNCTION("""COMPUTED_VALUE"""),"Overall Satisfaction: Great service will order again")</f>
        <v>Overall Satisfaction: Great service will order again</v>
      </c>
      <c r="Q1041" s="14" t="str">
        <f>IFERROR(__xludf.DUMMYFUNCTION("split(P1041,"":"")"),"Overall Satisfaction")</f>
        <v>Overall Satisfaction</v>
      </c>
      <c r="R1041" s="14" t="str">
        <f>IFERROR(__xludf.DUMMYFUNCTION("""COMPUTED_VALUE""")," Great service will order again")</f>
        <v> Great service will order again</v>
      </c>
      <c r="S1041" s="14" t="str">
        <f t="shared" ref="S1041:U1041" si="2085">trim(B1041)</f>
        <v>ord_41019</v>
      </c>
      <c r="T1041" s="14" t="str">
        <f t="shared" si="2085"/>
        <v>Aarohi Kapoor</v>
      </c>
      <c r="U1041" s="14" t="str">
        <f t="shared" si="2085"/>
        <v>Bandra</v>
      </c>
      <c r="V1041" s="14" t="str">
        <f t="shared" si="4"/>
        <v>Icecream</v>
      </c>
      <c r="W1041" s="14">
        <f t="shared" si="5"/>
        <v>5</v>
      </c>
      <c r="X1041" s="14" t="str">
        <f t="shared" si="6"/>
        <v>Priya Joshi</v>
      </c>
      <c r="Y1041" s="15">
        <f t="shared" si="7"/>
        <v>45115</v>
      </c>
      <c r="Z1041" s="14" t="str">
        <f t="shared" si="8"/>
        <v>Online Payment</v>
      </c>
      <c r="AA1041" s="14" t="str">
        <f t="shared" si="9"/>
        <v>Delivered</v>
      </c>
      <c r="AB1041" s="14" t="str">
        <f t="shared" ref="AB1041:AC1041" si="2086">trim(Q1041)</f>
        <v>Overall Satisfaction</v>
      </c>
      <c r="AC1041" s="14" t="str">
        <f t="shared" si="2086"/>
        <v>Great service will order again</v>
      </c>
      <c r="AD1041" s="8"/>
    </row>
    <row r="1042">
      <c r="A1042" s="14" t="str">
        <f>IFERROR(__xludf.DUMMYFUNCTION("""COMPUTED_VALUE"""),"//ord_41020//Siya Reddy//Juhu//Cold Coffee+3*Vivek Kumar/6/23/2023//UPI//Cancelled*Delayed Delivery:Incorrect Address or Location")</f>
        <v>//ord_41020//Siya Reddy//Juhu//Cold Coffee+3*Vivek Kumar/6/23/2023//UPI//Cancelled*Delayed Delivery:Incorrect Address or Location</v>
      </c>
      <c r="B1042" s="14" t="str">
        <f>IFERROR(__xludf.DUMMYFUNCTION("split(A1042,""//"")"),"ord_41020")</f>
        <v>ord_41020</v>
      </c>
      <c r="C1042" s="14" t="str">
        <f>IFERROR(__xludf.DUMMYFUNCTION("""COMPUTED_VALUE"""),"Siya Reddy")</f>
        <v>Siya Reddy</v>
      </c>
      <c r="D1042" s="14" t="str">
        <f>IFERROR(__xludf.DUMMYFUNCTION("""COMPUTED_VALUE"""),"Juhu")</f>
        <v>Juhu</v>
      </c>
      <c r="E1042" s="14" t="str">
        <f>IFERROR(__xludf.DUMMYFUNCTION("""COMPUTED_VALUE"""),"Cold Coffee+3*Vivek Kumar")</f>
        <v>Cold Coffee+3*Vivek Kumar</v>
      </c>
      <c r="F1042" s="14">
        <f>IFERROR(__xludf.DUMMYFUNCTION("""COMPUTED_VALUE"""),6.0)</f>
        <v>6</v>
      </c>
      <c r="G1042" s="14">
        <f>IFERROR(__xludf.DUMMYFUNCTION("""COMPUTED_VALUE"""),23.0)</f>
        <v>23</v>
      </c>
      <c r="H1042" s="14">
        <f>IFERROR(__xludf.DUMMYFUNCTION("""COMPUTED_VALUE"""),2023.0)</f>
        <v>2023</v>
      </c>
      <c r="I1042" s="14" t="str">
        <f>IFERROR(__xludf.DUMMYFUNCTION("""COMPUTED_VALUE"""),"UPI")</f>
        <v>UPI</v>
      </c>
      <c r="J1042" s="14" t="str">
        <f>IFERROR(__xludf.DUMMYFUNCTION("""COMPUTED_VALUE"""),"Cancelled*Delayed Delivery:Incorrect Address or Location")</f>
        <v>Cancelled*Delayed Delivery:Incorrect Address or Location</v>
      </c>
      <c r="K1042" s="14" t="str">
        <f>IFERROR(__xludf.DUMMYFUNCTION("split(E1042,""+"")"),"Cold Coffee")</f>
        <v>Cold Coffee</v>
      </c>
      <c r="L1042" s="14" t="str">
        <f>IFERROR(__xludf.DUMMYFUNCTION("""COMPUTED_VALUE"""),"3*Vivek Kumar")</f>
        <v>3*Vivek Kumar</v>
      </c>
      <c r="M1042" s="14">
        <f>IFERROR(__xludf.DUMMYFUNCTION("SPLIT(L1042,""*"")"),3.0)</f>
        <v>3</v>
      </c>
      <c r="N1042" s="14" t="str">
        <f>IFERROR(__xludf.DUMMYFUNCTION("""COMPUTED_VALUE"""),"Vivek Kumar")</f>
        <v>Vivek Kumar</v>
      </c>
      <c r="O1042" s="14" t="str">
        <f>IFERROR(__xludf.DUMMYFUNCTION("split(J1042,""*"")"),"Cancelled")</f>
        <v>Cancelled</v>
      </c>
      <c r="P1042" s="14" t="str">
        <f>IFERROR(__xludf.DUMMYFUNCTION("""COMPUTED_VALUE"""),"Delayed Delivery:Incorrect Address or Location")</f>
        <v>Delayed Delivery:Incorrect Address or Location</v>
      </c>
      <c r="Q1042" s="14" t="str">
        <f>IFERROR(__xludf.DUMMYFUNCTION("split(P1042,"":"")"),"Delayed Delivery")</f>
        <v>Delayed Delivery</v>
      </c>
      <c r="R1042" s="14" t="str">
        <f>IFERROR(__xludf.DUMMYFUNCTION("""COMPUTED_VALUE"""),"Incorrect Address or Location")</f>
        <v>Incorrect Address or Location</v>
      </c>
      <c r="S1042" s="14" t="str">
        <f t="shared" ref="S1042:U1042" si="2087">trim(B1042)</f>
        <v>ord_41020</v>
      </c>
      <c r="T1042" s="14" t="str">
        <f t="shared" si="2087"/>
        <v>Siya Reddy</v>
      </c>
      <c r="U1042" s="14" t="str">
        <f t="shared" si="2087"/>
        <v>Juhu</v>
      </c>
      <c r="V1042" s="14" t="str">
        <f t="shared" si="4"/>
        <v>Cold Coffee</v>
      </c>
      <c r="W1042" s="14">
        <f t="shared" si="5"/>
        <v>3</v>
      </c>
      <c r="X1042" s="14" t="str">
        <f t="shared" si="6"/>
        <v>Vivek Kumar</v>
      </c>
      <c r="Y1042" s="15">
        <f t="shared" si="7"/>
        <v>45100</v>
      </c>
      <c r="Z1042" s="14" t="str">
        <f t="shared" si="8"/>
        <v>UPI</v>
      </c>
      <c r="AA1042" s="14" t="str">
        <f t="shared" si="9"/>
        <v>Cancelled</v>
      </c>
      <c r="AB1042" s="14" t="str">
        <f t="shared" ref="AB1042:AC1042" si="2088">trim(Q1042)</f>
        <v>Delayed Delivery</v>
      </c>
      <c r="AC1042" s="14" t="str">
        <f t="shared" si="2088"/>
        <v>Incorrect Address or Location</v>
      </c>
      <c r="AD1042" s="8"/>
    </row>
    <row r="1043">
      <c r="A1043" s="14" t="str">
        <f>IFERROR(__xludf.DUMMYFUNCTION("""COMPUTED_VALUE"""),"//ord_41021//Aarav Mehta//Andheri//Chilli Cheese Toast+1*Rohan Yadav/6/1/2023//Credit Card//Delivered*On-time Delivery: Delivered on time")</f>
        <v>//ord_41021//Aarav Mehta//Andheri//Chilli Cheese Toast+1*Rohan Yadav/6/1/2023//Credit Card//Delivered*On-time Delivery: Delivered on time</v>
      </c>
      <c r="B1043" s="14" t="str">
        <f>IFERROR(__xludf.DUMMYFUNCTION("split(A1043,""//"")"),"ord_41021")</f>
        <v>ord_41021</v>
      </c>
      <c r="C1043" s="14" t="str">
        <f>IFERROR(__xludf.DUMMYFUNCTION("""COMPUTED_VALUE"""),"Aarav Mehta")</f>
        <v>Aarav Mehta</v>
      </c>
      <c r="D1043" s="14" t="str">
        <f>IFERROR(__xludf.DUMMYFUNCTION("""COMPUTED_VALUE"""),"Andheri")</f>
        <v>Andheri</v>
      </c>
      <c r="E1043" s="14" t="str">
        <f>IFERROR(__xludf.DUMMYFUNCTION("""COMPUTED_VALUE"""),"Chilli Cheese Toast+1*Rohan Yadav")</f>
        <v>Chilli Cheese Toast+1*Rohan Yadav</v>
      </c>
      <c r="F1043" s="14">
        <f>IFERROR(__xludf.DUMMYFUNCTION("""COMPUTED_VALUE"""),6.0)</f>
        <v>6</v>
      </c>
      <c r="G1043" s="14">
        <f>IFERROR(__xludf.DUMMYFUNCTION("""COMPUTED_VALUE"""),1.0)</f>
        <v>1</v>
      </c>
      <c r="H1043" s="14">
        <f>IFERROR(__xludf.DUMMYFUNCTION("""COMPUTED_VALUE"""),2023.0)</f>
        <v>2023</v>
      </c>
      <c r="I1043" s="14" t="str">
        <f>IFERROR(__xludf.DUMMYFUNCTION("""COMPUTED_VALUE"""),"Credit Card")</f>
        <v>Credit Card</v>
      </c>
      <c r="J1043" s="14" t="str">
        <f>IFERROR(__xludf.DUMMYFUNCTION("""COMPUTED_VALUE"""),"Delivered*On-time Delivery: Delivered on time")</f>
        <v>Delivered*On-time Delivery: Delivered on time</v>
      </c>
      <c r="K1043" s="14" t="str">
        <f>IFERROR(__xludf.DUMMYFUNCTION("split(E1043,""+"")"),"Chilli Cheese Toast")</f>
        <v>Chilli Cheese Toast</v>
      </c>
      <c r="L1043" s="14" t="str">
        <f>IFERROR(__xludf.DUMMYFUNCTION("""COMPUTED_VALUE"""),"1*Rohan Yadav")</f>
        <v>1*Rohan Yadav</v>
      </c>
      <c r="M1043" s="14">
        <f>IFERROR(__xludf.DUMMYFUNCTION("SPLIT(L1043,""*"")"),1.0)</f>
        <v>1</v>
      </c>
      <c r="N1043" s="14" t="str">
        <f>IFERROR(__xludf.DUMMYFUNCTION("""COMPUTED_VALUE"""),"Rohan Yadav")</f>
        <v>Rohan Yadav</v>
      </c>
      <c r="O1043" s="14" t="str">
        <f>IFERROR(__xludf.DUMMYFUNCTION("split(J1043,""*"")"),"Delivered")</f>
        <v>Delivered</v>
      </c>
      <c r="P1043" s="14" t="str">
        <f>IFERROR(__xludf.DUMMYFUNCTION("""COMPUTED_VALUE"""),"On-time Delivery: Delivered on time")</f>
        <v>On-time Delivery: Delivered on time</v>
      </c>
      <c r="Q1043" s="14" t="str">
        <f>IFERROR(__xludf.DUMMYFUNCTION("split(P1043,"":"")"),"On-time Delivery")</f>
        <v>On-time Delivery</v>
      </c>
      <c r="R1043" s="14" t="str">
        <f>IFERROR(__xludf.DUMMYFUNCTION("""COMPUTED_VALUE""")," Delivered on time")</f>
        <v> Delivered on time</v>
      </c>
      <c r="S1043" s="14" t="str">
        <f t="shared" ref="S1043:U1043" si="2089">trim(B1043)</f>
        <v>ord_41021</v>
      </c>
      <c r="T1043" s="14" t="str">
        <f t="shared" si="2089"/>
        <v>Aarav Mehta</v>
      </c>
      <c r="U1043" s="14" t="str">
        <f t="shared" si="2089"/>
        <v>Andheri</v>
      </c>
      <c r="V1043" s="14" t="str">
        <f t="shared" si="4"/>
        <v>Chilli Cheese Toast</v>
      </c>
      <c r="W1043" s="14">
        <f t="shared" si="5"/>
        <v>1</v>
      </c>
      <c r="X1043" s="14" t="str">
        <f t="shared" si="6"/>
        <v>Rohan Yadav</v>
      </c>
      <c r="Y1043" s="15">
        <f t="shared" si="7"/>
        <v>45078</v>
      </c>
      <c r="Z1043" s="14" t="str">
        <f t="shared" si="8"/>
        <v>Credit Card</v>
      </c>
      <c r="AA1043" s="14" t="str">
        <f t="shared" si="9"/>
        <v>Delivered</v>
      </c>
      <c r="AB1043" s="14" t="str">
        <f t="shared" ref="AB1043:AC1043" si="2090">trim(Q1043)</f>
        <v>On-time Delivery</v>
      </c>
      <c r="AC1043" s="14" t="str">
        <f t="shared" si="2090"/>
        <v>Delivered on time</v>
      </c>
      <c r="AD1043" s="8"/>
    </row>
    <row r="1044">
      <c r="A1044" s="14" t="str">
        <f>IFERROR(__xludf.DUMMYFUNCTION("""COMPUTED_VALUE"""),"//ord_41022//Mehul Thakkar//Malad//Guava+2*Neha Shah/11/4/2023//Online Payment//Delivered*Quality of Items: Perfect condition")</f>
        <v>//ord_41022//Mehul Thakkar//Malad//Guava+2*Neha Shah/11/4/2023//Online Payment//Delivered*Quality of Items: Perfect condition</v>
      </c>
      <c r="B1044" s="14" t="str">
        <f>IFERROR(__xludf.DUMMYFUNCTION("split(A1044,""//"")"),"ord_41022")</f>
        <v>ord_41022</v>
      </c>
      <c r="C1044" s="14" t="str">
        <f>IFERROR(__xludf.DUMMYFUNCTION("""COMPUTED_VALUE"""),"Mehul Thakkar")</f>
        <v>Mehul Thakkar</v>
      </c>
      <c r="D1044" s="14" t="str">
        <f>IFERROR(__xludf.DUMMYFUNCTION("""COMPUTED_VALUE"""),"Malad")</f>
        <v>Malad</v>
      </c>
      <c r="E1044" s="14" t="str">
        <f>IFERROR(__xludf.DUMMYFUNCTION("""COMPUTED_VALUE"""),"Guava+2*Neha Shah")</f>
        <v>Guava+2*Neha Shah</v>
      </c>
      <c r="F1044" s="14">
        <f>IFERROR(__xludf.DUMMYFUNCTION("""COMPUTED_VALUE"""),11.0)</f>
        <v>11</v>
      </c>
      <c r="G1044" s="14">
        <f>IFERROR(__xludf.DUMMYFUNCTION("""COMPUTED_VALUE"""),4.0)</f>
        <v>4</v>
      </c>
      <c r="H1044" s="14">
        <f>IFERROR(__xludf.DUMMYFUNCTION("""COMPUTED_VALUE"""),2023.0)</f>
        <v>2023</v>
      </c>
      <c r="I1044" s="14" t="str">
        <f>IFERROR(__xludf.DUMMYFUNCTION("""COMPUTED_VALUE"""),"Online Payment")</f>
        <v>Online Payment</v>
      </c>
      <c r="J1044" s="14" t="str">
        <f>IFERROR(__xludf.DUMMYFUNCTION("""COMPUTED_VALUE"""),"Delivered*Quality of Items: Perfect condition")</f>
        <v>Delivered*Quality of Items: Perfect condition</v>
      </c>
      <c r="K1044" s="14" t="str">
        <f>IFERROR(__xludf.DUMMYFUNCTION("split(E1044,""+"")"),"Guava")</f>
        <v>Guava</v>
      </c>
      <c r="L1044" s="14" t="str">
        <f>IFERROR(__xludf.DUMMYFUNCTION("""COMPUTED_VALUE"""),"2*Neha Shah")</f>
        <v>2*Neha Shah</v>
      </c>
      <c r="M1044" s="14">
        <f>IFERROR(__xludf.DUMMYFUNCTION("SPLIT(L1044,""*"")"),2.0)</f>
        <v>2</v>
      </c>
      <c r="N1044" s="14" t="str">
        <f>IFERROR(__xludf.DUMMYFUNCTION("""COMPUTED_VALUE"""),"Neha Shah")</f>
        <v>Neha Shah</v>
      </c>
      <c r="O1044" s="14" t="str">
        <f>IFERROR(__xludf.DUMMYFUNCTION("split(J1044,""*"")"),"Delivered")</f>
        <v>Delivered</v>
      </c>
      <c r="P1044" s="14" t="str">
        <f>IFERROR(__xludf.DUMMYFUNCTION("""COMPUTED_VALUE"""),"Quality of Items: Perfect condition")</f>
        <v>Quality of Items: Perfect condition</v>
      </c>
      <c r="Q1044" s="14" t="str">
        <f>IFERROR(__xludf.DUMMYFUNCTION("split(P1044,"":"")"),"Quality of Items")</f>
        <v>Quality of Items</v>
      </c>
      <c r="R1044" s="14" t="str">
        <f>IFERROR(__xludf.DUMMYFUNCTION("""COMPUTED_VALUE""")," Perfect condition")</f>
        <v> Perfect condition</v>
      </c>
      <c r="S1044" s="14" t="str">
        <f t="shared" ref="S1044:U1044" si="2091">trim(B1044)</f>
        <v>ord_41022</v>
      </c>
      <c r="T1044" s="14" t="str">
        <f t="shared" si="2091"/>
        <v>Mehul Thakkar</v>
      </c>
      <c r="U1044" s="14" t="str">
        <f t="shared" si="2091"/>
        <v>Malad</v>
      </c>
      <c r="V1044" s="14" t="str">
        <f t="shared" si="4"/>
        <v>Guava</v>
      </c>
      <c r="W1044" s="14">
        <f t="shared" si="5"/>
        <v>2</v>
      </c>
      <c r="X1044" s="14" t="str">
        <f t="shared" si="6"/>
        <v>Neha Shah</v>
      </c>
      <c r="Y1044" s="15">
        <f t="shared" si="7"/>
        <v>45234</v>
      </c>
      <c r="Z1044" s="14" t="str">
        <f t="shared" si="8"/>
        <v>Online Payment</v>
      </c>
      <c r="AA1044" s="14" t="str">
        <f t="shared" si="9"/>
        <v>Delivered</v>
      </c>
      <c r="AB1044" s="14" t="str">
        <f t="shared" ref="AB1044:AC1044" si="2092">trim(Q1044)</f>
        <v>Quality of Items</v>
      </c>
      <c r="AC1044" s="14" t="str">
        <f t="shared" si="2092"/>
        <v>Perfect condition</v>
      </c>
      <c r="AD1044" s="8"/>
    </row>
    <row r="1045">
      <c r="A1045" s="14" t="str">
        <f>IFERROR(__xludf.DUMMYFUNCTION("""COMPUTED_VALUE"""),"//ord_41023//Aditi Iyer//Dadar//Rasmalai+2*Aman Kumar/9/21/2023//COD//Delivered*On-time Delivery: Delivered on time")</f>
        <v>//ord_41023//Aditi Iyer//Dadar//Rasmalai+2*Aman Kumar/9/21/2023//COD//Delivered*On-time Delivery: Delivered on time</v>
      </c>
      <c r="B1045" s="14" t="str">
        <f>IFERROR(__xludf.DUMMYFUNCTION("split(A1045,""//"")"),"ord_41023")</f>
        <v>ord_41023</v>
      </c>
      <c r="C1045" s="14" t="str">
        <f>IFERROR(__xludf.DUMMYFUNCTION("""COMPUTED_VALUE"""),"Aditi Iyer")</f>
        <v>Aditi Iyer</v>
      </c>
      <c r="D1045" s="14" t="str">
        <f>IFERROR(__xludf.DUMMYFUNCTION("""COMPUTED_VALUE"""),"Dadar")</f>
        <v>Dadar</v>
      </c>
      <c r="E1045" s="14" t="str">
        <f>IFERROR(__xludf.DUMMYFUNCTION("""COMPUTED_VALUE"""),"Rasmalai+2*Aman Kumar")</f>
        <v>Rasmalai+2*Aman Kumar</v>
      </c>
      <c r="F1045" s="14">
        <f>IFERROR(__xludf.DUMMYFUNCTION("""COMPUTED_VALUE"""),9.0)</f>
        <v>9</v>
      </c>
      <c r="G1045" s="14">
        <f>IFERROR(__xludf.DUMMYFUNCTION("""COMPUTED_VALUE"""),21.0)</f>
        <v>21</v>
      </c>
      <c r="H1045" s="14">
        <f>IFERROR(__xludf.DUMMYFUNCTION("""COMPUTED_VALUE"""),2023.0)</f>
        <v>2023</v>
      </c>
      <c r="I1045" s="14" t="str">
        <f>IFERROR(__xludf.DUMMYFUNCTION("""COMPUTED_VALUE"""),"COD")</f>
        <v>COD</v>
      </c>
      <c r="J1045" s="14" t="str">
        <f>IFERROR(__xludf.DUMMYFUNCTION("""COMPUTED_VALUE"""),"Delivered*On-time Delivery: Delivered on time")</f>
        <v>Delivered*On-time Delivery: Delivered on time</v>
      </c>
      <c r="K1045" s="14" t="str">
        <f>IFERROR(__xludf.DUMMYFUNCTION("split(E1045,""+"")"),"Rasmalai")</f>
        <v>Rasmalai</v>
      </c>
      <c r="L1045" s="14" t="str">
        <f>IFERROR(__xludf.DUMMYFUNCTION("""COMPUTED_VALUE"""),"2*Aman Kumar")</f>
        <v>2*Aman Kumar</v>
      </c>
      <c r="M1045" s="14">
        <f>IFERROR(__xludf.DUMMYFUNCTION("SPLIT(L1045,""*"")"),2.0)</f>
        <v>2</v>
      </c>
      <c r="N1045" s="14" t="str">
        <f>IFERROR(__xludf.DUMMYFUNCTION("""COMPUTED_VALUE"""),"Aman Kumar")</f>
        <v>Aman Kumar</v>
      </c>
      <c r="O1045" s="14" t="str">
        <f>IFERROR(__xludf.DUMMYFUNCTION("split(J1045,""*"")"),"Delivered")</f>
        <v>Delivered</v>
      </c>
      <c r="P1045" s="14" t="str">
        <f>IFERROR(__xludf.DUMMYFUNCTION("""COMPUTED_VALUE"""),"On-time Delivery: Delivered on time")</f>
        <v>On-time Delivery: Delivered on time</v>
      </c>
      <c r="Q1045" s="14" t="str">
        <f>IFERROR(__xludf.DUMMYFUNCTION("split(P1045,"":"")"),"On-time Delivery")</f>
        <v>On-time Delivery</v>
      </c>
      <c r="R1045" s="14" t="str">
        <f>IFERROR(__xludf.DUMMYFUNCTION("""COMPUTED_VALUE""")," Delivered on time")</f>
        <v> Delivered on time</v>
      </c>
      <c r="S1045" s="14" t="str">
        <f t="shared" ref="S1045:U1045" si="2093">trim(B1045)</f>
        <v>ord_41023</v>
      </c>
      <c r="T1045" s="14" t="str">
        <f t="shared" si="2093"/>
        <v>Aditi Iyer</v>
      </c>
      <c r="U1045" s="14" t="str">
        <f t="shared" si="2093"/>
        <v>Dadar</v>
      </c>
      <c r="V1045" s="14" t="str">
        <f t="shared" si="4"/>
        <v>Rasmalai</v>
      </c>
      <c r="W1045" s="14">
        <f t="shared" si="5"/>
        <v>2</v>
      </c>
      <c r="X1045" s="14" t="str">
        <f t="shared" si="6"/>
        <v>Aman Kumar</v>
      </c>
      <c r="Y1045" s="15">
        <f t="shared" si="7"/>
        <v>45190</v>
      </c>
      <c r="Z1045" s="14" t="str">
        <f t="shared" si="8"/>
        <v>COD</v>
      </c>
      <c r="AA1045" s="14" t="str">
        <f t="shared" si="9"/>
        <v>Delivered</v>
      </c>
      <c r="AB1045" s="14" t="str">
        <f t="shared" ref="AB1045:AC1045" si="2094">trim(Q1045)</f>
        <v>On-time Delivery</v>
      </c>
      <c r="AC1045" s="14" t="str">
        <f t="shared" si="2094"/>
        <v>Delivered on time</v>
      </c>
      <c r="AD1045" s="8"/>
    </row>
    <row r="1046">
      <c r="A1046" s="14" t="str">
        <f>IFERROR(__xludf.DUMMYFUNCTION("""COMPUTED_VALUE"""),"//ord_41024//Anaya Rao//Colaba//Orange+2*Nikhil Deshmukh/3/3/2023//COD//Delivered*Quality of Items: Perfect condition")</f>
        <v>//ord_41024//Anaya Rao//Colaba//Orange+2*Nikhil Deshmukh/3/3/2023//COD//Delivered*Quality of Items: Perfect condition</v>
      </c>
      <c r="B1046" s="14" t="str">
        <f>IFERROR(__xludf.DUMMYFUNCTION("split(A1046,""//"")"),"ord_41024")</f>
        <v>ord_41024</v>
      </c>
      <c r="C1046" s="14" t="str">
        <f>IFERROR(__xludf.DUMMYFUNCTION("""COMPUTED_VALUE"""),"Anaya Rao")</f>
        <v>Anaya Rao</v>
      </c>
      <c r="D1046" s="14" t="str">
        <f>IFERROR(__xludf.DUMMYFUNCTION("""COMPUTED_VALUE"""),"Colaba")</f>
        <v>Colaba</v>
      </c>
      <c r="E1046" s="14" t="str">
        <f>IFERROR(__xludf.DUMMYFUNCTION("""COMPUTED_VALUE"""),"Orange+2*Nikhil Deshmukh")</f>
        <v>Orange+2*Nikhil Deshmukh</v>
      </c>
      <c r="F1046" s="14">
        <f>IFERROR(__xludf.DUMMYFUNCTION("""COMPUTED_VALUE"""),3.0)</f>
        <v>3</v>
      </c>
      <c r="G1046" s="14">
        <f>IFERROR(__xludf.DUMMYFUNCTION("""COMPUTED_VALUE"""),3.0)</f>
        <v>3</v>
      </c>
      <c r="H1046" s="14">
        <f>IFERROR(__xludf.DUMMYFUNCTION("""COMPUTED_VALUE"""),2023.0)</f>
        <v>2023</v>
      </c>
      <c r="I1046" s="14" t="str">
        <f>IFERROR(__xludf.DUMMYFUNCTION("""COMPUTED_VALUE"""),"COD")</f>
        <v>COD</v>
      </c>
      <c r="J1046" s="14" t="str">
        <f>IFERROR(__xludf.DUMMYFUNCTION("""COMPUTED_VALUE"""),"Delivered*Quality of Items: Perfect condition")</f>
        <v>Delivered*Quality of Items: Perfect condition</v>
      </c>
      <c r="K1046" s="14" t="str">
        <f>IFERROR(__xludf.DUMMYFUNCTION("split(E1046,""+"")"),"Orange")</f>
        <v>Orange</v>
      </c>
      <c r="L1046" s="14" t="str">
        <f>IFERROR(__xludf.DUMMYFUNCTION("""COMPUTED_VALUE"""),"2*Nikhil Deshmukh")</f>
        <v>2*Nikhil Deshmukh</v>
      </c>
      <c r="M1046" s="14">
        <f>IFERROR(__xludf.DUMMYFUNCTION("SPLIT(L1046,""*"")"),2.0)</f>
        <v>2</v>
      </c>
      <c r="N1046" s="14" t="str">
        <f>IFERROR(__xludf.DUMMYFUNCTION("""COMPUTED_VALUE"""),"Nikhil Deshmukh")</f>
        <v>Nikhil Deshmukh</v>
      </c>
      <c r="O1046" s="14" t="str">
        <f>IFERROR(__xludf.DUMMYFUNCTION("split(J1046,""*"")"),"Delivered")</f>
        <v>Delivered</v>
      </c>
      <c r="P1046" s="14" t="str">
        <f>IFERROR(__xludf.DUMMYFUNCTION("""COMPUTED_VALUE"""),"Quality of Items: Perfect condition")</f>
        <v>Quality of Items: Perfect condition</v>
      </c>
      <c r="Q1046" s="14" t="str">
        <f>IFERROR(__xludf.DUMMYFUNCTION("split(P1046,"":"")"),"Quality of Items")</f>
        <v>Quality of Items</v>
      </c>
      <c r="R1046" s="14" t="str">
        <f>IFERROR(__xludf.DUMMYFUNCTION("""COMPUTED_VALUE""")," Perfect condition")</f>
        <v> Perfect condition</v>
      </c>
      <c r="S1046" s="14" t="str">
        <f t="shared" ref="S1046:U1046" si="2095">trim(B1046)</f>
        <v>ord_41024</v>
      </c>
      <c r="T1046" s="14" t="str">
        <f t="shared" si="2095"/>
        <v>Anaya Rao</v>
      </c>
      <c r="U1046" s="14" t="str">
        <f t="shared" si="2095"/>
        <v>Colaba</v>
      </c>
      <c r="V1046" s="14" t="str">
        <f t="shared" si="4"/>
        <v>Orange</v>
      </c>
      <c r="W1046" s="14">
        <f t="shared" si="5"/>
        <v>2</v>
      </c>
      <c r="X1046" s="14" t="str">
        <f t="shared" si="6"/>
        <v>Nikhil Deshmukh</v>
      </c>
      <c r="Y1046" s="15">
        <f t="shared" si="7"/>
        <v>44988</v>
      </c>
      <c r="Z1046" s="14" t="str">
        <f t="shared" si="8"/>
        <v>COD</v>
      </c>
      <c r="AA1046" s="14" t="str">
        <f t="shared" si="9"/>
        <v>Delivered</v>
      </c>
      <c r="AB1046" s="14" t="str">
        <f t="shared" ref="AB1046:AC1046" si="2096">trim(Q1046)</f>
        <v>Quality of Items</v>
      </c>
      <c r="AC1046" s="14" t="str">
        <f t="shared" si="2096"/>
        <v>Perfect condition</v>
      </c>
      <c r="AD1046" s="8"/>
    </row>
    <row r="1047">
      <c r="A1047" s="14" t="str">
        <f>IFERROR(__xludf.DUMMYFUNCTION("""COMPUTED_VALUE"""),"//ord_41025//Kritika Shetty//Malad//Banana+2*Not Assigned/4/23/2023//UPI//Cancelled*App Glitches:Slow Loading Time")</f>
        <v>//ord_41025//Kritika Shetty//Malad//Banana+2*Not Assigned/4/23/2023//UPI//Cancelled*App Glitches:Slow Loading Time</v>
      </c>
      <c r="B1047" s="14" t="str">
        <f>IFERROR(__xludf.DUMMYFUNCTION("split(A1047,""//"")"),"ord_41025")</f>
        <v>ord_41025</v>
      </c>
      <c r="C1047" s="14" t="str">
        <f>IFERROR(__xludf.DUMMYFUNCTION("""COMPUTED_VALUE"""),"Kritika Shetty")</f>
        <v>Kritika Shetty</v>
      </c>
      <c r="D1047" s="14" t="str">
        <f>IFERROR(__xludf.DUMMYFUNCTION("""COMPUTED_VALUE"""),"Malad")</f>
        <v>Malad</v>
      </c>
      <c r="E1047" s="14" t="str">
        <f>IFERROR(__xludf.DUMMYFUNCTION("""COMPUTED_VALUE"""),"Banana+2*Not Assigned")</f>
        <v>Banana+2*Not Assigned</v>
      </c>
      <c r="F1047" s="14">
        <f>IFERROR(__xludf.DUMMYFUNCTION("""COMPUTED_VALUE"""),4.0)</f>
        <v>4</v>
      </c>
      <c r="G1047" s="14">
        <f>IFERROR(__xludf.DUMMYFUNCTION("""COMPUTED_VALUE"""),23.0)</f>
        <v>23</v>
      </c>
      <c r="H1047" s="14">
        <f>IFERROR(__xludf.DUMMYFUNCTION("""COMPUTED_VALUE"""),2023.0)</f>
        <v>2023</v>
      </c>
      <c r="I1047" s="14" t="str">
        <f>IFERROR(__xludf.DUMMYFUNCTION("""COMPUTED_VALUE"""),"UPI")</f>
        <v>UPI</v>
      </c>
      <c r="J1047" s="14" t="str">
        <f>IFERROR(__xludf.DUMMYFUNCTION("""COMPUTED_VALUE"""),"Cancelled*App Glitches:Slow Loading Time")</f>
        <v>Cancelled*App Glitches:Slow Loading Time</v>
      </c>
      <c r="K1047" s="14" t="str">
        <f>IFERROR(__xludf.DUMMYFUNCTION("split(E1047,""+"")"),"Banana")</f>
        <v>Banana</v>
      </c>
      <c r="L1047" s="14" t="str">
        <f>IFERROR(__xludf.DUMMYFUNCTION("""COMPUTED_VALUE"""),"2*Not Assigned")</f>
        <v>2*Not Assigned</v>
      </c>
      <c r="M1047" s="14">
        <f>IFERROR(__xludf.DUMMYFUNCTION("SPLIT(L1047,""*"")"),2.0)</f>
        <v>2</v>
      </c>
      <c r="N1047" s="14" t="str">
        <f>IFERROR(__xludf.DUMMYFUNCTION("""COMPUTED_VALUE"""),"Not Assigned")</f>
        <v>Not Assigned</v>
      </c>
      <c r="O1047" s="14" t="str">
        <f>IFERROR(__xludf.DUMMYFUNCTION("split(J1047,""*"")"),"Cancelled")</f>
        <v>Cancelled</v>
      </c>
      <c r="P1047" s="14" t="str">
        <f>IFERROR(__xludf.DUMMYFUNCTION("""COMPUTED_VALUE"""),"App Glitches:Slow Loading Time")</f>
        <v>App Glitches:Slow Loading Time</v>
      </c>
      <c r="Q1047" s="14" t="str">
        <f>IFERROR(__xludf.DUMMYFUNCTION("split(P1047,"":"")"),"App Glitches")</f>
        <v>App Glitches</v>
      </c>
      <c r="R1047" s="14" t="str">
        <f>IFERROR(__xludf.DUMMYFUNCTION("""COMPUTED_VALUE"""),"Slow Loading Time")</f>
        <v>Slow Loading Time</v>
      </c>
      <c r="S1047" s="14" t="str">
        <f t="shared" ref="S1047:U1047" si="2097">trim(B1047)</f>
        <v>ord_41025</v>
      </c>
      <c r="T1047" s="14" t="str">
        <f t="shared" si="2097"/>
        <v>Kritika Shetty</v>
      </c>
      <c r="U1047" s="14" t="str">
        <f t="shared" si="2097"/>
        <v>Malad</v>
      </c>
      <c r="V1047" s="14" t="str">
        <f t="shared" si="4"/>
        <v>Banana</v>
      </c>
      <c r="W1047" s="14">
        <f t="shared" si="5"/>
        <v>2</v>
      </c>
      <c r="X1047" s="14" t="str">
        <f t="shared" si="6"/>
        <v>Not Assigned</v>
      </c>
      <c r="Y1047" s="15">
        <f t="shared" si="7"/>
        <v>45039</v>
      </c>
      <c r="Z1047" s="14" t="str">
        <f t="shared" si="8"/>
        <v>UPI</v>
      </c>
      <c r="AA1047" s="14" t="str">
        <f t="shared" si="9"/>
        <v>Cancelled</v>
      </c>
      <c r="AB1047" s="14" t="str">
        <f t="shared" ref="AB1047:AC1047" si="2098">trim(Q1047)</f>
        <v>App Glitches</v>
      </c>
      <c r="AC1047" s="14" t="str">
        <f t="shared" si="2098"/>
        <v>Slow Loading Time</v>
      </c>
      <c r="AD1047" s="8"/>
    </row>
    <row r="1048">
      <c r="A1048" s="14" t="str">
        <f>IFERROR(__xludf.DUMMYFUNCTION("""COMPUTED_VALUE"""),"//ord_41026//Tanishq Bansal//Powai//Tiramisu+4*Sandeep Kumar/3/16/2023//Online Payment//Delivered*Packaging: Secure and intact")</f>
        <v>//ord_41026//Tanishq Bansal//Powai//Tiramisu+4*Sandeep Kumar/3/16/2023//Online Payment//Delivered*Packaging: Secure and intact</v>
      </c>
      <c r="B1048" s="14" t="str">
        <f>IFERROR(__xludf.DUMMYFUNCTION("split(A1048,""//"")"),"ord_41026")</f>
        <v>ord_41026</v>
      </c>
      <c r="C1048" s="14" t="str">
        <f>IFERROR(__xludf.DUMMYFUNCTION("""COMPUTED_VALUE"""),"Tanishq Bansal")</f>
        <v>Tanishq Bansal</v>
      </c>
      <c r="D1048" s="14" t="str">
        <f>IFERROR(__xludf.DUMMYFUNCTION("""COMPUTED_VALUE"""),"Powai")</f>
        <v>Powai</v>
      </c>
      <c r="E1048" s="14" t="str">
        <f>IFERROR(__xludf.DUMMYFUNCTION("""COMPUTED_VALUE"""),"Tiramisu+4*Sandeep Kumar")</f>
        <v>Tiramisu+4*Sandeep Kumar</v>
      </c>
      <c r="F1048" s="14">
        <f>IFERROR(__xludf.DUMMYFUNCTION("""COMPUTED_VALUE"""),3.0)</f>
        <v>3</v>
      </c>
      <c r="G1048" s="14">
        <f>IFERROR(__xludf.DUMMYFUNCTION("""COMPUTED_VALUE"""),16.0)</f>
        <v>16</v>
      </c>
      <c r="H1048" s="14">
        <f>IFERROR(__xludf.DUMMYFUNCTION("""COMPUTED_VALUE"""),2023.0)</f>
        <v>2023</v>
      </c>
      <c r="I1048" s="14" t="str">
        <f>IFERROR(__xludf.DUMMYFUNCTION("""COMPUTED_VALUE"""),"Online Payment")</f>
        <v>Online Payment</v>
      </c>
      <c r="J1048" s="14" t="str">
        <f>IFERROR(__xludf.DUMMYFUNCTION("""COMPUTED_VALUE"""),"Delivered*Packaging: Secure and intact")</f>
        <v>Delivered*Packaging: Secure and intact</v>
      </c>
      <c r="K1048" s="14" t="str">
        <f>IFERROR(__xludf.DUMMYFUNCTION("split(E1048,""+"")"),"Tiramisu")</f>
        <v>Tiramisu</v>
      </c>
      <c r="L1048" s="14" t="str">
        <f>IFERROR(__xludf.DUMMYFUNCTION("""COMPUTED_VALUE"""),"4*Sandeep Kumar")</f>
        <v>4*Sandeep Kumar</v>
      </c>
      <c r="M1048" s="14">
        <f>IFERROR(__xludf.DUMMYFUNCTION("SPLIT(L1048,""*"")"),4.0)</f>
        <v>4</v>
      </c>
      <c r="N1048" s="14" t="str">
        <f>IFERROR(__xludf.DUMMYFUNCTION("""COMPUTED_VALUE"""),"Sandeep Kumar")</f>
        <v>Sandeep Kumar</v>
      </c>
      <c r="O1048" s="14" t="str">
        <f>IFERROR(__xludf.DUMMYFUNCTION("split(J1048,""*"")"),"Delivered")</f>
        <v>Delivered</v>
      </c>
      <c r="P1048" s="14" t="str">
        <f>IFERROR(__xludf.DUMMYFUNCTION("""COMPUTED_VALUE"""),"Packaging: Secure and intact")</f>
        <v>Packaging: Secure and intact</v>
      </c>
      <c r="Q1048" s="14" t="str">
        <f>IFERROR(__xludf.DUMMYFUNCTION("split(P1048,"":"")"),"Packaging")</f>
        <v>Packaging</v>
      </c>
      <c r="R1048" s="14" t="str">
        <f>IFERROR(__xludf.DUMMYFUNCTION("""COMPUTED_VALUE""")," Secure and intact")</f>
        <v> Secure and intact</v>
      </c>
      <c r="S1048" s="14" t="str">
        <f t="shared" ref="S1048:U1048" si="2099">trim(B1048)</f>
        <v>ord_41026</v>
      </c>
      <c r="T1048" s="14" t="str">
        <f t="shared" si="2099"/>
        <v>Tanishq Bansal</v>
      </c>
      <c r="U1048" s="14" t="str">
        <f t="shared" si="2099"/>
        <v>Powai</v>
      </c>
      <c r="V1048" s="14" t="str">
        <f t="shared" si="4"/>
        <v>Tiramisu</v>
      </c>
      <c r="W1048" s="14">
        <f t="shared" si="5"/>
        <v>4</v>
      </c>
      <c r="X1048" s="14" t="str">
        <f t="shared" si="6"/>
        <v>Sandeep Kumar</v>
      </c>
      <c r="Y1048" s="15">
        <f t="shared" si="7"/>
        <v>45001</v>
      </c>
      <c r="Z1048" s="14" t="str">
        <f t="shared" si="8"/>
        <v>Online Payment</v>
      </c>
      <c r="AA1048" s="14" t="str">
        <f t="shared" si="9"/>
        <v>Delivered</v>
      </c>
      <c r="AB1048" s="14" t="str">
        <f t="shared" ref="AB1048:AC1048" si="2100">trim(Q1048)</f>
        <v>Packaging</v>
      </c>
      <c r="AC1048" s="14" t="str">
        <f t="shared" si="2100"/>
        <v>Secure and intact</v>
      </c>
      <c r="AD1048" s="8"/>
    </row>
    <row r="1049">
      <c r="A1049" s="14" t="str">
        <f>IFERROR(__xludf.DUMMYFUNCTION("""COMPUTED_VALUE"""),"//ord_41027//Diya Arora//Lower Parel//Icecream+3*Kiran Mehta/5/14/2023//UPI//Delivered*Satisfied with the Delivery: Timely and quality")</f>
        <v>//ord_41027//Diya Arora//Lower Parel//Icecream+3*Kiran Mehta/5/14/2023//UPI//Delivered*Satisfied with the Delivery: Timely and quality</v>
      </c>
      <c r="B1049" s="14" t="str">
        <f>IFERROR(__xludf.DUMMYFUNCTION("split(A1049,""//"")"),"ord_41027")</f>
        <v>ord_41027</v>
      </c>
      <c r="C1049" s="14" t="str">
        <f>IFERROR(__xludf.DUMMYFUNCTION("""COMPUTED_VALUE"""),"Diya Arora")</f>
        <v>Diya Arora</v>
      </c>
      <c r="D1049" s="14" t="str">
        <f>IFERROR(__xludf.DUMMYFUNCTION("""COMPUTED_VALUE"""),"Lower Parel")</f>
        <v>Lower Parel</v>
      </c>
      <c r="E1049" s="14" t="str">
        <f>IFERROR(__xludf.DUMMYFUNCTION("""COMPUTED_VALUE"""),"Icecream+3*Kiran Mehta")</f>
        <v>Icecream+3*Kiran Mehta</v>
      </c>
      <c r="F1049" s="14">
        <f>IFERROR(__xludf.DUMMYFUNCTION("""COMPUTED_VALUE"""),5.0)</f>
        <v>5</v>
      </c>
      <c r="G1049" s="14">
        <f>IFERROR(__xludf.DUMMYFUNCTION("""COMPUTED_VALUE"""),14.0)</f>
        <v>14</v>
      </c>
      <c r="H1049" s="14">
        <f>IFERROR(__xludf.DUMMYFUNCTION("""COMPUTED_VALUE"""),2023.0)</f>
        <v>2023</v>
      </c>
      <c r="I1049" s="14" t="str">
        <f>IFERROR(__xludf.DUMMYFUNCTION("""COMPUTED_VALUE"""),"UPI")</f>
        <v>UPI</v>
      </c>
      <c r="J1049" s="14" t="str">
        <f>IFERROR(__xludf.DUMMYFUNCTION("""COMPUTED_VALUE"""),"Delivered*Satisfied with the Delivery: Timely and quality")</f>
        <v>Delivered*Satisfied with the Delivery: Timely and quality</v>
      </c>
      <c r="K1049" s="14" t="str">
        <f>IFERROR(__xludf.DUMMYFUNCTION("split(E1049,""+"")"),"Icecream")</f>
        <v>Icecream</v>
      </c>
      <c r="L1049" s="14" t="str">
        <f>IFERROR(__xludf.DUMMYFUNCTION("""COMPUTED_VALUE"""),"3*Kiran Mehta")</f>
        <v>3*Kiran Mehta</v>
      </c>
      <c r="M1049" s="14">
        <f>IFERROR(__xludf.DUMMYFUNCTION("SPLIT(L1049,""*"")"),3.0)</f>
        <v>3</v>
      </c>
      <c r="N1049" s="14" t="str">
        <f>IFERROR(__xludf.DUMMYFUNCTION("""COMPUTED_VALUE"""),"Kiran Mehta")</f>
        <v>Kiran Mehta</v>
      </c>
      <c r="O1049" s="14" t="str">
        <f>IFERROR(__xludf.DUMMYFUNCTION("split(J1049,""*"")"),"Delivered")</f>
        <v>Delivered</v>
      </c>
      <c r="P1049" s="14" t="str">
        <f>IFERROR(__xludf.DUMMYFUNCTION("""COMPUTED_VALUE"""),"Satisfied with the Delivery: Timely and quality")</f>
        <v>Satisfied with the Delivery: Timely and quality</v>
      </c>
      <c r="Q1049" s="14" t="str">
        <f>IFERROR(__xludf.DUMMYFUNCTION("split(P1049,"":"")"),"Satisfied with the Delivery")</f>
        <v>Satisfied with the Delivery</v>
      </c>
      <c r="R1049" s="14" t="str">
        <f>IFERROR(__xludf.DUMMYFUNCTION("""COMPUTED_VALUE""")," Timely and quality")</f>
        <v> Timely and quality</v>
      </c>
      <c r="S1049" s="14" t="str">
        <f t="shared" ref="S1049:U1049" si="2101">trim(B1049)</f>
        <v>ord_41027</v>
      </c>
      <c r="T1049" s="14" t="str">
        <f t="shared" si="2101"/>
        <v>Diya Arora</v>
      </c>
      <c r="U1049" s="14" t="str">
        <f t="shared" si="2101"/>
        <v>Lower Parel</v>
      </c>
      <c r="V1049" s="14" t="str">
        <f t="shared" si="4"/>
        <v>Icecream</v>
      </c>
      <c r="W1049" s="14">
        <f t="shared" si="5"/>
        <v>3</v>
      </c>
      <c r="X1049" s="14" t="str">
        <f t="shared" si="6"/>
        <v>Kiran Mehta</v>
      </c>
      <c r="Y1049" s="15">
        <f t="shared" si="7"/>
        <v>45060</v>
      </c>
      <c r="Z1049" s="14" t="str">
        <f t="shared" si="8"/>
        <v>UPI</v>
      </c>
      <c r="AA1049" s="14" t="str">
        <f t="shared" si="9"/>
        <v>Delivered</v>
      </c>
      <c r="AB1049" s="14" t="str">
        <f t="shared" ref="AB1049:AC1049" si="2102">trim(Q1049)</f>
        <v>Satisfied with the Delivery</v>
      </c>
      <c r="AC1049" s="14" t="str">
        <f t="shared" si="2102"/>
        <v>Timely and quality</v>
      </c>
      <c r="AD1049" s="8"/>
    </row>
    <row r="1050">
      <c r="A1050" s="14" t="str">
        <f>IFERROR(__xludf.DUMMYFUNCTION("""COMPUTED_VALUE"""),"//ord_41028//Mohit Malhotra//Lower Parel//Juice+3*Kiran Mehta/12/1/2023//Online Payment//Delivered*Customer Service: Seamless and easy")</f>
        <v>//ord_41028//Mohit Malhotra//Lower Parel//Juice+3*Kiran Mehta/12/1/2023//Online Payment//Delivered*Customer Service: Seamless and easy</v>
      </c>
      <c r="B1050" s="14" t="str">
        <f>IFERROR(__xludf.DUMMYFUNCTION("split(A1050,""//"")"),"ord_41028")</f>
        <v>ord_41028</v>
      </c>
      <c r="C1050" s="14" t="str">
        <f>IFERROR(__xludf.DUMMYFUNCTION("""COMPUTED_VALUE"""),"Mohit Malhotra")</f>
        <v>Mohit Malhotra</v>
      </c>
      <c r="D1050" s="14" t="str">
        <f>IFERROR(__xludf.DUMMYFUNCTION("""COMPUTED_VALUE"""),"Lower Parel")</f>
        <v>Lower Parel</v>
      </c>
      <c r="E1050" s="14" t="str">
        <f>IFERROR(__xludf.DUMMYFUNCTION("""COMPUTED_VALUE"""),"Juice+3*Kiran Mehta")</f>
        <v>Juice+3*Kiran Mehta</v>
      </c>
      <c r="F1050" s="14">
        <f>IFERROR(__xludf.DUMMYFUNCTION("""COMPUTED_VALUE"""),12.0)</f>
        <v>12</v>
      </c>
      <c r="G1050" s="14">
        <f>IFERROR(__xludf.DUMMYFUNCTION("""COMPUTED_VALUE"""),1.0)</f>
        <v>1</v>
      </c>
      <c r="H1050" s="14">
        <f>IFERROR(__xludf.DUMMYFUNCTION("""COMPUTED_VALUE"""),2023.0)</f>
        <v>2023</v>
      </c>
      <c r="I1050" s="14" t="str">
        <f>IFERROR(__xludf.DUMMYFUNCTION("""COMPUTED_VALUE"""),"Online Payment")</f>
        <v>Online Payment</v>
      </c>
      <c r="J1050" s="14" t="str">
        <f>IFERROR(__xludf.DUMMYFUNCTION("""COMPUTED_VALUE"""),"Delivered*Customer Service: Seamless and easy")</f>
        <v>Delivered*Customer Service: Seamless and easy</v>
      </c>
      <c r="K1050" s="14" t="str">
        <f>IFERROR(__xludf.DUMMYFUNCTION("split(E1050,""+"")"),"Juice")</f>
        <v>Juice</v>
      </c>
      <c r="L1050" s="14" t="str">
        <f>IFERROR(__xludf.DUMMYFUNCTION("""COMPUTED_VALUE"""),"3*Kiran Mehta")</f>
        <v>3*Kiran Mehta</v>
      </c>
      <c r="M1050" s="14">
        <f>IFERROR(__xludf.DUMMYFUNCTION("SPLIT(L1050,""*"")"),3.0)</f>
        <v>3</v>
      </c>
      <c r="N1050" s="14" t="str">
        <f>IFERROR(__xludf.DUMMYFUNCTION("""COMPUTED_VALUE"""),"Kiran Mehta")</f>
        <v>Kiran Mehta</v>
      </c>
      <c r="O1050" s="14" t="str">
        <f>IFERROR(__xludf.DUMMYFUNCTION("split(J1050,""*"")"),"Delivered")</f>
        <v>Delivered</v>
      </c>
      <c r="P1050" s="14" t="str">
        <f>IFERROR(__xludf.DUMMYFUNCTION("""COMPUTED_VALUE"""),"Customer Service: Seamless and easy")</f>
        <v>Customer Service: Seamless and easy</v>
      </c>
      <c r="Q1050" s="14" t="str">
        <f>IFERROR(__xludf.DUMMYFUNCTION("split(P1050,"":"")"),"Customer Service")</f>
        <v>Customer Service</v>
      </c>
      <c r="R1050" s="14" t="str">
        <f>IFERROR(__xludf.DUMMYFUNCTION("""COMPUTED_VALUE""")," Seamless and easy")</f>
        <v> Seamless and easy</v>
      </c>
      <c r="S1050" s="14" t="str">
        <f t="shared" ref="S1050:U1050" si="2103">trim(B1050)</f>
        <v>ord_41028</v>
      </c>
      <c r="T1050" s="14" t="str">
        <f t="shared" si="2103"/>
        <v>Mohit Malhotra</v>
      </c>
      <c r="U1050" s="14" t="str">
        <f t="shared" si="2103"/>
        <v>Lower Parel</v>
      </c>
      <c r="V1050" s="14" t="str">
        <f t="shared" si="4"/>
        <v>Juice</v>
      </c>
      <c r="W1050" s="14">
        <f t="shared" si="5"/>
        <v>3</v>
      </c>
      <c r="X1050" s="14" t="str">
        <f t="shared" si="6"/>
        <v>Kiran Mehta</v>
      </c>
      <c r="Y1050" s="15">
        <f t="shared" si="7"/>
        <v>45261</v>
      </c>
      <c r="Z1050" s="14" t="str">
        <f t="shared" si="8"/>
        <v>Online Payment</v>
      </c>
      <c r="AA1050" s="14" t="str">
        <f t="shared" si="9"/>
        <v>Delivered</v>
      </c>
      <c r="AB1050" s="14" t="str">
        <f t="shared" ref="AB1050:AC1050" si="2104">trim(Q1050)</f>
        <v>Customer Service</v>
      </c>
      <c r="AC1050" s="14" t="str">
        <f t="shared" si="2104"/>
        <v>Seamless and easy</v>
      </c>
      <c r="AD1050" s="8"/>
    </row>
    <row r="1051">
      <c r="A1051" s="14" t="str">
        <f>IFERROR(__xludf.DUMMYFUNCTION("""COMPUTED_VALUE"""),"//ord_41029//Parth Goel//Juhu//Chocolate Mousse+5*Tanvi Jain/5/7/2023//Credit Card//Delivered*Delivery Experience: Quick and professional")</f>
        <v>//ord_41029//Parth Goel//Juhu//Chocolate Mousse+5*Tanvi Jain/5/7/2023//Credit Card//Delivered*Delivery Experience: Quick and professional</v>
      </c>
      <c r="B1051" s="14" t="str">
        <f>IFERROR(__xludf.DUMMYFUNCTION("split(A1051,""//"")"),"ord_41029")</f>
        <v>ord_41029</v>
      </c>
      <c r="C1051" s="14" t="str">
        <f>IFERROR(__xludf.DUMMYFUNCTION("""COMPUTED_VALUE"""),"Parth Goel")</f>
        <v>Parth Goel</v>
      </c>
      <c r="D1051" s="14" t="str">
        <f>IFERROR(__xludf.DUMMYFUNCTION("""COMPUTED_VALUE"""),"Juhu")</f>
        <v>Juhu</v>
      </c>
      <c r="E1051" s="14" t="str">
        <f>IFERROR(__xludf.DUMMYFUNCTION("""COMPUTED_VALUE"""),"Chocolate Mousse+5*Tanvi Jain")</f>
        <v>Chocolate Mousse+5*Tanvi Jain</v>
      </c>
      <c r="F1051" s="14">
        <f>IFERROR(__xludf.DUMMYFUNCTION("""COMPUTED_VALUE"""),5.0)</f>
        <v>5</v>
      </c>
      <c r="G1051" s="14">
        <f>IFERROR(__xludf.DUMMYFUNCTION("""COMPUTED_VALUE"""),7.0)</f>
        <v>7</v>
      </c>
      <c r="H1051" s="14">
        <f>IFERROR(__xludf.DUMMYFUNCTION("""COMPUTED_VALUE"""),2023.0)</f>
        <v>2023</v>
      </c>
      <c r="I1051" s="14" t="str">
        <f>IFERROR(__xludf.DUMMYFUNCTION("""COMPUTED_VALUE"""),"Credit Card")</f>
        <v>Credit Card</v>
      </c>
      <c r="J1051" s="14" t="str">
        <f>IFERROR(__xludf.DUMMYFUNCTION("""COMPUTED_VALUE"""),"Delivered*Delivery Experience: Quick and professional")</f>
        <v>Delivered*Delivery Experience: Quick and professional</v>
      </c>
      <c r="K1051" s="14" t="str">
        <f>IFERROR(__xludf.DUMMYFUNCTION("split(E1051,""+"")"),"Chocolate Mousse")</f>
        <v>Chocolate Mousse</v>
      </c>
      <c r="L1051" s="14" t="str">
        <f>IFERROR(__xludf.DUMMYFUNCTION("""COMPUTED_VALUE"""),"5*Tanvi Jain")</f>
        <v>5*Tanvi Jain</v>
      </c>
      <c r="M1051" s="14">
        <f>IFERROR(__xludf.DUMMYFUNCTION("SPLIT(L1051,""*"")"),5.0)</f>
        <v>5</v>
      </c>
      <c r="N1051" s="14" t="str">
        <f>IFERROR(__xludf.DUMMYFUNCTION("""COMPUTED_VALUE"""),"Tanvi Jain")</f>
        <v>Tanvi Jain</v>
      </c>
      <c r="O1051" s="14" t="str">
        <f>IFERROR(__xludf.DUMMYFUNCTION("split(J1051,""*"")"),"Delivered")</f>
        <v>Delivered</v>
      </c>
      <c r="P1051" s="14" t="str">
        <f>IFERROR(__xludf.DUMMYFUNCTION("""COMPUTED_VALUE"""),"Delivery Experience: Quick and professional")</f>
        <v>Delivery Experience: Quick and professional</v>
      </c>
      <c r="Q1051" s="14" t="str">
        <f>IFERROR(__xludf.DUMMYFUNCTION("split(P1051,"":"")"),"Delivery Experience")</f>
        <v>Delivery Experience</v>
      </c>
      <c r="R1051" s="14" t="str">
        <f>IFERROR(__xludf.DUMMYFUNCTION("""COMPUTED_VALUE""")," Quick and professional")</f>
        <v> Quick and professional</v>
      </c>
      <c r="S1051" s="14" t="str">
        <f t="shared" ref="S1051:U1051" si="2105">trim(B1051)</f>
        <v>ord_41029</v>
      </c>
      <c r="T1051" s="14" t="str">
        <f t="shared" si="2105"/>
        <v>Parth Goel</v>
      </c>
      <c r="U1051" s="14" t="str">
        <f t="shared" si="2105"/>
        <v>Juhu</v>
      </c>
      <c r="V1051" s="14" t="str">
        <f t="shared" si="4"/>
        <v>Chocolate Mousse</v>
      </c>
      <c r="W1051" s="14">
        <f t="shared" si="5"/>
        <v>5</v>
      </c>
      <c r="X1051" s="14" t="str">
        <f t="shared" si="6"/>
        <v>Tanvi Jain</v>
      </c>
      <c r="Y1051" s="15">
        <f t="shared" si="7"/>
        <v>45053</v>
      </c>
      <c r="Z1051" s="14" t="str">
        <f t="shared" si="8"/>
        <v>Credit Card</v>
      </c>
      <c r="AA1051" s="14" t="str">
        <f t="shared" si="9"/>
        <v>Delivered</v>
      </c>
      <c r="AB1051" s="14" t="str">
        <f t="shared" ref="AB1051:AC1051" si="2106">trim(Q1051)</f>
        <v>Delivery Experience</v>
      </c>
      <c r="AC1051" s="14" t="str">
        <f t="shared" si="2106"/>
        <v>Quick and professional</v>
      </c>
      <c r="AD1051" s="8"/>
    </row>
    <row r="1052">
      <c r="A1052" s="14" t="str">
        <f>IFERROR(__xludf.DUMMYFUNCTION("""COMPUTED_VALUE"""),"//ord_41030//Sakshi Tandon//Colaba//Popcorn+1*Nikhil Deshmukh/9/25/2023//Online Payment//Delivered*Convenience: Easy tracking")</f>
        <v>//ord_41030//Sakshi Tandon//Colaba//Popcorn+1*Nikhil Deshmukh/9/25/2023//Online Payment//Delivered*Convenience: Easy tracking</v>
      </c>
      <c r="B1052" s="14" t="str">
        <f>IFERROR(__xludf.DUMMYFUNCTION("split(A1052,""//"")"),"ord_41030")</f>
        <v>ord_41030</v>
      </c>
      <c r="C1052" s="14" t="str">
        <f>IFERROR(__xludf.DUMMYFUNCTION("""COMPUTED_VALUE"""),"Sakshi Tandon")</f>
        <v>Sakshi Tandon</v>
      </c>
      <c r="D1052" s="14" t="str">
        <f>IFERROR(__xludf.DUMMYFUNCTION("""COMPUTED_VALUE"""),"Colaba")</f>
        <v>Colaba</v>
      </c>
      <c r="E1052" s="14" t="str">
        <f>IFERROR(__xludf.DUMMYFUNCTION("""COMPUTED_VALUE"""),"Popcorn+1*Nikhil Deshmukh")</f>
        <v>Popcorn+1*Nikhil Deshmukh</v>
      </c>
      <c r="F1052" s="14">
        <f>IFERROR(__xludf.DUMMYFUNCTION("""COMPUTED_VALUE"""),9.0)</f>
        <v>9</v>
      </c>
      <c r="G1052" s="14">
        <f>IFERROR(__xludf.DUMMYFUNCTION("""COMPUTED_VALUE"""),25.0)</f>
        <v>25</v>
      </c>
      <c r="H1052" s="14">
        <f>IFERROR(__xludf.DUMMYFUNCTION("""COMPUTED_VALUE"""),2023.0)</f>
        <v>2023</v>
      </c>
      <c r="I1052" s="14" t="str">
        <f>IFERROR(__xludf.DUMMYFUNCTION("""COMPUTED_VALUE"""),"Online Payment")</f>
        <v>Online Payment</v>
      </c>
      <c r="J1052" s="14" t="str">
        <f>IFERROR(__xludf.DUMMYFUNCTION("""COMPUTED_VALUE"""),"Delivered*Convenience: Easy tracking")</f>
        <v>Delivered*Convenience: Easy tracking</v>
      </c>
      <c r="K1052" s="14" t="str">
        <f>IFERROR(__xludf.DUMMYFUNCTION("split(E1052,""+"")"),"Popcorn")</f>
        <v>Popcorn</v>
      </c>
      <c r="L1052" s="14" t="str">
        <f>IFERROR(__xludf.DUMMYFUNCTION("""COMPUTED_VALUE"""),"1*Nikhil Deshmukh")</f>
        <v>1*Nikhil Deshmukh</v>
      </c>
      <c r="M1052" s="14">
        <f>IFERROR(__xludf.DUMMYFUNCTION("SPLIT(L1052,""*"")"),1.0)</f>
        <v>1</v>
      </c>
      <c r="N1052" s="14" t="str">
        <f>IFERROR(__xludf.DUMMYFUNCTION("""COMPUTED_VALUE"""),"Nikhil Deshmukh")</f>
        <v>Nikhil Deshmukh</v>
      </c>
      <c r="O1052" s="14" t="str">
        <f>IFERROR(__xludf.DUMMYFUNCTION("split(J1052,""*"")"),"Delivered")</f>
        <v>Delivered</v>
      </c>
      <c r="P1052" s="14" t="str">
        <f>IFERROR(__xludf.DUMMYFUNCTION("""COMPUTED_VALUE"""),"Convenience: Easy tracking")</f>
        <v>Convenience: Easy tracking</v>
      </c>
      <c r="Q1052" s="14" t="str">
        <f>IFERROR(__xludf.DUMMYFUNCTION("split(P1052,"":"")"),"Convenience")</f>
        <v>Convenience</v>
      </c>
      <c r="R1052" s="14" t="str">
        <f>IFERROR(__xludf.DUMMYFUNCTION("""COMPUTED_VALUE""")," Easy tracking")</f>
        <v> Easy tracking</v>
      </c>
      <c r="S1052" s="14" t="str">
        <f t="shared" ref="S1052:U1052" si="2107">trim(B1052)</f>
        <v>ord_41030</v>
      </c>
      <c r="T1052" s="14" t="str">
        <f t="shared" si="2107"/>
        <v>Sakshi Tandon</v>
      </c>
      <c r="U1052" s="14" t="str">
        <f t="shared" si="2107"/>
        <v>Colaba</v>
      </c>
      <c r="V1052" s="14" t="str">
        <f t="shared" si="4"/>
        <v>Popcorn</v>
      </c>
      <c r="W1052" s="14">
        <f t="shared" si="5"/>
        <v>1</v>
      </c>
      <c r="X1052" s="14" t="str">
        <f t="shared" si="6"/>
        <v>Nikhil Deshmukh</v>
      </c>
      <c r="Y1052" s="15">
        <f t="shared" si="7"/>
        <v>45194</v>
      </c>
      <c r="Z1052" s="14" t="str">
        <f t="shared" si="8"/>
        <v>Online Payment</v>
      </c>
      <c r="AA1052" s="14" t="str">
        <f t="shared" si="9"/>
        <v>Delivered</v>
      </c>
      <c r="AB1052" s="14" t="str">
        <f t="shared" ref="AB1052:AC1052" si="2108">trim(Q1052)</f>
        <v>Convenience</v>
      </c>
      <c r="AC1052" s="14" t="str">
        <f t="shared" si="2108"/>
        <v>Easy tracking</v>
      </c>
      <c r="AD1052" s="8"/>
    </row>
    <row r="1053">
      <c r="A1053" s="14" t="str">
        <f>IFERROR(__xludf.DUMMYFUNCTION("""COMPUTED_VALUE"""),"//ord_41031//Anaya Rao//Colaba//Onion+1*Nikhil Deshmukh/6/16/2023//COD//Delivered*Overall Satisfaction: Great service will order again")</f>
        <v>//ord_41031//Anaya Rao//Colaba//Onion+1*Nikhil Deshmukh/6/16/2023//COD//Delivered*Overall Satisfaction: Great service will order again</v>
      </c>
      <c r="B1053" s="14" t="str">
        <f>IFERROR(__xludf.DUMMYFUNCTION("split(A1053,""//"")"),"ord_41031")</f>
        <v>ord_41031</v>
      </c>
      <c r="C1053" s="14" t="str">
        <f>IFERROR(__xludf.DUMMYFUNCTION("""COMPUTED_VALUE"""),"Anaya Rao")</f>
        <v>Anaya Rao</v>
      </c>
      <c r="D1053" s="14" t="str">
        <f>IFERROR(__xludf.DUMMYFUNCTION("""COMPUTED_VALUE"""),"Colaba")</f>
        <v>Colaba</v>
      </c>
      <c r="E1053" s="14" t="str">
        <f>IFERROR(__xludf.DUMMYFUNCTION("""COMPUTED_VALUE"""),"Onion+1*Nikhil Deshmukh")</f>
        <v>Onion+1*Nikhil Deshmukh</v>
      </c>
      <c r="F1053" s="14">
        <f>IFERROR(__xludf.DUMMYFUNCTION("""COMPUTED_VALUE"""),6.0)</f>
        <v>6</v>
      </c>
      <c r="G1053" s="14">
        <f>IFERROR(__xludf.DUMMYFUNCTION("""COMPUTED_VALUE"""),16.0)</f>
        <v>16</v>
      </c>
      <c r="H1053" s="14">
        <f>IFERROR(__xludf.DUMMYFUNCTION("""COMPUTED_VALUE"""),2023.0)</f>
        <v>2023</v>
      </c>
      <c r="I1053" s="14" t="str">
        <f>IFERROR(__xludf.DUMMYFUNCTION("""COMPUTED_VALUE"""),"COD")</f>
        <v>COD</v>
      </c>
      <c r="J1053" s="14" t="str">
        <f>IFERROR(__xludf.DUMMYFUNCTION("""COMPUTED_VALUE"""),"Delivered*Overall Satisfaction: Great service will order again")</f>
        <v>Delivered*Overall Satisfaction: Great service will order again</v>
      </c>
      <c r="K1053" s="14" t="str">
        <f>IFERROR(__xludf.DUMMYFUNCTION("split(E1053,""+"")"),"Onion")</f>
        <v>Onion</v>
      </c>
      <c r="L1053" s="14" t="str">
        <f>IFERROR(__xludf.DUMMYFUNCTION("""COMPUTED_VALUE"""),"1*Nikhil Deshmukh")</f>
        <v>1*Nikhil Deshmukh</v>
      </c>
      <c r="M1053" s="14">
        <f>IFERROR(__xludf.DUMMYFUNCTION("SPLIT(L1053,""*"")"),1.0)</f>
        <v>1</v>
      </c>
      <c r="N1053" s="14" t="str">
        <f>IFERROR(__xludf.DUMMYFUNCTION("""COMPUTED_VALUE"""),"Nikhil Deshmukh")</f>
        <v>Nikhil Deshmukh</v>
      </c>
      <c r="O1053" s="14" t="str">
        <f>IFERROR(__xludf.DUMMYFUNCTION("split(J1053,""*"")"),"Delivered")</f>
        <v>Delivered</v>
      </c>
      <c r="P1053" s="14" t="str">
        <f>IFERROR(__xludf.DUMMYFUNCTION("""COMPUTED_VALUE"""),"Overall Satisfaction: Great service will order again")</f>
        <v>Overall Satisfaction: Great service will order again</v>
      </c>
      <c r="Q1053" s="14" t="str">
        <f>IFERROR(__xludf.DUMMYFUNCTION("split(P1053,"":"")"),"Overall Satisfaction")</f>
        <v>Overall Satisfaction</v>
      </c>
      <c r="R1053" s="14" t="str">
        <f>IFERROR(__xludf.DUMMYFUNCTION("""COMPUTED_VALUE""")," Great service will order again")</f>
        <v> Great service will order again</v>
      </c>
      <c r="S1053" s="14" t="str">
        <f t="shared" ref="S1053:U1053" si="2109">trim(B1053)</f>
        <v>ord_41031</v>
      </c>
      <c r="T1053" s="14" t="str">
        <f t="shared" si="2109"/>
        <v>Anaya Rao</v>
      </c>
      <c r="U1053" s="14" t="str">
        <f t="shared" si="2109"/>
        <v>Colaba</v>
      </c>
      <c r="V1053" s="14" t="str">
        <f t="shared" si="4"/>
        <v>Onion</v>
      </c>
      <c r="W1053" s="14">
        <f t="shared" si="5"/>
        <v>1</v>
      </c>
      <c r="X1053" s="14" t="str">
        <f t="shared" si="6"/>
        <v>Nikhil Deshmukh</v>
      </c>
      <c r="Y1053" s="15">
        <f t="shared" si="7"/>
        <v>45093</v>
      </c>
      <c r="Z1053" s="14" t="str">
        <f t="shared" si="8"/>
        <v>COD</v>
      </c>
      <c r="AA1053" s="14" t="str">
        <f t="shared" si="9"/>
        <v>Delivered</v>
      </c>
      <c r="AB1053" s="14" t="str">
        <f t="shared" ref="AB1053:AC1053" si="2110">trim(Q1053)</f>
        <v>Overall Satisfaction</v>
      </c>
      <c r="AC1053" s="14" t="str">
        <f t="shared" si="2110"/>
        <v>Great service will order again</v>
      </c>
      <c r="AD1053" s="8"/>
    </row>
    <row r="1054">
      <c r="A1054" s="14" t="str">
        <f>IFERROR(__xludf.DUMMYFUNCTION("""COMPUTED_VALUE"""),"//ord_41032//Aditi Iyer//Dadar//Potato+1*Aman Kumar/6/20/2023//UPI//Delivered*On-time Delivery: Delivered on time")</f>
        <v>//ord_41032//Aditi Iyer//Dadar//Potato+1*Aman Kumar/6/20/2023//UPI//Delivered*On-time Delivery: Delivered on time</v>
      </c>
      <c r="B1054" s="14" t="str">
        <f>IFERROR(__xludf.DUMMYFUNCTION("split(A1054,""//"")"),"ord_41032")</f>
        <v>ord_41032</v>
      </c>
      <c r="C1054" s="14" t="str">
        <f>IFERROR(__xludf.DUMMYFUNCTION("""COMPUTED_VALUE"""),"Aditi Iyer")</f>
        <v>Aditi Iyer</v>
      </c>
      <c r="D1054" s="14" t="str">
        <f>IFERROR(__xludf.DUMMYFUNCTION("""COMPUTED_VALUE"""),"Dadar")</f>
        <v>Dadar</v>
      </c>
      <c r="E1054" s="14" t="str">
        <f>IFERROR(__xludf.DUMMYFUNCTION("""COMPUTED_VALUE"""),"Potato+1*Aman Kumar")</f>
        <v>Potato+1*Aman Kumar</v>
      </c>
      <c r="F1054" s="14">
        <f>IFERROR(__xludf.DUMMYFUNCTION("""COMPUTED_VALUE"""),6.0)</f>
        <v>6</v>
      </c>
      <c r="G1054" s="14">
        <f>IFERROR(__xludf.DUMMYFUNCTION("""COMPUTED_VALUE"""),20.0)</f>
        <v>20</v>
      </c>
      <c r="H1054" s="14">
        <f>IFERROR(__xludf.DUMMYFUNCTION("""COMPUTED_VALUE"""),2023.0)</f>
        <v>2023</v>
      </c>
      <c r="I1054" s="14" t="str">
        <f>IFERROR(__xludf.DUMMYFUNCTION("""COMPUTED_VALUE"""),"UPI")</f>
        <v>UPI</v>
      </c>
      <c r="J1054" s="14" t="str">
        <f>IFERROR(__xludf.DUMMYFUNCTION("""COMPUTED_VALUE"""),"Delivered*On-time Delivery: Delivered on time")</f>
        <v>Delivered*On-time Delivery: Delivered on time</v>
      </c>
      <c r="K1054" s="14" t="str">
        <f>IFERROR(__xludf.DUMMYFUNCTION("split(E1054,""+"")"),"Potato")</f>
        <v>Potato</v>
      </c>
      <c r="L1054" s="14" t="str">
        <f>IFERROR(__xludf.DUMMYFUNCTION("""COMPUTED_VALUE"""),"1*Aman Kumar")</f>
        <v>1*Aman Kumar</v>
      </c>
      <c r="M1054" s="14">
        <f>IFERROR(__xludf.DUMMYFUNCTION("SPLIT(L1054,""*"")"),1.0)</f>
        <v>1</v>
      </c>
      <c r="N1054" s="14" t="str">
        <f>IFERROR(__xludf.DUMMYFUNCTION("""COMPUTED_VALUE"""),"Aman Kumar")</f>
        <v>Aman Kumar</v>
      </c>
      <c r="O1054" s="14" t="str">
        <f>IFERROR(__xludf.DUMMYFUNCTION("split(J1054,""*"")"),"Delivered")</f>
        <v>Delivered</v>
      </c>
      <c r="P1054" s="14" t="str">
        <f>IFERROR(__xludf.DUMMYFUNCTION("""COMPUTED_VALUE"""),"On-time Delivery: Delivered on time")</f>
        <v>On-time Delivery: Delivered on time</v>
      </c>
      <c r="Q1054" s="14" t="str">
        <f>IFERROR(__xludf.DUMMYFUNCTION("split(P1054,"":"")"),"On-time Delivery")</f>
        <v>On-time Delivery</v>
      </c>
      <c r="R1054" s="14" t="str">
        <f>IFERROR(__xludf.DUMMYFUNCTION("""COMPUTED_VALUE""")," Delivered on time")</f>
        <v> Delivered on time</v>
      </c>
      <c r="S1054" s="14" t="str">
        <f t="shared" ref="S1054:U1054" si="2111">trim(B1054)</f>
        <v>ord_41032</v>
      </c>
      <c r="T1054" s="14" t="str">
        <f t="shared" si="2111"/>
        <v>Aditi Iyer</v>
      </c>
      <c r="U1054" s="14" t="str">
        <f t="shared" si="2111"/>
        <v>Dadar</v>
      </c>
      <c r="V1054" s="14" t="str">
        <f t="shared" si="4"/>
        <v>Potato</v>
      </c>
      <c r="W1054" s="14">
        <f t="shared" si="5"/>
        <v>1</v>
      </c>
      <c r="X1054" s="14" t="str">
        <f t="shared" si="6"/>
        <v>Aman Kumar</v>
      </c>
      <c r="Y1054" s="15">
        <f t="shared" si="7"/>
        <v>45097</v>
      </c>
      <c r="Z1054" s="14" t="str">
        <f t="shared" si="8"/>
        <v>UPI</v>
      </c>
      <c r="AA1054" s="14" t="str">
        <f t="shared" si="9"/>
        <v>Delivered</v>
      </c>
      <c r="AB1054" s="14" t="str">
        <f t="shared" ref="AB1054:AC1054" si="2112">trim(Q1054)</f>
        <v>On-time Delivery</v>
      </c>
      <c r="AC1054" s="14" t="str">
        <f t="shared" si="2112"/>
        <v>Delivered on time</v>
      </c>
      <c r="AD1054" s="8"/>
    </row>
    <row r="1055">
      <c r="A1055" s="14" t="str">
        <f>IFERROR(__xludf.DUMMYFUNCTION("""COMPUTED_VALUE"""),"//ord_41033//Arvind Kulkarni//Juhu//Apple+2*Priya Joshi/10/12/2023//Credit Card//Cancelled*Delayed Delivery:Heavy Traffic")</f>
        <v>//ord_41033//Arvind Kulkarni//Juhu//Apple+2*Priya Joshi/10/12/2023//Credit Card//Cancelled*Delayed Delivery:Heavy Traffic</v>
      </c>
      <c r="B1055" s="14" t="str">
        <f>IFERROR(__xludf.DUMMYFUNCTION("split(A1055,""//"")"),"ord_41033")</f>
        <v>ord_41033</v>
      </c>
      <c r="C1055" s="14" t="str">
        <f>IFERROR(__xludf.DUMMYFUNCTION("""COMPUTED_VALUE"""),"Arvind Kulkarni")</f>
        <v>Arvind Kulkarni</v>
      </c>
      <c r="D1055" s="14" t="str">
        <f>IFERROR(__xludf.DUMMYFUNCTION("""COMPUTED_VALUE"""),"Juhu")</f>
        <v>Juhu</v>
      </c>
      <c r="E1055" s="14" t="str">
        <f>IFERROR(__xludf.DUMMYFUNCTION("""COMPUTED_VALUE"""),"Apple+2*Priya Joshi")</f>
        <v>Apple+2*Priya Joshi</v>
      </c>
      <c r="F1055" s="14">
        <f>IFERROR(__xludf.DUMMYFUNCTION("""COMPUTED_VALUE"""),10.0)</f>
        <v>10</v>
      </c>
      <c r="G1055" s="14">
        <f>IFERROR(__xludf.DUMMYFUNCTION("""COMPUTED_VALUE"""),12.0)</f>
        <v>12</v>
      </c>
      <c r="H1055" s="14">
        <f>IFERROR(__xludf.DUMMYFUNCTION("""COMPUTED_VALUE"""),2023.0)</f>
        <v>2023</v>
      </c>
      <c r="I1055" s="14" t="str">
        <f>IFERROR(__xludf.DUMMYFUNCTION("""COMPUTED_VALUE"""),"Credit Card")</f>
        <v>Credit Card</v>
      </c>
      <c r="J1055" s="14" t="str">
        <f>IFERROR(__xludf.DUMMYFUNCTION("""COMPUTED_VALUE"""),"Cancelled*Delayed Delivery:Heavy Traffic")</f>
        <v>Cancelled*Delayed Delivery:Heavy Traffic</v>
      </c>
      <c r="K1055" s="14" t="str">
        <f>IFERROR(__xludf.DUMMYFUNCTION("split(E1055,""+"")"),"Apple")</f>
        <v>Apple</v>
      </c>
      <c r="L1055" s="14" t="str">
        <f>IFERROR(__xludf.DUMMYFUNCTION("""COMPUTED_VALUE"""),"2*Priya Joshi")</f>
        <v>2*Priya Joshi</v>
      </c>
      <c r="M1055" s="14">
        <f>IFERROR(__xludf.DUMMYFUNCTION("SPLIT(L1055,""*"")"),2.0)</f>
        <v>2</v>
      </c>
      <c r="N1055" s="14" t="str">
        <f>IFERROR(__xludf.DUMMYFUNCTION("""COMPUTED_VALUE"""),"Priya Joshi")</f>
        <v>Priya Joshi</v>
      </c>
      <c r="O1055" s="14" t="str">
        <f>IFERROR(__xludf.DUMMYFUNCTION("split(J1055,""*"")"),"Cancelled")</f>
        <v>Cancelled</v>
      </c>
      <c r="P1055" s="14" t="str">
        <f>IFERROR(__xludf.DUMMYFUNCTION("""COMPUTED_VALUE"""),"Delayed Delivery:Heavy Traffic")</f>
        <v>Delayed Delivery:Heavy Traffic</v>
      </c>
      <c r="Q1055" s="14" t="str">
        <f>IFERROR(__xludf.DUMMYFUNCTION("split(P1055,"":"")"),"Delayed Delivery")</f>
        <v>Delayed Delivery</v>
      </c>
      <c r="R1055" s="14" t="str">
        <f>IFERROR(__xludf.DUMMYFUNCTION("""COMPUTED_VALUE"""),"Heavy Traffic")</f>
        <v>Heavy Traffic</v>
      </c>
      <c r="S1055" s="14" t="str">
        <f t="shared" ref="S1055:U1055" si="2113">trim(B1055)</f>
        <v>ord_41033</v>
      </c>
      <c r="T1055" s="14" t="str">
        <f t="shared" si="2113"/>
        <v>Arvind Kulkarni</v>
      </c>
      <c r="U1055" s="14" t="str">
        <f t="shared" si="2113"/>
        <v>Juhu</v>
      </c>
      <c r="V1055" s="14" t="str">
        <f t="shared" si="4"/>
        <v>Apple</v>
      </c>
      <c r="W1055" s="14">
        <f t="shared" si="5"/>
        <v>2</v>
      </c>
      <c r="X1055" s="14" t="str">
        <f t="shared" si="6"/>
        <v>Priya Joshi</v>
      </c>
      <c r="Y1055" s="15">
        <f t="shared" si="7"/>
        <v>45211</v>
      </c>
      <c r="Z1055" s="14" t="str">
        <f t="shared" si="8"/>
        <v>Credit Card</v>
      </c>
      <c r="AA1055" s="14" t="str">
        <f t="shared" si="9"/>
        <v>Cancelled</v>
      </c>
      <c r="AB1055" s="14" t="str">
        <f t="shared" ref="AB1055:AC1055" si="2114">trim(Q1055)</f>
        <v>Delayed Delivery</v>
      </c>
      <c r="AC1055" s="14" t="str">
        <f t="shared" si="2114"/>
        <v>Heavy Traffic</v>
      </c>
      <c r="AD1055" s="8"/>
    </row>
    <row r="1056">
      <c r="A1056" s="14" t="str">
        <f>IFERROR(__xludf.DUMMYFUNCTION("""COMPUTED_VALUE"""),"//ord_41034//Diya Arora//Lower Parel//Orange+1*Kiran Mehta/12/18/2023//Credit Card//Delivered*Quality of Items: Perfect condition")</f>
        <v>//ord_41034//Diya Arora//Lower Parel//Orange+1*Kiran Mehta/12/18/2023//Credit Card//Delivered*Quality of Items: Perfect condition</v>
      </c>
      <c r="B1056" s="14" t="str">
        <f>IFERROR(__xludf.DUMMYFUNCTION("split(A1056,""//"")"),"ord_41034")</f>
        <v>ord_41034</v>
      </c>
      <c r="C1056" s="14" t="str">
        <f>IFERROR(__xludf.DUMMYFUNCTION("""COMPUTED_VALUE"""),"Diya Arora")</f>
        <v>Diya Arora</v>
      </c>
      <c r="D1056" s="14" t="str">
        <f>IFERROR(__xludf.DUMMYFUNCTION("""COMPUTED_VALUE"""),"Lower Parel")</f>
        <v>Lower Parel</v>
      </c>
      <c r="E1056" s="14" t="str">
        <f>IFERROR(__xludf.DUMMYFUNCTION("""COMPUTED_VALUE"""),"Orange+1*Kiran Mehta")</f>
        <v>Orange+1*Kiran Mehta</v>
      </c>
      <c r="F1056" s="14">
        <f>IFERROR(__xludf.DUMMYFUNCTION("""COMPUTED_VALUE"""),12.0)</f>
        <v>12</v>
      </c>
      <c r="G1056" s="14">
        <f>IFERROR(__xludf.DUMMYFUNCTION("""COMPUTED_VALUE"""),18.0)</f>
        <v>18</v>
      </c>
      <c r="H1056" s="14">
        <f>IFERROR(__xludf.DUMMYFUNCTION("""COMPUTED_VALUE"""),2023.0)</f>
        <v>2023</v>
      </c>
      <c r="I1056" s="14" t="str">
        <f>IFERROR(__xludf.DUMMYFUNCTION("""COMPUTED_VALUE"""),"Credit Card")</f>
        <v>Credit Card</v>
      </c>
      <c r="J1056" s="14" t="str">
        <f>IFERROR(__xludf.DUMMYFUNCTION("""COMPUTED_VALUE"""),"Delivered*Quality of Items: Perfect condition")</f>
        <v>Delivered*Quality of Items: Perfect condition</v>
      </c>
      <c r="K1056" s="14" t="str">
        <f>IFERROR(__xludf.DUMMYFUNCTION("split(E1056,""+"")"),"Orange")</f>
        <v>Orange</v>
      </c>
      <c r="L1056" s="14" t="str">
        <f>IFERROR(__xludf.DUMMYFUNCTION("""COMPUTED_VALUE"""),"1*Kiran Mehta")</f>
        <v>1*Kiran Mehta</v>
      </c>
      <c r="M1056" s="14">
        <f>IFERROR(__xludf.DUMMYFUNCTION("SPLIT(L1056,""*"")"),1.0)</f>
        <v>1</v>
      </c>
      <c r="N1056" s="14" t="str">
        <f>IFERROR(__xludf.DUMMYFUNCTION("""COMPUTED_VALUE"""),"Kiran Mehta")</f>
        <v>Kiran Mehta</v>
      </c>
      <c r="O1056" s="14" t="str">
        <f>IFERROR(__xludf.DUMMYFUNCTION("split(J1056,""*"")"),"Delivered")</f>
        <v>Delivered</v>
      </c>
      <c r="P1056" s="14" t="str">
        <f>IFERROR(__xludf.DUMMYFUNCTION("""COMPUTED_VALUE"""),"Quality of Items: Perfect condition")</f>
        <v>Quality of Items: Perfect condition</v>
      </c>
      <c r="Q1056" s="14" t="str">
        <f>IFERROR(__xludf.DUMMYFUNCTION("split(P1056,"":"")"),"Quality of Items")</f>
        <v>Quality of Items</v>
      </c>
      <c r="R1056" s="14" t="str">
        <f>IFERROR(__xludf.DUMMYFUNCTION("""COMPUTED_VALUE""")," Perfect condition")</f>
        <v> Perfect condition</v>
      </c>
      <c r="S1056" s="14" t="str">
        <f t="shared" ref="S1056:U1056" si="2115">trim(B1056)</f>
        <v>ord_41034</v>
      </c>
      <c r="T1056" s="14" t="str">
        <f t="shared" si="2115"/>
        <v>Diya Arora</v>
      </c>
      <c r="U1056" s="14" t="str">
        <f t="shared" si="2115"/>
        <v>Lower Parel</v>
      </c>
      <c r="V1056" s="14" t="str">
        <f t="shared" si="4"/>
        <v>Orange</v>
      </c>
      <c r="W1056" s="14">
        <f t="shared" si="5"/>
        <v>1</v>
      </c>
      <c r="X1056" s="14" t="str">
        <f t="shared" si="6"/>
        <v>Kiran Mehta</v>
      </c>
      <c r="Y1056" s="15">
        <f t="shared" si="7"/>
        <v>45278</v>
      </c>
      <c r="Z1056" s="14" t="str">
        <f t="shared" si="8"/>
        <v>Credit Card</v>
      </c>
      <c r="AA1056" s="14" t="str">
        <f t="shared" si="9"/>
        <v>Delivered</v>
      </c>
      <c r="AB1056" s="14" t="str">
        <f t="shared" ref="AB1056:AC1056" si="2116">trim(Q1056)</f>
        <v>Quality of Items</v>
      </c>
      <c r="AC1056" s="14" t="str">
        <f t="shared" si="2116"/>
        <v>Perfect condition</v>
      </c>
      <c r="AD1056" s="8"/>
    </row>
    <row r="1057">
      <c r="A1057" s="14" t="str">
        <f>IFERROR(__xludf.DUMMYFUNCTION("""COMPUTED_VALUE"""),"//ord_41035//Aditi Iyer//Dadar//Papaya+1*Aman Kumar/2/21/2023//Online Payment//Delivered*On-time Delivery: Delivered on time")</f>
        <v>//ord_41035//Aditi Iyer//Dadar//Papaya+1*Aman Kumar/2/21/2023//Online Payment//Delivered*On-time Delivery: Delivered on time</v>
      </c>
      <c r="B1057" s="14" t="str">
        <f>IFERROR(__xludf.DUMMYFUNCTION("split(A1057,""//"")"),"ord_41035")</f>
        <v>ord_41035</v>
      </c>
      <c r="C1057" s="14" t="str">
        <f>IFERROR(__xludf.DUMMYFUNCTION("""COMPUTED_VALUE"""),"Aditi Iyer")</f>
        <v>Aditi Iyer</v>
      </c>
      <c r="D1057" s="14" t="str">
        <f>IFERROR(__xludf.DUMMYFUNCTION("""COMPUTED_VALUE"""),"Dadar")</f>
        <v>Dadar</v>
      </c>
      <c r="E1057" s="14" t="str">
        <f>IFERROR(__xludf.DUMMYFUNCTION("""COMPUTED_VALUE"""),"Papaya+1*Aman Kumar")</f>
        <v>Papaya+1*Aman Kumar</v>
      </c>
      <c r="F1057" s="14">
        <f>IFERROR(__xludf.DUMMYFUNCTION("""COMPUTED_VALUE"""),2.0)</f>
        <v>2</v>
      </c>
      <c r="G1057" s="14">
        <f>IFERROR(__xludf.DUMMYFUNCTION("""COMPUTED_VALUE"""),21.0)</f>
        <v>21</v>
      </c>
      <c r="H1057" s="14">
        <f>IFERROR(__xludf.DUMMYFUNCTION("""COMPUTED_VALUE"""),2023.0)</f>
        <v>2023</v>
      </c>
      <c r="I1057" s="14" t="str">
        <f>IFERROR(__xludf.DUMMYFUNCTION("""COMPUTED_VALUE"""),"Online Payment")</f>
        <v>Online Payment</v>
      </c>
      <c r="J1057" s="14" t="str">
        <f>IFERROR(__xludf.DUMMYFUNCTION("""COMPUTED_VALUE"""),"Delivered*On-time Delivery: Delivered on time")</f>
        <v>Delivered*On-time Delivery: Delivered on time</v>
      </c>
      <c r="K1057" s="14" t="str">
        <f>IFERROR(__xludf.DUMMYFUNCTION("split(E1057,""+"")"),"Papaya")</f>
        <v>Papaya</v>
      </c>
      <c r="L1057" s="14" t="str">
        <f>IFERROR(__xludf.DUMMYFUNCTION("""COMPUTED_VALUE"""),"1*Aman Kumar")</f>
        <v>1*Aman Kumar</v>
      </c>
      <c r="M1057" s="14">
        <f>IFERROR(__xludf.DUMMYFUNCTION("SPLIT(L1057,""*"")"),1.0)</f>
        <v>1</v>
      </c>
      <c r="N1057" s="14" t="str">
        <f>IFERROR(__xludf.DUMMYFUNCTION("""COMPUTED_VALUE"""),"Aman Kumar")</f>
        <v>Aman Kumar</v>
      </c>
      <c r="O1057" s="14" t="str">
        <f>IFERROR(__xludf.DUMMYFUNCTION("split(J1057,""*"")"),"Delivered")</f>
        <v>Delivered</v>
      </c>
      <c r="P1057" s="14" t="str">
        <f>IFERROR(__xludf.DUMMYFUNCTION("""COMPUTED_VALUE"""),"On-time Delivery: Delivered on time")</f>
        <v>On-time Delivery: Delivered on time</v>
      </c>
      <c r="Q1057" s="14" t="str">
        <f>IFERROR(__xludf.DUMMYFUNCTION("split(P1057,"":"")"),"On-time Delivery")</f>
        <v>On-time Delivery</v>
      </c>
      <c r="R1057" s="14" t="str">
        <f>IFERROR(__xludf.DUMMYFUNCTION("""COMPUTED_VALUE""")," Delivered on time")</f>
        <v> Delivered on time</v>
      </c>
      <c r="S1057" s="14" t="str">
        <f t="shared" ref="S1057:U1057" si="2117">trim(B1057)</f>
        <v>ord_41035</v>
      </c>
      <c r="T1057" s="14" t="str">
        <f t="shared" si="2117"/>
        <v>Aditi Iyer</v>
      </c>
      <c r="U1057" s="14" t="str">
        <f t="shared" si="2117"/>
        <v>Dadar</v>
      </c>
      <c r="V1057" s="14" t="str">
        <f t="shared" si="4"/>
        <v>Papaya</v>
      </c>
      <c r="W1057" s="14">
        <f t="shared" si="5"/>
        <v>1</v>
      </c>
      <c r="X1057" s="14" t="str">
        <f t="shared" si="6"/>
        <v>Aman Kumar</v>
      </c>
      <c r="Y1057" s="15">
        <f t="shared" si="7"/>
        <v>44978</v>
      </c>
      <c r="Z1057" s="14" t="str">
        <f t="shared" si="8"/>
        <v>Online Payment</v>
      </c>
      <c r="AA1057" s="14" t="str">
        <f t="shared" si="9"/>
        <v>Delivered</v>
      </c>
      <c r="AB1057" s="14" t="str">
        <f t="shared" ref="AB1057:AC1057" si="2118">trim(Q1057)</f>
        <v>On-time Delivery</v>
      </c>
      <c r="AC1057" s="14" t="str">
        <f t="shared" si="2118"/>
        <v>Delivered on time</v>
      </c>
      <c r="AD1057" s="8"/>
    </row>
    <row r="1058">
      <c r="A1058" s="14" t="str">
        <f>IFERROR(__xludf.DUMMYFUNCTION("""COMPUTED_VALUE"""),"//ord_41036//Tanishq Bansal//Powai//Juice+1*Sandeep Kumar/2/10/2023//Online Payment//Delivered*Quality of Items: Perfect condition")</f>
        <v>//ord_41036//Tanishq Bansal//Powai//Juice+1*Sandeep Kumar/2/10/2023//Online Payment//Delivered*Quality of Items: Perfect condition</v>
      </c>
      <c r="B1058" s="14" t="str">
        <f>IFERROR(__xludf.DUMMYFUNCTION("split(A1058,""//"")"),"ord_41036")</f>
        <v>ord_41036</v>
      </c>
      <c r="C1058" s="14" t="str">
        <f>IFERROR(__xludf.DUMMYFUNCTION("""COMPUTED_VALUE"""),"Tanishq Bansal")</f>
        <v>Tanishq Bansal</v>
      </c>
      <c r="D1058" s="14" t="str">
        <f>IFERROR(__xludf.DUMMYFUNCTION("""COMPUTED_VALUE"""),"Powai")</f>
        <v>Powai</v>
      </c>
      <c r="E1058" s="14" t="str">
        <f>IFERROR(__xludf.DUMMYFUNCTION("""COMPUTED_VALUE"""),"Juice+1*Sandeep Kumar")</f>
        <v>Juice+1*Sandeep Kumar</v>
      </c>
      <c r="F1058" s="14">
        <f>IFERROR(__xludf.DUMMYFUNCTION("""COMPUTED_VALUE"""),2.0)</f>
        <v>2</v>
      </c>
      <c r="G1058" s="14">
        <f>IFERROR(__xludf.DUMMYFUNCTION("""COMPUTED_VALUE"""),10.0)</f>
        <v>10</v>
      </c>
      <c r="H1058" s="14">
        <f>IFERROR(__xludf.DUMMYFUNCTION("""COMPUTED_VALUE"""),2023.0)</f>
        <v>2023</v>
      </c>
      <c r="I1058" s="14" t="str">
        <f>IFERROR(__xludf.DUMMYFUNCTION("""COMPUTED_VALUE"""),"Online Payment")</f>
        <v>Online Payment</v>
      </c>
      <c r="J1058" s="14" t="str">
        <f>IFERROR(__xludf.DUMMYFUNCTION("""COMPUTED_VALUE"""),"Delivered*Quality of Items: Perfect condition")</f>
        <v>Delivered*Quality of Items: Perfect condition</v>
      </c>
      <c r="K1058" s="14" t="str">
        <f>IFERROR(__xludf.DUMMYFUNCTION("split(E1058,""+"")"),"Juice")</f>
        <v>Juice</v>
      </c>
      <c r="L1058" s="14" t="str">
        <f>IFERROR(__xludf.DUMMYFUNCTION("""COMPUTED_VALUE"""),"1*Sandeep Kumar")</f>
        <v>1*Sandeep Kumar</v>
      </c>
      <c r="M1058" s="14">
        <f>IFERROR(__xludf.DUMMYFUNCTION("SPLIT(L1058,""*"")"),1.0)</f>
        <v>1</v>
      </c>
      <c r="N1058" s="14" t="str">
        <f>IFERROR(__xludf.DUMMYFUNCTION("""COMPUTED_VALUE"""),"Sandeep Kumar")</f>
        <v>Sandeep Kumar</v>
      </c>
      <c r="O1058" s="14" t="str">
        <f>IFERROR(__xludf.DUMMYFUNCTION("split(J1058,""*"")"),"Delivered")</f>
        <v>Delivered</v>
      </c>
      <c r="P1058" s="14" t="str">
        <f>IFERROR(__xludf.DUMMYFUNCTION("""COMPUTED_VALUE"""),"Quality of Items: Perfect condition")</f>
        <v>Quality of Items: Perfect condition</v>
      </c>
      <c r="Q1058" s="14" t="str">
        <f>IFERROR(__xludf.DUMMYFUNCTION("split(P1058,"":"")"),"Quality of Items")</f>
        <v>Quality of Items</v>
      </c>
      <c r="R1058" s="14" t="str">
        <f>IFERROR(__xludf.DUMMYFUNCTION("""COMPUTED_VALUE""")," Perfect condition")</f>
        <v> Perfect condition</v>
      </c>
      <c r="S1058" s="14" t="str">
        <f t="shared" ref="S1058:U1058" si="2119">trim(B1058)</f>
        <v>ord_41036</v>
      </c>
      <c r="T1058" s="14" t="str">
        <f t="shared" si="2119"/>
        <v>Tanishq Bansal</v>
      </c>
      <c r="U1058" s="14" t="str">
        <f t="shared" si="2119"/>
        <v>Powai</v>
      </c>
      <c r="V1058" s="14" t="str">
        <f t="shared" si="4"/>
        <v>Juice</v>
      </c>
      <c r="W1058" s="14">
        <f t="shared" si="5"/>
        <v>1</v>
      </c>
      <c r="X1058" s="14" t="str">
        <f t="shared" si="6"/>
        <v>Sandeep Kumar</v>
      </c>
      <c r="Y1058" s="15">
        <f t="shared" si="7"/>
        <v>44967</v>
      </c>
      <c r="Z1058" s="14" t="str">
        <f t="shared" si="8"/>
        <v>Online Payment</v>
      </c>
      <c r="AA1058" s="14" t="str">
        <f t="shared" si="9"/>
        <v>Delivered</v>
      </c>
      <c r="AB1058" s="14" t="str">
        <f t="shared" ref="AB1058:AC1058" si="2120">trim(Q1058)</f>
        <v>Quality of Items</v>
      </c>
      <c r="AC1058" s="14" t="str">
        <f t="shared" si="2120"/>
        <v>Perfect condition</v>
      </c>
      <c r="AD1058" s="8"/>
    </row>
    <row r="1059">
      <c r="A1059" s="14" t="str">
        <f>IFERROR(__xludf.DUMMYFUNCTION("""COMPUTED_VALUE"""),"//ord_41037//Diya Arora//Lower Parel//Papaya+1*Kiran Mehta/1/21/2023//COD//Delivered*Packaging: Secure and intact")</f>
        <v>//ord_41037//Diya Arora//Lower Parel//Papaya+1*Kiran Mehta/1/21/2023//COD//Delivered*Packaging: Secure and intact</v>
      </c>
      <c r="B1059" s="14" t="str">
        <f>IFERROR(__xludf.DUMMYFUNCTION("split(A1059,""//"")"),"ord_41037")</f>
        <v>ord_41037</v>
      </c>
      <c r="C1059" s="14" t="str">
        <f>IFERROR(__xludf.DUMMYFUNCTION("""COMPUTED_VALUE"""),"Diya Arora")</f>
        <v>Diya Arora</v>
      </c>
      <c r="D1059" s="14" t="str">
        <f>IFERROR(__xludf.DUMMYFUNCTION("""COMPUTED_VALUE"""),"Lower Parel")</f>
        <v>Lower Parel</v>
      </c>
      <c r="E1059" s="14" t="str">
        <f>IFERROR(__xludf.DUMMYFUNCTION("""COMPUTED_VALUE"""),"Papaya+1*Kiran Mehta")</f>
        <v>Papaya+1*Kiran Mehta</v>
      </c>
      <c r="F1059" s="14">
        <f>IFERROR(__xludf.DUMMYFUNCTION("""COMPUTED_VALUE"""),1.0)</f>
        <v>1</v>
      </c>
      <c r="G1059" s="14">
        <f>IFERROR(__xludf.DUMMYFUNCTION("""COMPUTED_VALUE"""),21.0)</f>
        <v>21</v>
      </c>
      <c r="H1059" s="14">
        <f>IFERROR(__xludf.DUMMYFUNCTION("""COMPUTED_VALUE"""),2023.0)</f>
        <v>2023</v>
      </c>
      <c r="I1059" s="14" t="str">
        <f>IFERROR(__xludf.DUMMYFUNCTION("""COMPUTED_VALUE"""),"COD")</f>
        <v>COD</v>
      </c>
      <c r="J1059" s="14" t="str">
        <f>IFERROR(__xludf.DUMMYFUNCTION("""COMPUTED_VALUE"""),"Delivered*Packaging: Secure and intact")</f>
        <v>Delivered*Packaging: Secure and intact</v>
      </c>
      <c r="K1059" s="14" t="str">
        <f>IFERROR(__xludf.DUMMYFUNCTION("split(E1059,""+"")"),"Papaya")</f>
        <v>Papaya</v>
      </c>
      <c r="L1059" s="14" t="str">
        <f>IFERROR(__xludf.DUMMYFUNCTION("""COMPUTED_VALUE"""),"1*Kiran Mehta")</f>
        <v>1*Kiran Mehta</v>
      </c>
      <c r="M1059" s="14">
        <f>IFERROR(__xludf.DUMMYFUNCTION("SPLIT(L1059,""*"")"),1.0)</f>
        <v>1</v>
      </c>
      <c r="N1059" s="14" t="str">
        <f>IFERROR(__xludf.DUMMYFUNCTION("""COMPUTED_VALUE"""),"Kiran Mehta")</f>
        <v>Kiran Mehta</v>
      </c>
      <c r="O1059" s="14" t="str">
        <f>IFERROR(__xludf.DUMMYFUNCTION("split(J1059,""*"")"),"Delivered")</f>
        <v>Delivered</v>
      </c>
      <c r="P1059" s="14" t="str">
        <f>IFERROR(__xludf.DUMMYFUNCTION("""COMPUTED_VALUE"""),"Packaging: Secure and intact")</f>
        <v>Packaging: Secure and intact</v>
      </c>
      <c r="Q1059" s="14" t="str">
        <f>IFERROR(__xludf.DUMMYFUNCTION("split(P1059,"":"")"),"Packaging")</f>
        <v>Packaging</v>
      </c>
      <c r="R1059" s="14" t="str">
        <f>IFERROR(__xludf.DUMMYFUNCTION("""COMPUTED_VALUE""")," Secure and intact")</f>
        <v> Secure and intact</v>
      </c>
      <c r="S1059" s="14" t="str">
        <f t="shared" ref="S1059:U1059" si="2121">trim(B1059)</f>
        <v>ord_41037</v>
      </c>
      <c r="T1059" s="14" t="str">
        <f t="shared" si="2121"/>
        <v>Diya Arora</v>
      </c>
      <c r="U1059" s="14" t="str">
        <f t="shared" si="2121"/>
        <v>Lower Parel</v>
      </c>
      <c r="V1059" s="14" t="str">
        <f t="shared" si="4"/>
        <v>Papaya</v>
      </c>
      <c r="W1059" s="14">
        <f t="shared" si="5"/>
        <v>1</v>
      </c>
      <c r="X1059" s="14" t="str">
        <f t="shared" si="6"/>
        <v>Kiran Mehta</v>
      </c>
      <c r="Y1059" s="15">
        <f t="shared" si="7"/>
        <v>44947</v>
      </c>
      <c r="Z1059" s="14" t="str">
        <f t="shared" si="8"/>
        <v>COD</v>
      </c>
      <c r="AA1059" s="14" t="str">
        <f t="shared" si="9"/>
        <v>Delivered</v>
      </c>
      <c r="AB1059" s="14" t="str">
        <f t="shared" ref="AB1059:AC1059" si="2122">trim(Q1059)</f>
        <v>Packaging</v>
      </c>
      <c r="AC1059" s="14" t="str">
        <f t="shared" si="2122"/>
        <v>Secure and intact</v>
      </c>
      <c r="AD1059" s="8"/>
    </row>
    <row r="1060">
      <c r="A1060" s="14" t="str">
        <f>IFERROR(__xludf.DUMMYFUNCTION("""COMPUTED_VALUE"""),"//ord_41038//Ishaan Chaturvedi//Bandra//Cucumber+1*Priya Joshi/10/3/2023//UPI//Delivered*Satisfied with the Delivery: Timely and quality")</f>
        <v>//ord_41038//Ishaan Chaturvedi//Bandra//Cucumber+1*Priya Joshi/10/3/2023//UPI//Delivered*Satisfied with the Delivery: Timely and quality</v>
      </c>
      <c r="B1060" s="14" t="str">
        <f>IFERROR(__xludf.DUMMYFUNCTION("split(A1060,""//"")"),"ord_41038")</f>
        <v>ord_41038</v>
      </c>
      <c r="C1060" s="14" t="str">
        <f>IFERROR(__xludf.DUMMYFUNCTION("""COMPUTED_VALUE"""),"Ishaan Chaturvedi")</f>
        <v>Ishaan Chaturvedi</v>
      </c>
      <c r="D1060" s="14" t="str">
        <f>IFERROR(__xludf.DUMMYFUNCTION("""COMPUTED_VALUE"""),"Bandra")</f>
        <v>Bandra</v>
      </c>
      <c r="E1060" s="14" t="str">
        <f>IFERROR(__xludf.DUMMYFUNCTION("""COMPUTED_VALUE"""),"Cucumber+1*Priya Joshi")</f>
        <v>Cucumber+1*Priya Joshi</v>
      </c>
      <c r="F1060" s="14">
        <f>IFERROR(__xludf.DUMMYFUNCTION("""COMPUTED_VALUE"""),10.0)</f>
        <v>10</v>
      </c>
      <c r="G1060" s="14">
        <f>IFERROR(__xludf.DUMMYFUNCTION("""COMPUTED_VALUE"""),3.0)</f>
        <v>3</v>
      </c>
      <c r="H1060" s="14">
        <f>IFERROR(__xludf.DUMMYFUNCTION("""COMPUTED_VALUE"""),2023.0)</f>
        <v>2023</v>
      </c>
      <c r="I1060" s="14" t="str">
        <f>IFERROR(__xludf.DUMMYFUNCTION("""COMPUTED_VALUE"""),"UPI")</f>
        <v>UPI</v>
      </c>
      <c r="J1060" s="14" t="str">
        <f>IFERROR(__xludf.DUMMYFUNCTION("""COMPUTED_VALUE"""),"Delivered*Satisfied with the Delivery: Timely and quality")</f>
        <v>Delivered*Satisfied with the Delivery: Timely and quality</v>
      </c>
      <c r="K1060" s="14" t="str">
        <f>IFERROR(__xludf.DUMMYFUNCTION("split(E1060,""+"")"),"Cucumber")</f>
        <v>Cucumber</v>
      </c>
      <c r="L1060" s="14" t="str">
        <f>IFERROR(__xludf.DUMMYFUNCTION("""COMPUTED_VALUE"""),"1*Priya Joshi")</f>
        <v>1*Priya Joshi</v>
      </c>
      <c r="M1060" s="14">
        <f>IFERROR(__xludf.DUMMYFUNCTION("SPLIT(L1060,""*"")"),1.0)</f>
        <v>1</v>
      </c>
      <c r="N1060" s="14" t="str">
        <f>IFERROR(__xludf.DUMMYFUNCTION("""COMPUTED_VALUE"""),"Priya Joshi")</f>
        <v>Priya Joshi</v>
      </c>
      <c r="O1060" s="14" t="str">
        <f>IFERROR(__xludf.DUMMYFUNCTION("split(J1060,""*"")"),"Delivered")</f>
        <v>Delivered</v>
      </c>
      <c r="P1060" s="14" t="str">
        <f>IFERROR(__xludf.DUMMYFUNCTION("""COMPUTED_VALUE"""),"Satisfied with the Delivery: Timely and quality")</f>
        <v>Satisfied with the Delivery: Timely and quality</v>
      </c>
      <c r="Q1060" s="14" t="str">
        <f>IFERROR(__xludf.DUMMYFUNCTION("split(P1060,"":"")"),"Satisfied with the Delivery")</f>
        <v>Satisfied with the Delivery</v>
      </c>
      <c r="R1060" s="14" t="str">
        <f>IFERROR(__xludf.DUMMYFUNCTION("""COMPUTED_VALUE""")," Timely and quality")</f>
        <v> Timely and quality</v>
      </c>
      <c r="S1060" s="14" t="str">
        <f t="shared" ref="S1060:U1060" si="2123">trim(B1060)</f>
        <v>ord_41038</v>
      </c>
      <c r="T1060" s="14" t="str">
        <f t="shared" si="2123"/>
        <v>Ishaan Chaturvedi</v>
      </c>
      <c r="U1060" s="14" t="str">
        <f t="shared" si="2123"/>
        <v>Bandra</v>
      </c>
      <c r="V1060" s="14" t="str">
        <f t="shared" si="4"/>
        <v>Cucumber</v>
      </c>
      <c r="W1060" s="14">
        <f t="shared" si="5"/>
        <v>1</v>
      </c>
      <c r="X1060" s="14" t="str">
        <f t="shared" si="6"/>
        <v>Priya Joshi</v>
      </c>
      <c r="Y1060" s="15">
        <f t="shared" si="7"/>
        <v>45202</v>
      </c>
      <c r="Z1060" s="14" t="str">
        <f t="shared" si="8"/>
        <v>UPI</v>
      </c>
      <c r="AA1060" s="14" t="str">
        <f t="shared" si="9"/>
        <v>Delivered</v>
      </c>
      <c r="AB1060" s="14" t="str">
        <f t="shared" ref="AB1060:AC1060" si="2124">trim(Q1060)</f>
        <v>Satisfied with the Delivery</v>
      </c>
      <c r="AC1060" s="14" t="str">
        <f t="shared" si="2124"/>
        <v>Timely and quality</v>
      </c>
      <c r="AD1060" s="8"/>
    </row>
    <row r="1061">
      <c r="A1061" s="14" t="str">
        <f>IFERROR(__xludf.DUMMYFUNCTION("""COMPUTED_VALUE"""),"//ord_41039//Aarohi Kapoor//Bandra//Veg Puff+1*Priya Joshi/7/2/2023//Credit Card//Delivered*Customer Service: Seamless and easy")</f>
        <v>//ord_41039//Aarohi Kapoor//Bandra//Veg Puff+1*Priya Joshi/7/2/2023//Credit Card//Delivered*Customer Service: Seamless and easy</v>
      </c>
      <c r="B1061" s="14" t="str">
        <f>IFERROR(__xludf.DUMMYFUNCTION("split(A1061,""//"")"),"ord_41039")</f>
        <v>ord_41039</v>
      </c>
      <c r="C1061" s="14" t="str">
        <f>IFERROR(__xludf.DUMMYFUNCTION("""COMPUTED_VALUE"""),"Aarohi Kapoor")</f>
        <v>Aarohi Kapoor</v>
      </c>
      <c r="D1061" s="14" t="str">
        <f>IFERROR(__xludf.DUMMYFUNCTION("""COMPUTED_VALUE"""),"Bandra")</f>
        <v>Bandra</v>
      </c>
      <c r="E1061" s="14" t="str">
        <f>IFERROR(__xludf.DUMMYFUNCTION("""COMPUTED_VALUE"""),"Veg Puff+1*Priya Joshi")</f>
        <v>Veg Puff+1*Priya Joshi</v>
      </c>
      <c r="F1061" s="14">
        <f>IFERROR(__xludf.DUMMYFUNCTION("""COMPUTED_VALUE"""),7.0)</f>
        <v>7</v>
      </c>
      <c r="G1061" s="14">
        <f>IFERROR(__xludf.DUMMYFUNCTION("""COMPUTED_VALUE"""),2.0)</f>
        <v>2</v>
      </c>
      <c r="H1061" s="14">
        <f>IFERROR(__xludf.DUMMYFUNCTION("""COMPUTED_VALUE"""),2023.0)</f>
        <v>2023</v>
      </c>
      <c r="I1061" s="14" t="str">
        <f>IFERROR(__xludf.DUMMYFUNCTION("""COMPUTED_VALUE"""),"Credit Card")</f>
        <v>Credit Card</v>
      </c>
      <c r="J1061" s="14" t="str">
        <f>IFERROR(__xludf.DUMMYFUNCTION("""COMPUTED_VALUE"""),"Delivered*Customer Service: Seamless and easy")</f>
        <v>Delivered*Customer Service: Seamless and easy</v>
      </c>
      <c r="K1061" s="14" t="str">
        <f>IFERROR(__xludf.DUMMYFUNCTION("split(E1061,""+"")"),"Veg Puff")</f>
        <v>Veg Puff</v>
      </c>
      <c r="L1061" s="14" t="str">
        <f>IFERROR(__xludf.DUMMYFUNCTION("""COMPUTED_VALUE"""),"1*Priya Joshi")</f>
        <v>1*Priya Joshi</v>
      </c>
      <c r="M1061" s="14">
        <f>IFERROR(__xludf.DUMMYFUNCTION("SPLIT(L1061,""*"")"),1.0)</f>
        <v>1</v>
      </c>
      <c r="N1061" s="14" t="str">
        <f>IFERROR(__xludf.DUMMYFUNCTION("""COMPUTED_VALUE"""),"Priya Joshi")</f>
        <v>Priya Joshi</v>
      </c>
      <c r="O1061" s="14" t="str">
        <f>IFERROR(__xludf.DUMMYFUNCTION("split(J1061,""*"")"),"Delivered")</f>
        <v>Delivered</v>
      </c>
      <c r="P1061" s="14" t="str">
        <f>IFERROR(__xludf.DUMMYFUNCTION("""COMPUTED_VALUE"""),"Customer Service: Seamless and easy")</f>
        <v>Customer Service: Seamless and easy</v>
      </c>
      <c r="Q1061" s="14" t="str">
        <f>IFERROR(__xludf.DUMMYFUNCTION("split(P1061,"":"")"),"Customer Service")</f>
        <v>Customer Service</v>
      </c>
      <c r="R1061" s="14" t="str">
        <f>IFERROR(__xludf.DUMMYFUNCTION("""COMPUTED_VALUE""")," Seamless and easy")</f>
        <v> Seamless and easy</v>
      </c>
      <c r="S1061" s="14" t="str">
        <f t="shared" ref="S1061:U1061" si="2125">trim(B1061)</f>
        <v>ord_41039</v>
      </c>
      <c r="T1061" s="14" t="str">
        <f t="shared" si="2125"/>
        <v>Aarohi Kapoor</v>
      </c>
      <c r="U1061" s="14" t="str">
        <f t="shared" si="2125"/>
        <v>Bandra</v>
      </c>
      <c r="V1061" s="14" t="str">
        <f t="shared" si="4"/>
        <v>Veg Puff</v>
      </c>
      <c r="W1061" s="14">
        <f t="shared" si="5"/>
        <v>1</v>
      </c>
      <c r="X1061" s="14" t="str">
        <f t="shared" si="6"/>
        <v>Priya Joshi</v>
      </c>
      <c r="Y1061" s="15">
        <f t="shared" si="7"/>
        <v>45109</v>
      </c>
      <c r="Z1061" s="14" t="str">
        <f t="shared" si="8"/>
        <v>Credit Card</v>
      </c>
      <c r="AA1061" s="14" t="str">
        <f t="shared" si="9"/>
        <v>Delivered</v>
      </c>
      <c r="AB1061" s="14" t="str">
        <f t="shared" ref="AB1061:AC1061" si="2126">trim(Q1061)</f>
        <v>Customer Service</v>
      </c>
      <c r="AC1061" s="14" t="str">
        <f t="shared" si="2126"/>
        <v>Seamless and easy</v>
      </c>
      <c r="AD1061" s="8"/>
    </row>
    <row r="1062">
      <c r="A1062" s="14" t="str">
        <f>IFERROR(__xludf.DUMMYFUNCTION("""COMPUTED_VALUE"""),"//ord_41040//Aditya Rao//Lower Parel//Veg Puff+4*Kiran Mehta/8/14/2023//Credit Card//Delivered*Delivery Experience: Quick and professional")</f>
        <v>//ord_41040//Aditya Rao//Lower Parel//Veg Puff+4*Kiran Mehta/8/14/2023//Credit Card//Delivered*Delivery Experience: Quick and professional</v>
      </c>
      <c r="B1062" s="14" t="str">
        <f>IFERROR(__xludf.DUMMYFUNCTION("split(A1062,""//"")"),"ord_41040")</f>
        <v>ord_41040</v>
      </c>
      <c r="C1062" s="14" t="str">
        <f>IFERROR(__xludf.DUMMYFUNCTION("""COMPUTED_VALUE"""),"Aditya Rao")</f>
        <v>Aditya Rao</v>
      </c>
      <c r="D1062" s="14" t="str">
        <f>IFERROR(__xludf.DUMMYFUNCTION("""COMPUTED_VALUE"""),"Lower Parel")</f>
        <v>Lower Parel</v>
      </c>
      <c r="E1062" s="14" t="str">
        <f>IFERROR(__xludf.DUMMYFUNCTION("""COMPUTED_VALUE"""),"Veg Puff+4*Kiran Mehta")</f>
        <v>Veg Puff+4*Kiran Mehta</v>
      </c>
      <c r="F1062" s="14">
        <f>IFERROR(__xludf.DUMMYFUNCTION("""COMPUTED_VALUE"""),8.0)</f>
        <v>8</v>
      </c>
      <c r="G1062" s="14">
        <f>IFERROR(__xludf.DUMMYFUNCTION("""COMPUTED_VALUE"""),14.0)</f>
        <v>14</v>
      </c>
      <c r="H1062" s="14">
        <f>IFERROR(__xludf.DUMMYFUNCTION("""COMPUTED_VALUE"""),2023.0)</f>
        <v>2023</v>
      </c>
      <c r="I1062" s="14" t="str">
        <f>IFERROR(__xludf.DUMMYFUNCTION("""COMPUTED_VALUE"""),"Credit Card")</f>
        <v>Credit Card</v>
      </c>
      <c r="J1062" s="14" t="str">
        <f>IFERROR(__xludf.DUMMYFUNCTION("""COMPUTED_VALUE"""),"Delivered*Delivery Experience: Quick and professional")</f>
        <v>Delivered*Delivery Experience: Quick and professional</v>
      </c>
      <c r="K1062" s="14" t="str">
        <f>IFERROR(__xludf.DUMMYFUNCTION("split(E1062,""+"")"),"Veg Puff")</f>
        <v>Veg Puff</v>
      </c>
      <c r="L1062" s="14" t="str">
        <f>IFERROR(__xludf.DUMMYFUNCTION("""COMPUTED_VALUE"""),"4*Kiran Mehta")</f>
        <v>4*Kiran Mehta</v>
      </c>
      <c r="M1062" s="14">
        <f>IFERROR(__xludf.DUMMYFUNCTION("SPLIT(L1062,""*"")"),4.0)</f>
        <v>4</v>
      </c>
      <c r="N1062" s="14" t="str">
        <f>IFERROR(__xludf.DUMMYFUNCTION("""COMPUTED_VALUE"""),"Kiran Mehta")</f>
        <v>Kiran Mehta</v>
      </c>
      <c r="O1062" s="14" t="str">
        <f>IFERROR(__xludf.DUMMYFUNCTION("split(J1062,""*"")"),"Delivered")</f>
        <v>Delivered</v>
      </c>
      <c r="P1062" s="14" t="str">
        <f>IFERROR(__xludf.DUMMYFUNCTION("""COMPUTED_VALUE"""),"Delivery Experience: Quick and professional")</f>
        <v>Delivery Experience: Quick and professional</v>
      </c>
      <c r="Q1062" s="14" t="str">
        <f>IFERROR(__xludf.DUMMYFUNCTION("split(P1062,"":"")"),"Delivery Experience")</f>
        <v>Delivery Experience</v>
      </c>
      <c r="R1062" s="14" t="str">
        <f>IFERROR(__xludf.DUMMYFUNCTION("""COMPUTED_VALUE""")," Quick and professional")</f>
        <v> Quick and professional</v>
      </c>
      <c r="S1062" s="14" t="str">
        <f t="shared" ref="S1062:U1062" si="2127">trim(B1062)</f>
        <v>ord_41040</v>
      </c>
      <c r="T1062" s="14" t="str">
        <f t="shared" si="2127"/>
        <v>Aditya Rao</v>
      </c>
      <c r="U1062" s="14" t="str">
        <f t="shared" si="2127"/>
        <v>Lower Parel</v>
      </c>
      <c r="V1062" s="14" t="str">
        <f t="shared" si="4"/>
        <v>Veg Puff</v>
      </c>
      <c r="W1062" s="14">
        <f t="shared" si="5"/>
        <v>4</v>
      </c>
      <c r="X1062" s="14" t="str">
        <f t="shared" si="6"/>
        <v>Kiran Mehta</v>
      </c>
      <c r="Y1062" s="15">
        <f t="shared" si="7"/>
        <v>45152</v>
      </c>
      <c r="Z1062" s="14" t="str">
        <f t="shared" si="8"/>
        <v>Credit Card</v>
      </c>
      <c r="AA1062" s="14" t="str">
        <f t="shared" si="9"/>
        <v>Delivered</v>
      </c>
      <c r="AB1062" s="14" t="str">
        <f t="shared" ref="AB1062:AC1062" si="2128">trim(Q1062)</f>
        <v>Delivery Experience</v>
      </c>
      <c r="AC1062" s="14" t="str">
        <f t="shared" si="2128"/>
        <v>Quick and professional</v>
      </c>
      <c r="AD1062" s="8"/>
    </row>
    <row r="1063">
      <c r="A1063" s="14" t="str">
        <f>IFERROR(__xludf.DUMMYFUNCTION("""COMPUTED_VALUE"""),"//ord_41041//Aditi Iyer//Dadar//Sweet Corn+2*Aman Kumar/2/15/2023//Credit Card//Delivered*Convenience: Easy tracking")</f>
        <v>//ord_41041//Aditi Iyer//Dadar//Sweet Corn+2*Aman Kumar/2/15/2023//Credit Card//Delivered*Convenience: Easy tracking</v>
      </c>
      <c r="B1063" s="14" t="str">
        <f>IFERROR(__xludf.DUMMYFUNCTION("split(A1063,""//"")"),"ord_41041")</f>
        <v>ord_41041</v>
      </c>
      <c r="C1063" s="14" t="str">
        <f>IFERROR(__xludf.DUMMYFUNCTION("""COMPUTED_VALUE"""),"Aditi Iyer")</f>
        <v>Aditi Iyer</v>
      </c>
      <c r="D1063" s="14" t="str">
        <f>IFERROR(__xludf.DUMMYFUNCTION("""COMPUTED_VALUE"""),"Dadar")</f>
        <v>Dadar</v>
      </c>
      <c r="E1063" s="14" t="str">
        <f>IFERROR(__xludf.DUMMYFUNCTION("""COMPUTED_VALUE"""),"Sweet Corn+2*Aman Kumar")</f>
        <v>Sweet Corn+2*Aman Kumar</v>
      </c>
      <c r="F1063" s="14">
        <f>IFERROR(__xludf.DUMMYFUNCTION("""COMPUTED_VALUE"""),2.0)</f>
        <v>2</v>
      </c>
      <c r="G1063" s="14">
        <f>IFERROR(__xludf.DUMMYFUNCTION("""COMPUTED_VALUE"""),15.0)</f>
        <v>15</v>
      </c>
      <c r="H1063" s="14">
        <f>IFERROR(__xludf.DUMMYFUNCTION("""COMPUTED_VALUE"""),2023.0)</f>
        <v>2023</v>
      </c>
      <c r="I1063" s="14" t="str">
        <f>IFERROR(__xludf.DUMMYFUNCTION("""COMPUTED_VALUE"""),"Credit Card")</f>
        <v>Credit Card</v>
      </c>
      <c r="J1063" s="14" t="str">
        <f>IFERROR(__xludf.DUMMYFUNCTION("""COMPUTED_VALUE"""),"Delivered*Convenience: Easy tracking")</f>
        <v>Delivered*Convenience: Easy tracking</v>
      </c>
      <c r="K1063" s="14" t="str">
        <f>IFERROR(__xludf.DUMMYFUNCTION("split(E1063,""+"")"),"Sweet Corn")</f>
        <v>Sweet Corn</v>
      </c>
      <c r="L1063" s="14" t="str">
        <f>IFERROR(__xludf.DUMMYFUNCTION("""COMPUTED_VALUE"""),"2*Aman Kumar")</f>
        <v>2*Aman Kumar</v>
      </c>
      <c r="M1063" s="14">
        <f>IFERROR(__xludf.DUMMYFUNCTION("SPLIT(L1063,""*"")"),2.0)</f>
        <v>2</v>
      </c>
      <c r="N1063" s="14" t="str">
        <f>IFERROR(__xludf.DUMMYFUNCTION("""COMPUTED_VALUE"""),"Aman Kumar")</f>
        <v>Aman Kumar</v>
      </c>
      <c r="O1063" s="14" t="str">
        <f>IFERROR(__xludf.DUMMYFUNCTION("split(J1063,""*"")"),"Delivered")</f>
        <v>Delivered</v>
      </c>
      <c r="P1063" s="14" t="str">
        <f>IFERROR(__xludf.DUMMYFUNCTION("""COMPUTED_VALUE"""),"Convenience: Easy tracking")</f>
        <v>Convenience: Easy tracking</v>
      </c>
      <c r="Q1063" s="14" t="str">
        <f>IFERROR(__xludf.DUMMYFUNCTION("split(P1063,"":"")"),"Convenience")</f>
        <v>Convenience</v>
      </c>
      <c r="R1063" s="14" t="str">
        <f>IFERROR(__xludf.DUMMYFUNCTION("""COMPUTED_VALUE""")," Easy tracking")</f>
        <v> Easy tracking</v>
      </c>
      <c r="S1063" s="14" t="str">
        <f t="shared" ref="S1063:U1063" si="2129">trim(B1063)</f>
        <v>ord_41041</v>
      </c>
      <c r="T1063" s="14" t="str">
        <f t="shared" si="2129"/>
        <v>Aditi Iyer</v>
      </c>
      <c r="U1063" s="14" t="str">
        <f t="shared" si="2129"/>
        <v>Dadar</v>
      </c>
      <c r="V1063" s="14" t="str">
        <f t="shared" si="4"/>
        <v>Sweet Corn</v>
      </c>
      <c r="W1063" s="14">
        <f t="shared" si="5"/>
        <v>2</v>
      </c>
      <c r="X1063" s="14" t="str">
        <f t="shared" si="6"/>
        <v>Aman Kumar</v>
      </c>
      <c r="Y1063" s="15">
        <f t="shared" si="7"/>
        <v>44972</v>
      </c>
      <c r="Z1063" s="14" t="str">
        <f t="shared" si="8"/>
        <v>Credit Card</v>
      </c>
      <c r="AA1063" s="14" t="str">
        <f t="shared" si="9"/>
        <v>Delivered</v>
      </c>
      <c r="AB1063" s="14" t="str">
        <f t="shared" ref="AB1063:AC1063" si="2130">trim(Q1063)</f>
        <v>Convenience</v>
      </c>
      <c r="AC1063" s="14" t="str">
        <f t="shared" si="2130"/>
        <v>Easy tracking</v>
      </c>
      <c r="AD1063" s="8"/>
    </row>
    <row r="1064">
      <c r="A1064" s="14" t="str">
        <f>IFERROR(__xludf.DUMMYFUNCTION("""COMPUTED_VALUE"""),"//ord_41042//Aditi Iyer//Dadar//Guava+1*Aman Kumar/1/7/2023//Credit Card//Delivered*Overall Satisfaction: Great service will order again")</f>
        <v>//ord_41042//Aditi Iyer//Dadar//Guava+1*Aman Kumar/1/7/2023//Credit Card//Delivered*Overall Satisfaction: Great service will order again</v>
      </c>
      <c r="B1064" s="14" t="str">
        <f>IFERROR(__xludf.DUMMYFUNCTION("split(A1064,""//"")"),"ord_41042")</f>
        <v>ord_41042</v>
      </c>
      <c r="C1064" s="14" t="str">
        <f>IFERROR(__xludf.DUMMYFUNCTION("""COMPUTED_VALUE"""),"Aditi Iyer")</f>
        <v>Aditi Iyer</v>
      </c>
      <c r="D1064" s="14" t="str">
        <f>IFERROR(__xludf.DUMMYFUNCTION("""COMPUTED_VALUE"""),"Dadar")</f>
        <v>Dadar</v>
      </c>
      <c r="E1064" s="14" t="str">
        <f>IFERROR(__xludf.DUMMYFUNCTION("""COMPUTED_VALUE"""),"Guava+1*Aman Kumar")</f>
        <v>Guava+1*Aman Kumar</v>
      </c>
      <c r="F1064" s="14">
        <f>IFERROR(__xludf.DUMMYFUNCTION("""COMPUTED_VALUE"""),1.0)</f>
        <v>1</v>
      </c>
      <c r="G1064" s="14">
        <f>IFERROR(__xludf.DUMMYFUNCTION("""COMPUTED_VALUE"""),7.0)</f>
        <v>7</v>
      </c>
      <c r="H1064" s="14">
        <f>IFERROR(__xludf.DUMMYFUNCTION("""COMPUTED_VALUE"""),2023.0)</f>
        <v>2023</v>
      </c>
      <c r="I1064" s="14" t="str">
        <f>IFERROR(__xludf.DUMMYFUNCTION("""COMPUTED_VALUE"""),"Credit Card")</f>
        <v>Credit Card</v>
      </c>
      <c r="J1064" s="14" t="str">
        <f>IFERROR(__xludf.DUMMYFUNCTION("""COMPUTED_VALUE"""),"Delivered*Overall Satisfaction: Great service will order again")</f>
        <v>Delivered*Overall Satisfaction: Great service will order again</v>
      </c>
      <c r="K1064" s="14" t="str">
        <f>IFERROR(__xludf.DUMMYFUNCTION("split(E1064,""+"")"),"Guava")</f>
        <v>Guava</v>
      </c>
      <c r="L1064" s="14" t="str">
        <f>IFERROR(__xludf.DUMMYFUNCTION("""COMPUTED_VALUE"""),"1*Aman Kumar")</f>
        <v>1*Aman Kumar</v>
      </c>
      <c r="M1064" s="14">
        <f>IFERROR(__xludf.DUMMYFUNCTION("SPLIT(L1064,""*"")"),1.0)</f>
        <v>1</v>
      </c>
      <c r="N1064" s="14" t="str">
        <f>IFERROR(__xludf.DUMMYFUNCTION("""COMPUTED_VALUE"""),"Aman Kumar")</f>
        <v>Aman Kumar</v>
      </c>
      <c r="O1064" s="14" t="str">
        <f>IFERROR(__xludf.DUMMYFUNCTION("split(J1064,""*"")"),"Delivered")</f>
        <v>Delivered</v>
      </c>
      <c r="P1064" s="14" t="str">
        <f>IFERROR(__xludf.DUMMYFUNCTION("""COMPUTED_VALUE"""),"Overall Satisfaction: Great service will order again")</f>
        <v>Overall Satisfaction: Great service will order again</v>
      </c>
      <c r="Q1064" s="14" t="str">
        <f>IFERROR(__xludf.DUMMYFUNCTION("split(P1064,"":"")"),"Overall Satisfaction")</f>
        <v>Overall Satisfaction</v>
      </c>
      <c r="R1064" s="14" t="str">
        <f>IFERROR(__xludf.DUMMYFUNCTION("""COMPUTED_VALUE""")," Great service will order again")</f>
        <v> Great service will order again</v>
      </c>
      <c r="S1064" s="14" t="str">
        <f t="shared" ref="S1064:U1064" si="2131">trim(B1064)</f>
        <v>ord_41042</v>
      </c>
      <c r="T1064" s="14" t="str">
        <f t="shared" si="2131"/>
        <v>Aditi Iyer</v>
      </c>
      <c r="U1064" s="14" t="str">
        <f t="shared" si="2131"/>
        <v>Dadar</v>
      </c>
      <c r="V1064" s="14" t="str">
        <f t="shared" si="4"/>
        <v>Guava</v>
      </c>
      <c r="W1064" s="14">
        <f t="shared" si="5"/>
        <v>1</v>
      </c>
      <c r="X1064" s="14" t="str">
        <f t="shared" si="6"/>
        <v>Aman Kumar</v>
      </c>
      <c r="Y1064" s="15">
        <f t="shared" si="7"/>
        <v>44933</v>
      </c>
      <c r="Z1064" s="14" t="str">
        <f t="shared" si="8"/>
        <v>Credit Card</v>
      </c>
      <c r="AA1064" s="14" t="str">
        <f t="shared" si="9"/>
        <v>Delivered</v>
      </c>
      <c r="AB1064" s="14" t="str">
        <f t="shared" ref="AB1064:AC1064" si="2132">trim(Q1064)</f>
        <v>Overall Satisfaction</v>
      </c>
      <c r="AC1064" s="14" t="str">
        <f t="shared" si="2132"/>
        <v>Great service will order again</v>
      </c>
      <c r="AD1064" s="8"/>
    </row>
    <row r="1065">
      <c r="A1065" s="14" t="str">
        <f>IFERROR(__xludf.DUMMYFUNCTION("""COMPUTED_VALUE"""),"//ord_41043//Pranav Joshi//Andheri//Popcorn+5*Rohan Yadav/7/5/2023//Credit Card//Delivered*On-time Delivery: Delivered on time")</f>
        <v>//ord_41043//Pranav Joshi//Andheri//Popcorn+5*Rohan Yadav/7/5/2023//Credit Card//Delivered*On-time Delivery: Delivered on time</v>
      </c>
      <c r="B1065" s="14" t="str">
        <f>IFERROR(__xludf.DUMMYFUNCTION("split(A1065,""//"")"),"ord_41043")</f>
        <v>ord_41043</v>
      </c>
      <c r="C1065" s="14" t="str">
        <f>IFERROR(__xludf.DUMMYFUNCTION("""COMPUTED_VALUE"""),"Pranav Joshi")</f>
        <v>Pranav Joshi</v>
      </c>
      <c r="D1065" s="14" t="str">
        <f>IFERROR(__xludf.DUMMYFUNCTION("""COMPUTED_VALUE"""),"Andheri")</f>
        <v>Andheri</v>
      </c>
      <c r="E1065" s="14" t="str">
        <f>IFERROR(__xludf.DUMMYFUNCTION("""COMPUTED_VALUE"""),"Popcorn+5*Rohan Yadav")</f>
        <v>Popcorn+5*Rohan Yadav</v>
      </c>
      <c r="F1065" s="14">
        <f>IFERROR(__xludf.DUMMYFUNCTION("""COMPUTED_VALUE"""),7.0)</f>
        <v>7</v>
      </c>
      <c r="G1065" s="14">
        <f>IFERROR(__xludf.DUMMYFUNCTION("""COMPUTED_VALUE"""),5.0)</f>
        <v>5</v>
      </c>
      <c r="H1065" s="14">
        <f>IFERROR(__xludf.DUMMYFUNCTION("""COMPUTED_VALUE"""),2023.0)</f>
        <v>2023</v>
      </c>
      <c r="I1065" s="14" t="str">
        <f>IFERROR(__xludf.DUMMYFUNCTION("""COMPUTED_VALUE"""),"Credit Card")</f>
        <v>Credit Card</v>
      </c>
      <c r="J1065" s="14" t="str">
        <f>IFERROR(__xludf.DUMMYFUNCTION("""COMPUTED_VALUE"""),"Delivered*On-time Delivery: Delivered on time")</f>
        <v>Delivered*On-time Delivery: Delivered on time</v>
      </c>
      <c r="K1065" s="14" t="str">
        <f>IFERROR(__xludf.DUMMYFUNCTION("split(E1065,""+"")"),"Popcorn")</f>
        <v>Popcorn</v>
      </c>
      <c r="L1065" s="14" t="str">
        <f>IFERROR(__xludf.DUMMYFUNCTION("""COMPUTED_VALUE"""),"5*Rohan Yadav")</f>
        <v>5*Rohan Yadav</v>
      </c>
      <c r="M1065" s="14">
        <f>IFERROR(__xludf.DUMMYFUNCTION("SPLIT(L1065,""*"")"),5.0)</f>
        <v>5</v>
      </c>
      <c r="N1065" s="14" t="str">
        <f>IFERROR(__xludf.DUMMYFUNCTION("""COMPUTED_VALUE"""),"Rohan Yadav")</f>
        <v>Rohan Yadav</v>
      </c>
      <c r="O1065" s="14" t="str">
        <f>IFERROR(__xludf.DUMMYFUNCTION("split(J1065,""*"")"),"Delivered")</f>
        <v>Delivered</v>
      </c>
      <c r="P1065" s="14" t="str">
        <f>IFERROR(__xludf.DUMMYFUNCTION("""COMPUTED_VALUE"""),"On-time Delivery: Delivered on time")</f>
        <v>On-time Delivery: Delivered on time</v>
      </c>
      <c r="Q1065" s="14" t="str">
        <f>IFERROR(__xludf.DUMMYFUNCTION("split(P1065,"":"")"),"On-time Delivery")</f>
        <v>On-time Delivery</v>
      </c>
      <c r="R1065" s="14" t="str">
        <f>IFERROR(__xludf.DUMMYFUNCTION("""COMPUTED_VALUE""")," Delivered on time")</f>
        <v> Delivered on time</v>
      </c>
      <c r="S1065" s="14" t="str">
        <f t="shared" ref="S1065:U1065" si="2133">trim(B1065)</f>
        <v>ord_41043</v>
      </c>
      <c r="T1065" s="14" t="str">
        <f t="shared" si="2133"/>
        <v>Pranav Joshi</v>
      </c>
      <c r="U1065" s="14" t="str">
        <f t="shared" si="2133"/>
        <v>Andheri</v>
      </c>
      <c r="V1065" s="14" t="str">
        <f t="shared" si="4"/>
        <v>Popcorn</v>
      </c>
      <c r="W1065" s="14">
        <f t="shared" si="5"/>
        <v>5</v>
      </c>
      <c r="X1065" s="14" t="str">
        <f t="shared" si="6"/>
        <v>Rohan Yadav</v>
      </c>
      <c r="Y1065" s="15">
        <f t="shared" si="7"/>
        <v>45112</v>
      </c>
      <c r="Z1065" s="14" t="str">
        <f t="shared" si="8"/>
        <v>Credit Card</v>
      </c>
      <c r="AA1065" s="14" t="str">
        <f t="shared" si="9"/>
        <v>Delivered</v>
      </c>
      <c r="AB1065" s="14" t="str">
        <f t="shared" ref="AB1065:AC1065" si="2134">trim(Q1065)</f>
        <v>On-time Delivery</v>
      </c>
      <c r="AC1065" s="14" t="str">
        <f t="shared" si="2134"/>
        <v>Delivered on time</v>
      </c>
      <c r="AD1065" s="8"/>
    </row>
    <row r="1066">
      <c r="A1066" s="14" t="str">
        <f>IFERROR(__xludf.DUMMYFUNCTION("""COMPUTED_VALUE"""),"//ord_41044//Sanjay Nair//Dadar//Orange+1*Sita T/5/19/2023//Online Payment//Delivered*Quality of Items: Perfect condition")</f>
        <v>//ord_41044//Sanjay Nair//Dadar//Orange+1*Sita T/5/19/2023//Online Payment//Delivered*Quality of Items: Perfect condition</v>
      </c>
      <c r="B1066" s="14" t="str">
        <f>IFERROR(__xludf.DUMMYFUNCTION("split(A1066,""//"")"),"ord_41044")</f>
        <v>ord_41044</v>
      </c>
      <c r="C1066" s="14" t="str">
        <f>IFERROR(__xludf.DUMMYFUNCTION("""COMPUTED_VALUE"""),"Sanjay Nair")</f>
        <v>Sanjay Nair</v>
      </c>
      <c r="D1066" s="14" t="str">
        <f>IFERROR(__xludf.DUMMYFUNCTION("""COMPUTED_VALUE"""),"Dadar")</f>
        <v>Dadar</v>
      </c>
      <c r="E1066" s="14" t="str">
        <f>IFERROR(__xludf.DUMMYFUNCTION("""COMPUTED_VALUE"""),"Orange+1*Sita T")</f>
        <v>Orange+1*Sita T</v>
      </c>
      <c r="F1066" s="14">
        <f>IFERROR(__xludf.DUMMYFUNCTION("""COMPUTED_VALUE"""),5.0)</f>
        <v>5</v>
      </c>
      <c r="G1066" s="14">
        <f>IFERROR(__xludf.DUMMYFUNCTION("""COMPUTED_VALUE"""),19.0)</f>
        <v>19</v>
      </c>
      <c r="H1066" s="14">
        <f>IFERROR(__xludf.DUMMYFUNCTION("""COMPUTED_VALUE"""),2023.0)</f>
        <v>2023</v>
      </c>
      <c r="I1066" s="14" t="str">
        <f>IFERROR(__xludf.DUMMYFUNCTION("""COMPUTED_VALUE"""),"Online Payment")</f>
        <v>Online Payment</v>
      </c>
      <c r="J1066" s="14" t="str">
        <f>IFERROR(__xludf.DUMMYFUNCTION("""COMPUTED_VALUE"""),"Delivered*Quality of Items: Perfect condition")</f>
        <v>Delivered*Quality of Items: Perfect condition</v>
      </c>
      <c r="K1066" s="14" t="str">
        <f>IFERROR(__xludf.DUMMYFUNCTION("split(E1066,""+"")"),"Orange")</f>
        <v>Orange</v>
      </c>
      <c r="L1066" s="14" t="str">
        <f>IFERROR(__xludf.DUMMYFUNCTION("""COMPUTED_VALUE"""),"1*Sita T")</f>
        <v>1*Sita T</v>
      </c>
      <c r="M1066" s="14">
        <f>IFERROR(__xludf.DUMMYFUNCTION("SPLIT(L1066,""*"")"),1.0)</f>
        <v>1</v>
      </c>
      <c r="N1066" s="14" t="str">
        <f>IFERROR(__xludf.DUMMYFUNCTION("""COMPUTED_VALUE"""),"Sita T")</f>
        <v>Sita T</v>
      </c>
      <c r="O1066" s="14" t="str">
        <f>IFERROR(__xludf.DUMMYFUNCTION("split(J1066,""*"")"),"Delivered")</f>
        <v>Delivered</v>
      </c>
      <c r="P1066" s="14" t="str">
        <f>IFERROR(__xludf.DUMMYFUNCTION("""COMPUTED_VALUE"""),"Quality of Items: Perfect condition")</f>
        <v>Quality of Items: Perfect condition</v>
      </c>
      <c r="Q1066" s="14" t="str">
        <f>IFERROR(__xludf.DUMMYFUNCTION("split(P1066,"":"")"),"Quality of Items")</f>
        <v>Quality of Items</v>
      </c>
      <c r="R1066" s="14" t="str">
        <f>IFERROR(__xludf.DUMMYFUNCTION("""COMPUTED_VALUE""")," Perfect condition")</f>
        <v> Perfect condition</v>
      </c>
      <c r="S1066" s="14" t="str">
        <f t="shared" ref="S1066:U1066" si="2135">trim(B1066)</f>
        <v>ord_41044</v>
      </c>
      <c r="T1066" s="14" t="str">
        <f t="shared" si="2135"/>
        <v>Sanjay Nair</v>
      </c>
      <c r="U1066" s="14" t="str">
        <f t="shared" si="2135"/>
        <v>Dadar</v>
      </c>
      <c r="V1066" s="14" t="str">
        <f t="shared" si="4"/>
        <v>Orange</v>
      </c>
      <c r="W1066" s="14">
        <f t="shared" si="5"/>
        <v>1</v>
      </c>
      <c r="X1066" s="14" t="str">
        <f t="shared" si="6"/>
        <v>Sita T</v>
      </c>
      <c r="Y1066" s="15">
        <f t="shared" si="7"/>
        <v>45065</v>
      </c>
      <c r="Z1066" s="14" t="str">
        <f t="shared" si="8"/>
        <v>Online Payment</v>
      </c>
      <c r="AA1066" s="14" t="str">
        <f t="shared" si="9"/>
        <v>Delivered</v>
      </c>
      <c r="AB1066" s="14" t="str">
        <f t="shared" ref="AB1066:AC1066" si="2136">trim(Q1066)</f>
        <v>Quality of Items</v>
      </c>
      <c r="AC1066" s="14" t="str">
        <f t="shared" si="2136"/>
        <v>Perfect condition</v>
      </c>
      <c r="AD1066" s="8"/>
    </row>
    <row r="1067">
      <c r="A1067" s="14" t="str">
        <f>IFERROR(__xludf.DUMMYFUNCTION("""COMPUTED_VALUE"""),"//ord_41045//Kritika Shetty//Malad//Tiramisu+2*Manju Ajay/12/18/2023//Credit Card//Cancelled*Delayed Delivery:High Order Volume")</f>
        <v>//ord_41045//Kritika Shetty//Malad//Tiramisu+2*Manju Ajay/12/18/2023//Credit Card//Cancelled*Delayed Delivery:High Order Volume</v>
      </c>
      <c r="B1067" s="14" t="str">
        <f>IFERROR(__xludf.DUMMYFUNCTION("split(A1067,""//"")"),"ord_41045")</f>
        <v>ord_41045</v>
      </c>
      <c r="C1067" s="14" t="str">
        <f>IFERROR(__xludf.DUMMYFUNCTION("""COMPUTED_VALUE"""),"Kritika Shetty")</f>
        <v>Kritika Shetty</v>
      </c>
      <c r="D1067" s="14" t="str">
        <f>IFERROR(__xludf.DUMMYFUNCTION("""COMPUTED_VALUE"""),"Malad")</f>
        <v>Malad</v>
      </c>
      <c r="E1067" s="14" t="str">
        <f>IFERROR(__xludf.DUMMYFUNCTION("""COMPUTED_VALUE"""),"Tiramisu+2*Manju Ajay")</f>
        <v>Tiramisu+2*Manju Ajay</v>
      </c>
      <c r="F1067" s="14">
        <f>IFERROR(__xludf.DUMMYFUNCTION("""COMPUTED_VALUE"""),12.0)</f>
        <v>12</v>
      </c>
      <c r="G1067" s="14">
        <f>IFERROR(__xludf.DUMMYFUNCTION("""COMPUTED_VALUE"""),18.0)</f>
        <v>18</v>
      </c>
      <c r="H1067" s="14">
        <f>IFERROR(__xludf.DUMMYFUNCTION("""COMPUTED_VALUE"""),2023.0)</f>
        <v>2023</v>
      </c>
      <c r="I1067" s="14" t="str">
        <f>IFERROR(__xludf.DUMMYFUNCTION("""COMPUTED_VALUE"""),"Credit Card")</f>
        <v>Credit Card</v>
      </c>
      <c r="J1067" s="14" t="str">
        <f>IFERROR(__xludf.DUMMYFUNCTION("""COMPUTED_VALUE"""),"Cancelled*Delayed Delivery:High Order Volume")</f>
        <v>Cancelled*Delayed Delivery:High Order Volume</v>
      </c>
      <c r="K1067" s="14" t="str">
        <f>IFERROR(__xludf.DUMMYFUNCTION("split(E1067,""+"")"),"Tiramisu")</f>
        <v>Tiramisu</v>
      </c>
      <c r="L1067" s="14" t="str">
        <f>IFERROR(__xludf.DUMMYFUNCTION("""COMPUTED_VALUE"""),"2*Manju Ajay")</f>
        <v>2*Manju Ajay</v>
      </c>
      <c r="M1067" s="14">
        <f>IFERROR(__xludf.DUMMYFUNCTION("SPLIT(L1067,""*"")"),2.0)</f>
        <v>2</v>
      </c>
      <c r="N1067" s="14" t="str">
        <f>IFERROR(__xludf.DUMMYFUNCTION("""COMPUTED_VALUE"""),"Manju Ajay")</f>
        <v>Manju Ajay</v>
      </c>
      <c r="O1067" s="14" t="str">
        <f>IFERROR(__xludf.DUMMYFUNCTION("split(J1067,""*"")"),"Cancelled")</f>
        <v>Cancelled</v>
      </c>
      <c r="P1067" s="14" t="str">
        <f>IFERROR(__xludf.DUMMYFUNCTION("""COMPUTED_VALUE"""),"Delayed Delivery:High Order Volume")</f>
        <v>Delayed Delivery:High Order Volume</v>
      </c>
      <c r="Q1067" s="14" t="str">
        <f>IFERROR(__xludf.DUMMYFUNCTION("split(P1067,"":"")"),"Delayed Delivery")</f>
        <v>Delayed Delivery</v>
      </c>
      <c r="R1067" s="14" t="str">
        <f>IFERROR(__xludf.DUMMYFUNCTION("""COMPUTED_VALUE"""),"High Order Volume")</f>
        <v>High Order Volume</v>
      </c>
      <c r="S1067" s="14" t="str">
        <f t="shared" ref="S1067:U1067" si="2137">trim(B1067)</f>
        <v>ord_41045</v>
      </c>
      <c r="T1067" s="14" t="str">
        <f t="shared" si="2137"/>
        <v>Kritika Shetty</v>
      </c>
      <c r="U1067" s="14" t="str">
        <f t="shared" si="2137"/>
        <v>Malad</v>
      </c>
      <c r="V1067" s="14" t="str">
        <f t="shared" si="4"/>
        <v>Tiramisu</v>
      </c>
      <c r="W1067" s="14">
        <f t="shared" si="5"/>
        <v>2</v>
      </c>
      <c r="X1067" s="14" t="str">
        <f t="shared" si="6"/>
        <v>Manju Ajay</v>
      </c>
      <c r="Y1067" s="15">
        <f t="shared" si="7"/>
        <v>45278</v>
      </c>
      <c r="Z1067" s="14" t="str">
        <f t="shared" si="8"/>
        <v>Credit Card</v>
      </c>
      <c r="AA1067" s="14" t="str">
        <f t="shared" si="9"/>
        <v>Cancelled</v>
      </c>
      <c r="AB1067" s="14" t="str">
        <f t="shared" ref="AB1067:AC1067" si="2138">trim(Q1067)</f>
        <v>Delayed Delivery</v>
      </c>
      <c r="AC1067" s="14" t="str">
        <f t="shared" si="2138"/>
        <v>High Order Volume</v>
      </c>
      <c r="AD1067" s="8"/>
    </row>
    <row r="1068">
      <c r="A1068" s="14" t="str">
        <f>IFERROR(__xludf.DUMMYFUNCTION("""COMPUTED_VALUE"""),"//ord_41046//Sahil Desai//Lower Parel//Veg Puff+8*Shine Thomas/7/7/2023//COD//Delivered*On-time Delivery: Delivered on time")</f>
        <v>//ord_41046//Sahil Desai//Lower Parel//Veg Puff+8*Shine Thomas/7/7/2023//COD//Delivered*On-time Delivery: Delivered on time</v>
      </c>
      <c r="B1068" s="14" t="str">
        <f>IFERROR(__xludf.DUMMYFUNCTION("split(A1068,""//"")"),"ord_41046")</f>
        <v>ord_41046</v>
      </c>
      <c r="C1068" s="14" t="str">
        <f>IFERROR(__xludf.DUMMYFUNCTION("""COMPUTED_VALUE"""),"Sahil Desai")</f>
        <v>Sahil Desai</v>
      </c>
      <c r="D1068" s="14" t="str">
        <f>IFERROR(__xludf.DUMMYFUNCTION("""COMPUTED_VALUE"""),"Lower Parel")</f>
        <v>Lower Parel</v>
      </c>
      <c r="E1068" s="14" t="str">
        <f>IFERROR(__xludf.DUMMYFUNCTION("""COMPUTED_VALUE"""),"Veg Puff+8*Shine Thomas")</f>
        <v>Veg Puff+8*Shine Thomas</v>
      </c>
      <c r="F1068" s="14">
        <f>IFERROR(__xludf.DUMMYFUNCTION("""COMPUTED_VALUE"""),7.0)</f>
        <v>7</v>
      </c>
      <c r="G1068" s="14">
        <f>IFERROR(__xludf.DUMMYFUNCTION("""COMPUTED_VALUE"""),7.0)</f>
        <v>7</v>
      </c>
      <c r="H1068" s="14">
        <f>IFERROR(__xludf.DUMMYFUNCTION("""COMPUTED_VALUE"""),2023.0)</f>
        <v>2023</v>
      </c>
      <c r="I1068" s="14" t="str">
        <f>IFERROR(__xludf.DUMMYFUNCTION("""COMPUTED_VALUE"""),"COD")</f>
        <v>COD</v>
      </c>
      <c r="J1068" s="14" t="str">
        <f>IFERROR(__xludf.DUMMYFUNCTION("""COMPUTED_VALUE"""),"Delivered*On-time Delivery: Delivered on time")</f>
        <v>Delivered*On-time Delivery: Delivered on time</v>
      </c>
      <c r="K1068" s="14" t="str">
        <f>IFERROR(__xludf.DUMMYFUNCTION("split(E1068,""+"")"),"Veg Puff")</f>
        <v>Veg Puff</v>
      </c>
      <c r="L1068" s="14" t="str">
        <f>IFERROR(__xludf.DUMMYFUNCTION("""COMPUTED_VALUE"""),"8*Shine Thomas")</f>
        <v>8*Shine Thomas</v>
      </c>
      <c r="M1068" s="14">
        <f>IFERROR(__xludf.DUMMYFUNCTION("SPLIT(L1068,""*"")"),8.0)</f>
        <v>8</v>
      </c>
      <c r="N1068" s="14" t="str">
        <f>IFERROR(__xludf.DUMMYFUNCTION("""COMPUTED_VALUE"""),"Shine Thomas")</f>
        <v>Shine Thomas</v>
      </c>
      <c r="O1068" s="14" t="str">
        <f>IFERROR(__xludf.DUMMYFUNCTION("split(J1068,""*"")"),"Delivered")</f>
        <v>Delivered</v>
      </c>
      <c r="P1068" s="14" t="str">
        <f>IFERROR(__xludf.DUMMYFUNCTION("""COMPUTED_VALUE"""),"On-time Delivery: Delivered on time")</f>
        <v>On-time Delivery: Delivered on time</v>
      </c>
      <c r="Q1068" s="14" t="str">
        <f>IFERROR(__xludf.DUMMYFUNCTION("split(P1068,"":"")"),"On-time Delivery")</f>
        <v>On-time Delivery</v>
      </c>
      <c r="R1068" s="14" t="str">
        <f>IFERROR(__xludf.DUMMYFUNCTION("""COMPUTED_VALUE""")," Delivered on time")</f>
        <v> Delivered on time</v>
      </c>
      <c r="S1068" s="14" t="str">
        <f t="shared" ref="S1068:U1068" si="2139">trim(B1068)</f>
        <v>ord_41046</v>
      </c>
      <c r="T1068" s="14" t="str">
        <f t="shared" si="2139"/>
        <v>Sahil Desai</v>
      </c>
      <c r="U1068" s="14" t="str">
        <f t="shared" si="2139"/>
        <v>Lower Parel</v>
      </c>
      <c r="V1068" s="14" t="str">
        <f t="shared" si="4"/>
        <v>Veg Puff</v>
      </c>
      <c r="W1068" s="14">
        <f t="shared" si="5"/>
        <v>8</v>
      </c>
      <c r="X1068" s="14" t="str">
        <f t="shared" si="6"/>
        <v>Shine Thomas</v>
      </c>
      <c r="Y1068" s="15">
        <f t="shared" si="7"/>
        <v>45114</v>
      </c>
      <c r="Z1068" s="14" t="str">
        <f t="shared" si="8"/>
        <v>COD</v>
      </c>
      <c r="AA1068" s="14" t="str">
        <f t="shared" si="9"/>
        <v>Delivered</v>
      </c>
      <c r="AB1068" s="14" t="str">
        <f t="shared" ref="AB1068:AC1068" si="2140">trim(Q1068)</f>
        <v>On-time Delivery</v>
      </c>
      <c r="AC1068" s="14" t="str">
        <f t="shared" si="2140"/>
        <v>Delivered on time</v>
      </c>
      <c r="AD1068" s="8"/>
    </row>
    <row r="1069">
      <c r="A1069" s="14" t="str">
        <f>IFERROR(__xludf.DUMMYFUNCTION("""COMPUTED_VALUE"""),"//ord_41047//Ishaan Chaturvedi//Bandra//Potato+1*Ram Gopal/10/26/2023//Online Payment//Delivered*Quality of Items: Perfect condition")</f>
        <v>//ord_41047//Ishaan Chaturvedi//Bandra//Potato+1*Ram Gopal/10/26/2023//Online Payment//Delivered*Quality of Items: Perfect condition</v>
      </c>
      <c r="B1069" s="14" t="str">
        <f>IFERROR(__xludf.DUMMYFUNCTION("split(A1069,""//"")"),"ord_41047")</f>
        <v>ord_41047</v>
      </c>
      <c r="C1069" s="14" t="str">
        <f>IFERROR(__xludf.DUMMYFUNCTION("""COMPUTED_VALUE"""),"Ishaan Chaturvedi")</f>
        <v>Ishaan Chaturvedi</v>
      </c>
      <c r="D1069" s="14" t="str">
        <f>IFERROR(__xludf.DUMMYFUNCTION("""COMPUTED_VALUE"""),"Bandra")</f>
        <v>Bandra</v>
      </c>
      <c r="E1069" s="14" t="str">
        <f>IFERROR(__xludf.DUMMYFUNCTION("""COMPUTED_VALUE"""),"Potato+1*Ram Gopal")</f>
        <v>Potato+1*Ram Gopal</v>
      </c>
      <c r="F1069" s="14">
        <f>IFERROR(__xludf.DUMMYFUNCTION("""COMPUTED_VALUE"""),10.0)</f>
        <v>10</v>
      </c>
      <c r="G1069" s="14">
        <f>IFERROR(__xludf.DUMMYFUNCTION("""COMPUTED_VALUE"""),26.0)</f>
        <v>26</v>
      </c>
      <c r="H1069" s="14">
        <f>IFERROR(__xludf.DUMMYFUNCTION("""COMPUTED_VALUE"""),2023.0)</f>
        <v>2023</v>
      </c>
      <c r="I1069" s="14" t="str">
        <f>IFERROR(__xludf.DUMMYFUNCTION("""COMPUTED_VALUE"""),"Online Payment")</f>
        <v>Online Payment</v>
      </c>
      <c r="J1069" s="14" t="str">
        <f>IFERROR(__xludf.DUMMYFUNCTION("""COMPUTED_VALUE"""),"Delivered*Quality of Items: Perfect condition")</f>
        <v>Delivered*Quality of Items: Perfect condition</v>
      </c>
      <c r="K1069" s="14" t="str">
        <f>IFERROR(__xludf.DUMMYFUNCTION("split(E1069,""+"")"),"Potato")</f>
        <v>Potato</v>
      </c>
      <c r="L1069" s="14" t="str">
        <f>IFERROR(__xludf.DUMMYFUNCTION("""COMPUTED_VALUE"""),"1*Ram Gopal")</f>
        <v>1*Ram Gopal</v>
      </c>
      <c r="M1069" s="14">
        <f>IFERROR(__xludf.DUMMYFUNCTION("SPLIT(L1069,""*"")"),1.0)</f>
        <v>1</v>
      </c>
      <c r="N1069" s="14" t="str">
        <f>IFERROR(__xludf.DUMMYFUNCTION("""COMPUTED_VALUE"""),"Ram Gopal")</f>
        <v>Ram Gopal</v>
      </c>
      <c r="O1069" s="14" t="str">
        <f>IFERROR(__xludf.DUMMYFUNCTION("split(J1069,""*"")"),"Delivered")</f>
        <v>Delivered</v>
      </c>
      <c r="P1069" s="14" t="str">
        <f>IFERROR(__xludf.DUMMYFUNCTION("""COMPUTED_VALUE"""),"Quality of Items: Perfect condition")</f>
        <v>Quality of Items: Perfect condition</v>
      </c>
      <c r="Q1069" s="14" t="str">
        <f>IFERROR(__xludf.DUMMYFUNCTION("split(P1069,"":"")"),"Quality of Items")</f>
        <v>Quality of Items</v>
      </c>
      <c r="R1069" s="14" t="str">
        <f>IFERROR(__xludf.DUMMYFUNCTION("""COMPUTED_VALUE""")," Perfect condition")</f>
        <v> Perfect condition</v>
      </c>
      <c r="S1069" s="14" t="str">
        <f t="shared" ref="S1069:U1069" si="2141">trim(B1069)</f>
        <v>ord_41047</v>
      </c>
      <c r="T1069" s="14" t="str">
        <f t="shared" si="2141"/>
        <v>Ishaan Chaturvedi</v>
      </c>
      <c r="U1069" s="14" t="str">
        <f t="shared" si="2141"/>
        <v>Bandra</v>
      </c>
      <c r="V1069" s="14" t="str">
        <f t="shared" si="4"/>
        <v>Potato</v>
      </c>
      <c r="W1069" s="14">
        <f t="shared" si="5"/>
        <v>1</v>
      </c>
      <c r="X1069" s="14" t="str">
        <f t="shared" si="6"/>
        <v>Ram Gopal</v>
      </c>
      <c r="Y1069" s="15">
        <f t="shared" si="7"/>
        <v>45225</v>
      </c>
      <c r="Z1069" s="14" t="str">
        <f t="shared" si="8"/>
        <v>Online Payment</v>
      </c>
      <c r="AA1069" s="14" t="str">
        <f t="shared" si="9"/>
        <v>Delivered</v>
      </c>
      <c r="AB1069" s="14" t="str">
        <f t="shared" ref="AB1069:AC1069" si="2142">trim(Q1069)</f>
        <v>Quality of Items</v>
      </c>
      <c r="AC1069" s="14" t="str">
        <f t="shared" si="2142"/>
        <v>Perfect condition</v>
      </c>
      <c r="AD1069" s="8"/>
    </row>
    <row r="1070">
      <c r="A1070" s="14" t="str">
        <f>IFERROR(__xludf.DUMMYFUNCTION("""COMPUTED_VALUE"""),"//ord_41048//Aarav Mehta//Andheri//Cucumber+1*Vivek Kumar/7/7/2023//Online Payment//Delivered*Packaging: Secure and intact")</f>
        <v>//ord_41048//Aarav Mehta//Andheri//Cucumber+1*Vivek Kumar/7/7/2023//Online Payment//Delivered*Packaging: Secure and intact</v>
      </c>
      <c r="B1070" s="14" t="str">
        <f>IFERROR(__xludf.DUMMYFUNCTION("split(A1070,""//"")"),"ord_41048")</f>
        <v>ord_41048</v>
      </c>
      <c r="C1070" s="14" t="str">
        <f>IFERROR(__xludf.DUMMYFUNCTION("""COMPUTED_VALUE"""),"Aarav Mehta")</f>
        <v>Aarav Mehta</v>
      </c>
      <c r="D1070" s="14" t="str">
        <f>IFERROR(__xludf.DUMMYFUNCTION("""COMPUTED_VALUE"""),"Andheri")</f>
        <v>Andheri</v>
      </c>
      <c r="E1070" s="14" t="str">
        <f>IFERROR(__xludf.DUMMYFUNCTION("""COMPUTED_VALUE"""),"Cucumber+1*Vivek Kumar")</f>
        <v>Cucumber+1*Vivek Kumar</v>
      </c>
      <c r="F1070" s="14">
        <f>IFERROR(__xludf.DUMMYFUNCTION("""COMPUTED_VALUE"""),7.0)</f>
        <v>7</v>
      </c>
      <c r="G1070" s="14">
        <f>IFERROR(__xludf.DUMMYFUNCTION("""COMPUTED_VALUE"""),7.0)</f>
        <v>7</v>
      </c>
      <c r="H1070" s="14">
        <f>IFERROR(__xludf.DUMMYFUNCTION("""COMPUTED_VALUE"""),2023.0)</f>
        <v>2023</v>
      </c>
      <c r="I1070" s="14" t="str">
        <f>IFERROR(__xludf.DUMMYFUNCTION("""COMPUTED_VALUE"""),"Online Payment")</f>
        <v>Online Payment</v>
      </c>
      <c r="J1070" s="14" t="str">
        <f>IFERROR(__xludf.DUMMYFUNCTION("""COMPUTED_VALUE"""),"Delivered*Packaging: Secure and intact")</f>
        <v>Delivered*Packaging: Secure and intact</v>
      </c>
      <c r="K1070" s="14" t="str">
        <f>IFERROR(__xludf.DUMMYFUNCTION("split(E1070,""+"")"),"Cucumber")</f>
        <v>Cucumber</v>
      </c>
      <c r="L1070" s="14" t="str">
        <f>IFERROR(__xludf.DUMMYFUNCTION("""COMPUTED_VALUE"""),"1*Vivek Kumar")</f>
        <v>1*Vivek Kumar</v>
      </c>
      <c r="M1070" s="14">
        <f>IFERROR(__xludf.DUMMYFUNCTION("SPLIT(L1070,""*"")"),1.0)</f>
        <v>1</v>
      </c>
      <c r="N1070" s="14" t="str">
        <f>IFERROR(__xludf.DUMMYFUNCTION("""COMPUTED_VALUE"""),"Vivek Kumar")</f>
        <v>Vivek Kumar</v>
      </c>
      <c r="O1070" s="14" t="str">
        <f>IFERROR(__xludf.DUMMYFUNCTION("split(J1070,""*"")"),"Delivered")</f>
        <v>Delivered</v>
      </c>
      <c r="P1070" s="14" t="str">
        <f>IFERROR(__xludf.DUMMYFUNCTION("""COMPUTED_VALUE"""),"Packaging: Secure and intact")</f>
        <v>Packaging: Secure and intact</v>
      </c>
      <c r="Q1070" s="14" t="str">
        <f>IFERROR(__xludf.DUMMYFUNCTION("split(P1070,"":"")"),"Packaging")</f>
        <v>Packaging</v>
      </c>
      <c r="R1070" s="14" t="str">
        <f>IFERROR(__xludf.DUMMYFUNCTION("""COMPUTED_VALUE""")," Secure and intact")</f>
        <v> Secure and intact</v>
      </c>
      <c r="S1070" s="14" t="str">
        <f t="shared" ref="S1070:U1070" si="2143">trim(B1070)</f>
        <v>ord_41048</v>
      </c>
      <c r="T1070" s="14" t="str">
        <f t="shared" si="2143"/>
        <v>Aarav Mehta</v>
      </c>
      <c r="U1070" s="14" t="str">
        <f t="shared" si="2143"/>
        <v>Andheri</v>
      </c>
      <c r="V1070" s="14" t="str">
        <f t="shared" si="4"/>
        <v>Cucumber</v>
      </c>
      <c r="W1070" s="14">
        <f t="shared" si="5"/>
        <v>1</v>
      </c>
      <c r="X1070" s="14" t="str">
        <f t="shared" si="6"/>
        <v>Vivek Kumar</v>
      </c>
      <c r="Y1070" s="15">
        <f t="shared" si="7"/>
        <v>45114</v>
      </c>
      <c r="Z1070" s="14" t="str">
        <f t="shared" si="8"/>
        <v>Online Payment</v>
      </c>
      <c r="AA1070" s="14" t="str">
        <f t="shared" si="9"/>
        <v>Delivered</v>
      </c>
      <c r="AB1070" s="14" t="str">
        <f t="shared" ref="AB1070:AC1070" si="2144">trim(Q1070)</f>
        <v>Packaging</v>
      </c>
      <c r="AC1070" s="14" t="str">
        <f t="shared" si="2144"/>
        <v>Secure and intact</v>
      </c>
      <c r="AD1070" s="8"/>
    </row>
    <row r="1071">
      <c r="A1071" s="14" t="str">
        <f>IFERROR(__xludf.DUMMYFUNCTION("""COMPUTED_VALUE"""),"//ord_41049//Arvind Kulkarni//Juhu//Tomato+1*Not Assigned/10/9/2023//UPI//Cancelled*App Glitches: Inconsistent Data Display")</f>
        <v>//ord_41049//Arvind Kulkarni//Juhu//Tomato+1*Not Assigned/10/9/2023//UPI//Cancelled*App Glitches: Inconsistent Data Display</v>
      </c>
      <c r="B1071" s="14" t="str">
        <f>IFERROR(__xludf.DUMMYFUNCTION("split(A1071,""//"")"),"ord_41049")</f>
        <v>ord_41049</v>
      </c>
      <c r="C1071" s="14" t="str">
        <f>IFERROR(__xludf.DUMMYFUNCTION("""COMPUTED_VALUE"""),"Arvind Kulkarni")</f>
        <v>Arvind Kulkarni</v>
      </c>
      <c r="D1071" s="14" t="str">
        <f>IFERROR(__xludf.DUMMYFUNCTION("""COMPUTED_VALUE"""),"Juhu")</f>
        <v>Juhu</v>
      </c>
      <c r="E1071" s="14" t="str">
        <f>IFERROR(__xludf.DUMMYFUNCTION("""COMPUTED_VALUE"""),"Tomato+1*Not Assigned")</f>
        <v>Tomato+1*Not Assigned</v>
      </c>
      <c r="F1071" s="14">
        <f>IFERROR(__xludf.DUMMYFUNCTION("""COMPUTED_VALUE"""),10.0)</f>
        <v>10</v>
      </c>
      <c r="G1071" s="14">
        <f>IFERROR(__xludf.DUMMYFUNCTION("""COMPUTED_VALUE"""),9.0)</f>
        <v>9</v>
      </c>
      <c r="H1071" s="14">
        <f>IFERROR(__xludf.DUMMYFUNCTION("""COMPUTED_VALUE"""),2023.0)</f>
        <v>2023</v>
      </c>
      <c r="I1071" s="14" t="str">
        <f>IFERROR(__xludf.DUMMYFUNCTION("""COMPUTED_VALUE"""),"UPI")</f>
        <v>UPI</v>
      </c>
      <c r="J1071" s="14" t="str">
        <f>IFERROR(__xludf.DUMMYFUNCTION("""COMPUTED_VALUE"""),"Cancelled*App Glitches: Inconsistent Data Display")</f>
        <v>Cancelled*App Glitches: Inconsistent Data Display</v>
      </c>
      <c r="K1071" s="14" t="str">
        <f>IFERROR(__xludf.DUMMYFUNCTION("split(E1071,""+"")"),"Tomato")</f>
        <v>Tomato</v>
      </c>
      <c r="L1071" s="14" t="str">
        <f>IFERROR(__xludf.DUMMYFUNCTION("""COMPUTED_VALUE"""),"1*Not Assigned")</f>
        <v>1*Not Assigned</v>
      </c>
      <c r="M1071" s="14">
        <f>IFERROR(__xludf.DUMMYFUNCTION("SPLIT(L1071,""*"")"),1.0)</f>
        <v>1</v>
      </c>
      <c r="N1071" s="14" t="str">
        <f>IFERROR(__xludf.DUMMYFUNCTION("""COMPUTED_VALUE"""),"Not Assigned")</f>
        <v>Not Assigned</v>
      </c>
      <c r="O1071" s="14" t="str">
        <f>IFERROR(__xludf.DUMMYFUNCTION("split(J1071,""*"")"),"Cancelled")</f>
        <v>Cancelled</v>
      </c>
      <c r="P1071" s="14" t="str">
        <f>IFERROR(__xludf.DUMMYFUNCTION("""COMPUTED_VALUE"""),"App Glitches: Inconsistent Data Display")</f>
        <v>App Glitches: Inconsistent Data Display</v>
      </c>
      <c r="Q1071" s="14" t="str">
        <f>IFERROR(__xludf.DUMMYFUNCTION("split(P1071,"":"")"),"App Glitches")</f>
        <v>App Glitches</v>
      </c>
      <c r="R1071" s="14" t="str">
        <f>IFERROR(__xludf.DUMMYFUNCTION("""COMPUTED_VALUE""")," Inconsistent Data Display")</f>
        <v> Inconsistent Data Display</v>
      </c>
      <c r="S1071" s="14" t="str">
        <f t="shared" ref="S1071:U1071" si="2145">trim(B1071)</f>
        <v>ord_41049</v>
      </c>
      <c r="T1071" s="14" t="str">
        <f t="shared" si="2145"/>
        <v>Arvind Kulkarni</v>
      </c>
      <c r="U1071" s="14" t="str">
        <f t="shared" si="2145"/>
        <v>Juhu</v>
      </c>
      <c r="V1071" s="14" t="str">
        <f t="shared" si="4"/>
        <v>Tomato</v>
      </c>
      <c r="W1071" s="14">
        <f t="shared" si="5"/>
        <v>1</v>
      </c>
      <c r="X1071" s="14" t="str">
        <f t="shared" si="6"/>
        <v>Not Assigned</v>
      </c>
      <c r="Y1071" s="15">
        <f t="shared" si="7"/>
        <v>45208</v>
      </c>
      <c r="Z1071" s="14" t="str">
        <f t="shared" si="8"/>
        <v>UPI</v>
      </c>
      <c r="AA1071" s="14" t="str">
        <f t="shared" si="9"/>
        <v>Cancelled</v>
      </c>
      <c r="AB1071" s="14" t="str">
        <f t="shared" ref="AB1071:AC1071" si="2146">trim(Q1071)</f>
        <v>App Glitches</v>
      </c>
      <c r="AC1071" s="14" t="str">
        <f t="shared" si="2146"/>
        <v>Inconsistent Data Display</v>
      </c>
      <c r="AD1071" s="8"/>
    </row>
    <row r="1072">
      <c r="A1072" s="14" t="str">
        <f>IFERROR(__xludf.DUMMYFUNCTION("""COMPUTED_VALUE"""),"//ord_41050//Parth Goel//Juhu//Onion+1*Ramesh S/9/16/2023//Online Payment//Delivered*Satisfied with the Delivery: Timely and quality")</f>
        <v>//ord_41050//Parth Goel//Juhu//Onion+1*Ramesh S/9/16/2023//Online Payment//Delivered*Satisfied with the Delivery: Timely and quality</v>
      </c>
      <c r="B1072" s="14" t="str">
        <f>IFERROR(__xludf.DUMMYFUNCTION("split(A1072,""//"")"),"ord_41050")</f>
        <v>ord_41050</v>
      </c>
      <c r="C1072" s="14" t="str">
        <f>IFERROR(__xludf.DUMMYFUNCTION("""COMPUTED_VALUE"""),"Parth Goel")</f>
        <v>Parth Goel</v>
      </c>
      <c r="D1072" s="14" t="str">
        <f>IFERROR(__xludf.DUMMYFUNCTION("""COMPUTED_VALUE"""),"Juhu")</f>
        <v>Juhu</v>
      </c>
      <c r="E1072" s="14" t="str">
        <f>IFERROR(__xludf.DUMMYFUNCTION("""COMPUTED_VALUE"""),"Onion+1*Ramesh S")</f>
        <v>Onion+1*Ramesh S</v>
      </c>
      <c r="F1072" s="14">
        <f>IFERROR(__xludf.DUMMYFUNCTION("""COMPUTED_VALUE"""),9.0)</f>
        <v>9</v>
      </c>
      <c r="G1072" s="14">
        <f>IFERROR(__xludf.DUMMYFUNCTION("""COMPUTED_VALUE"""),16.0)</f>
        <v>16</v>
      </c>
      <c r="H1072" s="14">
        <f>IFERROR(__xludf.DUMMYFUNCTION("""COMPUTED_VALUE"""),2023.0)</f>
        <v>2023</v>
      </c>
      <c r="I1072" s="14" t="str">
        <f>IFERROR(__xludf.DUMMYFUNCTION("""COMPUTED_VALUE"""),"Online Payment")</f>
        <v>Online Payment</v>
      </c>
      <c r="J1072" s="14" t="str">
        <f>IFERROR(__xludf.DUMMYFUNCTION("""COMPUTED_VALUE"""),"Delivered*Satisfied with the Delivery: Timely and quality")</f>
        <v>Delivered*Satisfied with the Delivery: Timely and quality</v>
      </c>
      <c r="K1072" s="14" t="str">
        <f>IFERROR(__xludf.DUMMYFUNCTION("split(E1072,""+"")"),"Onion")</f>
        <v>Onion</v>
      </c>
      <c r="L1072" s="14" t="str">
        <f>IFERROR(__xludf.DUMMYFUNCTION("""COMPUTED_VALUE"""),"1*Ramesh S")</f>
        <v>1*Ramesh S</v>
      </c>
      <c r="M1072" s="14">
        <f>IFERROR(__xludf.DUMMYFUNCTION("SPLIT(L1072,""*"")"),1.0)</f>
        <v>1</v>
      </c>
      <c r="N1072" s="14" t="str">
        <f>IFERROR(__xludf.DUMMYFUNCTION("""COMPUTED_VALUE"""),"Ramesh S")</f>
        <v>Ramesh S</v>
      </c>
      <c r="O1072" s="14" t="str">
        <f>IFERROR(__xludf.DUMMYFUNCTION("split(J1072,""*"")"),"Delivered")</f>
        <v>Delivered</v>
      </c>
      <c r="P1072" s="14" t="str">
        <f>IFERROR(__xludf.DUMMYFUNCTION("""COMPUTED_VALUE"""),"Satisfied with the Delivery: Timely and quality")</f>
        <v>Satisfied with the Delivery: Timely and quality</v>
      </c>
      <c r="Q1072" s="14" t="str">
        <f>IFERROR(__xludf.DUMMYFUNCTION("split(P1072,"":"")"),"Satisfied with the Delivery")</f>
        <v>Satisfied with the Delivery</v>
      </c>
      <c r="R1072" s="14" t="str">
        <f>IFERROR(__xludf.DUMMYFUNCTION("""COMPUTED_VALUE""")," Timely and quality")</f>
        <v> Timely and quality</v>
      </c>
      <c r="S1072" s="14" t="str">
        <f t="shared" ref="S1072:U1072" si="2147">trim(B1072)</f>
        <v>ord_41050</v>
      </c>
      <c r="T1072" s="14" t="str">
        <f t="shared" si="2147"/>
        <v>Parth Goel</v>
      </c>
      <c r="U1072" s="14" t="str">
        <f t="shared" si="2147"/>
        <v>Juhu</v>
      </c>
      <c r="V1072" s="14" t="str">
        <f t="shared" si="4"/>
        <v>Onion</v>
      </c>
      <c r="W1072" s="14">
        <f t="shared" si="5"/>
        <v>1</v>
      </c>
      <c r="X1072" s="14" t="str">
        <f t="shared" si="6"/>
        <v>Ramesh S</v>
      </c>
      <c r="Y1072" s="15">
        <f t="shared" si="7"/>
        <v>45185</v>
      </c>
      <c r="Z1072" s="14" t="str">
        <f t="shared" si="8"/>
        <v>Online Payment</v>
      </c>
      <c r="AA1072" s="14" t="str">
        <f t="shared" si="9"/>
        <v>Delivered</v>
      </c>
      <c r="AB1072" s="14" t="str">
        <f t="shared" ref="AB1072:AC1072" si="2148">trim(Q1072)</f>
        <v>Satisfied with the Delivery</v>
      </c>
      <c r="AC1072" s="14" t="str">
        <f t="shared" si="2148"/>
        <v>Timely and quality</v>
      </c>
      <c r="AD1072" s="8"/>
    </row>
    <row r="1073">
      <c r="A1073" s="14" t="str">
        <f>IFERROR(__xludf.DUMMYFUNCTION("""COMPUTED_VALUE"""),"//ord_41051//Aditi Iyer//Dadar//Papaya+1*Ramesh S/6/8/2023//Credit Card//Delivered*Customer Service: Seamless and easy")</f>
        <v>//ord_41051//Aditi Iyer//Dadar//Papaya+1*Ramesh S/6/8/2023//Credit Card//Delivered*Customer Service: Seamless and easy</v>
      </c>
      <c r="B1073" s="14" t="str">
        <f>IFERROR(__xludf.DUMMYFUNCTION("split(A1073,""//"")"),"ord_41051")</f>
        <v>ord_41051</v>
      </c>
      <c r="C1073" s="14" t="str">
        <f>IFERROR(__xludf.DUMMYFUNCTION("""COMPUTED_VALUE"""),"Aditi Iyer")</f>
        <v>Aditi Iyer</v>
      </c>
      <c r="D1073" s="14" t="str">
        <f>IFERROR(__xludf.DUMMYFUNCTION("""COMPUTED_VALUE"""),"Dadar")</f>
        <v>Dadar</v>
      </c>
      <c r="E1073" s="14" t="str">
        <f>IFERROR(__xludf.DUMMYFUNCTION("""COMPUTED_VALUE"""),"Papaya+1*Ramesh S")</f>
        <v>Papaya+1*Ramesh S</v>
      </c>
      <c r="F1073" s="14">
        <f>IFERROR(__xludf.DUMMYFUNCTION("""COMPUTED_VALUE"""),6.0)</f>
        <v>6</v>
      </c>
      <c r="G1073" s="14">
        <f>IFERROR(__xludf.DUMMYFUNCTION("""COMPUTED_VALUE"""),8.0)</f>
        <v>8</v>
      </c>
      <c r="H1073" s="14">
        <f>IFERROR(__xludf.DUMMYFUNCTION("""COMPUTED_VALUE"""),2023.0)</f>
        <v>2023</v>
      </c>
      <c r="I1073" s="14" t="str">
        <f>IFERROR(__xludf.DUMMYFUNCTION("""COMPUTED_VALUE"""),"Credit Card")</f>
        <v>Credit Card</v>
      </c>
      <c r="J1073" s="14" t="str">
        <f>IFERROR(__xludf.DUMMYFUNCTION("""COMPUTED_VALUE"""),"Delivered*Customer Service: Seamless and easy")</f>
        <v>Delivered*Customer Service: Seamless and easy</v>
      </c>
      <c r="K1073" s="14" t="str">
        <f>IFERROR(__xludf.DUMMYFUNCTION("split(E1073,""+"")"),"Papaya")</f>
        <v>Papaya</v>
      </c>
      <c r="L1073" s="14" t="str">
        <f>IFERROR(__xludf.DUMMYFUNCTION("""COMPUTED_VALUE"""),"1*Ramesh S")</f>
        <v>1*Ramesh S</v>
      </c>
      <c r="M1073" s="14">
        <f>IFERROR(__xludf.DUMMYFUNCTION("SPLIT(L1073,""*"")"),1.0)</f>
        <v>1</v>
      </c>
      <c r="N1073" s="14" t="str">
        <f>IFERROR(__xludf.DUMMYFUNCTION("""COMPUTED_VALUE"""),"Ramesh S")</f>
        <v>Ramesh S</v>
      </c>
      <c r="O1073" s="14" t="str">
        <f>IFERROR(__xludf.DUMMYFUNCTION("split(J1073,""*"")"),"Delivered")</f>
        <v>Delivered</v>
      </c>
      <c r="P1073" s="14" t="str">
        <f>IFERROR(__xludf.DUMMYFUNCTION("""COMPUTED_VALUE"""),"Customer Service: Seamless and easy")</f>
        <v>Customer Service: Seamless and easy</v>
      </c>
      <c r="Q1073" s="14" t="str">
        <f>IFERROR(__xludf.DUMMYFUNCTION("split(P1073,"":"")"),"Customer Service")</f>
        <v>Customer Service</v>
      </c>
      <c r="R1073" s="14" t="str">
        <f>IFERROR(__xludf.DUMMYFUNCTION("""COMPUTED_VALUE""")," Seamless and easy")</f>
        <v> Seamless and easy</v>
      </c>
      <c r="S1073" s="14" t="str">
        <f t="shared" ref="S1073:U1073" si="2149">trim(B1073)</f>
        <v>ord_41051</v>
      </c>
      <c r="T1073" s="14" t="str">
        <f t="shared" si="2149"/>
        <v>Aditi Iyer</v>
      </c>
      <c r="U1073" s="14" t="str">
        <f t="shared" si="2149"/>
        <v>Dadar</v>
      </c>
      <c r="V1073" s="14" t="str">
        <f t="shared" si="4"/>
        <v>Papaya</v>
      </c>
      <c r="W1073" s="14">
        <f t="shared" si="5"/>
        <v>1</v>
      </c>
      <c r="X1073" s="14" t="str">
        <f t="shared" si="6"/>
        <v>Ramesh S</v>
      </c>
      <c r="Y1073" s="15">
        <f t="shared" si="7"/>
        <v>45085</v>
      </c>
      <c r="Z1073" s="14" t="str">
        <f t="shared" si="8"/>
        <v>Credit Card</v>
      </c>
      <c r="AA1073" s="14" t="str">
        <f t="shared" si="9"/>
        <v>Delivered</v>
      </c>
      <c r="AB1073" s="14" t="str">
        <f t="shared" ref="AB1073:AC1073" si="2150">trim(Q1073)</f>
        <v>Customer Service</v>
      </c>
      <c r="AC1073" s="14" t="str">
        <f t="shared" si="2150"/>
        <v>Seamless and easy</v>
      </c>
      <c r="AD1073" s="8"/>
    </row>
    <row r="1074">
      <c r="A1074" s="14" t="str">
        <f>IFERROR(__xludf.DUMMYFUNCTION("""COMPUTED_VALUE"""),"//ord_41052//Omkar Mishra//Powai//Chilli Cheese Toast+2*Manju Ajay/5/4/2023//UPI//Delivered*Delivery Experience: Quick and professional")</f>
        <v>//ord_41052//Omkar Mishra//Powai//Chilli Cheese Toast+2*Manju Ajay/5/4/2023//UPI//Delivered*Delivery Experience: Quick and professional</v>
      </c>
      <c r="B1074" s="14" t="str">
        <f>IFERROR(__xludf.DUMMYFUNCTION("split(A1074,""//"")"),"ord_41052")</f>
        <v>ord_41052</v>
      </c>
      <c r="C1074" s="14" t="str">
        <f>IFERROR(__xludf.DUMMYFUNCTION("""COMPUTED_VALUE"""),"Omkar Mishra")</f>
        <v>Omkar Mishra</v>
      </c>
      <c r="D1074" s="14" t="str">
        <f>IFERROR(__xludf.DUMMYFUNCTION("""COMPUTED_VALUE"""),"Powai")</f>
        <v>Powai</v>
      </c>
      <c r="E1074" s="14" t="str">
        <f>IFERROR(__xludf.DUMMYFUNCTION("""COMPUTED_VALUE"""),"Chilli Cheese Toast+2*Manju Ajay")</f>
        <v>Chilli Cheese Toast+2*Manju Ajay</v>
      </c>
      <c r="F1074" s="14">
        <f>IFERROR(__xludf.DUMMYFUNCTION("""COMPUTED_VALUE"""),5.0)</f>
        <v>5</v>
      </c>
      <c r="G1074" s="14">
        <f>IFERROR(__xludf.DUMMYFUNCTION("""COMPUTED_VALUE"""),4.0)</f>
        <v>4</v>
      </c>
      <c r="H1074" s="14">
        <f>IFERROR(__xludf.DUMMYFUNCTION("""COMPUTED_VALUE"""),2023.0)</f>
        <v>2023</v>
      </c>
      <c r="I1074" s="14" t="str">
        <f>IFERROR(__xludf.DUMMYFUNCTION("""COMPUTED_VALUE"""),"UPI")</f>
        <v>UPI</v>
      </c>
      <c r="J1074" s="14" t="str">
        <f>IFERROR(__xludf.DUMMYFUNCTION("""COMPUTED_VALUE"""),"Delivered*Delivery Experience: Quick and professional")</f>
        <v>Delivered*Delivery Experience: Quick and professional</v>
      </c>
      <c r="K1074" s="14" t="str">
        <f>IFERROR(__xludf.DUMMYFUNCTION("split(E1074,""+"")"),"Chilli Cheese Toast")</f>
        <v>Chilli Cheese Toast</v>
      </c>
      <c r="L1074" s="14" t="str">
        <f>IFERROR(__xludf.DUMMYFUNCTION("""COMPUTED_VALUE"""),"2*Manju Ajay")</f>
        <v>2*Manju Ajay</v>
      </c>
      <c r="M1074" s="14">
        <f>IFERROR(__xludf.DUMMYFUNCTION("SPLIT(L1074,""*"")"),2.0)</f>
        <v>2</v>
      </c>
      <c r="N1074" s="14" t="str">
        <f>IFERROR(__xludf.DUMMYFUNCTION("""COMPUTED_VALUE"""),"Manju Ajay")</f>
        <v>Manju Ajay</v>
      </c>
      <c r="O1074" s="14" t="str">
        <f>IFERROR(__xludf.DUMMYFUNCTION("split(J1074,""*"")"),"Delivered")</f>
        <v>Delivered</v>
      </c>
      <c r="P1074" s="14" t="str">
        <f>IFERROR(__xludf.DUMMYFUNCTION("""COMPUTED_VALUE"""),"Delivery Experience: Quick and professional")</f>
        <v>Delivery Experience: Quick and professional</v>
      </c>
      <c r="Q1074" s="14" t="str">
        <f>IFERROR(__xludf.DUMMYFUNCTION("split(P1074,"":"")"),"Delivery Experience")</f>
        <v>Delivery Experience</v>
      </c>
      <c r="R1074" s="14" t="str">
        <f>IFERROR(__xludf.DUMMYFUNCTION("""COMPUTED_VALUE""")," Quick and professional")</f>
        <v> Quick and professional</v>
      </c>
      <c r="S1074" s="14" t="str">
        <f t="shared" ref="S1074:U1074" si="2151">trim(B1074)</f>
        <v>ord_41052</v>
      </c>
      <c r="T1074" s="14" t="str">
        <f t="shared" si="2151"/>
        <v>Omkar Mishra</v>
      </c>
      <c r="U1074" s="14" t="str">
        <f t="shared" si="2151"/>
        <v>Powai</v>
      </c>
      <c r="V1074" s="14" t="str">
        <f t="shared" si="4"/>
        <v>Chilli Cheese Toast</v>
      </c>
      <c r="W1074" s="14">
        <f t="shared" si="5"/>
        <v>2</v>
      </c>
      <c r="X1074" s="14" t="str">
        <f t="shared" si="6"/>
        <v>Manju Ajay</v>
      </c>
      <c r="Y1074" s="15">
        <f t="shared" si="7"/>
        <v>45050</v>
      </c>
      <c r="Z1074" s="14" t="str">
        <f t="shared" si="8"/>
        <v>UPI</v>
      </c>
      <c r="AA1074" s="14" t="str">
        <f t="shared" si="9"/>
        <v>Delivered</v>
      </c>
      <c r="AB1074" s="14" t="str">
        <f t="shared" ref="AB1074:AC1074" si="2152">trim(Q1074)</f>
        <v>Delivery Experience</v>
      </c>
      <c r="AC1074" s="14" t="str">
        <f t="shared" si="2152"/>
        <v>Quick and professional</v>
      </c>
      <c r="AD1074" s="8"/>
    </row>
    <row r="1075">
      <c r="A1075" s="14" t="str">
        <f>IFERROR(__xludf.DUMMYFUNCTION("""COMPUTED_VALUE"""),"//ord_41053//Aditi Iyer//Dadar//Rasmalai+1*Venu R/1/10/2023//UPI//Delivered*Convenience: Easy tracking")</f>
        <v>//ord_41053//Aditi Iyer//Dadar//Rasmalai+1*Venu R/1/10/2023//UPI//Delivered*Convenience: Easy tracking</v>
      </c>
      <c r="B1075" s="14" t="str">
        <f>IFERROR(__xludf.DUMMYFUNCTION("split(A1075,""//"")"),"ord_41053")</f>
        <v>ord_41053</v>
      </c>
      <c r="C1075" s="14" t="str">
        <f>IFERROR(__xludf.DUMMYFUNCTION("""COMPUTED_VALUE"""),"Aditi Iyer")</f>
        <v>Aditi Iyer</v>
      </c>
      <c r="D1075" s="14" t="str">
        <f>IFERROR(__xludf.DUMMYFUNCTION("""COMPUTED_VALUE"""),"Dadar")</f>
        <v>Dadar</v>
      </c>
      <c r="E1075" s="14" t="str">
        <f>IFERROR(__xludf.DUMMYFUNCTION("""COMPUTED_VALUE"""),"Rasmalai+1*Venu R")</f>
        <v>Rasmalai+1*Venu R</v>
      </c>
      <c r="F1075" s="14">
        <f>IFERROR(__xludf.DUMMYFUNCTION("""COMPUTED_VALUE"""),1.0)</f>
        <v>1</v>
      </c>
      <c r="G1075" s="14">
        <f>IFERROR(__xludf.DUMMYFUNCTION("""COMPUTED_VALUE"""),10.0)</f>
        <v>10</v>
      </c>
      <c r="H1075" s="14">
        <f>IFERROR(__xludf.DUMMYFUNCTION("""COMPUTED_VALUE"""),2023.0)</f>
        <v>2023</v>
      </c>
      <c r="I1075" s="14" t="str">
        <f>IFERROR(__xludf.DUMMYFUNCTION("""COMPUTED_VALUE"""),"UPI")</f>
        <v>UPI</v>
      </c>
      <c r="J1075" s="14" t="str">
        <f>IFERROR(__xludf.DUMMYFUNCTION("""COMPUTED_VALUE"""),"Delivered*Convenience: Easy tracking")</f>
        <v>Delivered*Convenience: Easy tracking</v>
      </c>
      <c r="K1075" s="14" t="str">
        <f>IFERROR(__xludf.DUMMYFUNCTION("split(E1075,""+"")"),"Rasmalai")</f>
        <v>Rasmalai</v>
      </c>
      <c r="L1075" s="14" t="str">
        <f>IFERROR(__xludf.DUMMYFUNCTION("""COMPUTED_VALUE"""),"1*Venu R")</f>
        <v>1*Venu R</v>
      </c>
      <c r="M1075" s="14">
        <f>IFERROR(__xludf.DUMMYFUNCTION("SPLIT(L1075,""*"")"),1.0)</f>
        <v>1</v>
      </c>
      <c r="N1075" s="14" t="str">
        <f>IFERROR(__xludf.DUMMYFUNCTION("""COMPUTED_VALUE"""),"Venu R")</f>
        <v>Venu R</v>
      </c>
      <c r="O1075" s="14" t="str">
        <f>IFERROR(__xludf.DUMMYFUNCTION("split(J1075,""*"")"),"Delivered")</f>
        <v>Delivered</v>
      </c>
      <c r="P1075" s="14" t="str">
        <f>IFERROR(__xludf.DUMMYFUNCTION("""COMPUTED_VALUE"""),"Convenience: Easy tracking")</f>
        <v>Convenience: Easy tracking</v>
      </c>
      <c r="Q1075" s="14" t="str">
        <f>IFERROR(__xludf.DUMMYFUNCTION("split(P1075,"":"")"),"Convenience")</f>
        <v>Convenience</v>
      </c>
      <c r="R1075" s="14" t="str">
        <f>IFERROR(__xludf.DUMMYFUNCTION("""COMPUTED_VALUE""")," Easy tracking")</f>
        <v> Easy tracking</v>
      </c>
      <c r="S1075" s="14" t="str">
        <f t="shared" ref="S1075:U1075" si="2153">trim(B1075)</f>
        <v>ord_41053</v>
      </c>
      <c r="T1075" s="14" t="str">
        <f t="shared" si="2153"/>
        <v>Aditi Iyer</v>
      </c>
      <c r="U1075" s="14" t="str">
        <f t="shared" si="2153"/>
        <v>Dadar</v>
      </c>
      <c r="V1075" s="14" t="str">
        <f t="shared" si="4"/>
        <v>Rasmalai</v>
      </c>
      <c r="W1075" s="14">
        <f t="shared" si="5"/>
        <v>1</v>
      </c>
      <c r="X1075" s="14" t="str">
        <f t="shared" si="6"/>
        <v>Venu R</v>
      </c>
      <c r="Y1075" s="15">
        <f t="shared" si="7"/>
        <v>44936</v>
      </c>
      <c r="Z1075" s="14" t="str">
        <f t="shared" si="8"/>
        <v>UPI</v>
      </c>
      <c r="AA1075" s="14" t="str">
        <f t="shared" si="9"/>
        <v>Delivered</v>
      </c>
      <c r="AB1075" s="14" t="str">
        <f t="shared" ref="AB1075:AC1075" si="2154">trim(Q1075)</f>
        <v>Convenience</v>
      </c>
      <c r="AC1075" s="14" t="str">
        <f t="shared" si="2154"/>
        <v>Easy tracking</v>
      </c>
      <c r="AD1075" s="8"/>
    </row>
    <row r="1076">
      <c r="A1076" s="14" t="str">
        <f>IFERROR(__xludf.DUMMYFUNCTION("""COMPUTED_VALUE"""),"//ord_41054//Aarav Mehta//Andheri//Popcorn+5*Manju Ajay/1/19/2023//Credit Card//Delivered*Overall Satisfaction: Great service will order again")</f>
        <v>//ord_41054//Aarav Mehta//Andheri//Popcorn+5*Manju Ajay/1/19/2023//Credit Card//Delivered*Overall Satisfaction: Great service will order again</v>
      </c>
      <c r="B1076" s="14" t="str">
        <f>IFERROR(__xludf.DUMMYFUNCTION("split(A1076,""//"")"),"ord_41054")</f>
        <v>ord_41054</v>
      </c>
      <c r="C1076" s="14" t="str">
        <f>IFERROR(__xludf.DUMMYFUNCTION("""COMPUTED_VALUE"""),"Aarav Mehta")</f>
        <v>Aarav Mehta</v>
      </c>
      <c r="D1076" s="14" t="str">
        <f>IFERROR(__xludf.DUMMYFUNCTION("""COMPUTED_VALUE"""),"Andheri")</f>
        <v>Andheri</v>
      </c>
      <c r="E1076" s="14" t="str">
        <f>IFERROR(__xludf.DUMMYFUNCTION("""COMPUTED_VALUE"""),"Popcorn+5*Manju Ajay")</f>
        <v>Popcorn+5*Manju Ajay</v>
      </c>
      <c r="F1076" s="14">
        <f>IFERROR(__xludf.DUMMYFUNCTION("""COMPUTED_VALUE"""),1.0)</f>
        <v>1</v>
      </c>
      <c r="G1076" s="14">
        <f>IFERROR(__xludf.DUMMYFUNCTION("""COMPUTED_VALUE"""),19.0)</f>
        <v>19</v>
      </c>
      <c r="H1076" s="14">
        <f>IFERROR(__xludf.DUMMYFUNCTION("""COMPUTED_VALUE"""),2023.0)</f>
        <v>2023</v>
      </c>
      <c r="I1076" s="14" t="str">
        <f>IFERROR(__xludf.DUMMYFUNCTION("""COMPUTED_VALUE"""),"Credit Card")</f>
        <v>Credit Card</v>
      </c>
      <c r="J1076" s="14" t="str">
        <f>IFERROR(__xludf.DUMMYFUNCTION("""COMPUTED_VALUE"""),"Delivered*Overall Satisfaction: Great service will order again")</f>
        <v>Delivered*Overall Satisfaction: Great service will order again</v>
      </c>
      <c r="K1076" s="14" t="str">
        <f>IFERROR(__xludf.DUMMYFUNCTION("split(E1076,""+"")"),"Popcorn")</f>
        <v>Popcorn</v>
      </c>
      <c r="L1076" s="14" t="str">
        <f>IFERROR(__xludf.DUMMYFUNCTION("""COMPUTED_VALUE"""),"5*Manju Ajay")</f>
        <v>5*Manju Ajay</v>
      </c>
      <c r="M1076" s="14">
        <f>IFERROR(__xludf.DUMMYFUNCTION("SPLIT(L1076,""*"")"),5.0)</f>
        <v>5</v>
      </c>
      <c r="N1076" s="14" t="str">
        <f>IFERROR(__xludf.DUMMYFUNCTION("""COMPUTED_VALUE"""),"Manju Ajay")</f>
        <v>Manju Ajay</v>
      </c>
      <c r="O1076" s="14" t="str">
        <f>IFERROR(__xludf.DUMMYFUNCTION("split(J1076,""*"")"),"Delivered")</f>
        <v>Delivered</v>
      </c>
      <c r="P1076" s="14" t="str">
        <f>IFERROR(__xludf.DUMMYFUNCTION("""COMPUTED_VALUE"""),"Overall Satisfaction: Great service will order again")</f>
        <v>Overall Satisfaction: Great service will order again</v>
      </c>
      <c r="Q1076" s="14" t="str">
        <f>IFERROR(__xludf.DUMMYFUNCTION("split(P1076,"":"")"),"Overall Satisfaction")</f>
        <v>Overall Satisfaction</v>
      </c>
      <c r="R1076" s="14" t="str">
        <f>IFERROR(__xludf.DUMMYFUNCTION("""COMPUTED_VALUE""")," Great service will order again")</f>
        <v> Great service will order again</v>
      </c>
      <c r="S1076" s="14" t="str">
        <f t="shared" ref="S1076:U1076" si="2155">trim(B1076)</f>
        <v>ord_41054</v>
      </c>
      <c r="T1076" s="14" t="str">
        <f t="shared" si="2155"/>
        <v>Aarav Mehta</v>
      </c>
      <c r="U1076" s="14" t="str">
        <f t="shared" si="2155"/>
        <v>Andheri</v>
      </c>
      <c r="V1076" s="14" t="str">
        <f t="shared" si="4"/>
        <v>Popcorn</v>
      </c>
      <c r="W1076" s="14">
        <f t="shared" si="5"/>
        <v>5</v>
      </c>
      <c r="X1076" s="14" t="str">
        <f t="shared" si="6"/>
        <v>Manju Ajay</v>
      </c>
      <c r="Y1076" s="15">
        <f t="shared" si="7"/>
        <v>44945</v>
      </c>
      <c r="Z1076" s="14" t="str">
        <f t="shared" si="8"/>
        <v>Credit Card</v>
      </c>
      <c r="AA1076" s="14" t="str">
        <f t="shared" si="9"/>
        <v>Delivered</v>
      </c>
      <c r="AB1076" s="14" t="str">
        <f t="shared" ref="AB1076:AC1076" si="2156">trim(Q1076)</f>
        <v>Overall Satisfaction</v>
      </c>
      <c r="AC1076" s="14" t="str">
        <f t="shared" si="2156"/>
        <v>Great service will order again</v>
      </c>
      <c r="AD1076" s="8"/>
    </row>
    <row r="1077">
      <c r="A1077" s="14" t="str">
        <f>IFERROR(__xludf.DUMMYFUNCTION("""COMPUTED_VALUE"""),"//ord_41055//Aarav Mehta//Andheri//Papaya+1*Sita T/8/26/2023//Credit Card//Delivered*On-time Delivery: Delivered on time")</f>
        <v>//ord_41055//Aarav Mehta//Andheri//Papaya+1*Sita T/8/26/2023//Credit Card//Delivered*On-time Delivery: Delivered on time</v>
      </c>
      <c r="B1077" s="14" t="str">
        <f>IFERROR(__xludf.DUMMYFUNCTION("split(A1077,""//"")"),"ord_41055")</f>
        <v>ord_41055</v>
      </c>
      <c r="C1077" s="14" t="str">
        <f>IFERROR(__xludf.DUMMYFUNCTION("""COMPUTED_VALUE"""),"Aarav Mehta")</f>
        <v>Aarav Mehta</v>
      </c>
      <c r="D1077" s="14" t="str">
        <f>IFERROR(__xludf.DUMMYFUNCTION("""COMPUTED_VALUE"""),"Andheri")</f>
        <v>Andheri</v>
      </c>
      <c r="E1077" s="14" t="str">
        <f>IFERROR(__xludf.DUMMYFUNCTION("""COMPUTED_VALUE"""),"Papaya+1*Sita T")</f>
        <v>Papaya+1*Sita T</v>
      </c>
      <c r="F1077" s="14">
        <f>IFERROR(__xludf.DUMMYFUNCTION("""COMPUTED_VALUE"""),8.0)</f>
        <v>8</v>
      </c>
      <c r="G1077" s="14">
        <f>IFERROR(__xludf.DUMMYFUNCTION("""COMPUTED_VALUE"""),26.0)</f>
        <v>26</v>
      </c>
      <c r="H1077" s="14">
        <f>IFERROR(__xludf.DUMMYFUNCTION("""COMPUTED_VALUE"""),2023.0)</f>
        <v>2023</v>
      </c>
      <c r="I1077" s="14" t="str">
        <f>IFERROR(__xludf.DUMMYFUNCTION("""COMPUTED_VALUE"""),"Credit Card")</f>
        <v>Credit Card</v>
      </c>
      <c r="J1077" s="14" t="str">
        <f>IFERROR(__xludf.DUMMYFUNCTION("""COMPUTED_VALUE"""),"Delivered*On-time Delivery: Delivered on time")</f>
        <v>Delivered*On-time Delivery: Delivered on time</v>
      </c>
      <c r="K1077" s="14" t="str">
        <f>IFERROR(__xludf.DUMMYFUNCTION("split(E1077,""+"")"),"Papaya")</f>
        <v>Papaya</v>
      </c>
      <c r="L1077" s="14" t="str">
        <f>IFERROR(__xludf.DUMMYFUNCTION("""COMPUTED_VALUE"""),"1*Sita T")</f>
        <v>1*Sita T</v>
      </c>
      <c r="M1077" s="14">
        <f>IFERROR(__xludf.DUMMYFUNCTION("SPLIT(L1077,""*"")"),1.0)</f>
        <v>1</v>
      </c>
      <c r="N1077" s="14" t="str">
        <f>IFERROR(__xludf.DUMMYFUNCTION("""COMPUTED_VALUE"""),"Sita T")</f>
        <v>Sita T</v>
      </c>
      <c r="O1077" s="14" t="str">
        <f>IFERROR(__xludf.DUMMYFUNCTION("split(J1077,""*"")"),"Delivered")</f>
        <v>Delivered</v>
      </c>
      <c r="P1077" s="14" t="str">
        <f>IFERROR(__xludf.DUMMYFUNCTION("""COMPUTED_VALUE"""),"On-time Delivery: Delivered on time")</f>
        <v>On-time Delivery: Delivered on time</v>
      </c>
      <c r="Q1077" s="14" t="str">
        <f>IFERROR(__xludf.DUMMYFUNCTION("split(P1077,"":"")"),"On-time Delivery")</f>
        <v>On-time Delivery</v>
      </c>
      <c r="R1077" s="14" t="str">
        <f>IFERROR(__xludf.DUMMYFUNCTION("""COMPUTED_VALUE""")," Delivered on time")</f>
        <v> Delivered on time</v>
      </c>
      <c r="S1077" s="14" t="str">
        <f t="shared" ref="S1077:U1077" si="2157">trim(B1077)</f>
        <v>ord_41055</v>
      </c>
      <c r="T1077" s="14" t="str">
        <f t="shared" si="2157"/>
        <v>Aarav Mehta</v>
      </c>
      <c r="U1077" s="14" t="str">
        <f t="shared" si="2157"/>
        <v>Andheri</v>
      </c>
      <c r="V1077" s="14" t="str">
        <f t="shared" si="4"/>
        <v>Papaya</v>
      </c>
      <c r="W1077" s="14">
        <f t="shared" si="5"/>
        <v>1</v>
      </c>
      <c r="X1077" s="14" t="str">
        <f t="shared" si="6"/>
        <v>Sita T</v>
      </c>
      <c r="Y1077" s="15">
        <f t="shared" si="7"/>
        <v>45164</v>
      </c>
      <c r="Z1077" s="14" t="str">
        <f t="shared" si="8"/>
        <v>Credit Card</v>
      </c>
      <c r="AA1077" s="14" t="str">
        <f t="shared" si="9"/>
        <v>Delivered</v>
      </c>
      <c r="AB1077" s="14" t="str">
        <f t="shared" ref="AB1077:AC1077" si="2158">trim(Q1077)</f>
        <v>On-time Delivery</v>
      </c>
      <c r="AC1077" s="14" t="str">
        <f t="shared" si="2158"/>
        <v>Delivered on time</v>
      </c>
      <c r="AD1077" s="8"/>
    </row>
    <row r="1078">
      <c r="A1078" s="14" t="str">
        <f>IFERROR(__xludf.DUMMYFUNCTION("""COMPUTED_VALUE"""),"//ord_41056//Ishaan Chaturvedi//Bandra//Potato+1*Sita T/6/6/2023//COD//Delivered*Quality of Items: Perfect condition")</f>
        <v>//ord_41056//Ishaan Chaturvedi//Bandra//Potato+1*Sita T/6/6/2023//COD//Delivered*Quality of Items: Perfect condition</v>
      </c>
      <c r="B1078" s="14" t="str">
        <f>IFERROR(__xludf.DUMMYFUNCTION("split(A1078,""//"")"),"ord_41056")</f>
        <v>ord_41056</v>
      </c>
      <c r="C1078" s="14" t="str">
        <f>IFERROR(__xludf.DUMMYFUNCTION("""COMPUTED_VALUE"""),"Ishaan Chaturvedi")</f>
        <v>Ishaan Chaturvedi</v>
      </c>
      <c r="D1078" s="14" t="str">
        <f>IFERROR(__xludf.DUMMYFUNCTION("""COMPUTED_VALUE"""),"Bandra")</f>
        <v>Bandra</v>
      </c>
      <c r="E1078" s="14" t="str">
        <f>IFERROR(__xludf.DUMMYFUNCTION("""COMPUTED_VALUE"""),"Potato+1*Sita T")</f>
        <v>Potato+1*Sita T</v>
      </c>
      <c r="F1078" s="14">
        <f>IFERROR(__xludf.DUMMYFUNCTION("""COMPUTED_VALUE"""),6.0)</f>
        <v>6</v>
      </c>
      <c r="G1078" s="14">
        <f>IFERROR(__xludf.DUMMYFUNCTION("""COMPUTED_VALUE"""),6.0)</f>
        <v>6</v>
      </c>
      <c r="H1078" s="14">
        <f>IFERROR(__xludf.DUMMYFUNCTION("""COMPUTED_VALUE"""),2023.0)</f>
        <v>2023</v>
      </c>
      <c r="I1078" s="14" t="str">
        <f>IFERROR(__xludf.DUMMYFUNCTION("""COMPUTED_VALUE"""),"COD")</f>
        <v>COD</v>
      </c>
      <c r="J1078" s="14" t="str">
        <f>IFERROR(__xludf.DUMMYFUNCTION("""COMPUTED_VALUE"""),"Delivered*Quality of Items: Perfect condition")</f>
        <v>Delivered*Quality of Items: Perfect condition</v>
      </c>
      <c r="K1078" s="14" t="str">
        <f>IFERROR(__xludf.DUMMYFUNCTION("split(E1078,""+"")"),"Potato")</f>
        <v>Potato</v>
      </c>
      <c r="L1078" s="14" t="str">
        <f>IFERROR(__xludf.DUMMYFUNCTION("""COMPUTED_VALUE"""),"1*Sita T")</f>
        <v>1*Sita T</v>
      </c>
      <c r="M1078" s="14">
        <f>IFERROR(__xludf.DUMMYFUNCTION("SPLIT(L1078,""*"")"),1.0)</f>
        <v>1</v>
      </c>
      <c r="N1078" s="14" t="str">
        <f>IFERROR(__xludf.DUMMYFUNCTION("""COMPUTED_VALUE"""),"Sita T")</f>
        <v>Sita T</v>
      </c>
      <c r="O1078" s="14" t="str">
        <f>IFERROR(__xludf.DUMMYFUNCTION("split(J1078,""*"")"),"Delivered")</f>
        <v>Delivered</v>
      </c>
      <c r="P1078" s="14" t="str">
        <f>IFERROR(__xludf.DUMMYFUNCTION("""COMPUTED_VALUE"""),"Quality of Items: Perfect condition")</f>
        <v>Quality of Items: Perfect condition</v>
      </c>
      <c r="Q1078" s="14" t="str">
        <f>IFERROR(__xludf.DUMMYFUNCTION("split(P1078,"":"")"),"Quality of Items")</f>
        <v>Quality of Items</v>
      </c>
      <c r="R1078" s="14" t="str">
        <f>IFERROR(__xludf.DUMMYFUNCTION("""COMPUTED_VALUE""")," Perfect condition")</f>
        <v> Perfect condition</v>
      </c>
      <c r="S1078" s="14" t="str">
        <f t="shared" ref="S1078:U1078" si="2159">trim(B1078)</f>
        <v>ord_41056</v>
      </c>
      <c r="T1078" s="14" t="str">
        <f t="shared" si="2159"/>
        <v>Ishaan Chaturvedi</v>
      </c>
      <c r="U1078" s="14" t="str">
        <f t="shared" si="2159"/>
        <v>Bandra</v>
      </c>
      <c r="V1078" s="14" t="str">
        <f t="shared" si="4"/>
        <v>Potato</v>
      </c>
      <c r="W1078" s="14">
        <f t="shared" si="5"/>
        <v>1</v>
      </c>
      <c r="X1078" s="14" t="str">
        <f t="shared" si="6"/>
        <v>Sita T</v>
      </c>
      <c r="Y1078" s="15">
        <f t="shared" si="7"/>
        <v>45083</v>
      </c>
      <c r="Z1078" s="14" t="str">
        <f t="shared" si="8"/>
        <v>COD</v>
      </c>
      <c r="AA1078" s="14" t="str">
        <f t="shared" si="9"/>
        <v>Delivered</v>
      </c>
      <c r="AB1078" s="14" t="str">
        <f t="shared" ref="AB1078:AC1078" si="2160">trim(Q1078)</f>
        <v>Quality of Items</v>
      </c>
      <c r="AC1078" s="14" t="str">
        <f t="shared" si="2160"/>
        <v>Perfect condition</v>
      </c>
      <c r="AD1078" s="8"/>
    </row>
    <row r="1079">
      <c r="A1079" s="14" t="str">
        <f>IFERROR(__xludf.DUMMYFUNCTION("""COMPUTED_VALUE"""),"//ord_41057//Pranav Joshi//Andheri//Cucumber+1*Vivek Kumar/9/12/2023//UPI//Delivered*On-time Delivery: Delivered on time")</f>
        <v>//ord_41057//Pranav Joshi//Andheri//Cucumber+1*Vivek Kumar/9/12/2023//UPI//Delivered*On-time Delivery: Delivered on time</v>
      </c>
      <c r="B1079" s="14" t="str">
        <f>IFERROR(__xludf.DUMMYFUNCTION("split(A1079,""//"")"),"ord_41057")</f>
        <v>ord_41057</v>
      </c>
      <c r="C1079" s="14" t="str">
        <f>IFERROR(__xludf.DUMMYFUNCTION("""COMPUTED_VALUE"""),"Pranav Joshi")</f>
        <v>Pranav Joshi</v>
      </c>
      <c r="D1079" s="14" t="str">
        <f>IFERROR(__xludf.DUMMYFUNCTION("""COMPUTED_VALUE"""),"Andheri")</f>
        <v>Andheri</v>
      </c>
      <c r="E1079" s="14" t="str">
        <f>IFERROR(__xludf.DUMMYFUNCTION("""COMPUTED_VALUE"""),"Cucumber+1*Vivek Kumar")</f>
        <v>Cucumber+1*Vivek Kumar</v>
      </c>
      <c r="F1079" s="14">
        <f>IFERROR(__xludf.DUMMYFUNCTION("""COMPUTED_VALUE"""),9.0)</f>
        <v>9</v>
      </c>
      <c r="G1079" s="14">
        <f>IFERROR(__xludf.DUMMYFUNCTION("""COMPUTED_VALUE"""),12.0)</f>
        <v>12</v>
      </c>
      <c r="H1079" s="14">
        <f>IFERROR(__xludf.DUMMYFUNCTION("""COMPUTED_VALUE"""),2023.0)</f>
        <v>2023</v>
      </c>
      <c r="I1079" s="14" t="str">
        <f>IFERROR(__xludf.DUMMYFUNCTION("""COMPUTED_VALUE"""),"UPI")</f>
        <v>UPI</v>
      </c>
      <c r="J1079" s="14" t="str">
        <f>IFERROR(__xludf.DUMMYFUNCTION("""COMPUTED_VALUE"""),"Delivered*On-time Delivery: Delivered on time")</f>
        <v>Delivered*On-time Delivery: Delivered on time</v>
      </c>
      <c r="K1079" s="14" t="str">
        <f>IFERROR(__xludf.DUMMYFUNCTION("split(E1079,""+"")"),"Cucumber")</f>
        <v>Cucumber</v>
      </c>
      <c r="L1079" s="14" t="str">
        <f>IFERROR(__xludf.DUMMYFUNCTION("""COMPUTED_VALUE"""),"1*Vivek Kumar")</f>
        <v>1*Vivek Kumar</v>
      </c>
      <c r="M1079" s="14">
        <f>IFERROR(__xludf.DUMMYFUNCTION("SPLIT(L1079,""*"")"),1.0)</f>
        <v>1</v>
      </c>
      <c r="N1079" s="14" t="str">
        <f>IFERROR(__xludf.DUMMYFUNCTION("""COMPUTED_VALUE"""),"Vivek Kumar")</f>
        <v>Vivek Kumar</v>
      </c>
      <c r="O1079" s="14" t="str">
        <f>IFERROR(__xludf.DUMMYFUNCTION("split(J1079,""*"")"),"Delivered")</f>
        <v>Delivered</v>
      </c>
      <c r="P1079" s="14" t="str">
        <f>IFERROR(__xludf.DUMMYFUNCTION("""COMPUTED_VALUE"""),"On-time Delivery: Delivered on time")</f>
        <v>On-time Delivery: Delivered on time</v>
      </c>
      <c r="Q1079" s="14" t="str">
        <f>IFERROR(__xludf.DUMMYFUNCTION("split(P1079,"":"")"),"On-time Delivery")</f>
        <v>On-time Delivery</v>
      </c>
      <c r="R1079" s="14" t="str">
        <f>IFERROR(__xludf.DUMMYFUNCTION("""COMPUTED_VALUE""")," Delivered on time")</f>
        <v> Delivered on time</v>
      </c>
      <c r="S1079" s="14" t="str">
        <f t="shared" ref="S1079:U1079" si="2161">trim(B1079)</f>
        <v>ord_41057</v>
      </c>
      <c r="T1079" s="14" t="str">
        <f t="shared" si="2161"/>
        <v>Pranav Joshi</v>
      </c>
      <c r="U1079" s="14" t="str">
        <f t="shared" si="2161"/>
        <v>Andheri</v>
      </c>
      <c r="V1079" s="14" t="str">
        <f t="shared" si="4"/>
        <v>Cucumber</v>
      </c>
      <c r="W1079" s="14">
        <f t="shared" si="5"/>
        <v>1</v>
      </c>
      <c r="X1079" s="14" t="str">
        <f t="shared" si="6"/>
        <v>Vivek Kumar</v>
      </c>
      <c r="Y1079" s="15">
        <f t="shared" si="7"/>
        <v>45181</v>
      </c>
      <c r="Z1079" s="14" t="str">
        <f t="shared" si="8"/>
        <v>UPI</v>
      </c>
      <c r="AA1079" s="14" t="str">
        <f t="shared" si="9"/>
        <v>Delivered</v>
      </c>
      <c r="AB1079" s="14" t="str">
        <f t="shared" ref="AB1079:AC1079" si="2162">trim(Q1079)</f>
        <v>On-time Delivery</v>
      </c>
      <c r="AC1079" s="14" t="str">
        <f t="shared" si="2162"/>
        <v>Delivered on time</v>
      </c>
      <c r="AD1079" s="8"/>
    </row>
    <row r="1080">
      <c r="A1080" s="14" t="str">
        <f>IFERROR(__xludf.DUMMYFUNCTION("""COMPUTED_VALUE"""),"//ord_41058//Aditi Iyer//Dadar//Veg Puff+3*Sita T/5/8/2023//UPI//Delivered*Quality of Items: Perfect condition")</f>
        <v>//ord_41058//Aditi Iyer//Dadar//Veg Puff+3*Sita T/5/8/2023//UPI//Delivered*Quality of Items: Perfect condition</v>
      </c>
      <c r="B1080" s="14" t="str">
        <f>IFERROR(__xludf.DUMMYFUNCTION("split(A1080,""//"")"),"ord_41058")</f>
        <v>ord_41058</v>
      </c>
      <c r="C1080" s="14" t="str">
        <f>IFERROR(__xludf.DUMMYFUNCTION("""COMPUTED_VALUE"""),"Aditi Iyer")</f>
        <v>Aditi Iyer</v>
      </c>
      <c r="D1080" s="14" t="str">
        <f>IFERROR(__xludf.DUMMYFUNCTION("""COMPUTED_VALUE"""),"Dadar")</f>
        <v>Dadar</v>
      </c>
      <c r="E1080" s="14" t="str">
        <f>IFERROR(__xludf.DUMMYFUNCTION("""COMPUTED_VALUE"""),"Veg Puff+3*Sita T")</f>
        <v>Veg Puff+3*Sita T</v>
      </c>
      <c r="F1080" s="14">
        <f>IFERROR(__xludf.DUMMYFUNCTION("""COMPUTED_VALUE"""),5.0)</f>
        <v>5</v>
      </c>
      <c r="G1080" s="14">
        <f>IFERROR(__xludf.DUMMYFUNCTION("""COMPUTED_VALUE"""),8.0)</f>
        <v>8</v>
      </c>
      <c r="H1080" s="14">
        <f>IFERROR(__xludf.DUMMYFUNCTION("""COMPUTED_VALUE"""),2023.0)</f>
        <v>2023</v>
      </c>
      <c r="I1080" s="14" t="str">
        <f>IFERROR(__xludf.DUMMYFUNCTION("""COMPUTED_VALUE"""),"UPI")</f>
        <v>UPI</v>
      </c>
      <c r="J1080" s="14" t="str">
        <f>IFERROR(__xludf.DUMMYFUNCTION("""COMPUTED_VALUE"""),"Delivered*Quality of Items: Perfect condition")</f>
        <v>Delivered*Quality of Items: Perfect condition</v>
      </c>
      <c r="K1080" s="14" t="str">
        <f>IFERROR(__xludf.DUMMYFUNCTION("split(E1080,""+"")"),"Veg Puff")</f>
        <v>Veg Puff</v>
      </c>
      <c r="L1080" s="14" t="str">
        <f>IFERROR(__xludf.DUMMYFUNCTION("""COMPUTED_VALUE"""),"3*Sita T")</f>
        <v>3*Sita T</v>
      </c>
      <c r="M1080" s="14">
        <f>IFERROR(__xludf.DUMMYFUNCTION("SPLIT(L1080,""*"")"),3.0)</f>
        <v>3</v>
      </c>
      <c r="N1080" s="14" t="str">
        <f>IFERROR(__xludf.DUMMYFUNCTION("""COMPUTED_VALUE"""),"Sita T")</f>
        <v>Sita T</v>
      </c>
      <c r="O1080" s="14" t="str">
        <f>IFERROR(__xludf.DUMMYFUNCTION("split(J1080,""*"")"),"Delivered")</f>
        <v>Delivered</v>
      </c>
      <c r="P1080" s="14" t="str">
        <f>IFERROR(__xludf.DUMMYFUNCTION("""COMPUTED_VALUE"""),"Quality of Items: Perfect condition")</f>
        <v>Quality of Items: Perfect condition</v>
      </c>
      <c r="Q1080" s="14" t="str">
        <f>IFERROR(__xludf.DUMMYFUNCTION("split(P1080,"":"")"),"Quality of Items")</f>
        <v>Quality of Items</v>
      </c>
      <c r="R1080" s="14" t="str">
        <f>IFERROR(__xludf.DUMMYFUNCTION("""COMPUTED_VALUE""")," Perfect condition")</f>
        <v> Perfect condition</v>
      </c>
      <c r="S1080" s="14" t="str">
        <f t="shared" ref="S1080:U1080" si="2163">trim(B1080)</f>
        <v>ord_41058</v>
      </c>
      <c r="T1080" s="14" t="str">
        <f t="shared" si="2163"/>
        <v>Aditi Iyer</v>
      </c>
      <c r="U1080" s="14" t="str">
        <f t="shared" si="2163"/>
        <v>Dadar</v>
      </c>
      <c r="V1080" s="14" t="str">
        <f t="shared" si="4"/>
        <v>Veg Puff</v>
      </c>
      <c r="W1080" s="14">
        <f t="shared" si="5"/>
        <v>3</v>
      </c>
      <c r="X1080" s="14" t="str">
        <f t="shared" si="6"/>
        <v>Sita T</v>
      </c>
      <c r="Y1080" s="15">
        <f t="shared" si="7"/>
        <v>45054</v>
      </c>
      <c r="Z1080" s="14" t="str">
        <f t="shared" si="8"/>
        <v>UPI</v>
      </c>
      <c r="AA1080" s="14" t="str">
        <f t="shared" si="9"/>
        <v>Delivered</v>
      </c>
      <c r="AB1080" s="14" t="str">
        <f t="shared" ref="AB1080:AC1080" si="2164">trim(Q1080)</f>
        <v>Quality of Items</v>
      </c>
      <c r="AC1080" s="14" t="str">
        <f t="shared" si="2164"/>
        <v>Perfect condition</v>
      </c>
      <c r="AD1080" s="8"/>
    </row>
    <row r="1081">
      <c r="A1081" s="14" t="str">
        <f>IFERROR(__xludf.DUMMYFUNCTION("""COMPUTED_VALUE"""),"//ord_41059//Sanjay Nair//Dadar//Chilli Cheese Toast+2*Manju Ajay/4/4/2023//COD//Delivered*Packaging: Secure and intact")</f>
        <v>//ord_41059//Sanjay Nair//Dadar//Chilli Cheese Toast+2*Manju Ajay/4/4/2023//COD//Delivered*Packaging: Secure and intact</v>
      </c>
      <c r="B1081" s="14" t="str">
        <f>IFERROR(__xludf.DUMMYFUNCTION("split(A1081,""//"")"),"ord_41059")</f>
        <v>ord_41059</v>
      </c>
      <c r="C1081" s="14" t="str">
        <f>IFERROR(__xludf.DUMMYFUNCTION("""COMPUTED_VALUE"""),"Sanjay Nair")</f>
        <v>Sanjay Nair</v>
      </c>
      <c r="D1081" s="14" t="str">
        <f>IFERROR(__xludf.DUMMYFUNCTION("""COMPUTED_VALUE"""),"Dadar")</f>
        <v>Dadar</v>
      </c>
      <c r="E1081" s="14" t="str">
        <f>IFERROR(__xludf.DUMMYFUNCTION("""COMPUTED_VALUE"""),"Chilli Cheese Toast+2*Manju Ajay")</f>
        <v>Chilli Cheese Toast+2*Manju Ajay</v>
      </c>
      <c r="F1081" s="14">
        <f>IFERROR(__xludf.DUMMYFUNCTION("""COMPUTED_VALUE"""),4.0)</f>
        <v>4</v>
      </c>
      <c r="G1081" s="14">
        <f>IFERROR(__xludf.DUMMYFUNCTION("""COMPUTED_VALUE"""),4.0)</f>
        <v>4</v>
      </c>
      <c r="H1081" s="14">
        <f>IFERROR(__xludf.DUMMYFUNCTION("""COMPUTED_VALUE"""),2023.0)</f>
        <v>2023</v>
      </c>
      <c r="I1081" s="14" t="str">
        <f>IFERROR(__xludf.DUMMYFUNCTION("""COMPUTED_VALUE"""),"COD")</f>
        <v>COD</v>
      </c>
      <c r="J1081" s="14" t="str">
        <f>IFERROR(__xludf.DUMMYFUNCTION("""COMPUTED_VALUE"""),"Delivered*Packaging: Secure and intact")</f>
        <v>Delivered*Packaging: Secure and intact</v>
      </c>
      <c r="K1081" s="14" t="str">
        <f>IFERROR(__xludf.DUMMYFUNCTION("split(E1081,""+"")"),"Chilli Cheese Toast")</f>
        <v>Chilli Cheese Toast</v>
      </c>
      <c r="L1081" s="14" t="str">
        <f>IFERROR(__xludf.DUMMYFUNCTION("""COMPUTED_VALUE"""),"2*Manju Ajay")</f>
        <v>2*Manju Ajay</v>
      </c>
      <c r="M1081" s="14">
        <f>IFERROR(__xludf.DUMMYFUNCTION("SPLIT(L1081,""*"")"),2.0)</f>
        <v>2</v>
      </c>
      <c r="N1081" s="14" t="str">
        <f>IFERROR(__xludf.DUMMYFUNCTION("""COMPUTED_VALUE"""),"Manju Ajay")</f>
        <v>Manju Ajay</v>
      </c>
      <c r="O1081" s="14" t="str">
        <f>IFERROR(__xludf.DUMMYFUNCTION("split(J1081,""*"")"),"Delivered")</f>
        <v>Delivered</v>
      </c>
      <c r="P1081" s="14" t="str">
        <f>IFERROR(__xludf.DUMMYFUNCTION("""COMPUTED_VALUE"""),"Packaging: Secure and intact")</f>
        <v>Packaging: Secure and intact</v>
      </c>
      <c r="Q1081" s="14" t="str">
        <f>IFERROR(__xludf.DUMMYFUNCTION("split(P1081,"":"")"),"Packaging")</f>
        <v>Packaging</v>
      </c>
      <c r="R1081" s="14" t="str">
        <f>IFERROR(__xludf.DUMMYFUNCTION("""COMPUTED_VALUE""")," Secure and intact")</f>
        <v> Secure and intact</v>
      </c>
      <c r="S1081" s="14" t="str">
        <f t="shared" ref="S1081:U1081" si="2165">trim(B1081)</f>
        <v>ord_41059</v>
      </c>
      <c r="T1081" s="14" t="str">
        <f t="shared" si="2165"/>
        <v>Sanjay Nair</v>
      </c>
      <c r="U1081" s="14" t="str">
        <f t="shared" si="2165"/>
        <v>Dadar</v>
      </c>
      <c r="V1081" s="14" t="str">
        <f t="shared" si="4"/>
        <v>Chilli Cheese Toast</v>
      </c>
      <c r="W1081" s="14">
        <f t="shared" si="5"/>
        <v>2</v>
      </c>
      <c r="X1081" s="14" t="str">
        <f t="shared" si="6"/>
        <v>Manju Ajay</v>
      </c>
      <c r="Y1081" s="15">
        <f t="shared" si="7"/>
        <v>45020</v>
      </c>
      <c r="Z1081" s="14" t="str">
        <f t="shared" si="8"/>
        <v>COD</v>
      </c>
      <c r="AA1081" s="14" t="str">
        <f t="shared" si="9"/>
        <v>Delivered</v>
      </c>
      <c r="AB1081" s="14" t="str">
        <f t="shared" ref="AB1081:AC1081" si="2166">trim(Q1081)</f>
        <v>Packaging</v>
      </c>
      <c r="AC1081" s="14" t="str">
        <f t="shared" si="2166"/>
        <v>Secure and intact</v>
      </c>
      <c r="AD1081" s="8"/>
    </row>
    <row r="1082">
      <c r="A1082" s="14" t="str">
        <f>IFERROR(__xludf.DUMMYFUNCTION("""COMPUTED_VALUE"""),"//ord_41060//Ishaan Chaturvedi//Bandra//Chocolate Mousse+3*Manju Ajay/8/26/2023//UPI//Delivered*Satisfied with the Delivery: Timely and quality")</f>
        <v>//ord_41060//Ishaan Chaturvedi//Bandra//Chocolate Mousse+3*Manju Ajay/8/26/2023//UPI//Delivered*Satisfied with the Delivery: Timely and quality</v>
      </c>
      <c r="B1082" s="14" t="str">
        <f>IFERROR(__xludf.DUMMYFUNCTION("split(A1082,""//"")"),"ord_41060")</f>
        <v>ord_41060</v>
      </c>
      <c r="C1082" s="14" t="str">
        <f>IFERROR(__xludf.DUMMYFUNCTION("""COMPUTED_VALUE"""),"Ishaan Chaturvedi")</f>
        <v>Ishaan Chaturvedi</v>
      </c>
      <c r="D1082" s="14" t="str">
        <f>IFERROR(__xludf.DUMMYFUNCTION("""COMPUTED_VALUE"""),"Bandra")</f>
        <v>Bandra</v>
      </c>
      <c r="E1082" s="14" t="str">
        <f>IFERROR(__xludf.DUMMYFUNCTION("""COMPUTED_VALUE"""),"Chocolate Mousse+3*Manju Ajay")</f>
        <v>Chocolate Mousse+3*Manju Ajay</v>
      </c>
      <c r="F1082" s="14">
        <f>IFERROR(__xludf.DUMMYFUNCTION("""COMPUTED_VALUE"""),8.0)</f>
        <v>8</v>
      </c>
      <c r="G1082" s="14">
        <f>IFERROR(__xludf.DUMMYFUNCTION("""COMPUTED_VALUE"""),26.0)</f>
        <v>26</v>
      </c>
      <c r="H1082" s="14">
        <f>IFERROR(__xludf.DUMMYFUNCTION("""COMPUTED_VALUE"""),2023.0)</f>
        <v>2023</v>
      </c>
      <c r="I1082" s="14" t="str">
        <f>IFERROR(__xludf.DUMMYFUNCTION("""COMPUTED_VALUE"""),"UPI")</f>
        <v>UPI</v>
      </c>
      <c r="J1082" s="14" t="str">
        <f>IFERROR(__xludf.DUMMYFUNCTION("""COMPUTED_VALUE"""),"Delivered*Satisfied with the Delivery: Timely and quality")</f>
        <v>Delivered*Satisfied with the Delivery: Timely and quality</v>
      </c>
      <c r="K1082" s="14" t="str">
        <f>IFERROR(__xludf.DUMMYFUNCTION("split(E1082,""+"")"),"Chocolate Mousse")</f>
        <v>Chocolate Mousse</v>
      </c>
      <c r="L1082" s="14" t="str">
        <f>IFERROR(__xludf.DUMMYFUNCTION("""COMPUTED_VALUE"""),"3*Manju Ajay")</f>
        <v>3*Manju Ajay</v>
      </c>
      <c r="M1082" s="14">
        <f>IFERROR(__xludf.DUMMYFUNCTION("SPLIT(L1082,""*"")"),3.0)</f>
        <v>3</v>
      </c>
      <c r="N1082" s="14" t="str">
        <f>IFERROR(__xludf.DUMMYFUNCTION("""COMPUTED_VALUE"""),"Manju Ajay")</f>
        <v>Manju Ajay</v>
      </c>
      <c r="O1082" s="14" t="str">
        <f>IFERROR(__xludf.DUMMYFUNCTION("split(J1082,""*"")"),"Delivered")</f>
        <v>Delivered</v>
      </c>
      <c r="P1082" s="14" t="str">
        <f>IFERROR(__xludf.DUMMYFUNCTION("""COMPUTED_VALUE"""),"Satisfied with the Delivery: Timely and quality")</f>
        <v>Satisfied with the Delivery: Timely and quality</v>
      </c>
      <c r="Q1082" s="14" t="str">
        <f>IFERROR(__xludf.DUMMYFUNCTION("split(P1082,"":"")"),"Satisfied with the Delivery")</f>
        <v>Satisfied with the Delivery</v>
      </c>
      <c r="R1082" s="14" t="str">
        <f>IFERROR(__xludf.DUMMYFUNCTION("""COMPUTED_VALUE""")," Timely and quality")</f>
        <v> Timely and quality</v>
      </c>
      <c r="S1082" s="14" t="str">
        <f t="shared" ref="S1082:U1082" si="2167">trim(B1082)</f>
        <v>ord_41060</v>
      </c>
      <c r="T1082" s="14" t="str">
        <f t="shared" si="2167"/>
        <v>Ishaan Chaturvedi</v>
      </c>
      <c r="U1082" s="14" t="str">
        <f t="shared" si="2167"/>
        <v>Bandra</v>
      </c>
      <c r="V1082" s="14" t="str">
        <f t="shared" si="4"/>
        <v>Chocolate Mousse</v>
      </c>
      <c r="W1082" s="14">
        <f t="shared" si="5"/>
        <v>3</v>
      </c>
      <c r="X1082" s="14" t="str">
        <f t="shared" si="6"/>
        <v>Manju Ajay</v>
      </c>
      <c r="Y1082" s="15">
        <f t="shared" si="7"/>
        <v>45164</v>
      </c>
      <c r="Z1082" s="14" t="str">
        <f t="shared" si="8"/>
        <v>UPI</v>
      </c>
      <c r="AA1082" s="14" t="str">
        <f t="shared" si="9"/>
        <v>Delivered</v>
      </c>
      <c r="AB1082" s="14" t="str">
        <f t="shared" ref="AB1082:AC1082" si="2168">trim(Q1082)</f>
        <v>Satisfied with the Delivery</v>
      </c>
      <c r="AC1082" s="14" t="str">
        <f t="shared" si="2168"/>
        <v>Timely and quality</v>
      </c>
      <c r="AD1082" s="8"/>
    </row>
    <row r="1083">
      <c r="A1083" s="14" t="str">
        <f>IFERROR(__xludf.DUMMYFUNCTION("""COMPUTED_VALUE"""),"//ord_41061//Kritika Shetty//Malad//Chicken Puff+4*Not Assigned/1/26/2023//Online Payment//Cancelled*App Glitches:Slow Loading Time")</f>
        <v>//ord_41061//Kritika Shetty//Malad//Chicken Puff+4*Not Assigned/1/26/2023//Online Payment//Cancelled*App Glitches:Slow Loading Time</v>
      </c>
      <c r="B1083" s="14" t="str">
        <f>IFERROR(__xludf.DUMMYFUNCTION("split(A1083,""//"")"),"ord_41061")</f>
        <v>ord_41061</v>
      </c>
      <c r="C1083" s="14" t="str">
        <f>IFERROR(__xludf.DUMMYFUNCTION("""COMPUTED_VALUE"""),"Kritika Shetty")</f>
        <v>Kritika Shetty</v>
      </c>
      <c r="D1083" s="14" t="str">
        <f>IFERROR(__xludf.DUMMYFUNCTION("""COMPUTED_VALUE"""),"Malad")</f>
        <v>Malad</v>
      </c>
      <c r="E1083" s="14" t="str">
        <f>IFERROR(__xludf.DUMMYFUNCTION("""COMPUTED_VALUE"""),"Chicken Puff+4*Not Assigned")</f>
        <v>Chicken Puff+4*Not Assigned</v>
      </c>
      <c r="F1083" s="14">
        <f>IFERROR(__xludf.DUMMYFUNCTION("""COMPUTED_VALUE"""),1.0)</f>
        <v>1</v>
      </c>
      <c r="G1083" s="14">
        <f>IFERROR(__xludf.DUMMYFUNCTION("""COMPUTED_VALUE"""),26.0)</f>
        <v>26</v>
      </c>
      <c r="H1083" s="14">
        <f>IFERROR(__xludf.DUMMYFUNCTION("""COMPUTED_VALUE"""),2023.0)</f>
        <v>2023</v>
      </c>
      <c r="I1083" s="14" t="str">
        <f>IFERROR(__xludf.DUMMYFUNCTION("""COMPUTED_VALUE"""),"Online Payment")</f>
        <v>Online Payment</v>
      </c>
      <c r="J1083" s="14" t="str">
        <f>IFERROR(__xludf.DUMMYFUNCTION("""COMPUTED_VALUE"""),"Cancelled*App Glitches:Slow Loading Time")</f>
        <v>Cancelled*App Glitches:Slow Loading Time</v>
      </c>
      <c r="K1083" s="14" t="str">
        <f>IFERROR(__xludf.DUMMYFUNCTION("split(E1083,""+"")"),"Chicken Puff")</f>
        <v>Chicken Puff</v>
      </c>
      <c r="L1083" s="14" t="str">
        <f>IFERROR(__xludf.DUMMYFUNCTION("""COMPUTED_VALUE"""),"4*Not Assigned")</f>
        <v>4*Not Assigned</v>
      </c>
      <c r="M1083" s="14">
        <f>IFERROR(__xludf.DUMMYFUNCTION("SPLIT(L1083,""*"")"),4.0)</f>
        <v>4</v>
      </c>
      <c r="N1083" s="14" t="str">
        <f>IFERROR(__xludf.DUMMYFUNCTION("""COMPUTED_VALUE"""),"Not Assigned")</f>
        <v>Not Assigned</v>
      </c>
      <c r="O1083" s="14" t="str">
        <f>IFERROR(__xludf.DUMMYFUNCTION("split(J1083,""*"")"),"Cancelled")</f>
        <v>Cancelled</v>
      </c>
      <c r="P1083" s="14" t="str">
        <f>IFERROR(__xludf.DUMMYFUNCTION("""COMPUTED_VALUE"""),"App Glitches:Slow Loading Time")</f>
        <v>App Glitches:Slow Loading Time</v>
      </c>
      <c r="Q1083" s="14" t="str">
        <f>IFERROR(__xludf.DUMMYFUNCTION("split(P1083,"":"")"),"App Glitches")</f>
        <v>App Glitches</v>
      </c>
      <c r="R1083" s="14" t="str">
        <f>IFERROR(__xludf.DUMMYFUNCTION("""COMPUTED_VALUE"""),"Slow Loading Time")</f>
        <v>Slow Loading Time</v>
      </c>
      <c r="S1083" s="14" t="str">
        <f t="shared" ref="S1083:U1083" si="2169">trim(B1083)</f>
        <v>ord_41061</v>
      </c>
      <c r="T1083" s="14" t="str">
        <f t="shared" si="2169"/>
        <v>Kritika Shetty</v>
      </c>
      <c r="U1083" s="14" t="str">
        <f t="shared" si="2169"/>
        <v>Malad</v>
      </c>
      <c r="V1083" s="14" t="str">
        <f t="shared" si="4"/>
        <v>Chicken Puff</v>
      </c>
      <c r="W1083" s="14">
        <f t="shared" si="5"/>
        <v>4</v>
      </c>
      <c r="X1083" s="14" t="str">
        <f t="shared" si="6"/>
        <v>Not Assigned</v>
      </c>
      <c r="Y1083" s="15">
        <f t="shared" si="7"/>
        <v>44952</v>
      </c>
      <c r="Z1083" s="14" t="str">
        <f t="shared" si="8"/>
        <v>Online Payment</v>
      </c>
      <c r="AA1083" s="14" t="str">
        <f t="shared" si="9"/>
        <v>Cancelled</v>
      </c>
      <c r="AB1083" s="14" t="str">
        <f t="shared" ref="AB1083:AC1083" si="2170">trim(Q1083)</f>
        <v>App Glitches</v>
      </c>
      <c r="AC1083" s="14" t="str">
        <f t="shared" si="2170"/>
        <v>Slow Loading Time</v>
      </c>
      <c r="AD1083" s="8"/>
    </row>
    <row r="1084">
      <c r="A1084" s="14" t="str">
        <f>IFERROR(__xludf.DUMMYFUNCTION("""COMPUTED_VALUE"""),"//ord_41062//Sanjay Nair//Dadar//Juice+5*Nikhil Deshmukh/3/25/2023//Online Payment//Cancelled*Delayed Delivery:Bad Weather Conditions ")</f>
        <v>//ord_41062//Sanjay Nair//Dadar//Juice+5*Nikhil Deshmukh/3/25/2023//Online Payment//Cancelled*Delayed Delivery:Bad Weather Conditions </v>
      </c>
      <c r="B1084" s="14" t="str">
        <f>IFERROR(__xludf.DUMMYFUNCTION("split(A1084,""//"")"),"ord_41062")</f>
        <v>ord_41062</v>
      </c>
      <c r="C1084" s="14" t="str">
        <f>IFERROR(__xludf.DUMMYFUNCTION("""COMPUTED_VALUE"""),"Sanjay Nair")</f>
        <v>Sanjay Nair</v>
      </c>
      <c r="D1084" s="14" t="str">
        <f>IFERROR(__xludf.DUMMYFUNCTION("""COMPUTED_VALUE"""),"Dadar")</f>
        <v>Dadar</v>
      </c>
      <c r="E1084" s="14" t="str">
        <f>IFERROR(__xludf.DUMMYFUNCTION("""COMPUTED_VALUE"""),"Juice+5*Nikhil Deshmukh")</f>
        <v>Juice+5*Nikhil Deshmukh</v>
      </c>
      <c r="F1084" s="14">
        <f>IFERROR(__xludf.DUMMYFUNCTION("""COMPUTED_VALUE"""),3.0)</f>
        <v>3</v>
      </c>
      <c r="G1084" s="14">
        <f>IFERROR(__xludf.DUMMYFUNCTION("""COMPUTED_VALUE"""),25.0)</f>
        <v>25</v>
      </c>
      <c r="H1084" s="14">
        <f>IFERROR(__xludf.DUMMYFUNCTION("""COMPUTED_VALUE"""),2023.0)</f>
        <v>2023</v>
      </c>
      <c r="I1084" s="14" t="str">
        <f>IFERROR(__xludf.DUMMYFUNCTION("""COMPUTED_VALUE"""),"Online Payment")</f>
        <v>Online Payment</v>
      </c>
      <c r="J1084" s="14" t="str">
        <f>IFERROR(__xludf.DUMMYFUNCTION("""COMPUTED_VALUE"""),"Cancelled*Delayed Delivery:Bad Weather Conditions ")</f>
        <v>Cancelled*Delayed Delivery:Bad Weather Conditions </v>
      </c>
      <c r="K1084" s="14" t="str">
        <f>IFERROR(__xludf.DUMMYFUNCTION("split(E1084,""+"")"),"Juice")</f>
        <v>Juice</v>
      </c>
      <c r="L1084" s="14" t="str">
        <f>IFERROR(__xludf.DUMMYFUNCTION("""COMPUTED_VALUE"""),"5*Nikhil Deshmukh")</f>
        <v>5*Nikhil Deshmukh</v>
      </c>
      <c r="M1084" s="14">
        <f>IFERROR(__xludf.DUMMYFUNCTION("SPLIT(L1084,""*"")"),5.0)</f>
        <v>5</v>
      </c>
      <c r="N1084" s="14" t="str">
        <f>IFERROR(__xludf.DUMMYFUNCTION("""COMPUTED_VALUE"""),"Nikhil Deshmukh")</f>
        <v>Nikhil Deshmukh</v>
      </c>
      <c r="O1084" s="14" t="str">
        <f>IFERROR(__xludf.DUMMYFUNCTION("split(J1084,""*"")"),"Cancelled")</f>
        <v>Cancelled</v>
      </c>
      <c r="P1084" s="14" t="str">
        <f>IFERROR(__xludf.DUMMYFUNCTION("""COMPUTED_VALUE"""),"Delayed Delivery:Bad Weather Conditions ")</f>
        <v>Delayed Delivery:Bad Weather Conditions </v>
      </c>
      <c r="Q1084" s="14" t="str">
        <f>IFERROR(__xludf.DUMMYFUNCTION("split(P1084,"":"")"),"Delayed Delivery")</f>
        <v>Delayed Delivery</v>
      </c>
      <c r="R1084" s="14" t="str">
        <f>IFERROR(__xludf.DUMMYFUNCTION("""COMPUTED_VALUE"""),"Bad Weather Conditions ")</f>
        <v>Bad Weather Conditions </v>
      </c>
      <c r="S1084" s="14" t="str">
        <f t="shared" ref="S1084:U1084" si="2171">trim(B1084)</f>
        <v>ord_41062</v>
      </c>
      <c r="T1084" s="14" t="str">
        <f t="shared" si="2171"/>
        <v>Sanjay Nair</v>
      </c>
      <c r="U1084" s="14" t="str">
        <f t="shared" si="2171"/>
        <v>Dadar</v>
      </c>
      <c r="V1084" s="14" t="str">
        <f t="shared" si="4"/>
        <v>Juice</v>
      </c>
      <c r="W1084" s="14">
        <f t="shared" si="5"/>
        <v>5</v>
      </c>
      <c r="X1084" s="14" t="str">
        <f t="shared" si="6"/>
        <v>Nikhil Deshmukh</v>
      </c>
      <c r="Y1084" s="15">
        <f t="shared" si="7"/>
        <v>45010</v>
      </c>
      <c r="Z1084" s="14" t="str">
        <f t="shared" si="8"/>
        <v>Online Payment</v>
      </c>
      <c r="AA1084" s="14" t="str">
        <f t="shared" si="9"/>
        <v>Cancelled</v>
      </c>
      <c r="AB1084" s="14" t="str">
        <f t="shared" ref="AB1084:AC1084" si="2172">trim(Q1084)</f>
        <v>Delayed Delivery</v>
      </c>
      <c r="AC1084" s="14" t="str">
        <f t="shared" si="2172"/>
        <v>Bad Weather Conditions</v>
      </c>
      <c r="AD1084" s="8"/>
    </row>
    <row r="1085">
      <c r="A1085" s="14" t="str">
        <f>IFERROR(__xludf.DUMMYFUNCTION("""COMPUTED_VALUE"""),"//ord_41063//Ishaan Chaturvedi//Bandra//Veg Puff+4*Not Assigned/7/21/2023//UPI//Cancelled*Payment Issues")</f>
        <v>//ord_41063//Ishaan Chaturvedi//Bandra//Veg Puff+4*Not Assigned/7/21/2023//UPI//Cancelled*Payment Issues</v>
      </c>
      <c r="B1085" s="14" t="str">
        <f>IFERROR(__xludf.DUMMYFUNCTION("split(A1085,""//"")"),"ord_41063")</f>
        <v>ord_41063</v>
      </c>
      <c r="C1085" s="14" t="str">
        <f>IFERROR(__xludf.DUMMYFUNCTION("""COMPUTED_VALUE"""),"Ishaan Chaturvedi")</f>
        <v>Ishaan Chaturvedi</v>
      </c>
      <c r="D1085" s="14" t="str">
        <f>IFERROR(__xludf.DUMMYFUNCTION("""COMPUTED_VALUE"""),"Bandra")</f>
        <v>Bandra</v>
      </c>
      <c r="E1085" s="14" t="str">
        <f>IFERROR(__xludf.DUMMYFUNCTION("""COMPUTED_VALUE"""),"Veg Puff+4*Not Assigned")</f>
        <v>Veg Puff+4*Not Assigned</v>
      </c>
      <c r="F1085" s="14">
        <f>IFERROR(__xludf.DUMMYFUNCTION("""COMPUTED_VALUE"""),7.0)</f>
        <v>7</v>
      </c>
      <c r="G1085" s="14">
        <f>IFERROR(__xludf.DUMMYFUNCTION("""COMPUTED_VALUE"""),21.0)</f>
        <v>21</v>
      </c>
      <c r="H1085" s="14">
        <f>IFERROR(__xludf.DUMMYFUNCTION("""COMPUTED_VALUE"""),2023.0)</f>
        <v>2023</v>
      </c>
      <c r="I1085" s="14" t="str">
        <f>IFERROR(__xludf.DUMMYFUNCTION("""COMPUTED_VALUE"""),"UPI")</f>
        <v>UPI</v>
      </c>
      <c r="J1085" s="14" t="str">
        <f>IFERROR(__xludf.DUMMYFUNCTION("""COMPUTED_VALUE"""),"Cancelled*Payment Issues")</f>
        <v>Cancelled*Payment Issues</v>
      </c>
      <c r="K1085" s="14" t="str">
        <f>IFERROR(__xludf.DUMMYFUNCTION("split(E1085,""+"")"),"Veg Puff")</f>
        <v>Veg Puff</v>
      </c>
      <c r="L1085" s="14" t="str">
        <f>IFERROR(__xludf.DUMMYFUNCTION("""COMPUTED_VALUE"""),"4*Not Assigned")</f>
        <v>4*Not Assigned</v>
      </c>
      <c r="M1085" s="14">
        <f>IFERROR(__xludf.DUMMYFUNCTION("SPLIT(L1085,""*"")"),4.0)</f>
        <v>4</v>
      </c>
      <c r="N1085" s="14" t="str">
        <f>IFERROR(__xludf.DUMMYFUNCTION("""COMPUTED_VALUE"""),"Not Assigned")</f>
        <v>Not Assigned</v>
      </c>
      <c r="O1085" s="14" t="str">
        <f>IFERROR(__xludf.DUMMYFUNCTION("split(J1085,""*"")"),"Cancelled")</f>
        <v>Cancelled</v>
      </c>
      <c r="P1085" s="14" t="str">
        <f>IFERROR(__xludf.DUMMYFUNCTION("""COMPUTED_VALUE"""),"Payment Issues")</f>
        <v>Payment Issues</v>
      </c>
      <c r="Q1085" s="14" t="str">
        <f>IFERROR(__xludf.DUMMYFUNCTION("split(P1085,"":"")"),"Payment Issues")</f>
        <v>Payment Issues</v>
      </c>
      <c r="R1085" s="14"/>
      <c r="S1085" s="14" t="str">
        <f t="shared" ref="S1085:U1085" si="2173">trim(B1085)</f>
        <v>ord_41063</v>
      </c>
      <c r="T1085" s="14" t="str">
        <f t="shared" si="2173"/>
        <v>Ishaan Chaturvedi</v>
      </c>
      <c r="U1085" s="14" t="str">
        <f t="shared" si="2173"/>
        <v>Bandra</v>
      </c>
      <c r="V1085" s="14" t="str">
        <f t="shared" si="4"/>
        <v>Veg Puff</v>
      </c>
      <c r="W1085" s="14">
        <f t="shared" si="5"/>
        <v>4</v>
      </c>
      <c r="X1085" s="14" t="str">
        <f t="shared" si="6"/>
        <v>Not Assigned</v>
      </c>
      <c r="Y1085" s="15">
        <f t="shared" si="7"/>
        <v>45128</v>
      </c>
      <c r="Z1085" s="14" t="str">
        <f t="shared" si="8"/>
        <v>UPI</v>
      </c>
      <c r="AA1085" s="14" t="str">
        <f t="shared" si="9"/>
        <v>Cancelled</v>
      </c>
      <c r="AB1085" s="14" t="str">
        <f t="shared" ref="AB1085:AC1085" si="2174">trim(Q1085)</f>
        <v>Payment Issues</v>
      </c>
      <c r="AC1085" s="14" t="str">
        <f t="shared" si="2174"/>
        <v/>
      </c>
      <c r="AD1085" s="8"/>
    </row>
    <row r="1086">
      <c r="A1086" s="14" t="str">
        <f>IFERROR(__xludf.DUMMYFUNCTION("""COMPUTED_VALUE"""),"//ord_41064//Omkar Mishra//Powai//Apple+1*Vivek Kumar/7/3/2023//COD//Delivered*Customer Service: Seamless and easy")</f>
        <v>//ord_41064//Omkar Mishra//Powai//Apple+1*Vivek Kumar/7/3/2023//COD//Delivered*Customer Service: Seamless and easy</v>
      </c>
      <c r="B1086" s="14" t="str">
        <f>IFERROR(__xludf.DUMMYFUNCTION("split(A1086,""//"")"),"ord_41064")</f>
        <v>ord_41064</v>
      </c>
      <c r="C1086" s="14" t="str">
        <f>IFERROR(__xludf.DUMMYFUNCTION("""COMPUTED_VALUE"""),"Omkar Mishra")</f>
        <v>Omkar Mishra</v>
      </c>
      <c r="D1086" s="14" t="str">
        <f>IFERROR(__xludf.DUMMYFUNCTION("""COMPUTED_VALUE"""),"Powai")</f>
        <v>Powai</v>
      </c>
      <c r="E1086" s="14" t="str">
        <f>IFERROR(__xludf.DUMMYFUNCTION("""COMPUTED_VALUE"""),"Apple+1*Vivek Kumar")</f>
        <v>Apple+1*Vivek Kumar</v>
      </c>
      <c r="F1086" s="14">
        <f>IFERROR(__xludf.DUMMYFUNCTION("""COMPUTED_VALUE"""),7.0)</f>
        <v>7</v>
      </c>
      <c r="G1086" s="14">
        <f>IFERROR(__xludf.DUMMYFUNCTION("""COMPUTED_VALUE"""),3.0)</f>
        <v>3</v>
      </c>
      <c r="H1086" s="14">
        <f>IFERROR(__xludf.DUMMYFUNCTION("""COMPUTED_VALUE"""),2023.0)</f>
        <v>2023</v>
      </c>
      <c r="I1086" s="14" t="str">
        <f>IFERROR(__xludf.DUMMYFUNCTION("""COMPUTED_VALUE"""),"COD")</f>
        <v>COD</v>
      </c>
      <c r="J1086" s="14" t="str">
        <f>IFERROR(__xludf.DUMMYFUNCTION("""COMPUTED_VALUE"""),"Delivered*Customer Service: Seamless and easy")</f>
        <v>Delivered*Customer Service: Seamless and easy</v>
      </c>
      <c r="K1086" s="14" t="str">
        <f>IFERROR(__xludf.DUMMYFUNCTION("split(E1086,""+"")"),"Apple")</f>
        <v>Apple</v>
      </c>
      <c r="L1086" s="14" t="str">
        <f>IFERROR(__xludf.DUMMYFUNCTION("""COMPUTED_VALUE"""),"1*Vivek Kumar")</f>
        <v>1*Vivek Kumar</v>
      </c>
      <c r="M1086" s="14">
        <f>IFERROR(__xludf.DUMMYFUNCTION("SPLIT(L1086,""*"")"),1.0)</f>
        <v>1</v>
      </c>
      <c r="N1086" s="14" t="str">
        <f>IFERROR(__xludf.DUMMYFUNCTION("""COMPUTED_VALUE"""),"Vivek Kumar")</f>
        <v>Vivek Kumar</v>
      </c>
      <c r="O1086" s="14" t="str">
        <f>IFERROR(__xludf.DUMMYFUNCTION("split(J1086,""*"")"),"Delivered")</f>
        <v>Delivered</v>
      </c>
      <c r="P1086" s="14" t="str">
        <f>IFERROR(__xludf.DUMMYFUNCTION("""COMPUTED_VALUE"""),"Customer Service: Seamless and easy")</f>
        <v>Customer Service: Seamless and easy</v>
      </c>
      <c r="Q1086" s="14" t="str">
        <f>IFERROR(__xludf.DUMMYFUNCTION("split(P1086,"":"")"),"Customer Service")</f>
        <v>Customer Service</v>
      </c>
      <c r="R1086" s="14" t="str">
        <f>IFERROR(__xludf.DUMMYFUNCTION("""COMPUTED_VALUE""")," Seamless and easy")</f>
        <v> Seamless and easy</v>
      </c>
      <c r="S1086" s="14" t="str">
        <f t="shared" ref="S1086:U1086" si="2175">trim(B1086)</f>
        <v>ord_41064</v>
      </c>
      <c r="T1086" s="14" t="str">
        <f t="shared" si="2175"/>
        <v>Omkar Mishra</v>
      </c>
      <c r="U1086" s="14" t="str">
        <f t="shared" si="2175"/>
        <v>Powai</v>
      </c>
      <c r="V1086" s="14" t="str">
        <f t="shared" si="4"/>
        <v>Apple</v>
      </c>
      <c r="W1086" s="14">
        <f t="shared" si="5"/>
        <v>1</v>
      </c>
      <c r="X1086" s="14" t="str">
        <f t="shared" si="6"/>
        <v>Vivek Kumar</v>
      </c>
      <c r="Y1086" s="15">
        <f t="shared" si="7"/>
        <v>45110</v>
      </c>
      <c r="Z1086" s="14" t="str">
        <f t="shared" si="8"/>
        <v>COD</v>
      </c>
      <c r="AA1086" s="14" t="str">
        <f t="shared" si="9"/>
        <v>Delivered</v>
      </c>
      <c r="AB1086" s="14" t="str">
        <f t="shared" ref="AB1086:AC1086" si="2176">trim(Q1086)</f>
        <v>Customer Service</v>
      </c>
      <c r="AC1086" s="14" t="str">
        <f t="shared" si="2176"/>
        <v>Seamless and easy</v>
      </c>
      <c r="AD1086" s="8"/>
    </row>
    <row r="1087">
      <c r="A1087" s="14" t="str">
        <f>IFERROR(__xludf.DUMMYFUNCTION("""COMPUTED_VALUE"""),"//ord_41065//Mohit Malhotra//Lower Parel//Banana+2*Venu R/5/14/2023//Credit Card//Delivered*Delivery Experience: Quick and professional")</f>
        <v>//ord_41065//Mohit Malhotra//Lower Parel//Banana+2*Venu R/5/14/2023//Credit Card//Delivered*Delivery Experience: Quick and professional</v>
      </c>
      <c r="B1087" s="14" t="str">
        <f>IFERROR(__xludf.DUMMYFUNCTION("split(A1087,""//"")"),"ord_41065")</f>
        <v>ord_41065</v>
      </c>
      <c r="C1087" s="14" t="str">
        <f>IFERROR(__xludf.DUMMYFUNCTION("""COMPUTED_VALUE"""),"Mohit Malhotra")</f>
        <v>Mohit Malhotra</v>
      </c>
      <c r="D1087" s="14" t="str">
        <f>IFERROR(__xludf.DUMMYFUNCTION("""COMPUTED_VALUE"""),"Lower Parel")</f>
        <v>Lower Parel</v>
      </c>
      <c r="E1087" s="14" t="str">
        <f>IFERROR(__xludf.DUMMYFUNCTION("""COMPUTED_VALUE"""),"Banana+2*Venu R")</f>
        <v>Banana+2*Venu R</v>
      </c>
      <c r="F1087" s="14">
        <f>IFERROR(__xludf.DUMMYFUNCTION("""COMPUTED_VALUE"""),5.0)</f>
        <v>5</v>
      </c>
      <c r="G1087" s="14">
        <f>IFERROR(__xludf.DUMMYFUNCTION("""COMPUTED_VALUE"""),14.0)</f>
        <v>14</v>
      </c>
      <c r="H1087" s="14">
        <f>IFERROR(__xludf.DUMMYFUNCTION("""COMPUTED_VALUE"""),2023.0)</f>
        <v>2023</v>
      </c>
      <c r="I1087" s="14" t="str">
        <f>IFERROR(__xludf.DUMMYFUNCTION("""COMPUTED_VALUE"""),"Credit Card")</f>
        <v>Credit Card</v>
      </c>
      <c r="J1087" s="14" t="str">
        <f>IFERROR(__xludf.DUMMYFUNCTION("""COMPUTED_VALUE"""),"Delivered*Delivery Experience: Quick and professional")</f>
        <v>Delivered*Delivery Experience: Quick and professional</v>
      </c>
      <c r="K1087" s="14" t="str">
        <f>IFERROR(__xludf.DUMMYFUNCTION("split(E1087,""+"")"),"Banana")</f>
        <v>Banana</v>
      </c>
      <c r="L1087" s="14" t="str">
        <f>IFERROR(__xludf.DUMMYFUNCTION("""COMPUTED_VALUE"""),"2*Venu R")</f>
        <v>2*Venu R</v>
      </c>
      <c r="M1087" s="14">
        <f>IFERROR(__xludf.DUMMYFUNCTION("SPLIT(L1087,""*"")"),2.0)</f>
        <v>2</v>
      </c>
      <c r="N1087" s="14" t="str">
        <f>IFERROR(__xludf.DUMMYFUNCTION("""COMPUTED_VALUE"""),"Venu R")</f>
        <v>Venu R</v>
      </c>
      <c r="O1087" s="14" t="str">
        <f>IFERROR(__xludf.DUMMYFUNCTION("split(J1087,""*"")"),"Delivered")</f>
        <v>Delivered</v>
      </c>
      <c r="P1087" s="14" t="str">
        <f>IFERROR(__xludf.DUMMYFUNCTION("""COMPUTED_VALUE"""),"Delivery Experience: Quick and professional")</f>
        <v>Delivery Experience: Quick and professional</v>
      </c>
      <c r="Q1087" s="14" t="str">
        <f>IFERROR(__xludf.DUMMYFUNCTION("split(P1087,"":"")"),"Delivery Experience")</f>
        <v>Delivery Experience</v>
      </c>
      <c r="R1087" s="14" t="str">
        <f>IFERROR(__xludf.DUMMYFUNCTION("""COMPUTED_VALUE""")," Quick and professional")</f>
        <v> Quick and professional</v>
      </c>
      <c r="S1087" s="14" t="str">
        <f t="shared" ref="S1087:U1087" si="2177">trim(B1087)</f>
        <v>ord_41065</v>
      </c>
      <c r="T1087" s="14" t="str">
        <f t="shared" si="2177"/>
        <v>Mohit Malhotra</v>
      </c>
      <c r="U1087" s="14" t="str">
        <f t="shared" si="2177"/>
        <v>Lower Parel</v>
      </c>
      <c r="V1087" s="14" t="str">
        <f t="shared" si="4"/>
        <v>Banana</v>
      </c>
      <c r="W1087" s="14">
        <f t="shared" si="5"/>
        <v>2</v>
      </c>
      <c r="X1087" s="14" t="str">
        <f t="shared" si="6"/>
        <v>Venu R</v>
      </c>
      <c r="Y1087" s="15">
        <f t="shared" si="7"/>
        <v>45060</v>
      </c>
      <c r="Z1087" s="14" t="str">
        <f t="shared" si="8"/>
        <v>Credit Card</v>
      </c>
      <c r="AA1087" s="14" t="str">
        <f t="shared" si="9"/>
        <v>Delivered</v>
      </c>
      <c r="AB1087" s="14" t="str">
        <f t="shared" ref="AB1087:AC1087" si="2178">trim(Q1087)</f>
        <v>Delivery Experience</v>
      </c>
      <c r="AC1087" s="14" t="str">
        <f t="shared" si="2178"/>
        <v>Quick and professional</v>
      </c>
      <c r="AD1087" s="8"/>
    </row>
    <row r="1088">
      <c r="A1088" s="14" t="str">
        <f>IFERROR(__xludf.DUMMYFUNCTION("""COMPUTED_VALUE"""),"//ord_41066//Anaya Rao//Colaba//Apple+1*Ram Gopal/5/16/2023//UPI//Cancelled*Delayed Delivery:Heavy Traffic")</f>
        <v>//ord_41066//Anaya Rao//Colaba//Apple+1*Ram Gopal/5/16/2023//UPI//Cancelled*Delayed Delivery:Heavy Traffic</v>
      </c>
      <c r="B1088" s="14" t="str">
        <f>IFERROR(__xludf.DUMMYFUNCTION("split(A1088,""//"")"),"ord_41066")</f>
        <v>ord_41066</v>
      </c>
      <c r="C1088" s="14" t="str">
        <f>IFERROR(__xludf.DUMMYFUNCTION("""COMPUTED_VALUE"""),"Anaya Rao")</f>
        <v>Anaya Rao</v>
      </c>
      <c r="D1088" s="14" t="str">
        <f>IFERROR(__xludf.DUMMYFUNCTION("""COMPUTED_VALUE"""),"Colaba")</f>
        <v>Colaba</v>
      </c>
      <c r="E1088" s="14" t="str">
        <f>IFERROR(__xludf.DUMMYFUNCTION("""COMPUTED_VALUE"""),"Apple+1*Ram Gopal")</f>
        <v>Apple+1*Ram Gopal</v>
      </c>
      <c r="F1088" s="14">
        <f>IFERROR(__xludf.DUMMYFUNCTION("""COMPUTED_VALUE"""),5.0)</f>
        <v>5</v>
      </c>
      <c r="G1088" s="14">
        <f>IFERROR(__xludf.DUMMYFUNCTION("""COMPUTED_VALUE"""),16.0)</f>
        <v>16</v>
      </c>
      <c r="H1088" s="14">
        <f>IFERROR(__xludf.DUMMYFUNCTION("""COMPUTED_VALUE"""),2023.0)</f>
        <v>2023</v>
      </c>
      <c r="I1088" s="14" t="str">
        <f>IFERROR(__xludf.DUMMYFUNCTION("""COMPUTED_VALUE"""),"UPI")</f>
        <v>UPI</v>
      </c>
      <c r="J1088" s="14" t="str">
        <f>IFERROR(__xludf.DUMMYFUNCTION("""COMPUTED_VALUE"""),"Cancelled*Delayed Delivery:Heavy Traffic")</f>
        <v>Cancelled*Delayed Delivery:Heavy Traffic</v>
      </c>
      <c r="K1088" s="14" t="str">
        <f>IFERROR(__xludf.DUMMYFUNCTION("split(E1088,""+"")"),"Apple")</f>
        <v>Apple</v>
      </c>
      <c r="L1088" s="14" t="str">
        <f>IFERROR(__xludf.DUMMYFUNCTION("""COMPUTED_VALUE"""),"1*Ram Gopal")</f>
        <v>1*Ram Gopal</v>
      </c>
      <c r="M1088" s="14">
        <f>IFERROR(__xludf.DUMMYFUNCTION("SPLIT(L1088,""*"")"),1.0)</f>
        <v>1</v>
      </c>
      <c r="N1088" s="14" t="str">
        <f>IFERROR(__xludf.DUMMYFUNCTION("""COMPUTED_VALUE"""),"Ram Gopal")</f>
        <v>Ram Gopal</v>
      </c>
      <c r="O1088" s="14" t="str">
        <f>IFERROR(__xludf.DUMMYFUNCTION("split(J1088,""*"")"),"Cancelled")</f>
        <v>Cancelled</v>
      </c>
      <c r="P1088" s="14" t="str">
        <f>IFERROR(__xludf.DUMMYFUNCTION("""COMPUTED_VALUE"""),"Delayed Delivery:Heavy Traffic")</f>
        <v>Delayed Delivery:Heavy Traffic</v>
      </c>
      <c r="Q1088" s="14" t="str">
        <f>IFERROR(__xludf.DUMMYFUNCTION("split(P1088,"":"")"),"Delayed Delivery")</f>
        <v>Delayed Delivery</v>
      </c>
      <c r="R1088" s="14" t="str">
        <f>IFERROR(__xludf.DUMMYFUNCTION("""COMPUTED_VALUE"""),"Heavy Traffic")</f>
        <v>Heavy Traffic</v>
      </c>
      <c r="S1088" s="14" t="str">
        <f t="shared" ref="S1088:U1088" si="2179">trim(B1088)</f>
        <v>ord_41066</v>
      </c>
      <c r="T1088" s="14" t="str">
        <f t="shared" si="2179"/>
        <v>Anaya Rao</v>
      </c>
      <c r="U1088" s="14" t="str">
        <f t="shared" si="2179"/>
        <v>Colaba</v>
      </c>
      <c r="V1088" s="14" t="str">
        <f t="shared" si="4"/>
        <v>Apple</v>
      </c>
      <c r="W1088" s="14">
        <f t="shared" si="5"/>
        <v>1</v>
      </c>
      <c r="X1088" s="14" t="str">
        <f t="shared" si="6"/>
        <v>Ram Gopal</v>
      </c>
      <c r="Y1088" s="15">
        <f t="shared" si="7"/>
        <v>45062</v>
      </c>
      <c r="Z1088" s="14" t="str">
        <f t="shared" si="8"/>
        <v>UPI</v>
      </c>
      <c r="AA1088" s="14" t="str">
        <f t="shared" si="9"/>
        <v>Cancelled</v>
      </c>
      <c r="AB1088" s="14" t="str">
        <f t="shared" ref="AB1088:AC1088" si="2180">trim(Q1088)</f>
        <v>Delayed Delivery</v>
      </c>
      <c r="AC1088" s="14" t="str">
        <f t="shared" si="2180"/>
        <v>Heavy Traffic</v>
      </c>
      <c r="AD1088" s="8"/>
    </row>
    <row r="1089">
      <c r="A1089" s="14" t="str">
        <f>IFERROR(__xludf.DUMMYFUNCTION("""COMPUTED_VALUE"""),"//ord_41067//Sakshi Tandon//Colaba//Tiramisu+5*Not Assigned/9/16/2023//Credit Card//Cancelled*Payment Issues")</f>
        <v>//ord_41067//Sakshi Tandon//Colaba//Tiramisu+5*Not Assigned/9/16/2023//Credit Card//Cancelled*Payment Issues</v>
      </c>
      <c r="B1089" s="14" t="str">
        <f>IFERROR(__xludf.DUMMYFUNCTION("split(A1089,""//"")"),"ord_41067")</f>
        <v>ord_41067</v>
      </c>
      <c r="C1089" s="14" t="str">
        <f>IFERROR(__xludf.DUMMYFUNCTION("""COMPUTED_VALUE"""),"Sakshi Tandon")</f>
        <v>Sakshi Tandon</v>
      </c>
      <c r="D1089" s="14" t="str">
        <f>IFERROR(__xludf.DUMMYFUNCTION("""COMPUTED_VALUE"""),"Colaba")</f>
        <v>Colaba</v>
      </c>
      <c r="E1089" s="14" t="str">
        <f>IFERROR(__xludf.DUMMYFUNCTION("""COMPUTED_VALUE"""),"Tiramisu+5*Not Assigned")</f>
        <v>Tiramisu+5*Not Assigned</v>
      </c>
      <c r="F1089" s="14">
        <f>IFERROR(__xludf.DUMMYFUNCTION("""COMPUTED_VALUE"""),9.0)</f>
        <v>9</v>
      </c>
      <c r="G1089" s="14">
        <f>IFERROR(__xludf.DUMMYFUNCTION("""COMPUTED_VALUE"""),16.0)</f>
        <v>16</v>
      </c>
      <c r="H1089" s="14">
        <f>IFERROR(__xludf.DUMMYFUNCTION("""COMPUTED_VALUE"""),2023.0)</f>
        <v>2023</v>
      </c>
      <c r="I1089" s="14" t="str">
        <f>IFERROR(__xludf.DUMMYFUNCTION("""COMPUTED_VALUE"""),"Credit Card")</f>
        <v>Credit Card</v>
      </c>
      <c r="J1089" s="14" t="str">
        <f>IFERROR(__xludf.DUMMYFUNCTION("""COMPUTED_VALUE"""),"Cancelled*Payment Issues")</f>
        <v>Cancelled*Payment Issues</v>
      </c>
      <c r="K1089" s="14" t="str">
        <f>IFERROR(__xludf.DUMMYFUNCTION("split(E1089,""+"")"),"Tiramisu")</f>
        <v>Tiramisu</v>
      </c>
      <c r="L1089" s="14" t="str">
        <f>IFERROR(__xludf.DUMMYFUNCTION("""COMPUTED_VALUE"""),"5*Not Assigned")</f>
        <v>5*Not Assigned</v>
      </c>
      <c r="M1089" s="14">
        <f>IFERROR(__xludf.DUMMYFUNCTION("SPLIT(L1089,""*"")"),5.0)</f>
        <v>5</v>
      </c>
      <c r="N1089" s="14" t="str">
        <f>IFERROR(__xludf.DUMMYFUNCTION("""COMPUTED_VALUE"""),"Not Assigned")</f>
        <v>Not Assigned</v>
      </c>
      <c r="O1089" s="14" t="str">
        <f>IFERROR(__xludf.DUMMYFUNCTION("split(J1089,""*"")"),"Cancelled")</f>
        <v>Cancelled</v>
      </c>
      <c r="P1089" s="14" t="str">
        <f>IFERROR(__xludf.DUMMYFUNCTION("""COMPUTED_VALUE"""),"Payment Issues")</f>
        <v>Payment Issues</v>
      </c>
      <c r="Q1089" s="14" t="str">
        <f>IFERROR(__xludf.DUMMYFUNCTION("split(P1089,"":"")"),"Payment Issues")</f>
        <v>Payment Issues</v>
      </c>
      <c r="R1089" s="14"/>
      <c r="S1089" s="14" t="str">
        <f t="shared" ref="S1089:U1089" si="2181">trim(B1089)</f>
        <v>ord_41067</v>
      </c>
      <c r="T1089" s="14" t="str">
        <f t="shared" si="2181"/>
        <v>Sakshi Tandon</v>
      </c>
      <c r="U1089" s="14" t="str">
        <f t="shared" si="2181"/>
        <v>Colaba</v>
      </c>
      <c r="V1089" s="14" t="str">
        <f t="shared" si="4"/>
        <v>Tiramisu</v>
      </c>
      <c r="W1089" s="14">
        <f t="shared" si="5"/>
        <v>5</v>
      </c>
      <c r="X1089" s="14" t="str">
        <f t="shared" si="6"/>
        <v>Not Assigned</v>
      </c>
      <c r="Y1089" s="15">
        <f t="shared" si="7"/>
        <v>45185</v>
      </c>
      <c r="Z1089" s="14" t="str">
        <f t="shared" si="8"/>
        <v>Credit Card</v>
      </c>
      <c r="AA1089" s="14" t="str">
        <f t="shared" si="9"/>
        <v>Cancelled</v>
      </c>
      <c r="AB1089" s="14" t="str">
        <f t="shared" ref="AB1089:AC1089" si="2182">trim(Q1089)</f>
        <v>Payment Issues</v>
      </c>
      <c r="AC1089" s="14" t="str">
        <f t="shared" si="2182"/>
        <v/>
      </c>
      <c r="AD1089" s="8"/>
    </row>
    <row r="1090">
      <c r="A1090" s="14" t="str">
        <f>IFERROR(__xludf.DUMMYFUNCTION("""COMPUTED_VALUE"""),"//ord_41068//Sakshi Tandon//Colaba//Icecream+1*Not Assigned/6/23/2023//UPI//Cancelled*App Glitches:Missing Content")</f>
        <v>//ord_41068//Sakshi Tandon//Colaba//Icecream+1*Not Assigned/6/23/2023//UPI//Cancelled*App Glitches:Missing Content</v>
      </c>
      <c r="B1090" s="14" t="str">
        <f>IFERROR(__xludf.DUMMYFUNCTION("split(A1090,""//"")"),"ord_41068")</f>
        <v>ord_41068</v>
      </c>
      <c r="C1090" s="14" t="str">
        <f>IFERROR(__xludf.DUMMYFUNCTION("""COMPUTED_VALUE"""),"Sakshi Tandon")</f>
        <v>Sakshi Tandon</v>
      </c>
      <c r="D1090" s="14" t="str">
        <f>IFERROR(__xludf.DUMMYFUNCTION("""COMPUTED_VALUE"""),"Colaba")</f>
        <v>Colaba</v>
      </c>
      <c r="E1090" s="14" t="str">
        <f>IFERROR(__xludf.DUMMYFUNCTION("""COMPUTED_VALUE"""),"Icecream+1*Not Assigned")</f>
        <v>Icecream+1*Not Assigned</v>
      </c>
      <c r="F1090" s="14">
        <f>IFERROR(__xludf.DUMMYFUNCTION("""COMPUTED_VALUE"""),6.0)</f>
        <v>6</v>
      </c>
      <c r="G1090" s="14">
        <f>IFERROR(__xludf.DUMMYFUNCTION("""COMPUTED_VALUE"""),23.0)</f>
        <v>23</v>
      </c>
      <c r="H1090" s="14">
        <f>IFERROR(__xludf.DUMMYFUNCTION("""COMPUTED_VALUE"""),2023.0)</f>
        <v>2023</v>
      </c>
      <c r="I1090" s="14" t="str">
        <f>IFERROR(__xludf.DUMMYFUNCTION("""COMPUTED_VALUE"""),"UPI")</f>
        <v>UPI</v>
      </c>
      <c r="J1090" s="14" t="str">
        <f>IFERROR(__xludf.DUMMYFUNCTION("""COMPUTED_VALUE"""),"Cancelled*App Glitches:Missing Content")</f>
        <v>Cancelled*App Glitches:Missing Content</v>
      </c>
      <c r="K1090" s="14" t="str">
        <f>IFERROR(__xludf.DUMMYFUNCTION("split(E1090,""+"")"),"Icecream")</f>
        <v>Icecream</v>
      </c>
      <c r="L1090" s="14" t="str">
        <f>IFERROR(__xludf.DUMMYFUNCTION("""COMPUTED_VALUE"""),"1*Not Assigned")</f>
        <v>1*Not Assigned</v>
      </c>
      <c r="M1090" s="14">
        <f>IFERROR(__xludf.DUMMYFUNCTION("SPLIT(L1090,""*"")"),1.0)</f>
        <v>1</v>
      </c>
      <c r="N1090" s="14" t="str">
        <f>IFERROR(__xludf.DUMMYFUNCTION("""COMPUTED_VALUE"""),"Not Assigned")</f>
        <v>Not Assigned</v>
      </c>
      <c r="O1090" s="14" t="str">
        <f>IFERROR(__xludf.DUMMYFUNCTION("split(J1090,""*"")"),"Cancelled")</f>
        <v>Cancelled</v>
      </c>
      <c r="P1090" s="14" t="str">
        <f>IFERROR(__xludf.DUMMYFUNCTION("""COMPUTED_VALUE"""),"App Glitches:Missing Content")</f>
        <v>App Glitches:Missing Content</v>
      </c>
      <c r="Q1090" s="14" t="str">
        <f>IFERROR(__xludf.DUMMYFUNCTION("split(P1090,"":"")"),"App Glitches")</f>
        <v>App Glitches</v>
      </c>
      <c r="R1090" s="14" t="str">
        <f>IFERROR(__xludf.DUMMYFUNCTION("""COMPUTED_VALUE"""),"Missing Content")</f>
        <v>Missing Content</v>
      </c>
      <c r="S1090" s="14" t="str">
        <f t="shared" ref="S1090:U1090" si="2183">trim(B1090)</f>
        <v>ord_41068</v>
      </c>
      <c r="T1090" s="14" t="str">
        <f t="shared" si="2183"/>
        <v>Sakshi Tandon</v>
      </c>
      <c r="U1090" s="14" t="str">
        <f t="shared" si="2183"/>
        <v>Colaba</v>
      </c>
      <c r="V1090" s="14" t="str">
        <f t="shared" si="4"/>
        <v>Icecream</v>
      </c>
      <c r="W1090" s="14">
        <f t="shared" si="5"/>
        <v>1</v>
      </c>
      <c r="X1090" s="14" t="str">
        <f t="shared" si="6"/>
        <v>Not Assigned</v>
      </c>
      <c r="Y1090" s="15">
        <f t="shared" si="7"/>
        <v>45100</v>
      </c>
      <c r="Z1090" s="14" t="str">
        <f t="shared" si="8"/>
        <v>UPI</v>
      </c>
      <c r="AA1090" s="14" t="str">
        <f t="shared" si="9"/>
        <v>Cancelled</v>
      </c>
      <c r="AB1090" s="14" t="str">
        <f t="shared" ref="AB1090:AC1090" si="2184">trim(Q1090)</f>
        <v>App Glitches</v>
      </c>
      <c r="AC1090" s="14" t="str">
        <f t="shared" si="2184"/>
        <v>Missing Content</v>
      </c>
      <c r="AD1090" s="8"/>
    </row>
    <row r="1091">
      <c r="A1091" s="14" t="str">
        <f>IFERROR(__xludf.DUMMYFUNCTION("""COMPUTED_VALUE"""),"//ord_41069//Sanjay Nair//Dadar//Chicken Puff+5*Not Assigned/3/18/2023//Credit Card//Cancelled*High Delivery Fees")</f>
        <v>//ord_41069//Sanjay Nair//Dadar//Chicken Puff+5*Not Assigned/3/18/2023//Credit Card//Cancelled*High Delivery Fees</v>
      </c>
      <c r="B1091" s="14" t="str">
        <f>IFERROR(__xludf.DUMMYFUNCTION("split(A1091,""//"")"),"ord_41069")</f>
        <v>ord_41069</v>
      </c>
      <c r="C1091" s="14" t="str">
        <f>IFERROR(__xludf.DUMMYFUNCTION("""COMPUTED_VALUE"""),"Sanjay Nair")</f>
        <v>Sanjay Nair</v>
      </c>
      <c r="D1091" s="14" t="str">
        <f>IFERROR(__xludf.DUMMYFUNCTION("""COMPUTED_VALUE"""),"Dadar")</f>
        <v>Dadar</v>
      </c>
      <c r="E1091" s="14" t="str">
        <f>IFERROR(__xludf.DUMMYFUNCTION("""COMPUTED_VALUE"""),"Chicken Puff+5*Not Assigned")</f>
        <v>Chicken Puff+5*Not Assigned</v>
      </c>
      <c r="F1091" s="14">
        <f>IFERROR(__xludf.DUMMYFUNCTION("""COMPUTED_VALUE"""),3.0)</f>
        <v>3</v>
      </c>
      <c r="G1091" s="14">
        <f>IFERROR(__xludf.DUMMYFUNCTION("""COMPUTED_VALUE"""),18.0)</f>
        <v>18</v>
      </c>
      <c r="H1091" s="14">
        <f>IFERROR(__xludf.DUMMYFUNCTION("""COMPUTED_VALUE"""),2023.0)</f>
        <v>2023</v>
      </c>
      <c r="I1091" s="14" t="str">
        <f>IFERROR(__xludf.DUMMYFUNCTION("""COMPUTED_VALUE"""),"Credit Card")</f>
        <v>Credit Card</v>
      </c>
      <c r="J1091" s="14" t="str">
        <f>IFERROR(__xludf.DUMMYFUNCTION("""COMPUTED_VALUE"""),"Cancelled*High Delivery Fees")</f>
        <v>Cancelled*High Delivery Fees</v>
      </c>
      <c r="K1091" s="14" t="str">
        <f>IFERROR(__xludf.DUMMYFUNCTION("split(E1091,""+"")"),"Chicken Puff")</f>
        <v>Chicken Puff</v>
      </c>
      <c r="L1091" s="14" t="str">
        <f>IFERROR(__xludf.DUMMYFUNCTION("""COMPUTED_VALUE"""),"5*Not Assigned")</f>
        <v>5*Not Assigned</v>
      </c>
      <c r="M1091" s="14">
        <f>IFERROR(__xludf.DUMMYFUNCTION("SPLIT(L1091,""*"")"),5.0)</f>
        <v>5</v>
      </c>
      <c r="N1091" s="14" t="str">
        <f>IFERROR(__xludf.DUMMYFUNCTION("""COMPUTED_VALUE"""),"Not Assigned")</f>
        <v>Not Assigned</v>
      </c>
      <c r="O1091" s="14" t="str">
        <f>IFERROR(__xludf.DUMMYFUNCTION("split(J1091,""*"")"),"Cancelled")</f>
        <v>Cancelled</v>
      </c>
      <c r="P1091" s="14" t="str">
        <f>IFERROR(__xludf.DUMMYFUNCTION("""COMPUTED_VALUE"""),"High Delivery Fees")</f>
        <v>High Delivery Fees</v>
      </c>
      <c r="Q1091" s="14" t="str">
        <f>IFERROR(__xludf.DUMMYFUNCTION("split(P1091,"":"")"),"High Delivery Fees")</f>
        <v>High Delivery Fees</v>
      </c>
      <c r="R1091" s="14"/>
      <c r="S1091" s="14" t="str">
        <f t="shared" ref="S1091:U1091" si="2185">trim(B1091)</f>
        <v>ord_41069</v>
      </c>
      <c r="T1091" s="14" t="str">
        <f t="shared" si="2185"/>
        <v>Sanjay Nair</v>
      </c>
      <c r="U1091" s="14" t="str">
        <f t="shared" si="2185"/>
        <v>Dadar</v>
      </c>
      <c r="V1091" s="14" t="str">
        <f t="shared" si="4"/>
        <v>Chicken Puff</v>
      </c>
      <c r="W1091" s="14">
        <f t="shared" si="5"/>
        <v>5</v>
      </c>
      <c r="X1091" s="14" t="str">
        <f t="shared" si="6"/>
        <v>Not Assigned</v>
      </c>
      <c r="Y1091" s="15">
        <f t="shared" si="7"/>
        <v>45003</v>
      </c>
      <c r="Z1091" s="14" t="str">
        <f t="shared" si="8"/>
        <v>Credit Card</v>
      </c>
      <c r="AA1091" s="14" t="str">
        <f t="shared" si="9"/>
        <v>Cancelled</v>
      </c>
      <c r="AB1091" s="14" t="str">
        <f t="shared" ref="AB1091:AC1091" si="2186">trim(Q1091)</f>
        <v>High Delivery Fees</v>
      </c>
      <c r="AC1091" s="14" t="str">
        <f t="shared" si="2186"/>
        <v/>
      </c>
      <c r="AD1091" s="8"/>
    </row>
    <row r="1092">
      <c r="A1092" s="14" t="str">
        <f>IFERROR(__xludf.DUMMYFUNCTION("""COMPUTED_VALUE"""),"//ord_41070//Mehul Thakkar//Malad//Veg Puff+1*Manju Ajay/5/25/2023//UPI//Delivered*Convenience: Easy tracking")</f>
        <v>//ord_41070//Mehul Thakkar//Malad//Veg Puff+1*Manju Ajay/5/25/2023//UPI//Delivered*Convenience: Easy tracking</v>
      </c>
      <c r="B1092" s="14" t="str">
        <f>IFERROR(__xludf.DUMMYFUNCTION("split(A1092,""//"")"),"ord_41070")</f>
        <v>ord_41070</v>
      </c>
      <c r="C1092" s="14" t="str">
        <f>IFERROR(__xludf.DUMMYFUNCTION("""COMPUTED_VALUE"""),"Mehul Thakkar")</f>
        <v>Mehul Thakkar</v>
      </c>
      <c r="D1092" s="14" t="str">
        <f>IFERROR(__xludf.DUMMYFUNCTION("""COMPUTED_VALUE"""),"Malad")</f>
        <v>Malad</v>
      </c>
      <c r="E1092" s="14" t="str">
        <f>IFERROR(__xludf.DUMMYFUNCTION("""COMPUTED_VALUE"""),"Veg Puff+1*Manju Ajay")</f>
        <v>Veg Puff+1*Manju Ajay</v>
      </c>
      <c r="F1092" s="14">
        <f>IFERROR(__xludf.DUMMYFUNCTION("""COMPUTED_VALUE"""),5.0)</f>
        <v>5</v>
      </c>
      <c r="G1092" s="14">
        <f>IFERROR(__xludf.DUMMYFUNCTION("""COMPUTED_VALUE"""),25.0)</f>
        <v>25</v>
      </c>
      <c r="H1092" s="14">
        <f>IFERROR(__xludf.DUMMYFUNCTION("""COMPUTED_VALUE"""),2023.0)</f>
        <v>2023</v>
      </c>
      <c r="I1092" s="14" t="str">
        <f>IFERROR(__xludf.DUMMYFUNCTION("""COMPUTED_VALUE"""),"UPI")</f>
        <v>UPI</v>
      </c>
      <c r="J1092" s="14" t="str">
        <f>IFERROR(__xludf.DUMMYFUNCTION("""COMPUTED_VALUE"""),"Delivered*Convenience: Easy tracking")</f>
        <v>Delivered*Convenience: Easy tracking</v>
      </c>
      <c r="K1092" s="14" t="str">
        <f>IFERROR(__xludf.DUMMYFUNCTION("split(E1092,""+"")"),"Veg Puff")</f>
        <v>Veg Puff</v>
      </c>
      <c r="L1092" s="14" t="str">
        <f>IFERROR(__xludf.DUMMYFUNCTION("""COMPUTED_VALUE"""),"1*Manju Ajay")</f>
        <v>1*Manju Ajay</v>
      </c>
      <c r="M1092" s="14">
        <f>IFERROR(__xludf.DUMMYFUNCTION("SPLIT(L1092,""*"")"),1.0)</f>
        <v>1</v>
      </c>
      <c r="N1092" s="14" t="str">
        <f>IFERROR(__xludf.DUMMYFUNCTION("""COMPUTED_VALUE"""),"Manju Ajay")</f>
        <v>Manju Ajay</v>
      </c>
      <c r="O1092" s="14" t="str">
        <f>IFERROR(__xludf.DUMMYFUNCTION("split(J1092,""*"")"),"Delivered")</f>
        <v>Delivered</v>
      </c>
      <c r="P1092" s="14" t="str">
        <f>IFERROR(__xludf.DUMMYFUNCTION("""COMPUTED_VALUE"""),"Convenience: Easy tracking")</f>
        <v>Convenience: Easy tracking</v>
      </c>
      <c r="Q1092" s="14" t="str">
        <f>IFERROR(__xludf.DUMMYFUNCTION("split(P1092,"":"")"),"Convenience")</f>
        <v>Convenience</v>
      </c>
      <c r="R1092" s="14" t="str">
        <f>IFERROR(__xludf.DUMMYFUNCTION("""COMPUTED_VALUE""")," Easy tracking")</f>
        <v> Easy tracking</v>
      </c>
      <c r="S1092" s="14" t="str">
        <f t="shared" ref="S1092:U1092" si="2187">trim(B1092)</f>
        <v>ord_41070</v>
      </c>
      <c r="T1092" s="14" t="str">
        <f t="shared" si="2187"/>
        <v>Mehul Thakkar</v>
      </c>
      <c r="U1092" s="14" t="str">
        <f t="shared" si="2187"/>
        <v>Malad</v>
      </c>
      <c r="V1092" s="14" t="str">
        <f t="shared" si="4"/>
        <v>Veg Puff</v>
      </c>
      <c r="W1092" s="14">
        <f t="shared" si="5"/>
        <v>1</v>
      </c>
      <c r="X1092" s="14" t="str">
        <f t="shared" si="6"/>
        <v>Manju Ajay</v>
      </c>
      <c r="Y1092" s="15">
        <f t="shared" si="7"/>
        <v>45071</v>
      </c>
      <c r="Z1092" s="14" t="str">
        <f t="shared" si="8"/>
        <v>UPI</v>
      </c>
      <c r="AA1092" s="14" t="str">
        <f t="shared" si="9"/>
        <v>Delivered</v>
      </c>
      <c r="AB1092" s="14" t="str">
        <f t="shared" ref="AB1092:AC1092" si="2188">trim(Q1092)</f>
        <v>Convenience</v>
      </c>
      <c r="AC1092" s="14" t="str">
        <f t="shared" si="2188"/>
        <v>Easy tracking</v>
      </c>
      <c r="AD1092" s="8"/>
    </row>
    <row r="1093">
      <c r="A1093" s="14" t="str">
        <f>IFERROR(__xludf.DUMMYFUNCTION("""COMPUTED_VALUE"""),"//ord_41071//Aarohi Kapoor//Bandra//Sweet Corn+2*Shine Thomas/10/4/2023//UPI//Delivered*Overall Satisfaction: Great service will order again")</f>
        <v>//ord_41071//Aarohi Kapoor//Bandra//Sweet Corn+2*Shine Thomas/10/4/2023//UPI//Delivered*Overall Satisfaction: Great service will order again</v>
      </c>
      <c r="B1093" s="14" t="str">
        <f>IFERROR(__xludf.DUMMYFUNCTION("split(A1093,""//"")"),"ord_41071")</f>
        <v>ord_41071</v>
      </c>
      <c r="C1093" s="14" t="str">
        <f>IFERROR(__xludf.DUMMYFUNCTION("""COMPUTED_VALUE"""),"Aarohi Kapoor")</f>
        <v>Aarohi Kapoor</v>
      </c>
      <c r="D1093" s="14" t="str">
        <f>IFERROR(__xludf.DUMMYFUNCTION("""COMPUTED_VALUE"""),"Bandra")</f>
        <v>Bandra</v>
      </c>
      <c r="E1093" s="14" t="str">
        <f>IFERROR(__xludf.DUMMYFUNCTION("""COMPUTED_VALUE"""),"Sweet Corn+2*Shine Thomas")</f>
        <v>Sweet Corn+2*Shine Thomas</v>
      </c>
      <c r="F1093" s="14">
        <f>IFERROR(__xludf.DUMMYFUNCTION("""COMPUTED_VALUE"""),10.0)</f>
        <v>10</v>
      </c>
      <c r="G1093" s="14">
        <f>IFERROR(__xludf.DUMMYFUNCTION("""COMPUTED_VALUE"""),4.0)</f>
        <v>4</v>
      </c>
      <c r="H1093" s="14">
        <f>IFERROR(__xludf.DUMMYFUNCTION("""COMPUTED_VALUE"""),2023.0)</f>
        <v>2023</v>
      </c>
      <c r="I1093" s="14" t="str">
        <f>IFERROR(__xludf.DUMMYFUNCTION("""COMPUTED_VALUE"""),"UPI")</f>
        <v>UPI</v>
      </c>
      <c r="J1093" s="14" t="str">
        <f>IFERROR(__xludf.DUMMYFUNCTION("""COMPUTED_VALUE"""),"Delivered*Overall Satisfaction: Great service will order again")</f>
        <v>Delivered*Overall Satisfaction: Great service will order again</v>
      </c>
      <c r="K1093" s="14" t="str">
        <f>IFERROR(__xludf.DUMMYFUNCTION("split(E1093,""+"")"),"Sweet Corn")</f>
        <v>Sweet Corn</v>
      </c>
      <c r="L1093" s="14" t="str">
        <f>IFERROR(__xludf.DUMMYFUNCTION("""COMPUTED_VALUE"""),"2*Shine Thomas")</f>
        <v>2*Shine Thomas</v>
      </c>
      <c r="M1093" s="14">
        <f>IFERROR(__xludf.DUMMYFUNCTION("SPLIT(L1093,""*"")"),2.0)</f>
        <v>2</v>
      </c>
      <c r="N1093" s="14" t="str">
        <f>IFERROR(__xludf.DUMMYFUNCTION("""COMPUTED_VALUE"""),"Shine Thomas")</f>
        <v>Shine Thomas</v>
      </c>
      <c r="O1093" s="14" t="str">
        <f>IFERROR(__xludf.DUMMYFUNCTION("split(J1093,""*"")"),"Delivered")</f>
        <v>Delivered</v>
      </c>
      <c r="P1093" s="14" t="str">
        <f>IFERROR(__xludf.DUMMYFUNCTION("""COMPUTED_VALUE"""),"Overall Satisfaction: Great service will order again")</f>
        <v>Overall Satisfaction: Great service will order again</v>
      </c>
      <c r="Q1093" s="14" t="str">
        <f>IFERROR(__xludf.DUMMYFUNCTION("split(P1093,"":"")"),"Overall Satisfaction")</f>
        <v>Overall Satisfaction</v>
      </c>
      <c r="R1093" s="14" t="str">
        <f>IFERROR(__xludf.DUMMYFUNCTION("""COMPUTED_VALUE""")," Great service will order again")</f>
        <v> Great service will order again</v>
      </c>
      <c r="S1093" s="14" t="str">
        <f t="shared" ref="S1093:U1093" si="2189">trim(B1093)</f>
        <v>ord_41071</v>
      </c>
      <c r="T1093" s="14" t="str">
        <f t="shared" si="2189"/>
        <v>Aarohi Kapoor</v>
      </c>
      <c r="U1093" s="14" t="str">
        <f t="shared" si="2189"/>
        <v>Bandra</v>
      </c>
      <c r="V1093" s="14" t="str">
        <f t="shared" si="4"/>
        <v>Sweet Corn</v>
      </c>
      <c r="W1093" s="14">
        <f t="shared" si="5"/>
        <v>2</v>
      </c>
      <c r="X1093" s="14" t="str">
        <f t="shared" si="6"/>
        <v>Shine Thomas</v>
      </c>
      <c r="Y1093" s="15">
        <f t="shared" si="7"/>
        <v>45203</v>
      </c>
      <c r="Z1093" s="14" t="str">
        <f t="shared" si="8"/>
        <v>UPI</v>
      </c>
      <c r="AA1093" s="14" t="str">
        <f t="shared" si="9"/>
        <v>Delivered</v>
      </c>
      <c r="AB1093" s="14" t="str">
        <f t="shared" ref="AB1093:AC1093" si="2190">trim(Q1093)</f>
        <v>Overall Satisfaction</v>
      </c>
      <c r="AC1093" s="14" t="str">
        <f t="shared" si="2190"/>
        <v>Great service will order again</v>
      </c>
      <c r="AD1093" s="8"/>
    </row>
    <row r="1094">
      <c r="A1094" s="14" t="str">
        <f>IFERROR(__xludf.DUMMYFUNCTION("""COMPUTED_VALUE"""),"//ord_41072//Mohit Malhotra//Lower Parel//Cucumber+2*Not Assigned/4/3/2023//UPI//Cancelled*App Glitches: Payment Button Malfunction")</f>
        <v>//ord_41072//Mohit Malhotra//Lower Parel//Cucumber+2*Not Assigned/4/3/2023//UPI//Cancelled*App Glitches: Payment Button Malfunction</v>
      </c>
      <c r="B1094" s="14" t="str">
        <f>IFERROR(__xludf.DUMMYFUNCTION("split(A1094,""//"")"),"ord_41072")</f>
        <v>ord_41072</v>
      </c>
      <c r="C1094" s="14" t="str">
        <f>IFERROR(__xludf.DUMMYFUNCTION("""COMPUTED_VALUE"""),"Mohit Malhotra")</f>
        <v>Mohit Malhotra</v>
      </c>
      <c r="D1094" s="14" t="str">
        <f>IFERROR(__xludf.DUMMYFUNCTION("""COMPUTED_VALUE"""),"Lower Parel")</f>
        <v>Lower Parel</v>
      </c>
      <c r="E1094" s="14" t="str">
        <f>IFERROR(__xludf.DUMMYFUNCTION("""COMPUTED_VALUE"""),"Cucumber+2*Not Assigned")</f>
        <v>Cucumber+2*Not Assigned</v>
      </c>
      <c r="F1094" s="14">
        <f>IFERROR(__xludf.DUMMYFUNCTION("""COMPUTED_VALUE"""),4.0)</f>
        <v>4</v>
      </c>
      <c r="G1094" s="14">
        <f>IFERROR(__xludf.DUMMYFUNCTION("""COMPUTED_VALUE"""),3.0)</f>
        <v>3</v>
      </c>
      <c r="H1094" s="14">
        <f>IFERROR(__xludf.DUMMYFUNCTION("""COMPUTED_VALUE"""),2023.0)</f>
        <v>2023</v>
      </c>
      <c r="I1094" s="14" t="str">
        <f>IFERROR(__xludf.DUMMYFUNCTION("""COMPUTED_VALUE"""),"UPI")</f>
        <v>UPI</v>
      </c>
      <c r="J1094" s="14" t="str">
        <f>IFERROR(__xludf.DUMMYFUNCTION("""COMPUTED_VALUE"""),"Cancelled*App Glitches: Payment Button Malfunction")</f>
        <v>Cancelled*App Glitches: Payment Button Malfunction</v>
      </c>
      <c r="K1094" s="14" t="str">
        <f>IFERROR(__xludf.DUMMYFUNCTION("split(E1094,""+"")"),"Cucumber")</f>
        <v>Cucumber</v>
      </c>
      <c r="L1094" s="14" t="str">
        <f>IFERROR(__xludf.DUMMYFUNCTION("""COMPUTED_VALUE"""),"2*Not Assigned")</f>
        <v>2*Not Assigned</v>
      </c>
      <c r="M1094" s="14">
        <f>IFERROR(__xludf.DUMMYFUNCTION("SPLIT(L1094,""*"")"),2.0)</f>
        <v>2</v>
      </c>
      <c r="N1094" s="14" t="str">
        <f>IFERROR(__xludf.DUMMYFUNCTION("""COMPUTED_VALUE"""),"Not Assigned")</f>
        <v>Not Assigned</v>
      </c>
      <c r="O1094" s="14" t="str">
        <f>IFERROR(__xludf.DUMMYFUNCTION("split(J1094,""*"")"),"Cancelled")</f>
        <v>Cancelled</v>
      </c>
      <c r="P1094" s="14" t="str">
        <f>IFERROR(__xludf.DUMMYFUNCTION("""COMPUTED_VALUE"""),"App Glitches: Payment Button Malfunction")</f>
        <v>App Glitches: Payment Button Malfunction</v>
      </c>
      <c r="Q1094" s="14" t="str">
        <f>IFERROR(__xludf.DUMMYFUNCTION("split(P1094,"":"")"),"App Glitches")</f>
        <v>App Glitches</v>
      </c>
      <c r="R1094" s="14" t="str">
        <f>IFERROR(__xludf.DUMMYFUNCTION("""COMPUTED_VALUE""")," Payment Button Malfunction")</f>
        <v> Payment Button Malfunction</v>
      </c>
      <c r="S1094" s="14" t="str">
        <f t="shared" ref="S1094:U1094" si="2191">trim(B1094)</f>
        <v>ord_41072</v>
      </c>
      <c r="T1094" s="14" t="str">
        <f t="shared" si="2191"/>
        <v>Mohit Malhotra</v>
      </c>
      <c r="U1094" s="14" t="str">
        <f t="shared" si="2191"/>
        <v>Lower Parel</v>
      </c>
      <c r="V1094" s="14" t="str">
        <f t="shared" si="4"/>
        <v>Cucumber</v>
      </c>
      <c r="W1094" s="14">
        <f t="shared" si="5"/>
        <v>2</v>
      </c>
      <c r="X1094" s="14" t="str">
        <f t="shared" si="6"/>
        <v>Not Assigned</v>
      </c>
      <c r="Y1094" s="15">
        <f t="shared" si="7"/>
        <v>45019</v>
      </c>
      <c r="Z1094" s="14" t="str">
        <f t="shared" si="8"/>
        <v>UPI</v>
      </c>
      <c r="AA1094" s="14" t="str">
        <f t="shared" si="9"/>
        <v>Cancelled</v>
      </c>
      <c r="AB1094" s="14" t="str">
        <f t="shared" ref="AB1094:AC1094" si="2192">trim(Q1094)</f>
        <v>App Glitches</v>
      </c>
      <c r="AC1094" s="14" t="str">
        <f t="shared" si="2192"/>
        <v>Payment Button Malfunction</v>
      </c>
      <c r="AD1094" s="8"/>
    </row>
    <row r="1095">
      <c r="A1095" s="14" t="str">
        <f>IFERROR(__xludf.DUMMYFUNCTION("""COMPUTED_VALUE"""),"//ord_41073//Ishita Banerjee//Juhu//Cucumber+2*Not Assigned/5/23/2023//Credit Card//Cancelled*Out of Stock")</f>
        <v>//ord_41073//Ishita Banerjee//Juhu//Cucumber+2*Not Assigned/5/23/2023//Credit Card//Cancelled*Out of Stock</v>
      </c>
      <c r="B1095" s="14" t="str">
        <f>IFERROR(__xludf.DUMMYFUNCTION("split(A1095,""//"")"),"ord_41073")</f>
        <v>ord_41073</v>
      </c>
      <c r="C1095" s="14" t="str">
        <f>IFERROR(__xludf.DUMMYFUNCTION("""COMPUTED_VALUE"""),"Ishita Banerjee")</f>
        <v>Ishita Banerjee</v>
      </c>
      <c r="D1095" s="14" t="str">
        <f>IFERROR(__xludf.DUMMYFUNCTION("""COMPUTED_VALUE"""),"Juhu")</f>
        <v>Juhu</v>
      </c>
      <c r="E1095" s="14" t="str">
        <f>IFERROR(__xludf.DUMMYFUNCTION("""COMPUTED_VALUE"""),"Cucumber+2*Not Assigned")</f>
        <v>Cucumber+2*Not Assigned</v>
      </c>
      <c r="F1095" s="14">
        <f>IFERROR(__xludf.DUMMYFUNCTION("""COMPUTED_VALUE"""),5.0)</f>
        <v>5</v>
      </c>
      <c r="G1095" s="14">
        <f>IFERROR(__xludf.DUMMYFUNCTION("""COMPUTED_VALUE"""),23.0)</f>
        <v>23</v>
      </c>
      <c r="H1095" s="14">
        <f>IFERROR(__xludf.DUMMYFUNCTION("""COMPUTED_VALUE"""),2023.0)</f>
        <v>2023</v>
      </c>
      <c r="I1095" s="14" t="str">
        <f>IFERROR(__xludf.DUMMYFUNCTION("""COMPUTED_VALUE"""),"Credit Card")</f>
        <v>Credit Card</v>
      </c>
      <c r="J1095" s="14" t="str">
        <f>IFERROR(__xludf.DUMMYFUNCTION("""COMPUTED_VALUE"""),"Cancelled*Out of Stock")</f>
        <v>Cancelled*Out of Stock</v>
      </c>
      <c r="K1095" s="14" t="str">
        <f>IFERROR(__xludf.DUMMYFUNCTION("split(E1095,""+"")"),"Cucumber")</f>
        <v>Cucumber</v>
      </c>
      <c r="L1095" s="14" t="str">
        <f>IFERROR(__xludf.DUMMYFUNCTION("""COMPUTED_VALUE"""),"2*Not Assigned")</f>
        <v>2*Not Assigned</v>
      </c>
      <c r="M1095" s="14">
        <f>IFERROR(__xludf.DUMMYFUNCTION("SPLIT(L1095,""*"")"),2.0)</f>
        <v>2</v>
      </c>
      <c r="N1095" s="14" t="str">
        <f>IFERROR(__xludf.DUMMYFUNCTION("""COMPUTED_VALUE"""),"Not Assigned")</f>
        <v>Not Assigned</v>
      </c>
      <c r="O1095" s="14" t="str">
        <f>IFERROR(__xludf.DUMMYFUNCTION("split(J1095,""*"")"),"Cancelled")</f>
        <v>Cancelled</v>
      </c>
      <c r="P1095" s="14" t="str">
        <f>IFERROR(__xludf.DUMMYFUNCTION("""COMPUTED_VALUE"""),"Out of Stock")</f>
        <v>Out of Stock</v>
      </c>
      <c r="Q1095" s="14" t="str">
        <f>IFERROR(__xludf.DUMMYFUNCTION("split(P1095,"":"")"),"Out of Stock")</f>
        <v>Out of Stock</v>
      </c>
      <c r="R1095" s="14"/>
      <c r="S1095" s="14" t="str">
        <f t="shared" ref="S1095:U1095" si="2193">trim(B1095)</f>
        <v>ord_41073</v>
      </c>
      <c r="T1095" s="14" t="str">
        <f t="shared" si="2193"/>
        <v>Ishita Banerjee</v>
      </c>
      <c r="U1095" s="14" t="str">
        <f t="shared" si="2193"/>
        <v>Juhu</v>
      </c>
      <c r="V1095" s="14" t="str">
        <f t="shared" si="4"/>
        <v>Cucumber</v>
      </c>
      <c r="W1095" s="14">
        <f t="shared" si="5"/>
        <v>2</v>
      </c>
      <c r="X1095" s="14" t="str">
        <f t="shared" si="6"/>
        <v>Not Assigned</v>
      </c>
      <c r="Y1095" s="15">
        <f t="shared" si="7"/>
        <v>45069</v>
      </c>
      <c r="Z1095" s="14" t="str">
        <f t="shared" si="8"/>
        <v>Credit Card</v>
      </c>
      <c r="AA1095" s="14" t="str">
        <f t="shared" si="9"/>
        <v>Cancelled</v>
      </c>
      <c r="AB1095" s="14" t="str">
        <f t="shared" ref="AB1095:AC1095" si="2194">trim(Q1095)</f>
        <v>Out of Stock</v>
      </c>
      <c r="AC1095" s="14" t="str">
        <f t="shared" si="2194"/>
        <v/>
      </c>
      <c r="AD1095" s="8"/>
    </row>
    <row r="1096">
      <c r="A1096" s="14" t="str">
        <f>IFERROR(__xludf.DUMMYFUNCTION("""COMPUTED_VALUE"""),"//ord_41074//Siya Reddy//Juhu//Orange+1*Ramesh S/10/21/2023//Credit Card//Delivered*On-time Delivery: Delivered on time")</f>
        <v>//ord_41074//Siya Reddy//Juhu//Orange+1*Ramesh S/10/21/2023//Credit Card//Delivered*On-time Delivery: Delivered on time</v>
      </c>
      <c r="B1096" s="14" t="str">
        <f>IFERROR(__xludf.DUMMYFUNCTION("split(A1096,""//"")"),"ord_41074")</f>
        <v>ord_41074</v>
      </c>
      <c r="C1096" s="14" t="str">
        <f>IFERROR(__xludf.DUMMYFUNCTION("""COMPUTED_VALUE"""),"Siya Reddy")</f>
        <v>Siya Reddy</v>
      </c>
      <c r="D1096" s="14" t="str">
        <f>IFERROR(__xludf.DUMMYFUNCTION("""COMPUTED_VALUE"""),"Juhu")</f>
        <v>Juhu</v>
      </c>
      <c r="E1096" s="14" t="str">
        <f>IFERROR(__xludf.DUMMYFUNCTION("""COMPUTED_VALUE"""),"Orange+1*Ramesh S")</f>
        <v>Orange+1*Ramesh S</v>
      </c>
      <c r="F1096" s="14">
        <f>IFERROR(__xludf.DUMMYFUNCTION("""COMPUTED_VALUE"""),10.0)</f>
        <v>10</v>
      </c>
      <c r="G1096" s="14">
        <f>IFERROR(__xludf.DUMMYFUNCTION("""COMPUTED_VALUE"""),21.0)</f>
        <v>21</v>
      </c>
      <c r="H1096" s="14">
        <f>IFERROR(__xludf.DUMMYFUNCTION("""COMPUTED_VALUE"""),2023.0)</f>
        <v>2023</v>
      </c>
      <c r="I1096" s="14" t="str">
        <f>IFERROR(__xludf.DUMMYFUNCTION("""COMPUTED_VALUE"""),"Credit Card")</f>
        <v>Credit Card</v>
      </c>
      <c r="J1096" s="14" t="str">
        <f>IFERROR(__xludf.DUMMYFUNCTION("""COMPUTED_VALUE"""),"Delivered*On-time Delivery: Delivered on time")</f>
        <v>Delivered*On-time Delivery: Delivered on time</v>
      </c>
      <c r="K1096" s="14" t="str">
        <f>IFERROR(__xludf.DUMMYFUNCTION("split(E1096,""+"")"),"Orange")</f>
        <v>Orange</v>
      </c>
      <c r="L1096" s="14" t="str">
        <f>IFERROR(__xludf.DUMMYFUNCTION("""COMPUTED_VALUE"""),"1*Ramesh S")</f>
        <v>1*Ramesh S</v>
      </c>
      <c r="M1096" s="14">
        <f>IFERROR(__xludf.DUMMYFUNCTION("SPLIT(L1096,""*"")"),1.0)</f>
        <v>1</v>
      </c>
      <c r="N1096" s="14" t="str">
        <f>IFERROR(__xludf.DUMMYFUNCTION("""COMPUTED_VALUE"""),"Ramesh S")</f>
        <v>Ramesh S</v>
      </c>
      <c r="O1096" s="14" t="str">
        <f>IFERROR(__xludf.DUMMYFUNCTION("split(J1096,""*"")"),"Delivered")</f>
        <v>Delivered</v>
      </c>
      <c r="P1096" s="14" t="str">
        <f>IFERROR(__xludf.DUMMYFUNCTION("""COMPUTED_VALUE"""),"On-time Delivery: Delivered on time")</f>
        <v>On-time Delivery: Delivered on time</v>
      </c>
      <c r="Q1096" s="14" t="str">
        <f>IFERROR(__xludf.DUMMYFUNCTION("split(P1096,"":"")"),"On-time Delivery")</f>
        <v>On-time Delivery</v>
      </c>
      <c r="R1096" s="14" t="str">
        <f>IFERROR(__xludf.DUMMYFUNCTION("""COMPUTED_VALUE""")," Delivered on time")</f>
        <v> Delivered on time</v>
      </c>
      <c r="S1096" s="14" t="str">
        <f t="shared" ref="S1096:U1096" si="2195">trim(B1096)</f>
        <v>ord_41074</v>
      </c>
      <c r="T1096" s="14" t="str">
        <f t="shared" si="2195"/>
        <v>Siya Reddy</v>
      </c>
      <c r="U1096" s="14" t="str">
        <f t="shared" si="2195"/>
        <v>Juhu</v>
      </c>
      <c r="V1096" s="14" t="str">
        <f t="shared" si="4"/>
        <v>Orange</v>
      </c>
      <c r="W1096" s="14">
        <f t="shared" si="5"/>
        <v>1</v>
      </c>
      <c r="X1096" s="14" t="str">
        <f t="shared" si="6"/>
        <v>Ramesh S</v>
      </c>
      <c r="Y1096" s="15">
        <f t="shared" si="7"/>
        <v>45220</v>
      </c>
      <c r="Z1096" s="14" t="str">
        <f t="shared" si="8"/>
        <v>Credit Card</v>
      </c>
      <c r="AA1096" s="14" t="str">
        <f t="shared" si="9"/>
        <v>Delivered</v>
      </c>
      <c r="AB1096" s="14" t="str">
        <f t="shared" ref="AB1096:AC1096" si="2196">trim(Q1096)</f>
        <v>On-time Delivery</v>
      </c>
      <c r="AC1096" s="14" t="str">
        <f t="shared" si="2196"/>
        <v>Delivered on time</v>
      </c>
      <c r="AD1096" s="8"/>
    </row>
    <row r="1097">
      <c r="A1097" s="14" t="str">
        <f>IFERROR(__xludf.DUMMYFUNCTION("""COMPUTED_VALUE"""),"//ord_41075//Ishita Banerjee//Juhu//Potato+2*Ramesh S/4/25/2023//COD//Delivered*Quality of Items: Perfect condition")</f>
        <v>//ord_41075//Ishita Banerjee//Juhu//Potato+2*Ramesh S/4/25/2023//COD//Delivered*Quality of Items: Perfect condition</v>
      </c>
      <c r="B1097" s="14" t="str">
        <f>IFERROR(__xludf.DUMMYFUNCTION("split(A1097,""//"")"),"ord_41075")</f>
        <v>ord_41075</v>
      </c>
      <c r="C1097" s="14" t="str">
        <f>IFERROR(__xludf.DUMMYFUNCTION("""COMPUTED_VALUE"""),"Ishita Banerjee")</f>
        <v>Ishita Banerjee</v>
      </c>
      <c r="D1097" s="14" t="str">
        <f>IFERROR(__xludf.DUMMYFUNCTION("""COMPUTED_VALUE"""),"Juhu")</f>
        <v>Juhu</v>
      </c>
      <c r="E1097" s="14" t="str">
        <f>IFERROR(__xludf.DUMMYFUNCTION("""COMPUTED_VALUE"""),"Potato+2*Ramesh S")</f>
        <v>Potato+2*Ramesh S</v>
      </c>
      <c r="F1097" s="14">
        <f>IFERROR(__xludf.DUMMYFUNCTION("""COMPUTED_VALUE"""),4.0)</f>
        <v>4</v>
      </c>
      <c r="G1097" s="14">
        <f>IFERROR(__xludf.DUMMYFUNCTION("""COMPUTED_VALUE"""),25.0)</f>
        <v>25</v>
      </c>
      <c r="H1097" s="14">
        <f>IFERROR(__xludf.DUMMYFUNCTION("""COMPUTED_VALUE"""),2023.0)</f>
        <v>2023</v>
      </c>
      <c r="I1097" s="14" t="str">
        <f>IFERROR(__xludf.DUMMYFUNCTION("""COMPUTED_VALUE"""),"COD")</f>
        <v>COD</v>
      </c>
      <c r="J1097" s="14" t="str">
        <f>IFERROR(__xludf.DUMMYFUNCTION("""COMPUTED_VALUE"""),"Delivered*Quality of Items: Perfect condition")</f>
        <v>Delivered*Quality of Items: Perfect condition</v>
      </c>
      <c r="K1097" s="14" t="str">
        <f>IFERROR(__xludf.DUMMYFUNCTION("split(E1097,""+"")"),"Potato")</f>
        <v>Potato</v>
      </c>
      <c r="L1097" s="14" t="str">
        <f>IFERROR(__xludf.DUMMYFUNCTION("""COMPUTED_VALUE"""),"2*Ramesh S")</f>
        <v>2*Ramesh S</v>
      </c>
      <c r="M1097" s="14">
        <f>IFERROR(__xludf.DUMMYFUNCTION("SPLIT(L1097,""*"")"),2.0)</f>
        <v>2</v>
      </c>
      <c r="N1097" s="14" t="str">
        <f>IFERROR(__xludf.DUMMYFUNCTION("""COMPUTED_VALUE"""),"Ramesh S")</f>
        <v>Ramesh S</v>
      </c>
      <c r="O1097" s="14" t="str">
        <f>IFERROR(__xludf.DUMMYFUNCTION("split(J1097,""*"")"),"Delivered")</f>
        <v>Delivered</v>
      </c>
      <c r="P1097" s="14" t="str">
        <f>IFERROR(__xludf.DUMMYFUNCTION("""COMPUTED_VALUE"""),"Quality of Items: Perfect condition")</f>
        <v>Quality of Items: Perfect condition</v>
      </c>
      <c r="Q1097" s="14" t="str">
        <f>IFERROR(__xludf.DUMMYFUNCTION("split(P1097,"":"")"),"Quality of Items")</f>
        <v>Quality of Items</v>
      </c>
      <c r="R1097" s="14" t="str">
        <f>IFERROR(__xludf.DUMMYFUNCTION("""COMPUTED_VALUE""")," Perfect condition")</f>
        <v> Perfect condition</v>
      </c>
      <c r="S1097" s="14" t="str">
        <f t="shared" ref="S1097:U1097" si="2197">trim(B1097)</f>
        <v>ord_41075</v>
      </c>
      <c r="T1097" s="14" t="str">
        <f t="shared" si="2197"/>
        <v>Ishita Banerjee</v>
      </c>
      <c r="U1097" s="14" t="str">
        <f t="shared" si="2197"/>
        <v>Juhu</v>
      </c>
      <c r="V1097" s="14" t="str">
        <f t="shared" si="4"/>
        <v>Potato</v>
      </c>
      <c r="W1097" s="14">
        <f t="shared" si="5"/>
        <v>2</v>
      </c>
      <c r="X1097" s="14" t="str">
        <f t="shared" si="6"/>
        <v>Ramesh S</v>
      </c>
      <c r="Y1097" s="15">
        <f t="shared" si="7"/>
        <v>45041</v>
      </c>
      <c r="Z1097" s="14" t="str">
        <f t="shared" si="8"/>
        <v>COD</v>
      </c>
      <c r="AA1097" s="14" t="str">
        <f t="shared" si="9"/>
        <v>Delivered</v>
      </c>
      <c r="AB1097" s="14" t="str">
        <f t="shared" ref="AB1097:AC1097" si="2198">trim(Q1097)</f>
        <v>Quality of Items</v>
      </c>
      <c r="AC1097" s="14" t="str">
        <f t="shared" si="2198"/>
        <v>Perfect condition</v>
      </c>
      <c r="AD1097" s="8"/>
    </row>
    <row r="1098">
      <c r="A1098" s="14" t="str">
        <f>IFERROR(__xludf.DUMMYFUNCTION("""COMPUTED_VALUE"""),"//ord_41076//Sanjay Nair//Dadar//Papaya+2*Ramesh S/4/28/2023//COD//Delivered*On-time Delivery: Delivered on time")</f>
        <v>//ord_41076//Sanjay Nair//Dadar//Papaya+2*Ramesh S/4/28/2023//COD//Delivered*On-time Delivery: Delivered on time</v>
      </c>
      <c r="B1098" s="14" t="str">
        <f>IFERROR(__xludf.DUMMYFUNCTION("split(A1098,""//"")"),"ord_41076")</f>
        <v>ord_41076</v>
      </c>
      <c r="C1098" s="14" t="str">
        <f>IFERROR(__xludf.DUMMYFUNCTION("""COMPUTED_VALUE"""),"Sanjay Nair")</f>
        <v>Sanjay Nair</v>
      </c>
      <c r="D1098" s="14" t="str">
        <f>IFERROR(__xludf.DUMMYFUNCTION("""COMPUTED_VALUE"""),"Dadar")</f>
        <v>Dadar</v>
      </c>
      <c r="E1098" s="14" t="str">
        <f>IFERROR(__xludf.DUMMYFUNCTION("""COMPUTED_VALUE"""),"Papaya+2*Ramesh S")</f>
        <v>Papaya+2*Ramesh S</v>
      </c>
      <c r="F1098" s="14">
        <f>IFERROR(__xludf.DUMMYFUNCTION("""COMPUTED_VALUE"""),4.0)</f>
        <v>4</v>
      </c>
      <c r="G1098" s="14">
        <f>IFERROR(__xludf.DUMMYFUNCTION("""COMPUTED_VALUE"""),28.0)</f>
        <v>28</v>
      </c>
      <c r="H1098" s="14">
        <f>IFERROR(__xludf.DUMMYFUNCTION("""COMPUTED_VALUE"""),2023.0)</f>
        <v>2023</v>
      </c>
      <c r="I1098" s="14" t="str">
        <f>IFERROR(__xludf.DUMMYFUNCTION("""COMPUTED_VALUE"""),"COD")</f>
        <v>COD</v>
      </c>
      <c r="J1098" s="14" t="str">
        <f>IFERROR(__xludf.DUMMYFUNCTION("""COMPUTED_VALUE"""),"Delivered*On-time Delivery: Delivered on time")</f>
        <v>Delivered*On-time Delivery: Delivered on time</v>
      </c>
      <c r="K1098" s="14" t="str">
        <f>IFERROR(__xludf.DUMMYFUNCTION("split(E1098,""+"")"),"Papaya")</f>
        <v>Papaya</v>
      </c>
      <c r="L1098" s="14" t="str">
        <f>IFERROR(__xludf.DUMMYFUNCTION("""COMPUTED_VALUE"""),"2*Ramesh S")</f>
        <v>2*Ramesh S</v>
      </c>
      <c r="M1098" s="14">
        <f>IFERROR(__xludf.DUMMYFUNCTION("SPLIT(L1098,""*"")"),2.0)</f>
        <v>2</v>
      </c>
      <c r="N1098" s="14" t="str">
        <f>IFERROR(__xludf.DUMMYFUNCTION("""COMPUTED_VALUE"""),"Ramesh S")</f>
        <v>Ramesh S</v>
      </c>
      <c r="O1098" s="14" t="str">
        <f>IFERROR(__xludf.DUMMYFUNCTION("split(J1098,""*"")"),"Delivered")</f>
        <v>Delivered</v>
      </c>
      <c r="P1098" s="14" t="str">
        <f>IFERROR(__xludf.DUMMYFUNCTION("""COMPUTED_VALUE"""),"On-time Delivery: Delivered on time")</f>
        <v>On-time Delivery: Delivered on time</v>
      </c>
      <c r="Q1098" s="14" t="str">
        <f>IFERROR(__xludf.DUMMYFUNCTION("split(P1098,"":"")"),"On-time Delivery")</f>
        <v>On-time Delivery</v>
      </c>
      <c r="R1098" s="14" t="str">
        <f>IFERROR(__xludf.DUMMYFUNCTION("""COMPUTED_VALUE""")," Delivered on time")</f>
        <v> Delivered on time</v>
      </c>
      <c r="S1098" s="14" t="str">
        <f t="shared" ref="S1098:U1098" si="2199">trim(B1098)</f>
        <v>ord_41076</v>
      </c>
      <c r="T1098" s="14" t="str">
        <f t="shared" si="2199"/>
        <v>Sanjay Nair</v>
      </c>
      <c r="U1098" s="14" t="str">
        <f t="shared" si="2199"/>
        <v>Dadar</v>
      </c>
      <c r="V1098" s="14" t="str">
        <f t="shared" si="4"/>
        <v>Papaya</v>
      </c>
      <c r="W1098" s="14">
        <f t="shared" si="5"/>
        <v>2</v>
      </c>
      <c r="X1098" s="14" t="str">
        <f t="shared" si="6"/>
        <v>Ramesh S</v>
      </c>
      <c r="Y1098" s="15">
        <f t="shared" si="7"/>
        <v>45044</v>
      </c>
      <c r="Z1098" s="14" t="str">
        <f t="shared" si="8"/>
        <v>COD</v>
      </c>
      <c r="AA1098" s="14" t="str">
        <f t="shared" si="9"/>
        <v>Delivered</v>
      </c>
      <c r="AB1098" s="14" t="str">
        <f t="shared" ref="AB1098:AC1098" si="2200">trim(Q1098)</f>
        <v>On-time Delivery</v>
      </c>
      <c r="AC1098" s="14" t="str">
        <f t="shared" si="2200"/>
        <v>Delivered on time</v>
      </c>
      <c r="AD1098" s="8"/>
    </row>
    <row r="1099">
      <c r="A1099" s="14" t="str">
        <f>IFERROR(__xludf.DUMMYFUNCTION("""COMPUTED_VALUE"""),"//ord_41077//Sanjay Nair//Dadar//Guava+2*Manju Ajay/1/11/2023//COD//Delivered*Quality of Items: Perfect condition")</f>
        <v>//ord_41077//Sanjay Nair//Dadar//Guava+2*Manju Ajay/1/11/2023//COD//Delivered*Quality of Items: Perfect condition</v>
      </c>
      <c r="B1099" s="14" t="str">
        <f>IFERROR(__xludf.DUMMYFUNCTION("split(A1099,""//"")"),"ord_41077")</f>
        <v>ord_41077</v>
      </c>
      <c r="C1099" s="14" t="str">
        <f>IFERROR(__xludf.DUMMYFUNCTION("""COMPUTED_VALUE"""),"Sanjay Nair")</f>
        <v>Sanjay Nair</v>
      </c>
      <c r="D1099" s="14" t="str">
        <f>IFERROR(__xludf.DUMMYFUNCTION("""COMPUTED_VALUE"""),"Dadar")</f>
        <v>Dadar</v>
      </c>
      <c r="E1099" s="14" t="str">
        <f>IFERROR(__xludf.DUMMYFUNCTION("""COMPUTED_VALUE"""),"Guava+2*Manju Ajay")</f>
        <v>Guava+2*Manju Ajay</v>
      </c>
      <c r="F1099" s="14">
        <f>IFERROR(__xludf.DUMMYFUNCTION("""COMPUTED_VALUE"""),1.0)</f>
        <v>1</v>
      </c>
      <c r="G1099" s="14">
        <f>IFERROR(__xludf.DUMMYFUNCTION("""COMPUTED_VALUE"""),11.0)</f>
        <v>11</v>
      </c>
      <c r="H1099" s="14">
        <f>IFERROR(__xludf.DUMMYFUNCTION("""COMPUTED_VALUE"""),2023.0)</f>
        <v>2023</v>
      </c>
      <c r="I1099" s="14" t="str">
        <f>IFERROR(__xludf.DUMMYFUNCTION("""COMPUTED_VALUE"""),"COD")</f>
        <v>COD</v>
      </c>
      <c r="J1099" s="14" t="str">
        <f>IFERROR(__xludf.DUMMYFUNCTION("""COMPUTED_VALUE"""),"Delivered*Quality of Items: Perfect condition")</f>
        <v>Delivered*Quality of Items: Perfect condition</v>
      </c>
      <c r="K1099" s="14" t="str">
        <f>IFERROR(__xludf.DUMMYFUNCTION("split(E1099,""+"")"),"Guava")</f>
        <v>Guava</v>
      </c>
      <c r="L1099" s="14" t="str">
        <f>IFERROR(__xludf.DUMMYFUNCTION("""COMPUTED_VALUE"""),"2*Manju Ajay")</f>
        <v>2*Manju Ajay</v>
      </c>
      <c r="M1099" s="14">
        <f>IFERROR(__xludf.DUMMYFUNCTION("SPLIT(L1099,""*"")"),2.0)</f>
        <v>2</v>
      </c>
      <c r="N1099" s="14" t="str">
        <f>IFERROR(__xludf.DUMMYFUNCTION("""COMPUTED_VALUE"""),"Manju Ajay")</f>
        <v>Manju Ajay</v>
      </c>
      <c r="O1099" s="14" t="str">
        <f>IFERROR(__xludf.DUMMYFUNCTION("split(J1099,""*"")"),"Delivered")</f>
        <v>Delivered</v>
      </c>
      <c r="P1099" s="14" t="str">
        <f>IFERROR(__xludf.DUMMYFUNCTION("""COMPUTED_VALUE"""),"Quality of Items: Perfect condition")</f>
        <v>Quality of Items: Perfect condition</v>
      </c>
      <c r="Q1099" s="14" t="str">
        <f>IFERROR(__xludf.DUMMYFUNCTION("split(P1099,"":"")"),"Quality of Items")</f>
        <v>Quality of Items</v>
      </c>
      <c r="R1099" s="14" t="str">
        <f>IFERROR(__xludf.DUMMYFUNCTION("""COMPUTED_VALUE""")," Perfect condition")</f>
        <v> Perfect condition</v>
      </c>
      <c r="S1099" s="14" t="str">
        <f t="shared" ref="S1099:U1099" si="2201">trim(B1099)</f>
        <v>ord_41077</v>
      </c>
      <c r="T1099" s="14" t="str">
        <f t="shared" si="2201"/>
        <v>Sanjay Nair</v>
      </c>
      <c r="U1099" s="14" t="str">
        <f t="shared" si="2201"/>
        <v>Dadar</v>
      </c>
      <c r="V1099" s="14" t="str">
        <f t="shared" si="4"/>
        <v>Guava</v>
      </c>
      <c r="W1099" s="14">
        <f t="shared" si="5"/>
        <v>2</v>
      </c>
      <c r="X1099" s="14" t="str">
        <f t="shared" si="6"/>
        <v>Manju Ajay</v>
      </c>
      <c r="Y1099" s="15">
        <f t="shared" si="7"/>
        <v>44937</v>
      </c>
      <c r="Z1099" s="14" t="str">
        <f t="shared" si="8"/>
        <v>COD</v>
      </c>
      <c r="AA1099" s="14" t="str">
        <f t="shared" si="9"/>
        <v>Delivered</v>
      </c>
      <c r="AB1099" s="14" t="str">
        <f t="shared" ref="AB1099:AC1099" si="2202">trim(Q1099)</f>
        <v>Quality of Items</v>
      </c>
      <c r="AC1099" s="14" t="str">
        <f t="shared" si="2202"/>
        <v>Perfect condition</v>
      </c>
      <c r="AD1099" s="8"/>
    </row>
    <row r="1100">
      <c r="A1100" s="14" t="str">
        <f>IFERROR(__xludf.DUMMYFUNCTION("""COMPUTED_VALUE"""),"//ord_41078//Omkar Mishra//Powai//Orange+2*Manju Ajay/1/1/2023//Online Payment//Delivered*Packaging: Secure and intact")</f>
        <v>//ord_41078//Omkar Mishra//Powai//Orange+2*Manju Ajay/1/1/2023//Online Payment//Delivered*Packaging: Secure and intact</v>
      </c>
      <c r="B1100" s="14" t="str">
        <f>IFERROR(__xludf.DUMMYFUNCTION("split(A1100,""//"")"),"ord_41078")</f>
        <v>ord_41078</v>
      </c>
      <c r="C1100" s="14" t="str">
        <f>IFERROR(__xludf.DUMMYFUNCTION("""COMPUTED_VALUE"""),"Omkar Mishra")</f>
        <v>Omkar Mishra</v>
      </c>
      <c r="D1100" s="14" t="str">
        <f>IFERROR(__xludf.DUMMYFUNCTION("""COMPUTED_VALUE"""),"Powai")</f>
        <v>Powai</v>
      </c>
      <c r="E1100" s="14" t="str">
        <f>IFERROR(__xludf.DUMMYFUNCTION("""COMPUTED_VALUE"""),"Orange+2*Manju Ajay")</f>
        <v>Orange+2*Manju Ajay</v>
      </c>
      <c r="F1100" s="14">
        <f>IFERROR(__xludf.DUMMYFUNCTION("""COMPUTED_VALUE"""),1.0)</f>
        <v>1</v>
      </c>
      <c r="G1100" s="14">
        <f>IFERROR(__xludf.DUMMYFUNCTION("""COMPUTED_VALUE"""),1.0)</f>
        <v>1</v>
      </c>
      <c r="H1100" s="14">
        <f>IFERROR(__xludf.DUMMYFUNCTION("""COMPUTED_VALUE"""),2023.0)</f>
        <v>2023</v>
      </c>
      <c r="I1100" s="14" t="str">
        <f>IFERROR(__xludf.DUMMYFUNCTION("""COMPUTED_VALUE"""),"Online Payment")</f>
        <v>Online Payment</v>
      </c>
      <c r="J1100" s="14" t="str">
        <f>IFERROR(__xludf.DUMMYFUNCTION("""COMPUTED_VALUE"""),"Delivered*Packaging: Secure and intact")</f>
        <v>Delivered*Packaging: Secure and intact</v>
      </c>
      <c r="K1100" s="14" t="str">
        <f>IFERROR(__xludf.DUMMYFUNCTION("split(E1100,""+"")"),"Orange")</f>
        <v>Orange</v>
      </c>
      <c r="L1100" s="14" t="str">
        <f>IFERROR(__xludf.DUMMYFUNCTION("""COMPUTED_VALUE"""),"2*Manju Ajay")</f>
        <v>2*Manju Ajay</v>
      </c>
      <c r="M1100" s="14">
        <f>IFERROR(__xludf.DUMMYFUNCTION("SPLIT(L1100,""*"")"),2.0)</f>
        <v>2</v>
      </c>
      <c r="N1100" s="14" t="str">
        <f>IFERROR(__xludf.DUMMYFUNCTION("""COMPUTED_VALUE"""),"Manju Ajay")</f>
        <v>Manju Ajay</v>
      </c>
      <c r="O1100" s="14" t="str">
        <f>IFERROR(__xludf.DUMMYFUNCTION("split(J1100,""*"")"),"Delivered")</f>
        <v>Delivered</v>
      </c>
      <c r="P1100" s="14" t="str">
        <f>IFERROR(__xludf.DUMMYFUNCTION("""COMPUTED_VALUE"""),"Packaging: Secure and intact")</f>
        <v>Packaging: Secure and intact</v>
      </c>
      <c r="Q1100" s="14" t="str">
        <f>IFERROR(__xludf.DUMMYFUNCTION("split(P1100,"":"")"),"Packaging")</f>
        <v>Packaging</v>
      </c>
      <c r="R1100" s="14" t="str">
        <f>IFERROR(__xludf.DUMMYFUNCTION("""COMPUTED_VALUE""")," Secure and intact")</f>
        <v> Secure and intact</v>
      </c>
      <c r="S1100" s="14" t="str">
        <f t="shared" ref="S1100:U1100" si="2203">trim(B1100)</f>
        <v>ord_41078</v>
      </c>
      <c r="T1100" s="14" t="str">
        <f t="shared" si="2203"/>
        <v>Omkar Mishra</v>
      </c>
      <c r="U1100" s="14" t="str">
        <f t="shared" si="2203"/>
        <v>Powai</v>
      </c>
      <c r="V1100" s="14" t="str">
        <f t="shared" si="4"/>
        <v>Orange</v>
      </c>
      <c r="W1100" s="14">
        <f t="shared" si="5"/>
        <v>2</v>
      </c>
      <c r="X1100" s="14" t="str">
        <f t="shared" si="6"/>
        <v>Manju Ajay</v>
      </c>
      <c r="Y1100" s="15">
        <f t="shared" si="7"/>
        <v>44927</v>
      </c>
      <c r="Z1100" s="14" t="str">
        <f t="shared" si="8"/>
        <v>Online Payment</v>
      </c>
      <c r="AA1100" s="14" t="str">
        <f t="shared" si="9"/>
        <v>Delivered</v>
      </c>
      <c r="AB1100" s="14" t="str">
        <f t="shared" ref="AB1100:AC1100" si="2204">trim(Q1100)</f>
        <v>Packaging</v>
      </c>
      <c r="AC1100" s="14" t="str">
        <f t="shared" si="2204"/>
        <v>Secure and intact</v>
      </c>
      <c r="AD1100" s="8"/>
    </row>
    <row r="1101">
      <c r="A1101" s="14" t="str">
        <f>IFERROR(__xludf.DUMMYFUNCTION("""COMPUTED_VALUE"""),"//ord_41079//Mohit Malhotra//Lower Parel//Cucumber+2*Kiran Mehta/5/21/2023//Online Payment//Cancelled*Delayed Delivery:Bad Weather Conditions ")</f>
        <v>//ord_41079//Mohit Malhotra//Lower Parel//Cucumber+2*Kiran Mehta/5/21/2023//Online Payment//Cancelled*Delayed Delivery:Bad Weather Conditions </v>
      </c>
      <c r="B1101" s="14" t="str">
        <f>IFERROR(__xludf.DUMMYFUNCTION("split(A1101,""//"")"),"ord_41079")</f>
        <v>ord_41079</v>
      </c>
      <c r="C1101" s="14" t="str">
        <f>IFERROR(__xludf.DUMMYFUNCTION("""COMPUTED_VALUE"""),"Mohit Malhotra")</f>
        <v>Mohit Malhotra</v>
      </c>
      <c r="D1101" s="14" t="str">
        <f>IFERROR(__xludf.DUMMYFUNCTION("""COMPUTED_VALUE"""),"Lower Parel")</f>
        <v>Lower Parel</v>
      </c>
      <c r="E1101" s="14" t="str">
        <f>IFERROR(__xludf.DUMMYFUNCTION("""COMPUTED_VALUE"""),"Cucumber+2*Kiran Mehta")</f>
        <v>Cucumber+2*Kiran Mehta</v>
      </c>
      <c r="F1101" s="14">
        <f>IFERROR(__xludf.DUMMYFUNCTION("""COMPUTED_VALUE"""),5.0)</f>
        <v>5</v>
      </c>
      <c r="G1101" s="14">
        <f>IFERROR(__xludf.DUMMYFUNCTION("""COMPUTED_VALUE"""),21.0)</f>
        <v>21</v>
      </c>
      <c r="H1101" s="14">
        <f>IFERROR(__xludf.DUMMYFUNCTION("""COMPUTED_VALUE"""),2023.0)</f>
        <v>2023</v>
      </c>
      <c r="I1101" s="14" t="str">
        <f>IFERROR(__xludf.DUMMYFUNCTION("""COMPUTED_VALUE"""),"Online Payment")</f>
        <v>Online Payment</v>
      </c>
      <c r="J1101" s="14" t="str">
        <f>IFERROR(__xludf.DUMMYFUNCTION("""COMPUTED_VALUE"""),"Cancelled*Delayed Delivery:Bad Weather Conditions ")</f>
        <v>Cancelled*Delayed Delivery:Bad Weather Conditions </v>
      </c>
      <c r="K1101" s="14" t="str">
        <f>IFERROR(__xludf.DUMMYFUNCTION("split(E1101,""+"")"),"Cucumber")</f>
        <v>Cucumber</v>
      </c>
      <c r="L1101" s="14" t="str">
        <f>IFERROR(__xludf.DUMMYFUNCTION("""COMPUTED_VALUE"""),"2*Kiran Mehta")</f>
        <v>2*Kiran Mehta</v>
      </c>
      <c r="M1101" s="14">
        <f>IFERROR(__xludf.DUMMYFUNCTION("SPLIT(L1101,""*"")"),2.0)</f>
        <v>2</v>
      </c>
      <c r="N1101" s="14" t="str">
        <f>IFERROR(__xludf.DUMMYFUNCTION("""COMPUTED_VALUE"""),"Kiran Mehta")</f>
        <v>Kiran Mehta</v>
      </c>
      <c r="O1101" s="14" t="str">
        <f>IFERROR(__xludf.DUMMYFUNCTION("split(J1101,""*"")"),"Cancelled")</f>
        <v>Cancelled</v>
      </c>
      <c r="P1101" s="14" t="str">
        <f>IFERROR(__xludf.DUMMYFUNCTION("""COMPUTED_VALUE"""),"Delayed Delivery:Bad Weather Conditions ")</f>
        <v>Delayed Delivery:Bad Weather Conditions </v>
      </c>
      <c r="Q1101" s="14" t="str">
        <f>IFERROR(__xludf.DUMMYFUNCTION("split(P1101,"":"")"),"Delayed Delivery")</f>
        <v>Delayed Delivery</v>
      </c>
      <c r="R1101" s="14" t="str">
        <f>IFERROR(__xludf.DUMMYFUNCTION("""COMPUTED_VALUE"""),"Bad Weather Conditions ")</f>
        <v>Bad Weather Conditions </v>
      </c>
      <c r="S1101" s="14" t="str">
        <f t="shared" ref="S1101:U1101" si="2205">trim(B1101)</f>
        <v>ord_41079</v>
      </c>
      <c r="T1101" s="14" t="str">
        <f t="shared" si="2205"/>
        <v>Mohit Malhotra</v>
      </c>
      <c r="U1101" s="14" t="str">
        <f t="shared" si="2205"/>
        <v>Lower Parel</v>
      </c>
      <c r="V1101" s="14" t="str">
        <f t="shared" si="4"/>
        <v>Cucumber</v>
      </c>
      <c r="W1101" s="14">
        <f t="shared" si="5"/>
        <v>2</v>
      </c>
      <c r="X1101" s="14" t="str">
        <f t="shared" si="6"/>
        <v>Kiran Mehta</v>
      </c>
      <c r="Y1101" s="15">
        <f t="shared" si="7"/>
        <v>45067</v>
      </c>
      <c r="Z1101" s="14" t="str">
        <f t="shared" si="8"/>
        <v>Online Payment</v>
      </c>
      <c r="AA1101" s="14" t="str">
        <f t="shared" si="9"/>
        <v>Cancelled</v>
      </c>
      <c r="AB1101" s="14" t="str">
        <f t="shared" ref="AB1101:AC1101" si="2206">trim(Q1101)</f>
        <v>Delayed Delivery</v>
      </c>
      <c r="AC1101" s="14" t="str">
        <f t="shared" si="2206"/>
        <v>Bad Weather Conditions</v>
      </c>
      <c r="AD1101" s="8"/>
    </row>
    <row r="1102">
      <c r="A1102" s="14" t="str">
        <f>IFERROR(__xludf.DUMMYFUNCTION("""COMPUTED_VALUE"""),"//ord_41080//Sanjay Nair//Dadar//Tiramisu+4*Ram Gopal/11/26/2023//UPI//Delivered*Satisfied with the Delivery: Timely and quality")</f>
        <v>//ord_41080//Sanjay Nair//Dadar//Tiramisu+4*Ram Gopal/11/26/2023//UPI//Delivered*Satisfied with the Delivery: Timely and quality</v>
      </c>
      <c r="B1102" s="14" t="str">
        <f>IFERROR(__xludf.DUMMYFUNCTION("split(A1102,""//"")"),"ord_41080")</f>
        <v>ord_41080</v>
      </c>
      <c r="C1102" s="14" t="str">
        <f>IFERROR(__xludf.DUMMYFUNCTION("""COMPUTED_VALUE"""),"Sanjay Nair")</f>
        <v>Sanjay Nair</v>
      </c>
      <c r="D1102" s="14" t="str">
        <f>IFERROR(__xludf.DUMMYFUNCTION("""COMPUTED_VALUE"""),"Dadar")</f>
        <v>Dadar</v>
      </c>
      <c r="E1102" s="14" t="str">
        <f>IFERROR(__xludf.DUMMYFUNCTION("""COMPUTED_VALUE"""),"Tiramisu+4*Ram Gopal")</f>
        <v>Tiramisu+4*Ram Gopal</v>
      </c>
      <c r="F1102" s="14">
        <f>IFERROR(__xludf.DUMMYFUNCTION("""COMPUTED_VALUE"""),11.0)</f>
        <v>11</v>
      </c>
      <c r="G1102" s="14">
        <f>IFERROR(__xludf.DUMMYFUNCTION("""COMPUTED_VALUE"""),26.0)</f>
        <v>26</v>
      </c>
      <c r="H1102" s="14">
        <f>IFERROR(__xludf.DUMMYFUNCTION("""COMPUTED_VALUE"""),2023.0)</f>
        <v>2023</v>
      </c>
      <c r="I1102" s="14" t="str">
        <f>IFERROR(__xludf.DUMMYFUNCTION("""COMPUTED_VALUE"""),"UPI")</f>
        <v>UPI</v>
      </c>
      <c r="J1102" s="14" t="str">
        <f>IFERROR(__xludf.DUMMYFUNCTION("""COMPUTED_VALUE"""),"Delivered*Satisfied with the Delivery: Timely and quality")</f>
        <v>Delivered*Satisfied with the Delivery: Timely and quality</v>
      </c>
      <c r="K1102" s="14" t="str">
        <f>IFERROR(__xludf.DUMMYFUNCTION("split(E1102,""+"")"),"Tiramisu")</f>
        <v>Tiramisu</v>
      </c>
      <c r="L1102" s="14" t="str">
        <f>IFERROR(__xludf.DUMMYFUNCTION("""COMPUTED_VALUE"""),"4*Ram Gopal")</f>
        <v>4*Ram Gopal</v>
      </c>
      <c r="M1102" s="14">
        <f>IFERROR(__xludf.DUMMYFUNCTION("SPLIT(L1102,""*"")"),4.0)</f>
        <v>4</v>
      </c>
      <c r="N1102" s="14" t="str">
        <f>IFERROR(__xludf.DUMMYFUNCTION("""COMPUTED_VALUE"""),"Ram Gopal")</f>
        <v>Ram Gopal</v>
      </c>
      <c r="O1102" s="14" t="str">
        <f>IFERROR(__xludf.DUMMYFUNCTION("split(J1102,""*"")"),"Delivered")</f>
        <v>Delivered</v>
      </c>
      <c r="P1102" s="14" t="str">
        <f>IFERROR(__xludf.DUMMYFUNCTION("""COMPUTED_VALUE"""),"Satisfied with the Delivery: Timely and quality")</f>
        <v>Satisfied with the Delivery: Timely and quality</v>
      </c>
      <c r="Q1102" s="14" t="str">
        <f>IFERROR(__xludf.DUMMYFUNCTION("split(P1102,"":"")"),"Satisfied with the Delivery")</f>
        <v>Satisfied with the Delivery</v>
      </c>
      <c r="R1102" s="14" t="str">
        <f>IFERROR(__xludf.DUMMYFUNCTION("""COMPUTED_VALUE""")," Timely and quality")</f>
        <v> Timely and quality</v>
      </c>
      <c r="S1102" s="14" t="str">
        <f t="shared" ref="S1102:U1102" si="2207">trim(B1102)</f>
        <v>ord_41080</v>
      </c>
      <c r="T1102" s="14" t="str">
        <f t="shared" si="2207"/>
        <v>Sanjay Nair</v>
      </c>
      <c r="U1102" s="14" t="str">
        <f t="shared" si="2207"/>
        <v>Dadar</v>
      </c>
      <c r="V1102" s="14" t="str">
        <f t="shared" si="4"/>
        <v>Tiramisu</v>
      </c>
      <c r="W1102" s="14">
        <f t="shared" si="5"/>
        <v>4</v>
      </c>
      <c r="X1102" s="14" t="str">
        <f t="shared" si="6"/>
        <v>Ram Gopal</v>
      </c>
      <c r="Y1102" s="15">
        <f t="shared" si="7"/>
        <v>45256</v>
      </c>
      <c r="Z1102" s="14" t="str">
        <f t="shared" si="8"/>
        <v>UPI</v>
      </c>
      <c r="AA1102" s="14" t="str">
        <f t="shared" si="9"/>
        <v>Delivered</v>
      </c>
      <c r="AB1102" s="14" t="str">
        <f t="shared" ref="AB1102:AC1102" si="2208">trim(Q1102)</f>
        <v>Satisfied with the Delivery</v>
      </c>
      <c r="AC1102" s="14" t="str">
        <f t="shared" si="2208"/>
        <v>Timely and quality</v>
      </c>
      <c r="AD1102" s="8"/>
    </row>
    <row r="1103">
      <c r="A1103" s="14" t="str">
        <f>IFERROR(__xludf.DUMMYFUNCTION("""COMPUTED_VALUE"""),"//ord_41081//Mehul Thakkar//Malad//Chicken Puff+5*Manju Ajay/11/21/2023//Online Payment//Delivered*Customer Service: Seamless and easy")</f>
        <v>//ord_41081//Mehul Thakkar//Malad//Chicken Puff+5*Manju Ajay/11/21/2023//Online Payment//Delivered*Customer Service: Seamless and easy</v>
      </c>
      <c r="B1103" s="14" t="str">
        <f>IFERROR(__xludf.DUMMYFUNCTION("split(A1103,""//"")"),"ord_41081")</f>
        <v>ord_41081</v>
      </c>
      <c r="C1103" s="14" t="str">
        <f>IFERROR(__xludf.DUMMYFUNCTION("""COMPUTED_VALUE"""),"Mehul Thakkar")</f>
        <v>Mehul Thakkar</v>
      </c>
      <c r="D1103" s="14" t="str">
        <f>IFERROR(__xludf.DUMMYFUNCTION("""COMPUTED_VALUE"""),"Malad")</f>
        <v>Malad</v>
      </c>
      <c r="E1103" s="14" t="str">
        <f>IFERROR(__xludf.DUMMYFUNCTION("""COMPUTED_VALUE"""),"Chicken Puff+5*Manju Ajay")</f>
        <v>Chicken Puff+5*Manju Ajay</v>
      </c>
      <c r="F1103" s="14">
        <f>IFERROR(__xludf.DUMMYFUNCTION("""COMPUTED_VALUE"""),11.0)</f>
        <v>11</v>
      </c>
      <c r="G1103" s="14">
        <f>IFERROR(__xludf.DUMMYFUNCTION("""COMPUTED_VALUE"""),21.0)</f>
        <v>21</v>
      </c>
      <c r="H1103" s="14">
        <f>IFERROR(__xludf.DUMMYFUNCTION("""COMPUTED_VALUE"""),2023.0)</f>
        <v>2023</v>
      </c>
      <c r="I1103" s="14" t="str">
        <f>IFERROR(__xludf.DUMMYFUNCTION("""COMPUTED_VALUE"""),"Online Payment")</f>
        <v>Online Payment</v>
      </c>
      <c r="J1103" s="14" t="str">
        <f>IFERROR(__xludf.DUMMYFUNCTION("""COMPUTED_VALUE"""),"Delivered*Customer Service: Seamless and easy")</f>
        <v>Delivered*Customer Service: Seamless and easy</v>
      </c>
      <c r="K1103" s="14" t="str">
        <f>IFERROR(__xludf.DUMMYFUNCTION("split(E1103,""+"")"),"Chicken Puff")</f>
        <v>Chicken Puff</v>
      </c>
      <c r="L1103" s="14" t="str">
        <f>IFERROR(__xludf.DUMMYFUNCTION("""COMPUTED_VALUE"""),"5*Manju Ajay")</f>
        <v>5*Manju Ajay</v>
      </c>
      <c r="M1103" s="14">
        <f>IFERROR(__xludf.DUMMYFUNCTION("SPLIT(L1103,""*"")"),5.0)</f>
        <v>5</v>
      </c>
      <c r="N1103" s="14" t="str">
        <f>IFERROR(__xludf.DUMMYFUNCTION("""COMPUTED_VALUE"""),"Manju Ajay")</f>
        <v>Manju Ajay</v>
      </c>
      <c r="O1103" s="14" t="str">
        <f>IFERROR(__xludf.DUMMYFUNCTION("split(J1103,""*"")"),"Delivered")</f>
        <v>Delivered</v>
      </c>
      <c r="P1103" s="14" t="str">
        <f>IFERROR(__xludf.DUMMYFUNCTION("""COMPUTED_VALUE"""),"Customer Service: Seamless and easy")</f>
        <v>Customer Service: Seamless and easy</v>
      </c>
      <c r="Q1103" s="14" t="str">
        <f>IFERROR(__xludf.DUMMYFUNCTION("split(P1103,"":"")"),"Customer Service")</f>
        <v>Customer Service</v>
      </c>
      <c r="R1103" s="14" t="str">
        <f>IFERROR(__xludf.DUMMYFUNCTION("""COMPUTED_VALUE""")," Seamless and easy")</f>
        <v> Seamless and easy</v>
      </c>
      <c r="S1103" s="14" t="str">
        <f t="shared" ref="S1103:U1103" si="2209">trim(B1103)</f>
        <v>ord_41081</v>
      </c>
      <c r="T1103" s="14" t="str">
        <f t="shared" si="2209"/>
        <v>Mehul Thakkar</v>
      </c>
      <c r="U1103" s="14" t="str">
        <f t="shared" si="2209"/>
        <v>Malad</v>
      </c>
      <c r="V1103" s="14" t="str">
        <f t="shared" si="4"/>
        <v>Chicken Puff</v>
      </c>
      <c r="W1103" s="14">
        <f t="shared" si="5"/>
        <v>5</v>
      </c>
      <c r="X1103" s="14" t="str">
        <f t="shared" si="6"/>
        <v>Manju Ajay</v>
      </c>
      <c r="Y1103" s="15">
        <f t="shared" si="7"/>
        <v>45251</v>
      </c>
      <c r="Z1103" s="14" t="str">
        <f t="shared" si="8"/>
        <v>Online Payment</v>
      </c>
      <c r="AA1103" s="14" t="str">
        <f t="shared" si="9"/>
        <v>Delivered</v>
      </c>
      <c r="AB1103" s="14" t="str">
        <f t="shared" ref="AB1103:AC1103" si="2210">trim(Q1103)</f>
        <v>Customer Service</v>
      </c>
      <c r="AC1103" s="14" t="str">
        <f t="shared" si="2210"/>
        <v>Seamless and easy</v>
      </c>
      <c r="AD1103" s="8"/>
    </row>
    <row r="1104">
      <c r="A1104" s="14" t="str">
        <f>IFERROR(__xludf.DUMMYFUNCTION("""COMPUTED_VALUE"""),"//ord_41082//Aarav Mehta//Andheri//Chilli Cheese Toast+2*Shine Thomas/1/28/2023//Credit Card//Delivered*Delivery Experience: Quick and professional")</f>
        <v>//ord_41082//Aarav Mehta//Andheri//Chilli Cheese Toast+2*Shine Thomas/1/28/2023//Credit Card//Delivered*Delivery Experience: Quick and professional</v>
      </c>
      <c r="B1104" s="14" t="str">
        <f>IFERROR(__xludf.DUMMYFUNCTION("split(A1104,""//"")"),"ord_41082")</f>
        <v>ord_41082</v>
      </c>
      <c r="C1104" s="14" t="str">
        <f>IFERROR(__xludf.DUMMYFUNCTION("""COMPUTED_VALUE"""),"Aarav Mehta")</f>
        <v>Aarav Mehta</v>
      </c>
      <c r="D1104" s="14" t="str">
        <f>IFERROR(__xludf.DUMMYFUNCTION("""COMPUTED_VALUE"""),"Andheri")</f>
        <v>Andheri</v>
      </c>
      <c r="E1104" s="14" t="str">
        <f>IFERROR(__xludf.DUMMYFUNCTION("""COMPUTED_VALUE"""),"Chilli Cheese Toast+2*Shine Thomas")</f>
        <v>Chilli Cheese Toast+2*Shine Thomas</v>
      </c>
      <c r="F1104" s="14">
        <f>IFERROR(__xludf.DUMMYFUNCTION("""COMPUTED_VALUE"""),1.0)</f>
        <v>1</v>
      </c>
      <c r="G1104" s="14">
        <f>IFERROR(__xludf.DUMMYFUNCTION("""COMPUTED_VALUE"""),28.0)</f>
        <v>28</v>
      </c>
      <c r="H1104" s="14">
        <f>IFERROR(__xludf.DUMMYFUNCTION("""COMPUTED_VALUE"""),2023.0)</f>
        <v>2023</v>
      </c>
      <c r="I1104" s="14" t="str">
        <f>IFERROR(__xludf.DUMMYFUNCTION("""COMPUTED_VALUE"""),"Credit Card")</f>
        <v>Credit Card</v>
      </c>
      <c r="J1104" s="14" t="str">
        <f>IFERROR(__xludf.DUMMYFUNCTION("""COMPUTED_VALUE"""),"Delivered*Delivery Experience: Quick and professional")</f>
        <v>Delivered*Delivery Experience: Quick and professional</v>
      </c>
      <c r="K1104" s="14" t="str">
        <f>IFERROR(__xludf.DUMMYFUNCTION("split(E1104,""+"")"),"Chilli Cheese Toast")</f>
        <v>Chilli Cheese Toast</v>
      </c>
      <c r="L1104" s="14" t="str">
        <f>IFERROR(__xludf.DUMMYFUNCTION("""COMPUTED_VALUE"""),"2*Shine Thomas")</f>
        <v>2*Shine Thomas</v>
      </c>
      <c r="M1104" s="14">
        <f>IFERROR(__xludf.DUMMYFUNCTION("SPLIT(L1104,""*"")"),2.0)</f>
        <v>2</v>
      </c>
      <c r="N1104" s="14" t="str">
        <f>IFERROR(__xludf.DUMMYFUNCTION("""COMPUTED_VALUE"""),"Shine Thomas")</f>
        <v>Shine Thomas</v>
      </c>
      <c r="O1104" s="14" t="str">
        <f>IFERROR(__xludf.DUMMYFUNCTION("split(J1104,""*"")"),"Delivered")</f>
        <v>Delivered</v>
      </c>
      <c r="P1104" s="14" t="str">
        <f>IFERROR(__xludf.DUMMYFUNCTION("""COMPUTED_VALUE"""),"Delivery Experience: Quick and professional")</f>
        <v>Delivery Experience: Quick and professional</v>
      </c>
      <c r="Q1104" s="14" t="str">
        <f>IFERROR(__xludf.DUMMYFUNCTION("split(P1104,"":"")"),"Delivery Experience")</f>
        <v>Delivery Experience</v>
      </c>
      <c r="R1104" s="14" t="str">
        <f>IFERROR(__xludf.DUMMYFUNCTION("""COMPUTED_VALUE""")," Quick and professional")</f>
        <v> Quick and professional</v>
      </c>
      <c r="S1104" s="14" t="str">
        <f t="shared" ref="S1104:U1104" si="2211">trim(B1104)</f>
        <v>ord_41082</v>
      </c>
      <c r="T1104" s="14" t="str">
        <f t="shared" si="2211"/>
        <v>Aarav Mehta</v>
      </c>
      <c r="U1104" s="14" t="str">
        <f t="shared" si="2211"/>
        <v>Andheri</v>
      </c>
      <c r="V1104" s="14" t="str">
        <f t="shared" si="4"/>
        <v>Chilli Cheese Toast</v>
      </c>
      <c r="W1104" s="14">
        <f t="shared" si="5"/>
        <v>2</v>
      </c>
      <c r="X1104" s="14" t="str">
        <f t="shared" si="6"/>
        <v>Shine Thomas</v>
      </c>
      <c r="Y1104" s="15">
        <f t="shared" si="7"/>
        <v>44954</v>
      </c>
      <c r="Z1104" s="14" t="str">
        <f t="shared" si="8"/>
        <v>Credit Card</v>
      </c>
      <c r="AA1104" s="14" t="str">
        <f t="shared" si="9"/>
        <v>Delivered</v>
      </c>
      <c r="AB1104" s="14" t="str">
        <f t="shared" ref="AB1104:AC1104" si="2212">trim(Q1104)</f>
        <v>Delivery Experience</v>
      </c>
      <c r="AC1104" s="14" t="str">
        <f t="shared" si="2212"/>
        <v>Quick and professional</v>
      </c>
      <c r="AD1104" s="8"/>
    </row>
    <row r="1105">
      <c r="A1105" s="14" t="str">
        <f>IFERROR(__xludf.DUMMYFUNCTION("""COMPUTED_VALUE"""),"//ord_41083//Kritika Shetty//Malad//Tiramisu+4*Sita T/5/17/2023//COD//Delivered*Convenience: Easy tracking")</f>
        <v>//ord_41083//Kritika Shetty//Malad//Tiramisu+4*Sita T/5/17/2023//COD//Delivered*Convenience: Easy tracking</v>
      </c>
      <c r="B1105" s="14" t="str">
        <f>IFERROR(__xludf.DUMMYFUNCTION("split(A1105,""//"")"),"ord_41083")</f>
        <v>ord_41083</v>
      </c>
      <c r="C1105" s="14" t="str">
        <f>IFERROR(__xludf.DUMMYFUNCTION("""COMPUTED_VALUE"""),"Kritika Shetty")</f>
        <v>Kritika Shetty</v>
      </c>
      <c r="D1105" s="14" t="str">
        <f>IFERROR(__xludf.DUMMYFUNCTION("""COMPUTED_VALUE"""),"Malad")</f>
        <v>Malad</v>
      </c>
      <c r="E1105" s="14" t="str">
        <f>IFERROR(__xludf.DUMMYFUNCTION("""COMPUTED_VALUE"""),"Tiramisu+4*Sita T")</f>
        <v>Tiramisu+4*Sita T</v>
      </c>
      <c r="F1105" s="14">
        <f>IFERROR(__xludf.DUMMYFUNCTION("""COMPUTED_VALUE"""),5.0)</f>
        <v>5</v>
      </c>
      <c r="G1105" s="14">
        <f>IFERROR(__xludf.DUMMYFUNCTION("""COMPUTED_VALUE"""),17.0)</f>
        <v>17</v>
      </c>
      <c r="H1105" s="14">
        <f>IFERROR(__xludf.DUMMYFUNCTION("""COMPUTED_VALUE"""),2023.0)</f>
        <v>2023</v>
      </c>
      <c r="I1105" s="14" t="str">
        <f>IFERROR(__xludf.DUMMYFUNCTION("""COMPUTED_VALUE"""),"COD")</f>
        <v>COD</v>
      </c>
      <c r="J1105" s="14" t="str">
        <f>IFERROR(__xludf.DUMMYFUNCTION("""COMPUTED_VALUE"""),"Delivered*Convenience: Easy tracking")</f>
        <v>Delivered*Convenience: Easy tracking</v>
      </c>
      <c r="K1105" s="14" t="str">
        <f>IFERROR(__xludf.DUMMYFUNCTION("split(E1105,""+"")"),"Tiramisu")</f>
        <v>Tiramisu</v>
      </c>
      <c r="L1105" s="14" t="str">
        <f>IFERROR(__xludf.DUMMYFUNCTION("""COMPUTED_VALUE"""),"4*Sita T")</f>
        <v>4*Sita T</v>
      </c>
      <c r="M1105" s="14">
        <f>IFERROR(__xludf.DUMMYFUNCTION("SPLIT(L1105,""*"")"),4.0)</f>
        <v>4</v>
      </c>
      <c r="N1105" s="14" t="str">
        <f>IFERROR(__xludf.DUMMYFUNCTION("""COMPUTED_VALUE"""),"Sita T")</f>
        <v>Sita T</v>
      </c>
      <c r="O1105" s="14" t="str">
        <f>IFERROR(__xludf.DUMMYFUNCTION("split(J1105,""*"")"),"Delivered")</f>
        <v>Delivered</v>
      </c>
      <c r="P1105" s="14" t="str">
        <f>IFERROR(__xludf.DUMMYFUNCTION("""COMPUTED_VALUE"""),"Convenience: Easy tracking")</f>
        <v>Convenience: Easy tracking</v>
      </c>
      <c r="Q1105" s="14" t="str">
        <f>IFERROR(__xludf.DUMMYFUNCTION("split(P1105,"":"")"),"Convenience")</f>
        <v>Convenience</v>
      </c>
      <c r="R1105" s="14" t="str">
        <f>IFERROR(__xludf.DUMMYFUNCTION("""COMPUTED_VALUE""")," Easy tracking")</f>
        <v> Easy tracking</v>
      </c>
      <c r="S1105" s="14" t="str">
        <f t="shared" ref="S1105:U1105" si="2213">trim(B1105)</f>
        <v>ord_41083</v>
      </c>
      <c r="T1105" s="14" t="str">
        <f t="shared" si="2213"/>
        <v>Kritika Shetty</v>
      </c>
      <c r="U1105" s="14" t="str">
        <f t="shared" si="2213"/>
        <v>Malad</v>
      </c>
      <c r="V1105" s="14" t="str">
        <f t="shared" si="4"/>
        <v>Tiramisu</v>
      </c>
      <c r="W1105" s="14">
        <f t="shared" si="5"/>
        <v>4</v>
      </c>
      <c r="X1105" s="14" t="str">
        <f t="shared" si="6"/>
        <v>Sita T</v>
      </c>
      <c r="Y1105" s="15">
        <f t="shared" si="7"/>
        <v>45063</v>
      </c>
      <c r="Z1105" s="14" t="str">
        <f t="shared" si="8"/>
        <v>COD</v>
      </c>
      <c r="AA1105" s="14" t="str">
        <f t="shared" si="9"/>
        <v>Delivered</v>
      </c>
      <c r="AB1105" s="14" t="str">
        <f t="shared" ref="AB1105:AC1105" si="2214">trim(Q1105)</f>
        <v>Convenience</v>
      </c>
      <c r="AC1105" s="14" t="str">
        <f t="shared" si="2214"/>
        <v>Easy tracking</v>
      </c>
      <c r="AD1105" s="8"/>
    </row>
    <row r="1106">
      <c r="A1106" s="14" t="str">
        <f>IFERROR(__xludf.DUMMYFUNCTION("""COMPUTED_VALUE"""),"//ord_41084//Ritika Dutta//Lower Parel//Orange+2*Shine Thomas/7/13/2023//UPI//Delivered*Overall Satisfaction: Great service will order again")</f>
        <v>//ord_41084//Ritika Dutta//Lower Parel//Orange+2*Shine Thomas/7/13/2023//UPI//Delivered*Overall Satisfaction: Great service will order again</v>
      </c>
      <c r="B1106" s="14" t="str">
        <f>IFERROR(__xludf.DUMMYFUNCTION("split(A1106,""//"")"),"ord_41084")</f>
        <v>ord_41084</v>
      </c>
      <c r="C1106" s="14" t="str">
        <f>IFERROR(__xludf.DUMMYFUNCTION("""COMPUTED_VALUE"""),"Ritika Dutta")</f>
        <v>Ritika Dutta</v>
      </c>
      <c r="D1106" s="14" t="str">
        <f>IFERROR(__xludf.DUMMYFUNCTION("""COMPUTED_VALUE"""),"Lower Parel")</f>
        <v>Lower Parel</v>
      </c>
      <c r="E1106" s="14" t="str">
        <f>IFERROR(__xludf.DUMMYFUNCTION("""COMPUTED_VALUE"""),"Orange+2*Shine Thomas")</f>
        <v>Orange+2*Shine Thomas</v>
      </c>
      <c r="F1106" s="14">
        <f>IFERROR(__xludf.DUMMYFUNCTION("""COMPUTED_VALUE"""),7.0)</f>
        <v>7</v>
      </c>
      <c r="G1106" s="14">
        <f>IFERROR(__xludf.DUMMYFUNCTION("""COMPUTED_VALUE"""),13.0)</f>
        <v>13</v>
      </c>
      <c r="H1106" s="14">
        <f>IFERROR(__xludf.DUMMYFUNCTION("""COMPUTED_VALUE"""),2023.0)</f>
        <v>2023</v>
      </c>
      <c r="I1106" s="14" t="str">
        <f>IFERROR(__xludf.DUMMYFUNCTION("""COMPUTED_VALUE"""),"UPI")</f>
        <v>UPI</v>
      </c>
      <c r="J1106" s="14" t="str">
        <f>IFERROR(__xludf.DUMMYFUNCTION("""COMPUTED_VALUE"""),"Delivered*Overall Satisfaction: Great service will order again")</f>
        <v>Delivered*Overall Satisfaction: Great service will order again</v>
      </c>
      <c r="K1106" s="14" t="str">
        <f>IFERROR(__xludf.DUMMYFUNCTION("split(E1106,""+"")"),"Orange")</f>
        <v>Orange</v>
      </c>
      <c r="L1106" s="14" t="str">
        <f>IFERROR(__xludf.DUMMYFUNCTION("""COMPUTED_VALUE"""),"2*Shine Thomas")</f>
        <v>2*Shine Thomas</v>
      </c>
      <c r="M1106" s="14">
        <f>IFERROR(__xludf.DUMMYFUNCTION("SPLIT(L1106,""*"")"),2.0)</f>
        <v>2</v>
      </c>
      <c r="N1106" s="14" t="str">
        <f>IFERROR(__xludf.DUMMYFUNCTION("""COMPUTED_VALUE"""),"Shine Thomas")</f>
        <v>Shine Thomas</v>
      </c>
      <c r="O1106" s="14" t="str">
        <f>IFERROR(__xludf.DUMMYFUNCTION("split(J1106,""*"")"),"Delivered")</f>
        <v>Delivered</v>
      </c>
      <c r="P1106" s="14" t="str">
        <f>IFERROR(__xludf.DUMMYFUNCTION("""COMPUTED_VALUE"""),"Overall Satisfaction: Great service will order again")</f>
        <v>Overall Satisfaction: Great service will order again</v>
      </c>
      <c r="Q1106" s="14" t="str">
        <f>IFERROR(__xludf.DUMMYFUNCTION("split(P1106,"":"")"),"Overall Satisfaction")</f>
        <v>Overall Satisfaction</v>
      </c>
      <c r="R1106" s="14" t="str">
        <f>IFERROR(__xludf.DUMMYFUNCTION("""COMPUTED_VALUE""")," Great service will order again")</f>
        <v> Great service will order again</v>
      </c>
      <c r="S1106" s="14" t="str">
        <f t="shared" ref="S1106:U1106" si="2215">trim(B1106)</f>
        <v>ord_41084</v>
      </c>
      <c r="T1106" s="14" t="str">
        <f t="shared" si="2215"/>
        <v>Ritika Dutta</v>
      </c>
      <c r="U1106" s="14" t="str">
        <f t="shared" si="2215"/>
        <v>Lower Parel</v>
      </c>
      <c r="V1106" s="14" t="str">
        <f t="shared" si="4"/>
        <v>Orange</v>
      </c>
      <c r="W1106" s="14">
        <f t="shared" si="5"/>
        <v>2</v>
      </c>
      <c r="X1106" s="14" t="str">
        <f t="shared" si="6"/>
        <v>Shine Thomas</v>
      </c>
      <c r="Y1106" s="15">
        <f t="shared" si="7"/>
        <v>45120</v>
      </c>
      <c r="Z1106" s="14" t="str">
        <f t="shared" si="8"/>
        <v>UPI</v>
      </c>
      <c r="AA1106" s="14" t="str">
        <f t="shared" si="9"/>
        <v>Delivered</v>
      </c>
      <c r="AB1106" s="14" t="str">
        <f t="shared" ref="AB1106:AC1106" si="2216">trim(Q1106)</f>
        <v>Overall Satisfaction</v>
      </c>
      <c r="AC1106" s="14" t="str">
        <f t="shared" si="2216"/>
        <v>Great service will order again</v>
      </c>
      <c r="AD1106" s="8"/>
    </row>
    <row r="1107">
      <c r="A1107" s="14" t="str">
        <f>IFERROR(__xludf.DUMMYFUNCTION("""COMPUTED_VALUE"""),"//ord_41085//Pallavi Ghosh//Bandra//Chocolate Mousse+4*Not Assigned/1/29/2023//Credit Card//Cancelled*App Glitches: Payment Button Malfunction")</f>
        <v>//ord_41085//Pallavi Ghosh//Bandra//Chocolate Mousse+4*Not Assigned/1/29/2023//Credit Card//Cancelled*App Glitches: Payment Button Malfunction</v>
      </c>
      <c r="B1107" s="14" t="str">
        <f>IFERROR(__xludf.DUMMYFUNCTION("split(A1107,""//"")"),"ord_41085")</f>
        <v>ord_41085</v>
      </c>
      <c r="C1107" s="14" t="str">
        <f>IFERROR(__xludf.DUMMYFUNCTION("""COMPUTED_VALUE"""),"Pallavi Ghosh")</f>
        <v>Pallavi Ghosh</v>
      </c>
      <c r="D1107" s="14" t="str">
        <f>IFERROR(__xludf.DUMMYFUNCTION("""COMPUTED_VALUE"""),"Bandra")</f>
        <v>Bandra</v>
      </c>
      <c r="E1107" s="14" t="str">
        <f>IFERROR(__xludf.DUMMYFUNCTION("""COMPUTED_VALUE"""),"Chocolate Mousse+4*Not Assigned")</f>
        <v>Chocolate Mousse+4*Not Assigned</v>
      </c>
      <c r="F1107" s="14">
        <f>IFERROR(__xludf.DUMMYFUNCTION("""COMPUTED_VALUE"""),1.0)</f>
        <v>1</v>
      </c>
      <c r="G1107" s="14">
        <f>IFERROR(__xludf.DUMMYFUNCTION("""COMPUTED_VALUE"""),29.0)</f>
        <v>29</v>
      </c>
      <c r="H1107" s="14">
        <f>IFERROR(__xludf.DUMMYFUNCTION("""COMPUTED_VALUE"""),2023.0)</f>
        <v>2023</v>
      </c>
      <c r="I1107" s="14" t="str">
        <f>IFERROR(__xludf.DUMMYFUNCTION("""COMPUTED_VALUE"""),"Credit Card")</f>
        <v>Credit Card</v>
      </c>
      <c r="J1107" s="14" t="str">
        <f>IFERROR(__xludf.DUMMYFUNCTION("""COMPUTED_VALUE"""),"Cancelled*App Glitches: Payment Button Malfunction")</f>
        <v>Cancelled*App Glitches: Payment Button Malfunction</v>
      </c>
      <c r="K1107" s="14" t="str">
        <f>IFERROR(__xludf.DUMMYFUNCTION("split(E1107,""+"")"),"Chocolate Mousse")</f>
        <v>Chocolate Mousse</v>
      </c>
      <c r="L1107" s="14" t="str">
        <f>IFERROR(__xludf.DUMMYFUNCTION("""COMPUTED_VALUE"""),"4*Not Assigned")</f>
        <v>4*Not Assigned</v>
      </c>
      <c r="M1107" s="14">
        <f>IFERROR(__xludf.DUMMYFUNCTION("SPLIT(L1107,""*"")"),4.0)</f>
        <v>4</v>
      </c>
      <c r="N1107" s="14" t="str">
        <f>IFERROR(__xludf.DUMMYFUNCTION("""COMPUTED_VALUE"""),"Not Assigned")</f>
        <v>Not Assigned</v>
      </c>
      <c r="O1107" s="14" t="str">
        <f>IFERROR(__xludf.DUMMYFUNCTION("split(J1107,""*"")"),"Cancelled")</f>
        <v>Cancelled</v>
      </c>
      <c r="P1107" s="14" t="str">
        <f>IFERROR(__xludf.DUMMYFUNCTION("""COMPUTED_VALUE"""),"App Glitches: Payment Button Malfunction")</f>
        <v>App Glitches: Payment Button Malfunction</v>
      </c>
      <c r="Q1107" s="14" t="str">
        <f>IFERROR(__xludf.DUMMYFUNCTION("split(P1107,"":"")"),"App Glitches")</f>
        <v>App Glitches</v>
      </c>
      <c r="R1107" s="14" t="str">
        <f>IFERROR(__xludf.DUMMYFUNCTION("""COMPUTED_VALUE""")," Payment Button Malfunction")</f>
        <v> Payment Button Malfunction</v>
      </c>
      <c r="S1107" s="14" t="str">
        <f t="shared" ref="S1107:U1107" si="2217">trim(B1107)</f>
        <v>ord_41085</v>
      </c>
      <c r="T1107" s="14" t="str">
        <f t="shared" si="2217"/>
        <v>Pallavi Ghosh</v>
      </c>
      <c r="U1107" s="14" t="str">
        <f t="shared" si="2217"/>
        <v>Bandra</v>
      </c>
      <c r="V1107" s="14" t="str">
        <f t="shared" si="4"/>
        <v>Chocolate Mousse</v>
      </c>
      <c r="W1107" s="14">
        <f t="shared" si="5"/>
        <v>4</v>
      </c>
      <c r="X1107" s="14" t="str">
        <f t="shared" si="6"/>
        <v>Not Assigned</v>
      </c>
      <c r="Y1107" s="15">
        <f t="shared" si="7"/>
        <v>44955</v>
      </c>
      <c r="Z1107" s="14" t="str">
        <f t="shared" si="8"/>
        <v>Credit Card</v>
      </c>
      <c r="AA1107" s="14" t="str">
        <f t="shared" si="9"/>
        <v>Cancelled</v>
      </c>
      <c r="AB1107" s="14" t="str">
        <f t="shared" ref="AB1107:AC1107" si="2218">trim(Q1107)</f>
        <v>App Glitches</v>
      </c>
      <c r="AC1107" s="14" t="str">
        <f t="shared" si="2218"/>
        <v>Payment Button Malfunction</v>
      </c>
      <c r="AD1107" s="8"/>
    </row>
    <row r="1108">
      <c r="A1108" s="14" t="str">
        <f>IFERROR(__xludf.DUMMYFUNCTION("""COMPUTED_VALUE"""),"//ord_41086//Aarohi Kapoor//Bandra//Popcorn+4*Vivek Kumar/1/2/2023//UPI//Delivered*On-time Delivery: Delivered on time")</f>
        <v>//ord_41086//Aarohi Kapoor//Bandra//Popcorn+4*Vivek Kumar/1/2/2023//UPI//Delivered*On-time Delivery: Delivered on time</v>
      </c>
      <c r="B1108" s="14" t="str">
        <f>IFERROR(__xludf.DUMMYFUNCTION("split(A1108,""//"")"),"ord_41086")</f>
        <v>ord_41086</v>
      </c>
      <c r="C1108" s="14" t="str">
        <f>IFERROR(__xludf.DUMMYFUNCTION("""COMPUTED_VALUE"""),"Aarohi Kapoor")</f>
        <v>Aarohi Kapoor</v>
      </c>
      <c r="D1108" s="14" t="str">
        <f>IFERROR(__xludf.DUMMYFUNCTION("""COMPUTED_VALUE"""),"Bandra")</f>
        <v>Bandra</v>
      </c>
      <c r="E1108" s="14" t="str">
        <f>IFERROR(__xludf.DUMMYFUNCTION("""COMPUTED_VALUE"""),"Popcorn+4*Vivek Kumar")</f>
        <v>Popcorn+4*Vivek Kumar</v>
      </c>
      <c r="F1108" s="14">
        <f>IFERROR(__xludf.DUMMYFUNCTION("""COMPUTED_VALUE"""),1.0)</f>
        <v>1</v>
      </c>
      <c r="G1108" s="14">
        <f>IFERROR(__xludf.DUMMYFUNCTION("""COMPUTED_VALUE"""),2.0)</f>
        <v>2</v>
      </c>
      <c r="H1108" s="14">
        <f>IFERROR(__xludf.DUMMYFUNCTION("""COMPUTED_VALUE"""),2023.0)</f>
        <v>2023</v>
      </c>
      <c r="I1108" s="14" t="str">
        <f>IFERROR(__xludf.DUMMYFUNCTION("""COMPUTED_VALUE"""),"UPI")</f>
        <v>UPI</v>
      </c>
      <c r="J1108" s="14" t="str">
        <f>IFERROR(__xludf.DUMMYFUNCTION("""COMPUTED_VALUE"""),"Delivered*On-time Delivery: Delivered on time")</f>
        <v>Delivered*On-time Delivery: Delivered on time</v>
      </c>
      <c r="K1108" s="14" t="str">
        <f>IFERROR(__xludf.DUMMYFUNCTION("split(E1108,""+"")"),"Popcorn")</f>
        <v>Popcorn</v>
      </c>
      <c r="L1108" s="14" t="str">
        <f>IFERROR(__xludf.DUMMYFUNCTION("""COMPUTED_VALUE"""),"4*Vivek Kumar")</f>
        <v>4*Vivek Kumar</v>
      </c>
      <c r="M1108" s="14">
        <f>IFERROR(__xludf.DUMMYFUNCTION("SPLIT(L1108,""*"")"),4.0)</f>
        <v>4</v>
      </c>
      <c r="N1108" s="14" t="str">
        <f>IFERROR(__xludf.DUMMYFUNCTION("""COMPUTED_VALUE"""),"Vivek Kumar")</f>
        <v>Vivek Kumar</v>
      </c>
      <c r="O1108" s="14" t="str">
        <f>IFERROR(__xludf.DUMMYFUNCTION("split(J1108,""*"")"),"Delivered")</f>
        <v>Delivered</v>
      </c>
      <c r="P1108" s="14" t="str">
        <f>IFERROR(__xludf.DUMMYFUNCTION("""COMPUTED_VALUE"""),"On-time Delivery: Delivered on time")</f>
        <v>On-time Delivery: Delivered on time</v>
      </c>
      <c r="Q1108" s="14" t="str">
        <f>IFERROR(__xludf.DUMMYFUNCTION("split(P1108,"":"")"),"On-time Delivery")</f>
        <v>On-time Delivery</v>
      </c>
      <c r="R1108" s="14" t="str">
        <f>IFERROR(__xludf.DUMMYFUNCTION("""COMPUTED_VALUE""")," Delivered on time")</f>
        <v> Delivered on time</v>
      </c>
      <c r="S1108" s="14" t="str">
        <f t="shared" ref="S1108:U1108" si="2219">trim(B1108)</f>
        <v>ord_41086</v>
      </c>
      <c r="T1108" s="14" t="str">
        <f t="shared" si="2219"/>
        <v>Aarohi Kapoor</v>
      </c>
      <c r="U1108" s="14" t="str">
        <f t="shared" si="2219"/>
        <v>Bandra</v>
      </c>
      <c r="V1108" s="14" t="str">
        <f t="shared" si="4"/>
        <v>Popcorn</v>
      </c>
      <c r="W1108" s="14">
        <f t="shared" si="5"/>
        <v>4</v>
      </c>
      <c r="X1108" s="14" t="str">
        <f t="shared" si="6"/>
        <v>Vivek Kumar</v>
      </c>
      <c r="Y1108" s="15">
        <f t="shared" si="7"/>
        <v>44928</v>
      </c>
      <c r="Z1108" s="14" t="str">
        <f t="shared" si="8"/>
        <v>UPI</v>
      </c>
      <c r="AA1108" s="14" t="str">
        <f t="shared" si="9"/>
        <v>Delivered</v>
      </c>
      <c r="AB1108" s="14" t="str">
        <f t="shared" ref="AB1108:AC1108" si="2220">trim(Q1108)</f>
        <v>On-time Delivery</v>
      </c>
      <c r="AC1108" s="14" t="str">
        <f t="shared" si="2220"/>
        <v>Delivered on time</v>
      </c>
      <c r="AD1108" s="8"/>
    </row>
    <row r="1109">
      <c r="A1109" s="14" t="str">
        <f>IFERROR(__xludf.DUMMYFUNCTION("""COMPUTED_VALUE"""),"//ord_41087//Arvind Kulkarni//Juhu//Guava+1*Not Assigned/1/24/2023//Credit Card//Cancelled*Out of Stock")</f>
        <v>//ord_41087//Arvind Kulkarni//Juhu//Guava+1*Not Assigned/1/24/2023//Credit Card//Cancelled*Out of Stock</v>
      </c>
      <c r="B1109" s="14" t="str">
        <f>IFERROR(__xludf.DUMMYFUNCTION("split(A1109,""//"")"),"ord_41087")</f>
        <v>ord_41087</v>
      </c>
      <c r="C1109" s="14" t="str">
        <f>IFERROR(__xludf.DUMMYFUNCTION("""COMPUTED_VALUE"""),"Arvind Kulkarni")</f>
        <v>Arvind Kulkarni</v>
      </c>
      <c r="D1109" s="14" t="str">
        <f>IFERROR(__xludf.DUMMYFUNCTION("""COMPUTED_VALUE"""),"Juhu")</f>
        <v>Juhu</v>
      </c>
      <c r="E1109" s="14" t="str">
        <f>IFERROR(__xludf.DUMMYFUNCTION("""COMPUTED_VALUE"""),"Guava+1*Not Assigned")</f>
        <v>Guava+1*Not Assigned</v>
      </c>
      <c r="F1109" s="14">
        <f>IFERROR(__xludf.DUMMYFUNCTION("""COMPUTED_VALUE"""),1.0)</f>
        <v>1</v>
      </c>
      <c r="G1109" s="14">
        <f>IFERROR(__xludf.DUMMYFUNCTION("""COMPUTED_VALUE"""),24.0)</f>
        <v>24</v>
      </c>
      <c r="H1109" s="14">
        <f>IFERROR(__xludf.DUMMYFUNCTION("""COMPUTED_VALUE"""),2023.0)</f>
        <v>2023</v>
      </c>
      <c r="I1109" s="14" t="str">
        <f>IFERROR(__xludf.DUMMYFUNCTION("""COMPUTED_VALUE"""),"Credit Card")</f>
        <v>Credit Card</v>
      </c>
      <c r="J1109" s="14" t="str">
        <f>IFERROR(__xludf.DUMMYFUNCTION("""COMPUTED_VALUE"""),"Cancelled*Out of Stock")</f>
        <v>Cancelled*Out of Stock</v>
      </c>
      <c r="K1109" s="14" t="str">
        <f>IFERROR(__xludf.DUMMYFUNCTION("split(E1109,""+"")"),"Guava")</f>
        <v>Guava</v>
      </c>
      <c r="L1109" s="14" t="str">
        <f>IFERROR(__xludf.DUMMYFUNCTION("""COMPUTED_VALUE"""),"1*Not Assigned")</f>
        <v>1*Not Assigned</v>
      </c>
      <c r="M1109" s="14">
        <f>IFERROR(__xludf.DUMMYFUNCTION("SPLIT(L1109,""*"")"),1.0)</f>
        <v>1</v>
      </c>
      <c r="N1109" s="14" t="str">
        <f>IFERROR(__xludf.DUMMYFUNCTION("""COMPUTED_VALUE"""),"Not Assigned")</f>
        <v>Not Assigned</v>
      </c>
      <c r="O1109" s="14" t="str">
        <f>IFERROR(__xludf.DUMMYFUNCTION("split(J1109,""*"")"),"Cancelled")</f>
        <v>Cancelled</v>
      </c>
      <c r="P1109" s="14" t="str">
        <f>IFERROR(__xludf.DUMMYFUNCTION("""COMPUTED_VALUE"""),"Out of Stock")</f>
        <v>Out of Stock</v>
      </c>
      <c r="Q1109" s="14" t="str">
        <f>IFERROR(__xludf.DUMMYFUNCTION("split(P1109,"":"")"),"Out of Stock")</f>
        <v>Out of Stock</v>
      </c>
      <c r="R1109" s="14"/>
      <c r="S1109" s="14" t="str">
        <f t="shared" ref="S1109:U1109" si="2221">trim(B1109)</f>
        <v>ord_41087</v>
      </c>
      <c r="T1109" s="14" t="str">
        <f t="shared" si="2221"/>
        <v>Arvind Kulkarni</v>
      </c>
      <c r="U1109" s="14" t="str">
        <f t="shared" si="2221"/>
        <v>Juhu</v>
      </c>
      <c r="V1109" s="14" t="str">
        <f t="shared" si="4"/>
        <v>Guava</v>
      </c>
      <c r="W1109" s="14">
        <f t="shared" si="5"/>
        <v>1</v>
      </c>
      <c r="X1109" s="14" t="str">
        <f t="shared" si="6"/>
        <v>Not Assigned</v>
      </c>
      <c r="Y1109" s="15">
        <f t="shared" si="7"/>
        <v>44950</v>
      </c>
      <c r="Z1109" s="14" t="str">
        <f t="shared" si="8"/>
        <v>Credit Card</v>
      </c>
      <c r="AA1109" s="14" t="str">
        <f t="shared" si="9"/>
        <v>Cancelled</v>
      </c>
      <c r="AB1109" s="14" t="str">
        <f t="shared" ref="AB1109:AC1109" si="2222">trim(Q1109)</f>
        <v>Out of Stock</v>
      </c>
      <c r="AC1109" s="14" t="str">
        <f t="shared" si="2222"/>
        <v/>
      </c>
      <c r="AD1109" s="8"/>
    </row>
    <row r="1110">
      <c r="A1110" s="14" t="str">
        <f>IFERROR(__xludf.DUMMYFUNCTION("""COMPUTED_VALUE"""),"//ord_41088//Diya Arora//Lower Parel//Rasmalai+3*Ramesh S/4/9/2023//UPI//Delivered*Quality of Items: Perfect condition")</f>
        <v>//ord_41088//Diya Arora//Lower Parel//Rasmalai+3*Ramesh S/4/9/2023//UPI//Delivered*Quality of Items: Perfect condition</v>
      </c>
      <c r="B1110" s="14" t="str">
        <f>IFERROR(__xludf.DUMMYFUNCTION("split(A1110,""//"")"),"ord_41088")</f>
        <v>ord_41088</v>
      </c>
      <c r="C1110" s="14" t="str">
        <f>IFERROR(__xludf.DUMMYFUNCTION("""COMPUTED_VALUE"""),"Diya Arora")</f>
        <v>Diya Arora</v>
      </c>
      <c r="D1110" s="14" t="str">
        <f>IFERROR(__xludf.DUMMYFUNCTION("""COMPUTED_VALUE"""),"Lower Parel")</f>
        <v>Lower Parel</v>
      </c>
      <c r="E1110" s="14" t="str">
        <f>IFERROR(__xludf.DUMMYFUNCTION("""COMPUTED_VALUE"""),"Rasmalai+3*Ramesh S")</f>
        <v>Rasmalai+3*Ramesh S</v>
      </c>
      <c r="F1110" s="14">
        <f>IFERROR(__xludf.DUMMYFUNCTION("""COMPUTED_VALUE"""),4.0)</f>
        <v>4</v>
      </c>
      <c r="G1110" s="14">
        <f>IFERROR(__xludf.DUMMYFUNCTION("""COMPUTED_VALUE"""),9.0)</f>
        <v>9</v>
      </c>
      <c r="H1110" s="14">
        <f>IFERROR(__xludf.DUMMYFUNCTION("""COMPUTED_VALUE"""),2023.0)</f>
        <v>2023</v>
      </c>
      <c r="I1110" s="14" t="str">
        <f>IFERROR(__xludf.DUMMYFUNCTION("""COMPUTED_VALUE"""),"UPI")</f>
        <v>UPI</v>
      </c>
      <c r="J1110" s="14" t="str">
        <f>IFERROR(__xludf.DUMMYFUNCTION("""COMPUTED_VALUE"""),"Delivered*Quality of Items: Perfect condition")</f>
        <v>Delivered*Quality of Items: Perfect condition</v>
      </c>
      <c r="K1110" s="14" t="str">
        <f>IFERROR(__xludf.DUMMYFUNCTION("split(E1110,""+"")"),"Rasmalai")</f>
        <v>Rasmalai</v>
      </c>
      <c r="L1110" s="14" t="str">
        <f>IFERROR(__xludf.DUMMYFUNCTION("""COMPUTED_VALUE"""),"3*Ramesh S")</f>
        <v>3*Ramesh S</v>
      </c>
      <c r="M1110" s="14">
        <f>IFERROR(__xludf.DUMMYFUNCTION("SPLIT(L1110,""*"")"),3.0)</f>
        <v>3</v>
      </c>
      <c r="N1110" s="14" t="str">
        <f>IFERROR(__xludf.DUMMYFUNCTION("""COMPUTED_VALUE"""),"Ramesh S")</f>
        <v>Ramesh S</v>
      </c>
      <c r="O1110" s="14" t="str">
        <f>IFERROR(__xludf.DUMMYFUNCTION("split(J1110,""*"")"),"Delivered")</f>
        <v>Delivered</v>
      </c>
      <c r="P1110" s="14" t="str">
        <f>IFERROR(__xludf.DUMMYFUNCTION("""COMPUTED_VALUE"""),"Quality of Items: Perfect condition")</f>
        <v>Quality of Items: Perfect condition</v>
      </c>
      <c r="Q1110" s="14" t="str">
        <f>IFERROR(__xludf.DUMMYFUNCTION("split(P1110,"":"")"),"Quality of Items")</f>
        <v>Quality of Items</v>
      </c>
      <c r="R1110" s="14" t="str">
        <f>IFERROR(__xludf.DUMMYFUNCTION("""COMPUTED_VALUE""")," Perfect condition")</f>
        <v> Perfect condition</v>
      </c>
      <c r="S1110" s="14" t="str">
        <f t="shared" ref="S1110:U1110" si="2223">trim(B1110)</f>
        <v>ord_41088</v>
      </c>
      <c r="T1110" s="14" t="str">
        <f t="shared" si="2223"/>
        <v>Diya Arora</v>
      </c>
      <c r="U1110" s="14" t="str">
        <f t="shared" si="2223"/>
        <v>Lower Parel</v>
      </c>
      <c r="V1110" s="14" t="str">
        <f t="shared" si="4"/>
        <v>Rasmalai</v>
      </c>
      <c r="W1110" s="14">
        <f t="shared" si="5"/>
        <v>3</v>
      </c>
      <c r="X1110" s="14" t="str">
        <f t="shared" si="6"/>
        <v>Ramesh S</v>
      </c>
      <c r="Y1110" s="15">
        <f t="shared" si="7"/>
        <v>45025</v>
      </c>
      <c r="Z1110" s="14" t="str">
        <f t="shared" si="8"/>
        <v>UPI</v>
      </c>
      <c r="AA1110" s="14" t="str">
        <f t="shared" si="9"/>
        <v>Delivered</v>
      </c>
      <c r="AB1110" s="14" t="str">
        <f t="shared" ref="AB1110:AC1110" si="2224">trim(Q1110)</f>
        <v>Quality of Items</v>
      </c>
      <c r="AC1110" s="14" t="str">
        <f t="shared" si="2224"/>
        <v>Perfect condition</v>
      </c>
      <c r="AD1110" s="8"/>
    </row>
    <row r="1111">
      <c r="A1111" s="14" t="str">
        <f>IFERROR(__xludf.DUMMYFUNCTION("""COMPUTED_VALUE"""),"//ord_41089//Tanishq Bansal//Powai//Sweet Corn+2*Ram Gopal/7/10/2023//Credit Card//Delivered*On-time Delivery: Delivered on time")</f>
        <v>//ord_41089//Tanishq Bansal//Powai//Sweet Corn+2*Ram Gopal/7/10/2023//Credit Card//Delivered*On-time Delivery: Delivered on time</v>
      </c>
      <c r="B1111" s="14" t="str">
        <f>IFERROR(__xludf.DUMMYFUNCTION("split(A1111,""//"")"),"ord_41089")</f>
        <v>ord_41089</v>
      </c>
      <c r="C1111" s="14" t="str">
        <f>IFERROR(__xludf.DUMMYFUNCTION("""COMPUTED_VALUE"""),"Tanishq Bansal")</f>
        <v>Tanishq Bansal</v>
      </c>
      <c r="D1111" s="14" t="str">
        <f>IFERROR(__xludf.DUMMYFUNCTION("""COMPUTED_VALUE"""),"Powai")</f>
        <v>Powai</v>
      </c>
      <c r="E1111" s="14" t="str">
        <f>IFERROR(__xludf.DUMMYFUNCTION("""COMPUTED_VALUE"""),"Sweet Corn+2*Ram Gopal")</f>
        <v>Sweet Corn+2*Ram Gopal</v>
      </c>
      <c r="F1111" s="14">
        <f>IFERROR(__xludf.DUMMYFUNCTION("""COMPUTED_VALUE"""),7.0)</f>
        <v>7</v>
      </c>
      <c r="G1111" s="14">
        <f>IFERROR(__xludf.DUMMYFUNCTION("""COMPUTED_VALUE"""),10.0)</f>
        <v>10</v>
      </c>
      <c r="H1111" s="14">
        <f>IFERROR(__xludf.DUMMYFUNCTION("""COMPUTED_VALUE"""),2023.0)</f>
        <v>2023</v>
      </c>
      <c r="I1111" s="14" t="str">
        <f>IFERROR(__xludf.DUMMYFUNCTION("""COMPUTED_VALUE"""),"Credit Card")</f>
        <v>Credit Card</v>
      </c>
      <c r="J1111" s="14" t="str">
        <f>IFERROR(__xludf.DUMMYFUNCTION("""COMPUTED_VALUE"""),"Delivered*On-time Delivery: Delivered on time")</f>
        <v>Delivered*On-time Delivery: Delivered on time</v>
      </c>
      <c r="K1111" s="14" t="str">
        <f>IFERROR(__xludf.DUMMYFUNCTION("split(E1111,""+"")"),"Sweet Corn")</f>
        <v>Sweet Corn</v>
      </c>
      <c r="L1111" s="14" t="str">
        <f>IFERROR(__xludf.DUMMYFUNCTION("""COMPUTED_VALUE"""),"2*Ram Gopal")</f>
        <v>2*Ram Gopal</v>
      </c>
      <c r="M1111" s="14">
        <f>IFERROR(__xludf.DUMMYFUNCTION("SPLIT(L1111,""*"")"),2.0)</f>
        <v>2</v>
      </c>
      <c r="N1111" s="14" t="str">
        <f>IFERROR(__xludf.DUMMYFUNCTION("""COMPUTED_VALUE"""),"Ram Gopal")</f>
        <v>Ram Gopal</v>
      </c>
      <c r="O1111" s="14" t="str">
        <f>IFERROR(__xludf.DUMMYFUNCTION("split(J1111,""*"")"),"Delivered")</f>
        <v>Delivered</v>
      </c>
      <c r="P1111" s="14" t="str">
        <f>IFERROR(__xludf.DUMMYFUNCTION("""COMPUTED_VALUE"""),"On-time Delivery: Delivered on time")</f>
        <v>On-time Delivery: Delivered on time</v>
      </c>
      <c r="Q1111" s="14" t="str">
        <f>IFERROR(__xludf.DUMMYFUNCTION("split(P1111,"":"")"),"On-time Delivery")</f>
        <v>On-time Delivery</v>
      </c>
      <c r="R1111" s="14" t="str">
        <f>IFERROR(__xludf.DUMMYFUNCTION("""COMPUTED_VALUE""")," Delivered on time")</f>
        <v> Delivered on time</v>
      </c>
      <c r="S1111" s="14" t="str">
        <f t="shared" ref="S1111:U1111" si="2225">trim(B1111)</f>
        <v>ord_41089</v>
      </c>
      <c r="T1111" s="14" t="str">
        <f t="shared" si="2225"/>
        <v>Tanishq Bansal</v>
      </c>
      <c r="U1111" s="14" t="str">
        <f t="shared" si="2225"/>
        <v>Powai</v>
      </c>
      <c r="V1111" s="14" t="str">
        <f t="shared" si="4"/>
        <v>Sweet Corn</v>
      </c>
      <c r="W1111" s="14">
        <f t="shared" si="5"/>
        <v>2</v>
      </c>
      <c r="X1111" s="14" t="str">
        <f t="shared" si="6"/>
        <v>Ram Gopal</v>
      </c>
      <c r="Y1111" s="15">
        <f t="shared" si="7"/>
        <v>45117</v>
      </c>
      <c r="Z1111" s="14" t="str">
        <f t="shared" si="8"/>
        <v>Credit Card</v>
      </c>
      <c r="AA1111" s="14" t="str">
        <f t="shared" si="9"/>
        <v>Delivered</v>
      </c>
      <c r="AB1111" s="14" t="str">
        <f t="shared" ref="AB1111:AC1111" si="2226">trim(Q1111)</f>
        <v>On-time Delivery</v>
      </c>
      <c r="AC1111" s="14" t="str">
        <f t="shared" si="2226"/>
        <v>Delivered on time</v>
      </c>
      <c r="AD1111" s="8"/>
    </row>
    <row r="1112">
      <c r="A1112" s="14" t="str">
        <f>IFERROR(__xludf.DUMMYFUNCTION("""COMPUTED_VALUE"""),"//ord_41090//Aarav Mehta//Andheri//Rasmalai+5*Venu R/8/15/2023//Online Payment//Delivered*Quality of Items: Perfect condition")</f>
        <v>//ord_41090//Aarav Mehta//Andheri//Rasmalai+5*Venu R/8/15/2023//Online Payment//Delivered*Quality of Items: Perfect condition</v>
      </c>
      <c r="B1112" s="14" t="str">
        <f>IFERROR(__xludf.DUMMYFUNCTION("split(A1112,""//"")"),"ord_41090")</f>
        <v>ord_41090</v>
      </c>
      <c r="C1112" s="14" t="str">
        <f>IFERROR(__xludf.DUMMYFUNCTION("""COMPUTED_VALUE"""),"Aarav Mehta")</f>
        <v>Aarav Mehta</v>
      </c>
      <c r="D1112" s="14" t="str">
        <f>IFERROR(__xludf.DUMMYFUNCTION("""COMPUTED_VALUE"""),"Andheri")</f>
        <v>Andheri</v>
      </c>
      <c r="E1112" s="14" t="str">
        <f>IFERROR(__xludf.DUMMYFUNCTION("""COMPUTED_VALUE"""),"Rasmalai+5*Venu R")</f>
        <v>Rasmalai+5*Venu R</v>
      </c>
      <c r="F1112" s="14">
        <f>IFERROR(__xludf.DUMMYFUNCTION("""COMPUTED_VALUE"""),8.0)</f>
        <v>8</v>
      </c>
      <c r="G1112" s="14">
        <f>IFERROR(__xludf.DUMMYFUNCTION("""COMPUTED_VALUE"""),15.0)</f>
        <v>15</v>
      </c>
      <c r="H1112" s="14">
        <f>IFERROR(__xludf.DUMMYFUNCTION("""COMPUTED_VALUE"""),2023.0)</f>
        <v>2023</v>
      </c>
      <c r="I1112" s="14" t="str">
        <f>IFERROR(__xludf.DUMMYFUNCTION("""COMPUTED_VALUE"""),"Online Payment")</f>
        <v>Online Payment</v>
      </c>
      <c r="J1112" s="14" t="str">
        <f>IFERROR(__xludf.DUMMYFUNCTION("""COMPUTED_VALUE"""),"Delivered*Quality of Items: Perfect condition")</f>
        <v>Delivered*Quality of Items: Perfect condition</v>
      </c>
      <c r="K1112" s="14" t="str">
        <f>IFERROR(__xludf.DUMMYFUNCTION("split(E1112,""+"")"),"Rasmalai")</f>
        <v>Rasmalai</v>
      </c>
      <c r="L1112" s="14" t="str">
        <f>IFERROR(__xludf.DUMMYFUNCTION("""COMPUTED_VALUE"""),"5*Venu R")</f>
        <v>5*Venu R</v>
      </c>
      <c r="M1112" s="14">
        <f>IFERROR(__xludf.DUMMYFUNCTION("SPLIT(L1112,""*"")"),5.0)</f>
        <v>5</v>
      </c>
      <c r="N1112" s="14" t="str">
        <f>IFERROR(__xludf.DUMMYFUNCTION("""COMPUTED_VALUE"""),"Venu R")</f>
        <v>Venu R</v>
      </c>
      <c r="O1112" s="14" t="str">
        <f>IFERROR(__xludf.DUMMYFUNCTION("split(J1112,""*"")"),"Delivered")</f>
        <v>Delivered</v>
      </c>
      <c r="P1112" s="14" t="str">
        <f>IFERROR(__xludf.DUMMYFUNCTION("""COMPUTED_VALUE"""),"Quality of Items: Perfect condition")</f>
        <v>Quality of Items: Perfect condition</v>
      </c>
      <c r="Q1112" s="14" t="str">
        <f>IFERROR(__xludf.DUMMYFUNCTION("split(P1112,"":"")"),"Quality of Items")</f>
        <v>Quality of Items</v>
      </c>
      <c r="R1112" s="14" t="str">
        <f>IFERROR(__xludf.DUMMYFUNCTION("""COMPUTED_VALUE""")," Perfect condition")</f>
        <v> Perfect condition</v>
      </c>
      <c r="S1112" s="14" t="str">
        <f t="shared" ref="S1112:U1112" si="2227">trim(B1112)</f>
        <v>ord_41090</v>
      </c>
      <c r="T1112" s="14" t="str">
        <f t="shared" si="2227"/>
        <v>Aarav Mehta</v>
      </c>
      <c r="U1112" s="14" t="str">
        <f t="shared" si="2227"/>
        <v>Andheri</v>
      </c>
      <c r="V1112" s="14" t="str">
        <f t="shared" si="4"/>
        <v>Rasmalai</v>
      </c>
      <c r="W1112" s="14">
        <f t="shared" si="5"/>
        <v>5</v>
      </c>
      <c r="X1112" s="14" t="str">
        <f t="shared" si="6"/>
        <v>Venu R</v>
      </c>
      <c r="Y1112" s="15">
        <f t="shared" si="7"/>
        <v>45153</v>
      </c>
      <c r="Z1112" s="14" t="str">
        <f t="shared" si="8"/>
        <v>Online Payment</v>
      </c>
      <c r="AA1112" s="14" t="str">
        <f t="shared" si="9"/>
        <v>Delivered</v>
      </c>
      <c r="AB1112" s="14" t="str">
        <f t="shared" ref="AB1112:AC1112" si="2228">trim(Q1112)</f>
        <v>Quality of Items</v>
      </c>
      <c r="AC1112" s="14" t="str">
        <f t="shared" si="2228"/>
        <v>Perfect condition</v>
      </c>
      <c r="AD1112" s="8"/>
    </row>
    <row r="1113">
      <c r="A1113" s="14" t="str">
        <f>IFERROR(__xludf.DUMMYFUNCTION("""COMPUTED_VALUE"""),"//ord_41091//Aditi Iyer//Dadar//Orange+2*Sita T/11/30/2023//Online Payment//Delivered*Packaging: Secure and intact")</f>
        <v>//ord_41091//Aditi Iyer//Dadar//Orange+2*Sita T/11/30/2023//Online Payment//Delivered*Packaging: Secure and intact</v>
      </c>
      <c r="B1113" s="14" t="str">
        <f>IFERROR(__xludf.DUMMYFUNCTION("split(A1113,""//"")"),"ord_41091")</f>
        <v>ord_41091</v>
      </c>
      <c r="C1113" s="14" t="str">
        <f>IFERROR(__xludf.DUMMYFUNCTION("""COMPUTED_VALUE"""),"Aditi Iyer")</f>
        <v>Aditi Iyer</v>
      </c>
      <c r="D1113" s="14" t="str">
        <f>IFERROR(__xludf.DUMMYFUNCTION("""COMPUTED_VALUE"""),"Dadar")</f>
        <v>Dadar</v>
      </c>
      <c r="E1113" s="14" t="str">
        <f>IFERROR(__xludf.DUMMYFUNCTION("""COMPUTED_VALUE"""),"Orange+2*Sita T")</f>
        <v>Orange+2*Sita T</v>
      </c>
      <c r="F1113" s="14">
        <f>IFERROR(__xludf.DUMMYFUNCTION("""COMPUTED_VALUE"""),11.0)</f>
        <v>11</v>
      </c>
      <c r="G1113" s="14">
        <f>IFERROR(__xludf.DUMMYFUNCTION("""COMPUTED_VALUE"""),30.0)</f>
        <v>30</v>
      </c>
      <c r="H1113" s="14">
        <f>IFERROR(__xludf.DUMMYFUNCTION("""COMPUTED_VALUE"""),2023.0)</f>
        <v>2023</v>
      </c>
      <c r="I1113" s="14" t="str">
        <f>IFERROR(__xludf.DUMMYFUNCTION("""COMPUTED_VALUE"""),"Online Payment")</f>
        <v>Online Payment</v>
      </c>
      <c r="J1113" s="14" t="str">
        <f>IFERROR(__xludf.DUMMYFUNCTION("""COMPUTED_VALUE"""),"Delivered*Packaging: Secure and intact")</f>
        <v>Delivered*Packaging: Secure and intact</v>
      </c>
      <c r="K1113" s="14" t="str">
        <f>IFERROR(__xludf.DUMMYFUNCTION("split(E1113,""+"")"),"Orange")</f>
        <v>Orange</v>
      </c>
      <c r="L1113" s="14" t="str">
        <f>IFERROR(__xludf.DUMMYFUNCTION("""COMPUTED_VALUE"""),"2*Sita T")</f>
        <v>2*Sita T</v>
      </c>
      <c r="M1113" s="14">
        <f>IFERROR(__xludf.DUMMYFUNCTION("SPLIT(L1113,""*"")"),2.0)</f>
        <v>2</v>
      </c>
      <c r="N1113" s="14" t="str">
        <f>IFERROR(__xludf.DUMMYFUNCTION("""COMPUTED_VALUE"""),"Sita T")</f>
        <v>Sita T</v>
      </c>
      <c r="O1113" s="14" t="str">
        <f>IFERROR(__xludf.DUMMYFUNCTION("split(J1113,""*"")"),"Delivered")</f>
        <v>Delivered</v>
      </c>
      <c r="P1113" s="14" t="str">
        <f>IFERROR(__xludf.DUMMYFUNCTION("""COMPUTED_VALUE"""),"Packaging: Secure and intact")</f>
        <v>Packaging: Secure and intact</v>
      </c>
      <c r="Q1113" s="14" t="str">
        <f>IFERROR(__xludf.DUMMYFUNCTION("split(P1113,"":"")"),"Packaging")</f>
        <v>Packaging</v>
      </c>
      <c r="R1113" s="14" t="str">
        <f>IFERROR(__xludf.DUMMYFUNCTION("""COMPUTED_VALUE""")," Secure and intact")</f>
        <v> Secure and intact</v>
      </c>
      <c r="S1113" s="14" t="str">
        <f t="shared" ref="S1113:U1113" si="2229">trim(B1113)</f>
        <v>ord_41091</v>
      </c>
      <c r="T1113" s="14" t="str">
        <f t="shared" si="2229"/>
        <v>Aditi Iyer</v>
      </c>
      <c r="U1113" s="14" t="str">
        <f t="shared" si="2229"/>
        <v>Dadar</v>
      </c>
      <c r="V1113" s="14" t="str">
        <f t="shared" si="4"/>
        <v>Orange</v>
      </c>
      <c r="W1113" s="14">
        <f t="shared" si="5"/>
        <v>2</v>
      </c>
      <c r="X1113" s="14" t="str">
        <f t="shared" si="6"/>
        <v>Sita T</v>
      </c>
      <c r="Y1113" s="15">
        <f t="shared" si="7"/>
        <v>45260</v>
      </c>
      <c r="Z1113" s="14" t="str">
        <f t="shared" si="8"/>
        <v>Online Payment</v>
      </c>
      <c r="AA1113" s="14" t="str">
        <f t="shared" si="9"/>
        <v>Delivered</v>
      </c>
      <c r="AB1113" s="14" t="str">
        <f t="shared" ref="AB1113:AC1113" si="2230">trim(Q1113)</f>
        <v>Packaging</v>
      </c>
      <c r="AC1113" s="14" t="str">
        <f t="shared" si="2230"/>
        <v>Secure and intact</v>
      </c>
      <c r="AD1113" s="8"/>
    </row>
    <row r="1114">
      <c r="A1114" s="14" t="str">
        <f>IFERROR(__xludf.DUMMYFUNCTION("""COMPUTED_VALUE"""),"//ord_41092//Kritika Shetty//Malad//Icecream+1*Manju Ajay/1/16/2023//Online Payment//Delivered*Satisfied with the Delivery: Timely and quality")</f>
        <v>//ord_41092//Kritika Shetty//Malad//Icecream+1*Manju Ajay/1/16/2023//Online Payment//Delivered*Satisfied with the Delivery: Timely and quality</v>
      </c>
      <c r="B1114" s="14" t="str">
        <f>IFERROR(__xludf.DUMMYFUNCTION("split(A1114,""//"")"),"ord_41092")</f>
        <v>ord_41092</v>
      </c>
      <c r="C1114" s="14" t="str">
        <f>IFERROR(__xludf.DUMMYFUNCTION("""COMPUTED_VALUE"""),"Kritika Shetty")</f>
        <v>Kritika Shetty</v>
      </c>
      <c r="D1114" s="14" t="str">
        <f>IFERROR(__xludf.DUMMYFUNCTION("""COMPUTED_VALUE"""),"Malad")</f>
        <v>Malad</v>
      </c>
      <c r="E1114" s="14" t="str">
        <f>IFERROR(__xludf.DUMMYFUNCTION("""COMPUTED_VALUE"""),"Icecream+1*Manju Ajay")</f>
        <v>Icecream+1*Manju Ajay</v>
      </c>
      <c r="F1114" s="14">
        <f>IFERROR(__xludf.DUMMYFUNCTION("""COMPUTED_VALUE"""),1.0)</f>
        <v>1</v>
      </c>
      <c r="G1114" s="14">
        <f>IFERROR(__xludf.DUMMYFUNCTION("""COMPUTED_VALUE"""),16.0)</f>
        <v>16</v>
      </c>
      <c r="H1114" s="14">
        <f>IFERROR(__xludf.DUMMYFUNCTION("""COMPUTED_VALUE"""),2023.0)</f>
        <v>2023</v>
      </c>
      <c r="I1114" s="14" t="str">
        <f>IFERROR(__xludf.DUMMYFUNCTION("""COMPUTED_VALUE"""),"Online Payment")</f>
        <v>Online Payment</v>
      </c>
      <c r="J1114" s="14" t="str">
        <f>IFERROR(__xludf.DUMMYFUNCTION("""COMPUTED_VALUE"""),"Delivered*Satisfied with the Delivery: Timely and quality")</f>
        <v>Delivered*Satisfied with the Delivery: Timely and quality</v>
      </c>
      <c r="K1114" s="14" t="str">
        <f>IFERROR(__xludf.DUMMYFUNCTION("split(E1114,""+"")"),"Icecream")</f>
        <v>Icecream</v>
      </c>
      <c r="L1114" s="14" t="str">
        <f>IFERROR(__xludf.DUMMYFUNCTION("""COMPUTED_VALUE"""),"1*Manju Ajay")</f>
        <v>1*Manju Ajay</v>
      </c>
      <c r="M1114" s="14">
        <f>IFERROR(__xludf.DUMMYFUNCTION("SPLIT(L1114,""*"")"),1.0)</f>
        <v>1</v>
      </c>
      <c r="N1114" s="14" t="str">
        <f>IFERROR(__xludf.DUMMYFUNCTION("""COMPUTED_VALUE"""),"Manju Ajay")</f>
        <v>Manju Ajay</v>
      </c>
      <c r="O1114" s="14" t="str">
        <f>IFERROR(__xludf.DUMMYFUNCTION("split(J1114,""*"")"),"Delivered")</f>
        <v>Delivered</v>
      </c>
      <c r="P1114" s="14" t="str">
        <f>IFERROR(__xludf.DUMMYFUNCTION("""COMPUTED_VALUE"""),"Satisfied with the Delivery: Timely and quality")</f>
        <v>Satisfied with the Delivery: Timely and quality</v>
      </c>
      <c r="Q1114" s="14" t="str">
        <f>IFERROR(__xludf.DUMMYFUNCTION("split(P1114,"":"")"),"Satisfied with the Delivery")</f>
        <v>Satisfied with the Delivery</v>
      </c>
      <c r="R1114" s="14" t="str">
        <f>IFERROR(__xludf.DUMMYFUNCTION("""COMPUTED_VALUE""")," Timely and quality")</f>
        <v> Timely and quality</v>
      </c>
      <c r="S1114" s="14" t="str">
        <f t="shared" ref="S1114:U1114" si="2231">trim(B1114)</f>
        <v>ord_41092</v>
      </c>
      <c r="T1114" s="14" t="str">
        <f t="shared" si="2231"/>
        <v>Kritika Shetty</v>
      </c>
      <c r="U1114" s="14" t="str">
        <f t="shared" si="2231"/>
        <v>Malad</v>
      </c>
      <c r="V1114" s="14" t="str">
        <f t="shared" si="4"/>
        <v>Icecream</v>
      </c>
      <c r="W1114" s="14">
        <f t="shared" si="5"/>
        <v>1</v>
      </c>
      <c r="X1114" s="14" t="str">
        <f t="shared" si="6"/>
        <v>Manju Ajay</v>
      </c>
      <c r="Y1114" s="15">
        <f t="shared" si="7"/>
        <v>44942</v>
      </c>
      <c r="Z1114" s="14" t="str">
        <f t="shared" si="8"/>
        <v>Online Payment</v>
      </c>
      <c r="AA1114" s="14" t="str">
        <f t="shared" si="9"/>
        <v>Delivered</v>
      </c>
      <c r="AB1114" s="14" t="str">
        <f t="shared" ref="AB1114:AC1114" si="2232">trim(Q1114)</f>
        <v>Satisfied with the Delivery</v>
      </c>
      <c r="AC1114" s="14" t="str">
        <f t="shared" si="2232"/>
        <v>Timely and quality</v>
      </c>
      <c r="AD1114" s="8"/>
    </row>
    <row r="1115">
      <c r="A1115" s="14" t="str">
        <f>IFERROR(__xludf.DUMMYFUNCTION("""COMPUTED_VALUE"""),"//ord_41093//Kritika Shetty//Malad//Chilli Cheese Toast+2*Shine Thomas/10/11/2023//Online Payment//Cancelled*Delayed Delivery:Heavy Traffic")</f>
        <v>//ord_41093//Kritika Shetty//Malad//Chilli Cheese Toast+2*Shine Thomas/10/11/2023//Online Payment//Cancelled*Delayed Delivery:Heavy Traffic</v>
      </c>
      <c r="B1115" s="14" t="str">
        <f>IFERROR(__xludf.DUMMYFUNCTION("split(A1115,""//"")"),"ord_41093")</f>
        <v>ord_41093</v>
      </c>
      <c r="C1115" s="14" t="str">
        <f>IFERROR(__xludf.DUMMYFUNCTION("""COMPUTED_VALUE"""),"Kritika Shetty")</f>
        <v>Kritika Shetty</v>
      </c>
      <c r="D1115" s="14" t="str">
        <f>IFERROR(__xludf.DUMMYFUNCTION("""COMPUTED_VALUE"""),"Malad")</f>
        <v>Malad</v>
      </c>
      <c r="E1115" s="14" t="str">
        <f>IFERROR(__xludf.DUMMYFUNCTION("""COMPUTED_VALUE"""),"Chilli Cheese Toast+2*Shine Thomas")</f>
        <v>Chilli Cheese Toast+2*Shine Thomas</v>
      </c>
      <c r="F1115" s="14">
        <f>IFERROR(__xludf.DUMMYFUNCTION("""COMPUTED_VALUE"""),10.0)</f>
        <v>10</v>
      </c>
      <c r="G1115" s="14">
        <f>IFERROR(__xludf.DUMMYFUNCTION("""COMPUTED_VALUE"""),11.0)</f>
        <v>11</v>
      </c>
      <c r="H1115" s="14">
        <f>IFERROR(__xludf.DUMMYFUNCTION("""COMPUTED_VALUE"""),2023.0)</f>
        <v>2023</v>
      </c>
      <c r="I1115" s="14" t="str">
        <f>IFERROR(__xludf.DUMMYFUNCTION("""COMPUTED_VALUE"""),"Online Payment")</f>
        <v>Online Payment</v>
      </c>
      <c r="J1115" s="14" t="str">
        <f>IFERROR(__xludf.DUMMYFUNCTION("""COMPUTED_VALUE"""),"Cancelled*Delayed Delivery:Heavy Traffic")</f>
        <v>Cancelled*Delayed Delivery:Heavy Traffic</v>
      </c>
      <c r="K1115" s="14" t="str">
        <f>IFERROR(__xludf.DUMMYFUNCTION("split(E1115,""+"")"),"Chilli Cheese Toast")</f>
        <v>Chilli Cheese Toast</v>
      </c>
      <c r="L1115" s="14" t="str">
        <f>IFERROR(__xludf.DUMMYFUNCTION("""COMPUTED_VALUE"""),"2*Shine Thomas")</f>
        <v>2*Shine Thomas</v>
      </c>
      <c r="M1115" s="14">
        <f>IFERROR(__xludf.DUMMYFUNCTION("SPLIT(L1115,""*"")"),2.0)</f>
        <v>2</v>
      </c>
      <c r="N1115" s="14" t="str">
        <f>IFERROR(__xludf.DUMMYFUNCTION("""COMPUTED_VALUE"""),"Shine Thomas")</f>
        <v>Shine Thomas</v>
      </c>
      <c r="O1115" s="14" t="str">
        <f>IFERROR(__xludf.DUMMYFUNCTION("split(J1115,""*"")"),"Cancelled")</f>
        <v>Cancelled</v>
      </c>
      <c r="P1115" s="14" t="str">
        <f>IFERROR(__xludf.DUMMYFUNCTION("""COMPUTED_VALUE"""),"Delayed Delivery:Heavy Traffic")</f>
        <v>Delayed Delivery:Heavy Traffic</v>
      </c>
      <c r="Q1115" s="14" t="str">
        <f>IFERROR(__xludf.DUMMYFUNCTION("split(P1115,"":"")"),"Delayed Delivery")</f>
        <v>Delayed Delivery</v>
      </c>
      <c r="R1115" s="14" t="str">
        <f>IFERROR(__xludf.DUMMYFUNCTION("""COMPUTED_VALUE"""),"Heavy Traffic")</f>
        <v>Heavy Traffic</v>
      </c>
      <c r="S1115" s="14" t="str">
        <f t="shared" ref="S1115:U1115" si="2233">trim(B1115)</f>
        <v>ord_41093</v>
      </c>
      <c r="T1115" s="14" t="str">
        <f t="shared" si="2233"/>
        <v>Kritika Shetty</v>
      </c>
      <c r="U1115" s="14" t="str">
        <f t="shared" si="2233"/>
        <v>Malad</v>
      </c>
      <c r="V1115" s="14" t="str">
        <f t="shared" si="4"/>
        <v>Chilli Cheese Toast</v>
      </c>
      <c r="W1115" s="14">
        <f t="shared" si="5"/>
        <v>2</v>
      </c>
      <c r="X1115" s="14" t="str">
        <f t="shared" si="6"/>
        <v>Shine Thomas</v>
      </c>
      <c r="Y1115" s="15">
        <f t="shared" si="7"/>
        <v>45210</v>
      </c>
      <c r="Z1115" s="14" t="str">
        <f t="shared" si="8"/>
        <v>Online Payment</v>
      </c>
      <c r="AA1115" s="14" t="str">
        <f t="shared" si="9"/>
        <v>Cancelled</v>
      </c>
      <c r="AB1115" s="14" t="str">
        <f t="shared" ref="AB1115:AC1115" si="2234">trim(Q1115)</f>
        <v>Delayed Delivery</v>
      </c>
      <c r="AC1115" s="14" t="str">
        <f t="shared" si="2234"/>
        <v>Heavy Traffic</v>
      </c>
      <c r="AD1115" s="8"/>
    </row>
    <row r="1116">
      <c r="A1116" s="14" t="str">
        <f>IFERROR(__xludf.DUMMYFUNCTION("""COMPUTED_VALUE"""),"//ord_41094//Arvind Kulkarni//Juhu//Sweet Corn+2*Not Assigned/10/3/2023//Credit Card//Cancelled*App Glitches:Slow Loading Time")</f>
        <v>//ord_41094//Arvind Kulkarni//Juhu//Sweet Corn+2*Not Assigned/10/3/2023//Credit Card//Cancelled*App Glitches:Slow Loading Time</v>
      </c>
      <c r="B1116" s="14" t="str">
        <f>IFERROR(__xludf.DUMMYFUNCTION("split(A1116,""//"")"),"ord_41094")</f>
        <v>ord_41094</v>
      </c>
      <c r="C1116" s="14" t="str">
        <f>IFERROR(__xludf.DUMMYFUNCTION("""COMPUTED_VALUE"""),"Arvind Kulkarni")</f>
        <v>Arvind Kulkarni</v>
      </c>
      <c r="D1116" s="14" t="str">
        <f>IFERROR(__xludf.DUMMYFUNCTION("""COMPUTED_VALUE"""),"Juhu")</f>
        <v>Juhu</v>
      </c>
      <c r="E1116" s="14" t="str">
        <f>IFERROR(__xludf.DUMMYFUNCTION("""COMPUTED_VALUE"""),"Sweet Corn+2*Not Assigned")</f>
        <v>Sweet Corn+2*Not Assigned</v>
      </c>
      <c r="F1116" s="14">
        <f>IFERROR(__xludf.DUMMYFUNCTION("""COMPUTED_VALUE"""),10.0)</f>
        <v>10</v>
      </c>
      <c r="G1116" s="14">
        <f>IFERROR(__xludf.DUMMYFUNCTION("""COMPUTED_VALUE"""),3.0)</f>
        <v>3</v>
      </c>
      <c r="H1116" s="14">
        <f>IFERROR(__xludf.DUMMYFUNCTION("""COMPUTED_VALUE"""),2023.0)</f>
        <v>2023</v>
      </c>
      <c r="I1116" s="14" t="str">
        <f>IFERROR(__xludf.DUMMYFUNCTION("""COMPUTED_VALUE"""),"Credit Card")</f>
        <v>Credit Card</v>
      </c>
      <c r="J1116" s="14" t="str">
        <f>IFERROR(__xludf.DUMMYFUNCTION("""COMPUTED_VALUE"""),"Cancelled*App Glitches:Slow Loading Time")</f>
        <v>Cancelled*App Glitches:Slow Loading Time</v>
      </c>
      <c r="K1116" s="14" t="str">
        <f>IFERROR(__xludf.DUMMYFUNCTION("split(E1116,""+"")"),"Sweet Corn")</f>
        <v>Sweet Corn</v>
      </c>
      <c r="L1116" s="14" t="str">
        <f>IFERROR(__xludf.DUMMYFUNCTION("""COMPUTED_VALUE"""),"2*Not Assigned")</f>
        <v>2*Not Assigned</v>
      </c>
      <c r="M1116" s="14">
        <f>IFERROR(__xludf.DUMMYFUNCTION("SPLIT(L1116,""*"")"),2.0)</f>
        <v>2</v>
      </c>
      <c r="N1116" s="14" t="str">
        <f>IFERROR(__xludf.DUMMYFUNCTION("""COMPUTED_VALUE"""),"Not Assigned")</f>
        <v>Not Assigned</v>
      </c>
      <c r="O1116" s="14" t="str">
        <f>IFERROR(__xludf.DUMMYFUNCTION("split(J1116,""*"")"),"Cancelled")</f>
        <v>Cancelled</v>
      </c>
      <c r="P1116" s="14" t="str">
        <f>IFERROR(__xludf.DUMMYFUNCTION("""COMPUTED_VALUE"""),"App Glitches:Slow Loading Time")</f>
        <v>App Glitches:Slow Loading Time</v>
      </c>
      <c r="Q1116" s="14" t="str">
        <f>IFERROR(__xludf.DUMMYFUNCTION("split(P1116,"":"")"),"App Glitches")</f>
        <v>App Glitches</v>
      </c>
      <c r="R1116" s="14" t="str">
        <f>IFERROR(__xludf.DUMMYFUNCTION("""COMPUTED_VALUE"""),"Slow Loading Time")</f>
        <v>Slow Loading Time</v>
      </c>
      <c r="S1116" s="14" t="str">
        <f t="shared" ref="S1116:U1116" si="2235">trim(B1116)</f>
        <v>ord_41094</v>
      </c>
      <c r="T1116" s="14" t="str">
        <f t="shared" si="2235"/>
        <v>Arvind Kulkarni</v>
      </c>
      <c r="U1116" s="14" t="str">
        <f t="shared" si="2235"/>
        <v>Juhu</v>
      </c>
      <c r="V1116" s="14" t="str">
        <f t="shared" si="4"/>
        <v>Sweet Corn</v>
      </c>
      <c r="W1116" s="14">
        <f t="shared" si="5"/>
        <v>2</v>
      </c>
      <c r="X1116" s="14" t="str">
        <f t="shared" si="6"/>
        <v>Not Assigned</v>
      </c>
      <c r="Y1116" s="15">
        <f t="shared" si="7"/>
        <v>45202</v>
      </c>
      <c r="Z1116" s="14" t="str">
        <f t="shared" si="8"/>
        <v>Credit Card</v>
      </c>
      <c r="AA1116" s="14" t="str">
        <f t="shared" si="9"/>
        <v>Cancelled</v>
      </c>
      <c r="AB1116" s="14" t="str">
        <f t="shared" ref="AB1116:AC1116" si="2236">trim(Q1116)</f>
        <v>App Glitches</v>
      </c>
      <c r="AC1116" s="14" t="str">
        <f t="shared" si="2236"/>
        <v>Slow Loading Time</v>
      </c>
      <c r="AD1116" s="8"/>
    </row>
    <row r="1117">
      <c r="A1117" s="14" t="str">
        <f>IFERROR(__xludf.DUMMYFUNCTION("""COMPUTED_VALUE"""),"//ord_41095//Parth Goel//Juhu//Rasmalai+1*Ramesh S/7/11/2023//Credit Card//Delivered*Customer Service: Seamless and easy")</f>
        <v>//ord_41095//Parth Goel//Juhu//Rasmalai+1*Ramesh S/7/11/2023//Credit Card//Delivered*Customer Service: Seamless and easy</v>
      </c>
      <c r="B1117" s="14" t="str">
        <f>IFERROR(__xludf.DUMMYFUNCTION("split(A1117,""//"")"),"ord_41095")</f>
        <v>ord_41095</v>
      </c>
      <c r="C1117" s="14" t="str">
        <f>IFERROR(__xludf.DUMMYFUNCTION("""COMPUTED_VALUE"""),"Parth Goel")</f>
        <v>Parth Goel</v>
      </c>
      <c r="D1117" s="14" t="str">
        <f>IFERROR(__xludf.DUMMYFUNCTION("""COMPUTED_VALUE"""),"Juhu")</f>
        <v>Juhu</v>
      </c>
      <c r="E1117" s="14" t="str">
        <f>IFERROR(__xludf.DUMMYFUNCTION("""COMPUTED_VALUE"""),"Rasmalai+1*Ramesh S")</f>
        <v>Rasmalai+1*Ramesh S</v>
      </c>
      <c r="F1117" s="14">
        <f>IFERROR(__xludf.DUMMYFUNCTION("""COMPUTED_VALUE"""),7.0)</f>
        <v>7</v>
      </c>
      <c r="G1117" s="14">
        <f>IFERROR(__xludf.DUMMYFUNCTION("""COMPUTED_VALUE"""),11.0)</f>
        <v>11</v>
      </c>
      <c r="H1117" s="14">
        <f>IFERROR(__xludf.DUMMYFUNCTION("""COMPUTED_VALUE"""),2023.0)</f>
        <v>2023</v>
      </c>
      <c r="I1117" s="14" t="str">
        <f>IFERROR(__xludf.DUMMYFUNCTION("""COMPUTED_VALUE"""),"Credit Card")</f>
        <v>Credit Card</v>
      </c>
      <c r="J1117" s="14" t="str">
        <f>IFERROR(__xludf.DUMMYFUNCTION("""COMPUTED_VALUE"""),"Delivered*Customer Service: Seamless and easy")</f>
        <v>Delivered*Customer Service: Seamless and easy</v>
      </c>
      <c r="K1117" s="14" t="str">
        <f>IFERROR(__xludf.DUMMYFUNCTION("split(E1117,""+"")"),"Rasmalai")</f>
        <v>Rasmalai</v>
      </c>
      <c r="L1117" s="14" t="str">
        <f>IFERROR(__xludf.DUMMYFUNCTION("""COMPUTED_VALUE"""),"1*Ramesh S")</f>
        <v>1*Ramesh S</v>
      </c>
      <c r="M1117" s="14">
        <f>IFERROR(__xludf.DUMMYFUNCTION("SPLIT(L1117,""*"")"),1.0)</f>
        <v>1</v>
      </c>
      <c r="N1117" s="14" t="str">
        <f>IFERROR(__xludf.DUMMYFUNCTION("""COMPUTED_VALUE"""),"Ramesh S")</f>
        <v>Ramesh S</v>
      </c>
      <c r="O1117" s="14" t="str">
        <f>IFERROR(__xludf.DUMMYFUNCTION("split(J1117,""*"")"),"Delivered")</f>
        <v>Delivered</v>
      </c>
      <c r="P1117" s="14" t="str">
        <f>IFERROR(__xludf.DUMMYFUNCTION("""COMPUTED_VALUE"""),"Customer Service: Seamless and easy")</f>
        <v>Customer Service: Seamless and easy</v>
      </c>
      <c r="Q1117" s="14" t="str">
        <f>IFERROR(__xludf.DUMMYFUNCTION("split(P1117,"":"")"),"Customer Service")</f>
        <v>Customer Service</v>
      </c>
      <c r="R1117" s="14" t="str">
        <f>IFERROR(__xludf.DUMMYFUNCTION("""COMPUTED_VALUE""")," Seamless and easy")</f>
        <v> Seamless and easy</v>
      </c>
      <c r="S1117" s="14" t="str">
        <f t="shared" ref="S1117:U1117" si="2237">trim(B1117)</f>
        <v>ord_41095</v>
      </c>
      <c r="T1117" s="14" t="str">
        <f t="shared" si="2237"/>
        <v>Parth Goel</v>
      </c>
      <c r="U1117" s="14" t="str">
        <f t="shared" si="2237"/>
        <v>Juhu</v>
      </c>
      <c r="V1117" s="14" t="str">
        <f t="shared" si="4"/>
        <v>Rasmalai</v>
      </c>
      <c r="W1117" s="14">
        <f t="shared" si="5"/>
        <v>1</v>
      </c>
      <c r="X1117" s="14" t="str">
        <f t="shared" si="6"/>
        <v>Ramesh S</v>
      </c>
      <c r="Y1117" s="15">
        <f t="shared" si="7"/>
        <v>45118</v>
      </c>
      <c r="Z1117" s="14" t="str">
        <f t="shared" si="8"/>
        <v>Credit Card</v>
      </c>
      <c r="AA1117" s="14" t="str">
        <f t="shared" si="9"/>
        <v>Delivered</v>
      </c>
      <c r="AB1117" s="14" t="str">
        <f t="shared" ref="AB1117:AC1117" si="2238">trim(Q1117)</f>
        <v>Customer Service</v>
      </c>
      <c r="AC1117" s="14" t="str">
        <f t="shared" si="2238"/>
        <v>Seamless and easy</v>
      </c>
      <c r="AD1117" s="8"/>
    </row>
    <row r="1118">
      <c r="A1118" s="14" t="str">
        <f>IFERROR(__xludf.DUMMYFUNCTION("""COMPUTED_VALUE"""),"//ord_41096//Aarohi Kapoor//Bandra//Onion+2*Ramesh S/9/21/2023//COD//Delivered*Delivery Experience: Quick and professional")</f>
        <v>//ord_41096//Aarohi Kapoor//Bandra//Onion+2*Ramesh S/9/21/2023//COD//Delivered*Delivery Experience: Quick and professional</v>
      </c>
      <c r="B1118" s="14" t="str">
        <f>IFERROR(__xludf.DUMMYFUNCTION("split(A1118,""//"")"),"ord_41096")</f>
        <v>ord_41096</v>
      </c>
      <c r="C1118" s="14" t="str">
        <f>IFERROR(__xludf.DUMMYFUNCTION("""COMPUTED_VALUE"""),"Aarohi Kapoor")</f>
        <v>Aarohi Kapoor</v>
      </c>
      <c r="D1118" s="14" t="str">
        <f>IFERROR(__xludf.DUMMYFUNCTION("""COMPUTED_VALUE"""),"Bandra")</f>
        <v>Bandra</v>
      </c>
      <c r="E1118" s="14" t="str">
        <f>IFERROR(__xludf.DUMMYFUNCTION("""COMPUTED_VALUE"""),"Onion+2*Ramesh S")</f>
        <v>Onion+2*Ramesh S</v>
      </c>
      <c r="F1118" s="14">
        <f>IFERROR(__xludf.DUMMYFUNCTION("""COMPUTED_VALUE"""),9.0)</f>
        <v>9</v>
      </c>
      <c r="G1118" s="14">
        <f>IFERROR(__xludf.DUMMYFUNCTION("""COMPUTED_VALUE"""),21.0)</f>
        <v>21</v>
      </c>
      <c r="H1118" s="14">
        <f>IFERROR(__xludf.DUMMYFUNCTION("""COMPUTED_VALUE"""),2023.0)</f>
        <v>2023</v>
      </c>
      <c r="I1118" s="14" t="str">
        <f>IFERROR(__xludf.DUMMYFUNCTION("""COMPUTED_VALUE"""),"COD")</f>
        <v>COD</v>
      </c>
      <c r="J1118" s="14" t="str">
        <f>IFERROR(__xludf.DUMMYFUNCTION("""COMPUTED_VALUE"""),"Delivered*Delivery Experience: Quick and professional")</f>
        <v>Delivered*Delivery Experience: Quick and professional</v>
      </c>
      <c r="K1118" s="14" t="str">
        <f>IFERROR(__xludf.DUMMYFUNCTION("split(E1118,""+"")"),"Onion")</f>
        <v>Onion</v>
      </c>
      <c r="L1118" s="14" t="str">
        <f>IFERROR(__xludf.DUMMYFUNCTION("""COMPUTED_VALUE"""),"2*Ramesh S")</f>
        <v>2*Ramesh S</v>
      </c>
      <c r="M1118" s="14">
        <f>IFERROR(__xludf.DUMMYFUNCTION("SPLIT(L1118,""*"")"),2.0)</f>
        <v>2</v>
      </c>
      <c r="N1118" s="14" t="str">
        <f>IFERROR(__xludf.DUMMYFUNCTION("""COMPUTED_VALUE"""),"Ramesh S")</f>
        <v>Ramesh S</v>
      </c>
      <c r="O1118" s="14" t="str">
        <f>IFERROR(__xludf.DUMMYFUNCTION("split(J1118,""*"")"),"Delivered")</f>
        <v>Delivered</v>
      </c>
      <c r="P1118" s="14" t="str">
        <f>IFERROR(__xludf.DUMMYFUNCTION("""COMPUTED_VALUE"""),"Delivery Experience: Quick and professional")</f>
        <v>Delivery Experience: Quick and professional</v>
      </c>
      <c r="Q1118" s="14" t="str">
        <f>IFERROR(__xludf.DUMMYFUNCTION("split(P1118,"":"")"),"Delivery Experience")</f>
        <v>Delivery Experience</v>
      </c>
      <c r="R1118" s="14" t="str">
        <f>IFERROR(__xludf.DUMMYFUNCTION("""COMPUTED_VALUE""")," Quick and professional")</f>
        <v> Quick and professional</v>
      </c>
      <c r="S1118" s="14" t="str">
        <f t="shared" ref="S1118:U1118" si="2239">trim(B1118)</f>
        <v>ord_41096</v>
      </c>
      <c r="T1118" s="14" t="str">
        <f t="shared" si="2239"/>
        <v>Aarohi Kapoor</v>
      </c>
      <c r="U1118" s="14" t="str">
        <f t="shared" si="2239"/>
        <v>Bandra</v>
      </c>
      <c r="V1118" s="14" t="str">
        <f t="shared" si="4"/>
        <v>Onion</v>
      </c>
      <c r="W1118" s="14">
        <f t="shared" si="5"/>
        <v>2</v>
      </c>
      <c r="X1118" s="14" t="str">
        <f t="shared" si="6"/>
        <v>Ramesh S</v>
      </c>
      <c r="Y1118" s="15">
        <f t="shared" si="7"/>
        <v>45190</v>
      </c>
      <c r="Z1118" s="14" t="str">
        <f t="shared" si="8"/>
        <v>COD</v>
      </c>
      <c r="AA1118" s="14" t="str">
        <f t="shared" si="9"/>
        <v>Delivered</v>
      </c>
      <c r="AB1118" s="14" t="str">
        <f t="shared" ref="AB1118:AC1118" si="2240">trim(Q1118)</f>
        <v>Delivery Experience</v>
      </c>
      <c r="AC1118" s="14" t="str">
        <f t="shared" si="2240"/>
        <v>Quick and professional</v>
      </c>
      <c r="AD1118" s="8"/>
    </row>
    <row r="1119">
      <c r="A1119" s="14" t="str">
        <f>IFERROR(__xludf.DUMMYFUNCTION("""COMPUTED_VALUE"""),"//ord_41097//Mohit Malhotra//Lower Parel//Potato+2*Vivek Kumar/7/30/2023//Online Payment//Delivered*Convenience: Easy tracking")</f>
        <v>//ord_41097//Mohit Malhotra//Lower Parel//Potato+2*Vivek Kumar/7/30/2023//Online Payment//Delivered*Convenience: Easy tracking</v>
      </c>
      <c r="B1119" s="14" t="str">
        <f>IFERROR(__xludf.DUMMYFUNCTION("split(A1119,""//"")"),"ord_41097")</f>
        <v>ord_41097</v>
      </c>
      <c r="C1119" s="14" t="str">
        <f>IFERROR(__xludf.DUMMYFUNCTION("""COMPUTED_VALUE"""),"Mohit Malhotra")</f>
        <v>Mohit Malhotra</v>
      </c>
      <c r="D1119" s="14" t="str">
        <f>IFERROR(__xludf.DUMMYFUNCTION("""COMPUTED_VALUE"""),"Lower Parel")</f>
        <v>Lower Parel</v>
      </c>
      <c r="E1119" s="14" t="str">
        <f>IFERROR(__xludf.DUMMYFUNCTION("""COMPUTED_VALUE"""),"Potato+2*Vivek Kumar")</f>
        <v>Potato+2*Vivek Kumar</v>
      </c>
      <c r="F1119" s="14">
        <f>IFERROR(__xludf.DUMMYFUNCTION("""COMPUTED_VALUE"""),7.0)</f>
        <v>7</v>
      </c>
      <c r="G1119" s="14">
        <f>IFERROR(__xludf.DUMMYFUNCTION("""COMPUTED_VALUE"""),30.0)</f>
        <v>30</v>
      </c>
      <c r="H1119" s="14">
        <f>IFERROR(__xludf.DUMMYFUNCTION("""COMPUTED_VALUE"""),2023.0)</f>
        <v>2023</v>
      </c>
      <c r="I1119" s="14" t="str">
        <f>IFERROR(__xludf.DUMMYFUNCTION("""COMPUTED_VALUE"""),"Online Payment")</f>
        <v>Online Payment</v>
      </c>
      <c r="J1119" s="14" t="str">
        <f>IFERROR(__xludf.DUMMYFUNCTION("""COMPUTED_VALUE"""),"Delivered*Convenience: Easy tracking")</f>
        <v>Delivered*Convenience: Easy tracking</v>
      </c>
      <c r="K1119" s="14" t="str">
        <f>IFERROR(__xludf.DUMMYFUNCTION("split(E1119,""+"")"),"Potato")</f>
        <v>Potato</v>
      </c>
      <c r="L1119" s="14" t="str">
        <f>IFERROR(__xludf.DUMMYFUNCTION("""COMPUTED_VALUE"""),"2*Vivek Kumar")</f>
        <v>2*Vivek Kumar</v>
      </c>
      <c r="M1119" s="14">
        <f>IFERROR(__xludf.DUMMYFUNCTION("SPLIT(L1119,""*"")"),2.0)</f>
        <v>2</v>
      </c>
      <c r="N1119" s="14" t="str">
        <f>IFERROR(__xludf.DUMMYFUNCTION("""COMPUTED_VALUE"""),"Vivek Kumar")</f>
        <v>Vivek Kumar</v>
      </c>
      <c r="O1119" s="14" t="str">
        <f>IFERROR(__xludf.DUMMYFUNCTION("split(J1119,""*"")"),"Delivered")</f>
        <v>Delivered</v>
      </c>
      <c r="P1119" s="14" t="str">
        <f>IFERROR(__xludf.DUMMYFUNCTION("""COMPUTED_VALUE"""),"Convenience: Easy tracking")</f>
        <v>Convenience: Easy tracking</v>
      </c>
      <c r="Q1119" s="14" t="str">
        <f>IFERROR(__xludf.DUMMYFUNCTION("split(P1119,"":"")"),"Convenience")</f>
        <v>Convenience</v>
      </c>
      <c r="R1119" s="14" t="str">
        <f>IFERROR(__xludf.DUMMYFUNCTION("""COMPUTED_VALUE""")," Easy tracking")</f>
        <v> Easy tracking</v>
      </c>
      <c r="S1119" s="14" t="str">
        <f t="shared" ref="S1119:U1119" si="2241">trim(B1119)</f>
        <v>ord_41097</v>
      </c>
      <c r="T1119" s="14" t="str">
        <f t="shared" si="2241"/>
        <v>Mohit Malhotra</v>
      </c>
      <c r="U1119" s="14" t="str">
        <f t="shared" si="2241"/>
        <v>Lower Parel</v>
      </c>
      <c r="V1119" s="14" t="str">
        <f t="shared" si="4"/>
        <v>Potato</v>
      </c>
      <c r="W1119" s="14">
        <f t="shared" si="5"/>
        <v>2</v>
      </c>
      <c r="X1119" s="14" t="str">
        <f t="shared" si="6"/>
        <v>Vivek Kumar</v>
      </c>
      <c r="Y1119" s="15">
        <f t="shared" si="7"/>
        <v>45137</v>
      </c>
      <c r="Z1119" s="14" t="str">
        <f t="shared" si="8"/>
        <v>Online Payment</v>
      </c>
      <c r="AA1119" s="14" t="str">
        <f t="shared" si="9"/>
        <v>Delivered</v>
      </c>
      <c r="AB1119" s="14" t="str">
        <f t="shared" ref="AB1119:AC1119" si="2242">trim(Q1119)</f>
        <v>Convenience</v>
      </c>
      <c r="AC1119" s="14" t="str">
        <f t="shared" si="2242"/>
        <v>Easy tracking</v>
      </c>
      <c r="AD1119" s="8"/>
    </row>
    <row r="1120">
      <c r="A1120" s="14" t="str">
        <f>IFERROR(__xludf.DUMMYFUNCTION("""COMPUTED_VALUE"""),"//ord_41098//Kritika Shetty//Malad//Juice+2*Not Assigned/1/13/2023//Credit Card//Cancelled*App Glitches:Slow Loading Time")</f>
        <v>//ord_41098//Kritika Shetty//Malad//Juice+2*Not Assigned/1/13/2023//Credit Card//Cancelled*App Glitches:Slow Loading Time</v>
      </c>
      <c r="B1120" s="14" t="str">
        <f>IFERROR(__xludf.DUMMYFUNCTION("split(A1120,""//"")"),"ord_41098")</f>
        <v>ord_41098</v>
      </c>
      <c r="C1120" s="14" t="str">
        <f>IFERROR(__xludf.DUMMYFUNCTION("""COMPUTED_VALUE"""),"Kritika Shetty")</f>
        <v>Kritika Shetty</v>
      </c>
      <c r="D1120" s="14" t="str">
        <f>IFERROR(__xludf.DUMMYFUNCTION("""COMPUTED_VALUE"""),"Malad")</f>
        <v>Malad</v>
      </c>
      <c r="E1120" s="14" t="str">
        <f>IFERROR(__xludf.DUMMYFUNCTION("""COMPUTED_VALUE"""),"Juice+2*Not Assigned")</f>
        <v>Juice+2*Not Assigned</v>
      </c>
      <c r="F1120" s="14">
        <f>IFERROR(__xludf.DUMMYFUNCTION("""COMPUTED_VALUE"""),1.0)</f>
        <v>1</v>
      </c>
      <c r="G1120" s="14">
        <f>IFERROR(__xludf.DUMMYFUNCTION("""COMPUTED_VALUE"""),13.0)</f>
        <v>13</v>
      </c>
      <c r="H1120" s="14">
        <f>IFERROR(__xludf.DUMMYFUNCTION("""COMPUTED_VALUE"""),2023.0)</f>
        <v>2023</v>
      </c>
      <c r="I1120" s="14" t="str">
        <f>IFERROR(__xludf.DUMMYFUNCTION("""COMPUTED_VALUE"""),"Credit Card")</f>
        <v>Credit Card</v>
      </c>
      <c r="J1120" s="14" t="str">
        <f>IFERROR(__xludf.DUMMYFUNCTION("""COMPUTED_VALUE"""),"Cancelled*App Glitches:Slow Loading Time")</f>
        <v>Cancelled*App Glitches:Slow Loading Time</v>
      </c>
      <c r="K1120" s="14" t="str">
        <f>IFERROR(__xludf.DUMMYFUNCTION("split(E1120,""+"")"),"Juice")</f>
        <v>Juice</v>
      </c>
      <c r="L1120" s="14" t="str">
        <f>IFERROR(__xludf.DUMMYFUNCTION("""COMPUTED_VALUE"""),"2*Not Assigned")</f>
        <v>2*Not Assigned</v>
      </c>
      <c r="M1120" s="14">
        <f>IFERROR(__xludf.DUMMYFUNCTION("SPLIT(L1120,""*"")"),2.0)</f>
        <v>2</v>
      </c>
      <c r="N1120" s="14" t="str">
        <f>IFERROR(__xludf.DUMMYFUNCTION("""COMPUTED_VALUE"""),"Not Assigned")</f>
        <v>Not Assigned</v>
      </c>
      <c r="O1120" s="14" t="str">
        <f>IFERROR(__xludf.DUMMYFUNCTION("split(J1120,""*"")"),"Cancelled")</f>
        <v>Cancelled</v>
      </c>
      <c r="P1120" s="14" t="str">
        <f>IFERROR(__xludf.DUMMYFUNCTION("""COMPUTED_VALUE"""),"App Glitches:Slow Loading Time")</f>
        <v>App Glitches:Slow Loading Time</v>
      </c>
      <c r="Q1120" s="14" t="str">
        <f>IFERROR(__xludf.DUMMYFUNCTION("split(P1120,"":"")"),"App Glitches")</f>
        <v>App Glitches</v>
      </c>
      <c r="R1120" s="14" t="str">
        <f>IFERROR(__xludf.DUMMYFUNCTION("""COMPUTED_VALUE"""),"Slow Loading Time")</f>
        <v>Slow Loading Time</v>
      </c>
      <c r="S1120" s="14" t="str">
        <f t="shared" ref="S1120:U1120" si="2243">trim(B1120)</f>
        <v>ord_41098</v>
      </c>
      <c r="T1120" s="14" t="str">
        <f t="shared" si="2243"/>
        <v>Kritika Shetty</v>
      </c>
      <c r="U1120" s="14" t="str">
        <f t="shared" si="2243"/>
        <v>Malad</v>
      </c>
      <c r="V1120" s="14" t="str">
        <f t="shared" si="4"/>
        <v>Juice</v>
      </c>
      <c r="W1120" s="14">
        <f t="shared" si="5"/>
        <v>2</v>
      </c>
      <c r="X1120" s="14" t="str">
        <f t="shared" si="6"/>
        <v>Not Assigned</v>
      </c>
      <c r="Y1120" s="15">
        <f t="shared" si="7"/>
        <v>44939</v>
      </c>
      <c r="Z1120" s="14" t="str">
        <f t="shared" si="8"/>
        <v>Credit Card</v>
      </c>
      <c r="AA1120" s="14" t="str">
        <f t="shared" si="9"/>
        <v>Cancelled</v>
      </c>
      <c r="AB1120" s="14" t="str">
        <f t="shared" ref="AB1120:AC1120" si="2244">trim(Q1120)</f>
        <v>App Glitches</v>
      </c>
      <c r="AC1120" s="14" t="str">
        <f t="shared" si="2244"/>
        <v>Slow Loading Time</v>
      </c>
      <c r="AD1120" s="8"/>
    </row>
    <row r="1121">
      <c r="A1121" s="14" t="str">
        <f>IFERROR(__xludf.DUMMYFUNCTION("""COMPUTED_VALUE"""),"//ord_41099//Dev Chauhan//Bandra//Juice+2*Shine Thomas/1/15/2023//Credit Card//Delivered*Overall Satisfaction: Great service will order again")</f>
        <v>//ord_41099//Dev Chauhan//Bandra//Juice+2*Shine Thomas/1/15/2023//Credit Card//Delivered*Overall Satisfaction: Great service will order again</v>
      </c>
      <c r="B1121" s="14" t="str">
        <f>IFERROR(__xludf.DUMMYFUNCTION("split(A1121,""//"")"),"ord_41099")</f>
        <v>ord_41099</v>
      </c>
      <c r="C1121" s="14" t="str">
        <f>IFERROR(__xludf.DUMMYFUNCTION("""COMPUTED_VALUE"""),"Dev Chauhan")</f>
        <v>Dev Chauhan</v>
      </c>
      <c r="D1121" s="14" t="str">
        <f>IFERROR(__xludf.DUMMYFUNCTION("""COMPUTED_VALUE"""),"Bandra")</f>
        <v>Bandra</v>
      </c>
      <c r="E1121" s="14" t="str">
        <f>IFERROR(__xludf.DUMMYFUNCTION("""COMPUTED_VALUE"""),"Juice+2*Shine Thomas")</f>
        <v>Juice+2*Shine Thomas</v>
      </c>
      <c r="F1121" s="14">
        <f>IFERROR(__xludf.DUMMYFUNCTION("""COMPUTED_VALUE"""),1.0)</f>
        <v>1</v>
      </c>
      <c r="G1121" s="14">
        <f>IFERROR(__xludf.DUMMYFUNCTION("""COMPUTED_VALUE"""),15.0)</f>
        <v>15</v>
      </c>
      <c r="H1121" s="14">
        <f>IFERROR(__xludf.DUMMYFUNCTION("""COMPUTED_VALUE"""),2023.0)</f>
        <v>2023</v>
      </c>
      <c r="I1121" s="14" t="str">
        <f>IFERROR(__xludf.DUMMYFUNCTION("""COMPUTED_VALUE"""),"Credit Card")</f>
        <v>Credit Card</v>
      </c>
      <c r="J1121" s="14" t="str">
        <f>IFERROR(__xludf.DUMMYFUNCTION("""COMPUTED_VALUE"""),"Delivered*Overall Satisfaction: Great service will order again")</f>
        <v>Delivered*Overall Satisfaction: Great service will order again</v>
      </c>
      <c r="K1121" s="14" t="str">
        <f>IFERROR(__xludf.DUMMYFUNCTION("split(E1121,""+"")"),"Juice")</f>
        <v>Juice</v>
      </c>
      <c r="L1121" s="14" t="str">
        <f>IFERROR(__xludf.DUMMYFUNCTION("""COMPUTED_VALUE"""),"2*Shine Thomas")</f>
        <v>2*Shine Thomas</v>
      </c>
      <c r="M1121" s="14">
        <f>IFERROR(__xludf.DUMMYFUNCTION("SPLIT(L1121,""*"")"),2.0)</f>
        <v>2</v>
      </c>
      <c r="N1121" s="14" t="str">
        <f>IFERROR(__xludf.DUMMYFUNCTION("""COMPUTED_VALUE"""),"Shine Thomas")</f>
        <v>Shine Thomas</v>
      </c>
      <c r="O1121" s="14" t="str">
        <f>IFERROR(__xludf.DUMMYFUNCTION("split(J1121,""*"")"),"Delivered")</f>
        <v>Delivered</v>
      </c>
      <c r="P1121" s="14" t="str">
        <f>IFERROR(__xludf.DUMMYFUNCTION("""COMPUTED_VALUE"""),"Overall Satisfaction: Great service will order again")</f>
        <v>Overall Satisfaction: Great service will order again</v>
      </c>
      <c r="Q1121" s="14" t="str">
        <f>IFERROR(__xludf.DUMMYFUNCTION("split(P1121,"":"")"),"Overall Satisfaction")</f>
        <v>Overall Satisfaction</v>
      </c>
      <c r="R1121" s="14" t="str">
        <f>IFERROR(__xludf.DUMMYFUNCTION("""COMPUTED_VALUE""")," Great service will order again")</f>
        <v> Great service will order again</v>
      </c>
      <c r="S1121" s="14" t="str">
        <f t="shared" ref="S1121:U1121" si="2245">trim(B1121)</f>
        <v>ord_41099</v>
      </c>
      <c r="T1121" s="14" t="str">
        <f t="shared" si="2245"/>
        <v>Dev Chauhan</v>
      </c>
      <c r="U1121" s="14" t="str">
        <f t="shared" si="2245"/>
        <v>Bandra</v>
      </c>
      <c r="V1121" s="14" t="str">
        <f t="shared" si="4"/>
        <v>Juice</v>
      </c>
      <c r="W1121" s="14">
        <f t="shared" si="5"/>
        <v>2</v>
      </c>
      <c r="X1121" s="14" t="str">
        <f t="shared" si="6"/>
        <v>Shine Thomas</v>
      </c>
      <c r="Y1121" s="15">
        <f t="shared" si="7"/>
        <v>44941</v>
      </c>
      <c r="Z1121" s="14" t="str">
        <f t="shared" si="8"/>
        <v>Credit Card</v>
      </c>
      <c r="AA1121" s="14" t="str">
        <f t="shared" si="9"/>
        <v>Delivered</v>
      </c>
      <c r="AB1121" s="14" t="str">
        <f t="shared" ref="AB1121:AC1121" si="2246">trim(Q1121)</f>
        <v>Overall Satisfaction</v>
      </c>
      <c r="AC1121" s="14" t="str">
        <f t="shared" si="2246"/>
        <v>Great service will order again</v>
      </c>
      <c r="AD1121" s="8"/>
    </row>
    <row r="1122">
      <c r="A1122" s="14" t="str">
        <f>IFERROR(__xludf.DUMMYFUNCTION("""COMPUTED_VALUE"""),"//ord_41100//Mehul Thakkar//Malad//Chocolate Mousse+1*Not Assigned/6/13/2023//Credit Card//Cancelled*Out of Stock")</f>
        <v>//ord_41100//Mehul Thakkar//Malad//Chocolate Mousse+1*Not Assigned/6/13/2023//Credit Card//Cancelled*Out of Stock</v>
      </c>
      <c r="B1122" s="14" t="str">
        <f>IFERROR(__xludf.DUMMYFUNCTION("split(A1122,""//"")"),"ord_41100")</f>
        <v>ord_41100</v>
      </c>
      <c r="C1122" s="14" t="str">
        <f>IFERROR(__xludf.DUMMYFUNCTION("""COMPUTED_VALUE"""),"Mehul Thakkar")</f>
        <v>Mehul Thakkar</v>
      </c>
      <c r="D1122" s="14" t="str">
        <f>IFERROR(__xludf.DUMMYFUNCTION("""COMPUTED_VALUE"""),"Malad")</f>
        <v>Malad</v>
      </c>
      <c r="E1122" s="14" t="str">
        <f>IFERROR(__xludf.DUMMYFUNCTION("""COMPUTED_VALUE"""),"Chocolate Mousse+1*Not Assigned")</f>
        <v>Chocolate Mousse+1*Not Assigned</v>
      </c>
      <c r="F1122" s="14">
        <f>IFERROR(__xludf.DUMMYFUNCTION("""COMPUTED_VALUE"""),6.0)</f>
        <v>6</v>
      </c>
      <c r="G1122" s="14">
        <f>IFERROR(__xludf.DUMMYFUNCTION("""COMPUTED_VALUE"""),13.0)</f>
        <v>13</v>
      </c>
      <c r="H1122" s="14">
        <f>IFERROR(__xludf.DUMMYFUNCTION("""COMPUTED_VALUE"""),2023.0)</f>
        <v>2023</v>
      </c>
      <c r="I1122" s="14" t="str">
        <f>IFERROR(__xludf.DUMMYFUNCTION("""COMPUTED_VALUE"""),"Credit Card")</f>
        <v>Credit Card</v>
      </c>
      <c r="J1122" s="14" t="str">
        <f>IFERROR(__xludf.DUMMYFUNCTION("""COMPUTED_VALUE"""),"Cancelled*Out of Stock")</f>
        <v>Cancelled*Out of Stock</v>
      </c>
      <c r="K1122" s="14" t="str">
        <f>IFERROR(__xludf.DUMMYFUNCTION("split(E1122,""+"")"),"Chocolate Mousse")</f>
        <v>Chocolate Mousse</v>
      </c>
      <c r="L1122" s="14" t="str">
        <f>IFERROR(__xludf.DUMMYFUNCTION("""COMPUTED_VALUE"""),"1*Not Assigned")</f>
        <v>1*Not Assigned</v>
      </c>
      <c r="M1122" s="14">
        <f>IFERROR(__xludf.DUMMYFUNCTION("SPLIT(L1122,""*"")"),1.0)</f>
        <v>1</v>
      </c>
      <c r="N1122" s="14" t="str">
        <f>IFERROR(__xludf.DUMMYFUNCTION("""COMPUTED_VALUE"""),"Not Assigned")</f>
        <v>Not Assigned</v>
      </c>
      <c r="O1122" s="14" t="str">
        <f>IFERROR(__xludf.DUMMYFUNCTION("split(J1122,""*"")"),"Cancelled")</f>
        <v>Cancelled</v>
      </c>
      <c r="P1122" s="14" t="str">
        <f>IFERROR(__xludf.DUMMYFUNCTION("""COMPUTED_VALUE"""),"Out of Stock")</f>
        <v>Out of Stock</v>
      </c>
      <c r="Q1122" s="14" t="str">
        <f>IFERROR(__xludf.DUMMYFUNCTION("split(P1122,"":"")"),"Out of Stock")</f>
        <v>Out of Stock</v>
      </c>
      <c r="R1122" s="14"/>
      <c r="S1122" s="14" t="str">
        <f t="shared" ref="S1122:U1122" si="2247">trim(B1122)</f>
        <v>ord_41100</v>
      </c>
      <c r="T1122" s="14" t="str">
        <f t="shared" si="2247"/>
        <v>Mehul Thakkar</v>
      </c>
      <c r="U1122" s="14" t="str">
        <f t="shared" si="2247"/>
        <v>Malad</v>
      </c>
      <c r="V1122" s="14" t="str">
        <f t="shared" si="4"/>
        <v>Chocolate Mousse</v>
      </c>
      <c r="W1122" s="14">
        <f t="shared" si="5"/>
        <v>1</v>
      </c>
      <c r="X1122" s="14" t="str">
        <f t="shared" si="6"/>
        <v>Not Assigned</v>
      </c>
      <c r="Y1122" s="15">
        <f t="shared" si="7"/>
        <v>45090</v>
      </c>
      <c r="Z1122" s="14" t="str">
        <f t="shared" si="8"/>
        <v>Credit Card</v>
      </c>
      <c r="AA1122" s="14" t="str">
        <f t="shared" si="9"/>
        <v>Cancelled</v>
      </c>
      <c r="AB1122" s="14" t="str">
        <f t="shared" ref="AB1122:AC1122" si="2248">trim(Q1122)</f>
        <v>Out of Stock</v>
      </c>
      <c r="AC1122" s="14" t="str">
        <f t="shared" si="2248"/>
        <v/>
      </c>
      <c r="AD1122" s="8"/>
    </row>
    <row r="1123">
      <c r="A1123" s="14" t="str">
        <f>IFERROR(__xludf.DUMMYFUNCTION("""COMPUTED_VALUE"""),"//ord_41101//Ishaan Chaturvedi//Bandra//Guava+1*Shine Thomas/9/9/2023//UPI//Delivered*On-time Delivery: Delivered on time")</f>
        <v>//ord_41101//Ishaan Chaturvedi//Bandra//Guava+1*Shine Thomas/9/9/2023//UPI//Delivered*On-time Delivery: Delivered on time</v>
      </c>
      <c r="B1123" s="14" t="str">
        <f>IFERROR(__xludf.DUMMYFUNCTION("split(A1123,""//"")"),"ord_41101")</f>
        <v>ord_41101</v>
      </c>
      <c r="C1123" s="14" t="str">
        <f>IFERROR(__xludf.DUMMYFUNCTION("""COMPUTED_VALUE"""),"Ishaan Chaturvedi")</f>
        <v>Ishaan Chaturvedi</v>
      </c>
      <c r="D1123" s="14" t="str">
        <f>IFERROR(__xludf.DUMMYFUNCTION("""COMPUTED_VALUE"""),"Bandra")</f>
        <v>Bandra</v>
      </c>
      <c r="E1123" s="14" t="str">
        <f>IFERROR(__xludf.DUMMYFUNCTION("""COMPUTED_VALUE"""),"Guava+1*Shine Thomas")</f>
        <v>Guava+1*Shine Thomas</v>
      </c>
      <c r="F1123" s="14">
        <f>IFERROR(__xludf.DUMMYFUNCTION("""COMPUTED_VALUE"""),9.0)</f>
        <v>9</v>
      </c>
      <c r="G1123" s="14">
        <f>IFERROR(__xludf.DUMMYFUNCTION("""COMPUTED_VALUE"""),9.0)</f>
        <v>9</v>
      </c>
      <c r="H1123" s="14">
        <f>IFERROR(__xludf.DUMMYFUNCTION("""COMPUTED_VALUE"""),2023.0)</f>
        <v>2023</v>
      </c>
      <c r="I1123" s="14" t="str">
        <f>IFERROR(__xludf.DUMMYFUNCTION("""COMPUTED_VALUE"""),"UPI")</f>
        <v>UPI</v>
      </c>
      <c r="J1123" s="14" t="str">
        <f>IFERROR(__xludf.DUMMYFUNCTION("""COMPUTED_VALUE"""),"Delivered*On-time Delivery: Delivered on time")</f>
        <v>Delivered*On-time Delivery: Delivered on time</v>
      </c>
      <c r="K1123" s="14" t="str">
        <f>IFERROR(__xludf.DUMMYFUNCTION("split(E1123,""+"")"),"Guava")</f>
        <v>Guava</v>
      </c>
      <c r="L1123" s="14" t="str">
        <f>IFERROR(__xludf.DUMMYFUNCTION("""COMPUTED_VALUE"""),"1*Shine Thomas")</f>
        <v>1*Shine Thomas</v>
      </c>
      <c r="M1123" s="14">
        <f>IFERROR(__xludf.DUMMYFUNCTION("SPLIT(L1123,""*"")"),1.0)</f>
        <v>1</v>
      </c>
      <c r="N1123" s="14" t="str">
        <f>IFERROR(__xludf.DUMMYFUNCTION("""COMPUTED_VALUE"""),"Shine Thomas")</f>
        <v>Shine Thomas</v>
      </c>
      <c r="O1123" s="14" t="str">
        <f>IFERROR(__xludf.DUMMYFUNCTION("split(J1123,""*"")"),"Delivered")</f>
        <v>Delivered</v>
      </c>
      <c r="P1123" s="14" t="str">
        <f>IFERROR(__xludf.DUMMYFUNCTION("""COMPUTED_VALUE"""),"On-time Delivery: Delivered on time")</f>
        <v>On-time Delivery: Delivered on time</v>
      </c>
      <c r="Q1123" s="14" t="str">
        <f>IFERROR(__xludf.DUMMYFUNCTION("split(P1123,"":"")"),"On-time Delivery")</f>
        <v>On-time Delivery</v>
      </c>
      <c r="R1123" s="14" t="str">
        <f>IFERROR(__xludf.DUMMYFUNCTION("""COMPUTED_VALUE""")," Delivered on time")</f>
        <v> Delivered on time</v>
      </c>
      <c r="S1123" s="14" t="str">
        <f t="shared" ref="S1123:U1123" si="2249">trim(B1123)</f>
        <v>ord_41101</v>
      </c>
      <c r="T1123" s="14" t="str">
        <f t="shared" si="2249"/>
        <v>Ishaan Chaturvedi</v>
      </c>
      <c r="U1123" s="14" t="str">
        <f t="shared" si="2249"/>
        <v>Bandra</v>
      </c>
      <c r="V1123" s="14" t="str">
        <f t="shared" si="4"/>
        <v>Guava</v>
      </c>
      <c r="W1123" s="14">
        <f t="shared" si="5"/>
        <v>1</v>
      </c>
      <c r="X1123" s="14" t="str">
        <f t="shared" si="6"/>
        <v>Shine Thomas</v>
      </c>
      <c r="Y1123" s="15">
        <f t="shared" si="7"/>
        <v>45178</v>
      </c>
      <c r="Z1123" s="14" t="str">
        <f t="shared" si="8"/>
        <v>UPI</v>
      </c>
      <c r="AA1123" s="14" t="str">
        <f t="shared" si="9"/>
        <v>Delivered</v>
      </c>
      <c r="AB1123" s="14" t="str">
        <f t="shared" ref="AB1123:AC1123" si="2250">trim(Q1123)</f>
        <v>On-time Delivery</v>
      </c>
      <c r="AC1123" s="14" t="str">
        <f t="shared" si="2250"/>
        <v>Delivered on time</v>
      </c>
      <c r="AD1123" s="8"/>
    </row>
    <row r="1124">
      <c r="A1124" s="14" t="str">
        <f>IFERROR(__xludf.DUMMYFUNCTION("""COMPUTED_VALUE"""),"//ord_41102//Sanjay Nair//Dadar//Chocolate Mousse+4*Vivek Kumar/12/17/2023//COD//Delivered*Quality of Items: Perfect condition")</f>
        <v>//ord_41102//Sanjay Nair//Dadar//Chocolate Mousse+4*Vivek Kumar/12/17/2023//COD//Delivered*Quality of Items: Perfect condition</v>
      </c>
      <c r="B1124" s="14" t="str">
        <f>IFERROR(__xludf.DUMMYFUNCTION("split(A1124,""//"")"),"ord_41102")</f>
        <v>ord_41102</v>
      </c>
      <c r="C1124" s="14" t="str">
        <f>IFERROR(__xludf.DUMMYFUNCTION("""COMPUTED_VALUE"""),"Sanjay Nair")</f>
        <v>Sanjay Nair</v>
      </c>
      <c r="D1124" s="14" t="str">
        <f>IFERROR(__xludf.DUMMYFUNCTION("""COMPUTED_VALUE"""),"Dadar")</f>
        <v>Dadar</v>
      </c>
      <c r="E1124" s="14" t="str">
        <f>IFERROR(__xludf.DUMMYFUNCTION("""COMPUTED_VALUE"""),"Chocolate Mousse+4*Vivek Kumar")</f>
        <v>Chocolate Mousse+4*Vivek Kumar</v>
      </c>
      <c r="F1124" s="14">
        <f>IFERROR(__xludf.DUMMYFUNCTION("""COMPUTED_VALUE"""),12.0)</f>
        <v>12</v>
      </c>
      <c r="G1124" s="14">
        <f>IFERROR(__xludf.DUMMYFUNCTION("""COMPUTED_VALUE"""),17.0)</f>
        <v>17</v>
      </c>
      <c r="H1124" s="14">
        <f>IFERROR(__xludf.DUMMYFUNCTION("""COMPUTED_VALUE"""),2023.0)</f>
        <v>2023</v>
      </c>
      <c r="I1124" s="14" t="str">
        <f>IFERROR(__xludf.DUMMYFUNCTION("""COMPUTED_VALUE"""),"COD")</f>
        <v>COD</v>
      </c>
      <c r="J1124" s="14" t="str">
        <f>IFERROR(__xludf.DUMMYFUNCTION("""COMPUTED_VALUE"""),"Delivered*Quality of Items: Perfect condition")</f>
        <v>Delivered*Quality of Items: Perfect condition</v>
      </c>
      <c r="K1124" s="14" t="str">
        <f>IFERROR(__xludf.DUMMYFUNCTION("split(E1124,""+"")"),"Chocolate Mousse")</f>
        <v>Chocolate Mousse</v>
      </c>
      <c r="L1124" s="14" t="str">
        <f>IFERROR(__xludf.DUMMYFUNCTION("""COMPUTED_VALUE"""),"4*Vivek Kumar")</f>
        <v>4*Vivek Kumar</v>
      </c>
      <c r="M1124" s="14">
        <f>IFERROR(__xludf.DUMMYFUNCTION("SPLIT(L1124,""*"")"),4.0)</f>
        <v>4</v>
      </c>
      <c r="N1124" s="14" t="str">
        <f>IFERROR(__xludf.DUMMYFUNCTION("""COMPUTED_VALUE"""),"Vivek Kumar")</f>
        <v>Vivek Kumar</v>
      </c>
      <c r="O1124" s="14" t="str">
        <f>IFERROR(__xludf.DUMMYFUNCTION("split(J1124,""*"")"),"Delivered")</f>
        <v>Delivered</v>
      </c>
      <c r="P1124" s="14" t="str">
        <f>IFERROR(__xludf.DUMMYFUNCTION("""COMPUTED_VALUE"""),"Quality of Items: Perfect condition")</f>
        <v>Quality of Items: Perfect condition</v>
      </c>
      <c r="Q1124" s="14" t="str">
        <f>IFERROR(__xludf.DUMMYFUNCTION("split(P1124,"":"")"),"Quality of Items")</f>
        <v>Quality of Items</v>
      </c>
      <c r="R1124" s="14" t="str">
        <f>IFERROR(__xludf.DUMMYFUNCTION("""COMPUTED_VALUE""")," Perfect condition")</f>
        <v> Perfect condition</v>
      </c>
      <c r="S1124" s="14" t="str">
        <f t="shared" ref="S1124:U1124" si="2251">trim(B1124)</f>
        <v>ord_41102</v>
      </c>
      <c r="T1124" s="14" t="str">
        <f t="shared" si="2251"/>
        <v>Sanjay Nair</v>
      </c>
      <c r="U1124" s="14" t="str">
        <f t="shared" si="2251"/>
        <v>Dadar</v>
      </c>
      <c r="V1124" s="14" t="str">
        <f t="shared" si="4"/>
        <v>Chocolate Mousse</v>
      </c>
      <c r="W1124" s="14">
        <f t="shared" si="5"/>
        <v>4</v>
      </c>
      <c r="X1124" s="14" t="str">
        <f t="shared" si="6"/>
        <v>Vivek Kumar</v>
      </c>
      <c r="Y1124" s="15">
        <f t="shared" si="7"/>
        <v>45277</v>
      </c>
      <c r="Z1124" s="14" t="str">
        <f t="shared" si="8"/>
        <v>COD</v>
      </c>
      <c r="AA1124" s="14" t="str">
        <f t="shared" si="9"/>
        <v>Delivered</v>
      </c>
      <c r="AB1124" s="14" t="str">
        <f t="shared" ref="AB1124:AC1124" si="2252">trim(Q1124)</f>
        <v>Quality of Items</v>
      </c>
      <c r="AC1124" s="14" t="str">
        <f t="shared" si="2252"/>
        <v>Perfect condition</v>
      </c>
      <c r="AD1124" s="8"/>
    </row>
    <row r="1125">
      <c r="A1125" s="14" t="str">
        <f>IFERROR(__xludf.DUMMYFUNCTION("""COMPUTED_VALUE"""),"//ord_41103//Diya Arora//Lower Parel//Apple+1*Manju Ajay/1/13/2023//COD//Delivered*On-time Delivery: Delivered on time")</f>
        <v>//ord_41103//Diya Arora//Lower Parel//Apple+1*Manju Ajay/1/13/2023//COD//Delivered*On-time Delivery: Delivered on time</v>
      </c>
      <c r="B1125" s="14" t="str">
        <f>IFERROR(__xludf.DUMMYFUNCTION("split(A1125,""//"")"),"ord_41103")</f>
        <v>ord_41103</v>
      </c>
      <c r="C1125" s="14" t="str">
        <f>IFERROR(__xludf.DUMMYFUNCTION("""COMPUTED_VALUE"""),"Diya Arora")</f>
        <v>Diya Arora</v>
      </c>
      <c r="D1125" s="14" t="str">
        <f>IFERROR(__xludf.DUMMYFUNCTION("""COMPUTED_VALUE"""),"Lower Parel")</f>
        <v>Lower Parel</v>
      </c>
      <c r="E1125" s="14" t="str">
        <f>IFERROR(__xludf.DUMMYFUNCTION("""COMPUTED_VALUE"""),"Apple+1*Manju Ajay")</f>
        <v>Apple+1*Manju Ajay</v>
      </c>
      <c r="F1125" s="14">
        <f>IFERROR(__xludf.DUMMYFUNCTION("""COMPUTED_VALUE"""),1.0)</f>
        <v>1</v>
      </c>
      <c r="G1125" s="14">
        <f>IFERROR(__xludf.DUMMYFUNCTION("""COMPUTED_VALUE"""),13.0)</f>
        <v>13</v>
      </c>
      <c r="H1125" s="14">
        <f>IFERROR(__xludf.DUMMYFUNCTION("""COMPUTED_VALUE"""),2023.0)</f>
        <v>2023</v>
      </c>
      <c r="I1125" s="14" t="str">
        <f>IFERROR(__xludf.DUMMYFUNCTION("""COMPUTED_VALUE"""),"COD")</f>
        <v>COD</v>
      </c>
      <c r="J1125" s="14" t="str">
        <f>IFERROR(__xludf.DUMMYFUNCTION("""COMPUTED_VALUE"""),"Delivered*On-time Delivery: Delivered on time")</f>
        <v>Delivered*On-time Delivery: Delivered on time</v>
      </c>
      <c r="K1125" s="14" t="str">
        <f>IFERROR(__xludf.DUMMYFUNCTION("split(E1125,""+"")"),"Apple")</f>
        <v>Apple</v>
      </c>
      <c r="L1125" s="14" t="str">
        <f>IFERROR(__xludf.DUMMYFUNCTION("""COMPUTED_VALUE"""),"1*Manju Ajay")</f>
        <v>1*Manju Ajay</v>
      </c>
      <c r="M1125" s="14">
        <f>IFERROR(__xludf.DUMMYFUNCTION("SPLIT(L1125,""*"")"),1.0)</f>
        <v>1</v>
      </c>
      <c r="N1125" s="14" t="str">
        <f>IFERROR(__xludf.DUMMYFUNCTION("""COMPUTED_VALUE"""),"Manju Ajay")</f>
        <v>Manju Ajay</v>
      </c>
      <c r="O1125" s="14" t="str">
        <f>IFERROR(__xludf.DUMMYFUNCTION("split(J1125,""*"")"),"Delivered")</f>
        <v>Delivered</v>
      </c>
      <c r="P1125" s="14" t="str">
        <f>IFERROR(__xludf.DUMMYFUNCTION("""COMPUTED_VALUE"""),"On-time Delivery: Delivered on time")</f>
        <v>On-time Delivery: Delivered on time</v>
      </c>
      <c r="Q1125" s="14" t="str">
        <f>IFERROR(__xludf.DUMMYFUNCTION("split(P1125,"":"")"),"On-time Delivery")</f>
        <v>On-time Delivery</v>
      </c>
      <c r="R1125" s="14" t="str">
        <f>IFERROR(__xludf.DUMMYFUNCTION("""COMPUTED_VALUE""")," Delivered on time")</f>
        <v> Delivered on time</v>
      </c>
      <c r="S1125" s="14" t="str">
        <f t="shared" ref="S1125:U1125" si="2253">trim(B1125)</f>
        <v>ord_41103</v>
      </c>
      <c r="T1125" s="14" t="str">
        <f t="shared" si="2253"/>
        <v>Diya Arora</v>
      </c>
      <c r="U1125" s="14" t="str">
        <f t="shared" si="2253"/>
        <v>Lower Parel</v>
      </c>
      <c r="V1125" s="14" t="str">
        <f t="shared" si="4"/>
        <v>Apple</v>
      </c>
      <c r="W1125" s="14">
        <f t="shared" si="5"/>
        <v>1</v>
      </c>
      <c r="X1125" s="14" t="str">
        <f t="shared" si="6"/>
        <v>Manju Ajay</v>
      </c>
      <c r="Y1125" s="15">
        <f t="shared" si="7"/>
        <v>44939</v>
      </c>
      <c r="Z1125" s="14" t="str">
        <f t="shared" si="8"/>
        <v>COD</v>
      </c>
      <c r="AA1125" s="14" t="str">
        <f t="shared" si="9"/>
        <v>Delivered</v>
      </c>
      <c r="AB1125" s="14" t="str">
        <f t="shared" ref="AB1125:AC1125" si="2254">trim(Q1125)</f>
        <v>On-time Delivery</v>
      </c>
      <c r="AC1125" s="14" t="str">
        <f t="shared" si="2254"/>
        <v>Delivered on time</v>
      </c>
      <c r="AD1125" s="8"/>
    </row>
    <row r="1126">
      <c r="A1126" s="14" t="str">
        <f>IFERROR(__xludf.DUMMYFUNCTION("""COMPUTED_VALUE"""),"//ord_41104//Kritika Shetty//Malad//Onion+1*Not Assigned/10/27/2023//UPI//Cancelled*App Glitches:Slow Loading Time")</f>
        <v>//ord_41104//Kritika Shetty//Malad//Onion+1*Not Assigned/10/27/2023//UPI//Cancelled*App Glitches:Slow Loading Time</v>
      </c>
      <c r="B1126" s="14" t="str">
        <f>IFERROR(__xludf.DUMMYFUNCTION("split(A1126,""//"")"),"ord_41104")</f>
        <v>ord_41104</v>
      </c>
      <c r="C1126" s="14" t="str">
        <f>IFERROR(__xludf.DUMMYFUNCTION("""COMPUTED_VALUE"""),"Kritika Shetty")</f>
        <v>Kritika Shetty</v>
      </c>
      <c r="D1126" s="14" t="str">
        <f>IFERROR(__xludf.DUMMYFUNCTION("""COMPUTED_VALUE"""),"Malad")</f>
        <v>Malad</v>
      </c>
      <c r="E1126" s="14" t="str">
        <f>IFERROR(__xludf.DUMMYFUNCTION("""COMPUTED_VALUE"""),"Onion+1*Not Assigned")</f>
        <v>Onion+1*Not Assigned</v>
      </c>
      <c r="F1126" s="14">
        <f>IFERROR(__xludf.DUMMYFUNCTION("""COMPUTED_VALUE"""),10.0)</f>
        <v>10</v>
      </c>
      <c r="G1126" s="14">
        <f>IFERROR(__xludf.DUMMYFUNCTION("""COMPUTED_VALUE"""),27.0)</f>
        <v>27</v>
      </c>
      <c r="H1126" s="14">
        <f>IFERROR(__xludf.DUMMYFUNCTION("""COMPUTED_VALUE"""),2023.0)</f>
        <v>2023</v>
      </c>
      <c r="I1126" s="14" t="str">
        <f>IFERROR(__xludf.DUMMYFUNCTION("""COMPUTED_VALUE"""),"UPI")</f>
        <v>UPI</v>
      </c>
      <c r="J1126" s="14" t="str">
        <f>IFERROR(__xludf.DUMMYFUNCTION("""COMPUTED_VALUE"""),"Cancelled*App Glitches:Slow Loading Time")</f>
        <v>Cancelled*App Glitches:Slow Loading Time</v>
      </c>
      <c r="K1126" s="14" t="str">
        <f>IFERROR(__xludf.DUMMYFUNCTION("split(E1126,""+"")"),"Onion")</f>
        <v>Onion</v>
      </c>
      <c r="L1126" s="14" t="str">
        <f>IFERROR(__xludf.DUMMYFUNCTION("""COMPUTED_VALUE"""),"1*Not Assigned")</f>
        <v>1*Not Assigned</v>
      </c>
      <c r="M1126" s="14">
        <f>IFERROR(__xludf.DUMMYFUNCTION("SPLIT(L1126,""*"")"),1.0)</f>
        <v>1</v>
      </c>
      <c r="N1126" s="14" t="str">
        <f>IFERROR(__xludf.DUMMYFUNCTION("""COMPUTED_VALUE"""),"Not Assigned")</f>
        <v>Not Assigned</v>
      </c>
      <c r="O1126" s="14" t="str">
        <f>IFERROR(__xludf.DUMMYFUNCTION("split(J1126,""*"")"),"Cancelled")</f>
        <v>Cancelled</v>
      </c>
      <c r="P1126" s="14" t="str">
        <f>IFERROR(__xludf.DUMMYFUNCTION("""COMPUTED_VALUE"""),"App Glitches:Slow Loading Time")</f>
        <v>App Glitches:Slow Loading Time</v>
      </c>
      <c r="Q1126" s="14" t="str">
        <f>IFERROR(__xludf.DUMMYFUNCTION("split(P1126,"":"")"),"App Glitches")</f>
        <v>App Glitches</v>
      </c>
      <c r="R1126" s="14" t="str">
        <f>IFERROR(__xludf.DUMMYFUNCTION("""COMPUTED_VALUE"""),"Slow Loading Time")</f>
        <v>Slow Loading Time</v>
      </c>
      <c r="S1126" s="14" t="str">
        <f t="shared" ref="S1126:U1126" si="2255">trim(B1126)</f>
        <v>ord_41104</v>
      </c>
      <c r="T1126" s="14" t="str">
        <f t="shared" si="2255"/>
        <v>Kritika Shetty</v>
      </c>
      <c r="U1126" s="14" t="str">
        <f t="shared" si="2255"/>
        <v>Malad</v>
      </c>
      <c r="V1126" s="14" t="str">
        <f t="shared" si="4"/>
        <v>Onion</v>
      </c>
      <c r="W1126" s="14">
        <f t="shared" si="5"/>
        <v>1</v>
      </c>
      <c r="X1126" s="14" t="str">
        <f t="shared" si="6"/>
        <v>Not Assigned</v>
      </c>
      <c r="Y1126" s="15">
        <f t="shared" si="7"/>
        <v>45226</v>
      </c>
      <c r="Z1126" s="14" t="str">
        <f t="shared" si="8"/>
        <v>UPI</v>
      </c>
      <c r="AA1126" s="14" t="str">
        <f t="shared" si="9"/>
        <v>Cancelled</v>
      </c>
      <c r="AB1126" s="14" t="str">
        <f t="shared" ref="AB1126:AC1126" si="2256">trim(Q1126)</f>
        <v>App Glitches</v>
      </c>
      <c r="AC1126" s="14" t="str">
        <f t="shared" si="2256"/>
        <v>Slow Loading Time</v>
      </c>
      <c r="AD1126" s="8"/>
    </row>
    <row r="1127">
      <c r="A1127" s="14" t="str">
        <f>IFERROR(__xludf.DUMMYFUNCTION("""COMPUTED_VALUE"""),"//ord_41105//Parth Goel//Juhu//Potato+2*Shine Thomas/2/5/2023//COD//Delivered*Quality of Items: Perfect condition")</f>
        <v>//ord_41105//Parth Goel//Juhu//Potato+2*Shine Thomas/2/5/2023//COD//Delivered*Quality of Items: Perfect condition</v>
      </c>
      <c r="B1127" s="14" t="str">
        <f>IFERROR(__xludf.DUMMYFUNCTION("split(A1127,""//"")"),"ord_41105")</f>
        <v>ord_41105</v>
      </c>
      <c r="C1127" s="14" t="str">
        <f>IFERROR(__xludf.DUMMYFUNCTION("""COMPUTED_VALUE"""),"Parth Goel")</f>
        <v>Parth Goel</v>
      </c>
      <c r="D1127" s="14" t="str">
        <f>IFERROR(__xludf.DUMMYFUNCTION("""COMPUTED_VALUE"""),"Juhu")</f>
        <v>Juhu</v>
      </c>
      <c r="E1127" s="14" t="str">
        <f>IFERROR(__xludf.DUMMYFUNCTION("""COMPUTED_VALUE"""),"Potato+2*Shine Thomas")</f>
        <v>Potato+2*Shine Thomas</v>
      </c>
      <c r="F1127" s="14">
        <f>IFERROR(__xludf.DUMMYFUNCTION("""COMPUTED_VALUE"""),2.0)</f>
        <v>2</v>
      </c>
      <c r="G1127" s="14">
        <f>IFERROR(__xludf.DUMMYFUNCTION("""COMPUTED_VALUE"""),5.0)</f>
        <v>5</v>
      </c>
      <c r="H1127" s="14">
        <f>IFERROR(__xludf.DUMMYFUNCTION("""COMPUTED_VALUE"""),2023.0)</f>
        <v>2023</v>
      </c>
      <c r="I1127" s="14" t="str">
        <f>IFERROR(__xludf.DUMMYFUNCTION("""COMPUTED_VALUE"""),"COD")</f>
        <v>COD</v>
      </c>
      <c r="J1127" s="14" t="str">
        <f>IFERROR(__xludf.DUMMYFUNCTION("""COMPUTED_VALUE"""),"Delivered*Quality of Items: Perfect condition")</f>
        <v>Delivered*Quality of Items: Perfect condition</v>
      </c>
      <c r="K1127" s="14" t="str">
        <f>IFERROR(__xludf.DUMMYFUNCTION("split(E1127,""+"")"),"Potato")</f>
        <v>Potato</v>
      </c>
      <c r="L1127" s="14" t="str">
        <f>IFERROR(__xludf.DUMMYFUNCTION("""COMPUTED_VALUE"""),"2*Shine Thomas")</f>
        <v>2*Shine Thomas</v>
      </c>
      <c r="M1127" s="14">
        <f>IFERROR(__xludf.DUMMYFUNCTION("SPLIT(L1127,""*"")"),2.0)</f>
        <v>2</v>
      </c>
      <c r="N1127" s="14" t="str">
        <f>IFERROR(__xludf.DUMMYFUNCTION("""COMPUTED_VALUE"""),"Shine Thomas")</f>
        <v>Shine Thomas</v>
      </c>
      <c r="O1127" s="14" t="str">
        <f>IFERROR(__xludf.DUMMYFUNCTION("split(J1127,""*"")"),"Delivered")</f>
        <v>Delivered</v>
      </c>
      <c r="P1127" s="14" t="str">
        <f>IFERROR(__xludf.DUMMYFUNCTION("""COMPUTED_VALUE"""),"Quality of Items: Perfect condition")</f>
        <v>Quality of Items: Perfect condition</v>
      </c>
      <c r="Q1127" s="14" t="str">
        <f>IFERROR(__xludf.DUMMYFUNCTION("split(P1127,"":"")"),"Quality of Items")</f>
        <v>Quality of Items</v>
      </c>
      <c r="R1127" s="14" t="str">
        <f>IFERROR(__xludf.DUMMYFUNCTION("""COMPUTED_VALUE""")," Perfect condition")</f>
        <v> Perfect condition</v>
      </c>
      <c r="S1127" s="14" t="str">
        <f t="shared" ref="S1127:U1127" si="2257">trim(B1127)</f>
        <v>ord_41105</v>
      </c>
      <c r="T1127" s="14" t="str">
        <f t="shared" si="2257"/>
        <v>Parth Goel</v>
      </c>
      <c r="U1127" s="14" t="str">
        <f t="shared" si="2257"/>
        <v>Juhu</v>
      </c>
      <c r="V1127" s="14" t="str">
        <f t="shared" si="4"/>
        <v>Potato</v>
      </c>
      <c r="W1127" s="14">
        <f t="shared" si="5"/>
        <v>2</v>
      </c>
      <c r="X1127" s="14" t="str">
        <f t="shared" si="6"/>
        <v>Shine Thomas</v>
      </c>
      <c r="Y1127" s="15">
        <f t="shared" si="7"/>
        <v>44962</v>
      </c>
      <c r="Z1127" s="14" t="str">
        <f t="shared" si="8"/>
        <v>COD</v>
      </c>
      <c r="AA1127" s="14" t="str">
        <f t="shared" si="9"/>
        <v>Delivered</v>
      </c>
      <c r="AB1127" s="14" t="str">
        <f t="shared" ref="AB1127:AC1127" si="2258">trim(Q1127)</f>
        <v>Quality of Items</v>
      </c>
      <c r="AC1127" s="14" t="str">
        <f t="shared" si="2258"/>
        <v>Perfect condition</v>
      </c>
      <c r="AD1127" s="8"/>
    </row>
    <row r="1128">
      <c r="A1128" s="14" t="str">
        <f>IFERROR(__xludf.DUMMYFUNCTION("""COMPUTED_VALUE"""),"//ord_41106//Pallavi Ghosh//Bandra//Veg Puff+1*Ramesh S/2/12/2023//Credit Card//Delivered*Packaging: Secure and intact")</f>
        <v>//ord_41106//Pallavi Ghosh//Bandra//Veg Puff+1*Ramesh S/2/12/2023//Credit Card//Delivered*Packaging: Secure and intact</v>
      </c>
      <c r="B1128" s="14" t="str">
        <f>IFERROR(__xludf.DUMMYFUNCTION("split(A1128,""//"")"),"ord_41106")</f>
        <v>ord_41106</v>
      </c>
      <c r="C1128" s="14" t="str">
        <f>IFERROR(__xludf.DUMMYFUNCTION("""COMPUTED_VALUE"""),"Pallavi Ghosh")</f>
        <v>Pallavi Ghosh</v>
      </c>
      <c r="D1128" s="14" t="str">
        <f>IFERROR(__xludf.DUMMYFUNCTION("""COMPUTED_VALUE"""),"Bandra")</f>
        <v>Bandra</v>
      </c>
      <c r="E1128" s="14" t="str">
        <f>IFERROR(__xludf.DUMMYFUNCTION("""COMPUTED_VALUE"""),"Veg Puff+1*Ramesh S")</f>
        <v>Veg Puff+1*Ramesh S</v>
      </c>
      <c r="F1128" s="14">
        <f>IFERROR(__xludf.DUMMYFUNCTION("""COMPUTED_VALUE"""),2.0)</f>
        <v>2</v>
      </c>
      <c r="G1128" s="14">
        <f>IFERROR(__xludf.DUMMYFUNCTION("""COMPUTED_VALUE"""),12.0)</f>
        <v>12</v>
      </c>
      <c r="H1128" s="14">
        <f>IFERROR(__xludf.DUMMYFUNCTION("""COMPUTED_VALUE"""),2023.0)</f>
        <v>2023</v>
      </c>
      <c r="I1128" s="14" t="str">
        <f>IFERROR(__xludf.DUMMYFUNCTION("""COMPUTED_VALUE"""),"Credit Card")</f>
        <v>Credit Card</v>
      </c>
      <c r="J1128" s="14" t="str">
        <f>IFERROR(__xludf.DUMMYFUNCTION("""COMPUTED_VALUE"""),"Delivered*Packaging: Secure and intact")</f>
        <v>Delivered*Packaging: Secure and intact</v>
      </c>
      <c r="K1128" s="14" t="str">
        <f>IFERROR(__xludf.DUMMYFUNCTION("split(E1128,""+"")"),"Veg Puff")</f>
        <v>Veg Puff</v>
      </c>
      <c r="L1128" s="14" t="str">
        <f>IFERROR(__xludf.DUMMYFUNCTION("""COMPUTED_VALUE"""),"1*Ramesh S")</f>
        <v>1*Ramesh S</v>
      </c>
      <c r="M1128" s="14">
        <f>IFERROR(__xludf.DUMMYFUNCTION("SPLIT(L1128,""*"")"),1.0)</f>
        <v>1</v>
      </c>
      <c r="N1128" s="14" t="str">
        <f>IFERROR(__xludf.DUMMYFUNCTION("""COMPUTED_VALUE"""),"Ramesh S")</f>
        <v>Ramesh S</v>
      </c>
      <c r="O1128" s="14" t="str">
        <f>IFERROR(__xludf.DUMMYFUNCTION("split(J1128,""*"")"),"Delivered")</f>
        <v>Delivered</v>
      </c>
      <c r="P1128" s="14" t="str">
        <f>IFERROR(__xludf.DUMMYFUNCTION("""COMPUTED_VALUE"""),"Packaging: Secure and intact")</f>
        <v>Packaging: Secure and intact</v>
      </c>
      <c r="Q1128" s="14" t="str">
        <f>IFERROR(__xludf.DUMMYFUNCTION("split(P1128,"":"")"),"Packaging")</f>
        <v>Packaging</v>
      </c>
      <c r="R1128" s="14" t="str">
        <f>IFERROR(__xludf.DUMMYFUNCTION("""COMPUTED_VALUE""")," Secure and intact")</f>
        <v> Secure and intact</v>
      </c>
      <c r="S1128" s="14" t="str">
        <f t="shared" ref="S1128:U1128" si="2259">trim(B1128)</f>
        <v>ord_41106</v>
      </c>
      <c r="T1128" s="14" t="str">
        <f t="shared" si="2259"/>
        <v>Pallavi Ghosh</v>
      </c>
      <c r="U1128" s="14" t="str">
        <f t="shared" si="2259"/>
        <v>Bandra</v>
      </c>
      <c r="V1128" s="14" t="str">
        <f t="shared" si="4"/>
        <v>Veg Puff</v>
      </c>
      <c r="W1128" s="14">
        <f t="shared" si="5"/>
        <v>1</v>
      </c>
      <c r="X1128" s="14" t="str">
        <f t="shared" si="6"/>
        <v>Ramesh S</v>
      </c>
      <c r="Y1128" s="15">
        <f t="shared" si="7"/>
        <v>44969</v>
      </c>
      <c r="Z1128" s="14" t="str">
        <f t="shared" si="8"/>
        <v>Credit Card</v>
      </c>
      <c r="AA1128" s="14" t="str">
        <f t="shared" si="9"/>
        <v>Delivered</v>
      </c>
      <c r="AB1128" s="14" t="str">
        <f t="shared" ref="AB1128:AC1128" si="2260">trim(Q1128)</f>
        <v>Packaging</v>
      </c>
      <c r="AC1128" s="14" t="str">
        <f t="shared" si="2260"/>
        <v>Secure and intact</v>
      </c>
      <c r="AD1128" s="8"/>
    </row>
    <row r="1129">
      <c r="A1129" s="14" t="str">
        <f>IFERROR(__xludf.DUMMYFUNCTION("""COMPUTED_VALUE"""),"//ord_41107//Tanishq Bansal//Powai//Orange+1*Vivek Kumar/11/27/2023//Online Payment//Delivered*Satisfied with the Delivery: Timely and quality")</f>
        <v>//ord_41107//Tanishq Bansal//Powai//Orange+1*Vivek Kumar/11/27/2023//Online Payment//Delivered*Satisfied with the Delivery: Timely and quality</v>
      </c>
      <c r="B1129" s="14" t="str">
        <f>IFERROR(__xludf.DUMMYFUNCTION("split(A1129,""//"")"),"ord_41107")</f>
        <v>ord_41107</v>
      </c>
      <c r="C1129" s="14" t="str">
        <f>IFERROR(__xludf.DUMMYFUNCTION("""COMPUTED_VALUE"""),"Tanishq Bansal")</f>
        <v>Tanishq Bansal</v>
      </c>
      <c r="D1129" s="14" t="str">
        <f>IFERROR(__xludf.DUMMYFUNCTION("""COMPUTED_VALUE"""),"Powai")</f>
        <v>Powai</v>
      </c>
      <c r="E1129" s="14" t="str">
        <f>IFERROR(__xludf.DUMMYFUNCTION("""COMPUTED_VALUE"""),"Orange+1*Vivek Kumar")</f>
        <v>Orange+1*Vivek Kumar</v>
      </c>
      <c r="F1129" s="14">
        <f>IFERROR(__xludf.DUMMYFUNCTION("""COMPUTED_VALUE"""),11.0)</f>
        <v>11</v>
      </c>
      <c r="G1129" s="14">
        <f>IFERROR(__xludf.DUMMYFUNCTION("""COMPUTED_VALUE"""),27.0)</f>
        <v>27</v>
      </c>
      <c r="H1129" s="14">
        <f>IFERROR(__xludf.DUMMYFUNCTION("""COMPUTED_VALUE"""),2023.0)</f>
        <v>2023</v>
      </c>
      <c r="I1129" s="14" t="str">
        <f>IFERROR(__xludf.DUMMYFUNCTION("""COMPUTED_VALUE"""),"Online Payment")</f>
        <v>Online Payment</v>
      </c>
      <c r="J1129" s="14" t="str">
        <f>IFERROR(__xludf.DUMMYFUNCTION("""COMPUTED_VALUE"""),"Delivered*Satisfied with the Delivery: Timely and quality")</f>
        <v>Delivered*Satisfied with the Delivery: Timely and quality</v>
      </c>
      <c r="K1129" s="14" t="str">
        <f>IFERROR(__xludf.DUMMYFUNCTION("split(E1129,""+"")"),"Orange")</f>
        <v>Orange</v>
      </c>
      <c r="L1129" s="14" t="str">
        <f>IFERROR(__xludf.DUMMYFUNCTION("""COMPUTED_VALUE"""),"1*Vivek Kumar")</f>
        <v>1*Vivek Kumar</v>
      </c>
      <c r="M1129" s="14">
        <f>IFERROR(__xludf.DUMMYFUNCTION("SPLIT(L1129,""*"")"),1.0)</f>
        <v>1</v>
      </c>
      <c r="N1129" s="14" t="str">
        <f>IFERROR(__xludf.DUMMYFUNCTION("""COMPUTED_VALUE"""),"Vivek Kumar")</f>
        <v>Vivek Kumar</v>
      </c>
      <c r="O1129" s="14" t="str">
        <f>IFERROR(__xludf.DUMMYFUNCTION("split(J1129,""*"")"),"Delivered")</f>
        <v>Delivered</v>
      </c>
      <c r="P1129" s="14" t="str">
        <f>IFERROR(__xludf.DUMMYFUNCTION("""COMPUTED_VALUE"""),"Satisfied with the Delivery: Timely and quality")</f>
        <v>Satisfied with the Delivery: Timely and quality</v>
      </c>
      <c r="Q1129" s="14" t="str">
        <f>IFERROR(__xludf.DUMMYFUNCTION("split(P1129,"":"")"),"Satisfied with the Delivery")</f>
        <v>Satisfied with the Delivery</v>
      </c>
      <c r="R1129" s="14" t="str">
        <f>IFERROR(__xludf.DUMMYFUNCTION("""COMPUTED_VALUE""")," Timely and quality")</f>
        <v> Timely and quality</v>
      </c>
      <c r="S1129" s="14" t="str">
        <f t="shared" ref="S1129:U1129" si="2261">trim(B1129)</f>
        <v>ord_41107</v>
      </c>
      <c r="T1129" s="14" t="str">
        <f t="shared" si="2261"/>
        <v>Tanishq Bansal</v>
      </c>
      <c r="U1129" s="14" t="str">
        <f t="shared" si="2261"/>
        <v>Powai</v>
      </c>
      <c r="V1129" s="14" t="str">
        <f t="shared" si="4"/>
        <v>Orange</v>
      </c>
      <c r="W1129" s="14">
        <f t="shared" si="5"/>
        <v>1</v>
      </c>
      <c r="X1129" s="14" t="str">
        <f t="shared" si="6"/>
        <v>Vivek Kumar</v>
      </c>
      <c r="Y1129" s="15">
        <f t="shared" si="7"/>
        <v>45257</v>
      </c>
      <c r="Z1129" s="14" t="str">
        <f t="shared" si="8"/>
        <v>Online Payment</v>
      </c>
      <c r="AA1129" s="14" t="str">
        <f t="shared" si="9"/>
        <v>Delivered</v>
      </c>
      <c r="AB1129" s="14" t="str">
        <f t="shared" ref="AB1129:AC1129" si="2262">trim(Q1129)</f>
        <v>Satisfied with the Delivery</v>
      </c>
      <c r="AC1129" s="14" t="str">
        <f t="shared" si="2262"/>
        <v>Timely and quality</v>
      </c>
      <c r="AD1129" s="8"/>
    </row>
    <row r="1130">
      <c r="A1130" s="14" t="str">
        <f>IFERROR(__xludf.DUMMYFUNCTION("""COMPUTED_VALUE"""),"//ord_41108//Anaya Rao//Colaba//Potato+2*Venu R/1/3/2023//UPI//Delivered*Customer Service: Seamless and easy")</f>
        <v>//ord_41108//Anaya Rao//Colaba//Potato+2*Venu R/1/3/2023//UPI//Delivered*Customer Service: Seamless and easy</v>
      </c>
      <c r="B1130" s="14" t="str">
        <f>IFERROR(__xludf.DUMMYFUNCTION("split(A1130,""//"")"),"ord_41108")</f>
        <v>ord_41108</v>
      </c>
      <c r="C1130" s="14" t="str">
        <f>IFERROR(__xludf.DUMMYFUNCTION("""COMPUTED_VALUE"""),"Anaya Rao")</f>
        <v>Anaya Rao</v>
      </c>
      <c r="D1130" s="14" t="str">
        <f>IFERROR(__xludf.DUMMYFUNCTION("""COMPUTED_VALUE"""),"Colaba")</f>
        <v>Colaba</v>
      </c>
      <c r="E1130" s="14" t="str">
        <f>IFERROR(__xludf.DUMMYFUNCTION("""COMPUTED_VALUE"""),"Potato+2*Venu R")</f>
        <v>Potato+2*Venu R</v>
      </c>
      <c r="F1130" s="14">
        <f>IFERROR(__xludf.DUMMYFUNCTION("""COMPUTED_VALUE"""),1.0)</f>
        <v>1</v>
      </c>
      <c r="G1130" s="14">
        <f>IFERROR(__xludf.DUMMYFUNCTION("""COMPUTED_VALUE"""),3.0)</f>
        <v>3</v>
      </c>
      <c r="H1130" s="14">
        <f>IFERROR(__xludf.DUMMYFUNCTION("""COMPUTED_VALUE"""),2023.0)</f>
        <v>2023</v>
      </c>
      <c r="I1130" s="14" t="str">
        <f>IFERROR(__xludf.DUMMYFUNCTION("""COMPUTED_VALUE"""),"UPI")</f>
        <v>UPI</v>
      </c>
      <c r="J1130" s="14" t="str">
        <f>IFERROR(__xludf.DUMMYFUNCTION("""COMPUTED_VALUE"""),"Delivered*Customer Service: Seamless and easy")</f>
        <v>Delivered*Customer Service: Seamless and easy</v>
      </c>
      <c r="K1130" s="14" t="str">
        <f>IFERROR(__xludf.DUMMYFUNCTION("split(E1130,""+"")"),"Potato")</f>
        <v>Potato</v>
      </c>
      <c r="L1130" s="14" t="str">
        <f>IFERROR(__xludf.DUMMYFUNCTION("""COMPUTED_VALUE"""),"2*Venu R")</f>
        <v>2*Venu R</v>
      </c>
      <c r="M1130" s="14">
        <f>IFERROR(__xludf.DUMMYFUNCTION("SPLIT(L1130,""*"")"),2.0)</f>
        <v>2</v>
      </c>
      <c r="N1130" s="14" t="str">
        <f>IFERROR(__xludf.DUMMYFUNCTION("""COMPUTED_VALUE"""),"Venu R")</f>
        <v>Venu R</v>
      </c>
      <c r="O1130" s="14" t="str">
        <f>IFERROR(__xludf.DUMMYFUNCTION("split(J1130,""*"")"),"Delivered")</f>
        <v>Delivered</v>
      </c>
      <c r="P1130" s="14" t="str">
        <f>IFERROR(__xludf.DUMMYFUNCTION("""COMPUTED_VALUE"""),"Customer Service: Seamless and easy")</f>
        <v>Customer Service: Seamless and easy</v>
      </c>
      <c r="Q1130" s="14" t="str">
        <f>IFERROR(__xludf.DUMMYFUNCTION("split(P1130,"":"")"),"Customer Service")</f>
        <v>Customer Service</v>
      </c>
      <c r="R1130" s="14" t="str">
        <f>IFERROR(__xludf.DUMMYFUNCTION("""COMPUTED_VALUE""")," Seamless and easy")</f>
        <v> Seamless and easy</v>
      </c>
      <c r="S1130" s="14" t="str">
        <f t="shared" ref="S1130:U1130" si="2263">trim(B1130)</f>
        <v>ord_41108</v>
      </c>
      <c r="T1130" s="14" t="str">
        <f t="shared" si="2263"/>
        <v>Anaya Rao</v>
      </c>
      <c r="U1130" s="14" t="str">
        <f t="shared" si="2263"/>
        <v>Colaba</v>
      </c>
      <c r="V1130" s="14" t="str">
        <f t="shared" si="4"/>
        <v>Potato</v>
      </c>
      <c r="W1130" s="14">
        <f t="shared" si="5"/>
        <v>2</v>
      </c>
      <c r="X1130" s="14" t="str">
        <f t="shared" si="6"/>
        <v>Venu R</v>
      </c>
      <c r="Y1130" s="15">
        <f t="shared" si="7"/>
        <v>44929</v>
      </c>
      <c r="Z1130" s="14" t="str">
        <f t="shared" si="8"/>
        <v>UPI</v>
      </c>
      <c r="AA1130" s="14" t="str">
        <f t="shared" si="9"/>
        <v>Delivered</v>
      </c>
      <c r="AB1130" s="14" t="str">
        <f t="shared" ref="AB1130:AC1130" si="2264">trim(Q1130)</f>
        <v>Customer Service</v>
      </c>
      <c r="AC1130" s="14" t="str">
        <f t="shared" si="2264"/>
        <v>Seamless and easy</v>
      </c>
      <c r="AD1130" s="8"/>
    </row>
    <row r="1131">
      <c r="A1131" s="14" t="str">
        <f>IFERROR(__xludf.DUMMYFUNCTION("""COMPUTED_VALUE"""),"//ord_41109//Kritika Shetty//Malad//Veg Puff+1*Nithin Lal/12/4/2023//Credit Card//Delivered*Delivery Experience: Quick and professional")</f>
        <v>//ord_41109//Kritika Shetty//Malad//Veg Puff+1*Nithin Lal/12/4/2023//Credit Card//Delivered*Delivery Experience: Quick and professional</v>
      </c>
      <c r="B1131" s="14" t="str">
        <f>IFERROR(__xludf.DUMMYFUNCTION("split(A1131,""//"")"),"ord_41109")</f>
        <v>ord_41109</v>
      </c>
      <c r="C1131" s="14" t="str">
        <f>IFERROR(__xludf.DUMMYFUNCTION("""COMPUTED_VALUE"""),"Kritika Shetty")</f>
        <v>Kritika Shetty</v>
      </c>
      <c r="D1131" s="14" t="str">
        <f>IFERROR(__xludf.DUMMYFUNCTION("""COMPUTED_VALUE"""),"Malad")</f>
        <v>Malad</v>
      </c>
      <c r="E1131" s="14" t="str">
        <f>IFERROR(__xludf.DUMMYFUNCTION("""COMPUTED_VALUE"""),"Veg Puff+1*Nithin Lal")</f>
        <v>Veg Puff+1*Nithin Lal</v>
      </c>
      <c r="F1131" s="14">
        <f>IFERROR(__xludf.DUMMYFUNCTION("""COMPUTED_VALUE"""),12.0)</f>
        <v>12</v>
      </c>
      <c r="G1131" s="14">
        <f>IFERROR(__xludf.DUMMYFUNCTION("""COMPUTED_VALUE"""),4.0)</f>
        <v>4</v>
      </c>
      <c r="H1131" s="14">
        <f>IFERROR(__xludf.DUMMYFUNCTION("""COMPUTED_VALUE"""),2023.0)</f>
        <v>2023</v>
      </c>
      <c r="I1131" s="14" t="str">
        <f>IFERROR(__xludf.DUMMYFUNCTION("""COMPUTED_VALUE"""),"Credit Card")</f>
        <v>Credit Card</v>
      </c>
      <c r="J1131" s="14" t="str">
        <f>IFERROR(__xludf.DUMMYFUNCTION("""COMPUTED_VALUE"""),"Delivered*Delivery Experience: Quick and professional")</f>
        <v>Delivered*Delivery Experience: Quick and professional</v>
      </c>
      <c r="K1131" s="14" t="str">
        <f>IFERROR(__xludf.DUMMYFUNCTION("split(E1131,""+"")"),"Veg Puff")</f>
        <v>Veg Puff</v>
      </c>
      <c r="L1131" s="14" t="str">
        <f>IFERROR(__xludf.DUMMYFUNCTION("""COMPUTED_VALUE"""),"1*Nithin Lal")</f>
        <v>1*Nithin Lal</v>
      </c>
      <c r="M1131" s="14">
        <f>IFERROR(__xludf.DUMMYFUNCTION("SPLIT(L1131,""*"")"),1.0)</f>
        <v>1</v>
      </c>
      <c r="N1131" s="14" t="str">
        <f>IFERROR(__xludf.DUMMYFUNCTION("""COMPUTED_VALUE"""),"Nithin Lal")</f>
        <v>Nithin Lal</v>
      </c>
      <c r="O1131" s="14" t="str">
        <f>IFERROR(__xludf.DUMMYFUNCTION("split(J1131,""*"")"),"Delivered")</f>
        <v>Delivered</v>
      </c>
      <c r="P1131" s="14" t="str">
        <f>IFERROR(__xludf.DUMMYFUNCTION("""COMPUTED_VALUE"""),"Delivery Experience: Quick and professional")</f>
        <v>Delivery Experience: Quick and professional</v>
      </c>
      <c r="Q1131" s="14" t="str">
        <f>IFERROR(__xludf.DUMMYFUNCTION("split(P1131,"":"")"),"Delivery Experience")</f>
        <v>Delivery Experience</v>
      </c>
      <c r="R1131" s="14" t="str">
        <f>IFERROR(__xludf.DUMMYFUNCTION("""COMPUTED_VALUE""")," Quick and professional")</f>
        <v> Quick and professional</v>
      </c>
      <c r="S1131" s="14" t="str">
        <f t="shared" ref="S1131:U1131" si="2265">trim(B1131)</f>
        <v>ord_41109</v>
      </c>
      <c r="T1131" s="14" t="str">
        <f t="shared" si="2265"/>
        <v>Kritika Shetty</v>
      </c>
      <c r="U1131" s="14" t="str">
        <f t="shared" si="2265"/>
        <v>Malad</v>
      </c>
      <c r="V1131" s="14" t="str">
        <f t="shared" si="4"/>
        <v>Veg Puff</v>
      </c>
      <c r="W1131" s="14">
        <f t="shared" si="5"/>
        <v>1</v>
      </c>
      <c r="X1131" s="14" t="str">
        <f t="shared" si="6"/>
        <v>Nithin Lal</v>
      </c>
      <c r="Y1131" s="15">
        <f t="shared" si="7"/>
        <v>45264</v>
      </c>
      <c r="Z1131" s="14" t="str">
        <f t="shared" si="8"/>
        <v>Credit Card</v>
      </c>
      <c r="AA1131" s="14" t="str">
        <f t="shared" si="9"/>
        <v>Delivered</v>
      </c>
      <c r="AB1131" s="14" t="str">
        <f t="shared" ref="AB1131:AC1131" si="2266">trim(Q1131)</f>
        <v>Delivery Experience</v>
      </c>
      <c r="AC1131" s="14" t="str">
        <f t="shared" si="2266"/>
        <v>Quick and professional</v>
      </c>
      <c r="AD1131" s="8"/>
    </row>
    <row r="1132">
      <c r="A1132" s="14" t="str">
        <f>IFERROR(__xludf.DUMMYFUNCTION("""COMPUTED_VALUE"""),"//ord_41110//Aditi Iyer//Dadar//Guava+2*Shine Thomas/7/12/2023//COD//Delivered*Convenience: Easy tracking")</f>
        <v>//ord_41110//Aditi Iyer//Dadar//Guava+2*Shine Thomas/7/12/2023//COD//Delivered*Convenience: Easy tracking</v>
      </c>
      <c r="B1132" s="14" t="str">
        <f>IFERROR(__xludf.DUMMYFUNCTION("split(A1132,""//"")"),"ord_41110")</f>
        <v>ord_41110</v>
      </c>
      <c r="C1132" s="14" t="str">
        <f>IFERROR(__xludf.DUMMYFUNCTION("""COMPUTED_VALUE"""),"Aditi Iyer")</f>
        <v>Aditi Iyer</v>
      </c>
      <c r="D1132" s="14" t="str">
        <f>IFERROR(__xludf.DUMMYFUNCTION("""COMPUTED_VALUE"""),"Dadar")</f>
        <v>Dadar</v>
      </c>
      <c r="E1132" s="14" t="str">
        <f>IFERROR(__xludf.DUMMYFUNCTION("""COMPUTED_VALUE"""),"Guava+2*Shine Thomas")</f>
        <v>Guava+2*Shine Thomas</v>
      </c>
      <c r="F1132" s="14">
        <f>IFERROR(__xludf.DUMMYFUNCTION("""COMPUTED_VALUE"""),7.0)</f>
        <v>7</v>
      </c>
      <c r="G1132" s="14">
        <f>IFERROR(__xludf.DUMMYFUNCTION("""COMPUTED_VALUE"""),12.0)</f>
        <v>12</v>
      </c>
      <c r="H1132" s="14">
        <f>IFERROR(__xludf.DUMMYFUNCTION("""COMPUTED_VALUE"""),2023.0)</f>
        <v>2023</v>
      </c>
      <c r="I1132" s="14" t="str">
        <f>IFERROR(__xludf.DUMMYFUNCTION("""COMPUTED_VALUE"""),"COD")</f>
        <v>COD</v>
      </c>
      <c r="J1132" s="14" t="str">
        <f>IFERROR(__xludf.DUMMYFUNCTION("""COMPUTED_VALUE"""),"Delivered*Convenience: Easy tracking")</f>
        <v>Delivered*Convenience: Easy tracking</v>
      </c>
      <c r="K1132" s="14" t="str">
        <f>IFERROR(__xludf.DUMMYFUNCTION("split(E1132,""+"")"),"Guava")</f>
        <v>Guava</v>
      </c>
      <c r="L1132" s="14" t="str">
        <f>IFERROR(__xludf.DUMMYFUNCTION("""COMPUTED_VALUE"""),"2*Shine Thomas")</f>
        <v>2*Shine Thomas</v>
      </c>
      <c r="M1132" s="14">
        <f>IFERROR(__xludf.DUMMYFUNCTION("SPLIT(L1132,""*"")"),2.0)</f>
        <v>2</v>
      </c>
      <c r="N1132" s="14" t="str">
        <f>IFERROR(__xludf.DUMMYFUNCTION("""COMPUTED_VALUE"""),"Shine Thomas")</f>
        <v>Shine Thomas</v>
      </c>
      <c r="O1132" s="14" t="str">
        <f>IFERROR(__xludf.DUMMYFUNCTION("split(J1132,""*"")"),"Delivered")</f>
        <v>Delivered</v>
      </c>
      <c r="P1132" s="14" t="str">
        <f>IFERROR(__xludf.DUMMYFUNCTION("""COMPUTED_VALUE"""),"Convenience: Easy tracking")</f>
        <v>Convenience: Easy tracking</v>
      </c>
      <c r="Q1132" s="14" t="str">
        <f>IFERROR(__xludf.DUMMYFUNCTION("split(P1132,"":"")"),"Convenience")</f>
        <v>Convenience</v>
      </c>
      <c r="R1132" s="14" t="str">
        <f>IFERROR(__xludf.DUMMYFUNCTION("""COMPUTED_VALUE""")," Easy tracking")</f>
        <v> Easy tracking</v>
      </c>
      <c r="S1132" s="14" t="str">
        <f t="shared" ref="S1132:U1132" si="2267">trim(B1132)</f>
        <v>ord_41110</v>
      </c>
      <c r="T1132" s="14" t="str">
        <f t="shared" si="2267"/>
        <v>Aditi Iyer</v>
      </c>
      <c r="U1132" s="14" t="str">
        <f t="shared" si="2267"/>
        <v>Dadar</v>
      </c>
      <c r="V1132" s="14" t="str">
        <f t="shared" si="4"/>
        <v>Guava</v>
      </c>
      <c r="W1132" s="14">
        <f t="shared" si="5"/>
        <v>2</v>
      </c>
      <c r="X1132" s="14" t="str">
        <f t="shared" si="6"/>
        <v>Shine Thomas</v>
      </c>
      <c r="Y1132" s="15">
        <f t="shared" si="7"/>
        <v>45119</v>
      </c>
      <c r="Z1132" s="14" t="str">
        <f t="shared" si="8"/>
        <v>COD</v>
      </c>
      <c r="AA1132" s="14" t="str">
        <f t="shared" si="9"/>
        <v>Delivered</v>
      </c>
      <c r="AB1132" s="14" t="str">
        <f t="shared" ref="AB1132:AC1132" si="2268">trim(Q1132)</f>
        <v>Convenience</v>
      </c>
      <c r="AC1132" s="14" t="str">
        <f t="shared" si="2268"/>
        <v>Easy tracking</v>
      </c>
      <c r="AD1132" s="8"/>
    </row>
    <row r="1133">
      <c r="A1133" s="14" t="str">
        <f>IFERROR(__xludf.DUMMYFUNCTION("""COMPUTED_VALUE"""),"//ord_41111//Parth Goel//Juhu//Guava+2*Manju Ajay/1/10/2023//COD//Delivered*Overall Satisfaction: Great service will order again")</f>
        <v>//ord_41111//Parth Goel//Juhu//Guava+2*Manju Ajay/1/10/2023//COD//Delivered*Overall Satisfaction: Great service will order again</v>
      </c>
      <c r="B1133" s="14" t="str">
        <f>IFERROR(__xludf.DUMMYFUNCTION("split(A1133,""//"")"),"ord_41111")</f>
        <v>ord_41111</v>
      </c>
      <c r="C1133" s="14" t="str">
        <f>IFERROR(__xludf.DUMMYFUNCTION("""COMPUTED_VALUE"""),"Parth Goel")</f>
        <v>Parth Goel</v>
      </c>
      <c r="D1133" s="14" t="str">
        <f>IFERROR(__xludf.DUMMYFUNCTION("""COMPUTED_VALUE"""),"Juhu")</f>
        <v>Juhu</v>
      </c>
      <c r="E1133" s="14" t="str">
        <f>IFERROR(__xludf.DUMMYFUNCTION("""COMPUTED_VALUE"""),"Guava+2*Manju Ajay")</f>
        <v>Guava+2*Manju Ajay</v>
      </c>
      <c r="F1133" s="14">
        <f>IFERROR(__xludf.DUMMYFUNCTION("""COMPUTED_VALUE"""),1.0)</f>
        <v>1</v>
      </c>
      <c r="G1133" s="14">
        <f>IFERROR(__xludf.DUMMYFUNCTION("""COMPUTED_VALUE"""),10.0)</f>
        <v>10</v>
      </c>
      <c r="H1133" s="14">
        <f>IFERROR(__xludf.DUMMYFUNCTION("""COMPUTED_VALUE"""),2023.0)</f>
        <v>2023</v>
      </c>
      <c r="I1133" s="14" t="str">
        <f>IFERROR(__xludf.DUMMYFUNCTION("""COMPUTED_VALUE"""),"COD")</f>
        <v>COD</v>
      </c>
      <c r="J1133" s="14" t="str">
        <f>IFERROR(__xludf.DUMMYFUNCTION("""COMPUTED_VALUE"""),"Delivered*Overall Satisfaction: Great service will order again")</f>
        <v>Delivered*Overall Satisfaction: Great service will order again</v>
      </c>
      <c r="K1133" s="14" t="str">
        <f>IFERROR(__xludf.DUMMYFUNCTION("split(E1133,""+"")"),"Guava")</f>
        <v>Guava</v>
      </c>
      <c r="L1133" s="14" t="str">
        <f>IFERROR(__xludf.DUMMYFUNCTION("""COMPUTED_VALUE"""),"2*Manju Ajay")</f>
        <v>2*Manju Ajay</v>
      </c>
      <c r="M1133" s="14">
        <f>IFERROR(__xludf.DUMMYFUNCTION("SPLIT(L1133,""*"")"),2.0)</f>
        <v>2</v>
      </c>
      <c r="N1133" s="14" t="str">
        <f>IFERROR(__xludf.DUMMYFUNCTION("""COMPUTED_VALUE"""),"Manju Ajay")</f>
        <v>Manju Ajay</v>
      </c>
      <c r="O1133" s="14" t="str">
        <f>IFERROR(__xludf.DUMMYFUNCTION("split(J1133,""*"")"),"Delivered")</f>
        <v>Delivered</v>
      </c>
      <c r="P1133" s="14" t="str">
        <f>IFERROR(__xludf.DUMMYFUNCTION("""COMPUTED_VALUE"""),"Overall Satisfaction: Great service will order again")</f>
        <v>Overall Satisfaction: Great service will order again</v>
      </c>
      <c r="Q1133" s="14" t="str">
        <f>IFERROR(__xludf.DUMMYFUNCTION("split(P1133,"":"")"),"Overall Satisfaction")</f>
        <v>Overall Satisfaction</v>
      </c>
      <c r="R1133" s="14" t="str">
        <f>IFERROR(__xludf.DUMMYFUNCTION("""COMPUTED_VALUE""")," Great service will order again")</f>
        <v> Great service will order again</v>
      </c>
      <c r="S1133" s="14" t="str">
        <f t="shared" ref="S1133:U1133" si="2269">trim(B1133)</f>
        <v>ord_41111</v>
      </c>
      <c r="T1133" s="14" t="str">
        <f t="shared" si="2269"/>
        <v>Parth Goel</v>
      </c>
      <c r="U1133" s="14" t="str">
        <f t="shared" si="2269"/>
        <v>Juhu</v>
      </c>
      <c r="V1133" s="14" t="str">
        <f t="shared" si="4"/>
        <v>Guava</v>
      </c>
      <c r="W1133" s="14">
        <f t="shared" si="5"/>
        <v>2</v>
      </c>
      <c r="X1133" s="14" t="str">
        <f t="shared" si="6"/>
        <v>Manju Ajay</v>
      </c>
      <c r="Y1133" s="15">
        <f t="shared" si="7"/>
        <v>44936</v>
      </c>
      <c r="Z1133" s="14" t="str">
        <f t="shared" si="8"/>
        <v>COD</v>
      </c>
      <c r="AA1133" s="14" t="str">
        <f t="shared" si="9"/>
        <v>Delivered</v>
      </c>
      <c r="AB1133" s="14" t="str">
        <f t="shared" ref="AB1133:AC1133" si="2270">trim(Q1133)</f>
        <v>Overall Satisfaction</v>
      </c>
      <c r="AC1133" s="14" t="str">
        <f t="shared" si="2270"/>
        <v>Great service will order again</v>
      </c>
      <c r="AD1133" s="8"/>
    </row>
    <row r="1134">
      <c r="A1134" s="14" t="str">
        <f>IFERROR(__xludf.DUMMYFUNCTION("""COMPUTED_VALUE"""),"//ord_41112//Pallavi Ghosh//Bandra//Potato+1*Priya Joshi/11/11/2023//Online Payment//Delivered*On-time Delivery: Delivered on time")</f>
        <v>//ord_41112//Pallavi Ghosh//Bandra//Potato+1*Priya Joshi/11/11/2023//Online Payment//Delivered*On-time Delivery: Delivered on time</v>
      </c>
      <c r="B1134" s="14" t="str">
        <f>IFERROR(__xludf.DUMMYFUNCTION("split(A1134,""//"")"),"ord_41112")</f>
        <v>ord_41112</v>
      </c>
      <c r="C1134" s="14" t="str">
        <f>IFERROR(__xludf.DUMMYFUNCTION("""COMPUTED_VALUE"""),"Pallavi Ghosh")</f>
        <v>Pallavi Ghosh</v>
      </c>
      <c r="D1134" s="14" t="str">
        <f>IFERROR(__xludf.DUMMYFUNCTION("""COMPUTED_VALUE"""),"Bandra")</f>
        <v>Bandra</v>
      </c>
      <c r="E1134" s="14" t="str">
        <f>IFERROR(__xludf.DUMMYFUNCTION("""COMPUTED_VALUE"""),"Potato+1*Priya Joshi")</f>
        <v>Potato+1*Priya Joshi</v>
      </c>
      <c r="F1134" s="14">
        <f>IFERROR(__xludf.DUMMYFUNCTION("""COMPUTED_VALUE"""),11.0)</f>
        <v>11</v>
      </c>
      <c r="G1134" s="14">
        <f>IFERROR(__xludf.DUMMYFUNCTION("""COMPUTED_VALUE"""),11.0)</f>
        <v>11</v>
      </c>
      <c r="H1134" s="14">
        <f>IFERROR(__xludf.DUMMYFUNCTION("""COMPUTED_VALUE"""),2023.0)</f>
        <v>2023</v>
      </c>
      <c r="I1134" s="14" t="str">
        <f>IFERROR(__xludf.DUMMYFUNCTION("""COMPUTED_VALUE"""),"Online Payment")</f>
        <v>Online Payment</v>
      </c>
      <c r="J1134" s="14" t="str">
        <f>IFERROR(__xludf.DUMMYFUNCTION("""COMPUTED_VALUE"""),"Delivered*On-time Delivery: Delivered on time")</f>
        <v>Delivered*On-time Delivery: Delivered on time</v>
      </c>
      <c r="K1134" s="14" t="str">
        <f>IFERROR(__xludf.DUMMYFUNCTION("split(E1134,""+"")"),"Potato")</f>
        <v>Potato</v>
      </c>
      <c r="L1134" s="14" t="str">
        <f>IFERROR(__xludf.DUMMYFUNCTION("""COMPUTED_VALUE"""),"1*Priya Joshi")</f>
        <v>1*Priya Joshi</v>
      </c>
      <c r="M1134" s="14">
        <f>IFERROR(__xludf.DUMMYFUNCTION("SPLIT(L1134,""*"")"),1.0)</f>
        <v>1</v>
      </c>
      <c r="N1134" s="14" t="str">
        <f>IFERROR(__xludf.DUMMYFUNCTION("""COMPUTED_VALUE"""),"Priya Joshi")</f>
        <v>Priya Joshi</v>
      </c>
      <c r="O1134" s="14" t="str">
        <f>IFERROR(__xludf.DUMMYFUNCTION("split(J1134,""*"")"),"Delivered")</f>
        <v>Delivered</v>
      </c>
      <c r="P1134" s="14" t="str">
        <f>IFERROR(__xludf.DUMMYFUNCTION("""COMPUTED_VALUE"""),"On-time Delivery: Delivered on time")</f>
        <v>On-time Delivery: Delivered on time</v>
      </c>
      <c r="Q1134" s="14" t="str">
        <f>IFERROR(__xludf.DUMMYFUNCTION("split(P1134,"":"")"),"On-time Delivery")</f>
        <v>On-time Delivery</v>
      </c>
      <c r="R1134" s="14" t="str">
        <f>IFERROR(__xludf.DUMMYFUNCTION("""COMPUTED_VALUE""")," Delivered on time")</f>
        <v> Delivered on time</v>
      </c>
      <c r="S1134" s="14" t="str">
        <f t="shared" ref="S1134:U1134" si="2271">trim(B1134)</f>
        <v>ord_41112</v>
      </c>
      <c r="T1134" s="14" t="str">
        <f t="shared" si="2271"/>
        <v>Pallavi Ghosh</v>
      </c>
      <c r="U1134" s="14" t="str">
        <f t="shared" si="2271"/>
        <v>Bandra</v>
      </c>
      <c r="V1134" s="14" t="str">
        <f t="shared" si="4"/>
        <v>Potato</v>
      </c>
      <c r="W1134" s="14">
        <f t="shared" si="5"/>
        <v>1</v>
      </c>
      <c r="X1134" s="14" t="str">
        <f t="shared" si="6"/>
        <v>Priya Joshi</v>
      </c>
      <c r="Y1134" s="15">
        <f t="shared" si="7"/>
        <v>45241</v>
      </c>
      <c r="Z1134" s="14" t="str">
        <f t="shared" si="8"/>
        <v>Online Payment</v>
      </c>
      <c r="AA1134" s="14" t="str">
        <f t="shared" si="9"/>
        <v>Delivered</v>
      </c>
      <c r="AB1134" s="14" t="str">
        <f t="shared" ref="AB1134:AC1134" si="2272">trim(Q1134)</f>
        <v>On-time Delivery</v>
      </c>
      <c r="AC1134" s="14" t="str">
        <f t="shared" si="2272"/>
        <v>Delivered on time</v>
      </c>
      <c r="AD1134" s="8"/>
    </row>
    <row r="1135">
      <c r="A1135" s="14" t="str">
        <f>IFERROR(__xludf.DUMMYFUNCTION("""COMPUTED_VALUE"""),"//ord_41113//Omkar Mishra//Powai//Sweet Corn+1*Sandeep Kumar/5/12/2023//COD//Delivered*Quality of Items: Perfect condition")</f>
        <v>//ord_41113//Omkar Mishra//Powai//Sweet Corn+1*Sandeep Kumar/5/12/2023//COD//Delivered*Quality of Items: Perfect condition</v>
      </c>
      <c r="B1135" s="14" t="str">
        <f>IFERROR(__xludf.DUMMYFUNCTION("split(A1135,""//"")"),"ord_41113")</f>
        <v>ord_41113</v>
      </c>
      <c r="C1135" s="14" t="str">
        <f>IFERROR(__xludf.DUMMYFUNCTION("""COMPUTED_VALUE"""),"Omkar Mishra")</f>
        <v>Omkar Mishra</v>
      </c>
      <c r="D1135" s="14" t="str">
        <f>IFERROR(__xludf.DUMMYFUNCTION("""COMPUTED_VALUE"""),"Powai")</f>
        <v>Powai</v>
      </c>
      <c r="E1135" s="14" t="str">
        <f>IFERROR(__xludf.DUMMYFUNCTION("""COMPUTED_VALUE"""),"Sweet Corn+1*Sandeep Kumar")</f>
        <v>Sweet Corn+1*Sandeep Kumar</v>
      </c>
      <c r="F1135" s="14">
        <f>IFERROR(__xludf.DUMMYFUNCTION("""COMPUTED_VALUE"""),5.0)</f>
        <v>5</v>
      </c>
      <c r="G1135" s="14">
        <f>IFERROR(__xludf.DUMMYFUNCTION("""COMPUTED_VALUE"""),12.0)</f>
        <v>12</v>
      </c>
      <c r="H1135" s="14">
        <f>IFERROR(__xludf.DUMMYFUNCTION("""COMPUTED_VALUE"""),2023.0)</f>
        <v>2023</v>
      </c>
      <c r="I1135" s="14" t="str">
        <f>IFERROR(__xludf.DUMMYFUNCTION("""COMPUTED_VALUE"""),"COD")</f>
        <v>COD</v>
      </c>
      <c r="J1135" s="14" t="str">
        <f>IFERROR(__xludf.DUMMYFUNCTION("""COMPUTED_VALUE"""),"Delivered*Quality of Items: Perfect condition")</f>
        <v>Delivered*Quality of Items: Perfect condition</v>
      </c>
      <c r="K1135" s="14" t="str">
        <f>IFERROR(__xludf.DUMMYFUNCTION("split(E1135,""+"")"),"Sweet Corn")</f>
        <v>Sweet Corn</v>
      </c>
      <c r="L1135" s="14" t="str">
        <f>IFERROR(__xludf.DUMMYFUNCTION("""COMPUTED_VALUE"""),"1*Sandeep Kumar")</f>
        <v>1*Sandeep Kumar</v>
      </c>
      <c r="M1135" s="14">
        <f>IFERROR(__xludf.DUMMYFUNCTION("SPLIT(L1135,""*"")"),1.0)</f>
        <v>1</v>
      </c>
      <c r="N1135" s="14" t="str">
        <f>IFERROR(__xludf.DUMMYFUNCTION("""COMPUTED_VALUE"""),"Sandeep Kumar")</f>
        <v>Sandeep Kumar</v>
      </c>
      <c r="O1135" s="14" t="str">
        <f>IFERROR(__xludf.DUMMYFUNCTION("split(J1135,""*"")"),"Delivered")</f>
        <v>Delivered</v>
      </c>
      <c r="P1135" s="14" t="str">
        <f>IFERROR(__xludf.DUMMYFUNCTION("""COMPUTED_VALUE"""),"Quality of Items: Perfect condition")</f>
        <v>Quality of Items: Perfect condition</v>
      </c>
      <c r="Q1135" s="14" t="str">
        <f>IFERROR(__xludf.DUMMYFUNCTION("split(P1135,"":"")"),"Quality of Items")</f>
        <v>Quality of Items</v>
      </c>
      <c r="R1135" s="14" t="str">
        <f>IFERROR(__xludf.DUMMYFUNCTION("""COMPUTED_VALUE""")," Perfect condition")</f>
        <v> Perfect condition</v>
      </c>
      <c r="S1135" s="14" t="str">
        <f t="shared" ref="S1135:U1135" si="2273">trim(B1135)</f>
        <v>ord_41113</v>
      </c>
      <c r="T1135" s="14" t="str">
        <f t="shared" si="2273"/>
        <v>Omkar Mishra</v>
      </c>
      <c r="U1135" s="14" t="str">
        <f t="shared" si="2273"/>
        <v>Powai</v>
      </c>
      <c r="V1135" s="14" t="str">
        <f t="shared" si="4"/>
        <v>Sweet Corn</v>
      </c>
      <c r="W1135" s="14">
        <f t="shared" si="5"/>
        <v>1</v>
      </c>
      <c r="X1135" s="14" t="str">
        <f t="shared" si="6"/>
        <v>Sandeep Kumar</v>
      </c>
      <c r="Y1135" s="15">
        <f t="shared" si="7"/>
        <v>45058</v>
      </c>
      <c r="Z1135" s="14" t="str">
        <f t="shared" si="8"/>
        <v>COD</v>
      </c>
      <c r="AA1135" s="14" t="str">
        <f t="shared" si="9"/>
        <v>Delivered</v>
      </c>
      <c r="AB1135" s="14" t="str">
        <f t="shared" ref="AB1135:AC1135" si="2274">trim(Q1135)</f>
        <v>Quality of Items</v>
      </c>
      <c r="AC1135" s="14" t="str">
        <f t="shared" si="2274"/>
        <v>Perfect condition</v>
      </c>
      <c r="AD1135" s="8"/>
    </row>
    <row r="1136">
      <c r="A1136" s="14" t="str">
        <f>IFERROR(__xludf.DUMMYFUNCTION("""COMPUTED_VALUE"""),"//ord_41114//Siya Reddy//Juhu//Papaya+1*Not Assigned/5/6/2023//Online Payment//Cancelled*Payment Issues")</f>
        <v>//ord_41114//Siya Reddy//Juhu//Papaya+1*Not Assigned/5/6/2023//Online Payment//Cancelled*Payment Issues</v>
      </c>
      <c r="B1136" s="14" t="str">
        <f>IFERROR(__xludf.DUMMYFUNCTION("split(A1136,""//"")"),"ord_41114")</f>
        <v>ord_41114</v>
      </c>
      <c r="C1136" s="14" t="str">
        <f>IFERROR(__xludf.DUMMYFUNCTION("""COMPUTED_VALUE"""),"Siya Reddy")</f>
        <v>Siya Reddy</v>
      </c>
      <c r="D1136" s="14" t="str">
        <f>IFERROR(__xludf.DUMMYFUNCTION("""COMPUTED_VALUE"""),"Juhu")</f>
        <v>Juhu</v>
      </c>
      <c r="E1136" s="14" t="str">
        <f>IFERROR(__xludf.DUMMYFUNCTION("""COMPUTED_VALUE"""),"Papaya+1*Not Assigned")</f>
        <v>Papaya+1*Not Assigned</v>
      </c>
      <c r="F1136" s="14">
        <f>IFERROR(__xludf.DUMMYFUNCTION("""COMPUTED_VALUE"""),5.0)</f>
        <v>5</v>
      </c>
      <c r="G1136" s="14">
        <f>IFERROR(__xludf.DUMMYFUNCTION("""COMPUTED_VALUE"""),6.0)</f>
        <v>6</v>
      </c>
      <c r="H1136" s="14">
        <f>IFERROR(__xludf.DUMMYFUNCTION("""COMPUTED_VALUE"""),2023.0)</f>
        <v>2023</v>
      </c>
      <c r="I1136" s="14" t="str">
        <f>IFERROR(__xludf.DUMMYFUNCTION("""COMPUTED_VALUE"""),"Online Payment")</f>
        <v>Online Payment</v>
      </c>
      <c r="J1136" s="14" t="str">
        <f>IFERROR(__xludf.DUMMYFUNCTION("""COMPUTED_VALUE"""),"Cancelled*Payment Issues")</f>
        <v>Cancelled*Payment Issues</v>
      </c>
      <c r="K1136" s="14" t="str">
        <f>IFERROR(__xludf.DUMMYFUNCTION("split(E1136,""+"")"),"Papaya")</f>
        <v>Papaya</v>
      </c>
      <c r="L1136" s="14" t="str">
        <f>IFERROR(__xludf.DUMMYFUNCTION("""COMPUTED_VALUE"""),"1*Not Assigned")</f>
        <v>1*Not Assigned</v>
      </c>
      <c r="M1136" s="14">
        <f>IFERROR(__xludf.DUMMYFUNCTION("SPLIT(L1136,""*"")"),1.0)</f>
        <v>1</v>
      </c>
      <c r="N1136" s="14" t="str">
        <f>IFERROR(__xludf.DUMMYFUNCTION("""COMPUTED_VALUE"""),"Not Assigned")</f>
        <v>Not Assigned</v>
      </c>
      <c r="O1136" s="14" t="str">
        <f>IFERROR(__xludf.DUMMYFUNCTION("split(J1136,""*"")"),"Cancelled")</f>
        <v>Cancelled</v>
      </c>
      <c r="P1136" s="14" t="str">
        <f>IFERROR(__xludf.DUMMYFUNCTION("""COMPUTED_VALUE"""),"Payment Issues")</f>
        <v>Payment Issues</v>
      </c>
      <c r="Q1136" s="14" t="str">
        <f>IFERROR(__xludf.DUMMYFUNCTION("split(P1136,"":"")"),"Payment Issues")</f>
        <v>Payment Issues</v>
      </c>
      <c r="R1136" s="14"/>
      <c r="S1136" s="14" t="str">
        <f t="shared" ref="S1136:U1136" si="2275">trim(B1136)</f>
        <v>ord_41114</v>
      </c>
      <c r="T1136" s="14" t="str">
        <f t="shared" si="2275"/>
        <v>Siya Reddy</v>
      </c>
      <c r="U1136" s="14" t="str">
        <f t="shared" si="2275"/>
        <v>Juhu</v>
      </c>
      <c r="V1136" s="14" t="str">
        <f t="shared" si="4"/>
        <v>Papaya</v>
      </c>
      <c r="W1136" s="14">
        <f t="shared" si="5"/>
        <v>1</v>
      </c>
      <c r="X1136" s="14" t="str">
        <f t="shared" si="6"/>
        <v>Not Assigned</v>
      </c>
      <c r="Y1136" s="15">
        <f t="shared" si="7"/>
        <v>45052</v>
      </c>
      <c r="Z1136" s="14" t="str">
        <f t="shared" si="8"/>
        <v>Online Payment</v>
      </c>
      <c r="AA1136" s="14" t="str">
        <f t="shared" si="9"/>
        <v>Cancelled</v>
      </c>
      <c r="AB1136" s="14" t="str">
        <f t="shared" ref="AB1136:AC1136" si="2276">trim(Q1136)</f>
        <v>Payment Issues</v>
      </c>
      <c r="AC1136" s="14" t="str">
        <f t="shared" si="2276"/>
        <v/>
      </c>
      <c r="AD1136" s="8"/>
    </row>
    <row r="1137">
      <c r="A1137" s="14" t="str">
        <f>IFERROR(__xludf.DUMMYFUNCTION("""COMPUTED_VALUE"""),"//ord_41115//Aarohi Kapoor//Bandra//Veg Puff+5*Priya Joshi/6/4/2023//UPI//Delivered*On-time Delivery: Delivered on time")</f>
        <v>//ord_41115//Aarohi Kapoor//Bandra//Veg Puff+5*Priya Joshi/6/4/2023//UPI//Delivered*On-time Delivery: Delivered on time</v>
      </c>
      <c r="B1137" s="14" t="str">
        <f>IFERROR(__xludf.DUMMYFUNCTION("split(A1137,""//"")"),"ord_41115")</f>
        <v>ord_41115</v>
      </c>
      <c r="C1137" s="14" t="str">
        <f>IFERROR(__xludf.DUMMYFUNCTION("""COMPUTED_VALUE"""),"Aarohi Kapoor")</f>
        <v>Aarohi Kapoor</v>
      </c>
      <c r="D1137" s="14" t="str">
        <f>IFERROR(__xludf.DUMMYFUNCTION("""COMPUTED_VALUE"""),"Bandra")</f>
        <v>Bandra</v>
      </c>
      <c r="E1137" s="14" t="str">
        <f>IFERROR(__xludf.DUMMYFUNCTION("""COMPUTED_VALUE"""),"Veg Puff+5*Priya Joshi")</f>
        <v>Veg Puff+5*Priya Joshi</v>
      </c>
      <c r="F1137" s="14">
        <f>IFERROR(__xludf.DUMMYFUNCTION("""COMPUTED_VALUE"""),6.0)</f>
        <v>6</v>
      </c>
      <c r="G1137" s="14">
        <f>IFERROR(__xludf.DUMMYFUNCTION("""COMPUTED_VALUE"""),4.0)</f>
        <v>4</v>
      </c>
      <c r="H1137" s="14">
        <f>IFERROR(__xludf.DUMMYFUNCTION("""COMPUTED_VALUE"""),2023.0)</f>
        <v>2023</v>
      </c>
      <c r="I1137" s="14" t="str">
        <f>IFERROR(__xludf.DUMMYFUNCTION("""COMPUTED_VALUE"""),"UPI")</f>
        <v>UPI</v>
      </c>
      <c r="J1137" s="14" t="str">
        <f>IFERROR(__xludf.DUMMYFUNCTION("""COMPUTED_VALUE"""),"Delivered*On-time Delivery: Delivered on time")</f>
        <v>Delivered*On-time Delivery: Delivered on time</v>
      </c>
      <c r="K1137" s="14" t="str">
        <f>IFERROR(__xludf.DUMMYFUNCTION("split(E1137,""+"")"),"Veg Puff")</f>
        <v>Veg Puff</v>
      </c>
      <c r="L1137" s="14" t="str">
        <f>IFERROR(__xludf.DUMMYFUNCTION("""COMPUTED_VALUE"""),"5*Priya Joshi")</f>
        <v>5*Priya Joshi</v>
      </c>
      <c r="M1137" s="14">
        <f>IFERROR(__xludf.DUMMYFUNCTION("SPLIT(L1137,""*"")"),5.0)</f>
        <v>5</v>
      </c>
      <c r="N1137" s="14" t="str">
        <f>IFERROR(__xludf.DUMMYFUNCTION("""COMPUTED_VALUE"""),"Priya Joshi")</f>
        <v>Priya Joshi</v>
      </c>
      <c r="O1137" s="14" t="str">
        <f>IFERROR(__xludf.DUMMYFUNCTION("split(J1137,""*"")"),"Delivered")</f>
        <v>Delivered</v>
      </c>
      <c r="P1137" s="14" t="str">
        <f>IFERROR(__xludf.DUMMYFUNCTION("""COMPUTED_VALUE"""),"On-time Delivery: Delivered on time")</f>
        <v>On-time Delivery: Delivered on time</v>
      </c>
      <c r="Q1137" s="14" t="str">
        <f>IFERROR(__xludf.DUMMYFUNCTION("split(P1137,"":"")"),"On-time Delivery")</f>
        <v>On-time Delivery</v>
      </c>
      <c r="R1137" s="14" t="str">
        <f>IFERROR(__xludf.DUMMYFUNCTION("""COMPUTED_VALUE""")," Delivered on time")</f>
        <v> Delivered on time</v>
      </c>
      <c r="S1137" s="14" t="str">
        <f t="shared" ref="S1137:U1137" si="2277">trim(B1137)</f>
        <v>ord_41115</v>
      </c>
      <c r="T1137" s="14" t="str">
        <f t="shared" si="2277"/>
        <v>Aarohi Kapoor</v>
      </c>
      <c r="U1137" s="14" t="str">
        <f t="shared" si="2277"/>
        <v>Bandra</v>
      </c>
      <c r="V1137" s="14" t="str">
        <f t="shared" si="4"/>
        <v>Veg Puff</v>
      </c>
      <c r="W1137" s="14">
        <f t="shared" si="5"/>
        <v>5</v>
      </c>
      <c r="X1137" s="14" t="str">
        <f t="shared" si="6"/>
        <v>Priya Joshi</v>
      </c>
      <c r="Y1137" s="15">
        <f t="shared" si="7"/>
        <v>45081</v>
      </c>
      <c r="Z1137" s="14" t="str">
        <f t="shared" si="8"/>
        <v>UPI</v>
      </c>
      <c r="AA1137" s="14" t="str">
        <f t="shared" si="9"/>
        <v>Delivered</v>
      </c>
      <c r="AB1137" s="14" t="str">
        <f t="shared" ref="AB1137:AC1137" si="2278">trim(Q1137)</f>
        <v>On-time Delivery</v>
      </c>
      <c r="AC1137" s="14" t="str">
        <f t="shared" si="2278"/>
        <v>Delivered on time</v>
      </c>
      <c r="AD1137" s="8"/>
    </row>
    <row r="1138">
      <c r="A1138" s="14" t="str">
        <f>IFERROR(__xludf.DUMMYFUNCTION("""COMPUTED_VALUE"""),"//ord_41116//Diya Arora//Lower Parel//Chilli Cheese Toast+3*Kiran Mehta/10/1/2023//UPI//Delivered*Quality of Items: Perfect condition")</f>
        <v>//ord_41116//Diya Arora//Lower Parel//Chilli Cheese Toast+3*Kiran Mehta/10/1/2023//UPI//Delivered*Quality of Items: Perfect condition</v>
      </c>
      <c r="B1138" s="14" t="str">
        <f>IFERROR(__xludf.DUMMYFUNCTION("split(A1138,""//"")"),"ord_41116")</f>
        <v>ord_41116</v>
      </c>
      <c r="C1138" s="14" t="str">
        <f>IFERROR(__xludf.DUMMYFUNCTION("""COMPUTED_VALUE"""),"Diya Arora")</f>
        <v>Diya Arora</v>
      </c>
      <c r="D1138" s="14" t="str">
        <f>IFERROR(__xludf.DUMMYFUNCTION("""COMPUTED_VALUE"""),"Lower Parel")</f>
        <v>Lower Parel</v>
      </c>
      <c r="E1138" s="14" t="str">
        <f>IFERROR(__xludf.DUMMYFUNCTION("""COMPUTED_VALUE"""),"Chilli Cheese Toast+3*Kiran Mehta")</f>
        <v>Chilli Cheese Toast+3*Kiran Mehta</v>
      </c>
      <c r="F1138" s="14">
        <f>IFERROR(__xludf.DUMMYFUNCTION("""COMPUTED_VALUE"""),10.0)</f>
        <v>10</v>
      </c>
      <c r="G1138" s="14">
        <f>IFERROR(__xludf.DUMMYFUNCTION("""COMPUTED_VALUE"""),1.0)</f>
        <v>1</v>
      </c>
      <c r="H1138" s="14">
        <f>IFERROR(__xludf.DUMMYFUNCTION("""COMPUTED_VALUE"""),2023.0)</f>
        <v>2023</v>
      </c>
      <c r="I1138" s="14" t="str">
        <f>IFERROR(__xludf.DUMMYFUNCTION("""COMPUTED_VALUE"""),"UPI")</f>
        <v>UPI</v>
      </c>
      <c r="J1138" s="14" t="str">
        <f>IFERROR(__xludf.DUMMYFUNCTION("""COMPUTED_VALUE"""),"Delivered*Quality of Items: Perfect condition")</f>
        <v>Delivered*Quality of Items: Perfect condition</v>
      </c>
      <c r="K1138" s="14" t="str">
        <f>IFERROR(__xludf.DUMMYFUNCTION("split(E1138,""+"")"),"Chilli Cheese Toast")</f>
        <v>Chilli Cheese Toast</v>
      </c>
      <c r="L1138" s="14" t="str">
        <f>IFERROR(__xludf.DUMMYFUNCTION("""COMPUTED_VALUE"""),"3*Kiran Mehta")</f>
        <v>3*Kiran Mehta</v>
      </c>
      <c r="M1138" s="14">
        <f>IFERROR(__xludf.DUMMYFUNCTION("SPLIT(L1138,""*"")"),3.0)</f>
        <v>3</v>
      </c>
      <c r="N1138" s="14" t="str">
        <f>IFERROR(__xludf.DUMMYFUNCTION("""COMPUTED_VALUE"""),"Kiran Mehta")</f>
        <v>Kiran Mehta</v>
      </c>
      <c r="O1138" s="14" t="str">
        <f>IFERROR(__xludf.DUMMYFUNCTION("split(J1138,""*"")"),"Delivered")</f>
        <v>Delivered</v>
      </c>
      <c r="P1138" s="14" t="str">
        <f>IFERROR(__xludf.DUMMYFUNCTION("""COMPUTED_VALUE"""),"Quality of Items: Perfect condition")</f>
        <v>Quality of Items: Perfect condition</v>
      </c>
      <c r="Q1138" s="14" t="str">
        <f>IFERROR(__xludf.DUMMYFUNCTION("split(P1138,"":"")"),"Quality of Items")</f>
        <v>Quality of Items</v>
      </c>
      <c r="R1138" s="14" t="str">
        <f>IFERROR(__xludf.DUMMYFUNCTION("""COMPUTED_VALUE""")," Perfect condition")</f>
        <v> Perfect condition</v>
      </c>
      <c r="S1138" s="14" t="str">
        <f t="shared" ref="S1138:U1138" si="2279">trim(B1138)</f>
        <v>ord_41116</v>
      </c>
      <c r="T1138" s="14" t="str">
        <f t="shared" si="2279"/>
        <v>Diya Arora</v>
      </c>
      <c r="U1138" s="14" t="str">
        <f t="shared" si="2279"/>
        <v>Lower Parel</v>
      </c>
      <c r="V1138" s="14" t="str">
        <f t="shared" si="4"/>
        <v>Chilli Cheese Toast</v>
      </c>
      <c r="W1138" s="14">
        <f t="shared" si="5"/>
        <v>3</v>
      </c>
      <c r="X1138" s="14" t="str">
        <f t="shared" si="6"/>
        <v>Kiran Mehta</v>
      </c>
      <c r="Y1138" s="15">
        <f t="shared" si="7"/>
        <v>45200</v>
      </c>
      <c r="Z1138" s="14" t="str">
        <f t="shared" si="8"/>
        <v>UPI</v>
      </c>
      <c r="AA1138" s="14" t="str">
        <f t="shared" si="9"/>
        <v>Delivered</v>
      </c>
      <c r="AB1138" s="14" t="str">
        <f t="shared" ref="AB1138:AC1138" si="2280">trim(Q1138)</f>
        <v>Quality of Items</v>
      </c>
      <c r="AC1138" s="14" t="str">
        <f t="shared" si="2280"/>
        <v>Perfect condition</v>
      </c>
      <c r="AD1138" s="8"/>
    </row>
    <row r="1139">
      <c r="A1139" s="14" t="str">
        <f>IFERROR(__xludf.DUMMYFUNCTION("""COMPUTED_VALUE"""),"//ord_41117//Arvind Kulkarni//Juhu//Juice+2*Not Assigned/7/30/2023//UPI//Cancelled*App Glitches:Slow Loading Time")</f>
        <v>//ord_41117//Arvind Kulkarni//Juhu//Juice+2*Not Assigned/7/30/2023//UPI//Cancelled*App Glitches:Slow Loading Time</v>
      </c>
      <c r="B1139" s="14" t="str">
        <f>IFERROR(__xludf.DUMMYFUNCTION("split(A1139,""//"")"),"ord_41117")</f>
        <v>ord_41117</v>
      </c>
      <c r="C1139" s="14" t="str">
        <f>IFERROR(__xludf.DUMMYFUNCTION("""COMPUTED_VALUE"""),"Arvind Kulkarni")</f>
        <v>Arvind Kulkarni</v>
      </c>
      <c r="D1139" s="14" t="str">
        <f>IFERROR(__xludf.DUMMYFUNCTION("""COMPUTED_VALUE"""),"Juhu")</f>
        <v>Juhu</v>
      </c>
      <c r="E1139" s="14" t="str">
        <f>IFERROR(__xludf.DUMMYFUNCTION("""COMPUTED_VALUE"""),"Juice+2*Not Assigned")</f>
        <v>Juice+2*Not Assigned</v>
      </c>
      <c r="F1139" s="14">
        <f>IFERROR(__xludf.DUMMYFUNCTION("""COMPUTED_VALUE"""),7.0)</f>
        <v>7</v>
      </c>
      <c r="G1139" s="14">
        <f>IFERROR(__xludf.DUMMYFUNCTION("""COMPUTED_VALUE"""),30.0)</f>
        <v>30</v>
      </c>
      <c r="H1139" s="14">
        <f>IFERROR(__xludf.DUMMYFUNCTION("""COMPUTED_VALUE"""),2023.0)</f>
        <v>2023</v>
      </c>
      <c r="I1139" s="14" t="str">
        <f>IFERROR(__xludf.DUMMYFUNCTION("""COMPUTED_VALUE"""),"UPI")</f>
        <v>UPI</v>
      </c>
      <c r="J1139" s="14" t="str">
        <f>IFERROR(__xludf.DUMMYFUNCTION("""COMPUTED_VALUE"""),"Cancelled*App Glitches:Slow Loading Time")</f>
        <v>Cancelled*App Glitches:Slow Loading Time</v>
      </c>
      <c r="K1139" s="14" t="str">
        <f>IFERROR(__xludf.DUMMYFUNCTION("split(E1139,""+"")"),"Juice")</f>
        <v>Juice</v>
      </c>
      <c r="L1139" s="14" t="str">
        <f>IFERROR(__xludf.DUMMYFUNCTION("""COMPUTED_VALUE"""),"2*Not Assigned")</f>
        <v>2*Not Assigned</v>
      </c>
      <c r="M1139" s="14">
        <f>IFERROR(__xludf.DUMMYFUNCTION("SPLIT(L1139,""*"")"),2.0)</f>
        <v>2</v>
      </c>
      <c r="N1139" s="14" t="str">
        <f>IFERROR(__xludf.DUMMYFUNCTION("""COMPUTED_VALUE"""),"Not Assigned")</f>
        <v>Not Assigned</v>
      </c>
      <c r="O1139" s="14" t="str">
        <f>IFERROR(__xludf.DUMMYFUNCTION("split(J1139,""*"")"),"Cancelled")</f>
        <v>Cancelled</v>
      </c>
      <c r="P1139" s="14" t="str">
        <f>IFERROR(__xludf.DUMMYFUNCTION("""COMPUTED_VALUE"""),"App Glitches:Slow Loading Time")</f>
        <v>App Glitches:Slow Loading Time</v>
      </c>
      <c r="Q1139" s="14" t="str">
        <f>IFERROR(__xludf.DUMMYFUNCTION("split(P1139,"":"")"),"App Glitches")</f>
        <v>App Glitches</v>
      </c>
      <c r="R1139" s="14" t="str">
        <f>IFERROR(__xludf.DUMMYFUNCTION("""COMPUTED_VALUE"""),"Slow Loading Time")</f>
        <v>Slow Loading Time</v>
      </c>
      <c r="S1139" s="14" t="str">
        <f t="shared" ref="S1139:U1139" si="2281">trim(B1139)</f>
        <v>ord_41117</v>
      </c>
      <c r="T1139" s="14" t="str">
        <f t="shared" si="2281"/>
        <v>Arvind Kulkarni</v>
      </c>
      <c r="U1139" s="14" t="str">
        <f t="shared" si="2281"/>
        <v>Juhu</v>
      </c>
      <c r="V1139" s="14" t="str">
        <f t="shared" si="4"/>
        <v>Juice</v>
      </c>
      <c r="W1139" s="14">
        <f t="shared" si="5"/>
        <v>2</v>
      </c>
      <c r="X1139" s="14" t="str">
        <f t="shared" si="6"/>
        <v>Not Assigned</v>
      </c>
      <c r="Y1139" s="15">
        <f t="shared" si="7"/>
        <v>45137</v>
      </c>
      <c r="Z1139" s="14" t="str">
        <f t="shared" si="8"/>
        <v>UPI</v>
      </c>
      <c r="AA1139" s="14" t="str">
        <f t="shared" si="9"/>
        <v>Cancelled</v>
      </c>
      <c r="AB1139" s="14" t="str">
        <f t="shared" ref="AB1139:AC1139" si="2282">trim(Q1139)</f>
        <v>App Glitches</v>
      </c>
      <c r="AC1139" s="14" t="str">
        <f t="shared" si="2282"/>
        <v>Slow Loading Time</v>
      </c>
      <c r="AD1139" s="8"/>
    </row>
    <row r="1140">
      <c r="A1140" s="14" t="str">
        <f>IFERROR(__xludf.DUMMYFUNCTION("""COMPUTED_VALUE"""),"//ord_41118//Arvind Kulkarni//Juhu//Orange+2*Not Assigned/8/14/2023//Credit Card//Cancelled*Payment Issues")</f>
        <v>//ord_41118//Arvind Kulkarni//Juhu//Orange+2*Not Assigned/8/14/2023//Credit Card//Cancelled*Payment Issues</v>
      </c>
      <c r="B1140" s="14" t="str">
        <f>IFERROR(__xludf.DUMMYFUNCTION("split(A1140,""//"")"),"ord_41118")</f>
        <v>ord_41118</v>
      </c>
      <c r="C1140" s="14" t="str">
        <f>IFERROR(__xludf.DUMMYFUNCTION("""COMPUTED_VALUE"""),"Arvind Kulkarni")</f>
        <v>Arvind Kulkarni</v>
      </c>
      <c r="D1140" s="14" t="str">
        <f>IFERROR(__xludf.DUMMYFUNCTION("""COMPUTED_VALUE"""),"Juhu")</f>
        <v>Juhu</v>
      </c>
      <c r="E1140" s="14" t="str">
        <f>IFERROR(__xludf.DUMMYFUNCTION("""COMPUTED_VALUE"""),"Orange+2*Not Assigned")</f>
        <v>Orange+2*Not Assigned</v>
      </c>
      <c r="F1140" s="14">
        <f>IFERROR(__xludf.DUMMYFUNCTION("""COMPUTED_VALUE"""),8.0)</f>
        <v>8</v>
      </c>
      <c r="G1140" s="14">
        <f>IFERROR(__xludf.DUMMYFUNCTION("""COMPUTED_VALUE"""),14.0)</f>
        <v>14</v>
      </c>
      <c r="H1140" s="14">
        <f>IFERROR(__xludf.DUMMYFUNCTION("""COMPUTED_VALUE"""),2023.0)</f>
        <v>2023</v>
      </c>
      <c r="I1140" s="14" t="str">
        <f>IFERROR(__xludf.DUMMYFUNCTION("""COMPUTED_VALUE"""),"Credit Card")</f>
        <v>Credit Card</v>
      </c>
      <c r="J1140" s="14" t="str">
        <f>IFERROR(__xludf.DUMMYFUNCTION("""COMPUTED_VALUE"""),"Cancelled*Payment Issues")</f>
        <v>Cancelled*Payment Issues</v>
      </c>
      <c r="K1140" s="14" t="str">
        <f>IFERROR(__xludf.DUMMYFUNCTION("split(E1140,""+"")"),"Orange")</f>
        <v>Orange</v>
      </c>
      <c r="L1140" s="14" t="str">
        <f>IFERROR(__xludf.DUMMYFUNCTION("""COMPUTED_VALUE"""),"2*Not Assigned")</f>
        <v>2*Not Assigned</v>
      </c>
      <c r="M1140" s="14">
        <f>IFERROR(__xludf.DUMMYFUNCTION("SPLIT(L1140,""*"")"),2.0)</f>
        <v>2</v>
      </c>
      <c r="N1140" s="14" t="str">
        <f>IFERROR(__xludf.DUMMYFUNCTION("""COMPUTED_VALUE"""),"Not Assigned")</f>
        <v>Not Assigned</v>
      </c>
      <c r="O1140" s="14" t="str">
        <f>IFERROR(__xludf.DUMMYFUNCTION("split(J1140,""*"")"),"Cancelled")</f>
        <v>Cancelled</v>
      </c>
      <c r="P1140" s="14" t="str">
        <f>IFERROR(__xludf.DUMMYFUNCTION("""COMPUTED_VALUE"""),"Payment Issues")</f>
        <v>Payment Issues</v>
      </c>
      <c r="Q1140" s="14" t="str">
        <f>IFERROR(__xludf.DUMMYFUNCTION("split(P1140,"":"")"),"Payment Issues")</f>
        <v>Payment Issues</v>
      </c>
      <c r="R1140" s="14"/>
      <c r="S1140" s="14" t="str">
        <f t="shared" ref="S1140:U1140" si="2283">trim(B1140)</f>
        <v>ord_41118</v>
      </c>
      <c r="T1140" s="14" t="str">
        <f t="shared" si="2283"/>
        <v>Arvind Kulkarni</v>
      </c>
      <c r="U1140" s="14" t="str">
        <f t="shared" si="2283"/>
        <v>Juhu</v>
      </c>
      <c r="V1140" s="14" t="str">
        <f t="shared" si="4"/>
        <v>Orange</v>
      </c>
      <c r="W1140" s="14">
        <f t="shared" si="5"/>
        <v>2</v>
      </c>
      <c r="X1140" s="14" t="str">
        <f t="shared" si="6"/>
        <v>Not Assigned</v>
      </c>
      <c r="Y1140" s="15">
        <f t="shared" si="7"/>
        <v>45152</v>
      </c>
      <c r="Z1140" s="14" t="str">
        <f t="shared" si="8"/>
        <v>Credit Card</v>
      </c>
      <c r="AA1140" s="14" t="str">
        <f t="shared" si="9"/>
        <v>Cancelled</v>
      </c>
      <c r="AB1140" s="14" t="str">
        <f t="shared" ref="AB1140:AC1140" si="2284">trim(Q1140)</f>
        <v>Payment Issues</v>
      </c>
      <c r="AC1140" s="14" t="str">
        <f t="shared" si="2284"/>
        <v/>
      </c>
      <c r="AD1140" s="8"/>
    </row>
    <row r="1141">
      <c r="A1141" s="14" t="str">
        <f>IFERROR(__xludf.DUMMYFUNCTION("""COMPUTED_VALUE"""),"//ord_41119//Anaya Rao//Colaba//Tiramisu+5*Nikhil Deshmukh/2/19/2023//COD//Delivered*Packaging: Secure and intact")</f>
        <v>//ord_41119//Anaya Rao//Colaba//Tiramisu+5*Nikhil Deshmukh/2/19/2023//COD//Delivered*Packaging: Secure and intact</v>
      </c>
      <c r="B1141" s="14" t="str">
        <f>IFERROR(__xludf.DUMMYFUNCTION("split(A1141,""//"")"),"ord_41119")</f>
        <v>ord_41119</v>
      </c>
      <c r="C1141" s="14" t="str">
        <f>IFERROR(__xludf.DUMMYFUNCTION("""COMPUTED_VALUE"""),"Anaya Rao")</f>
        <v>Anaya Rao</v>
      </c>
      <c r="D1141" s="14" t="str">
        <f>IFERROR(__xludf.DUMMYFUNCTION("""COMPUTED_VALUE"""),"Colaba")</f>
        <v>Colaba</v>
      </c>
      <c r="E1141" s="14" t="str">
        <f>IFERROR(__xludf.DUMMYFUNCTION("""COMPUTED_VALUE"""),"Tiramisu+5*Nikhil Deshmukh")</f>
        <v>Tiramisu+5*Nikhil Deshmukh</v>
      </c>
      <c r="F1141" s="14">
        <f>IFERROR(__xludf.DUMMYFUNCTION("""COMPUTED_VALUE"""),2.0)</f>
        <v>2</v>
      </c>
      <c r="G1141" s="14">
        <f>IFERROR(__xludf.DUMMYFUNCTION("""COMPUTED_VALUE"""),19.0)</f>
        <v>19</v>
      </c>
      <c r="H1141" s="14">
        <f>IFERROR(__xludf.DUMMYFUNCTION("""COMPUTED_VALUE"""),2023.0)</f>
        <v>2023</v>
      </c>
      <c r="I1141" s="14" t="str">
        <f>IFERROR(__xludf.DUMMYFUNCTION("""COMPUTED_VALUE"""),"COD")</f>
        <v>COD</v>
      </c>
      <c r="J1141" s="14" t="str">
        <f>IFERROR(__xludf.DUMMYFUNCTION("""COMPUTED_VALUE"""),"Delivered*Packaging: Secure and intact")</f>
        <v>Delivered*Packaging: Secure and intact</v>
      </c>
      <c r="K1141" s="14" t="str">
        <f>IFERROR(__xludf.DUMMYFUNCTION("split(E1141,""+"")"),"Tiramisu")</f>
        <v>Tiramisu</v>
      </c>
      <c r="L1141" s="14" t="str">
        <f>IFERROR(__xludf.DUMMYFUNCTION("""COMPUTED_VALUE"""),"5*Nikhil Deshmukh")</f>
        <v>5*Nikhil Deshmukh</v>
      </c>
      <c r="M1141" s="14">
        <f>IFERROR(__xludf.DUMMYFUNCTION("SPLIT(L1141,""*"")"),5.0)</f>
        <v>5</v>
      </c>
      <c r="N1141" s="14" t="str">
        <f>IFERROR(__xludf.DUMMYFUNCTION("""COMPUTED_VALUE"""),"Nikhil Deshmukh")</f>
        <v>Nikhil Deshmukh</v>
      </c>
      <c r="O1141" s="14" t="str">
        <f>IFERROR(__xludf.DUMMYFUNCTION("split(J1141,""*"")"),"Delivered")</f>
        <v>Delivered</v>
      </c>
      <c r="P1141" s="14" t="str">
        <f>IFERROR(__xludf.DUMMYFUNCTION("""COMPUTED_VALUE"""),"Packaging: Secure and intact")</f>
        <v>Packaging: Secure and intact</v>
      </c>
      <c r="Q1141" s="14" t="str">
        <f>IFERROR(__xludf.DUMMYFUNCTION("split(P1141,"":"")"),"Packaging")</f>
        <v>Packaging</v>
      </c>
      <c r="R1141" s="14" t="str">
        <f>IFERROR(__xludf.DUMMYFUNCTION("""COMPUTED_VALUE""")," Secure and intact")</f>
        <v> Secure and intact</v>
      </c>
      <c r="S1141" s="14" t="str">
        <f t="shared" ref="S1141:U1141" si="2285">trim(B1141)</f>
        <v>ord_41119</v>
      </c>
      <c r="T1141" s="14" t="str">
        <f t="shared" si="2285"/>
        <v>Anaya Rao</v>
      </c>
      <c r="U1141" s="14" t="str">
        <f t="shared" si="2285"/>
        <v>Colaba</v>
      </c>
      <c r="V1141" s="14" t="str">
        <f t="shared" si="4"/>
        <v>Tiramisu</v>
      </c>
      <c r="W1141" s="14">
        <f t="shared" si="5"/>
        <v>5</v>
      </c>
      <c r="X1141" s="14" t="str">
        <f t="shared" si="6"/>
        <v>Nikhil Deshmukh</v>
      </c>
      <c r="Y1141" s="15">
        <f t="shared" si="7"/>
        <v>44976</v>
      </c>
      <c r="Z1141" s="14" t="str">
        <f t="shared" si="8"/>
        <v>COD</v>
      </c>
      <c r="AA1141" s="14" t="str">
        <f t="shared" si="9"/>
        <v>Delivered</v>
      </c>
      <c r="AB1141" s="14" t="str">
        <f t="shared" ref="AB1141:AC1141" si="2286">trim(Q1141)</f>
        <v>Packaging</v>
      </c>
      <c r="AC1141" s="14" t="str">
        <f t="shared" si="2286"/>
        <v>Secure and intact</v>
      </c>
      <c r="AD1141" s="8"/>
    </row>
    <row r="1142">
      <c r="A1142" s="14" t="str">
        <f>IFERROR(__xludf.DUMMYFUNCTION("""COMPUTED_VALUE"""),"//ord_41120//Pranav Joshi//Andheri//Banana+1*Rohan Yadav/11/15/2023//UPI//Delivered*Satisfied with the Delivery: Timely and quality")</f>
        <v>//ord_41120//Pranav Joshi//Andheri//Banana+1*Rohan Yadav/11/15/2023//UPI//Delivered*Satisfied with the Delivery: Timely and quality</v>
      </c>
      <c r="B1142" s="14" t="str">
        <f>IFERROR(__xludf.DUMMYFUNCTION("split(A1142,""//"")"),"ord_41120")</f>
        <v>ord_41120</v>
      </c>
      <c r="C1142" s="14" t="str">
        <f>IFERROR(__xludf.DUMMYFUNCTION("""COMPUTED_VALUE"""),"Pranav Joshi")</f>
        <v>Pranav Joshi</v>
      </c>
      <c r="D1142" s="14" t="str">
        <f>IFERROR(__xludf.DUMMYFUNCTION("""COMPUTED_VALUE"""),"Andheri")</f>
        <v>Andheri</v>
      </c>
      <c r="E1142" s="14" t="str">
        <f>IFERROR(__xludf.DUMMYFUNCTION("""COMPUTED_VALUE"""),"Banana+1*Rohan Yadav")</f>
        <v>Banana+1*Rohan Yadav</v>
      </c>
      <c r="F1142" s="14">
        <f>IFERROR(__xludf.DUMMYFUNCTION("""COMPUTED_VALUE"""),11.0)</f>
        <v>11</v>
      </c>
      <c r="G1142" s="14">
        <f>IFERROR(__xludf.DUMMYFUNCTION("""COMPUTED_VALUE"""),15.0)</f>
        <v>15</v>
      </c>
      <c r="H1142" s="14">
        <f>IFERROR(__xludf.DUMMYFUNCTION("""COMPUTED_VALUE"""),2023.0)</f>
        <v>2023</v>
      </c>
      <c r="I1142" s="14" t="str">
        <f>IFERROR(__xludf.DUMMYFUNCTION("""COMPUTED_VALUE"""),"UPI")</f>
        <v>UPI</v>
      </c>
      <c r="J1142" s="14" t="str">
        <f>IFERROR(__xludf.DUMMYFUNCTION("""COMPUTED_VALUE"""),"Delivered*Satisfied with the Delivery: Timely and quality")</f>
        <v>Delivered*Satisfied with the Delivery: Timely and quality</v>
      </c>
      <c r="K1142" s="14" t="str">
        <f>IFERROR(__xludf.DUMMYFUNCTION("split(E1142,""+"")"),"Banana")</f>
        <v>Banana</v>
      </c>
      <c r="L1142" s="14" t="str">
        <f>IFERROR(__xludf.DUMMYFUNCTION("""COMPUTED_VALUE"""),"1*Rohan Yadav")</f>
        <v>1*Rohan Yadav</v>
      </c>
      <c r="M1142" s="14">
        <f>IFERROR(__xludf.DUMMYFUNCTION("SPLIT(L1142,""*"")"),1.0)</f>
        <v>1</v>
      </c>
      <c r="N1142" s="14" t="str">
        <f>IFERROR(__xludf.DUMMYFUNCTION("""COMPUTED_VALUE"""),"Rohan Yadav")</f>
        <v>Rohan Yadav</v>
      </c>
      <c r="O1142" s="14" t="str">
        <f>IFERROR(__xludf.DUMMYFUNCTION("split(J1142,""*"")"),"Delivered")</f>
        <v>Delivered</v>
      </c>
      <c r="P1142" s="14" t="str">
        <f>IFERROR(__xludf.DUMMYFUNCTION("""COMPUTED_VALUE"""),"Satisfied with the Delivery: Timely and quality")</f>
        <v>Satisfied with the Delivery: Timely and quality</v>
      </c>
      <c r="Q1142" s="14" t="str">
        <f>IFERROR(__xludf.DUMMYFUNCTION("split(P1142,"":"")"),"Satisfied with the Delivery")</f>
        <v>Satisfied with the Delivery</v>
      </c>
      <c r="R1142" s="14" t="str">
        <f>IFERROR(__xludf.DUMMYFUNCTION("""COMPUTED_VALUE""")," Timely and quality")</f>
        <v> Timely and quality</v>
      </c>
      <c r="S1142" s="14" t="str">
        <f t="shared" ref="S1142:U1142" si="2287">trim(B1142)</f>
        <v>ord_41120</v>
      </c>
      <c r="T1142" s="14" t="str">
        <f t="shared" si="2287"/>
        <v>Pranav Joshi</v>
      </c>
      <c r="U1142" s="14" t="str">
        <f t="shared" si="2287"/>
        <v>Andheri</v>
      </c>
      <c r="V1142" s="14" t="str">
        <f t="shared" si="4"/>
        <v>Banana</v>
      </c>
      <c r="W1142" s="14">
        <f t="shared" si="5"/>
        <v>1</v>
      </c>
      <c r="X1142" s="14" t="str">
        <f t="shared" si="6"/>
        <v>Rohan Yadav</v>
      </c>
      <c r="Y1142" s="15">
        <f t="shared" si="7"/>
        <v>45245</v>
      </c>
      <c r="Z1142" s="14" t="str">
        <f t="shared" si="8"/>
        <v>UPI</v>
      </c>
      <c r="AA1142" s="14" t="str">
        <f t="shared" si="9"/>
        <v>Delivered</v>
      </c>
      <c r="AB1142" s="14" t="str">
        <f t="shared" ref="AB1142:AC1142" si="2288">trim(Q1142)</f>
        <v>Satisfied with the Delivery</v>
      </c>
      <c r="AC1142" s="14" t="str">
        <f t="shared" si="2288"/>
        <v>Timely and quality</v>
      </c>
      <c r="AD1142" s="8"/>
    </row>
    <row r="1143">
      <c r="A1143" s="14" t="str">
        <f>IFERROR(__xludf.DUMMYFUNCTION("""COMPUTED_VALUE"""),"//ord_41121//Ishaan Chaturvedi//Bandra//Apple+1*Priya Joshi/9/20/2023//UPI//Delivered*Customer Service: Seamless and easy")</f>
        <v>//ord_41121//Ishaan Chaturvedi//Bandra//Apple+1*Priya Joshi/9/20/2023//UPI//Delivered*Customer Service: Seamless and easy</v>
      </c>
      <c r="B1143" s="14" t="str">
        <f>IFERROR(__xludf.DUMMYFUNCTION("split(A1143,""//"")"),"ord_41121")</f>
        <v>ord_41121</v>
      </c>
      <c r="C1143" s="14" t="str">
        <f>IFERROR(__xludf.DUMMYFUNCTION("""COMPUTED_VALUE"""),"Ishaan Chaturvedi")</f>
        <v>Ishaan Chaturvedi</v>
      </c>
      <c r="D1143" s="14" t="str">
        <f>IFERROR(__xludf.DUMMYFUNCTION("""COMPUTED_VALUE"""),"Bandra")</f>
        <v>Bandra</v>
      </c>
      <c r="E1143" s="14" t="str">
        <f>IFERROR(__xludf.DUMMYFUNCTION("""COMPUTED_VALUE"""),"Apple+1*Priya Joshi")</f>
        <v>Apple+1*Priya Joshi</v>
      </c>
      <c r="F1143" s="14">
        <f>IFERROR(__xludf.DUMMYFUNCTION("""COMPUTED_VALUE"""),9.0)</f>
        <v>9</v>
      </c>
      <c r="G1143" s="14">
        <f>IFERROR(__xludf.DUMMYFUNCTION("""COMPUTED_VALUE"""),20.0)</f>
        <v>20</v>
      </c>
      <c r="H1143" s="14">
        <f>IFERROR(__xludf.DUMMYFUNCTION("""COMPUTED_VALUE"""),2023.0)</f>
        <v>2023</v>
      </c>
      <c r="I1143" s="14" t="str">
        <f>IFERROR(__xludf.DUMMYFUNCTION("""COMPUTED_VALUE"""),"UPI")</f>
        <v>UPI</v>
      </c>
      <c r="J1143" s="14" t="str">
        <f>IFERROR(__xludf.DUMMYFUNCTION("""COMPUTED_VALUE"""),"Delivered*Customer Service: Seamless and easy")</f>
        <v>Delivered*Customer Service: Seamless and easy</v>
      </c>
      <c r="K1143" s="14" t="str">
        <f>IFERROR(__xludf.DUMMYFUNCTION("split(E1143,""+"")"),"Apple")</f>
        <v>Apple</v>
      </c>
      <c r="L1143" s="14" t="str">
        <f>IFERROR(__xludf.DUMMYFUNCTION("""COMPUTED_VALUE"""),"1*Priya Joshi")</f>
        <v>1*Priya Joshi</v>
      </c>
      <c r="M1143" s="14">
        <f>IFERROR(__xludf.DUMMYFUNCTION("SPLIT(L1143,""*"")"),1.0)</f>
        <v>1</v>
      </c>
      <c r="N1143" s="14" t="str">
        <f>IFERROR(__xludf.DUMMYFUNCTION("""COMPUTED_VALUE"""),"Priya Joshi")</f>
        <v>Priya Joshi</v>
      </c>
      <c r="O1143" s="14" t="str">
        <f>IFERROR(__xludf.DUMMYFUNCTION("split(J1143,""*"")"),"Delivered")</f>
        <v>Delivered</v>
      </c>
      <c r="P1143" s="14" t="str">
        <f>IFERROR(__xludf.DUMMYFUNCTION("""COMPUTED_VALUE"""),"Customer Service: Seamless and easy")</f>
        <v>Customer Service: Seamless and easy</v>
      </c>
      <c r="Q1143" s="14" t="str">
        <f>IFERROR(__xludf.DUMMYFUNCTION("split(P1143,"":"")"),"Customer Service")</f>
        <v>Customer Service</v>
      </c>
      <c r="R1143" s="14" t="str">
        <f>IFERROR(__xludf.DUMMYFUNCTION("""COMPUTED_VALUE""")," Seamless and easy")</f>
        <v> Seamless and easy</v>
      </c>
      <c r="S1143" s="14" t="str">
        <f t="shared" ref="S1143:U1143" si="2289">trim(B1143)</f>
        <v>ord_41121</v>
      </c>
      <c r="T1143" s="14" t="str">
        <f t="shared" si="2289"/>
        <v>Ishaan Chaturvedi</v>
      </c>
      <c r="U1143" s="14" t="str">
        <f t="shared" si="2289"/>
        <v>Bandra</v>
      </c>
      <c r="V1143" s="14" t="str">
        <f t="shared" si="4"/>
        <v>Apple</v>
      </c>
      <c r="W1143" s="14">
        <f t="shared" si="5"/>
        <v>1</v>
      </c>
      <c r="X1143" s="14" t="str">
        <f t="shared" si="6"/>
        <v>Priya Joshi</v>
      </c>
      <c r="Y1143" s="15">
        <f t="shared" si="7"/>
        <v>45189</v>
      </c>
      <c r="Z1143" s="14" t="str">
        <f t="shared" si="8"/>
        <v>UPI</v>
      </c>
      <c r="AA1143" s="14" t="str">
        <f t="shared" si="9"/>
        <v>Delivered</v>
      </c>
      <c r="AB1143" s="14" t="str">
        <f t="shared" ref="AB1143:AC1143" si="2290">trim(Q1143)</f>
        <v>Customer Service</v>
      </c>
      <c r="AC1143" s="14" t="str">
        <f t="shared" si="2290"/>
        <v>Seamless and easy</v>
      </c>
      <c r="AD1143" s="8"/>
    </row>
    <row r="1144">
      <c r="A1144" s="14" t="str">
        <f>IFERROR(__xludf.DUMMYFUNCTION("""COMPUTED_VALUE"""),"//ord_41122//Ishaan Chaturvedi//Bandra//Apple+2*Priya Joshi/3/20/2023//Credit Card//Delivered*Delivery Experience: Quick and professional")</f>
        <v>//ord_41122//Ishaan Chaturvedi//Bandra//Apple+2*Priya Joshi/3/20/2023//Credit Card//Delivered*Delivery Experience: Quick and professional</v>
      </c>
      <c r="B1144" s="14" t="str">
        <f>IFERROR(__xludf.DUMMYFUNCTION("split(A1144,""//"")"),"ord_41122")</f>
        <v>ord_41122</v>
      </c>
      <c r="C1144" s="14" t="str">
        <f>IFERROR(__xludf.DUMMYFUNCTION("""COMPUTED_VALUE"""),"Ishaan Chaturvedi")</f>
        <v>Ishaan Chaturvedi</v>
      </c>
      <c r="D1144" s="14" t="str">
        <f>IFERROR(__xludf.DUMMYFUNCTION("""COMPUTED_VALUE"""),"Bandra")</f>
        <v>Bandra</v>
      </c>
      <c r="E1144" s="14" t="str">
        <f>IFERROR(__xludf.DUMMYFUNCTION("""COMPUTED_VALUE"""),"Apple+2*Priya Joshi")</f>
        <v>Apple+2*Priya Joshi</v>
      </c>
      <c r="F1144" s="14">
        <f>IFERROR(__xludf.DUMMYFUNCTION("""COMPUTED_VALUE"""),3.0)</f>
        <v>3</v>
      </c>
      <c r="G1144" s="14">
        <f>IFERROR(__xludf.DUMMYFUNCTION("""COMPUTED_VALUE"""),20.0)</f>
        <v>20</v>
      </c>
      <c r="H1144" s="14">
        <f>IFERROR(__xludf.DUMMYFUNCTION("""COMPUTED_VALUE"""),2023.0)</f>
        <v>2023</v>
      </c>
      <c r="I1144" s="14" t="str">
        <f>IFERROR(__xludf.DUMMYFUNCTION("""COMPUTED_VALUE"""),"Credit Card")</f>
        <v>Credit Card</v>
      </c>
      <c r="J1144" s="14" t="str">
        <f>IFERROR(__xludf.DUMMYFUNCTION("""COMPUTED_VALUE"""),"Delivered*Delivery Experience: Quick and professional")</f>
        <v>Delivered*Delivery Experience: Quick and professional</v>
      </c>
      <c r="K1144" s="14" t="str">
        <f>IFERROR(__xludf.DUMMYFUNCTION("split(E1144,""+"")"),"Apple")</f>
        <v>Apple</v>
      </c>
      <c r="L1144" s="14" t="str">
        <f>IFERROR(__xludf.DUMMYFUNCTION("""COMPUTED_VALUE"""),"2*Priya Joshi")</f>
        <v>2*Priya Joshi</v>
      </c>
      <c r="M1144" s="14">
        <f>IFERROR(__xludf.DUMMYFUNCTION("SPLIT(L1144,""*"")"),2.0)</f>
        <v>2</v>
      </c>
      <c r="N1144" s="14" t="str">
        <f>IFERROR(__xludf.DUMMYFUNCTION("""COMPUTED_VALUE"""),"Priya Joshi")</f>
        <v>Priya Joshi</v>
      </c>
      <c r="O1144" s="14" t="str">
        <f>IFERROR(__xludf.DUMMYFUNCTION("split(J1144,""*"")"),"Delivered")</f>
        <v>Delivered</v>
      </c>
      <c r="P1144" s="14" t="str">
        <f>IFERROR(__xludf.DUMMYFUNCTION("""COMPUTED_VALUE"""),"Delivery Experience: Quick and professional")</f>
        <v>Delivery Experience: Quick and professional</v>
      </c>
      <c r="Q1144" s="14" t="str">
        <f>IFERROR(__xludf.DUMMYFUNCTION("split(P1144,"":"")"),"Delivery Experience")</f>
        <v>Delivery Experience</v>
      </c>
      <c r="R1144" s="14" t="str">
        <f>IFERROR(__xludf.DUMMYFUNCTION("""COMPUTED_VALUE""")," Quick and professional")</f>
        <v> Quick and professional</v>
      </c>
      <c r="S1144" s="14" t="str">
        <f t="shared" ref="S1144:U1144" si="2291">trim(B1144)</f>
        <v>ord_41122</v>
      </c>
      <c r="T1144" s="14" t="str">
        <f t="shared" si="2291"/>
        <v>Ishaan Chaturvedi</v>
      </c>
      <c r="U1144" s="14" t="str">
        <f t="shared" si="2291"/>
        <v>Bandra</v>
      </c>
      <c r="V1144" s="14" t="str">
        <f t="shared" si="4"/>
        <v>Apple</v>
      </c>
      <c r="W1144" s="14">
        <f t="shared" si="5"/>
        <v>2</v>
      </c>
      <c r="X1144" s="14" t="str">
        <f t="shared" si="6"/>
        <v>Priya Joshi</v>
      </c>
      <c r="Y1144" s="15">
        <f t="shared" si="7"/>
        <v>45005</v>
      </c>
      <c r="Z1144" s="14" t="str">
        <f t="shared" si="8"/>
        <v>Credit Card</v>
      </c>
      <c r="AA1144" s="14" t="str">
        <f t="shared" si="9"/>
        <v>Delivered</v>
      </c>
      <c r="AB1144" s="14" t="str">
        <f t="shared" ref="AB1144:AC1144" si="2292">trim(Q1144)</f>
        <v>Delivery Experience</v>
      </c>
      <c r="AC1144" s="14" t="str">
        <f t="shared" si="2292"/>
        <v>Quick and professional</v>
      </c>
      <c r="AD1144" s="8"/>
    </row>
    <row r="1145">
      <c r="A1145" s="14" t="str">
        <f>IFERROR(__xludf.DUMMYFUNCTION("""COMPUTED_VALUE"""),"//ord_41123//Diya Arora//Lower Parel//Rasmalai+4*Kiran Mehta/7/6/2023//Online Payment//Delivered*Convenience: Easy tracking")</f>
        <v>//ord_41123//Diya Arora//Lower Parel//Rasmalai+4*Kiran Mehta/7/6/2023//Online Payment//Delivered*Convenience: Easy tracking</v>
      </c>
      <c r="B1145" s="14" t="str">
        <f>IFERROR(__xludf.DUMMYFUNCTION("split(A1145,""//"")"),"ord_41123")</f>
        <v>ord_41123</v>
      </c>
      <c r="C1145" s="14" t="str">
        <f>IFERROR(__xludf.DUMMYFUNCTION("""COMPUTED_VALUE"""),"Diya Arora")</f>
        <v>Diya Arora</v>
      </c>
      <c r="D1145" s="14" t="str">
        <f>IFERROR(__xludf.DUMMYFUNCTION("""COMPUTED_VALUE"""),"Lower Parel")</f>
        <v>Lower Parel</v>
      </c>
      <c r="E1145" s="14" t="str">
        <f>IFERROR(__xludf.DUMMYFUNCTION("""COMPUTED_VALUE"""),"Rasmalai+4*Kiran Mehta")</f>
        <v>Rasmalai+4*Kiran Mehta</v>
      </c>
      <c r="F1145" s="14">
        <f>IFERROR(__xludf.DUMMYFUNCTION("""COMPUTED_VALUE"""),7.0)</f>
        <v>7</v>
      </c>
      <c r="G1145" s="14">
        <f>IFERROR(__xludf.DUMMYFUNCTION("""COMPUTED_VALUE"""),6.0)</f>
        <v>6</v>
      </c>
      <c r="H1145" s="14">
        <f>IFERROR(__xludf.DUMMYFUNCTION("""COMPUTED_VALUE"""),2023.0)</f>
        <v>2023</v>
      </c>
      <c r="I1145" s="14" t="str">
        <f>IFERROR(__xludf.DUMMYFUNCTION("""COMPUTED_VALUE"""),"Online Payment")</f>
        <v>Online Payment</v>
      </c>
      <c r="J1145" s="14" t="str">
        <f>IFERROR(__xludf.DUMMYFUNCTION("""COMPUTED_VALUE"""),"Delivered*Convenience: Easy tracking")</f>
        <v>Delivered*Convenience: Easy tracking</v>
      </c>
      <c r="K1145" s="14" t="str">
        <f>IFERROR(__xludf.DUMMYFUNCTION("split(E1145,""+"")"),"Rasmalai")</f>
        <v>Rasmalai</v>
      </c>
      <c r="L1145" s="14" t="str">
        <f>IFERROR(__xludf.DUMMYFUNCTION("""COMPUTED_VALUE"""),"4*Kiran Mehta")</f>
        <v>4*Kiran Mehta</v>
      </c>
      <c r="M1145" s="14">
        <f>IFERROR(__xludf.DUMMYFUNCTION("SPLIT(L1145,""*"")"),4.0)</f>
        <v>4</v>
      </c>
      <c r="N1145" s="14" t="str">
        <f>IFERROR(__xludf.DUMMYFUNCTION("""COMPUTED_VALUE"""),"Kiran Mehta")</f>
        <v>Kiran Mehta</v>
      </c>
      <c r="O1145" s="14" t="str">
        <f>IFERROR(__xludf.DUMMYFUNCTION("split(J1145,""*"")"),"Delivered")</f>
        <v>Delivered</v>
      </c>
      <c r="P1145" s="14" t="str">
        <f>IFERROR(__xludf.DUMMYFUNCTION("""COMPUTED_VALUE"""),"Convenience: Easy tracking")</f>
        <v>Convenience: Easy tracking</v>
      </c>
      <c r="Q1145" s="14" t="str">
        <f>IFERROR(__xludf.DUMMYFUNCTION("split(P1145,"":"")"),"Convenience")</f>
        <v>Convenience</v>
      </c>
      <c r="R1145" s="14" t="str">
        <f>IFERROR(__xludf.DUMMYFUNCTION("""COMPUTED_VALUE""")," Easy tracking")</f>
        <v> Easy tracking</v>
      </c>
      <c r="S1145" s="14" t="str">
        <f t="shared" ref="S1145:U1145" si="2293">trim(B1145)</f>
        <v>ord_41123</v>
      </c>
      <c r="T1145" s="14" t="str">
        <f t="shared" si="2293"/>
        <v>Diya Arora</v>
      </c>
      <c r="U1145" s="14" t="str">
        <f t="shared" si="2293"/>
        <v>Lower Parel</v>
      </c>
      <c r="V1145" s="14" t="str">
        <f t="shared" si="4"/>
        <v>Rasmalai</v>
      </c>
      <c r="W1145" s="14">
        <f t="shared" si="5"/>
        <v>4</v>
      </c>
      <c r="X1145" s="14" t="str">
        <f t="shared" si="6"/>
        <v>Kiran Mehta</v>
      </c>
      <c r="Y1145" s="15">
        <f t="shared" si="7"/>
        <v>45113</v>
      </c>
      <c r="Z1145" s="14" t="str">
        <f t="shared" si="8"/>
        <v>Online Payment</v>
      </c>
      <c r="AA1145" s="14" t="str">
        <f t="shared" si="9"/>
        <v>Delivered</v>
      </c>
      <c r="AB1145" s="14" t="str">
        <f t="shared" ref="AB1145:AC1145" si="2294">trim(Q1145)</f>
        <v>Convenience</v>
      </c>
      <c r="AC1145" s="14" t="str">
        <f t="shared" si="2294"/>
        <v>Easy tracking</v>
      </c>
      <c r="AD1145" s="8"/>
    </row>
    <row r="1146">
      <c r="A1146" s="14" t="str">
        <f>IFERROR(__xludf.DUMMYFUNCTION("""COMPUTED_VALUE"""),"//ord_41124//Parth Goel//Juhu//Icecream+4*Tanvi Jain/4/23/2023//UPI//Delivered*Overall Satisfaction: Great service will order again")</f>
        <v>//ord_41124//Parth Goel//Juhu//Icecream+4*Tanvi Jain/4/23/2023//UPI//Delivered*Overall Satisfaction: Great service will order again</v>
      </c>
      <c r="B1146" s="14" t="str">
        <f>IFERROR(__xludf.DUMMYFUNCTION("split(A1146,""//"")"),"ord_41124")</f>
        <v>ord_41124</v>
      </c>
      <c r="C1146" s="14" t="str">
        <f>IFERROR(__xludf.DUMMYFUNCTION("""COMPUTED_VALUE"""),"Parth Goel")</f>
        <v>Parth Goel</v>
      </c>
      <c r="D1146" s="14" t="str">
        <f>IFERROR(__xludf.DUMMYFUNCTION("""COMPUTED_VALUE"""),"Juhu")</f>
        <v>Juhu</v>
      </c>
      <c r="E1146" s="14" t="str">
        <f>IFERROR(__xludf.DUMMYFUNCTION("""COMPUTED_VALUE"""),"Icecream+4*Tanvi Jain")</f>
        <v>Icecream+4*Tanvi Jain</v>
      </c>
      <c r="F1146" s="14">
        <f>IFERROR(__xludf.DUMMYFUNCTION("""COMPUTED_VALUE"""),4.0)</f>
        <v>4</v>
      </c>
      <c r="G1146" s="14">
        <f>IFERROR(__xludf.DUMMYFUNCTION("""COMPUTED_VALUE"""),23.0)</f>
        <v>23</v>
      </c>
      <c r="H1146" s="14">
        <f>IFERROR(__xludf.DUMMYFUNCTION("""COMPUTED_VALUE"""),2023.0)</f>
        <v>2023</v>
      </c>
      <c r="I1146" s="14" t="str">
        <f>IFERROR(__xludf.DUMMYFUNCTION("""COMPUTED_VALUE"""),"UPI")</f>
        <v>UPI</v>
      </c>
      <c r="J1146" s="14" t="str">
        <f>IFERROR(__xludf.DUMMYFUNCTION("""COMPUTED_VALUE"""),"Delivered*Overall Satisfaction: Great service will order again")</f>
        <v>Delivered*Overall Satisfaction: Great service will order again</v>
      </c>
      <c r="K1146" s="14" t="str">
        <f>IFERROR(__xludf.DUMMYFUNCTION("split(E1146,""+"")"),"Icecream")</f>
        <v>Icecream</v>
      </c>
      <c r="L1146" s="14" t="str">
        <f>IFERROR(__xludf.DUMMYFUNCTION("""COMPUTED_VALUE"""),"4*Tanvi Jain")</f>
        <v>4*Tanvi Jain</v>
      </c>
      <c r="M1146" s="14">
        <f>IFERROR(__xludf.DUMMYFUNCTION("SPLIT(L1146,""*"")"),4.0)</f>
        <v>4</v>
      </c>
      <c r="N1146" s="14" t="str">
        <f>IFERROR(__xludf.DUMMYFUNCTION("""COMPUTED_VALUE"""),"Tanvi Jain")</f>
        <v>Tanvi Jain</v>
      </c>
      <c r="O1146" s="14" t="str">
        <f>IFERROR(__xludf.DUMMYFUNCTION("split(J1146,""*"")"),"Delivered")</f>
        <v>Delivered</v>
      </c>
      <c r="P1146" s="14" t="str">
        <f>IFERROR(__xludf.DUMMYFUNCTION("""COMPUTED_VALUE"""),"Overall Satisfaction: Great service will order again")</f>
        <v>Overall Satisfaction: Great service will order again</v>
      </c>
      <c r="Q1146" s="14" t="str">
        <f>IFERROR(__xludf.DUMMYFUNCTION("split(P1146,"":"")"),"Overall Satisfaction")</f>
        <v>Overall Satisfaction</v>
      </c>
      <c r="R1146" s="14" t="str">
        <f>IFERROR(__xludf.DUMMYFUNCTION("""COMPUTED_VALUE""")," Great service will order again")</f>
        <v> Great service will order again</v>
      </c>
      <c r="S1146" s="14" t="str">
        <f t="shared" ref="S1146:U1146" si="2295">trim(B1146)</f>
        <v>ord_41124</v>
      </c>
      <c r="T1146" s="14" t="str">
        <f t="shared" si="2295"/>
        <v>Parth Goel</v>
      </c>
      <c r="U1146" s="14" t="str">
        <f t="shared" si="2295"/>
        <v>Juhu</v>
      </c>
      <c r="V1146" s="14" t="str">
        <f t="shared" si="4"/>
        <v>Icecream</v>
      </c>
      <c r="W1146" s="14">
        <f t="shared" si="5"/>
        <v>4</v>
      </c>
      <c r="X1146" s="14" t="str">
        <f t="shared" si="6"/>
        <v>Tanvi Jain</v>
      </c>
      <c r="Y1146" s="15">
        <f t="shared" si="7"/>
        <v>45039</v>
      </c>
      <c r="Z1146" s="14" t="str">
        <f t="shared" si="8"/>
        <v>UPI</v>
      </c>
      <c r="AA1146" s="14" t="str">
        <f t="shared" si="9"/>
        <v>Delivered</v>
      </c>
      <c r="AB1146" s="14" t="str">
        <f t="shared" ref="AB1146:AC1146" si="2296">trim(Q1146)</f>
        <v>Overall Satisfaction</v>
      </c>
      <c r="AC1146" s="14" t="str">
        <f t="shared" si="2296"/>
        <v>Great service will order again</v>
      </c>
      <c r="AD1146" s="8"/>
    </row>
    <row r="1147">
      <c r="A1147" s="14" t="str">
        <f>IFERROR(__xludf.DUMMYFUNCTION("""COMPUTED_VALUE"""),"//ord_41125//Mehul Thakkar//Malad//Onion+2*Neha Shah/6/22/2023//Credit Card//Delivered*On-time Delivery: Delivered on time")</f>
        <v>//ord_41125//Mehul Thakkar//Malad//Onion+2*Neha Shah/6/22/2023//Credit Card//Delivered*On-time Delivery: Delivered on time</v>
      </c>
      <c r="B1147" s="14" t="str">
        <f>IFERROR(__xludf.DUMMYFUNCTION("split(A1147,""//"")"),"ord_41125")</f>
        <v>ord_41125</v>
      </c>
      <c r="C1147" s="14" t="str">
        <f>IFERROR(__xludf.DUMMYFUNCTION("""COMPUTED_VALUE"""),"Mehul Thakkar")</f>
        <v>Mehul Thakkar</v>
      </c>
      <c r="D1147" s="14" t="str">
        <f>IFERROR(__xludf.DUMMYFUNCTION("""COMPUTED_VALUE"""),"Malad")</f>
        <v>Malad</v>
      </c>
      <c r="E1147" s="14" t="str">
        <f>IFERROR(__xludf.DUMMYFUNCTION("""COMPUTED_VALUE"""),"Onion+2*Neha Shah")</f>
        <v>Onion+2*Neha Shah</v>
      </c>
      <c r="F1147" s="14">
        <f>IFERROR(__xludf.DUMMYFUNCTION("""COMPUTED_VALUE"""),6.0)</f>
        <v>6</v>
      </c>
      <c r="G1147" s="14">
        <f>IFERROR(__xludf.DUMMYFUNCTION("""COMPUTED_VALUE"""),22.0)</f>
        <v>22</v>
      </c>
      <c r="H1147" s="14">
        <f>IFERROR(__xludf.DUMMYFUNCTION("""COMPUTED_VALUE"""),2023.0)</f>
        <v>2023</v>
      </c>
      <c r="I1147" s="14" t="str">
        <f>IFERROR(__xludf.DUMMYFUNCTION("""COMPUTED_VALUE"""),"Credit Card")</f>
        <v>Credit Card</v>
      </c>
      <c r="J1147" s="14" t="str">
        <f>IFERROR(__xludf.DUMMYFUNCTION("""COMPUTED_VALUE"""),"Delivered*On-time Delivery: Delivered on time")</f>
        <v>Delivered*On-time Delivery: Delivered on time</v>
      </c>
      <c r="K1147" s="14" t="str">
        <f>IFERROR(__xludf.DUMMYFUNCTION("split(E1147,""+"")"),"Onion")</f>
        <v>Onion</v>
      </c>
      <c r="L1147" s="14" t="str">
        <f>IFERROR(__xludf.DUMMYFUNCTION("""COMPUTED_VALUE"""),"2*Neha Shah")</f>
        <v>2*Neha Shah</v>
      </c>
      <c r="M1147" s="14">
        <f>IFERROR(__xludf.DUMMYFUNCTION("SPLIT(L1147,""*"")"),2.0)</f>
        <v>2</v>
      </c>
      <c r="N1147" s="14" t="str">
        <f>IFERROR(__xludf.DUMMYFUNCTION("""COMPUTED_VALUE"""),"Neha Shah")</f>
        <v>Neha Shah</v>
      </c>
      <c r="O1147" s="14" t="str">
        <f>IFERROR(__xludf.DUMMYFUNCTION("split(J1147,""*"")"),"Delivered")</f>
        <v>Delivered</v>
      </c>
      <c r="P1147" s="14" t="str">
        <f>IFERROR(__xludf.DUMMYFUNCTION("""COMPUTED_VALUE"""),"On-time Delivery: Delivered on time")</f>
        <v>On-time Delivery: Delivered on time</v>
      </c>
      <c r="Q1147" s="14" t="str">
        <f>IFERROR(__xludf.DUMMYFUNCTION("split(P1147,"":"")"),"On-time Delivery")</f>
        <v>On-time Delivery</v>
      </c>
      <c r="R1147" s="14" t="str">
        <f>IFERROR(__xludf.DUMMYFUNCTION("""COMPUTED_VALUE""")," Delivered on time")</f>
        <v> Delivered on time</v>
      </c>
      <c r="S1147" s="14" t="str">
        <f t="shared" ref="S1147:U1147" si="2297">trim(B1147)</f>
        <v>ord_41125</v>
      </c>
      <c r="T1147" s="14" t="str">
        <f t="shared" si="2297"/>
        <v>Mehul Thakkar</v>
      </c>
      <c r="U1147" s="14" t="str">
        <f t="shared" si="2297"/>
        <v>Malad</v>
      </c>
      <c r="V1147" s="14" t="str">
        <f t="shared" si="4"/>
        <v>Onion</v>
      </c>
      <c r="W1147" s="14">
        <f t="shared" si="5"/>
        <v>2</v>
      </c>
      <c r="X1147" s="14" t="str">
        <f t="shared" si="6"/>
        <v>Neha Shah</v>
      </c>
      <c r="Y1147" s="15">
        <f t="shared" si="7"/>
        <v>45099</v>
      </c>
      <c r="Z1147" s="14" t="str">
        <f t="shared" si="8"/>
        <v>Credit Card</v>
      </c>
      <c r="AA1147" s="14" t="str">
        <f t="shared" si="9"/>
        <v>Delivered</v>
      </c>
      <c r="AB1147" s="14" t="str">
        <f t="shared" ref="AB1147:AC1147" si="2298">trim(Q1147)</f>
        <v>On-time Delivery</v>
      </c>
      <c r="AC1147" s="14" t="str">
        <f t="shared" si="2298"/>
        <v>Delivered on time</v>
      </c>
      <c r="AD1147" s="8"/>
    </row>
    <row r="1148">
      <c r="A1148" s="14" t="str">
        <f>IFERROR(__xludf.DUMMYFUNCTION("""COMPUTED_VALUE"""),"//ord_41126//Diya Arora//Lower Parel//Apple+2*Kiran Mehta/8/11/2023//Online Payment//Delivered*Quality of Items: Perfect condition")</f>
        <v>//ord_41126//Diya Arora//Lower Parel//Apple+2*Kiran Mehta/8/11/2023//Online Payment//Delivered*Quality of Items: Perfect condition</v>
      </c>
      <c r="B1148" s="14" t="str">
        <f>IFERROR(__xludf.DUMMYFUNCTION("split(A1148,""//"")"),"ord_41126")</f>
        <v>ord_41126</v>
      </c>
      <c r="C1148" s="14" t="str">
        <f>IFERROR(__xludf.DUMMYFUNCTION("""COMPUTED_VALUE"""),"Diya Arora")</f>
        <v>Diya Arora</v>
      </c>
      <c r="D1148" s="14" t="str">
        <f>IFERROR(__xludf.DUMMYFUNCTION("""COMPUTED_VALUE"""),"Lower Parel")</f>
        <v>Lower Parel</v>
      </c>
      <c r="E1148" s="14" t="str">
        <f>IFERROR(__xludf.DUMMYFUNCTION("""COMPUTED_VALUE"""),"Apple+2*Kiran Mehta")</f>
        <v>Apple+2*Kiran Mehta</v>
      </c>
      <c r="F1148" s="14">
        <f>IFERROR(__xludf.DUMMYFUNCTION("""COMPUTED_VALUE"""),8.0)</f>
        <v>8</v>
      </c>
      <c r="G1148" s="14">
        <f>IFERROR(__xludf.DUMMYFUNCTION("""COMPUTED_VALUE"""),11.0)</f>
        <v>11</v>
      </c>
      <c r="H1148" s="14">
        <f>IFERROR(__xludf.DUMMYFUNCTION("""COMPUTED_VALUE"""),2023.0)</f>
        <v>2023</v>
      </c>
      <c r="I1148" s="14" t="str">
        <f>IFERROR(__xludf.DUMMYFUNCTION("""COMPUTED_VALUE"""),"Online Payment")</f>
        <v>Online Payment</v>
      </c>
      <c r="J1148" s="14" t="str">
        <f>IFERROR(__xludf.DUMMYFUNCTION("""COMPUTED_VALUE"""),"Delivered*Quality of Items: Perfect condition")</f>
        <v>Delivered*Quality of Items: Perfect condition</v>
      </c>
      <c r="K1148" s="14" t="str">
        <f>IFERROR(__xludf.DUMMYFUNCTION("split(E1148,""+"")"),"Apple")</f>
        <v>Apple</v>
      </c>
      <c r="L1148" s="14" t="str">
        <f>IFERROR(__xludf.DUMMYFUNCTION("""COMPUTED_VALUE"""),"2*Kiran Mehta")</f>
        <v>2*Kiran Mehta</v>
      </c>
      <c r="M1148" s="14">
        <f>IFERROR(__xludf.DUMMYFUNCTION("SPLIT(L1148,""*"")"),2.0)</f>
        <v>2</v>
      </c>
      <c r="N1148" s="14" t="str">
        <f>IFERROR(__xludf.DUMMYFUNCTION("""COMPUTED_VALUE"""),"Kiran Mehta")</f>
        <v>Kiran Mehta</v>
      </c>
      <c r="O1148" s="14" t="str">
        <f>IFERROR(__xludf.DUMMYFUNCTION("split(J1148,""*"")"),"Delivered")</f>
        <v>Delivered</v>
      </c>
      <c r="P1148" s="14" t="str">
        <f>IFERROR(__xludf.DUMMYFUNCTION("""COMPUTED_VALUE"""),"Quality of Items: Perfect condition")</f>
        <v>Quality of Items: Perfect condition</v>
      </c>
      <c r="Q1148" s="14" t="str">
        <f>IFERROR(__xludf.DUMMYFUNCTION("split(P1148,"":"")"),"Quality of Items")</f>
        <v>Quality of Items</v>
      </c>
      <c r="R1148" s="14" t="str">
        <f>IFERROR(__xludf.DUMMYFUNCTION("""COMPUTED_VALUE""")," Perfect condition")</f>
        <v> Perfect condition</v>
      </c>
      <c r="S1148" s="14" t="str">
        <f t="shared" ref="S1148:U1148" si="2299">trim(B1148)</f>
        <v>ord_41126</v>
      </c>
      <c r="T1148" s="14" t="str">
        <f t="shared" si="2299"/>
        <v>Diya Arora</v>
      </c>
      <c r="U1148" s="14" t="str">
        <f t="shared" si="2299"/>
        <v>Lower Parel</v>
      </c>
      <c r="V1148" s="14" t="str">
        <f t="shared" si="4"/>
        <v>Apple</v>
      </c>
      <c r="W1148" s="14">
        <f t="shared" si="5"/>
        <v>2</v>
      </c>
      <c r="X1148" s="14" t="str">
        <f t="shared" si="6"/>
        <v>Kiran Mehta</v>
      </c>
      <c r="Y1148" s="15">
        <f t="shared" si="7"/>
        <v>45149</v>
      </c>
      <c r="Z1148" s="14" t="str">
        <f t="shared" si="8"/>
        <v>Online Payment</v>
      </c>
      <c r="AA1148" s="14" t="str">
        <f t="shared" si="9"/>
        <v>Delivered</v>
      </c>
      <c r="AB1148" s="14" t="str">
        <f t="shared" ref="AB1148:AC1148" si="2300">trim(Q1148)</f>
        <v>Quality of Items</v>
      </c>
      <c r="AC1148" s="14" t="str">
        <f t="shared" si="2300"/>
        <v>Perfect condition</v>
      </c>
      <c r="AD1148" s="8"/>
    </row>
    <row r="1149">
      <c r="A1149" s="14" t="str">
        <f>IFERROR(__xludf.DUMMYFUNCTION("""COMPUTED_VALUE"""),"//ord_41127//Tanishq Bansal//Powai//Cold Coffee+2*Sandeep Kumar/5/18/2023//Online Payment//Delivered*On-time Delivery: Delivered on time")</f>
        <v>//ord_41127//Tanishq Bansal//Powai//Cold Coffee+2*Sandeep Kumar/5/18/2023//Online Payment//Delivered*On-time Delivery: Delivered on time</v>
      </c>
      <c r="B1149" s="14" t="str">
        <f>IFERROR(__xludf.DUMMYFUNCTION("split(A1149,""//"")"),"ord_41127")</f>
        <v>ord_41127</v>
      </c>
      <c r="C1149" s="14" t="str">
        <f>IFERROR(__xludf.DUMMYFUNCTION("""COMPUTED_VALUE"""),"Tanishq Bansal")</f>
        <v>Tanishq Bansal</v>
      </c>
      <c r="D1149" s="14" t="str">
        <f>IFERROR(__xludf.DUMMYFUNCTION("""COMPUTED_VALUE"""),"Powai")</f>
        <v>Powai</v>
      </c>
      <c r="E1149" s="14" t="str">
        <f>IFERROR(__xludf.DUMMYFUNCTION("""COMPUTED_VALUE"""),"Cold Coffee+2*Sandeep Kumar")</f>
        <v>Cold Coffee+2*Sandeep Kumar</v>
      </c>
      <c r="F1149" s="14">
        <f>IFERROR(__xludf.DUMMYFUNCTION("""COMPUTED_VALUE"""),5.0)</f>
        <v>5</v>
      </c>
      <c r="G1149" s="14">
        <f>IFERROR(__xludf.DUMMYFUNCTION("""COMPUTED_VALUE"""),18.0)</f>
        <v>18</v>
      </c>
      <c r="H1149" s="14">
        <f>IFERROR(__xludf.DUMMYFUNCTION("""COMPUTED_VALUE"""),2023.0)</f>
        <v>2023</v>
      </c>
      <c r="I1149" s="14" t="str">
        <f>IFERROR(__xludf.DUMMYFUNCTION("""COMPUTED_VALUE"""),"Online Payment")</f>
        <v>Online Payment</v>
      </c>
      <c r="J1149" s="14" t="str">
        <f>IFERROR(__xludf.DUMMYFUNCTION("""COMPUTED_VALUE"""),"Delivered*On-time Delivery: Delivered on time")</f>
        <v>Delivered*On-time Delivery: Delivered on time</v>
      </c>
      <c r="K1149" s="14" t="str">
        <f>IFERROR(__xludf.DUMMYFUNCTION("split(E1149,""+"")"),"Cold Coffee")</f>
        <v>Cold Coffee</v>
      </c>
      <c r="L1149" s="14" t="str">
        <f>IFERROR(__xludf.DUMMYFUNCTION("""COMPUTED_VALUE"""),"2*Sandeep Kumar")</f>
        <v>2*Sandeep Kumar</v>
      </c>
      <c r="M1149" s="14">
        <f>IFERROR(__xludf.DUMMYFUNCTION("SPLIT(L1149,""*"")"),2.0)</f>
        <v>2</v>
      </c>
      <c r="N1149" s="14" t="str">
        <f>IFERROR(__xludf.DUMMYFUNCTION("""COMPUTED_VALUE"""),"Sandeep Kumar")</f>
        <v>Sandeep Kumar</v>
      </c>
      <c r="O1149" s="14" t="str">
        <f>IFERROR(__xludf.DUMMYFUNCTION("split(J1149,""*"")"),"Delivered")</f>
        <v>Delivered</v>
      </c>
      <c r="P1149" s="14" t="str">
        <f>IFERROR(__xludf.DUMMYFUNCTION("""COMPUTED_VALUE"""),"On-time Delivery: Delivered on time")</f>
        <v>On-time Delivery: Delivered on time</v>
      </c>
      <c r="Q1149" s="14" t="str">
        <f>IFERROR(__xludf.DUMMYFUNCTION("split(P1149,"":"")"),"On-time Delivery")</f>
        <v>On-time Delivery</v>
      </c>
      <c r="R1149" s="14" t="str">
        <f>IFERROR(__xludf.DUMMYFUNCTION("""COMPUTED_VALUE""")," Delivered on time")</f>
        <v> Delivered on time</v>
      </c>
      <c r="S1149" s="14" t="str">
        <f t="shared" ref="S1149:U1149" si="2301">trim(B1149)</f>
        <v>ord_41127</v>
      </c>
      <c r="T1149" s="14" t="str">
        <f t="shared" si="2301"/>
        <v>Tanishq Bansal</v>
      </c>
      <c r="U1149" s="14" t="str">
        <f t="shared" si="2301"/>
        <v>Powai</v>
      </c>
      <c r="V1149" s="14" t="str">
        <f t="shared" si="4"/>
        <v>Cold Coffee</v>
      </c>
      <c r="W1149" s="14">
        <f t="shared" si="5"/>
        <v>2</v>
      </c>
      <c r="X1149" s="14" t="str">
        <f t="shared" si="6"/>
        <v>Sandeep Kumar</v>
      </c>
      <c r="Y1149" s="15">
        <f t="shared" si="7"/>
        <v>45064</v>
      </c>
      <c r="Z1149" s="14" t="str">
        <f t="shared" si="8"/>
        <v>Online Payment</v>
      </c>
      <c r="AA1149" s="14" t="str">
        <f t="shared" si="9"/>
        <v>Delivered</v>
      </c>
      <c r="AB1149" s="14" t="str">
        <f t="shared" ref="AB1149:AC1149" si="2302">trim(Q1149)</f>
        <v>On-time Delivery</v>
      </c>
      <c r="AC1149" s="14" t="str">
        <f t="shared" si="2302"/>
        <v>Delivered on time</v>
      </c>
      <c r="AD1149" s="8"/>
    </row>
    <row r="1150">
      <c r="A1150" s="14" t="str">
        <f>IFERROR(__xludf.DUMMYFUNCTION("""COMPUTED_VALUE"""),"//ord_41128//Arvind Kulkarni//Juhu//Chocolate Mousse+5*Tanvi Jain/8/21/2023//COD//Delivered*Quality of Items: Perfect condition")</f>
        <v>//ord_41128//Arvind Kulkarni//Juhu//Chocolate Mousse+5*Tanvi Jain/8/21/2023//COD//Delivered*Quality of Items: Perfect condition</v>
      </c>
      <c r="B1150" s="14" t="str">
        <f>IFERROR(__xludf.DUMMYFUNCTION("split(A1150,""//"")"),"ord_41128")</f>
        <v>ord_41128</v>
      </c>
      <c r="C1150" s="14" t="str">
        <f>IFERROR(__xludf.DUMMYFUNCTION("""COMPUTED_VALUE"""),"Arvind Kulkarni")</f>
        <v>Arvind Kulkarni</v>
      </c>
      <c r="D1150" s="14" t="str">
        <f>IFERROR(__xludf.DUMMYFUNCTION("""COMPUTED_VALUE"""),"Juhu")</f>
        <v>Juhu</v>
      </c>
      <c r="E1150" s="14" t="str">
        <f>IFERROR(__xludf.DUMMYFUNCTION("""COMPUTED_VALUE"""),"Chocolate Mousse+5*Tanvi Jain")</f>
        <v>Chocolate Mousse+5*Tanvi Jain</v>
      </c>
      <c r="F1150" s="14">
        <f>IFERROR(__xludf.DUMMYFUNCTION("""COMPUTED_VALUE"""),8.0)</f>
        <v>8</v>
      </c>
      <c r="G1150" s="14">
        <f>IFERROR(__xludf.DUMMYFUNCTION("""COMPUTED_VALUE"""),21.0)</f>
        <v>21</v>
      </c>
      <c r="H1150" s="14">
        <f>IFERROR(__xludf.DUMMYFUNCTION("""COMPUTED_VALUE"""),2023.0)</f>
        <v>2023</v>
      </c>
      <c r="I1150" s="14" t="str">
        <f>IFERROR(__xludf.DUMMYFUNCTION("""COMPUTED_VALUE"""),"COD")</f>
        <v>COD</v>
      </c>
      <c r="J1150" s="14" t="str">
        <f>IFERROR(__xludf.DUMMYFUNCTION("""COMPUTED_VALUE"""),"Delivered*Quality of Items: Perfect condition")</f>
        <v>Delivered*Quality of Items: Perfect condition</v>
      </c>
      <c r="K1150" s="14" t="str">
        <f>IFERROR(__xludf.DUMMYFUNCTION("split(E1150,""+"")"),"Chocolate Mousse")</f>
        <v>Chocolate Mousse</v>
      </c>
      <c r="L1150" s="14" t="str">
        <f>IFERROR(__xludf.DUMMYFUNCTION("""COMPUTED_VALUE"""),"5*Tanvi Jain")</f>
        <v>5*Tanvi Jain</v>
      </c>
      <c r="M1150" s="14">
        <f>IFERROR(__xludf.DUMMYFUNCTION("SPLIT(L1150,""*"")"),5.0)</f>
        <v>5</v>
      </c>
      <c r="N1150" s="14" t="str">
        <f>IFERROR(__xludf.DUMMYFUNCTION("""COMPUTED_VALUE"""),"Tanvi Jain")</f>
        <v>Tanvi Jain</v>
      </c>
      <c r="O1150" s="14" t="str">
        <f>IFERROR(__xludf.DUMMYFUNCTION("split(J1150,""*"")"),"Delivered")</f>
        <v>Delivered</v>
      </c>
      <c r="P1150" s="14" t="str">
        <f>IFERROR(__xludf.DUMMYFUNCTION("""COMPUTED_VALUE"""),"Quality of Items: Perfect condition")</f>
        <v>Quality of Items: Perfect condition</v>
      </c>
      <c r="Q1150" s="14" t="str">
        <f>IFERROR(__xludf.DUMMYFUNCTION("split(P1150,"":"")"),"Quality of Items")</f>
        <v>Quality of Items</v>
      </c>
      <c r="R1150" s="14" t="str">
        <f>IFERROR(__xludf.DUMMYFUNCTION("""COMPUTED_VALUE""")," Perfect condition")</f>
        <v> Perfect condition</v>
      </c>
      <c r="S1150" s="14" t="str">
        <f t="shared" ref="S1150:U1150" si="2303">trim(B1150)</f>
        <v>ord_41128</v>
      </c>
      <c r="T1150" s="14" t="str">
        <f t="shared" si="2303"/>
        <v>Arvind Kulkarni</v>
      </c>
      <c r="U1150" s="14" t="str">
        <f t="shared" si="2303"/>
        <v>Juhu</v>
      </c>
      <c r="V1150" s="14" t="str">
        <f t="shared" si="4"/>
        <v>Chocolate Mousse</v>
      </c>
      <c r="W1150" s="14">
        <f t="shared" si="5"/>
        <v>5</v>
      </c>
      <c r="X1150" s="14" t="str">
        <f t="shared" si="6"/>
        <v>Tanvi Jain</v>
      </c>
      <c r="Y1150" s="15">
        <f t="shared" si="7"/>
        <v>45159</v>
      </c>
      <c r="Z1150" s="14" t="str">
        <f t="shared" si="8"/>
        <v>COD</v>
      </c>
      <c r="AA1150" s="14" t="str">
        <f t="shared" si="9"/>
        <v>Delivered</v>
      </c>
      <c r="AB1150" s="14" t="str">
        <f t="shared" ref="AB1150:AC1150" si="2304">trim(Q1150)</f>
        <v>Quality of Items</v>
      </c>
      <c r="AC1150" s="14" t="str">
        <f t="shared" si="2304"/>
        <v>Perfect condition</v>
      </c>
      <c r="AD1150" s="8"/>
    </row>
    <row r="1151">
      <c r="A1151" s="14" t="str">
        <f>IFERROR(__xludf.DUMMYFUNCTION("""COMPUTED_VALUE"""),"//ord_41129//Aarav Mehta//Andheri//Guava+1*Rohan Yadav/2/19/2023//Online Payment//Delivered*Packaging: Secure and intact")</f>
        <v>//ord_41129//Aarav Mehta//Andheri//Guava+1*Rohan Yadav/2/19/2023//Online Payment//Delivered*Packaging: Secure and intact</v>
      </c>
      <c r="B1151" s="14" t="str">
        <f>IFERROR(__xludf.DUMMYFUNCTION("split(A1151,""//"")"),"ord_41129")</f>
        <v>ord_41129</v>
      </c>
      <c r="C1151" s="14" t="str">
        <f>IFERROR(__xludf.DUMMYFUNCTION("""COMPUTED_VALUE"""),"Aarav Mehta")</f>
        <v>Aarav Mehta</v>
      </c>
      <c r="D1151" s="14" t="str">
        <f>IFERROR(__xludf.DUMMYFUNCTION("""COMPUTED_VALUE"""),"Andheri")</f>
        <v>Andheri</v>
      </c>
      <c r="E1151" s="14" t="str">
        <f>IFERROR(__xludf.DUMMYFUNCTION("""COMPUTED_VALUE"""),"Guava+1*Rohan Yadav")</f>
        <v>Guava+1*Rohan Yadav</v>
      </c>
      <c r="F1151" s="14">
        <f>IFERROR(__xludf.DUMMYFUNCTION("""COMPUTED_VALUE"""),2.0)</f>
        <v>2</v>
      </c>
      <c r="G1151" s="14">
        <f>IFERROR(__xludf.DUMMYFUNCTION("""COMPUTED_VALUE"""),19.0)</f>
        <v>19</v>
      </c>
      <c r="H1151" s="14">
        <f>IFERROR(__xludf.DUMMYFUNCTION("""COMPUTED_VALUE"""),2023.0)</f>
        <v>2023</v>
      </c>
      <c r="I1151" s="14" t="str">
        <f>IFERROR(__xludf.DUMMYFUNCTION("""COMPUTED_VALUE"""),"Online Payment")</f>
        <v>Online Payment</v>
      </c>
      <c r="J1151" s="14" t="str">
        <f>IFERROR(__xludf.DUMMYFUNCTION("""COMPUTED_VALUE"""),"Delivered*Packaging: Secure and intact")</f>
        <v>Delivered*Packaging: Secure and intact</v>
      </c>
      <c r="K1151" s="14" t="str">
        <f>IFERROR(__xludf.DUMMYFUNCTION("split(E1151,""+"")"),"Guava")</f>
        <v>Guava</v>
      </c>
      <c r="L1151" s="14" t="str">
        <f>IFERROR(__xludf.DUMMYFUNCTION("""COMPUTED_VALUE"""),"1*Rohan Yadav")</f>
        <v>1*Rohan Yadav</v>
      </c>
      <c r="M1151" s="14">
        <f>IFERROR(__xludf.DUMMYFUNCTION("SPLIT(L1151,""*"")"),1.0)</f>
        <v>1</v>
      </c>
      <c r="N1151" s="14" t="str">
        <f>IFERROR(__xludf.DUMMYFUNCTION("""COMPUTED_VALUE"""),"Rohan Yadav")</f>
        <v>Rohan Yadav</v>
      </c>
      <c r="O1151" s="14" t="str">
        <f>IFERROR(__xludf.DUMMYFUNCTION("split(J1151,""*"")"),"Delivered")</f>
        <v>Delivered</v>
      </c>
      <c r="P1151" s="14" t="str">
        <f>IFERROR(__xludf.DUMMYFUNCTION("""COMPUTED_VALUE"""),"Packaging: Secure and intact")</f>
        <v>Packaging: Secure and intact</v>
      </c>
      <c r="Q1151" s="14" t="str">
        <f>IFERROR(__xludf.DUMMYFUNCTION("split(P1151,"":"")"),"Packaging")</f>
        <v>Packaging</v>
      </c>
      <c r="R1151" s="14" t="str">
        <f>IFERROR(__xludf.DUMMYFUNCTION("""COMPUTED_VALUE""")," Secure and intact")</f>
        <v> Secure and intact</v>
      </c>
      <c r="S1151" s="14" t="str">
        <f t="shared" ref="S1151:U1151" si="2305">trim(B1151)</f>
        <v>ord_41129</v>
      </c>
      <c r="T1151" s="14" t="str">
        <f t="shared" si="2305"/>
        <v>Aarav Mehta</v>
      </c>
      <c r="U1151" s="14" t="str">
        <f t="shared" si="2305"/>
        <v>Andheri</v>
      </c>
      <c r="V1151" s="14" t="str">
        <f t="shared" si="4"/>
        <v>Guava</v>
      </c>
      <c r="W1151" s="14">
        <f t="shared" si="5"/>
        <v>1</v>
      </c>
      <c r="X1151" s="14" t="str">
        <f t="shared" si="6"/>
        <v>Rohan Yadav</v>
      </c>
      <c r="Y1151" s="15">
        <f t="shared" si="7"/>
        <v>44976</v>
      </c>
      <c r="Z1151" s="14" t="str">
        <f t="shared" si="8"/>
        <v>Online Payment</v>
      </c>
      <c r="AA1151" s="14" t="str">
        <f t="shared" si="9"/>
        <v>Delivered</v>
      </c>
      <c r="AB1151" s="14" t="str">
        <f t="shared" ref="AB1151:AC1151" si="2306">trim(Q1151)</f>
        <v>Packaging</v>
      </c>
      <c r="AC1151" s="14" t="str">
        <f t="shared" si="2306"/>
        <v>Secure and intact</v>
      </c>
      <c r="AD1151" s="8"/>
    </row>
    <row r="1152">
      <c r="A1152" s="14" t="str">
        <f>IFERROR(__xludf.DUMMYFUNCTION("""COMPUTED_VALUE"""),"//ord_41130//Mehul Thakkar//Malad//Chilli Cheese Toast+2*Neha Shah/7/26/2023//Online Payment//Delivered*Satisfied with the Delivery: Timely and quality")</f>
        <v>//ord_41130//Mehul Thakkar//Malad//Chilli Cheese Toast+2*Neha Shah/7/26/2023//Online Payment//Delivered*Satisfied with the Delivery: Timely and quality</v>
      </c>
      <c r="B1152" s="14" t="str">
        <f>IFERROR(__xludf.DUMMYFUNCTION("split(A1152,""//"")"),"ord_41130")</f>
        <v>ord_41130</v>
      </c>
      <c r="C1152" s="14" t="str">
        <f>IFERROR(__xludf.DUMMYFUNCTION("""COMPUTED_VALUE"""),"Mehul Thakkar")</f>
        <v>Mehul Thakkar</v>
      </c>
      <c r="D1152" s="14" t="str">
        <f>IFERROR(__xludf.DUMMYFUNCTION("""COMPUTED_VALUE"""),"Malad")</f>
        <v>Malad</v>
      </c>
      <c r="E1152" s="14" t="str">
        <f>IFERROR(__xludf.DUMMYFUNCTION("""COMPUTED_VALUE"""),"Chilli Cheese Toast+2*Neha Shah")</f>
        <v>Chilli Cheese Toast+2*Neha Shah</v>
      </c>
      <c r="F1152" s="14">
        <f>IFERROR(__xludf.DUMMYFUNCTION("""COMPUTED_VALUE"""),7.0)</f>
        <v>7</v>
      </c>
      <c r="G1152" s="14">
        <f>IFERROR(__xludf.DUMMYFUNCTION("""COMPUTED_VALUE"""),26.0)</f>
        <v>26</v>
      </c>
      <c r="H1152" s="14">
        <f>IFERROR(__xludf.DUMMYFUNCTION("""COMPUTED_VALUE"""),2023.0)</f>
        <v>2023</v>
      </c>
      <c r="I1152" s="14" t="str">
        <f>IFERROR(__xludf.DUMMYFUNCTION("""COMPUTED_VALUE"""),"Online Payment")</f>
        <v>Online Payment</v>
      </c>
      <c r="J1152" s="14" t="str">
        <f>IFERROR(__xludf.DUMMYFUNCTION("""COMPUTED_VALUE"""),"Delivered*Satisfied with the Delivery: Timely and quality")</f>
        <v>Delivered*Satisfied with the Delivery: Timely and quality</v>
      </c>
      <c r="K1152" s="14" t="str">
        <f>IFERROR(__xludf.DUMMYFUNCTION("split(E1152,""+"")"),"Chilli Cheese Toast")</f>
        <v>Chilli Cheese Toast</v>
      </c>
      <c r="L1152" s="14" t="str">
        <f>IFERROR(__xludf.DUMMYFUNCTION("""COMPUTED_VALUE"""),"2*Neha Shah")</f>
        <v>2*Neha Shah</v>
      </c>
      <c r="M1152" s="14">
        <f>IFERROR(__xludf.DUMMYFUNCTION("SPLIT(L1152,""*"")"),2.0)</f>
        <v>2</v>
      </c>
      <c r="N1152" s="14" t="str">
        <f>IFERROR(__xludf.DUMMYFUNCTION("""COMPUTED_VALUE"""),"Neha Shah")</f>
        <v>Neha Shah</v>
      </c>
      <c r="O1152" s="14" t="str">
        <f>IFERROR(__xludf.DUMMYFUNCTION("split(J1152,""*"")"),"Delivered")</f>
        <v>Delivered</v>
      </c>
      <c r="P1152" s="14" t="str">
        <f>IFERROR(__xludf.DUMMYFUNCTION("""COMPUTED_VALUE"""),"Satisfied with the Delivery: Timely and quality")</f>
        <v>Satisfied with the Delivery: Timely and quality</v>
      </c>
      <c r="Q1152" s="14" t="str">
        <f>IFERROR(__xludf.DUMMYFUNCTION("split(P1152,"":"")"),"Satisfied with the Delivery")</f>
        <v>Satisfied with the Delivery</v>
      </c>
      <c r="R1152" s="14" t="str">
        <f>IFERROR(__xludf.DUMMYFUNCTION("""COMPUTED_VALUE""")," Timely and quality")</f>
        <v> Timely and quality</v>
      </c>
      <c r="S1152" s="14" t="str">
        <f t="shared" ref="S1152:U1152" si="2307">trim(B1152)</f>
        <v>ord_41130</v>
      </c>
      <c r="T1152" s="14" t="str">
        <f t="shared" si="2307"/>
        <v>Mehul Thakkar</v>
      </c>
      <c r="U1152" s="14" t="str">
        <f t="shared" si="2307"/>
        <v>Malad</v>
      </c>
      <c r="V1152" s="14" t="str">
        <f t="shared" si="4"/>
        <v>Chilli Cheese Toast</v>
      </c>
      <c r="W1152" s="14">
        <f t="shared" si="5"/>
        <v>2</v>
      </c>
      <c r="X1152" s="14" t="str">
        <f t="shared" si="6"/>
        <v>Neha Shah</v>
      </c>
      <c r="Y1152" s="15">
        <f t="shared" si="7"/>
        <v>45133</v>
      </c>
      <c r="Z1152" s="14" t="str">
        <f t="shared" si="8"/>
        <v>Online Payment</v>
      </c>
      <c r="AA1152" s="14" t="str">
        <f t="shared" si="9"/>
        <v>Delivered</v>
      </c>
      <c r="AB1152" s="14" t="str">
        <f t="shared" ref="AB1152:AC1152" si="2308">trim(Q1152)</f>
        <v>Satisfied with the Delivery</v>
      </c>
      <c r="AC1152" s="14" t="str">
        <f t="shared" si="2308"/>
        <v>Timely and quality</v>
      </c>
      <c r="AD1152" s="8"/>
    </row>
    <row r="1153">
      <c r="A1153" s="14" t="str">
        <f>IFERROR(__xludf.DUMMYFUNCTION("""COMPUTED_VALUE"""),"//ord_41131//Aarav Mehta//Andheri//Cold Coffee+2*Rohan Yadav/10/11/2023//Credit Card//Delivered*Customer Service: Seamless and easy")</f>
        <v>//ord_41131//Aarav Mehta//Andheri//Cold Coffee+2*Rohan Yadav/10/11/2023//Credit Card//Delivered*Customer Service: Seamless and easy</v>
      </c>
      <c r="B1153" s="14" t="str">
        <f>IFERROR(__xludf.DUMMYFUNCTION("split(A1153,""//"")"),"ord_41131")</f>
        <v>ord_41131</v>
      </c>
      <c r="C1153" s="14" t="str">
        <f>IFERROR(__xludf.DUMMYFUNCTION("""COMPUTED_VALUE"""),"Aarav Mehta")</f>
        <v>Aarav Mehta</v>
      </c>
      <c r="D1153" s="14" t="str">
        <f>IFERROR(__xludf.DUMMYFUNCTION("""COMPUTED_VALUE"""),"Andheri")</f>
        <v>Andheri</v>
      </c>
      <c r="E1153" s="14" t="str">
        <f>IFERROR(__xludf.DUMMYFUNCTION("""COMPUTED_VALUE"""),"Cold Coffee+2*Rohan Yadav")</f>
        <v>Cold Coffee+2*Rohan Yadav</v>
      </c>
      <c r="F1153" s="14">
        <f>IFERROR(__xludf.DUMMYFUNCTION("""COMPUTED_VALUE"""),10.0)</f>
        <v>10</v>
      </c>
      <c r="G1153" s="14">
        <f>IFERROR(__xludf.DUMMYFUNCTION("""COMPUTED_VALUE"""),11.0)</f>
        <v>11</v>
      </c>
      <c r="H1153" s="14">
        <f>IFERROR(__xludf.DUMMYFUNCTION("""COMPUTED_VALUE"""),2023.0)</f>
        <v>2023</v>
      </c>
      <c r="I1153" s="14" t="str">
        <f>IFERROR(__xludf.DUMMYFUNCTION("""COMPUTED_VALUE"""),"Credit Card")</f>
        <v>Credit Card</v>
      </c>
      <c r="J1153" s="14" t="str">
        <f>IFERROR(__xludf.DUMMYFUNCTION("""COMPUTED_VALUE"""),"Delivered*Customer Service: Seamless and easy")</f>
        <v>Delivered*Customer Service: Seamless and easy</v>
      </c>
      <c r="K1153" s="14" t="str">
        <f>IFERROR(__xludf.DUMMYFUNCTION("split(E1153,""+"")"),"Cold Coffee")</f>
        <v>Cold Coffee</v>
      </c>
      <c r="L1153" s="14" t="str">
        <f>IFERROR(__xludf.DUMMYFUNCTION("""COMPUTED_VALUE"""),"2*Rohan Yadav")</f>
        <v>2*Rohan Yadav</v>
      </c>
      <c r="M1153" s="14">
        <f>IFERROR(__xludf.DUMMYFUNCTION("SPLIT(L1153,""*"")"),2.0)</f>
        <v>2</v>
      </c>
      <c r="N1153" s="14" t="str">
        <f>IFERROR(__xludf.DUMMYFUNCTION("""COMPUTED_VALUE"""),"Rohan Yadav")</f>
        <v>Rohan Yadav</v>
      </c>
      <c r="O1153" s="14" t="str">
        <f>IFERROR(__xludf.DUMMYFUNCTION("split(J1153,""*"")"),"Delivered")</f>
        <v>Delivered</v>
      </c>
      <c r="P1153" s="14" t="str">
        <f>IFERROR(__xludf.DUMMYFUNCTION("""COMPUTED_VALUE"""),"Customer Service: Seamless and easy")</f>
        <v>Customer Service: Seamless and easy</v>
      </c>
      <c r="Q1153" s="14" t="str">
        <f>IFERROR(__xludf.DUMMYFUNCTION("split(P1153,"":"")"),"Customer Service")</f>
        <v>Customer Service</v>
      </c>
      <c r="R1153" s="14" t="str">
        <f>IFERROR(__xludf.DUMMYFUNCTION("""COMPUTED_VALUE""")," Seamless and easy")</f>
        <v> Seamless and easy</v>
      </c>
      <c r="S1153" s="14" t="str">
        <f t="shared" ref="S1153:U1153" si="2309">trim(B1153)</f>
        <v>ord_41131</v>
      </c>
      <c r="T1153" s="14" t="str">
        <f t="shared" si="2309"/>
        <v>Aarav Mehta</v>
      </c>
      <c r="U1153" s="14" t="str">
        <f t="shared" si="2309"/>
        <v>Andheri</v>
      </c>
      <c r="V1153" s="14" t="str">
        <f t="shared" si="4"/>
        <v>Cold Coffee</v>
      </c>
      <c r="W1153" s="14">
        <f t="shared" si="5"/>
        <v>2</v>
      </c>
      <c r="X1153" s="14" t="str">
        <f t="shared" si="6"/>
        <v>Rohan Yadav</v>
      </c>
      <c r="Y1153" s="15">
        <f t="shared" si="7"/>
        <v>45210</v>
      </c>
      <c r="Z1153" s="14" t="str">
        <f t="shared" si="8"/>
        <v>Credit Card</v>
      </c>
      <c r="AA1153" s="14" t="str">
        <f t="shared" si="9"/>
        <v>Delivered</v>
      </c>
      <c r="AB1153" s="14" t="str">
        <f t="shared" ref="AB1153:AC1153" si="2310">trim(Q1153)</f>
        <v>Customer Service</v>
      </c>
      <c r="AC1153" s="14" t="str">
        <f t="shared" si="2310"/>
        <v>Seamless and easy</v>
      </c>
      <c r="AD1153" s="8"/>
    </row>
    <row r="1154">
      <c r="A1154" s="14" t="str">
        <f>IFERROR(__xludf.DUMMYFUNCTION("""COMPUTED_VALUE"""),"//ord_41132//Arvind Kulkarni//Juhu//Tiramisu+1*Tanvi Jain/9/18/2023//UPI//Delivered*Delivery Experience: Quick and professional")</f>
        <v>//ord_41132//Arvind Kulkarni//Juhu//Tiramisu+1*Tanvi Jain/9/18/2023//UPI//Delivered*Delivery Experience: Quick and professional</v>
      </c>
      <c r="B1154" s="14" t="str">
        <f>IFERROR(__xludf.DUMMYFUNCTION("split(A1154,""//"")"),"ord_41132")</f>
        <v>ord_41132</v>
      </c>
      <c r="C1154" s="14" t="str">
        <f>IFERROR(__xludf.DUMMYFUNCTION("""COMPUTED_VALUE"""),"Arvind Kulkarni")</f>
        <v>Arvind Kulkarni</v>
      </c>
      <c r="D1154" s="14" t="str">
        <f>IFERROR(__xludf.DUMMYFUNCTION("""COMPUTED_VALUE"""),"Juhu")</f>
        <v>Juhu</v>
      </c>
      <c r="E1154" s="14" t="str">
        <f>IFERROR(__xludf.DUMMYFUNCTION("""COMPUTED_VALUE"""),"Tiramisu+1*Tanvi Jain")</f>
        <v>Tiramisu+1*Tanvi Jain</v>
      </c>
      <c r="F1154" s="14">
        <f>IFERROR(__xludf.DUMMYFUNCTION("""COMPUTED_VALUE"""),9.0)</f>
        <v>9</v>
      </c>
      <c r="G1154" s="14">
        <f>IFERROR(__xludf.DUMMYFUNCTION("""COMPUTED_VALUE"""),18.0)</f>
        <v>18</v>
      </c>
      <c r="H1154" s="14">
        <f>IFERROR(__xludf.DUMMYFUNCTION("""COMPUTED_VALUE"""),2023.0)</f>
        <v>2023</v>
      </c>
      <c r="I1154" s="14" t="str">
        <f>IFERROR(__xludf.DUMMYFUNCTION("""COMPUTED_VALUE"""),"UPI")</f>
        <v>UPI</v>
      </c>
      <c r="J1154" s="14" t="str">
        <f>IFERROR(__xludf.DUMMYFUNCTION("""COMPUTED_VALUE"""),"Delivered*Delivery Experience: Quick and professional")</f>
        <v>Delivered*Delivery Experience: Quick and professional</v>
      </c>
      <c r="K1154" s="14" t="str">
        <f>IFERROR(__xludf.DUMMYFUNCTION("split(E1154,""+"")"),"Tiramisu")</f>
        <v>Tiramisu</v>
      </c>
      <c r="L1154" s="14" t="str">
        <f>IFERROR(__xludf.DUMMYFUNCTION("""COMPUTED_VALUE"""),"1*Tanvi Jain")</f>
        <v>1*Tanvi Jain</v>
      </c>
      <c r="M1154" s="14">
        <f>IFERROR(__xludf.DUMMYFUNCTION("SPLIT(L1154,""*"")"),1.0)</f>
        <v>1</v>
      </c>
      <c r="N1154" s="14" t="str">
        <f>IFERROR(__xludf.DUMMYFUNCTION("""COMPUTED_VALUE"""),"Tanvi Jain")</f>
        <v>Tanvi Jain</v>
      </c>
      <c r="O1154" s="14" t="str">
        <f>IFERROR(__xludf.DUMMYFUNCTION("split(J1154,""*"")"),"Delivered")</f>
        <v>Delivered</v>
      </c>
      <c r="P1154" s="14" t="str">
        <f>IFERROR(__xludf.DUMMYFUNCTION("""COMPUTED_VALUE"""),"Delivery Experience: Quick and professional")</f>
        <v>Delivery Experience: Quick and professional</v>
      </c>
      <c r="Q1154" s="14" t="str">
        <f>IFERROR(__xludf.DUMMYFUNCTION("split(P1154,"":"")"),"Delivery Experience")</f>
        <v>Delivery Experience</v>
      </c>
      <c r="R1154" s="14" t="str">
        <f>IFERROR(__xludf.DUMMYFUNCTION("""COMPUTED_VALUE""")," Quick and professional")</f>
        <v> Quick and professional</v>
      </c>
      <c r="S1154" s="14" t="str">
        <f t="shared" ref="S1154:U1154" si="2311">trim(B1154)</f>
        <v>ord_41132</v>
      </c>
      <c r="T1154" s="14" t="str">
        <f t="shared" si="2311"/>
        <v>Arvind Kulkarni</v>
      </c>
      <c r="U1154" s="14" t="str">
        <f t="shared" si="2311"/>
        <v>Juhu</v>
      </c>
      <c r="V1154" s="14" t="str">
        <f t="shared" si="4"/>
        <v>Tiramisu</v>
      </c>
      <c r="W1154" s="14">
        <f t="shared" si="5"/>
        <v>1</v>
      </c>
      <c r="X1154" s="14" t="str">
        <f t="shared" si="6"/>
        <v>Tanvi Jain</v>
      </c>
      <c r="Y1154" s="15">
        <f t="shared" si="7"/>
        <v>45187</v>
      </c>
      <c r="Z1154" s="14" t="str">
        <f t="shared" si="8"/>
        <v>UPI</v>
      </c>
      <c r="AA1154" s="14" t="str">
        <f t="shared" si="9"/>
        <v>Delivered</v>
      </c>
      <c r="AB1154" s="14" t="str">
        <f t="shared" ref="AB1154:AC1154" si="2312">trim(Q1154)</f>
        <v>Delivery Experience</v>
      </c>
      <c r="AC1154" s="14" t="str">
        <f t="shared" si="2312"/>
        <v>Quick and professional</v>
      </c>
      <c r="AD1154" s="8"/>
    </row>
    <row r="1155">
      <c r="A1155" s="14" t="str">
        <f>IFERROR(__xludf.DUMMYFUNCTION("""COMPUTED_VALUE"""),"//ord_41133//Arvind Kulkarni//Juhu//Papaya+2*Neha Shah/1/3/2023//Online Payment//Cancelled*Delayed Delivery:Traffic Accidents or Road Closures")</f>
        <v>//ord_41133//Arvind Kulkarni//Juhu//Papaya+2*Neha Shah/1/3/2023//Online Payment//Cancelled*Delayed Delivery:Traffic Accidents or Road Closures</v>
      </c>
      <c r="B1155" s="14" t="str">
        <f>IFERROR(__xludf.DUMMYFUNCTION("split(A1155,""//"")"),"ord_41133")</f>
        <v>ord_41133</v>
      </c>
      <c r="C1155" s="14" t="str">
        <f>IFERROR(__xludf.DUMMYFUNCTION("""COMPUTED_VALUE"""),"Arvind Kulkarni")</f>
        <v>Arvind Kulkarni</v>
      </c>
      <c r="D1155" s="14" t="str">
        <f>IFERROR(__xludf.DUMMYFUNCTION("""COMPUTED_VALUE"""),"Juhu")</f>
        <v>Juhu</v>
      </c>
      <c r="E1155" s="14" t="str">
        <f>IFERROR(__xludf.DUMMYFUNCTION("""COMPUTED_VALUE"""),"Papaya+2*Neha Shah")</f>
        <v>Papaya+2*Neha Shah</v>
      </c>
      <c r="F1155" s="14">
        <f>IFERROR(__xludf.DUMMYFUNCTION("""COMPUTED_VALUE"""),1.0)</f>
        <v>1</v>
      </c>
      <c r="G1155" s="14">
        <f>IFERROR(__xludf.DUMMYFUNCTION("""COMPUTED_VALUE"""),3.0)</f>
        <v>3</v>
      </c>
      <c r="H1155" s="14">
        <f>IFERROR(__xludf.DUMMYFUNCTION("""COMPUTED_VALUE"""),2023.0)</f>
        <v>2023</v>
      </c>
      <c r="I1155" s="14" t="str">
        <f>IFERROR(__xludf.DUMMYFUNCTION("""COMPUTED_VALUE"""),"Online Payment")</f>
        <v>Online Payment</v>
      </c>
      <c r="J1155" s="14" t="str">
        <f>IFERROR(__xludf.DUMMYFUNCTION("""COMPUTED_VALUE"""),"Cancelled*Delayed Delivery:Traffic Accidents or Road Closures")</f>
        <v>Cancelled*Delayed Delivery:Traffic Accidents or Road Closures</v>
      </c>
      <c r="K1155" s="14" t="str">
        <f>IFERROR(__xludf.DUMMYFUNCTION("split(E1155,""+"")"),"Papaya")</f>
        <v>Papaya</v>
      </c>
      <c r="L1155" s="14" t="str">
        <f>IFERROR(__xludf.DUMMYFUNCTION("""COMPUTED_VALUE"""),"2*Neha Shah")</f>
        <v>2*Neha Shah</v>
      </c>
      <c r="M1155" s="14">
        <f>IFERROR(__xludf.DUMMYFUNCTION("SPLIT(L1155,""*"")"),2.0)</f>
        <v>2</v>
      </c>
      <c r="N1155" s="14" t="str">
        <f>IFERROR(__xludf.DUMMYFUNCTION("""COMPUTED_VALUE"""),"Neha Shah")</f>
        <v>Neha Shah</v>
      </c>
      <c r="O1155" s="14" t="str">
        <f>IFERROR(__xludf.DUMMYFUNCTION("split(J1155,""*"")"),"Cancelled")</f>
        <v>Cancelled</v>
      </c>
      <c r="P1155" s="14" t="str">
        <f>IFERROR(__xludf.DUMMYFUNCTION("""COMPUTED_VALUE"""),"Delayed Delivery:Traffic Accidents or Road Closures")</f>
        <v>Delayed Delivery:Traffic Accidents or Road Closures</v>
      </c>
      <c r="Q1155" s="14" t="str">
        <f>IFERROR(__xludf.DUMMYFUNCTION("split(P1155,"":"")"),"Delayed Delivery")</f>
        <v>Delayed Delivery</v>
      </c>
      <c r="R1155" s="14" t="str">
        <f>IFERROR(__xludf.DUMMYFUNCTION("""COMPUTED_VALUE"""),"Traffic Accidents or Road Closures")</f>
        <v>Traffic Accidents or Road Closures</v>
      </c>
      <c r="S1155" s="14" t="str">
        <f t="shared" ref="S1155:U1155" si="2313">trim(B1155)</f>
        <v>ord_41133</v>
      </c>
      <c r="T1155" s="14" t="str">
        <f t="shared" si="2313"/>
        <v>Arvind Kulkarni</v>
      </c>
      <c r="U1155" s="14" t="str">
        <f t="shared" si="2313"/>
        <v>Juhu</v>
      </c>
      <c r="V1155" s="14" t="str">
        <f t="shared" si="4"/>
        <v>Papaya</v>
      </c>
      <c r="W1155" s="14">
        <f t="shared" si="5"/>
        <v>2</v>
      </c>
      <c r="X1155" s="14" t="str">
        <f t="shared" si="6"/>
        <v>Neha Shah</v>
      </c>
      <c r="Y1155" s="15">
        <f t="shared" si="7"/>
        <v>44929</v>
      </c>
      <c r="Z1155" s="14" t="str">
        <f t="shared" si="8"/>
        <v>Online Payment</v>
      </c>
      <c r="AA1155" s="14" t="str">
        <f t="shared" si="9"/>
        <v>Cancelled</v>
      </c>
      <c r="AB1155" s="14" t="str">
        <f t="shared" ref="AB1155:AC1155" si="2314">trim(Q1155)</f>
        <v>Delayed Delivery</v>
      </c>
      <c r="AC1155" s="14" t="str">
        <f t="shared" si="2314"/>
        <v>Traffic Accidents or Road Closures</v>
      </c>
      <c r="AD1155" s="8"/>
    </row>
    <row r="1156">
      <c r="A1156" s="14" t="str">
        <f>IFERROR(__xludf.DUMMYFUNCTION("""COMPUTED_VALUE"""),"//ord_41134//Aditi Iyer//Dadar//Rasmalai+2*Aman Kumar/1/24/2023//COD//Delivered*Convenience: Easy tracking")</f>
        <v>//ord_41134//Aditi Iyer//Dadar//Rasmalai+2*Aman Kumar/1/24/2023//COD//Delivered*Convenience: Easy tracking</v>
      </c>
      <c r="B1156" s="14" t="str">
        <f>IFERROR(__xludf.DUMMYFUNCTION("split(A1156,""//"")"),"ord_41134")</f>
        <v>ord_41134</v>
      </c>
      <c r="C1156" s="14" t="str">
        <f>IFERROR(__xludf.DUMMYFUNCTION("""COMPUTED_VALUE"""),"Aditi Iyer")</f>
        <v>Aditi Iyer</v>
      </c>
      <c r="D1156" s="14" t="str">
        <f>IFERROR(__xludf.DUMMYFUNCTION("""COMPUTED_VALUE"""),"Dadar")</f>
        <v>Dadar</v>
      </c>
      <c r="E1156" s="14" t="str">
        <f>IFERROR(__xludf.DUMMYFUNCTION("""COMPUTED_VALUE"""),"Rasmalai+2*Aman Kumar")</f>
        <v>Rasmalai+2*Aman Kumar</v>
      </c>
      <c r="F1156" s="14">
        <f>IFERROR(__xludf.DUMMYFUNCTION("""COMPUTED_VALUE"""),1.0)</f>
        <v>1</v>
      </c>
      <c r="G1156" s="14">
        <f>IFERROR(__xludf.DUMMYFUNCTION("""COMPUTED_VALUE"""),24.0)</f>
        <v>24</v>
      </c>
      <c r="H1156" s="14">
        <f>IFERROR(__xludf.DUMMYFUNCTION("""COMPUTED_VALUE"""),2023.0)</f>
        <v>2023</v>
      </c>
      <c r="I1156" s="14" t="str">
        <f>IFERROR(__xludf.DUMMYFUNCTION("""COMPUTED_VALUE"""),"COD")</f>
        <v>COD</v>
      </c>
      <c r="J1156" s="14" t="str">
        <f>IFERROR(__xludf.DUMMYFUNCTION("""COMPUTED_VALUE"""),"Delivered*Convenience: Easy tracking")</f>
        <v>Delivered*Convenience: Easy tracking</v>
      </c>
      <c r="K1156" s="14" t="str">
        <f>IFERROR(__xludf.DUMMYFUNCTION("split(E1156,""+"")"),"Rasmalai")</f>
        <v>Rasmalai</v>
      </c>
      <c r="L1156" s="14" t="str">
        <f>IFERROR(__xludf.DUMMYFUNCTION("""COMPUTED_VALUE"""),"2*Aman Kumar")</f>
        <v>2*Aman Kumar</v>
      </c>
      <c r="M1156" s="14">
        <f>IFERROR(__xludf.DUMMYFUNCTION("SPLIT(L1156,""*"")"),2.0)</f>
        <v>2</v>
      </c>
      <c r="N1156" s="14" t="str">
        <f>IFERROR(__xludf.DUMMYFUNCTION("""COMPUTED_VALUE"""),"Aman Kumar")</f>
        <v>Aman Kumar</v>
      </c>
      <c r="O1156" s="14" t="str">
        <f>IFERROR(__xludf.DUMMYFUNCTION("split(J1156,""*"")"),"Delivered")</f>
        <v>Delivered</v>
      </c>
      <c r="P1156" s="14" t="str">
        <f>IFERROR(__xludf.DUMMYFUNCTION("""COMPUTED_VALUE"""),"Convenience: Easy tracking")</f>
        <v>Convenience: Easy tracking</v>
      </c>
      <c r="Q1156" s="14" t="str">
        <f>IFERROR(__xludf.DUMMYFUNCTION("split(P1156,"":"")"),"Convenience")</f>
        <v>Convenience</v>
      </c>
      <c r="R1156" s="14" t="str">
        <f>IFERROR(__xludf.DUMMYFUNCTION("""COMPUTED_VALUE""")," Easy tracking")</f>
        <v> Easy tracking</v>
      </c>
      <c r="S1156" s="14" t="str">
        <f t="shared" ref="S1156:U1156" si="2315">trim(B1156)</f>
        <v>ord_41134</v>
      </c>
      <c r="T1156" s="14" t="str">
        <f t="shared" si="2315"/>
        <v>Aditi Iyer</v>
      </c>
      <c r="U1156" s="14" t="str">
        <f t="shared" si="2315"/>
        <v>Dadar</v>
      </c>
      <c r="V1156" s="14" t="str">
        <f t="shared" si="4"/>
        <v>Rasmalai</v>
      </c>
      <c r="W1156" s="14">
        <f t="shared" si="5"/>
        <v>2</v>
      </c>
      <c r="X1156" s="14" t="str">
        <f t="shared" si="6"/>
        <v>Aman Kumar</v>
      </c>
      <c r="Y1156" s="15">
        <f t="shared" si="7"/>
        <v>44950</v>
      </c>
      <c r="Z1156" s="14" t="str">
        <f t="shared" si="8"/>
        <v>COD</v>
      </c>
      <c r="AA1156" s="14" t="str">
        <f t="shared" si="9"/>
        <v>Delivered</v>
      </c>
      <c r="AB1156" s="14" t="str">
        <f t="shared" ref="AB1156:AC1156" si="2316">trim(Q1156)</f>
        <v>Convenience</v>
      </c>
      <c r="AC1156" s="14" t="str">
        <f t="shared" si="2316"/>
        <v>Easy tracking</v>
      </c>
      <c r="AD1156" s="8"/>
    </row>
    <row r="1157">
      <c r="A1157" s="14" t="str">
        <f>IFERROR(__xludf.DUMMYFUNCTION("""COMPUTED_VALUE"""),"//ord_41135//Aarav Mehta//Andheri//Veg Puff+3*Rohan Yadav/2/20/2023//Online Payment//Delivered*Overall Satisfaction: Great service will order again")</f>
        <v>//ord_41135//Aarav Mehta//Andheri//Veg Puff+3*Rohan Yadav/2/20/2023//Online Payment//Delivered*Overall Satisfaction: Great service will order again</v>
      </c>
      <c r="B1157" s="14" t="str">
        <f>IFERROR(__xludf.DUMMYFUNCTION("split(A1157,""//"")"),"ord_41135")</f>
        <v>ord_41135</v>
      </c>
      <c r="C1157" s="14" t="str">
        <f>IFERROR(__xludf.DUMMYFUNCTION("""COMPUTED_VALUE"""),"Aarav Mehta")</f>
        <v>Aarav Mehta</v>
      </c>
      <c r="D1157" s="14" t="str">
        <f>IFERROR(__xludf.DUMMYFUNCTION("""COMPUTED_VALUE"""),"Andheri")</f>
        <v>Andheri</v>
      </c>
      <c r="E1157" s="14" t="str">
        <f>IFERROR(__xludf.DUMMYFUNCTION("""COMPUTED_VALUE"""),"Veg Puff+3*Rohan Yadav")</f>
        <v>Veg Puff+3*Rohan Yadav</v>
      </c>
      <c r="F1157" s="14">
        <f>IFERROR(__xludf.DUMMYFUNCTION("""COMPUTED_VALUE"""),2.0)</f>
        <v>2</v>
      </c>
      <c r="G1157" s="14">
        <f>IFERROR(__xludf.DUMMYFUNCTION("""COMPUTED_VALUE"""),20.0)</f>
        <v>20</v>
      </c>
      <c r="H1157" s="14">
        <f>IFERROR(__xludf.DUMMYFUNCTION("""COMPUTED_VALUE"""),2023.0)</f>
        <v>2023</v>
      </c>
      <c r="I1157" s="14" t="str">
        <f>IFERROR(__xludf.DUMMYFUNCTION("""COMPUTED_VALUE"""),"Online Payment")</f>
        <v>Online Payment</v>
      </c>
      <c r="J1157" s="14" t="str">
        <f>IFERROR(__xludf.DUMMYFUNCTION("""COMPUTED_VALUE"""),"Delivered*Overall Satisfaction: Great service will order again")</f>
        <v>Delivered*Overall Satisfaction: Great service will order again</v>
      </c>
      <c r="K1157" s="14" t="str">
        <f>IFERROR(__xludf.DUMMYFUNCTION("split(E1157,""+"")"),"Veg Puff")</f>
        <v>Veg Puff</v>
      </c>
      <c r="L1157" s="14" t="str">
        <f>IFERROR(__xludf.DUMMYFUNCTION("""COMPUTED_VALUE"""),"3*Rohan Yadav")</f>
        <v>3*Rohan Yadav</v>
      </c>
      <c r="M1157" s="14">
        <f>IFERROR(__xludf.DUMMYFUNCTION("SPLIT(L1157,""*"")"),3.0)</f>
        <v>3</v>
      </c>
      <c r="N1157" s="14" t="str">
        <f>IFERROR(__xludf.DUMMYFUNCTION("""COMPUTED_VALUE"""),"Rohan Yadav")</f>
        <v>Rohan Yadav</v>
      </c>
      <c r="O1157" s="14" t="str">
        <f>IFERROR(__xludf.DUMMYFUNCTION("split(J1157,""*"")"),"Delivered")</f>
        <v>Delivered</v>
      </c>
      <c r="P1157" s="14" t="str">
        <f>IFERROR(__xludf.DUMMYFUNCTION("""COMPUTED_VALUE"""),"Overall Satisfaction: Great service will order again")</f>
        <v>Overall Satisfaction: Great service will order again</v>
      </c>
      <c r="Q1157" s="14" t="str">
        <f>IFERROR(__xludf.DUMMYFUNCTION("split(P1157,"":"")"),"Overall Satisfaction")</f>
        <v>Overall Satisfaction</v>
      </c>
      <c r="R1157" s="14" t="str">
        <f>IFERROR(__xludf.DUMMYFUNCTION("""COMPUTED_VALUE""")," Great service will order again")</f>
        <v> Great service will order again</v>
      </c>
      <c r="S1157" s="14" t="str">
        <f t="shared" ref="S1157:U1157" si="2317">trim(B1157)</f>
        <v>ord_41135</v>
      </c>
      <c r="T1157" s="14" t="str">
        <f t="shared" si="2317"/>
        <v>Aarav Mehta</v>
      </c>
      <c r="U1157" s="14" t="str">
        <f t="shared" si="2317"/>
        <v>Andheri</v>
      </c>
      <c r="V1157" s="14" t="str">
        <f t="shared" si="4"/>
        <v>Veg Puff</v>
      </c>
      <c r="W1157" s="14">
        <f t="shared" si="5"/>
        <v>3</v>
      </c>
      <c r="X1157" s="14" t="str">
        <f t="shared" si="6"/>
        <v>Rohan Yadav</v>
      </c>
      <c r="Y1157" s="15">
        <f t="shared" si="7"/>
        <v>44977</v>
      </c>
      <c r="Z1157" s="14" t="str">
        <f t="shared" si="8"/>
        <v>Online Payment</v>
      </c>
      <c r="AA1157" s="14" t="str">
        <f t="shared" si="9"/>
        <v>Delivered</v>
      </c>
      <c r="AB1157" s="14" t="str">
        <f t="shared" ref="AB1157:AC1157" si="2318">trim(Q1157)</f>
        <v>Overall Satisfaction</v>
      </c>
      <c r="AC1157" s="14" t="str">
        <f t="shared" si="2318"/>
        <v>Great service will order again</v>
      </c>
      <c r="AD1157" s="8"/>
    </row>
    <row r="1158">
      <c r="A1158" s="14" t="str">
        <f>IFERROR(__xludf.DUMMYFUNCTION("""COMPUTED_VALUE"""),"//ord_41136//Aditi Iyer//Dadar//Orange+1*Aman Kumar/6/19/2023//COD//Delivered*On-time Delivery: Delivered on time")</f>
        <v>//ord_41136//Aditi Iyer//Dadar//Orange+1*Aman Kumar/6/19/2023//COD//Delivered*On-time Delivery: Delivered on time</v>
      </c>
      <c r="B1158" s="14" t="str">
        <f>IFERROR(__xludf.DUMMYFUNCTION("split(A1158,""//"")"),"ord_41136")</f>
        <v>ord_41136</v>
      </c>
      <c r="C1158" s="14" t="str">
        <f>IFERROR(__xludf.DUMMYFUNCTION("""COMPUTED_VALUE"""),"Aditi Iyer")</f>
        <v>Aditi Iyer</v>
      </c>
      <c r="D1158" s="14" t="str">
        <f>IFERROR(__xludf.DUMMYFUNCTION("""COMPUTED_VALUE"""),"Dadar")</f>
        <v>Dadar</v>
      </c>
      <c r="E1158" s="14" t="str">
        <f>IFERROR(__xludf.DUMMYFUNCTION("""COMPUTED_VALUE"""),"Orange+1*Aman Kumar")</f>
        <v>Orange+1*Aman Kumar</v>
      </c>
      <c r="F1158" s="14">
        <f>IFERROR(__xludf.DUMMYFUNCTION("""COMPUTED_VALUE"""),6.0)</f>
        <v>6</v>
      </c>
      <c r="G1158" s="14">
        <f>IFERROR(__xludf.DUMMYFUNCTION("""COMPUTED_VALUE"""),19.0)</f>
        <v>19</v>
      </c>
      <c r="H1158" s="14">
        <f>IFERROR(__xludf.DUMMYFUNCTION("""COMPUTED_VALUE"""),2023.0)</f>
        <v>2023</v>
      </c>
      <c r="I1158" s="14" t="str">
        <f>IFERROR(__xludf.DUMMYFUNCTION("""COMPUTED_VALUE"""),"COD")</f>
        <v>COD</v>
      </c>
      <c r="J1158" s="14" t="str">
        <f>IFERROR(__xludf.DUMMYFUNCTION("""COMPUTED_VALUE"""),"Delivered*On-time Delivery: Delivered on time")</f>
        <v>Delivered*On-time Delivery: Delivered on time</v>
      </c>
      <c r="K1158" s="14" t="str">
        <f>IFERROR(__xludf.DUMMYFUNCTION("split(E1158,""+"")"),"Orange")</f>
        <v>Orange</v>
      </c>
      <c r="L1158" s="14" t="str">
        <f>IFERROR(__xludf.DUMMYFUNCTION("""COMPUTED_VALUE"""),"1*Aman Kumar")</f>
        <v>1*Aman Kumar</v>
      </c>
      <c r="M1158" s="14">
        <f>IFERROR(__xludf.DUMMYFUNCTION("SPLIT(L1158,""*"")"),1.0)</f>
        <v>1</v>
      </c>
      <c r="N1158" s="14" t="str">
        <f>IFERROR(__xludf.DUMMYFUNCTION("""COMPUTED_VALUE"""),"Aman Kumar")</f>
        <v>Aman Kumar</v>
      </c>
      <c r="O1158" s="14" t="str">
        <f>IFERROR(__xludf.DUMMYFUNCTION("split(J1158,""*"")"),"Delivered")</f>
        <v>Delivered</v>
      </c>
      <c r="P1158" s="14" t="str">
        <f>IFERROR(__xludf.DUMMYFUNCTION("""COMPUTED_VALUE"""),"On-time Delivery: Delivered on time")</f>
        <v>On-time Delivery: Delivered on time</v>
      </c>
      <c r="Q1158" s="14" t="str">
        <f>IFERROR(__xludf.DUMMYFUNCTION("split(P1158,"":"")"),"On-time Delivery")</f>
        <v>On-time Delivery</v>
      </c>
      <c r="R1158" s="14" t="str">
        <f>IFERROR(__xludf.DUMMYFUNCTION("""COMPUTED_VALUE""")," Delivered on time")</f>
        <v> Delivered on time</v>
      </c>
      <c r="S1158" s="14" t="str">
        <f t="shared" ref="S1158:U1158" si="2319">trim(B1158)</f>
        <v>ord_41136</v>
      </c>
      <c r="T1158" s="14" t="str">
        <f t="shared" si="2319"/>
        <v>Aditi Iyer</v>
      </c>
      <c r="U1158" s="14" t="str">
        <f t="shared" si="2319"/>
        <v>Dadar</v>
      </c>
      <c r="V1158" s="14" t="str">
        <f t="shared" si="4"/>
        <v>Orange</v>
      </c>
      <c r="W1158" s="14">
        <f t="shared" si="5"/>
        <v>1</v>
      </c>
      <c r="X1158" s="14" t="str">
        <f t="shared" si="6"/>
        <v>Aman Kumar</v>
      </c>
      <c r="Y1158" s="15">
        <f t="shared" si="7"/>
        <v>45096</v>
      </c>
      <c r="Z1158" s="14" t="str">
        <f t="shared" si="8"/>
        <v>COD</v>
      </c>
      <c r="AA1158" s="14" t="str">
        <f t="shared" si="9"/>
        <v>Delivered</v>
      </c>
      <c r="AB1158" s="14" t="str">
        <f t="shared" ref="AB1158:AC1158" si="2320">trim(Q1158)</f>
        <v>On-time Delivery</v>
      </c>
      <c r="AC1158" s="14" t="str">
        <f t="shared" si="2320"/>
        <v>Delivered on time</v>
      </c>
      <c r="AD1158" s="8"/>
    </row>
    <row r="1159">
      <c r="A1159" s="14" t="str">
        <f>IFERROR(__xludf.DUMMYFUNCTION("""COMPUTED_VALUE"""),"//ord_41137//Pallavi Ghosh//Bandra//Chocolate Mousse+2*Priya Joshi/6/14/2023//Credit Card//Delivered*Quality of Items: Perfect condition")</f>
        <v>//ord_41137//Pallavi Ghosh//Bandra//Chocolate Mousse+2*Priya Joshi/6/14/2023//Credit Card//Delivered*Quality of Items: Perfect condition</v>
      </c>
      <c r="B1159" s="14" t="str">
        <f>IFERROR(__xludf.DUMMYFUNCTION("split(A1159,""//"")"),"ord_41137")</f>
        <v>ord_41137</v>
      </c>
      <c r="C1159" s="14" t="str">
        <f>IFERROR(__xludf.DUMMYFUNCTION("""COMPUTED_VALUE"""),"Pallavi Ghosh")</f>
        <v>Pallavi Ghosh</v>
      </c>
      <c r="D1159" s="14" t="str">
        <f>IFERROR(__xludf.DUMMYFUNCTION("""COMPUTED_VALUE"""),"Bandra")</f>
        <v>Bandra</v>
      </c>
      <c r="E1159" s="14" t="str">
        <f>IFERROR(__xludf.DUMMYFUNCTION("""COMPUTED_VALUE"""),"Chocolate Mousse+2*Priya Joshi")</f>
        <v>Chocolate Mousse+2*Priya Joshi</v>
      </c>
      <c r="F1159" s="14">
        <f>IFERROR(__xludf.DUMMYFUNCTION("""COMPUTED_VALUE"""),6.0)</f>
        <v>6</v>
      </c>
      <c r="G1159" s="14">
        <f>IFERROR(__xludf.DUMMYFUNCTION("""COMPUTED_VALUE"""),14.0)</f>
        <v>14</v>
      </c>
      <c r="H1159" s="14">
        <f>IFERROR(__xludf.DUMMYFUNCTION("""COMPUTED_VALUE"""),2023.0)</f>
        <v>2023</v>
      </c>
      <c r="I1159" s="14" t="str">
        <f>IFERROR(__xludf.DUMMYFUNCTION("""COMPUTED_VALUE"""),"Credit Card")</f>
        <v>Credit Card</v>
      </c>
      <c r="J1159" s="14" t="str">
        <f>IFERROR(__xludf.DUMMYFUNCTION("""COMPUTED_VALUE"""),"Delivered*Quality of Items: Perfect condition")</f>
        <v>Delivered*Quality of Items: Perfect condition</v>
      </c>
      <c r="K1159" s="14" t="str">
        <f>IFERROR(__xludf.DUMMYFUNCTION("split(E1159,""+"")"),"Chocolate Mousse")</f>
        <v>Chocolate Mousse</v>
      </c>
      <c r="L1159" s="14" t="str">
        <f>IFERROR(__xludf.DUMMYFUNCTION("""COMPUTED_VALUE"""),"2*Priya Joshi")</f>
        <v>2*Priya Joshi</v>
      </c>
      <c r="M1159" s="14">
        <f>IFERROR(__xludf.DUMMYFUNCTION("SPLIT(L1159,""*"")"),2.0)</f>
        <v>2</v>
      </c>
      <c r="N1159" s="14" t="str">
        <f>IFERROR(__xludf.DUMMYFUNCTION("""COMPUTED_VALUE"""),"Priya Joshi")</f>
        <v>Priya Joshi</v>
      </c>
      <c r="O1159" s="14" t="str">
        <f>IFERROR(__xludf.DUMMYFUNCTION("split(J1159,""*"")"),"Delivered")</f>
        <v>Delivered</v>
      </c>
      <c r="P1159" s="14" t="str">
        <f>IFERROR(__xludf.DUMMYFUNCTION("""COMPUTED_VALUE"""),"Quality of Items: Perfect condition")</f>
        <v>Quality of Items: Perfect condition</v>
      </c>
      <c r="Q1159" s="14" t="str">
        <f>IFERROR(__xludf.DUMMYFUNCTION("split(P1159,"":"")"),"Quality of Items")</f>
        <v>Quality of Items</v>
      </c>
      <c r="R1159" s="14" t="str">
        <f>IFERROR(__xludf.DUMMYFUNCTION("""COMPUTED_VALUE""")," Perfect condition")</f>
        <v> Perfect condition</v>
      </c>
      <c r="S1159" s="14" t="str">
        <f t="shared" ref="S1159:U1159" si="2321">trim(B1159)</f>
        <v>ord_41137</v>
      </c>
      <c r="T1159" s="14" t="str">
        <f t="shared" si="2321"/>
        <v>Pallavi Ghosh</v>
      </c>
      <c r="U1159" s="14" t="str">
        <f t="shared" si="2321"/>
        <v>Bandra</v>
      </c>
      <c r="V1159" s="14" t="str">
        <f t="shared" si="4"/>
        <v>Chocolate Mousse</v>
      </c>
      <c r="W1159" s="14">
        <f t="shared" si="5"/>
        <v>2</v>
      </c>
      <c r="X1159" s="14" t="str">
        <f t="shared" si="6"/>
        <v>Priya Joshi</v>
      </c>
      <c r="Y1159" s="15">
        <f t="shared" si="7"/>
        <v>45091</v>
      </c>
      <c r="Z1159" s="14" t="str">
        <f t="shared" si="8"/>
        <v>Credit Card</v>
      </c>
      <c r="AA1159" s="14" t="str">
        <f t="shared" si="9"/>
        <v>Delivered</v>
      </c>
      <c r="AB1159" s="14" t="str">
        <f t="shared" ref="AB1159:AC1159" si="2322">trim(Q1159)</f>
        <v>Quality of Items</v>
      </c>
      <c r="AC1159" s="14" t="str">
        <f t="shared" si="2322"/>
        <v>Perfect condition</v>
      </c>
      <c r="AD1159" s="8"/>
    </row>
    <row r="1160">
      <c r="A1160" s="14" t="str">
        <f>IFERROR(__xludf.DUMMYFUNCTION("""COMPUTED_VALUE"""),"//ord_41138//Mehul Thakkar//Malad//Potato+2*Neha Shah/1/29/2023//Credit Card//Delivered*On-time Delivery: Delivered on time")</f>
        <v>//ord_41138//Mehul Thakkar//Malad//Potato+2*Neha Shah/1/29/2023//Credit Card//Delivered*On-time Delivery: Delivered on time</v>
      </c>
      <c r="B1160" s="14" t="str">
        <f>IFERROR(__xludf.DUMMYFUNCTION("split(A1160,""//"")"),"ord_41138")</f>
        <v>ord_41138</v>
      </c>
      <c r="C1160" s="14" t="str">
        <f>IFERROR(__xludf.DUMMYFUNCTION("""COMPUTED_VALUE"""),"Mehul Thakkar")</f>
        <v>Mehul Thakkar</v>
      </c>
      <c r="D1160" s="14" t="str">
        <f>IFERROR(__xludf.DUMMYFUNCTION("""COMPUTED_VALUE"""),"Malad")</f>
        <v>Malad</v>
      </c>
      <c r="E1160" s="14" t="str">
        <f>IFERROR(__xludf.DUMMYFUNCTION("""COMPUTED_VALUE"""),"Potato+2*Neha Shah")</f>
        <v>Potato+2*Neha Shah</v>
      </c>
      <c r="F1160" s="14">
        <f>IFERROR(__xludf.DUMMYFUNCTION("""COMPUTED_VALUE"""),1.0)</f>
        <v>1</v>
      </c>
      <c r="G1160" s="14">
        <f>IFERROR(__xludf.DUMMYFUNCTION("""COMPUTED_VALUE"""),29.0)</f>
        <v>29</v>
      </c>
      <c r="H1160" s="14">
        <f>IFERROR(__xludf.DUMMYFUNCTION("""COMPUTED_VALUE"""),2023.0)</f>
        <v>2023</v>
      </c>
      <c r="I1160" s="14" t="str">
        <f>IFERROR(__xludf.DUMMYFUNCTION("""COMPUTED_VALUE"""),"Credit Card")</f>
        <v>Credit Card</v>
      </c>
      <c r="J1160" s="14" t="str">
        <f>IFERROR(__xludf.DUMMYFUNCTION("""COMPUTED_VALUE"""),"Delivered*On-time Delivery: Delivered on time")</f>
        <v>Delivered*On-time Delivery: Delivered on time</v>
      </c>
      <c r="K1160" s="14" t="str">
        <f>IFERROR(__xludf.DUMMYFUNCTION("split(E1160,""+"")"),"Potato")</f>
        <v>Potato</v>
      </c>
      <c r="L1160" s="14" t="str">
        <f>IFERROR(__xludf.DUMMYFUNCTION("""COMPUTED_VALUE"""),"2*Neha Shah")</f>
        <v>2*Neha Shah</v>
      </c>
      <c r="M1160" s="14">
        <f>IFERROR(__xludf.DUMMYFUNCTION("SPLIT(L1160,""*"")"),2.0)</f>
        <v>2</v>
      </c>
      <c r="N1160" s="14" t="str">
        <f>IFERROR(__xludf.DUMMYFUNCTION("""COMPUTED_VALUE"""),"Neha Shah")</f>
        <v>Neha Shah</v>
      </c>
      <c r="O1160" s="14" t="str">
        <f>IFERROR(__xludf.DUMMYFUNCTION("split(J1160,""*"")"),"Delivered")</f>
        <v>Delivered</v>
      </c>
      <c r="P1160" s="14" t="str">
        <f>IFERROR(__xludf.DUMMYFUNCTION("""COMPUTED_VALUE"""),"On-time Delivery: Delivered on time")</f>
        <v>On-time Delivery: Delivered on time</v>
      </c>
      <c r="Q1160" s="14" t="str">
        <f>IFERROR(__xludf.DUMMYFUNCTION("split(P1160,"":"")"),"On-time Delivery")</f>
        <v>On-time Delivery</v>
      </c>
      <c r="R1160" s="14" t="str">
        <f>IFERROR(__xludf.DUMMYFUNCTION("""COMPUTED_VALUE""")," Delivered on time")</f>
        <v> Delivered on time</v>
      </c>
      <c r="S1160" s="14" t="str">
        <f t="shared" ref="S1160:U1160" si="2323">trim(B1160)</f>
        <v>ord_41138</v>
      </c>
      <c r="T1160" s="14" t="str">
        <f t="shared" si="2323"/>
        <v>Mehul Thakkar</v>
      </c>
      <c r="U1160" s="14" t="str">
        <f t="shared" si="2323"/>
        <v>Malad</v>
      </c>
      <c r="V1160" s="14" t="str">
        <f t="shared" si="4"/>
        <v>Potato</v>
      </c>
      <c r="W1160" s="14">
        <f t="shared" si="5"/>
        <v>2</v>
      </c>
      <c r="X1160" s="14" t="str">
        <f t="shared" si="6"/>
        <v>Neha Shah</v>
      </c>
      <c r="Y1160" s="15">
        <f t="shared" si="7"/>
        <v>44955</v>
      </c>
      <c r="Z1160" s="14" t="str">
        <f t="shared" si="8"/>
        <v>Credit Card</v>
      </c>
      <c r="AA1160" s="14" t="str">
        <f t="shared" si="9"/>
        <v>Delivered</v>
      </c>
      <c r="AB1160" s="14" t="str">
        <f t="shared" ref="AB1160:AC1160" si="2324">trim(Q1160)</f>
        <v>On-time Delivery</v>
      </c>
      <c r="AC1160" s="14" t="str">
        <f t="shared" si="2324"/>
        <v>Delivered on time</v>
      </c>
      <c r="AD1160" s="8"/>
    </row>
    <row r="1161">
      <c r="A1161" s="14" t="str">
        <f>IFERROR(__xludf.DUMMYFUNCTION("""COMPUTED_VALUE"""),"//ord_41139//Mohit Malhotra//Lower Parel//Guava+2*Kiran Mehta/11/8/2023//Online Payment//Delivered*Quality of Items: Perfect condition")</f>
        <v>//ord_41139//Mohit Malhotra//Lower Parel//Guava+2*Kiran Mehta/11/8/2023//Online Payment//Delivered*Quality of Items: Perfect condition</v>
      </c>
      <c r="B1161" s="14" t="str">
        <f>IFERROR(__xludf.DUMMYFUNCTION("split(A1161,""//"")"),"ord_41139")</f>
        <v>ord_41139</v>
      </c>
      <c r="C1161" s="14" t="str">
        <f>IFERROR(__xludf.DUMMYFUNCTION("""COMPUTED_VALUE"""),"Mohit Malhotra")</f>
        <v>Mohit Malhotra</v>
      </c>
      <c r="D1161" s="14" t="str">
        <f>IFERROR(__xludf.DUMMYFUNCTION("""COMPUTED_VALUE"""),"Lower Parel")</f>
        <v>Lower Parel</v>
      </c>
      <c r="E1161" s="14" t="str">
        <f>IFERROR(__xludf.DUMMYFUNCTION("""COMPUTED_VALUE"""),"Guava+2*Kiran Mehta")</f>
        <v>Guava+2*Kiran Mehta</v>
      </c>
      <c r="F1161" s="14">
        <f>IFERROR(__xludf.DUMMYFUNCTION("""COMPUTED_VALUE"""),11.0)</f>
        <v>11</v>
      </c>
      <c r="G1161" s="14">
        <f>IFERROR(__xludf.DUMMYFUNCTION("""COMPUTED_VALUE"""),8.0)</f>
        <v>8</v>
      </c>
      <c r="H1161" s="14">
        <f>IFERROR(__xludf.DUMMYFUNCTION("""COMPUTED_VALUE"""),2023.0)</f>
        <v>2023</v>
      </c>
      <c r="I1161" s="14" t="str">
        <f>IFERROR(__xludf.DUMMYFUNCTION("""COMPUTED_VALUE"""),"Online Payment")</f>
        <v>Online Payment</v>
      </c>
      <c r="J1161" s="14" t="str">
        <f>IFERROR(__xludf.DUMMYFUNCTION("""COMPUTED_VALUE"""),"Delivered*Quality of Items: Perfect condition")</f>
        <v>Delivered*Quality of Items: Perfect condition</v>
      </c>
      <c r="K1161" s="14" t="str">
        <f>IFERROR(__xludf.DUMMYFUNCTION("split(E1161,""+"")"),"Guava")</f>
        <v>Guava</v>
      </c>
      <c r="L1161" s="14" t="str">
        <f>IFERROR(__xludf.DUMMYFUNCTION("""COMPUTED_VALUE"""),"2*Kiran Mehta")</f>
        <v>2*Kiran Mehta</v>
      </c>
      <c r="M1161" s="14">
        <f>IFERROR(__xludf.DUMMYFUNCTION("SPLIT(L1161,""*"")"),2.0)</f>
        <v>2</v>
      </c>
      <c r="N1161" s="14" t="str">
        <f>IFERROR(__xludf.DUMMYFUNCTION("""COMPUTED_VALUE"""),"Kiran Mehta")</f>
        <v>Kiran Mehta</v>
      </c>
      <c r="O1161" s="14" t="str">
        <f>IFERROR(__xludf.DUMMYFUNCTION("split(J1161,""*"")"),"Delivered")</f>
        <v>Delivered</v>
      </c>
      <c r="P1161" s="14" t="str">
        <f>IFERROR(__xludf.DUMMYFUNCTION("""COMPUTED_VALUE"""),"Quality of Items: Perfect condition")</f>
        <v>Quality of Items: Perfect condition</v>
      </c>
      <c r="Q1161" s="14" t="str">
        <f>IFERROR(__xludf.DUMMYFUNCTION("split(P1161,"":"")"),"Quality of Items")</f>
        <v>Quality of Items</v>
      </c>
      <c r="R1161" s="14" t="str">
        <f>IFERROR(__xludf.DUMMYFUNCTION("""COMPUTED_VALUE""")," Perfect condition")</f>
        <v> Perfect condition</v>
      </c>
      <c r="S1161" s="14" t="str">
        <f t="shared" ref="S1161:U1161" si="2325">trim(B1161)</f>
        <v>ord_41139</v>
      </c>
      <c r="T1161" s="14" t="str">
        <f t="shared" si="2325"/>
        <v>Mohit Malhotra</v>
      </c>
      <c r="U1161" s="14" t="str">
        <f t="shared" si="2325"/>
        <v>Lower Parel</v>
      </c>
      <c r="V1161" s="14" t="str">
        <f t="shared" si="4"/>
        <v>Guava</v>
      </c>
      <c r="W1161" s="14">
        <f t="shared" si="5"/>
        <v>2</v>
      </c>
      <c r="X1161" s="14" t="str">
        <f t="shared" si="6"/>
        <v>Kiran Mehta</v>
      </c>
      <c r="Y1161" s="15">
        <f t="shared" si="7"/>
        <v>45238</v>
      </c>
      <c r="Z1161" s="14" t="str">
        <f t="shared" si="8"/>
        <v>Online Payment</v>
      </c>
      <c r="AA1161" s="14" t="str">
        <f t="shared" si="9"/>
        <v>Delivered</v>
      </c>
      <c r="AB1161" s="14" t="str">
        <f t="shared" ref="AB1161:AC1161" si="2326">trim(Q1161)</f>
        <v>Quality of Items</v>
      </c>
      <c r="AC1161" s="14" t="str">
        <f t="shared" si="2326"/>
        <v>Perfect condition</v>
      </c>
      <c r="AD1161" s="8"/>
    </row>
    <row r="1162">
      <c r="A1162" s="14" t="str">
        <f>IFERROR(__xludf.DUMMYFUNCTION("""COMPUTED_VALUE"""),"//ord_41140//Ishaan Chaturvedi//Bandra//Tiramisu+5*Priya Joshi/12/24/2023//Online Payment//Delivered*Packaging: Secure and intact")</f>
        <v>//ord_41140//Ishaan Chaturvedi//Bandra//Tiramisu+5*Priya Joshi/12/24/2023//Online Payment//Delivered*Packaging: Secure and intact</v>
      </c>
      <c r="B1162" s="14" t="str">
        <f>IFERROR(__xludf.DUMMYFUNCTION("split(A1162,""//"")"),"ord_41140")</f>
        <v>ord_41140</v>
      </c>
      <c r="C1162" s="14" t="str">
        <f>IFERROR(__xludf.DUMMYFUNCTION("""COMPUTED_VALUE"""),"Ishaan Chaturvedi")</f>
        <v>Ishaan Chaturvedi</v>
      </c>
      <c r="D1162" s="14" t="str">
        <f>IFERROR(__xludf.DUMMYFUNCTION("""COMPUTED_VALUE"""),"Bandra")</f>
        <v>Bandra</v>
      </c>
      <c r="E1162" s="14" t="str">
        <f>IFERROR(__xludf.DUMMYFUNCTION("""COMPUTED_VALUE"""),"Tiramisu+5*Priya Joshi")</f>
        <v>Tiramisu+5*Priya Joshi</v>
      </c>
      <c r="F1162" s="14">
        <f>IFERROR(__xludf.DUMMYFUNCTION("""COMPUTED_VALUE"""),12.0)</f>
        <v>12</v>
      </c>
      <c r="G1162" s="14">
        <f>IFERROR(__xludf.DUMMYFUNCTION("""COMPUTED_VALUE"""),24.0)</f>
        <v>24</v>
      </c>
      <c r="H1162" s="14">
        <f>IFERROR(__xludf.DUMMYFUNCTION("""COMPUTED_VALUE"""),2023.0)</f>
        <v>2023</v>
      </c>
      <c r="I1162" s="14" t="str">
        <f>IFERROR(__xludf.DUMMYFUNCTION("""COMPUTED_VALUE"""),"Online Payment")</f>
        <v>Online Payment</v>
      </c>
      <c r="J1162" s="14" t="str">
        <f>IFERROR(__xludf.DUMMYFUNCTION("""COMPUTED_VALUE"""),"Delivered*Packaging: Secure and intact")</f>
        <v>Delivered*Packaging: Secure and intact</v>
      </c>
      <c r="K1162" s="14" t="str">
        <f>IFERROR(__xludf.DUMMYFUNCTION("split(E1162,""+"")"),"Tiramisu")</f>
        <v>Tiramisu</v>
      </c>
      <c r="L1162" s="14" t="str">
        <f>IFERROR(__xludf.DUMMYFUNCTION("""COMPUTED_VALUE"""),"5*Priya Joshi")</f>
        <v>5*Priya Joshi</v>
      </c>
      <c r="M1162" s="14">
        <f>IFERROR(__xludf.DUMMYFUNCTION("SPLIT(L1162,""*"")"),5.0)</f>
        <v>5</v>
      </c>
      <c r="N1162" s="14" t="str">
        <f>IFERROR(__xludf.DUMMYFUNCTION("""COMPUTED_VALUE"""),"Priya Joshi")</f>
        <v>Priya Joshi</v>
      </c>
      <c r="O1162" s="14" t="str">
        <f>IFERROR(__xludf.DUMMYFUNCTION("split(J1162,""*"")"),"Delivered")</f>
        <v>Delivered</v>
      </c>
      <c r="P1162" s="14" t="str">
        <f>IFERROR(__xludf.DUMMYFUNCTION("""COMPUTED_VALUE"""),"Packaging: Secure and intact")</f>
        <v>Packaging: Secure and intact</v>
      </c>
      <c r="Q1162" s="14" t="str">
        <f>IFERROR(__xludf.DUMMYFUNCTION("split(P1162,"":"")"),"Packaging")</f>
        <v>Packaging</v>
      </c>
      <c r="R1162" s="14" t="str">
        <f>IFERROR(__xludf.DUMMYFUNCTION("""COMPUTED_VALUE""")," Secure and intact")</f>
        <v> Secure and intact</v>
      </c>
      <c r="S1162" s="14" t="str">
        <f t="shared" ref="S1162:U1162" si="2327">trim(B1162)</f>
        <v>ord_41140</v>
      </c>
      <c r="T1162" s="14" t="str">
        <f t="shared" si="2327"/>
        <v>Ishaan Chaturvedi</v>
      </c>
      <c r="U1162" s="14" t="str">
        <f t="shared" si="2327"/>
        <v>Bandra</v>
      </c>
      <c r="V1162" s="14" t="str">
        <f t="shared" si="4"/>
        <v>Tiramisu</v>
      </c>
      <c r="W1162" s="14">
        <f t="shared" si="5"/>
        <v>5</v>
      </c>
      <c r="X1162" s="14" t="str">
        <f t="shared" si="6"/>
        <v>Priya Joshi</v>
      </c>
      <c r="Y1162" s="15">
        <f t="shared" si="7"/>
        <v>45284</v>
      </c>
      <c r="Z1162" s="14" t="str">
        <f t="shared" si="8"/>
        <v>Online Payment</v>
      </c>
      <c r="AA1162" s="14" t="str">
        <f t="shared" si="9"/>
        <v>Delivered</v>
      </c>
      <c r="AB1162" s="14" t="str">
        <f t="shared" ref="AB1162:AC1162" si="2328">trim(Q1162)</f>
        <v>Packaging</v>
      </c>
      <c r="AC1162" s="14" t="str">
        <f t="shared" si="2328"/>
        <v>Secure and intact</v>
      </c>
      <c r="AD1162" s="8"/>
    </row>
    <row r="1163">
      <c r="A1163" s="14" t="str">
        <f>IFERROR(__xludf.DUMMYFUNCTION("""COMPUTED_VALUE"""),"//ord_41141//Kritika Shetty//Malad//Onion+1*Not Assigned/10/1/2023//Online Payment//Cancelled*App Glitches:Missing Content")</f>
        <v>//ord_41141//Kritika Shetty//Malad//Onion+1*Not Assigned/10/1/2023//Online Payment//Cancelled*App Glitches:Missing Content</v>
      </c>
      <c r="B1163" s="14" t="str">
        <f>IFERROR(__xludf.DUMMYFUNCTION("split(A1163,""//"")"),"ord_41141")</f>
        <v>ord_41141</v>
      </c>
      <c r="C1163" s="14" t="str">
        <f>IFERROR(__xludf.DUMMYFUNCTION("""COMPUTED_VALUE"""),"Kritika Shetty")</f>
        <v>Kritika Shetty</v>
      </c>
      <c r="D1163" s="14" t="str">
        <f>IFERROR(__xludf.DUMMYFUNCTION("""COMPUTED_VALUE"""),"Malad")</f>
        <v>Malad</v>
      </c>
      <c r="E1163" s="14" t="str">
        <f>IFERROR(__xludf.DUMMYFUNCTION("""COMPUTED_VALUE"""),"Onion+1*Not Assigned")</f>
        <v>Onion+1*Not Assigned</v>
      </c>
      <c r="F1163" s="14">
        <f>IFERROR(__xludf.DUMMYFUNCTION("""COMPUTED_VALUE"""),10.0)</f>
        <v>10</v>
      </c>
      <c r="G1163" s="14">
        <f>IFERROR(__xludf.DUMMYFUNCTION("""COMPUTED_VALUE"""),1.0)</f>
        <v>1</v>
      </c>
      <c r="H1163" s="14">
        <f>IFERROR(__xludf.DUMMYFUNCTION("""COMPUTED_VALUE"""),2023.0)</f>
        <v>2023</v>
      </c>
      <c r="I1163" s="14" t="str">
        <f>IFERROR(__xludf.DUMMYFUNCTION("""COMPUTED_VALUE"""),"Online Payment")</f>
        <v>Online Payment</v>
      </c>
      <c r="J1163" s="14" t="str">
        <f>IFERROR(__xludf.DUMMYFUNCTION("""COMPUTED_VALUE"""),"Cancelled*App Glitches:Missing Content")</f>
        <v>Cancelled*App Glitches:Missing Content</v>
      </c>
      <c r="K1163" s="14" t="str">
        <f>IFERROR(__xludf.DUMMYFUNCTION("split(E1163,""+"")"),"Onion")</f>
        <v>Onion</v>
      </c>
      <c r="L1163" s="14" t="str">
        <f>IFERROR(__xludf.DUMMYFUNCTION("""COMPUTED_VALUE"""),"1*Not Assigned")</f>
        <v>1*Not Assigned</v>
      </c>
      <c r="M1163" s="14">
        <f>IFERROR(__xludf.DUMMYFUNCTION("SPLIT(L1163,""*"")"),1.0)</f>
        <v>1</v>
      </c>
      <c r="N1163" s="14" t="str">
        <f>IFERROR(__xludf.DUMMYFUNCTION("""COMPUTED_VALUE"""),"Not Assigned")</f>
        <v>Not Assigned</v>
      </c>
      <c r="O1163" s="14" t="str">
        <f>IFERROR(__xludf.DUMMYFUNCTION("split(J1163,""*"")"),"Cancelled")</f>
        <v>Cancelled</v>
      </c>
      <c r="P1163" s="14" t="str">
        <f>IFERROR(__xludf.DUMMYFUNCTION("""COMPUTED_VALUE"""),"App Glitches:Missing Content")</f>
        <v>App Glitches:Missing Content</v>
      </c>
      <c r="Q1163" s="14" t="str">
        <f>IFERROR(__xludf.DUMMYFUNCTION("split(P1163,"":"")"),"App Glitches")</f>
        <v>App Glitches</v>
      </c>
      <c r="R1163" s="14" t="str">
        <f>IFERROR(__xludf.DUMMYFUNCTION("""COMPUTED_VALUE"""),"Missing Content")</f>
        <v>Missing Content</v>
      </c>
      <c r="S1163" s="14" t="str">
        <f t="shared" ref="S1163:U1163" si="2329">trim(B1163)</f>
        <v>ord_41141</v>
      </c>
      <c r="T1163" s="14" t="str">
        <f t="shared" si="2329"/>
        <v>Kritika Shetty</v>
      </c>
      <c r="U1163" s="14" t="str">
        <f t="shared" si="2329"/>
        <v>Malad</v>
      </c>
      <c r="V1163" s="14" t="str">
        <f t="shared" si="4"/>
        <v>Onion</v>
      </c>
      <c r="W1163" s="14">
        <f t="shared" si="5"/>
        <v>1</v>
      </c>
      <c r="X1163" s="14" t="str">
        <f t="shared" si="6"/>
        <v>Not Assigned</v>
      </c>
      <c r="Y1163" s="15">
        <f t="shared" si="7"/>
        <v>45200</v>
      </c>
      <c r="Z1163" s="14" t="str">
        <f t="shared" si="8"/>
        <v>Online Payment</v>
      </c>
      <c r="AA1163" s="14" t="str">
        <f t="shared" si="9"/>
        <v>Cancelled</v>
      </c>
      <c r="AB1163" s="14" t="str">
        <f t="shared" ref="AB1163:AC1163" si="2330">trim(Q1163)</f>
        <v>App Glitches</v>
      </c>
      <c r="AC1163" s="14" t="str">
        <f t="shared" si="2330"/>
        <v>Missing Content</v>
      </c>
      <c r="AD1163" s="8"/>
    </row>
    <row r="1164">
      <c r="A1164" s="14" t="str">
        <f>IFERROR(__xludf.DUMMYFUNCTION("""COMPUTED_VALUE"""),"//ord_41142//Sanjay Nair//Dadar//Potato+2*Aman Kumar/4/21/2023//Credit Card//Delivered*Satisfied with the Delivery: Timely and quality")</f>
        <v>//ord_41142//Sanjay Nair//Dadar//Potato+2*Aman Kumar/4/21/2023//Credit Card//Delivered*Satisfied with the Delivery: Timely and quality</v>
      </c>
      <c r="B1164" s="14" t="str">
        <f>IFERROR(__xludf.DUMMYFUNCTION("split(A1164,""//"")"),"ord_41142")</f>
        <v>ord_41142</v>
      </c>
      <c r="C1164" s="14" t="str">
        <f>IFERROR(__xludf.DUMMYFUNCTION("""COMPUTED_VALUE"""),"Sanjay Nair")</f>
        <v>Sanjay Nair</v>
      </c>
      <c r="D1164" s="14" t="str">
        <f>IFERROR(__xludf.DUMMYFUNCTION("""COMPUTED_VALUE"""),"Dadar")</f>
        <v>Dadar</v>
      </c>
      <c r="E1164" s="14" t="str">
        <f>IFERROR(__xludf.DUMMYFUNCTION("""COMPUTED_VALUE"""),"Potato+2*Aman Kumar")</f>
        <v>Potato+2*Aman Kumar</v>
      </c>
      <c r="F1164" s="14">
        <f>IFERROR(__xludf.DUMMYFUNCTION("""COMPUTED_VALUE"""),4.0)</f>
        <v>4</v>
      </c>
      <c r="G1164" s="14">
        <f>IFERROR(__xludf.DUMMYFUNCTION("""COMPUTED_VALUE"""),21.0)</f>
        <v>21</v>
      </c>
      <c r="H1164" s="14">
        <f>IFERROR(__xludf.DUMMYFUNCTION("""COMPUTED_VALUE"""),2023.0)</f>
        <v>2023</v>
      </c>
      <c r="I1164" s="14" t="str">
        <f>IFERROR(__xludf.DUMMYFUNCTION("""COMPUTED_VALUE"""),"Credit Card")</f>
        <v>Credit Card</v>
      </c>
      <c r="J1164" s="14" t="str">
        <f>IFERROR(__xludf.DUMMYFUNCTION("""COMPUTED_VALUE"""),"Delivered*Satisfied with the Delivery: Timely and quality")</f>
        <v>Delivered*Satisfied with the Delivery: Timely and quality</v>
      </c>
      <c r="K1164" s="14" t="str">
        <f>IFERROR(__xludf.DUMMYFUNCTION("split(E1164,""+"")"),"Potato")</f>
        <v>Potato</v>
      </c>
      <c r="L1164" s="14" t="str">
        <f>IFERROR(__xludf.DUMMYFUNCTION("""COMPUTED_VALUE"""),"2*Aman Kumar")</f>
        <v>2*Aman Kumar</v>
      </c>
      <c r="M1164" s="14">
        <f>IFERROR(__xludf.DUMMYFUNCTION("SPLIT(L1164,""*"")"),2.0)</f>
        <v>2</v>
      </c>
      <c r="N1164" s="14" t="str">
        <f>IFERROR(__xludf.DUMMYFUNCTION("""COMPUTED_VALUE"""),"Aman Kumar")</f>
        <v>Aman Kumar</v>
      </c>
      <c r="O1164" s="14" t="str">
        <f>IFERROR(__xludf.DUMMYFUNCTION("split(J1164,""*"")"),"Delivered")</f>
        <v>Delivered</v>
      </c>
      <c r="P1164" s="14" t="str">
        <f>IFERROR(__xludf.DUMMYFUNCTION("""COMPUTED_VALUE"""),"Satisfied with the Delivery: Timely and quality")</f>
        <v>Satisfied with the Delivery: Timely and quality</v>
      </c>
      <c r="Q1164" s="14" t="str">
        <f>IFERROR(__xludf.DUMMYFUNCTION("split(P1164,"":"")"),"Satisfied with the Delivery")</f>
        <v>Satisfied with the Delivery</v>
      </c>
      <c r="R1164" s="14" t="str">
        <f>IFERROR(__xludf.DUMMYFUNCTION("""COMPUTED_VALUE""")," Timely and quality")</f>
        <v> Timely and quality</v>
      </c>
      <c r="S1164" s="14" t="str">
        <f t="shared" ref="S1164:U1164" si="2331">trim(B1164)</f>
        <v>ord_41142</v>
      </c>
      <c r="T1164" s="14" t="str">
        <f t="shared" si="2331"/>
        <v>Sanjay Nair</v>
      </c>
      <c r="U1164" s="14" t="str">
        <f t="shared" si="2331"/>
        <v>Dadar</v>
      </c>
      <c r="V1164" s="14" t="str">
        <f t="shared" si="4"/>
        <v>Potato</v>
      </c>
      <c r="W1164" s="14">
        <f t="shared" si="5"/>
        <v>2</v>
      </c>
      <c r="X1164" s="14" t="str">
        <f t="shared" si="6"/>
        <v>Aman Kumar</v>
      </c>
      <c r="Y1164" s="15">
        <f t="shared" si="7"/>
        <v>45037</v>
      </c>
      <c r="Z1164" s="14" t="str">
        <f t="shared" si="8"/>
        <v>Credit Card</v>
      </c>
      <c r="AA1164" s="14" t="str">
        <f t="shared" si="9"/>
        <v>Delivered</v>
      </c>
      <c r="AB1164" s="14" t="str">
        <f t="shared" ref="AB1164:AC1164" si="2332">trim(Q1164)</f>
        <v>Satisfied with the Delivery</v>
      </c>
      <c r="AC1164" s="14" t="str">
        <f t="shared" si="2332"/>
        <v>Timely and quality</v>
      </c>
      <c r="AD1164" s="8"/>
    </row>
    <row r="1165">
      <c r="A1165" s="14" t="str">
        <f>IFERROR(__xludf.DUMMYFUNCTION("""COMPUTED_VALUE"""),"//ord_41143//Pranav Joshi//Andheri//Onion+1*Rohan Yadav/9/16/2023//Online Payment//Delivered*Customer Service: Seamless and easy")</f>
        <v>//ord_41143//Pranav Joshi//Andheri//Onion+1*Rohan Yadav/9/16/2023//Online Payment//Delivered*Customer Service: Seamless and easy</v>
      </c>
      <c r="B1165" s="14" t="str">
        <f>IFERROR(__xludf.DUMMYFUNCTION("split(A1165,""//"")"),"ord_41143")</f>
        <v>ord_41143</v>
      </c>
      <c r="C1165" s="14" t="str">
        <f>IFERROR(__xludf.DUMMYFUNCTION("""COMPUTED_VALUE"""),"Pranav Joshi")</f>
        <v>Pranav Joshi</v>
      </c>
      <c r="D1165" s="14" t="str">
        <f>IFERROR(__xludf.DUMMYFUNCTION("""COMPUTED_VALUE"""),"Andheri")</f>
        <v>Andheri</v>
      </c>
      <c r="E1165" s="14" t="str">
        <f>IFERROR(__xludf.DUMMYFUNCTION("""COMPUTED_VALUE"""),"Onion+1*Rohan Yadav")</f>
        <v>Onion+1*Rohan Yadav</v>
      </c>
      <c r="F1165" s="14">
        <f>IFERROR(__xludf.DUMMYFUNCTION("""COMPUTED_VALUE"""),9.0)</f>
        <v>9</v>
      </c>
      <c r="G1165" s="14">
        <f>IFERROR(__xludf.DUMMYFUNCTION("""COMPUTED_VALUE"""),16.0)</f>
        <v>16</v>
      </c>
      <c r="H1165" s="14">
        <f>IFERROR(__xludf.DUMMYFUNCTION("""COMPUTED_VALUE"""),2023.0)</f>
        <v>2023</v>
      </c>
      <c r="I1165" s="14" t="str">
        <f>IFERROR(__xludf.DUMMYFUNCTION("""COMPUTED_VALUE"""),"Online Payment")</f>
        <v>Online Payment</v>
      </c>
      <c r="J1165" s="14" t="str">
        <f>IFERROR(__xludf.DUMMYFUNCTION("""COMPUTED_VALUE"""),"Delivered*Customer Service: Seamless and easy")</f>
        <v>Delivered*Customer Service: Seamless and easy</v>
      </c>
      <c r="K1165" s="14" t="str">
        <f>IFERROR(__xludf.DUMMYFUNCTION("split(E1165,""+"")"),"Onion")</f>
        <v>Onion</v>
      </c>
      <c r="L1165" s="14" t="str">
        <f>IFERROR(__xludf.DUMMYFUNCTION("""COMPUTED_VALUE"""),"1*Rohan Yadav")</f>
        <v>1*Rohan Yadav</v>
      </c>
      <c r="M1165" s="14">
        <f>IFERROR(__xludf.DUMMYFUNCTION("SPLIT(L1165,""*"")"),1.0)</f>
        <v>1</v>
      </c>
      <c r="N1165" s="14" t="str">
        <f>IFERROR(__xludf.DUMMYFUNCTION("""COMPUTED_VALUE"""),"Rohan Yadav")</f>
        <v>Rohan Yadav</v>
      </c>
      <c r="O1165" s="14" t="str">
        <f>IFERROR(__xludf.DUMMYFUNCTION("split(J1165,""*"")"),"Delivered")</f>
        <v>Delivered</v>
      </c>
      <c r="P1165" s="14" t="str">
        <f>IFERROR(__xludf.DUMMYFUNCTION("""COMPUTED_VALUE"""),"Customer Service: Seamless and easy")</f>
        <v>Customer Service: Seamless and easy</v>
      </c>
      <c r="Q1165" s="14" t="str">
        <f>IFERROR(__xludf.DUMMYFUNCTION("split(P1165,"":"")"),"Customer Service")</f>
        <v>Customer Service</v>
      </c>
      <c r="R1165" s="14" t="str">
        <f>IFERROR(__xludf.DUMMYFUNCTION("""COMPUTED_VALUE""")," Seamless and easy")</f>
        <v> Seamless and easy</v>
      </c>
      <c r="S1165" s="14" t="str">
        <f t="shared" ref="S1165:U1165" si="2333">trim(B1165)</f>
        <v>ord_41143</v>
      </c>
      <c r="T1165" s="14" t="str">
        <f t="shared" si="2333"/>
        <v>Pranav Joshi</v>
      </c>
      <c r="U1165" s="14" t="str">
        <f t="shared" si="2333"/>
        <v>Andheri</v>
      </c>
      <c r="V1165" s="14" t="str">
        <f t="shared" si="4"/>
        <v>Onion</v>
      </c>
      <c r="W1165" s="14">
        <f t="shared" si="5"/>
        <v>1</v>
      </c>
      <c r="X1165" s="14" t="str">
        <f t="shared" si="6"/>
        <v>Rohan Yadav</v>
      </c>
      <c r="Y1165" s="15">
        <f t="shared" si="7"/>
        <v>45185</v>
      </c>
      <c r="Z1165" s="14" t="str">
        <f t="shared" si="8"/>
        <v>Online Payment</v>
      </c>
      <c r="AA1165" s="14" t="str">
        <f t="shared" si="9"/>
        <v>Delivered</v>
      </c>
      <c r="AB1165" s="14" t="str">
        <f t="shared" ref="AB1165:AC1165" si="2334">trim(Q1165)</f>
        <v>Customer Service</v>
      </c>
      <c r="AC1165" s="14" t="str">
        <f t="shared" si="2334"/>
        <v>Seamless and easy</v>
      </c>
      <c r="AD1165" s="8"/>
    </row>
    <row r="1166">
      <c r="A1166" s="14" t="str">
        <f>IFERROR(__xludf.DUMMYFUNCTION("""COMPUTED_VALUE"""),"//ord_41144//Parth Goel//Juhu//Banana+2*Tanvi Jain/7/1/2023//UPI//Delivered*Delivery Experience: Quick and professional")</f>
        <v>//ord_41144//Parth Goel//Juhu//Banana+2*Tanvi Jain/7/1/2023//UPI//Delivered*Delivery Experience: Quick and professional</v>
      </c>
      <c r="B1166" s="14" t="str">
        <f>IFERROR(__xludf.DUMMYFUNCTION("split(A1166,""//"")"),"ord_41144")</f>
        <v>ord_41144</v>
      </c>
      <c r="C1166" s="14" t="str">
        <f>IFERROR(__xludf.DUMMYFUNCTION("""COMPUTED_VALUE"""),"Parth Goel")</f>
        <v>Parth Goel</v>
      </c>
      <c r="D1166" s="14" t="str">
        <f>IFERROR(__xludf.DUMMYFUNCTION("""COMPUTED_VALUE"""),"Juhu")</f>
        <v>Juhu</v>
      </c>
      <c r="E1166" s="14" t="str">
        <f>IFERROR(__xludf.DUMMYFUNCTION("""COMPUTED_VALUE"""),"Banana+2*Tanvi Jain")</f>
        <v>Banana+2*Tanvi Jain</v>
      </c>
      <c r="F1166" s="14">
        <f>IFERROR(__xludf.DUMMYFUNCTION("""COMPUTED_VALUE"""),7.0)</f>
        <v>7</v>
      </c>
      <c r="G1166" s="14">
        <f>IFERROR(__xludf.DUMMYFUNCTION("""COMPUTED_VALUE"""),1.0)</f>
        <v>1</v>
      </c>
      <c r="H1166" s="14">
        <f>IFERROR(__xludf.DUMMYFUNCTION("""COMPUTED_VALUE"""),2023.0)</f>
        <v>2023</v>
      </c>
      <c r="I1166" s="14" t="str">
        <f>IFERROR(__xludf.DUMMYFUNCTION("""COMPUTED_VALUE"""),"UPI")</f>
        <v>UPI</v>
      </c>
      <c r="J1166" s="14" t="str">
        <f>IFERROR(__xludf.DUMMYFUNCTION("""COMPUTED_VALUE"""),"Delivered*Delivery Experience: Quick and professional")</f>
        <v>Delivered*Delivery Experience: Quick and professional</v>
      </c>
      <c r="K1166" s="14" t="str">
        <f>IFERROR(__xludf.DUMMYFUNCTION("split(E1166,""+"")"),"Banana")</f>
        <v>Banana</v>
      </c>
      <c r="L1166" s="14" t="str">
        <f>IFERROR(__xludf.DUMMYFUNCTION("""COMPUTED_VALUE"""),"2*Tanvi Jain")</f>
        <v>2*Tanvi Jain</v>
      </c>
      <c r="M1166" s="14">
        <f>IFERROR(__xludf.DUMMYFUNCTION("SPLIT(L1166,""*"")"),2.0)</f>
        <v>2</v>
      </c>
      <c r="N1166" s="14" t="str">
        <f>IFERROR(__xludf.DUMMYFUNCTION("""COMPUTED_VALUE"""),"Tanvi Jain")</f>
        <v>Tanvi Jain</v>
      </c>
      <c r="O1166" s="14" t="str">
        <f>IFERROR(__xludf.DUMMYFUNCTION("split(J1166,""*"")"),"Delivered")</f>
        <v>Delivered</v>
      </c>
      <c r="P1166" s="14" t="str">
        <f>IFERROR(__xludf.DUMMYFUNCTION("""COMPUTED_VALUE"""),"Delivery Experience: Quick and professional")</f>
        <v>Delivery Experience: Quick and professional</v>
      </c>
      <c r="Q1166" s="14" t="str">
        <f>IFERROR(__xludf.DUMMYFUNCTION("split(P1166,"":"")"),"Delivery Experience")</f>
        <v>Delivery Experience</v>
      </c>
      <c r="R1166" s="14" t="str">
        <f>IFERROR(__xludf.DUMMYFUNCTION("""COMPUTED_VALUE""")," Quick and professional")</f>
        <v> Quick and professional</v>
      </c>
      <c r="S1166" s="14" t="str">
        <f t="shared" ref="S1166:U1166" si="2335">trim(B1166)</f>
        <v>ord_41144</v>
      </c>
      <c r="T1166" s="14" t="str">
        <f t="shared" si="2335"/>
        <v>Parth Goel</v>
      </c>
      <c r="U1166" s="14" t="str">
        <f t="shared" si="2335"/>
        <v>Juhu</v>
      </c>
      <c r="V1166" s="14" t="str">
        <f t="shared" si="4"/>
        <v>Banana</v>
      </c>
      <c r="W1166" s="14">
        <f t="shared" si="5"/>
        <v>2</v>
      </c>
      <c r="X1166" s="14" t="str">
        <f t="shared" si="6"/>
        <v>Tanvi Jain</v>
      </c>
      <c r="Y1166" s="15">
        <f t="shared" si="7"/>
        <v>45108</v>
      </c>
      <c r="Z1166" s="14" t="str">
        <f t="shared" si="8"/>
        <v>UPI</v>
      </c>
      <c r="AA1166" s="14" t="str">
        <f t="shared" si="9"/>
        <v>Delivered</v>
      </c>
      <c r="AB1166" s="14" t="str">
        <f t="shared" ref="AB1166:AC1166" si="2336">trim(Q1166)</f>
        <v>Delivery Experience</v>
      </c>
      <c r="AC1166" s="14" t="str">
        <f t="shared" si="2336"/>
        <v>Quick and professional</v>
      </c>
      <c r="AD1166" s="8"/>
    </row>
    <row r="1167">
      <c r="A1167" s="14" t="str">
        <f>IFERROR(__xludf.DUMMYFUNCTION("""COMPUTED_VALUE"""),"//ord_41145//Sanjay Nair//Dadar//Rasmalai+2*Aman Kumar/4/5/2023//COD//Delivered*Convenience: Easy tracking")</f>
        <v>//ord_41145//Sanjay Nair//Dadar//Rasmalai+2*Aman Kumar/4/5/2023//COD//Delivered*Convenience: Easy tracking</v>
      </c>
      <c r="B1167" s="14" t="str">
        <f>IFERROR(__xludf.DUMMYFUNCTION("split(A1167,""//"")"),"ord_41145")</f>
        <v>ord_41145</v>
      </c>
      <c r="C1167" s="14" t="str">
        <f>IFERROR(__xludf.DUMMYFUNCTION("""COMPUTED_VALUE"""),"Sanjay Nair")</f>
        <v>Sanjay Nair</v>
      </c>
      <c r="D1167" s="14" t="str">
        <f>IFERROR(__xludf.DUMMYFUNCTION("""COMPUTED_VALUE"""),"Dadar")</f>
        <v>Dadar</v>
      </c>
      <c r="E1167" s="14" t="str">
        <f>IFERROR(__xludf.DUMMYFUNCTION("""COMPUTED_VALUE"""),"Rasmalai+2*Aman Kumar")</f>
        <v>Rasmalai+2*Aman Kumar</v>
      </c>
      <c r="F1167" s="14">
        <f>IFERROR(__xludf.DUMMYFUNCTION("""COMPUTED_VALUE"""),4.0)</f>
        <v>4</v>
      </c>
      <c r="G1167" s="14">
        <f>IFERROR(__xludf.DUMMYFUNCTION("""COMPUTED_VALUE"""),5.0)</f>
        <v>5</v>
      </c>
      <c r="H1167" s="14">
        <f>IFERROR(__xludf.DUMMYFUNCTION("""COMPUTED_VALUE"""),2023.0)</f>
        <v>2023</v>
      </c>
      <c r="I1167" s="14" t="str">
        <f>IFERROR(__xludf.DUMMYFUNCTION("""COMPUTED_VALUE"""),"COD")</f>
        <v>COD</v>
      </c>
      <c r="J1167" s="14" t="str">
        <f>IFERROR(__xludf.DUMMYFUNCTION("""COMPUTED_VALUE"""),"Delivered*Convenience: Easy tracking")</f>
        <v>Delivered*Convenience: Easy tracking</v>
      </c>
      <c r="K1167" s="14" t="str">
        <f>IFERROR(__xludf.DUMMYFUNCTION("split(E1167,""+"")"),"Rasmalai")</f>
        <v>Rasmalai</v>
      </c>
      <c r="L1167" s="14" t="str">
        <f>IFERROR(__xludf.DUMMYFUNCTION("""COMPUTED_VALUE"""),"2*Aman Kumar")</f>
        <v>2*Aman Kumar</v>
      </c>
      <c r="M1167" s="14">
        <f>IFERROR(__xludf.DUMMYFUNCTION("SPLIT(L1167,""*"")"),2.0)</f>
        <v>2</v>
      </c>
      <c r="N1167" s="14" t="str">
        <f>IFERROR(__xludf.DUMMYFUNCTION("""COMPUTED_VALUE"""),"Aman Kumar")</f>
        <v>Aman Kumar</v>
      </c>
      <c r="O1167" s="14" t="str">
        <f>IFERROR(__xludf.DUMMYFUNCTION("split(J1167,""*"")"),"Delivered")</f>
        <v>Delivered</v>
      </c>
      <c r="P1167" s="14" t="str">
        <f>IFERROR(__xludf.DUMMYFUNCTION("""COMPUTED_VALUE"""),"Convenience: Easy tracking")</f>
        <v>Convenience: Easy tracking</v>
      </c>
      <c r="Q1167" s="14" t="str">
        <f>IFERROR(__xludf.DUMMYFUNCTION("split(P1167,"":"")"),"Convenience")</f>
        <v>Convenience</v>
      </c>
      <c r="R1167" s="14" t="str">
        <f>IFERROR(__xludf.DUMMYFUNCTION("""COMPUTED_VALUE""")," Easy tracking")</f>
        <v> Easy tracking</v>
      </c>
      <c r="S1167" s="14" t="str">
        <f t="shared" ref="S1167:U1167" si="2337">trim(B1167)</f>
        <v>ord_41145</v>
      </c>
      <c r="T1167" s="14" t="str">
        <f t="shared" si="2337"/>
        <v>Sanjay Nair</v>
      </c>
      <c r="U1167" s="14" t="str">
        <f t="shared" si="2337"/>
        <v>Dadar</v>
      </c>
      <c r="V1167" s="14" t="str">
        <f t="shared" si="4"/>
        <v>Rasmalai</v>
      </c>
      <c r="W1167" s="14">
        <f t="shared" si="5"/>
        <v>2</v>
      </c>
      <c r="X1167" s="14" t="str">
        <f t="shared" si="6"/>
        <v>Aman Kumar</v>
      </c>
      <c r="Y1167" s="15">
        <f t="shared" si="7"/>
        <v>45021</v>
      </c>
      <c r="Z1167" s="14" t="str">
        <f t="shared" si="8"/>
        <v>COD</v>
      </c>
      <c r="AA1167" s="14" t="str">
        <f t="shared" si="9"/>
        <v>Delivered</v>
      </c>
      <c r="AB1167" s="14" t="str">
        <f t="shared" ref="AB1167:AC1167" si="2338">trim(Q1167)</f>
        <v>Convenience</v>
      </c>
      <c r="AC1167" s="14" t="str">
        <f t="shared" si="2338"/>
        <v>Easy tracking</v>
      </c>
      <c r="AD1167" s="8"/>
    </row>
    <row r="1168">
      <c r="A1168" s="14" t="str">
        <f>IFERROR(__xludf.DUMMYFUNCTION("""COMPUTED_VALUE"""),"//ord_41146//Pranav Joshi//Andheri//Orange+2*Rohan Yadav/7/19/2023//Online Payment//Delivered*Overall Satisfaction: Great service will order again")</f>
        <v>//ord_41146//Pranav Joshi//Andheri//Orange+2*Rohan Yadav/7/19/2023//Online Payment//Delivered*Overall Satisfaction: Great service will order again</v>
      </c>
      <c r="B1168" s="14" t="str">
        <f>IFERROR(__xludf.DUMMYFUNCTION("split(A1168,""//"")"),"ord_41146")</f>
        <v>ord_41146</v>
      </c>
      <c r="C1168" s="14" t="str">
        <f>IFERROR(__xludf.DUMMYFUNCTION("""COMPUTED_VALUE"""),"Pranav Joshi")</f>
        <v>Pranav Joshi</v>
      </c>
      <c r="D1168" s="14" t="str">
        <f>IFERROR(__xludf.DUMMYFUNCTION("""COMPUTED_VALUE"""),"Andheri")</f>
        <v>Andheri</v>
      </c>
      <c r="E1168" s="14" t="str">
        <f>IFERROR(__xludf.DUMMYFUNCTION("""COMPUTED_VALUE"""),"Orange+2*Rohan Yadav")</f>
        <v>Orange+2*Rohan Yadav</v>
      </c>
      <c r="F1168" s="14">
        <f>IFERROR(__xludf.DUMMYFUNCTION("""COMPUTED_VALUE"""),7.0)</f>
        <v>7</v>
      </c>
      <c r="G1168" s="14">
        <f>IFERROR(__xludf.DUMMYFUNCTION("""COMPUTED_VALUE"""),19.0)</f>
        <v>19</v>
      </c>
      <c r="H1168" s="14">
        <f>IFERROR(__xludf.DUMMYFUNCTION("""COMPUTED_VALUE"""),2023.0)</f>
        <v>2023</v>
      </c>
      <c r="I1168" s="14" t="str">
        <f>IFERROR(__xludf.DUMMYFUNCTION("""COMPUTED_VALUE"""),"Online Payment")</f>
        <v>Online Payment</v>
      </c>
      <c r="J1168" s="14" t="str">
        <f>IFERROR(__xludf.DUMMYFUNCTION("""COMPUTED_VALUE"""),"Delivered*Overall Satisfaction: Great service will order again")</f>
        <v>Delivered*Overall Satisfaction: Great service will order again</v>
      </c>
      <c r="K1168" s="14" t="str">
        <f>IFERROR(__xludf.DUMMYFUNCTION("split(E1168,""+"")"),"Orange")</f>
        <v>Orange</v>
      </c>
      <c r="L1168" s="14" t="str">
        <f>IFERROR(__xludf.DUMMYFUNCTION("""COMPUTED_VALUE"""),"2*Rohan Yadav")</f>
        <v>2*Rohan Yadav</v>
      </c>
      <c r="M1168" s="14">
        <f>IFERROR(__xludf.DUMMYFUNCTION("SPLIT(L1168,""*"")"),2.0)</f>
        <v>2</v>
      </c>
      <c r="N1168" s="14" t="str">
        <f>IFERROR(__xludf.DUMMYFUNCTION("""COMPUTED_VALUE"""),"Rohan Yadav")</f>
        <v>Rohan Yadav</v>
      </c>
      <c r="O1168" s="14" t="str">
        <f>IFERROR(__xludf.DUMMYFUNCTION("split(J1168,""*"")"),"Delivered")</f>
        <v>Delivered</v>
      </c>
      <c r="P1168" s="14" t="str">
        <f>IFERROR(__xludf.DUMMYFUNCTION("""COMPUTED_VALUE"""),"Overall Satisfaction: Great service will order again")</f>
        <v>Overall Satisfaction: Great service will order again</v>
      </c>
      <c r="Q1168" s="14" t="str">
        <f>IFERROR(__xludf.DUMMYFUNCTION("split(P1168,"":"")"),"Overall Satisfaction")</f>
        <v>Overall Satisfaction</v>
      </c>
      <c r="R1168" s="14" t="str">
        <f>IFERROR(__xludf.DUMMYFUNCTION("""COMPUTED_VALUE""")," Great service will order again")</f>
        <v> Great service will order again</v>
      </c>
      <c r="S1168" s="14" t="str">
        <f t="shared" ref="S1168:U1168" si="2339">trim(B1168)</f>
        <v>ord_41146</v>
      </c>
      <c r="T1168" s="14" t="str">
        <f t="shared" si="2339"/>
        <v>Pranav Joshi</v>
      </c>
      <c r="U1168" s="14" t="str">
        <f t="shared" si="2339"/>
        <v>Andheri</v>
      </c>
      <c r="V1168" s="14" t="str">
        <f t="shared" si="4"/>
        <v>Orange</v>
      </c>
      <c r="W1168" s="14">
        <f t="shared" si="5"/>
        <v>2</v>
      </c>
      <c r="X1168" s="14" t="str">
        <f t="shared" si="6"/>
        <v>Rohan Yadav</v>
      </c>
      <c r="Y1168" s="15">
        <f t="shared" si="7"/>
        <v>45126</v>
      </c>
      <c r="Z1168" s="14" t="str">
        <f t="shared" si="8"/>
        <v>Online Payment</v>
      </c>
      <c r="AA1168" s="14" t="str">
        <f t="shared" si="9"/>
        <v>Delivered</v>
      </c>
      <c r="AB1168" s="14" t="str">
        <f t="shared" ref="AB1168:AC1168" si="2340">trim(Q1168)</f>
        <v>Overall Satisfaction</v>
      </c>
      <c r="AC1168" s="14" t="str">
        <f t="shared" si="2340"/>
        <v>Great service will order again</v>
      </c>
      <c r="AD1168" s="8"/>
    </row>
    <row r="1169">
      <c r="A1169" s="14" t="str">
        <f>IFERROR(__xludf.DUMMYFUNCTION("""COMPUTED_VALUE"""),"//ord_41147//Omkar Mishra//Powai//Tiramisu+5*Sandeep Kumar/12/17/2023//Online Payment//Delivered*On-time Delivery: Delivered on time")</f>
        <v>//ord_41147//Omkar Mishra//Powai//Tiramisu+5*Sandeep Kumar/12/17/2023//Online Payment//Delivered*On-time Delivery: Delivered on time</v>
      </c>
      <c r="B1169" s="14" t="str">
        <f>IFERROR(__xludf.DUMMYFUNCTION("split(A1169,""//"")"),"ord_41147")</f>
        <v>ord_41147</v>
      </c>
      <c r="C1169" s="14" t="str">
        <f>IFERROR(__xludf.DUMMYFUNCTION("""COMPUTED_VALUE"""),"Omkar Mishra")</f>
        <v>Omkar Mishra</v>
      </c>
      <c r="D1169" s="14" t="str">
        <f>IFERROR(__xludf.DUMMYFUNCTION("""COMPUTED_VALUE"""),"Powai")</f>
        <v>Powai</v>
      </c>
      <c r="E1169" s="14" t="str">
        <f>IFERROR(__xludf.DUMMYFUNCTION("""COMPUTED_VALUE"""),"Tiramisu+5*Sandeep Kumar")</f>
        <v>Tiramisu+5*Sandeep Kumar</v>
      </c>
      <c r="F1169" s="14">
        <f>IFERROR(__xludf.DUMMYFUNCTION("""COMPUTED_VALUE"""),12.0)</f>
        <v>12</v>
      </c>
      <c r="G1169" s="14">
        <f>IFERROR(__xludf.DUMMYFUNCTION("""COMPUTED_VALUE"""),17.0)</f>
        <v>17</v>
      </c>
      <c r="H1169" s="14">
        <f>IFERROR(__xludf.DUMMYFUNCTION("""COMPUTED_VALUE"""),2023.0)</f>
        <v>2023</v>
      </c>
      <c r="I1169" s="14" t="str">
        <f>IFERROR(__xludf.DUMMYFUNCTION("""COMPUTED_VALUE"""),"Online Payment")</f>
        <v>Online Payment</v>
      </c>
      <c r="J1169" s="14" t="str">
        <f>IFERROR(__xludf.DUMMYFUNCTION("""COMPUTED_VALUE"""),"Delivered*On-time Delivery: Delivered on time")</f>
        <v>Delivered*On-time Delivery: Delivered on time</v>
      </c>
      <c r="K1169" s="14" t="str">
        <f>IFERROR(__xludf.DUMMYFUNCTION("split(E1169,""+"")"),"Tiramisu")</f>
        <v>Tiramisu</v>
      </c>
      <c r="L1169" s="14" t="str">
        <f>IFERROR(__xludf.DUMMYFUNCTION("""COMPUTED_VALUE"""),"5*Sandeep Kumar")</f>
        <v>5*Sandeep Kumar</v>
      </c>
      <c r="M1169" s="14">
        <f>IFERROR(__xludf.DUMMYFUNCTION("SPLIT(L1169,""*"")"),5.0)</f>
        <v>5</v>
      </c>
      <c r="N1169" s="14" t="str">
        <f>IFERROR(__xludf.DUMMYFUNCTION("""COMPUTED_VALUE"""),"Sandeep Kumar")</f>
        <v>Sandeep Kumar</v>
      </c>
      <c r="O1169" s="14" t="str">
        <f>IFERROR(__xludf.DUMMYFUNCTION("split(J1169,""*"")"),"Delivered")</f>
        <v>Delivered</v>
      </c>
      <c r="P1169" s="14" t="str">
        <f>IFERROR(__xludf.DUMMYFUNCTION("""COMPUTED_VALUE"""),"On-time Delivery: Delivered on time")</f>
        <v>On-time Delivery: Delivered on time</v>
      </c>
      <c r="Q1169" s="14" t="str">
        <f>IFERROR(__xludf.DUMMYFUNCTION("split(P1169,"":"")"),"On-time Delivery")</f>
        <v>On-time Delivery</v>
      </c>
      <c r="R1169" s="14" t="str">
        <f>IFERROR(__xludf.DUMMYFUNCTION("""COMPUTED_VALUE""")," Delivered on time")</f>
        <v> Delivered on time</v>
      </c>
      <c r="S1169" s="14" t="str">
        <f t="shared" ref="S1169:U1169" si="2341">trim(B1169)</f>
        <v>ord_41147</v>
      </c>
      <c r="T1169" s="14" t="str">
        <f t="shared" si="2341"/>
        <v>Omkar Mishra</v>
      </c>
      <c r="U1169" s="14" t="str">
        <f t="shared" si="2341"/>
        <v>Powai</v>
      </c>
      <c r="V1169" s="14" t="str">
        <f t="shared" si="4"/>
        <v>Tiramisu</v>
      </c>
      <c r="W1169" s="14">
        <f t="shared" si="5"/>
        <v>5</v>
      </c>
      <c r="X1169" s="14" t="str">
        <f t="shared" si="6"/>
        <v>Sandeep Kumar</v>
      </c>
      <c r="Y1169" s="15">
        <f t="shared" si="7"/>
        <v>45277</v>
      </c>
      <c r="Z1169" s="14" t="str">
        <f t="shared" si="8"/>
        <v>Online Payment</v>
      </c>
      <c r="AA1169" s="14" t="str">
        <f t="shared" si="9"/>
        <v>Delivered</v>
      </c>
      <c r="AB1169" s="14" t="str">
        <f t="shared" ref="AB1169:AC1169" si="2342">trim(Q1169)</f>
        <v>On-time Delivery</v>
      </c>
      <c r="AC1169" s="14" t="str">
        <f t="shared" si="2342"/>
        <v>Delivered on time</v>
      </c>
      <c r="AD1169" s="8"/>
    </row>
    <row r="1170">
      <c r="A1170" s="14" t="str">
        <f>IFERROR(__xludf.DUMMYFUNCTION("""COMPUTED_VALUE"""),"//ord_41148//Anaya Rao//Colaba//Rasmalai+3*Nikhil Deshmukh/6/13/2023//UPI//Delivered*Quality of Items: Perfect condition")</f>
        <v>//ord_41148//Anaya Rao//Colaba//Rasmalai+3*Nikhil Deshmukh/6/13/2023//UPI//Delivered*Quality of Items: Perfect condition</v>
      </c>
      <c r="B1170" s="14" t="str">
        <f>IFERROR(__xludf.DUMMYFUNCTION("split(A1170,""//"")"),"ord_41148")</f>
        <v>ord_41148</v>
      </c>
      <c r="C1170" s="14" t="str">
        <f>IFERROR(__xludf.DUMMYFUNCTION("""COMPUTED_VALUE"""),"Anaya Rao")</f>
        <v>Anaya Rao</v>
      </c>
      <c r="D1170" s="14" t="str">
        <f>IFERROR(__xludf.DUMMYFUNCTION("""COMPUTED_VALUE"""),"Colaba")</f>
        <v>Colaba</v>
      </c>
      <c r="E1170" s="14" t="str">
        <f>IFERROR(__xludf.DUMMYFUNCTION("""COMPUTED_VALUE"""),"Rasmalai+3*Nikhil Deshmukh")</f>
        <v>Rasmalai+3*Nikhil Deshmukh</v>
      </c>
      <c r="F1170" s="14">
        <f>IFERROR(__xludf.DUMMYFUNCTION("""COMPUTED_VALUE"""),6.0)</f>
        <v>6</v>
      </c>
      <c r="G1170" s="14">
        <f>IFERROR(__xludf.DUMMYFUNCTION("""COMPUTED_VALUE"""),13.0)</f>
        <v>13</v>
      </c>
      <c r="H1170" s="14">
        <f>IFERROR(__xludf.DUMMYFUNCTION("""COMPUTED_VALUE"""),2023.0)</f>
        <v>2023</v>
      </c>
      <c r="I1170" s="14" t="str">
        <f>IFERROR(__xludf.DUMMYFUNCTION("""COMPUTED_VALUE"""),"UPI")</f>
        <v>UPI</v>
      </c>
      <c r="J1170" s="14" t="str">
        <f>IFERROR(__xludf.DUMMYFUNCTION("""COMPUTED_VALUE"""),"Delivered*Quality of Items: Perfect condition")</f>
        <v>Delivered*Quality of Items: Perfect condition</v>
      </c>
      <c r="K1170" s="14" t="str">
        <f>IFERROR(__xludf.DUMMYFUNCTION("split(E1170,""+"")"),"Rasmalai")</f>
        <v>Rasmalai</v>
      </c>
      <c r="L1170" s="14" t="str">
        <f>IFERROR(__xludf.DUMMYFUNCTION("""COMPUTED_VALUE"""),"3*Nikhil Deshmukh")</f>
        <v>3*Nikhil Deshmukh</v>
      </c>
      <c r="M1170" s="14">
        <f>IFERROR(__xludf.DUMMYFUNCTION("SPLIT(L1170,""*"")"),3.0)</f>
        <v>3</v>
      </c>
      <c r="N1170" s="14" t="str">
        <f>IFERROR(__xludf.DUMMYFUNCTION("""COMPUTED_VALUE"""),"Nikhil Deshmukh")</f>
        <v>Nikhil Deshmukh</v>
      </c>
      <c r="O1170" s="14" t="str">
        <f>IFERROR(__xludf.DUMMYFUNCTION("split(J1170,""*"")"),"Delivered")</f>
        <v>Delivered</v>
      </c>
      <c r="P1170" s="14" t="str">
        <f>IFERROR(__xludf.DUMMYFUNCTION("""COMPUTED_VALUE"""),"Quality of Items: Perfect condition")</f>
        <v>Quality of Items: Perfect condition</v>
      </c>
      <c r="Q1170" s="14" t="str">
        <f>IFERROR(__xludf.DUMMYFUNCTION("split(P1170,"":"")"),"Quality of Items")</f>
        <v>Quality of Items</v>
      </c>
      <c r="R1170" s="14" t="str">
        <f>IFERROR(__xludf.DUMMYFUNCTION("""COMPUTED_VALUE""")," Perfect condition")</f>
        <v> Perfect condition</v>
      </c>
      <c r="S1170" s="14" t="str">
        <f t="shared" ref="S1170:U1170" si="2343">trim(B1170)</f>
        <v>ord_41148</v>
      </c>
      <c r="T1170" s="14" t="str">
        <f t="shared" si="2343"/>
        <v>Anaya Rao</v>
      </c>
      <c r="U1170" s="14" t="str">
        <f t="shared" si="2343"/>
        <v>Colaba</v>
      </c>
      <c r="V1170" s="14" t="str">
        <f t="shared" si="4"/>
        <v>Rasmalai</v>
      </c>
      <c r="W1170" s="14">
        <f t="shared" si="5"/>
        <v>3</v>
      </c>
      <c r="X1170" s="14" t="str">
        <f t="shared" si="6"/>
        <v>Nikhil Deshmukh</v>
      </c>
      <c r="Y1170" s="15">
        <f t="shared" si="7"/>
        <v>45090</v>
      </c>
      <c r="Z1170" s="14" t="str">
        <f t="shared" si="8"/>
        <v>UPI</v>
      </c>
      <c r="AA1170" s="14" t="str">
        <f t="shared" si="9"/>
        <v>Delivered</v>
      </c>
      <c r="AB1170" s="14" t="str">
        <f t="shared" ref="AB1170:AC1170" si="2344">trim(Q1170)</f>
        <v>Quality of Items</v>
      </c>
      <c r="AC1170" s="14" t="str">
        <f t="shared" si="2344"/>
        <v>Perfect condition</v>
      </c>
      <c r="AD1170" s="8"/>
    </row>
    <row r="1171">
      <c r="A1171" s="14" t="str">
        <f>IFERROR(__xludf.DUMMYFUNCTION("""COMPUTED_VALUE"""),"//ord_41149//Omkar Mishra//Powai//Banana+2*Sandeep Kumar/9/20/2023//Credit Card//Delivered*On-time Delivery: Delivered on time")</f>
        <v>//ord_41149//Omkar Mishra//Powai//Banana+2*Sandeep Kumar/9/20/2023//Credit Card//Delivered*On-time Delivery: Delivered on time</v>
      </c>
      <c r="B1171" s="14" t="str">
        <f>IFERROR(__xludf.DUMMYFUNCTION("split(A1171,""//"")"),"ord_41149")</f>
        <v>ord_41149</v>
      </c>
      <c r="C1171" s="14" t="str">
        <f>IFERROR(__xludf.DUMMYFUNCTION("""COMPUTED_VALUE"""),"Omkar Mishra")</f>
        <v>Omkar Mishra</v>
      </c>
      <c r="D1171" s="14" t="str">
        <f>IFERROR(__xludf.DUMMYFUNCTION("""COMPUTED_VALUE"""),"Powai")</f>
        <v>Powai</v>
      </c>
      <c r="E1171" s="14" t="str">
        <f>IFERROR(__xludf.DUMMYFUNCTION("""COMPUTED_VALUE"""),"Banana+2*Sandeep Kumar")</f>
        <v>Banana+2*Sandeep Kumar</v>
      </c>
      <c r="F1171" s="14">
        <f>IFERROR(__xludf.DUMMYFUNCTION("""COMPUTED_VALUE"""),9.0)</f>
        <v>9</v>
      </c>
      <c r="G1171" s="14">
        <f>IFERROR(__xludf.DUMMYFUNCTION("""COMPUTED_VALUE"""),20.0)</f>
        <v>20</v>
      </c>
      <c r="H1171" s="14">
        <f>IFERROR(__xludf.DUMMYFUNCTION("""COMPUTED_VALUE"""),2023.0)</f>
        <v>2023</v>
      </c>
      <c r="I1171" s="14" t="str">
        <f>IFERROR(__xludf.DUMMYFUNCTION("""COMPUTED_VALUE"""),"Credit Card")</f>
        <v>Credit Card</v>
      </c>
      <c r="J1171" s="14" t="str">
        <f>IFERROR(__xludf.DUMMYFUNCTION("""COMPUTED_VALUE"""),"Delivered*On-time Delivery: Delivered on time")</f>
        <v>Delivered*On-time Delivery: Delivered on time</v>
      </c>
      <c r="K1171" s="14" t="str">
        <f>IFERROR(__xludf.DUMMYFUNCTION("split(E1171,""+"")"),"Banana")</f>
        <v>Banana</v>
      </c>
      <c r="L1171" s="14" t="str">
        <f>IFERROR(__xludf.DUMMYFUNCTION("""COMPUTED_VALUE"""),"2*Sandeep Kumar")</f>
        <v>2*Sandeep Kumar</v>
      </c>
      <c r="M1171" s="14">
        <f>IFERROR(__xludf.DUMMYFUNCTION("SPLIT(L1171,""*"")"),2.0)</f>
        <v>2</v>
      </c>
      <c r="N1171" s="14" t="str">
        <f>IFERROR(__xludf.DUMMYFUNCTION("""COMPUTED_VALUE"""),"Sandeep Kumar")</f>
        <v>Sandeep Kumar</v>
      </c>
      <c r="O1171" s="14" t="str">
        <f>IFERROR(__xludf.DUMMYFUNCTION("split(J1171,""*"")"),"Delivered")</f>
        <v>Delivered</v>
      </c>
      <c r="P1171" s="14" t="str">
        <f>IFERROR(__xludf.DUMMYFUNCTION("""COMPUTED_VALUE"""),"On-time Delivery: Delivered on time")</f>
        <v>On-time Delivery: Delivered on time</v>
      </c>
      <c r="Q1171" s="14" t="str">
        <f>IFERROR(__xludf.DUMMYFUNCTION("split(P1171,"":"")"),"On-time Delivery")</f>
        <v>On-time Delivery</v>
      </c>
      <c r="R1171" s="14" t="str">
        <f>IFERROR(__xludf.DUMMYFUNCTION("""COMPUTED_VALUE""")," Delivered on time")</f>
        <v> Delivered on time</v>
      </c>
      <c r="S1171" s="14" t="str">
        <f t="shared" ref="S1171:U1171" si="2345">trim(B1171)</f>
        <v>ord_41149</v>
      </c>
      <c r="T1171" s="14" t="str">
        <f t="shared" si="2345"/>
        <v>Omkar Mishra</v>
      </c>
      <c r="U1171" s="14" t="str">
        <f t="shared" si="2345"/>
        <v>Powai</v>
      </c>
      <c r="V1171" s="14" t="str">
        <f t="shared" si="4"/>
        <v>Banana</v>
      </c>
      <c r="W1171" s="14">
        <f t="shared" si="5"/>
        <v>2</v>
      </c>
      <c r="X1171" s="14" t="str">
        <f t="shared" si="6"/>
        <v>Sandeep Kumar</v>
      </c>
      <c r="Y1171" s="15">
        <f t="shared" si="7"/>
        <v>45189</v>
      </c>
      <c r="Z1171" s="14" t="str">
        <f t="shared" si="8"/>
        <v>Credit Card</v>
      </c>
      <c r="AA1171" s="14" t="str">
        <f t="shared" si="9"/>
        <v>Delivered</v>
      </c>
      <c r="AB1171" s="14" t="str">
        <f t="shared" ref="AB1171:AC1171" si="2346">trim(Q1171)</f>
        <v>On-time Delivery</v>
      </c>
      <c r="AC1171" s="14" t="str">
        <f t="shared" si="2346"/>
        <v>Delivered on time</v>
      </c>
      <c r="AD1171" s="8"/>
    </row>
    <row r="1172">
      <c r="A1172" s="14" t="str">
        <f>IFERROR(__xludf.DUMMYFUNCTION("""COMPUTED_VALUE"""),"//ord_41150//Ishita Banerjee//Juhu//Veg Puff+3*Venu R/7/5/2023//Credit Card//Delivered*Quality of Items: Perfect condition")</f>
        <v>//ord_41150//Ishita Banerjee//Juhu//Veg Puff+3*Venu R/7/5/2023//Credit Card//Delivered*Quality of Items: Perfect condition</v>
      </c>
      <c r="B1172" s="14" t="str">
        <f>IFERROR(__xludf.DUMMYFUNCTION("split(A1172,""//"")"),"ord_41150")</f>
        <v>ord_41150</v>
      </c>
      <c r="C1172" s="14" t="str">
        <f>IFERROR(__xludf.DUMMYFUNCTION("""COMPUTED_VALUE"""),"Ishita Banerjee")</f>
        <v>Ishita Banerjee</v>
      </c>
      <c r="D1172" s="14" t="str">
        <f>IFERROR(__xludf.DUMMYFUNCTION("""COMPUTED_VALUE"""),"Juhu")</f>
        <v>Juhu</v>
      </c>
      <c r="E1172" s="14" t="str">
        <f>IFERROR(__xludf.DUMMYFUNCTION("""COMPUTED_VALUE"""),"Veg Puff+3*Venu R")</f>
        <v>Veg Puff+3*Venu R</v>
      </c>
      <c r="F1172" s="14">
        <f>IFERROR(__xludf.DUMMYFUNCTION("""COMPUTED_VALUE"""),7.0)</f>
        <v>7</v>
      </c>
      <c r="G1172" s="14">
        <f>IFERROR(__xludf.DUMMYFUNCTION("""COMPUTED_VALUE"""),5.0)</f>
        <v>5</v>
      </c>
      <c r="H1172" s="14">
        <f>IFERROR(__xludf.DUMMYFUNCTION("""COMPUTED_VALUE"""),2023.0)</f>
        <v>2023</v>
      </c>
      <c r="I1172" s="14" t="str">
        <f>IFERROR(__xludf.DUMMYFUNCTION("""COMPUTED_VALUE"""),"Credit Card")</f>
        <v>Credit Card</v>
      </c>
      <c r="J1172" s="14" t="str">
        <f>IFERROR(__xludf.DUMMYFUNCTION("""COMPUTED_VALUE"""),"Delivered*Quality of Items: Perfect condition")</f>
        <v>Delivered*Quality of Items: Perfect condition</v>
      </c>
      <c r="K1172" s="14" t="str">
        <f>IFERROR(__xludf.DUMMYFUNCTION("split(E1172,""+"")"),"Veg Puff")</f>
        <v>Veg Puff</v>
      </c>
      <c r="L1172" s="14" t="str">
        <f>IFERROR(__xludf.DUMMYFUNCTION("""COMPUTED_VALUE"""),"3*Venu R")</f>
        <v>3*Venu R</v>
      </c>
      <c r="M1172" s="14">
        <f>IFERROR(__xludf.DUMMYFUNCTION("SPLIT(L1172,""*"")"),3.0)</f>
        <v>3</v>
      </c>
      <c r="N1172" s="14" t="str">
        <f>IFERROR(__xludf.DUMMYFUNCTION("""COMPUTED_VALUE"""),"Venu R")</f>
        <v>Venu R</v>
      </c>
      <c r="O1172" s="14" t="str">
        <f>IFERROR(__xludf.DUMMYFUNCTION("split(J1172,""*"")"),"Delivered")</f>
        <v>Delivered</v>
      </c>
      <c r="P1172" s="14" t="str">
        <f>IFERROR(__xludf.DUMMYFUNCTION("""COMPUTED_VALUE"""),"Quality of Items: Perfect condition")</f>
        <v>Quality of Items: Perfect condition</v>
      </c>
      <c r="Q1172" s="14" t="str">
        <f>IFERROR(__xludf.DUMMYFUNCTION("split(P1172,"":"")"),"Quality of Items")</f>
        <v>Quality of Items</v>
      </c>
      <c r="R1172" s="14" t="str">
        <f>IFERROR(__xludf.DUMMYFUNCTION("""COMPUTED_VALUE""")," Perfect condition")</f>
        <v> Perfect condition</v>
      </c>
      <c r="S1172" s="14" t="str">
        <f t="shared" ref="S1172:U1172" si="2347">trim(B1172)</f>
        <v>ord_41150</v>
      </c>
      <c r="T1172" s="14" t="str">
        <f t="shared" si="2347"/>
        <v>Ishita Banerjee</v>
      </c>
      <c r="U1172" s="14" t="str">
        <f t="shared" si="2347"/>
        <v>Juhu</v>
      </c>
      <c r="V1172" s="14" t="str">
        <f t="shared" si="4"/>
        <v>Veg Puff</v>
      </c>
      <c r="W1172" s="14">
        <f t="shared" si="5"/>
        <v>3</v>
      </c>
      <c r="X1172" s="14" t="str">
        <f t="shared" si="6"/>
        <v>Venu R</v>
      </c>
      <c r="Y1172" s="15">
        <f t="shared" si="7"/>
        <v>45112</v>
      </c>
      <c r="Z1172" s="14" t="str">
        <f t="shared" si="8"/>
        <v>Credit Card</v>
      </c>
      <c r="AA1172" s="14" t="str">
        <f t="shared" si="9"/>
        <v>Delivered</v>
      </c>
      <c r="AB1172" s="14" t="str">
        <f t="shared" ref="AB1172:AC1172" si="2348">trim(Q1172)</f>
        <v>Quality of Items</v>
      </c>
      <c r="AC1172" s="14" t="str">
        <f t="shared" si="2348"/>
        <v>Perfect condition</v>
      </c>
      <c r="AD1172" s="8"/>
    </row>
    <row r="1173">
      <c r="A1173" s="14" t="str">
        <f>IFERROR(__xludf.DUMMYFUNCTION("""COMPUTED_VALUE"""),"//ord_41151//Pallavi Ghosh//Bandra//Onion+2*Ramesh S/2/13/2023//COD//Delivered*Packaging: Secure and intact")</f>
        <v>//ord_41151//Pallavi Ghosh//Bandra//Onion+2*Ramesh S/2/13/2023//COD//Delivered*Packaging: Secure and intact</v>
      </c>
      <c r="B1173" s="14" t="str">
        <f>IFERROR(__xludf.DUMMYFUNCTION("split(A1173,""//"")"),"ord_41151")</f>
        <v>ord_41151</v>
      </c>
      <c r="C1173" s="14" t="str">
        <f>IFERROR(__xludf.DUMMYFUNCTION("""COMPUTED_VALUE"""),"Pallavi Ghosh")</f>
        <v>Pallavi Ghosh</v>
      </c>
      <c r="D1173" s="14" t="str">
        <f>IFERROR(__xludf.DUMMYFUNCTION("""COMPUTED_VALUE"""),"Bandra")</f>
        <v>Bandra</v>
      </c>
      <c r="E1173" s="14" t="str">
        <f>IFERROR(__xludf.DUMMYFUNCTION("""COMPUTED_VALUE"""),"Onion+2*Ramesh S")</f>
        <v>Onion+2*Ramesh S</v>
      </c>
      <c r="F1173" s="14">
        <f>IFERROR(__xludf.DUMMYFUNCTION("""COMPUTED_VALUE"""),2.0)</f>
        <v>2</v>
      </c>
      <c r="G1173" s="14">
        <f>IFERROR(__xludf.DUMMYFUNCTION("""COMPUTED_VALUE"""),13.0)</f>
        <v>13</v>
      </c>
      <c r="H1173" s="14">
        <f>IFERROR(__xludf.DUMMYFUNCTION("""COMPUTED_VALUE"""),2023.0)</f>
        <v>2023</v>
      </c>
      <c r="I1173" s="14" t="str">
        <f>IFERROR(__xludf.DUMMYFUNCTION("""COMPUTED_VALUE"""),"COD")</f>
        <v>COD</v>
      </c>
      <c r="J1173" s="14" t="str">
        <f>IFERROR(__xludf.DUMMYFUNCTION("""COMPUTED_VALUE"""),"Delivered*Packaging: Secure and intact")</f>
        <v>Delivered*Packaging: Secure and intact</v>
      </c>
      <c r="K1173" s="14" t="str">
        <f>IFERROR(__xludf.DUMMYFUNCTION("split(E1173,""+"")"),"Onion")</f>
        <v>Onion</v>
      </c>
      <c r="L1173" s="14" t="str">
        <f>IFERROR(__xludf.DUMMYFUNCTION("""COMPUTED_VALUE"""),"2*Ramesh S")</f>
        <v>2*Ramesh S</v>
      </c>
      <c r="M1173" s="14">
        <f>IFERROR(__xludf.DUMMYFUNCTION("SPLIT(L1173,""*"")"),2.0)</f>
        <v>2</v>
      </c>
      <c r="N1173" s="14" t="str">
        <f>IFERROR(__xludf.DUMMYFUNCTION("""COMPUTED_VALUE"""),"Ramesh S")</f>
        <v>Ramesh S</v>
      </c>
      <c r="O1173" s="14" t="str">
        <f>IFERROR(__xludf.DUMMYFUNCTION("split(J1173,""*"")"),"Delivered")</f>
        <v>Delivered</v>
      </c>
      <c r="P1173" s="14" t="str">
        <f>IFERROR(__xludf.DUMMYFUNCTION("""COMPUTED_VALUE"""),"Packaging: Secure and intact")</f>
        <v>Packaging: Secure and intact</v>
      </c>
      <c r="Q1173" s="14" t="str">
        <f>IFERROR(__xludf.DUMMYFUNCTION("split(P1173,"":"")"),"Packaging")</f>
        <v>Packaging</v>
      </c>
      <c r="R1173" s="14" t="str">
        <f>IFERROR(__xludf.DUMMYFUNCTION("""COMPUTED_VALUE""")," Secure and intact")</f>
        <v> Secure and intact</v>
      </c>
      <c r="S1173" s="14" t="str">
        <f t="shared" ref="S1173:U1173" si="2349">trim(B1173)</f>
        <v>ord_41151</v>
      </c>
      <c r="T1173" s="14" t="str">
        <f t="shared" si="2349"/>
        <v>Pallavi Ghosh</v>
      </c>
      <c r="U1173" s="14" t="str">
        <f t="shared" si="2349"/>
        <v>Bandra</v>
      </c>
      <c r="V1173" s="14" t="str">
        <f t="shared" si="4"/>
        <v>Onion</v>
      </c>
      <c r="W1173" s="14">
        <f t="shared" si="5"/>
        <v>2</v>
      </c>
      <c r="X1173" s="14" t="str">
        <f t="shared" si="6"/>
        <v>Ramesh S</v>
      </c>
      <c r="Y1173" s="15">
        <f t="shared" si="7"/>
        <v>44970</v>
      </c>
      <c r="Z1173" s="14" t="str">
        <f t="shared" si="8"/>
        <v>COD</v>
      </c>
      <c r="AA1173" s="14" t="str">
        <f t="shared" si="9"/>
        <v>Delivered</v>
      </c>
      <c r="AB1173" s="14" t="str">
        <f t="shared" ref="AB1173:AC1173" si="2350">trim(Q1173)</f>
        <v>Packaging</v>
      </c>
      <c r="AC1173" s="14" t="str">
        <f t="shared" si="2350"/>
        <v>Secure and intact</v>
      </c>
      <c r="AD1173" s="8"/>
    </row>
    <row r="1174">
      <c r="A1174" s="14" t="str">
        <f>IFERROR(__xludf.DUMMYFUNCTION("""COMPUTED_VALUE"""),"//ord_41152//Kritika Shetty//Malad//Juice+1*Vivek Kumar/6/18/2023//Credit Card//Delivered*Satisfied with the Delivery: Timely and quality")</f>
        <v>//ord_41152//Kritika Shetty//Malad//Juice+1*Vivek Kumar/6/18/2023//Credit Card//Delivered*Satisfied with the Delivery: Timely and quality</v>
      </c>
      <c r="B1174" s="14" t="str">
        <f>IFERROR(__xludf.DUMMYFUNCTION("split(A1174,""//"")"),"ord_41152")</f>
        <v>ord_41152</v>
      </c>
      <c r="C1174" s="14" t="str">
        <f>IFERROR(__xludf.DUMMYFUNCTION("""COMPUTED_VALUE"""),"Kritika Shetty")</f>
        <v>Kritika Shetty</v>
      </c>
      <c r="D1174" s="14" t="str">
        <f>IFERROR(__xludf.DUMMYFUNCTION("""COMPUTED_VALUE"""),"Malad")</f>
        <v>Malad</v>
      </c>
      <c r="E1174" s="14" t="str">
        <f>IFERROR(__xludf.DUMMYFUNCTION("""COMPUTED_VALUE"""),"Juice+1*Vivek Kumar")</f>
        <v>Juice+1*Vivek Kumar</v>
      </c>
      <c r="F1174" s="14">
        <f>IFERROR(__xludf.DUMMYFUNCTION("""COMPUTED_VALUE"""),6.0)</f>
        <v>6</v>
      </c>
      <c r="G1174" s="14">
        <f>IFERROR(__xludf.DUMMYFUNCTION("""COMPUTED_VALUE"""),18.0)</f>
        <v>18</v>
      </c>
      <c r="H1174" s="14">
        <f>IFERROR(__xludf.DUMMYFUNCTION("""COMPUTED_VALUE"""),2023.0)</f>
        <v>2023</v>
      </c>
      <c r="I1174" s="14" t="str">
        <f>IFERROR(__xludf.DUMMYFUNCTION("""COMPUTED_VALUE"""),"Credit Card")</f>
        <v>Credit Card</v>
      </c>
      <c r="J1174" s="14" t="str">
        <f>IFERROR(__xludf.DUMMYFUNCTION("""COMPUTED_VALUE"""),"Delivered*Satisfied with the Delivery: Timely and quality")</f>
        <v>Delivered*Satisfied with the Delivery: Timely and quality</v>
      </c>
      <c r="K1174" s="14" t="str">
        <f>IFERROR(__xludf.DUMMYFUNCTION("split(E1174,""+"")"),"Juice")</f>
        <v>Juice</v>
      </c>
      <c r="L1174" s="14" t="str">
        <f>IFERROR(__xludf.DUMMYFUNCTION("""COMPUTED_VALUE"""),"1*Vivek Kumar")</f>
        <v>1*Vivek Kumar</v>
      </c>
      <c r="M1174" s="14">
        <f>IFERROR(__xludf.DUMMYFUNCTION("SPLIT(L1174,""*"")"),1.0)</f>
        <v>1</v>
      </c>
      <c r="N1174" s="14" t="str">
        <f>IFERROR(__xludf.DUMMYFUNCTION("""COMPUTED_VALUE"""),"Vivek Kumar")</f>
        <v>Vivek Kumar</v>
      </c>
      <c r="O1174" s="14" t="str">
        <f>IFERROR(__xludf.DUMMYFUNCTION("split(J1174,""*"")"),"Delivered")</f>
        <v>Delivered</v>
      </c>
      <c r="P1174" s="14" t="str">
        <f>IFERROR(__xludf.DUMMYFUNCTION("""COMPUTED_VALUE"""),"Satisfied with the Delivery: Timely and quality")</f>
        <v>Satisfied with the Delivery: Timely and quality</v>
      </c>
      <c r="Q1174" s="14" t="str">
        <f>IFERROR(__xludf.DUMMYFUNCTION("split(P1174,"":"")"),"Satisfied with the Delivery")</f>
        <v>Satisfied with the Delivery</v>
      </c>
      <c r="R1174" s="14" t="str">
        <f>IFERROR(__xludf.DUMMYFUNCTION("""COMPUTED_VALUE""")," Timely and quality")</f>
        <v> Timely and quality</v>
      </c>
      <c r="S1174" s="14" t="str">
        <f t="shared" ref="S1174:U1174" si="2351">trim(B1174)</f>
        <v>ord_41152</v>
      </c>
      <c r="T1174" s="14" t="str">
        <f t="shared" si="2351"/>
        <v>Kritika Shetty</v>
      </c>
      <c r="U1174" s="14" t="str">
        <f t="shared" si="2351"/>
        <v>Malad</v>
      </c>
      <c r="V1174" s="14" t="str">
        <f t="shared" si="4"/>
        <v>Juice</v>
      </c>
      <c r="W1174" s="14">
        <f t="shared" si="5"/>
        <v>1</v>
      </c>
      <c r="X1174" s="14" t="str">
        <f t="shared" si="6"/>
        <v>Vivek Kumar</v>
      </c>
      <c r="Y1174" s="15">
        <f t="shared" si="7"/>
        <v>45095</v>
      </c>
      <c r="Z1174" s="14" t="str">
        <f t="shared" si="8"/>
        <v>Credit Card</v>
      </c>
      <c r="AA1174" s="14" t="str">
        <f t="shared" si="9"/>
        <v>Delivered</v>
      </c>
      <c r="AB1174" s="14" t="str">
        <f t="shared" ref="AB1174:AC1174" si="2352">trim(Q1174)</f>
        <v>Satisfied with the Delivery</v>
      </c>
      <c r="AC1174" s="14" t="str">
        <f t="shared" si="2352"/>
        <v>Timely and quality</v>
      </c>
      <c r="AD1174" s="8"/>
    </row>
    <row r="1175">
      <c r="A1175" s="14" t="str">
        <f>IFERROR(__xludf.DUMMYFUNCTION("""COMPUTED_VALUE"""),"//ord_41153//Aditi Iyer//Dadar//Onion+2*Shine Thomas/9/25/2023//Credit Card//Delivered*Customer Service: Seamless and easy")</f>
        <v>//ord_41153//Aditi Iyer//Dadar//Onion+2*Shine Thomas/9/25/2023//Credit Card//Delivered*Customer Service: Seamless and easy</v>
      </c>
      <c r="B1175" s="14" t="str">
        <f>IFERROR(__xludf.DUMMYFUNCTION("split(A1175,""//"")"),"ord_41153")</f>
        <v>ord_41153</v>
      </c>
      <c r="C1175" s="14" t="str">
        <f>IFERROR(__xludf.DUMMYFUNCTION("""COMPUTED_VALUE"""),"Aditi Iyer")</f>
        <v>Aditi Iyer</v>
      </c>
      <c r="D1175" s="14" t="str">
        <f>IFERROR(__xludf.DUMMYFUNCTION("""COMPUTED_VALUE"""),"Dadar")</f>
        <v>Dadar</v>
      </c>
      <c r="E1175" s="14" t="str">
        <f>IFERROR(__xludf.DUMMYFUNCTION("""COMPUTED_VALUE"""),"Onion+2*Shine Thomas")</f>
        <v>Onion+2*Shine Thomas</v>
      </c>
      <c r="F1175" s="14">
        <f>IFERROR(__xludf.DUMMYFUNCTION("""COMPUTED_VALUE"""),9.0)</f>
        <v>9</v>
      </c>
      <c r="G1175" s="14">
        <f>IFERROR(__xludf.DUMMYFUNCTION("""COMPUTED_VALUE"""),25.0)</f>
        <v>25</v>
      </c>
      <c r="H1175" s="14">
        <f>IFERROR(__xludf.DUMMYFUNCTION("""COMPUTED_VALUE"""),2023.0)</f>
        <v>2023</v>
      </c>
      <c r="I1175" s="14" t="str">
        <f>IFERROR(__xludf.DUMMYFUNCTION("""COMPUTED_VALUE"""),"Credit Card")</f>
        <v>Credit Card</v>
      </c>
      <c r="J1175" s="14" t="str">
        <f>IFERROR(__xludf.DUMMYFUNCTION("""COMPUTED_VALUE"""),"Delivered*Customer Service: Seamless and easy")</f>
        <v>Delivered*Customer Service: Seamless and easy</v>
      </c>
      <c r="K1175" s="14" t="str">
        <f>IFERROR(__xludf.DUMMYFUNCTION("split(E1175,""+"")"),"Onion")</f>
        <v>Onion</v>
      </c>
      <c r="L1175" s="14" t="str">
        <f>IFERROR(__xludf.DUMMYFUNCTION("""COMPUTED_VALUE"""),"2*Shine Thomas")</f>
        <v>2*Shine Thomas</v>
      </c>
      <c r="M1175" s="14">
        <f>IFERROR(__xludf.DUMMYFUNCTION("SPLIT(L1175,""*"")"),2.0)</f>
        <v>2</v>
      </c>
      <c r="N1175" s="14" t="str">
        <f>IFERROR(__xludf.DUMMYFUNCTION("""COMPUTED_VALUE"""),"Shine Thomas")</f>
        <v>Shine Thomas</v>
      </c>
      <c r="O1175" s="14" t="str">
        <f>IFERROR(__xludf.DUMMYFUNCTION("split(J1175,""*"")"),"Delivered")</f>
        <v>Delivered</v>
      </c>
      <c r="P1175" s="14" t="str">
        <f>IFERROR(__xludf.DUMMYFUNCTION("""COMPUTED_VALUE"""),"Customer Service: Seamless and easy")</f>
        <v>Customer Service: Seamless and easy</v>
      </c>
      <c r="Q1175" s="14" t="str">
        <f>IFERROR(__xludf.DUMMYFUNCTION("split(P1175,"":"")"),"Customer Service")</f>
        <v>Customer Service</v>
      </c>
      <c r="R1175" s="14" t="str">
        <f>IFERROR(__xludf.DUMMYFUNCTION("""COMPUTED_VALUE""")," Seamless and easy")</f>
        <v> Seamless and easy</v>
      </c>
      <c r="S1175" s="14" t="str">
        <f t="shared" ref="S1175:U1175" si="2353">trim(B1175)</f>
        <v>ord_41153</v>
      </c>
      <c r="T1175" s="14" t="str">
        <f t="shared" si="2353"/>
        <v>Aditi Iyer</v>
      </c>
      <c r="U1175" s="14" t="str">
        <f t="shared" si="2353"/>
        <v>Dadar</v>
      </c>
      <c r="V1175" s="14" t="str">
        <f t="shared" si="4"/>
        <v>Onion</v>
      </c>
      <c r="W1175" s="14">
        <f t="shared" si="5"/>
        <v>2</v>
      </c>
      <c r="X1175" s="14" t="str">
        <f t="shared" si="6"/>
        <v>Shine Thomas</v>
      </c>
      <c r="Y1175" s="15">
        <f t="shared" si="7"/>
        <v>45194</v>
      </c>
      <c r="Z1175" s="14" t="str">
        <f t="shared" si="8"/>
        <v>Credit Card</v>
      </c>
      <c r="AA1175" s="14" t="str">
        <f t="shared" si="9"/>
        <v>Delivered</v>
      </c>
      <c r="AB1175" s="14" t="str">
        <f t="shared" ref="AB1175:AC1175" si="2354">trim(Q1175)</f>
        <v>Customer Service</v>
      </c>
      <c r="AC1175" s="14" t="str">
        <f t="shared" si="2354"/>
        <v>Seamless and easy</v>
      </c>
      <c r="AD1175" s="8"/>
    </row>
    <row r="1176">
      <c r="A1176" s="14" t="str">
        <f>IFERROR(__xludf.DUMMYFUNCTION("""COMPUTED_VALUE"""),"//ord_41154//Ishita Banerjee//Juhu//Guava+1*Manju Ajay/8/21/2023//Online Payment//Delivered*Delivery Experience: Quick and professional")</f>
        <v>//ord_41154//Ishita Banerjee//Juhu//Guava+1*Manju Ajay/8/21/2023//Online Payment//Delivered*Delivery Experience: Quick and professional</v>
      </c>
      <c r="B1176" s="14" t="str">
        <f>IFERROR(__xludf.DUMMYFUNCTION("split(A1176,""//"")"),"ord_41154")</f>
        <v>ord_41154</v>
      </c>
      <c r="C1176" s="14" t="str">
        <f>IFERROR(__xludf.DUMMYFUNCTION("""COMPUTED_VALUE"""),"Ishita Banerjee")</f>
        <v>Ishita Banerjee</v>
      </c>
      <c r="D1176" s="14" t="str">
        <f>IFERROR(__xludf.DUMMYFUNCTION("""COMPUTED_VALUE"""),"Juhu")</f>
        <v>Juhu</v>
      </c>
      <c r="E1176" s="14" t="str">
        <f>IFERROR(__xludf.DUMMYFUNCTION("""COMPUTED_VALUE"""),"Guava+1*Manju Ajay")</f>
        <v>Guava+1*Manju Ajay</v>
      </c>
      <c r="F1176" s="14">
        <f>IFERROR(__xludf.DUMMYFUNCTION("""COMPUTED_VALUE"""),8.0)</f>
        <v>8</v>
      </c>
      <c r="G1176" s="14">
        <f>IFERROR(__xludf.DUMMYFUNCTION("""COMPUTED_VALUE"""),21.0)</f>
        <v>21</v>
      </c>
      <c r="H1176" s="14">
        <f>IFERROR(__xludf.DUMMYFUNCTION("""COMPUTED_VALUE"""),2023.0)</f>
        <v>2023</v>
      </c>
      <c r="I1176" s="14" t="str">
        <f>IFERROR(__xludf.DUMMYFUNCTION("""COMPUTED_VALUE"""),"Online Payment")</f>
        <v>Online Payment</v>
      </c>
      <c r="J1176" s="14" t="str">
        <f>IFERROR(__xludf.DUMMYFUNCTION("""COMPUTED_VALUE"""),"Delivered*Delivery Experience: Quick and professional")</f>
        <v>Delivered*Delivery Experience: Quick and professional</v>
      </c>
      <c r="K1176" s="14" t="str">
        <f>IFERROR(__xludf.DUMMYFUNCTION("split(E1176,""+"")"),"Guava")</f>
        <v>Guava</v>
      </c>
      <c r="L1176" s="14" t="str">
        <f>IFERROR(__xludf.DUMMYFUNCTION("""COMPUTED_VALUE"""),"1*Manju Ajay")</f>
        <v>1*Manju Ajay</v>
      </c>
      <c r="M1176" s="14">
        <f>IFERROR(__xludf.DUMMYFUNCTION("SPLIT(L1176,""*"")"),1.0)</f>
        <v>1</v>
      </c>
      <c r="N1176" s="14" t="str">
        <f>IFERROR(__xludf.DUMMYFUNCTION("""COMPUTED_VALUE"""),"Manju Ajay")</f>
        <v>Manju Ajay</v>
      </c>
      <c r="O1176" s="14" t="str">
        <f>IFERROR(__xludf.DUMMYFUNCTION("split(J1176,""*"")"),"Delivered")</f>
        <v>Delivered</v>
      </c>
      <c r="P1176" s="14" t="str">
        <f>IFERROR(__xludf.DUMMYFUNCTION("""COMPUTED_VALUE"""),"Delivery Experience: Quick and professional")</f>
        <v>Delivery Experience: Quick and professional</v>
      </c>
      <c r="Q1176" s="14" t="str">
        <f>IFERROR(__xludf.DUMMYFUNCTION("split(P1176,"":"")"),"Delivery Experience")</f>
        <v>Delivery Experience</v>
      </c>
      <c r="R1176" s="14" t="str">
        <f>IFERROR(__xludf.DUMMYFUNCTION("""COMPUTED_VALUE""")," Quick and professional")</f>
        <v> Quick and professional</v>
      </c>
      <c r="S1176" s="14" t="str">
        <f t="shared" ref="S1176:U1176" si="2355">trim(B1176)</f>
        <v>ord_41154</v>
      </c>
      <c r="T1176" s="14" t="str">
        <f t="shared" si="2355"/>
        <v>Ishita Banerjee</v>
      </c>
      <c r="U1176" s="14" t="str">
        <f t="shared" si="2355"/>
        <v>Juhu</v>
      </c>
      <c r="V1176" s="14" t="str">
        <f t="shared" si="4"/>
        <v>Guava</v>
      </c>
      <c r="W1176" s="14">
        <f t="shared" si="5"/>
        <v>1</v>
      </c>
      <c r="X1176" s="14" t="str">
        <f t="shared" si="6"/>
        <v>Manju Ajay</v>
      </c>
      <c r="Y1176" s="15">
        <f t="shared" si="7"/>
        <v>45159</v>
      </c>
      <c r="Z1176" s="14" t="str">
        <f t="shared" si="8"/>
        <v>Online Payment</v>
      </c>
      <c r="AA1176" s="14" t="str">
        <f t="shared" si="9"/>
        <v>Delivered</v>
      </c>
      <c r="AB1176" s="14" t="str">
        <f t="shared" ref="AB1176:AC1176" si="2356">trim(Q1176)</f>
        <v>Delivery Experience</v>
      </c>
      <c r="AC1176" s="14" t="str">
        <f t="shared" si="2356"/>
        <v>Quick and professional</v>
      </c>
      <c r="AD1176" s="8"/>
    </row>
    <row r="1177">
      <c r="A1177" s="14" t="str">
        <f>IFERROR(__xludf.DUMMYFUNCTION("""COMPUTED_VALUE"""),"//ord_41155//Omkar Mishra//Powai//Tiramisu+5*Ramesh S/2/12/2023//Online Payment//Delivered*Convenience: Easy tracking")</f>
        <v>//ord_41155//Omkar Mishra//Powai//Tiramisu+5*Ramesh S/2/12/2023//Online Payment//Delivered*Convenience: Easy tracking</v>
      </c>
      <c r="B1177" s="14" t="str">
        <f>IFERROR(__xludf.DUMMYFUNCTION("split(A1177,""//"")"),"ord_41155")</f>
        <v>ord_41155</v>
      </c>
      <c r="C1177" s="14" t="str">
        <f>IFERROR(__xludf.DUMMYFUNCTION("""COMPUTED_VALUE"""),"Omkar Mishra")</f>
        <v>Omkar Mishra</v>
      </c>
      <c r="D1177" s="14" t="str">
        <f>IFERROR(__xludf.DUMMYFUNCTION("""COMPUTED_VALUE"""),"Powai")</f>
        <v>Powai</v>
      </c>
      <c r="E1177" s="14" t="str">
        <f>IFERROR(__xludf.DUMMYFUNCTION("""COMPUTED_VALUE"""),"Tiramisu+5*Ramesh S")</f>
        <v>Tiramisu+5*Ramesh S</v>
      </c>
      <c r="F1177" s="14">
        <f>IFERROR(__xludf.DUMMYFUNCTION("""COMPUTED_VALUE"""),2.0)</f>
        <v>2</v>
      </c>
      <c r="G1177" s="14">
        <f>IFERROR(__xludf.DUMMYFUNCTION("""COMPUTED_VALUE"""),12.0)</f>
        <v>12</v>
      </c>
      <c r="H1177" s="14">
        <f>IFERROR(__xludf.DUMMYFUNCTION("""COMPUTED_VALUE"""),2023.0)</f>
        <v>2023</v>
      </c>
      <c r="I1177" s="14" t="str">
        <f>IFERROR(__xludf.DUMMYFUNCTION("""COMPUTED_VALUE"""),"Online Payment")</f>
        <v>Online Payment</v>
      </c>
      <c r="J1177" s="14" t="str">
        <f>IFERROR(__xludf.DUMMYFUNCTION("""COMPUTED_VALUE"""),"Delivered*Convenience: Easy tracking")</f>
        <v>Delivered*Convenience: Easy tracking</v>
      </c>
      <c r="K1177" s="14" t="str">
        <f>IFERROR(__xludf.DUMMYFUNCTION("split(E1177,""+"")"),"Tiramisu")</f>
        <v>Tiramisu</v>
      </c>
      <c r="L1177" s="14" t="str">
        <f>IFERROR(__xludf.DUMMYFUNCTION("""COMPUTED_VALUE"""),"5*Ramesh S")</f>
        <v>5*Ramesh S</v>
      </c>
      <c r="M1177" s="14">
        <f>IFERROR(__xludf.DUMMYFUNCTION("SPLIT(L1177,""*"")"),5.0)</f>
        <v>5</v>
      </c>
      <c r="N1177" s="14" t="str">
        <f>IFERROR(__xludf.DUMMYFUNCTION("""COMPUTED_VALUE"""),"Ramesh S")</f>
        <v>Ramesh S</v>
      </c>
      <c r="O1177" s="14" t="str">
        <f>IFERROR(__xludf.DUMMYFUNCTION("split(J1177,""*"")"),"Delivered")</f>
        <v>Delivered</v>
      </c>
      <c r="P1177" s="14" t="str">
        <f>IFERROR(__xludf.DUMMYFUNCTION("""COMPUTED_VALUE"""),"Convenience: Easy tracking")</f>
        <v>Convenience: Easy tracking</v>
      </c>
      <c r="Q1177" s="14" t="str">
        <f>IFERROR(__xludf.DUMMYFUNCTION("split(P1177,"":"")"),"Convenience")</f>
        <v>Convenience</v>
      </c>
      <c r="R1177" s="14" t="str">
        <f>IFERROR(__xludf.DUMMYFUNCTION("""COMPUTED_VALUE""")," Easy tracking")</f>
        <v> Easy tracking</v>
      </c>
      <c r="S1177" s="14" t="str">
        <f t="shared" ref="S1177:U1177" si="2357">trim(B1177)</f>
        <v>ord_41155</v>
      </c>
      <c r="T1177" s="14" t="str">
        <f t="shared" si="2357"/>
        <v>Omkar Mishra</v>
      </c>
      <c r="U1177" s="14" t="str">
        <f t="shared" si="2357"/>
        <v>Powai</v>
      </c>
      <c r="V1177" s="14" t="str">
        <f t="shared" si="4"/>
        <v>Tiramisu</v>
      </c>
      <c r="W1177" s="14">
        <f t="shared" si="5"/>
        <v>5</v>
      </c>
      <c r="X1177" s="14" t="str">
        <f t="shared" si="6"/>
        <v>Ramesh S</v>
      </c>
      <c r="Y1177" s="15">
        <f t="shared" si="7"/>
        <v>44969</v>
      </c>
      <c r="Z1177" s="14" t="str">
        <f t="shared" si="8"/>
        <v>Online Payment</v>
      </c>
      <c r="AA1177" s="14" t="str">
        <f t="shared" si="9"/>
        <v>Delivered</v>
      </c>
      <c r="AB1177" s="14" t="str">
        <f t="shared" ref="AB1177:AC1177" si="2358">trim(Q1177)</f>
        <v>Convenience</v>
      </c>
      <c r="AC1177" s="14" t="str">
        <f t="shared" si="2358"/>
        <v>Easy tracking</v>
      </c>
      <c r="AD1177" s="8"/>
    </row>
    <row r="1178">
      <c r="A1178" s="14" t="str">
        <f>IFERROR(__xludf.DUMMYFUNCTION("""COMPUTED_VALUE"""),"//ord_41156//Dev Chauhan//Bandra//Cucumber+1*Venu R/1/26/2023//Online Payment//Delivered*Overall Satisfaction: Great service will order again")</f>
        <v>//ord_41156//Dev Chauhan//Bandra//Cucumber+1*Venu R/1/26/2023//Online Payment//Delivered*Overall Satisfaction: Great service will order again</v>
      </c>
      <c r="B1178" s="14" t="str">
        <f>IFERROR(__xludf.DUMMYFUNCTION("split(A1178,""//"")"),"ord_41156")</f>
        <v>ord_41156</v>
      </c>
      <c r="C1178" s="14" t="str">
        <f>IFERROR(__xludf.DUMMYFUNCTION("""COMPUTED_VALUE"""),"Dev Chauhan")</f>
        <v>Dev Chauhan</v>
      </c>
      <c r="D1178" s="14" t="str">
        <f>IFERROR(__xludf.DUMMYFUNCTION("""COMPUTED_VALUE"""),"Bandra")</f>
        <v>Bandra</v>
      </c>
      <c r="E1178" s="14" t="str">
        <f>IFERROR(__xludf.DUMMYFUNCTION("""COMPUTED_VALUE"""),"Cucumber+1*Venu R")</f>
        <v>Cucumber+1*Venu R</v>
      </c>
      <c r="F1178" s="14">
        <f>IFERROR(__xludf.DUMMYFUNCTION("""COMPUTED_VALUE"""),1.0)</f>
        <v>1</v>
      </c>
      <c r="G1178" s="14">
        <f>IFERROR(__xludf.DUMMYFUNCTION("""COMPUTED_VALUE"""),26.0)</f>
        <v>26</v>
      </c>
      <c r="H1178" s="14">
        <f>IFERROR(__xludf.DUMMYFUNCTION("""COMPUTED_VALUE"""),2023.0)</f>
        <v>2023</v>
      </c>
      <c r="I1178" s="14" t="str">
        <f>IFERROR(__xludf.DUMMYFUNCTION("""COMPUTED_VALUE"""),"Online Payment")</f>
        <v>Online Payment</v>
      </c>
      <c r="J1178" s="14" t="str">
        <f>IFERROR(__xludf.DUMMYFUNCTION("""COMPUTED_VALUE"""),"Delivered*Overall Satisfaction: Great service will order again")</f>
        <v>Delivered*Overall Satisfaction: Great service will order again</v>
      </c>
      <c r="K1178" s="14" t="str">
        <f>IFERROR(__xludf.DUMMYFUNCTION("split(E1178,""+"")"),"Cucumber")</f>
        <v>Cucumber</v>
      </c>
      <c r="L1178" s="14" t="str">
        <f>IFERROR(__xludf.DUMMYFUNCTION("""COMPUTED_VALUE"""),"1*Venu R")</f>
        <v>1*Venu R</v>
      </c>
      <c r="M1178" s="14">
        <f>IFERROR(__xludf.DUMMYFUNCTION("SPLIT(L1178,""*"")"),1.0)</f>
        <v>1</v>
      </c>
      <c r="N1178" s="14" t="str">
        <f>IFERROR(__xludf.DUMMYFUNCTION("""COMPUTED_VALUE"""),"Venu R")</f>
        <v>Venu R</v>
      </c>
      <c r="O1178" s="14" t="str">
        <f>IFERROR(__xludf.DUMMYFUNCTION("split(J1178,""*"")"),"Delivered")</f>
        <v>Delivered</v>
      </c>
      <c r="P1178" s="14" t="str">
        <f>IFERROR(__xludf.DUMMYFUNCTION("""COMPUTED_VALUE"""),"Overall Satisfaction: Great service will order again")</f>
        <v>Overall Satisfaction: Great service will order again</v>
      </c>
      <c r="Q1178" s="14" t="str">
        <f>IFERROR(__xludf.DUMMYFUNCTION("split(P1178,"":"")"),"Overall Satisfaction")</f>
        <v>Overall Satisfaction</v>
      </c>
      <c r="R1178" s="14" t="str">
        <f>IFERROR(__xludf.DUMMYFUNCTION("""COMPUTED_VALUE""")," Great service will order again")</f>
        <v> Great service will order again</v>
      </c>
      <c r="S1178" s="14" t="str">
        <f t="shared" ref="S1178:U1178" si="2359">trim(B1178)</f>
        <v>ord_41156</v>
      </c>
      <c r="T1178" s="14" t="str">
        <f t="shared" si="2359"/>
        <v>Dev Chauhan</v>
      </c>
      <c r="U1178" s="14" t="str">
        <f t="shared" si="2359"/>
        <v>Bandra</v>
      </c>
      <c r="V1178" s="14" t="str">
        <f t="shared" si="4"/>
        <v>Cucumber</v>
      </c>
      <c r="W1178" s="14">
        <f t="shared" si="5"/>
        <v>1</v>
      </c>
      <c r="X1178" s="14" t="str">
        <f t="shared" si="6"/>
        <v>Venu R</v>
      </c>
      <c r="Y1178" s="15">
        <f t="shared" si="7"/>
        <v>44952</v>
      </c>
      <c r="Z1178" s="14" t="str">
        <f t="shared" si="8"/>
        <v>Online Payment</v>
      </c>
      <c r="AA1178" s="14" t="str">
        <f t="shared" si="9"/>
        <v>Delivered</v>
      </c>
      <c r="AB1178" s="14" t="str">
        <f t="shared" ref="AB1178:AC1178" si="2360">trim(Q1178)</f>
        <v>Overall Satisfaction</v>
      </c>
      <c r="AC1178" s="14" t="str">
        <f t="shared" si="2360"/>
        <v>Great service will order again</v>
      </c>
      <c r="AD1178" s="8"/>
    </row>
    <row r="1179">
      <c r="A1179" s="14" t="str">
        <f>IFERROR(__xludf.DUMMYFUNCTION("""COMPUTED_VALUE"""),"//ord_41157//Dev Chauhan//Bandra//Banana+2*Vivek Kumar/6/9/2023//Online Payment//Delivered*On-time Delivery: Delivered on time")</f>
        <v>//ord_41157//Dev Chauhan//Bandra//Banana+2*Vivek Kumar/6/9/2023//Online Payment//Delivered*On-time Delivery: Delivered on time</v>
      </c>
      <c r="B1179" s="14" t="str">
        <f>IFERROR(__xludf.DUMMYFUNCTION("split(A1179,""//"")"),"ord_41157")</f>
        <v>ord_41157</v>
      </c>
      <c r="C1179" s="14" t="str">
        <f>IFERROR(__xludf.DUMMYFUNCTION("""COMPUTED_VALUE"""),"Dev Chauhan")</f>
        <v>Dev Chauhan</v>
      </c>
      <c r="D1179" s="14" t="str">
        <f>IFERROR(__xludf.DUMMYFUNCTION("""COMPUTED_VALUE"""),"Bandra")</f>
        <v>Bandra</v>
      </c>
      <c r="E1179" s="14" t="str">
        <f>IFERROR(__xludf.DUMMYFUNCTION("""COMPUTED_VALUE"""),"Banana+2*Vivek Kumar")</f>
        <v>Banana+2*Vivek Kumar</v>
      </c>
      <c r="F1179" s="14">
        <f>IFERROR(__xludf.DUMMYFUNCTION("""COMPUTED_VALUE"""),6.0)</f>
        <v>6</v>
      </c>
      <c r="G1179" s="14">
        <f>IFERROR(__xludf.DUMMYFUNCTION("""COMPUTED_VALUE"""),9.0)</f>
        <v>9</v>
      </c>
      <c r="H1179" s="14">
        <f>IFERROR(__xludf.DUMMYFUNCTION("""COMPUTED_VALUE"""),2023.0)</f>
        <v>2023</v>
      </c>
      <c r="I1179" s="14" t="str">
        <f>IFERROR(__xludf.DUMMYFUNCTION("""COMPUTED_VALUE"""),"Online Payment")</f>
        <v>Online Payment</v>
      </c>
      <c r="J1179" s="14" t="str">
        <f>IFERROR(__xludf.DUMMYFUNCTION("""COMPUTED_VALUE"""),"Delivered*On-time Delivery: Delivered on time")</f>
        <v>Delivered*On-time Delivery: Delivered on time</v>
      </c>
      <c r="K1179" s="14" t="str">
        <f>IFERROR(__xludf.DUMMYFUNCTION("split(E1179,""+"")"),"Banana")</f>
        <v>Banana</v>
      </c>
      <c r="L1179" s="14" t="str">
        <f>IFERROR(__xludf.DUMMYFUNCTION("""COMPUTED_VALUE"""),"2*Vivek Kumar")</f>
        <v>2*Vivek Kumar</v>
      </c>
      <c r="M1179" s="14">
        <f>IFERROR(__xludf.DUMMYFUNCTION("SPLIT(L1179,""*"")"),2.0)</f>
        <v>2</v>
      </c>
      <c r="N1179" s="14" t="str">
        <f>IFERROR(__xludf.DUMMYFUNCTION("""COMPUTED_VALUE"""),"Vivek Kumar")</f>
        <v>Vivek Kumar</v>
      </c>
      <c r="O1179" s="14" t="str">
        <f>IFERROR(__xludf.DUMMYFUNCTION("split(J1179,""*"")"),"Delivered")</f>
        <v>Delivered</v>
      </c>
      <c r="P1179" s="14" t="str">
        <f>IFERROR(__xludf.DUMMYFUNCTION("""COMPUTED_VALUE"""),"On-time Delivery: Delivered on time")</f>
        <v>On-time Delivery: Delivered on time</v>
      </c>
      <c r="Q1179" s="14" t="str">
        <f>IFERROR(__xludf.DUMMYFUNCTION("split(P1179,"":"")"),"On-time Delivery")</f>
        <v>On-time Delivery</v>
      </c>
      <c r="R1179" s="14" t="str">
        <f>IFERROR(__xludf.DUMMYFUNCTION("""COMPUTED_VALUE""")," Delivered on time")</f>
        <v> Delivered on time</v>
      </c>
      <c r="S1179" s="14" t="str">
        <f t="shared" ref="S1179:U1179" si="2361">trim(B1179)</f>
        <v>ord_41157</v>
      </c>
      <c r="T1179" s="14" t="str">
        <f t="shared" si="2361"/>
        <v>Dev Chauhan</v>
      </c>
      <c r="U1179" s="14" t="str">
        <f t="shared" si="2361"/>
        <v>Bandra</v>
      </c>
      <c r="V1179" s="14" t="str">
        <f t="shared" si="4"/>
        <v>Banana</v>
      </c>
      <c r="W1179" s="14">
        <f t="shared" si="5"/>
        <v>2</v>
      </c>
      <c r="X1179" s="14" t="str">
        <f t="shared" si="6"/>
        <v>Vivek Kumar</v>
      </c>
      <c r="Y1179" s="15">
        <f t="shared" si="7"/>
        <v>45086</v>
      </c>
      <c r="Z1179" s="14" t="str">
        <f t="shared" si="8"/>
        <v>Online Payment</v>
      </c>
      <c r="AA1179" s="14" t="str">
        <f t="shared" si="9"/>
        <v>Delivered</v>
      </c>
      <c r="AB1179" s="14" t="str">
        <f t="shared" ref="AB1179:AC1179" si="2362">trim(Q1179)</f>
        <v>On-time Delivery</v>
      </c>
      <c r="AC1179" s="14" t="str">
        <f t="shared" si="2362"/>
        <v>Delivered on time</v>
      </c>
      <c r="AD1179" s="8"/>
    </row>
    <row r="1180">
      <c r="A1180" s="14" t="str">
        <f>IFERROR(__xludf.DUMMYFUNCTION("""COMPUTED_VALUE"""),"//ord_41158//Ishaan Chaturvedi//Bandra//Popcorn+4*Vivek Kumar/8/12/2023//UPI//Delivered*Quality of Items: Perfect condition")</f>
        <v>//ord_41158//Ishaan Chaturvedi//Bandra//Popcorn+4*Vivek Kumar/8/12/2023//UPI//Delivered*Quality of Items: Perfect condition</v>
      </c>
      <c r="B1180" s="14" t="str">
        <f>IFERROR(__xludf.DUMMYFUNCTION("split(A1180,""//"")"),"ord_41158")</f>
        <v>ord_41158</v>
      </c>
      <c r="C1180" s="14" t="str">
        <f>IFERROR(__xludf.DUMMYFUNCTION("""COMPUTED_VALUE"""),"Ishaan Chaturvedi")</f>
        <v>Ishaan Chaturvedi</v>
      </c>
      <c r="D1180" s="14" t="str">
        <f>IFERROR(__xludf.DUMMYFUNCTION("""COMPUTED_VALUE"""),"Bandra")</f>
        <v>Bandra</v>
      </c>
      <c r="E1180" s="14" t="str">
        <f>IFERROR(__xludf.DUMMYFUNCTION("""COMPUTED_VALUE"""),"Popcorn+4*Vivek Kumar")</f>
        <v>Popcorn+4*Vivek Kumar</v>
      </c>
      <c r="F1180" s="14">
        <f>IFERROR(__xludf.DUMMYFUNCTION("""COMPUTED_VALUE"""),8.0)</f>
        <v>8</v>
      </c>
      <c r="G1180" s="14">
        <f>IFERROR(__xludf.DUMMYFUNCTION("""COMPUTED_VALUE"""),12.0)</f>
        <v>12</v>
      </c>
      <c r="H1180" s="14">
        <f>IFERROR(__xludf.DUMMYFUNCTION("""COMPUTED_VALUE"""),2023.0)</f>
        <v>2023</v>
      </c>
      <c r="I1180" s="14" t="str">
        <f>IFERROR(__xludf.DUMMYFUNCTION("""COMPUTED_VALUE"""),"UPI")</f>
        <v>UPI</v>
      </c>
      <c r="J1180" s="14" t="str">
        <f>IFERROR(__xludf.DUMMYFUNCTION("""COMPUTED_VALUE"""),"Delivered*Quality of Items: Perfect condition")</f>
        <v>Delivered*Quality of Items: Perfect condition</v>
      </c>
      <c r="K1180" s="14" t="str">
        <f>IFERROR(__xludf.DUMMYFUNCTION("split(E1180,""+"")"),"Popcorn")</f>
        <v>Popcorn</v>
      </c>
      <c r="L1180" s="14" t="str">
        <f>IFERROR(__xludf.DUMMYFUNCTION("""COMPUTED_VALUE"""),"4*Vivek Kumar")</f>
        <v>4*Vivek Kumar</v>
      </c>
      <c r="M1180" s="14">
        <f>IFERROR(__xludf.DUMMYFUNCTION("SPLIT(L1180,""*"")"),4.0)</f>
        <v>4</v>
      </c>
      <c r="N1180" s="14" t="str">
        <f>IFERROR(__xludf.DUMMYFUNCTION("""COMPUTED_VALUE"""),"Vivek Kumar")</f>
        <v>Vivek Kumar</v>
      </c>
      <c r="O1180" s="14" t="str">
        <f>IFERROR(__xludf.DUMMYFUNCTION("split(J1180,""*"")"),"Delivered")</f>
        <v>Delivered</v>
      </c>
      <c r="P1180" s="14" t="str">
        <f>IFERROR(__xludf.DUMMYFUNCTION("""COMPUTED_VALUE"""),"Quality of Items: Perfect condition")</f>
        <v>Quality of Items: Perfect condition</v>
      </c>
      <c r="Q1180" s="14" t="str">
        <f>IFERROR(__xludf.DUMMYFUNCTION("split(P1180,"":"")"),"Quality of Items")</f>
        <v>Quality of Items</v>
      </c>
      <c r="R1180" s="14" t="str">
        <f>IFERROR(__xludf.DUMMYFUNCTION("""COMPUTED_VALUE""")," Perfect condition")</f>
        <v> Perfect condition</v>
      </c>
      <c r="S1180" s="14" t="str">
        <f t="shared" ref="S1180:U1180" si="2363">trim(B1180)</f>
        <v>ord_41158</v>
      </c>
      <c r="T1180" s="14" t="str">
        <f t="shared" si="2363"/>
        <v>Ishaan Chaturvedi</v>
      </c>
      <c r="U1180" s="14" t="str">
        <f t="shared" si="2363"/>
        <v>Bandra</v>
      </c>
      <c r="V1180" s="14" t="str">
        <f t="shared" si="4"/>
        <v>Popcorn</v>
      </c>
      <c r="W1180" s="14">
        <f t="shared" si="5"/>
        <v>4</v>
      </c>
      <c r="X1180" s="14" t="str">
        <f t="shared" si="6"/>
        <v>Vivek Kumar</v>
      </c>
      <c r="Y1180" s="15">
        <f t="shared" si="7"/>
        <v>45150</v>
      </c>
      <c r="Z1180" s="14" t="str">
        <f t="shared" si="8"/>
        <v>UPI</v>
      </c>
      <c r="AA1180" s="14" t="str">
        <f t="shared" si="9"/>
        <v>Delivered</v>
      </c>
      <c r="AB1180" s="14" t="str">
        <f t="shared" ref="AB1180:AC1180" si="2364">trim(Q1180)</f>
        <v>Quality of Items</v>
      </c>
      <c r="AC1180" s="14" t="str">
        <f t="shared" si="2364"/>
        <v>Perfect condition</v>
      </c>
      <c r="AD1180" s="8"/>
    </row>
    <row r="1181">
      <c r="A1181" s="14" t="str">
        <f>IFERROR(__xludf.DUMMYFUNCTION("""COMPUTED_VALUE"""),"//ord_41159//Mehul Thakkar//Malad//Chicken Puff+4*Not Assigned/12/15/2023//Credit Card//Cancelled*App Glitches: Payment Button Malfunction")</f>
        <v>//ord_41159//Mehul Thakkar//Malad//Chicken Puff+4*Not Assigned/12/15/2023//Credit Card//Cancelled*App Glitches: Payment Button Malfunction</v>
      </c>
      <c r="B1181" s="14" t="str">
        <f>IFERROR(__xludf.DUMMYFUNCTION("split(A1181,""//"")"),"ord_41159")</f>
        <v>ord_41159</v>
      </c>
      <c r="C1181" s="14" t="str">
        <f>IFERROR(__xludf.DUMMYFUNCTION("""COMPUTED_VALUE"""),"Mehul Thakkar")</f>
        <v>Mehul Thakkar</v>
      </c>
      <c r="D1181" s="14" t="str">
        <f>IFERROR(__xludf.DUMMYFUNCTION("""COMPUTED_VALUE"""),"Malad")</f>
        <v>Malad</v>
      </c>
      <c r="E1181" s="14" t="str">
        <f>IFERROR(__xludf.DUMMYFUNCTION("""COMPUTED_VALUE"""),"Chicken Puff+4*Not Assigned")</f>
        <v>Chicken Puff+4*Not Assigned</v>
      </c>
      <c r="F1181" s="14">
        <f>IFERROR(__xludf.DUMMYFUNCTION("""COMPUTED_VALUE"""),12.0)</f>
        <v>12</v>
      </c>
      <c r="G1181" s="14">
        <f>IFERROR(__xludf.DUMMYFUNCTION("""COMPUTED_VALUE"""),15.0)</f>
        <v>15</v>
      </c>
      <c r="H1181" s="14">
        <f>IFERROR(__xludf.DUMMYFUNCTION("""COMPUTED_VALUE"""),2023.0)</f>
        <v>2023</v>
      </c>
      <c r="I1181" s="14" t="str">
        <f>IFERROR(__xludf.DUMMYFUNCTION("""COMPUTED_VALUE"""),"Credit Card")</f>
        <v>Credit Card</v>
      </c>
      <c r="J1181" s="14" t="str">
        <f>IFERROR(__xludf.DUMMYFUNCTION("""COMPUTED_VALUE"""),"Cancelled*App Glitches: Payment Button Malfunction")</f>
        <v>Cancelled*App Glitches: Payment Button Malfunction</v>
      </c>
      <c r="K1181" s="14" t="str">
        <f>IFERROR(__xludf.DUMMYFUNCTION("split(E1181,""+"")"),"Chicken Puff")</f>
        <v>Chicken Puff</v>
      </c>
      <c r="L1181" s="14" t="str">
        <f>IFERROR(__xludf.DUMMYFUNCTION("""COMPUTED_VALUE"""),"4*Not Assigned")</f>
        <v>4*Not Assigned</v>
      </c>
      <c r="M1181" s="14">
        <f>IFERROR(__xludf.DUMMYFUNCTION("SPLIT(L1181,""*"")"),4.0)</f>
        <v>4</v>
      </c>
      <c r="N1181" s="14" t="str">
        <f>IFERROR(__xludf.DUMMYFUNCTION("""COMPUTED_VALUE"""),"Not Assigned")</f>
        <v>Not Assigned</v>
      </c>
      <c r="O1181" s="14" t="str">
        <f>IFERROR(__xludf.DUMMYFUNCTION("split(J1181,""*"")"),"Cancelled")</f>
        <v>Cancelled</v>
      </c>
      <c r="P1181" s="14" t="str">
        <f>IFERROR(__xludf.DUMMYFUNCTION("""COMPUTED_VALUE"""),"App Glitches: Payment Button Malfunction")</f>
        <v>App Glitches: Payment Button Malfunction</v>
      </c>
      <c r="Q1181" s="14" t="str">
        <f>IFERROR(__xludf.DUMMYFUNCTION("split(P1181,"":"")"),"App Glitches")</f>
        <v>App Glitches</v>
      </c>
      <c r="R1181" s="14" t="str">
        <f>IFERROR(__xludf.DUMMYFUNCTION("""COMPUTED_VALUE""")," Payment Button Malfunction")</f>
        <v> Payment Button Malfunction</v>
      </c>
      <c r="S1181" s="14" t="str">
        <f t="shared" ref="S1181:U1181" si="2365">trim(B1181)</f>
        <v>ord_41159</v>
      </c>
      <c r="T1181" s="14" t="str">
        <f t="shared" si="2365"/>
        <v>Mehul Thakkar</v>
      </c>
      <c r="U1181" s="14" t="str">
        <f t="shared" si="2365"/>
        <v>Malad</v>
      </c>
      <c r="V1181" s="14" t="str">
        <f t="shared" si="4"/>
        <v>Chicken Puff</v>
      </c>
      <c r="W1181" s="14">
        <f t="shared" si="5"/>
        <v>4</v>
      </c>
      <c r="X1181" s="14" t="str">
        <f t="shared" si="6"/>
        <v>Not Assigned</v>
      </c>
      <c r="Y1181" s="15">
        <f t="shared" si="7"/>
        <v>45275</v>
      </c>
      <c r="Z1181" s="14" t="str">
        <f t="shared" si="8"/>
        <v>Credit Card</v>
      </c>
      <c r="AA1181" s="14" t="str">
        <f t="shared" si="9"/>
        <v>Cancelled</v>
      </c>
      <c r="AB1181" s="14" t="str">
        <f t="shared" ref="AB1181:AC1181" si="2366">trim(Q1181)</f>
        <v>App Glitches</v>
      </c>
      <c r="AC1181" s="14" t="str">
        <f t="shared" si="2366"/>
        <v>Payment Button Malfunction</v>
      </c>
      <c r="AD1181" s="8"/>
    </row>
    <row r="1182">
      <c r="A1182" s="14" t="str">
        <f>IFERROR(__xludf.DUMMYFUNCTION("""COMPUTED_VALUE"""),"//ord_41160//Sanjay Nair//Dadar//Popcorn+4*Shine Thomas/2/16/2023//Online Payment//Delivered*On-time Delivery: Delivered on time")</f>
        <v>//ord_41160//Sanjay Nair//Dadar//Popcorn+4*Shine Thomas/2/16/2023//Online Payment//Delivered*On-time Delivery: Delivered on time</v>
      </c>
      <c r="B1182" s="14" t="str">
        <f>IFERROR(__xludf.DUMMYFUNCTION("split(A1182,""//"")"),"ord_41160")</f>
        <v>ord_41160</v>
      </c>
      <c r="C1182" s="14" t="str">
        <f>IFERROR(__xludf.DUMMYFUNCTION("""COMPUTED_VALUE"""),"Sanjay Nair")</f>
        <v>Sanjay Nair</v>
      </c>
      <c r="D1182" s="14" t="str">
        <f>IFERROR(__xludf.DUMMYFUNCTION("""COMPUTED_VALUE"""),"Dadar")</f>
        <v>Dadar</v>
      </c>
      <c r="E1182" s="14" t="str">
        <f>IFERROR(__xludf.DUMMYFUNCTION("""COMPUTED_VALUE"""),"Popcorn+4*Shine Thomas")</f>
        <v>Popcorn+4*Shine Thomas</v>
      </c>
      <c r="F1182" s="14">
        <f>IFERROR(__xludf.DUMMYFUNCTION("""COMPUTED_VALUE"""),2.0)</f>
        <v>2</v>
      </c>
      <c r="G1182" s="14">
        <f>IFERROR(__xludf.DUMMYFUNCTION("""COMPUTED_VALUE"""),16.0)</f>
        <v>16</v>
      </c>
      <c r="H1182" s="14">
        <f>IFERROR(__xludf.DUMMYFUNCTION("""COMPUTED_VALUE"""),2023.0)</f>
        <v>2023</v>
      </c>
      <c r="I1182" s="14" t="str">
        <f>IFERROR(__xludf.DUMMYFUNCTION("""COMPUTED_VALUE"""),"Online Payment")</f>
        <v>Online Payment</v>
      </c>
      <c r="J1182" s="14" t="str">
        <f>IFERROR(__xludf.DUMMYFUNCTION("""COMPUTED_VALUE"""),"Delivered*On-time Delivery: Delivered on time")</f>
        <v>Delivered*On-time Delivery: Delivered on time</v>
      </c>
      <c r="K1182" s="14" t="str">
        <f>IFERROR(__xludf.DUMMYFUNCTION("split(E1182,""+"")"),"Popcorn")</f>
        <v>Popcorn</v>
      </c>
      <c r="L1182" s="14" t="str">
        <f>IFERROR(__xludf.DUMMYFUNCTION("""COMPUTED_VALUE"""),"4*Shine Thomas")</f>
        <v>4*Shine Thomas</v>
      </c>
      <c r="M1182" s="14">
        <f>IFERROR(__xludf.DUMMYFUNCTION("SPLIT(L1182,""*"")"),4.0)</f>
        <v>4</v>
      </c>
      <c r="N1182" s="14" t="str">
        <f>IFERROR(__xludf.DUMMYFUNCTION("""COMPUTED_VALUE"""),"Shine Thomas")</f>
        <v>Shine Thomas</v>
      </c>
      <c r="O1182" s="14" t="str">
        <f>IFERROR(__xludf.DUMMYFUNCTION("split(J1182,""*"")"),"Delivered")</f>
        <v>Delivered</v>
      </c>
      <c r="P1182" s="14" t="str">
        <f>IFERROR(__xludf.DUMMYFUNCTION("""COMPUTED_VALUE"""),"On-time Delivery: Delivered on time")</f>
        <v>On-time Delivery: Delivered on time</v>
      </c>
      <c r="Q1182" s="14" t="str">
        <f>IFERROR(__xludf.DUMMYFUNCTION("split(P1182,"":"")"),"On-time Delivery")</f>
        <v>On-time Delivery</v>
      </c>
      <c r="R1182" s="14" t="str">
        <f>IFERROR(__xludf.DUMMYFUNCTION("""COMPUTED_VALUE""")," Delivered on time")</f>
        <v> Delivered on time</v>
      </c>
      <c r="S1182" s="14" t="str">
        <f t="shared" ref="S1182:U1182" si="2367">trim(B1182)</f>
        <v>ord_41160</v>
      </c>
      <c r="T1182" s="14" t="str">
        <f t="shared" si="2367"/>
        <v>Sanjay Nair</v>
      </c>
      <c r="U1182" s="14" t="str">
        <f t="shared" si="2367"/>
        <v>Dadar</v>
      </c>
      <c r="V1182" s="14" t="str">
        <f t="shared" si="4"/>
        <v>Popcorn</v>
      </c>
      <c r="W1182" s="14">
        <f t="shared" si="5"/>
        <v>4</v>
      </c>
      <c r="X1182" s="14" t="str">
        <f t="shared" si="6"/>
        <v>Shine Thomas</v>
      </c>
      <c r="Y1182" s="15">
        <f t="shared" si="7"/>
        <v>44973</v>
      </c>
      <c r="Z1182" s="14" t="str">
        <f t="shared" si="8"/>
        <v>Online Payment</v>
      </c>
      <c r="AA1182" s="14" t="str">
        <f t="shared" si="9"/>
        <v>Delivered</v>
      </c>
      <c r="AB1182" s="14" t="str">
        <f t="shared" ref="AB1182:AC1182" si="2368">trim(Q1182)</f>
        <v>On-time Delivery</v>
      </c>
      <c r="AC1182" s="14" t="str">
        <f t="shared" si="2368"/>
        <v>Delivered on time</v>
      </c>
      <c r="AD1182" s="8"/>
    </row>
    <row r="1183">
      <c r="A1183" s="14" t="str">
        <f>IFERROR(__xludf.DUMMYFUNCTION("""COMPUTED_VALUE"""),"//ord_41161//Aarohi Kapoor//Bandra//Tiramisu+3*Manju Ajay/8/6/2023//COD//Delivered*Quality of Items: Perfect condition")</f>
        <v>//ord_41161//Aarohi Kapoor//Bandra//Tiramisu+3*Manju Ajay/8/6/2023//COD//Delivered*Quality of Items: Perfect condition</v>
      </c>
      <c r="B1183" s="14" t="str">
        <f>IFERROR(__xludf.DUMMYFUNCTION("split(A1183,""//"")"),"ord_41161")</f>
        <v>ord_41161</v>
      </c>
      <c r="C1183" s="14" t="str">
        <f>IFERROR(__xludf.DUMMYFUNCTION("""COMPUTED_VALUE"""),"Aarohi Kapoor")</f>
        <v>Aarohi Kapoor</v>
      </c>
      <c r="D1183" s="14" t="str">
        <f>IFERROR(__xludf.DUMMYFUNCTION("""COMPUTED_VALUE"""),"Bandra")</f>
        <v>Bandra</v>
      </c>
      <c r="E1183" s="14" t="str">
        <f>IFERROR(__xludf.DUMMYFUNCTION("""COMPUTED_VALUE"""),"Tiramisu+3*Manju Ajay")</f>
        <v>Tiramisu+3*Manju Ajay</v>
      </c>
      <c r="F1183" s="14">
        <f>IFERROR(__xludf.DUMMYFUNCTION("""COMPUTED_VALUE"""),8.0)</f>
        <v>8</v>
      </c>
      <c r="G1183" s="14">
        <f>IFERROR(__xludf.DUMMYFUNCTION("""COMPUTED_VALUE"""),6.0)</f>
        <v>6</v>
      </c>
      <c r="H1183" s="14">
        <f>IFERROR(__xludf.DUMMYFUNCTION("""COMPUTED_VALUE"""),2023.0)</f>
        <v>2023</v>
      </c>
      <c r="I1183" s="14" t="str">
        <f>IFERROR(__xludf.DUMMYFUNCTION("""COMPUTED_VALUE"""),"COD")</f>
        <v>COD</v>
      </c>
      <c r="J1183" s="14" t="str">
        <f>IFERROR(__xludf.DUMMYFUNCTION("""COMPUTED_VALUE"""),"Delivered*Quality of Items: Perfect condition")</f>
        <v>Delivered*Quality of Items: Perfect condition</v>
      </c>
      <c r="K1183" s="14" t="str">
        <f>IFERROR(__xludf.DUMMYFUNCTION("split(E1183,""+"")"),"Tiramisu")</f>
        <v>Tiramisu</v>
      </c>
      <c r="L1183" s="14" t="str">
        <f>IFERROR(__xludf.DUMMYFUNCTION("""COMPUTED_VALUE"""),"3*Manju Ajay")</f>
        <v>3*Manju Ajay</v>
      </c>
      <c r="M1183" s="14">
        <f>IFERROR(__xludf.DUMMYFUNCTION("SPLIT(L1183,""*"")"),3.0)</f>
        <v>3</v>
      </c>
      <c r="N1183" s="14" t="str">
        <f>IFERROR(__xludf.DUMMYFUNCTION("""COMPUTED_VALUE"""),"Manju Ajay")</f>
        <v>Manju Ajay</v>
      </c>
      <c r="O1183" s="14" t="str">
        <f>IFERROR(__xludf.DUMMYFUNCTION("split(J1183,""*"")"),"Delivered")</f>
        <v>Delivered</v>
      </c>
      <c r="P1183" s="14" t="str">
        <f>IFERROR(__xludf.DUMMYFUNCTION("""COMPUTED_VALUE"""),"Quality of Items: Perfect condition")</f>
        <v>Quality of Items: Perfect condition</v>
      </c>
      <c r="Q1183" s="14" t="str">
        <f>IFERROR(__xludf.DUMMYFUNCTION("split(P1183,"":"")"),"Quality of Items")</f>
        <v>Quality of Items</v>
      </c>
      <c r="R1183" s="14" t="str">
        <f>IFERROR(__xludf.DUMMYFUNCTION("""COMPUTED_VALUE""")," Perfect condition")</f>
        <v> Perfect condition</v>
      </c>
      <c r="S1183" s="14" t="str">
        <f t="shared" ref="S1183:U1183" si="2369">trim(B1183)</f>
        <v>ord_41161</v>
      </c>
      <c r="T1183" s="14" t="str">
        <f t="shared" si="2369"/>
        <v>Aarohi Kapoor</v>
      </c>
      <c r="U1183" s="14" t="str">
        <f t="shared" si="2369"/>
        <v>Bandra</v>
      </c>
      <c r="V1183" s="14" t="str">
        <f t="shared" si="4"/>
        <v>Tiramisu</v>
      </c>
      <c r="W1183" s="14">
        <f t="shared" si="5"/>
        <v>3</v>
      </c>
      <c r="X1183" s="14" t="str">
        <f t="shared" si="6"/>
        <v>Manju Ajay</v>
      </c>
      <c r="Y1183" s="15">
        <f t="shared" si="7"/>
        <v>45144</v>
      </c>
      <c r="Z1183" s="14" t="str">
        <f t="shared" si="8"/>
        <v>COD</v>
      </c>
      <c r="AA1183" s="14" t="str">
        <f t="shared" si="9"/>
        <v>Delivered</v>
      </c>
      <c r="AB1183" s="14" t="str">
        <f t="shared" ref="AB1183:AC1183" si="2370">trim(Q1183)</f>
        <v>Quality of Items</v>
      </c>
      <c r="AC1183" s="14" t="str">
        <f t="shared" si="2370"/>
        <v>Perfect condition</v>
      </c>
      <c r="AD1183" s="8"/>
    </row>
    <row r="1184">
      <c r="A1184" s="14" t="str">
        <f>IFERROR(__xludf.DUMMYFUNCTION("""COMPUTED_VALUE"""),"//ord_41162//Sanjay Nair//Dadar//Guava+2*Vivek Kumar/2/21/2023//UPI//Delivered*Packaging: Secure and intact")</f>
        <v>//ord_41162//Sanjay Nair//Dadar//Guava+2*Vivek Kumar/2/21/2023//UPI//Delivered*Packaging: Secure and intact</v>
      </c>
      <c r="B1184" s="14" t="str">
        <f>IFERROR(__xludf.DUMMYFUNCTION("split(A1184,""//"")"),"ord_41162")</f>
        <v>ord_41162</v>
      </c>
      <c r="C1184" s="14" t="str">
        <f>IFERROR(__xludf.DUMMYFUNCTION("""COMPUTED_VALUE"""),"Sanjay Nair")</f>
        <v>Sanjay Nair</v>
      </c>
      <c r="D1184" s="14" t="str">
        <f>IFERROR(__xludf.DUMMYFUNCTION("""COMPUTED_VALUE"""),"Dadar")</f>
        <v>Dadar</v>
      </c>
      <c r="E1184" s="14" t="str">
        <f>IFERROR(__xludf.DUMMYFUNCTION("""COMPUTED_VALUE"""),"Guava+2*Vivek Kumar")</f>
        <v>Guava+2*Vivek Kumar</v>
      </c>
      <c r="F1184" s="14">
        <f>IFERROR(__xludf.DUMMYFUNCTION("""COMPUTED_VALUE"""),2.0)</f>
        <v>2</v>
      </c>
      <c r="G1184" s="14">
        <f>IFERROR(__xludf.DUMMYFUNCTION("""COMPUTED_VALUE"""),21.0)</f>
        <v>21</v>
      </c>
      <c r="H1184" s="14">
        <f>IFERROR(__xludf.DUMMYFUNCTION("""COMPUTED_VALUE"""),2023.0)</f>
        <v>2023</v>
      </c>
      <c r="I1184" s="14" t="str">
        <f>IFERROR(__xludf.DUMMYFUNCTION("""COMPUTED_VALUE"""),"UPI")</f>
        <v>UPI</v>
      </c>
      <c r="J1184" s="14" t="str">
        <f>IFERROR(__xludf.DUMMYFUNCTION("""COMPUTED_VALUE"""),"Delivered*Packaging: Secure and intact")</f>
        <v>Delivered*Packaging: Secure and intact</v>
      </c>
      <c r="K1184" s="14" t="str">
        <f>IFERROR(__xludf.DUMMYFUNCTION("split(E1184,""+"")"),"Guava")</f>
        <v>Guava</v>
      </c>
      <c r="L1184" s="14" t="str">
        <f>IFERROR(__xludf.DUMMYFUNCTION("""COMPUTED_VALUE"""),"2*Vivek Kumar")</f>
        <v>2*Vivek Kumar</v>
      </c>
      <c r="M1184" s="14">
        <f>IFERROR(__xludf.DUMMYFUNCTION("SPLIT(L1184,""*"")"),2.0)</f>
        <v>2</v>
      </c>
      <c r="N1184" s="14" t="str">
        <f>IFERROR(__xludf.DUMMYFUNCTION("""COMPUTED_VALUE"""),"Vivek Kumar")</f>
        <v>Vivek Kumar</v>
      </c>
      <c r="O1184" s="14" t="str">
        <f>IFERROR(__xludf.DUMMYFUNCTION("split(J1184,""*"")"),"Delivered")</f>
        <v>Delivered</v>
      </c>
      <c r="P1184" s="14" t="str">
        <f>IFERROR(__xludf.DUMMYFUNCTION("""COMPUTED_VALUE"""),"Packaging: Secure and intact")</f>
        <v>Packaging: Secure and intact</v>
      </c>
      <c r="Q1184" s="14" t="str">
        <f>IFERROR(__xludf.DUMMYFUNCTION("split(P1184,"":"")"),"Packaging")</f>
        <v>Packaging</v>
      </c>
      <c r="R1184" s="14" t="str">
        <f>IFERROR(__xludf.DUMMYFUNCTION("""COMPUTED_VALUE""")," Secure and intact")</f>
        <v> Secure and intact</v>
      </c>
      <c r="S1184" s="14" t="str">
        <f t="shared" ref="S1184:U1184" si="2371">trim(B1184)</f>
        <v>ord_41162</v>
      </c>
      <c r="T1184" s="14" t="str">
        <f t="shared" si="2371"/>
        <v>Sanjay Nair</v>
      </c>
      <c r="U1184" s="14" t="str">
        <f t="shared" si="2371"/>
        <v>Dadar</v>
      </c>
      <c r="V1184" s="14" t="str">
        <f t="shared" si="4"/>
        <v>Guava</v>
      </c>
      <c r="W1184" s="14">
        <f t="shared" si="5"/>
        <v>2</v>
      </c>
      <c r="X1184" s="14" t="str">
        <f t="shared" si="6"/>
        <v>Vivek Kumar</v>
      </c>
      <c r="Y1184" s="15">
        <f t="shared" si="7"/>
        <v>44978</v>
      </c>
      <c r="Z1184" s="14" t="str">
        <f t="shared" si="8"/>
        <v>UPI</v>
      </c>
      <c r="AA1184" s="14" t="str">
        <f t="shared" si="9"/>
        <v>Delivered</v>
      </c>
      <c r="AB1184" s="14" t="str">
        <f t="shared" ref="AB1184:AC1184" si="2372">trim(Q1184)</f>
        <v>Packaging</v>
      </c>
      <c r="AC1184" s="14" t="str">
        <f t="shared" si="2372"/>
        <v>Secure and intact</v>
      </c>
      <c r="AD1184" s="8"/>
    </row>
    <row r="1185">
      <c r="A1185" s="14" t="str">
        <f>IFERROR(__xludf.DUMMYFUNCTION("""COMPUTED_VALUE"""),"//ord_41163//Dev Chauhan//Bandra//Juice+3*Manju Ajay/1/23/2023//Credit Card//Delivered*Satisfied with the Delivery: Timely and quality")</f>
        <v>//ord_41163//Dev Chauhan//Bandra//Juice+3*Manju Ajay/1/23/2023//Credit Card//Delivered*Satisfied with the Delivery: Timely and quality</v>
      </c>
      <c r="B1185" s="14" t="str">
        <f>IFERROR(__xludf.DUMMYFUNCTION("split(A1185,""//"")"),"ord_41163")</f>
        <v>ord_41163</v>
      </c>
      <c r="C1185" s="14" t="str">
        <f>IFERROR(__xludf.DUMMYFUNCTION("""COMPUTED_VALUE"""),"Dev Chauhan")</f>
        <v>Dev Chauhan</v>
      </c>
      <c r="D1185" s="14" t="str">
        <f>IFERROR(__xludf.DUMMYFUNCTION("""COMPUTED_VALUE"""),"Bandra")</f>
        <v>Bandra</v>
      </c>
      <c r="E1185" s="14" t="str">
        <f>IFERROR(__xludf.DUMMYFUNCTION("""COMPUTED_VALUE"""),"Juice+3*Manju Ajay")</f>
        <v>Juice+3*Manju Ajay</v>
      </c>
      <c r="F1185" s="14">
        <f>IFERROR(__xludf.DUMMYFUNCTION("""COMPUTED_VALUE"""),1.0)</f>
        <v>1</v>
      </c>
      <c r="G1185" s="14">
        <f>IFERROR(__xludf.DUMMYFUNCTION("""COMPUTED_VALUE"""),23.0)</f>
        <v>23</v>
      </c>
      <c r="H1185" s="14">
        <f>IFERROR(__xludf.DUMMYFUNCTION("""COMPUTED_VALUE"""),2023.0)</f>
        <v>2023</v>
      </c>
      <c r="I1185" s="14" t="str">
        <f>IFERROR(__xludf.DUMMYFUNCTION("""COMPUTED_VALUE"""),"Credit Card")</f>
        <v>Credit Card</v>
      </c>
      <c r="J1185" s="14" t="str">
        <f>IFERROR(__xludf.DUMMYFUNCTION("""COMPUTED_VALUE"""),"Delivered*Satisfied with the Delivery: Timely and quality")</f>
        <v>Delivered*Satisfied with the Delivery: Timely and quality</v>
      </c>
      <c r="K1185" s="14" t="str">
        <f>IFERROR(__xludf.DUMMYFUNCTION("split(E1185,""+"")"),"Juice")</f>
        <v>Juice</v>
      </c>
      <c r="L1185" s="14" t="str">
        <f>IFERROR(__xludf.DUMMYFUNCTION("""COMPUTED_VALUE"""),"3*Manju Ajay")</f>
        <v>3*Manju Ajay</v>
      </c>
      <c r="M1185" s="14">
        <f>IFERROR(__xludf.DUMMYFUNCTION("SPLIT(L1185,""*"")"),3.0)</f>
        <v>3</v>
      </c>
      <c r="N1185" s="14" t="str">
        <f>IFERROR(__xludf.DUMMYFUNCTION("""COMPUTED_VALUE"""),"Manju Ajay")</f>
        <v>Manju Ajay</v>
      </c>
      <c r="O1185" s="14" t="str">
        <f>IFERROR(__xludf.DUMMYFUNCTION("split(J1185,""*"")"),"Delivered")</f>
        <v>Delivered</v>
      </c>
      <c r="P1185" s="14" t="str">
        <f>IFERROR(__xludf.DUMMYFUNCTION("""COMPUTED_VALUE"""),"Satisfied with the Delivery: Timely and quality")</f>
        <v>Satisfied with the Delivery: Timely and quality</v>
      </c>
      <c r="Q1185" s="14" t="str">
        <f>IFERROR(__xludf.DUMMYFUNCTION("split(P1185,"":"")"),"Satisfied with the Delivery")</f>
        <v>Satisfied with the Delivery</v>
      </c>
      <c r="R1185" s="14" t="str">
        <f>IFERROR(__xludf.DUMMYFUNCTION("""COMPUTED_VALUE""")," Timely and quality")</f>
        <v> Timely and quality</v>
      </c>
      <c r="S1185" s="14" t="str">
        <f t="shared" ref="S1185:U1185" si="2373">trim(B1185)</f>
        <v>ord_41163</v>
      </c>
      <c r="T1185" s="14" t="str">
        <f t="shared" si="2373"/>
        <v>Dev Chauhan</v>
      </c>
      <c r="U1185" s="14" t="str">
        <f t="shared" si="2373"/>
        <v>Bandra</v>
      </c>
      <c r="V1185" s="14" t="str">
        <f t="shared" si="4"/>
        <v>Juice</v>
      </c>
      <c r="W1185" s="14">
        <f t="shared" si="5"/>
        <v>3</v>
      </c>
      <c r="X1185" s="14" t="str">
        <f t="shared" si="6"/>
        <v>Manju Ajay</v>
      </c>
      <c r="Y1185" s="15">
        <f t="shared" si="7"/>
        <v>44949</v>
      </c>
      <c r="Z1185" s="14" t="str">
        <f t="shared" si="8"/>
        <v>Credit Card</v>
      </c>
      <c r="AA1185" s="14" t="str">
        <f t="shared" si="9"/>
        <v>Delivered</v>
      </c>
      <c r="AB1185" s="14" t="str">
        <f t="shared" ref="AB1185:AC1185" si="2374">trim(Q1185)</f>
        <v>Satisfied with the Delivery</v>
      </c>
      <c r="AC1185" s="14" t="str">
        <f t="shared" si="2374"/>
        <v>Timely and quality</v>
      </c>
      <c r="AD1185" s="8"/>
    </row>
    <row r="1186">
      <c r="A1186" s="14" t="str">
        <f>IFERROR(__xludf.DUMMYFUNCTION("""COMPUTED_VALUE"""),"//ord_41164//Dev Chauhan//Bandra//Rasmalai+4*Vivek Kumar/4/27/2023//Credit Card//Delivered*Customer Service: Seamless and easy")</f>
        <v>//ord_41164//Dev Chauhan//Bandra//Rasmalai+4*Vivek Kumar/4/27/2023//Credit Card//Delivered*Customer Service: Seamless and easy</v>
      </c>
      <c r="B1186" s="14" t="str">
        <f>IFERROR(__xludf.DUMMYFUNCTION("split(A1186,""//"")"),"ord_41164")</f>
        <v>ord_41164</v>
      </c>
      <c r="C1186" s="14" t="str">
        <f>IFERROR(__xludf.DUMMYFUNCTION("""COMPUTED_VALUE"""),"Dev Chauhan")</f>
        <v>Dev Chauhan</v>
      </c>
      <c r="D1186" s="14" t="str">
        <f>IFERROR(__xludf.DUMMYFUNCTION("""COMPUTED_VALUE"""),"Bandra")</f>
        <v>Bandra</v>
      </c>
      <c r="E1186" s="14" t="str">
        <f>IFERROR(__xludf.DUMMYFUNCTION("""COMPUTED_VALUE"""),"Rasmalai+4*Vivek Kumar")</f>
        <v>Rasmalai+4*Vivek Kumar</v>
      </c>
      <c r="F1186" s="14">
        <f>IFERROR(__xludf.DUMMYFUNCTION("""COMPUTED_VALUE"""),4.0)</f>
        <v>4</v>
      </c>
      <c r="G1186" s="14">
        <f>IFERROR(__xludf.DUMMYFUNCTION("""COMPUTED_VALUE"""),27.0)</f>
        <v>27</v>
      </c>
      <c r="H1186" s="14">
        <f>IFERROR(__xludf.DUMMYFUNCTION("""COMPUTED_VALUE"""),2023.0)</f>
        <v>2023</v>
      </c>
      <c r="I1186" s="14" t="str">
        <f>IFERROR(__xludf.DUMMYFUNCTION("""COMPUTED_VALUE"""),"Credit Card")</f>
        <v>Credit Card</v>
      </c>
      <c r="J1186" s="14" t="str">
        <f>IFERROR(__xludf.DUMMYFUNCTION("""COMPUTED_VALUE"""),"Delivered*Customer Service: Seamless and easy")</f>
        <v>Delivered*Customer Service: Seamless and easy</v>
      </c>
      <c r="K1186" s="14" t="str">
        <f>IFERROR(__xludf.DUMMYFUNCTION("split(E1186,""+"")"),"Rasmalai")</f>
        <v>Rasmalai</v>
      </c>
      <c r="L1186" s="14" t="str">
        <f>IFERROR(__xludf.DUMMYFUNCTION("""COMPUTED_VALUE"""),"4*Vivek Kumar")</f>
        <v>4*Vivek Kumar</v>
      </c>
      <c r="M1186" s="14">
        <f>IFERROR(__xludf.DUMMYFUNCTION("SPLIT(L1186,""*"")"),4.0)</f>
        <v>4</v>
      </c>
      <c r="N1186" s="14" t="str">
        <f>IFERROR(__xludf.DUMMYFUNCTION("""COMPUTED_VALUE"""),"Vivek Kumar")</f>
        <v>Vivek Kumar</v>
      </c>
      <c r="O1186" s="14" t="str">
        <f>IFERROR(__xludf.DUMMYFUNCTION("split(J1186,""*"")"),"Delivered")</f>
        <v>Delivered</v>
      </c>
      <c r="P1186" s="14" t="str">
        <f>IFERROR(__xludf.DUMMYFUNCTION("""COMPUTED_VALUE"""),"Customer Service: Seamless and easy")</f>
        <v>Customer Service: Seamless and easy</v>
      </c>
      <c r="Q1186" s="14" t="str">
        <f>IFERROR(__xludf.DUMMYFUNCTION("split(P1186,"":"")"),"Customer Service")</f>
        <v>Customer Service</v>
      </c>
      <c r="R1186" s="14" t="str">
        <f>IFERROR(__xludf.DUMMYFUNCTION("""COMPUTED_VALUE""")," Seamless and easy")</f>
        <v> Seamless and easy</v>
      </c>
      <c r="S1186" s="14" t="str">
        <f t="shared" ref="S1186:U1186" si="2375">trim(B1186)</f>
        <v>ord_41164</v>
      </c>
      <c r="T1186" s="14" t="str">
        <f t="shared" si="2375"/>
        <v>Dev Chauhan</v>
      </c>
      <c r="U1186" s="14" t="str">
        <f t="shared" si="2375"/>
        <v>Bandra</v>
      </c>
      <c r="V1186" s="14" t="str">
        <f t="shared" si="4"/>
        <v>Rasmalai</v>
      </c>
      <c r="W1186" s="14">
        <f t="shared" si="5"/>
        <v>4</v>
      </c>
      <c r="X1186" s="14" t="str">
        <f t="shared" si="6"/>
        <v>Vivek Kumar</v>
      </c>
      <c r="Y1186" s="15">
        <f t="shared" si="7"/>
        <v>45043</v>
      </c>
      <c r="Z1186" s="14" t="str">
        <f t="shared" si="8"/>
        <v>Credit Card</v>
      </c>
      <c r="AA1186" s="14" t="str">
        <f t="shared" si="9"/>
        <v>Delivered</v>
      </c>
      <c r="AB1186" s="14" t="str">
        <f t="shared" ref="AB1186:AC1186" si="2376">trim(Q1186)</f>
        <v>Customer Service</v>
      </c>
      <c r="AC1186" s="14" t="str">
        <f t="shared" si="2376"/>
        <v>Seamless and easy</v>
      </c>
      <c r="AD1186" s="8"/>
    </row>
    <row r="1187">
      <c r="A1187" s="14" t="str">
        <f>IFERROR(__xludf.DUMMYFUNCTION("""COMPUTED_VALUE"""),"//ord_41165//Ishaan Chaturvedi//Bandra//Orange+1*Vivek Kumar/9/12/2023//UPI//Delivered*Delivery Experience: Quick and professional")</f>
        <v>//ord_41165//Ishaan Chaturvedi//Bandra//Orange+1*Vivek Kumar/9/12/2023//UPI//Delivered*Delivery Experience: Quick and professional</v>
      </c>
      <c r="B1187" s="14" t="str">
        <f>IFERROR(__xludf.DUMMYFUNCTION("split(A1187,""//"")"),"ord_41165")</f>
        <v>ord_41165</v>
      </c>
      <c r="C1187" s="14" t="str">
        <f>IFERROR(__xludf.DUMMYFUNCTION("""COMPUTED_VALUE"""),"Ishaan Chaturvedi")</f>
        <v>Ishaan Chaturvedi</v>
      </c>
      <c r="D1187" s="14" t="str">
        <f>IFERROR(__xludf.DUMMYFUNCTION("""COMPUTED_VALUE"""),"Bandra")</f>
        <v>Bandra</v>
      </c>
      <c r="E1187" s="14" t="str">
        <f>IFERROR(__xludf.DUMMYFUNCTION("""COMPUTED_VALUE"""),"Orange+1*Vivek Kumar")</f>
        <v>Orange+1*Vivek Kumar</v>
      </c>
      <c r="F1187" s="14">
        <f>IFERROR(__xludf.DUMMYFUNCTION("""COMPUTED_VALUE"""),9.0)</f>
        <v>9</v>
      </c>
      <c r="G1187" s="14">
        <f>IFERROR(__xludf.DUMMYFUNCTION("""COMPUTED_VALUE"""),12.0)</f>
        <v>12</v>
      </c>
      <c r="H1187" s="14">
        <f>IFERROR(__xludf.DUMMYFUNCTION("""COMPUTED_VALUE"""),2023.0)</f>
        <v>2023</v>
      </c>
      <c r="I1187" s="14" t="str">
        <f>IFERROR(__xludf.DUMMYFUNCTION("""COMPUTED_VALUE"""),"UPI")</f>
        <v>UPI</v>
      </c>
      <c r="J1187" s="14" t="str">
        <f>IFERROR(__xludf.DUMMYFUNCTION("""COMPUTED_VALUE"""),"Delivered*Delivery Experience: Quick and professional")</f>
        <v>Delivered*Delivery Experience: Quick and professional</v>
      </c>
      <c r="K1187" s="14" t="str">
        <f>IFERROR(__xludf.DUMMYFUNCTION("split(E1187,""+"")"),"Orange")</f>
        <v>Orange</v>
      </c>
      <c r="L1187" s="14" t="str">
        <f>IFERROR(__xludf.DUMMYFUNCTION("""COMPUTED_VALUE"""),"1*Vivek Kumar")</f>
        <v>1*Vivek Kumar</v>
      </c>
      <c r="M1187" s="14">
        <f>IFERROR(__xludf.DUMMYFUNCTION("SPLIT(L1187,""*"")"),1.0)</f>
        <v>1</v>
      </c>
      <c r="N1187" s="14" t="str">
        <f>IFERROR(__xludf.DUMMYFUNCTION("""COMPUTED_VALUE"""),"Vivek Kumar")</f>
        <v>Vivek Kumar</v>
      </c>
      <c r="O1187" s="14" t="str">
        <f>IFERROR(__xludf.DUMMYFUNCTION("split(J1187,""*"")"),"Delivered")</f>
        <v>Delivered</v>
      </c>
      <c r="P1187" s="14" t="str">
        <f>IFERROR(__xludf.DUMMYFUNCTION("""COMPUTED_VALUE"""),"Delivery Experience: Quick and professional")</f>
        <v>Delivery Experience: Quick and professional</v>
      </c>
      <c r="Q1187" s="14" t="str">
        <f>IFERROR(__xludf.DUMMYFUNCTION("split(P1187,"":"")"),"Delivery Experience")</f>
        <v>Delivery Experience</v>
      </c>
      <c r="R1187" s="14" t="str">
        <f>IFERROR(__xludf.DUMMYFUNCTION("""COMPUTED_VALUE""")," Quick and professional")</f>
        <v> Quick and professional</v>
      </c>
      <c r="S1187" s="14" t="str">
        <f t="shared" ref="S1187:U1187" si="2377">trim(B1187)</f>
        <v>ord_41165</v>
      </c>
      <c r="T1187" s="14" t="str">
        <f t="shared" si="2377"/>
        <v>Ishaan Chaturvedi</v>
      </c>
      <c r="U1187" s="14" t="str">
        <f t="shared" si="2377"/>
        <v>Bandra</v>
      </c>
      <c r="V1187" s="14" t="str">
        <f t="shared" si="4"/>
        <v>Orange</v>
      </c>
      <c r="W1187" s="14">
        <f t="shared" si="5"/>
        <v>1</v>
      </c>
      <c r="X1187" s="14" t="str">
        <f t="shared" si="6"/>
        <v>Vivek Kumar</v>
      </c>
      <c r="Y1187" s="15">
        <f t="shared" si="7"/>
        <v>45181</v>
      </c>
      <c r="Z1187" s="14" t="str">
        <f t="shared" si="8"/>
        <v>UPI</v>
      </c>
      <c r="AA1187" s="14" t="str">
        <f t="shared" si="9"/>
        <v>Delivered</v>
      </c>
      <c r="AB1187" s="14" t="str">
        <f t="shared" ref="AB1187:AC1187" si="2378">trim(Q1187)</f>
        <v>Delivery Experience</v>
      </c>
      <c r="AC1187" s="14" t="str">
        <f t="shared" si="2378"/>
        <v>Quick and professional</v>
      </c>
      <c r="AD1187" s="8"/>
    </row>
    <row r="1188">
      <c r="A1188" s="14" t="str">
        <f>IFERROR(__xludf.DUMMYFUNCTION("""COMPUTED_VALUE"""),"//ord_41166//Anaya Rao//Colaba//Chicken Puff+2*Vivek Kumar/2/16/2023//Credit Card//Delivered*Convenience: Easy tracking")</f>
        <v>//ord_41166//Anaya Rao//Colaba//Chicken Puff+2*Vivek Kumar/2/16/2023//Credit Card//Delivered*Convenience: Easy tracking</v>
      </c>
      <c r="B1188" s="14" t="str">
        <f>IFERROR(__xludf.DUMMYFUNCTION("split(A1188,""//"")"),"ord_41166")</f>
        <v>ord_41166</v>
      </c>
      <c r="C1188" s="14" t="str">
        <f>IFERROR(__xludf.DUMMYFUNCTION("""COMPUTED_VALUE"""),"Anaya Rao")</f>
        <v>Anaya Rao</v>
      </c>
      <c r="D1188" s="14" t="str">
        <f>IFERROR(__xludf.DUMMYFUNCTION("""COMPUTED_VALUE"""),"Colaba")</f>
        <v>Colaba</v>
      </c>
      <c r="E1188" s="14" t="str">
        <f>IFERROR(__xludf.DUMMYFUNCTION("""COMPUTED_VALUE"""),"Chicken Puff+2*Vivek Kumar")</f>
        <v>Chicken Puff+2*Vivek Kumar</v>
      </c>
      <c r="F1188" s="14">
        <f>IFERROR(__xludf.DUMMYFUNCTION("""COMPUTED_VALUE"""),2.0)</f>
        <v>2</v>
      </c>
      <c r="G1188" s="14">
        <f>IFERROR(__xludf.DUMMYFUNCTION("""COMPUTED_VALUE"""),16.0)</f>
        <v>16</v>
      </c>
      <c r="H1188" s="14">
        <f>IFERROR(__xludf.DUMMYFUNCTION("""COMPUTED_VALUE"""),2023.0)</f>
        <v>2023</v>
      </c>
      <c r="I1188" s="14" t="str">
        <f>IFERROR(__xludf.DUMMYFUNCTION("""COMPUTED_VALUE"""),"Credit Card")</f>
        <v>Credit Card</v>
      </c>
      <c r="J1188" s="14" t="str">
        <f>IFERROR(__xludf.DUMMYFUNCTION("""COMPUTED_VALUE"""),"Delivered*Convenience: Easy tracking")</f>
        <v>Delivered*Convenience: Easy tracking</v>
      </c>
      <c r="K1188" s="14" t="str">
        <f>IFERROR(__xludf.DUMMYFUNCTION("split(E1188,""+"")"),"Chicken Puff")</f>
        <v>Chicken Puff</v>
      </c>
      <c r="L1188" s="14" t="str">
        <f>IFERROR(__xludf.DUMMYFUNCTION("""COMPUTED_VALUE"""),"2*Vivek Kumar")</f>
        <v>2*Vivek Kumar</v>
      </c>
      <c r="M1188" s="14">
        <f>IFERROR(__xludf.DUMMYFUNCTION("SPLIT(L1188,""*"")"),2.0)</f>
        <v>2</v>
      </c>
      <c r="N1188" s="14" t="str">
        <f>IFERROR(__xludf.DUMMYFUNCTION("""COMPUTED_VALUE"""),"Vivek Kumar")</f>
        <v>Vivek Kumar</v>
      </c>
      <c r="O1188" s="14" t="str">
        <f>IFERROR(__xludf.DUMMYFUNCTION("split(J1188,""*"")"),"Delivered")</f>
        <v>Delivered</v>
      </c>
      <c r="P1188" s="14" t="str">
        <f>IFERROR(__xludf.DUMMYFUNCTION("""COMPUTED_VALUE"""),"Convenience: Easy tracking")</f>
        <v>Convenience: Easy tracking</v>
      </c>
      <c r="Q1188" s="14" t="str">
        <f>IFERROR(__xludf.DUMMYFUNCTION("split(P1188,"":"")"),"Convenience")</f>
        <v>Convenience</v>
      </c>
      <c r="R1188" s="14" t="str">
        <f>IFERROR(__xludf.DUMMYFUNCTION("""COMPUTED_VALUE""")," Easy tracking")</f>
        <v> Easy tracking</v>
      </c>
      <c r="S1188" s="14" t="str">
        <f t="shared" ref="S1188:U1188" si="2379">trim(B1188)</f>
        <v>ord_41166</v>
      </c>
      <c r="T1188" s="14" t="str">
        <f t="shared" si="2379"/>
        <v>Anaya Rao</v>
      </c>
      <c r="U1188" s="14" t="str">
        <f t="shared" si="2379"/>
        <v>Colaba</v>
      </c>
      <c r="V1188" s="14" t="str">
        <f t="shared" si="4"/>
        <v>Chicken Puff</v>
      </c>
      <c r="W1188" s="14">
        <f t="shared" si="5"/>
        <v>2</v>
      </c>
      <c r="X1188" s="14" t="str">
        <f t="shared" si="6"/>
        <v>Vivek Kumar</v>
      </c>
      <c r="Y1188" s="15">
        <f t="shared" si="7"/>
        <v>44973</v>
      </c>
      <c r="Z1188" s="14" t="str">
        <f t="shared" si="8"/>
        <v>Credit Card</v>
      </c>
      <c r="AA1188" s="14" t="str">
        <f t="shared" si="9"/>
        <v>Delivered</v>
      </c>
      <c r="AB1188" s="14" t="str">
        <f t="shared" ref="AB1188:AC1188" si="2380">trim(Q1188)</f>
        <v>Convenience</v>
      </c>
      <c r="AC1188" s="14" t="str">
        <f t="shared" si="2380"/>
        <v>Easy tracking</v>
      </c>
      <c r="AD1188" s="8"/>
    </row>
    <row r="1189">
      <c r="A1189" s="14" t="str">
        <f>IFERROR(__xludf.DUMMYFUNCTION("""COMPUTED_VALUE"""),"//ord_41167//Parth Goel//Juhu//Chicken Puff+4*Nithin Lal/9/1/2023//Online Payment//Delivered*Overall Satisfaction: Great service will order again")</f>
        <v>//ord_41167//Parth Goel//Juhu//Chicken Puff+4*Nithin Lal/9/1/2023//Online Payment//Delivered*Overall Satisfaction: Great service will order again</v>
      </c>
      <c r="B1189" s="14" t="str">
        <f>IFERROR(__xludf.DUMMYFUNCTION("split(A1189,""//"")"),"ord_41167")</f>
        <v>ord_41167</v>
      </c>
      <c r="C1189" s="14" t="str">
        <f>IFERROR(__xludf.DUMMYFUNCTION("""COMPUTED_VALUE"""),"Parth Goel")</f>
        <v>Parth Goel</v>
      </c>
      <c r="D1189" s="14" t="str">
        <f>IFERROR(__xludf.DUMMYFUNCTION("""COMPUTED_VALUE"""),"Juhu")</f>
        <v>Juhu</v>
      </c>
      <c r="E1189" s="14" t="str">
        <f>IFERROR(__xludf.DUMMYFUNCTION("""COMPUTED_VALUE"""),"Chicken Puff+4*Nithin Lal")</f>
        <v>Chicken Puff+4*Nithin Lal</v>
      </c>
      <c r="F1189" s="14">
        <f>IFERROR(__xludf.DUMMYFUNCTION("""COMPUTED_VALUE"""),9.0)</f>
        <v>9</v>
      </c>
      <c r="G1189" s="14">
        <f>IFERROR(__xludf.DUMMYFUNCTION("""COMPUTED_VALUE"""),1.0)</f>
        <v>1</v>
      </c>
      <c r="H1189" s="14">
        <f>IFERROR(__xludf.DUMMYFUNCTION("""COMPUTED_VALUE"""),2023.0)</f>
        <v>2023</v>
      </c>
      <c r="I1189" s="14" t="str">
        <f>IFERROR(__xludf.DUMMYFUNCTION("""COMPUTED_VALUE"""),"Online Payment")</f>
        <v>Online Payment</v>
      </c>
      <c r="J1189" s="14" t="str">
        <f>IFERROR(__xludf.DUMMYFUNCTION("""COMPUTED_VALUE"""),"Delivered*Overall Satisfaction: Great service will order again")</f>
        <v>Delivered*Overall Satisfaction: Great service will order again</v>
      </c>
      <c r="K1189" s="14" t="str">
        <f>IFERROR(__xludf.DUMMYFUNCTION("split(E1189,""+"")"),"Chicken Puff")</f>
        <v>Chicken Puff</v>
      </c>
      <c r="L1189" s="14" t="str">
        <f>IFERROR(__xludf.DUMMYFUNCTION("""COMPUTED_VALUE"""),"4*Nithin Lal")</f>
        <v>4*Nithin Lal</v>
      </c>
      <c r="M1189" s="14">
        <f>IFERROR(__xludf.DUMMYFUNCTION("SPLIT(L1189,""*"")"),4.0)</f>
        <v>4</v>
      </c>
      <c r="N1189" s="14" t="str">
        <f>IFERROR(__xludf.DUMMYFUNCTION("""COMPUTED_VALUE"""),"Nithin Lal")</f>
        <v>Nithin Lal</v>
      </c>
      <c r="O1189" s="14" t="str">
        <f>IFERROR(__xludf.DUMMYFUNCTION("split(J1189,""*"")"),"Delivered")</f>
        <v>Delivered</v>
      </c>
      <c r="P1189" s="14" t="str">
        <f>IFERROR(__xludf.DUMMYFUNCTION("""COMPUTED_VALUE"""),"Overall Satisfaction: Great service will order again")</f>
        <v>Overall Satisfaction: Great service will order again</v>
      </c>
      <c r="Q1189" s="14" t="str">
        <f>IFERROR(__xludf.DUMMYFUNCTION("split(P1189,"":"")"),"Overall Satisfaction")</f>
        <v>Overall Satisfaction</v>
      </c>
      <c r="R1189" s="14" t="str">
        <f>IFERROR(__xludf.DUMMYFUNCTION("""COMPUTED_VALUE""")," Great service will order again")</f>
        <v> Great service will order again</v>
      </c>
      <c r="S1189" s="14" t="str">
        <f t="shared" ref="S1189:U1189" si="2381">trim(B1189)</f>
        <v>ord_41167</v>
      </c>
      <c r="T1189" s="14" t="str">
        <f t="shared" si="2381"/>
        <v>Parth Goel</v>
      </c>
      <c r="U1189" s="14" t="str">
        <f t="shared" si="2381"/>
        <v>Juhu</v>
      </c>
      <c r="V1189" s="14" t="str">
        <f t="shared" si="4"/>
        <v>Chicken Puff</v>
      </c>
      <c r="W1189" s="14">
        <f t="shared" si="5"/>
        <v>4</v>
      </c>
      <c r="X1189" s="14" t="str">
        <f t="shared" si="6"/>
        <v>Nithin Lal</v>
      </c>
      <c r="Y1189" s="15">
        <f t="shared" si="7"/>
        <v>45170</v>
      </c>
      <c r="Z1189" s="14" t="str">
        <f t="shared" si="8"/>
        <v>Online Payment</v>
      </c>
      <c r="AA1189" s="14" t="str">
        <f t="shared" si="9"/>
        <v>Delivered</v>
      </c>
      <c r="AB1189" s="14" t="str">
        <f t="shared" ref="AB1189:AC1189" si="2382">trim(Q1189)</f>
        <v>Overall Satisfaction</v>
      </c>
      <c r="AC1189" s="14" t="str">
        <f t="shared" si="2382"/>
        <v>Great service will order again</v>
      </c>
      <c r="AD1189" s="8"/>
    </row>
    <row r="1190">
      <c r="A1190" s="14" t="str">
        <f>IFERROR(__xludf.DUMMYFUNCTION("""COMPUTED_VALUE"""),"//ord_41168//Diya Arora//Lower Parel//Cucumber+2*Ramesh S/4/30/2023//Online Payment//Delivered*On-time Delivery: Delivered on time")</f>
        <v>//ord_41168//Diya Arora//Lower Parel//Cucumber+2*Ramesh S/4/30/2023//Online Payment//Delivered*On-time Delivery: Delivered on time</v>
      </c>
      <c r="B1190" s="14" t="str">
        <f>IFERROR(__xludf.DUMMYFUNCTION("split(A1190,""//"")"),"ord_41168")</f>
        <v>ord_41168</v>
      </c>
      <c r="C1190" s="14" t="str">
        <f>IFERROR(__xludf.DUMMYFUNCTION("""COMPUTED_VALUE"""),"Diya Arora")</f>
        <v>Diya Arora</v>
      </c>
      <c r="D1190" s="14" t="str">
        <f>IFERROR(__xludf.DUMMYFUNCTION("""COMPUTED_VALUE"""),"Lower Parel")</f>
        <v>Lower Parel</v>
      </c>
      <c r="E1190" s="14" t="str">
        <f>IFERROR(__xludf.DUMMYFUNCTION("""COMPUTED_VALUE"""),"Cucumber+2*Ramesh S")</f>
        <v>Cucumber+2*Ramesh S</v>
      </c>
      <c r="F1190" s="14">
        <f>IFERROR(__xludf.DUMMYFUNCTION("""COMPUTED_VALUE"""),4.0)</f>
        <v>4</v>
      </c>
      <c r="G1190" s="14">
        <f>IFERROR(__xludf.DUMMYFUNCTION("""COMPUTED_VALUE"""),30.0)</f>
        <v>30</v>
      </c>
      <c r="H1190" s="14">
        <f>IFERROR(__xludf.DUMMYFUNCTION("""COMPUTED_VALUE"""),2023.0)</f>
        <v>2023</v>
      </c>
      <c r="I1190" s="14" t="str">
        <f>IFERROR(__xludf.DUMMYFUNCTION("""COMPUTED_VALUE"""),"Online Payment")</f>
        <v>Online Payment</v>
      </c>
      <c r="J1190" s="14" t="str">
        <f>IFERROR(__xludf.DUMMYFUNCTION("""COMPUTED_VALUE"""),"Delivered*On-time Delivery: Delivered on time")</f>
        <v>Delivered*On-time Delivery: Delivered on time</v>
      </c>
      <c r="K1190" s="14" t="str">
        <f>IFERROR(__xludf.DUMMYFUNCTION("split(E1190,""+"")"),"Cucumber")</f>
        <v>Cucumber</v>
      </c>
      <c r="L1190" s="14" t="str">
        <f>IFERROR(__xludf.DUMMYFUNCTION("""COMPUTED_VALUE"""),"2*Ramesh S")</f>
        <v>2*Ramesh S</v>
      </c>
      <c r="M1190" s="14">
        <f>IFERROR(__xludf.DUMMYFUNCTION("SPLIT(L1190,""*"")"),2.0)</f>
        <v>2</v>
      </c>
      <c r="N1190" s="14" t="str">
        <f>IFERROR(__xludf.DUMMYFUNCTION("""COMPUTED_VALUE"""),"Ramesh S")</f>
        <v>Ramesh S</v>
      </c>
      <c r="O1190" s="14" t="str">
        <f>IFERROR(__xludf.DUMMYFUNCTION("split(J1190,""*"")"),"Delivered")</f>
        <v>Delivered</v>
      </c>
      <c r="P1190" s="14" t="str">
        <f>IFERROR(__xludf.DUMMYFUNCTION("""COMPUTED_VALUE"""),"On-time Delivery: Delivered on time")</f>
        <v>On-time Delivery: Delivered on time</v>
      </c>
      <c r="Q1190" s="14" t="str">
        <f>IFERROR(__xludf.DUMMYFUNCTION("split(P1190,"":"")"),"On-time Delivery")</f>
        <v>On-time Delivery</v>
      </c>
      <c r="R1190" s="14" t="str">
        <f>IFERROR(__xludf.DUMMYFUNCTION("""COMPUTED_VALUE""")," Delivered on time")</f>
        <v> Delivered on time</v>
      </c>
      <c r="S1190" s="14" t="str">
        <f t="shared" ref="S1190:U1190" si="2383">trim(B1190)</f>
        <v>ord_41168</v>
      </c>
      <c r="T1190" s="14" t="str">
        <f t="shared" si="2383"/>
        <v>Diya Arora</v>
      </c>
      <c r="U1190" s="14" t="str">
        <f t="shared" si="2383"/>
        <v>Lower Parel</v>
      </c>
      <c r="V1190" s="14" t="str">
        <f t="shared" si="4"/>
        <v>Cucumber</v>
      </c>
      <c r="W1190" s="14">
        <f t="shared" si="5"/>
        <v>2</v>
      </c>
      <c r="X1190" s="14" t="str">
        <f t="shared" si="6"/>
        <v>Ramesh S</v>
      </c>
      <c r="Y1190" s="15">
        <f t="shared" si="7"/>
        <v>45046</v>
      </c>
      <c r="Z1190" s="14" t="str">
        <f t="shared" si="8"/>
        <v>Online Payment</v>
      </c>
      <c r="AA1190" s="14" t="str">
        <f t="shared" si="9"/>
        <v>Delivered</v>
      </c>
      <c r="AB1190" s="14" t="str">
        <f t="shared" ref="AB1190:AC1190" si="2384">trim(Q1190)</f>
        <v>On-time Delivery</v>
      </c>
      <c r="AC1190" s="14" t="str">
        <f t="shared" si="2384"/>
        <v>Delivered on time</v>
      </c>
      <c r="AD1190" s="8"/>
    </row>
    <row r="1191">
      <c r="A1191" s="14" t="str">
        <f>IFERROR(__xludf.DUMMYFUNCTION("""COMPUTED_VALUE"""),"//ord_41169//Pranav Joshi//Andheri//Papaya+2*Ram Gopal/5/6/2023//UPI//Delivered*Quality of Items: Perfect condition")</f>
        <v>//ord_41169//Pranav Joshi//Andheri//Papaya+2*Ram Gopal/5/6/2023//UPI//Delivered*Quality of Items: Perfect condition</v>
      </c>
      <c r="B1191" s="14" t="str">
        <f>IFERROR(__xludf.DUMMYFUNCTION("split(A1191,""//"")"),"ord_41169")</f>
        <v>ord_41169</v>
      </c>
      <c r="C1191" s="14" t="str">
        <f>IFERROR(__xludf.DUMMYFUNCTION("""COMPUTED_VALUE"""),"Pranav Joshi")</f>
        <v>Pranav Joshi</v>
      </c>
      <c r="D1191" s="14" t="str">
        <f>IFERROR(__xludf.DUMMYFUNCTION("""COMPUTED_VALUE"""),"Andheri")</f>
        <v>Andheri</v>
      </c>
      <c r="E1191" s="14" t="str">
        <f>IFERROR(__xludf.DUMMYFUNCTION("""COMPUTED_VALUE"""),"Papaya+2*Ram Gopal")</f>
        <v>Papaya+2*Ram Gopal</v>
      </c>
      <c r="F1191" s="14">
        <f>IFERROR(__xludf.DUMMYFUNCTION("""COMPUTED_VALUE"""),5.0)</f>
        <v>5</v>
      </c>
      <c r="G1191" s="14">
        <f>IFERROR(__xludf.DUMMYFUNCTION("""COMPUTED_VALUE"""),6.0)</f>
        <v>6</v>
      </c>
      <c r="H1191" s="14">
        <f>IFERROR(__xludf.DUMMYFUNCTION("""COMPUTED_VALUE"""),2023.0)</f>
        <v>2023</v>
      </c>
      <c r="I1191" s="14" t="str">
        <f>IFERROR(__xludf.DUMMYFUNCTION("""COMPUTED_VALUE"""),"UPI")</f>
        <v>UPI</v>
      </c>
      <c r="J1191" s="14" t="str">
        <f>IFERROR(__xludf.DUMMYFUNCTION("""COMPUTED_VALUE"""),"Delivered*Quality of Items: Perfect condition")</f>
        <v>Delivered*Quality of Items: Perfect condition</v>
      </c>
      <c r="K1191" s="14" t="str">
        <f>IFERROR(__xludf.DUMMYFUNCTION("split(E1191,""+"")"),"Papaya")</f>
        <v>Papaya</v>
      </c>
      <c r="L1191" s="14" t="str">
        <f>IFERROR(__xludf.DUMMYFUNCTION("""COMPUTED_VALUE"""),"2*Ram Gopal")</f>
        <v>2*Ram Gopal</v>
      </c>
      <c r="M1191" s="14">
        <f>IFERROR(__xludf.DUMMYFUNCTION("SPLIT(L1191,""*"")"),2.0)</f>
        <v>2</v>
      </c>
      <c r="N1191" s="14" t="str">
        <f>IFERROR(__xludf.DUMMYFUNCTION("""COMPUTED_VALUE"""),"Ram Gopal")</f>
        <v>Ram Gopal</v>
      </c>
      <c r="O1191" s="14" t="str">
        <f>IFERROR(__xludf.DUMMYFUNCTION("split(J1191,""*"")"),"Delivered")</f>
        <v>Delivered</v>
      </c>
      <c r="P1191" s="14" t="str">
        <f>IFERROR(__xludf.DUMMYFUNCTION("""COMPUTED_VALUE"""),"Quality of Items: Perfect condition")</f>
        <v>Quality of Items: Perfect condition</v>
      </c>
      <c r="Q1191" s="14" t="str">
        <f>IFERROR(__xludf.DUMMYFUNCTION("split(P1191,"":"")"),"Quality of Items")</f>
        <v>Quality of Items</v>
      </c>
      <c r="R1191" s="14" t="str">
        <f>IFERROR(__xludf.DUMMYFUNCTION("""COMPUTED_VALUE""")," Perfect condition")</f>
        <v> Perfect condition</v>
      </c>
      <c r="S1191" s="14" t="str">
        <f t="shared" ref="S1191:U1191" si="2385">trim(B1191)</f>
        <v>ord_41169</v>
      </c>
      <c r="T1191" s="14" t="str">
        <f t="shared" si="2385"/>
        <v>Pranav Joshi</v>
      </c>
      <c r="U1191" s="14" t="str">
        <f t="shared" si="2385"/>
        <v>Andheri</v>
      </c>
      <c r="V1191" s="14" t="str">
        <f t="shared" si="4"/>
        <v>Papaya</v>
      </c>
      <c r="W1191" s="14">
        <f t="shared" si="5"/>
        <v>2</v>
      </c>
      <c r="X1191" s="14" t="str">
        <f t="shared" si="6"/>
        <v>Ram Gopal</v>
      </c>
      <c r="Y1191" s="15">
        <f t="shared" si="7"/>
        <v>45052</v>
      </c>
      <c r="Z1191" s="14" t="str">
        <f t="shared" si="8"/>
        <v>UPI</v>
      </c>
      <c r="AA1191" s="14" t="str">
        <f t="shared" si="9"/>
        <v>Delivered</v>
      </c>
      <c r="AB1191" s="14" t="str">
        <f t="shared" ref="AB1191:AC1191" si="2386">trim(Q1191)</f>
        <v>Quality of Items</v>
      </c>
      <c r="AC1191" s="14" t="str">
        <f t="shared" si="2386"/>
        <v>Perfect condition</v>
      </c>
      <c r="AD1191" s="8"/>
    </row>
    <row r="1192">
      <c r="A1192" s="14" t="str">
        <f>IFERROR(__xludf.DUMMYFUNCTION("""COMPUTED_VALUE"""),"//ord_41170//Parth Goel//Juhu//Sweet Corn+1*Sita T/8/17/2023//Credit Card//Delivered*On-time Delivery: Delivered on time")</f>
        <v>//ord_41170//Parth Goel//Juhu//Sweet Corn+1*Sita T/8/17/2023//Credit Card//Delivered*On-time Delivery: Delivered on time</v>
      </c>
      <c r="B1192" s="14" t="str">
        <f>IFERROR(__xludf.DUMMYFUNCTION("split(A1192,""//"")"),"ord_41170")</f>
        <v>ord_41170</v>
      </c>
      <c r="C1192" s="14" t="str">
        <f>IFERROR(__xludf.DUMMYFUNCTION("""COMPUTED_VALUE"""),"Parth Goel")</f>
        <v>Parth Goel</v>
      </c>
      <c r="D1192" s="14" t="str">
        <f>IFERROR(__xludf.DUMMYFUNCTION("""COMPUTED_VALUE"""),"Juhu")</f>
        <v>Juhu</v>
      </c>
      <c r="E1192" s="14" t="str">
        <f>IFERROR(__xludf.DUMMYFUNCTION("""COMPUTED_VALUE"""),"Sweet Corn+1*Sita T")</f>
        <v>Sweet Corn+1*Sita T</v>
      </c>
      <c r="F1192" s="14">
        <f>IFERROR(__xludf.DUMMYFUNCTION("""COMPUTED_VALUE"""),8.0)</f>
        <v>8</v>
      </c>
      <c r="G1192" s="14">
        <f>IFERROR(__xludf.DUMMYFUNCTION("""COMPUTED_VALUE"""),17.0)</f>
        <v>17</v>
      </c>
      <c r="H1192" s="14">
        <f>IFERROR(__xludf.DUMMYFUNCTION("""COMPUTED_VALUE"""),2023.0)</f>
        <v>2023</v>
      </c>
      <c r="I1192" s="14" t="str">
        <f>IFERROR(__xludf.DUMMYFUNCTION("""COMPUTED_VALUE"""),"Credit Card")</f>
        <v>Credit Card</v>
      </c>
      <c r="J1192" s="14" t="str">
        <f>IFERROR(__xludf.DUMMYFUNCTION("""COMPUTED_VALUE"""),"Delivered*On-time Delivery: Delivered on time")</f>
        <v>Delivered*On-time Delivery: Delivered on time</v>
      </c>
      <c r="K1192" s="14" t="str">
        <f>IFERROR(__xludf.DUMMYFUNCTION("split(E1192,""+"")"),"Sweet Corn")</f>
        <v>Sweet Corn</v>
      </c>
      <c r="L1192" s="14" t="str">
        <f>IFERROR(__xludf.DUMMYFUNCTION("""COMPUTED_VALUE"""),"1*Sita T")</f>
        <v>1*Sita T</v>
      </c>
      <c r="M1192" s="14">
        <f>IFERROR(__xludf.DUMMYFUNCTION("SPLIT(L1192,""*"")"),1.0)</f>
        <v>1</v>
      </c>
      <c r="N1192" s="14" t="str">
        <f>IFERROR(__xludf.DUMMYFUNCTION("""COMPUTED_VALUE"""),"Sita T")</f>
        <v>Sita T</v>
      </c>
      <c r="O1192" s="14" t="str">
        <f>IFERROR(__xludf.DUMMYFUNCTION("split(J1192,""*"")"),"Delivered")</f>
        <v>Delivered</v>
      </c>
      <c r="P1192" s="14" t="str">
        <f>IFERROR(__xludf.DUMMYFUNCTION("""COMPUTED_VALUE"""),"On-time Delivery: Delivered on time")</f>
        <v>On-time Delivery: Delivered on time</v>
      </c>
      <c r="Q1192" s="14" t="str">
        <f>IFERROR(__xludf.DUMMYFUNCTION("split(P1192,"":"")"),"On-time Delivery")</f>
        <v>On-time Delivery</v>
      </c>
      <c r="R1192" s="14" t="str">
        <f>IFERROR(__xludf.DUMMYFUNCTION("""COMPUTED_VALUE""")," Delivered on time")</f>
        <v> Delivered on time</v>
      </c>
      <c r="S1192" s="14" t="str">
        <f t="shared" ref="S1192:U1192" si="2387">trim(B1192)</f>
        <v>ord_41170</v>
      </c>
      <c r="T1192" s="14" t="str">
        <f t="shared" si="2387"/>
        <v>Parth Goel</v>
      </c>
      <c r="U1192" s="14" t="str">
        <f t="shared" si="2387"/>
        <v>Juhu</v>
      </c>
      <c r="V1192" s="14" t="str">
        <f t="shared" si="4"/>
        <v>Sweet Corn</v>
      </c>
      <c r="W1192" s="14">
        <f t="shared" si="5"/>
        <v>1</v>
      </c>
      <c r="X1192" s="14" t="str">
        <f t="shared" si="6"/>
        <v>Sita T</v>
      </c>
      <c r="Y1192" s="15">
        <f t="shared" si="7"/>
        <v>45155</v>
      </c>
      <c r="Z1192" s="14" t="str">
        <f t="shared" si="8"/>
        <v>Credit Card</v>
      </c>
      <c r="AA1192" s="14" t="str">
        <f t="shared" si="9"/>
        <v>Delivered</v>
      </c>
      <c r="AB1192" s="14" t="str">
        <f t="shared" ref="AB1192:AC1192" si="2388">trim(Q1192)</f>
        <v>On-time Delivery</v>
      </c>
      <c r="AC1192" s="14" t="str">
        <f t="shared" si="2388"/>
        <v>Delivered on time</v>
      </c>
      <c r="AD1192" s="8"/>
    </row>
    <row r="1193">
      <c r="A1193" s="14" t="str">
        <f>IFERROR(__xludf.DUMMYFUNCTION("""COMPUTED_VALUE"""),"//ord_41171//Dev Chauhan//Bandra//Papaya+1*Ramesh S/9/18/2023//Online Payment//Delivered*Quality of Items: Perfect condition")</f>
        <v>//ord_41171//Dev Chauhan//Bandra//Papaya+1*Ramesh S/9/18/2023//Online Payment//Delivered*Quality of Items: Perfect condition</v>
      </c>
      <c r="B1193" s="14" t="str">
        <f>IFERROR(__xludf.DUMMYFUNCTION("split(A1193,""//"")"),"ord_41171")</f>
        <v>ord_41171</v>
      </c>
      <c r="C1193" s="14" t="str">
        <f>IFERROR(__xludf.DUMMYFUNCTION("""COMPUTED_VALUE"""),"Dev Chauhan")</f>
        <v>Dev Chauhan</v>
      </c>
      <c r="D1193" s="14" t="str">
        <f>IFERROR(__xludf.DUMMYFUNCTION("""COMPUTED_VALUE"""),"Bandra")</f>
        <v>Bandra</v>
      </c>
      <c r="E1193" s="14" t="str">
        <f>IFERROR(__xludf.DUMMYFUNCTION("""COMPUTED_VALUE"""),"Papaya+1*Ramesh S")</f>
        <v>Papaya+1*Ramesh S</v>
      </c>
      <c r="F1193" s="14">
        <f>IFERROR(__xludf.DUMMYFUNCTION("""COMPUTED_VALUE"""),9.0)</f>
        <v>9</v>
      </c>
      <c r="G1193" s="14">
        <f>IFERROR(__xludf.DUMMYFUNCTION("""COMPUTED_VALUE"""),18.0)</f>
        <v>18</v>
      </c>
      <c r="H1193" s="14">
        <f>IFERROR(__xludf.DUMMYFUNCTION("""COMPUTED_VALUE"""),2023.0)</f>
        <v>2023</v>
      </c>
      <c r="I1193" s="14" t="str">
        <f>IFERROR(__xludf.DUMMYFUNCTION("""COMPUTED_VALUE"""),"Online Payment")</f>
        <v>Online Payment</v>
      </c>
      <c r="J1193" s="14" t="str">
        <f>IFERROR(__xludf.DUMMYFUNCTION("""COMPUTED_VALUE"""),"Delivered*Quality of Items: Perfect condition")</f>
        <v>Delivered*Quality of Items: Perfect condition</v>
      </c>
      <c r="K1193" s="14" t="str">
        <f>IFERROR(__xludf.DUMMYFUNCTION("split(E1193,""+"")"),"Papaya")</f>
        <v>Papaya</v>
      </c>
      <c r="L1193" s="14" t="str">
        <f>IFERROR(__xludf.DUMMYFUNCTION("""COMPUTED_VALUE"""),"1*Ramesh S")</f>
        <v>1*Ramesh S</v>
      </c>
      <c r="M1193" s="14">
        <f>IFERROR(__xludf.DUMMYFUNCTION("SPLIT(L1193,""*"")"),1.0)</f>
        <v>1</v>
      </c>
      <c r="N1193" s="14" t="str">
        <f>IFERROR(__xludf.DUMMYFUNCTION("""COMPUTED_VALUE"""),"Ramesh S")</f>
        <v>Ramesh S</v>
      </c>
      <c r="O1193" s="14" t="str">
        <f>IFERROR(__xludf.DUMMYFUNCTION("split(J1193,""*"")"),"Delivered")</f>
        <v>Delivered</v>
      </c>
      <c r="P1193" s="14" t="str">
        <f>IFERROR(__xludf.DUMMYFUNCTION("""COMPUTED_VALUE"""),"Quality of Items: Perfect condition")</f>
        <v>Quality of Items: Perfect condition</v>
      </c>
      <c r="Q1193" s="14" t="str">
        <f>IFERROR(__xludf.DUMMYFUNCTION("split(P1193,"":"")"),"Quality of Items")</f>
        <v>Quality of Items</v>
      </c>
      <c r="R1193" s="14" t="str">
        <f>IFERROR(__xludf.DUMMYFUNCTION("""COMPUTED_VALUE""")," Perfect condition")</f>
        <v> Perfect condition</v>
      </c>
      <c r="S1193" s="14" t="str">
        <f t="shared" ref="S1193:U1193" si="2389">trim(B1193)</f>
        <v>ord_41171</v>
      </c>
      <c r="T1193" s="14" t="str">
        <f t="shared" si="2389"/>
        <v>Dev Chauhan</v>
      </c>
      <c r="U1193" s="14" t="str">
        <f t="shared" si="2389"/>
        <v>Bandra</v>
      </c>
      <c r="V1193" s="14" t="str">
        <f t="shared" si="4"/>
        <v>Papaya</v>
      </c>
      <c r="W1193" s="14">
        <f t="shared" si="5"/>
        <v>1</v>
      </c>
      <c r="X1193" s="14" t="str">
        <f t="shared" si="6"/>
        <v>Ramesh S</v>
      </c>
      <c r="Y1193" s="15">
        <f t="shared" si="7"/>
        <v>45187</v>
      </c>
      <c r="Z1193" s="14" t="str">
        <f t="shared" si="8"/>
        <v>Online Payment</v>
      </c>
      <c r="AA1193" s="14" t="str">
        <f t="shared" si="9"/>
        <v>Delivered</v>
      </c>
      <c r="AB1193" s="14" t="str">
        <f t="shared" ref="AB1193:AC1193" si="2390">trim(Q1193)</f>
        <v>Quality of Items</v>
      </c>
      <c r="AC1193" s="14" t="str">
        <f t="shared" si="2390"/>
        <v>Perfect condition</v>
      </c>
      <c r="AD1193" s="8"/>
    </row>
    <row r="1194">
      <c r="A1194" s="14" t="str">
        <f>IFERROR(__xludf.DUMMYFUNCTION("""COMPUTED_VALUE"""),"//ord_41172//Mehul Thakkar//Malad//Tiramisu+3*Vivek Kumar/8/30/2023//COD//Delivered*Packaging: Secure and intact")</f>
        <v>//ord_41172//Mehul Thakkar//Malad//Tiramisu+3*Vivek Kumar/8/30/2023//COD//Delivered*Packaging: Secure and intact</v>
      </c>
      <c r="B1194" s="14" t="str">
        <f>IFERROR(__xludf.DUMMYFUNCTION("split(A1194,""//"")"),"ord_41172")</f>
        <v>ord_41172</v>
      </c>
      <c r="C1194" s="14" t="str">
        <f>IFERROR(__xludf.DUMMYFUNCTION("""COMPUTED_VALUE"""),"Mehul Thakkar")</f>
        <v>Mehul Thakkar</v>
      </c>
      <c r="D1194" s="14" t="str">
        <f>IFERROR(__xludf.DUMMYFUNCTION("""COMPUTED_VALUE"""),"Malad")</f>
        <v>Malad</v>
      </c>
      <c r="E1194" s="14" t="str">
        <f>IFERROR(__xludf.DUMMYFUNCTION("""COMPUTED_VALUE"""),"Tiramisu+3*Vivek Kumar")</f>
        <v>Tiramisu+3*Vivek Kumar</v>
      </c>
      <c r="F1194" s="14">
        <f>IFERROR(__xludf.DUMMYFUNCTION("""COMPUTED_VALUE"""),8.0)</f>
        <v>8</v>
      </c>
      <c r="G1194" s="14">
        <f>IFERROR(__xludf.DUMMYFUNCTION("""COMPUTED_VALUE"""),30.0)</f>
        <v>30</v>
      </c>
      <c r="H1194" s="14">
        <f>IFERROR(__xludf.DUMMYFUNCTION("""COMPUTED_VALUE"""),2023.0)</f>
        <v>2023</v>
      </c>
      <c r="I1194" s="14" t="str">
        <f>IFERROR(__xludf.DUMMYFUNCTION("""COMPUTED_VALUE"""),"COD")</f>
        <v>COD</v>
      </c>
      <c r="J1194" s="14" t="str">
        <f>IFERROR(__xludf.DUMMYFUNCTION("""COMPUTED_VALUE"""),"Delivered*Packaging: Secure and intact")</f>
        <v>Delivered*Packaging: Secure and intact</v>
      </c>
      <c r="K1194" s="14" t="str">
        <f>IFERROR(__xludf.DUMMYFUNCTION("split(E1194,""+"")"),"Tiramisu")</f>
        <v>Tiramisu</v>
      </c>
      <c r="L1194" s="14" t="str">
        <f>IFERROR(__xludf.DUMMYFUNCTION("""COMPUTED_VALUE"""),"3*Vivek Kumar")</f>
        <v>3*Vivek Kumar</v>
      </c>
      <c r="M1194" s="14">
        <f>IFERROR(__xludf.DUMMYFUNCTION("SPLIT(L1194,""*"")"),3.0)</f>
        <v>3</v>
      </c>
      <c r="N1194" s="14" t="str">
        <f>IFERROR(__xludf.DUMMYFUNCTION("""COMPUTED_VALUE"""),"Vivek Kumar")</f>
        <v>Vivek Kumar</v>
      </c>
      <c r="O1194" s="14" t="str">
        <f>IFERROR(__xludf.DUMMYFUNCTION("split(J1194,""*"")"),"Delivered")</f>
        <v>Delivered</v>
      </c>
      <c r="P1194" s="14" t="str">
        <f>IFERROR(__xludf.DUMMYFUNCTION("""COMPUTED_VALUE"""),"Packaging: Secure and intact")</f>
        <v>Packaging: Secure and intact</v>
      </c>
      <c r="Q1194" s="14" t="str">
        <f>IFERROR(__xludf.DUMMYFUNCTION("split(P1194,"":"")"),"Packaging")</f>
        <v>Packaging</v>
      </c>
      <c r="R1194" s="14" t="str">
        <f>IFERROR(__xludf.DUMMYFUNCTION("""COMPUTED_VALUE""")," Secure and intact")</f>
        <v> Secure and intact</v>
      </c>
      <c r="S1194" s="14" t="str">
        <f t="shared" ref="S1194:U1194" si="2391">trim(B1194)</f>
        <v>ord_41172</v>
      </c>
      <c r="T1194" s="14" t="str">
        <f t="shared" si="2391"/>
        <v>Mehul Thakkar</v>
      </c>
      <c r="U1194" s="14" t="str">
        <f t="shared" si="2391"/>
        <v>Malad</v>
      </c>
      <c r="V1194" s="14" t="str">
        <f t="shared" si="4"/>
        <v>Tiramisu</v>
      </c>
      <c r="W1194" s="14">
        <f t="shared" si="5"/>
        <v>3</v>
      </c>
      <c r="X1194" s="14" t="str">
        <f t="shared" si="6"/>
        <v>Vivek Kumar</v>
      </c>
      <c r="Y1194" s="15">
        <f t="shared" si="7"/>
        <v>45168</v>
      </c>
      <c r="Z1194" s="14" t="str">
        <f t="shared" si="8"/>
        <v>COD</v>
      </c>
      <c r="AA1194" s="14" t="str">
        <f t="shared" si="9"/>
        <v>Delivered</v>
      </c>
      <c r="AB1194" s="14" t="str">
        <f t="shared" ref="AB1194:AC1194" si="2392">trim(Q1194)</f>
        <v>Packaging</v>
      </c>
      <c r="AC1194" s="14" t="str">
        <f t="shared" si="2392"/>
        <v>Secure and intact</v>
      </c>
      <c r="AD1194" s="8"/>
    </row>
    <row r="1195">
      <c r="A1195" s="14" t="str">
        <f>IFERROR(__xludf.DUMMYFUNCTION("""COMPUTED_VALUE"""),"//ord_41173//Ishita Banerjee//Juhu//Rasmalai+3*Not Assigned/9/2/2023//Online Payment//Cancelled*Out of Stock")</f>
        <v>//ord_41173//Ishita Banerjee//Juhu//Rasmalai+3*Not Assigned/9/2/2023//Online Payment//Cancelled*Out of Stock</v>
      </c>
      <c r="B1195" s="14" t="str">
        <f>IFERROR(__xludf.DUMMYFUNCTION("split(A1195,""//"")"),"ord_41173")</f>
        <v>ord_41173</v>
      </c>
      <c r="C1195" s="14" t="str">
        <f>IFERROR(__xludf.DUMMYFUNCTION("""COMPUTED_VALUE"""),"Ishita Banerjee")</f>
        <v>Ishita Banerjee</v>
      </c>
      <c r="D1195" s="14" t="str">
        <f>IFERROR(__xludf.DUMMYFUNCTION("""COMPUTED_VALUE"""),"Juhu")</f>
        <v>Juhu</v>
      </c>
      <c r="E1195" s="14" t="str">
        <f>IFERROR(__xludf.DUMMYFUNCTION("""COMPUTED_VALUE"""),"Rasmalai+3*Not Assigned")</f>
        <v>Rasmalai+3*Not Assigned</v>
      </c>
      <c r="F1195" s="14">
        <f>IFERROR(__xludf.DUMMYFUNCTION("""COMPUTED_VALUE"""),9.0)</f>
        <v>9</v>
      </c>
      <c r="G1195" s="14">
        <f>IFERROR(__xludf.DUMMYFUNCTION("""COMPUTED_VALUE"""),2.0)</f>
        <v>2</v>
      </c>
      <c r="H1195" s="14">
        <f>IFERROR(__xludf.DUMMYFUNCTION("""COMPUTED_VALUE"""),2023.0)</f>
        <v>2023</v>
      </c>
      <c r="I1195" s="14" t="str">
        <f>IFERROR(__xludf.DUMMYFUNCTION("""COMPUTED_VALUE"""),"Online Payment")</f>
        <v>Online Payment</v>
      </c>
      <c r="J1195" s="14" t="str">
        <f>IFERROR(__xludf.DUMMYFUNCTION("""COMPUTED_VALUE"""),"Cancelled*Out of Stock")</f>
        <v>Cancelled*Out of Stock</v>
      </c>
      <c r="K1195" s="14" t="str">
        <f>IFERROR(__xludf.DUMMYFUNCTION("split(E1195,""+"")"),"Rasmalai")</f>
        <v>Rasmalai</v>
      </c>
      <c r="L1195" s="14" t="str">
        <f>IFERROR(__xludf.DUMMYFUNCTION("""COMPUTED_VALUE"""),"3*Not Assigned")</f>
        <v>3*Not Assigned</v>
      </c>
      <c r="M1195" s="14">
        <f>IFERROR(__xludf.DUMMYFUNCTION("SPLIT(L1195,""*"")"),3.0)</f>
        <v>3</v>
      </c>
      <c r="N1195" s="14" t="str">
        <f>IFERROR(__xludf.DUMMYFUNCTION("""COMPUTED_VALUE"""),"Not Assigned")</f>
        <v>Not Assigned</v>
      </c>
      <c r="O1195" s="14" t="str">
        <f>IFERROR(__xludf.DUMMYFUNCTION("split(J1195,""*"")"),"Cancelled")</f>
        <v>Cancelled</v>
      </c>
      <c r="P1195" s="14" t="str">
        <f>IFERROR(__xludf.DUMMYFUNCTION("""COMPUTED_VALUE"""),"Out of Stock")</f>
        <v>Out of Stock</v>
      </c>
      <c r="Q1195" s="14" t="str">
        <f>IFERROR(__xludf.DUMMYFUNCTION("split(P1195,"":"")"),"Out of Stock")</f>
        <v>Out of Stock</v>
      </c>
      <c r="R1195" s="14"/>
      <c r="S1195" s="14" t="str">
        <f t="shared" ref="S1195:U1195" si="2393">trim(B1195)</f>
        <v>ord_41173</v>
      </c>
      <c r="T1195" s="14" t="str">
        <f t="shared" si="2393"/>
        <v>Ishita Banerjee</v>
      </c>
      <c r="U1195" s="14" t="str">
        <f t="shared" si="2393"/>
        <v>Juhu</v>
      </c>
      <c r="V1195" s="14" t="str">
        <f t="shared" si="4"/>
        <v>Rasmalai</v>
      </c>
      <c r="W1195" s="14">
        <f t="shared" si="5"/>
        <v>3</v>
      </c>
      <c r="X1195" s="14" t="str">
        <f t="shared" si="6"/>
        <v>Not Assigned</v>
      </c>
      <c r="Y1195" s="15">
        <f t="shared" si="7"/>
        <v>45171</v>
      </c>
      <c r="Z1195" s="14" t="str">
        <f t="shared" si="8"/>
        <v>Online Payment</v>
      </c>
      <c r="AA1195" s="14" t="str">
        <f t="shared" si="9"/>
        <v>Cancelled</v>
      </c>
      <c r="AB1195" s="14" t="str">
        <f t="shared" ref="AB1195:AC1195" si="2394">trim(Q1195)</f>
        <v>Out of Stock</v>
      </c>
      <c r="AC1195" s="14" t="str">
        <f t="shared" si="2394"/>
        <v/>
      </c>
      <c r="AD1195" s="8"/>
    </row>
    <row r="1196">
      <c r="A1196" s="14" t="str">
        <f>IFERROR(__xludf.DUMMYFUNCTION("""COMPUTED_VALUE"""),"//ord_41174//Mohit Malhotra//Lower Parel//Rasmalai+2*Ramesh S/9/26/2023//UPI//Delivered*Satisfied with the Delivery: Timely and quality")</f>
        <v>//ord_41174//Mohit Malhotra//Lower Parel//Rasmalai+2*Ramesh S/9/26/2023//UPI//Delivered*Satisfied with the Delivery: Timely and quality</v>
      </c>
      <c r="B1196" s="14" t="str">
        <f>IFERROR(__xludf.DUMMYFUNCTION("split(A1196,""//"")"),"ord_41174")</f>
        <v>ord_41174</v>
      </c>
      <c r="C1196" s="14" t="str">
        <f>IFERROR(__xludf.DUMMYFUNCTION("""COMPUTED_VALUE"""),"Mohit Malhotra")</f>
        <v>Mohit Malhotra</v>
      </c>
      <c r="D1196" s="14" t="str">
        <f>IFERROR(__xludf.DUMMYFUNCTION("""COMPUTED_VALUE"""),"Lower Parel")</f>
        <v>Lower Parel</v>
      </c>
      <c r="E1196" s="14" t="str">
        <f>IFERROR(__xludf.DUMMYFUNCTION("""COMPUTED_VALUE"""),"Rasmalai+2*Ramesh S")</f>
        <v>Rasmalai+2*Ramesh S</v>
      </c>
      <c r="F1196" s="14">
        <f>IFERROR(__xludf.DUMMYFUNCTION("""COMPUTED_VALUE"""),9.0)</f>
        <v>9</v>
      </c>
      <c r="G1196" s="14">
        <f>IFERROR(__xludf.DUMMYFUNCTION("""COMPUTED_VALUE"""),26.0)</f>
        <v>26</v>
      </c>
      <c r="H1196" s="14">
        <f>IFERROR(__xludf.DUMMYFUNCTION("""COMPUTED_VALUE"""),2023.0)</f>
        <v>2023</v>
      </c>
      <c r="I1196" s="14" t="str">
        <f>IFERROR(__xludf.DUMMYFUNCTION("""COMPUTED_VALUE"""),"UPI")</f>
        <v>UPI</v>
      </c>
      <c r="J1196" s="14" t="str">
        <f>IFERROR(__xludf.DUMMYFUNCTION("""COMPUTED_VALUE"""),"Delivered*Satisfied with the Delivery: Timely and quality")</f>
        <v>Delivered*Satisfied with the Delivery: Timely and quality</v>
      </c>
      <c r="K1196" s="14" t="str">
        <f>IFERROR(__xludf.DUMMYFUNCTION("split(E1196,""+"")"),"Rasmalai")</f>
        <v>Rasmalai</v>
      </c>
      <c r="L1196" s="14" t="str">
        <f>IFERROR(__xludf.DUMMYFUNCTION("""COMPUTED_VALUE"""),"2*Ramesh S")</f>
        <v>2*Ramesh S</v>
      </c>
      <c r="M1196" s="14">
        <f>IFERROR(__xludf.DUMMYFUNCTION("SPLIT(L1196,""*"")"),2.0)</f>
        <v>2</v>
      </c>
      <c r="N1196" s="14" t="str">
        <f>IFERROR(__xludf.DUMMYFUNCTION("""COMPUTED_VALUE"""),"Ramesh S")</f>
        <v>Ramesh S</v>
      </c>
      <c r="O1196" s="14" t="str">
        <f>IFERROR(__xludf.DUMMYFUNCTION("split(J1196,""*"")"),"Delivered")</f>
        <v>Delivered</v>
      </c>
      <c r="P1196" s="14" t="str">
        <f>IFERROR(__xludf.DUMMYFUNCTION("""COMPUTED_VALUE"""),"Satisfied with the Delivery: Timely and quality")</f>
        <v>Satisfied with the Delivery: Timely and quality</v>
      </c>
      <c r="Q1196" s="14" t="str">
        <f>IFERROR(__xludf.DUMMYFUNCTION("split(P1196,"":"")"),"Satisfied with the Delivery")</f>
        <v>Satisfied with the Delivery</v>
      </c>
      <c r="R1196" s="14" t="str">
        <f>IFERROR(__xludf.DUMMYFUNCTION("""COMPUTED_VALUE""")," Timely and quality")</f>
        <v> Timely and quality</v>
      </c>
      <c r="S1196" s="14" t="str">
        <f t="shared" ref="S1196:U1196" si="2395">trim(B1196)</f>
        <v>ord_41174</v>
      </c>
      <c r="T1196" s="14" t="str">
        <f t="shared" si="2395"/>
        <v>Mohit Malhotra</v>
      </c>
      <c r="U1196" s="14" t="str">
        <f t="shared" si="2395"/>
        <v>Lower Parel</v>
      </c>
      <c r="V1196" s="14" t="str">
        <f t="shared" si="4"/>
        <v>Rasmalai</v>
      </c>
      <c r="W1196" s="14">
        <f t="shared" si="5"/>
        <v>2</v>
      </c>
      <c r="X1196" s="14" t="str">
        <f t="shared" si="6"/>
        <v>Ramesh S</v>
      </c>
      <c r="Y1196" s="15">
        <f t="shared" si="7"/>
        <v>45195</v>
      </c>
      <c r="Z1196" s="14" t="str">
        <f t="shared" si="8"/>
        <v>UPI</v>
      </c>
      <c r="AA1196" s="14" t="str">
        <f t="shared" si="9"/>
        <v>Delivered</v>
      </c>
      <c r="AB1196" s="14" t="str">
        <f t="shared" ref="AB1196:AC1196" si="2396">trim(Q1196)</f>
        <v>Satisfied with the Delivery</v>
      </c>
      <c r="AC1196" s="14" t="str">
        <f t="shared" si="2396"/>
        <v>Timely and quality</v>
      </c>
      <c r="AD1196" s="8"/>
    </row>
    <row r="1197">
      <c r="A1197" s="14" t="str">
        <f>IFERROR(__xludf.DUMMYFUNCTION("""COMPUTED_VALUE"""),"//ord_41175//Arvind Kulkarni//Juhu//Apple+1*Ram Gopal/10/10/2023//UPI//Delivered*Customer Service: Seamless and easy")</f>
        <v>//ord_41175//Arvind Kulkarni//Juhu//Apple+1*Ram Gopal/10/10/2023//UPI//Delivered*Customer Service: Seamless and easy</v>
      </c>
      <c r="B1197" s="14" t="str">
        <f>IFERROR(__xludf.DUMMYFUNCTION("split(A1197,""//"")"),"ord_41175")</f>
        <v>ord_41175</v>
      </c>
      <c r="C1197" s="14" t="str">
        <f>IFERROR(__xludf.DUMMYFUNCTION("""COMPUTED_VALUE"""),"Arvind Kulkarni")</f>
        <v>Arvind Kulkarni</v>
      </c>
      <c r="D1197" s="14" t="str">
        <f>IFERROR(__xludf.DUMMYFUNCTION("""COMPUTED_VALUE"""),"Juhu")</f>
        <v>Juhu</v>
      </c>
      <c r="E1197" s="14" t="str">
        <f>IFERROR(__xludf.DUMMYFUNCTION("""COMPUTED_VALUE"""),"Apple+1*Ram Gopal")</f>
        <v>Apple+1*Ram Gopal</v>
      </c>
      <c r="F1197" s="14">
        <f>IFERROR(__xludf.DUMMYFUNCTION("""COMPUTED_VALUE"""),10.0)</f>
        <v>10</v>
      </c>
      <c r="G1197" s="14">
        <f>IFERROR(__xludf.DUMMYFUNCTION("""COMPUTED_VALUE"""),10.0)</f>
        <v>10</v>
      </c>
      <c r="H1197" s="14">
        <f>IFERROR(__xludf.DUMMYFUNCTION("""COMPUTED_VALUE"""),2023.0)</f>
        <v>2023</v>
      </c>
      <c r="I1197" s="14" t="str">
        <f>IFERROR(__xludf.DUMMYFUNCTION("""COMPUTED_VALUE"""),"UPI")</f>
        <v>UPI</v>
      </c>
      <c r="J1197" s="14" t="str">
        <f>IFERROR(__xludf.DUMMYFUNCTION("""COMPUTED_VALUE"""),"Delivered*Customer Service: Seamless and easy")</f>
        <v>Delivered*Customer Service: Seamless and easy</v>
      </c>
      <c r="K1197" s="14" t="str">
        <f>IFERROR(__xludf.DUMMYFUNCTION("split(E1197,""+"")"),"Apple")</f>
        <v>Apple</v>
      </c>
      <c r="L1197" s="14" t="str">
        <f>IFERROR(__xludf.DUMMYFUNCTION("""COMPUTED_VALUE"""),"1*Ram Gopal")</f>
        <v>1*Ram Gopal</v>
      </c>
      <c r="M1197" s="14">
        <f>IFERROR(__xludf.DUMMYFUNCTION("SPLIT(L1197,""*"")"),1.0)</f>
        <v>1</v>
      </c>
      <c r="N1197" s="14" t="str">
        <f>IFERROR(__xludf.DUMMYFUNCTION("""COMPUTED_VALUE"""),"Ram Gopal")</f>
        <v>Ram Gopal</v>
      </c>
      <c r="O1197" s="14" t="str">
        <f>IFERROR(__xludf.DUMMYFUNCTION("split(J1197,""*"")"),"Delivered")</f>
        <v>Delivered</v>
      </c>
      <c r="P1197" s="14" t="str">
        <f>IFERROR(__xludf.DUMMYFUNCTION("""COMPUTED_VALUE"""),"Customer Service: Seamless and easy")</f>
        <v>Customer Service: Seamless and easy</v>
      </c>
      <c r="Q1197" s="14" t="str">
        <f>IFERROR(__xludf.DUMMYFUNCTION("split(P1197,"":"")"),"Customer Service")</f>
        <v>Customer Service</v>
      </c>
      <c r="R1197" s="14" t="str">
        <f>IFERROR(__xludf.DUMMYFUNCTION("""COMPUTED_VALUE""")," Seamless and easy")</f>
        <v> Seamless and easy</v>
      </c>
      <c r="S1197" s="14" t="str">
        <f t="shared" ref="S1197:U1197" si="2397">trim(B1197)</f>
        <v>ord_41175</v>
      </c>
      <c r="T1197" s="14" t="str">
        <f t="shared" si="2397"/>
        <v>Arvind Kulkarni</v>
      </c>
      <c r="U1197" s="14" t="str">
        <f t="shared" si="2397"/>
        <v>Juhu</v>
      </c>
      <c r="V1197" s="14" t="str">
        <f t="shared" si="4"/>
        <v>Apple</v>
      </c>
      <c r="W1197" s="14">
        <f t="shared" si="5"/>
        <v>1</v>
      </c>
      <c r="X1197" s="14" t="str">
        <f t="shared" si="6"/>
        <v>Ram Gopal</v>
      </c>
      <c r="Y1197" s="15">
        <f t="shared" si="7"/>
        <v>45209</v>
      </c>
      <c r="Z1197" s="14" t="str">
        <f t="shared" si="8"/>
        <v>UPI</v>
      </c>
      <c r="AA1197" s="14" t="str">
        <f t="shared" si="9"/>
        <v>Delivered</v>
      </c>
      <c r="AB1197" s="14" t="str">
        <f t="shared" ref="AB1197:AC1197" si="2398">trim(Q1197)</f>
        <v>Customer Service</v>
      </c>
      <c r="AC1197" s="14" t="str">
        <f t="shared" si="2398"/>
        <v>Seamless and easy</v>
      </c>
      <c r="AD1197" s="8"/>
    </row>
    <row r="1198">
      <c r="A1198" s="14" t="str">
        <f>IFERROR(__xludf.DUMMYFUNCTION("""COMPUTED_VALUE"""),"//ord_41176//Sahil Desai//Lower Parel//Banana+2*Ramesh S/9/2/2023//UPI//Delivered*Delivery Experience: Quick and professional")</f>
        <v>//ord_41176//Sahil Desai//Lower Parel//Banana+2*Ramesh S/9/2/2023//UPI//Delivered*Delivery Experience: Quick and professional</v>
      </c>
      <c r="B1198" s="14" t="str">
        <f>IFERROR(__xludf.DUMMYFUNCTION("split(A1198,""//"")"),"ord_41176")</f>
        <v>ord_41176</v>
      </c>
      <c r="C1198" s="14" t="str">
        <f>IFERROR(__xludf.DUMMYFUNCTION("""COMPUTED_VALUE"""),"Sahil Desai")</f>
        <v>Sahil Desai</v>
      </c>
      <c r="D1198" s="14" t="str">
        <f>IFERROR(__xludf.DUMMYFUNCTION("""COMPUTED_VALUE"""),"Lower Parel")</f>
        <v>Lower Parel</v>
      </c>
      <c r="E1198" s="14" t="str">
        <f>IFERROR(__xludf.DUMMYFUNCTION("""COMPUTED_VALUE"""),"Banana+2*Ramesh S")</f>
        <v>Banana+2*Ramesh S</v>
      </c>
      <c r="F1198" s="14">
        <f>IFERROR(__xludf.DUMMYFUNCTION("""COMPUTED_VALUE"""),9.0)</f>
        <v>9</v>
      </c>
      <c r="G1198" s="14">
        <f>IFERROR(__xludf.DUMMYFUNCTION("""COMPUTED_VALUE"""),2.0)</f>
        <v>2</v>
      </c>
      <c r="H1198" s="14">
        <f>IFERROR(__xludf.DUMMYFUNCTION("""COMPUTED_VALUE"""),2023.0)</f>
        <v>2023</v>
      </c>
      <c r="I1198" s="14" t="str">
        <f>IFERROR(__xludf.DUMMYFUNCTION("""COMPUTED_VALUE"""),"UPI")</f>
        <v>UPI</v>
      </c>
      <c r="J1198" s="14" t="str">
        <f>IFERROR(__xludf.DUMMYFUNCTION("""COMPUTED_VALUE"""),"Delivered*Delivery Experience: Quick and professional")</f>
        <v>Delivered*Delivery Experience: Quick and professional</v>
      </c>
      <c r="K1198" s="14" t="str">
        <f>IFERROR(__xludf.DUMMYFUNCTION("split(E1198,""+"")"),"Banana")</f>
        <v>Banana</v>
      </c>
      <c r="L1198" s="14" t="str">
        <f>IFERROR(__xludf.DUMMYFUNCTION("""COMPUTED_VALUE"""),"2*Ramesh S")</f>
        <v>2*Ramesh S</v>
      </c>
      <c r="M1198" s="14">
        <f>IFERROR(__xludf.DUMMYFUNCTION("SPLIT(L1198,""*"")"),2.0)</f>
        <v>2</v>
      </c>
      <c r="N1198" s="14" t="str">
        <f>IFERROR(__xludf.DUMMYFUNCTION("""COMPUTED_VALUE"""),"Ramesh S")</f>
        <v>Ramesh S</v>
      </c>
      <c r="O1198" s="14" t="str">
        <f>IFERROR(__xludf.DUMMYFUNCTION("split(J1198,""*"")"),"Delivered")</f>
        <v>Delivered</v>
      </c>
      <c r="P1198" s="14" t="str">
        <f>IFERROR(__xludf.DUMMYFUNCTION("""COMPUTED_VALUE"""),"Delivery Experience: Quick and professional")</f>
        <v>Delivery Experience: Quick and professional</v>
      </c>
      <c r="Q1198" s="14" t="str">
        <f>IFERROR(__xludf.DUMMYFUNCTION("split(P1198,"":"")"),"Delivery Experience")</f>
        <v>Delivery Experience</v>
      </c>
      <c r="R1198" s="14" t="str">
        <f>IFERROR(__xludf.DUMMYFUNCTION("""COMPUTED_VALUE""")," Quick and professional")</f>
        <v> Quick and professional</v>
      </c>
      <c r="S1198" s="14" t="str">
        <f t="shared" ref="S1198:U1198" si="2399">trim(B1198)</f>
        <v>ord_41176</v>
      </c>
      <c r="T1198" s="14" t="str">
        <f t="shared" si="2399"/>
        <v>Sahil Desai</v>
      </c>
      <c r="U1198" s="14" t="str">
        <f t="shared" si="2399"/>
        <v>Lower Parel</v>
      </c>
      <c r="V1198" s="14" t="str">
        <f t="shared" si="4"/>
        <v>Banana</v>
      </c>
      <c r="W1198" s="14">
        <f t="shared" si="5"/>
        <v>2</v>
      </c>
      <c r="X1198" s="14" t="str">
        <f t="shared" si="6"/>
        <v>Ramesh S</v>
      </c>
      <c r="Y1198" s="15">
        <f t="shared" si="7"/>
        <v>45171</v>
      </c>
      <c r="Z1198" s="14" t="str">
        <f t="shared" si="8"/>
        <v>UPI</v>
      </c>
      <c r="AA1198" s="14" t="str">
        <f t="shared" si="9"/>
        <v>Delivered</v>
      </c>
      <c r="AB1198" s="14" t="str">
        <f t="shared" ref="AB1198:AC1198" si="2400">trim(Q1198)</f>
        <v>Delivery Experience</v>
      </c>
      <c r="AC1198" s="14" t="str">
        <f t="shared" si="2400"/>
        <v>Quick and professional</v>
      </c>
      <c r="AD1198" s="8"/>
    </row>
    <row r="1199">
      <c r="A1199" s="14" t="str">
        <f>IFERROR(__xludf.DUMMYFUNCTION("""COMPUTED_VALUE"""),"//ord_41177//Diya Arora//Lower Parel//Icecream+4*Ram Gopal/10/18/2023//Online Payment//Delivered*Convenience: Easy tracking")</f>
        <v>//ord_41177//Diya Arora//Lower Parel//Icecream+4*Ram Gopal/10/18/2023//Online Payment//Delivered*Convenience: Easy tracking</v>
      </c>
      <c r="B1199" s="14" t="str">
        <f>IFERROR(__xludf.DUMMYFUNCTION("split(A1199,""//"")"),"ord_41177")</f>
        <v>ord_41177</v>
      </c>
      <c r="C1199" s="14" t="str">
        <f>IFERROR(__xludf.DUMMYFUNCTION("""COMPUTED_VALUE"""),"Diya Arora")</f>
        <v>Diya Arora</v>
      </c>
      <c r="D1199" s="14" t="str">
        <f>IFERROR(__xludf.DUMMYFUNCTION("""COMPUTED_VALUE"""),"Lower Parel")</f>
        <v>Lower Parel</v>
      </c>
      <c r="E1199" s="14" t="str">
        <f>IFERROR(__xludf.DUMMYFUNCTION("""COMPUTED_VALUE"""),"Icecream+4*Ram Gopal")</f>
        <v>Icecream+4*Ram Gopal</v>
      </c>
      <c r="F1199" s="14">
        <f>IFERROR(__xludf.DUMMYFUNCTION("""COMPUTED_VALUE"""),10.0)</f>
        <v>10</v>
      </c>
      <c r="G1199" s="14">
        <f>IFERROR(__xludf.DUMMYFUNCTION("""COMPUTED_VALUE"""),18.0)</f>
        <v>18</v>
      </c>
      <c r="H1199" s="14">
        <f>IFERROR(__xludf.DUMMYFUNCTION("""COMPUTED_VALUE"""),2023.0)</f>
        <v>2023</v>
      </c>
      <c r="I1199" s="14" t="str">
        <f>IFERROR(__xludf.DUMMYFUNCTION("""COMPUTED_VALUE"""),"Online Payment")</f>
        <v>Online Payment</v>
      </c>
      <c r="J1199" s="14" t="str">
        <f>IFERROR(__xludf.DUMMYFUNCTION("""COMPUTED_VALUE"""),"Delivered*Convenience: Easy tracking")</f>
        <v>Delivered*Convenience: Easy tracking</v>
      </c>
      <c r="K1199" s="14" t="str">
        <f>IFERROR(__xludf.DUMMYFUNCTION("split(E1199,""+"")"),"Icecream")</f>
        <v>Icecream</v>
      </c>
      <c r="L1199" s="14" t="str">
        <f>IFERROR(__xludf.DUMMYFUNCTION("""COMPUTED_VALUE"""),"4*Ram Gopal")</f>
        <v>4*Ram Gopal</v>
      </c>
      <c r="M1199" s="14">
        <f>IFERROR(__xludf.DUMMYFUNCTION("SPLIT(L1199,""*"")"),4.0)</f>
        <v>4</v>
      </c>
      <c r="N1199" s="14" t="str">
        <f>IFERROR(__xludf.DUMMYFUNCTION("""COMPUTED_VALUE"""),"Ram Gopal")</f>
        <v>Ram Gopal</v>
      </c>
      <c r="O1199" s="14" t="str">
        <f>IFERROR(__xludf.DUMMYFUNCTION("split(J1199,""*"")"),"Delivered")</f>
        <v>Delivered</v>
      </c>
      <c r="P1199" s="14" t="str">
        <f>IFERROR(__xludf.DUMMYFUNCTION("""COMPUTED_VALUE"""),"Convenience: Easy tracking")</f>
        <v>Convenience: Easy tracking</v>
      </c>
      <c r="Q1199" s="14" t="str">
        <f>IFERROR(__xludf.DUMMYFUNCTION("split(P1199,"":"")"),"Convenience")</f>
        <v>Convenience</v>
      </c>
      <c r="R1199" s="14" t="str">
        <f>IFERROR(__xludf.DUMMYFUNCTION("""COMPUTED_VALUE""")," Easy tracking")</f>
        <v> Easy tracking</v>
      </c>
      <c r="S1199" s="14" t="str">
        <f t="shared" ref="S1199:U1199" si="2401">trim(B1199)</f>
        <v>ord_41177</v>
      </c>
      <c r="T1199" s="14" t="str">
        <f t="shared" si="2401"/>
        <v>Diya Arora</v>
      </c>
      <c r="U1199" s="14" t="str">
        <f t="shared" si="2401"/>
        <v>Lower Parel</v>
      </c>
      <c r="V1199" s="14" t="str">
        <f t="shared" si="4"/>
        <v>Icecream</v>
      </c>
      <c r="W1199" s="14">
        <f t="shared" si="5"/>
        <v>4</v>
      </c>
      <c r="X1199" s="14" t="str">
        <f t="shared" si="6"/>
        <v>Ram Gopal</v>
      </c>
      <c r="Y1199" s="15">
        <f t="shared" si="7"/>
        <v>45217</v>
      </c>
      <c r="Z1199" s="14" t="str">
        <f t="shared" si="8"/>
        <v>Online Payment</v>
      </c>
      <c r="AA1199" s="14" t="str">
        <f t="shared" si="9"/>
        <v>Delivered</v>
      </c>
      <c r="AB1199" s="14" t="str">
        <f t="shared" ref="AB1199:AC1199" si="2402">trim(Q1199)</f>
        <v>Convenience</v>
      </c>
      <c r="AC1199" s="14" t="str">
        <f t="shared" si="2402"/>
        <v>Easy tracking</v>
      </c>
      <c r="AD1199" s="8"/>
    </row>
    <row r="1200">
      <c r="A1200" s="14" t="str">
        <f>IFERROR(__xludf.DUMMYFUNCTION("""COMPUTED_VALUE"""),"//ord_41178//Ishaan Chaturvedi//Bandra//Potato+2*Ram Gopal/1/16/2023//Online Payment//Delivered*Overall Satisfaction: Great service will order again")</f>
        <v>//ord_41178//Ishaan Chaturvedi//Bandra//Potato+2*Ram Gopal/1/16/2023//Online Payment//Delivered*Overall Satisfaction: Great service will order again</v>
      </c>
      <c r="B1200" s="14" t="str">
        <f>IFERROR(__xludf.DUMMYFUNCTION("split(A1200,""//"")"),"ord_41178")</f>
        <v>ord_41178</v>
      </c>
      <c r="C1200" s="14" t="str">
        <f>IFERROR(__xludf.DUMMYFUNCTION("""COMPUTED_VALUE"""),"Ishaan Chaturvedi")</f>
        <v>Ishaan Chaturvedi</v>
      </c>
      <c r="D1200" s="14" t="str">
        <f>IFERROR(__xludf.DUMMYFUNCTION("""COMPUTED_VALUE"""),"Bandra")</f>
        <v>Bandra</v>
      </c>
      <c r="E1200" s="14" t="str">
        <f>IFERROR(__xludf.DUMMYFUNCTION("""COMPUTED_VALUE"""),"Potato+2*Ram Gopal")</f>
        <v>Potato+2*Ram Gopal</v>
      </c>
      <c r="F1200" s="14">
        <f>IFERROR(__xludf.DUMMYFUNCTION("""COMPUTED_VALUE"""),1.0)</f>
        <v>1</v>
      </c>
      <c r="G1200" s="14">
        <f>IFERROR(__xludf.DUMMYFUNCTION("""COMPUTED_VALUE"""),16.0)</f>
        <v>16</v>
      </c>
      <c r="H1200" s="14">
        <f>IFERROR(__xludf.DUMMYFUNCTION("""COMPUTED_VALUE"""),2023.0)</f>
        <v>2023</v>
      </c>
      <c r="I1200" s="14" t="str">
        <f>IFERROR(__xludf.DUMMYFUNCTION("""COMPUTED_VALUE"""),"Online Payment")</f>
        <v>Online Payment</v>
      </c>
      <c r="J1200" s="14" t="str">
        <f>IFERROR(__xludf.DUMMYFUNCTION("""COMPUTED_VALUE"""),"Delivered*Overall Satisfaction: Great service will order again")</f>
        <v>Delivered*Overall Satisfaction: Great service will order again</v>
      </c>
      <c r="K1200" s="14" t="str">
        <f>IFERROR(__xludf.DUMMYFUNCTION("split(E1200,""+"")"),"Potato")</f>
        <v>Potato</v>
      </c>
      <c r="L1200" s="14" t="str">
        <f>IFERROR(__xludf.DUMMYFUNCTION("""COMPUTED_VALUE"""),"2*Ram Gopal")</f>
        <v>2*Ram Gopal</v>
      </c>
      <c r="M1200" s="14">
        <f>IFERROR(__xludf.DUMMYFUNCTION("SPLIT(L1200,""*"")"),2.0)</f>
        <v>2</v>
      </c>
      <c r="N1200" s="14" t="str">
        <f>IFERROR(__xludf.DUMMYFUNCTION("""COMPUTED_VALUE"""),"Ram Gopal")</f>
        <v>Ram Gopal</v>
      </c>
      <c r="O1200" s="14" t="str">
        <f>IFERROR(__xludf.DUMMYFUNCTION("split(J1200,""*"")"),"Delivered")</f>
        <v>Delivered</v>
      </c>
      <c r="P1200" s="14" t="str">
        <f>IFERROR(__xludf.DUMMYFUNCTION("""COMPUTED_VALUE"""),"Overall Satisfaction: Great service will order again")</f>
        <v>Overall Satisfaction: Great service will order again</v>
      </c>
      <c r="Q1200" s="14" t="str">
        <f>IFERROR(__xludf.DUMMYFUNCTION("split(P1200,"":"")"),"Overall Satisfaction")</f>
        <v>Overall Satisfaction</v>
      </c>
      <c r="R1200" s="14" t="str">
        <f>IFERROR(__xludf.DUMMYFUNCTION("""COMPUTED_VALUE""")," Great service will order again")</f>
        <v> Great service will order again</v>
      </c>
      <c r="S1200" s="14" t="str">
        <f t="shared" ref="S1200:U1200" si="2403">trim(B1200)</f>
        <v>ord_41178</v>
      </c>
      <c r="T1200" s="14" t="str">
        <f t="shared" si="2403"/>
        <v>Ishaan Chaturvedi</v>
      </c>
      <c r="U1200" s="14" t="str">
        <f t="shared" si="2403"/>
        <v>Bandra</v>
      </c>
      <c r="V1200" s="14" t="str">
        <f t="shared" si="4"/>
        <v>Potato</v>
      </c>
      <c r="W1200" s="14">
        <f t="shared" si="5"/>
        <v>2</v>
      </c>
      <c r="X1200" s="14" t="str">
        <f t="shared" si="6"/>
        <v>Ram Gopal</v>
      </c>
      <c r="Y1200" s="15">
        <f t="shared" si="7"/>
        <v>44942</v>
      </c>
      <c r="Z1200" s="14" t="str">
        <f t="shared" si="8"/>
        <v>Online Payment</v>
      </c>
      <c r="AA1200" s="14" t="str">
        <f t="shared" si="9"/>
        <v>Delivered</v>
      </c>
      <c r="AB1200" s="14" t="str">
        <f t="shared" ref="AB1200:AC1200" si="2404">trim(Q1200)</f>
        <v>Overall Satisfaction</v>
      </c>
      <c r="AC1200" s="14" t="str">
        <f t="shared" si="2404"/>
        <v>Great service will order again</v>
      </c>
      <c r="AD1200" s="8"/>
    </row>
    <row r="1201">
      <c r="A1201" s="14" t="str">
        <f>IFERROR(__xludf.DUMMYFUNCTION("""COMPUTED_VALUE"""),"//ord_41179//Pallavi Ghosh//Bandra//Juice+4*Vivek Kumar/2/28/2023//Credit Card//Delivered*On-time Delivery: Delivered on time")</f>
        <v>//ord_41179//Pallavi Ghosh//Bandra//Juice+4*Vivek Kumar/2/28/2023//Credit Card//Delivered*On-time Delivery: Delivered on time</v>
      </c>
      <c r="B1201" s="14" t="str">
        <f>IFERROR(__xludf.DUMMYFUNCTION("split(A1201,""//"")"),"ord_41179")</f>
        <v>ord_41179</v>
      </c>
      <c r="C1201" s="14" t="str">
        <f>IFERROR(__xludf.DUMMYFUNCTION("""COMPUTED_VALUE"""),"Pallavi Ghosh")</f>
        <v>Pallavi Ghosh</v>
      </c>
      <c r="D1201" s="14" t="str">
        <f>IFERROR(__xludf.DUMMYFUNCTION("""COMPUTED_VALUE"""),"Bandra")</f>
        <v>Bandra</v>
      </c>
      <c r="E1201" s="14" t="str">
        <f>IFERROR(__xludf.DUMMYFUNCTION("""COMPUTED_VALUE"""),"Juice+4*Vivek Kumar")</f>
        <v>Juice+4*Vivek Kumar</v>
      </c>
      <c r="F1201" s="14">
        <f>IFERROR(__xludf.DUMMYFUNCTION("""COMPUTED_VALUE"""),2.0)</f>
        <v>2</v>
      </c>
      <c r="G1201" s="14">
        <f>IFERROR(__xludf.DUMMYFUNCTION("""COMPUTED_VALUE"""),28.0)</f>
        <v>28</v>
      </c>
      <c r="H1201" s="14">
        <f>IFERROR(__xludf.DUMMYFUNCTION("""COMPUTED_VALUE"""),2023.0)</f>
        <v>2023</v>
      </c>
      <c r="I1201" s="14" t="str">
        <f>IFERROR(__xludf.DUMMYFUNCTION("""COMPUTED_VALUE"""),"Credit Card")</f>
        <v>Credit Card</v>
      </c>
      <c r="J1201" s="14" t="str">
        <f>IFERROR(__xludf.DUMMYFUNCTION("""COMPUTED_VALUE"""),"Delivered*On-time Delivery: Delivered on time")</f>
        <v>Delivered*On-time Delivery: Delivered on time</v>
      </c>
      <c r="K1201" s="14" t="str">
        <f>IFERROR(__xludf.DUMMYFUNCTION("split(E1201,""+"")"),"Juice")</f>
        <v>Juice</v>
      </c>
      <c r="L1201" s="14" t="str">
        <f>IFERROR(__xludf.DUMMYFUNCTION("""COMPUTED_VALUE"""),"4*Vivek Kumar")</f>
        <v>4*Vivek Kumar</v>
      </c>
      <c r="M1201" s="14">
        <f>IFERROR(__xludf.DUMMYFUNCTION("SPLIT(L1201,""*"")"),4.0)</f>
        <v>4</v>
      </c>
      <c r="N1201" s="14" t="str">
        <f>IFERROR(__xludf.DUMMYFUNCTION("""COMPUTED_VALUE"""),"Vivek Kumar")</f>
        <v>Vivek Kumar</v>
      </c>
      <c r="O1201" s="14" t="str">
        <f>IFERROR(__xludf.DUMMYFUNCTION("split(J1201,""*"")"),"Delivered")</f>
        <v>Delivered</v>
      </c>
      <c r="P1201" s="14" t="str">
        <f>IFERROR(__xludf.DUMMYFUNCTION("""COMPUTED_VALUE"""),"On-time Delivery: Delivered on time")</f>
        <v>On-time Delivery: Delivered on time</v>
      </c>
      <c r="Q1201" s="14" t="str">
        <f>IFERROR(__xludf.DUMMYFUNCTION("split(P1201,"":"")"),"On-time Delivery")</f>
        <v>On-time Delivery</v>
      </c>
      <c r="R1201" s="14" t="str">
        <f>IFERROR(__xludf.DUMMYFUNCTION("""COMPUTED_VALUE""")," Delivered on time")</f>
        <v> Delivered on time</v>
      </c>
      <c r="S1201" s="14" t="str">
        <f t="shared" ref="S1201:U1201" si="2405">trim(B1201)</f>
        <v>ord_41179</v>
      </c>
      <c r="T1201" s="14" t="str">
        <f t="shared" si="2405"/>
        <v>Pallavi Ghosh</v>
      </c>
      <c r="U1201" s="14" t="str">
        <f t="shared" si="2405"/>
        <v>Bandra</v>
      </c>
      <c r="V1201" s="14" t="str">
        <f t="shared" si="4"/>
        <v>Juice</v>
      </c>
      <c r="W1201" s="14">
        <f t="shared" si="5"/>
        <v>4</v>
      </c>
      <c r="X1201" s="14" t="str">
        <f t="shared" si="6"/>
        <v>Vivek Kumar</v>
      </c>
      <c r="Y1201" s="15">
        <f t="shared" si="7"/>
        <v>44985</v>
      </c>
      <c r="Z1201" s="14" t="str">
        <f t="shared" si="8"/>
        <v>Credit Card</v>
      </c>
      <c r="AA1201" s="14" t="str">
        <f t="shared" si="9"/>
        <v>Delivered</v>
      </c>
      <c r="AB1201" s="14" t="str">
        <f t="shared" ref="AB1201:AC1201" si="2406">trim(Q1201)</f>
        <v>On-time Delivery</v>
      </c>
      <c r="AC1201" s="14" t="str">
        <f t="shared" si="2406"/>
        <v>Delivered on time</v>
      </c>
      <c r="AD1201" s="8"/>
    </row>
    <row r="1202">
      <c r="A1202" s="14" t="str">
        <f>IFERROR(__xludf.DUMMYFUNCTION("""COMPUTED_VALUE"""),"//ord_41180//Siya Reddy//Juhu//Papaya+2*Not Assigned/2/27/2023//Credit Card//Cancelled*App Glitches: Payment Button Malfunction")</f>
        <v>//ord_41180//Siya Reddy//Juhu//Papaya+2*Not Assigned/2/27/2023//Credit Card//Cancelled*App Glitches: Payment Button Malfunction</v>
      </c>
      <c r="B1202" s="14" t="str">
        <f>IFERROR(__xludf.DUMMYFUNCTION("split(A1202,""//"")"),"ord_41180")</f>
        <v>ord_41180</v>
      </c>
      <c r="C1202" s="14" t="str">
        <f>IFERROR(__xludf.DUMMYFUNCTION("""COMPUTED_VALUE"""),"Siya Reddy")</f>
        <v>Siya Reddy</v>
      </c>
      <c r="D1202" s="14" t="str">
        <f>IFERROR(__xludf.DUMMYFUNCTION("""COMPUTED_VALUE"""),"Juhu")</f>
        <v>Juhu</v>
      </c>
      <c r="E1202" s="14" t="str">
        <f>IFERROR(__xludf.DUMMYFUNCTION("""COMPUTED_VALUE"""),"Papaya+2*Not Assigned")</f>
        <v>Papaya+2*Not Assigned</v>
      </c>
      <c r="F1202" s="14">
        <f>IFERROR(__xludf.DUMMYFUNCTION("""COMPUTED_VALUE"""),2.0)</f>
        <v>2</v>
      </c>
      <c r="G1202" s="14">
        <f>IFERROR(__xludf.DUMMYFUNCTION("""COMPUTED_VALUE"""),27.0)</f>
        <v>27</v>
      </c>
      <c r="H1202" s="14">
        <f>IFERROR(__xludf.DUMMYFUNCTION("""COMPUTED_VALUE"""),2023.0)</f>
        <v>2023</v>
      </c>
      <c r="I1202" s="14" t="str">
        <f>IFERROR(__xludf.DUMMYFUNCTION("""COMPUTED_VALUE"""),"Credit Card")</f>
        <v>Credit Card</v>
      </c>
      <c r="J1202" s="14" t="str">
        <f>IFERROR(__xludf.DUMMYFUNCTION("""COMPUTED_VALUE"""),"Cancelled*App Glitches: Payment Button Malfunction")</f>
        <v>Cancelled*App Glitches: Payment Button Malfunction</v>
      </c>
      <c r="K1202" s="14" t="str">
        <f>IFERROR(__xludf.DUMMYFUNCTION("split(E1202,""+"")"),"Papaya")</f>
        <v>Papaya</v>
      </c>
      <c r="L1202" s="14" t="str">
        <f>IFERROR(__xludf.DUMMYFUNCTION("""COMPUTED_VALUE"""),"2*Not Assigned")</f>
        <v>2*Not Assigned</v>
      </c>
      <c r="M1202" s="14">
        <f>IFERROR(__xludf.DUMMYFUNCTION("SPLIT(L1202,""*"")"),2.0)</f>
        <v>2</v>
      </c>
      <c r="N1202" s="14" t="str">
        <f>IFERROR(__xludf.DUMMYFUNCTION("""COMPUTED_VALUE"""),"Not Assigned")</f>
        <v>Not Assigned</v>
      </c>
      <c r="O1202" s="14" t="str">
        <f>IFERROR(__xludf.DUMMYFUNCTION("split(J1202,""*"")"),"Cancelled")</f>
        <v>Cancelled</v>
      </c>
      <c r="P1202" s="14" t="str">
        <f>IFERROR(__xludf.DUMMYFUNCTION("""COMPUTED_VALUE"""),"App Glitches: Payment Button Malfunction")</f>
        <v>App Glitches: Payment Button Malfunction</v>
      </c>
      <c r="Q1202" s="14" t="str">
        <f>IFERROR(__xludf.DUMMYFUNCTION("split(P1202,"":"")"),"App Glitches")</f>
        <v>App Glitches</v>
      </c>
      <c r="R1202" s="14" t="str">
        <f>IFERROR(__xludf.DUMMYFUNCTION("""COMPUTED_VALUE""")," Payment Button Malfunction")</f>
        <v> Payment Button Malfunction</v>
      </c>
      <c r="S1202" s="14" t="str">
        <f t="shared" ref="S1202:U1202" si="2407">trim(B1202)</f>
        <v>ord_41180</v>
      </c>
      <c r="T1202" s="14" t="str">
        <f t="shared" si="2407"/>
        <v>Siya Reddy</v>
      </c>
      <c r="U1202" s="14" t="str">
        <f t="shared" si="2407"/>
        <v>Juhu</v>
      </c>
      <c r="V1202" s="14" t="str">
        <f t="shared" si="4"/>
        <v>Papaya</v>
      </c>
      <c r="W1202" s="14">
        <f t="shared" si="5"/>
        <v>2</v>
      </c>
      <c r="X1202" s="14" t="str">
        <f t="shared" si="6"/>
        <v>Not Assigned</v>
      </c>
      <c r="Y1202" s="15">
        <f t="shared" si="7"/>
        <v>44984</v>
      </c>
      <c r="Z1202" s="14" t="str">
        <f t="shared" si="8"/>
        <v>Credit Card</v>
      </c>
      <c r="AA1202" s="14" t="str">
        <f t="shared" si="9"/>
        <v>Cancelled</v>
      </c>
      <c r="AB1202" s="14" t="str">
        <f t="shared" ref="AB1202:AC1202" si="2408">trim(Q1202)</f>
        <v>App Glitches</v>
      </c>
      <c r="AC1202" s="14" t="str">
        <f t="shared" si="2408"/>
        <v>Payment Button Malfunction</v>
      </c>
      <c r="AD1202" s="8"/>
    </row>
    <row r="1203">
      <c r="A1203" s="14" t="str">
        <f>IFERROR(__xludf.DUMMYFUNCTION("""COMPUTED_VALUE"""),"//ord_41181//Siya Reddy//Juhu//Popcorn+5*Not Assigned/8/12/2023//UPI//Cancelled*App Glitches: Payment Button Malfunction")</f>
        <v>//ord_41181//Siya Reddy//Juhu//Popcorn+5*Not Assigned/8/12/2023//UPI//Cancelled*App Glitches: Payment Button Malfunction</v>
      </c>
      <c r="B1203" s="14" t="str">
        <f>IFERROR(__xludf.DUMMYFUNCTION("split(A1203,""//"")"),"ord_41181")</f>
        <v>ord_41181</v>
      </c>
      <c r="C1203" s="14" t="str">
        <f>IFERROR(__xludf.DUMMYFUNCTION("""COMPUTED_VALUE"""),"Siya Reddy")</f>
        <v>Siya Reddy</v>
      </c>
      <c r="D1203" s="14" t="str">
        <f>IFERROR(__xludf.DUMMYFUNCTION("""COMPUTED_VALUE"""),"Juhu")</f>
        <v>Juhu</v>
      </c>
      <c r="E1203" s="14" t="str">
        <f>IFERROR(__xludf.DUMMYFUNCTION("""COMPUTED_VALUE"""),"Popcorn+5*Not Assigned")</f>
        <v>Popcorn+5*Not Assigned</v>
      </c>
      <c r="F1203" s="14">
        <f>IFERROR(__xludf.DUMMYFUNCTION("""COMPUTED_VALUE"""),8.0)</f>
        <v>8</v>
      </c>
      <c r="G1203" s="14">
        <f>IFERROR(__xludf.DUMMYFUNCTION("""COMPUTED_VALUE"""),12.0)</f>
        <v>12</v>
      </c>
      <c r="H1203" s="14">
        <f>IFERROR(__xludf.DUMMYFUNCTION("""COMPUTED_VALUE"""),2023.0)</f>
        <v>2023</v>
      </c>
      <c r="I1203" s="14" t="str">
        <f>IFERROR(__xludf.DUMMYFUNCTION("""COMPUTED_VALUE"""),"UPI")</f>
        <v>UPI</v>
      </c>
      <c r="J1203" s="14" t="str">
        <f>IFERROR(__xludf.DUMMYFUNCTION("""COMPUTED_VALUE"""),"Cancelled*App Glitches: Payment Button Malfunction")</f>
        <v>Cancelled*App Glitches: Payment Button Malfunction</v>
      </c>
      <c r="K1203" s="14" t="str">
        <f>IFERROR(__xludf.DUMMYFUNCTION("split(E1203,""+"")"),"Popcorn")</f>
        <v>Popcorn</v>
      </c>
      <c r="L1203" s="14" t="str">
        <f>IFERROR(__xludf.DUMMYFUNCTION("""COMPUTED_VALUE"""),"5*Not Assigned")</f>
        <v>5*Not Assigned</v>
      </c>
      <c r="M1203" s="14">
        <f>IFERROR(__xludf.DUMMYFUNCTION("SPLIT(L1203,""*"")"),5.0)</f>
        <v>5</v>
      </c>
      <c r="N1203" s="14" t="str">
        <f>IFERROR(__xludf.DUMMYFUNCTION("""COMPUTED_VALUE"""),"Not Assigned")</f>
        <v>Not Assigned</v>
      </c>
      <c r="O1203" s="14" t="str">
        <f>IFERROR(__xludf.DUMMYFUNCTION("split(J1203,""*"")"),"Cancelled")</f>
        <v>Cancelled</v>
      </c>
      <c r="P1203" s="14" t="str">
        <f>IFERROR(__xludf.DUMMYFUNCTION("""COMPUTED_VALUE"""),"App Glitches: Payment Button Malfunction")</f>
        <v>App Glitches: Payment Button Malfunction</v>
      </c>
      <c r="Q1203" s="14" t="str">
        <f>IFERROR(__xludf.DUMMYFUNCTION("split(P1203,"":"")"),"App Glitches")</f>
        <v>App Glitches</v>
      </c>
      <c r="R1203" s="14" t="str">
        <f>IFERROR(__xludf.DUMMYFUNCTION("""COMPUTED_VALUE""")," Payment Button Malfunction")</f>
        <v> Payment Button Malfunction</v>
      </c>
      <c r="S1203" s="14" t="str">
        <f t="shared" ref="S1203:U1203" si="2409">trim(B1203)</f>
        <v>ord_41181</v>
      </c>
      <c r="T1203" s="14" t="str">
        <f t="shared" si="2409"/>
        <v>Siya Reddy</v>
      </c>
      <c r="U1203" s="14" t="str">
        <f t="shared" si="2409"/>
        <v>Juhu</v>
      </c>
      <c r="V1203" s="14" t="str">
        <f t="shared" si="4"/>
        <v>Popcorn</v>
      </c>
      <c r="W1203" s="14">
        <f t="shared" si="5"/>
        <v>5</v>
      </c>
      <c r="X1203" s="14" t="str">
        <f t="shared" si="6"/>
        <v>Not Assigned</v>
      </c>
      <c r="Y1203" s="15">
        <f t="shared" si="7"/>
        <v>45150</v>
      </c>
      <c r="Z1203" s="14" t="str">
        <f t="shared" si="8"/>
        <v>UPI</v>
      </c>
      <c r="AA1203" s="14" t="str">
        <f t="shared" si="9"/>
        <v>Cancelled</v>
      </c>
      <c r="AB1203" s="14" t="str">
        <f t="shared" ref="AB1203:AC1203" si="2410">trim(Q1203)</f>
        <v>App Glitches</v>
      </c>
      <c r="AC1203" s="14" t="str">
        <f t="shared" si="2410"/>
        <v>Payment Button Malfunction</v>
      </c>
      <c r="AD1203" s="8"/>
    </row>
    <row r="1204">
      <c r="A1204" s="14" t="str">
        <f>IFERROR(__xludf.DUMMYFUNCTION("""COMPUTED_VALUE"""),"//ord_41182//Tanishq Bansal//Bandra//Sweet Corn+1*Ramesh S/1/24/2023//UPI//Delivered*Quality of Items: Perfect condition")</f>
        <v>//ord_41182//Tanishq Bansal//Bandra//Sweet Corn+1*Ramesh S/1/24/2023//UPI//Delivered*Quality of Items: Perfect condition</v>
      </c>
      <c r="B1204" s="14" t="str">
        <f>IFERROR(__xludf.DUMMYFUNCTION("split(A1204,""//"")"),"ord_41182")</f>
        <v>ord_41182</v>
      </c>
      <c r="C1204" s="14" t="str">
        <f>IFERROR(__xludf.DUMMYFUNCTION("""COMPUTED_VALUE"""),"Tanishq Bansal")</f>
        <v>Tanishq Bansal</v>
      </c>
      <c r="D1204" s="14" t="str">
        <f>IFERROR(__xludf.DUMMYFUNCTION("""COMPUTED_VALUE"""),"Bandra")</f>
        <v>Bandra</v>
      </c>
      <c r="E1204" s="14" t="str">
        <f>IFERROR(__xludf.DUMMYFUNCTION("""COMPUTED_VALUE"""),"Sweet Corn+1*Ramesh S")</f>
        <v>Sweet Corn+1*Ramesh S</v>
      </c>
      <c r="F1204" s="14">
        <f>IFERROR(__xludf.DUMMYFUNCTION("""COMPUTED_VALUE"""),1.0)</f>
        <v>1</v>
      </c>
      <c r="G1204" s="14">
        <f>IFERROR(__xludf.DUMMYFUNCTION("""COMPUTED_VALUE"""),24.0)</f>
        <v>24</v>
      </c>
      <c r="H1204" s="14">
        <f>IFERROR(__xludf.DUMMYFUNCTION("""COMPUTED_VALUE"""),2023.0)</f>
        <v>2023</v>
      </c>
      <c r="I1204" s="14" t="str">
        <f>IFERROR(__xludf.DUMMYFUNCTION("""COMPUTED_VALUE"""),"UPI")</f>
        <v>UPI</v>
      </c>
      <c r="J1204" s="14" t="str">
        <f>IFERROR(__xludf.DUMMYFUNCTION("""COMPUTED_VALUE"""),"Delivered*Quality of Items: Perfect condition")</f>
        <v>Delivered*Quality of Items: Perfect condition</v>
      </c>
      <c r="K1204" s="14" t="str">
        <f>IFERROR(__xludf.DUMMYFUNCTION("split(E1204,""+"")"),"Sweet Corn")</f>
        <v>Sweet Corn</v>
      </c>
      <c r="L1204" s="14" t="str">
        <f>IFERROR(__xludf.DUMMYFUNCTION("""COMPUTED_VALUE"""),"1*Ramesh S")</f>
        <v>1*Ramesh S</v>
      </c>
      <c r="M1204" s="14">
        <f>IFERROR(__xludf.DUMMYFUNCTION("SPLIT(L1204,""*"")"),1.0)</f>
        <v>1</v>
      </c>
      <c r="N1204" s="14" t="str">
        <f>IFERROR(__xludf.DUMMYFUNCTION("""COMPUTED_VALUE"""),"Ramesh S")</f>
        <v>Ramesh S</v>
      </c>
      <c r="O1204" s="14" t="str">
        <f>IFERROR(__xludf.DUMMYFUNCTION("split(J1204,""*"")"),"Delivered")</f>
        <v>Delivered</v>
      </c>
      <c r="P1204" s="14" t="str">
        <f>IFERROR(__xludf.DUMMYFUNCTION("""COMPUTED_VALUE"""),"Quality of Items: Perfect condition")</f>
        <v>Quality of Items: Perfect condition</v>
      </c>
      <c r="Q1204" s="14" t="str">
        <f>IFERROR(__xludf.DUMMYFUNCTION("split(P1204,"":"")"),"Quality of Items")</f>
        <v>Quality of Items</v>
      </c>
      <c r="R1204" s="14" t="str">
        <f>IFERROR(__xludf.DUMMYFUNCTION("""COMPUTED_VALUE""")," Perfect condition")</f>
        <v> Perfect condition</v>
      </c>
      <c r="S1204" s="14" t="str">
        <f t="shared" ref="S1204:U1204" si="2411">trim(B1204)</f>
        <v>ord_41182</v>
      </c>
      <c r="T1204" s="14" t="str">
        <f t="shared" si="2411"/>
        <v>Tanishq Bansal</v>
      </c>
      <c r="U1204" s="14" t="str">
        <f t="shared" si="2411"/>
        <v>Bandra</v>
      </c>
      <c r="V1204" s="14" t="str">
        <f t="shared" si="4"/>
        <v>Sweet Corn</v>
      </c>
      <c r="W1204" s="14">
        <f t="shared" si="5"/>
        <v>1</v>
      </c>
      <c r="X1204" s="14" t="str">
        <f t="shared" si="6"/>
        <v>Ramesh S</v>
      </c>
      <c r="Y1204" s="15">
        <f t="shared" si="7"/>
        <v>44950</v>
      </c>
      <c r="Z1204" s="14" t="str">
        <f t="shared" si="8"/>
        <v>UPI</v>
      </c>
      <c r="AA1204" s="14" t="str">
        <f t="shared" si="9"/>
        <v>Delivered</v>
      </c>
      <c r="AB1204" s="14" t="str">
        <f t="shared" ref="AB1204:AC1204" si="2412">trim(Q1204)</f>
        <v>Quality of Items</v>
      </c>
      <c r="AC1204" s="14" t="str">
        <f t="shared" si="2412"/>
        <v>Perfect condition</v>
      </c>
      <c r="AD1204" s="8"/>
    </row>
    <row r="1205">
      <c r="A1205" s="14" t="str">
        <f>IFERROR(__xludf.DUMMYFUNCTION("""COMPUTED_VALUE"""),"//ord_41183//Anaya Rao//Colaba//Guava+1*Vivek Kumar/9/18/2023//Online Payment//Delivered*On-time Delivery: Delivered on time")</f>
        <v>//ord_41183//Anaya Rao//Colaba//Guava+1*Vivek Kumar/9/18/2023//Online Payment//Delivered*On-time Delivery: Delivered on time</v>
      </c>
      <c r="B1205" s="14" t="str">
        <f>IFERROR(__xludf.DUMMYFUNCTION("split(A1205,""//"")"),"ord_41183")</f>
        <v>ord_41183</v>
      </c>
      <c r="C1205" s="14" t="str">
        <f>IFERROR(__xludf.DUMMYFUNCTION("""COMPUTED_VALUE"""),"Anaya Rao")</f>
        <v>Anaya Rao</v>
      </c>
      <c r="D1205" s="14" t="str">
        <f>IFERROR(__xludf.DUMMYFUNCTION("""COMPUTED_VALUE"""),"Colaba")</f>
        <v>Colaba</v>
      </c>
      <c r="E1205" s="14" t="str">
        <f>IFERROR(__xludf.DUMMYFUNCTION("""COMPUTED_VALUE"""),"Guava+1*Vivek Kumar")</f>
        <v>Guava+1*Vivek Kumar</v>
      </c>
      <c r="F1205" s="14">
        <f>IFERROR(__xludf.DUMMYFUNCTION("""COMPUTED_VALUE"""),9.0)</f>
        <v>9</v>
      </c>
      <c r="G1205" s="14">
        <f>IFERROR(__xludf.DUMMYFUNCTION("""COMPUTED_VALUE"""),18.0)</f>
        <v>18</v>
      </c>
      <c r="H1205" s="14">
        <f>IFERROR(__xludf.DUMMYFUNCTION("""COMPUTED_VALUE"""),2023.0)</f>
        <v>2023</v>
      </c>
      <c r="I1205" s="14" t="str">
        <f>IFERROR(__xludf.DUMMYFUNCTION("""COMPUTED_VALUE"""),"Online Payment")</f>
        <v>Online Payment</v>
      </c>
      <c r="J1205" s="14" t="str">
        <f>IFERROR(__xludf.DUMMYFUNCTION("""COMPUTED_VALUE"""),"Delivered*On-time Delivery: Delivered on time")</f>
        <v>Delivered*On-time Delivery: Delivered on time</v>
      </c>
      <c r="K1205" s="14" t="str">
        <f>IFERROR(__xludf.DUMMYFUNCTION("split(E1205,""+"")"),"Guava")</f>
        <v>Guava</v>
      </c>
      <c r="L1205" s="14" t="str">
        <f>IFERROR(__xludf.DUMMYFUNCTION("""COMPUTED_VALUE"""),"1*Vivek Kumar")</f>
        <v>1*Vivek Kumar</v>
      </c>
      <c r="M1205" s="14">
        <f>IFERROR(__xludf.DUMMYFUNCTION("SPLIT(L1205,""*"")"),1.0)</f>
        <v>1</v>
      </c>
      <c r="N1205" s="14" t="str">
        <f>IFERROR(__xludf.DUMMYFUNCTION("""COMPUTED_VALUE"""),"Vivek Kumar")</f>
        <v>Vivek Kumar</v>
      </c>
      <c r="O1205" s="14" t="str">
        <f>IFERROR(__xludf.DUMMYFUNCTION("split(J1205,""*"")"),"Delivered")</f>
        <v>Delivered</v>
      </c>
      <c r="P1205" s="14" t="str">
        <f>IFERROR(__xludf.DUMMYFUNCTION("""COMPUTED_VALUE"""),"On-time Delivery: Delivered on time")</f>
        <v>On-time Delivery: Delivered on time</v>
      </c>
      <c r="Q1205" s="14" t="str">
        <f>IFERROR(__xludf.DUMMYFUNCTION("split(P1205,"":"")"),"On-time Delivery")</f>
        <v>On-time Delivery</v>
      </c>
      <c r="R1205" s="14" t="str">
        <f>IFERROR(__xludf.DUMMYFUNCTION("""COMPUTED_VALUE""")," Delivered on time")</f>
        <v> Delivered on time</v>
      </c>
      <c r="S1205" s="14" t="str">
        <f t="shared" ref="S1205:U1205" si="2413">trim(B1205)</f>
        <v>ord_41183</v>
      </c>
      <c r="T1205" s="14" t="str">
        <f t="shared" si="2413"/>
        <v>Anaya Rao</v>
      </c>
      <c r="U1205" s="14" t="str">
        <f t="shared" si="2413"/>
        <v>Colaba</v>
      </c>
      <c r="V1205" s="14" t="str">
        <f t="shared" si="4"/>
        <v>Guava</v>
      </c>
      <c r="W1205" s="14">
        <f t="shared" si="5"/>
        <v>1</v>
      </c>
      <c r="X1205" s="14" t="str">
        <f t="shared" si="6"/>
        <v>Vivek Kumar</v>
      </c>
      <c r="Y1205" s="15">
        <f t="shared" si="7"/>
        <v>45187</v>
      </c>
      <c r="Z1205" s="14" t="str">
        <f t="shared" si="8"/>
        <v>Online Payment</v>
      </c>
      <c r="AA1205" s="14" t="str">
        <f t="shared" si="9"/>
        <v>Delivered</v>
      </c>
      <c r="AB1205" s="14" t="str">
        <f t="shared" ref="AB1205:AC1205" si="2414">trim(Q1205)</f>
        <v>On-time Delivery</v>
      </c>
      <c r="AC1205" s="14" t="str">
        <f t="shared" si="2414"/>
        <v>Delivered on time</v>
      </c>
      <c r="AD1205" s="8"/>
    </row>
    <row r="1206">
      <c r="A1206" s="14" t="str">
        <f>IFERROR(__xludf.DUMMYFUNCTION("""COMPUTED_VALUE"""),"//ord_41184//Arvind Kulkarni//Juhu//Chilli Cheese Toast+4*Not Assigned/9/17/2023//UPI//Cancelled*App Glitches:Error Messages")</f>
        <v>//ord_41184//Arvind Kulkarni//Juhu//Chilli Cheese Toast+4*Not Assigned/9/17/2023//UPI//Cancelled*App Glitches:Error Messages</v>
      </c>
      <c r="B1206" s="14" t="str">
        <f>IFERROR(__xludf.DUMMYFUNCTION("split(A1206,""//"")"),"ord_41184")</f>
        <v>ord_41184</v>
      </c>
      <c r="C1206" s="14" t="str">
        <f>IFERROR(__xludf.DUMMYFUNCTION("""COMPUTED_VALUE"""),"Arvind Kulkarni")</f>
        <v>Arvind Kulkarni</v>
      </c>
      <c r="D1206" s="14" t="str">
        <f>IFERROR(__xludf.DUMMYFUNCTION("""COMPUTED_VALUE"""),"Juhu")</f>
        <v>Juhu</v>
      </c>
      <c r="E1206" s="14" t="str">
        <f>IFERROR(__xludf.DUMMYFUNCTION("""COMPUTED_VALUE"""),"Chilli Cheese Toast+4*Not Assigned")</f>
        <v>Chilli Cheese Toast+4*Not Assigned</v>
      </c>
      <c r="F1206" s="14">
        <f>IFERROR(__xludf.DUMMYFUNCTION("""COMPUTED_VALUE"""),9.0)</f>
        <v>9</v>
      </c>
      <c r="G1206" s="14">
        <f>IFERROR(__xludf.DUMMYFUNCTION("""COMPUTED_VALUE"""),17.0)</f>
        <v>17</v>
      </c>
      <c r="H1206" s="14">
        <f>IFERROR(__xludf.DUMMYFUNCTION("""COMPUTED_VALUE"""),2023.0)</f>
        <v>2023</v>
      </c>
      <c r="I1206" s="14" t="str">
        <f>IFERROR(__xludf.DUMMYFUNCTION("""COMPUTED_VALUE"""),"UPI")</f>
        <v>UPI</v>
      </c>
      <c r="J1206" s="14" t="str">
        <f>IFERROR(__xludf.DUMMYFUNCTION("""COMPUTED_VALUE"""),"Cancelled*App Glitches:Error Messages")</f>
        <v>Cancelled*App Glitches:Error Messages</v>
      </c>
      <c r="K1206" s="14" t="str">
        <f>IFERROR(__xludf.DUMMYFUNCTION("split(E1206,""+"")"),"Chilli Cheese Toast")</f>
        <v>Chilli Cheese Toast</v>
      </c>
      <c r="L1206" s="14" t="str">
        <f>IFERROR(__xludf.DUMMYFUNCTION("""COMPUTED_VALUE"""),"4*Not Assigned")</f>
        <v>4*Not Assigned</v>
      </c>
      <c r="M1206" s="14">
        <f>IFERROR(__xludf.DUMMYFUNCTION("SPLIT(L1206,""*"")"),4.0)</f>
        <v>4</v>
      </c>
      <c r="N1206" s="14" t="str">
        <f>IFERROR(__xludf.DUMMYFUNCTION("""COMPUTED_VALUE"""),"Not Assigned")</f>
        <v>Not Assigned</v>
      </c>
      <c r="O1206" s="14" t="str">
        <f>IFERROR(__xludf.DUMMYFUNCTION("split(J1206,""*"")"),"Cancelled")</f>
        <v>Cancelled</v>
      </c>
      <c r="P1206" s="14" t="str">
        <f>IFERROR(__xludf.DUMMYFUNCTION("""COMPUTED_VALUE"""),"App Glitches:Error Messages")</f>
        <v>App Glitches:Error Messages</v>
      </c>
      <c r="Q1206" s="14" t="str">
        <f>IFERROR(__xludf.DUMMYFUNCTION("split(P1206,"":"")"),"App Glitches")</f>
        <v>App Glitches</v>
      </c>
      <c r="R1206" s="14" t="str">
        <f>IFERROR(__xludf.DUMMYFUNCTION("""COMPUTED_VALUE"""),"Error Messages")</f>
        <v>Error Messages</v>
      </c>
      <c r="S1206" s="14" t="str">
        <f t="shared" ref="S1206:U1206" si="2415">trim(B1206)</f>
        <v>ord_41184</v>
      </c>
      <c r="T1206" s="14" t="str">
        <f t="shared" si="2415"/>
        <v>Arvind Kulkarni</v>
      </c>
      <c r="U1206" s="14" t="str">
        <f t="shared" si="2415"/>
        <v>Juhu</v>
      </c>
      <c r="V1206" s="14" t="str">
        <f t="shared" si="4"/>
        <v>Chilli Cheese Toast</v>
      </c>
      <c r="W1206" s="14">
        <f t="shared" si="5"/>
        <v>4</v>
      </c>
      <c r="X1206" s="14" t="str">
        <f t="shared" si="6"/>
        <v>Not Assigned</v>
      </c>
      <c r="Y1206" s="15">
        <f t="shared" si="7"/>
        <v>45186</v>
      </c>
      <c r="Z1206" s="14" t="str">
        <f t="shared" si="8"/>
        <v>UPI</v>
      </c>
      <c r="AA1206" s="14" t="str">
        <f t="shared" si="9"/>
        <v>Cancelled</v>
      </c>
      <c r="AB1206" s="14" t="str">
        <f t="shared" ref="AB1206:AC1206" si="2416">trim(Q1206)</f>
        <v>App Glitches</v>
      </c>
      <c r="AC1206" s="14" t="str">
        <f t="shared" si="2416"/>
        <v>Error Messages</v>
      </c>
      <c r="AD1206" s="8"/>
    </row>
    <row r="1207">
      <c r="A1207" s="14" t="str">
        <f>IFERROR(__xludf.DUMMYFUNCTION("""COMPUTED_VALUE"""),"//ord_41185//Aditi Iyer//Dadar//Papaya+2*Ramesh S/12/29/2023//UPI//Delivered*Quality of Items: Perfect condition")</f>
        <v>//ord_41185//Aditi Iyer//Dadar//Papaya+2*Ramesh S/12/29/2023//UPI//Delivered*Quality of Items: Perfect condition</v>
      </c>
      <c r="B1207" s="14" t="str">
        <f>IFERROR(__xludf.DUMMYFUNCTION("split(A1207,""//"")"),"ord_41185")</f>
        <v>ord_41185</v>
      </c>
      <c r="C1207" s="14" t="str">
        <f>IFERROR(__xludf.DUMMYFUNCTION("""COMPUTED_VALUE"""),"Aditi Iyer")</f>
        <v>Aditi Iyer</v>
      </c>
      <c r="D1207" s="14" t="str">
        <f>IFERROR(__xludf.DUMMYFUNCTION("""COMPUTED_VALUE"""),"Dadar")</f>
        <v>Dadar</v>
      </c>
      <c r="E1207" s="14" t="str">
        <f>IFERROR(__xludf.DUMMYFUNCTION("""COMPUTED_VALUE"""),"Papaya+2*Ramesh S")</f>
        <v>Papaya+2*Ramesh S</v>
      </c>
      <c r="F1207" s="14">
        <f>IFERROR(__xludf.DUMMYFUNCTION("""COMPUTED_VALUE"""),12.0)</f>
        <v>12</v>
      </c>
      <c r="G1207" s="14">
        <f>IFERROR(__xludf.DUMMYFUNCTION("""COMPUTED_VALUE"""),29.0)</f>
        <v>29</v>
      </c>
      <c r="H1207" s="14">
        <f>IFERROR(__xludf.DUMMYFUNCTION("""COMPUTED_VALUE"""),2023.0)</f>
        <v>2023</v>
      </c>
      <c r="I1207" s="14" t="str">
        <f>IFERROR(__xludf.DUMMYFUNCTION("""COMPUTED_VALUE"""),"UPI")</f>
        <v>UPI</v>
      </c>
      <c r="J1207" s="14" t="str">
        <f>IFERROR(__xludf.DUMMYFUNCTION("""COMPUTED_VALUE"""),"Delivered*Quality of Items: Perfect condition")</f>
        <v>Delivered*Quality of Items: Perfect condition</v>
      </c>
      <c r="K1207" s="14" t="str">
        <f>IFERROR(__xludf.DUMMYFUNCTION("split(E1207,""+"")"),"Papaya")</f>
        <v>Papaya</v>
      </c>
      <c r="L1207" s="14" t="str">
        <f>IFERROR(__xludf.DUMMYFUNCTION("""COMPUTED_VALUE"""),"2*Ramesh S")</f>
        <v>2*Ramesh S</v>
      </c>
      <c r="M1207" s="14">
        <f>IFERROR(__xludf.DUMMYFUNCTION("SPLIT(L1207,""*"")"),2.0)</f>
        <v>2</v>
      </c>
      <c r="N1207" s="14" t="str">
        <f>IFERROR(__xludf.DUMMYFUNCTION("""COMPUTED_VALUE"""),"Ramesh S")</f>
        <v>Ramesh S</v>
      </c>
      <c r="O1207" s="14" t="str">
        <f>IFERROR(__xludf.DUMMYFUNCTION("split(J1207,""*"")"),"Delivered")</f>
        <v>Delivered</v>
      </c>
      <c r="P1207" s="14" t="str">
        <f>IFERROR(__xludf.DUMMYFUNCTION("""COMPUTED_VALUE"""),"Quality of Items: Perfect condition")</f>
        <v>Quality of Items: Perfect condition</v>
      </c>
      <c r="Q1207" s="14" t="str">
        <f>IFERROR(__xludf.DUMMYFUNCTION("split(P1207,"":"")"),"Quality of Items")</f>
        <v>Quality of Items</v>
      </c>
      <c r="R1207" s="14" t="str">
        <f>IFERROR(__xludf.DUMMYFUNCTION("""COMPUTED_VALUE""")," Perfect condition")</f>
        <v> Perfect condition</v>
      </c>
      <c r="S1207" s="14" t="str">
        <f t="shared" ref="S1207:U1207" si="2417">trim(B1207)</f>
        <v>ord_41185</v>
      </c>
      <c r="T1207" s="14" t="str">
        <f t="shared" si="2417"/>
        <v>Aditi Iyer</v>
      </c>
      <c r="U1207" s="14" t="str">
        <f t="shared" si="2417"/>
        <v>Dadar</v>
      </c>
      <c r="V1207" s="14" t="str">
        <f t="shared" si="4"/>
        <v>Papaya</v>
      </c>
      <c r="W1207" s="14">
        <f t="shared" si="5"/>
        <v>2</v>
      </c>
      <c r="X1207" s="14" t="str">
        <f t="shared" si="6"/>
        <v>Ramesh S</v>
      </c>
      <c r="Y1207" s="15">
        <f t="shared" si="7"/>
        <v>45289</v>
      </c>
      <c r="Z1207" s="14" t="str">
        <f t="shared" si="8"/>
        <v>UPI</v>
      </c>
      <c r="AA1207" s="14" t="str">
        <f t="shared" si="9"/>
        <v>Delivered</v>
      </c>
      <c r="AB1207" s="14" t="str">
        <f t="shared" ref="AB1207:AC1207" si="2418">trim(Q1207)</f>
        <v>Quality of Items</v>
      </c>
      <c r="AC1207" s="14" t="str">
        <f t="shared" si="2418"/>
        <v>Perfect condition</v>
      </c>
      <c r="AD1207" s="8"/>
    </row>
    <row r="1208">
      <c r="A1208" s="14" t="str">
        <f>IFERROR(__xludf.DUMMYFUNCTION("""COMPUTED_VALUE"""),"//ord_61186//Ishita Banerjee//Juhu//Chicken Puff+1*Not Assigned/12/21/2023//UPI//Cancelled*App Glitches: Inconsistent Data Display")</f>
        <v>//ord_61186//Ishita Banerjee//Juhu//Chicken Puff+1*Not Assigned/12/21/2023//UPI//Cancelled*App Glitches: Inconsistent Data Display</v>
      </c>
      <c r="B1208" s="14" t="str">
        <f>IFERROR(__xludf.DUMMYFUNCTION("split(A1208,""//"")"),"ord_61186")</f>
        <v>ord_61186</v>
      </c>
      <c r="C1208" s="14" t="str">
        <f>IFERROR(__xludf.DUMMYFUNCTION("""COMPUTED_VALUE"""),"Ishita Banerjee")</f>
        <v>Ishita Banerjee</v>
      </c>
      <c r="D1208" s="14" t="str">
        <f>IFERROR(__xludf.DUMMYFUNCTION("""COMPUTED_VALUE"""),"Juhu")</f>
        <v>Juhu</v>
      </c>
      <c r="E1208" s="14" t="str">
        <f>IFERROR(__xludf.DUMMYFUNCTION("""COMPUTED_VALUE"""),"Chicken Puff+1*Not Assigned")</f>
        <v>Chicken Puff+1*Not Assigned</v>
      </c>
      <c r="F1208" s="14">
        <f>IFERROR(__xludf.DUMMYFUNCTION("""COMPUTED_VALUE"""),12.0)</f>
        <v>12</v>
      </c>
      <c r="G1208" s="14">
        <f>IFERROR(__xludf.DUMMYFUNCTION("""COMPUTED_VALUE"""),21.0)</f>
        <v>21</v>
      </c>
      <c r="H1208" s="14">
        <f>IFERROR(__xludf.DUMMYFUNCTION("""COMPUTED_VALUE"""),2023.0)</f>
        <v>2023</v>
      </c>
      <c r="I1208" s="14" t="str">
        <f>IFERROR(__xludf.DUMMYFUNCTION("""COMPUTED_VALUE"""),"UPI")</f>
        <v>UPI</v>
      </c>
      <c r="J1208" s="14" t="str">
        <f>IFERROR(__xludf.DUMMYFUNCTION("""COMPUTED_VALUE"""),"Cancelled*App Glitches: Inconsistent Data Display")</f>
        <v>Cancelled*App Glitches: Inconsistent Data Display</v>
      </c>
      <c r="K1208" s="14" t="str">
        <f>IFERROR(__xludf.DUMMYFUNCTION("split(E1208,""+"")"),"Chicken Puff")</f>
        <v>Chicken Puff</v>
      </c>
      <c r="L1208" s="14" t="str">
        <f>IFERROR(__xludf.DUMMYFUNCTION("""COMPUTED_VALUE"""),"1*Not Assigned")</f>
        <v>1*Not Assigned</v>
      </c>
      <c r="M1208" s="14">
        <f>IFERROR(__xludf.DUMMYFUNCTION("SPLIT(L1208,""*"")"),1.0)</f>
        <v>1</v>
      </c>
      <c r="N1208" s="14" t="str">
        <f>IFERROR(__xludf.DUMMYFUNCTION("""COMPUTED_VALUE"""),"Not Assigned")</f>
        <v>Not Assigned</v>
      </c>
      <c r="O1208" s="14" t="str">
        <f>IFERROR(__xludf.DUMMYFUNCTION("split(J1208,""*"")"),"Cancelled")</f>
        <v>Cancelled</v>
      </c>
      <c r="P1208" s="14" t="str">
        <f>IFERROR(__xludf.DUMMYFUNCTION("""COMPUTED_VALUE"""),"App Glitches: Inconsistent Data Display")</f>
        <v>App Glitches: Inconsistent Data Display</v>
      </c>
      <c r="Q1208" s="14" t="str">
        <f>IFERROR(__xludf.DUMMYFUNCTION("split(P1208,"":"")"),"App Glitches")</f>
        <v>App Glitches</v>
      </c>
      <c r="R1208" s="14" t="str">
        <f>IFERROR(__xludf.DUMMYFUNCTION("""COMPUTED_VALUE""")," Inconsistent Data Display")</f>
        <v> Inconsistent Data Display</v>
      </c>
      <c r="S1208" s="14" t="str">
        <f t="shared" ref="S1208:U1208" si="2419">trim(B1208)</f>
        <v>ord_61186</v>
      </c>
      <c r="T1208" s="14" t="str">
        <f t="shared" si="2419"/>
        <v>Ishita Banerjee</v>
      </c>
      <c r="U1208" s="14" t="str">
        <f t="shared" si="2419"/>
        <v>Juhu</v>
      </c>
      <c r="V1208" s="14" t="str">
        <f t="shared" si="4"/>
        <v>Chicken Puff</v>
      </c>
      <c r="W1208" s="14">
        <f t="shared" si="5"/>
        <v>1</v>
      </c>
      <c r="X1208" s="14" t="str">
        <f t="shared" si="6"/>
        <v>Not Assigned</v>
      </c>
      <c r="Y1208" s="15">
        <f t="shared" si="7"/>
        <v>45281</v>
      </c>
      <c r="Z1208" s="14" t="str">
        <f t="shared" si="8"/>
        <v>UPI</v>
      </c>
      <c r="AA1208" s="14" t="str">
        <f t="shared" si="9"/>
        <v>Cancelled</v>
      </c>
      <c r="AB1208" s="14" t="str">
        <f t="shared" ref="AB1208:AC1208" si="2420">trim(Q1208)</f>
        <v>App Glitches</v>
      </c>
      <c r="AC1208" s="14" t="str">
        <f t="shared" si="2420"/>
        <v>Inconsistent Data Display</v>
      </c>
      <c r="AD1208" s="8"/>
    </row>
    <row r="1209">
      <c r="A1209" s="14" t="str">
        <f>IFERROR(__xludf.DUMMYFUNCTION("""COMPUTED_VALUE"""),"//ord_61187//Pranav Joshi//Andheri//Banana+1*Ramesh S/8/25/2023//Online Payment//Delivered*Packaging: Secure and intact")</f>
        <v>//ord_61187//Pranav Joshi//Andheri//Banana+1*Ramesh S/8/25/2023//Online Payment//Delivered*Packaging: Secure and intact</v>
      </c>
      <c r="B1209" s="14" t="str">
        <f>IFERROR(__xludf.DUMMYFUNCTION("split(A1209,""//"")"),"ord_61187")</f>
        <v>ord_61187</v>
      </c>
      <c r="C1209" s="14" t="str">
        <f>IFERROR(__xludf.DUMMYFUNCTION("""COMPUTED_VALUE"""),"Pranav Joshi")</f>
        <v>Pranav Joshi</v>
      </c>
      <c r="D1209" s="14" t="str">
        <f>IFERROR(__xludf.DUMMYFUNCTION("""COMPUTED_VALUE"""),"Andheri")</f>
        <v>Andheri</v>
      </c>
      <c r="E1209" s="14" t="str">
        <f>IFERROR(__xludf.DUMMYFUNCTION("""COMPUTED_VALUE"""),"Banana+1*Ramesh S")</f>
        <v>Banana+1*Ramesh S</v>
      </c>
      <c r="F1209" s="14">
        <f>IFERROR(__xludf.DUMMYFUNCTION("""COMPUTED_VALUE"""),8.0)</f>
        <v>8</v>
      </c>
      <c r="G1209" s="14">
        <f>IFERROR(__xludf.DUMMYFUNCTION("""COMPUTED_VALUE"""),25.0)</f>
        <v>25</v>
      </c>
      <c r="H1209" s="14">
        <f>IFERROR(__xludf.DUMMYFUNCTION("""COMPUTED_VALUE"""),2023.0)</f>
        <v>2023</v>
      </c>
      <c r="I1209" s="14" t="str">
        <f>IFERROR(__xludf.DUMMYFUNCTION("""COMPUTED_VALUE"""),"Online Payment")</f>
        <v>Online Payment</v>
      </c>
      <c r="J1209" s="14" t="str">
        <f>IFERROR(__xludf.DUMMYFUNCTION("""COMPUTED_VALUE"""),"Delivered*Packaging: Secure and intact")</f>
        <v>Delivered*Packaging: Secure and intact</v>
      </c>
      <c r="K1209" s="14" t="str">
        <f>IFERROR(__xludf.DUMMYFUNCTION("split(E1209,""+"")"),"Banana")</f>
        <v>Banana</v>
      </c>
      <c r="L1209" s="14" t="str">
        <f>IFERROR(__xludf.DUMMYFUNCTION("""COMPUTED_VALUE"""),"1*Ramesh S")</f>
        <v>1*Ramesh S</v>
      </c>
      <c r="M1209" s="14">
        <f>IFERROR(__xludf.DUMMYFUNCTION("SPLIT(L1209,""*"")"),1.0)</f>
        <v>1</v>
      </c>
      <c r="N1209" s="14" t="str">
        <f>IFERROR(__xludf.DUMMYFUNCTION("""COMPUTED_VALUE"""),"Ramesh S")</f>
        <v>Ramesh S</v>
      </c>
      <c r="O1209" s="14" t="str">
        <f>IFERROR(__xludf.DUMMYFUNCTION("split(J1209,""*"")"),"Delivered")</f>
        <v>Delivered</v>
      </c>
      <c r="P1209" s="14" t="str">
        <f>IFERROR(__xludf.DUMMYFUNCTION("""COMPUTED_VALUE"""),"Packaging: Secure and intact")</f>
        <v>Packaging: Secure and intact</v>
      </c>
      <c r="Q1209" s="14" t="str">
        <f>IFERROR(__xludf.DUMMYFUNCTION("split(P1209,"":"")"),"Packaging")</f>
        <v>Packaging</v>
      </c>
      <c r="R1209" s="14" t="str">
        <f>IFERROR(__xludf.DUMMYFUNCTION("""COMPUTED_VALUE""")," Secure and intact")</f>
        <v> Secure and intact</v>
      </c>
      <c r="S1209" s="14" t="str">
        <f t="shared" ref="S1209:U1209" si="2421">trim(B1209)</f>
        <v>ord_61187</v>
      </c>
      <c r="T1209" s="14" t="str">
        <f t="shared" si="2421"/>
        <v>Pranav Joshi</v>
      </c>
      <c r="U1209" s="14" t="str">
        <f t="shared" si="2421"/>
        <v>Andheri</v>
      </c>
      <c r="V1209" s="14" t="str">
        <f t="shared" si="4"/>
        <v>Banana</v>
      </c>
      <c r="W1209" s="14">
        <f t="shared" si="5"/>
        <v>1</v>
      </c>
      <c r="X1209" s="14" t="str">
        <f t="shared" si="6"/>
        <v>Ramesh S</v>
      </c>
      <c r="Y1209" s="15">
        <f t="shared" si="7"/>
        <v>45163</v>
      </c>
      <c r="Z1209" s="14" t="str">
        <f t="shared" si="8"/>
        <v>Online Payment</v>
      </c>
      <c r="AA1209" s="14" t="str">
        <f t="shared" si="9"/>
        <v>Delivered</v>
      </c>
      <c r="AB1209" s="14" t="str">
        <f t="shared" ref="AB1209:AC1209" si="2422">trim(Q1209)</f>
        <v>Packaging</v>
      </c>
      <c r="AC1209" s="14" t="str">
        <f t="shared" si="2422"/>
        <v>Secure and intact</v>
      </c>
      <c r="AD1209" s="8"/>
    </row>
    <row r="1210">
      <c r="A1210" s="14" t="str">
        <f>IFERROR(__xludf.DUMMYFUNCTION("""COMPUTED_VALUE"""),"//ord_61188//Pranav Joshi//Andheri//Onion+1*Sita T/5/30/2023//COD//Delivered*Satisfied with the Delivery: Timely and quality")</f>
        <v>//ord_61188//Pranav Joshi//Andheri//Onion+1*Sita T/5/30/2023//COD//Delivered*Satisfied with the Delivery: Timely and quality</v>
      </c>
      <c r="B1210" s="14" t="str">
        <f>IFERROR(__xludf.DUMMYFUNCTION("split(A1210,""//"")"),"ord_61188")</f>
        <v>ord_61188</v>
      </c>
      <c r="C1210" s="14" t="str">
        <f>IFERROR(__xludf.DUMMYFUNCTION("""COMPUTED_VALUE"""),"Pranav Joshi")</f>
        <v>Pranav Joshi</v>
      </c>
      <c r="D1210" s="14" t="str">
        <f>IFERROR(__xludf.DUMMYFUNCTION("""COMPUTED_VALUE"""),"Andheri")</f>
        <v>Andheri</v>
      </c>
      <c r="E1210" s="14" t="str">
        <f>IFERROR(__xludf.DUMMYFUNCTION("""COMPUTED_VALUE"""),"Onion+1*Sita T")</f>
        <v>Onion+1*Sita T</v>
      </c>
      <c r="F1210" s="14">
        <f>IFERROR(__xludf.DUMMYFUNCTION("""COMPUTED_VALUE"""),5.0)</f>
        <v>5</v>
      </c>
      <c r="G1210" s="14">
        <f>IFERROR(__xludf.DUMMYFUNCTION("""COMPUTED_VALUE"""),30.0)</f>
        <v>30</v>
      </c>
      <c r="H1210" s="14">
        <f>IFERROR(__xludf.DUMMYFUNCTION("""COMPUTED_VALUE"""),2023.0)</f>
        <v>2023</v>
      </c>
      <c r="I1210" s="14" t="str">
        <f>IFERROR(__xludf.DUMMYFUNCTION("""COMPUTED_VALUE"""),"COD")</f>
        <v>COD</v>
      </c>
      <c r="J1210" s="14" t="str">
        <f>IFERROR(__xludf.DUMMYFUNCTION("""COMPUTED_VALUE"""),"Delivered*Satisfied with the Delivery: Timely and quality")</f>
        <v>Delivered*Satisfied with the Delivery: Timely and quality</v>
      </c>
      <c r="K1210" s="14" t="str">
        <f>IFERROR(__xludf.DUMMYFUNCTION("split(E1210,""+"")"),"Onion")</f>
        <v>Onion</v>
      </c>
      <c r="L1210" s="14" t="str">
        <f>IFERROR(__xludf.DUMMYFUNCTION("""COMPUTED_VALUE"""),"1*Sita T")</f>
        <v>1*Sita T</v>
      </c>
      <c r="M1210" s="14">
        <f>IFERROR(__xludf.DUMMYFUNCTION("SPLIT(L1210,""*"")"),1.0)</f>
        <v>1</v>
      </c>
      <c r="N1210" s="14" t="str">
        <f>IFERROR(__xludf.DUMMYFUNCTION("""COMPUTED_VALUE"""),"Sita T")</f>
        <v>Sita T</v>
      </c>
      <c r="O1210" s="14" t="str">
        <f>IFERROR(__xludf.DUMMYFUNCTION("split(J1210,""*"")"),"Delivered")</f>
        <v>Delivered</v>
      </c>
      <c r="P1210" s="14" t="str">
        <f>IFERROR(__xludf.DUMMYFUNCTION("""COMPUTED_VALUE"""),"Satisfied with the Delivery: Timely and quality")</f>
        <v>Satisfied with the Delivery: Timely and quality</v>
      </c>
      <c r="Q1210" s="14" t="str">
        <f>IFERROR(__xludf.DUMMYFUNCTION("split(P1210,"":"")"),"Satisfied with the Delivery")</f>
        <v>Satisfied with the Delivery</v>
      </c>
      <c r="R1210" s="14" t="str">
        <f>IFERROR(__xludf.DUMMYFUNCTION("""COMPUTED_VALUE""")," Timely and quality")</f>
        <v> Timely and quality</v>
      </c>
      <c r="S1210" s="14" t="str">
        <f t="shared" ref="S1210:U1210" si="2423">trim(B1210)</f>
        <v>ord_61188</v>
      </c>
      <c r="T1210" s="14" t="str">
        <f t="shared" si="2423"/>
        <v>Pranav Joshi</v>
      </c>
      <c r="U1210" s="14" t="str">
        <f t="shared" si="2423"/>
        <v>Andheri</v>
      </c>
      <c r="V1210" s="14" t="str">
        <f t="shared" si="4"/>
        <v>Onion</v>
      </c>
      <c r="W1210" s="14">
        <f t="shared" si="5"/>
        <v>1</v>
      </c>
      <c r="X1210" s="14" t="str">
        <f t="shared" si="6"/>
        <v>Sita T</v>
      </c>
      <c r="Y1210" s="15">
        <f t="shared" si="7"/>
        <v>45076</v>
      </c>
      <c r="Z1210" s="14" t="str">
        <f t="shared" si="8"/>
        <v>COD</v>
      </c>
      <c r="AA1210" s="14" t="str">
        <f t="shared" si="9"/>
        <v>Delivered</v>
      </c>
      <c r="AB1210" s="14" t="str">
        <f t="shared" ref="AB1210:AC1210" si="2424">trim(Q1210)</f>
        <v>Satisfied with the Delivery</v>
      </c>
      <c r="AC1210" s="14" t="str">
        <f t="shared" si="2424"/>
        <v>Timely and quality</v>
      </c>
      <c r="AD1210" s="8"/>
    </row>
    <row r="1211">
      <c r="A1211" s="14" t="str">
        <f>IFERROR(__xludf.DUMMYFUNCTION("""COMPUTED_VALUE"""),"//ord_61189//Parth Goel//Juhu//Chicken Puff+2*Sita T/1/24/2023//UPI//Delivered*Customer Service: Seamless and easy")</f>
        <v>//ord_61189//Parth Goel//Juhu//Chicken Puff+2*Sita T/1/24/2023//UPI//Delivered*Customer Service: Seamless and easy</v>
      </c>
      <c r="B1211" s="14" t="str">
        <f>IFERROR(__xludf.DUMMYFUNCTION("split(A1211,""//"")"),"ord_61189")</f>
        <v>ord_61189</v>
      </c>
      <c r="C1211" s="14" t="str">
        <f>IFERROR(__xludf.DUMMYFUNCTION("""COMPUTED_VALUE"""),"Parth Goel")</f>
        <v>Parth Goel</v>
      </c>
      <c r="D1211" s="14" t="str">
        <f>IFERROR(__xludf.DUMMYFUNCTION("""COMPUTED_VALUE"""),"Juhu")</f>
        <v>Juhu</v>
      </c>
      <c r="E1211" s="14" t="str">
        <f>IFERROR(__xludf.DUMMYFUNCTION("""COMPUTED_VALUE"""),"Chicken Puff+2*Sita T")</f>
        <v>Chicken Puff+2*Sita T</v>
      </c>
      <c r="F1211" s="14">
        <f>IFERROR(__xludf.DUMMYFUNCTION("""COMPUTED_VALUE"""),1.0)</f>
        <v>1</v>
      </c>
      <c r="G1211" s="14">
        <f>IFERROR(__xludf.DUMMYFUNCTION("""COMPUTED_VALUE"""),24.0)</f>
        <v>24</v>
      </c>
      <c r="H1211" s="14">
        <f>IFERROR(__xludf.DUMMYFUNCTION("""COMPUTED_VALUE"""),2023.0)</f>
        <v>2023</v>
      </c>
      <c r="I1211" s="14" t="str">
        <f>IFERROR(__xludf.DUMMYFUNCTION("""COMPUTED_VALUE"""),"UPI")</f>
        <v>UPI</v>
      </c>
      <c r="J1211" s="14" t="str">
        <f>IFERROR(__xludf.DUMMYFUNCTION("""COMPUTED_VALUE"""),"Delivered*Customer Service: Seamless and easy")</f>
        <v>Delivered*Customer Service: Seamless and easy</v>
      </c>
      <c r="K1211" s="14" t="str">
        <f>IFERROR(__xludf.DUMMYFUNCTION("split(E1211,""+"")"),"Chicken Puff")</f>
        <v>Chicken Puff</v>
      </c>
      <c r="L1211" s="14" t="str">
        <f>IFERROR(__xludf.DUMMYFUNCTION("""COMPUTED_VALUE"""),"2*Sita T")</f>
        <v>2*Sita T</v>
      </c>
      <c r="M1211" s="14">
        <f>IFERROR(__xludf.DUMMYFUNCTION("SPLIT(L1211,""*"")"),2.0)</f>
        <v>2</v>
      </c>
      <c r="N1211" s="14" t="str">
        <f>IFERROR(__xludf.DUMMYFUNCTION("""COMPUTED_VALUE"""),"Sita T")</f>
        <v>Sita T</v>
      </c>
      <c r="O1211" s="14" t="str">
        <f>IFERROR(__xludf.DUMMYFUNCTION("split(J1211,""*"")"),"Delivered")</f>
        <v>Delivered</v>
      </c>
      <c r="P1211" s="14" t="str">
        <f>IFERROR(__xludf.DUMMYFUNCTION("""COMPUTED_VALUE"""),"Customer Service: Seamless and easy")</f>
        <v>Customer Service: Seamless and easy</v>
      </c>
      <c r="Q1211" s="14" t="str">
        <f>IFERROR(__xludf.DUMMYFUNCTION("split(P1211,"":"")"),"Customer Service")</f>
        <v>Customer Service</v>
      </c>
      <c r="R1211" s="14" t="str">
        <f>IFERROR(__xludf.DUMMYFUNCTION("""COMPUTED_VALUE""")," Seamless and easy")</f>
        <v> Seamless and easy</v>
      </c>
      <c r="S1211" s="14" t="str">
        <f t="shared" ref="S1211:U1211" si="2425">trim(B1211)</f>
        <v>ord_61189</v>
      </c>
      <c r="T1211" s="14" t="str">
        <f t="shared" si="2425"/>
        <v>Parth Goel</v>
      </c>
      <c r="U1211" s="14" t="str">
        <f t="shared" si="2425"/>
        <v>Juhu</v>
      </c>
      <c r="V1211" s="14" t="str">
        <f t="shared" si="4"/>
        <v>Chicken Puff</v>
      </c>
      <c r="W1211" s="14">
        <f t="shared" si="5"/>
        <v>2</v>
      </c>
      <c r="X1211" s="14" t="str">
        <f t="shared" si="6"/>
        <v>Sita T</v>
      </c>
      <c r="Y1211" s="15">
        <f t="shared" si="7"/>
        <v>44950</v>
      </c>
      <c r="Z1211" s="14" t="str">
        <f t="shared" si="8"/>
        <v>UPI</v>
      </c>
      <c r="AA1211" s="14" t="str">
        <f t="shared" si="9"/>
        <v>Delivered</v>
      </c>
      <c r="AB1211" s="14" t="str">
        <f t="shared" ref="AB1211:AC1211" si="2426">trim(Q1211)</f>
        <v>Customer Service</v>
      </c>
      <c r="AC1211" s="14" t="str">
        <f t="shared" si="2426"/>
        <v>Seamless and easy</v>
      </c>
      <c r="AD1211" s="8"/>
    </row>
    <row r="1212">
      <c r="A1212" s="14" t="str">
        <f>IFERROR(__xludf.DUMMYFUNCTION("""COMPUTED_VALUE"""),"//ord_61190//Ritika Dutta//Lower Parel//Chicken Puff+9*Ramesh S/8/30/2023//Online Payment//Delivered*Delivery Experience: Quick and professional")</f>
        <v>//ord_61190//Ritika Dutta//Lower Parel//Chicken Puff+9*Ramesh S/8/30/2023//Online Payment//Delivered*Delivery Experience: Quick and professional</v>
      </c>
      <c r="B1212" s="14" t="str">
        <f>IFERROR(__xludf.DUMMYFUNCTION("split(A1212,""//"")"),"ord_61190")</f>
        <v>ord_61190</v>
      </c>
      <c r="C1212" s="14" t="str">
        <f>IFERROR(__xludf.DUMMYFUNCTION("""COMPUTED_VALUE"""),"Ritika Dutta")</f>
        <v>Ritika Dutta</v>
      </c>
      <c r="D1212" s="14" t="str">
        <f>IFERROR(__xludf.DUMMYFUNCTION("""COMPUTED_VALUE"""),"Lower Parel")</f>
        <v>Lower Parel</v>
      </c>
      <c r="E1212" s="14" t="str">
        <f>IFERROR(__xludf.DUMMYFUNCTION("""COMPUTED_VALUE"""),"Chicken Puff+9*Ramesh S")</f>
        <v>Chicken Puff+9*Ramesh S</v>
      </c>
      <c r="F1212" s="14">
        <f>IFERROR(__xludf.DUMMYFUNCTION("""COMPUTED_VALUE"""),8.0)</f>
        <v>8</v>
      </c>
      <c r="G1212" s="14">
        <f>IFERROR(__xludf.DUMMYFUNCTION("""COMPUTED_VALUE"""),30.0)</f>
        <v>30</v>
      </c>
      <c r="H1212" s="14">
        <f>IFERROR(__xludf.DUMMYFUNCTION("""COMPUTED_VALUE"""),2023.0)</f>
        <v>2023</v>
      </c>
      <c r="I1212" s="14" t="str">
        <f>IFERROR(__xludf.DUMMYFUNCTION("""COMPUTED_VALUE"""),"Online Payment")</f>
        <v>Online Payment</v>
      </c>
      <c r="J1212" s="14" t="str">
        <f>IFERROR(__xludf.DUMMYFUNCTION("""COMPUTED_VALUE"""),"Delivered*Delivery Experience: Quick and professional")</f>
        <v>Delivered*Delivery Experience: Quick and professional</v>
      </c>
      <c r="K1212" s="14" t="str">
        <f>IFERROR(__xludf.DUMMYFUNCTION("split(E1212,""+"")"),"Chicken Puff")</f>
        <v>Chicken Puff</v>
      </c>
      <c r="L1212" s="14" t="str">
        <f>IFERROR(__xludf.DUMMYFUNCTION("""COMPUTED_VALUE"""),"9*Ramesh S")</f>
        <v>9*Ramesh S</v>
      </c>
      <c r="M1212" s="14">
        <f>IFERROR(__xludf.DUMMYFUNCTION("SPLIT(L1212,""*"")"),9.0)</f>
        <v>9</v>
      </c>
      <c r="N1212" s="14" t="str">
        <f>IFERROR(__xludf.DUMMYFUNCTION("""COMPUTED_VALUE"""),"Ramesh S")</f>
        <v>Ramesh S</v>
      </c>
      <c r="O1212" s="14" t="str">
        <f>IFERROR(__xludf.DUMMYFUNCTION("split(J1212,""*"")"),"Delivered")</f>
        <v>Delivered</v>
      </c>
      <c r="P1212" s="14" t="str">
        <f>IFERROR(__xludf.DUMMYFUNCTION("""COMPUTED_VALUE"""),"Delivery Experience: Quick and professional")</f>
        <v>Delivery Experience: Quick and professional</v>
      </c>
      <c r="Q1212" s="14" t="str">
        <f>IFERROR(__xludf.DUMMYFUNCTION("split(P1212,"":"")"),"Delivery Experience")</f>
        <v>Delivery Experience</v>
      </c>
      <c r="R1212" s="14" t="str">
        <f>IFERROR(__xludf.DUMMYFUNCTION("""COMPUTED_VALUE""")," Quick and professional")</f>
        <v> Quick and professional</v>
      </c>
      <c r="S1212" s="14" t="str">
        <f t="shared" ref="S1212:U1212" si="2427">trim(B1212)</f>
        <v>ord_61190</v>
      </c>
      <c r="T1212" s="14" t="str">
        <f t="shared" si="2427"/>
        <v>Ritika Dutta</v>
      </c>
      <c r="U1212" s="14" t="str">
        <f t="shared" si="2427"/>
        <v>Lower Parel</v>
      </c>
      <c r="V1212" s="14" t="str">
        <f t="shared" si="4"/>
        <v>Chicken Puff</v>
      </c>
      <c r="W1212" s="14">
        <f t="shared" si="5"/>
        <v>9</v>
      </c>
      <c r="X1212" s="14" t="str">
        <f t="shared" si="6"/>
        <v>Ramesh S</v>
      </c>
      <c r="Y1212" s="15">
        <f t="shared" si="7"/>
        <v>45168</v>
      </c>
      <c r="Z1212" s="14" t="str">
        <f t="shared" si="8"/>
        <v>Online Payment</v>
      </c>
      <c r="AA1212" s="14" t="str">
        <f t="shared" si="9"/>
        <v>Delivered</v>
      </c>
      <c r="AB1212" s="14" t="str">
        <f t="shared" ref="AB1212:AC1212" si="2428">trim(Q1212)</f>
        <v>Delivery Experience</v>
      </c>
      <c r="AC1212" s="14" t="str">
        <f t="shared" si="2428"/>
        <v>Quick and professional</v>
      </c>
      <c r="AD1212" s="8"/>
    </row>
    <row r="1213">
      <c r="A1213" s="14" t="str">
        <f>IFERROR(__xludf.DUMMYFUNCTION("""COMPUTED_VALUE"""),"//ord_61191//Simran Bhatt//Juhu//Juice+1*Ram Gopal/11/21/2023//Online Payment//Delivered*Convenience: Easy tracking")</f>
        <v>//ord_61191//Simran Bhatt//Juhu//Juice+1*Ram Gopal/11/21/2023//Online Payment//Delivered*Convenience: Easy tracking</v>
      </c>
      <c r="B1213" s="14" t="str">
        <f>IFERROR(__xludf.DUMMYFUNCTION("split(A1213,""//"")"),"ord_61191")</f>
        <v>ord_61191</v>
      </c>
      <c r="C1213" s="14" t="str">
        <f>IFERROR(__xludf.DUMMYFUNCTION("""COMPUTED_VALUE"""),"Simran Bhatt")</f>
        <v>Simran Bhatt</v>
      </c>
      <c r="D1213" s="14" t="str">
        <f>IFERROR(__xludf.DUMMYFUNCTION("""COMPUTED_VALUE"""),"Juhu")</f>
        <v>Juhu</v>
      </c>
      <c r="E1213" s="14" t="str">
        <f>IFERROR(__xludf.DUMMYFUNCTION("""COMPUTED_VALUE"""),"Juice+1*Ram Gopal")</f>
        <v>Juice+1*Ram Gopal</v>
      </c>
      <c r="F1213" s="14">
        <f>IFERROR(__xludf.DUMMYFUNCTION("""COMPUTED_VALUE"""),11.0)</f>
        <v>11</v>
      </c>
      <c r="G1213" s="14">
        <f>IFERROR(__xludf.DUMMYFUNCTION("""COMPUTED_VALUE"""),21.0)</f>
        <v>21</v>
      </c>
      <c r="H1213" s="14">
        <f>IFERROR(__xludf.DUMMYFUNCTION("""COMPUTED_VALUE"""),2023.0)</f>
        <v>2023</v>
      </c>
      <c r="I1213" s="14" t="str">
        <f>IFERROR(__xludf.DUMMYFUNCTION("""COMPUTED_VALUE"""),"Online Payment")</f>
        <v>Online Payment</v>
      </c>
      <c r="J1213" s="14" t="str">
        <f>IFERROR(__xludf.DUMMYFUNCTION("""COMPUTED_VALUE"""),"Delivered*Convenience: Easy tracking")</f>
        <v>Delivered*Convenience: Easy tracking</v>
      </c>
      <c r="K1213" s="14" t="str">
        <f>IFERROR(__xludf.DUMMYFUNCTION("split(E1213,""+"")"),"Juice")</f>
        <v>Juice</v>
      </c>
      <c r="L1213" s="14" t="str">
        <f>IFERROR(__xludf.DUMMYFUNCTION("""COMPUTED_VALUE"""),"1*Ram Gopal")</f>
        <v>1*Ram Gopal</v>
      </c>
      <c r="M1213" s="14">
        <f>IFERROR(__xludf.DUMMYFUNCTION("SPLIT(L1213,""*"")"),1.0)</f>
        <v>1</v>
      </c>
      <c r="N1213" s="14" t="str">
        <f>IFERROR(__xludf.DUMMYFUNCTION("""COMPUTED_VALUE"""),"Ram Gopal")</f>
        <v>Ram Gopal</v>
      </c>
      <c r="O1213" s="14" t="str">
        <f>IFERROR(__xludf.DUMMYFUNCTION("split(J1213,""*"")"),"Delivered")</f>
        <v>Delivered</v>
      </c>
      <c r="P1213" s="14" t="str">
        <f>IFERROR(__xludf.DUMMYFUNCTION("""COMPUTED_VALUE"""),"Convenience: Easy tracking")</f>
        <v>Convenience: Easy tracking</v>
      </c>
      <c r="Q1213" s="14" t="str">
        <f>IFERROR(__xludf.DUMMYFUNCTION("split(P1213,"":"")"),"Convenience")</f>
        <v>Convenience</v>
      </c>
      <c r="R1213" s="14" t="str">
        <f>IFERROR(__xludf.DUMMYFUNCTION("""COMPUTED_VALUE""")," Easy tracking")</f>
        <v> Easy tracking</v>
      </c>
      <c r="S1213" s="14" t="str">
        <f t="shared" ref="S1213:U1213" si="2429">trim(B1213)</f>
        <v>ord_61191</v>
      </c>
      <c r="T1213" s="14" t="str">
        <f t="shared" si="2429"/>
        <v>Simran Bhatt</v>
      </c>
      <c r="U1213" s="14" t="str">
        <f t="shared" si="2429"/>
        <v>Juhu</v>
      </c>
      <c r="V1213" s="14" t="str">
        <f t="shared" si="4"/>
        <v>Juice</v>
      </c>
      <c r="W1213" s="14">
        <f t="shared" si="5"/>
        <v>1</v>
      </c>
      <c r="X1213" s="14" t="str">
        <f t="shared" si="6"/>
        <v>Ram Gopal</v>
      </c>
      <c r="Y1213" s="15">
        <f t="shared" si="7"/>
        <v>45251</v>
      </c>
      <c r="Z1213" s="14" t="str">
        <f t="shared" si="8"/>
        <v>Online Payment</v>
      </c>
      <c r="AA1213" s="14" t="str">
        <f t="shared" si="9"/>
        <v>Delivered</v>
      </c>
      <c r="AB1213" s="14" t="str">
        <f t="shared" ref="AB1213:AC1213" si="2430">trim(Q1213)</f>
        <v>Convenience</v>
      </c>
      <c r="AC1213" s="14" t="str">
        <f t="shared" si="2430"/>
        <v>Easy tracking</v>
      </c>
      <c r="AD1213" s="8"/>
    </row>
    <row r="1214">
      <c r="A1214" s="14" t="str">
        <f>IFERROR(__xludf.DUMMYFUNCTION("""COMPUTED_VALUE"""),"//ord_61192//Tanishq Bansal//Powai//Chilli Cheese Toast+1*Ramesh S/2/6/2023//UPI//Delivered*Overall Satisfaction: Great service will order again")</f>
        <v>//ord_61192//Tanishq Bansal//Powai//Chilli Cheese Toast+1*Ramesh S/2/6/2023//UPI//Delivered*Overall Satisfaction: Great service will order again</v>
      </c>
      <c r="B1214" s="14" t="str">
        <f>IFERROR(__xludf.DUMMYFUNCTION("split(A1214,""//"")"),"ord_61192")</f>
        <v>ord_61192</v>
      </c>
      <c r="C1214" s="14" t="str">
        <f>IFERROR(__xludf.DUMMYFUNCTION("""COMPUTED_VALUE"""),"Tanishq Bansal")</f>
        <v>Tanishq Bansal</v>
      </c>
      <c r="D1214" s="14" t="str">
        <f>IFERROR(__xludf.DUMMYFUNCTION("""COMPUTED_VALUE"""),"Powai")</f>
        <v>Powai</v>
      </c>
      <c r="E1214" s="14" t="str">
        <f>IFERROR(__xludf.DUMMYFUNCTION("""COMPUTED_VALUE"""),"Chilli Cheese Toast+1*Ramesh S")</f>
        <v>Chilli Cheese Toast+1*Ramesh S</v>
      </c>
      <c r="F1214" s="14">
        <f>IFERROR(__xludf.DUMMYFUNCTION("""COMPUTED_VALUE"""),2.0)</f>
        <v>2</v>
      </c>
      <c r="G1214" s="14">
        <f>IFERROR(__xludf.DUMMYFUNCTION("""COMPUTED_VALUE"""),6.0)</f>
        <v>6</v>
      </c>
      <c r="H1214" s="14">
        <f>IFERROR(__xludf.DUMMYFUNCTION("""COMPUTED_VALUE"""),2023.0)</f>
        <v>2023</v>
      </c>
      <c r="I1214" s="14" t="str">
        <f>IFERROR(__xludf.DUMMYFUNCTION("""COMPUTED_VALUE"""),"UPI")</f>
        <v>UPI</v>
      </c>
      <c r="J1214" s="14" t="str">
        <f>IFERROR(__xludf.DUMMYFUNCTION("""COMPUTED_VALUE"""),"Delivered*Overall Satisfaction: Great service will order again")</f>
        <v>Delivered*Overall Satisfaction: Great service will order again</v>
      </c>
      <c r="K1214" s="14" t="str">
        <f>IFERROR(__xludf.DUMMYFUNCTION("split(E1214,""+"")"),"Chilli Cheese Toast")</f>
        <v>Chilli Cheese Toast</v>
      </c>
      <c r="L1214" s="14" t="str">
        <f>IFERROR(__xludf.DUMMYFUNCTION("""COMPUTED_VALUE"""),"1*Ramesh S")</f>
        <v>1*Ramesh S</v>
      </c>
      <c r="M1214" s="14">
        <f>IFERROR(__xludf.DUMMYFUNCTION("SPLIT(L1214,""*"")"),1.0)</f>
        <v>1</v>
      </c>
      <c r="N1214" s="14" t="str">
        <f>IFERROR(__xludf.DUMMYFUNCTION("""COMPUTED_VALUE"""),"Ramesh S")</f>
        <v>Ramesh S</v>
      </c>
      <c r="O1214" s="14" t="str">
        <f>IFERROR(__xludf.DUMMYFUNCTION("split(J1214,""*"")"),"Delivered")</f>
        <v>Delivered</v>
      </c>
      <c r="P1214" s="14" t="str">
        <f>IFERROR(__xludf.DUMMYFUNCTION("""COMPUTED_VALUE"""),"Overall Satisfaction: Great service will order again")</f>
        <v>Overall Satisfaction: Great service will order again</v>
      </c>
      <c r="Q1214" s="14" t="str">
        <f>IFERROR(__xludf.DUMMYFUNCTION("split(P1214,"":"")"),"Overall Satisfaction")</f>
        <v>Overall Satisfaction</v>
      </c>
      <c r="R1214" s="14" t="str">
        <f>IFERROR(__xludf.DUMMYFUNCTION("""COMPUTED_VALUE""")," Great service will order again")</f>
        <v> Great service will order again</v>
      </c>
      <c r="S1214" s="14" t="str">
        <f t="shared" ref="S1214:U1214" si="2431">trim(B1214)</f>
        <v>ord_61192</v>
      </c>
      <c r="T1214" s="14" t="str">
        <f t="shared" si="2431"/>
        <v>Tanishq Bansal</v>
      </c>
      <c r="U1214" s="14" t="str">
        <f t="shared" si="2431"/>
        <v>Powai</v>
      </c>
      <c r="V1214" s="14" t="str">
        <f t="shared" si="4"/>
        <v>Chilli Cheese Toast</v>
      </c>
      <c r="W1214" s="14">
        <f t="shared" si="5"/>
        <v>1</v>
      </c>
      <c r="X1214" s="14" t="str">
        <f t="shared" si="6"/>
        <v>Ramesh S</v>
      </c>
      <c r="Y1214" s="15">
        <f t="shared" si="7"/>
        <v>44963</v>
      </c>
      <c r="Z1214" s="14" t="str">
        <f t="shared" si="8"/>
        <v>UPI</v>
      </c>
      <c r="AA1214" s="14" t="str">
        <f t="shared" si="9"/>
        <v>Delivered</v>
      </c>
      <c r="AB1214" s="14" t="str">
        <f t="shared" ref="AB1214:AC1214" si="2432">trim(Q1214)</f>
        <v>Overall Satisfaction</v>
      </c>
      <c r="AC1214" s="14" t="str">
        <f t="shared" si="2432"/>
        <v>Great service will order again</v>
      </c>
      <c r="AD1214" s="8"/>
    </row>
    <row r="1215">
      <c r="A1215" s="14" t="str">
        <f>IFERROR(__xludf.DUMMYFUNCTION("""COMPUTED_VALUE"""),"//ord_61193//Aarohi Kapoor//Bandra//Tiramisu+1*Venu R/10/6/2023//Online Payment//Delivered*On-time Delivery: Delivered on time")</f>
        <v>//ord_61193//Aarohi Kapoor//Bandra//Tiramisu+1*Venu R/10/6/2023//Online Payment//Delivered*On-time Delivery: Delivered on time</v>
      </c>
      <c r="B1215" s="14" t="str">
        <f>IFERROR(__xludf.DUMMYFUNCTION("split(A1215,""//"")"),"ord_61193")</f>
        <v>ord_61193</v>
      </c>
      <c r="C1215" s="14" t="str">
        <f>IFERROR(__xludf.DUMMYFUNCTION("""COMPUTED_VALUE"""),"Aarohi Kapoor")</f>
        <v>Aarohi Kapoor</v>
      </c>
      <c r="D1215" s="14" t="str">
        <f>IFERROR(__xludf.DUMMYFUNCTION("""COMPUTED_VALUE"""),"Bandra")</f>
        <v>Bandra</v>
      </c>
      <c r="E1215" s="14" t="str">
        <f>IFERROR(__xludf.DUMMYFUNCTION("""COMPUTED_VALUE"""),"Tiramisu+1*Venu R")</f>
        <v>Tiramisu+1*Venu R</v>
      </c>
      <c r="F1215" s="14">
        <f>IFERROR(__xludf.DUMMYFUNCTION("""COMPUTED_VALUE"""),10.0)</f>
        <v>10</v>
      </c>
      <c r="G1215" s="14">
        <f>IFERROR(__xludf.DUMMYFUNCTION("""COMPUTED_VALUE"""),6.0)</f>
        <v>6</v>
      </c>
      <c r="H1215" s="14">
        <f>IFERROR(__xludf.DUMMYFUNCTION("""COMPUTED_VALUE"""),2023.0)</f>
        <v>2023</v>
      </c>
      <c r="I1215" s="14" t="str">
        <f>IFERROR(__xludf.DUMMYFUNCTION("""COMPUTED_VALUE"""),"Online Payment")</f>
        <v>Online Payment</v>
      </c>
      <c r="J1215" s="14" t="str">
        <f>IFERROR(__xludf.DUMMYFUNCTION("""COMPUTED_VALUE"""),"Delivered*On-time Delivery: Delivered on time")</f>
        <v>Delivered*On-time Delivery: Delivered on time</v>
      </c>
      <c r="K1215" s="14" t="str">
        <f>IFERROR(__xludf.DUMMYFUNCTION("split(E1215,""+"")"),"Tiramisu")</f>
        <v>Tiramisu</v>
      </c>
      <c r="L1215" s="14" t="str">
        <f>IFERROR(__xludf.DUMMYFUNCTION("""COMPUTED_VALUE"""),"1*Venu R")</f>
        <v>1*Venu R</v>
      </c>
      <c r="M1215" s="14">
        <f>IFERROR(__xludf.DUMMYFUNCTION("SPLIT(L1215,""*"")"),1.0)</f>
        <v>1</v>
      </c>
      <c r="N1215" s="14" t="str">
        <f>IFERROR(__xludf.DUMMYFUNCTION("""COMPUTED_VALUE"""),"Venu R")</f>
        <v>Venu R</v>
      </c>
      <c r="O1215" s="14" t="str">
        <f>IFERROR(__xludf.DUMMYFUNCTION("split(J1215,""*"")"),"Delivered")</f>
        <v>Delivered</v>
      </c>
      <c r="P1215" s="14" t="str">
        <f>IFERROR(__xludf.DUMMYFUNCTION("""COMPUTED_VALUE"""),"On-time Delivery: Delivered on time")</f>
        <v>On-time Delivery: Delivered on time</v>
      </c>
      <c r="Q1215" s="14" t="str">
        <f>IFERROR(__xludf.DUMMYFUNCTION("split(P1215,"":"")"),"On-time Delivery")</f>
        <v>On-time Delivery</v>
      </c>
      <c r="R1215" s="14" t="str">
        <f>IFERROR(__xludf.DUMMYFUNCTION("""COMPUTED_VALUE""")," Delivered on time")</f>
        <v> Delivered on time</v>
      </c>
      <c r="S1215" s="14" t="str">
        <f t="shared" ref="S1215:U1215" si="2433">trim(B1215)</f>
        <v>ord_61193</v>
      </c>
      <c r="T1215" s="14" t="str">
        <f t="shared" si="2433"/>
        <v>Aarohi Kapoor</v>
      </c>
      <c r="U1215" s="14" t="str">
        <f t="shared" si="2433"/>
        <v>Bandra</v>
      </c>
      <c r="V1215" s="14" t="str">
        <f t="shared" si="4"/>
        <v>Tiramisu</v>
      </c>
      <c r="W1215" s="14">
        <f t="shared" si="5"/>
        <v>1</v>
      </c>
      <c r="X1215" s="14" t="str">
        <f t="shared" si="6"/>
        <v>Venu R</v>
      </c>
      <c r="Y1215" s="15">
        <f t="shared" si="7"/>
        <v>45205</v>
      </c>
      <c r="Z1215" s="14" t="str">
        <f t="shared" si="8"/>
        <v>Online Payment</v>
      </c>
      <c r="AA1215" s="14" t="str">
        <f t="shared" si="9"/>
        <v>Delivered</v>
      </c>
      <c r="AB1215" s="14" t="str">
        <f t="shared" ref="AB1215:AC1215" si="2434">trim(Q1215)</f>
        <v>On-time Delivery</v>
      </c>
      <c r="AC1215" s="14" t="str">
        <f t="shared" si="2434"/>
        <v>Delivered on time</v>
      </c>
      <c r="AD1215" s="8"/>
    </row>
    <row r="1216">
      <c r="A1216" s="14" t="str">
        <f>IFERROR(__xludf.DUMMYFUNCTION("""COMPUTED_VALUE"""),"//ord_61194//Aarohi Kapoor//Bandra//Veg Puff+1*Vivek Kumar/11/12/2023//UPI//Delivered*Quality of Items: Perfect condition")</f>
        <v>//ord_61194//Aarohi Kapoor//Bandra//Veg Puff+1*Vivek Kumar/11/12/2023//UPI//Delivered*Quality of Items: Perfect condition</v>
      </c>
      <c r="B1216" s="14" t="str">
        <f>IFERROR(__xludf.DUMMYFUNCTION("split(A1216,""//"")"),"ord_61194")</f>
        <v>ord_61194</v>
      </c>
      <c r="C1216" s="14" t="str">
        <f>IFERROR(__xludf.DUMMYFUNCTION("""COMPUTED_VALUE"""),"Aarohi Kapoor")</f>
        <v>Aarohi Kapoor</v>
      </c>
      <c r="D1216" s="14" t="str">
        <f>IFERROR(__xludf.DUMMYFUNCTION("""COMPUTED_VALUE"""),"Bandra")</f>
        <v>Bandra</v>
      </c>
      <c r="E1216" s="14" t="str">
        <f>IFERROR(__xludf.DUMMYFUNCTION("""COMPUTED_VALUE"""),"Veg Puff+1*Vivek Kumar")</f>
        <v>Veg Puff+1*Vivek Kumar</v>
      </c>
      <c r="F1216" s="14">
        <f>IFERROR(__xludf.DUMMYFUNCTION("""COMPUTED_VALUE"""),11.0)</f>
        <v>11</v>
      </c>
      <c r="G1216" s="14">
        <f>IFERROR(__xludf.DUMMYFUNCTION("""COMPUTED_VALUE"""),12.0)</f>
        <v>12</v>
      </c>
      <c r="H1216" s="14">
        <f>IFERROR(__xludf.DUMMYFUNCTION("""COMPUTED_VALUE"""),2023.0)</f>
        <v>2023</v>
      </c>
      <c r="I1216" s="14" t="str">
        <f>IFERROR(__xludf.DUMMYFUNCTION("""COMPUTED_VALUE"""),"UPI")</f>
        <v>UPI</v>
      </c>
      <c r="J1216" s="14" t="str">
        <f>IFERROR(__xludf.DUMMYFUNCTION("""COMPUTED_VALUE"""),"Delivered*Quality of Items: Perfect condition")</f>
        <v>Delivered*Quality of Items: Perfect condition</v>
      </c>
      <c r="K1216" s="14" t="str">
        <f>IFERROR(__xludf.DUMMYFUNCTION("split(E1216,""+"")"),"Veg Puff")</f>
        <v>Veg Puff</v>
      </c>
      <c r="L1216" s="14" t="str">
        <f>IFERROR(__xludf.DUMMYFUNCTION("""COMPUTED_VALUE"""),"1*Vivek Kumar")</f>
        <v>1*Vivek Kumar</v>
      </c>
      <c r="M1216" s="14">
        <f>IFERROR(__xludf.DUMMYFUNCTION("SPLIT(L1216,""*"")"),1.0)</f>
        <v>1</v>
      </c>
      <c r="N1216" s="14" t="str">
        <f>IFERROR(__xludf.DUMMYFUNCTION("""COMPUTED_VALUE"""),"Vivek Kumar")</f>
        <v>Vivek Kumar</v>
      </c>
      <c r="O1216" s="14" t="str">
        <f>IFERROR(__xludf.DUMMYFUNCTION("split(J1216,""*"")"),"Delivered")</f>
        <v>Delivered</v>
      </c>
      <c r="P1216" s="14" t="str">
        <f>IFERROR(__xludf.DUMMYFUNCTION("""COMPUTED_VALUE"""),"Quality of Items: Perfect condition")</f>
        <v>Quality of Items: Perfect condition</v>
      </c>
      <c r="Q1216" s="14" t="str">
        <f>IFERROR(__xludf.DUMMYFUNCTION("split(P1216,"":"")"),"Quality of Items")</f>
        <v>Quality of Items</v>
      </c>
      <c r="R1216" s="14" t="str">
        <f>IFERROR(__xludf.DUMMYFUNCTION("""COMPUTED_VALUE""")," Perfect condition")</f>
        <v> Perfect condition</v>
      </c>
      <c r="S1216" s="14" t="str">
        <f t="shared" ref="S1216:U1216" si="2435">trim(B1216)</f>
        <v>ord_61194</v>
      </c>
      <c r="T1216" s="14" t="str">
        <f t="shared" si="2435"/>
        <v>Aarohi Kapoor</v>
      </c>
      <c r="U1216" s="14" t="str">
        <f t="shared" si="2435"/>
        <v>Bandra</v>
      </c>
      <c r="V1216" s="14" t="str">
        <f t="shared" si="4"/>
        <v>Veg Puff</v>
      </c>
      <c r="W1216" s="14">
        <f t="shared" si="5"/>
        <v>1</v>
      </c>
      <c r="X1216" s="14" t="str">
        <f t="shared" si="6"/>
        <v>Vivek Kumar</v>
      </c>
      <c r="Y1216" s="15">
        <f t="shared" si="7"/>
        <v>45242</v>
      </c>
      <c r="Z1216" s="14" t="str">
        <f t="shared" si="8"/>
        <v>UPI</v>
      </c>
      <c r="AA1216" s="14" t="str">
        <f t="shared" si="9"/>
        <v>Delivered</v>
      </c>
      <c r="AB1216" s="14" t="str">
        <f t="shared" ref="AB1216:AC1216" si="2436">trim(Q1216)</f>
        <v>Quality of Items</v>
      </c>
      <c r="AC1216" s="14" t="str">
        <f t="shared" si="2436"/>
        <v>Perfect condition</v>
      </c>
      <c r="AD1216" s="8"/>
    </row>
    <row r="1217">
      <c r="A1217" s="14" t="str">
        <f>IFERROR(__xludf.DUMMYFUNCTION("""COMPUTED_VALUE"""),"//ord_61195//Pallavi Ghosh//Bandra//Apple+1*Vivek Kumar/9/21/2023//UPI//Delivered*On-time Delivery: Delivered on time")</f>
        <v>//ord_61195//Pallavi Ghosh//Bandra//Apple+1*Vivek Kumar/9/21/2023//UPI//Delivered*On-time Delivery: Delivered on time</v>
      </c>
      <c r="B1217" s="14" t="str">
        <f>IFERROR(__xludf.DUMMYFUNCTION("split(A1217,""//"")"),"ord_61195")</f>
        <v>ord_61195</v>
      </c>
      <c r="C1217" s="14" t="str">
        <f>IFERROR(__xludf.DUMMYFUNCTION("""COMPUTED_VALUE"""),"Pallavi Ghosh")</f>
        <v>Pallavi Ghosh</v>
      </c>
      <c r="D1217" s="14" t="str">
        <f>IFERROR(__xludf.DUMMYFUNCTION("""COMPUTED_VALUE"""),"Bandra")</f>
        <v>Bandra</v>
      </c>
      <c r="E1217" s="14" t="str">
        <f>IFERROR(__xludf.DUMMYFUNCTION("""COMPUTED_VALUE"""),"Apple+1*Vivek Kumar")</f>
        <v>Apple+1*Vivek Kumar</v>
      </c>
      <c r="F1217" s="14">
        <f>IFERROR(__xludf.DUMMYFUNCTION("""COMPUTED_VALUE"""),9.0)</f>
        <v>9</v>
      </c>
      <c r="G1217" s="14">
        <f>IFERROR(__xludf.DUMMYFUNCTION("""COMPUTED_VALUE"""),21.0)</f>
        <v>21</v>
      </c>
      <c r="H1217" s="14">
        <f>IFERROR(__xludf.DUMMYFUNCTION("""COMPUTED_VALUE"""),2023.0)</f>
        <v>2023</v>
      </c>
      <c r="I1217" s="14" t="str">
        <f>IFERROR(__xludf.DUMMYFUNCTION("""COMPUTED_VALUE"""),"UPI")</f>
        <v>UPI</v>
      </c>
      <c r="J1217" s="14" t="str">
        <f>IFERROR(__xludf.DUMMYFUNCTION("""COMPUTED_VALUE"""),"Delivered*On-time Delivery: Delivered on time")</f>
        <v>Delivered*On-time Delivery: Delivered on time</v>
      </c>
      <c r="K1217" s="14" t="str">
        <f>IFERROR(__xludf.DUMMYFUNCTION("split(E1217,""+"")"),"Apple")</f>
        <v>Apple</v>
      </c>
      <c r="L1217" s="14" t="str">
        <f>IFERROR(__xludf.DUMMYFUNCTION("""COMPUTED_VALUE"""),"1*Vivek Kumar")</f>
        <v>1*Vivek Kumar</v>
      </c>
      <c r="M1217" s="14">
        <f>IFERROR(__xludf.DUMMYFUNCTION("SPLIT(L1217,""*"")"),1.0)</f>
        <v>1</v>
      </c>
      <c r="N1217" s="14" t="str">
        <f>IFERROR(__xludf.DUMMYFUNCTION("""COMPUTED_VALUE"""),"Vivek Kumar")</f>
        <v>Vivek Kumar</v>
      </c>
      <c r="O1217" s="14" t="str">
        <f>IFERROR(__xludf.DUMMYFUNCTION("split(J1217,""*"")"),"Delivered")</f>
        <v>Delivered</v>
      </c>
      <c r="P1217" s="14" t="str">
        <f>IFERROR(__xludf.DUMMYFUNCTION("""COMPUTED_VALUE"""),"On-time Delivery: Delivered on time")</f>
        <v>On-time Delivery: Delivered on time</v>
      </c>
      <c r="Q1217" s="14" t="str">
        <f>IFERROR(__xludf.DUMMYFUNCTION("split(P1217,"":"")"),"On-time Delivery")</f>
        <v>On-time Delivery</v>
      </c>
      <c r="R1217" s="14" t="str">
        <f>IFERROR(__xludf.DUMMYFUNCTION("""COMPUTED_VALUE""")," Delivered on time")</f>
        <v> Delivered on time</v>
      </c>
      <c r="S1217" s="14" t="str">
        <f t="shared" ref="S1217:U1217" si="2437">trim(B1217)</f>
        <v>ord_61195</v>
      </c>
      <c r="T1217" s="14" t="str">
        <f t="shared" si="2437"/>
        <v>Pallavi Ghosh</v>
      </c>
      <c r="U1217" s="14" t="str">
        <f t="shared" si="2437"/>
        <v>Bandra</v>
      </c>
      <c r="V1217" s="14" t="str">
        <f t="shared" si="4"/>
        <v>Apple</v>
      </c>
      <c r="W1217" s="14">
        <f t="shared" si="5"/>
        <v>1</v>
      </c>
      <c r="X1217" s="14" t="str">
        <f t="shared" si="6"/>
        <v>Vivek Kumar</v>
      </c>
      <c r="Y1217" s="15">
        <f t="shared" si="7"/>
        <v>45190</v>
      </c>
      <c r="Z1217" s="14" t="str">
        <f t="shared" si="8"/>
        <v>UPI</v>
      </c>
      <c r="AA1217" s="14" t="str">
        <f t="shared" si="9"/>
        <v>Delivered</v>
      </c>
      <c r="AB1217" s="14" t="str">
        <f t="shared" ref="AB1217:AC1217" si="2438">trim(Q1217)</f>
        <v>On-time Delivery</v>
      </c>
      <c r="AC1217" s="14" t="str">
        <f t="shared" si="2438"/>
        <v>Delivered on time</v>
      </c>
      <c r="AD1217" s="8"/>
    </row>
    <row r="1218">
      <c r="A1218" s="14" t="str">
        <f>IFERROR(__xludf.DUMMYFUNCTION("""COMPUTED_VALUE"""),"//ord_61196//Aarav Mehta//Andheri//Potato+2*Vivek Kumar/12/27/2023//Credit Card//Delivered*Quality of Items: Perfect condition")</f>
        <v>//ord_61196//Aarav Mehta//Andheri//Potato+2*Vivek Kumar/12/27/2023//Credit Card//Delivered*Quality of Items: Perfect condition</v>
      </c>
      <c r="B1218" s="14" t="str">
        <f>IFERROR(__xludf.DUMMYFUNCTION("split(A1218,""//"")"),"ord_61196")</f>
        <v>ord_61196</v>
      </c>
      <c r="C1218" s="14" t="str">
        <f>IFERROR(__xludf.DUMMYFUNCTION("""COMPUTED_VALUE"""),"Aarav Mehta")</f>
        <v>Aarav Mehta</v>
      </c>
      <c r="D1218" s="14" t="str">
        <f>IFERROR(__xludf.DUMMYFUNCTION("""COMPUTED_VALUE"""),"Andheri")</f>
        <v>Andheri</v>
      </c>
      <c r="E1218" s="14" t="str">
        <f>IFERROR(__xludf.DUMMYFUNCTION("""COMPUTED_VALUE"""),"Potato+2*Vivek Kumar")</f>
        <v>Potato+2*Vivek Kumar</v>
      </c>
      <c r="F1218" s="14">
        <f>IFERROR(__xludf.DUMMYFUNCTION("""COMPUTED_VALUE"""),12.0)</f>
        <v>12</v>
      </c>
      <c r="G1218" s="14">
        <f>IFERROR(__xludf.DUMMYFUNCTION("""COMPUTED_VALUE"""),27.0)</f>
        <v>27</v>
      </c>
      <c r="H1218" s="14">
        <f>IFERROR(__xludf.DUMMYFUNCTION("""COMPUTED_VALUE"""),2023.0)</f>
        <v>2023</v>
      </c>
      <c r="I1218" s="14" t="str">
        <f>IFERROR(__xludf.DUMMYFUNCTION("""COMPUTED_VALUE"""),"Credit Card")</f>
        <v>Credit Card</v>
      </c>
      <c r="J1218" s="14" t="str">
        <f>IFERROR(__xludf.DUMMYFUNCTION("""COMPUTED_VALUE"""),"Delivered*Quality of Items: Perfect condition")</f>
        <v>Delivered*Quality of Items: Perfect condition</v>
      </c>
      <c r="K1218" s="14" t="str">
        <f>IFERROR(__xludf.DUMMYFUNCTION("split(E1218,""+"")"),"Potato")</f>
        <v>Potato</v>
      </c>
      <c r="L1218" s="14" t="str">
        <f>IFERROR(__xludf.DUMMYFUNCTION("""COMPUTED_VALUE"""),"2*Vivek Kumar")</f>
        <v>2*Vivek Kumar</v>
      </c>
      <c r="M1218" s="14">
        <f>IFERROR(__xludf.DUMMYFUNCTION("SPLIT(L1218,""*"")"),2.0)</f>
        <v>2</v>
      </c>
      <c r="N1218" s="14" t="str">
        <f>IFERROR(__xludf.DUMMYFUNCTION("""COMPUTED_VALUE"""),"Vivek Kumar")</f>
        <v>Vivek Kumar</v>
      </c>
      <c r="O1218" s="14" t="str">
        <f>IFERROR(__xludf.DUMMYFUNCTION("split(J1218,""*"")"),"Delivered")</f>
        <v>Delivered</v>
      </c>
      <c r="P1218" s="14" t="str">
        <f>IFERROR(__xludf.DUMMYFUNCTION("""COMPUTED_VALUE"""),"Quality of Items: Perfect condition")</f>
        <v>Quality of Items: Perfect condition</v>
      </c>
      <c r="Q1218" s="14" t="str">
        <f>IFERROR(__xludf.DUMMYFUNCTION("split(P1218,"":"")"),"Quality of Items")</f>
        <v>Quality of Items</v>
      </c>
      <c r="R1218" s="14" t="str">
        <f>IFERROR(__xludf.DUMMYFUNCTION("""COMPUTED_VALUE""")," Perfect condition")</f>
        <v> Perfect condition</v>
      </c>
      <c r="S1218" s="14" t="str">
        <f t="shared" ref="S1218:U1218" si="2439">trim(B1218)</f>
        <v>ord_61196</v>
      </c>
      <c r="T1218" s="14" t="str">
        <f t="shared" si="2439"/>
        <v>Aarav Mehta</v>
      </c>
      <c r="U1218" s="14" t="str">
        <f t="shared" si="2439"/>
        <v>Andheri</v>
      </c>
      <c r="V1218" s="14" t="str">
        <f t="shared" si="4"/>
        <v>Potato</v>
      </c>
      <c r="W1218" s="14">
        <f t="shared" si="5"/>
        <v>2</v>
      </c>
      <c r="X1218" s="14" t="str">
        <f t="shared" si="6"/>
        <v>Vivek Kumar</v>
      </c>
      <c r="Y1218" s="15">
        <f t="shared" si="7"/>
        <v>45287</v>
      </c>
      <c r="Z1218" s="14" t="str">
        <f t="shared" si="8"/>
        <v>Credit Card</v>
      </c>
      <c r="AA1218" s="14" t="str">
        <f t="shared" si="9"/>
        <v>Delivered</v>
      </c>
      <c r="AB1218" s="14" t="str">
        <f t="shared" ref="AB1218:AC1218" si="2440">trim(Q1218)</f>
        <v>Quality of Items</v>
      </c>
      <c r="AC1218" s="14" t="str">
        <f t="shared" si="2440"/>
        <v>Perfect condition</v>
      </c>
      <c r="AD1218" s="8"/>
    </row>
    <row r="1219">
      <c r="A1219" s="14" t="str">
        <f>IFERROR(__xludf.DUMMYFUNCTION("""COMPUTED_VALUE"""),"//ord_61197//Arvind Kulkarni//Juhu//Apple+2*Not Assigned/4/6/2023//Credit Card//Cancelled*Out of Stock")</f>
        <v>//ord_61197//Arvind Kulkarni//Juhu//Apple+2*Not Assigned/4/6/2023//Credit Card//Cancelled*Out of Stock</v>
      </c>
      <c r="B1219" s="14" t="str">
        <f>IFERROR(__xludf.DUMMYFUNCTION("split(A1219,""//"")"),"ord_61197")</f>
        <v>ord_61197</v>
      </c>
      <c r="C1219" s="14" t="str">
        <f>IFERROR(__xludf.DUMMYFUNCTION("""COMPUTED_VALUE"""),"Arvind Kulkarni")</f>
        <v>Arvind Kulkarni</v>
      </c>
      <c r="D1219" s="14" t="str">
        <f>IFERROR(__xludf.DUMMYFUNCTION("""COMPUTED_VALUE"""),"Juhu")</f>
        <v>Juhu</v>
      </c>
      <c r="E1219" s="14" t="str">
        <f>IFERROR(__xludf.DUMMYFUNCTION("""COMPUTED_VALUE"""),"Apple+2*Not Assigned")</f>
        <v>Apple+2*Not Assigned</v>
      </c>
      <c r="F1219" s="14">
        <f>IFERROR(__xludf.DUMMYFUNCTION("""COMPUTED_VALUE"""),4.0)</f>
        <v>4</v>
      </c>
      <c r="G1219" s="14">
        <f>IFERROR(__xludf.DUMMYFUNCTION("""COMPUTED_VALUE"""),6.0)</f>
        <v>6</v>
      </c>
      <c r="H1219" s="14">
        <f>IFERROR(__xludf.DUMMYFUNCTION("""COMPUTED_VALUE"""),2023.0)</f>
        <v>2023</v>
      </c>
      <c r="I1219" s="14" t="str">
        <f>IFERROR(__xludf.DUMMYFUNCTION("""COMPUTED_VALUE"""),"Credit Card")</f>
        <v>Credit Card</v>
      </c>
      <c r="J1219" s="14" t="str">
        <f>IFERROR(__xludf.DUMMYFUNCTION("""COMPUTED_VALUE"""),"Cancelled*Out of Stock")</f>
        <v>Cancelled*Out of Stock</v>
      </c>
      <c r="K1219" s="14" t="str">
        <f>IFERROR(__xludf.DUMMYFUNCTION("split(E1219,""+"")"),"Apple")</f>
        <v>Apple</v>
      </c>
      <c r="L1219" s="14" t="str">
        <f>IFERROR(__xludf.DUMMYFUNCTION("""COMPUTED_VALUE"""),"2*Not Assigned")</f>
        <v>2*Not Assigned</v>
      </c>
      <c r="M1219" s="14">
        <f>IFERROR(__xludf.DUMMYFUNCTION("SPLIT(L1219,""*"")"),2.0)</f>
        <v>2</v>
      </c>
      <c r="N1219" s="14" t="str">
        <f>IFERROR(__xludf.DUMMYFUNCTION("""COMPUTED_VALUE"""),"Not Assigned")</f>
        <v>Not Assigned</v>
      </c>
      <c r="O1219" s="14" t="str">
        <f>IFERROR(__xludf.DUMMYFUNCTION("split(J1219,""*"")"),"Cancelled")</f>
        <v>Cancelled</v>
      </c>
      <c r="P1219" s="14" t="str">
        <f>IFERROR(__xludf.DUMMYFUNCTION("""COMPUTED_VALUE"""),"Out of Stock")</f>
        <v>Out of Stock</v>
      </c>
      <c r="Q1219" s="14" t="str">
        <f>IFERROR(__xludf.DUMMYFUNCTION("split(P1219,"":"")"),"Out of Stock")</f>
        <v>Out of Stock</v>
      </c>
      <c r="R1219" s="14"/>
      <c r="S1219" s="14" t="str">
        <f t="shared" ref="S1219:U1219" si="2441">trim(B1219)</f>
        <v>ord_61197</v>
      </c>
      <c r="T1219" s="14" t="str">
        <f t="shared" si="2441"/>
        <v>Arvind Kulkarni</v>
      </c>
      <c r="U1219" s="14" t="str">
        <f t="shared" si="2441"/>
        <v>Juhu</v>
      </c>
      <c r="V1219" s="14" t="str">
        <f t="shared" si="4"/>
        <v>Apple</v>
      </c>
      <c r="W1219" s="14">
        <f t="shared" si="5"/>
        <v>2</v>
      </c>
      <c r="X1219" s="14" t="str">
        <f t="shared" si="6"/>
        <v>Not Assigned</v>
      </c>
      <c r="Y1219" s="15">
        <f t="shared" si="7"/>
        <v>45022</v>
      </c>
      <c r="Z1219" s="14" t="str">
        <f t="shared" si="8"/>
        <v>Credit Card</v>
      </c>
      <c r="AA1219" s="14" t="str">
        <f t="shared" si="9"/>
        <v>Cancelled</v>
      </c>
      <c r="AB1219" s="14" t="str">
        <f t="shared" ref="AB1219:AC1219" si="2442">trim(Q1219)</f>
        <v>Out of Stock</v>
      </c>
      <c r="AC1219" s="14" t="str">
        <f t="shared" si="2442"/>
        <v/>
      </c>
      <c r="AD1219" s="8"/>
    </row>
    <row r="1220">
      <c r="A1220" s="14" t="str">
        <f>IFERROR(__xludf.DUMMYFUNCTION("""COMPUTED_VALUE"""),"//ord_61198//Aarav Mehta//Andheri//Veg Puff+2*Ramesh S/11/30/2023//Online Payment//Delivered*Packaging: Secure and intact")</f>
        <v>//ord_61198//Aarav Mehta//Andheri//Veg Puff+2*Ramesh S/11/30/2023//Online Payment//Delivered*Packaging: Secure and intact</v>
      </c>
      <c r="B1220" s="14" t="str">
        <f>IFERROR(__xludf.DUMMYFUNCTION("split(A1220,""//"")"),"ord_61198")</f>
        <v>ord_61198</v>
      </c>
      <c r="C1220" s="14" t="str">
        <f>IFERROR(__xludf.DUMMYFUNCTION("""COMPUTED_VALUE"""),"Aarav Mehta")</f>
        <v>Aarav Mehta</v>
      </c>
      <c r="D1220" s="14" t="str">
        <f>IFERROR(__xludf.DUMMYFUNCTION("""COMPUTED_VALUE"""),"Andheri")</f>
        <v>Andheri</v>
      </c>
      <c r="E1220" s="14" t="str">
        <f>IFERROR(__xludf.DUMMYFUNCTION("""COMPUTED_VALUE"""),"Veg Puff+2*Ramesh S")</f>
        <v>Veg Puff+2*Ramesh S</v>
      </c>
      <c r="F1220" s="14">
        <f>IFERROR(__xludf.DUMMYFUNCTION("""COMPUTED_VALUE"""),11.0)</f>
        <v>11</v>
      </c>
      <c r="G1220" s="14">
        <f>IFERROR(__xludf.DUMMYFUNCTION("""COMPUTED_VALUE"""),30.0)</f>
        <v>30</v>
      </c>
      <c r="H1220" s="14">
        <f>IFERROR(__xludf.DUMMYFUNCTION("""COMPUTED_VALUE"""),2023.0)</f>
        <v>2023</v>
      </c>
      <c r="I1220" s="14" t="str">
        <f>IFERROR(__xludf.DUMMYFUNCTION("""COMPUTED_VALUE"""),"Online Payment")</f>
        <v>Online Payment</v>
      </c>
      <c r="J1220" s="14" t="str">
        <f>IFERROR(__xludf.DUMMYFUNCTION("""COMPUTED_VALUE"""),"Delivered*Packaging: Secure and intact")</f>
        <v>Delivered*Packaging: Secure and intact</v>
      </c>
      <c r="K1220" s="14" t="str">
        <f>IFERROR(__xludf.DUMMYFUNCTION("split(E1220,""+"")"),"Veg Puff")</f>
        <v>Veg Puff</v>
      </c>
      <c r="L1220" s="14" t="str">
        <f>IFERROR(__xludf.DUMMYFUNCTION("""COMPUTED_VALUE"""),"2*Ramesh S")</f>
        <v>2*Ramesh S</v>
      </c>
      <c r="M1220" s="14">
        <f>IFERROR(__xludf.DUMMYFUNCTION("SPLIT(L1220,""*"")"),2.0)</f>
        <v>2</v>
      </c>
      <c r="N1220" s="14" t="str">
        <f>IFERROR(__xludf.DUMMYFUNCTION("""COMPUTED_VALUE"""),"Ramesh S")</f>
        <v>Ramesh S</v>
      </c>
      <c r="O1220" s="14" t="str">
        <f>IFERROR(__xludf.DUMMYFUNCTION("split(J1220,""*"")"),"Delivered")</f>
        <v>Delivered</v>
      </c>
      <c r="P1220" s="14" t="str">
        <f>IFERROR(__xludf.DUMMYFUNCTION("""COMPUTED_VALUE"""),"Packaging: Secure and intact")</f>
        <v>Packaging: Secure and intact</v>
      </c>
      <c r="Q1220" s="14" t="str">
        <f>IFERROR(__xludf.DUMMYFUNCTION("split(P1220,"":"")"),"Packaging")</f>
        <v>Packaging</v>
      </c>
      <c r="R1220" s="14" t="str">
        <f>IFERROR(__xludf.DUMMYFUNCTION("""COMPUTED_VALUE""")," Secure and intact")</f>
        <v> Secure and intact</v>
      </c>
      <c r="S1220" s="14" t="str">
        <f t="shared" ref="S1220:U1220" si="2443">trim(B1220)</f>
        <v>ord_61198</v>
      </c>
      <c r="T1220" s="14" t="str">
        <f t="shared" si="2443"/>
        <v>Aarav Mehta</v>
      </c>
      <c r="U1220" s="14" t="str">
        <f t="shared" si="2443"/>
        <v>Andheri</v>
      </c>
      <c r="V1220" s="14" t="str">
        <f t="shared" si="4"/>
        <v>Veg Puff</v>
      </c>
      <c r="W1220" s="14">
        <f t="shared" si="5"/>
        <v>2</v>
      </c>
      <c r="X1220" s="14" t="str">
        <f t="shared" si="6"/>
        <v>Ramesh S</v>
      </c>
      <c r="Y1220" s="15">
        <f t="shared" si="7"/>
        <v>45260</v>
      </c>
      <c r="Z1220" s="14" t="str">
        <f t="shared" si="8"/>
        <v>Online Payment</v>
      </c>
      <c r="AA1220" s="14" t="str">
        <f t="shared" si="9"/>
        <v>Delivered</v>
      </c>
      <c r="AB1220" s="14" t="str">
        <f t="shared" ref="AB1220:AC1220" si="2444">trim(Q1220)</f>
        <v>Packaging</v>
      </c>
      <c r="AC1220" s="14" t="str">
        <f t="shared" si="2444"/>
        <v>Secure and intact</v>
      </c>
      <c r="AD1220" s="8"/>
    </row>
    <row r="1221">
      <c r="A1221" s="14" t="str">
        <f>IFERROR(__xludf.DUMMYFUNCTION("""COMPUTED_VALUE"""),"//ord_61199//Siya Reddy//Juhu//Orange+2*Not Assigned/2/18/2023//Credit Card//Cancelled*App Glitches:Slow Loading Time")</f>
        <v>//ord_61199//Siya Reddy//Juhu//Orange+2*Not Assigned/2/18/2023//Credit Card//Cancelled*App Glitches:Slow Loading Time</v>
      </c>
      <c r="B1221" s="14" t="str">
        <f>IFERROR(__xludf.DUMMYFUNCTION("split(A1221,""//"")"),"ord_61199")</f>
        <v>ord_61199</v>
      </c>
      <c r="C1221" s="14" t="str">
        <f>IFERROR(__xludf.DUMMYFUNCTION("""COMPUTED_VALUE"""),"Siya Reddy")</f>
        <v>Siya Reddy</v>
      </c>
      <c r="D1221" s="14" t="str">
        <f>IFERROR(__xludf.DUMMYFUNCTION("""COMPUTED_VALUE"""),"Juhu")</f>
        <v>Juhu</v>
      </c>
      <c r="E1221" s="14" t="str">
        <f>IFERROR(__xludf.DUMMYFUNCTION("""COMPUTED_VALUE"""),"Orange+2*Not Assigned")</f>
        <v>Orange+2*Not Assigned</v>
      </c>
      <c r="F1221" s="14">
        <f>IFERROR(__xludf.DUMMYFUNCTION("""COMPUTED_VALUE"""),2.0)</f>
        <v>2</v>
      </c>
      <c r="G1221" s="14">
        <f>IFERROR(__xludf.DUMMYFUNCTION("""COMPUTED_VALUE"""),18.0)</f>
        <v>18</v>
      </c>
      <c r="H1221" s="14">
        <f>IFERROR(__xludf.DUMMYFUNCTION("""COMPUTED_VALUE"""),2023.0)</f>
        <v>2023</v>
      </c>
      <c r="I1221" s="14" t="str">
        <f>IFERROR(__xludf.DUMMYFUNCTION("""COMPUTED_VALUE"""),"Credit Card")</f>
        <v>Credit Card</v>
      </c>
      <c r="J1221" s="14" t="str">
        <f>IFERROR(__xludf.DUMMYFUNCTION("""COMPUTED_VALUE"""),"Cancelled*App Glitches:Slow Loading Time")</f>
        <v>Cancelled*App Glitches:Slow Loading Time</v>
      </c>
      <c r="K1221" s="14" t="str">
        <f>IFERROR(__xludf.DUMMYFUNCTION("split(E1221,""+"")"),"Orange")</f>
        <v>Orange</v>
      </c>
      <c r="L1221" s="14" t="str">
        <f>IFERROR(__xludf.DUMMYFUNCTION("""COMPUTED_VALUE"""),"2*Not Assigned")</f>
        <v>2*Not Assigned</v>
      </c>
      <c r="M1221" s="14">
        <f>IFERROR(__xludf.DUMMYFUNCTION("SPLIT(L1221,""*"")"),2.0)</f>
        <v>2</v>
      </c>
      <c r="N1221" s="14" t="str">
        <f>IFERROR(__xludf.DUMMYFUNCTION("""COMPUTED_VALUE"""),"Not Assigned")</f>
        <v>Not Assigned</v>
      </c>
      <c r="O1221" s="14" t="str">
        <f>IFERROR(__xludf.DUMMYFUNCTION("split(J1221,""*"")"),"Cancelled")</f>
        <v>Cancelled</v>
      </c>
      <c r="P1221" s="14" t="str">
        <f>IFERROR(__xludf.DUMMYFUNCTION("""COMPUTED_VALUE"""),"App Glitches:Slow Loading Time")</f>
        <v>App Glitches:Slow Loading Time</v>
      </c>
      <c r="Q1221" s="14" t="str">
        <f>IFERROR(__xludf.DUMMYFUNCTION("split(P1221,"":"")"),"App Glitches")</f>
        <v>App Glitches</v>
      </c>
      <c r="R1221" s="14" t="str">
        <f>IFERROR(__xludf.DUMMYFUNCTION("""COMPUTED_VALUE"""),"Slow Loading Time")</f>
        <v>Slow Loading Time</v>
      </c>
      <c r="S1221" s="14" t="str">
        <f t="shared" ref="S1221:U1221" si="2445">trim(B1221)</f>
        <v>ord_61199</v>
      </c>
      <c r="T1221" s="14" t="str">
        <f t="shared" si="2445"/>
        <v>Siya Reddy</v>
      </c>
      <c r="U1221" s="14" t="str">
        <f t="shared" si="2445"/>
        <v>Juhu</v>
      </c>
      <c r="V1221" s="14" t="str">
        <f t="shared" si="4"/>
        <v>Orange</v>
      </c>
      <c r="W1221" s="14">
        <f t="shared" si="5"/>
        <v>2</v>
      </c>
      <c r="X1221" s="14" t="str">
        <f t="shared" si="6"/>
        <v>Not Assigned</v>
      </c>
      <c r="Y1221" s="15">
        <f t="shared" si="7"/>
        <v>44975</v>
      </c>
      <c r="Z1221" s="14" t="str">
        <f t="shared" si="8"/>
        <v>Credit Card</v>
      </c>
      <c r="AA1221" s="14" t="str">
        <f t="shared" si="9"/>
        <v>Cancelled</v>
      </c>
      <c r="AB1221" s="14" t="str">
        <f t="shared" ref="AB1221:AC1221" si="2446">trim(Q1221)</f>
        <v>App Glitches</v>
      </c>
      <c r="AC1221" s="14" t="str">
        <f t="shared" si="2446"/>
        <v>Slow Loading Time</v>
      </c>
      <c r="AD1221" s="8"/>
    </row>
    <row r="1222">
      <c r="A1222" s="14" t="str">
        <f>IFERROR(__xludf.DUMMYFUNCTION("""COMPUTED_VALUE"""),"//ord_61200//Tanishq Bansal//Powai//Sweet Corn+2*Ramesh S/1/27/2023//UPI//Delivered*Satisfied with the Delivery: Timely and quality")</f>
        <v>//ord_61200//Tanishq Bansal//Powai//Sweet Corn+2*Ramesh S/1/27/2023//UPI//Delivered*Satisfied with the Delivery: Timely and quality</v>
      </c>
      <c r="B1222" s="14" t="str">
        <f>IFERROR(__xludf.DUMMYFUNCTION("split(A1222,""//"")"),"ord_61200")</f>
        <v>ord_61200</v>
      </c>
      <c r="C1222" s="14" t="str">
        <f>IFERROR(__xludf.DUMMYFUNCTION("""COMPUTED_VALUE"""),"Tanishq Bansal")</f>
        <v>Tanishq Bansal</v>
      </c>
      <c r="D1222" s="14" t="str">
        <f>IFERROR(__xludf.DUMMYFUNCTION("""COMPUTED_VALUE"""),"Powai")</f>
        <v>Powai</v>
      </c>
      <c r="E1222" s="14" t="str">
        <f>IFERROR(__xludf.DUMMYFUNCTION("""COMPUTED_VALUE"""),"Sweet Corn+2*Ramesh S")</f>
        <v>Sweet Corn+2*Ramesh S</v>
      </c>
      <c r="F1222" s="14">
        <f>IFERROR(__xludf.DUMMYFUNCTION("""COMPUTED_VALUE"""),1.0)</f>
        <v>1</v>
      </c>
      <c r="G1222" s="14">
        <f>IFERROR(__xludf.DUMMYFUNCTION("""COMPUTED_VALUE"""),27.0)</f>
        <v>27</v>
      </c>
      <c r="H1222" s="14">
        <f>IFERROR(__xludf.DUMMYFUNCTION("""COMPUTED_VALUE"""),2023.0)</f>
        <v>2023</v>
      </c>
      <c r="I1222" s="14" t="str">
        <f>IFERROR(__xludf.DUMMYFUNCTION("""COMPUTED_VALUE"""),"UPI")</f>
        <v>UPI</v>
      </c>
      <c r="J1222" s="14" t="str">
        <f>IFERROR(__xludf.DUMMYFUNCTION("""COMPUTED_VALUE"""),"Delivered*Satisfied with the Delivery: Timely and quality")</f>
        <v>Delivered*Satisfied with the Delivery: Timely and quality</v>
      </c>
      <c r="K1222" s="14" t="str">
        <f>IFERROR(__xludf.DUMMYFUNCTION("split(E1222,""+"")"),"Sweet Corn")</f>
        <v>Sweet Corn</v>
      </c>
      <c r="L1222" s="14" t="str">
        <f>IFERROR(__xludf.DUMMYFUNCTION("""COMPUTED_VALUE"""),"2*Ramesh S")</f>
        <v>2*Ramesh S</v>
      </c>
      <c r="M1222" s="14">
        <f>IFERROR(__xludf.DUMMYFUNCTION("SPLIT(L1222,""*"")"),2.0)</f>
        <v>2</v>
      </c>
      <c r="N1222" s="14" t="str">
        <f>IFERROR(__xludf.DUMMYFUNCTION("""COMPUTED_VALUE"""),"Ramesh S")</f>
        <v>Ramesh S</v>
      </c>
      <c r="O1222" s="14" t="str">
        <f>IFERROR(__xludf.DUMMYFUNCTION("split(J1222,""*"")"),"Delivered")</f>
        <v>Delivered</v>
      </c>
      <c r="P1222" s="14" t="str">
        <f>IFERROR(__xludf.DUMMYFUNCTION("""COMPUTED_VALUE"""),"Satisfied with the Delivery: Timely and quality")</f>
        <v>Satisfied with the Delivery: Timely and quality</v>
      </c>
      <c r="Q1222" s="14" t="str">
        <f>IFERROR(__xludf.DUMMYFUNCTION("split(P1222,"":"")"),"Satisfied with the Delivery")</f>
        <v>Satisfied with the Delivery</v>
      </c>
      <c r="R1222" s="14" t="str">
        <f>IFERROR(__xludf.DUMMYFUNCTION("""COMPUTED_VALUE""")," Timely and quality")</f>
        <v> Timely and quality</v>
      </c>
      <c r="S1222" s="14" t="str">
        <f t="shared" ref="S1222:U1222" si="2447">trim(B1222)</f>
        <v>ord_61200</v>
      </c>
      <c r="T1222" s="14" t="str">
        <f t="shared" si="2447"/>
        <v>Tanishq Bansal</v>
      </c>
      <c r="U1222" s="14" t="str">
        <f t="shared" si="2447"/>
        <v>Powai</v>
      </c>
      <c r="V1222" s="14" t="str">
        <f t="shared" si="4"/>
        <v>Sweet Corn</v>
      </c>
      <c r="W1222" s="14">
        <f t="shared" si="5"/>
        <v>2</v>
      </c>
      <c r="X1222" s="14" t="str">
        <f t="shared" si="6"/>
        <v>Ramesh S</v>
      </c>
      <c r="Y1222" s="15">
        <f t="shared" si="7"/>
        <v>44953</v>
      </c>
      <c r="Z1222" s="14" t="str">
        <f t="shared" si="8"/>
        <v>UPI</v>
      </c>
      <c r="AA1222" s="14" t="str">
        <f t="shared" si="9"/>
        <v>Delivered</v>
      </c>
      <c r="AB1222" s="14" t="str">
        <f t="shared" ref="AB1222:AC1222" si="2448">trim(Q1222)</f>
        <v>Satisfied with the Delivery</v>
      </c>
      <c r="AC1222" s="14" t="str">
        <f t="shared" si="2448"/>
        <v>Timely and quality</v>
      </c>
      <c r="AD1222" s="8"/>
    </row>
    <row r="1223">
      <c r="A1223" s="14" t="str">
        <f>IFERROR(__xludf.DUMMYFUNCTION("""COMPUTED_VALUE"""),"//ord_61201//Sakshi Tandon//Colaba//Orange+1*Venu R/12/28/2023//Credit Card//Delivered*Customer Service: Seamless and easy")</f>
        <v>//ord_61201//Sakshi Tandon//Colaba//Orange+1*Venu R/12/28/2023//Credit Card//Delivered*Customer Service: Seamless and easy</v>
      </c>
      <c r="B1223" s="14" t="str">
        <f>IFERROR(__xludf.DUMMYFUNCTION("split(A1223,""//"")"),"ord_61201")</f>
        <v>ord_61201</v>
      </c>
      <c r="C1223" s="14" t="str">
        <f>IFERROR(__xludf.DUMMYFUNCTION("""COMPUTED_VALUE"""),"Sakshi Tandon")</f>
        <v>Sakshi Tandon</v>
      </c>
      <c r="D1223" s="14" t="str">
        <f>IFERROR(__xludf.DUMMYFUNCTION("""COMPUTED_VALUE"""),"Colaba")</f>
        <v>Colaba</v>
      </c>
      <c r="E1223" s="14" t="str">
        <f>IFERROR(__xludf.DUMMYFUNCTION("""COMPUTED_VALUE"""),"Orange+1*Venu R")</f>
        <v>Orange+1*Venu R</v>
      </c>
      <c r="F1223" s="14">
        <f>IFERROR(__xludf.DUMMYFUNCTION("""COMPUTED_VALUE"""),12.0)</f>
        <v>12</v>
      </c>
      <c r="G1223" s="14">
        <f>IFERROR(__xludf.DUMMYFUNCTION("""COMPUTED_VALUE"""),28.0)</f>
        <v>28</v>
      </c>
      <c r="H1223" s="14">
        <f>IFERROR(__xludf.DUMMYFUNCTION("""COMPUTED_VALUE"""),2023.0)</f>
        <v>2023</v>
      </c>
      <c r="I1223" s="14" t="str">
        <f>IFERROR(__xludf.DUMMYFUNCTION("""COMPUTED_VALUE"""),"Credit Card")</f>
        <v>Credit Card</v>
      </c>
      <c r="J1223" s="14" t="str">
        <f>IFERROR(__xludf.DUMMYFUNCTION("""COMPUTED_VALUE"""),"Delivered*Customer Service: Seamless and easy")</f>
        <v>Delivered*Customer Service: Seamless and easy</v>
      </c>
      <c r="K1223" s="14" t="str">
        <f>IFERROR(__xludf.DUMMYFUNCTION("split(E1223,""+"")"),"Orange")</f>
        <v>Orange</v>
      </c>
      <c r="L1223" s="14" t="str">
        <f>IFERROR(__xludf.DUMMYFUNCTION("""COMPUTED_VALUE"""),"1*Venu R")</f>
        <v>1*Venu R</v>
      </c>
      <c r="M1223" s="14">
        <f>IFERROR(__xludf.DUMMYFUNCTION("SPLIT(L1223,""*"")"),1.0)</f>
        <v>1</v>
      </c>
      <c r="N1223" s="14" t="str">
        <f>IFERROR(__xludf.DUMMYFUNCTION("""COMPUTED_VALUE"""),"Venu R")</f>
        <v>Venu R</v>
      </c>
      <c r="O1223" s="14" t="str">
        <f>IFERROR(__xludf.DUMMYFUNCTION("split(J1223,""*"")"),"Delivered")</f>
        <v>Delivered</v>
      </c>
      <c r="P1223" s="14" t="str">
        <f>IFERROR(__xludf.DUMMYFUNCTION("""COMPUTED_VALUE"""),"Customer Service: Seamless and easy")</f>
        <v>Customer Service: Seamless and easy</v>
      </c>
      <c r="Q1223" s="14" t="str">
        <f>IFERROR(__xludf.DUMMYFUNCTION("split(P1223,"":"")"),"Customer Service")</f>
        <v>Customer Service</v>
      </c>
      <c r="R1223" s="14" t="str">
        <f>IFERROR(__xludf.DUMMYFUNCTION("""COMPUTED_VALUE""")," Seamless and easy")</f>
        <v> Seamless and easy</v>
      </c>
      <c r="S1223" s="14" t="str">
        <f t="shared" ref="S1223:U1223" si="2449">trim(B1223)</f>
        <v>ord_61201</v>
      </c>
      <c r="T1223" s="14" t="str">
        <f t="shared" si="2449"/>
        <v>Sakshi Tandon</v>
      </c>
      <c r="U1223" s="14" t="str">
        <f t="shared" si="2449"/>
        <v>Colaba</v>
      </c>
      <c r="V1223" s="14" t="str">
        <f t="shared" si="4"/>
        <v>Orange</v>
      </c>
      <c r="W1223" s="14">
        <f t="shared" si="5"/>
        <v>1</v>
      </c>
      <c r="X1223" s="14" t="str">
        <f t="shared" si="6"/>
        <v>Venu R</v>
      </c>
      <c r="Y1223" s="15">
        <f t="shared" si="7"/>
        <v>45288</v>
      </c>
      <c r="Z1223" s="14" t="str">
        <f t="shared" si="8"/>
        <v>Credit Card</v>
      </c>
      <c r="AA1223" s="14" t="str">
        <f t="shared" si="9"/>
        <v>Delivered</v>
      </c>
      <c r="AB1223" s="14" t="str">
        <f t="shared" ref="AB1223:AC1223" si="2450">trim(Q1223)</f>
        <v>Customer Service</v>
      </c>
      <c r="AC1223" s="14" t="str">
        <f t="shared" si="2450"/>
        <v>Seamless and easy</v>
      </c>
      <c r="AD1223" s="8"/>
    </row>
    <row r="1224">
      <c r="A1224" s="14" t="str">
        <f>IFERROR(__xludf.DUMMYFUNCTION("""COMPUTED_VALUE"""),"//ord_61202//Ishaan Chaturvedi//Bandra//Onion+2*Nithin Lal/2/26/2023//COD//Delivered*Delivery Experience: Quick and professional")</f>
        <v>//ord_61202//Ishaan Chaturvedi//Bandra//Onion+2*Nithin Lal/2/26/2023//COD//Delivered*Delivery Experience: Quick and professional</v>
      </c>
      <c r="B1224" s="14" t="str">
        <f>IFERROR(__xludf.DUMMYFUNCTION("split(A1224,""//"")"),"ord_61202")</f>
        <v>ord_61202</v>
      </c>
      <c r="C1224" s="14" t="str">
        <f>IFERROR(__xludf.DUMMYFUNCTION("""COMPUTED_VALUE"""),"Ishaan Chaturvedi")</f>
        <v>Ishaan Chaturvedi</v>
      </c>
      <c r="D1224" s="14" t="str">
        <f>IFERROR(__xludf.DUMMYFUNCTION("""COMPUTED_VALUE"""),"Bandra")</f>
        <v>Bandra</v>
      </c>
      <c r="E1224" s="14" t="str">
        <f>IFERROR(__xludf.DUMMYFUNCTION("""COMPUTED_VALUE"""),"Onion+2*Nithin Lal")</f>
        <v>Onion+2*Nithin Lal</v>
      </c>
      <c r="F1224" s="14">
        <f>IFERROR(__xludf.DUMMYFUNCTION("""COMPUTED_VALUE"""),2.0)</f>
        <v>2</v>
      </c>
      <c r="G1224" s="14">
        <f>IFERROR(__xludf.DUMMYFUNCTION("""COMPUTED_VALUE"""),26.0)</f>
        <v>26</v>
      </c>
      <c r="H1224" s="14">
        <f>IFERROR(__xludf.DUMMYFUNCTION("""COMPUTED_VALUE"""),2023.0)</f>
        <v>2023</v>
      </c>
      <c r="I1224" s="14" t="str">
        <f>IFERROR(__xludf.DUMMYFUNCTION("""COMPUTED_VALUE"""),"COD")</f>
        <v>COD</v>
      </c>
      <c r="J1224" s="14" t="str">
        <f>IFERROR(__xludf.DUMMYFUNCTION("""COMPUTED_VALUE"""),"Delivered*Delivery Experience: Quick and professional")</f>
        <v>Delivered*Delivery Experience: Quick and professional</v>
      </c>
      <c r="K1224" s="14" t="str">
        <f>IFERROR(__xludf.DUMMYFUNCTION("split(E1224,""+"")"),"Onion")</f>
        <v>Onion</v>
      </c>
      <c r="L1224" s="14" t="str">
        <f>IFERROR(__xludf.DUMMYFUNCTION("""COMPUTED_VALUE"""),"2*Nithin Lal")</f>
        <v>2*Nithin Lal</v>
      </c>
      <c r="M1224" s="14">
        <f>IFERROR(__xludf.DUMMYFUNCTION("SPLIT(L1224,""*"")"),2.0)</f>
        <v>2</v>
      </c>
      <c r="N1224" s="14" t="str">
        <f>IFERROR(__xludf.DUMMYFUNCTION("""COMPUTED_VALUE"""),"Nithin Lal")</f>
        <v>Nithin Lal</v>
      </c>
      <c r="O1224" s="14" t="str">
        <f>IFERROR(__xludf.DUMMYFUNCTION("split(J1224,""*"")"),"Delivered")</f>
        <v>Delivered</v>
      </c>
      <c r="P1224" s="14" t="str">
        <f>IFERROR(__xludf.DUMMYFUNCTION("""COMPUTED_VALUE"""),"Delivery Experience: Quick and professional")</f>
        <v>Delivery Experience: Quick and professional</v>
      </c>
      <c r="Q1224" s="14" t="str">
        <f>IFERROR(__xludf.DUMMYFUNCTION("split(P1224,"":"")"),"Delivery Experience")</f>
        <v>Delivery Experience</v>
      </c>
      <c r="R1224" s="14" t="str">
        <f>IFERROR(__xludf.DUMMYFUNCTION("""COMPUTED_VALUE""")," Quick and professional")</f>
        <v> Quick and professional</v>
      </c>
      <c r="S1224" s="14" t="str">
        <f t="shared" ref="S1224:U1224" si="2451">trim(B1224)</f>
        <v>ord_61202</v>
      </c>
      <c r="T1224" s="14" t="str">
        <f t="shared" si="2451"/>
        <v>Ishaan Chaturvedi</v>
      </c>
      <c r="U1224" s="14" t="str">
        <f t="shared" si="2451"/>
        <v>Bandra</v>
      </c>
      <c r="V1224" s="14" t="str">
        <f t="shared" si="4"/>
        <v>Onion</v>
      </c>
      <c r="W1224" s="14">
        <f t="shared" si="5"/>
        <v>2</v>
      </c>
      <c r="X1224" s="14" t="str">
        <f t="shared" si="6"/>
        <v>Nithin Lal</v>
      </c>
      <c r="Y1224" s="15">
        <f t="shared" si="7"/>
        <v>44983</v>
      </c>
      <c r="Z1224" s="14" t="str">
        <f t="shared" si="8"/>
        <v>COD</v>
      </c>
      <c r="AA1224" s="14" t="str">
        <f t="shared" si="9"/>
        <v>Delivered</v>
      </c>
      <c r="AB1224" s="14" t="str">
        <f t="shared" ref="AB1224:AC1224" si="2452">trim(Q1224)</f>
        <v>Delivery Experience</v>
      </c>
      <c r="AC1224" s="14" t="str">
        <f t="shared" si="2452"/>
        <v>Quick and professional</v>
      </c>
      <c r="AD1224" s="8"/>
    </row>
    <row r="1225">
      <c r="A1225" s="14" t="str">
        <f>IFERROR(__xludf.DUMMYFUNCTION("""COMPUTED_VALUE"""),"//ord_61203//Pranav Joshi//Andheri//Onion+1*Vivek Kumar/7/5/2023//COD//Delivered*Convenience: Easy tracking")</f>
        <v>//ord_61203//Pranav Joshi//Andheri//Onion+1*Vivek Kumar/7/5/2023//COD//Delivered*Convenience: Easy tracking</v>
      </c>
      <c r="B1225" s="14" t="str">
        <f>IFERROR(__xludf.DUMMYFUNCTION("split(A1225,""//"")"),"ord_61203")</f>
        <v>ord_61203</v>
      </c>
      <c r="C1225" s="14" t="str">
        <f>IFERROR(__xludf.DUMMYFUNCTION("""COMPUTED_VALUE"""),"Pranav Joshi")</f>
        <v>Pranav Joshi</v>
      </c>
      <c r="D1225" s="14" t="str">
        <f>IFERROR(__xludf.DUMMYFUNCTION("""COMPUTED_VALUE"""),"Andheri")</f>
        <v>Andheri</v>
      </c>
      <c r="E1225" s="14" t="str">
        <f>IFERROR(__xludf.DUMMYFUNCTION("""COMPUTED_VALUE"""),"Onion+1*Vivek Kumar")</f>
        <v>Onion+1*Vivek Kumar</v>
      </c>
      <c r="F1225" s="14">
        <f>IFERROR(__xludf.DUMMYFUNCTION("""COMPUTED_VALUE"""),7.0)</f>
        <v>7</v>
      </c>
      <c r="G1225" s="14">
        <f>IFERROR(__xludf.DUMMYFUNCTION("""COMPUTED_VALUE"""),5.0)</f>
        <v>5</v>
      </c>
      <c r="H1225" s="14">
        <f>IFERROR(__xludf.DUMMYFUNCTION("""COMPUTED_VALUE"""),2023.0)</f>
        <v>2023</v>
      </c>
      <c r="I1225" s="14" t="str">
        <f>IFERROR(__xludf.DUMMYFUNCTION("""COMPUTED_VALUE"""),"COD")</f>
        <v>COD</v>
      </c>
      <c r="J1225" s="14" t="str">
        <f>IFERROR(__xludf.DUMMYFUNCTION("""COMPUTED_VALUE"""),"Delivered*Convenience: Easy tracking")</f>
        <v>Delivered*Convenience: Easy tracking</v>
      </c>
      <c r="K1225" s="14" t="str">
        <f>IFERROR(__xludf.DUMMYFUNCTION("split(E1225,""+"")"),"Onion")</f>
        <v>Onion</v>
      </c>
      <c r="L1225" s="14" t="str">
        <f>IFERROR(__xludf.DUMMYFUNCTION("""COMPUTED_VALUE"""),"1*Vivek Kumar")</f>
        <v>1*Vivek Kumar</v>
      </c>
      <c r="M1225" s="14">
        <f>IFERROR(__xludf.DUMMYFUNCTION("SPLIT(L1225,""*"")"),1.0)</f>
        <v>1</v>
      </c>
      <c r="N1225" s="14" t="str">
        <f>IFERROR(__xludf.DUMMYFUNCTION("""COMPUTED_VALUE"""),"Vivek Kumar")</f>
        <v>Vivek Kumar</v>
      </c>
      <c r="O1225" s="14" t="str">
        <f>IFERROR(__xludf.DUMMYFUNCTION("split(J1225,""*"")"),"Delivered")</f>
        <v>Delivered</v>
      </c>
      <c r="P1225" s="14" t="str">
        <f>IFERROR(__xludf.DUMMYFUNCTION("""COMPUTED_VALUE"""),"Convenience: Easy tracking")</f>
        <v>Convenience: Easy tracking</v>
      </c>
      <c r="Q1225" s="14" t="str">
        <f>IFERROR(__xludf.DUMMYFUNCTION("split(P1225,"":"")"),"Convenience")</f>
        <v>Convenience</v>
      </c>
      <c r="R1225" s="14" t="str">
        <f>IFERROR(__xludf.DUMMYFUNCTION("""COMPUTED_VALUE""")," Easy tracking")</f>
        <v> Easy tracking</v>
      </c>
      <c r="S1225" s="14" t="str">
        <f t="shared" ref="S1225:U1225" si="2453">trim(B1225)</f>
        <v>ord_61203</v>
      </c>
      <c r="T1225" s="14" t="str">
        <f t="shared" si="2453"/>
        <v>Pranav Joshi</v>
      </c>
      <c r="U1225" s="14" t="str">
        <f t="shared" si="2453"/>
        <v>Andheri</v>
      </c>
      <c r="V1225" s="14" t="str">
        <f t="shared" si="4"/>
        <v>Onion</v>
      </c>
      <c r="W1225" s="14">
        <f t="shared" si="5"/>
        <v>1</v>
      </c>
      <c r="X1225" s="14" t="str">
        <f t="shared" si="6"/>
        <v>Vivek Kumar</v>
      </c>
      <c r="Y1225" s="15">
        <f t="shared" si="7"/>
        <v>45112</v>
      </c>
      <c r="Z1225" s="14" t="str">
        <f t="shared" si="8"/>
        <v>COD</v>
      </c>
      <c r="AA1225" s="14" t="str">
        <f t="shared" si="9"/>
        <v>Delivered</v>
      </c>
      <c r="AB1225" s="14" t="str">
        <f t="shared" ref="AB1225:AC1225" si="2454">trim(Q1225)</f>
        <v>Convenience</v>
      </c>
      <c r="AC1225" s="14" t="str">
        <f t="shared" si="2454"/>
        <v>Easy tracking</v>
      </c>
      <c r="AD1225" s="8"/>
    </row>
    <row r="1226">
      <c r="A1226" s="14" t="str">
        <f>IFERROR(__xludf.DUMMYFUNCTION("""COMPUTED_VALUE"""),"//ord_61204//Anaya Rao//Colaba//Rasmalai+1*Sita T/8/29/2023//Credit Card//Delivered*Overall Satisfaction: Great service will order again")</f>
        <v>//ord_61204//Anaya Rao//Colaba//Rasmalai+1*Sita T/8/29/2023//Credit Card//Delivered*Overall Satisfaction: Great service will order again</v>
      </c>
      <c r="B1226" s="14" t="str">
        <f>IFERROR(__xludf.DUMMYFUNCTION("split(A1226,""//"")"),"ord_61204")</f>
        <v>ord_61204</v>
      </c>
      <c r="C1226" s="14" t="str">
        <f>IFERROR(__xludf.DUMMYFUNCTION("""COMPUTED_VALUE"""),"Anaya Rao")</f>
        <v>Anaya Rao</v>
      </c>
      <c r="D1226" s="14" t="str">
        <f>IFERROR(__xludf.DUMMYFUNCTION("""COMPUTED_VALUE"""),"Colaba")</f>
        <v>Colaba</v>
      </c>
      <c r="E1226" s="14" t="str">
        <f>IFERROR(__xludf.DUMMYFUNCTION("""COMPUTED_VALUE"""),"Rasmalai+1*Sita T")</f>
        <v>Rasmalai+1*Sita T</v>
      </c>
      <c r="F1226" s="14">
        <f>IFERROR(__xludf.DUMMYFUNCTION("""COMPUTED_VALUE"""),8.0)</f>
        <v>8</v>
      </c>
      <c r="G1226" s="14">
        <f>IFERROR(__xludf.DUMMYFUNCTION("""COMPUTED_VALUE"""),29.0)</f>
        <v>29</v>
      </c>
      <c r="H1226" s="14">
        <f>IFERROR(__xludf.DUMMYFUNCTION("""COMPUTED_VALUE"""),2023.0)</f>
        <v>2023</v>
      </c>
      <c r="I1226" s="14" t="str">
        <f>IFERROR(__xludf.DUMMYFUNCTION("""COMPUTED_VALUE"""),"Credit Card")</f>
        <v>Credit Card</v>
      </c>
      <c r="J1226" s="14" t="str">
        <f>IFERROR(__xludf.DUMMYFUNCTION("""COMPUTED_VALUE"""),"Delivered*Overall Satisfaction: Great service will order again")</f>
        <v>Delivered*Overall Satisfaction: Great service will order again</v>
      </c>
      <c r="K1226" s="14" t="str">
        <f>IFERROR(__xludf.DUMMYFUNCTION("split(E1226,""+"")"),"Rasmalai")</f>
        <v>Rasmalai</v>
      </c>
      <c r="L1226" s="14" t="str">
        <f>IFERROR(__xludf.DUMMYFUNCTION("""COMPUTED_VALUE"""),"1*Sita T")</f>
        <v>1*Sita T</v>
      </c>
      <c r="M1226" s="14">
        <f>IFERROR(__xludf.DUMMYFUNCTION("SPLIT(L1226,""*"")"),1.0)</f>
        <v>1</v>
      </c>
      <c r="N1226" s="14" t="str">
        <f>IFERROR(__xludf.DUMMYFUNCTION("""COMPUTED_VALUE"""),"Sita T")</f>
        <v>Sita T</v>
      </c>
      <c r="O1226" s="14" t="str">
        <f>IFERROR(__xludf.DUMMYFUNCTION("split(J1226,""*"")"),"Delivered")</f>
        <v>Delivered</v>
      </c>
      <c r="P1226" s="14" t="str">
        <f>IFERROR(__xludf.DUMMYFUNCTION("""COMPUTED_VALUE"""),"Overall Satisfaction: Great service will order again")</f>
        <v>Overall Satisfaction: Great service will order again</v>
      </c>
      <c r="Q1226" s="14" t="str">
        <f>IFERROR(__xludf.DUMMYFUNCTION("split(P1226,"":"")"),"Overall Satisfaction")</f>
        <v>Overall Satisfaction</v>
      </c>
      <c r="R1226" s="14" t="str">
        <f>IFERROR(__xludf.DUMMYFUNCTION("""COMPUTED_VALUE""")," Great service will order again")</f>
        <v> Great service will order again</v>
      </c>
      <c r="S1226" s="14" t="str">
        <f t="shared" ref="S1226:U1226" si="2455">trim(B1226)</f>
        <v>ord_61204</v>
      </c>
      <c r="T1226" s="14" t="str">
        <f t="shared" si="2455"/>
        <v>Anaya Rao</v>
      </c>
      <c r="U1226" s="14" t="str">
        <f t="shared" si="2455"/>
        <v>Colaba</v>
      </c>
      <c r="V1226" s="14" t="str">
        <f t="shared" si="4"/>
        <v>Rasmalai</v>
      </c>
      <c r="W1226" s="14">
        <f t="shared" si="5"/>
        <v>1</v>
      </c>
      <c r="X1226" s="14" t="str">
        <f t="shared" si="6"/>
        <v>Sita T</v>
      </c>
      <c r="Y1226" s="15">
        <f t="shared" si="7"/>
        <v>45167</v>
      </c>
      <c r="Z1226" s="14" t="str">
        <f t="shared" si="8"/>
        <v>Credit Card</v>
      </c>
      <c r="AA1226" s="14" t="str">
        <f t="shared" si="9"/>
        <v>Delivered</v>
      </c>
      <c r="AB1226" s="14" t="str">
        <f t="shared" ref="AB1226:AC1226" si="2456">trim(Q1226)</f>
        <v>Overall Satisfaction</v>
      </c>
      <c r="AC1226" s="14" t="str">
        <f t="shared" si="2456"/>
        <v>Great service will order again</v>
      </c>
      <c r="AD1226" s="8"/>
    </row>
    <row r="1227">
      <c r="A1227" s="14" t="str">
        <f>IFERROR(__xludf.DUMMYFUNCTION("""COMPUTED_VALUE"""),"//ord_61205//Ishita Banerjee//Juhu//Veg Puff+1*Nithin Lal/11/20/2023//Credit Card//Cancelled*Delayed Delivery:Heavy Traffic")</f>
        <v>//ord_61205//Ishita Banerjee//Juhu//Veg Puff+1*Nithin Lal/11/20/2023//Credit Card//Cancelled*Delayed Delivery:Heavy Traffic</v>
      </c>
      <c r="B1227" s="14" t="str">
        <f>IFERROR(__xludf.DUMMYFUNCTION("split(A1227,""//"")"),"ord_61205")</f>
        <v>ord_61205</v>
      </c>
      <c r="C1227" s="14" t="str">
        <f>IFERROR(__xludf.DUMMYFUNCTION("""COMPUTED_VALUE"""),"Ishita Banerjee")</f>
        <v>Ishita Banerjee</v>
      </c>
      <c r="D1227" s="14" t="str">
        <f>IFERROR(__xludf.DUMMYFUNCTION("""COMPUTED_VALUE"""),"Juhu")</f>
        <v>Juhu</v>
      </c>
      <c r="E1227" s="14" t="str">
        <f>IFERROR(__xludf.DUMMYFUNCTION("""COMPUTED_VALUE"""),"Veg Puff+1*Nithin Lal")</f>
        <v>Veg Puff+1*Nithin Lal</v>
      </c>
      <c r="F1227" s="14">
        <f>IFERROR(__xludf.DUMMYFUNCTION("""COMPUTED_VALUE"""),11.0)</f>
        <v>11</v>
      </c>
      <c r="G1227" s="14">
        <f>IFERROR(__xludf.DUMMYFUNCTION("""COMPUTED_VALUE"""),20.0)</f>
        <v>20</v>
      </c>
      <c r="H1227" s="14">
        <f>IFERROR(__xludf.DUMMYFUNCTION("""COMPUTED_VALUE"""),2023.0)</f>
        <v>2023</v>
      </c>
      <c r="I1227" s="14" t="str">
        <f>IFERROR(__xludf.DUMMYFUNCTION("""COMPUTED_VALUE"""),"Credit Card")</f>
        <v>Credit Card</v>
      </c>
      <c r="J1227" s="14" t="str">
        <f>IFERROR(__xludf.DUMMYFUNCTION("""COMPUTED_VALUE"""),"Cancelled*Delayed Delivery:Heavy Traffic")</f>
        <v>Cancelled*Delayed Delivery:Heavy Traffic</v>
      </c>
      <c r="K1227" s="14" t="str">
        <f>IFERROR(__xludf.DUMMYFUNCTION("split(E1227,""+"")"),"Veg Puff")</f>
        <v>Veg Puff</v>
      </c>
      <c r="L1227" s="14" t="str">
        <f>IFERROR(__xludf.DUMMYFUNCTION("""COMPUTED_VALUE"""),"1*Nithin Lal")</f>
        <v>1*Nithin Lal</v>
      </c>
      <c r="M1227" s="14">
        <f>IFERROR(__xludf.DUMMYFUNCTION("SPLIT(L1227,""*"")"),1.0)</f>
        <v>1</v>
      </c>
      <c r="N1227" s="14" t="str">
        <f>IFERROR(__xludf.DUMMYFUNCTION("""COMPUTED_VALUE"""),"Nithin Lal")</f>
        <v>Nithin Lal</v>
      </c>
      <c r="O1227" s="14" t="str">
        <f>IFERROR(__xludf.DUMMYFUNCTION("split(J1227,""*"")"),"Cancelled")</f>
        <v>Cancelled</v>
      </c>
      <c r="P1227" s="14" t="str">
        <f>IFERROR(__xludf.DUMMYFUNCTION("""COMPUTED_VALUE"""),"Delayed Delivery:Heavy Traffic")</f>
        <v>Delayed Delivery:Heavy Traffic</v>
      </c>
      <c r="Q1227" s="14" t="str">
        <f>IFERROR(__xludf.DUMMYFUNCTION("split(P1227,"":"")"),"Delayed Delivery")</f>
        <v>Delayed Delivery</v>
      </c>
      <c r="R1227" s="14" t="str">
        <f>IFERROR(__xludf.DUMMYFUNCTION("""COMPUTED_VALUE"""),"Heavy Traffic")</f>
        <v>Heavy Traffic</v>
      </c>
      <c r="S1227" s="14" t="str">
        <f t="shared" ref="S1227:U1227" si="2457">trim(B1227)</f>
        <v>ord_61205</v>
      </c>
      <c r="T1227" s="14" t="str">
        <f t="shared" si="2457"/>
        <v>Ishita Banerjee</v>
      </c>
      <c r="U1227" s="14" t="str">
        <f t="shared" si="2457"/>
        <v>Juhu</v>
      </c>
      <c r="V1227" s="14" t="str">
        <f t="shared" si="4"/>
        <v>Veg Puff</v>
      </c>
      <c r="W1227" s="14">
        <f t="shared" si="5"/>
        <v>1</v>
      </c>
      <c r="X1227" s="14" t="str">
        <f t="shared" si="6"/>
        <v>Nithin Lal</v>
      </c>
      <c r="Y1227" s="15">
        <f t="shared" si="7"/>
        <v>45250</v>
      </c>
      <c r="Z1227" s="14" t="str">
        <f t="shared" si="8"/>
        <v>Credit Card</v>
      </c>
      <c r="AA1227" s="14" t="str">
        <f t="shared" si="9"/>
        <v>Cancelled</v>
      </c>
      <c r="AB1227" s="14" t="str">
        <f t="shared" ref="AB1227:AC1227" si="2458">trim(Q1227)</f>
        <v>Delayed Delivery</v>
      </c>
      <c r="AC1227" s="14" t="str">
        <f t="shared" si="2458"/>
        <v>Heavy Traffic</v>
      </c>
      <c r="AD1227" s="8"/>
    </row>
    <row r="1228">
      <c r="A1228" s="14" t="str">
        <f>IFERROR(__xludf.DUMMYFUNCTION("""COMPUTED_VALUE"""),"//ord_61206//Aarav Mehta//Andheri//Guava+1*Ramesh S/11/30/2023//Credit Card//Delivered*On-time Delivery: Delivered on time")</f>
        <v>//ord_61206//Aarav Mehta//Andheri//Guava+1*Ramesh S/11/30/2023//Credit Card//Delivered*On-time Delivery: Delivered on time</v>
      </c>
      <c r="B1228" s="14" t="str">
        <f>IFERROR(__xludf.DUMMYFUNCTION("split(A1228,""//"")"),"ord_61206")</f>
        <v>ord_61206</v>
      </c>
      <c r="C1228" s="14" t="str">
        <f>IFERROR(__xludf.DUMMYFUNCTION("""COMPUTED_VALUE"""),"Aarav Mehta")</f>
        <v>Aarav Mehta</v>
      </c>
      <c r="D1228" s="14" t="str">
        <f>IFERROR(__xludf.DUMMYFUNCTION("""COMPUTED_VALUE"""),"Andheri")</f>
        <v>Andheri</v>
      </c>
      <c r="E1228" s="14" t="str">
        <f>IFERROR(__xludf.DUMMYFUNCTION("""COMPUTED_VALUE"""),"Guava+1*Ramesh S")</f>
        <v>Guava+1*Ramesh S</v>
      </c>
      <c r="F1228" s="14">
        <f>IFERROR(__xludf.DUMMYFUNCTION("""COMPUTED_VALUE"""),11.0)</f>
        <v>11</v>
      </c>
      <c r="G1228" s="14">
        <f>IFERROR(__xludf.DUMMYFUNCTION("""COMPUTED_VALUE"""),30.0)</f>
        <v>30</v>
      </c>
      <c r="H1228" s="14">
        <f>IFERROR(__xludf.DUMMYFUNCTION("""COMPUTED_VALUE"""),2023.0)</f>
        <v>2023</v>
      </c>
      <c r="I1228" s="14" t="str">
        <f>IFERROR(__xludf.DUMMYFUNCTION("""COMPUTED_VALUE"""),"Credit Card")</f>
        <v>Credit Card</v>
      </c>
      <c r="J1228" s="14" t="str">
        <f>IFERROR(__xludf.DUMMYFUNCTION("""COMPUTED_VALUE"""),"Delivered*On-time Delivery: Delivered on time")</f>
        <v>Delivered*On-time Delivery: Delivered on time</v>
      </c>
      <c r="K1228" s="14" t="str">
        <f>IFERROR(__xludf.DUMMYFUNCTION("split(E1228,""+"")"),"Guava")</f>
        <v>Guava</v>
      </c>
      <c r="L1228" s="14" t="str">
        <f>IFERROR(__xludf.DUMMYFUNCTION("""COMPUTED_VALUE"""),"1*Ramesh S")</f>
        <v>1*Ramesh S</v>
      </c>
      <c r="M1228" s="14">
        <f>IFERROR(__xludf.DUMMYFUNCTION("SPLIT(L1228,""*"")"),1.0)</f>
        <v>1</v>
      </c>
      <c r="N1228" s="14" t="str">
        <f>IFERROR(__xludf.DUMMYFUNCTION("""COMPUTED_VALUE"""),"Ramesh S")</f>
        <v>Ramesh S</v>
      </c>
      <c r="O1228" s="14" t="str">
        <f>IFERROR(__xludf.DUMMYFUNCTION("split(J1228,""*"")"),"Delivered")</f>
        <v>Delivered</v>
      </c>
      <c r="P1228" s="14" t="str">
        <f>IFERROR(__xludf.DUMMYFUNCTION("""COMPUTED_VALUE"""),"On-time Delivery: Delivered on time")</f>
        <v>On-time Delivery: Delivered on time</v>
      </c>
      <c r="Q1228" s="14" t="str">
        <f>IFERROR(__xludf.DUMMYFUNCTION("split(P1228,"":"")"),"On-time Delivery")</f>
        <v>On-time Delivery</v>
      </c>
      <c r="R1228" s="14" t="str">
        <f>IFERROR(__xludf.DUMMYFUNCTION("""COMPUTED_VALUE""")," Delivered on time")</f>
        <v> Delivered on time</v>
      </c>
      <c r="S1228" s="14" t="str">
        <f t="shared" ref="S1228:U1228" si="2459">trim(B1228)</f>
        <v>ord_61206</v>
      </c>
      <c r="T1228" s="14" t="str">
        <f t="shared" si="2459"/>
        <v>Aarav Mehta</v>
      </c>
      <c r="U1228" s="14" t="str">
        <f t="shared" si="2459"/>
        <v>Andheri</v>
      </c>
      <c r="V1228" s="14" t="str">
        <f t="shared" si="4"/>
        <v>Guava</v>
      </c>
      <c r="W1228" s="14">
        <f t="shared" si="5"/>
        <v>1</v>
      </c>
      <c r="X1228" s="14" t="str">
        <f t="shared" si="6"/>
        <v>Ramesh S</v>
      </c>
      <c r="Y1228" s="15">
        <f t="shared" si="7"/>
        <v>45260</v>
      </c>
      <c r="Z1228" s="14" t="str">
        <f t="shared" si="8"/>
        <v>Credit Card</v>
      </c>
      <c r="AA1228" s="14" t="str">
        <f t="shared" si="9"/>
        <v>Delivered</v>
      </c>
      <c r="AB1228" s="14" t="str">
        <f t="shared" ref="AB1228:AC1228" si="2460">trim(Q1228)</f>
        <v>On-time Delivery</v>
      </c>
      <c r="AC1228" s="14" t="str">
        <f t="shared" si="2460"/>
        <v>Delivered on time</v>
      </c>
      <c r="AD1228" s="8"/>
    </row>
    <row r="1229">
      <c r="A1229" s="14" t="str">
        <f>IFERROR(__xludf.DUMMYFUNCTION("""COMPUTED_VALUE"""),"//ord_61207//Sakshi Tandon//Colaba//Apple+1*Sita T/12/2/2023//COD//Delivered*Quality of Items: Perfect condition")</f>
        <v>//ord_61207//Sakshi Tandon//Colaba//Apple+1*Sita T/12/2/2023//COD//Delivered*Quality of Items: Perfect condition</v>
      </c>
      <c r="B1229" s="14" t="str">
        <f>IFERROR(__xludf.DUMMYFUNCTION("split(A1229,""//"")"),"ord_61207")</f>
        <v>ord_61207</v>
      </c>
      <c r="C1229" s="14" t="str">
        <f>IFERROR(__xludf.DUMMYFUNCTION("""COMPUTED_VALUE"""),"Sakshi Tandon")</f>
        <v>Sakshi Tandon</v>
      </c>
      <c r="D1229" s="14" t="str">
        <f>IFERROR(__xludf.DUMMYFUNCTION("""COMPUTED_VALUE"""),"Colaba")</f>
        <v>Colaba</v>
      </c>
      <c r="E1229" s="14" t="str">
        <f>IFERROR(__xludf.DUMMYFUNCTION("""COMPUTED_VALUE"""),"Apple+1*Sita T")</f>
        <v>Apple+1*Sita T</v>
      </c>
      <c r="F1229" s="14">
        <f>IFERROR(__xludf.DUMMYFUNCTION("""COMPUTED_VALUE"""),12.0)</f>
        <v>12</v>
      </c>
      <c r="G1229" s="14">
        <f>IFERROR(__xludf.DUMMYFUNCTION("""COMPUTED_VALUE"""),2.0)</f>
        <v>2</v>
      </c>
      <c r="H1229" s="14">
        <f>IFERROR(__xludf.DUMMYFUNCTION("""COMPUTED_VALUE"""),2023.0)</f>
        <v>2023</v>
      </c>
      <c r="I1229" s="14" t="str">
        <f>IFERROR(__xludf.DUMMYFUNCTION("""COMPUTED_VALUE"""),"COD")</f>
        <v>COD</v>
      </c>
      <c r="J1229" s="14" t="str">
        <f>IFERROR(__xludf.DUMMYFUNCTION("""COMPUTED_VALUE"""),"Delivered*Quality of Items: Perfect condition")</f>
        <v>Delivered*Quality of Items: Perfect condition</v>
      </c>
      <c r="K1229" s="14" t="str">
        <f>IFERROR(__xludf.DUMMYFUNCTION("split(E1229,""+"")"),"Apple")</f>
        <v>Apple</v>
      </c>
      <c r="L1229" s="14" t="str">
        <f>IFERROR(__xludf.DUMMYFUNCTION("""COMPUTED_VALUE"""),"1*Sita T")</f>
        <v>1*Sita T</v>
      </c>
      <c r="M1229" s="14">
        <f>IFERROR(__xludf.DUMMYFUNCTION("SPLIT(L1229,""*"")"),1.0)</f>
        <v>1</v>
      </c>
      <c r="N1229" s="14" t="str">
        <f>IFERROR(__xludf.DUMMYFUNCTION("""COMPUTED_VALUE"""),"Sita T")</f>
        <v>Sita T</v>
      </c>
      <c r="O1229" s="14" t="str">
        <f>IFERROR(__xludf.DUMMYFUNCTION("split(J1229,""*"")"),"Delivered")</f>
        <v>Delivered</v>
      </c>
      <c r="P1229" s="14" t="str">
        <f>IFERROR(__xludf.DUMMYFUNCTION("""COMPUTED_VALUE"""),"Quality of Items: Perfect condition")</f>
        <v>Quality of Items: Perfect condition</v>
      </c>
      <c r="Q1229" s="14" t="str">
        <f>IFERROR(__xludf.DUMMYFUNCTION("split(P1229,"":"")"),"Quality of Items")</f>
        <v>Quality of Items</v>
      </c>
      <c r="R1229" s="14" t="str">
        <f>IFERROR(__xludf.DUMMYFUNCTION("""COMPUTED_VALUE""")," Perfect condition")</f>
        <v> Perfect condition</v>
      </c>
      <c r="S1229" s="14" t="str">
        <f t="shared" ref="S1229:U1229" si="2461">trim(B1229)</f>
        <v>ord_61207</v>
      </c>
      <c r="T1229" s="14" t="str">
        <f t="shared" si="2461"/>
        <v>Sakshi Tandon</v>
      </c>
      <c r="U1229" s="14" t="str">
        <f t="shared" si="2461"/>
        <v>Colaba</v>
      </c>
      <c r="V1229" s="14" t="str">
        <f t="shared" si="4"/>
        <v>Apple</v>
      </c>
      <c r="W1229" s="14">
        <f t="shared" si="5"/>
        <v>1</v>
      </c>
      <c r="X1229" s="14" t="str">
        <f t="shared" si="6"/>
        <v>Sita T</v>
      </c>
      <c r="Y1229" s="15">
        <f t="shared" si="7"/>
        <v>45262</v>
      </c>
      <c r="Z1229" s="14" t="str">
        <f t="shared" si="8"/>
        <v>COD</v>
      </c>
      <c r="AA1229" s="14" t="str">
        <f t="shared" si="9"/>
        <v>Delivered</v>
      </c>
      <c r="AB1229" s="14" t="str">
        <f t="shared" ref="AB1229:AC1229" si="2462">trim(Q1229)</f>
        <v>Quality of Items</v>
      </c>
      <c r="AC1229" s="14" t="str">
        <f t="shared" si="2462"/>
        <v>Perfect condition</v>
      </c>
      <c r="AD1229" s="8"/>
    </row>
    <row r="1230">
      <c r="A1230" s="14" t="str">
        <f>IFERROR(__xludf.DUMMYFUNCTION("""COMPUTED_VALUE"""),"//ord_61208//Anaya Rao//Colaba//Tiramisu+5*Nithin Lal/9/21/2023//Credit Card//Delivered*On-time Delivery: Delivered on time")</f>
        <v>//ord_61208//Anaya Rao//Colaba//Tiramisu+5*Nithin Lal/9/21/2023//Credit Card//Delivered*On-time Delivery: Delivered on time</v>
      </c>
      <c r="B1230" s="14" t="str">
        <f>IFERROR(__xludf.DUMMYFUNCTION("split(A1230,""//"")"),"ord_61208")</f>
        <v>ord_61208</v>
      </c>
      <c r="C1230" s="14" t="str">
        <f>IFERROR(__xludf.DUMMYFUNCTION("""COMPUTED_VALUE"""),"Anaya Rao")</f>
        <v>Anaya Rao</v>
      </c>
      <c r="D1230" s="14" t="str">
        <f>IFERROR(__xludf.DUMMYFUNCTION("""COMPUTED_VALUE"""),"Colaba")</f>
        <v>Colaba</v>
      </c>
      <c r="E1230" s="14" t="str">
        <f>IFERROR(__xludf.DUMMYFUNCTION("""COMPUTED_VALUE"""),"Tiramisu+5*Nithin Lal")</f>
        <v>Tiramisu+5*Nithin Lal</v>
      </c>
      <c r="F1230" s="14">
        <f>IFERROR(__xludf.DUMMYFUNCTION("""COMPUTED_VALUE"""),9.0)</f>
        <v>9</v>
      </c>
      <c r="G1230" s="14">
        <f>IFERROR(__xludf.DUMMYFUNCTION("""COMPUTED_VALUE"""),21.0)</f>
        <v>21</v>
      </c>
      <c r="H1230" s="14">
        <f>IFERROR(__xludf.DUMMYFUNCTION("""COMPUTED_VALUE"""),2023.0)</f>
        <v>2023</v>
      </c>
      <c r="I1230" s="14" t="str">
        <f>IFERROR(__xludf.DUMMYFUNCTION("""COMPUTED_VALUE"""),"Credit Card")</f>
        <v>Credit Card</v>
      </c>
      <c r="J1230" s="14" t="str">
        <f>IFERROR(__xludf.DUMMYFUNCTION("""COMPUTED_VALUE"""),"Delivered*On-time Delivery: Delivered on time")</f>
        <v>Delivered*On-time Delivery: Delivered on time</v>
      </c>
      <c r="K1230" s="14" t="str">
        <f>IFERROR(__xludf.DUMMYFUNCTION("split(E1230,""+"")"),"Tiramisu")</f>
        <v>Tiramisu</v>
      </c>
      <c r="L1230" s="14" t="str">
        <f>IFERROR(__xludf.DUMMYFUNCTION("""COMPUTED_VALUE"""),"5*Nithin Lal")</f>
        <v>5*Nithin Lal</v>
      </c>
      <c r="M1230" s="14">
        <f>IFERROR(__xludf.DUMMYFUNCTION("SPLIT(L1230,""*"")"),5.0)</f>
        <v>5</v>
      </c>
      <c r="N1230" s="14" t="str">
        <f>IFERROR(__xludf.DUMMYFUNCTION("""COMPUTED_VALUE"""),"Nithin Lal")</f>
        <v>Nithin Lal</v>
      </c>
      <c r="O1230" s="14" t="str">
        <f>IFERROR(__xludf.DUMMYFUNCTION("split(J1230,""*"")"),"Delivered")</f>
        <v>Delivered</v>
      </c>
      <c r="P1230" s="14" t="str">
        <f>IFERROR(__xludf.DUMMYFUNCTION("""COMPUTED_VALUE"""),"On-time Delivery: Delivered on time")</f>
        <v>On-time Delivery: Delivered on time</v>
      </c>
      <c r="Q1230" s="14" t="str">
        <f>IFERROR(__xludf.DUMMYFUNCTION("split(P1230,"":"")"),"On-time Delivery")</f>
        <v>On-time Delivery</v>
      </c>
      <c r="R1230" s="14" t="str">
        <f>IFERROR(__xludf.DUMMYFUNCTION("""COMPUTED_VALUE""")," Delivered on time")</f>
        <v> Delivered on time</v>
      </c>
      <c r="S1230" s="14" t="str">
        <f t="shared" ref="S1230:U1230" si="2463">trim(B1230)</f>
        <v>ord_61208</v>
      </c>
      <c r="T1230" s="14" t="str">
        <f t="shared" si="2463"/>
        <v>Anaya Rao</v>
      </c>
      <c r="U1230" s="14" t="str">
        <f t="shared" si="2463"/>
        <v>Colaba</v>
      </c>
      <c r="V1230" s="14" t="str">
        <f t="shared" si="4"/>
        <v>Tiramisu</v>
      </c>
      <c r="W1230" s="14">
        <f t="shared" si="5"/>
        <v>5</v>
      </c>
      <c r="X1230" s="14" t="str">
        <f t="shared" si="6"/>
        <v>Nithin Lal</v>
      </c>
      <c r="Y1230" s="15">
        <f t="shared" si="7"/>
        <v>45190</v>
      </c>
      <c r="Z1230" s="14" t="str">
        <f t="shared" si="8"/>
        <v>Credit Card</v>
      </c>
      <c r="AA1230" s="14" t="str">
        <f t="shared" si="9"/>
        <v>Delivered</v>
      </c>
      <c r="AB1230" s="14" t="str">
        <f t="shared" ref="AB1230:AC1230" si="2464">trim(Q1230)</f>
        <v>On-time Delivery</v>
      </c>
      <c r="AC1230" s="14" t="str">
        <f t="shared" si="2464"/>
        <v>Delivered on time</v>
      </c>
      <c r="AD1230" s="8"/>
    </row>
    <row r="1231">
      <c r="A1231" s="14" t="str">
        <f>IFERROR(__xludf.DUMMYFUNCTION("""COMPUTED_VALUE"""),"//ord_61209//Omkar Mishra//Powai//Onion+2*Nithin Lal/9/29/2023//UPI//Delivered*Quality of Items: Perfect condition")</f>
        <v>//ord_61209//Omkar Mishra//Powai//Onion+2*Nithin Lal/9/29/2023//UPI//Delivered*Quality of Items: Perfect condition</v>
      </c>
      <c r="B1231" s="14" t="str">
        <f>IFERROR(__xludf.DUMMYFUNCTION("split(A1231,""//"")"),"ord_61209")</f>
        <v>ord_61209</v>
      </c>
      <c r="C1231" s="14" t="str">
        <f>IFERROR(__xludf.DUMMYFUNCTION("""COMPUTED_VALUE"""),"Omkar Mishra")</f>
        <v>Omkar Mishra</v>
      </c>
      <c r="D1231" s="14" t="str">
        <f>IFERROR(__xludf.DUMMYFUNCTION("""COMPUTED_VALUE"""),"Powai")</f>
        <v>Powai</v>
      </c>
      <c r="E1231" s="14" t="str">
        <f>IFERROR(__xludf.DUMMYFUNCTION("""COMPUTED_VALUE"""),"Onion+2*Nithin Lal")</f>
        <v>Onion+2*Nithin Lal</v>
      </c>
      <c r="F1231" s="14">
        <f>IFERROR(__xludf.DUMMYFUNCTION("""COMPUTED_VALUE"""),9.0)</f>
        <v>9</v>
      </c>
      <c r="G1231" s="14">
        <f>IFERROR(__xludf.DUMMYFUNCTION("""COMPUTED_VALUE"""),29.0)</f>
        <v>29</v>
      </c>
      <c r="H1231" s="14">
        <f>IFERROR(__xludf.DUMMYFUNCTION("""COMPUTED_VALUE"""),2023.0)</f>
        <v>2023</v>
      </c>
      <c r="I1231" s="14" t="str">
        <f>IFERROR(__xludf.DUMMYFUNCTION("""COMPUTED_VALUE"""),"UPI")</f>
        <v>UPI</v>
      </c>
      <c r="J1231" s="14" t="str">
        <f>IFERROR(__xludf.DUMMYFUNCTION("""COMPUTED_VALUE"""),"Delivered*Quality of Items: Perfect condition")</f>
        <v>Delivered*Quality of Items: Perfect condition</v>
      </c>
      <c r="K1231" s="14" t="str">
        <f>IFERROR(__xludf.DUMMYFUNCTION("split(E1231,""+"")"),"Onion")</f>
        <v>Onion</v>
      </c>
      <c r="L1231" s="14" t="str">
        <f>IFERROR(__xludf.DUMMYFUNCTION("""COMPUTED_VALUE"""),"2*Nithin Lal")</f>
        <v>2*Nithin Lal</v>
      </c>
      <c r="M1231" s="14">
        <f>IFERROR(__xludf.DUMMYFUNCTION("SPLIT(L1231,""*"")"),2.0)</f>
        <v>2</v>
      </c>
      <c r="N1231" s="14" t="str">
        <f>IFERROR(__xludf.DUMMYFUNCTION("""COMPUTED_VALUE"""),"Nithin Lal")</f>
        <v>Nithin Lal</v>
      </c>
      <c r="O1231" s="14" t="str">
        <f>IFERROR(__xludf.DUMMYFUNCTION("split(J1231,""*"")"),"Delivered")</f>
        <v>Delivered</v>
      </c>
      <c r="P1231" s="14" t="str">
        <f>IFERROR(__xludf.DUMMYFUNCTION("""COMPUTED_VALUE"""),"Quality of Items: Perfect condition")</f>
        <v>Quality of Items: Perfect condition</v>
      </c>
      <c r="Q1231" s="14" t="str">
        <f>IFERROR(__xludf.DUMMYFUNCTION("split(P1231,"":"")"),"Quality of Items")</f>
        <v>Quality of Items</v>
      </c>
      <c r="R1231" s="14" t="str">
        <f>IFERROR(__xludf.DUMMYFUNCTION("""COMPUTED_VALUE""")," Perfect condition")</f>
        <v> Perfect condition</v>
      </c>
      <c r="S1231" s="14" t="str">
        <f t="shared" ref="S1231:U1231" si="2465">trim(B1231)</f>
        <v>ord_61209</v>
      </c>
      <c r="T1231" s="14" t="str">
        <f t="shared" si="2465"/>
        <v>Omkar Mishra</v>
      </c>
      <c r="U1231" s="14" t="str">
        <f t="shared" si="2465"/>
        <v>Powai</v>
      </c>
      <c r="V1231" s="14" t="str">
        <f t="shared" si="4"/>
        <v>Onion</v>
      </c>
      <c r="W1231" s="14">
        <f t="shared" si="5"/>
        <v>2</v>
      </c>
      <c r="X1231" s="14" t="str">
        <f t="shared" si="6"/>
        <v>Nithin Lal</v>
      </c>
      <c r="Y1231" s="15">
        <f t="shared" si="7"/>
        <v>45198</v>
      </c>
      <c r="Z1231" s="14" t="str">
        <f t="shared" si="8"/>
        <v>UPI</v>
      </c>
      <c r="AA1231" s="14" t="str">
        <f t="shared" si="9"/>
        <v>Delivered</v>
      </c>
      <c r="AB1231" s="14" t="str">
        <f t="shared" ref="AB1231:AC1231" si="2466">trim(Q1231)</f>
        <v>Quality of Items</v>
      </c>
      <c r="AC1231" s="14" t="str">
        <f t="shared" si="2466"/>
        <v>Perfect condition</v>
      </c>
      <c r="AD1231" s="8"/>
    </row>
    <row r="1232">
      <c r="A1232" s="14" t="str">
        <f>IFERROR(__xludf.DUMMYFUNCTION("""COMPUTED_VALUE"""),"//ord_61210//Aarohi Kapoor//Bandra//Banana+2*Venu R/2/2/2023//Credit Card//Delivered*Packaging: Secure and intact")</f>
        <v>//ord_61210//Aarohi Kapoor//Bandra//Banana+2*Venu R/2/2/2023//Credit Card//Delivered*Packaging: Secure and intact</v>
      </c>
      <c r="B1232" s="14" t="str">
        <f>IFERROR(__xludf.DUMMYFUNCTION("split(A1232,""//"")"),"ord_61210")</f>
        <v>ord_61210</v>
      </c>
      <c r="C1232" s="14" t="str">
        <f>IFERROR(__xludf.DUMMYFUNCTION("""COMPUTED_VALUE"""),"Aarohi Kapoor")</f>
        <v>Aarohi Kapoor</v>
      </c>
      <c r="D1232" s="14" t="str">
        <f>IFERROR(__xludf.DUMMYFUNCTION("""COMPUTED_VALUE"""),"Bandra")</f>
        <v>Bandra</v>
      </c>
      <c r="E1232" s="14" t="str">
        <f>IFERROR(__xludf.DUMMYFUNCTION("""COMPUTED_VALUE"""),"Banana+2*Venu R")</f>
        <v>Banana+2*Venu R</v>
      </c>
      <c r="F1232" s="14">
        <f>IFERROR(__xludf.DUMMYFUNCTION("""COMPUTED_VALUE"""),2.0)</f>
        <v>2</v>
      </c>
      <c r="G1232" s="14">
        <f>IFERROR(__xludf.DUMMYFUNCTION("""COMPUTED_VALUE"""),2.0)</f>
        <v>2</v>
      </c>
      <c r="H1232" s="14">
        <f>IFERROR(__xludf.DUMMYFUNCTION("""COMPUTED_VALUE"""),2023.0)</f>
        <v>2023</v>
      </c>
      <c r="I1232" s="14" t="str">
        <f>IFERROR(__xludf.DUMMYFUNCTION("""COMPUTED_VALUE"""),"Credit Card")</f>
        <v>Credit Card</v>
      </c>
      <c r="J1232" s="14" t="str">
        <f>IFERROR(__xludf.DUMMYFUNCTION("""COMPUTED_VALUE"""),"Delivered*Packaging: Secure and intact")</f>
        <v>Delivered*Packaging: Secure and intact</v>
      </c>
      <c r="K1232" s="14" t="str">
        <f>IFERROR(__xludf.DUMMYFUNCTION("split(E1232,""+"")"),"Banana")</f>
        <v>Banana</v>
      </c>
      <c r="L1232" s="14" t="str">
        <f>IFERROR(__xludf.DUMMYFUNCTION("""COMPUTED_VALUE"""),"2*Venu R")</f>
        <v>2*Venu R</v>
      </c>
      <c r="M1232" s="14">
        <f>IFERROR(__xludf.DUMMYFUNCTION("SPLIT(L1232,""*"")"),2.0)</f>
        <v>2</v>
      </c>
      <c r="N1232" s="14" t="str">
        <f>IFERROR(__xludf.DUMMYFUNCTION("""COMPUTED_VALUE"""),"Venu R")</f>
        <v>Venu R</v>
      </c>
      <c r="O1232" s="14" t="str">
        <f>IFERROR(__xludf.DUMMYFUNCTION("split(J1232,""*"")"),"Delivered")</f>
        <v>Delivered</v>
      </c>
      <c r="P1232" s="14" t="str">
        <f>IFERROR(__xludf.DUMMYFUNCTION("""COMPUTED_VALUE"""),"Packaging: Secure and intact")</f>
        <v>Packaging: Secure and intact</v>
      </c>
      <c r="Q1232" s="14" t="str">
        <f>IFERROR(__xludf.DUMMYFUNCTION("split(P1232,"":"")"),"Packaging")</f>
        <v>Packaging</v>
      </c>
      <c r="R1232" s="14" t="str">
        <f>IFERROR(__xludf.DUMMYFUNCTION("""COMPUTED_VALUE""")," Secure and intact")</f>
        <v> Secure and intact</v>
      </c>
      <c r="S1232" s="14" t="str">
        <f t="shared" ref="S1232:U1232" si="2467">trim(B1232)</f>
        <v>ord_61210</v>
      </c>
      <c r="T1232" s="14" t="str">
        <f t="shared" si="2467"/>
        <v>Aarohi Kapoor</v>
      </c>
      <c r="U1232" s="14" t="str">
        <f t="shared" si="2467"/>
        <v>Bandra</v>
      </c>
      <c r="V1232" s="14" t="str">
        <f t="shared" si="4"/>
        <v>Banana</v>
      </c>
      <c r="W1232" s="14">
        <f t="shared" si="5"/>
        <v>2</v>
      </c>
      <c r="X1232" s="14" t="str">
        <f t="shared" si="6"/>
        <v>Venu R</v>
      </c>
      <c r="Y1232" s="15">
        <f t="shared" si="7"/>
        <v>44959</v>
      </c>
      <c r="Z1232" s="14" t="str">
        <f t="shared" si="8"/>
        <v>Credit Card</v>
      </c>
      <c r="AA1232" s="14" t="str">
        <f t="shared" si="9"/>
        <v>Delivered</v>
      </c>
      <c r="AB1232" s="14" t="str">
        <f t="shared" ref="AB1232:AC1232" si="2468">trim(Q1232)</f>
        <v>Packaging</v>
      </c>
      <c r="AC1232" s="14" t="str">
        <f t="shared" si="2468"/>
        <v>Secure and intact</v>
      </c>
      <c r="AD1232" s="8"/>
    </row>
    <row r="1233">
      <c r="A1233" s="14" t="str">
        <f>IFERROR(__xludf.DUMMYFUNCTION("""COMPUTED_VALUE"""),"//ord_61211//Mohit Malhotra//Lower Parel//Cold Coffee+3*Vivek Kumar/11/19/2023//COD//Delivered*Satisfied with the Delivery: Timely and quality")</f>
        <v>//ord_61211//Mohit Malhotra//Lower Parel//Cold Coffee+3*Vivek Kumar/11/19/2023//COD//Delivered*Satisfied with the Delivery: Timely and quality</v>
      </c>
      <c r="B1233" s="14" t="str">
        <f>IFERROR(__xludf.DUMMYFUNCTION("split(A1233,""//"")"),"ord_61211")</f>
        <v>ord_61211</v>
      </c>
      <c r="C1233" s="14" t="str">
        <f>IFERROR(__xludf.DUMMYFUNCTION("""COMPUTED_VALUE"""),"Mohit Malhotra")</f>
        <v>Mohit Malhotra</v>
      </c>
      <c r="D1233" s="14" t="str">
        <f>IFERROR(__xludf.DUMMYFUNCTION("""COMPUTED_VALUE"""),"Lower Parel")</f>
        <v>Lower Parel</v>
      </c>
      <c r="E1233" s="14" t="str">
        <f>IFERROR(__xludf.DUMMYFUNCTION("""COMPUTED_VALUE"""),"Cold Coffee+3*Vivek Kumar")</f>
        <v>Cold Coffee+3*Vivek Kumar</v>
      </c>
      <c r="F1233" s="14">
        <f>IFERROR(__xludf.DUMMYFUNCTION("""COMPUTED_VALUE"""),11.0)</f>
        <v>11</v>
      </c>
      <c r="G1233" s="14">
        <f>IFERROR(__xludf.DUMMYFUNCTION("""COMPUTED_VALUE"""),19.0)</f>
        <v>19</v>
      </c>
      <c r="H1233" s="14">
        <f>IFERROR(__xludf.DUMMYFUNCTION("""COMPUTED_VALUE"""),2023.0)</f>
        <v>2023</v>
      </c>
      <c r="I1233" s="14" t="str">
        <f>IFERROR(__xludf.DUMMYFUNCTION("""COMPUTED_VALUE"""),"COD")</f>
        <v>COD</v>
      </c>
      <c r="J1233" s="14" t="str">
        <f>IFERROR(__xludf.DUMMYFUNCTION("""COMPUTED_VALUE"""),"Delivered*Satisfied with the Delivery: Timely and quality")</f>
        <v>Delivered*Satisfied with the Delivery: Timely and quality</v>
      </c>
      <c r="K1233" s="14" t="str">
        <f>IFERROR(__xludf.DUMMYFUNCTION("split(E1233,""+"")"),"Cold Coffee")</f>
        <v>Cold Coffee</v>
      </c>
      <c r="L1233" s="14" t="str">
        <f>IFERROR(__xludf.DUMMYFUNCTION("""COMPUTED_VALUE"""),"3*Vivek Kumar")</f>
        <v>3*Vivek Kumar</v>
      </c>
      <c r="M1233" s="14">
        <f>IFERROR(__xludf.DUMMYFUNCTION("SPLIT(L1233,""*"")"),3.0)</f>
        <v>3</v>
      </c>
      <c r="N1233" s="14" t="str">
        <f>IFERROR(__xludf.DUMMYFUNCTION("""COMPUTED_VALUE"""),"Vivek Kumar")</f>
        <v>Vivek Kumar</v>
      </c>
      <c r="O1233" s="14" t="str">
        <f>IFERROR(__xludf.DUMMYFUNCTION("split(J1233,""*"")"),"Delivered")</f>
        <v>Delivered</v>
      </c>
      <c r="P1233" s="14" t="str">
        <f>IFERROR(__xludf.DUMMYFUNCTION("""COMPUTED_VALUE"""),"Satisfied with the Delivery: Timely and quality")</f>
        <v>Satisfied with the Delivery: Timely and quality</v>
      </c>
      <c r="Q1233" s="14" t="str">
        <f>IFERROR(__xludf.DUMMYFUNCTION("split(P1233,"":"")"),"Satisfied with the Delivery")</f>
        <v>Satisfied with the Delivery</v>
      </c>
      <c r="R1233" s="14" t="str">
        <f>IFERROR(__xludf.DUMMYFUNCTION("""COMPUTED_VALUE""")," Timely and quality")</f>
        <v> Timely and quality</v>
      </c>
      <c r="S1233" s="14" t="str">
        <f t="shared" ref="S1233:U1233" si="2469">trim(B1233)</f>
        <v>ord_61211</v>
      </c>
      <c r="T1233" s="14" t="str">
        <f t="shared" si="2469"/>
        <v>Mohit Malhotra</v>
      </c>
      <c r="U1233" s="14" t="str">
        <f t="shared" si="2469"/>
        <v>Lower Parel</v>
      </c>
      <c r="V1233" s="14" t="str">
        <f t="shared" si="4"/>
        <v>Cold Coffee</v>
      </c>
      <c r="W1233" s="14">
        <f t="shared" si="5"/>
        <v>3</v>
      </c>
      <c r="X1233" s="14" t="str">
        <f t="shared" si="6"/>
        <v>Vivek Kumar</v>
      </c>
      <c r="Y1233" s="15">
        <f t="shared" si="7"/>
        <v>45249</v>
      </c>
      <c r="Z1233" s="14" t="str">
        <f t="shared" si="8"/>
        <v>COD</v>
      </c>
      <c r="AA1233" s="14" t="str">
        <f t="shared" si="9"/>
        <v>Delivered</v>
      </c>
      <c r="AB1233" s="14" t="str">
        <f t="shared" ref="AB1233:AC1233" si="2470">trim(Q1233)</f>
        <v>Satisfied with the Delivery</v>
      </c>
      <c r="AC1233" s="14" t="str">
        <f t="shared" si="2470"/>
        <v>Timely and quality</v>
      </c>
      <c r="AD1233" s="8"/>
    </row>
    <row r="1234">
      <c r="A1234" s="14" t="str">
        <f>IFERROR(__xludf.DUMMYFUNCTION("""COMPUTED_VALUE"""),"//ord_61212//Mehul Thakkar//Malad//Icecream+4*Not Assigned/5/9/2023//Credit Card//Cancelled*App Glitches:Missing Content")</f>
        <v>//ord_61212//Mehul Thakkar//Malad//Icecream+4*Not Assigned/5/9/2023//Credit Card//Cancelled*App Glitches:Missing Content</v>
      </c>
      <c r="B1234" s="14" t="str">
        <f>IFERROR(__xludf.DUMMYFUNCTION("split(A1234,""//"")"),"ord_61212")</f>
        <v>ord_61212</v>
      </c>
      <c r="C1234" s="14" t="str">
        <f>IFERROR(__xludf.DUMMYFUNCTION("""COMPUTED_VALUE"""),"Mehul Thakkar")</f>
        <v>Mehul Thakkar</v>
      </c>
      <c r="D1234" s="14" t="str">
        <f>IFERROR(__xludf.DUMMYFUNCTION("""COMPUTED_VALUE"""),"Malad")</f>
        <v>Malad</v>
      </c>
      <c r="E1234" s="14" t="str">
        <f>IFERROR(__xludf.DUMMYFUNCTION("""COMPUTED_VALUE"""),"Icecream+4*Not Assigned")</f>
        <v>Icecream+4*Not Assigned</v>
      </c>
      <c r="F1234" s="14">
        <f>IFERROR(__xludf.DUMMYFUNCTION("""COMPUTED_VALUE"""),5.0)</f>
        <v>5</v>
      </c>
      <c r="G1234" s="14">
        <f>IFERROR(__xludf.DUMMYFUNCTION("""COMPUTED_VALUE"""),9.0)</f>
        <v>9</v>
      </c>
      <c r="H1234" s="14">
        <f>IFERROR(__xludf.DUMMYFUNCTION("""COMPUTED_VALUE"""),2023.0)</f>
        <v>2023</v>
      </c>
      <c r="I1234" s="14" t="str">
        <f>IFERROR(__xludf.DUMMYFUNCTION("""COMPUTED_VALUE"""),"Credit Card")</f>
        <v>Credit Card</v>
      </c>
      <c r="J1234" s="14" t="str">
        <f>IFERROR(__xludf.DUMMYFUNCTION("""COMPUTED_VALUE"""),"Cancelled*App Glitches:Missing Content")</f>
        <v>Cancelled*App Glitches:Missing Content</v>
      </c>
      <c r="K1234" s="14" t="str">
        <f>IFERROR(__xludf.DUMMYFUNCTION("split(E1234,""+"")"),"Icecream")</f>
        <v>Icecream</v>
      </c>
      <c r="L1234" s="14" t="str">
        <f>IFERROR(__xludf.DUMMYFUNCTION("""COMPUTED_VALUE"""),"4*Not Assigned")</f>
        <v>4*Not Assigned</v>
      </c>
      <c r="M1234" s="14">
        <f>IFERROR(__xludf.DUMMYFUNCTION("SPLIT(L1234,""*"")"),4.0)</f>
        <v>4</v>
      </c>
      <c r="N1234" s="14" t="str">
        <f>IFERROR(__xludf.DUMMYFUNCTION("""COMPUTED_VALUE"""),"Not Assigned")</f>
        <v>Not Assigned</v>
      </c>
      <c r="O1234" s="14" t="str">
        <f>IFERROR(__xludf.DUMMYFUNCTION("split(J1234,""*"")"),"Cancelled")</f>
        <v>Cancelled</v>
      </c>
      <c r="P1234" s="14" t="str">
        <f>IFERROR(__xludf.DUMMYFUNCTION("""COMPUTED_VALUE"""),"App Glitches:Missing Content")</f>
        <v>App Glitches:Missing Content</v>
      </c>
      <c r="Q1234" s="14" t="str">
        <f>IFERROR(__xludf.DUMMYFUNCTION("split(P1234,"":"")"),"App Glitches")</f>
        <v>App Glitches</v>
      </c>
      <c r="R1234" s="14" t="str">
        <f>IFERROR(__xludf.DUMMYFUNCTION("""COMPUTED_VALUE"""),"Missing Content")</f>
        <v>Missing Content</v>
      </c>
      <c r="S1234" s="14" t="str">
        <f t="shared" ref="S1234:U1234" si="2471">trim(B1234)</f>
        <v>ord_61212</v>
      </c>
      <c r="T1234" s="14" t="str">
        <f t="shared" si="2471"/>
        <v>Mehul Thakkar</v>
      </c>
      <c r="U1234" s="14" t="str">
        <f t="shared" si="2471"/>
        <v>Malad</v>
      </c>
      <c r="V1234" s="14" t="str">
        <f t="shared" si="4"/>
        <v>Icecream</v>
      </c>
      <c r="W1234" s="14">
        <f t="shared" si="5"/>
        <v>4</v>
      </c>
      <c r="X1234" s="14" t="str">
        <f t="shared" si="6"/>
        <v>Not Assigned</v>
      </c>
      <c r="Y1234" s="15">
        <f t="shared" si="7"/>
        <v>45055</v>
      </c>
      <c r="Z1234" s="14" t="str">
        <f t="shared" si="8"/>
        <v>Credit Card</v>
      </c>
      <c r="AA1234" s="14" t="str">
        <f t="shared" si="9"/>
        <v>Cancelled</v>
      </c>
      <c r="AB1234" s="14" t="str">
        <f t="shared" ref="AB1234:AC1234" si="2472">trim(Q1234)</f>
        <v>App Glitches</v>
      </c>
      <c r="AC1234" s="14" t="str">
        <f t="shared" si="2472"/>
        <v>Missing Content</v>
      </c>
      <c r="AD1234" s="8"/>
    </row>
    <row r="1235">
      <c r="A1235" s="14" t="str">
        <f>IFERROR(__xludf.DUMMYFUNCTION("""COMPUTED_VALUE"""),"//ord_61213//Sakshi Tandon//Colaba//Icecream+5*Shine Thomas/10/29/2023//COD//Delivered*Customer Service: Seamless and easy")</f>
        <v>//ord_61213//Sakshi Tandon//Colaba//Icecream+5*Shine Thomas/10/29/2023//COD//Delivered*Customer Service: Seamless and easy</v>
      </c>
      <c r="B1235" s="14" t="str">
        <f>IFERROR(__xludf.DUMMYFUNCTION("split(A1235,""//"")"),"ord_61213")</f>
        <v>ord_61213</v>
      </c>
      <c r="C1235" s="14" t="str">
        <f>IFERROR(__xludf.DUMMYFUNCTION("""COMPUTED_VALUE"""),"Sakshi Tandon")</f>
        <v>Sakshi Tandon</v>
      </c>
      <c r="D1235" s="14" t="str">
        <f>IFERROR(__xludf.DUMMYFUNCTION("""COMPUTED_VALUE"""),"Colaba")</f>
        <v>Colaba</v>
      </c>
      <c r="E1235" s="14" t="str">
        <f>IFERROR(__xludf.DUMMYFUNCTION("""COMPUTED_VALUE"""),"Icecream+5*Shine Thomas")</f>
        <v>Icecream+5*Shine Thomas</v>
      </c>
      <c r="F1235" s="14">
        <f>IFERROR(__xludf.DUMMYFUNCTION("""COMPUTED_VALUE"""),10.0)</f>
        <v>10</v>
      </c>
      <c r="G1235" s="14">
        <f>IFERROR(__xludf.DUMMYFUNCTION("""COMPUTED_VALUE"""),29.0)</f>
        <v>29</v>
      </c>
      <c r="H1235" s="14">
        <f>IFERROR(__xludf.DUMMYFUNCTION("""COMPUTED_VALUE"""),2023.0)</f>
        <v>2023</v>
      </c>
      <c r="I1235" s="14" t="str">
        <f>IFERROR(__xludf.DUMMYFUNCTION("""COMPUTED_VALUE"""),"COD")</f>
        <v>COD</v>
      </c>
      <c r="J1235" s="14" t="str">
        <f>IFERROR(__xludf.DUMMYFUNCTION("""COMPUTED_VALUE"""),"Delivered*Customer Service: Seamless and easy")</f>
        <v>Delivered*Customer Service: Seamless and easy</v>
      </c>
      <c r="K1235" s="14" t="str">
        <f>IFERROR(__xludf.DUMMYFUNCTION("split(E1235,""+"")"),"Icecream")</f>
        <v>Icecream</v>
      </c>
      <c r="L1235" s="14" t="str">
        <f>IFERROR(__xludf.DUMMYFUNCTION("""COMPUTED_VALUE"""),"5*Shine Thomas")</f>
        <v>5*Shine Thomas</v>
      </c>
      <c r="M1235" s="14">
        <f>IFERROR(__xludf.DUMMYFUNCTION("SPLIT(L1235,""*"")"),5.0)</f>
        <v>5</v>
      </c>
      <c r="N1235" s="14" t="str">
        <f>IFERROR(__xludf.DUMMYFUNCTION("""COMPUTED_VALUE"""),"Shine Thomas")</f>
        <v>Shine Thomas</v>
      </c>
      <c r="O1235" s="14" t="str">
        <f>IFERROR(__xludf.DUMMYFUNCTION("split(J1235,""*"")"),"Delivered")</f>
        <v>Delivered</v>
      </c>
      <c r="P1235" s="14" t="str">
        <f>IFERROR(__xludf.DUMMYFUNCTION("""COMPUTED_VALUE"""),"Customer Service: Seamless and easy")</f>
        <v>Customer Service: Seamless and easy</v>
      </c>
      <c r="Q1235" s="14" t="str">
        <f>IFERROR(__xludf.DUMMYFUNCTION("split(P1235,"":"")"),"Customer Service")</f>
        <v>Customer Service</v>
      </c>
      <c r="R1235" s="14" t="str">
        <f>IFERROR(__xludf.DUMMYFUNCTION("""COMPUTED_VALUE""")," Seamless and easy")</f>
        <v> Seamless and easy</v>
      </c>
      <c r="S1235" s="14" t="str">
        <f t="shared" ref="S1235:U1235" si="2473">trim(B1235)</f>
        <v>ord_61213</v>
      </c>
      <c r="T1235" s="14" t="str">
        <f t="shared" si="2473"/>
        <v>Sakshi Tandon</v>
      </c>
      <c r="U1235" s="14" t="str">
        <f t="shared" si="2473"/>
        <v>Colaba</v>
      </c>
      <c r="V1235" s="14" t="str">
        <f t="shared" si="4"/>
        <v>Icecream</v>
      </c>
      <c r="W1235" s="14">
        <f t="shared" si="5"/>
        <v>5</v>
      </c>
      <c r="X1235" s="14" t="str">
        <f t="shared" si="6"/>
        <v>Shine Thomas</v>
      </c>
      <c r="Y1235" s="15">
        <f t="shared" si="7"/>
        <v>45228</v>
      </c>
      <c r="Z1235" s="14" t="str">
        <f t="shared" si="8"/>
        <v>COD</v>
      </c>
      <c r="AA1235" s="14" t="str">
        <f t="shared" si="9"/>
        <v>Delivered</v>
      </c>
      <c r="AB1235" s="14" t="str">
        <f t="shared" ref="AB1235:AC1235" si="2474">trim(Q1235)</f>
        <v>Customer Service</v>
      </c>
      <c r="AC1235" s="14" t="str">
        <f t="shared" si="2474"/>
        <v>Seamless and easy</v>
      </c>
      <c r="AD1235" s="8"/>
    </row>
    <row r="1236">
      <c r="A1236" s="14" t="str">
        <f>IFERROR(__xludf.DUMMYFUNCTION("""COMPUTED_VALUE"""),"//ord_61214//Sakshi Tandon//Colaba//Chilli Cheese Toast+5*Nithin Lal/11/16/2023//Credit Card//Delivered*Delivery Experience: Quick and professional")</f>
        <v>//ord_61214//Sakshi Tandon//Colaba//Chilli Cheese Toast+5*Nithin Lal/11/16/2023//Credit Card//Delivered*Delivery Experience: Quick and professional</v>
      </c>
      <c r="B1236" s="14" t="str">
        <f>IFERROR(__xludf.DUMMYFUNCTION("split(A1236,""//"")"),"ord_61214")</f>
        <v>ord_61214</v>
      </c>
      <c r="C1236" s="14" t="str">
        <f>IFERROR(__xludf.DUMMYFUNCTION("""COMPUTED_VALUE"""),"Sakshi Tandon")</f>
        <v>Sakshi Tandon</v>
      </c>
      <c r="D1236" s="14" t="str">
        <f>IFERROR(__xludf.DUMMYFUNCTION("""COMPUTED_VALUE"""),"Colaba")</f>
        <v>Colaba</v>
      </c>
      <c r="E1236" s="14" t="str">
        <f>IFERROR(__xludf.DUMMYFUNCTION("""COMPUTED_VALUE"""),"Chilli Cheese Toast+5*Nithin Lal")</f>
        <v>Chilli Cheese Toast+5*Nithin Lal</v>
      </c>
      <c r="F1236" s="14">
        <f>IFERROR(__xludf.DUMMYFUNCTION("""COMPUTED_VALUE"""),11.0)</f>
        <v>11</v>
      </c>
      <c r="G1236" s="14">
        <f>IFERROR(__xludf.DUMMYFUNCTION("""COMPUTED_VALUE"""),16.0)</f>
        <v>16</v>
      </c>
      <c r="H1236" s="14">
        <f>IFERROR(__xludf.DUMMYFUNCTION("""COMPUTED_VALUE"""),2023.0)</f>
        <v>2023</v>
      </c>
      <c r="I1236" s="14" t="str">
        <f>IFERROR(__xludf.DUMMYFUNCTION("""COMPUTED_VALUE"""),"Credit Card")</f>
        <v>Credit Card</v>
      </c>
      <c r="J1236" s="14" t="str">
        <f>IFERROR(__xludf.DUMMYFUNCTION("""COMPUTED_VALUE"""),"Delivered*Delivery Experience: Quick and professional")</f>
        <v>Delivered*Delivery Experience: Quick and professional</v>
      </c>
      <c r="K1236" s="14" t="str">
        <f>IFERROR(__xludf.DUMMYFUNCTION("split(E1236,""+"")"),"Chilli Cheese Toast")</f>
        <v>Chilli Cheese Toast</v>
      </c>
      <c r="L1236" s="14" t="str">
        <f>IFERROR(__xludf.DUMMYFUNCTION("""COMPUTED_VALUE"""),"5*Nithin Lal")</f>
        <v>5*Nithin Lal</v>
      </c>
      <c r="M1236" s="14">
        <f>IFERROR(__xludf.DUMMYFUNCTION("SPLIT(L1236,""*"")"),5.0)</f>
        <v>5</v>
      </c>
      <c r="N1236" s="14" t="str">
        <f>IFERROR(__xludf.DUMMYFUNCTION("""COMPUTED_VALUE"""),"Nithin Lal")</f>
        <v>Nithin Lal</v>
      </c>
      <c r="O1236" s="14" t="str">
        <f>IFERROR(__xludf.DUMMYFUNCTION("split(J1236,""*"")"),"Delivered")</f>
        <v>Delivered</v>
      </c>
      <c r="P1236" s="14" t="str">
        <f>IFERROR(__xludf.DUMMYFUNCTION("""COMPUTED_VALUE"""),"Delivery Experience: Quick and professional")</f>
        <v>Delivery Experience: Quick and professional</v>
      </c>
      <c r="Q1236" s="14" t="str">
        <f>IFERROR(__xludf.DUMMYFUNCTION("split(P1236,"":"")"),"Delivery Experience")</f>
        <v>Delivery Experience</v>
      </c>
      <c r="R1236" s="14" t="str">
        <f>IFERROR(__xludf.DUMMYFUNCTION("""COMPUTED_VALUE""")," Quick and professional")</f>
        <v> Quick and professional</v>
      </c>
      <c r="S1236" s="14" t="str">
        <f t="shared" ref="S1236:U1236" si="2475">trim(B1236)</f>
        <v>ord_61214</v>
      </c>
      <c r="T1236" s="14" t="str">
        <f t="shared" si="2475"/>
        <v>Sakshi Tandon</v>
      </c>
      <c r="U1236" s="14" t="str">
        <f t="shared" si="2475"/>
        <v>Colaba</v>
      </c>
      <c r="V1236" s="14" t="str">
        <f t="shared" si="4"/>
        <v>Chilli Cheese Toast</v>
      </c>
      <c r="W1236" s="14">
        <f t="shared" si="5"/>
        <v>5</v>
      </c>
      <c r="X1236" s="14" t="str">
        <f t="shared" si="6"/>
        <v>Nithin Lal</v>
      </c>
      <c r="Y1236" s="15">
        <f t="shared" si="7"/>
        <v>45246</v>
      </c>
      <c r="Z1236" s="14" t="str">
        <f t="shared" si="8"/>
        <v>Credit Card</v>
      </c>
      <c r="AA1236" s="14" t="str">
        <f t="shared" si="9"/>
        <v>Delivered</v>
      </c>
      <c r="AB1236" s="14" t="str">
        <f t="shared" ref="AB1236:AC1236" si="2476">trim(Q1236)</f>
        <v>Delivery Experience</v>
      </c>
      <c r="AC1236" s="14" t="str">
        <f t="shared" si="2476"/>
        <v>Quick and professional</v>
      </c>
      <c r="AD1236" s="8"/>
    </row>
    <row r="1237">
      <c r="A1237" s="14" t="str">
        <f>IFERROR(__xludf.DUMMYFUNCTION("""COMPUTED_VALUE"""),"//ord_61215//Aditya Rao//Lower Parel//Tiramisu+6*Nithin Lal/11/17/2023//Online Payment//Delivered*Convenience: Easy tracking")</f>
        <v>//ord_61215//Aditya Rao//Lower Parel//Tiramisu+6*Nithin Lal/11/17/2023//Online Payment//Delivered*Convenience: Easy tracking</v>
      </c>
      <c r="B1237" s="14" t="str">
        <f>IFERROR(__xludf.DUMMYFUNCTION("split(A1237,""//"")"),"ord_61215")</f>
        <v>ord_61215</v>
      </c>
      <c r="C1237" s="14" t="str">
        <f>IFERROR(__xludf.DUMMYFUNCTION("""COMPUTED_VALUE"""),"Aditya Rao")</f>
        <v>Aditya Rao</v>
      </c>
      <c r="D1237" s="14" t="str">
        <f>IFERROR(__xludf.DUMMYFUNCTION("""COMPUTED_VALUE"""),"Lower Parel")</f>
        <v>Lower Parel</v>
      </c>
      <c r="E1237" s="14" t="str">
        <f>IFERROR(__xludf.DUMMYFUNCTION("""COMPUTED_VALUE"""),"Tiramisu+6*Nithin Lal")</f>
        <v>Tiramisu+6*Nithin Lal</v>
      </c>
      <c r="F1237" s="14">
        <f>IFERROR(__xludf.DUMMYFUNCTION("""COMPUTED_VALUE"""),11.0)</f>
        <v>11</v>
      </c>
      <c r="G1237" s="14">
        <f>IFERROR(__xludf.DUMMYFUNCTION("""COMPUTED_VALUE"""),17.0)</f>
        <v>17</v>
      </c>
      <c r="H1237" s="14">
        <f>IFERROR(__xludf.DUMMYFUNCTION("""COMPUTED_VALUE"""),2023.0)</f>
        <v>2023</v>
      </c>
      <c r="I1237" s="14" t="str">
        <f>IFERROR(__xludf.DUMMYFUNCTION("""COMPUTED_VALUE"""),"Online Payment")</f>
        <v>Online Payment</v>
      </c>
      <c r="J1237" s="14" t="str">
        <f>IFERROR(__xludf.DUMMYFUNCTION("""COMPUTED_VALUE"""),"Delivered*Convenience: Easy tracking")</f>
        <v>Delivered*Convenience: Easy tracking</v>
      </c>
      <c r="K1237" s="14" t="str">
        <f>IFERROR(__xludf.DUMMYFUNCTION("split(E1237,""+"")"),"Tiramisu")</f>
        <v>Tiramisu</v>
      </c>
      <c r="L1237" s="14" t="str">
        <f>IFERROR(__xludf.DUMMYFUNCTION("""COMPUTED_VALUE"""),"6*Nithin Lal")</f>
        <v>6*Nithin Lal</v>
      </c>
      <c r="M1237" s="14">
        <f>IFERROR(__xludf.DUMMYFUNCTION("SPLIT(L1237,""*"")"),6.0)</f>
        <v>6</v>
      </c>
      <c r="N1237" s="14" t="str">
        <f>IFERROR(__xludf.DUMMYFUNCTION("""COMPUTED_VALUE"""),"Nithin Lal")</f>
        <v>Nithin Lal</v>
      </c>
      <c r="O1237" s="14" t="str">
        <f>IFERROR(__xludf.DUMMYFUNCTION("split(J1237,""*"")"),"Delivered")</f>
        <v>Delivered</v>
      </c>
      <c r="P1237" s="14" t="str">
        <f>IFERROR(__xludf.DUMMYFUNCTION("""COMPUTED_VALUE"""),"Convenience: Easy tracking")</f>
        <v>Convenience: Easy tracking</v>
      </c>
      <c r="Q1237" s="14" t="str">
        <f>IFERROR(__xludf.DUMMYFUNCTION("split(P1237,"":"")"),"Convenience")</f>
        <v>Convenience</v>
      </c>
      <c r="R1237" s="14" t="str">
        <f>IFERROR(__xludf.DUMMYFUNCTION("""COMPUTED_VALUE""")," Easy tracking")</f>
        <v> Easy tracking</v>
      </c>
      <c r="S1237" s="14" t="str">
        <f t="shared" ref="S1237:U1237" si="2477">trim(B1237)</f>
        <v>ord_61215</v>
      </c>
      <c r="T1237" s="14" t="str">
        <f t="shared" si="2477"/>
        <v>Aditya Rao</v>
      </c>
      <c r="U1237" s="14" t="str">
        <f t="shared" si="2477"/>
        <v>Lower Parel</v>
      </c>
      <c r="V1237" s="14" t="str">
        <f t="shared" si="4"/>
        <v>Tiramisu</v>
      </c>
      <c r="W1237" s="14">
        <f t="shared" si="5"/>
        <v>6</v>
      </c>
      <c r="X1237" s="14" t="str">
        <f t="shared" si="6"/>
        <v>Nithin Lal</v>
      </c>
      <c r="Y1237" s="15">
        <f t="shared" si="7"/>
        <v>45247</v>
      </c>
      <c r="Z1237" s="14" t="str">
        <f t="shared" si="8"/>
        <v>Online Payment</v>
      </c>
      <c r="AA1237" s="14" t="str">
        <f t="shared" si="9"/>
        <v>Delivered</v>
      </c>
      <c r="AB1237" s="14" t="str">
        <f t="shared" ref="AB1237:AC1237" si="2478">trim(Q1237)</f>
        <v>Convenience</v>
      </c>
      <c r="AC1237" s="14" t="str">
        <f t="shared" si="2478"/>
        <v>Easy tracking</v>
      </c>
      <c r="AD1237" s="8"/>
    </row>
    <row r="1238">
      <c r="A1238" s="14" t="str">
        <f>IFERROR(__xludf.DUMMYFUNCTION("""COMPUTED_VALUE"""),"//ord_61216//Ishita Banerjee//Juhu//Apple+2*Sandeep Kumar/7/10/2023//UPI//Cancelled*Delayed Delivery:Vehicle Breakdown")</f>
        <v>//ord_61216//Ishita Banerjee//Juhu//Apple+2*Sandeep Kumar/7/10/2023//UPI//Cancelled*Delayed Delivery:Vehicle Breakdown</v>
      </c>
      <c r="B1238" s="14" t="str">
        <f>IFERROR(__xludf.DUMMYFUNCTION("split(A1238,""//"")"),"ord_61216")</f>
        <v>ord_61216</v>
      </c>
      <c r="C1238" s="14" t="str">
        <f>IFERROR(__xludf.DUMMYFUNCTION("""COMPUTED_VALUE"""),"Ishita Banerjee")</f>
        <v>Ishita Banerjee</v>
      </c>
      <c r="D1238" s="14" t="str">
        <f>IFERROR(__xludf.DUMMYFUNCTION("""COMPUTED_VALUE"""),"Juhu")</f>
        <v>Juhu</v>
      </c>
      <c r="E1238" s="14" t="str">
        <f>IFERROR(__xludf.DUMMYFUNCTION("""COMPUTED_VALUE"""),"Apple+2*Sandeep Kumar")</f>
        <v>Apple+2*Sandeep Kumar</v>
      </c>
      <c r="F1238" s="14">
        <f>IFERROR(__xludf.DUMMYFUNCTION("""COMPUTED_VALUE"""),7.0)</f>
        <v>7</v>
      </c>
      <c r="G1238" s="14">
        <f>IFERROR(__xludf.DUMMYFUNCTION("""COMPUTED_VALUE"""),10.0)</f>
        <v>10</v>
      </c>
      <c r="H1238" s="14">
        <f>IFERROR(__xludf.DUMMYFUNCTION("""COMPUTED_VALUE"""),2023.0)</f>
        <v>2023</v>
      </c>
      <c r="I1238" s="14" t="str">
        <f>IFERROR(__xludf.DUMMYFUNCTION("""COMPUTED_VALUE"""),"UPI")</f>
        <v>UPI</v>
      </c>
      <c r="J1238" s="14" t="str">
        <f>IFERROR(__xludf.DUMMYFUNCTION("""COMPUTED_VALUE"""),"Cancelled*Delayed Delivery:Vehicle Breakdown")</f>
        <v>Cancelled*Delayed Delivery:Vehicle Breakdown</v>
      </c>
      <c r="K1238" s="14" t="str">
        <f>IFERROR(__xludf.DUMMYFUNCTION("split(E1238,""+"")"),"Apple")</f>
        <v>Apple</v>
      </c>
      <c r="L1238" s="14" t="str">
        <f>IFERROR(__xludf.DUMMYFUNCTION("""COMPUTED_VALUE"""),"2*Sandeep Kumar")</f>
        <v>2*Sandeep Kumar</v>
      </c>
      <c r="M1238" s="14">
        <f>IFERROR(__xludf.DUMMYFUNCTION("SPLIT(L1238,""*"")"),2.0)</f>
        <v>2</v>
      </c>
      <c r="N1238" s="14" t="str">
        <f>IFERROR(__xludf.DUMMYFUNCTION("""COMPUTED_VALUE"""),"Sandeep Kumar")</f>
        <v>Sandeep Kumar</v>
      </c>
      <c r="O1238" s="14" t="str">
        <f>IFERROR(__xludf.DUMMYFUNCTION("split(J1238,""*"")"),"Cancelled")</f>
        <v>Cancelled</v>
      </c>
      <c r="P1238" s="14" t="str">
        <f>IFERROR(__xludf.DUMMYFUNCTION("""COMPUTED_VALUE"""),"Delayed Delivery:Vehicle Breakdown")</f>
        <v>Delayed Delivery:Vehicle Breakdown</v>
      </c>
      <c r="Q1238" s="14" t="str">
        <f>IFERROR(__xludf.DUMMYFUNCTION("split(P1238,"":"")"),"Delayed Delivery")</f>
        <v>Delayed Delivery</v>
      </c>
      <c r="R1238" s="14" t="str">
        <f>IFERROR(__xludf.DUMMYFUNCTION("""COMPUTED_VALUE"""),"Vehicle Breakdown")</f>
        <v>Vehicle Breakdown</v>
      </c>
      <c r="S1238" s="14" t="str">
        <f t="shared" ref="S1238:U1238" si="2479">trim(B1238)</f>
        <v>ord_61216</v>
      </c>
      <c r="T1238" s="14" t="str">
        <f t="shared" si="2479"/>
        <v>Ishita Banerjee</v>
      </c>
      <c r="U1238" s="14" t="str">
        <f t="shared" si="2479"/>
        <v>Juhu</v>
      </c>
      <c r="V1238" s="14" t="str">
        <f t="shared" si="4"/>
        <v>Apple</v>
      </c>
      <c r="W1238" s="14">
        <f t="shared" si="5"/>
        <v>2</v>
      </c>
      <c r="X1238" s="14" t="str">
        <f t="shared" si="6"/>
        <v>Sandeep Kumar</v>
      </c>
      <c r="Y1238" s="15">
        <f t="shared" si="7"/>
        <v>45117</v>
      </c>
      <c r="Z1238" s="14" t="str">
        <f t="shared" si="8"/>
        <v>UPI</v>
      </c>
      <c r="AA1238" s="14" t="str">
        <f t="shared" si="9"/>
        <v>Cancelled</v>
      </c>
      <c r="AB1238" s="14" t="str">
        <f t="shared" ref="AB1238:AC1238" si="2480">trim(Q1238)</f>
        <v>Delayed Delivery</v>
      </c>
      <c r="AC1238" s="14" t="str">
        <f t="shared" si="2480"/>
        <v>Vehicle Breakdown</v>
      </c>
      <c r="AD1238" s="8"/>
    </row>
    <row r="1239">
      <c r="A1239" s="14" t="str">
        <f>IFERROR(__xludf.DUMMYFUNCTION("""COMPUTED_VALUE"""),"//ord_61217//Sanjay Nair//Dadar//Chocolate Mousse+5*Ramesh S/11/25/2023//COD//Delivered*Overall Satisfaction: Great service will order again")</f>
        <v>//ord_61217//Sanjay Nair//Dadar//Chocolate Mousse+5*Ramesh S/11/25/2023//COD//Delivered*Overall Satisfaction: Great service will order again</v>
      </c>
      <c r="B1239" s="14" t="str">
        <f>IFERROR(__xludf.DUMMYFUNCTION("split(A1239,""//"")"),"ord_61217")</f>
        <v>ord_61217</v>
      </c>
      <c r="C1239" s="14" t="str">
        <f>IFERROR(__xludf.DUMMYFUNCTION("""COMPUTED_VALUE"""),"Sanjay Nair")</f>
        <v>Sanjay Nair</v>
      </c>
      <c r="D1239" s="14" t="str">
        <f>IFERROR(__xludf.DUMMYFUNCTION("""COMPUTED_VALUE"""),"Dadar")</f>
        <v>Dadar</v>
      </c>
      <c r="E1239" s="14" t="str">
        <f>IFERROR(__xludf.DUMMYFUNCTION("""COMPUTED_VALUE"""),"Chocolate Mousse+5*Ramesh S")</f>
        <v>Chocolate Mousse+5*Ramesh S</v>
      </c>
      <c r="F1239" s="14">
        <f>IFERROR(__xludf.DUMMYFUNCTION("""COMPUTED_VALUE"""),11.0)</f>
        <v>11</v>
      </c>
      <c r="G1239" s="14">
        <f>IFERROR(__xludf.DUMMYFUNCTION("""COMPUTED_VALUE"""),25.0)</f>
        <v>25</v>
      </c>
      <c r="H1239" s="14">
        <f>IFERROR(__xludf.DUMMYFUNCTION("""COMPUTED_VALUE"""),2023.0)</f>
        <v>2023</v>
      </c>
      <c r="I1239" s="14" t="str">
        <f>IFERROR(__xludf.DUMMYFUNCTION("""COMPUTED_VALUE"""),"COD")</f>
        <v>COD</v>
      </c>
      <c r="J1239" s="14" t="str">
        <f>IFERROR(__xludf.DUMMYFUNCTION("""COMPUTED_VALUE"""),"Delivered*Overall Satisfaction: Great service will order again")</f>
        <v>Delivered*Overall Satisfaction: Great service will order again</v>
      </c>
      <c r="K1239" s="14" t="str">
        <f>IFERROR(__xludf.DUMMYFUNCTION("split(E1239,""+"")"),"Chocolate Mousse")</f>
        <v>Chocolate Mousse</v>
      </c>
      <c r="L1239" s="14" t="str">
        <f>IFERROR(__xludf.DUMMYFUNCTION("""COMPUTED_VALUE"""),"5*Ramesh S")</f>
        <v>5*Ramesh S</v>
      </c>
      <c r="M1239" s="14">
        <f>IFERROR(__xludf.DUMMYFUNCTION("SPLIT(L1239,""*"")"),5.0)</f>
        <v>5</v>
      </c>
      <c r="N1239" s="14" t="str">
        <f>IFERROR(__xludf.DUMMYFUNCTION("""COMPUTED_VALUE"""),"Ramesh S")</f>
        <v>Ramesh S</v>
      </c>
      <c r="O1239" s="14" t="str">
        <f>IFERROR(__xludf.DUMMYFUNCTION("split(J1239,""*"")"),"Delivered")</f>
        <v>Delivered</v>
      </c>
      <c r="P1239" s="14" t="str">
        <f>IFERROR(__xludf.DUMMYFUNCTION("""COMPUTED_VALUE"""),"Overall Satisfaction: Great service will order again")</f>
        <v>Overall Satisfaction: Great service will order again</v>
      </c>
      <c r="Q1239" s="14" t="str">
        <f>IFERROR(__xludf.DUMMYFUNCTION("split(P1239,"":"")"),"Overall Satisfaction")</f>
        <v>Overall Satisfaction</v>
      </c>
      <c r="R1239" s="14" t="str">
        <f>IFERROR(__xludf.DUMMYFUNCTION("""COMPUTED_VALUE""")," Great service will order again")</f>
        <v> Great service will order again</v>
      </c>
      <c r="S1239" s="14" t="str">
        <f t="shared" ref="S1239:U1239" si="2481">trim(B1239)</f>
        <v>ord_61217</v>
      </c>
      <c r="T1239" s="14" t="str">
        <f t="shared" si="2481"/>
        <v>Sanjay Nair</v>
      </c>
      <c r="U1239" s="14" t="str">
        <f t="shared" si="2481"/>
        <v>Dadar</v>
      </c>
      <c r="V1239" s="14" t="str">
        <f t="shared" si="4"/>
        <v>Chocolate Mousse</v>
      </c>
      <c r="W1239" s="14">
        <f t="shared" si="5"/>
        <v>5</v>
      </c>
      <c r="X1239" s="14" t="str">
        <f t="shared" si="6"/>
        <v>Ramesh S</v>
      </c>
      <c r="Y1239" s="15">
        <f t="shared" si="7"/>
        <v>45255</v>
      </c>
      <c r="Z1239" s="14" t="str">
        <f t="shared" si="8"/>
        <v>COD</v>
      </c>
      <c r="AA1239" s="14" t="str">
        <f t="shared" si="9"/>
        <v>Delivered</v>
      </c>
      <c r="AB1239" s="14" t="str">
        <f t="shared" ref="AB1239:AC1239" si="2482">trim(Q1239)</f>
        <v>Overall Satisfaction</v>
      </c>
      <c r="AC1239" s="14" t="str">
        <f t="shared" si="2482"/>
        <v>Great service will order again</v>
      </c>
      <c r="AD1239" s="8"/>
    </row>
    <row r="1240">
      <c r="A1240" s="14" t="str">
        <f>IFERROR(__xludf.DUMMYFUNCTION("""COMPUTED_VALUE"""),"//ord_61218//Sakshi Tandon//Colaba//Guava+2*Manju Ajay/2/13/2023//Credit Card//Delivered*On-time Delivery: Delivered on time")</f>
        <v>//ord_61218//Sakshi Tandon//Colaba//Guava+2*Manju Ajay/2/13/2023//Credit Card//Delivered*On-time Delivery: Delivered on time</v>
      </c>
      <c r="B1240" s="14" t="str">
        <f>IFERROR(__xludf.DUMMYFUNCTION("split(A1240,""//"")"),"ord_61218")</f>
        <v>ord_61218</v>
      </c>
      <c r="C1240" s="14" t="str">
        <f>IFERROR(__xludf.DUMMYFUNCTION("""COMPUTED_VALUE"""),"Sakshi Tandon")</f>
        <v>Sakshi Tandon</v>
      </c>
      <c r="D1240" s="14" t="str">
        <f>IFERROR(__xludf.DUMMYFUNCTION("""COMPUTED_VALUE"""),"Colaba")</f>
        <v>Colaba</v>
      </c>
      <c r="E1240" s="14" t="str">
        <f>IFERROR(__xludf.DUMMYFUNCTION("""COMPUTED_VALUE"""),"Guava+2*Manju Ajay")</f>
        <v>Guava+2*Manju Ajay</v>
      </c>
      <c r="F1240" s="14">
        <f>IFERROR(__xludf.DUMMYFUNCTION("""COMPUTED_VALUE"""),2.0)</f>
        <v>2</v>
      </c>
      <c r="G1240" s="14">
        <f>IFERROR(__xludf.DUMMYFUNCTION("""COMPUTED_VALUE"""),13.0)</f>
        <v>13</v>
      </c>
      <c r="H1240" s="14">
        <f>IFERROR(__xludf.DUMMYFUNCTION("""COMPUTED_VALUE"""),2023.0)</f>
        <v>2023</v>
      </c>
      <c r="I1240" s="14" t="str">
        <f>IFERROR(__xludf.DUMMYFUNCTION("""COMPUTED_VALUE"""),"Credit Card")</f>
        <v>Credit Card</v>
      </c>
      <c r="J1240" s="14" t="str">
        <f>IFERROR(__xludf.DUMMYFUNCTION("""COMPUTED_VALUE"""),"Delivered*On-time Delivery: Delivered on time")</f>
        <v>Delivered*On-time Delivery: Delivered on time</v>
      </c>
      <c r="K1240" s="14" t="str">
        <f>IFERROR(__xludf.DUMMYFUNCTION("split(E1240,""+"")"),"Guava")</f>
        <v>Guava</v>
      </c>
      <c r="L1240" s="14" t="str">
        <f>IFERROR(__xludf.DUMMYFUNCTION("""COMPUTED_VALUE"""),"2*Manju Ajay")</f>
        <v>2*Manju Ajay</v>
      </c>
      <c r="M1240" s="14">
        <f>IFERROR(__xludf.DUMMYFUNCTION("SPLIT(L1240,""*"")"),2.0)</f>
        <v>2</v>
      </c>
      <c r="N1240" s="14" t="str">
        <f>IFERROR(__xludf.DUMMYFUNCTION("""COMPUTED_VALUE"""),"Manju Ajay")</f>
        <v>Manju Ajay</v>
      </c>
      <c r="O1240" s="14" t="str">
        <f>IFERROR(__xludf.DUMMYFUNCTION("split(J1240,""*"")"),"Delivered")</f>
        <v>Delivered</v>
      </c>
      <c r="P1240" s="14" t="str">
        <f>IFERROR(__xludf.DUMMYFUNCTION("""COMPUTED_VALUE"""),"On-time Delivery: Delivered on time")</f>
        <v>On-time Delivery: Delivered on time</v>
      </c>
      <c r="Q1240" s="14" t="str">
        <f>IFERROR(__xludf.DUMMYFUNCTION("split(P1240,"":"")"),"On-time Delivery")</f>
        <v>On-time Delivery</v>
      </c>
      <c r="R1240" s="14" t="str">
        <f>IFERROR(__xludf.DUMMYFUNCTION("""COMPUTED_VALUE""")," Delivered on time")</f>
        <v> Delivered on time</v>
      </c>
      <c r="S1240" s="14" t="str">
        <f t="shared" ref="S1240:U1240" si="2483">trim(B1240)</f>
        <v>ord_61218</v>
      </c>
      <c r="T1240" s="14" t="str">
        <f t="shared" si="2483"/>
        <v>Sakshi Tandon</v>
      </c>
      <c r="U1240" s="14" t="str">
        <f t="shared" si="2483"/>
        <v>Colaba</v>
      </c>
      <c r="V1240" s="14" t="str">
        <f t="shared" si="4"/>
        <v>Guava</v>
      </c>
      <c r="W1240" s="14">
        <f t="shared" si="5"/>
        <v>2</v>
      </c>
      <c r="X1240" s="14" t="str">
        <f t="shared" si="6"/>
        <v>Manju Ajay</v>
      </c>
      <c r="Y1240" s="15">
        <f t="shared" si="7"/>
        <v>44970</v>
      </c>
      <c r="Z1240" s="14" t="str">
        <f t="shared" si="8"/>
        <v>Credit Card</v>
      </c>
      <c r="AA1240" s="14" t="str">
        <f t="shared" si="9"/>
        <v>Delivered</v>
      </c>
      <c r="AB1240" s="14" t="str">
        <f t="shared" ref="AB1240:AC1240" si="2484">trim(Q1240)</f>
        <v>On-time Delivery</v>
      </c>
      <c r="AC1240" s="14" t="str">
        <f t="shared" si="2484"/>
        <v>Delivered on time</v>
      </c>
      <c r="AD1240" s="8"/>
    </row>
    <row r="1241">
      <c r="A1241" s="14" t="str">
        <f>IFERROR(__xludf.DUMMYFUNCTION("""COMPUTED_VALUE"""),"//ord_61219//Mohit Malhotra//Lower Parel//Popcorn+5*Nithin Lal/8/13/2023//UPI//Delivered*Quality of Items: Perfect condition")</f>
        <v>//ord_61219//Mohit Malhotra//Lower Parel//Popcorn+5*Nithin Lal/8/13/2023//UPI//Delivered*Quality of Items: Perfect condition</v>
      </c>
      <c r="B1241" s="14" t="str">
        <f>IFERROR(__xludf.DUMMYFUNCTION("split(A1241,""//"")"),"ord_61219")</f>
        <v>ord_61219</v>
      </c>
      <c r="C1241" s="14" t="str">
        <f>IFERROR(__xludf.DUMMYFUNCTION("""COMPUTED_VALUE"""),"Mohit Malhotra")</f>
        <v>Mohit Malhotra</v>
      </c>
      <c r="D1241" s="14" t="str">
        <f>IFERROR(__xludf.DUMMYFUNCTION("""COMPUTED_VALUE"""),"Lower Parel")</f>
        <v>Lower Parel</v>
      </c>
      <c r="E1241" s="14" t="str">
        <f>IFERROR(__xludf.DUMMYFUNCTION("""COMPUTED_VALUE"""),"Popcorn+5*Nithin Lal")</f>
        <v>Popcorn+5*Nithin Lal</v>
      </c>
      <c r="F1241" s="14">
        <f>IFERROR(__xludf.DUMMYFUNCTION("""COMPUTED_VALUE"""),8.0)</f>
        <v>8</v>
      </c>
      <c r="G1241" s="14">
        <f>IFERROR(__xludf.DUMMYFUNCTION("""COMPUTED_VALUE"""),13.0)</f>
        <v>13</v>
      </c>
      <c r="H1241" s="14">
        <f>IFERROR(__xludf.DUMMYFUNCTION("""COMPUTED_VALUE"""),2023.0)</f>
        <v>2023</v>
      </c>
      <c r="I1241" s="14" t="str">
        <f>IFERROR(__xludf.DUMMYFUNCTION("""COMPUTED_VALUE"""),"UPI")</f>
        <v>UPI</v>
      </c>
      <c r="J1241" s="14" t="str">
        <f>IFERROR(__xludf.DUMMYFUNCTION("""COMPUTED_VALUE"""),"Delivered*Quality of Items: Perfect condition")</f>
        <v>Delivered*Quality of Items: Perfect condition</v>
      </c>
      <c r="K1241" s="14" t="str">
        <f>IFERROR(__xludf.DUMMYFUNCTION("split(E1241,""+"")"),"Popcorn")</f>
        <v>Popcorn</v>
      </c>
      <c r="L1241" s="14" t="str">
        <f>IFERROR(__xludf.DUMMYFUNCTION("""COMPUTED_VALUE"""),"5*Nithin Lal")</f>
        <v>5*Nithin Lal</v>
      </c>
      <c r="M1241" s="14">
        <f>IFERROR(__xludf.DUMMYFUNCTION("SPLIT(L1241,""*"")"),5.0)</f>
        <v>5</v>
      </c>
      <c r="N1241" s="14" t="str">
        <f>IFERROR(__xludf.DUMMYFUNCTION("""COMPUTED_VALUE"""),"Nithin Lal")</f>
        <v>Nithin Lal</v>
      </c>
      <c r="O1241" s="14" t="str">
        <f>IFERROR(__xludf.DUMMYFUNCTION("split(J1241,""*"")"),"Delivered")</f>
        <v>Delivered</v>
      </c>
      <c r="P1241" s="14" t="str">
        <f>IFERROR(__xludf.DUMMYFUNCTION("""COMPUTED_VALUE"""),"Quality of Items: Perfect condition")</f>
        <v>Quality of Items: Perfect condition</v>
      </c>
      <c r="Q1241" s="14" t="str">
        <f>IFERROR(__xludf.DUMMYFUNCTION("split(P1241,"":"")"),"Quality of Items")</f>
        <v>Quality of Items</v>
      </c>
      <c r="R1241" s="14" t="str">
        <f>IFERROR(__xludf.DUMMYFUNCTION("""COMPUTED_VALUE""")," Perfect condition")</f>
        <v> Perfect condition</v>
      </c>
      <c r="S1241" s="14" t="str">
        <f t="shared" ref="S1241:U1241" si="2485">trim(B1241)</f>
        <v>ord_61219</v>
      </c>
      <c r="T1241" s="14" t="str">
        <f t="shared" si="2485"/>
        <v>Mohit Malhotra</v>
      </c>
      <c r="U1241" s="14" t="str">
        <f t="shared" si="2485"/>
        <v>Lower Parel</v>
      </c>
      <c r="V1241" s="14" t="str">
        <f t="shared" si="4"/>
        <v>Popcorn</v>
      </c>
      <c r="W1241" s="14">
        <f t="shared" si="5"/>
        <v>5</v>
      </c>
      <c r="X1241" s="14" t="str">
        <f t="shared" si="6"/>
        <v>Nithin Lal</v>
      </c>
      <c r="Y1241" s="15">
        <f t="shared" si="7"/>
        <v>45151</v>
      </c>
      <c r="Z1241" s="14" t="str">
        <f t="shared" si="8"/>
        <v>UPI</v>
      </c>
      <c r="AA1241" s="14" t="str">
        <f t="shared" si="9"/>
        <v>Delivered</v>
      </c>
      <c r="AB1241" s="14" t="str">
        <f t="shared" ref="AB1241:AC1241" si="2486">trim(Q1241)</f>
        <v>Quality of Items</v>
      </c>
      <c r="AC1241" s="14" t="str">
        <f t="shared" si="2486"/>
        <v>Perfect condition</v>
      </c>
      <c r="AD1241" s="8"/>
    </row>
    <row r="1242">
      <c r="A1242" s="14" t="str">
        <f>IFERROR(__xludf.DUMMYFUNCTION("""COMPUTED_VALUE"""),"//ord_61220//Dev Chauhan//Bandra//Potato+1*Ram Gopal/12/29/2023//UPI//Delivered*On-time Delivery: Delivered on time")</f>
        <v>//ord_61220//Dev Chauhan//Bandra//Potato+1*Ram Gopal/12/29/2023//UPI//Delivered*On-time Delivery: Delivered on time</v>
      </c>
      <c r="B1242" s="14" t="str">
        <f>IFERROR(__xludf.DUMMYFUNCTION("split(A1242,""//"")"),"ord_61220")</f>
        <v>ord_61220</v>
      </c>
      <c r="C1242" s="14" t="str">
        <f>IFERROR(__xludf.DUMMYFUNCTION("""COMPUTED_VALUE"""),"Dev Chauhan")</f>
        <v>Dev Chauhan</v>
      </c>
      <c r="D1242" s="14" t="str">
        <f>IFERROR(__xludf.DUMMYFUNCTION("""COMPUTED_VALUE"""),"Bandra")</f>
        <v>Bandra</v>
      </c>
      <c r="E1242" s="14" t="str">
        <f>IFERROR(__xludf.DUMMYFUNCTION("""COMPUTED_VALUE"""),"Potato+1*Ram Gopal")</f>
        <v>Potato+1*Ram Gopal</v>
      </c>
      <c r="F1242" s="14">
        <f>IFERROR(__xludf.DUMMYFUNCTION("""COMPUTED_VALUE"""),12.0)</f>
        <v>12</v>
      </c>
      <c r="G1242" s="14">
        <f>IFERROR(__xludf.DUMMYFUNCTION("""COMPUTED_VALUE"""),29.0)</f>
        <v>29</v>
      </c>
      <c r="H1242" s="14">
        <f>IFERROR(__xludf.DUMMYFUNCTION("""COMPUTED_VALUE"""),2023.0)</f>
        <v>2023</v>
      </c>
      <c r="I1242" s="14" t="str">
        <f>IFERROR(__xludf.DUMMYFUNCTION("""COMPUTED_VALUE"""),"UPI")</f>
        <v>UPI</v>
      </c>
      <c r="J1242" s="14" t="str">
        <f>IFERROR(__xludf.DUMMYFUNCTION("""COMPUTED_VALUE"""),"Delivered*On-time Delivery: Delivered on time")</f>
        <v>Delivered*On-time Delivery: Delivered on time</v>
      </c>
      <c r="K1242" s="14" t="str">
        <f>IFERROR(__xludf.DUMMYFUNCTION("split(E1242,""+"")"),"Potato")</f>
        <v>Potato</v>
      </c>
      <c r="L1242" s="14" t="str">
        <f>IFERROR(__xludf.DUMMYFUNCTION("""COMPUTED_VALUE"""),"1*Ram Gopal")</f>
        <v>1*Ram Gopal</v>
      </c>
      <c r="M1242" s="14">
        <f>IFERROR(__xludf.DUMMYFUNCTION("SPLIT(L1242,""*"")"),1.0)</f>
        <v>1</v>
      </c>
      <c r="N1242" s="14" t="str">
        <f>IFERROR(__xludf.DUMMYFUNCTION("""COMPUTED_VALUE"""),"Ram Gopal")</f>
        <v>Ram Gopal</v>
      </c>
      <c r="O1242" s="14" t="str">
        <f>IFERROR(__xludf.DUMMYFUNCTION("split(J1242,""*"")"),"Delivered")</f>
        <v>Delivered</v>
      </c>
      <c r="P1242" s="14" t="str">
        <f>IFERROR(__xludf.DUMMYFUNCTION("""COMPUTED_VALUE"""),"On-time Delivery: Delivered on time")</f>
        <v>On-time Delivery: Delivered on time</v>
      </c>
      <c r="Q1242" s="14" t="str">
        <f>IFERROR(__xludf.DUMMYFUNCTION("split(P1242,"":"")"),"On-time Delivery")</f>
        <v>On-time Delivery</v>
      </c>
      <c r="R1242" s="14" t="str">
        <f>IFERROR(__xludf.DUMMYFUNCTION("""COMPUTED_VALUE""")," Delivered on time")</f>
        <v> Delivered on time</v>
      </c>
      <c r="S1242" s="14" t="str">
        <f t="shared" ref="S1242:U1242" si="2487">trim(B1242)</f>
        <v>ord_61220</v>
      </c>
      <c r="T1242" s="14" t="str">
        <f t="shared" si="2487"/>
        <v>Dev Chauhan</v>
      </c>
      <c r="U1242" s="14" t="str">
        <f t="shared" si="2487"/>
        <v>Bandra</v>
      </c>
      <c r="V1242" s="14" t="str">
        <f t="shared" si="4"/>
        <v>Potato</v>
      </c>
      <c r="W1242" s="14">
        <f t="shared" si="5"/>
        <v>1</v>
      </c>
      <c r="X1242" s="14" t="str">
        <f t="shared" si="6"/>
        <v>Ram Gopal</v>
      </c>
      <c r="Y1242" s="15">
        <f t="shared" si="7"/>
        <v>45289</v>
      </c>
      <c r="Z1242" s="14" t="str">
        <f t="shared" si="8"/>
        <v>UPI</v>
      </c>
      <c r="AA1242" s="14" t="str">
        <f t="shared" si="9"/>
        <v>Delivered</v>
      </c>
      <c r="AB1242" s="14" t="str">
        <f t="shared" ref="AB1242:AC1242" si="2488">trim(Q1242)</f>
        <v>On-time Delivery</v>
      </c>
      <c r="AC1242" s="14" t="str">
        <f t="shared" si="2488"/>
        <v>Delivered on time</v>
      </c>
      <c r="AD1242" s="8"/>
    </row>
    <row r="1243">
      <c r="A1243" s="14" t="str">
        <f>IFERROR(__xludf.DUMMYFUNCTION("""COMPUTED_VALUE"""),"//ord_61221//Tanishq Bansal//Powai//Cold Coffee+4*Vivek Kumar/2/11/2023//UPI//Delivered*Quality of Items: Perfect condition")</f>
        <v>//ord_61221//Tanishq Bansal//Powai//Cold Coffee+4*Vivek Kumar/2/11/2023//UPI//Delivered*Quality of Items: Perfect condition</v>
      </c>
      <c r="B1243" s="14" t="str">
        <f>IFERROR(__xludf.DUMMYFUNCTION("split(A1243,""//"")"),"ord_61221")</f>
        <v>ord_61221</v>
      </c>
      <c r="C1243" s="14" t="str">
        <f>IFERROR(__xludf.DUMMYFUNCTION("""COMPUTED_VALUE"""),"Tanishq Bansal")</f>
        <v>Tanishq Bansal</v>
      </c>
      <c r="D1243" s="14" t="str">
        <f>IFERROR(__xludf.DUMMYFUNCTION("""COMPUTED_VALUE"""),"Powai")</f>
        <v>Powai</v>
      </c>
      <c r="E1243" s="14" t="str">
        <f>IFERROR(__xludf.DUMMYFUNCTION("""COMPUTED_VALUE"""),"Cold Coffee+4*Vivek Kumar")</f>
        <v>Cold Coffee+4*Vivek Kumar</v>
      </c>
      <c r="F1243" s="14">
        <f>IFERROR(__xludf.DUMMYFUNCTION("""COMPUTED_VALUE"""),2.0)</f>
        <v>2</v>
      </c>
      <c r="G1243" s="14">
        <f>IFERROR(__xludf.DUMMYFUNCTION("""COMPUTED_VALUE"""),11.0)</f>
        <v>11</v>
      </c>
      <c r="H1243" s="14">
        <f>IFERROR(__xludf.DUMMYFUNCTION("""COMPUTED_VALUE"""),2023.0)</f>
        <v>2023</v>
      </c>
      <c r="I1243" s="14" t="str">
        <f>IFERROR(__xludf.DUMMYFUNCTION("""COMPUTED_VALUE"""),"UPI")</f>
        <v>UPI</v>
      </c>
      <c r="J1243" s="14" t="str">
        <f>IFERROR(__xludf.DUMMYFUNCTION("""COMPUTED_VALUE"""),"Delivered*Quality of Items: Perfect condition")</f>
        <v>Delivered*Quality of Items: Perfect condition</v>
      </c>
      <c r="K1243" s="14" t="str">
        <f>IFERROR(__xludf.DUMMYFUNCTION("split(E1243,""+"")"),"Cold Coffee")</f>
        <v>Cold Coffee</v>
      </c>
      <c r="L1243" s="14" t="str">
        <f>IFERROR(__xludf.DUMMYFUNCTION("""COMPUTED_VALUE"""),"4*Vivek Kumar")</f>
        <v>4*Vivek Kumar</v>
      </c>
      <c r="M1243" s="14">
        <f>IFERROR(__xludf.DUMMYFUNCTION("SPLIT(L1243,""*"")"),4.0)</f>
        <v>4</v>
      </c>
      <c r="N1243" s="14" t="str">
        <f>IFERROR(__xludf.DUMMYFUNCTION("""COMPUTED_VALUE"""),"Vivek Kumar")</f>
        <v>Vivek Kumar</v>
      </c>
      <c r="O1243" s="14" t="str">
        <f>IFERROR(__xludf.DUMMYFUNCTION("split(J1243,""*"")"),"Delivered")</f>
        <v>Delivered</v>
      </c>
      <c r="P1243" s="14" t="str">
        <f>IFERROR(__xludf.DUMMYFUNCTION("""COMPUTED_VALUE"""),"Quality of Items: Perfect condition")</f>
        <v>Quality of Items: Perfect condition</v>
      </c>
      <c r="Q1243" s="14" t="str">
        <f>IFERROR(__xludf.DUMMYFUNCTION("split(P1243,"":"")"),"Quality of Items")</f>
        <v>Quality of Items</v>
      </c>
      <c r="R1243" s="14" t="str">
        <f>IFERROR(__xludf.DUMMYFUNCTION("""COMPUTED_VALUE""")," Perfect condition")</f>
        <v> Perfect condition</v>
      </c>
      <c r="S1243" s="14" t="str">
        <f t="shared" ref="S1243:U1243" si="2489">trim(B1243)</f>
        <v>ord_61221</v>
      </c>
      <c r="T1243" s="14" t="str">
        <f t="shared" si="2489"/>
        <v>Tanishq Bansal</v>
      </c>
      <c r="U1243" s="14" t="str">
        <f t="shared" si="2489"/>
        <v>Powai</v>
      </c>
      <c r="V1243" s="14" t="str">
        <f t="shared" si="4"/>
        <v>Cold Coffee</v>
      </c>
      <c r="W1243" s="14">
        <f t="shared" si="5"/>
        <v>4</v>
      </c>
      <c r="X1243" s="14" t="str">
        <f t="shared" si="6"/>
        <v>Vivek Kumar</v>
      </c>
      <c r="Y1243" s="15">
        <f t="shared" si="7"/>
        <v>44968</v>
      </c>
      <c r="Z1243" s="14" t="str">
        <f t="shared" si="8"/>
        <v>UPI</v>
      </c>
      <c r="AA1243" s="14" t="str">
        <f t="shared" si="9"/>
        <v>Delivered</v>
      </c>
      <c r="AB1243" s="14" t="str">
        <f t="shared" ref="AB1243:AC1243" si="2490">trim(Q1243)</f>
        <v>Quality of Items</v>
      </c>
      <c r="AC1243" s="14" t="str">
        <f t="shared" si="2490"/>
        <v>Perfect condition</v>
      </c>
      <c r="AD1243" s="8"/>
    </row>
    <row r="1244">
      <c r="A1244" s="14" t="str">
        <f>IFERROR(__xludf.DUMMYFUNCTION("""COMPUTED_VALUE"""),"//ord_61222//Arvind Kulkarni//Juhu//Apple+2*Venu R/4/25/2023//Credit Card//Cancelled*Delayed Delivery:Heavy Traffic")</f>
        <v>//ord_61222//Arvind Kulkarni//Juhu//Apple+2*Venu R/4/25/2023//Credit Card//Cancelled*Delayed Delivery:Heavy Traffic</v>
      </c>
      <c r="B1244" s="14" t="str">
        <f>IFERROR(__xludf.DUMMYFUNCTION("split(A1244,""//"")"),"ord_61222")</f>
        <v>ord_61222</v>
      </c>
      <c r="C1244" s="14" t="str">
        <f>IFERROR(__xludf.DUMMYFUNCTION("""COMPUTED_VALUE"""),"Arvind Kulkarni")</f>
        <v>Arvind Kulkarni</v>
      </c>
      <c r="D1244" s="14" t="str">
        <f>IFERROR(__xludf.DUMMYFUNCTION("""COMPUTED_VALUE"""),"Juhu")</f>
        <v>Juhu</v>
      </c>
      <c r="E1244" s="14" t="str">
        <f>IFERROR(__xludf.DUMMYFUNCTION("""COMPUTED_VALUE"""),"Apple+2*Venu R")</f>
        <v>Apple+2*Venu R</v>
      </c>
      <c r="F1244" s="14">
        <f>IFERROR(__xludf.DUMMYFUNCTION("""COMPUTED_VALUE"""),4.0)</f>
        <v>4</v>
      </c>
      <c r="G1244" s="14">
        <f>IFERROR(__xludf.DUMMYFUNCTION("""COMPUTED_VALUE"""),25.0)</f>
        <v>25</v>
      </c>
      <c r="H1244" s="14">
        <f>IFERROR(__xludf.DUMMYFUNCTION("""COMPUTED_VALUE"""),2023.0)</f>
        <v>2023</v>
      </c>
      <c r="I1244" s="14" t="str">
        <f>IFERROR(__xludf.DUMMYFUNCTION("""COMPUTED_VALUE"""),"Credit Card")</f>
        <v>Credit Card</v>
      </c>
      <c r="J1244" s="14" t="str">
        <f>IFERROR(__xludf.DUMMYFUNCTION("""COMPUTED_VALUE"""),"Cancelled*Delayed Delivery:Heavy Traffic")</f>
        <v>Cancelled*Delayed Delivery:Heavy Traffic</v>
      </c>
      <c r="K1244" s="14" t="str">
        <f>IFERROR(__xludf.DUMMYFUNCTION("split(E1244,""+"")"),"Apple")</f>
        <v>Apple</v>
      </c>
      <c r="L1244" s="14" t="str">
        <f>IFERROR(__xludf.DUMMYFUNCTION("""COMPUTED_VALUE"""),"2*Venu R")</f>
        <v>2*Venu R</v>
      </c>
      <c r="M1244" s="14">
        <f>IFERROR(__xludf.DUMMYFUNCTION("SPLIT(L1244,""*"")"),2.0)</f>
        <v>2</v>
      </c>
      <c r="N1244" s="14" t="str">
        <f>IFERROR(__xludf.DUMMYFUNCTION("""COMPUTED_VALUE"""),"Venu R")</f>
        <v>Venu R</v>
      </c>
      <c r="O1244" s="14" t="str">
        <f>IFERROR(__xludf.DUMMYFUNCTION("split(J1244,""*"")"),"Cancelled")</f>
        <v>Cancelled</v>
      </c>
      <c r="P1244" s="14" t="str">
        <f>IFERROR(__xludf.DUMMYFUNCTION("""COMPUTED_VALUE"""),"Delayed Delivery:Heavy Traffic")</f>
        <v>Delayed Delivery:Heavy Traffic</v>
      </c>
      <c r="Q1244" s="14" t="str">
        <f>IFERROR(__xludf.DUMMYFUNCTION("split(P1244,"":"")"),"Delayed Delivery")</f>
        <v>Delayed Delivery</v>
      </c>
      <c r="R1244" s="14" t="str">
        <f>IFERROR(__xludf.DUMMYFUNCTION("""COMPUTED_VALUE"""),"Heavy Traffic")</f>
        <v>Heavy Traffic</v>
      </c>
      <c r="S1244" s="14" t="str">
        <f t="shared" ref="S1244:U1244" si="2491">trim(B1244)</f>
        <v>ord_61222</v>
      </c>
      <c r="T1244" s="14" t="str">
        <f t="shared" si="2491"/>
        <v>Arvind Kulkarni</v>
      </c>
      <c r="U1244" s="14" t="str">
        <f t="shared" si="2491"/>
        <v>Juhu</v>
      </c>
      <c r="V1244" s="14" t="str">
        <f t="shared" si="4"/>
        <v>Apple</v>
      </c>
      <c r="W1244" s="14">
        <f t="shared" si="5"/>
        <v>2</v>
      </c>
      <c r="X1244" s="14" t="str">
        <f t="shared" si="6"/>
        <v>Venu R</v>
      </c>
      <c r="Y1244" s="15">
        <f t="shared" si="7"/>
        <v>45041</v>
      </c>
      <c r="Z1244" s="14" t="str">
        <f t="shared" si="8"/>
        <v>Credit Card</v>
      </c>
      <c r="AA1244" s="14" t="str">
        <f t="shared" si="9"/>
        <v>Cancelled</v>
      </c>
      <c r="AB1244" s="14" t="str">
        <f t="shared" ref="AB1244:AC1244" si="2492">trim(Q1244)</f>
        <v>Delayed Delivery</v>
      </c>
      <c r="AC1244" s="14" t="str">
        <f t="shared" si="2492"/>
        <v>Heavy Traffic</v>
      </c>
      <c r="AD1244" s="8"/>
    </row>
    <row r="1245">
      <c r="A1245" s="14" t="str">
        <f>IFERROR(__xludf.DUMMYFUNCTION("""COMPUTED_VALUE"""),"//ord_61223//Ishaan Chaturvedi//Bandra//Popcorn+5*Ramesh S/2/14/2023//Credit Card//Delivered*Packaging: Secure and intact")</f>
        <v>//ord_61223//Ishaan Chaturvedi//Bandra//Popcorn+5*Ramesh S/2/14/2023//Credit Card//Delivered*Packaging: Secure and intact</v>
      </c>
      <c r="B1245" s="14" t="str">
        <f>IFERROR(__xludf.DUMMYFUNCTION("split(A1245,""//"")"),"ord_61223")</f>
        <v>ord_61223</v>
      </c>
      <c r="C1245" s="14" t="str">
        <f>IFERROR(__xludf.DUMMYFUNCTION("""COMPUTED_VALUE"""),"Ishaan Chaturvedi")</f>
        <v>Ishaan Chaturvedi</v>
      </c>
      <c r="D1245" s="14" t="str">
        <f>IFERROR(__xludf.DUMMYFUNCTION("""COMPUTED_VALUE"""),"Bandra")</f>
        <v>Bandra</v>
      </c>
      <c r="E1245" s="14" t="str">
        <f>IFERROR(__xludf.DUMMYFUNCTION("""COMPUTED_VALUE"""),"Popcorn+5*Ramesh S")</f>
        <v>Popcorn+5*Ramesh S</v>
      </c>
      <c r="F1245" s="14">
        <f>IFERROR(__xludf.DUMMYFUNCTION("""COMPUTED_VALUE"""),2.0)</f>
        <v>2</v>
      </c>
      <c r="G1245" s="14">
        <f>IFERROR(__xludf.DUMMYFUNCTION("""COMPUTED_VALUE"""),14.0)</f>
        <v>14</v>
      </c>
      <c r="H1245" s="14">
        <f>IFERROR(__xludf.DUMMYFUNCTION("""COMPUTED_VALUE"""),2023.0)</f>
        <v>2023</v>
      </c>
      <c r="I1245" s="14" t="str">
        <f>IFERROR(__xludf.DUMMYFUNCTION("""COMPUTED_VALUE"""),"Credit Card")</f>
        <v>Credit Card</v>
      </c>
      <c r="J1245" s="14" t="str">
        <f>IFERROR(__xludf.DUMMYFUNCTION("""COMPUTED_VALUE"""),"Delivered*Packaging: Secure and intact")</f>
        <v>Delivered*Packaging: Secure and intact</v>
      </c>
      <c r="K1245" s="14" t="str">
        <f>IFERROR(__xludf.DUMMYFUNCTION("split(E1245,""+"")"),"Popcorn")</f>
        <v>Popcorn</v>
      </c>
      <c r="L1245" s="14" t="str">
        <f>IFERROR(__xludf.DUMMYFUNCTION("""COMPUTED_VALUE"""),"5*Ramesh S")</f>
        <v>5*Ramesh S</v>
      </c>
      <c r="M1245" s="14">
        <f>IFERROR(__xludf.DUMMYFUNCTION("SPLIT(L1245,""*"")"),5.0)</f>
        <v>5</v>
      </c>
      <c r="N1245" s="14" t="str">
        <f>IFERROR(__xludf.DUMMYFUNCTION("""COMPUTED_VALUE"""),"Ramesh S")</f>
        <v>Ramesh S</v>
      </c>
      <c r="O1245" s="14" t="str">
        <f>IFERROR(__xludf.DUMMYFUNCTION("split(J1245,""*"")"),"Delivered")</f>
        <v>Delivered</v>
      </c>
      <c r="P1245" s="14" t="str">
        <f>IFERROR(__xludf.DUMMYFUNCTION("""COMPUTED_VALUE"""),"Packaging: Secure and intact")</f>
        <v>Packaging: Secure and intact</v>
      </c>
      <c r="Q1245" s="14" t="str">
        <f>IFERROR(__xludf.DUMMYFUNCTION("split(P1245,"":"")"),"Packaging")</f>
        <v>Packaging</v>
      </c>
      <c r="R1245" s="14" t="str">
        <f>IFERROR(__xludf.DUMMYFUNCTION("""COMPUTED_VALUE""")," Secure and intact")</f>
        <v> Secure and intact</v>
      </c>
      <c r="S1245" s="14" t="str">
        <f t="shared" ref="S1245:U1245" si="2493">trim(B1245)</f>
        <v>ord_61223</v>
      </c>
      <c r="T1245" s="14" t="str">
        <f t="shared" si="2493"/>
        <v>Ishaan Chaturvedi</v>
      </c>
      <c r="U1245" s="14" t="str">
        <f t="shared" si="2493"/>
        <v>Bandra</v>
      </c>
      <c r="V1245" s="14" t="str">
        <f t="shared" si="4"/>
        <v>Popcorn</v>
      </c>
      <c r="W1245" s="14">
        <f t="shared" si="5"/>
        <v>5</v>
      </c>
      <c r="X1245" s="14" t="str">
        <f t="shared" si="6"/>
        <v>Ramesh S</v>
      </c>
      <c r="Y1245" s="15">
        <f t="shared" si="7"/>
        <v>44971</v>
      </c>
      <c r="Z1245" s="14" t="str">
        <f t="shared" si="8"/>
        <v>Credit Card</v>
      </c>
      <c r="AA1245" s="14" t="str">
        <f t="shared" si="9"/>
        <v>Delivered</v>
      </c>
      <c r="AB1245" s="14" t="str">
        <f t="shared" ref="AB1245:AC1245" si="2494">trim(Q1245)</f>
        <v>Packaging</v>
      </c>
      <c r="AC1245" s="14" t="str">
        <f t="shared" si="2494"/>
        <v>Secure and intact</v>
      </c>
      <c r="AD1245" s="8"/>
    </row>
    <row r="1246">
      <c r="A1246" s="14" t="str">
        <f>IFERROR(__xludf.DUMMYFUNCTION("""COMPUTED_VALUE"""),"//ord_61224//Pranav Joshi//Andheri//Guava+2*Vivek Kumar/9/29/2023//COD//Delivered*Satisfied with the Delivery: Timely and quality")</f>
        <v>//ord_61224//Pranav Joshi//Andheri//Guava+2*Vivek Kumar/9/29/2023//COD//Delivered*Satisfied with the Delivery: Timely and quality</v>
      </c>
      <c r="B1246" s="14" t="str">
        <f>IFERROR(__xludf.DUMMYFUNCTION("split(A1246,""//"")"),"ord_61224")</f>
        <v>ord_61224</v>
      </c>
      <c r="C1246" s="14" t="str">
        <f>IFERROR(__xludf.DUMMYFUNCTION("""COMPUTED_VALUE"""),"Pranav Joshi")</f>
        <v>Pranav Joshi</v>
      </c>
      <c r="D1246" s="14" t="str">
        <f>IFERROR(__xludf.DUMMYFUNCTION("""COMPUTED_VALUE"""),"Andheri")</f>
        <v>Andheri</v>
      </c>
      <c r="E1246" s="14" t="str">
        <f>IFERROR(__xludf.DUMMYFUNCTION("""COMPUTED_VALUE"""),"Guava+2*Vivek Kumar")</f>
        <v>Guava+2*Vivek Kumar</v>
      </c>
      <c r="F1246" s="14">
        <f>IFERROR(__xludf.DUMMYFUNCTION("""COMPUTED_VALUE"""),9.0)</f>
        <v>9</v>
      </c>
      <c r="G1246" s="14">
        <f>IFERROR(__xludf.DUMMYFUNCTION("""COMPUTED_VALUE"""),29.0)</f>
        <v>29</v>
      </c>
      <c r="H1246" s="14">
        <f>IFERROR(__xludf.DUMMYFUNCTION("""COMPUTED_VALUE"""),2023.0)</f>
        <v>2023</v>
      </c>
      <c r="I1246" s="14" t="str">
        <f>IFERROR(__xludf.DUMMYFUNCTION("""COMPUTED_VALUE"""),"COD")</f>
        <v>COD</v>
      </c>
      <c r="J1246" s="14" t="str">
        <f>IFERROR(__xludf.DUMMYFUNCTION("""COMPUTED_VALUE"""),"Delivered*Satisfied with the Delivery: Timely and quality")</f>
        <v>Delivered*Satisfied with the Delivery: Timely and quality</v>
      </c>
      <c r="K1246" s="14" t="str">
        <f>IFERROR(__xludf.DUMMYFUNCTION("split(E1246,""+"")"),"Guava")</f>
        <v>Guava</v>
      </c>
      <c r="L1246" s="14" t="str">
        <f>IFERROR(__xludf.DUMMYFUNCTION("""COMPUTED_VALUE"""),"2*Vivek Kumar")</f>
        <v>2*Vivek Kumar</v>
      </c>
      <c r="M1246" s="14">
        <f>IFERROR(__xludf.DUMMYFUNCTION("SPLIT(L1246,""*"")"),2.0)</f>
        <v>2</v>
      </c>
      <c r="N1246" s="14" t="str">
        <f>IFERROR(__xludf.DUMMYFUNCTION("""COMPUTED_VALUE"""),"Vivek Kumar")</f>
        <v>Vivek Kumar</v>
      </c>
      <c r="O1246" s="14" t="str">
        <f>IFERROR(__xludf.DUMMYFUNCTION("split(J1246,""*"")"),"Delivered")</f>
        <v>Delivered</v>
      </c>
      <c r="P1246" s="14" t="str">
        <f>IFERROR(__xludf.DUMMYFUNCTION("""COMPUTED_VALUE"""),"Satisfied with the Delivery: Timely and quality")</f>
        <v>Satisfied with the Delivery: Timely and quality</v>
      </c>
      <c r="Q1246" s="14" t="str">
        <f>IFERROR(__xludf.DUMMYFUNCTION("split(P1246,"":"")"),"Satisfied with the Delivery")</f>
        <v>Satisfied with the Delivery</v>
      </c>
      <c r="R1246" s="14" t="str">
        <f>IFERROR(__xludf.DUMMYFUNCTION("""COMPUTED_VALUE""")," Timely and quality")</f>
        <v> Timely and quality</v>
      </c>
      <c r="S1246" s="14" t="str">
        <f t="shared" ref="S1246:U1246" si="2495">trim(B1246)</f>
        <v>ord_61224</v>
      </c>
      <c r="T1246" s="14" t="str">
        <f t="shared" si="2495"/>
        <v>Pranav Joshi</v>
      </c>
      <c r="U1246" s="14" t="str">
        <f t="shared" si="2495"/>
        <v>Andheri</v>
      </c>
      <c r="V1246" s="14" t="str">
        <f t="shared" si="4"/>
        <v>Guava</v>
      </c>
      <c r="W1246" s="14">
        <f t="shared" si="5"/>
        <v>2</v>
      </c>
      <c r="X1246" s="14" t="str">
        <f t="shared" si="6"/>
        <v>Vivek Kumar</v>
      </c>
      <c r="Y1246" s="15">
        <f t="shared" si="7"/>
        <v>45198</v>
      </c>
      <c r="Z1246" s="14" t="str">
        <f t="shared" si="8"/>
        <v>COD</v>
      </c>
      <c r="AA1246" s="14" t="str">
        <f t="shared" si="9"/>
        <v>Delivered</v>
      </c>
      <c r="AB1246" s="14" t="str">
        <f t="shared" ref="AB1246:AC1246" si="2496">trim(Q1246)</f>
        <v>Satisfied with the Delivery</v>
      </c>
      <c r="AC1246" s="14" t="str">
        <f t="shared" si="2496"/>
        <v>Timely and quality</v>
      </c>
      <c r="AD1246" s="8"/>
    </row>
    <row r="1247">
      <c r="A1247" s="14" t="str">
        <f>IFERROR(__xludf.DUMMYFUNCTION("""COMPUTED_VALUE"""),"//ord_61225//Diya Arora//Lower Parel//Orange+2*Sita T/5/11/2023//Credit Card//Delivered*Customer Service: Seamless and easy")</f>
        <v>//ord_61225//Diya Arora//Lower Parel//Orange+2*Sita T/5/11/2023//Credit Card//Delivered*Customer Service: Seamless and easy</v>
      </c>
      <c r="B1247" s="14" t="str">
        <f>IFERROR(__xludf.DUMMYFUNCTION("split(A1247,""//"")"),"ord_61225")</f>
        <v>ord_61225</v>
      </c>
      <c r="C1247" s="14" t="str">
        <f>IFERROR(__xludf.DUMMYFUNCTION("""COMPUTED_VALUE"""),"Diya Arora")</f>
        <v>Diya Arora</v>
      </c>
      <c r="D1247" s="14" t="str">
        <f>IFERROR(__xludf.DUMMYFUNCTION("""COMPUTED_VALUE"""),"Lower Parel")</f>
        <v>Lower Parel</v>
      </c>
      <c r="E1247" s="14" t="str">
        <f>IFERROR(__xludf.DUMMYFUNCTION("""COMPUTED_VALUE"""),"Orange+2*Sita T")</f>
        <v>Orange+2*Sita T</v>
      </c>
      <c r="F1247" s="14">
        <f>IFERROR(__xludf.DUMMYFUNCTION("""COMPUTED_VALUE"""),5.0)</f>
        <v>5</v>
      </c>
      <c r="G1247" s="14">
        <f>IFERROR(__xludf.DUMMYFUNCTION("""COMPUTED_VALUE"""),11.0)</f>
        <v>11</v>
      </c>
      <c r="H1247" s="14">
        <f>IFERROR(__xludf.DUMMYFUNCTION("""COMPUTED_VALUE"""),2023.0)</f>
        <v>2023</v>
      </c>
      <c r="I1247" s="14" t="str">
        <f>IFERROR(__xludf.DUMMYFUNCTION("""COMPUTED_VALUE"""),"Credit Card")</f>
        <v>Credit Card</v>
      </c>
      <c r="J1247" s="14" t="str">
        <f>IFERROR(__xludf.DUMMYFUNCTION("""COMPUTED_VALUE"""),"Delivered*Customer Service: Seamless and easy")</f>
        <v>Delivered*Customer Service: Seamless and easy</v>
      </c>
      <c r="K1247" s="14" t="str">
        <f>IFERROR(__xludf.DUMMYFUNCTION("split(E1247,""+"")"),"Orange")</f>
        <v>Orange</v>
      </c>
      <c r="L1247" s="14" t="str">
        <f>IFERROR(__xludf.DUMMYFUNCTION("""COMPUTED_VALUE"""),"2*Sita T")</f>
        <v>2*Sita T</v>
      </c>
      <c r="M1247" s="14">
        <f>IFERROR(__xludf.DUMMYFUNCTION("SPLIT(L1247,""*"")"),2.0)</f>
        <v>2</v>
      </c>
      <c r="N1247" s="14" t="str">
        <f>IFERROR(__xludf.DUMMYFUNCTION("""COMPUTED_VALUE"""),"Sita T")</f>
        <v>Sita T</v>
      </c>
      <c r="O1247" s="14" t="str">
        <f>IFERROR(__xludf.DUMMYFUNCTION("split(J1247,""*"")"),"Delivered")</f>
        <v>Delivered</v>
      </c>
      <c r="P1247" s="14" t="str">
        <f>IFERROR(__xludf.DUMMYFUNCTION("""COMPUTED_VALUE"""),"Customer Service: Seamless and easy")</f>
        <v>Customer Service: Seamless and easy</v>
      </c>
      <c r="Q1247" s="14" t="str">
        <f>IFERROR(__xludf.DUMMYFUNCTION("split(P1247,"":"")"),"Customer Service")</f>
        <v>Customer Service</v>
      </c>
      <c r="R1247" s="14" t="str">
        <f>IFERROR(__xludf.DUMMYFUNCTION("""COMPUTED_VALUE""")," Seamless and easy")</f>
        <v> Seamless and easy</v>
      </c>
      <c r="S1247" s="14" t="str">
        <f t="shared" ref="S1247:U1247" si="2497">trim(B1247)</f>
        <v>ord_61225</v>
      </c>
      <c r="T1247" s="14" t="str">
        <f t="shared" si="2497"/>
        <v>Diya Arora</v>
      </c>
      <c r="U1247" s="14" t="str">
        <f t="shared" si="2497"/>
        <v>Lower Parel</v>
      </c>
      <c r="V1247" s="14" t="str">
        <f t="shared" si="4"/>
        <v>Orange</v>
      </c>
      <c r="W1247" s="14">
        <f t="shared" si="5"/>
        <v>2</v>
      </c>
      <c r="X1247" s="14" t="str">
        <f t="shared" si="6"/>
        <v>Sita T</v>
      </c>
      <c r="Y1247" s="15">
        <f t="shared" si="7"/>
        <v>45057</v>
      </c>
      <c r="Z1247" s="14" t="str">
        <f t="shared" si="8"/>
        <v>Credit Card</v>
      </c>
      <c r="AA1247" s="14" t="str">
        <f t="shared" si="9"/>
        <v>Delivered</v>
      </c>
      <c r="AB1247" s="14" t="str">
        <f t="shared" ref="AB1247:AC1247" si="2498">trim(Q1247)</f>
        <v>Customer Service</v>
      </c>
      <c r="AC1247" s="14" t="str">
        <f t="shared" si="2498"/>
        <v>Seamless and easy</v>
      </c>
      <c r="AD1247" s="8"/>
    </row>
    <row r="1248">
      <c r="A1248" s="14" t="str">
        <f>IFERROR(__xludf.DUMMYFUNCTION("""COMPUTED_VALUE"""),"//ord_61226//Pallavi Ghosh//Bandra//Papaya+1*Ram Gopal/6/11/2023//COD//Delivered*Delivery Experience: Quick and professional")</f>
        <v>//ord_61226//Pallavi Ghosh//Bandra//Papaya+1*Ram Gopal/6/11/2023//COD//Delivered*Delivery Experience: Quick and professional</v>
      </c>
      <c r="B1248" s="14" t="str">
        <f>IFERROR(__xludf.DUMMYFUNCTION("split(A1248,""//"")"),"ord_61226")</f>
        <v>ord_61226</v>
      </c>
      <c r="C1248" s="14" t="str">
        <f>IFERROR(__xludf.DUMMYFUNCTION("""COMPUTED_VALUE"""),"Pallavi Ghosh")</f>
        <v>Pallavi Ghosh</v>
      </c>
      <c r="D1248" s="14" t="str">
        <f>IFERROR(__xludf.DUMMYFUNCTION("""COMPUTED_VALUE"""),"Bandra")</f>
        <v>Bandra</v>
      </c>
      <c r="E1248" s="14" t="str">
        <f>IFERROR(__xludf.DUMMYFUNCTION("""COMPUTED_VALUE"""),"Papaya+1*Ram Gopal")</f>
        <v>Papaya+1*Ram Gopal</v>
      </c>
      <c r="F1248" s="14">
        <f>IFERROR(__xludf.DUMMYFUNCTION("""COMPUTED_VALUE"""),6.0)</f>
        <v>6</v>
      </c>
      <c r="G1248" s="14">
        <f>IFERROR(__xludf.DUMMYFUNCTION("""COMPUTED_VALUE"""),11.0)</f>
        <v>11</v>
      </c>
      <c r="H1248" s="14">
        <f>IFERROR(__xludf.DUMMYFUNCTION("""COMPUTED_VALUE"""),2023.0)</f>
        <v>2023</v>
      </c>
      <c r="I1248" s="14" t="str">
        <f>IFERROR(__xludf.DUMMYFUNCTION("""COMPUTED_VALUE"""),"COD")</f>
        <v>COD</v>
      </c>
      <c r="J1248" s="14" t="str">
        <f>IFERROR(__xludf.DUMMYFUNCTION("""COMPUTED_VALUE"""),"Delivered*Delivery Experience: Quick and professional")</f>
        <v>Delivered*Delivery Experience: Quick and professional</v>
      </c>
      <c r="K1248" s="14" t="str">
        <f>IFERROR(__xludf.DUMMYFUNCTION("split(E1248,""+"")"),"Papaya")</f>
        <v>Papaya</v>
      </c>
      <c r="L1248" s="14" t="str">
        <f>IFERROR(__xludf.DUMMYFUNCTION("""COMPUTED_VALUE"""),"1*Ram Gopal")</f>
        <v>1*Ram Gopal</v>
      </c>
      <c r="M1248" s="14">
        <f>IFERROR(__xludf.DUMMYFUNCTION("SPLIT(L1248,""*"")"),1.0)</f>
        <v>1</v>
      </c>
      <c r="N1248" s="14" t="str">
        <f>IFERROR(__xludf.DUMMYFUNCTION("""COMPUTED_VALUE"""),"Ram Gopal")</f>
        <v>Ram Gopal</v>
      </c>
      <c r="O1248" s="14" t="str">
        <f>IFERROR(__xludf.DUMMYFUNCTION("split(J1248,""*"")"),"Delivered")</f>
        <v>Delivered</v>
      </c>
      <c r="P1248" s="14" t="str">
        <f>IFERROR(__xludf.DUMMYFUNCTION("""COMPUTED_VALUE"""),"Delivery Experience: Quick and professional")</f>
        <v>Delivery Experience: Quick and professional</v>
      </c>
      <c r="Q1248" s="14" t="str">
        <f>IFERROR(__xludf.DUMMYFUNCTION("split(P1248,"":"")"),"Delivery Experience")</f>
        <v>Delivery Experience</v>
      </c>
      <c r="R1248" s="14" t="str">
        <f>IFERROR(__xludf.DUMMYFUNCTION("""COMPUTED_VALUE""")," Quick and professional")</f>
        <v> Quick and professional</v>
      </c>
      <c r="S1248" s="14" t="str">
        <f t="shared" ref="S1248:U1248" si="2499">trim(B1248)</f>
        <v>ord_61226</v>
      </c>
      <c r="T1248" s="14" t="str">
        <f t="shared" si="2499"/>
        <v>Pallavi Ghosh</v>
      </c>
      <c r="U1248" s="14" t="str">
        <f t="shared" si="2499"/>
        <v>Bandra</v>
      </c>
      <c r="V1248" s="14" t="str">
        <f t="shared" si="4"/>
        <v>Papaya</v>
      </c>
      <c r="W1248" s="14">
        <f t="shared" si="5"/>
        <v>1</v>
      </c>
      <c r="X1248" s="14" t="str">
        <f t="shared" si="6"/>
        <v>Ram Gopal</v>
      </c>
      <c r="Y1248" s="15">
        <f t="shared" si="7"/>
        <v>45088</v>
      </c>
      <c r="Z1248" s="14" t="str">
        <f t="shared" si="8"/>
        <v>COD</v>
      </c>
      <c r="AA1248" s="14" t="str">
        <f t="shared" si="9"/>
        <v>Delivered</v>
      </c>
      <c r="AB1248" s="14" t="str">
        <f t="shared" ref="AB1248:AC1248" si="2500">trim(Q1248)</f>
        <v>Delivery Experience</v>
      </c>
      <c r="AC1248" s="14" t="str">
        <f t="shared" si="2500"/>
        <v>Quick and professional</v>
      </c>
      <c r="AD1248" s="8"/>
    </row>
    <row r="1249">
      <c r="A1249" s="14" t="str">
        <f>IFERROR(__xludf.DUMMYFUNCTION("""COMPUTED_VALUE"""),"//ord_61227//Omkar Mishra//Powai//Guava+2*Sandeep Kumar/11/25/2023//Credit Card//Delivered*Convenience: Easy tracking")</f>
        <v>//ord_61227//Omkar Mishra//Powai//Guava+2*Sandeep Kumar/11/25/2023//Credit Card//Delivered*Convenience: Easy tracking</v>
      </c>
      <c r="B1249" s="14" t="str">
        <f>IFERROR(__xludf.DUMMYFUNCTION("split(A1249,""//"")"),"ord_61227")</f>
        <v>ord_61227</v>
      </c>
      <c r="C1249" s="14" t="str">
        <f>IFERROR(__xludf.DUMMYFUNCTION("""COMPUTED_VALUE"""),"Omkar Mishra")</f>
        <v>Omkar Mishra</v>
      </c>
      <c r="D1249" s="14" t="str">
        <f>IFERROR(__xludf.DUMMYFUNCTION("""COMPUTED_VALUE"""),"Powai")</f>
        <v>Powai</v>
      </c>
      <c r="E1249" s="14" t="str">
        <f>IFERROR(__xludf.DUMMYFUNCTION("""COMPUTED_VALUE"""),"Guava+2*Sandeep Kumar")</f>
        <v>Guava+2*Sandeep Kumar</v>
      </c>
      <c r="F1249" s="14">
        <f>IFERROR(__xludf.DUMMYFUNCTION("""COMPUTED_VALUE"""),11.0)</f>
        <v>11</v>
      </c>
      <c r="G1249" s="14">
        <f>IFERROR(__xludf.DUMMYFUNCTION("""COMPUTED_VALUE"""),25.0)</f>
        <v>25</v>
      </c>
      <c r="H1249" s="14">
        <f>IFERROR(__xludf.DUMMYFUNCTION("""COMPUTED_VALUE"""),2023.0)</f>
        <v>2023</v>
      </c>
      <c r="I1249" s="14" t="str">
        <f>IFERROR(__xludf.DUMMYFUNCTION("""COMPUTED_VALUE"""),"Credit Card")</f>
        <v>Credit Card</v>
      </c>
      <c r="J1249" s="14" t="str">
        <f>IFERROR(__xludf.DUMMYFUNCTION("""COMPUTED_VALUE"""),"Delivered*Convenience: Easy tracking")</f>
        <v>Delivered*Convenience: Easy tracking</v>
      </c>
      <c r="K1249" s="14" t="str">
        <f>IFERROR(__xludf.DUMMYFUNCTION("split(E1249,""+"")"),"Guava")</f>
        <v>Guava</v>
      </c>
      <c r="L1249" s="14" t="str">
        <f>IFERROR(__xludf.DUMMYFUNCTION("""COMPUTED_VALUE"""),"2*Sandeep Kumar")</f>
        <v>2*Sandeep Kumar</v>
      </c>
      <c r="M1249" s="14">
        <f>IFERROR(__xludf.DUMMYFUNCTION("SPLIT(L1249,""*"")"),2.0)</f>
        <v>2</v>
      </c>
      <c r="N1249" s="14" t="str">
        <f>IFERROR(__xludf.DUMMYFUNCTION("""COMPUTED_VALUE"""),"Sandeep Kumar")</f>
        <v>Sandeep Kumar</v>
      </c>
      <c r="O1249" s="14" t="str">
        <f>IFERROR(__xludf.DUMMYFUNCTION("split(J1249,""*"")"),"Delivered")</f>
        <v>Delivered</v>
      </c>
      <c r="P1249" s="14" t="str">
        <f>IFERROR(__xludf.DUMMYFUNCTION("""COMPUTED_VALUE"""),"Convenience: Easy tracking")</f>
        <v>Convenience: Easy tracking</v>
      </c>
      <c r="Q1249" s="14" t="str">
        <f>IFERROR(__xludf.DUMMYFUNCTION("split(P1249,"":"")"),"Convenience")</f>
        <v>Convenience</v>
      </c>
      <c r="R1249" s="14" t="str">
        <f>IFERROR(__xludf.DUMMYFUNCTION("""COMPUTED_VALUE""")," Easy tracking")</f>
        <v> Easy tracking</v>
      </c>
      <c r="S1249" s="14" t="str">
        <f t="shared" ref="S1249:U1249" si="2501">trim(B1249)</f>
        <v>ord_61227</v>
      </c>
      <c r="T1249" s="14" t="str">
        <f t="shared" si="2501"/>
        <v>Omkar Mishra</v>
      </c>
      <c r="U1249" s="14" t="str">
        <f t="shared" si="2501"/>
        <v>Powai</v>
      </c>
      <c r="V1249" s="14" t="str">
        <f t="shared" si="4"/>
        <v>Guava</v>
      </c>
      <c r="W1249" s="14">
        <f t="shared" si="5"/>
        <v>2</v>
      </c>
      <c r="X1249" s="14" t="str">
        <f t="shared" si="6"/>
        <v>Sandeep Kumar</v>
      </c>
      <c r="Y1249" s="15">
        <f t="shared" si="7"/>
        <v>45255</v>
      </c>
      <c r="Z1249" s="14" t="str">
        <f t="shared" si="8"/>
        <v>Credit Card</v>
      </c>
      <c r="AA1249" s="14" t="str">
        <f t="shared" si="9"/>
        <v>Delivered</v>
      </c>
      <c r="AB1249" s="14" t="str">
        <f t="shared" ref="AB1249:AC1249" si="2502">trim(Q1249)</f>
        <v>Convenience</v>
      </c>
      <c r="AC1249" s="14" t="str">
        <f t="shared" si="2502"/>
        <v>Easy tracking</v>
      </c>
      <c r="AD1249" s="8"/>
    </row>
    <row r="1250">
      <c r="A1250" s="14" t="str">
        <f>IFERROR(__xludf.DUMMYFUNCTION("""COMPUTED_VALUE"""),"//ord_61228//Aarohi Kapoor//Bandra//Chicken Puff+4*Priya Joshi/6/11/2023//Online Payment//Delivered*Overall Satisfaction: Great service will order again")</f>
        <v>//ord_61228//Aarohi Kapoor//Bandra//Chicken Puff+4*Priya Joshi/6/11/2023//Online Payment//Delivered*Overall Satisfaction: Great service will order again</v>
      </c>
      <c r="B1250" s="14" t="str">
        <f>IFERROR(__xludf.DUMMYFUNCTION("split(A1250,""//"")"),"ord_61228")</f>
        <v>ord_61228</v>
      </c>
      <c r="C1250" s="14" t="str">
        <f>IFERROR(__xludf.DUMMYFUNCTION("""COMPUTED_VALUE"""),"Aarohi Kapoor")</f>
        <v>Aarohi Kapoor</v>
      </c>
      <c r="D1250" s="14" t="str">
        <f>IFERROR(__xludf.DUMMYFUNCTION("""COMPUTED_VALUE"""),"Bandra")</f>
        <v>Bandra</v>
      </c>
      <c r="E1250" s="14" t="str">
        <f>IFERROR(__xludf.DUMMYFUNCTION("""COMPUTED_VALUE"""),"Chicken Puff+4*Priya Joshi")</f>
        <v>Chicken Puff+4*Priya Joshi</v>
      </c>
      <c r="F1250" s="14">
        <f>IFERROR(__xludf.DUMMYFUNCTION("""COMPUTED_VALUE"""),6.0)</f>
        <v>6</v>
      </c>
      <c r="G1250" s="14">
        <f>IFERROR(__xludf.DUMMYFUNCTION("""COMPUTED_VALUE"""),11.0)</f>
        <v>11</v>
      </c>
      <c r="H1250" s="14">
        <f>IFERROR(__xludf.DUMMYFUNCTION("""COMPUTED_VALUE"""),2023.0)</f>
        <v>2023</v>
      </c>
      <c r="I1250" s="14" t="str">
        <f>IFERROR(__xludf.DUMMYFUNCTION("""COMPUTED_VALUE"""),"Online Payment")</f>
        <v>Online Payment</v>
      </c>
      <c r="J1250" s="14" t="str">
        <f>IFERROR(__xludf.DUMMYFUNCTION("""COMPUTED_VALUE"""),"Delivered*Overall Satisfaction: Great service will order again")</f>
        <v>Delivered*Overall Satisfaction: Great service will order again</v>
      </c>
      <c r="K1250" s="14" t="str">
        <f>IFERROR(__xludf.DUMMYFUNCTION("split(E1250,""+"")"),"Chicken Puff")</f>
        <v>Chicken Puff</v>
      </c>
      <c r="L1250" s="14" t="str">
        <f>IFERROR(__xludf.DUMMYFUNCTION("""COMPUTED_VALUE"""),"4*Priya Joshi")</f>
        <v>4*Priya Joshi</v>
      </c>
      <c r="M1250" s="14">
        <f>IFERROR(__xludf.DUMMYFUNCTION("SPLIT(L1250,""*"")"),4.0)</f>
        <v>4</v>
      </c>
      <c r="N1250" s="14" t="str">
        <f>IFERROR(__xludf.DUMMYFUNCTION("""COMPUTED_VALUE"""),"Priya Joshi")</f>
        <v>Priya Joshi</v>
      </c>
      <c r="O1250" s="14" t="str">
        <f>IFERROR(__xludf.DUMMYFUNCTION("split(J1250,""*"")"),"Delivered")</f>
        <v>Delivered</v>
      </c>
      <c r="P1250" s="14" t="str">
        <f>IFERROR(__xludf.DUMMYFUNCTION("""COMPUTED_VALUE"""),"Overall Satisfaction: Great service will order again")</f>
        <v>Overall Satisfaction: Great service will order again</v>
      </c>
      <c r="Q1250" s="14" t="str">
        <f>IFERROR(__xludf.DUMMYFUNCTION("split(P1250,"":"")"),"Overall Satisfaction")</f>
        <v>Overall Satisfaction</v>
      </c>
      <c r="R1250" s="14" t="str">
        <f>IFERROR(__xludf.DUMMYFUNCTION("""COMPUTED_VALUE""")," Great service will order again")</f>
        <v> Great service will order again</v>
      </c>
      <c r="S1250" s="14" t="str">
        <f t="shared" ref="S1250:U1250" si="2503">trim(B1250)</f>
        <v>ord_61228</v>
      </c>
      <c r="T1250" s="14" t="str">
        <f t="shared" si="2503"/>
        <v>Aarohi Kapoor</v>
      </c>
      <c r="U1250" s="14" t="str">
        <f t="shared" si="2503"/>
        <v>Bandra</v>
      </c>
      <c r="V1250" s="14" t="str">
        <f t="shared" si="4"/>
        <v>Chicken Puff</v>
      </c>
      <c r="W1250" s="14">
        <f t="shared" si="5"/>
        <v>4</v>
      </c>
      <c r="X1250" s="14" t="str">
        <f t="shared" si="6"/>
        <v>Priya Joshi</v>
      </c>
      <c r="Y1250" s="15">
        <f t="shared" si="7"/>
        <v>45088</v>
      </c>
      <c r="Z1250" s="14" t="str">
        <f t="shared" si="8"/>
        <v>Online Payment</v>
      </c>
      <c r="AA1250" s="14" t="str">
        <f t="shared" si="9"/>
        <v>Delivered</v>
      </c>
      <c r="AB1250" s="14" t="str">
        <f t="shared" ref="AB1250:AC1250" si="2504">trim(Q1250)</f>
        <v>Overall Satisfaction</v>
      </c>
      <c r="AC1250" s="14" t="str">
        <f t="shared" si="2504"/>
        <v>Great service will order again</v>
      </c>
      <c r="AD1250" s="8"/>
    </row>
    <row r="1251">
      <c r="A1251" s="14" t="str">
        <f>IFERROR(__xludf.DUMMYFUNCTION("""COMPUTED_VALUE"""),"//ord_61229//Ishaan Chaturvedi//Bandra//Chilli Cheese Toast+3*Priya Joshi/9/26/2023//Credit Card//Delivered*On-time Delivery: Delivered on time")</f>
        <v>//ord_61229//Ishaan Chaturvedi//Bandra//Chilli Cheese Toast+3*Priya Joshi/9/26/2023//Credit Card//Delivered*On-time Delivery: Delivered on time</v>
      </c>
      <c r="B1251" s="14" t="str">
        <f>IFERROR(__xludf.DUMMYFUNCTION("split(A1251,""//"")"),"ord_61229")</f>
        <v>ord_61229</v>
      </c>
      <c r="C1251" s="14" t="str">
        <f>IFERROR(__xludf.DUMMYFUNCTION("""COMPUTED_VALUE"""),"Ishaan Chaturvedi")</f>
        <v>Ishaan Chaturvedi</v>
      </c>
      <c r="D1251" s="14" t="str">
        <f>IFERROR(__xludf.DUMMYFUNCTION("""COMPUTED_VALUE"""),"Bandra")</f>
        <v>Bandra</v>
      </c>
      <c r="E1251" s="14" t="str">
        <f>IFERROR(__xludf.DUMMYFUNCTION("""COMPUTED_VALUE"""),"Chilli Cheese Toast+3*Priya Joshi")</f>
        <v>Chilli Cheese Toast+3*Priya Joshi</v>
      </c>
      <c r="F1251" s="14">
        <f>IFERROR(__xludf.DUMMYFUNCTION("""COMPUTED_VALUE"""),9.0)</f>
        <v>9</v>
      </c>
      <c r="G1251" s="14">
        <f>IFERROR(__xludf.DUMMYFUNCTION("""COMPUTED_VALUE"""),26.0)</f>
        <v>26</v>
      </c>
      <c r="H1251" s="14">
        <f>IFERROR(__xludf.DUMMYFUNCTION("""COMPUTED_VALUE"""),2023.0)</f>
        <v>2023</v>
      </c>
      <c r="I1251" s="14" t="str">
        <f>IFERROR(__xludf.DUMMYFUNCTION("""COMPUTED_VALUE"""),"Credit Card")</f>
        <v>Credit Card</v>
      </c>
      <c r="J1251" s="14" t="str">
        <f>IFERROR(__xludf.DUMMYFUNCTION("""COMPUTED_VALUE"""),"Delivered*On-time Delivery: Delivered on time")</f>
        <v>Delivered*On-time Delivery: Delivered on time</v>
      </c>
      <c r="K1251" s="14" t="str">
        <f>IFERROR(__xludf.DUMMYFUNCTION("split(E1251,""+"")"),"Chilli Cheese Toast")</f>
        <v>Chilli Cheese Toast</v>
      </c>
      <c r="L1251" s="14" t="str">
        <f>IFERROR(__xludf.DUMMYFUNCTION("""COMPUTED_VALUE"""),"3*Priya Joshi")</f>
        <v>3*Priya Joshi</v>
      </c>
      <c r="M1251" s="14">
        <f>IFERROR(__xludf.DUMMYFUNCTION("SPLIT(L1251,""*"")"),3.0)</f>
        <v>3</v>
      </c>
      <c r="N1251" s="14" t="str">
        <f>IFERROR(__xludf.DUMMYFUNCTION("""COMPUTED_VALUE"""),"Priya Joshi")</f>
        <v>Priya Joshi</v>
      </c>
      <c r="O1251" s="14" t="str">
        <f>IFERROR(__xludf.DUMMYFUNCTION("split(J1251,""*"")"),"Delivered")</f>
        <v>Delivered</v>
      </c>
      <c r="P1251" s="14" t="str">
        <f>IFERROR(__xludf.DUMMYFUNCTION("""COMPUTED_VALUE"""),"On-time Delivery: Delivered on time")</f>
        <v>On-time Delivery: Delivered on time</v>
      </c>
      <c r="Q1251" s="14" t="str">
        <f>IFERROR(__xludf.DUMMYFUNCTION("split(P1251,"":"")"),"On-time Delivery")</f>
        <v>On-time Delivery</v>
      </c>
      <c r="R1251" s="14" t="str">
        <f>IFERROR(__xludf.DUMMYFUNCTION("""COMPUTED_VALUE""")," Delivered on time")</f>
        <v> Delivered on time</v>
      </c>
      <c r="S1251" s="14" t="str">
        <f t="shared" ref="S1251:U1251" si="2505">trim(B1251)</f>
        <v>ord_61229</v>
      </c>
      <c r="T1251" s="14" t="str">
        <f t="shared" si="2505"/>
        <v>Ishaan Chaturvedi</v>
      </c>
      <c r="U1251" s="14" t="str">
        <f t="shared" si="2505"/>
        <v>Bandra</v>
      </c>
      <c r="V1251" s="14" t="str">
        <f t="shared" si="4"/>
        <v>Chilli Cheese Toast</v>
      </c>
      <c r="W1251" s="14">
        <f t="shared" si="5"/>
        <v>3</v>
      </c>
      <c r="X1251" s="14" t="str">
        <f t="shared" si="6"/>
        <v>Priya Joshi</v>
      </c>
      <c r="Y1251" s="15">
        <f t="shared" si="7"/>
        <v>45195</v>
      </c>
      <c r="Z1251" s="14" t="str">
        <f t="shared" si="8"/>
        <v>Credit Card</v>
      </c>
      <c r="AA1251" s="14" t="str">
        <f t="shared" si="9"/>
        <v>Delivered</v>
      </c>
      <c r="AB1251" s="14" t="str">
        <f t="shared" ref="AB1251:AC1251" si="2506">trim(Q1251)</f>
        <v>On-time Delivery</v>
      </c>
      <c r="AC1251" s="14" t="str">
        <f t="shared" si="2506"/>
        <v>Delivered on time</v>
      </c>
      <c r="AD1251" s="8"/>
    </row>
    <row r="1252">
      <c r="A1252" s="14" t="str">
        <f>IFERROR(__xludf.DUMMYFUNCTION("""COMPUTED_VALUE"""),"//ord_61230//Diya Arora//Lower Parel//Orange+1*Kiran Mehta/5/5/2023//UPI//Delivered*Quality of Items: Perfect condition")</f>
        <v>//ord_61230//Diya Arora//Lower Parel//Orange+1*Kiran Mehta/5/5/2023//UPI//Delivered*Quality of Items: Perfect condition</v>
      </c>
      <c r="B1252" s="14" t="str">
        <f>IFERROR(__xludf.DUMMYFUNCTION("split(A1252,""//"")"),"ord_61230")</f>
        <v>ord_61230</v>
      </c>
      <c r="C1252" s="14" t="str">
        <f>IFERROR(__xludf.DUMMYFUNCTION("""COMPUTED_VALUE"""),"Diya Arora")</f>
        <v>Diya Arora</v>
      </c>
      <c r="D1252" s="14" t="str">
        <f>IFERROR(__xludf.DUMMYFUNCTION("""COMPUTED_VALUE"""),"Lower Parel")</f>
        <v>Lower Parel</v>
      </c>
      <c r="E1252" s="14" t="str">
        <f>IFERROR(__xludf.DUMMYFUNCTION("""COMPUTED_VALUE"""),"Orange+1*Kiran Mehta")</f>
        <v>Orange+1*Kiran Mehta</v>
      </c>
      <c r="F1252" s="14">
        <f>IFERROR(__xludf.DUMMYFUNCTION("""COMPUTED_VALUE"""),5.0)</f>
        <v>5</v>
      </c>
      <c r="G1252" s="14">
        <f>IFERROR(__xludf.DUMMYFUNCTION("""COMPUTED_VALUE"""),5.0)</f>
        <v>5</v>
      </c>
      <c r="H1252" s="14">
        <f>IFERROR(__xludf.DUMMYFUNCTION("""COMPUTED_VALUE"""),2023.0)</f>
        <v>2023</v>
      </c>
      <c r="I1252" s="14" t="str">
        <f>IFERROR(__xludf.DUMMYFUNCTION("""COMPUTED_VALUE"""),"UPI")</f>
        <v>UPI</v>
      </c>
      <c r="J1252" s="14" t="str">
        <f>IFERROR(__xludf.DUMMYFUNCTION("""COMPUTED_VALUE"""),"Delivered*Quality of Items: Perfect condition")</f>
        <v>Delivered*Quality of Items: Perfect condition</v>
      </c>
      <c r="K1252" s="14" t="str">
        <f>IFERROR(__xludf.DUMMYFUNCTION("split(E1252,""+"")"),"Orange")</f>
        <v>Orange</v>
      </c>
      <c r="L1252" s="14" t="str">
        <f>IFERROR(__xludf.DUMMYFUNCTION("""COMPUTED_VALUE"""),"1*Kiran Mehta")</f>
        <v>1*Kiran Mehta</v>
      </c>
      <c r="M1252" s="14">
        <f>IFERROR(__xludf.DUMMYFUNCTION("SPLIT(L1252,""*"")"),1.0)</f>
        <v>1</v>
      </c>
      <c r="N1252" s="14" t="str">
        <f>IFERROR(__xludf.DUMMYFUNCTION("""COMPUTED_VALUE"""),"Kiran Mehta")</f>
        <v>Kiran Mehta</v>
      </c>
      <c r="O1252" s="14" t="str">
        <f>IFERROR(__xludf.DUMMYFUNCTION("split(J1252,""*"")"),"Delivered")</f>
        <v>Delivered</v>
      </c>
      <c r="P1252" s="14" t="str">
        <f>IFERROR(__xludf.DUMMYFUNCTION("""COMPUTED_VALUE"""),"Quality of Items: Perfect condition")</f>
        <v>Quality of Items: Perfect condition</v>
      </c>
      <c r="Q1252" s="14" t="str">
        <f>IFERROR(__xludf.DUMMYFUNCTION("split(P1252,"":"")"),"Quality of Items")</f>
        <v>Quality of Items</v>
      </c>
      <c r="R1252" s="14" t="str">
        <f>IFERROR(__xludf.DUMMYFUNCTION("""COMPUTED_VALUE""")," Perfect condition")</f>
        <v> Perfect condition</v>
      </c>
      <c r="S1252" s="14" t="str">
        <f t="shared" ref="S1252:U1252" si="2507">trim(B1252)</f>
        <v>ord_61230</v>
      </c>
      <c r="T1252" s="14" t="str">
        <f t="shared" si="2507"/>
        <v>Diya Arora</v>
      </c>
      <c r="U1252" s="14" t="str">
        <f t="shared" si="2507"/>
        <v>Lower Parel</v>
      </c>
      <c r="V1252" s="14" t="str">
        <f t="shared" si="4"/>
        <v>Orange</v>
      </c>
      <c r="W1252" s="14">
        <f t="shared" si="5"/>
        <v>1</v>
      </c>
      <c r="X1252" s="14" t="str">
        <f t="shared" si="6"/>
        <v>Kiran Mehta</v>
      </c>
      <c r="Y1252" s="15">
        <f t="shared" si="7"/>
        <v>45051</v>
      </c>
      <c r="Z1252" s="14" t="str">
        <f t="shared" si="8"/>
        <v>UPI</v>
      </c>
      <c r="AA1252" s="14" t="str">
        <f t="shared" si="9"/>
        <v>Delivered</v>
      </c>
      <c r="AB1252" s="14" t="str">
        <f t="shared" ref="AB1252:AC1252" si="2508">trim(Q1252)</f>
        <v>Quality of Items</v>
      </c>
      <c r="AC1252" s="14" t="str">
        <f t="shared" si="2508"/>
        <v>Perfect condition</v>
      </c>
      <c r="AD1252" s="8"/>
    </row>
    <row r="1253">
      <c r="A1253" s="14" t="str">
        <f>IFERROR(__xludf.DUMMYFUNCTION("""COMPUTED_VALUE"""),"//ord_61231//Tanishq Bansal//Powai//Onion+2*Sandeep Kumar/12/3/2023//COD//Delivered*On-time Delivery: Delivered on time")</f>
        <v>//ord_61231//Tanishq Bansal//Powai//Onion+2*Sandeep Kumar/12/3/2023//COD//Delivered*On-time Delivery: Delivered on time</v>
      </c>
      <c r="B1253" s="14" t="str">
        <f>IFERROR(__xludf.DUMMYFUNCTION("split(A1253,""//"")"),"ord_61231")</f>
        <v>ord_61231</v>
      </c>
      <c r="C1253" s="14" t="str">
        <f>IFERROR(__xludf.DUMMYFUNCTION("""COMPUTED_VALUE"""),"Tanishq Bansal")</f>
        <v>Tanishq Bansal</v>
      </c>
      <c r="D1253" s="14" t="str">
        <f>IFERROR(__xludf.DUMMYFUNCTION("""COMPUTED_VALUE"""),"Powai")</f>
        <v>Powai</v>
      </c>
      <c r="E1253" s="14" t="str">
        <f>IFERROR(__xludf.DUMMYFUNCTION("""COMPUTED_VALUE"""),"Onion+2*Sandeep Kumar")</f>
        <v>Onion+2*Sandeep Kumar</v>
      </c>
      <c r="F1253" s="14">
        <f>IFERROR(__xludf.DUMMYFUNCTION("""COMPUTED_VALUE"""),12.0)</f>
        <v>12</v>
      </c>
      <c r="G1253" s="14">
        <f>IFERROR(__xludf.DUMMYFUNCTION("""COMPUTED_VALUE"""),3.0)</f>
        <v>3</v>
      </c>
      <c r="H1253" s="14">
        <f>IFERROR(__xludf.DUMMYFUNCTION("""COMPUTED_VALUE"""),2023.0)</f>
        <v>2023</v>
      </c>
      <c r="I1253" s="14" t="str">
        <f>IFERROR(__xludf.DUMMYFUNCTION("""COMPUTED_VALUE"""),"COD")</f>
        <v>COD</v>
      </c>
      <c r="J1253" s="14" t="str">
        <f>IFERROR(__xludf.DUMMYFUNCTION("""COMPUTED_VALUE"""),"Delivered*On-time Delivery: Delivered on time")</f>
        <v>Delivered*On-time Delivery: Delivered on time</v>
      </c>
      <c r="K1253" s="14" t="str">
        <f>IFERROR(__xludf.DUMMYFUNCTION("split(E1253,""+"")"),"Onion")</f>
        <v>Onion</v>
      </c>
      <c r="L1253" s="14" t="str">
        <f>IFERROR(__xludf.DUMMYFUNCTION("""COMPUTED_VALUE"""),"2*Sandeep Kumar")</f>
        <v>2*Sandeep Kumar</v>
      </c>
      <c r="M1253" s="14">
        <f>IFERROR(__xludf.DUMMYFUNCTION("SPLIT(L1253,""*"")"),2.0)</f>
        <v>2</v>
      </c>
      <c r="N1253" s="14" t="str">
        <f>IFERROR(__xludf.DUMMYFUNCTION("""COMPUTED_VALUE"""),"Sandeep Kumar")</f>
        <v>Sandeep Kumar</v>
      </c>
      <c r="O1253" s="14" t="str">
        <f>IFERROR(__xludf.DUMMYFUNCTION("split(J1253,""*"")"),"Delivered")</f>
        <v>Delivered</v>
      </c>
      <c r="P1253" s="14" t="str">
        <f>IFERROR(__xludf.DUMMYFUNCTION("""COMPUTED_VALUE"""),"On-time Delivery: Delivered on time")</f>
        <v>On-time Delivery: Delivered on time</v>
      </c>
      <c r="Q1253" s="14" t="str">
        <f>IFERROR(__xludf.DUMMYFUNCTION("split(P1253,"":"")"),"On-time Delivery")</f>
        <v>On-time Delivery</v>
      </c>
      <c r="R1253" s="14" t="str">
        <f>IFERROR(__xludf.DUMMYFUNCTION("""COMPUTED_VALUE""")," Delivered on time")</f>
        <v> Delivered on time</v>
      </c>
      <c r="S1253" s="14" t="str">
        <f t="shared" ref="S1253:U1253" si="2509">trim(B1253)</f>
        <v>ord_61231</v>
      </c>
      <c r="T1253" s="14" t="str">
        <f t="shared" si="2509"/>
        <v>Tanishq Bansal</v>
      </c>
      <c r="U1253" s="14" t="str">
        <f t="shared" si="2509"/>
        <v>Powai</v>
      </c>
      <c r="V1253" s="14" t="str">
        <f t="shared" si="4"/>
        <v>Onion</v>
      </c>
      <c r="W1253" s="14">
        <f t="shared" si="5"/>
        <v>2</v>
      </c>
      <c r="X1253" s="14" t="str">
        <f t="shared" si="6"/>
        <v>Sandeep Kumar</v>
      </c>
      <c r="Y1253" s="15">
        <f t="shared" si="7"/>
        <v>45263</v>
      </c>
      <c r="Z1253" s="14" t="str">
        <f t="shared" si="8"/>
        <v>COD</v>
      </c>
      <c r="AA1253" s="14" t="str">
        <f t="shared" si="9"/>
        <v>Delivered</v>
      </c>
      <c r="AB1253" s="14" t="str">
        <f t="shared" ref="AB1253:AC1253" si="2510">trim(Q1253)</f>
        <v>On-time Delivery</v>
      </c>
      <c r="AC1253" s="14" t="str">
        <f t="shared" si="2510"/>
        <v>Delivered on time</v>
      </c>
      <c r="AD1253" s="8"/>
    </row>
    <row r="1254">
      <c r="A1254" s="14" t="str">
        <f>IFERROR(__xludf.DUMMYFUNCTION("""COMPUTED_VALUE"""),"//ord_61232//Kritika Shetty//Malad//Veg Puff+4*Neha Shah/7/25/2023//UPI//Delivered*Quality of Items: Perfect condition")</f>
        <v>//ord_61232//Kritika Shetty//Malad//Veg Puff+4*Neha Shah/7/25/2023//UPI//Delivered*Quality of Items: Perfect condition</v>
      </c>
      <c r="B1254" s="14" t="str">
        <f>IFERROR(__xludf.DUMMYFUNCTION("split(A1254,""//"")"),"ord_61232")</f>
        <v>ord_61232</v>
      </c>
      <c r="C1254" s="14" t="str">
        <f>IFERROR(__xludf.DUMMYFUNCTION("""COMPUTED_VALUE"""),"Kritika Shetty")</f>
        <v>Kritika Shetty</v>
      </c>
      <c r="D1254" s="14" t="str">
        <f>IFERROR(__xludf.DUMMYFUNCTION("""COMPUTED_VALUE"""),"Malad")</f>
        <v>Malad</v>
      </c>
      <c r="E1254" s="14" t="str">
        <f>IFERROR(__xludf.DUMMYFUNCTION("""COMPUTED_VALUE"""),"Veg Puff+4*Neha Shah")</f>
        <v>Veg Puff+4*Neha Shah</v>
      </c>
      <c r="F1254" s="14">
        <f>IFERROR(__xludf.DUMMYFUNCTION("""COMPUTED_VALUE"""),7.0)</f>
        <v>7</v>
      </c>
      <c r="G1254" s="14">
        <f>IFERROR(__xludf.DUMMYFUNCTION("""COMPUTED_VALUE"""),25.0)</f>
        <v>25</v>
      </c>
      <c r="H1254" s="14">
        <f>IFERROR(__xludf.DUMMYFUNCTION("""COMPUTED_VALUE"""),2023.0)</f>
        <v>2023</v>
      </c>
      <c r="I1254" s="14" t="str">
        <f>IFERROR(__xludf.DUMMYFUNCTION("""COMPUTED_VALUE"""),"UPI")</f>
        <v>UPI</v>
      </c>
      <c r="J1254" s="14" t="str">
        <f>IFERROR(__xludf.DUMMYFUNCTION("""COMPUTED_VALUE"""),"Delivered*Quality of Items: Perfect condition")</f>
        <v>Delivered*Quality of Items: Perfect condition</v>
      </c>
      <c r="K1254" s="14" t="str">
        <f>IFERROR(__xludf.DUMMYFUNCTION("split(E1254,""+"")"),"Veg Puff")</f>
        <v>Veg Puff</v>
      </c>
      <c r="L1254" s="14" t="str">
        <f>IFERROR(__xludf.DUMMYFUNCTION("""COMPUTED_VALUE"""),"4*Neha Shah")</f>
        <v>4*Neha Shah</v>
      </c>
      <c r="M1254" s="14">
        <f>IFERROR(__xludf.DUMMYFUNCTION("SPLIT(L1254,""*"")"),4.0)</f>
        <v>4</v>
      </c>
      <c r="N1254" s="14" t="str">
        <f>IFERROR(__xludf.DUMMYFUNCTION("""COMPUTED_VALUE"""),"Neha Shah")</f>
        <v>Neha Shah</v>
      </c>
      <c r="O1254" s="14" t="str">
        <f>IFERROR(__xludf.DUMMYFUNCTION("split(J1254,""*"")"),"Delivered")</f>
        <v>Delivered</v>
      </c>
      <c r="P1254" s="14" t="str">
        <f>IFERROR(__xludf.DUMMYFUNCTION("""COMPUTED_VALUE"""),"Quality of Items: Perfect condition")</f>
        <v>Quality of Items: Perfect condition</v>
      </c>
      <c r="Q1254" s="14" t="str">
        <f>IFERROR(__xludf.DUMMYFUNCTION("split(P1254,"":"")"),"Quality of Items")</f>
        <v>Quality of Items</v>
      </c>
      <c r="R1254" s="14" t="str">
        <f>IFERROR(__xludf.DUMMYFUNCTION("""COMPUTED_VALUE""")," Perfect condition")</f>
        <v> Perfect condition</v>
      </c>
      <c r="S1254" s="14" t="str">
        <f t="shared" ref="S1254:U1254" si="2511">trim(B1254)</f>
        <v>ord_61232</v>
      </c>
      <c r="T1254" s="14" t="str">
        <f t="shared" si="2511"/>
        <v>Kritika Shetty</v>
      </c>
      <c r="U1254" s="14" t="str">
        <f t="shared" si="2511"/>
        <v>Malad</v>
      </c>
      <c r="V1254" s="14" t="str">
        <f t="shared" si="4"/>
        <v>Veg Puff</v>
      </c>
      <c r="W1254" s="14">
        <f t="shared" si="5"/>
        <v>4</v>
      </c>
      <c r="X1254" s="14" t="str">
        <f t="shared" si="6"/>
        <v>Neha Shah</v>
      </c>
      <c r="Y1254" s="15">
        <f t="shared" si="7"/>
        <v>45132</v>
      </c>
      <c r="Z1254" s="14" t="str">
        <f t="shared" si="8"/>
        <v>UPI</v>
      </c>
      <c r="AA1254" s="14" t="str">
        <f t="shared" si="9"/>
        <v>Delivered</v>
      </c>
      <c r="AB1254" s="14" t="str">
        <f t="shared" ref="AB1254:AC1254" si="2512">trim(Q1254)</f>
        <v>Quality of Items</v>
      </c>
      <c r="AC1254" s="14" t="str">
        <f t="shared" si="2512"/>
        <v>Perfect condition</v>
      </c>
      <c r="AD1254" s="8"/>
    </row>
    <row r="1255">
      <c r="A1255" s="14" t="str">
        <f>IFERROR(__xludf.DUMMYFUNCTION("""COMPUTED_VALUE"""),"//ord_61233//Kritika Shetty//Malad//Sweet Corn+1*Neha Shah/6/8/2023//Credit Card//Delivered*Packaging: Secure and intact")</f>
        <v>//ord_61233//Kritika Shetty//Malad//Sweet Corn+1*Neha Shah/6/8/2023//Credit Card//Delivered*Packaging: Secure and intact</v>
      </c>
      <c r="B1255" s="14" t="str">
        <f>IFERROR(__xludf.DUMMYFUNCTION("split(A1255,""//"")"),"ord_61233")</f>
        <v>ord_61233</v>
      </c>
      <c r="C1255" s="14" t="str">
        <f>IFERROR(__xludf.DUMMYFUNCTION("""COMPUTED_VALUE"""),"Kritika Shetty")</f>
        <v>Kritika Shetty</v>
      </c>
      <c r="D1255" s="14" t="str">
        <f>IFERROR(__xludf.DUMMYFUNCTION("""COMPUTED_VALUE"""),"Malad")</f>
        <v>Malad</v>
      </c>
      <c r="E1255" s="14" t="str">
        <f>IFERROR(__xludf.DUMMYFUNCTION("""COMPUTED_VALUE"""),"Sweet Corn+1*Neha Shah")</f>
        <v>Sweet Corn+1*Neha Shah</v>
      </c>
      <c r="F1255" s="14">
        <f>IFERROR(__xludf.DUMMYFUNCTION("""COMPUTED_VALUE"""),6.0)</f>
        <v>6</v>
      </c>
      <c r="G1255" s="14">
        <f>IFERROR(__xludf.DUMMYFUNCTION("""COMPUTED_VALUE"""),8.0)</f>
        <v>8</v>
      </c>
      <c r="H1255" s="14">
        <f>IFERROR(__xludf.DUMMYFUNCTION("""COMPUTED_VALUE"""),2023.0)</f>
        <v>2023</v>
      </c>
      <c r="I1255" s="14" t="str">
        <f>IFERROR(__xludf.DUMMYFUNCTION("""COMPUTED_VALUE"""),"Credit Card")</f>
        <v>Credit Card</v>
      </c>
      <c r="J1255" s="14" t="str">
        <f>IFERROR(__xludf.DUMMYFUNCTION("""COMPUTED_VALUE"""),"Delivered*Packaging: Secure and intact")</f>
        <v>Delivered*Packaging: Secure and intact</v>
      </c>
      <c r="K1255" s="14" t="str">
        <f>IFERROR(__xludf.DUMMYFUNCTION("split(E1255,""+"")"),"Sweet Corn")</f>
        <v>Sweet Corn</v>
      </c>
      <c r="L1255" s="14" t="str">
        <f>IFERROR(__xludf.DUMMYFUNCTION("""COMPUTED_VALUE"""),"1*Neha Shah")</f>
        <v>1*Neha Shah</v>
      </c>
      <c r="M1255" s="14">
        <f>IFERROR(__xludf.DUMMYFUNCTION("SPLIT(L1255,""*"")"),1.0)</f>
        <v>1</v>
      </c>
      <c r="N1255" s="14" t="str">
        <f>IFERROR(__xludf.DUMMYFUNCTION("""COMPUTED_VALUE"""),"Neha Shah")</f>
        <v>Neha Shah</v>
      </c>
      <c r="O1255" s="14" t="str">
        <f>IFERROR(__xludf.DUMMYFUNCTION("split(J1255,""*"")"),"Delivered")</f>
        <v>Delivered</v>
      </c>
      <c r="P1255" s="14" t="str">
        <f>IFERROR(__xludf.DUMMYFUNCTION("""COMPUTED_VALUE"""),"Packaging: Secure and intact")</f>
        <v>Packaging: Secure and intact</v>
      </c>
      <c r="Q1255" s="14" t="str">
        <f>IFERROR(__xludf.DUMMYFUNCTION("split(P1255,"":"")"),"Packaging")</f>
        <v>Packaging</v>
      </c>
      <c r="R1255" s="14" t="str">
        <f>IFERROR(__xludf.DUMMYFUNCTION("""COMPUTED_VALUE""")," Secure and intact")</f>
        <v> Secure and intact</v>
      </c>
      <c r="S1255" s="14" t="str">
        <f t="shared" ref="S1255:U1255" si="2513">trim(B1255)</f>
        <v>ord_61233</v>
      </c>
      <c r="T1255" s="14" t="str">
        <f t="shared" si="2513"/>
        <v>Kritika Shetty</v>
      </c>
      <c r="U1255" s="14" t="str">
        <f t="shared" si="2513"/>
        <v>Malad</v>
      </c>
      <c r="V1255" s="14" t="str">
        <f t="shared" si="4"/>
        <v>Sweet Corn</v>
      </c>
      <c r="W1255" s="14">
        <f t="shared" si="5"/>
        <v>1</v>
      </c>
      <c r="X1255" s="14" t="str">
        <f t="shared" si="6"/>
        <v>Neha Shah</v>
      </c>
      <c r="Y1255" s="15">
        <f t="shared" si="7"/>
        <v>45085</v>
      </c>
      <c r="Z1255" s="14" t="str">
        <f t="shared" si="8"/>
        <v>Credit Card</v>
      </c>
      <c r="AA1255" s="14" t="str">
        <f t="shared" si="9"/>
        <v>Delivered</v>
      </c>
      <c r="AB1255" s="14" t="str">
        <f t="shared" ref="AB1255:AC1255" si="2514">trim(Q1255)</f>
        <v>Packaging</v>
      </c>
      <c r="AC1255" s="14" t="str">
        <f t="shared" si="2514"/>
        <v>Secure and intact</v>
      </c>
      <c r="AD1255" s="8"/>
    </row>
    <row r="1256">
      <c r="A1256" s="14" t="str">
        <f>IFERROR(__xludf.DUMMYFUNCTION("""COMPUTED_VALUE"""),"//ord_61234//Pranav Joshi//Andheri//Popcorn+2*Not Assigned/7/7/2023//Online Payment//Cancelled*Out of Stock")</f>
        <v>//ord_61234//Pranav Joshi//Andheri//Popcorn+2*Not Assigned/7/7/2023//Online Payment//Cancelled*Out of Stock</v>
      </c>
      <c r="B1256" s="14" t="str">
        <f>IFERROR(__xludf.DUMMYFUNCTION("split(A1256,""//"")"),"ord_61234")</f>
        <v>ord_61234</v>
      </c>
      <c r="C1256" s="14" t="str">
        <f>IFERROR(__xludf.DUMMYFUNCTION("""COMPUTED_VALUE"""),"Pranav Joshi")</f>
        <v>Pranav Joshi</v>
      </c>
      <c r="D1256" s="14" t="str">
        <f>IFERROR(__xludf.DUMMYFUNCTION("""COMPUTED_VALUE"""),"Andheri")</f>
        <v>Andheri</v>
      </c>
      <c r="E1256" s="14" t="str">
        <f>IFERROR(__xludf.DUMMYFUNCTION("""COMPUTED_VALUE"""),"Popcorn+2*Not Assigned")</f>
        <v>Popcorn+2*Not Assigned</v>
      </c>
      <c r="F1256" s="14">
        <f>IFERROR(__xludf.DUMMYFUNCTION("""COMPUTED_VALUE"""),7.0)</f>
        <v>7</v>
      </c>
      <c r="G1256" s="14">
        <f>IFERROR(__xludf.DUMMYFUNCTION("""COMPUTED_VALUE"""),7.0)</f>
        <v>7</v>
      </c>
      <c r="H1256" s="14">
        <f>IFERROR(__xludf.DUMMYFUNCTION("""COMPUTED_VALUE"""),2023.0)</f>
        <v>2023</v>
      </c>
      <c r="I1256" s="14" t="str">
        <f>IFERROR(__xludf.DUMMYFUNCTION("""COMPUTED_VALUE"""),"Online Payment")</f>
        <v>Online Payment</v>
      </c>
      <c r="J1256" s="14" t="str">
        <f>IFERROR(__xludf.DUMMYFUNCTION("""COMPUTED_VALUE"""),"Cancelled*Out of Stock")</f>
        <v>Cancelled*Out of Stock</v>
      </c>
      <c r="K1256" s="14" t="str">
        <f>IFERROR(__xludf.DUMMYFUNCTION("split(E1256,""+"")"),"Popcorn")</f>
        <v>Popcorn</v>
      </c>
      <c r="L1256" s="14" t="str">
        <f>IFERROR(__xludf.DUMMYFUNCTION("""COMPUTED_VALUE"""),"2*Not Assigned")</f>
        <v>2*Not Assigned</v>
      </c>
      <c r="M1256" s="14">
        <f>IFERROR(__xludf.DUMMYFUNCTION("SPLIT(L1256,""*"")"),2.0)</f>
        <v>2</v>
      </c>
      <c r="N1256" s="14" t="str">
        <f>IFERROR(__xludf.DUMMYFUNCTION("""COMPUTED_VALUE"""),"Not Assigned")</f>
        <v>Not Assigned</v>
      </c>
      <c r="O1256" s="14" t="str">
        <f>IFERROR(__xludf.DUMMYFUNCTION("split(J1256,""*"")"),"Cancelled")</f>
        <v>Cancelled</v>
      </c>
      <c r="P1256" s="14" t="str">
        <f>IFERROR(__xludf.DUMMYFUNCTION("""COMPUTED_VALUE"""),"Out of Stock")</f>
        <v>Out of Stock</v>
      </c>
      <c r="Q1256" s="14" t="str">
        <f>IFERROR(__xludf.DUMMYFUNCTION("split(P1256,"":"")"),"Out of Stock")</f>
        <v>Out of Stock</v>
      </c>
      <c r="R1256" s="14"/>
      <c r="S1256" s="14" t="str">
        <f t="shared" ref="S1256:U1256" si="2515">trim(B1256)</f>
        <v>ord_61234</v>
      </c>
      <c r="T1256" s="14" t="str">
        <f t="shared" si="2515"/>
        <v>Pranav Joshi</v>
      </c>
      <c r="U1256" s="14" t="str">
        <f t="shared" si="2515"/>
        <v>Andheri</v>
      </c>
      <c r="V1256" s="14" t="str">
        <f t="shared" si="4"/>
        <v>Popcorn</v>
      </c>
      <c r="W1256" s="14">
        <f t="shared" si="5"/>
        <v>2</v>
      </c>
      <c r="X1256" s="14" t="str">
        <f t="shared" si="6"/>
        <v>Not Assigned</v>
      </c>
      <c r="Y1256" s="15">
        <f t="shared" si="7"/>
        <v>45114</v>
      </c>
      <c r="Z1256" s="14" t="str">
        <f t="shared" si="8"/>
        <v>Online Payment</v>
      </c>
      <c r="AA1256" s="14" t="str">
        <f t="shared" si="9"/>
        <v>Cancelled</v>
      </c>
      <c r="AB1256" s="14" t="str">
        <f t="shared" ref="AB1256:AC1256" si="2516">trim(Q1256)</f>
        <v>Out of Stock</v>
      </c>
      <c r="AC1256" s="14" t="str">
        <f t="shared" si="2516"/>
        <v/>
      </c>
      <c r="AD1256" s="8"/>
    </row>
    <row r="1257">
      <c r="A1257" s="14" t="str">
        <f>IFERROR(__xludf.DUMMYFUNCTION("""COMPUTED_VALUE"""),"//ord_61235//Pallavi Ghosh//Bandra//Potato+2*Not Assigned/8/18/2023//UPI//Cancelled*High Delivery Fees")</f>
        <v>//ord_61235//Pallavi Ghosh//Bandra//Potato+2*Not Assigned/8/18/2023//UPI//Cancelled*High Delivery Fees</v>
      </c>
      <c r="B1257" s="14" t="str">
        <f>IFERROR(__xludf.DUMMYFUNCTION("split(A1257,""//"")"),"ord_61235")</f>
        <v>ord_61235</v>
      </c>
      <c r="C1257" s="14" t="str">
        <f>IFERROR(__xludf.DUMMYFUNCTION("""COMPUTED_VALUE"""),"Pallavi Ghosh")</f>
        <v>Pallavi Ghosh</v>
      </c>
      <c r="D1257" s="14" t="str">
        <f>IFERROR(__xludf.DUMMYFUNCTION("""COMPUTED_VALUE"""),"Bandra")</f>
        <v>Bandra</v>
      </c>
      <c r="E1257" s="14" t="str">
        <f>IFERROR(__xludf.DUMMYFUNCTION("""COMPUTED_VALUE"""),"Potato+2*Not Assigned")</f>
        <v>Potato+2*Not Assigned</v>
      </c>
      <c r="F1257" s="14">
        <f>IFERROR(__xludf.DUMMYFUNCTION("""COMPUTED_VALUE"""),8.0)</f>
        <v>8</v>
      </c>
      <c r="G1257" s="14">
        <f>IFERROR(__xludf.DUMMYFUNCTION("""COMPUTED_VALUE"""),18.0)</f>
        <v>18</v>
      </c>
      <c r="H1257" s="14">
        <f>IFERROR(__xludf.DUMMYFUNCTION("""COMPUTED_VALUE"""),2023.0)</f>
        <v>2023</v>
      </c>
      <c r="I1257" s="14" t="str">
        <f>IFERROR(__xludf.DUMMYFUNCTION("""COMPUTED_VALUE"""),"UPI")</f>
        <v>UPI</v>
      </c>
      <c r="J1257" s="14" t="str">
        <f>IFERROR(__xludf.DUMMYFUNCTION("""COMPUTED_VALUE"""),"Cancelled*High Delivery Fees")</f>
        <v>Cancelled*High Delivery Fees</v>
      </c>
      <c r="K1257" s="14" t="str">
        <f>IFERROR(__xludf.DUMMYFUNCTION("split(E1257,""+"")"),"Potato")</f>
        <v>Potato</v>
      </c>
      <c r="L1257" s="14" t="str">
        <f>IFERROR(__xludf.DUMMYFUNCTION("""COMPUTED_VALUE"""),"2*Not Assigned")</f>
        <v>2*Not Assigned</v>
      </c>
      <c r="M1257" s="14">
        <f>IFERROR(__xludf.DUMMYFUNCTION("SPLIT(L1257,""*"")"),2.0)</f>
        <v>2</v>
      </c>
      <c r="N1257" s="14" t="str">
        <f>IFERROR(__xludf.DUMMYFUNCTION("""COMPUTED_VALUE"""),"Not Assigned")</f>
        <v>Not Assigned</v>
      </c>
      <c r="O1257" s="14" t="str">
        <f>IFERROR(__xludf.DUMMYFUNCTION("split(J1257,""*"")"),"Cancelled")</f>
        <v>Cancelled</v>
      </c>
      <c r="P1257" s="14" t="str">
        <f>IFERROR(__xludf.DUMMYFUNCTION("""COMPUTED_VALUE"""),"High Delivery Fees")</f>
        <v>High Delivery Fees</v>
      </c>
      <c r="Q1257" s="14" t="str">
        <f>IFERROR(__xludf.DUMMYFUNCTION("split(P1257,"":"")"),"High Delivery Fees")</f>
        <v>High Delivery Fees</v>
      </c>
      <c r="R1257" s="14"/>
      <c r="S1257" s="14" t="str">
        <f t="shared" ref="S1257:U1257" si="2517">trim(B1257)</f>
        <v>ord_61235</v>
      </c>
      <c r="T1257" s="14" t="str">
        <f t="shared" si="2517"/>
        <v>Pallavi Ghosh</v>
      </c>
      <c r="U1257" s="14" t="str">
        <f t="shared" si="2517"/>
        <v>Bandra</v>
      </c>
      <c r="V1257" s="14" t="str">
        <f t="shared" si="4"/>
        <v>Potato</v>
      </c>
      <c r="W1257" s="14">
        <f t="shared" si="5"/>
        <v>2</v>
      </c>
      <c r="X1257" s="14" t="str">
        <f t="shared" si="6"/>
        <v>Not Assigned</v>
      </c>
      <c r="Y1257" s="15">
        <f t="shared" si="7"/>
        <v>45156</v>
      </c>
      <c r="Z1257" s="14" t="str">
        <f t="shared" si="8"/>
        <v>UPI</v>
      </c>
      <c r="AA1257" s="14" t="str">
        <f t="shared" si="9"/>
        <v>Cancelled</v>
      </c>
      <c r="AB1257" s="14" t="str">
        <f t="shared" ref="AB1257:AC1257" si="2518">trim(Q1257)</f>
        <v>High Delivery Fees</v>
      </c>
      <c r="AC1257" s="14" t="str">
        <f t="shared" si="2518"/>
        <v/>
      </c>
      <c r="AD1257" s="8"/>
    </row>
    <row r="1258">
      <c r="A1258" s="14" t="str">
        <f>IFERROR(__xludf.DUMMYFUNCTION("""COMPUTED_VALUE"""),"//ord_61236//Mohit Malhotra//Lower Parel//Chocolate Mousse+3*Kiran Mehta/10/23/2023//COD//Delivered*Satisfied with the Delivery: Timely and quality")</f>
        <v>//ord_61236//Mohit Malhotra//Lower Parel//Chocolate Mousse+3*Kiran Mehta/10/23/2023//COD//Delivered*Satisfied with the Delivery: Timely and quality</v>
      </c>
      <c r="B1258" s="14" t="str">
        <f>IFERROR(__xludf.DUMMYFUNCTION("split(A1258,""//"")"),"ord_61236")</f>
        <v>ord_61236</v>
      </c>
      <c r="C1258" s="14" t="str">
        <f>IFERROR(__xludf.DUMMYFUNCTION("""COMPUTED_VALUE"""),"Mohit Malhotra")</f>
        <v>Mohit Malhotra</v>
      </c>
      <c r="D1258" s="14" t="str">
        <f>IFERROR(__xludf.DUMMYFUNCTION("""COMPUTED_VALUE"""),"Lower Parel")</f>
        <v>Lower Parel</v>
      </c>
      <c r="E1258" s="14" t="str">
        <f>IFERROR(__xludf.DUMMYFUNCTION("""COMPUTED_VALUE"""),"Chocolate Mousse+3*Kiran Mehta")</f>
        <v>Chocolate Mousse+3*Kiran Mehta</v>
      </c>
      <c r="F1258" s="14">
        <f>IFERROR(__xludf.DUMMYFUNCTION("""COMPUTED_VALUE"""),10.0)</f>
        <v>10</v>
      </c>
      <c r="G1258" s="14">
        <f>IFERROR(__xludf.DUMMYFUNCTION("""COMPUTED_VALUE"""),23.0)</f>
        <v>23</v>
      </c>
      <c r="H1258" s="14">
        <f>IFERROR(__xludf.DUMMYFUNCTION("""COMPUTED_VALUE"""),2023.0)</f>
        <v>2023</v>
      </c>
      <c r="I1258" s="14" t="str">
        <f>IFERROR(__xludf.DUMMYFUNCTION("""COMPUTED_VALUE"""),"COD")</f>
        <v>COD</v>
      </c>
      <c r="J1258" s="14" t="str">
        <f>IFERROR(__xludf.DUMMYFUNCTION("""COMPUTED_VALUE"""),"Delivered*Satisfied with the Delivery: Timely and quality")</f>
        <v>Delivered*Satisfied with the Delivery: Timely and quality</v>
      </c>
      <c r="K1258" s="14" t="str">
        <f>IFERROR(__xludf.DUMMYFUNCTION("split(E1258,""+"")"),"Chocolate Mousse")</f>
        <v>Chocolate Mousse</v>
      </c>
      <c r="L1258" s="14" t="str">
        <f>IFERROR(__xludf.DUMMYFUNCTION("""COMPUTED_VALUE"""),"3*Kiran Mehta")</f>
        <v>3*Kiran Mehta</v>
      </c>
      <c r="M1258" s="14">
        <f>IFERROR(__xludf.DUMMYFUNCTION("SPLIT(L1258,""*"")"),3.0)</f>
        <v>3</v>
      </c>
      <c r="N1258" s="14" t="str">
        <f>IFERROR(__xludf.DUMMYFUNCTION("""COMPUTED_VALUE"""),"Kiran Mehta")</f>
        <v>Kiran Mehta</v>
      </c>
      <c r="O1258" s="14" t="str">
        <f>IFERROR(__xludf.DUMMYFUNCTION("split(J1258,""*"")"),"Delivered")</f>
        <v>Delivered</v>
      </c>
      <c r="P1258" s="14" t="str">
        <f>IFERROR(__xludf.DUMMYFUNCTION("""COMPUTED_VALUE"""),"Satisfied with the Delivery: Timely and quality")</f>
        <v>Satisfied with the Delivery: Timely and quality</v>
      </c>
      <c r="Q1258" s="14" t="str">
        <f>IFERROR(__xludf.DUMMYFUNCTION("split(P1258,"":"")"),"Satisfied with the Delivery")</f>
        <v>Satisfied with the Delivery</v>
      </c>
      <c r="R1258" s="14" t="str">
        <f>IFERROR(__xludf.DUMMYFUNCTION("""COMPUTED_VALUE""")," Timely and quality")</f>
        <v> Timely and quality</v>
      </c>
      <c r="S1258" s="14" t="str">
        <f t="shared" ref="S1258:U1258" si="2519">trim(B1258)</f>
        <v>ord_61236</v>
      </c>
      <c r="T1258" s="14" t="str">
        <f t="shared" si="2519"/>
        <v>Mohit Malhotra</v>
      </c>
      <c r="U1258" s="14" t="str">
        <f t="shared" si="2519"/>
        <v>Lower Parel</v>
      </c>
      <c r="V1258" s="14" t="str">
        <f t="shared" si="4"/>
        <v>Chocolate Mousse</v>
      </c>
      <c r="W1258" s="14">
        <f t="shared" si="5"/>
        <v>3</v>
      </c>
      <c r="X1258" s="14" t="str">
        <f t="shared" si="6"/>
        <v>Kiran Mehta</v>
      </c>
      <c r="Y1258" s="15">
        <f t="shared" si="7"/>
        <v>45222</v>
      </c>
      <c r="Z1258" s="14" t="str">
        <f t="shared" si="8"/>
        <v>COD</v>
      </c>
      <c r="AA1258" s="14" t="str">
        <f t="shared" si="9"/>
        <v>Delivered</v>
      </c>
      <c r="AB1258" s="14" t="str">
        <f t="shared" ref="AB1258:AC1258" si="2520">trim(Q1258)</f>
        <v>Satisfied with the Delivery</v>
      </c>
      <c r="AC1258" s="14" t="str">
        <f t="shared" si="2520"/>
        <v>Timely and quality</v>
      </c>
      <c r="AD1258" s="8"/>
    </row>
    <row r="1259">
      <c r="A1259" s="14" t="str">
        <f>IFERROR(__xludf.DUMMYFUNCTION("""COMPUTED_VALUE"""),"//ord_61237//Aditi Iyer//Dadar//Juice+5*Not Assigned/3/29/2023//UPI//Cancelled*Payment Issues")</f>
        <v>//ord_61237//Aditi Iyer//Dadar//Juice+5*Not Assigned/3/29/2023//UPI//Cancelled*Payment Issues</v>
      </c>
      <c r="B1259" s="14" t="str">
        <f>IFERROR(__xludf.DUMMYFUNCTION("split(A1259,""//"")"),"ord_61237")</f>
        <v>ord_61237</v>
      </c>
      <c r="C1259" s="14" t="str">
        <f>IFERROR(__xludf.DUMMYFUNCTION("""COMPUTED_VALUE"""),"Aditi Iyer")</f>
        <v>Aditi Iyer</v>
      </c>
      <c r="D1259" s="14" t="str">
        <f>IFERROR(__xludf.DUMMYFUNCTION("""COMPUTED_VALUE"""),"Dadar")</f>
        <v>Dadar</v>
      </c>
      <c r="E1259" s="14" t="str">
        <f>IFERROR(__xludf.DUMMYFUNCTION("""COMPUTED_VALUE"""),"Juice+5*Not Assigned")</f>
        <v>Juice+5*Not Assigned</v>
      </c>
      <c r="F1259" s="14">
        <f>IFERROR(__xludf.DUMMYFUNCTION("""COMPUTED_VALUE"""),3.0)</f>
        <v>3</v>
      </c>
      <c r="G1259" s="14">
        <f>IFERROR(__xludf.DUMMYFUNCTION("""COMPUTED_VALUE"""),29.0)</f>
        <v>29</v>
      </c>
      <c r="H1259" s="14">
        <f>IFERROR(__xludf.DUMMYFUNCTION("""COMPUTED_VALUE"""),2023.0)</f>
        <v>2023</v>
      </c>
      <c r="I1259" s="14" t="str">
        <f>IFERROR(__xludf.DUMMYFUNCTION("""COMPUTED_VALUE"""),"UPI")</f>
        <v>UPI</v>
      </c>
      <c r="J1259" s="14" t="str">
        <f>IFERROR(__xludf.DUMMYFUNCTION("""COMPUTED_VALUE"""),"Cancelled*Payment Issues")</f>
        <v>Cancelled*Payment Issues</v>
      </c>
      <c r="K1259" s="14" t="str">
        <f>IFERROR(__xludf.DUMMYFUNCTION("split(E1259,""+"")"),"Juice")</f>
        <v>Juice</v>
      </c>
      <c r="L1259" s="14" t="str">
        <f>IFERROR(__xludf.DUMMYFUNCTION("""COMPUTED_VALUE"""),"5*Not Assigned")</f>
        <v>5*Not Assigned</v>
      </c>
      <c r="M1259" s="14">
        <f>IFERROR(__xludf.DUMMYFUNCTION("SPLIT(L1259,""*"")"),5.0)</f>
        <v>5</v>
      </c>
      <c r="N1259" s="14" t="str">
        <f>IFERROR(__xludf.DUMMYFUNCTION("""COMPUTED_VALUE"""),"Not Assigned")</f>
        <v>Not Assigned</v>
      </c>
      <c r="O1259" s="14" t="str">
        <f>IFERROR(__xludf.DUMMYFUNCTION("split(J1259,""*"")"),"Cancelled")</f>
        <v>Cancelled</v>
      </c>
      <c r="P1259" s="14" t="str">
        <f>IFERROR(__xludf.DUMMYFUNCTION("""COMPUTED_VALUE"""),"Payment Issues")</f>
        <v>Payment Issues</v>
      </c>
      <c r="Q1259" s="14" t="str">
        <f>IFERROR(__xludf.DUMMYFUNCTION("split(P1259,"":"")"),"Payment Issues")</f>
        <v>Payment Issues</v>
      </c>
      <c r="R1259" s="14"/>
      <c r="S1259" s="14" t="str">
        <f t="shared" ref="S1259:U1259" si="2521">trim(B1259)</f>
        <v>ord_61237</v>
      </c>
      <c r="T1259" s="14" t="str">
        <f t="shared" si="2521"/>
        <v>Aditi Iyer</v>
      </c>
      <c r="U1259" s="14" t="str">
        <f t="shared" si="2521"/>
        <v>Dadar</v>
      </c>
      <c r="V1259" s="14" t="str">
        <f t="shared" si="4"/>
        <v>Juice</v>
      </c>
      <c r="W1259" s="14">
        <f t="shared" si="5"/>
        <v>5</v>
      </c>
      <c r="X1259" s="14" t="str">
        <f t="shared" si="6"/>
        <v>Not Assigned</v>
      </c>
      <c r="Y1259" s="15">
        <f t="shared" si="7"/>
        <v>45014</v>
      </c>
      <c r="Z1259" s="14" t="str">
        <f t="shared" si="8"/>
        <v>UPI</v>
      </c>
      <c r="AA1259" s="14" t="str">
        <f t="shared" si="9"/>
        <v>Cancelled</v>
      </c>
      <c r="AB1259" s="14" t="str">
        <f t="shared" ref="AB1259:AC1259" si="2522">trim(Q1259)</f>
        <v>Payment Issues</v>
      </c>
      <c r="AC1259" s="14" t="str">
        <f t="shared" si="2522"/>
        <v/>
      </c>
      <c r="AD1259" s="8"/>
    </row>
    <row r="1260">
      <c r="A1260" s="14" t="str">
        <f>IFERROR(__xludf.DUMMYFUNCTION("""COMPUTED_VALUE"""),"//ord_61238//Omkar Mishra//Powai//Rasmalai+5*Sandeep Kumar/2/25/2023//UPI//Delivered*Customer Service: Seamless and easy")</f>
        <v>//ord_61238//Omkar Mishra//Powai//Rasmalai+5*Sandeep Kumar/2/25/2023//UPI//Delivered*Customer Service: Seamless and easy</v>
      </c>
      <c r="B1260" s="14" t="str">
        <f>IFERROR(__xludf.DUMMYFUNCTION("split(A1260,""//"")"),"ord_61238")</f>
        <v>ord_61238</v>
      </c>
      <c r="C1260" s="14" t="str">
        <f>IFERROR(__xludf.DUMMYFUNCTION("""COMPUTED_VALUE"""),"Omkar Mishra")</f>
        <v>Omkar Mishra</v>
      </c>
      <c r="D1260" s="14" t="str">
        <f>IFERROR(__xludf.DUMMYFUNCTION("""COMPUTED_VALUE"""),"Powai")</f>
        <v>Powai</v>
      </c>
      <c r="E1260" s="14" t="str">
        <f>IFERROR(__xludf.DUMMYFUNCTION("""COMPUTED_VALUE"""),"Rasmalai+5*Sandeep Kumar")</f>
        <v>Rasmalai+5*Sandeep Kumar</v>
      </c>
      <c r="F1260" s="14">
        <f>IFERROR(__xludf.DUMMYFUNCTION("""COMPUTED_VALUE"""),2.0)</f>
        <v>2</v>
      </c>
      <c r="G1260" s="14">
        <f>IFERROR(__xludf.DUMMYFUNCTION("""COMPUTED_VALUE"""),25.0)</f>
        <v>25</v>
      </c>
      <c r="H1260" s="14">
        <f>IFERROR(__xludf.DUMMYFUNCTION("""COMPUTED_VALUE"""),2023.0)</f>
        <v>2023</v>
      </c>
      <c r="I1260" s="14" t="str">
        <f>IFERROR(__xludf.DUMMYFUNCTION("""COMPUTED_VALUE"""),"UPI")</f>
        <v>UPI</v>
      </c>
      <c r="J1260" s="14" t="str">
        <f>IFERROR(__xludf.DUMMYFUNCTION("""COMPUTED_VALUE"""),"Delivered*Customer Service: Seamless and easy")</f>
        <v>Delivered*Customer Service: Seamless and easy</v>
      </c>
      <c r="K1260" s="14" t="str">
        <f>IFERROR(__xludf.DUMMYFUNCTION("split(E1260,""+"")"),"Rasmalai")</f>
        <v>Rasmalai</v>
      </c>
      <c r="L1260" s="14" t="str">
        <f>IFERROR(__xludf.DUMMYFUNCTION("""COMPUTED_VALUE"""),"5*Sandeep Kumar")</f>
        <v>5*Sandeep Kumar</v>
      </c>
      <c r="M1260" s="14">
        <f>IFERROR(__xludf.DUMMYFUNCTION("SPLIT(L1260,""*"")"),5.0)</f>
        <v>5</v>
      </c>
      <c r="N1260" s="14" t="str">
        <f>IFERROR(__xludf.DUMMYFUNCTION("""COMPUTED_VALUE"""),"Sandeep Kumar")</f>
        <v>Sandeep Kumar</v>
      </c>
      <c r="O1260" s="14" t="str">
        <f>IFERROR(__xludf.DUMMYFUNCTION("split(J1260,""*"")"),"Delivered")</f>
        <v>Delivered</v>
      </c>
      <c r="P1260" s="14" t="str">
        <f>IFERROR(__xludf.DUMMYFUNCTION("""COMPUTED_VALUE"""),"Customer Service: Seamless and easy")</f>
        <v>Customer Service: Seamless and easy</v>
      </c>
      <c r="Q1260" s="14" t="str">
        <f>IFERROR(__xludf.DUMMYFUNCTION("split(P1260,"":"")"),"Customer Service")</f>
        <v>Customer Service</v>
      </c>
      <c r="R1260" s="14" t="str">
        <f>IFERROR(__xludf.DUMMYFUNCTION("""COMPUTED_VALUE""")," Seamless and easy")</f>
        <v> Seamless and easy</v>
      </c>
      <c r="S1260" s="14" t="str">
        <f t="shared" ref="S1260:U1260" si="2523">trim(B1260)</f>
        <v>ord_61238</v>
      </c>
      <c r="T1260" s="14" t="str">
        <f t="shared" si="2523"/>
        <v>Omkar Mishra</v>
      </c>
      <c r="U1260" s="14" t="str">
        <f t="shared" si="2523"/>
        <v>Powai</v>
      </c>
      <c r="V1260" s="14" t="str">
        <f t="shared" si="4"/>
        <v>Rasmalai</v>
      </c>
      <c r="W1260" s="14">
        <f t="shared" si="5"/>
        <v>5</v>
      </c>
      <c r="X1260" s="14" t="str">
        <f t="shared" si="6"/>
        <v>Sandeep Kumar</v>
      </c>
      <c r="Y1260" s="15">
        <f t="shared" si="7"/>
        <v>44982</v>
      </c>
      <c r="Z1260" s="14" t="str">
        <f t="shared" si="8"/>
        <v>UPI</v>
      </c>
      <c r="AA1260" s="14" t="str">
        <f t="shared" si="9"/>
        <v>Delivered</v>
      </c>
      <c r="AB1260" s="14" t="str">
        <f t="shared" ref="AB1260:AC1260" si="2524">trim(Q1260)</f>
        <v>Customer Service</v>
      </c>
      <c r="AC1260" s="14" t="str">
        <f t="shared" si="2524"/>
        <v>Seamless and easy</v>
      </c>
      <c r="AD1260" s="8"/>
    </row>
    <row r="1261">
      <c r="A1261" s="14" t="str">
        <f>IFERROR(__xludf.DUMMYFUNCTION("""COMPUTED_VALUE"""),"//ord_61239//Dev Chauhan//Bandra//Chicken Puff+1*Priya Joshi/1/4/2023//Credit Card//Delivered*Delivery Experience: Quick and professional")</f>
        <v>//ord_61239//Dev Chauhan//Bandra//Chicken Puff+1*Priya Joshi/1/4/2023//Credit Card//Delivered*Delivery Experience: Quick and professional</v>
      </c>
      <c r="B1261" s="14" t="str">
        <f>IFERROR(__xludf.DUMMYFUNCTION("split(A1261,""//"")"),"ord_61239")</f>
        <v>ord_61239</v>
      </c>
      <c r="C1261" s="14" t="str">
        <f>IFERROR(__xludf.DUMMYFUNCTION("""COMPUTED_VALUE"""),"Dev Chauhan")</f>
        <v>Dev Chauhan</v>
      </c>
      <c r="D1261" s="14" t="str">
        <f>IFERROR(__xludf.DUMMYFUNCTION("""COMPUTED_VALUE"""),"Bandra")</f>
        <v>Bandra</v>
      </c>
      <c r="E1261" s="14" t="str">
        <f>IFERROR(__xludf.DUMMYFUNCTION("""COMPUTED_VALUE"""),"Chicken Puff+1*Priya Joshi")</f>
        <v>Chicken Puff+1*Priya Joshi</v>
      </c>
      <c r="F1261" s="14">
        <f>IFERROR(__xludf.DUMMYFUNCTION("""COMPUTED_VALUE"""),1.0)</f>
        <v>1</v>
      </c>
      <c r="G1261" s="14">
        <f>IFERROR(__xludf.DUMMYFUNCTION("""COMPUTED_VALUE"""),4.0)</f>
        <v>4</v>
      </c>
      <c r="H1261" s="14">
        <f>IFERROR(__xludf.DUMMYFUNCTION("""COMPUTED_VALUE"""),2023.0)</f>
        <v>2023</v>
      </c>
      <c r="I1261" s="14" t="str">
        <f>IFERROR(__xludf.DUMMYFUNCTION("""COMPUTED_VALUE"""),"Credit Card")</f>
        <v>Credit Card</v>
      </c>
      <c r="J1261" s="14" t="str">
        <f>IFERROR(__xludf.DUMMYFUNCTION("""COMPUTED_VALUE"""),"Delivered*Delivery Experience: Quick and professional")</f>
        <v>Delivered*Delivery Experience: Quick and professional</v>
      </c>
      <c r="K1261" s="14" t="str">
        <f>IFERROR(__xludf.DUMMYFUNCTION("split(E1261,""+"")"),"Chicken Puff")</f>
        <v>Chicken Puff</v>
      </c>
      <c r="L1261" s="14" t="str">
        <f>IFERROR(__xludf.DUMMYFUNCTION("""COMPUTED_VALUE"""),"1*Priya Joshi")</f>
        <v>1*Priya Joshi</v>
      </c>
      <c r="M1261" s="14">
        <f>IFERROR(__xludf.DUMMYFUNCTION("SPLIT(L1261,""*"")"),1.0)</f>
        <v>1</v>
      </c>
      <c r="N1261" s="14" t="str">
        <f>IFERROR(__xludf.DUMMYFUNCTION("""COMPUTED_VALUE"""),"Priya Joshi")</f>
        <v>Priya Joshi</v>
      </c>
      <c r="O1261" s="14" t="str">
        <f>IFERROR(__xludf.DUMMYFUNCTION("split(J1261,""*"")"),"Delivered")</f>
        <v>Delivered</v>
      </c>
      <c r="P1261" s="14" t="str">
        <f>IFERROR(__xludf.DUMMYFUNCTION("""COMPUTED_VALUE"""),"Delivery Experience: Quick and professional")</f>
        <v>Delivery Experience: Quick and professional</v>
      </c>
      <c r="Q1261" s="14" t="str">
        <f>IFERROR(__xludf.DUMMYFUNCTION("split(P1261,"":"")"),"Delivery Experience")</f>
        <v>Delivery Experience</v>
      </c>
      <c r="R1261" s="14" t="str">
        <f>IFERROR(__xludf.DUMMYFUNCTION("""COMPUTED_VALUE""")," Quick and professional")</f>
        <v> Quick and professional</v>
      </c>
      <c r="S1261" s="14" t="str">
        <f t="shared" ref="S1261:U1261" si="2525">trim(B1261)</f>
        <v>ord_61239</v>
      </c>
      <c r="T1261" s="14" t="str">
        <f t="shared" si="2525"/>
        <v>Dev Chauhan</v>
      </c>
      <c r="U1261" s="14" t="str">
        <f t="shared" si="2525"/>
        <v>Bandra</v>
      </c>
      <c r="V1261" s="14" t="str">
        <f t="shared" si="4"/>
        <v>Chicken Puff</v>
      </c>
      <c r="W1261" s="14">
        <f t="shared" si="5"/>
        <v>1</v>
      </c>
      <c r="X1261" s="14" t="str">
        <f t="shared" si="6"/>
        <v>Priya Joshi</v>
      </c>
      <c r="Y1261" s="15">
        <f t="shared" si="7"/>
        <v>44930</v>
      </c>
      <c r="Z1261" s="14" t="str">
        <f t="shared" si="8"/>
        <v>Credit Card</v>
      </c>
      <c r="AA1261" s="14" t="str">
        <f t="shared" si="9"/>
        <v>Delivered</v>
      </c>
      <c r="AB1261" s="14" t="str">
        <f t="shared" ref="AB1261:AC1261" si="2526">trim(Q1261)</f>
        <v>Delivery Experience</v>
      </c>
      <c r="AC1261" s="14" t="str">
        <f t="shared" si="2526"/>
        <v>Quick and professional</v>
      </c>
      <c r="AD1261" s="8"/>
    </row>
    <row r="1262">
      <c r="A1262" s="14" t="str">
        <f>IFERROR(__xludf.DUMMYFUNCTION("""COMPUTED_VALUE"""),"//ord_61240//Arvind Kulkarni//Juhu//Veg Puff+4*Nikhil Deshmukh/5/11/2023//Credit Card//Cancelled*Delayed Delivery:Bad Weather Conditions ")</f>
        <v>//ord_61240//Arvind Kulkarni//Juhu//Veg Puff+4*Nikhil Deshmukh/5/11/2023//Credit Card//Cancelled*Delayed Delivery:Bad Weather Conditions </v>
      </c>
      <c r="B1262" s="14" t="str">
        <f>IFERROR(__xludf.DUMMYFUNCTION("split(A1262,""//"")"),"ord_61240")</f>
        <v>ord_61240</v>
      </c>
      <c r="C1262" s="14" t="str">
        <f>IFERROR(__xludf.DUMMYFUNCTION("""COMPUTED_VALUE"""),"Arvind Kulkarni")</f>
        <v>Arvind Kulkarni</v>
      </c>
      <c r="D1262" s="14" t="str">
        <f>IFERROR(__xludf.DUMMYFUNCTION("""COMPUTED_VALUE"""),"Juhu")</f>
        <v>Juhu</v>
      </c>
      <c r="E1262" s="14" t="str">
        <f>IFERROR(__xludf.DUMMYFUNCTION("""COMPUTED_VALUE"""),"Veg Puff+4*Nikhil Deshmukh")</f>
        <v>Veg Puff+4*Nikhil Deshmukh</v>
      </c>
      <c r="F1262" s="14">
        <f>IFERROR(__xludf.DUMMYFUNCTION("""COMPUTED_VALUE"""),5.0)</f>
        <v>5</v>
      </c>
      <c r="G1262" s="14">
        <f>IFERROR(__xludf.DUMMYFUNCTION("""COMPUTED_VALUE"""),11.0)</f>
        <v>11</v>
      </c>
      <c r="H1262" s="14">
        <f>IFERROR(__xludf.DUMMYFUNCTION("""COMPUTED_VALUE"""),2023.0)</f>
        <v>2023</v>
      </c>
      <c r="I1262" s="14" t="str">
        <f>IFERROR(__xludf.DUMMYFUNCTION("""COMPUTED_VALUE"""),"Credit Card")</f>
        <v>Credit Card</v>
      </c>
      <c r="J1262" s="14" t="str">
        <f>IFERROR(__xludf.DUMMYFUNCTION("""COMPUTED_VALUE"""),"Cancelled*Delayed Delivery:Bad Weather Conditions ")</f>
        <v>Cancelled*Delayed Delivery:Bad Weather Conditions </v>
      </c>
      <c r="K1262" s="14" t="str">
        <f>IFERROR(__xludf.DUMMYFUNCTION("split(E1262,""+"")"),"Veg Puff")</f>
        <v>Veg Puff</v>
      </c>
      <c r="L1262" s="14" t="str">
        <f>IFERROR(__xludf.DUMMYFUNCTION("""COMPUTED_VALUE"""),"4*Nikhil Deshmukh")</f>
        <v>4*Nikhil Deshmukh</v>
      </c>
      <c r="M1262" s="14">
        <f>IFERROR(__xludf.DUMMYFUNCTION("SPLIT(L1262,""*"")"),4.0)</f>
        <v>4</v>
      </c>
      <c r="N1262" s="14" t="str">
        <f>IFERROR(__xludf.DUMMYFUNCTION("""COMPUTED_VALUE"""),"Nikhil Deshmukh")</f>
        <v>Nikhil Deshmukh</v>
      </c>
      <c r="O1262" s="14" t="str">
        <f>IFERROR(__xludf.DUMMYFUNCTION("split(J1262,""*"")"),"Cancelled")</f>
        <v>Cancelled</v>
      </c>
      <c r="P1262" s="14" t="str">
        <f>IFERROR(__xludf.DUMMYFUNCTION("""COMPUTED_VALUE"""),"Delayed Delivery:Bad Weather Conditions ")</f>
        <v>Delayed Delivery:Bad Weather Conditions </v>
      </c>
      <c r="Q1262" s="14" t="str">
        <f>IFERROR(__xludf.DUMMYFUNCTION("split(P1262,"":"")"),"Delayed Delivery")</f>
        <v>Delayed Delivery</v>
      </c>
      <c r="R1262" s="14" t="str">
        <f>IFERROR(__xludf.DUMMYFUNCTION("""COMPUTED_VALUE"""),"Bad Weather Conditions ")</f>
        <v>Bad Weather Conditions </v>
      </c>
      <c r="S1262" s="14" t="str">
        <f t="shared" ref="S1262:U1262" si="2527">trim(B1262)</f>
        <v>ord_61240</v>
      </c>
      <c r="T1262" s="14" t="str">
        <f t="shared" si="2527"/>
        <v>Arvind Kulkarni</v>
      </c>
      <c r="U1262" s="14" t="str">
        <f t="shared" si="2527"/>
        <v>Juhu</v>
      </c>
      <c r="V1262" s="14" t="str">
        <f t="shared" si="4"/>
        <v>Veg Puff</v>
      </c>
      <c r="W1262" s="14">
        <f t="shared" si="5"/>
        <v>4</v>
      </c>
      <c r="X1262" s="14" t="str">
        <f t="shared" si="6"/>
        <v>Nikhil Deshmukh</v>
      </c>
      <c r="Y1262" s="15">
        <f t="shared" si="7"/>
        <v>45057</v>
      </c>
      <c r="Z1262" s="14" t="str">
        <f t="shared" si="8"/>
        <v>Credit Card</v>
      </c>
      <c r="AA1262" s="14" t="str">
        <f t="shared" si="9"/>
        <v>Cancelled</v>
      </c>
      <c r="AB1262" s="14" t="str">
        <f t="shared" ref="AB1262:AC1262" si="2528">trim(Q1262)</f>
        <v>Delayed Delivery</v>
      </c>
      <c r="AC1262" s="14" t="str">
        <f t="shared" si="2528"/>
        <v>Bad Weather Conditions</v>
      </c>
      <c r="AD1262" s="8"/>
    </row>
    <row r="1263">
      <c r="A1263" s="14" t="str">
        <f>IFERROR(__xludf.DUMMYFUNCTION("""COMPUTED_VALUE"""),"//ord_61241//Ishaan Chaturvedi//Bandra//Orange+1*Ramesh S/12/19/2023//Credit Card//Cancelled*Delayed Delivery:Heavy Traffic")</f>
        <v>//ord_61241//Ishaan Chaturvedi//Bandra//Orange+1*Ramesh S/12/19/2023//Credit Card//Cancelled*Delayed Delivery:Heavy Traffic</v>
      </c>
      <c r="B1263" s="14" t="str">
        <f>IFERROR(__xludf.DUMMYFUNCTION("split(A1263,""//"")"),"ord_61241")</f>
        <v>ord_61241</v>
      </c>
      <c r="C1263" s="14" t="str">
        <f>IFERROR(__xludf.DUMMYFUNCTION("""COMPUTED_VALUE"""),"Ishaan Chaturvedi")</f>
        <v>Ishaan Chaturvedi</v>
      </c>
      <c r="D1263" s="14" t="str">
        <f>IFERROR(__xludf.DUMMYFUNCTION("""COMPUTED_VALUE"""),"Bandra")</f>
        <v>Bandra</v>
      </c>
      <c r="E1263" s="14" t="str">
        <f>IFERROR(__xludf.DUMMYFUNCTION("""COMPUTED_VALUE"""),"Orange+1*Ramesh S")</f>
        <v>Orange+1*Ramesh S</v>
      </c>
      <c r="F1263" s="14">
        <f>IFERROR(__xludf.DUMMYFUNCTION("""COMPUTED_VALUE"""),12.0)</f>
        <v>12</v>
      </c>
      <c r="G1263" s="14">
        <f>IFERROR(__xludf.DUMMYFUNCTION("""COMPUTED_VALUE"""),19.0)</f>
        <v>19</v>
      </c>
      <c r="H1263" s="14">
        <f>IFERROR(__xludf.DUMMYFUNCTION("""COMPUTED_VALUE"""),2023.0)</f>
        <v>2023</v>
      </c>
      <c r="I1263" s="14" t="str">
        <f>IFERROR(__xludf.DUMMYFUNCTION("""COMPUTED_VALUE"""),"Credit Card")</f>
        <v>Credit Card</v>
      </c>
      <c r="J1263" s="14" t="str">
        <f>IFERROR(__xludf.DUMMYFUNCTION("""COMPUTED_VALUE"""),"Cancelled*Delayed Delivery:Heavy Traffic")</f>
        <v>Cancelled*Delayed Delivery:Heavy Traffic</v>
      </c>
      <c r="K1263" s="14" t="str">
        <f>IFERROR(__xludf.DUMMYFUNCTION("split(E1263,""+"")"),"Orange")</f>
        <v>Orange</v>
      </c>
      <c r="L1263" s="14" t="str">
        <f>IFERROR(__xludf.DUMMYFUNCTION("""COMPUTED_VALUE"""),"1*Ramesh S")</f>
        <v>1*Ramesh S</v>
      </c>
      <c r="M1263" s="14">
        <f>IFERROR(__xludf.DUMMYFUNCTION("SPLIT(L1263,""*"")"),1.0)</f>
        <v>1</v>
      </c>
      <c r="N1263" s="14" t="str">
        <f>IFERROR(__xludf.DUMMYFUNCTION("""COMPUTED_VALUE"""),"Ramesh S")</f>
        <v>Ramesh S</v>
      </c>
      <c r="O1263" s="14" t="str">
        <f>IFERROR(__xludf.DUMMYFUNCTION("split(J1263,""*"")"),"Cancelled")</f>
        <v>Cancelled</v>
      </c>
      <c r="P1263" s="14" t="str">
        <f>IFERROR(__xludf.DUMMYFUNCTION("""COMPUTED_VALUE"""),"Delayed Delivery:Heavy Traffic")</f>
        <v>Delayed Delivery:Heavy Traffic</v>
      </c>
      <c r="Q1263" s="14" t="str">
        <f>IFERROR(__xludf.DUMMYFUNCTION("split(P1263,"":"")"),"Delayed Delivery")</f>
        <v>Delayed Delivery</v>
      </c>
      <c r="R1263" s="14" t="str">
        <f>IFERROR(__xludf.DUMMYFUNCTION("""COMPUTED_VALUE"""),"Heavy Traffic")</f>
        <v>Heavy Traffic</v>
      </c>
      <c r="S1263" s="14" t="str">
        <f t="shared" ref="S1263:U1263" si="2529">trim(B1263)</f>
        <v>ord_61241</v>
      </c>
      <c r="T1263" s="14" t="str">
        <f t="shared" si="2529"/>
        <v>Ishaan Chaturvedi</v>
      </c>
      <c r="U1263" s="14" t="str">
        <f t="shared" si="2529"/>
        <v>Bandra</v>
      </c>
      <c r="V1263" s="14" t="str">
        <f t="shared" si="4"/>
        <v>Orange</v>
      </c>
      <c r="W1263" s="14">
        <f t="shared" si="5"/>
        <v>1</v>
      </c>
      <c r="X1263" s="14" t="str">
        <f t="shared" si="6"/>
        <v>Ramesh S</v>
      </c>
      <c r="Y1263" s="15">
        <f t="shared" si="7"/>
        <v>45279</v>
      </c>
      <c r="Z1263" s="14" t="str">
        <f t="shared" si="8"/>
        <v>Credit Card</v>
      </c>
      <c r="AA1263" s="14" t="str">
        <f t="shared" si="9"/>
        <v>Cancelled</v>
      </c>
      <c r="AB1263" s="14" t="str">
        <f t="shared" ref="AB1263:AC1263" si="2530">trim(Q1263)</f>
        <v>Delayed Delivery</v>
      </c>
      <c r="AC1263" s="14" t="str">
        <f t="shared" si="2530"/>
        <v>Heavy Traffic</v>
      </c>
      <c r="AD1263" s="8"/>
    </row>
    <row r="1264">
      <c r="A1264" s="14" t="str">
        <f>IFERROR(__xludf.DUMMYFUNCTION("""COMPUTED_VALUE"""),"//ord_61242//Anaya Rao//Colaba//Veg Puff+3*Not Assigned/2/9/2023//UPI//Cancelled*High Delivery Fees")</f>
        <v>//ord_61242//Anaya Rao//Colaba//Veg Puff+3*Not Assigned/2/9/2023//UPI//Cancelled*High Delivery Fees</v>
      </c>
      <c r="B1264" s="14" t="str">
        <f>IFERROR(__xludf.DUMMYFUNCTION("split(A1264,""//"")"),"ord_61242")</f>
        <v>ord_61242</v>
      </c>
      <c r="C1264" s="14" t="str">
        <f>IFERROR(__xludf.DUMMYFUNCTION("""COMPUTED_VALUE"""),"Anaya Rao")</f>
        <v>Anaya Rao</v>
      </c>
      <c r="D1264" s="14" t="str">
        <f>IFERROR(__xludf.DUMMYFUNCTION("""COMPUTED_VALUE"""),"Colaba")</f>
        <v>Colaba</v>
      </c>
      <c r="E1264" s="14" t="str">
        <f>IFERROR(__xludf.DUMMYFUNCTION("""COMPUTED_VALUE"""),"Veg Puff+3*Not Assigned")</f>
        <v>Veg Puff+3*Not Assigned</v>
      </c>
      <c r="F1264" s="14">
        <f>IFERROR(__xludf.DUMMYFUNCTION("""COMPUTED_VALUE"""),2.0)</f>
        <v>2</v>
      </c>
      <c r="G1264" s="14">
        <f>IFERROR(__xludf.DUMMYFUNCTION("""COMPUTED_VALUE"""),9.0)</f>
        <v>9</v>
      </c>
      <c r="H1264" s="14">
        <f>IFERROR(__xludf.DUMMYFUNCTION("""COMPUTED_VALUE"""),2023.0)</f>
        <v>2023</v>
      </c>
      <c r="I1264" s="14" t="str">
        <f>IFERROR(__xludf.DUMMYFUNCTION("""COMPUTED_VALUE"""),"UPI")</f>
        <v>UPI</v>
      </c>
      <c r="J1264" s="14" t="str">
        <f>IFERROR(__xludf.DUMMYFUNCTION("""COMPUTED_VALUE"""),"Cancelled*High Delivery Fees")</f>
        <v>Cancelled*High Delivery Fees</v>
      </c>
      <c r="K1264" s="14" t="str">
        <f>IFERROR(__xludf.DUMMYFUNCTION("split(E1264,""+"")"),"Veg Puff")</f>
        <v>Veg Puff</v>
      </c>
      <c r="L1264" s="14" t="str">
        <f>IFERROR(__xludf.DUMMYFUNCTION("""COMPUTED_VALUE"""),"3*Not Assigned")</f>
        <v>3*Not Assigned</v>
      </c>
      <c r="M1264" s="14">
        <f>IFERROR(__xludf.DUMMYFUNCTION("SPLIT(L1264,""*"")"),3.0)</f>
        <v>3</v>
      </c>
      <c r="N1264" s="14" t="str">
        <f>IFERROR(__xludf.DUMMYFUNCTION("""COMPUTED_VALUE"""),"Not Assigned")</f>
        <v>Not Assigned</v>
      </c>
      <c r="O1264" s="14" t="str">
        <f>IFERROR(__xludf.DUMMYFUNCTION("split(J1264,""*"")"),"Cancelled")</f>
        <v>Cancelled</v>
      </c>
      <c r="P1264" s="14" t="str">
        <f>IFERROR(__xludf.DUMMYFUNCTION("""COMPUTED_VALUE"""),"High Delivery Fees")</f>
        <v>High Delivery Fees</v>
      </c>
      <c r="Q1264" s="14" t="str">
        <f>IFERROR(__xludf.DUMMYFUNCTION("split(P1264,"":"")"),"High Delivery Fees")</f>
        <v>High Delivery Fees</v>
      </c>
      <c r="R1264" s="14"/>
      <c r="S1264" s="14" t="str">
        <f t="shared" ref="S1264:U1264" si="2531">trim(B1264)</f>
        <v>ord_61242</v>
      </c>
      <c r="T1264" s="14" t="str">
        <f t="shared" si="2531"/>
        <v>Anaya Rao</v>
      </c>
      <c r="U1264" s="14" t="str">
        <f t="shared" si="2531"/>
        <v>Colaba</v>
      </c>
      <c r="V1264" s="14" t="str">
        <f t="shared" si="4"/>
        <v>Veg Puff</v>
      </c>
      <c r="W1264" s="14">
        <f t="shared" si="5"/>
        <v>3</v>
      </c>
      <c r="X1264" s="14" t="str">
        <f t="shared" si="6"/>
        <v>Not Assigned</v>
      </c>
      <c r="Y1264" s="15">
        <f t="shared" si="7"/>
        <v>44966</v>
      </c>
      <c r="Z1264" s="14" t="str">
        <f t="shared" si="8"/>
        <v>UPI</v>
      </c>
      <c r="AA1264" s="14" t="str">
        <f t="shared" si="9"/>
        <v>Cancelled</v>
      </c>
      <c r="AB1264" s="14" t="str">
        <f t="shared" ref="AB1264:AC1264" si="2532">trim(Q1264)</f>
        <v>High Delivery Fees</v>
      </c>
      <c r="AC1264" s="14" t="str">
        <f t="shared" si="2532"/>
        <v/>
      </c>
      <c r="AD1264" s="8"/>
    </row>
    <row r="1265">
      <c r="A1265" s="14" t="str">
        <f>IFERROR(__xludf.DUMMYFUNCTION("""COMPUTED_VALUE"""),"//ord_61243//Pranav Joshi//Andheri//Orange+2*Not Assigned/6/22/2023//UPI//Cancelled*Out of Stock")</f>
        <v>//ord_61243//Pranav Joshi//Andheri//Orange+2*Not Assigned/6/22/2023//UPI//Cancelled*Out of Stock</v>
      </c>
      <c r="B1265" s="14" t="str">
        <f>IFERROR(__xludf.DUMMYFUNCTION("split(A1265,""//"")"),"ord_61243")</f>
        <v>ord_61243</v>
      </c>
      <c r="C1265" s="14" t="str">
        <f>IFERROR(__xludf.DUMMYFUNCTION("""COMPUTED_VALUE"""),"Pranav Joshi")</f>
        <v>Pranav Joshi</v>
      </c>
      <c r="D1265" s="14" t="str">
        <f>IFERROR(__xludf.DUMMYFUNCTION("""COMPUTED_VALUE"""),"Andheri")</f>
        <v>Andheri</v>
      </c>
      <c r="E1265" s="14" t="str">
        <f>IFERROR(__xludf.DUMMYFUNCTION("""COMPUTED_VALUE"""),"Orange+2*Not Assigned")</f>
        <v>Orange+2*Not Assigned</v>
      </c>
      <c r="F1265" s="14">
        <f>IFERROR(__xludf.DUMMYFUNCTION("""COMPUTED_VALUE"""),6.0)</f>
        <v>6</v>
      </c>
      <c r="G1265" s="14">
        <f>IFERROR(__xludf.DUMMYFUNCTION("""COMPUTED_VALUE"""),22.0)</f>
        <v>22</v>
      </c>
      <c r="H1265" s="14">
        <f>IFERROR(__xludf.DUMMYFUNCTION("""COMPUTED_VALUE"""),2023.0)</f>
        <v>2023</v>
      </c>
      <c r="I1265" s="14" t="str">
        <f>IFERROR(__xludf.DUMMYFUNCTION("""COMPUTED_VALUE"""),"UPI")</f>
        <v>UPI</v>
      </c>
      <c r="J1265" s="14" t="str">
        <f>IFERROR(__xludf.DUMMYFUNCTION("""COMPUTED_VALUE"""),"Cancelled*Out of Stock")</f>
        <v>Cancelled*Out of Stock</v>
      </c>
      <c r="K1265" s="14" t="str">
        <f>IFERROR(__xludf.DUMMYFUNCTION("split(E1265,""+"")"),"Orange")</f>
        <v>Orange</v>
      </c>
      <c r="L1265" s="14" t="str">
        <f>IFERROR(__xludf.DUMMYFUNCTION("""COMPUTED_VALUE"""),"2*Not Assigned")</f>
        <v>2*Not Assigned</v>
      </c>
      <c r="M1265" s="14">
        <f>IFERROR(__xludf.DUMMYFUNCTION("SPLIT(L1265,""*"")"),2.0)</f>
        <v>2</v>
      </c>
      <c r="N1265" s="14" t="str">
        <f>IFERROR(__xludf.DUMMYFUNCTION("""COMPUTED_VALUE"""),"Not Assigned")</f>
        <v>Not Assigned</v>
      </c>
      <c r="O1265" s="14" t="str">
        <f>IFERROR(__xludf.DUMMYFUNCTION("split(J1265,""*"")"),"Cancelled")</f>
        <v>Cancelled</v>
      </c>
      <c r="P1265" s="14" t="str">
        <f>IFERROR(__xludf.DUMMYFUNCTION("""COMPUTED_VALUE"""),"Out of Stock")</f>
        <v>Out of Stock</v>
      </c>
      <c r="Q1265" s="14" t="str">
        <f>IFERROR(__xludf.DUMMYFUNCTION("split(P1265,"":"")"),"Out of Stock")</f>
        <v>Out of Stock</v>
      </c>
      <c r="R1265" s="14"/>
      <c r="S1265" s="14" t="str">
        <f t="shared" ref="S1265:U1265" si="2533">trim(B1265)</f>
        <v>ord_61243</v>
      </c>
      <c r="T1265" s="14" t="str">
        <f t="shared" si="2533"/>
        <v>Pranav Joshi</v>
      </c>
      <c r="U1265" s="14" t="str">
        <f t="shared" si="2533"/>
        <v>Andheri</v>
      </c>
      <c r="V1265" s="14" t="str">
        <f t="shared" si="4"/>
        <v>Orange</v>
      </c>
      <c r="W1265" s="14">
        <f t="shared" si="5"/>
        <v>2</v>
      </c>
      <c r="X1265" s="14" t="str">
        <f t="shared" si="6"/>
        <v>Not Assigned</v>
      </c>
      <c r="Y1265" s="15">
        <f t="shared" si="7"/>
        <v>45099</v>
      </c>
      <c r="Z1265" s="14" t="str">
        <f t="shared" si="8"/>
        <v>UPI</v>
      </c>
      <c r="AA1265" s="14" t="str">
        <f t="shared" si="9"/>
        <v>Cancelled</v>
      </c>
      <c r="AB1265" s="14" t="str">
        <f t="shared" ref="AB1265:AC1265" si="2534">trim(Q1265)</f>
        <v>Out of Stock</v>
      </c>
      <c r="AC1265" s="14" t="str">
        <f t="shared" si="2534"/>
        <v/>
      </c>
      <c r="AD1265" s="8"/>
    </row>
    <row r="1266">
      <c r="A1266" s="14" t="str">
        <f>IFERROR(__xludf.DUMMYFUNCTION("""COMPUTED_VALUE"""),"//ord_61244//Ishaan Chaturvedi//Bandra//Veg Puff+5*Nikhil Deshmukh/7/11/2023//Credit Card//Cancelled*Delayed Delivery:Bad Weather Conditions ")</f>
        <v>//ord_61244//Ishaan Chaturvedi//Bandra//Veg Puff+5*Nikhil Deshmukh/7/11/2023//Credit Card//Cancelled*Delayed Delivery:Bad Weather Conditions </v>
      </c>
      <c r="B1266" s="14" t="str">
        <f>IFERROR(__xludf.DUMMYFUNCTION("split(A1266,""//"")"),"ord_61244")</f>
        <v>ord_61244</v>
      </c>
      <c r="C1266" s="14" t="str">
        <f>IFERROR(__xludf.DUMMYFUNCTION("""COMPUTED_VALUE"""),"Ishaan Chaturvedi")</f>
        <v>Ishaan Chaturvedi</v>
      </c>
      <c r="D1266" s="14" t="str">
        <f>IFERROR(__xludf.DUMMYFUNCTION("""COMPUTED_VALUE"""),"Bandra")</f>
        <v>Bandra</v>
      </c>
      <c r="E1266" s="14" t="str">
        <f>IFERROR(__xludf.DUMMYFUNCTION("""COMPUTED_VALUE"""),"Veg Puff+5*Nikhil Deshmukh")</f>
        <v>Veg Puff+5*Nikhil Deshmukh</v>
      </c>
      <c r="F1266" s="14">
        <f>IFERROR(__xludf.DUMMYFUNCTION("""COMPUTED_VALUE"""),7.0)</f>
        <v>7</v>
      </c>
      <c r="G1266" s="14">
        <f>IFERROR(__xludf.DUMMYFUNCTION("""COMPUTED_VALUE"""),11.0)</f>
        <v>11</v>
      </c>
      <c r="H1266" s="14">
        <f>IFERROR(__xludf.DUMMYFUNCTION("""COMPUTED_VALUE"""),2023.0)</f>
        <v>2023</v>
      </c>
      <c r="I1266" s="14" t="str">
        <f>IFERROR(__xludf.DUMMYFUNCTION("""COMPUTED_VALUE"""),"Credit Card")</f>
        <v>Credit Card</v>
      </c>
      <c r="J1266" s="14" t="str">
        <f>IFERROR(__xludf.DUMMYFUNCTION("""COMPUTED_VALUE"""),"Cancelled*Delayed Delivery:Bad Weather Conditions ")</f>
        <v>Cancelled*Delayed Delivery:Bad Weather Conditions </v>
      </c>
      <c r="K1266" s="14" t="str">
        <f>IFERROR(__xludf.DUMMYFUNCTION("split(E1266,""+"")"),"Veg Puff")</f>
        <v>Veg Puff</v>
      </c>
      <c r="L1266" s="14" t="str">
        <f>IFERROR(__xludf.DUMMYFUNCTION("""COMPUTED_VALUE"""),"5*Nikhil Deshmukh")</f>
        <v>5*Nikhil Deshmukh</v>
      </c>
      <c r="M1266" s="14">
        <f>IFERROR(__xludf.DUMMYFUNCTION("SPLIT(L1266,""*"")"),5.0)</f>
        <v>5</v>
      </c>
      <c r="N1266" s="14" t="str">
        <f>IFERROR(__xludf.DUMMYFUNCTION("""COMPUTED_VALUE"""),"Nikhil Deshmukh")</f>
        <v>Nikhil Deshmukh</v>
      </c>
      <c r="O1266" s="14" t="str">
        <f>IFERROR(__xludf.DUMMYFUNCTION("split(J1266,""*"")"),"Cancelled")</f>
        <v>Cancelled</v>
      </c>
      <c r="P1266" s="14" t="str">
        <f>IFERROR(__xludf.DUMMYFUNCTION("""COMPUTED_VALUE"""),"Delayed Delivery:Bad Weather Conditions ")</f>
        <v>Delayed Delivery:Bad Weather Conditions </v>
      </c>
      <c r="Q1266" s="14" t="str">
        <f>IFERROR(__xludf.DUMMYFUNCTION("split(P1266,"":"")"),"Delayed Delivery")</f>
        <v>Delayed Delivery</v>
      </c>
      <c r="R1266" s="14" t="str">
        <f>IFERROR(__xludf.DUMMYFUNCTION("""COMPUTED_VALUE"""),"Bad Weather Conditions ")</f>
        <v>Bad Weather Conditions </v>
      </c>
      <c r="S1266" s="14" t="str">
        <f t="shared" ref="S1266:U1266" si="2535">trim(B1266)</f>
        <v>ord_61244</v>
      </c>
      <c r="T1266" s="14" t="str">
        <f t="shared" si="2535"/>
        <v>Ishaan Chaturvedi</v>
      </c>
      <c r="U1266" s="14" t="str">
        <f t="shared" si="2535"/>
        <v>Bandra</v>
      </c>
      <c r="V1266" s="14" t="str">
        <f t="shared" si="4"/>
        <v>Veg Puff</v>
      </c>
      <c r="W1266" s="14">
        <f t="shared" si="5"/>
        <v>5</v>
      </c>
      <c r="X1266" s="14" t="str">
        <f t="shared" si="6"/>
        <v>Nikhil Deshmukh</v>
      </c>
      <c r="Y1266" s="15">
        <f t="shared" si="7"/>
        <v>45118</v>
      </c>
      <c r="Z1266" s="14" t="str">
        <f t="shared" si="8"/>
        <v>Credit Card</v>
      </c>
      <c r="AA1266" s="14" t="str">
        <f t="shared" si="9"/>
        <v>Cancelled</v>
      </c>
      <c r="AB1266" s="14" t="str">
        <f t="shared" ref="AB1266:AC1266" si="2536">trim(Q1266)</f>
        <v>Delayed Delivery</v>
      </c>
      <c r="AC1266" s="14" t="str">
        <f t="shared" si="2536"/>
        <v>Bad Weather Conditions</v>
      </c>
      <c r="AD1266" s="8"/>
    </row>
    <row r="1267">
      <c r="A1267" s="14" t="str">
        <f>IFERROR(__xludf.DUMMYFUNCTION("""COMPUTED_VALUE"""),"//ord_61245//Sahil Desai//Colaba//Guava+2*Nikhil Deshmukh/8/26/2023//Online Payment//Delivered*Convenience: Easy tracking")</f>
        <v>//ord_61245//Sahil Desai//Colaba//Guava+2*Nikhil Deshmukh/8/26/2023//Online Payment//Delivered*Convenience: Easy tracking</v>
      </c>
      <c r="B1267" s="14" t="str">
        <f>IFERROR(__xludf.DUMMYFUNCTION("split(A1267,""//"")"),"ord_61245")</f>
        <v>ord_61245</v>
      </c>
      <c r="C1267" s="14" t="str">
        <f>IFERROR(__xludf.DUMMYFUNCTION("""COMPUTED_VALUE"""),"Sahil Desai")</f>
        <v>Sahil Desai</v>
      </c>
      <c r="D1267" s="14" t="str">
        <f>IFERROR(__xludf.DUMMYFUNCTION("""COMPUTED_VALUE"""),"Colaba")</f>
        <v>Colaba</v>
      </c>
      <c r="E1267" s="14" t="str">
        <f>IFERROR(__xludf.DUMMYFUNCTION("""COMPUTED_VALUE"""),"Guava+2*Nikhil Deshmukh")</f>
        <v>Guava+2*Nikhil Deshmukh</v>
      </c>
      <c r="F1267" s="14">
        <f>IFERROR(__xludf.DUMMYFUNCTION("""COMPUTED_VALUE"""),8.0)</f>
        <v>8</v>
      </c>
      <c r="G1267" s="14">
        <f>IFERROR(__xludf.DUMMYFUNCTION("""COMPUTED_VALUE"""),26.0)</f>
        <v>26</v>
      </c>
      <c r="H1267" s="14">
        <f>IFERROR(__xludf.DUMMYFUNCTION("""COMPUTED_VALUE"""),2023.0)</f>
        <v>2023</v>
      </c>
      <c r="I1267" s="14" t="str">
        <f>IFERROR(__xludf.DUMMYFUNCTION("""COMPUTED_VALUE"""),"Online Payment")</f>
        <v>Online Payment</v>
      </c>
      <c r="J1267" s="14" t="str">
        <f>IFERROR(__xludf.DUMMYFUNCTION("""COMPUTED_VALUE"""),"Delivered*Convenience: Easy tracking")</f>
        <v>Delivered*Convenience: Easy tracking</v>
      </c>
      <c r="K1267" s="14" t="str">
        <f>IFERROR(__xludf.DUMMYFUNCTION("split(E1267,""+"")"),"Guava")</f>
        <v>Guava</v>
      </c>
      <c r="L1267" s="14" t="str">
        <f>IFERROR(__xludf.DUMMYFUNCTION("""COMPUTED_VALUE"""),"2*Nikhil Deshmukh")</f>
        <v>2*Nikhil Deshmukh</v>
      </c>
      <c r="M1267" s="14">
        <f>IFERROR(__xludf.DUMMYFUNCTION("SPLIT(L1267,""*"")"),2.0)</f>
        <v>2</v>
      </c>
      <c r="N1267" s="14" t="str">
        <f>IFERROR(__xludf.DUMMYFUNCTION("""COMPUTED_VALUE"""),"Nikhil Deshmukh")</f>
        <v>Nikhil Deshmukh</v>
      </c>
      <c r="O1267" s="14" t="str">
        <f>IFERROR(__xludf.DUMMYFUNCTION("split(J1267,""*"")"),"Delivered")</f>
        <v>Delivered</v>
      </c>
      <c r="P1267" s="14" t="str">
        <f>IFERROR(__xludf.DUMMYFUNCTION("""COMPUTED_VALUE"""),"Convenience: Easy tracking")</f>
        <v>Convenience: Easy tracking</v>
      </c>
      <c r="Q1267" s="14" t="str">
        <f>IFERROR(__xludf.DUMMYFUNCTION("split(P1267,"":"")"),"Convenience")</f>
        <v>Convenience</v>
      </c>
      <c r="R1267" s="14" t="str">
        <f>IFERROR(__xludf.DUMMYFUNCTION("""COMPUTED_VALUE""")," Easy tracking")</f>
        <v> Easy tracking</v>
      </c>
      <c r="S1267" s="14" t="str">
        <f t="shared" ref="S1267:U1267" si="2537">trim(B1267)</f>
        <v>ord_61245</v>
      </c>
      <c r="T1267" s="14" t="str">
        <f t="shared" si="2537"/>
        <v>Sahil Desai</v>
      </c>
      <c r="U1267" s="14" t="str">
        <f t="shared" si="2537"/>
        <v>Colaba</v>
      </c>
      <c r="V1267" s="14" t="str">
        <f t="shared" si="4"/>
        <v>Guava</v>
      </c>
      <c r="W1267" s="14">
        <f t="shared" si="5"/>
        <v>2</v>
      </c>
      <c r="X1267" s="14" t="str">
        <f t="shared" si="6"/>
        <v>Nikhil Deshmukh</v>
      </c>
      <c r="Y1267" s="15">
        <f t="shared" si="7"/>
        <v>45164</v>
      </c>
      <c r="Z1267" s="14" t="str">
        <f t="shared" si="8"/>
        <v>Online Payment</v>
      </c>
      <c r="AA1267" s="14" t="str">
        <f t="shared" si="9"/>
        <v>Delivered</v>
      </c>
      <c r="AB1267" s="14" t="str">
        <f t="shared" ref="AB1267:AC1267" si="2538">trim(Q1267)</f>
        <v>Convenience</v>
      </c>
      <c r="AC1267" s="14" t="str">
        <f t="shared" si="2538"/>
        <v>Easy tracking</v>
      </c>
      <c r="AD1267" s="8"/>
    </row>
    <row r="1268">
      <c r="A1268" s="14" t="str">
        <f>IFERROR(__xludf.DUMMYFUNCTION("""COMPUTED_VALUE"""),"//ord_61246//Sahil Desai//Colaba//Chocolate Mousse+9*Nikhil Deshmukh/4/18/2023//Credit Card//Delivered*Overall Satisfaction: Great service will order again")</f>
        <v>//ord_61246//Sahil Desai//Colaba//Chocolate Mousse+9*Nikhil Deshmukh/4/18/2023//Credit Card//Delivered*Overall Satisfaction: Great service will order again</v>
      </c>
      <c r="B1268" s="14" t="str">
        <f>IFERROR(__xludf.DUMMYFUNCTION("split(A1268,""//"")"),"ord_61246")</f>
        <v>ord_61246</v>
      </c>
      <c r="C1268" s="14" t="str">
        <f>IFERROR(__xludf.DUMMYFUNCTION("""COMPUTED_VALUE"""),"Sahil Desai")</f>
        <v>Sahil Desai</v>
      </c>
      <c r="D1268" s="14" t="str">
        <f>IFERROR(__xludf.DUMMYFUNCTION("""COMPUTED_VALUE"""),"Colaba")</f>
        <v>Colaba</v>
      </c>
      <c r="E1268" s="14" t="str">
        <f>IFERROR(__xludf.DUMMYFUNCTION("""COMPUTED_VALUE"""),"Chocolate Mousse+9*Nikhil Deshmukh")</f>
        <v>Chocolate Mousse+9*Nikhil Deshmukh</v>
      </c>
      <c r="F1268" s="14">
        <f>IFERROR(__xludf.DUMMYFUNCTION("""COMPUTED_VALUE"""),4.0)</f>
        <v>4</v>
      </c>
      <c r="G1268" s="14">
        <f>IFERROR(__xludf.DUMMYFUNCTION("""COMPUTED_VALUE"""),18.0)</f>
        <v>18</v>
      </c>
      <c r="H1268" s="14">
        <f>IFERROR(__xludf.DUMMYFUNCTION("""COMPUTED_VALUE"""),2023.0)</f>
        <v>2023</v>
      </c>
      <c r="I1268" s="14" t="str">
        <f>IFERROR(__xludf.DUMMYFUNCTION("""COMPUTED_VALUE"""),"Credit Card")</f>
        <v>Credit Card</v>
      </c>
      <c r="J1268" s="14" t="str">
        <f>IFERROR(__xludf.DUMMYFUNCTION("""COMPUTED_VALUE"""),"Delivered*Overall Satisfaction: Great service will order again")</f>
        <v>Delivered*Overall Satisfaction: Great service will order again</v>
      </c>
      <c r="K1268" s="14" t="str">
        <f>IFERROR(__xludf.DUMMYFUNCTION("split(E1268,""+"")"),"Chocolate Mousse")</f>
        <v>Chocolate Mousse</v>
      </c>
      <c r="L1268" s="14" t="str">
        <f>IFERROR(__xludf.DUMMYFUNCTION("""COMPUTED_VALUE"""),"9*Nikhil Deshmukh")</f>
        <v>9*Nikhil Deshmukh</v>
      </c>
      <c r="M1268" s="14">
        <f>IFERROR(__xludf.DUMMYFUNCTION("SPLIT(L1268,""*"")"),9.0)</f>
        <v>9</v>
      </c>
      <c r="N1268" s="14" t="str">
        <f>IFERROR(__xludf.DUMMYFUNCTION("""COMPUTED_VALUE"""),"Nikhil Deshmukh")</f>
        <v>Nikhil Deshmukh</v>
      </c>
      <c r="O1268" s="14" t="str">
        <f>IFERROR(__xludf.DUMMYFUNCTION("split(J1268,""*"")"),"Delivered")</f>
        <v>Delivered</v>
      </c>
      <c r="P1268" s="14" t="str">
        <f>IFERROR(__xludf.DUMMYFUNCTION("""COMPUTED_VALUE"""),"Overall Satisfaction: Great service will order again")</f>
        <v>Overall Satisfaction: Great service will order again</v>
      </c>
      <c r="Q1268" s="14" t="str">
        <f>IFERROR(__xludf.DUMMYFUNCTION("split(P1268,"":"")"),"Overall Satisfaction")</f>
        <v>Overall Satisfaction</v>
      </c>
      <c r="R1268" s="14" t="str">
        <f>IFERROR(__xludf.DUMMYFUNCTION("""COMPUTED_VALUE""")," Great service will order again")</f>
        <v> Great service will order again</v>
      </c>
      <c r="S1268" s="14" t="str">
        <f t="shared" ref="S1268:U1268" si="2539">trim(B1268)</f>
        <v>ord_61246</v>
      </c>
      <c r="T1268" s="14" t="str">
        <f t="shared" si="2539"/>
        <v>Sahil Desai</v>
      </c>
      <c r="U1268" s="14" t="str">
        <f t="shared" si="2539"/>
        <v>Colaba</v>
      </c>
      <c r="V1268" s="14" t="str">
        <f t="shared" si="4"/>
        <v>Chocolate Mousse</v>
      </c>
      <c r="W1268" s="14">
        <f t="shared" si="5"/>
        <v>9</v>
      </c>
      <c r="X1268" s="14" t="str">
        <f t="shared" si="6"/>
        <v>Nikhil Deshmukh</v>
      </c>
      <c r="Y1268" s="15">
        <f t="shared" si="7"/>
        <v>45034</v>
      </c>
      <c r="Z1268" s="14" t="str">
        <f t="shared" si="8"/>
        <v>Credit Card</v>
      </c>
      <c r="AA1268" s="14" t="str">
        <f t="shared" si="9"/>
        <v>Delivered</v>
      </c>
      <c r="AB1268" s="14" t="str">
        <f t="shared" ref="AB1268:AC1268" si="2540">trim(Q1268)</f>
        <v>Overall Satisfaction</v>
      </c>
      <c r="AC1268" s="14" t="str">
        <f t="shared" si="2540"/>
        <v>Great service will order again</v>
      </c>
      <c r="AD1268" s="8"/>
    </row>
    <row r="1269">
      <c r="A1269" s="14" t="str">
        <f>IFERROR(__xludf.DUMMYFUNCTION("""COMPUTED_VALUE"""),"//ord_61247//Aarav Mehta//Andheri//Orange+2*Not Assigned/9/15/2023//Online Payment//Cancelled*Out of Stock")</f>
        <v>//ord_61247//Aarav Mehta//Andheri//Orange+2*Not Assigned/9/15/2023//Online Payment//Cancelled*Out of Stock</v>
      </c>
      <c r="B1269" s="14" t="str">
        <f>IFERROR(__xludf.DUMMYFUNCTION("split(A1269,""//"")"),"ord_61247")</f>
        <v>ord_61247</v>
      </c>
      <c r="C1269" s="14" t="str">
        <f>IFERROR(__xludf.DUMMYFUNCTION("""COMPUTED_VALUE"""),"Aarav Mehta")</f>
        <v>Aarav Mehta</v>
      </c>
      <c r="D1269" s="14" t="str">
        <f>IFERROR(__xludf.DUMMYFUNCTION("""COMPUTED_VALUE"""),"Andheri")</f>
        <v>Andheri</v>
      </c>
      <c r="E1269" s="14" t="str">
        <f>IFERROR(__xludf.DUMMYFUNCTION("""COMPUTED_VALUE"""),"Orange+2*Not Assigned")</f>
        <v>Orange+2*Not Assigned</v>
      </c>
      <c r="F1269" s="14">
        <f>IFERROR(__xludf.DUMMYFUNCTION("""COMPUTED_VALUE"""),9.0)</f>
        <v>9</v>
      </c>
      <c r="G1269" s="14">
        <f>IFERROR(__xludf.DUMMYFUNCTION("""COMPUTED_VALUE"""),15.0)</f>
        <v>15</v>
      </c>
      <c r="H1269" s="14">
        <f>IFERROR(__xludf.DUMMYFUNCTION("""COMPUTED_VALUE"""),2023.0)</f>
        <v>2023</v>
      </c>
      <c r="I1269" s="14" t="str">
        <f>IFERROR(__xludf.DUMMYFUNCTION("""COMPUTED_VALUE"""),"Online Payment")</f>
        <v>Online Payment</v>
      </c>
      <c r="J1269" s="14" t="str">
        <f>IFERROR(__xludf.DUMMYFUNCTION("""COMPUTED_VALUE"""),"Cancelled*Out of Stock")</f>
        <v>Cancelled*Out of Stock</v>
      </c>
      <c r="K1269" s="14" t="str">
        <f>IFERROR(__xludf.DUMMYFUNCTION("split(E1269,""+"")"),"Orange")</f>
        <v>Orange</v>
      </c>
      <c r="L1269" s="14" t="str">
        <f>IFERROR(__xludf.DUMMYFUNCTION("""COMPUTED_VALUE"""),"2*Not Assigned")</f>
        <v>2*Not Assigned</v>
      </c>
      <c r="M1269" s="14">
        <f>IFERROR(__xludf.DUMMYFUNCTION("SPLIT(L1269,""*"")"),2.0)</f>
        <v>2</v>
      </c>
      <c r="N1269" s="14" t="str">
        <f>IFERROR(__xludf.DUMMYFUNCTION("""COMPUTED_VALUE"""),"Not Assigned")</f>
        <v>Not Assigned</v>
      </c>
      <c r="O1269" s="14" t="str">
        <f>IFERROR(__xludf.DUMMYFUNCTION("split(J1269,""*"")"),"Cancelled")</f>
        <v>Cancelled</v>
      </c>
      <c r="P1269" s="14" t="str">
        <f>IFERROR(__xludf.DUMMYFUNCTION("""COMPUTED_VALUE"""),"Out of Stock")</f>
        <v>Out of Stock</v>
      </c>
      <c r="Q1269" s="14" t="str">
        <f>IFERROR(__xludf.DUMMYFUNCTION("split(P1269,"":"")"),"Out of Stock")</f>
        <v>Out of Stock</v>
      </c>
      <c r="R1269" s="14"/>
      <c r="S1269" s="14" t="str">
        <f t="shared" ref="S1269:U1269" si="2541">trim(B1269)</f>
        <v>ord_61247</v>
      </c>
      <c r="T1269" s="14" t="str">
        <f t="shared" si="2541"/>
        <v>Aarav Mehta</v>
      </c>
      <c r="U1269" s="14" t="str">
        <f t="shared" si="2541"/>
        <v>Andheri</v>
      </c>
      <c r="V1269" s="14" t="str">
        <f t="shared" si="4"/>
        <v>Orange</v>
      </c>
      <c r="W1269" s="14">
        <f t="shared" si="5"/>
        <v>2</v>
      </c>
      <c r="X1269" s="14" t="str">
        <f t="shared" si="6"/>
        <v>Not Assigned</v>
      </c>
      <c r="Y1269" s="15">
        <f t="shared" si="7"/>
        <v>45184</v>
      </c>
      <c r="Z1269" s="14" t="str">
        <f t="shared" si="8"/>
        <v>Online Payment</v>
      </c>
      <c r="AA1269" s="14" t="str">
        <f t="shared" si="9"/>
        <v>Cancelled</v>
      </c>
      <c r="AB1269" s="14" t="str">
        <f t="shared" ref="AB1269:AC1269" si="2542">trim(Q1269)</f>
        <v>Out of Stock</v>
      </c>
      <c r="AC1269" s="14" t="str">
        <f t="shared" si="2542"/>
        <v/>
      </c>
      <c r="AD1269" s="8"/>
    </row>
    <row r="1270">
      <c r="A1270" s="14" t="str">
        <f>IFERROR(__xludf.DUMMYFUNCTION("""COMPUTED_VALUE"""),"//ord_61248//Pranav Joshi//Andheri//Potato+1*Not Assigned/3/26/2023//Credit Card//Cancelled*Out of Stock")</f>
        <v>//ord_61248//Pranav Joshi//Andheri//Potato+1*Not Assigned/3/26/2023//Credit Card//Cancelled*Out of Stock</v>
      </c>
      <c r="B1270" s="14" t="str">
        <f>IFERROR(__xludf.DUMMYFUNCTION("split(A1270,""//"")"),"ord_61248")</f>
        <v>ord_61248</v>
      </c>
      <c r="C1270" s="14" t="str">
        <f>IFERROR(__xludf.DUMMYFUNCTION("""COMPUTED_VALUE"""),"Pranav Joshi")</f>
        <v>Pranav Joshi</v>
      </c>
      <c r="D1270" s="14" t="str">
        <f>IFERROR(__xludf.DUMMYFUNCTION("""COMPUTED_VALUE"""),"Andheri")</f>
        <v>Andheri</v>
      </c>
      <c r="E1270" s="14" t="str">
        <f>IFERROR(__xludf.DUMMYFUNCTION("""COMPUTED_VALUE"""),"Potato+1*Not Assigned")</f>
        <v>Potato+1*Not Assigned</v>
      </c>
      <c r="F1270" s="14">
        <f>IFERROR(__xludf.DUMMYFUNCTION("""COMPUTED_VALUE"""),3.0)</f>
        <v>3</v>
      </c>
      <c r="G1270" s="14">
        <f>IFERROR(__xludf.DUMMYFUNCTION("""COMPUTED_VALUE"""),26.0)</f>
        <v>26</v>
      </c>
      <c r="H1270" s="14">
        <f>IFERROR(__xludf.DUMMYFUNCTION("""COMPUTED_VALUE"""),2023.0)</f>
        <v>2023</v>
      </c>
      <c r="I1270" s="14" t="str">
        <f>IFERROR(__xludf.DUMMYFUNCTION("""COMPUTED_VALUE"""),"Credit Card")</f>
        <v>Credit Card</v>
      </c>
      <c r="J1270" s="14" t="str">
        <f>IFERROR(__xludf.DUMMYFUNCTION("""COMPUTED_VALUE"""),"Cancelled*Out of Stock")</f>
        <v>Cancelled*Out of Stock</v>
      </c>
      <c r="K1270" s="14" t="str">
        <f>IFERROR(__xludf.DUMMYFUNCTION("split(E1270,""+"")"),"Potato")</f>
        <v>Potato</v>
      </c>
      <c r="L1270" s="14" t="str">
        <f>IFERROR(__xludf.DUMMYFUNCTION("""COMPUTED_VALUE"""),"1*Not Assigned")</f>
        <v>1*Not Assigned</v>
      </c>
      <c r="M1270" s="14">
        <f>IFERROR(__xludf.DUMMYFUNCTION("SPLIT(L1270,""*"")"),1.0)</f>
        <v>1</v>
      </c>
      <c r="N1270" s="14" t="str">
        <f>IFERROR(__xludf.DUMMYFUNCTION("""COMPUTED_VALUE"""),"Not Assigned")</f>
        <v>Not Assigned</v>
      </c>
      <c r="O1270" s="14" t="str">
        <f>IFERROR(__xludf.DUMMYFUNCTION("split(J1270,""*"")"),"Cancelled")</f>
        <v>Cancelled</v>
      </c>
      <c r="P1270" s="14" t="str">
        <f>IFERROR(__xludf.DUMMYFUNCTION("""COMPUTED_VALUE"""),"Out of Stock")</f>
        <v>Out of Stock</v>
      </c>
      <c r="Q1270" s="14" t="str">
        <f>IFERROR(__xludf.DUMMYFUNCTION("split(P1270,"":"")"),"Out of Stock")</f>
        <v>Out of Stock</v>
      </c>
      <c r="R1270" s="14"/>
      <c r="S1270" s="14" t="str">
        <f t="shared" ref="S1270:U1270" si="2543">trim(B1270)</f>
        <v>ord_61248</v>
      </c>
      <c r="T1270" s="14" t="str">
        <f t="shared" si="2543"/>
        <v>Pranav Joshi</v>
      </c>
      <c r="U1270" s="14" t="str">
        <f t="shared" si="2543"/>
        <v>Andheri</v>
      </c>
      <c r="V1270" s="14" t="str">
        <f t="shared" si="4"/>
        <v>Potato</v>
      </c>
      <c r="W1270" s="14">
        <f t="shared" si="5"/>
        <v>1</v>
      </c>
      <c r="X1270" s="14" t="str">
        <f t="shared" si="6"/>
        <v>Not Assigned</v>
      </c>
      <c r="Y1270" s="15">
        <f t="shared" si="7"/>
        <v>45011</v>
      </c>
      <c r="Z1270" s="14" t="str">
        <f t="shared" si="8"/>
        <v>Credit Card</v>
      </c>
      <c r="AA1270" s="14" t="str">
        <f t="shared" si="9"/>
        <v>Cancelled</v>
      </c>
      <c r="AB1270" s="14" t="str">
        <f t="shared" ref="AB1270:AC1270" si="2544">trim(Q1270)</f>
        <v>Out of Stock</v>
      </c>
      <c r="AC1270" s="14" t="str">
        <f t="shared" si="2544"/>
        <v/>
      </c>
      <c r="AD1270" s="8"/>
    </row>
    <row r="1271">
      <c r="A1271" s="14" t="str">
        <f>IFERROR(__xludf.DUMMYFUNCTION("""COMPUTED_VALUE"""),"//ord_61249//Sakshi Tandon//Colaba//Potato+1*Not Assigned/2/24/2023//Online Payment//Cancelled*Out of Stock")</f>
        <v>//ord_61249//Sakshi Tandon//Colaba//Potato+1*Not Assigned/2/24/2023//Online Payment//Cancelled*Out of Stock</v>
      </c>
      <c r="B1271" s="14" t="str">
        <f>IFERROR(__xludf.DUMMYFUNCTION("split(A1271,""//"")"),"ord_61249")</f>
        <v>ord_61249</v>
      </c>
      <c r="C1271" s="14" t="str">
        <f>IFERROR(__xludf.DUMMYFUNCTION("""COMPUTED_VALUE"""),"Sakshi Tandon")</f>
        <v>Sakshi Tandon</v>
      </c>
      <c r="D1271" s="14" t="str">
        <f>IFERROR(__xludf.DUMMYFUNCTION("""COMPUTED_VALUE"""),"Colaba")</f>
        <v>Colaba</v>
      </c>
      <c r="E1271" s="14" t="str">
        <f>IFERROR(__xludf.DUMMYFUNCTION("""COMPUTED_VALUE"""),"Potato+1*Not Assigned")</f>
        <v>Potato+1*Not Assigned</v>
      </c>
      <c r="F1271" s="14">
        <f>IFERROR(__xludf.DUMMYFUNCTION("""COMPUTED_VALUE"""),2.0)</f>
        <v>2</v>
      </c>
      <c r="G1271" s="14">
        <f>IFERROR(__xludf.DUMMYFUNCTION("""COMPUTED_VALUE"""),24.0)</f>
        <v>24</v>
      </c>
      <c r="H1271" s="14">
        <f>IFERROR(__xludf.DUMMYFUNCTION("""COMPUTED_VALUE"""),2023.0)</f>
        <v>2023</v>
      </c>
      <c r="I1271" s="14" t="str">
        <f>IFERROR(__xludf.DUMMYFUNCTION("""COMPUTED_VALUE"""),"Online Payment")</f>
        <v>Online Payment</v>
      </c>
      <c r="J1271" s="14" t="str">
        <f>IFERROR(__xludf.DUMMYFUNCTION("""COMPUTED_VALUE"""),"Cancelled*Out of Stock")</f>
        <v>Cancelled*Out of Stock</v>
      </c>
      <c r="K1271" s="14" t="str">
        <f>IFERROR(__xludf.DUMMYFUNCTION("split(E1271,""+"")"),"Potato")</f>
        <v>Potato</v>
      </c>
      <c r="L1271" s="14" t="str">
        <f>IFERROR(__xludf.DUMMYFUNCTION("""COMPUTED_VALUE"""),"1*Not Assigned")</f>
        <v>1*Not Assigned</v>
      </c>
      <c r="M1271" s="14">
        <f>IFERROR(__xludf.DUMMYFUNCTION("SPLIT(L1271,""*"")"),1.0)</f>
        <v>1</v>
      </c>
      <c r="N1271" s="14" t="str">
        <f>IFERROR(__xludf.DUMMYFUNCTION("""COMPUTED_VALUE"""),"Not Assigned")</f>
        <v>Not Assigned</v>
      </c>
      <c r="O1271" s="14" t="str">
        <f>IFERROR(__xludf.DUMMYFUNCTION("split(J1271,""*"")"),"Cancelled")</f>
        <v>Cancelled</v>
      </c>
      <c r="P1271" s="14" t="str">
        <f>IFERROR(__xludf.DUMMYFUNCTION("""COMPUTED_VALUE"""),"Out of Stock")</f>
        <v>Out of Stock</v>
      </c>
      <c r="Q1271" s="14" t="str">
        <f>IFERROR(__xludf.DUMMYFUNCTION("split(P1271,"":"")"),"Out of Stock")</f>
        <v>Out of Stock</v>
      </c>
      <c r="R1271" s="14"/>
      <c r="S1271" s="14" t="str">
        <f t="shared" ref="S1271:U1271" si="2545">trim(B1271)</f>
        <v>ord_61249</v>
      </c>
      <c r="T1271" s="14" t="str">
        <f t="shared" si="2545"/>
        <v>Sakshi Tandon</v>
      </c>
      <c r="U1271" s="14" t="str">
        <f t="shared" si="2545"/>
        <v>Colaba</v>
      </c>
      <c r="V1271" s="14" t="str">
        <f t="shared" si="4"/>
        <v>Potato</v>
      </c>
      <c r="W1271" s="14">
        <f t="shared" si="5"/>
        <v>1</v>
      </c>
      <c r="X1271" s="14" t="str">
        <f t="shared" si="6"/>
        <v>Not Assigned</v>
      </c>
      <c r="Y1271" s="15">
        <f t="shared" si="7"/>
        <v>44981</v>
      </c>
      <c r="Z1271" s="14" t="str">
        <f t="shared" si="8"/>
        <v>Online Payment</v>
      </c>
      <c r="AA1271" s="14" t="str">
        <f t="shared" si="9"/>
        <v>Cancelled</v>
      </c>
      <c r="AB1271" s="14" t="str">
        <f t="shared" ref="AB1271:AC1271" si="2546">trim(Q1271)</f>
        <v>Out of Stock</v>
      </c>
      <c r="AC1271" s="14" t="str">
        <f t="shared" si="2546"/>
        <v/>
      </c>
      <c r="AD1271" s="8"/>
    </row>
    <row r="1272">
      <c r="A1272" s="14" t="str">
        <f>IFERROR(__xludf.DUMMYFUNCTION("""COMPUTED_VALUE"""),"//ord_61250//Sakshi Tandon//Colaba//Banana+2*Not Assigned/5/8/2023//Credit Card//Cancelled*Payment Issues")</f>
        <v>//ord_61250//Sakshi Tandon//Colaba//Banana+2*Not Assigned/5/8/2023//Credit Card//Cancelled*Payment Issues</v>
      </c>
      <c r="B1272" s="14" t="str">
        <f>IFERROR(__xludf.DUMMYFUNCTION("split(A1272,""//"")"),"ord_61250")</f>
        <v>ord_61250</v>
      </c>
      <c r="C1272" s="14" t="str">
        <f>IFERROR(__xludf.DUMMYFUNCTION("""COMPUTED_VALUE"""),"Sakshi Tandon")</f>
        <v>Sakshi Tandon</v>
      </c>
      <c r="D1272" s="14" t="str">
        <f>IFERROR(__xludf.DUMMYFUNCTION("""COMPUTED_VALUE"""),"Colaba")</f>
        <v>Colaba</v>
      </c>
      <c r="E1272" s="14" t="str">
        <f>IFERROR(__xludf.DUMMYFUNCTION("""COMPUTED_VALUE"""),"Banana+2*Not Assigned")</f>
        <v>Banana+2*Not Assigned</v>
      </c>
      <c r="F1272" s="14">
        <f>IFERROR(__xludf.DUMMYFUNCTION("""COMPUTED_VALUE"""),5.0)</f>
        <v>5</v>
      </c>
      <c r="G1272" s="14">
        <f>IFERROR(__xludf.DUMMYFUNCTION("""COMPUTED_VALUE"""),8.0)</f>
        <v>8</v>
      </c>
      <c r="H1272" s="14">
        <f>IFERROR(__xludf.DUMMYFUNCTION("""COMPUTED_VALUE"""),2023.0)</f>
        <v>2023</v>
      </c>
      <c r="I1272" s="14" t="str">
        <f>IFERROR(__xludf.DUMMYFUNCTION("""COMPUTED_VALUE"""),"Credit Card")</f>
        <v>Credit Card</v>
      </c>
      <c r="J1272" s="14" t="str">
        <f>IFERROR(__xludf.DUMMYFUNCTION("""COMPUTED_VALUE"""),"Cancelled*Payment Issues")</f>
        <v>Cancelled*Payment Issues</v>
      </c>
      <c r="K1272" s="14" t="str">
        <f>IFERROR(__xludf.DUMMYFUNCTION("split(E1272,""+"")"),"Banana")</f>
        <v>Banana</v>
      </c>
      <c r="L1272" s="14" t="str">
        <f>IFERROR(__xludf.DUMMYFUNCTION("""COMPUTED_VALUE"""),"2*Not Assigned")</f>
        <v>2*Not Assigned</v>
      </c>
      <c r="M1272" s="14">
        <f>IFERROR(__xludf.DUMMYFUNCTION("SPLIT(L1272,""*"")"),2.0)</f>
        <v>2</v>
      </c>
      <c r="N1272" s="14" t="str">
        <f>IFERROR(__xludf.DUMMYFUNCTION("""COMPUTED_VALUE"""),"Not Assigned")</f>
        <v>Not Assigned</v>
      </c>
      <c r="O1272" s="14" t="str">
        <f>IFERROR(__xludf.DUMMYFUNCTION("split(J1272,""*"")"),"Cancelled")</f>
        <v>Cancelled</v>
      </c>
      <c r="P1272" s="14" t="str">
        <f>IFERROR(__xludf.DUMMYFUNCTION("""COMPUTED_VALUE"""),"Payment Issues")</f>
        <v>Payment Issues</v>
      </c>
      <c r="Q1272" s="14" t="str">
        <f>IFERROR(__xludf.DUMMYFUNCTION("split(P1272,"":"")"),"Payment Issues")</f>
        <v>Payment Issues</v>
      </c>
      <c r="R1272" s="14"/>
      <c r="S1272" s="14" t="str">
        <f t="shared" ref="S1272:U1272" si="2547">trim(B1272)</f>
        <v>ord_61250</v>
      </c>
      <c r="T1272" s="14" t="str">
        <f t="shared" si="2547"/>
        <v>Sakshi Tandon</v>
      </c>
      <c r="U1272" s="14" t="str">
        <f t="shared" si="2547"/>
        <v>Colaba</v>
      </c>
      <c r="V1272" s="14" t="str">
        <f t="shared" si="4"/>
        <v>Banana</v>
      </c>
      <c r="W1272" s="14">
        <f t="shared" si="5"/>
        <v>2</v>
      </c>
      <c r="X1272" s="14" t="str">
        <f t="shared" si="6"/>
        <v>Not Assigned</v>
      </c>
      <c r="Y1272" s="15">
        <f t="shared" si="7"/>
        <v>45054</v>
      </c>
      <c r="Z1272" s="14" t="str">
        <f t="shared" si="8"/>
        <v>Credit Card</v>
      </c>
      <c r="AA1272" s="14" t="str">
        <f t="shared" si="9"/>
        <v>Cancelled</v>
      </c>
      <c r="AB1272" s="14" t="str">
        <f t="shared" ref="AB1272:AC1272" si="2548">trim(Q1272)</f>
        <v>Payment Issues</v>
      </c>
      <c r="AC1272" s="14" t="str">
        <f t="shared" si="2548"/>
        <v/>
      </c>
      <c r="AD1272" s="8"/>
    </row>
    <row r="1273">
      <c r="A1273" s="14" t="str">
        <f>IFERROR(__xludf.DUMMYFUNCTION("""COMPUTED_VALUE"""),"//ord_61251//Sakshi Tandon//Colaba//Onion+1*Nikhil Deshmukh/8/18/2023//UPI//Delivered*On-time Delivery: Delivered on time")</f>
        <v>//ord_61251//Sakshi Tandon//Colaba//Onion+1*Nikhil Deshmukh/8/18/2023//UPI//Delivered*On-time Delivery: Delivered on time</v>
      </c>
      <c r="B1273" s="14" t="str">
        <f>IFERROR(__xludf.DUMMYFUNCTION("split(A1273,""//"")"),"ord_61251")</f>
        <v>ord_61251</v>
      </c>
      <c r="C1273" s="14" t="str">
        <f>IFERROR(__xludf.DUMMYFUNCTION("""COMPUTED_VALUE"""),"Sakshi Tandon")</f>
        <v>Sakshi Tandon</v>
      </c>
      <c r="D1273" s="14" t="str">
        <f>IFERROR(__xludf.DUMMYFUNCTION("""COMPUTED_VALUE"""),"Colaba")</f>
        <v>Colaba</v>
      </c>
      <c r="E1273" s="14" t="str">
        <f>IFERROR(__xludf.DUMMYFUNCTION("""COMPUTED_VALUE"""),"Onion+1*Nikhil Deshmukh")</f>
        <v>Onion+1*Nikhil Deshmukh</v>
      </c>
      <c r="F1273" s="14">
        <f>IFERROR(__xludf.DUMMYFUNCTION("""COMPUTED_VALUE"""),8.0)</f>
        <v>8</v>
      </c>
      <c r="G1273" s="14">
        <f>IFERROR(__xludf.DUMMYFUNCTION("""COMPUTED_VALUE"""),18.0)</f>
        <v>18</v>
      </c>
      <c r="H1273" s="14">
        <f>IFERROR(__xludf.DUMMYFUNCTION("""COMPUTED_VALUE"""),2023.0)</f>
        <v>2023</v>
      </c>
      <c r="I1273" s="14" t="str">
        <f>IFERROR(__xludf.DUMMYFUNCTION("""COMPUTED_VALUE"""),"UPI")</f>
        <v>UPI</v>
      </c>
      <c r="J1273" s="14" t="str">
        <f>IFERROR(__xludf.DUMMYFUNCTION("""COMPUTED_VALUE"""),"Delivered*On-time Delivery: Delivered on time")</f>
        <v>Delivered*On-time Delivery: Delivered on time</v>
      </c>
      <c r="K1273" s="14" t="str">
        <f>IFERROR(__xludf.DUMMYFUNCTION("split(E1273,""+"")"),"Onion")</f>
        <v>Onion</v>
      </c>
      <c r="L1273" s="14" t="str">
        <f>IFERROR(__xludf.DUMMYFUNCTION("""COMPUTED_VALUE"""),"1*Nikhil Deshmukh")</f>
        <v>1*Nikhil Deshmukh</v>
      </c>
      <c r="M1273" s="14">
        <f>IFERROR(__xludf.DUMMYFUNCTION("SPLIT(L1273,""*"")"),1.0)</f>
        <v>1</v>
      </c>
      <c r="N1273" s="14" t="str">
        <f>IFERROR(__xludf.DUMMYFUNCTION("""COMPUTED_VALUE"""),"Nikhil Deshmukh")</f>
        <v>Nikhil Deshmukh</v>
      </c>
      <c r="O1273" s="14" t="str">
        <f>IFERROR(__xludf.DUMMYFUNCTION("split(J1273,""*"")"),"Delivered")</f>
        <v>Delivered</v>
      </c>
      <c r="P1273" s="14" t="str">
        <f>IFERROR(__xludf.DUMMYFUNCTION("""COMPUTED_VALUE"""),"On-time Delivery: Delivered on time")</f>
        <v>On-time Delivery: Delivered on time</v>
      </c>
      <c r="Q1273" s="14" t="str">
        <f>IFERROR(__xludf.DUMMYFUNCTION("split(P1273,"":"")"),"On-time Delivery")</f>
        <v>On-time Delivery</v>
      </c>
      <c r="R1273" s="14" t="str">
        <f>IFERROR(__xludf.DUMMYFUNCTION("""COMPUTED_VALUE""")," Delivered on time")</f>
        <v> Delivered on time</v>
      </c>
      <c r="S1273" s="14" t="str">
        <f t="shared" ref="S1273:U1273" si="2549">trim(B1273)</f>
        <v>ord_61251</v>
      </c>
      <c r="T1273" s="14" t="str">
        <f t="shared" si="2549"/>
        <v>Sakshi Tandon</v>
      </c>
      <c r="U1273" s="14" t="str">
        <f t="shared" si="2549"/>
        <v>Colaba</v>
      </c>
      <c r="V1273" s="14" t="str">
        <f t="shared" si="4"/>
        <v>Onion</v>
      </c>
      <c r="W1273" s="14">
        <f t="shared" si="5"/>
        <v>1</v>
      </c>
      <c r="X1273" s="14" t="str">
        <f t="shared" si="6"/>
        <v>Nikhil Deshmukh</v>
      </c>
      <c r="Y1273" s="15">
        <f t="shared" si="7"/>
        <v>45156</v>
      </c>
      <c r="Z1273" s="14" t="str">
        <f t="shared" si="8"/>
        <v>UPI</v>
      </c>
      <c r="AA1273" s="14" t="str">
        <f t="shared" si="9"/>
        <v>Delivered</v>
      </c>
      <c r="AB1273" s="14" t="str">
        <f t="shared" ref="AB1273:AC1273" si="2550">trim(Q1273)</f>
        <v>On-time Delivery</v>
      </c>
      <c r="AC1273" s="14" t="str">
        <f t="shared" si="2550"/>
        <v>Delivered on time</v>
      </c>
      <c r="AD1273" s="8"/>
    </row>
    <row r="1274">
      <c r="A1274" s="14" t="str">
        <f>IFERROR(__xludf.DUMMYFUNCTION("""COMPUTED_VALUE"""),"//ord_61252//Tanishq Bansal//Powai//Orange+2*Not Assigned/3/4/2023//Credit Card//Cancelled*High Delivery Fees")</f>
        <v>//ord_61252//Tanishq Bansal//Powai//Orange+2*Not Assigned/3/4/2023//Credit Card//Cancelled*High Delivery Fees</v>
      </c>
      <c r="B1274" s="14" t="str">
        <f>IFERROR(__xludf.DUMMYFUNCTION("split(A1274,""//"")"),"ord_61252")</f>
        <v>ord_61252</v>
      </c>
      <c r="C1274" s="14" t="str">
        <f>IFERROR(__xludf.DUMMYFUNCTION("""COMPUTED_VALUE"""),"Tanishq Bansal")</f>
        <v>Tanishq Bansal</v>
      </c>
      <c r="D1274" s="14" t="str">
        <f>IFERROR(__xludf.DUMMYFUNCTION("""COMPUTED_VALUE"""),"Powai")</f>
        <v>Powai</v>
      </c>
      <c r="E1274" s="14" t="str">
        <f>IFERROR(__xludf.DUMMYFUNCTION("""COMPUTED_VALUE"""),"Orange+2*Not Assigned")</f>
        <v>Orange+2*Not Assigned</v>
      </c>
      <c r="F1274" s="14">
        <f>IFERROR(__xludf.DUMMYFUNCTION("""COMPUTED_VALUE"""),3.0)</f>
        <v>3</v>
      </c>
      <c r="G1274" s="14">
        <f>IFERROR(__xludf.DUMMYFUNCTION("""COMPUTED_VALUE"""),4.0)</f>
        <v>4</v>
      </c>
      <c r="H1274" s="14">
        <f>IFERROR(__xludf.DUMMYFUNCTION("""COMPUTED_VALUE"""),2023.0)</f>
        <v>2023</v>
      </c>
      <c r="I1274" s="14" t="str">
        <f>IFERROR(__xludf.DUMMYFUNCTION("""COMPUTED_VALUE"""),"Credit Card")</f>
        <v>Credit Card</v>
      </c>
      <c r="J1274" s="14" t="str">
        <f>IFERROR(__xludf.DUMMYFUNCTION("""COMPUTED_VALUE"""),"Cancelled*High Delivery Fees")</f>
        <v>Cancelled*High Delivery Fees</v>
      </c>
      <c r="K1274" s="14" t="str">
        <f>IFERROR(__xludf.DUMMYFUNCTION("split(E1274,""+"")"),"Orange")</f>
        <v>Orange</v>
      </c>
      <c r="L1274" s="14" t="str">
        <f>IFERROR(__xludf.DUMMYFUNCTION("""COMPUTED_VALUE"""),"2*Not Assigned")</f>
        <v>2*Not Assigned</v>
      </c>
      <c r="M1274" s="14">
        <f>IFERROR(__xludf.DUMMYFUNCTION("SPLIT(L1274,""*"")"),2.0)</f>
        <v>2</v>
      </c>
      <c r="N1274" s="14" t="str">
        <f>IFERROR(__xludf.DUMMYFUNCTION("""COMPUTED_VALUE"""),"Not Assigned")</f>
        <v>Not Assigned</v>
      </c>
      <c r="O1274" s="14" t="str">
        <f>IFERROR(__xludf.DUMMYFUNCTION("split(J1274,""*"")"),"Cancelled")</f>
        <v>Cancelled</v>
      </c>
      <c r="P1274" s="14" t="str">
        <f>IFERROR(__xludf.DUMMYFUNCTION("""COMPUTED_VALUE"""),"High Delivery Fees")</f>
        <v>High Delivery Fees</v>
      </c>
      <c r="Q1274" s="14" t="str">
        <f>IFERROR(__xludf.DUMMYFUNCTION("split(P1274,"":"")"),"High Delivery Fees")</f>
        <v>High Delivery Fees</v>
      </c>
      <c r="R1274" s="14"/>
      <c r="S1274" s="14" t="str">
        <f t="shared" ref="S1274:U1274" si="2551">trim(B1274)</f>
        <v>ord_61252</v>
      </c>
      <c r="T1274" s="14" t="str">
        <f t="shared" si="2551"/>
        <v>Tanishq Bansal</v>
      </c>
      <c r="U1274" s="14" t="str">
        <f t="shared" si="2551"/>
        <v>Powai</v>
      </c>
      <c r="V1274" s="14" t="str">
        <f t="shared" si="4"/>
        <v>Orange</v>
      </c>
      <c r="W1274" s="14">
        <f t="shared" si="5"/>
        <v>2</v>
      </c>
      <c r="X1274" s="14" t="str">
        <f t="shared" si="6"/>
        <v>Not Assigned</v>
      </c>
      <c r="Y1274" s="15">
        <f t="shared" si="7"/>
        <v>44989</v>
      </c>
      <c r="Z1274" s="14" t="str">
        <f t="shared" si="8"/>
        <v>Credit Card</v>
      </c>
      <c r="AA1274" s="14" t="str">
        <f t="shared" si="9"/>
        <v>Cancelled</v>
      </c>
      <c r="AB1274" s="14" t="str">
        <f t="shared" ref="AB1274:AC1274" si="2552">trim(Q1274)</f>
        <v>High Delivery Fees</v>
      </c>
      <c r="AC1274" s="14" t="str">
        <f t="shared" si="2552"/>
        <v/>
      </c>
      <c r="AD1274" s="8"/>
    </row>
    <row r="1275">
      <c r="A1275" s="14" t="str">
        <f>IFERROR(__xludf.DUMMYFUNCTION("""COMPUTED_VALUE"""),"//ord_61253//Kritika Shetty//Malad//Papaya+2*Not Assigned/1/5/2023//Online Payment//Cancelled*App Glitches:Error Messages")</f>
        <v>//ord_61253//Kritika Shetty//Malad//Papaya+2*Not Assigned/1/5/2023//Online Payment//Cancelled*App Glitches:Error Messages</v>
      </c>
      <c r="B1275" s="14" t="str">
        <f>IFERROR(__xludf.DUMMYFUNCTION("split(A1275,""//"")"),"ord_61253")</f>
        <v>ord_61253</v>
      </c>
      <c r="C1275" s="14" t="str">
        <f>IFERROR(__xludf.DUMMYFUNCTION("""COMPUTED_VALUE"""),"Kritika Shetty")</f>
        <v>Kritika Shetty</v>
      </c>
      <c r="D1275" s="14" t="str">
        <f>IFERROR(__xludf.DUMMYFUNCTION("""COMPUTED_VALUE"""),"Malad")</f>
        <v>Malad</v>
      </c>
      <c r="E1275" s="14" t="str">
        <f>IFERROR(__xludf.DUMMYFUNCTION("""COMPUTED_VALUE"""),"Papaya+2*Not Assigned")</f>
        <v>Papaya+2*Not Assigned</v>
      </c>
      <c r="F1275" s="14">
        <f>IFERROR(__xludf.DUMMYFUNCTION("""COMPUTED_VALUE"""),1.0)</f>
        <v>1</v>
      </c>
      <c r="G1275" s="14">
        <f>IFERROR(__xludf.DUMMYFUNCTION("""COMPUTED_VALUE"""),5.0)</f>
        <v>5</v>
      </c>
      <c r="H1275" s="14">
        <f>IFERROR(__xludf.DUMMYFUNCTION("""COMPUTED_VALUE"""),2023.0)</f>
        <v>2023</v>
      </c>
      <c r="I1275" s="14" t="str">
        <f>IFERROR(__xludf.DUMMYFUNCTION("""COMPUTED_VALUE"""),"Online Payment")</f>
        <v>Online Payment</v>
      </c>
      <c r="J1275" s="14" t="str">
        <f>IFERROR(__xludf.DUMMYFUNCTION("""COMPUTED_VALUE"""),"Cancelled*App Glitches:Error Messages")</f>
        <v>Cancelled*App Glitches:Error Messages</v>
      </c>
      <c r="K1275" s="14" t="str">
        <f>IFERROR(__xludf.DUMMYFUNCTION("split(E1275,""+"")"),"Papaya")</f>
        <v>Papaya</v>
      </c>
      <c r="L1275" s="14" t="str">
        <f>IFERROR(__xludf.DUMMYFUNCTION("""COMPUTED_VALUE"""),"2*Not Assigned")</f>
        <v>2*Not Assigned</v>
      </c>
      <c r="M1275" s="14">
        <f>IFERROR(__xludf.DUMMYFUNCTION("SPLIT(L1275,""*"")"),2.0)</f>
        <v>2</v>
      </c>
      <c r="N1275" s="14" t="str">
        <f>IFERROR(__xludf.DUMMYFUNCTION("""COMPUTED_VALUE"""),"Not Assigned")</f>
        <v>Not Assigned</v>
      </c>
      <c r="O1275" s="14" t="str">
        <f>IFERROR(__xludf.DUMMYFUNCTION("split(J1275,""*"")"),"Cancelled")</f>
        <v>Cancelled</v>
      </c>
      <c r="P1275" s="14" t="str">
        <f>IFERROR(__xludf.DUMMYFUNCTION("""COMPUTED_VALUE"""),"App Glitches:Error Messages")</f>
        <v>App Glitches:Error Messages</v>
      </c>
      <c r="Q1275" s="14" t="str">
        <f>IFERROR(__xludf.DUMMYFUNCTION("split(P1275,"":"")"),"App Glitches")</f>
        <v>App Glitches</v>
      </c>
      <c r="R1275" s="14" t="str">
        <f>IFERROR(__xludf.DUMMYFUNCTION("""COMPUTED_VALUE"""),"Error Messages")</f>
        <v>Error Messages</v>
      </c>
      <c r="S1275" s="14" t="str">
        <f t="shared" ref="S1275:U1275" si="2553">trim(B1275)</f>
        <v>ord_61253</v>
      </c>
      <c r="T1275" s="14" t="str">
        <f t="shared" si="2553"/>
        <v>Kritika Shetty</v>
      </c>
      <c r="U1275" s="14" t="str">
        <f t="shared" si="2553"/>
        <v>Malad</v>
      </c>
      <c r="V1275" s="14" t="str">
        <f t="shared" si="4"/>
        <v>Papaya</v>
      </c>
      <c r="W1275" s="14">
        <f t="shared" si="5"/>
        <v>2</v>
      </c>
      <c r="X1275" s="14" t="str">
        <f t="shared" si="6"/>
        <v>Not Assigned</v>
      </c>
      <c r="Y1275" s="15">
        <f t="shared" si="7"/>
        <v>44931</v>
      </c>
      <c r="Z1275" s="14" t="str">
        <f t="shared" si="8"/>
        <v>Online Payment</v>
      </c>
      <c r="AA1275" s="14" t="str">
        <f t="shared" si="9"/>
        <v>Cancelled</v>
      </c>
      <c r="AB1275" s="14" t="str">
        <f t="shared" ref="AB1275:AC1275" si="2554">trim(Q1275)</f>
        <v>App Glitches</v>
      </c>
      <c r="AC1275" s="14" t="str">
        <f t="shared" si="2554"/>
        <v>Error Messages</v>
      </c>
      <c r="AD1275" s="8"/>
    </row>
    <row r="1276">
      <c r="A1276" s="14" t="str">
        <f>IFERROR(__xludf.DUMMYFUNCTION("""COMPUTED_VALUE"""),"//ord_61254//Mohit Malhotra//Lower Parel//Chicken Puff+4*Not Assigned/9/29/2023//Credit Card//Cancelled*High Delivery Fees")</f>
        <v>//ord_61254//Mohit Malhotra//Lower Parel//Chicken Puff+4*Not Assigned/9/29/2023//Credit Card//Cancelled*High Delivery Fees</v>
      </c>
      <c r="B1276" s="14" t="str">
        <f>IFERROR(__xludf.DUMMYFUNCTION("split(A1276,""//"")"),"ord_61254")</f>
        <v>ord_61254</v>
      </c>
      <c r="C1276" s="14" t="str">
        <f>IFERROR(__xludf.DUMMYFUNCTION("""COMPUTED_VALUE"""),"Mohit Malhotra")</f>
        <v>Mohit Malhotra</v>
      </c>
      <c r="D1276" s="14" t="str">
        <f>IFERROR(__xludf.DUMMYFUNCTION("""COMPUTED_VALUE"""),"Lower Parel")</f>
        <v>Lower Parel</v>
      </c>
      <c r="E1276" s="14" t="str">
        <f>IFERROR(__xludf.DUMMYFUNCTION("""COMPUTED_VALUE"""),"Chicken Puff+4*Not Assigned")</f>
        <v>Chicken Puff+4*Not Assigned</v>
      </c>
      <c r="F1276" s="14">
        <f>IFERROR(__xludf.DUMMYFUNCTION("""COMPUTED_VALUE"""),9.0)</f>
        <v>9</v>
      </c>
      <c r="G1276" s="14">
        <f>IFERROR(__xludf.DUMMYFUNCTION("""COMPUTED_VALUE"""),29.0)</f>
        <v>29</v>
      </c>
      <c r="H1276" s="14">
        <f>IFERROR(__xludf.DUMMYFUNCTION("""COMPUTED_VALUE"""),2023.0)</f>
        <v>2023</v>
      </c>
      <c r="I1276" s="14" t="str">
        <f>IFERROR(__xludf.DUMMYFUNCTION("""COMPUTED_VALUE"""),"Credit Card")</f>
        <v>Credit Card</v>
      </c>
      <c r="J1276" s="14" t="str">
        <f>IFERROR(__xludf.DUMMYFUNCTION("""COMPUTED_VALUE"""),"Cancelled*High Delivery Fees")</f>
        <v>Cancelled*High Delivery Fees</v>
      </c>
      <c r="K1276" s="14" t="str">
        <f>IFERROR(__xludf.DUMMYFUNCTION("split(E1276,""+"")"),"Chicken Puff")</f>
        <v>Chicken Puff</v>
      </c>
      <c r="L1276" s="14" t="str">
        <f>IFERROR(__xludf.DUMMYFUNCTION("""COMPUTED_VALUE"""),"4*Not Assigned")</f>
        <v>4*Not Assigned</v>
      </c>
      <c r="M1276" s="14">
        <f>IFERROR(__xludf.DUMMYFUNCTION("SPLIT(L1276,""*"")"),4.0)</f>
        <v>4</v>
      </c>
      <c r="N1276" s="14" t="str">
        <f>IFERROR(__xludf.DUMMYFUNCTION("""COMPUTED_VALUE"""),"Not Assigned")</f>
        <v>Not Assigned</v>
      </c>
      <c r="O1276" s="14" t="str">
        <f>IFERROR(__xludf.DUMMYFUNCTION("split(J1276,""*"")"),"Cancelled")</f>
        <v>Cancelled</v>
      </c>
      <c r="P1276" s="14" t="str">
        <f>IFERROR(__xludf.DUMMYFUNCTION("""COMPUTED_VALUE"""),"High Delivery Fees")</f>
        <v>High Delivery Fees</v>
      </c>
      <c r="Q1276" s="14" t="str">
        <f>IFERROR(__xludf.DUMMYFUNCTION("split(P1276,"":"")"),"High Delivery Fees")</f>
        <v>High Delivery Fees</v>
      </c>
      <c r="R1276" s="14"/>
      <c r="S1276" s="14" t="str">
        <f t="shared" ref="S1276:U1276" si="2555">trim(B1276)</f>
        <v>ord_61254</v>
      </c>
      <c r="T1276" s="14" t="str">
        <f t="shared" si="2555"/>
        <v>Mohit Malhotra</v>
      </c>
      <c r="U1276" s="14" t="str">
        <f t="shared" si="2555"/>
        <v>Lower Parel</v>
      </c>
      <c r="V1276" s="14" t="str">
        <f t="shared" si="4"/>
        <v>Chicken Puff</v>
      </c>
      <c r="W1276" s="14">
        <f t="shared" si="5"/>
        <v>4</v>
      </c>
      <c r="X1276" s="14" t="str">
        <f t="shared" si="6"/>
        <v>Not Assigned</v>
      </c>
      <c r="Y1276" s="15">
        <f t="shared" si="7"/>
        <v>45198</v>
      </c>
      <c r="Z1276" s="14" t="str">
        <f t="shared" si="8"/>
        <v>Credit Card</v>
      </c>
      <c r="AA1276" s="14" t="str">
        <f t="shared" si="9"/>
        <v>Cancelled</v>
      </c>
      <c r="AB1276" s="14" t="str">
        <f t="shared" ref="AB1276:AC1276" si="2556">trim(Q1276)</f>
        <v>High Delivery Fees</v>
      </c>
      <c r="AC1276" s="14" t="str">
        <f t="shared" si="2556"/>
        <v/>
      </c>
      <c r="AD1276" s="8"/>
    </row>
    <row r="1277">
      <c r="A1277" s="14" t="str">
        <f>IFERROR(__xludf.DUMMYFUNCTION("""COMPUTED_VALUE"""),"//ord_61255//Siya Reddy//Juhu//Icecream+3*Tanvi Jain/7/23/2023//UPI//Delivered*Quality of Items: Perfect condition")</f>
        <v>//ord_61255//Siya Reddy//Juhu//Icecream+3*Tanvi Jain/7/23/2023//UPI//Delivered*Quality of Items: Perfect condition</v>
      </c>
      <c r="B1277" s="14" t="str">
        <f>IFERROR(__xludf.DUMMYFUNCTION("split(A1277,""//"")"),"ord_61255")</f>
        <v>ord_61255</v>
      </c>
      <c r="C1277" s="14" t="str">
        <f>IFERROR(__xludf.DUMMYFUNCTION("""COMPUTED_VALUE"""),"Siya Reddy")</f>
        <v>Siya Reddy</v>
      </c>
      <c r="D1277" s="14" t="str">
        <f>IFERROR(__xludf.DUMMYFUNCTION("""COMPUTED_VALUE"""),"Juhu")</f>
        <v>Juhu</v>
      </c>
      <c r="E1277" s="14" t="str">
        <f>IFERROR(__xludf.DUMMYFUNCTION("""COMPUTED_VALUE"""),"Icecream+3*Tanvi Jain")</f>
        <v>Icecream+3*Tanvi Jain</v>
      </c>
      <c r="F1277" s="14">
        <f>IFERROR(__xludf.DUMMYFUNCTION("""COMPUTED_VALUE"""),7.0)</f>
        <v>7</v>
      </c>
      <c r="G1277" s="14">
        <f>IFERROR(__xludf.DUMMYFUNCTION("""COMPUTED_VALUE"""),23.0)</f>
        <v>23</v>
      </c>
      <c r="H1277" s="14">
        <f>IFERROR(__xludf.DUMMYFUNCTION("""COMPUTED_VALUE"""),2023.0)</f>
        <v>2023</v>
      </c>
      <c r="I1277" s="14" t="str">
        <f>IFERROR(__xludf.DUMMYFUNCTION("""COMPUTED_VALUE"""),"UPI")</f>
        <v>UPI</v>
      </c>
      <c r="J1277" s="14" t="str">
        <f>IFERROR(__xludf.DUMMYFUNCTION("""COMPUTED_VALUE"""),"Delivered*Quality of Items: Perfect condition")</f>
        <v>Delivered*Quality of Items: Perfect condition</v>
      </c>
      <c r="K1277" s="14" t="str">
        <f>IFERROR(__xludf.DUMMYFUNCTION("split(E1277,""+"")"),"Icecream")</f>
        <v>Icecream</v>
      </c>
      <c r="L1277" s="14" t="str">
        <f>IFERROR(__xludf.DUMMYFUNCTION("""COMPUTED_VALUE"""),"3*Tanvi Jain")</f>
        <v>3*Tanvi Jain</v>
      </c>
      <c r="M1277" s="14">
        <f>IFERROR(__xludf.DUMMYFUNCTION("SPLIT(L1277,""*"")"),3.0)</f>
        <v>3</v>
      </c>
      <c r="N1277" s="14" t="str">
        <f>IFERROR(__xludf.DUMMYFUNCTION("""COMPUTED_VALUE"""),"Tanvi Jain")</f>
        <v>Tanvi Jain</v>
      </c>
      <c r="O1277" s="14" t="str">
        <f>IFERROR(__xludf.DUMMYFUNCTION("split(J1277,""*"")"),"Delivered")</f>
        <v>Delivered</v>
      </c>
      <c r="P1277" s="14" t="str">
        <f>IFERROR(__xludf.DUMMYFUNCTION("""COMPUTED_VALUE"""),"Quality of Items: Perfect condition")</f>
        <v>Quality of Items: Perfect condition</v>
      </c>
      <c r="Q1277" s="14" t="str">
        <f>IFERROR(__xludf.DUMMYFUNCTION("split(P1277,"":"")"),"Quality of Items")</f>
        <v>Quality of Items</v>
      </c>
      <c r="R1277" s="14" t="str">
        <f>IFERROR(__xludf.DUMMYFUNCTION("""COMPUTED_VALUE""")," Perfect condition")</f>
        <v> Perfect condition</v>
      </c>
      <c r="S1277" s="14" t="str">
        <f t="shared" ref="S1277:U1277" si="2557">trim(B1277)</f>
        <v>ord_61255</v>
      </c>
      <c r="T1277" s="14" t="str">
        <f t="shared" si="2557"/>
        <v>Siya Reddy</v>
      </c>
      <c r="U1277" s="14" t="str">
        <f t="shared" si="2557"/>
        <v>Juhu</v>
      </c>
      <c r="V1277" s="14" t="str">
        <f t="shared" si="4"/>
        <v>Icecream</v>
      </c>
      <c r="W1277" s="14">
        <f t="shared" si="5"/>
        <v>3</v>
      </c>
      <c r="X1277" s="14" t="str">
        <f t="shared" si="6"/>
        <v>Tanvi Jain</v>
      </c>
      <c r="Y1277" s="15">
        <f t="shared" si="7"/>
        <v>45130</v>
      </c>
      <c r="Z1277" s="14" t="str">
        <f t="shared" si="8"/>
        <v>UPI</v>
      </c>
      <c r="AA1277" s="14" t="str">
        <f t="shared" si="9"/>
        <v>Delivered</v>
      </c>
      <c r="AB1277" s="14" t="str">
        <f t="shared" ref="AB1277:AC1277" si="2558">trim(Q1277)</f>
        <v>Quality of Items</v>
      </c>
      <c r="AC1277" s="14" t="str">
        <f t="shared" si="2558"/>
        <v>Perfect condition</v>
      </c>
      <c r="AD1277" s="8"/>
    </row>
    <row r="1278">
      <c r="A1278" s="14" t="str">
        <f>IFERROR(__xludf.DUMMYFUNCTION("""COMPUTED_VALUE"""),"//ord_61256//Mehul Thakkar//Malad//Banana+1*Neha Shah/3/4/2023//UPI//Delivered*On-time Delivery: Delivered on time")</f>
        <v>//ord_61256//Mehul Thakkar//Malad//Banana+1*Neha Shah/3/4/2023//UPI//Delivered*On-time Delivery: Delivered on time</v>
      </c>
      <c r="B1278" s="14" t="str">
        <f>IFERROR(__xludf.DUMMYFUNCTION("split(A1278,""//"")"),"ord_61256")</f>
        <v>ord_61256</v>
      </c>
      <c r="C1278" s="14" t="str">
        <f>IFERROR(__xludf.DUMMYFUNCTION("""COMPUTED_VALUE"""),"Mehul Thakkar")</f>
        <v>Mehul Thakkar</v>
      </c>
      <c r="D1278" s="14" t="str">
        <f>IFERROR(__xludf.DUMMYFUNCTION("""COMPUTED_VALUE"""),"Malad")</f>
        <v>Malad</v>
      </c>
      <c r="E1278" s="14" t="str">
        <f>IFERROR(__xludf.DUMMYFUNCTION("""COMPUTED_VALUE"""),"Banana+1*Neha Shah")</f>
        <v>Banana+1*Neha Shah</v>
      </c>
      <c r="F1278" s="14">
        <f>IFERROR(__xludf.DUMMYFUNCTION("""COMPUTED_VALUE"""),3.0)</f>
        <v>3</v>
      </c>
      <c r="G1278" s="14">
        <f>IFERROR(__xludf.DUMMYFUNCTION("""COMPUTED_VALUE"""),4.0)</f>
        <v>4</v>
      </c>
      <c r="H1278" s="14">
        <f>IFERROR(__xludf.DUMMYFUNCTION("""COMPUTED_VALUE"""),2023.0)</f>
        <v>2023</v>
      </c>
      <c r="I1278" s="14" t="str">
        <f>IFERROR(__xludf.DUMMYFUNCTION("""COMPUTED_VALUE"""),"UPI")</f>
        <v>UPI</v>
      </c>
      <c r="J1278" s="14" t="str">
        <f>IFERROR(__xludf.DUMMYFUNCTION("""COMPUTED_VALUE"""),"Delivered*On-time Delivery: Delivered on time")</f>
        <v>Delivered*On-time Delivery: Delivered on time</v>
      </c>
      <c r="K1278" s="14" t="str">
        <f>IFERROR(__xludf.DUMMYFUNCTION("split(E1278,""+"")"),"Banana")</f>
        <v>Banana</v>
      </c>
      <c r="L1278" s="14" t="str">
        <f>IFERROR(__xludf.DUMMYFUNCTION("""COMPUTED_VALUE"""),"1*Neha Shah")</f>
        <v>1*Neha Shah</v>
      </c>
      <c r="M1278" s="14">
        <f>IFERROR(__xludf.DUMMYFUNCTION("SPLIT(L1278,""*"")"),1.0)</f>
        <v>1</v>
      </c>
      <c r="N1278" s="14" t="str">
        <f>IFERROR(__xludf.DUMMYFUNCTION("""COMPUTED_VALUE"""),"Neha Shah")</f>
        <v>Neha Shah</v>
      </c>
      <c r="O1278" s="14" t="str">
        <f>IFERROR(__xludf.DUMMYFUNCTION("split(J1278,""*"")"),"Delivered")</f>
        <v>Delivered</v>
      </c>
      <c r="P1278" s="14" t="str">
        <f>IFERROR(__xludf.DUMMYFUNCTION("""COMPUTED_VALUE"""),"On-time Delivery: Delivered on time")</f>
        <v>On-time Delivery: Delivered on time</v>
      </c>
      <c r="Q1278" s="14" t="str">
        <f>IFERROR(__xludf.DUMMYFUNCTION("split(P1278,"":"")"),"On-time Delivery")</f>
        <v>On-time Delivery</v>
      </c>
      <c r="R1278" s="14" t="str">
        <f>IFERROR(__xludf.DUMMYFUNCTION("""COMPUTED_VALUE""")," Delivered on time")</f>
        <v> Delivered on time</v>
      </c>
      <c r="S1278" s="14" t="str">
        <f t="shared" ref="S1278:U1278" si="2559">trim(B1278)</f>
        <v>ord_61256</v>
      </c>
      <c r="T1278" s="14" t="str">
        <f t="shared" si="2559"/>
        <v>Mehul Thakkar</v>
      </c>
      <c r="U1278" s="14" t="str">
        <f t="shared" si="2559"/>
        <v>Malad</v>
      </c>
      <c r="V1278" s="14" t="str">
        <f t="shared" si="4"/>
        <v>Banana</v>
      </c>
      <c r="W1278" s="14">
        <f t="shared" si="5"/>
        <v>1</v>
      </c>
      <c r="X1278" s="14" t="str">
        <f t="shared" si="6"/>
        <v>Neha Shah</v>
      </c>
      <c r="Y1278" s="15">
        <f t="shared" si="7"/>
        <v>44989</v>
      </c>
      <c r="Z1278" s="14" t="str">
        <f t="shared" si="8"/>
        <v>UPI</v>
      </c>
      <c r="AA1278" s="14" t="str">
        <f t="shared" si="9"/>
        <v>Delivered</v>
      </c>
      <c r="AB1278" s="14" t="str">
        <f t="shared" ref="AB1278:AC1278" si="2560">trim(Q1278)</f>
        <v>On-time Delivery</v>
      </c>
      <c r="AC1278" s="14" t="str">
        <f t="shared" si="2560"/>
        <v>Delivered on time</v>
      </c>
      <c r="AD1278" s="8"/>
    </row>
    <row r="1279">
      <c r="A1279" s="14" t="str">
        <f>IFERROR(__xludf.DUMMYFUNCTION("""COMPUTED_VALUE"""),"//ord_61257//Parth Goel//Juhu//Chicken Puff+5*Not Assigned/9/16/2023//Online Payment//Cancelled*High Delivery Fees")</f>
        <v>//ord_61257//Parth Goel//Juhu//Chicken Puff+5*Not Assigned/9/16/2023//Online Payment//Cancelled*High Delivery Fees</v>
      </c>
      <c r="B1279" s="14" t="str">
        <f>IFERROR(__xludf.DUMMYFUNCTION("split(A1279,""//"")"),"ord_61257")</f>
        <v>ord_61257</v>
      </c>
      <c r="C1279" s="14" t="str">
        <f>IFERROR(__xludf.DUMMYFUNCTION("""COMPUTED_VALUE"""),"Parth Goel")</f>
        <v>Parth Goel</v>
      </c>
      <c r="D1279" s="14" t="str">
        <f>IFERROR(__xludf.DUMMYFUNCTION("""COMPUTED_VALUE"""),"Juhu")</f>
        <v>Juhu</v>
      </c>
      <c r="E1279" s="14" t="str">
        <f>IFERROR(__xludf.DUMMYFUNCTION("""COMPUTED_VALUE"""),"Chicken Puff+5*Not Assigned")</f>
        <v>Chicken Puff+5*Not Assigned</v>
      </c>
      <c r="F1279" s="14">
        <f>IFERROR(__xludf.DUMMYFUNCTION("""COMPUTED_VALUE"""),9.0)</f>
        <v>9</v>
      </c>
      <c r="G1279" s="14">
        <f>IFERROR(__xludf.DUMMYFUNCTION("""COMPUTED_VALUE"""),16.0)</f>
        <v>16</v>
      </c>
      <c r="H1279" s="14">
        <f>IFERROR(__xludf.DUMMYFUNCTION("""COMPUTED_VALUE"""),2023.0)</f>
        <v>2023</v>
      </c>
      <c r="I1279" s="14" t="str">
        <f>IFERROR(__xludf.DUMMYFUNCTION("""COMPUTED_VALUE"""),"Online Payment")</f>
        <v>Online Payment</v>
      </c>
      <c r="J1279" s="14" t="str">
        <f>IFERROR(__xludf.DUMMYFUNCTION("""COMPUTED_VALUE"""),"Cancelled*High Delivery Fees")</f>
        <v>Cancelled*High Delivery Fees</v>
      </c>
      <c r="K1279" s="14" t="str">
        <f>IFERROR(__xludf.DUMMYFUNCTION("split(E1279,""+"")"),"Chicken Puff")</f>
        <v>Chicken Puff</v>
      </c>
      <c r="L1279" s="14" t="str">
        <f>IFERROR(__xludf.DUMMYFUNCTION("""COMPUTED_VALUE"""),"5*Not Assigned")</f>
        <v>5*Not Assigned</v>
      </c>
      <c r="M1279" s="14">
        <f>IFERROR(__xludf.DUMMYFUNCTION("SPLIT(L1279,""*"")"),5.0)</f>
        <v>5</v>
      </c>
      <c r="N1279" s="14" t="str">
        <f>IFERROR(__xludf.DUMMYFUNCTION("""COMPUTED_VALUE"""),"Not Assigned")</f>
        <v>Not Assigned</v>
      </c>
      <c r="O1279" s="14" t="str">
        <f>IFERROR(__xludf.DUMMYFUNCTION("split(J1279,""*"")"),"Cancelled")</f>
        <v>Cancelled</v>
      </c>
      <c r="P1279" s="14" t="str">
        <f>IFERROR(__xludf.DUMMYFUNCTION("""COMPUTED_VALUE"""),"High Delivery Fees")</f>
        <v>High Delivery Fees</v>
      </c>
      <c r="Q1279" s="14" t="str">
        <f>IFERROR(__xludf.DUMMYFUNCTION("split(P1279,"":"")"),"High Delivery Fees")</f>
        <v>High Delivery Fees</v>
      </c>
      <c r="R1279" s="14"/>
      <c r="S1279" s="14" t="str">
        <f t="shared" ref="S1279:U1279" si="2561">trim(B1279)</f>
        <v>ord_61257</v>
      </c>
      <c r="T1279" s="14" t="str">
        <f t="shared" si="2561"/>
        <v>Parth Goel</v>
      </c>
      <c r="U1279" s="14" t="str">
        <f t="shared" si="2561"/>
        <v>Juhu</v>
      </c>
      <c r="V1279" s="14" t="str">
        <f t="shared" si="4"/>
        <v>Chicken Puff</v>
      </c>
      <c r="W1279" s="14">
        <f t="shared" si="5"/>
        <v>5</v>
      </c>
      <c r="X1279" s="14" t="str">
        <f t="shared" si="6"/>
        <v>Not Assigned</v>
      </c>
      <c r="Y1279" s="15">
        <f t="shared" si="7"/>
        <v>45185</v>
      </c>
      <c r="Z1279" s="14" t="str">
        <f t="shared" si="8"/>
        <v>Online Payment</v>
      </c>
      <c r="AA1279" s="14" t="str">
        <f t="shared" si="9"/>
        <v>Cancelled</v>
      </c>
      <c r="AB1279" s="14" t="str">
        <f t="shared" ref="AB1279:AC1279" si="2562">trim(Q1279)</f>
        <v>High Delivery Fees</v>
      </c>
      <c r="AC1279" s="14" t="str">
        <f t="shared" si="2562"/>
        <v/>
      </c>
      <c r="AD1279" s="8"/>
    </row>
    <row r="1280">
      <c r="A1280" s="14" t="str">
        <f>IFERROR(__xludf.DUMMYFUNCTION("""COMPUTED_VALUE"""),"//ord_61258//Kritika Shetty//Malad//Guava+1*Not Assigned/8/22/2023//Credit Card//Cancelled*Payment Issues")</f>
        <v>//ord_61258//Kritika Shetty//Malad//Guava+1*Not Assigned/8/22/2023//Credit Card//Cancelled*Payment Issues</v>
      </c>
      <c r="B1280" s="14" t="str">
        <f>IFERROR(__xludf.DUMMYFUNCTION("split(A1280,""//"")"),"ord_61258")</f>
        <v>ord_61258</v>
      </c>
      <c r="C1280" s="14" t="str">
        <f>IFERROR(__xludf.DUMMYFUNCTION("""COMPUTED_VALUE"""),"Kritika Shetty")</f>
        <v>Kritika Shetty</v>
      </c>
      <c r="D1280" s="14" t="str">
        <f>IFERROR(__xludf.DUMMYFUNCTION("""COMPUTED_VALUE"""),"Malad")</f>
        <v>Malad</v>
      </c>
      <c r="E1280" s="14" t="str">
        <f>IFERROR(__xludf.DUMMYFUNCTION("""COMPUTED_VALUE"""),"Guava+1*Not Assigned")</f>
        <v>Guava+1*Not Assigned</v>
      </c>
      <c r="F1280" s="14">
        <f>IFERROR(__xludf.DUMMYFUNCTION("""COMPUTED_VALUE"""),8.0)</f>
        <v>8</v>
      </c>
      <c r="G1280" s="14">
        <f>IFERROR(__xludf.DUMMYFUNCTION("""COMPUTED_VALUE"""),22.0)</f>
        <v>22</v>
      </c>
      <c r="H1280" s="14">
        <f>IFERROR(__xludf.DUMMYFUNCTION("""COMPUTED_VALUE"""),2023.0)</f>
        <v>2023</v>
      </c>
      <c r="I1280" s="14" t="str">
        <f>IFERROR(__xludf.DUMMYFUNCTION("""COMPUTED_VALUE"""),"Credit Card")</f>
        <v>Credit Card</v>
      </c>
      <c r="J1280" s="14" t="str">
        <f>IFERROR(__xludf.DUMMYFUNCTION("""COMPUTED_VALUE"""),"Cancelled*Payment Issues")</f>
        <v>Cancelled*Payment Issues</v>
      </c>
      <c r="K1280" s="14" t="str">
        <f>IFERROR(__xludf.DUMMYFUNCTION("split(E1280,""+"")"),"Guava")</f>
        <v>Guava</v>
      </c>
      <c r="L1280" s="14" t="str">
        <f>IFERROR(__xludf.DUMMYFUNCTION("""COMPUTED_VALUE"""),"1*Not Assigned")</f>
        <v>1*Not Assigned</v>
      </c>
      <c r="M1280" s="14">
        <f>IFERROR(__xludf.DUMMYFUNCTION("SPLIT(L1280,""*"")"),1.0)</f>
        <v>1</v>
      </c>
      <c r="N1280" s="14" t="str">
        <f>IFERROR(__xludf.DUMMYFUNCTION("""COMPUTED_VALUE"""),"Not Assigned")</f>
        <v>Not Assigned</v>
      </c>
      <c r="O1280" s="14" t="str">
        <f>IFERROR(__xludf.DUMMYFUNCTION("split(J1280,""*"")"),"Cancelled")</f>
        <v>Cancelled</v>
      </c>
      <c r="P1280" s="14" t="str">
        <f>IFERROR(__xludf.DUMMYFUNCTION("""COMPUTED_VALUE"""),"Payment Issues")</f>
        <v>Payment Issues</v>
      </c>
      <c r="Q1280" s="14" t="str">
        <f>IFERROR(__xludf.DUMMYFUNCTION("split(P1280,"":"")"),"Payment Issues")</f>
        <v>Payment Issues</v>
      </c>
      <c r="R1280" s="14"/>
      <c r="S1280" s="14" t="str">
        <f t="shared" ref="S1280:U1280" si="2563">trim(B1280)</f>
        <v>ord_61258</v>
      </c>
      <c r="T1280" s="14" t="str">
        <f t="shared" si="2563"/>
        <v>Kritika Shetty</v>
      </c>
      <c r="U1280" s="14" t="str">
        <f t="shared" si="2563"/>
        <v>Malad</v>
      </c>
      <c r="V1280" s="14" t="str">
        <f t="shared" si="4"/>
        <v>Guava</v>
      </c>
      <c r="W1280" s="14">
        <f t="shared" si="5"/>
        <v>1</v>
      </c>
      <c r="X1280" s="14" t="str">
        <f t="shared" si="6"/>
        <v>Not Assigned</v>
      </c>
      <c r="Y1280" s="15">
        <f t="shared" si="7"/>
        <v>45160</v>
      </c>
      <c r="Z1280" s="14" t="str">
        <f t="shared" si="8"/>
        <v>Credit Card</v>
      </c>
      <c r="AA1280" s="14" t="str">
        <f t="shared" si="9"/>
        <v>Cancelled</v>
      </c>
      <c r="AB1280" s="14" t="str">
        <f t="shared" ref="AB1280:AC1280" si="2564">trim(Q1280)</f>
        <v>Payment Issues</v>
      </c>
      <c r="AC1280" s="14" t="str">
        <f t="shared" si="2564"/>
        <v/>
      </c>
      <c r="AD1280" s="8"/>
    </row>
    <row r="1281">
      <c r="A1281" s="14" t="str">
        <f>IFERROR(__xludf.DUMMYFUNCTION("""COMPUTED_VALUE"""),"//ord_61259//Kritika Shetty//Malad//Juice+4*Not Assigned/5/19/2023//Credit Card//Cancelled*App Glitches: Payment Button Malfunction")</f>
        <v>//ord_61259//Kritika Shetty//Malad//Juice+4*Not Assigned/5/19/2023//Credit Card//Cancelled*App Glitches: Payment Button Malfunction</v>
      </c>
      <c r="B1281" s="14" t="str">
        <f>IFERROR(__xludf.DUMMYFUNCTION("split(A1281,""//"")"),"ord_61259")</f>
        <v>ord_61259</v>
      </c>
      <c r="C1281" s="14" t="str">
        <f>IFERROR(__xludf.DUMMYFUNCTION("""COMPUTED_VALUE"""),"Kritika Shetty")</f>
        <v>Kritika Shetty</v>
      </c>
      <c r="D1281" s="14" t="str">
        <f>IFERROR(__xludf.DUMMYFUNCTION("""COMPUTED_VALUE"""),"Malad")</f>
        <v>Malad</v>
      </c>
      <c r="E1281" s="14" t="str">
        <f>IFERROR(__xludf.DUMMYFUNCTION("""COMPUTED_VALUE"""),"Juice+4*Not Assigned")</f>
        <v>Juice+4*Not Assigned</v>
      </c>
      <c r="F1281" s="14">
        <f>IFERROR(__xludf.DUMMYFUNCTION("""COMPUTED_VALUE"""),5.0)</f>
        <v>5</v>
      </c>
      <c r="G1281" s="14">
        <f>IFERROR(__xludf.DUMMYFUNCTION("""COMPUTED_VALUE"""),19.0)</f>
        <v>19</v>
      </c>
      <c r="H1281" s="14">
        <f>IFERROR(__xludf.DUMMYFUNCTION("""COMPUTED_VALUE"""),2023.0)</f>
        <v>2023</v>
      </c>
      <c r="I1281" s="14" t="str">
        <f>IFERROR(__xludf.DUMMYFUNCTION("""COMPUTED_VALUE"""),"Credit Card")</f>
        <v>Credit Card</v>
      </c>
      <c r="J1281" s="14" t="str">
        <f>IFERROR(__xludf.DUMMYFUNCTION("""COMPUTED_VALUE"""),"Cancelled*App Glitches: Payment Button Malfunction")</f>
        <v>Cancelled*App Glitches: Payment Button Malfunction</v>
      </c>
      <c r="K1281" s="14" t="str">
        <f>IFERROR(__xludf.DUMMYFUNCTION("split(E1281,""+"")"),"Juice")</f>
        <v>Juice</v>
      </c>
      <c r="L1281" s="14" t="str">
        <f>IFERROR(__xludf.DUMMYFUNCTION("""COMPUTED_VALUE"""),"4*Not Assigned")</f>
        <v>4*Not Assigned</v>
      </c>
      <c r="M1281" s="14">
        <f>IFERROR(__xludf.DUMMYFUNCTION("SPLIT(L1281,""*"")"),4.0)</f>
        <v>4</v>
      </c>
      <c r="N1281" s="14" t="str">
        <f>IFERROR(__xludf.DUMMYFUNCTION("""COMPUTED_VALUE"""),"Not Assigned")</f>
        <v>Not Assigned</v>
      </c>
      <c r="O1281" s="14" t="str">
        <f>IFERROR(__xludf.DUMMYFUNCTION("split(J1281,""*"")"),"Cancelled")</f>
        <v>Cancelled</v>
      </c>
      <c r="P1281" s="14" t="str">
        <f>IFERROR(__xludf.DUMMYFUNCTION("""COMPUTED_VALUE"""),"App Glitches: Payment Button Malfunction")</f>
        <v>App Glitches: Payment Button Malfunction</v>
      </c>
      <c r="Q1281" s="14" t="str">
        <f>IFERROR(__xludf.DUMMYFUNCTION("split(P1281,"":"")"),"App Glitches")</f>
        <v>App Glitches</v>
      </c>
      <c r="R1281" s="14" t="str">
        <f>IFERROR(__xludf.DUMMYFUNCTION("""COMPUTED_VALUE""")," Payment Button Malfunction")</f>
        <v> Payment Button Malfunction</v>
      </c>
      <c r="S1281" s="14" t="str">
        <f t="shared" ref="S1281:U1281" si="2565">trim(B1281)</f>
        <v>ord_61259</v>
      </c>
      <c r="T1281" s="14" t="str">
        <f t="shared" si="2565"/>
        <v>Kritika Shetty</v>
      </c>
      <c r="U1281" s="14" t="str">
        <f t="shared" si="2565"/>
        <v>Malad</v>
      </c>
      <c r="V1281" s="14" t="str">
        <f t="shared" si="4"/>
        <v>Juice</v>
      </c>
      <c r="W1281" s="14">
        <f t="shared" si="5"/>
        <v>4</v>
      </c>
      <c r="X1281" s="14" t="str">
        <f t="shared" si="6"/>
        <v>Not Assigned</v>
      </c>
      <c r="Y1281" s="15">
        <f t="shared" si="7"/>
        <v>45065</v>
      </c>
      <c r="Z1281" s="14" t="str">
        <f t="shared" si="8"/>
        <v>Credit Card</v>
      </c>
      <c r="AA1281" s="14" t="str">
        <f t="shared" si="9"/>
        <v>Cancelled</v>
      </c>
      <c r="AB1281" s="14" t="str">
        <f t="shared" ref="AB1281:AC1281" si="2566">trim(Q1281)</f>
        <v>App Glitches</v>
      </c>
      <c r="AC1281" s="14" t="str">
        <f t="shared" si="2566"/>
        <v>Payment Button Malfunction</v>
      </c>
      <c r="AD1281" s="8"/>
    </row>
    <row r="1282">
      <c r="A1282" s="14" t="str">
        <f>IFERROR(__xludf.DUMMYFUNCTION("""COMPUTED_VALUE"""),"//ord_61260//Omkar Mishra//Powai//Juice+4*Sandeep Kumar/10/9/2023//UPI//Delivered*Quality of Items: Perfect condition")</f>
        <v>//ord_61260//Omkar Mishra//Powai//Juice+4*Sandeep Kumar/10/9/2023//UPI//Delivered*Quality of Items: Perfect condition</v>
      </c>
      <c r="B1282" s="14" t="str">
        <f>IFERROR(__xludf.DUMMYFUNCTION("split(A1282,""//"")"),"ord_61260")</f>
        <v>ord_61260</v>
      </c>
      <c r="C1282" s="14" t="str">
        <f>IFERROR(__xludf.DUMMYFUNCTION("""COMPUTED_VALUE"""),"Omkar Mishra")</f>
        <v>Omkar Mishra</v>
      </c>
      <c r="D1282" s="14" t="str">
        <f>IFERROR(__xludf.DUMMYFUNCTION("""COMPUTED_VALUE"""),"Powai")</f>
        <v>Powai</v>
      </c>
      <c r="E1282" s="14" t="str">
        <f>IFERROR(__xludf.DUMMYFUNCTION("""COMPUTED_VALUE"""),"Juice+4*Sandeep Kumar")</f>
        <v>Juice+4*Sandeep Kumar</v>
      </c>
      <c r="F1282" s="14">
        <f>IFERROR(__xludf.DUMMYFUNCTION("""COMPUTED_VALUE"""),10.0)</f>
        <v>10</v>
      </c>
      <c r="G1282" s="14">
        <f>IFERROR(__xludf.DUMMYFUNCTION("""COMPUTED_VALUE"""),9.0)</f>
        <v>9</v>
      </c>
      <c r="H1282" s="14">
        <f>IFERROR(__xludf.DUMMYFUNCTION("""COMPUTED_VALUE"""),2023.0)</f>
        <v>2023</v>
      </c>
      <c r="I1282" s="14" t="str">
        <f>IFERROR(__xludf.DUMMYFUNCTION("""COMPUTED_VALUE"""),"UPI")</f>
        <v>UPI</v>
      </c>
      <c r="J1282" s="14" t="str">
        <f>IFERROR(__xludf.DUMMYFUNCTION("""COMPUTED_VALUE"""),"Delivered*Quality of Items: Perfect condition")</f>
        <v>Delivered*Quality of Items: Perfect condition</v>
      </c>
      <c r="K1282" s="14" t="str">
        <f>IFERROR(__xludf.DUMMYFUNCTION("split(E1282,""+"")"),"Juice")</f>
        <v>Juice</v>
      </c>
      <c r="L1282" s="14" t="str">
        <f>IFERROR(__xludf.DUMMYFUNCTION("""COMPUTED_VALUE"""),"4*Sandeep Kumar")</f>
        <v>4*Sandeep Kumar</v>
      </c>
      <c r="M1282" s="14">
        <f>IFERROR(__xludf.DUMMYFUNCTION("SPLIT(L1282,""*"")"),4.0)</f>
        <v>4</v>
      </c>
      <c r="N1282" s="14" t="str">
        <f>IFERROR(__xludf.DUMMYFUNCTION("""COMPUTED_VALUE"""),"Sandeep Kumar")</f>
        <v>Sandeep Kumar</v>
      </c>
      <c r="O1282" s="14" t="str">
        <f>IFERROR(__xludf.DUMMYFUNCTION("split(J1282,""*"")"),"Delivered")</f>
        <v>Delivered</v>
      </c>
      <c r="P1282" s="14" t="str">
        <f>IFERROR(__xludf.DUMMYFUNCTION("""COMPUTED_VALUE"""),"Quality of Items: Perfect condition")</f>
        <v>Quality of Items: Perfect condition</v>
      </c>
      <c r="Q1282" s="14" t="str">
        <f>IFERROR(__xludf.DUMMYFUNCTION("split(P1282,"":"")"),"Quality of Items")</f>
        <v>Quality of Items</v>
      </c>
      <c r="R1282" s="14" t="str">
        <f>IFERROR(__xludf.DUMMYFUNCTION("""COMPUTED_VALUE""")," Perfect condition")</f>
        <v> Perfect condition</v>
      </c>
      <c r="S1282" s="14" t="str">
        <f t="shared" ref="S1282:U1282" si="2567">trim(B1282)</f>
        <v>ord_61260</v>
      </c>
      <c r="T1282" s="14" t="str">
        <f t="shared" si="2567"/>
        <v>Omkar Mishra</v>
      </c>
      <c r="U1282" s="14" t="str">
        <f t="shared" si="2567"/>
        <v>Powai</v>
      </c>
      <c r="V1282" s="14" t="str">
        <f t="shared" si="4"/>
        <v>Juice</v>
      </c>
      <c r="W1282" s="14">
        <f t="shared" si="5"/>
        <v>4</v>
      </c>
      <c r="X1282" s="14" t="str">
        <f t="shared" si="6"/>
        <v>Sandeep Kumar</v>
      </c>
      <c r="Y1282" s="15">
        <f t="shared" si="7"/>
        <v>45208</v>
      </c>
      <c r="Z1282" s="14" t="str">
        <f t="shared" si="8"/>
        <v>UPI</v>
      </c>
      <c r="AA1282" s="14" t="str">
        <f t="shared" si="9"/>
        <v>Delivered</v>
      </c>
      <c r="AB1282" s="14" t="str">
        <f t="shared" ref="AB1282:AC1282" si="2568">trim(Q1282)</f>
        <v>Quality of Items</v>
      </c>
      <c r="AC1282" s="14" t="str">
        <f t="shared" si="2568"/>
        <v>Perfect condition</v>
      </c>
      <c r="AD1282" s="8"/>
    </row>
    <row r="1283">
      <c r="A1283" s="14" t="str">
        <f>IFERROR(__xludf.DUMMYFUNCTION("""COMPUTED_VALUE"""),"//ord_61261//Ishaan Chaturvedi//Bandra//Tiramisu+5*Priya Joshi/6/7/2023//Online Payment//Delivered*Packaging: Secure and intact")</f>
        <v>//ord_61261//Ishaan Chaturvedi//Bandra//Tiramisu+5*Priya Joshi/6/7/2023//Online Payment//Delivered*Packaging: Secure and intact</v>
      </c>
      <c r="B1283" s="14" t="str">
        <f>IFERROR(__xludf.DUMMYFUNCTION("split(A1283,""//"")"),"ord_61261")</f>
        <v>ord_61261</v>
      </c>
      <c r="C1283" s="14" t="str">
        <f>IFERROR(__xludf.DUMMYFUNCTION("""COMPUTED_VALUE"""),"Ishaan Chaturvedi")</f>
        <v>Ishaan Chaturvedi</v>
      </c>
      <c r="D1283" s="14" t="str">
        <f>IFERROR(__xludf.DUMMYFUNCTION("""COMPUTED_VALUE"""),"Bandra")</f>
        <v>Bandra</v>
      </c>
      <c r="E1283" s="14" t="str">
        <f>IFERROR(__xludf.DUMMYFUNCTION("""COMPUTED_VALUE"""),"Tiramisu+5*Priya Joshi")</f>
        <v>Tiramisu+5*Priya Joshi</v>
      </c>
      <c r="F1283" s="14">
        <f>IFERROR(__xludf.DUMMYFUNCTION("""COMPUTED_VALUE"""),6.0)</f>
        <v>6</v>
      </c>
      <c r="G1283" s="14">
        <f>IFERROR(__xludf.DUMMYFUNCTION("""COMPUTED_VALUE"""),7.0)</f>
        <v>7</v>
      </c>
      <c r="H1283" s="14">
        <f>IFERROR(__xludf.DUMMYFUNCTION("""COMPUTED_VALUE"""),2023.0)</f>
        <v>2023</v>
      </c>
      <c r="I1283" s="14" t="str">
        <f>IFERROR(__xludf.DUMMYFUNCTION("""COMPUTED_VALUE"""),"Online Payment")</f>
        <v>Online Payment</v>
      </c>
      <c r="J1283" s="14" t="str">
        <f>IFERROR(__xludf.DUMMYFUNCTION("""COMPUTED_VALUE"""),"Delivered*Packaging: Secure and intact")</f>
        <v>Delivered*Packaging: Secure and intact</v>
      </c>
      <c r="K1283" s="14" t="str">
        <f>IFERROR(__xludf.DUMMYFUNCTION("split(E1283,""+"")"),"Tiramisu")</f>
        <v>Tiramisu</v>
      </c>
      <c r="L1283" s="14" t="str">
        <f>IFERROR(__xludf.DUMMYFUNCTION("""COMPUTED_VALUE"""),"5*Priya Joshi")</f>
        <v>5*Priya Joshi</v>
      </c>
      <c r="M1283" s="14">
        <f>IFERROR(__xludf.DUMMYFUNCTION("SPLIT(L1283,""*"")"),5.0)</f>
        <v>5</v>
      </c>
      <c r="N1283" s="14" t="str">
        <f>IFERROR(__xludf.DUMMYFUNCTION("""COMPUTED_VALUE"""),"Priya Joshi")</f>
        <v>Priya Joshi</v>
      </c>
      <c r="O1283" s="14" t="str">
        <f>IFERROR(__xludf.DUMMYFUNCTION("split(J1283,""*"")"),"Delivered")</f>
        <v>Delivered</v>
      </c>
      <c r="P1283" s="14" t="str">
        <f>IFERROR(__xludf.DUMMYFUNCTION("""COMPUTED_VALUE"""),"Packaging: Secure and intact")</f>
        <v>Packaging: Secure and intact</v>
      </c>
      <c r="Q1283" s="14" t="str">
        <f>IFERROR(__xludf.DUMMYFUNCTION("split(P1283,"":"")"),"Packaging")</f>
        <v>Packaging</v>
      </c>
      <c r="R1283" s="14" t="str">
        <f>IFERROR(__xludf.DUMMYFUNCTION("""COMPUTED_VALUE""")," Secure and intact")</f>
        <v> Secure and intact</v>
      </c>
      <c r="S1283" s="14" t="str">
        <f t="shared" ref="S1283:U1283" si="2569">trim(B1283)</f>
        <v>ord_61261</v>
      </c>
      <c r="T1283" s="14" t="str">
        <f t="shared" si="2569"/>
        <v>Ishaan Chaturvedi</v>
      </c>
      <c r="U1283" s="14" t="str">
        <f t="shared" si="2569"/>
        <v>Bandra</v>
      </c>
      <c r="V1283" s="14" t="str">
        <f t="shared" si="4"/>
        <v>Tiramisu</v>
      </c>
      <c r="W1283" s="14">
        <f t="shared" si="5"/>
        <v>5</v>
      </c>
      <c r="X1283" s="14" t="str">
        <f t="shared" si="6"/>
        <v>Priya Joshi</v>
      </c>
      <c r="Y1283" s="15">
        <f t="shared" si="7"/>
        <v>45084</v>
      </c>
      <c r="Z1283" s="14" t="str">
        <f t="shared" si="8"/>
        <v>Online Payment</v>
      </c>
      <c r="AA1283" s="14" t="str">
        <f t="shared" si="9"/>
        <v>Delivered</v>
      </c>
      <c r="AB1283" s="14" t="str">
        <f t="shared" ref="AB1283:AC1283" si="2570">trim(Q1283)</f>
        <v>Packaging</v>
      </c>
      <c r="AC1283" s="14" t="str">
        <f t="shared" si="2570"/>
        <v>Secure and intact</v>
      </c>
      <c r="AD1283" s="8"/>
    </row>
    <row r="1284">
      <c r="A1284" s="14" t="str">
        <f>IFERROR(__xludf.DUMMYFUNCTION("""COMPUTED_VALUE"""),"//ord_61262//Ishita Banerjee//Juhu//Veg Puff+2*Tanvi Jain/2/8/2023//UPI//Delivered*Satisfied with the Delivery: Timely and quality")</f>
        <v>//ord_61262//Ishita Banerjee//Juhu//Veg Puff+2*Tanvi Jain/2/8/2023//UPI//Delivered*Satisfied with the Delivery: Timely and quality</v>
      </c>
      <c r="B1284" s="14" t="str">
        <f>IFERROR(__xludf.DUMMYFUNCTION("split(A1284,""//"")"),"ord_61262")</f>
        <v>ord_61262</v>
      </c>
      <c r="C1284" s="14" t="str">
        <f>IFERROR(__xludf.DUMMYFUNCTION("""COMPUTED_VALUE"""),"Ishita Banerjee")</f>
        <v>Ishita Banerjee</v>
      </c>
      <c r="D1284" s="14" t="str">
        <f>IFERROR(__xludf.DUMMYFUNCTION("""COMPUTED_VALUE"""),"Juhu")</f>
        <v>Juhu</v>
      </c>
      <c r="E1284" s="14" t="str">
        <f>IFERROR(__xludf.DUMMYFUNCTION("""COMPUTED_VALUE"""),"Veg Puff+2*Tanvi Jain")</f>
        <v>Veg Puff+2*Tanvi Jain</v>
      </c>
      <c r="F1284" s="14">
        <f>IFERROR(__xludf.DUMMYFUNCTION("""COMPUTED_VALUE"""),2.0)</f>
        <v>2</v>
      </c>
      <c r="G1284" s="14">
        <f>IFERROR(__xludf.DUMMYFUNCTION("""COMPUTED_VALUE"""),8.0)</f>
        <v>8</v>
      </c>
      <c r="H1284" s="14">
        <f>IFERROR(__xludf.DUMMYFUNCTION("""COMPUTED_VALUE"""),2023.0)</f>
        <v>2023</v>
      </c>
      <c r="I1284" s="14" t="str">
        <f>IFERROR(__xludf.DUMMYFUNCTION("""COMPUTED_VALUE"""),"UPI")</f>
        <v>UPI</v>
      </c>
      <c r="J1284" s="14" t="str">
        <f>IFERROR(__xludf.DUMMYFUNCTION("""COMPUTED_VALUE"""),"Delivered*Satisfied with the Delivery: Timely and quality")</f>
        <v>Delivered*Satisfied with the Delivery: Timely and quality</v>
      </c>
      <c r="K1284" s="14" t="str">
        <f>IFERROR(__xludf.DUMMYFUNCTION("split(E1284,""+"")"),"Veg Puff")</f>
        <v>Veg Puff</v>
      </c>
      <c r="L1284" s="14" t="str">
        <f>IFERROR(__xludf.DUMMYFUNCTION("""COMPUTED_VALUE"""),"2*Tanvi Jain")</f>
        <v>2*Tanvi Jain</v>
      </c>
      <c r="M1284" s="14">
        <f>IFERROR(__xludf.DUMMYFUNCTION("SPLIT(L1284,""*"")"),2.0)</f>
        <v>2</v>
      </c>
      <c r="N1284" s="14" t="str">
        <f>IFERROR(__xludf.DUMMYFUNCTION("""COMPUTED_VALUE"""),"Tanvi Jain")</f>
        <v>Tanvi Jain</v>
      </c>
      <c r="O1284" s="14" t="str">
        <f>IFERROR(__xludf.DUMMYFUNCTION("split(J1284,""*"")"),"Delivered")</f>
        <v>Delivered</v>
      </c>
      <c r="P1284" s="14" t="str">
        <f>IFERROR(__xludf.DUMMYFUNCTION("""COMPUTED_VALUE"""),"Satisfied with the Delivery: Timely and quality")</f>
        <v>Satisfied with the Delivery: Timely and quality</v>
      </c>
      <c r="Q1284" s="14" t="str">
        <f>IFERROR(__xludf.DUMMYFUNCTION("split(P1284,"":"")"),"Satisfied with the Delivery")</f>
        <v>Satisfied with the Delivery</v>
      </c>
      <c r="R1284" s="14" t="str">
        <f>IFERROR(__xludf.DUMMYFUNCTION("""COMPUTED_VALUE""")," Timely and quality")</f>
        <v> Timely and quality</v>
      </c>
      <c r="S1284" s="14" t="str">
        <f t="shared" ref="S1284:U1284" si="2571">trim(B1284)</f>
        <v>ord_61262</v>
      </c>
      <c r="T1284" s="14" t="str">
        <f t="shared" si="2571"/>
        <v>Ishita Banerjee</v>
      </c>
      <c r="U1284" s="14" t="str">
        <f t="shared" si="2571"/>
        <v>Juhu</v>
      </c>
      <c r="V1284" s="14" t="str">
        <f t="shared" si="4"/>
        <v>Veg Puff</v>
      </c>
      <c r="W1284" s="14">
        <f t="shared" si="5"/>
        <v>2</v>
      </c>
      <c r="X1284" s="14" t="str">
        <f t="shared" si="6"/>
        <v>Tanvi Jain</v>
      </c>
      <c r="Y1284" s="15">
        <f t="shared" si="7"/>
        <v>44965</v>
      </c>
      <c r="Z1284" s="14" t="str">
        <f t="shared" si="8"/>
        <v>UPI</v>
      </c>
      <c r="AA1284" s="14" t="str">
        <f t="shared" si="9"/>
        <v>Delivered</v>
      </c>
      <c r="AB1284" s="14" t="str">
        <f t="shared" ref="AB1284:AC1284" si="2572">trim(Q1284)</f>
        <v>Satisfied with the Delivery</v>
      </c>
      <c r="AC1284" s="14" t="str">
        <f t="shared" si="2572"/>
        <v>Timely and quality</v>
      </c>
      <c r="AD1284" s="8"/>
    </row>
    <row r="1285">
      <c r="A1285" s="14" t="str">
        <f>IFERROR(__xludf.DUMMYFUNCTION("""COMPUTED_VALUE"""),"//ord_61263//Mohit Malhotra//Lower Parel//Orange+1*Kiran Mehta/1/19/2023//UPI//Delivered*Customer Service: Seamless and easy")</f>
        <v>//ord_61263//Mohit Malhotra//Lower Parel//Orange+1*Kiran Mehta/1/19/2023//UPI//Delivered*Customer Service: Seamless and easy</v>
      </c>
      <c r="B1285" s="14" t="str">
        <f>IFERROR(__xludf.DUMMYFUNCTION("split(A1285,""//"")"),"ord_61263")</f>
        <v>ord_61263</v>
      </c>
      <c r="C1285" s="14" t="str">
        <f>IFERROR(__xludf.DUMMYFUNCTION("""COMPUTED_VALUE"""),"Mohit Malhotra")</f>
        <v>Mohit Malhotra</v>
      </c>
      <c r="D1285" s="14" t="str">
        <f>IFERROR(__xludf.DUMMYFUNCTION("""COMPUTED_VALUE"""),"Lower Parel")</f>
        <v>Lower Parel</v>
      </c>
      <c r="E1285" s="14" t="str">
        <f>IFERROR(__xludf.DUMMYFUNCTION("""COMPUTED_VALUE"""),"Orange+1*Kiran Mehta")</f>
        <v>Orange+1*Kiran Mehta</v>
      </c>
      <c r="F1285" s="14">
        <f>IFERROR(__xludf.DUMMYFUNCTION("""COMPUTED_VALUE"""),1.0)</f>
        <v>1</v>
      </c>
      <c r="G1285" s="14">
        <f>IFERROR(__xludf.DUMMYFUNCTION("""COMPUTED_VALUE"""),19.0)</f>
        <v>19</v>
      </c>
      <c r="H1285" s="14">
        <f>IFERROR(__xludf.DUMMYFUNCTION("""COMPUTED_VALUE"""),2023.0)</f>
        <v>2023</v>
      </c>
      <c r="I1285" s="14" t="str">
        <f>IFERROR(__xludf.DUMMYFUNCTION("""COMPUTED_VALUE"""),"UPI")</f>
        <v>UPI</v>
      </c>
      <c r="J1285" s="14" t="str">
        <f>IFERROR(__xludf.DUMMYFUNCTION("""COMPUTED_VALUE"""),"Delivered*Customer Service: Seamless and easy")</f>
        <v>Delivered*Customer Service: Seamless and easy</v>
      </c>
      <c r="K1285" s="14" t="str">
        <f>IFERROR(__xludf.DUMMYFUNCTION("split(E1285,""+"")"),"Orange")</f>
        <v>Orange</v>
      </c>
      <c r="L1285" s="14" t="str">
        <f>IFERROR(__xludf.DUMMYFUNCTION("""COMPUTED_VALUE"""),"1*Kiran Mehta")</f>
        <v>1*Kiran Mehta</v>
      </c>
      <c r="M1285" s="14">
        <f>IFERROR(__xludf.DUMMYFUNCTION("SPLIT(L1285,""*"")"),1.0)</f>
        <v>1</v>
      </c>
      <c r="N1285" s="14" t="str">
        <f>IFERROR(__xludf.DUMMYFUNCTION("""COMPUTED_VALUE"""),"Kiran Mehta")</f>
        <v>Kiran Mehta</v>
      </c>
      <c r="O1285" s="14" t="str">
        <f>IFERROR(__xludf.DUMMYFUNCTION("split(J1285,""*"")"),"Delivered")</f>
        <v>Delivered</v>
      </c>
      <c r="P1285" s="14" t="str">
        <f>IFERROR(__xludf.DUMMYFUNCTION("""COMPUTED_VALUE"""),"Customer Service: Seamless and easy")</f>
        <v>Customer Service: Seamless and easy</v>
      </c>
      <c r="Q1285" s="14" t="str">
        <f>IFERROR(__xludf.DUMMYFUNCTION("split(P1285,"":"")"),"Customer Service")</f>
        <v>Customer Service</v>
      </c>
      <c r="R1285" s="14" t="str">
        <f>IFERROR(__xludf.DUMMYFUNCTION("""COMPUTED_VALUE""")," Seamless and easy")</f>
        <v> Seamless and easy</v>
      </c>
      <c r="S1285" s="14" t="str">
        <f t="shared" ref="S1285:U1285" si="2573">trim(B1285)</f>
        <v>ord_61263</v>
      </c>
      <c r="T1285" s="14" t="str">
        <f t="shared" si="2573"/>
        <v>Mohit Malhotra</v>
      </c>
      <c r="U1285" s="14" t="str">
        <f t="shared" si="2573"/>
        <v>Lower Parel</v>
      </c>
      <c r="V1285" s="14" t="str">
        <f t="shared" si="4"/>
        <v>Orange</v>
      </c>
      <c r="W1285" s="14">
        <f t="shared" si="5"/>
        <v>1</v>
      </c>
      <c r="X1285" s="14" t="str">
        <f t="shared" si="6"/>
        <v>Kiran Mehta</v>
      </c>
      <c r="Y1285" s="15">
        <f t="shared" si="7"/>
        <v>44945</v>
      </c>
      <c r="Z1285" s="14" t="str">
        <f t="shared" si="8"/>
        <v>UPI</v>
      </c>
      <c r="AA1285" s="14" t="str">
        <f t="shared" si="9"/>
        <v>Delivered</v>
      </c>
      <c r="AB1285" s="14" t="str">
        <f t="shared" ref="AB1285:AC1285" si="2574">trim(Q1285)</f>
        <v>Customer Service</v>
      </c>
      <c r="AC1285" s="14" t="str">
        <f t="shared" si="2574"/>
        <v>Seamless and easy</v>
      </c>
      <c r="AD1285" s="8"/>
    </row>
    <row r="1286">
      <c r="A1286" s="14" t="str">
        <f>IFERROR(__xludf.DUMMYFUNCTION("""COMPUTED_VALUE"""),"//ord_61264//Aarav Mehta//Andheri//Guava+1*Rohan Yadav/1/18/2023//Online Payment//Delivered*Delivery Experience: Quick and professional")</f>
        <v>//ord_61264//Aarav Mehta//Andheri//Guava+1*Rohan Yadav/1/18/2023//Online Payment//Delivered*Delivery Experience: Quick and professional</v>
      </c>
      <c r="B1286" s="14" t="str">
        <f>IFERROR(__xludf.DUMMYFUNCTION("split(A1286,""//"")"),"ord_61264")</f>
        <v>ord_61264</v>
      </c>
      <c r="C1286" s="14" t="str">
        <f>IFERROR(__xludf.DUMMYFUNCTION("""COMPUTED_VALUE"""),"Aarav Mehta")</f>
        <v>Aarav Mehta</v>
      </c>
      <c r="D1286" s="14" t="str">
        <f>IFERROR(__xludf.DUMMYFUNCTION("""COMPUTED_VALUE"""),"Andheri")</f>
        <v>Andheri</v>
      </c>
      <c r="E1286" s="14" t="str">
        <f>IFERROR(__xludf.DUMMYFUNCTION("""COMPUTED_VALUE"""),"Guava+1*Rohan Yadav")</f>
        <v>Guava+1*Rohan Yadav</v>
      </c>
      <c r="F1286" s="14">
        <f>IFERROR(__xludf.DUMMYFUNCTION("""COMPUTED_VALUE"""),1.0)</f>
        <v>1</v>
      </c>
      <c r="G1286" s="14">
        <f>IFERROR(__xludf.DUMMYFUNCTION("""COMPUTED_VALUE"""),18.0)</f>
        <v>18</v>
      </c>
      <c r="H1286" s="14">
        <f>IFERROR(__xludf.DUMMYFUNCTION("""COMPUTED_VALUE"""),2023.0)</f>
        <v>2023</v>
      </c>
      <c r="I1286" s="14" t="str">
        <f>IFERROR(__xludf.DUMMYFUNCTION("""COMPUTED_VALUE"""),"Online Payment")</f>
        <v>Online Payment</v>
      </c>
      <c r="J1286" s="14" t="str">
        <f>IFERROR(__xludf.DUMMYFUNCTION("""COMPUTED_VALUE"""),"Delivered*Delivery Experience: Quick and professional")</f>
        <v>Delivered*Delivery Experience: Quick and professional</v>
      </c>
      <c r="K1286" s="14" t="str">
        <f>IFERROR(__xludf.DUMMYFUNCTION("split(E1286,""+"")"),"Guava")</f>
        <v>Guava</v>
      </c>
      <c r="L1286" s="14" t="str">
        <f>IFERROR(__xludf.DUMMYFUNCTION("""COMPUTED_VALUE"""),"1*Rohan Yadav")</f>
        <v>1*Rohan Yadav</v>
      </c>
      <c r="M1286" s="14">
        <f>IFERROR(__xludf.DUMMYFUNCTION("SPLIT(L1286,""*"")"),1.0)</f>
        <v>1</v>
      </c>
      <c r="N1286" s="14" t="str">
        <f>IFERROR(__xludf.DUMMYFUNCTION("""COMPUTED_VALUE"""),"Rohan Yadav")</f>
        <v>Rohan Yadav</v>
      </c>
      <c r="O1286" s="14" t="str">
        <f>IFERROR(__xludf.DUMMYFUNCTION("split(J1286,""*"")"),"Delivered")</f>
        <v>Delivered</v>
      </c>
      <c r="P1286" s="14" t="str">
        <f>IFERROR(__xludf.DUMMYFUNCTION("""COMPUTED_VALUE"""),"Delivery Experience: Quick and professional")</f>
        <v>Delivery Experience: Quick and professional</v>
      </c>
      <c r="Q1286" s="14" t="str">
        <f>IFERROR(__xludf.DUMMYFUNCTION("split(P1286,"":"")"),"Delivery Experience")</f>
        <v>Delivery Experience</v>
      </c>
      <c r="R1286" s="14" t="str">
        <f>IFERROR(__xludf.DUMMYFUNCTION("""COMPUTED_VALUE""")," Quick and professional")</f>
        <v> Quick and professional</v>
      </c>
      <c r="S1286" s="14" t="str">
        <f t="shared" ref="S1286:U1286" si="2575">trim(B1286)</f>
        <v>ord_61264</v>
      </c>
      <c r="T1286" s="14" t="str">
        <f t="shared" si="2575"/>
        <v>Aarav Mehta</v>
      </c>
      <c r="U1286" s="14" t="str">
        <f t="shared" si="2575"/>
        <v>Andheri</v>
      </c>
      <c r="V1286" s="14" t="str">
        <f t="shared" si="4"/>
        <v>Guava</v>
      </c>
      <c r="W1286" s="14">
        <f t="shared" si="5"/>
        <v>1</v>
      </c>
      <c r="X1286" s="14" t="str">
        <f t="shared" si="6"/>
        <v>Rohan Yadav</v>
      </c>
      <c r="Y1286" s="15">
        <f t="shared" si="7"/>
        <v>44944</v>
      </c>
      <c r="Z1286" s="14" t="str">
        <f t="shared" si="8"/>
        <v>Online Payment</v>
      </c>
      <c r="AA1286" s="14" t="str">
        <f t="shared" si="9"/>
        <v>Delivered</v>
      </c>
      <c r="AB1286" s="14" t="str">
        <f t="shared" ref="AB1286:AC1286" si="2576">trim(Q1286)</f>
        <v>Delivery Experience</v>
      </c>
      <c r="AC1286" s="14" t="str">
        <f t="shared" si="2576"/>
        <v>Quick and professional</v>
      </c>
      <c r="AD1286" s="8"/>
    </row>
    <row r="1287">
      <c r="A1287" s="14" t="str">
        <f>IFERROR(__xludf.DUMMYFUNCTION("""COMPUTED_VALUE"""),"//ord_61265//Aarav Mehta//Andheri//Apple+1*Rohan Yadav/11/26/2023//UPI//Delivered*Convenience: Easy tracking")</f>
        <v>//ord_61265//Aarav Mehta//Andheri//Apple+1*Rohan Yadav/11/26/2023//UPI//Delivered*Convenience: Easy tracking</v>
      </c>
      <c r="B1287" s="14" t="str">
        <f>IFERROR(__xludf.DUMMYFUNCTION("split(A1287,""//"")"),"ord_61265")</f>
        <v>ord_61265</v>
      </c>
      <c r="C1287" s="14" t="str">
        <f>IFERROR(__xludf.DUMMYFUNCTION("""COMPUTED_VALUE"""),"Aarav Mehta")</f>
        <v>Aarav Mehta</v>
      </c>
      <c r="D1287" s="14" t="str">
        <f>IFERROR(__xludf.DUMMYFUNCTION("""COMPUTED_VALUE"""),"Andheri")</f>
        <v>Andheri</v>
      </c>
      <c r="E1287" s="14" t="str">
        <f>IFERROR(__xludf.DUMMYFUNCTION("""COMPUTED_VALUE"""),"Apple+1*Rohan Yadav")</f>
        <v>Apple+1*Rohan Yadav</v>
      </c>
      <c r="F1287" s="14">
        <f>IFERROR(__xludf.DUMMYFUNCTION("""COMPUTED_VALUE"""),11.0)</f>
        <v>11</v>
      </c>
      <c r="G1287" s="14">
        <f>IFERROR(__xludf.DUMMYFUNCTION("""COMPUTED_VALUE"""),26.0)</f>
        <v>26</v>
      </c>
      <c r="H1287" s="14">
        <f>IFERROR(__xludf.DUMMYFUNCTION("""COMPUTED_VALUE"""),2023.0)</f>
        <v>2023</v>
      </c>
      <c r="I1287" s="14" t="str">
        <f>IFERROR(__xludf.DUMMYFUNCTION("""COMPUTED_VALUE"""),"UPI")</f>
        <v>UPI</v>
      </c>
      <c r="J1287" s="14" t="str">
        <f>IFERROR(__xludf.DUMMYFUNCTION("""COMPUTED_VALUE"""),"Delivered*Convenience: Easy tracking")</f>
        <v>Delivered*Convenience: Easy tracking</v>
      </c>
      <c r="K1287" s="14" t="str">
        <f>IFERROR(__xludf.DUMMYFUNCTION("split(E1287,""+"")"),"Apple")</f>
        <v>Apple</v>
      </c>
      <c r="L1287" s="14" t="str">
        <f>IFERROR(__xludf.DUMMYFUNCTION("""COMPUTED_VALUE"""),"1*Rohan Yadav")</f>
        <v>1*Rohan Yadav</v>
      </c>
      <c r="M1287" s="14">
        <f>IFERROR(__xludf.DUMMYFUNCTION("SPLIT(L1287,""*"")"),1.0)</f>
        <v>1</v>
      </c>
      <c r="N1287" s="14" t="str">
        <f>IFERROR(__xludf.DUMMYFUNCTION("""COMPUTED_VALUE"""),"Rohan Yadav")</f>
        <v>Rohan Yadav</v>
      </c>
      <c r="O1287" s="14" t="str">
        <f>IFERROR(__xludf.DUMMYFUNCTION("split(J1287,""*"")"),"Delivered")</f>
        <v>Delivered</v>
      </c>
      <c r="P1287" s="14" t="str">
        <f>IFERROR(__xludf.DUMMYFUNCTION("""COMPUTED_VALUE"""),"Convenience: Easy tracking")</f>
        <v>Convenience: Easy tracking</v>
      </c>
      <c r="Q1287" s="14" t="str">
        <f>IFERROR(__xludf.DUMMYFUNCTION("split(P1287,"":"")"),"Convenience")</f>
        <v>Convenience</v>
      </c>
      <c r="R1287" s="14" t="str">
        <f>IFERROR(__xludf.DUMMYFUNCTION("""COMPUTED_VALUE""")," Easy tracking")</f>
        <v> Easy tracking</v>
      </c>
      <c r="S1287" s="14" t="str">
        <f t="shared" ref="S1287:U1287" si="2577">trim(B1287)</f>
        <v>ord_61265</v>
      </c>
      <c r="T1287" s="14" t="str">
        <f t="shared" si="2577"/>
        <v>Aarav Mehta</v>
      </c>
      <c r="U1287" s="14" t="str">
        <f t="shared" si="2577"/>
        <v>Andheri</v>
      </c>
      <c r="V1287" s="14" t="str">
        <f t="shared" si="4"/>
        <v>Apple</v>
      </c>
      <c r="W1287" s="14">
        <f t="shared" si="5"/>
        <v>1</v>
      </c>
      <c r="X1287" s="14" t="str">
        <f t="shared" si="6"/>
        <v>Rohan Yadav</v>
      </c>
      <c r="Y1287" s="15">
        <f t="shared" si="7"/>
        <v>45256</v>
      </c>
      <c r="Z1287" s="14" t="str">
        <f t="shared" si="8"/>
        <v>UPI</v>
      </c>
      <c r="AA1287" s="14" t="str">
        <f t="shared" si="9"/>
        <v>Delivered</v>
      </c>
      <c r="AB1287" s="14" t="str">
        <f t="shared" ref="AB1287:AC1287" si="2578">trim(Q1287)</f>
        <v>Convenience</v>
      </c>
      <c r="AC1287" s="14" t="str">
        <f t="shared" si="2578"/>
        <v>Easy tracking</v>
      </c>
      <c r="AD1287" s="8"/>
    </row>
    <row r="1288">
      <c r="A1288" s="14" t="str">
        <f>IFERROR(__xludf.DUMMYFUNCTION("""COMPUTED_VALUE"""),"//ord_61266//Diya Arora//Lower Parel//Sweet Corn+2*Sita T/2/9/2023//Credit Card//Cancelled*Delayed Delivery:Heavy Traffic")</f>
        <v>//ord_61266//Diya Arora//Lower Parel//Sweet Corn+2*Sita T/2/9/2023//Credit Card//Cancelled*Delayed Delivery:Heavy Traffic</v>
      </c>
      <c r="B1288" s="14" t="str">
        <f>IFERROR(__xludf.DUMMYFUNCTION("split(A1288,""//"")"),"ord_61266")</f>
        <v>ord_61266</v>
      </c>
      <c r="C1288" s="14" t="str">
        <f>IFERROR(__xludf.DUMMYFUNCTION("""COMPUTED_VALUE"""),"Diya Arora")</f>
        <v>Diya Arora</v>
      </c>
      <c r="D1288" s="14" t="str">
        <f>IFERROR(__xludf.DUMMYFUNCTION("""COMPUTED_VALUE"""),"Lower Parel")</f>
        <v>Lower Parel</v>
      </c>
      <c r="E1288" s="14" t="str">
        <f>IFERROR(__xludf.DUMMYFUNCTION("""COMPUTED_VALUE"""),"Sweet Corn+2*Sita T")</f>
        <v>Sweet Corn+2*Sita T</v>
      </c>
      <c r="F1288" s="14">
        <f>IFERROR(__xludf.DUMMYFUNCTION("""COMPUTED_VALUE"""),2.0)</f>
        <v>2</v>
      </c>
      <c r="G1288" s="14">
        <f>IFERROR(__xludf.DUMMYFUNCTION("""COMPUTED_VALUE"""),9.0)</f>
        <v>9</v>
      </c>
      <c r="H1288" s="14">
        <f>IFERROR(__xludf.DUMMYFUNCTION("""COMPUTED_VALUE"""),2023.0)</f>
        <v>2023</v>
      </c>
      <c r="I1288" s="14" t="str">
        <f>IFERROR(__xludf.DUMMYFUNCTION("""COMPUTED_VALUE"""),"Credit Card")</f>
        <v>Credit Card</v>
      </c>
      <c r="J1288" s="14" t="str">
        <f>IFERROR(__xludf.DUMMYFUNCTION("""COMPUTED_VALUE"""),"Cancelled*Delayed Delivery:Heavy Traffic")</f>
        <v>Cancelled*Delayed Delivery:Heavy Traffic</v>
      </c>
      <c r="K1288" s="14" t="str">
        <f>IFERROR(__xludf.DUMMYFUNCTION("split(E1288,""+"")"),"Sweet Corn")</f>
        <v>Sweet Corn</v>
      </c>
      <c r="L1288" s="14" t="str">
        <f>IFERROR(__xludf.DUMMYFUNCTION("""COMPUTED_VALUE"""),"2*Sita T")</f>
        <v>2*Sita T</v>
      </c>
      <c r="M1288" s="14">
        <f>IFERROR(__xludf.DUMMYFUNCTION("SPLIT(L1288,""*"")"),2.0)</f>
        <v>2</v>
      </c>
      <c r="N1288" s="14" t="str">
        <f>IFERROR(__xludf.DUMMYFUNCTION("""COMPUTED_VALUE"""),"Sita T")</f>
        <v>Sita T</v>
      </c>
      <c r="O1288" s="14" t="str">
        <f>IFERROR(__xludf.DUMMYFUNCTION("split(J1288,""*"")"),"Cancelled")</f>
        <v>Cancelled</v>
      </c>
      <c r="P1288" s="14" t="str">
        <f>IFERROR(__xludf.DUMMYFUNCTION("""COMPUTED_VALUE"""),"Delayed Delivery:Heavy Traffic")</f>
        <v>Delayed Delivery:Heavy Traffic</v>
      </c>
      <c r="Q1288" s="14" t="str">
        <f>IFERROR(__xludf.DUMMYFUNCTION("split(P1288,"":"")"),"Delayed Delivery")</f>
        <v>Delayed Delivery</v>
      </c>
      <c r="R1288" s="14" t="str">
        <f>IFERROR(__xludf.DUMMYFUNCTION("""COMPUTED_VALUE"""),"Heavy Traffic")</f>
        <v>Heavy Traffic</v>
      </c>
      <c r="S1288" s="14" t="str">
        <f t="shared" ref="S1288:U1288" si="2579">trim(B1288)</f>
        <v>ord_61266</v>
      </c>
      <c r="T1288" s="14" t="str">
        <f t="shared" si="2579"/>
        <v>Diya Arora</v>
      </c>
      <c r="U1288" s="14" t="str">
        <f t="shared" si="2579"/>
        <v>Lower Parel</v>
      </c>
      <c r="V1288" s="14" t="str">
        <f t="shared" si="4"/>
        <v>Sweet Corn</v>
      </c>
      <c r="W1288" s="14">
        <f t="shared" si="5"/>
        <v>2</v>
      </c>
      <c r="X1288" s="14" t="str">
        <f t="shared" si="6"/>
        <v>Sita T</v>
      </c>
      <c r="Y1288" s="15">
        <f t="shared" si="7"/>
        <v>44966</v>
      </c>
      <c r="Z1288" s="14" t="str">
        <f t="shared" si="8"/>
        <v>Credit Card</v>
      </c>
      <c r="AA1288" s="14" t="str">
        <f t="shared" si="9"/>
        <v>Cancelled</v>
      </c>
      <c r="AB1288" s="14" t="str">
        <f t="shared" ref="AB1288:AC1288" si="2580">trim(Q1288)</f>
        <v>Delayed Delivery</v>
      </c>
      <c r="AC1288" s="14" t="str">
        <f t="shared" si="2580"/>
        <v>Heavy Traffic</v>
      </c>
      <c r="AD1288" s="8"/>
    </row>
    <row r="1289">
      <c r="A1289" s="14" t="str">
        <f>IFERROR(__xludf.DUMMYFUNCTION("""COMPUTED_VALUE"""),"//ord_61267//Sakshi Tandon//Colaba//Apple+2*Nikhil Deshmukh/11/4/2023//UPI//Delivered*Overall Satisfaction: Great service will order again")</f>
        <v>//ord_61267//Sakshi Tandon//Colaba//Apple+2*Nikhil Deshmukh/11/4/2023//UPI//Delivered*Overall Satisfaction: Great service will order again</v>
      </c>
      <c r="B1289" s="14" t="str">
        <f>IFERROR(__xludf.DUMMYFUNCTION("split(A1289,""//"")"),"ord_61267")</f>
        <v>ord_61267</v>
      </c>
      <c r="C1289" s="14" t="str">
        <f>IFERROR(__xludf.DUMMYFUNCTION("""COMPUTED_VALUE"""),"Sakshi Tandon")</f>
        <v>Sakshi Tandon</v>
      </c>
      <c r="D1289" s="14" t="str">
        <f>IFERROR(__xludf.DUMMYFUNCTION("""COMPUTED_VALUE"""),"Colaba")</f>
        <v>Colaba</v>
      </c>
      <c r="E1289" s="14" t="str">
        <f>IFERROR(__xludf.DUMMYFUNCTION("""COMPUTED_VALUE"""),"Apple+2*Nikhil Deshmukh")</f>
        <v>Apple+2*Nikhil Deshmukh</v>
      </c>
      <c r="F1289" s="14">
        <f>IFERROR(__xludf.DUMMYFUNCTION("""COMPUTED_VALUE"""),11.0)</f>
        <v>11</v>
      </c>
      <c r="G1289" s="14">
        <f>IFERROR(__xludf.DUMMYFUNCTION("""COMPUTED_VALUE"""),4.0)</f>
        <v>4</v>
      </c>
      <c r="H1289" s="14">
        <f>IFERROR(__xludf.DUMMYFUNCTION("""COMPUTED_VALUE"""),2023.0)</f>
        <v>2023</v>
      </c>
      <c r="I1289" s="14" t="str">
        <f>IFERROR(__xludf.DUMMYFUNCTION("""COMPUTED_VALUE"""),"UPI")</f>
        <v>UPI</v>
      </c>
      <c r="J1289" s="14" t="str">
        <f>IFERROR(__xludf.DUMMYFUNCTION("""COMPUTED_VALUE"""),"Delivered*Overall Satisfaction: Great service will order again")</f>
        <v>Delivered*Overall Satisfaction: Great service will order again</v>
      </c>
      <c r="K1289" s="14" t="str">
        <f>IFERROR(__xludf.DUMMYFUNCTION("split(E1289,""+"")"),"Apple")</f>
        <v>Apple</v>
      </c>
      <c r="L1289" s="14" t="str">
        <f>IFERROR(__xludf.DUMMYFUNCTION("""COMPUTED_VALUE"""),"2*Nikhil Deshmukh")</f>
        <v>2*Nikhil Deshmukh</v>
      </c>
      <c r="M1289" s="14">
        <f>IFERROR(__xludf.DUMMYFUNCTION("SPLIT(L1289,""*"")"),2.0)</f>
        <v>2</v>
      </c>
      <c r="N1289" s="14" t="str">
        <f>IFERROR(__xludf.DUMMYFUNCTION("""COMPUTED_VALUE"""),"Nikhil Deshmukh")</f>
        <v>Nikhil Deshmukh</v>
      </c>
      <c r="O1289" s="14" t="str">
        <f>IFERROR(__xludf.DUMMYFUNCTION("split(J1289,""*"")"),"Delivered")</f>
        <v>Delivered</v>
      </c>
      <c r="P1289" s="14" t="str">
        <f>IFERROR(__xludf.DUMMYFUNCTION("""COMPUTED_VALUE"""),"Overall Satisfaction: Great service will order again")</f>
        <v>Overall Satisfaction: Great service will order again</v>
      </c>
      <c r="Q1289" s="14" t="str">
        <f>IFERROR(__xludf.DUMMYFUNCTION("split(P1289,"":"")"),"Overall Satisfaction")</f>
        <v>Overall Satisfaction</v>
      </c>
      <c r="R1289" s="14" t="str">
        <f>IFERROR(__xludf.DUMMYFUNCTION("""COMPUTED_VALUE""")," Great service will order again")</f>
        <v> Great service will order again</v>
      </c>
      <c r="S1289" s="14" t="str">
        <f t="shared" ref="S1289:U1289" si="2581">trim(B1289)</f>
        <v>ord_61267</v>
      </c>
      <c r="T1289" s="14" t="str">
        <f t="shared" si="2581"/>
        <v>Sakshi Tandon</v>
      </c>
      <c r="U1289" s="14" t="str">
        <f t="shared" si="2581"/>
        <v>Colaba</v>
      </c>
      <c r="V1289" s="14" t="str">
        <f t="shared" si="4"/>
        <v>Apple</v>
      </c>
      <c r="W1289" s="14">
        <f t="shared" si="5"/>
        <v>2</v>
      </c>
      <c r="X1289" s="14" t="str">
        <f t="shared" si="6"/>
        <v>Nikhil Deshmukh</v>
      </c>
      <c r="Y1289" s="15">
        <f t="shared" si="7"/>
        <v>45234</v>
      </c>
      <c r="Z1289" s="14" t="str">
        <f t="shared" si="8"/>
        <v>UPI</v>
      </c>
      <c r="AA1289" s="14" t="str">
        <f t="shared" si="9"/>
        <v>Delivered</v>
      </c>
      <c r="AB1289" s="14" t="str">
        <f t="shared" ref="AB1289:AC1289" si="2582">trim(Q1289)</f>
        <v>Overall Satisfaction</v>
      </c>
      <c r="AC1289" s="14" t="str">
        <f t="shared" si="2582"/>
        <v>Great service will order again</v>
      </c>
      <c r="AD1289" s="8"/>
    </row>
    <row r="1290">
      <c r="A1290" s="14" t="str">
        <f>IFERROR(__xludf.DUMMYFUNCTION("""COMPUTED_VALUE"""),"//ord_61268//Mehul Thakkar//Malad//Juice+5*Neha Shah/9/22/2023//UPI//Delivered*On-time Delivery: Delivered on time")</f>
        <v>//ord_61268//Mehul Thakkar//Malad//Juice+5*Neha Shah/9/22/2023//UPI//Delivered*On-time Delivery: Delivered on time</v>
      </c>
      <c r="B1290" s="14" t="str">
        <f>IFERROR(__xludf.DUMMYFUNCTION("split(A1290,""//"")"),"ord_61268")</f>
        <v>ord_61268</v>
      </c>
      <c r="C1290" s="14" t="str">
        <f>IFERROR(__xludf.DUMMYFUNCTION("""COMPUTED_VALUE"""),"Mehul Thakkar")</f>
        <v>Mehul Thakkar</v>
      </c>
      <c r="D1290" s="14" t="str">
        <f>IFERROR(__xludf.DUMMYFUNCTION("""COMPUTED_VALUE"""),"Malad")</f>
        <v>Malad</v>
      </c>
      <c r="E1290" s="14" t="str">
        <f>IFERROR(__xludf.DUMMYFUNCTION("""COMPUTED_VALUE"""),"Juice+5*Neha Shah")</f>
        <v>Juice+5*Neha Shah</v>
      </c>
      <c r="F1290" s="14">
        <f>IFERROR(__xludf.DUMMYFUNCTION("""COMPUTED_VALUE"""),9.0)</f>
        <v>9</v>
      </c>
      <c r="G1290" s="14">
        <f>IFERROR(__xludf.DUMMYFUNCTION("""COMPUTED_VALUE"""),22.0)</f>
        <v>22</v>
      </c>
      <c r="H1290" s="14">
        <f>IFERROR(__xludf.DUMMYFUNCTION("""COMPUTED_VALUE"""),2023.0)</f>
        <v>2023</v>
      </c>
      <c r="I1290" s="14" t="str">
        <f>IFERROR(__xludf.DUMMYFUNCTION("""COMPUTED_VALUE"""),"UPI")</f>
        <v>UPI</v>
      </c>
      <c r="J1290" s="14" t="str">
        <f>IFERROR(__xludf.DUMMYFUNCTION("""COMPUTED_VALUE"""),"Delivered*On-time Delivery: Delivered on time")</f>
        <v>Delivered*On-time Delivery: Delivered on time</v>
      </c>
      <c r="K1290" s="14" t="str">
        <f>IFERROR(__xludf.DUMMYFUNCTION("split(E1290,""+"")"),"Juice")</f>
        <v>Juice</v>
      </c>
      <c r="L1290" s="14" t="str">
        <f>IFERROR(__xludf.DUMMYFUNCTION("""COMPUTED_VALUE"""),"5*Neha Shah")</f>
        <v>5*Neha Shah</v>
      </c>
      <c r="M1290" s="14">
        <f>IFERROR(__xludf.DUMMYFUNCTION("SPLIT(L1290,""*"")"),5.0)</f>
        <v>5</v>
      </c>
      <c r="N1290" s="14" t="str">
        <f>IFERROR(__xludf.DUMMYFUNCTION("""COMPUTED_VALUE"""),"Neha Shah")</f>
        <v>Neha Shah</v>
      </c>
      <c r="O1290" s="14" t="str">
        <f>IFERROR(__xludf.DUMMYFUNCTION("split(J1290,""*"")"),"Delivered")</f>
        <v>Delivered</v>
      </c>
      <c r="P1290" s="14" t="str">
        <f>IFERROR(__xludf.DUMMYFUNCTION("""COMPUTED_VALUE"""),"On-time Delivery: Delivered on time")</f>
        <v>On-time Delivery: Delivered on time</v>
      </c>
      <c r="Q1290" s="14" t="str">
        <f>IFERROR(__xludf.DUMMYFUNCTION("split(P1290,"":"")"),"On-time Delivery")</f>
        <v>On-time Delivery</v>
      </c>
      <c r="R1290" s="14" t="str">
        <f>IFERROR(__xludf.DUMMYFUNCTION("""COMPUTED_VALUE""")," Delivered on time")</f>
        <v> Delivered on time</v>
      </c>
      <c r="S1290" s="14" t="str">
        <f t="shared" ref="S1290:U1290" si="2583">trim(B1290)</f>
        <v>ord_61268</v>
      </c>
      <c r="T1290" s="14" t="str">
        <f t="shared" si="2583"/>
        <v>Mehul Thakkar</v>
      </c>
      <c r="U1290" s="14" t="str">
        <f t="shared" si="2583"/>
        <v>Malad</v>
      </c>
      <c r="V1290" s="14" t="str">
        <f t="shared" si="4"/>
        <v>Juice</v>
      </c>
      <c r="W1290" s="14">
        <f t="shared" si="5"/>
        <v>5</v>
      </c>
      <c r="X1290" s="14" t="str">
        <f t="shared" si="6"/>
        <v>Neha Shah</v>
      </c>
      <c r="Y1290" s="15">
        <f t="shared" si="7"/>
        <v>45191</v>
      </c>
      <c r="Z1290" s="14" t="str">
        <f t="shared" si="8"/>
        <v>UPI</v>
      </c>
      <c r="AA1290" s="14" t="str">
        <f t="shared" si="9"/>
        <v>Delivered</v>
      </c>
      <c r="AB1290" s="14" t="str">
        <f t="shared" ref="AB1290:AC1290" si="2584">trim(Q1290)</f>
        <v>On-time Delivery</v>
      </c>
      <c r="AC1290" s="14" t="str">
        <f t="shared" si="2584"/>
        <v>Delivered on time</v>
      </c>
      <c r="AD1290" s="8"/>
    </row>
    <row r="1291">
      <c r="A1291" s="14" t="str">
        <f>IFERROR(__xludf.DUMMYFUNCTION("""COMPUTED_VALUE"""),"//ord_61269//Arvind Kulkarni//Juhu//Chocolate Mousse+5*Not Assigned/3/2/2023//Online Payment//Cancelled*App Glitches:Slow Loading Time")</f>
        <v>//ord_61269//Arvind Kulkarni//Juhu//Chocolate Mousse+5*Not Assigned/3/2/2023//Online Payment//Cancelled*App Glitches:Slow Loading Time</v>
      </c>
      <c r="B1291" s="14" t="str">
        <f>IFERROR(__xludf.DUMMYFUNCTION("split(A1291,""//"")"),"ord_61269")</f>
        <v>ord_61269</v>
      </c>
      <c r="C1291" s="14" t="str">
        <f>IFERROR(__xludf.DUMMYFUNCTION("""COMPUTED_VALUE"""),"Arvind Kulkarni")</f>
        <v>Arvind Kulkarni</v>
      </c>
      <c r="D1291" s="14" t="str">
        <f>IFERROR(__xludf.DUMMYFUNCTION("""COMPUTED_VALUE"""),"Juhu")</f>
        <v>Juhu</v>
      </c>
      <c r="E1291" s="14" t="str">
        <f>IFERROR(__xludf.DUMMYFUNCTION("""COMPUTED_VALUE"""),"Chocolate Mousse+5*Not Assigned")</f>
        <v>Chocolate Mousse+5*Not Assigned</v>
      </c>
      <c r="F1291" s="14">
        <f>IFERROR(__xludf.DUMMYFUNCTION("""COMPUTED_VALUE"""),3.0)</f>
        <v>3</v>
      </c>
      <c r="G1291" s="14">
        <f>IFERROR(__xludf.DUMMYFUNCTION("""COMPUTED_VALUE"""),2.0)</f>
        <v>2</v>
      </c>
      <c r="H1291" s="14">
        <f>IFERROR(__xludf.DUMMYFUNCTION("""COMPUTED_VALUE"""),2023.0)</f>
        <v>2023</v>
      </c>
      <c r="I1291" s="14" t="str">
        <f>IFERROR(__xludf.DUMMYFUNCTION("""COMPUTED_VALUE"""),"Online Payment")</f>
        <v>Online Payment</v>
      </c>
      <c r="J1291" s="14" t="str">
        <f>IFERROR(__xludf.DUMMYFUNCTION("""COMPUTED_VALUE"""),"Cancelled*App Glitches:Slow Loading Time")</f>
        <v>Cancelled*App Glitches:Slow Loading Time</v>
      </c>
      <c r="K1291" s="14" t="str">
        <f>IFERROR(__xludf.DUMMYFUNCTION("split(E1291,""+"")"),"Chocolate Mousse")</f>
        <v>Chocolate Mousse</v>
      </c>
      <c r="L1291" s="14" t="str">
        <f>IFERROR(__xludf.DUMMYFUNCTION("""COMPUTED_VALUE"""),"5*Not Assigned")</f>
        <v>5*Not Assigned</v>
      </c>
      <c r="M1291" s="14">
        <f>IFERROR(__xludf.DUMMYFUNCTION("SPLIT(L1291,""*"")"),5.0)</f>
        <v>5</v>
      </c>
      <c r="N1291" s="14" t="str">
        <f>IFERROR(__xludf.DUMMYFUNCTION("""COMPUTED_VALUE"""),"Not Assigned")</f>
        <v>Not Assigned</v>
      </c>
      <c r="O1291" s="14" t="str">
        <f>IFERROR(__xludf.DUMMYFUNCTION("split(J1291,""*"")"),"Cancelled")</f>
        <v>Cancelled</v>
      </c>
      <c r="P1291" s="14" t="str">
        <f>IFERROR(__xludf.DUMMYFUNCTION("""COMPUTED_VALUE"""),"App Glitches:Slow Loading Time")</f>
        <v>App Glitches:Slow Loading Time</v>
      </c>
      <c r="Q1291" s="14" t="str">
        <f>IFERROR(__xludf.DUMMYFUNCTION("split(P1291,"":"")"),"App Glitches")</f>
        <v>App Glitches</v>
      </c>
      <c r="R1291" s="14" t="str">
        <f>IFERROR(__xludf.DUMMYFUNCTION("""COMPUTED_VALUE"""),"Slow Loading Time")</f>
        <v>Slow Loading Time</v>
      </c>
      <c r="S1291" s="14" t="str">
        <f t="shared" ref="S1291:U1291" si="2585">trim(B1291)</f>
        <v>ord_61269</v>
      </c>
      <c r="T1291" s="14" t="str">
        <f t="shared" si="2585"/>
        <v>Arvind Kulkarni</v>
      </c>
      <c r="U1291" s="14" t="str">
        <f t="shared" si="2585"/>
        <v>Juhu</v>
      </c>
      <c r="V1291" s="14" t="str">
        <f t="shared" si="4"/>
        <v>Chocolate Mousse</v>
      </c>
      <c r="W1291" s="14">
        <f t="shared" si="5"/>
        <v>5</v>
      </c>
      <c r="X1291" s="14" t="str">
        <f t="shared" si="6"/>
        <v>Not Assigned</v>
      </c>
      <c r="Y1291" s="15">
        <f t="shared" si="7"/>
        <v>44987</v>
      </c>
      <c r="Z1291" s="14" t="str">
        <f t="shared" si="8"/>
        <v>Online Payment</v>
      </c>
      <c r="AA1291" s="14" t="str">
        <f t="shared" si="9"/>
        <v>Cancelled</v>
      </c>
      <c r="AB1291" s="14" t="str">
        <f t="shared" ref="AB1291:AC1291" si="2586">trim(Q1291)</f>
        <v>App Glitches</v>
      </c>
      <c r="AC1291" s="14" t="str">
        <f t="shared" si="2586"/>
        <v>Slow Loading Time</v>
      </c>
      <c r="AD1291" s="8"/>
    </row>
    <row r="1292">
      <c r="A1292" s="14" t="str">
        <f>IFERROR(__xludf.DUMMYFUNCTION("""COMPUTED_VALUE"""),"//ord_61270//Arvind Kulkarni//Juhu//Guava+2*Kiran Mehta/9/22/2023//UPI//Cancelled*Delayed Delivery:Bad Weather Conditions ")</f>
        <v>//ord_61270//Arvind Kulkarni//Juhu//Guava+2*Kiran Mehta/9/22/2023//UPI//Cancelled*Delayed Delivery:Bad Weather Conditions </v>
      </c>
      <c r="B1292" s="14" t="str">
        <f>IFERROR(__xludf.DUMMYFUNCTION("split(A1292,""//"")"),"ord_61270")</f>
        <v>ord_61270</v>
      </c>
      <c r="C1292" s="14" t="str">
        <f>IFERROR(__xludf.DUMMYFUNCTION("""COMPUTED_VALUE"""),"Arvind Kulkarni")</f>
        <v>Arvind Kulkarni</v>
      </c>
      <c r="D1292" s="14" t="str">
        <f>IFERROR(__xludf.DUMMYFUNCTION("""COMPUTED_VALUE"""),"Juhu")</f>
        <v>Juhu</v>
      </c>
      <c r="E1292" s="14" t="str">
        <f>IFERROR(__xludf.DUMMYFUNCTION("""COMPUTED_VALUE"""),"Guava+2*Kiran Mehta")</f>
        <v>Guava+2*Kiran Mehta</v>
      </c>
      <c r="F1292" s="14">
        <f>IFERROR(__xludf.DUMMYFUNCTION("""COMPUTED_VALUE"""),9.0)</f>
        <v>9</v>
      </c>
      <c r="G1292" s="14">
        <f>IFERROR(__xludf.DUMMYFUNCTION("""COMPUTED_VALUE"""),22.0)</f>
        <v>22</v>
      </c>
      <c r="H1292" s="14">
        <f>IFERROR(__xludf.DUMMYFUNCTION("""COMPUTED_VALUE"""),2023.0)</f>
        <v>2023</v>
      </c>
      <c r="I1292" s="14" t="str">
        <f>IFERROR(__xludf.DUMMYFUNCTION("""COMPUTED_VALUE"""),"UPI")</f>
        <v>UPI</v>
      </c>
      <c r="J1292" s="14" t="str">
        <f>IFERROR(__xludf.DUMMYFUNCTION("""COMPUTED_VALUE"""),"Cancelled*Delayed Delivery:Bad Weather Conditions ")</f>
        <v>Cancelled*Delayed Delivery:Bad Weather Conditions </v>
      </c>
      <c r="K1292" s="14" t="str">
        <f>IFERROR(__xludf.DUMMYFUNCTION("split(E1292,""+"")"),"Guava")</f>
        <v>Guava</v>
      </c>
      <c r="L1292" s="14" t="str">
        <f>IFERROR(__xludf.DUMMYFUNCTION("""COMPUTED_VALUE"""),"2*Kiran Mehta")</f>
        <v>2*Kiran Mehta</v>
      </c>
      <c r="M1292" s="14">
        <f>IFERROR(__xludf.DUMMYFUNCTION("SPLIT(L1292,""*"")"),2.0)</f>
        <v>2</v>
      </c>
      <c r="N1292" s="14" t="str">
        <f>IFERROR(__xludf.DUMMYFUNCTION("""COMPUTED_VALUE"""),"Kiran Mehta")</f>
        <v>Kiran Mehta</v>
      </c>
      <c r="O1292" s="14" t="str">
        <f>IFERROR(__xludf.DUMMYFUNCTION("split(J1292,""*"")"),"Cancelled")</f>
        <v>Cancelled</v>
      </c>
      <c r="P1292" s="14" t="str">
        <f>IFERROR(__xludf.DUMMYFUNCTION("""COMPUTED_VALUE"""),"Delayed Delivery:Bad Weather Conditions ")</f>
        <v>Delayed Delivery:Bad Weather Conditions </v>
      </c>
      <c r="Q1292" s="14" t="str">
        <f>IFERROR(__xludf.DUMMYFUNCTION("split(P1292,"":"")"),"Delayed Delivery")</f>
        <v>Delayed Delivery</v>
      </c>
      <c r="R1292" s="14" t="str">
        <f>IFERROR(__xludf.DUMMYFUNCTION("""COMPUTED_VALUE"""),"Bad Weather Conditions ")</f>
        <v>Bad Weather Conditions </v>
      </c>
      <c r="S1292" s="14" t="str">
        <f t="shared" ref="S1292:U1292" si="2587">trim(B1292)</f>
        <v>ord_61270</v>
      </c>
      <c r="T1292" s="14" t="str">
        <f t="shared" si="2587"/>
        <v>Arvind Kulkarni</v>
      </c>
      <c r="U1292" s="14" t="str">
        <f t="shared" si="2587"/>
        <v>Juhu</v>
      </c>
      <c r="V1292" s="14" t="str">
        <f t="shared" si="4"/>
        <v>Guava</v>
      </c>
      <c r="W1292" s="14">
        <f t="shared" si="5"/>
        <v>2</v>
      </c>
      <c r="X1292" s="14" t="str">
        <f t="shared" si="6"/>
        <v>Kiran Mehta</v>
      </c>
      <c r="Y1292" s="15">
        <f t="shared" si="7"/>
        <v>45191</v>
      </c>
      <c r="Z1292" s="14" t="str">
        <f t="shared" si="8"/>
        <v>UPI</v>
      </c>
      <c r="AA1292" s="14" t="str">
        <f t="shared" si="9"/>
        <v>Cancelled</v>
      </c>
      <c r="AB1292" s="14" t="str">
        <f t="shared" ref="AB1292:AC1292" si="2588">trim(Q1292)</f>
        <v>Delayed Delivery</v>
      </c>
      <c r="AC1292" s="14" t="str">
        <f t="shared" si="2588"/>
        <v>Bad Weather Conditions</v>
      </c>
      <c r="AD1292" s="8"/>
    </row>
    <row r="1293">
      <c r="A1293" s="14" t="str">
        <f>IFERROR(__xludf.DUMMYFUNCTION("""COMPUTED_VALUE"""),"//ord_61271//Aarohi Kapoor//Bandra//Banana+2*Not Assigned/5/22/2023//Credit Card//Cancelled*App Glitches: Payment Button Malfunction")</f>
        <v>//ord_61271//Aarohi Kapoor//Bandra//Banana+2*Not Assigned/5/22/2023//Credit Card//Cancelled*App Glitches: Payment Button Malfunction</v>
      </c>
      <c r="B1293" s="14" t="str">
        <f>IFERROR(__xludf.DUMMYFUNCTION("split(A1293,""//"")"),"ord_61271")</f>
        <v>ord_61271</v>
      </c>
      <c r="C1293" s="14" t="str">
        <f>IFERROR(__xludf.DUMMYFUNCTION("""COMPUTED_VALUE"""),"Aarohi Kapoor")</f>
        <v>Aarohi Kapoor</v>
      </c>
      <c r="D1293" s="14" t="str">
        <f>IFERROR(__xludf.DUMMYFUNCTION("""COMPUTED_VALUE"""),"Bandra")</f>
        <v>Bandra</v>
      </c>
      <c r="E1293" s="14" t="str">
        <f>IFERROR(__xludf.DUMMYFUNCTION("""COMPUTED_VALUE"""),"Banana+2*Not Assigned")</f>
        <v>Banana+2*Not Assigned</v>
      </c>
      <c r="F1293" s="14">
        <f>IFERROR(__xludf.DUMMYFUNCTION("""COMPUTED_VALUE"""),5.0)</f>
        <v>5</v>
      </c>
      <c r="G1293" s="14">
        <f>IFERROR(__xludf.DUMMYFUNCTION("""COMPUTED_VALUE"""),22.0)</f>
        <v>22</v>
      </c>
      <c r="H1293" s="14">
        <f>IFERROR(__xludf.DUMMYFUNCTION("""COMPUTED_VALUE"""),2023.0)</f>
        <v>2023</v>
      </c>
      <c r="I1293" s="14" t="str">
        <f>IFERROR(__xludf.DUMMYFUNCTION("""COMPUTED_VALUE"""),"Credit Card")</f>
        <v>Credit Card</v>
      </c>
      <c r="J1293" s="14" t="str">
        <f>IFERROR(__xludf.DUMMYFUNCTION("""COMPUTED_VALUE"""),"Cancelled*App Glitches: Payment Button Malfunction")</f>
        <v>Cancelled*App Glitches: Payment Button Malfunction</v>
      </c>
      <c r="K1293" s="14" t="str">
        <f>IFERROR(__xludf.DUMMYFUNCTION("split(E1293,""+"")"),"Banana")</f>
        <v>Banana</v>
      </c>
      <c r="L1293" s="14" t="str">
        <f>IFERROR(__xludf.DUMMYFUNCTION("""COMPUTED_VALUE"""),"2*Not Assigned")</f>
        <v>2*Not Assigned</v>
      </c>
      <c r="M1293" s="14">
        <f>IFERROR(__xludf.DUMMYFUNCTION("SPLIT(L1293,""*"")"),2.0)</f>
        <v>2</v>
      </c>
      <c r="N1293" s="14" t="str">
        <f>IFERROR(__xludf.DUMMYFUNCTION("""COMPUTED_VALUE"""),"Not Assigned")</f>
        <v>Not Assigned</v>
      </c>
      <c r="O1293" s="14" t="str">
        <f>IFERROR(__xludf.DUMMYFUNCTION("split(J1293,""*"")"),"Cancelled")</f>
        <v>Cancelled</v>
      </c>
      <c r="P1293" s="14" t="str">
        <f>IFERROR(__xludf.DUMMYFUNCTION("""COMPUTED_VALUE"""),"App Glitches: Payment Button Malfunction")</f>
        <v>App Glitches: Payment Button Malfunction</v>
      </c>
      <c r="Q1293" s="14" t="str">
        <f>IFERROR(__xludf.DUMMYFUNCTION("split(P1293,"":"")"),"App Glitches")</f>
        <v>App Glitches</v>
      </c>
      <c r="R1293" s="14" t="str">
        <f>IFERROR(__xludf.DUMMYFUNCTION("""COMPUTED_VALUE""")," Payment Button Malfunction")</f>
        <v> Payment Button Malfunction</v>
      </c>
      <c r="S1293" s="14" t="str">
        <f t="shared" ref="S1293:U1293" si="2589">trim(B1293)</f>
        <v>ord_61271</v>
      </c>
      <c r="T1293" s="14" t="str">
        <f t="shared" si="2589"/>
        <v>Aarohi Kapoor</v>
      </c>
      <c r="U1293" s="14" t="str">
        <f t="shared" si="2589"/>
        <v>Bandra</v>
      </c>
      <c r="V1293" s="14" t="str">
        <f t="shared" si="4"/>
        <v>Banana</v>
      </c>
      <c r="W1293" s="14">
        <f t="shared" si="5"/>
        <v>2</v>
      </c>
      <c r="X1293" s="14" t="str">
        <f t="shared" si="6"/>
        <v>Not Assigned</v>
      </c>
      <c r="Y1293" s="15">
        <f t="shared" si="7"/>
        <v>45068</v>
      </c>
      <c r="Z1293" s="14" t="str">
        <f t="shared" si="8"/>
        <v>Credit Card</v>
      </c>
      <c r="AA1293" s="14" t="str">
        <f t="shared" si="9"/>
        <v>Cancelled</v>
      </c>
      <c r="AB1293" s="14" t="str">
        <f t="shared" ref="AB1293:AC1293" si="2590">trim(Q1293)</f>
        <v>App Glitches</v>
      </c>
      <c r="AC1293" s="14" t="str">
        <f t="shared" si="2590"/>
        <v>Payment Button Malfunction</v>
      </c>
      <c r="AD1293" s="8"/>
    </row>
    <row r="1294">
      <c r="A1294" s="14" t="str">
        <f>IFERROR(__xludf.DUMMYFUNCTION("""COMPUTED_VALUE"""),"//ord_61272//Kritika Shetty//Malad//Popcorn+2*Not Assigned/2/9/2023//Credit Card//Cancelled*App Glitches:Slow Loading Time")</f>
        <v>//ord_61272//Kritika Shetty//Malad//Popcorn+2*Not Assigned/2/9/2023//Credit Card//Cancelled*App Glitches:Slow Loading Time</v>
      </c>
      <c r="B1294" s="14" t="str">
        <f>IFERROR(__xludf.DUMMYFUNCTION("split(A1294,""//"")"),"ord_61272")</f>
        <v>ord_61272</v>
      </c>
      <c r="C1294" s="14" t="str">
        <f>IFERROR(__xludf.DUMMYFUNCTION("""COMPUTED_VALUE"""),"Kritika Shetty")</f>
        <v>Kritika Shetty</v>
      </c>
      <c r="D1294" s="14" t="str">
        <f>IFERROR(__xludf.DUMMYFUNCTION("""COMPUTED_VALUE"""),"Malad")</f>
        <v>Malad</v>
      </c>
      <c r="E1294" s="14" t="str">
        <f>IFERROR(__xludf.DUMMYFUNCTION("""COMPUTED_VALUE"""),"Popcorn+2*Not Assigned")</f>
        <v>Popcorn+2*Not Assigned</v>
      </c>
      <c r="F1294" s="14">
        <f>IFERROR(__xludf.DUMMYFUNCTION("""COMPUTED_VALUE"""),2.0)</f>
        <v>2</v>
      </c>
      <c r="G1294" s="14">
        <f>IFERROR(__xludf.DUMMYFUNCTION("""COMPUTED_VALUE"""),9.0)</f>
        <v>9</v>
      </c>
      <c r="H1294" s="14">
        <f>IFERROR(__xludf.DUMMYFUNCTION("""COMPUTED_VALUE"""),2023.0)</f>
        <v>2023</v>
      </c>
      <c r="I1294" s="14" t="str">
        <f>IFERROR(__xludf.DUMMYFUNCTION("""COMPUTED_VALUE"""),"Credit Card")</f>
        <v>Credit Card</v>
      </c>
      <c r="J1294" s="14" t="str">
        <f>IFERROR(__xludf.DUMMYFUNCTION("""COMPUTED_VALUE"""),"Cancelled*App Glitches:Slow Loading Time")</f>
        <v>Cancelled*App Glitches:Slow Loading Time</v>
      </c>
      <c r="K1294" s="14" t="str">
        <f>IFERROR(__xludf.DUMMYFUNCTION("split(E1294,""+"")"),"Popcorn")</f>
        <v>Popcorn</v>
      </c>
      <c r="L1294" s="14" t="str">
        <f>IFERROR(__xludf.DUMMYFUNCTION("""COMPUTED_VALUE"""),"2*Not Assigned")</f>
        <v>2*Not Assigned</v>
      </c>
      <c r="M1294" s="14">
        <f>IFERROR(__xludf.DUMMYFUNCTION("SPLIT(L1294,""*"")"),2.0)</f>
        <v>2</v>
      </c>
      <c r="N1294" s="14" t="str">
        <f>IFERROR(__xludf.DUMMYFUNCTION("""COMPUTED_VALUE"""),"Not Assigned")</f>
        <v>Not Assigned</v>
      </c>
      <c r="O1294" s="14" t="str">
        <f>IFERROR(__xludf.DUMMYFUNCTION("split(J1294,""*"")"),"Cancelled")</f>
        <v>Cancelled</v>
      </c>
      <c r="P1294" s="14" t="str">
        <f>IFERROR(__xludf.DUMMYFUNCTION("""COMPUTED_VALUE"""),"App Glitches:Slow Loading Time")</f>
        <v>App Glitches:Slow Loading Time</v>
      </c>
      <c r="Q1294" s="14" t="str">
        <f>IFERROR(__xludf.DUMMYFUNCTION("split(P1294,"":"")"),"App Glitches")</f>
        <v>App Glitches</v>
      </c>
      <c r="R1294" s="14" t="str">
        <f>IFERROR(__xludf.DUMMYFUNCTION("""COMPUTED_VALUE"""),"Slow Loading Time")</f>
        <v>Slow Loading Time</v>
      </c>
      <c r="S1294" s="14" t="str">
        <f t="shared" ref="S1294:U1294" si="2591">trim(B1294)</f>
        <v>ord_61272</v>
      </c>
      <c r="T1294" s="14" t="str">
        <f t="shared" si="2591"/>
        <v>Kritika Shetty</v>
      </c>
      <c r="U1294" s="14" t="str">
        <f t="shared" si="2591"/>
        <v>Malad</v>
      </c>
      <c r="V1294" s="14" t="str">
        <f t="shared" si="4"/>
        <v>Popcorn</v>
      </c>
      <c r="W1294" s="14">
        <f t="shared" si="5"/>
        <v>2</v>
      </c>
      <c r="X1294" s="14" t="str">
        <f t="shared" si="6"/>
        <v>Not Assigned</v>
      </c>
      <c r="Y1294" s="15">
        <f t="shared" si="7"/>
        <v>44966</v>
      </c>
      <c r="Z1294" s="14" t="str">
        <f t="shared" si="8"/>
        <v>Credit Card</v>
      </c>
      <c r="AA1294" s="14" t="str">
        <f t="shared" si="9"/>
        <v>Cancelled</v>
      </c>
      <c r="AB1294" s="14" t="str">
        <f t="shared" ref="AB1294:AC1294" si="2592">trim(Q1294)</f>
        <v>App Glitches</v>
      </c>
      <c r="AC1294" s="14" t="str">
        <f t="shared" si="2592"/>
        <v>Slow Loading Time</v>
      </c>
      <c r="AD1294" s="8"/>
    </row>
    <row r="1295">
      <c r="A1295" s="14" t="str">
        <f>IFERROR(__xludf.DUMMYFUNCTION("""COMPUTED_VALUE"""),"//ord_61273//Pallavi Ghosh//Bandra//Popcorn+2*Priya Joshi/10/16/2023//Credit Card//Delivered*Quality of Items: Perfect condition")</f>
        <v>//ord_61273//Pallavi Ghosh//Bandra//Popcorn+2*Priya Joshi/10/16/2023//Credit Card//Delivered*Quality of Items: Perfect condition</v>
      </c>
      <c r="B1295" s="14" t="str">
        <f>IFERROR(__xludf.DUMMYFUNCTION("split(A1295,""//"")"),"ord_61273")</f>
        <v>ord_61273</v>
      </c>
      <c r="C1295" s="14" t="str">
        <f>IFERROR(__xludf.DUMMYFUNCTION("""COMPUTED_VALUE"""),"Pallavi Ghosh")</f>
        <v>Pallavi Ghosh</v>
      </c>
      <c r="D1295" s="14" t="str">
        <f>IFERROR(__xludf.DUMMYFUNCTION("""COMPUTED_VALUE"""),"Bandra")</f>
        <v>Bandra</v>
      </c>
      <c r="E1295" s="14" t="str">
        <f>IFERROR(__xludf.DUMMYFUNCTION("""COMPUTED_VALUE"""),"Popcorn+2*Priya Joshi")</f>
        <v>Popcorn+2*Priya Joshi</v>
      </c>
      <c r="F1295" s="14">
        <f>IFERROR(__xludf.DUMMYFUNCTION("""COMPUTED_VALUE"""),10.0)</f>
        <v>10</v>
      </c>
      <c r="G1295" s="14">
        <f>IFERROR(__xludf.DUMMYFUNCTION("""COMPUTED_VALUE"""),16.0)</f>
        <v>16</v>
      </c>
      <c r="H1295" s="14">
        <f>IFERROR(__xludf.DUMMYFUNCTION("""COMPUTED_VALUE"""),2023.0)</f>
        <v>2023</v>
      </c>
      <c r="I1295" s="14" t="str">
        <f>IFERROR(__xludf.DUMMYFUNCTION("""COMPUTED_VALUE"""),"Credit Card")</f>
        <v>Credit Card</v>
      </c>
      <c r="J1295" s="14" t="str">
        <f>IFERROR(__xludf.DUMMYFUNCTION("""COMPUTED_VALUE"""),"Delivered*Quality of Items: Perfect condition")</f>
        <v>Delivered*Quality of Items: Perfect condition</v>
      </c>
      <c r="K1295" s="14" t="str">
        <f>IFERROR(__xludf.DUMMYFUNCTION("split(E1295,""+"")"),"Popcorn")</f>
        <v>Popcorn</v>
      </c>
      <c r="L1295" s="14" t="str">
        <f>IFERROR(__xludf.DUMMYFUNCTION("""COMPUTED_VALUE"""),"2*Priya Joshi")</f>
        <v>2*Priya Joshi</v>
      </c>
      <c r="M1295" s="14">
        <f>IFERROR(__xludf.DUMMYFUNCTION("SPLIT(L1295,""*"")"),2.0)</f>
        <v>2</v>
      </c>
      <c r="N1295" s="14" t="str">
        <f>IFERROR(__xludf.DUMMYFUNCTION("""COMPUTED_VALUE"""),"Priya Joshi")</f>
        <v>Priya Joshi</v>
      </c>
      <c r="O1295" s="14" t="str">
        <f>IFERROR(__xludf.DUMMYFUNCTION("split(J1295,""*"")"),"Delivered")</f>
        <v>Delivered</v>
      </c>
      <c r="P1295" s="14" t="str">
        <f>IFERROR(__xludf.DUMMYFUNCTION("""COMPUTED_VALUE"""),"Quality of Items: Perfect condition")</f>
        <v>Quality of Items: Perfect condition</v>
      </c>
      <c r="Q1295" s="14" t="str">
        <f>IFERROR(__xludf.DUMMYFUNCTION("split(P1295,"":"")"),"Quality of Items")</f>
        <v>Quality of Items</v>
      </c>
      <c r="R1295" s="14" t="str">
        <f>IFERROR(__xludf.DUMMYFUNCTION("""COMPUTED_VALUE""")," Perfect condition")</f>
        <v> Perfect condition</v>
      </c>
      <c r="S1295" s="14" t="str">
        <f t="shared" ref="S1295:U1295" si="2593">trim(B1295)</f>
        <v>ord_61273</v>
      </c>
      <c r="T1295" s="14" t="str">
        <f t="shared" si="2593"/>
        <v>Pallavi Ghosh</v>
      </c>
      <c r="U1295" s="14" t="str">
        <f t="shared" si="2593"/>
        <v>Bandra</v>
      </c>
      <c r="V1295" s="14" t="str">
        <f t="shared" si="4"/>
        <v>Popcorn</v>
      </c>
      <c r="W1295" s="14">
        <f t="shared" si="5"/>
        <v>2</v>
      </c>
      <c r="X1295" s="14" t="str">
        <f t="shared" si="6"/>
        <v>Priya Joshi</v>
      </c>
      <c r="Y1295" s="15">
        <f t="shared" si="7"/>
        <v>45215</v>
      </c>
      <c r="Z1295" s="14" t="str">
        <f t="shared" si="8"/>
        <v>Credit Card</v>
      </c>
      <c r="AA1295" s="14" t="str">
        <f t="shared" si="9"/>
        <v>Delivered</v>
      </c>
      <c r="AB1295" s="14" t="str">
        <f t="shared" ref="AB1295:AC1295" si="2594">trim(Q1295)</f>
        <v>Quality of Items</v>
      </c>
      <c r="AC1295" s="14" t="str">
        <f t="shared" si="2594"/>
        <v>Perfect condition</v>
      </c>
      <c r="AD1295" s="8"/>
    </row>
    <row r="1296">
      <c r="A1296" s="14" t="str">
        <f>IFERROR(__xludf.DUMMYFUNCTION("""COMPUTED_VALUE"""),"//ord_61274//Aarav Mehta//Andheri//Chilli Cheese Toast+2*Vivek Kumar/9/21/2023//Online Payment//Delivered*On-time Delivery: Delivered on time")</f>
        <v>//ord_61274//Aarav Mehta//Andheri//Chilli Cheese Toast+2*Vivek Kumar/9/21/2023//Online Payment//Delivered*On-time Delivery: Delivered on time</v>
      </c>
      <c r="B1296" s="14" t="str">
        <f>IFERROR(__xludf.DUMMYFUNCTION("split(A1296,""//"")"),"ord_61274")</f>
        <v>ord_61274</v>
      </c>
      <c r="C1296" s="14" t="str">
        <f>IFERROR(__xludf.DUMMYFUNCTION("""COMPUTED_VALUE"""),"Aarav Mehta")</f>
        <v>Aarav Mehta</v>
      </c>
      <c r="D1296" s="14" t="str">
        <f>IFERROR(__xludf.DUMMYFUNCTION("""COMPUTED_VALUE"""),"Andheri")</f>
        <v>Andheri</v>
      </c>
      <c r="E1296" s="14" t="str">
        <f>IFERROR(__xludf.DUMMYFUNCTION("""COMPUTED_VALUE"""),"Chilli Cheese Toast+2*Vivek Kumar")</f>
        <v>Chilli Cheese Toast+2*Vivek Kumar</v>
      </c>
      <c r="F1296" s="14">
        <f>IFERROR(__xludf.DUMMYFUNCTION("""COMPUTED_VALUE"""),9.0)</f>
        <v>9</v>
      </c>
      <c r="G1296" s="14">
        <f>IFERROR(__xludf.DUMMYFUNCTION("""COMPUTED_VALUE"""),21.0)</f>
        <v>21</v>
      </c>
      <c r="H1296" s="14">
        <f>IFERROR(__xludf.DUMMYFUNCTION("""COMPUTED_VALUE"""),2023.0)</f>
        <v>2023</v>
      </c>
      <c r="I1296" s="14" t="str">
        <f>IFERROR(__xludf.DUMMYFUNCTION("""COMPUTED_VALUE"""),"Online Payment")</f>
        <v>Online Payment</v>
      </c>
      <c r="J1296" s="14" t="str">
        <f>IFERROR(__xludf.DUMMYFUNCTION("""COMPUTED_VALUE"""),"Delivered*On-time Delivery: Delivered on time")</f>
        <v>Delivered*On-time Delivery: Delivered on time</v>
      </c>
      <c r="K1296" s="14" t="str">
        <f>IFERROR(__xludf.DUMMYFUNCTION("split(E1296,""+"")"),"Chilli Cheese Toast")</f>
        <v>Chilli Cheese Toast</v>
      </c>
      <c r="L1296" s="14" t="str">
        <f>IFERROR(__xludf.DUMMYFUNCTION("""COMPUTED_VALUE"""),"2*Vivek Kumar")</f>
        <v>2*Vivek Kumar</v>
      </c>
      <c r="M1296" s="14">
        <f>IFERROR(__xludf.DUMMYFUNCTION("SPLIT(L1296,""*"")"),2.0)</f>
        <v>2</v>
      </c>
      <c r="N1296" s="14" t="str">
        <f>IFERROR(__xludf.DUMMYFUNCTION("""COMPUTED_VALUE"""),"Vivek Kumar")</f>
        <v>Vivek Kumar</v>
      </c>
      <c r="O1296" s="14" t="str">
        <f>IFERROR(__xludf.DUMMYFUNCTION("split(J1296,""*"")"),"Delivered")</f>
        <v>Delivered</v>
      </c>
      <c r="P1296" s="14" t="str">
        <f>IFERROR(__xludf.DUMMYFUNCTION("""COMPUTED_VALUE"""),"On-time Delivery: Delivered on time")</f>
        <v>On-time Delivery: Delivered on time</v>
      </c>
      <c r="Q1296" s="14" t="str">
        <f>IFERROR(__xludf.DUMMYFUNCTION("split(P1296,"":"")"),"On-time Delivery")</f>
        <v>On-time Delivery</v>
      </c>
      <c r="R1296" s="14" t="str">
        <f>IFERROR(__xludf.DUMMYFUNCTION("""COMPUTED_VALUE""")," Delivered on time")</f>
        <v> Delivered on time</v>
      </c>
      <c r="S1296" s="14" t="str">
        <f t="shared" ref="S1296:U1296" si="2595">trim(B1296)</f>
        <v>ord_61274</v>
      </c>
      <c r="T1296" s="14" t="str">
        <f t="shared" si="2595"/>
        <v>Aarav Mehta</v>
      </c>
      <c r="U1296" s="14" t="str">
        <f t="shared" si="2595"/>
        <v>Andheri</v>
      </c>
      <c r="V1296" s="14" t="str">
        <f t="shared" si="4"/>
        <v>Chilli Cheese Toast</v>
      </c>
      <c r="W1296" s="14">
        <f t="shared" si="5"/>
        <v>2</v>
      </c>
      <c r="X1296" s="14" t="str">
        <f t="shared" si="6"/>
        <v>Vivek Kumar</v>
      </c>
      <c r="Y1296" s="15">
        <f t="shared" si="7"/>
        <v>45190</v>
      </c>
      <c r="Z1296" s="14" t="str">
        <f t="shared" si="8"/>
        <v>Online Payment</v>
      </c>
      <c r="AA1296" s="14" t="str">
        <f t="shared" si="9"/>
        <v>Delivered</v>
      </c>
      <c r="AB1296" s="14" t="str">
        <f t="shared" ref="AB1296:AC1296" si="2596">trim(Q1296)</f>
        <v>On-time Delivery</v>
      </c>
      <c r="AC1296" s="14" t="str">
        <f t="shared" si="2596"/>
        <v>Delivered on time</v>
      </c>
      <c r="AD1296" s="8"/>
    </row>
    <row r="1297">
      <c r="A1297" s="14" t="str">
        <f>IFERROR(__xludf.DUMMYFUNCTION("""COMPUTED_VALUE"""),"//ord_61275//Mohit Malhotra//Lower Parel//Sweet Corn+2*Sita T/3/9/2023//Online Payment//Delivered*Quality of Items: Perfect condition")</f>
        <v>//ord_61275//Mohit Malhotra//Lower Parel//Sweet Corn+2*Sita T/3/9/2023//Online Payment//Delivered*Quality of Items: Perfect condition</v>
      </c>
      <c r="B1297" s="14" t="str">
        <f>IFERROR(__xludf.DUMMYFUNCTION("split(A1297,""//"")"),"ord_61275")</f>
        <v>ord_61275</v>
      </c>
      <c r="C1297" s="14" t="str">
        <f>IFERROR(__xludf.DUMMYFUNCTION("""COMPUTED_VALUE"""),"Mohit Malhotra")</f>
        <v>Mohit Malhotra</v>
      </c>
      <c r="D1297" s="14" t="str">
        <f>IFERROR(__xludf.DUMMYFUNCTION("""COMPUTED_VALUE"""),"Lower Parel")</f>
        <v>Lower Parel</v>
      </c>
      <c r="E1297" s="14" t="str">
        <f>IFERROR(__xludf.DUMMYFUNCTION("""COMPUTED_VALUE"""),"Sweet Corn+2*Sita T")</f>
        <v>Sweet Corn+2*Sita T</v>
      </c>
      <c r="F1297" s="14">
        <f>IFERROR(__xludf.DUMMYFUNCTION("""COMPUTED_VALUE"""),3.0)</f>
        <v>3</v>
      </c>
      <c r="G1297" s="14">
        <f>IFERROR(__xludf.DUMMYFUNCTION("""COMPUTED_VALUE"""),9.0)</f>
        <v>9</v>
      </c>
      <c r="H1297" s="14">
        <f>IFERROR(__xludf.DUMMYFUNCTION("""COMPUTED_VALUE"""),2023.0)</f>
        <v>2023</v>
      </c>
      <c r="I1297" s="14" t="str">
        <f>IFERROR(__xludf.DUMMYFUNCTION("""COMPUTED_VALUE"""),"Online Payment")</f>
        <v>Online Payment</v>
      </c>
      <c r="J1297" s="14" t="str">
        <f>IFERROR(__xludf.DUMMYFUNCTION("""COMPUTED_VALUE"""),"Delivered*Quality of Items: Perfect condition")</f>
        <v>Delivered*Quality of Items: Perfect condition</v>
      </c>
      <c r="K1297" s="14" t="str">
        <f>IFERROR(__xludf.DUMMYFUNCTION("split(E1297,""+"")"),"Sweet Corn")</f>
        <v>Sweet Corn</v>
      </c>
      <c r="L1297" s="14" t="str">
        <f>IFERROR(__xludf.DUMMYFUNCTION("""COMPUTED_VALUE"""),"2*Sita T")</f>
        <v>2*Sita T</v>
      </c>
      <c r="M1297" s="14">
        <f>IFERROR(__xludf.DUMMYFUNCTION("SPLIT(L1297,""*"")"),2.0)</f>
        <v>2</v>
      </c>
      <c r="N1297" s="14" t="str">
        <f>IFERROR(__xludf.DUMMYFUNCTION("""COMPUTED_VALUE"""),"Sita T")</f>
        <v>Sita T</v>
      </c>
      <c r="O1297" s="14" t="str">
        <f>IFERROR(__xludf.DUMMYFUNCTION("split(J1297,""*"")"),"Delivered")</f>
        <v>Delivered</v>
      </c>
      <c r="P1297" s="14" t="str">
        <f>IFERROR(__xludf.DUMMYFUNCTION("""COMPUTED_VALUE"""),"Quality of Items: Perfect condition")</f>
        <v>Quality of Items: Perfect condition</v>
      </c>
      <c r="Q1297" s="14" t="str">
        <f>IFERROR(__xludf.DUMMYFUNCTION("split(P1297,"":"")"),"Quality of Items")</f>
        <v>Quality of Items</v>
      </c>
      <c r="R1297" s="14" t="str">
        <f>IFERROR(__xludf.DUMMYFUNCTION("""COMPUTED_VALUE""")," Perfect condition")</f>
        <v> Perfect condition</v>
      </c>
      <c r="S1297" s="14" t="str">
        <f t="shared" ref="S1297:U1297" si="2597">trim(B1297)</f>
        <v>ord_61275</v>
      </c>
      <c r="T1297" s="14" t="str">
        <f t="shared" si="2597"/>
        <v>Mohit Malhotra</v>
      </c>
      <c r="U1297" s="14" t="str">
        <f t="shared" si="2597"/>
        <v>Lower Parel</v>
      </c>
      <c r="V1297" s="14" t="str">
        <f t="shared" si="4"/>
        <v>Sweet Corn</v>
      </c>
      <c r="W1297" s="14">
        <f t="shared" si="5"/>
        <v>2</v>
      </c>
      <c r="X1297" s="14" t="str">
        <f t="shared" si="6"/>
        <v>Sita T</v>
      </c>
      <c r="Y1297" s="15">
        <f t="shared" si="7"/>
        <v>44994</v>
      </c>
      <c r="Z1297" s="14" t="str">
        <f t="shared" si="8"/>
        <v>Online Payment</v>
      </c>
      <c r="AA1297" s="14" t="str">
        <f t="shared" si="9"/>
        <v>Delivered</v>
      </c>
      <c r="AB1297" s="14" t="str">
        <f t="shared" ref="AB1297:AC1297" si="2598">trim(Q1297)</f>
        <v>Quality of Items</v>
      </c>
      <c r="AC1297" s="14" t="str">
        <f t="shared" si="2598"/>
        <v>Perfect condition</v>
      </c>
      <c r="AD1297" s="8"/>
    </row>
    <row r="1298">
      <c r="A1298" s="14" t="str">
        <f>IFERROR(__xludf.DUMMYFUNCTION("""COMPUTED_VALUE"""),"//ord_61276//Siya Reddy//Juhu//Tiramisu+3*Ram Gopal/6/30/2023//Credit Card//Cancelled*Delayed Delivery:Incorrect Address or Location")</f>
        <v>//ord_61276//Siya Reddy//Juhu//Tiramisu+3*Ram Gopal/6/30/2023//Credit Card//Cancelled*Delayed Delivery:Incorrect Address or Location</v>
      </c>
      <c r="B1298" s="14" t="str">
        <f>IFERROR(__xludf.DUMMYFUNCTION("split(A1298,""//"")"),"ord_61276")</f>
        <v>ord_61276</v>
      </c>
      <c r="C1298" s="14" t="str">
        <f>IFERROR(__xludf.DUMMYFUNCTION("""COMPUTED_VALUE"""),"Siya Reddy")</f>
        <v>Siya Reddy</v>
      </c>
      <c r="D1298" s="14" t="str">
        <f>IFERROR(__xludf.DUMMYFUNCTION("""COMPUTED_VALUE"""),"Juhu")</f>
        <v>Juhu</v>
      </c>
      <c r="E1298" s="14" t="str">
        <f>IFERROR(__xludf.DUMMYFUNCTION("""COMPUTED_VALUE"""),"Tiramisu+3*Ram Gopal")</f>
        <v>Tiramisu+3*Ram Gopal</v>
      </c>
      <c r="F1298" s="14">
        <f>IFERROR(__xludf.DUMMYFUNCTION("""COMPUTED_VALUE"""),6.0)</f>
        <v>6</v>
      </c>
      <c r="G1298" s="14">
        <f>IFERROR(__xludf.DUMMYFUNCTION("""COMPUTED_VALUE"""),30.0)</f>
        <v>30</v>
      </c>
      <c r="H1298" s="14">
        <f>IFERROR(__xludf.DUMMYFUNCTION("""COMPUTED_VALUE"""),2023.0)</f>
        <v>2023</v>
      </c>
      <c r="I1298" s="14" t="str">
        <f>IFERROR(__xludf.DUMMYFUNCTION("""COMPUTED_VALUE"""),"Credit Card")</f>
        <v>Credit Card</v>
      </c>
      <c r="J1298" s="14" t="str">
        <f>IFERROR(__xludf.DUMMYFUNCTION("""COMPUTED_VALUE"""),"Cancelled*Delayed Delivery:Incorrect Address or Location")</f>
        <v>Cancelled*Delayed Delivery:Incorrect Address or Location</v>
      </c>
      <c r="K1298" s="14" t="str">
        <f>IFERROR(__xludf.DUMMYFUNCTION("split(E1298,""+"")"),"Tiramisu")</f>
        <v>Tiramisu</v>
      </c>
      <c r="L1298" s="14" t="str">
        <f>IFERROR(__xludf.DUMMYFUNCTION("""COMPUTED_VALUE"""),"3*Ram Gopal")</f>
        <v>3*Ram Gopal</v>
      </c>
      <c r="M1298" s="14">
        <f>IFERROR(__xludf.DUMMYFUNCTION("SPLIT(L1298,""*"")"),3.0)</f>
        <v>3</v>
      </c>
      <c r="N1298" s="14" t="str">
        <f>IFERROR(__xludf.DUMMYFUNCTION("""COMPUTED_VALUE"""),"Ram Gopal")</f>
        <v>Ram Gopal</v>
      </c>
      <c r="O1298" s="14" t="str">
        <f>IFERROR(__xludf.DUMMYFUNCTION("split(J1298,""*"")"),"Cancelled")</f>
        <v>Cancelled</v>
      </c>
      <c r="P1298" s="14" t="str">
        <f>IFERROR(__xludf.DUMMYFUNCTION("""COMPUTED_VALUE"""),"Delayed Delivery:Incorrect Address or Location")</f>
        <v>Delayed Delivery:Incorrect Address or Location</v>
      </c>
      <c r="Q1298" s="14" t="str">
        <f>IFERROR(__xludf.DUMMYFUNCTION("split(P1298,"":"")"),"Delayed Delivery")</f>
        <v>Delayed Delivery</v>
      </c>
      <c r="R1298" s="14" t="str">
        <f>IFERROR(__xludf.DUMMYFUNCTION("""COMPUTED_VALUE"""),"Incorrect Address or Location")</f>
        <v>Incorrect Address or Location</v>
      </c>
      <c r="S1298" s="14" t="str">
        <f t="shared" ref="S1298:U1298" si="2599">trim(B1298)</f>
        <v>ord_61276</v>
      </c>
      <c r="T1298" s="14" t="str">
        <f t="shared" si="2599"/>
        <v>Siya Reddy</v>
      </c>
      <c r="U1298" s="14" t="str">
        <f t="shared" si="2599"/>
        <v>Juhu</v>
      </c>
      <c r="V1298" s="14" t="str">
        <f t="shared" si="4"/>
        <v>Tiramisu</v>
      </c>
      <c r="W1298" s="14">
        <f t="shared" si="5"/>
        <v>3</v>
      </c>
      <c r="X1298" s="14" t="str">
        <f t="shared" si="6"/>
        <v>Ram Gopal</v>
      </c>
      <c r="Y1298" s="15">
        <f t="shared" si="7"/>
        <v>45107</v>
      </c>
      <c r="Z1298" s="14" t="str">
        <f t="shared" si="8"/>
        <v>Credit Card</v>
      </c>
      <c r="AA1298" s="14" t="str">
        <f t="shared" si="9"/>
        <v>Cancelled</v>
      </c>
      <c r="AB1298" s="14" t="str">
        <f t="shared" ref="AB1298:AC1298" si="2600">trim(Q1298)</f>
        <v>Delayed Delivery</v>
      </c>
      <c r="AC1298" s="14" t="str">
        <f t="shared" si="2600"/>
        <v>Incorrect Address or Location</v>
      </c>
      <c r="AD1298" s="8"/>
    </row>
    <row r="1299">
      <c r="A1299" s="14" t="str">
        <f>IFERROR(__xludf.DUMMYFUNCTION("""COMPUTED_VALUE"""),"//ord_61277//Aditi Iyer//Dadar//Chocolate Mousse+1*Ramesh S/11/1/2023//UPI//Delivered*Packaging: Secure and intact")</f>
        <v>//ord_61277//Aditi Iyer//Dadar//Chocolate Mousse+1*Ramesh S/11/1/2023//UPI//Delivered*Packaging: Secure and intact</v>
      </c>
      <c r="B1299" s="14" t="str">
        <f>IFERROR(__xludf.DUMMYFUNCTION("split(A1299,""//"")"),"ord_61277")</f>
        <v>ord_61277</v>
      </c>
      <c r="C1299" s="14" t="str">
        <f>IFERROR(__xludf.DUMMYFUNCTION("""COMPUTED_VALUE"""),"Aditi Iyer")</f>
        <v>Aditi Iyer</v>
      </c>
      <c r="D1299" s="14" t="str">
        <f>IFERROR(__xludf.DUMMYFUNCTION("""COMPUTED_VALUE"""),"Dadar")</f>
        <v>Dadar</v>
      </c>
      <c r="E1299" s="14" t="str">
        <f>IFERROR(__xludf.DUMMYFUNCTION("""COMPUTED_VALUE"""),"Chocolate Mousse+1*Ramesh S")</f>
        <v>Chocolate Mousse+1*Ramesh S</v>
      </c>
      <c r="F1299" s="14">
        <f>IFERROR(__xludf.DUMMYFUNCTION("""COMPUTED_VALUE"""),11.0)</f>
        <v>11</v>
      </c>
      <c r="G1299" s="14">
        <f>IFERROR(__xludf.DUMMYFUNCTION("""COMPUTED_VALUE"""),1.0)</f>
        <v>1</v>
      </c>
      <c r="H1299" s="14">
        <f>IFERROR(__xludf.DUMMYFUNCTION("""COMPUTED_VALUE"""),2023.0)</f>
        <v>2023</v>
      </c>
      <c r="I1299" s="14" t="str">
        <f>IFERROR(__xludf.DUMMYFUNCTION("""COMPUTED_VALUE"""),"UPI")</f>
        <v>UPI</v>
      </c>
      <c r="J1299" s="14" t="str">
        <f>IFERROR(__xludf.DUMMYFUNCTION("""COMPUTED_VALUE"""),"Delivered*Packaging: Secure and intact")</f>
        <v>Delivered*Packaging: Secure and intact</v>
      </c>
      <c r="K1299" s="14" t="str">
        <f>IFERROR(__xludf.DUMMYFUNCTION("split(E1299,""+"")"),"Chocolate Mousse")</f>
        <v>Chocolate Mousse</v>
      </c>
      <c r="L1299" s="14" t="str">
        <f>IFERROR(__xludf.DUMMYFUNCTION("""COMPUTED_VALUE"""),"1*Ramesh S")</f>
        <v>1*Ramesh S</v>
      </c>
      <c r="M1299" s="14">
        <f>IFERROR(__xludf.DUMMYFUNCTION("SPLIT(L1299,""*"")"),1.0)</f>
        <v>1</v>
      </c>
      <c r="N1299" s="14" t="str">
        <f>IFERROR(__xludf.DUMMYFUNCTION("""COMPUTED_VALUE"""),"Ramesh S")</f>
        <v>Ramesh S</v>
      </c>
      <c r="O1299" s="14" t="str">
        <f>IFERROR(__xludf.DUMMYFUNCTION("split(J1299,""*"")"),"Delivered")</f>
        <v>Delivered</v>
      </c>
      <c r="P1299" s="14" t="str">
        <f>IFERROR(__xludf.DUMMYFUNCTION("""COMPUTED_VALUE"""),"Packaging: Secure and intact")</f>
        <v>Packaging: Secure and intact</v>
      </c>
      <c r="Q1299" s="14" t="str">
        <f>IFERROR(__xludf.DUMMYFUNCTION("split(P1299,"":"")"),"Packaging")</f>
        <v>Packaging</v>
      </c>
      <c r="R1299" s="14" t="str">
        <f>IFERROR(__xludf.DUMMYFUNCTION("""COMPUTED_VALUE""")," Secure and intact")</f>
        <v> Secure and intact</v>
      </c>
      <c r="S1299" s="14" t="str">
        <f t="shared" ref="S1299:U1299" si="2601">trim(B1299)</f>
        <v>ord_61277</v>
      </c>
      <c r="T1299" s="14" t="str">
        <f t="shared" si="2601"/>
        <v>Aditi Iyer</v>
      </c>
      <c r="U1299" s="14" t="str">
        <f t="shared" si="2601"/>
        <v>Dadar</v>
      </c>
      <c r="V1299" s="14" t="str">
        <f t="shared" si="4"/>
        <v>Chocolate Mousse</v>
      </c>
      <c r="W1299" s="14">
        <f t="shared" si="5"/>
        <v>1</v>
      </c>
      <c r="X1299" s="14" t="str">
        <f t="shared" si="6"/>
        <v>Ramesh S</v>
      </c>
      <c r="Y1299" s="15">
        <f t="shared" si="7"/>
        <v>45231</v>
      </c>
      <c r="Z1299" s="14" t="str">
        <f t="shared" si="8"/>
        <v>UPI</v>
      </c>
      <c r="AA1299" s="14" t="str">
        <f t="shared" si="9"/>
        <v>Delivered</v>
      </c>
      <c r="AB1299" s="14" t="str">
        <f t="shared" ref="AB1299:AC1299" si="2602">trim(Q1299)</f>
        <v>Packaging</v>
      </c>
      <c r="AC1299" s="14" t="str">
        <f t="shared" si="2602"/>
        <v>Secure and intact</v>
      </c>
      <c r="AD1299" s="8"/>
    </row>
    <row r="1300">
      <c r="A1300" s="14" t="str">
        <f>IFERROR(__xludf.DUMMYFUNCTION("""COMPUTED_VALUE"""),"//ord_61278//Dev Chauhan//Bandra//Cucumber+1*Manju Ajay/6/29/2023//UPI//Delivered*Satisfied with the Delivery: Timely and quality")</f>
        <v>//ord_61278//Dev Chauhan//Bandra//Cucumber+1*Manju Ajay/6/29/2023//UPI//Delivered*Satisfied with the Delivery: Timely and quality</v>
      </c>
      <c r="B1300" s="14" t="str">
        <f>IFERROR(__xludf.DUMMYFUNCTION("split(A1300,""//"")"),"ord_61278")</f>
        <v>ord_61278</v>
      </c>
      <c r="C1300" s="14" t="str">
        <f>IFERROR(__xludf.DUMMYFUNCTION("""COMPUTED_VALUE"""),"Dev Chauhan")</f>
        <v>Dev Chauhan</v>
      </c>
      <c r="D1300" s="14" t="str">
        <f>IFERROR(__xludf.DUMMYFUNCTION("""COMPUTED_VALUE"""),"Bandra")</f>
        <v>Bandra</v>
      </c>
      <c r="E1300" s="14" t="str">
        <f>IFERROR(__xludf.DUMMYFUNCTION("""COMPUTED_VALUE"""),"Cucumber+1*Manju Ajay")</f>
        <v>Cucumber+1*Manju Ajay</v>
      </c>
      <c r="F1300" s="14">
        <f>IFERROR(__xludf.DUMMYFUNCTION("""COMPUTED_VALUE"""),6.0)</f>
        <v>6</v>
      </c>
      <c r="G1300" s="14">
        <f>IFERROR(__xludf.DUMMYFUNCTION("""COMPUTED_VALUE"""),29.0)</f>
        <v>29</v>
      </c>
      <c r="H1300" s="14">
        <f>IFERROR(__xludf.DUMMYFUNCTION("""COMPUTED_VALUE"""),2023.0)</f>
        <v>2023</v>
      </c>
      <c r="I1300" s="14" t="str">
        <f>IFERROR(__xludf.DUMMYFUNCTION("""COMPUTED_VALUE"""),"UPI")</f>
        <v>UPI</v>
      </c>
      <c r="J1300" s="14" t="str">
        <f>IFERROR(__xludf.DUMMYFUNCTION("""COMPUTED_VALUE"""),"Delivered*Satisfied with the Delivery: Timely and quality")</f>
        <v>Delivered*Satisfied with the Delivery: Timely and quality</v>
      </c>
      <c r="K1300" s="14" t="str">
        <f>IFERROR(__xludf.DUMMYFUNCTION("split(E1300,""+"")"),"Cucumber")</f>
        <v>Cucumber</v>
      </c>
      <c r="L1300" s="14" t="str">
        <f>IFERROR(__xludf.DUMMYFUNCTION("""COMPUTED_VALUE"""),"1*Manju Ajay")</f>
        <v>1*Manju Ajay</v>
      </c>
      <c r="M1300" s="14">
        <f>IFERROR(__xludf.DUMMYFUNCTION("SPLIT(L1300,""*"")"),1.0)</f>
        <v>1</v>
      </c>
      <c r="N1300" s="14" t="str">
        <f>IFERROR(__xludf.DUMMYFUNCTION("""COMPUTED_VALUE"""),"Manju Ajay")</f>
        <v>Manju Ajay</v>
      </c>
      <c r="O1300" s="14" t="str">
        <f>IFERROR(__xludf.DUMMYFUNCTION("split(J1300,""*"")"),"Delivered")</f>
        <v>Delivered</v>
      </c>
      <c r="P1300" s="14" t="str">
        <f>IFERROR(__xludf.DUMMYFUNCTION("""COMPUTED_VALUE"""),"Satisfied with the Delivery: Timely and quality")</f>
        <v>Satisfied with the Delivery: Timely and quality</v>
      </c>
      <c r="Q1300" s="14" t="str">
        <f>IFERROR(__xludf.DUMMYFUNCTION("split(P1300,"":"")"),"Satisfied with the Delivery")</f>
        <v>Satisfied with the Delivery</v>
      </c>
      <c r="R1300" s="14" t="str">
        <f>IFERROR(__xludf.DUMMYFUNCTION("""COMPUTED_VALUE""")," Timely and quality")</f>
        <v> Timely and quality</v>
      </c>
      <c r="S1300" s="14" t="str">
        <f t="shared" ref="S1300:U1300" si="2603">trim(B1300)</f>
        <v>ord_61278</v>
      </c>
      <c r="T1300" s="14" t="str">
        <f t="shared" si="2603"/>
        <v>Dev Chauhan</v>
      </c>
      <c r="U1300" s="14" t="str">
        <f t="shared" si="2603"/>
        <v>Bandra</v>
      </c>
      <c r="V1300" s="14" t="str">
        <f t="shared" si="4"/>
        <v>Cucumber</v>
      </c>
      <c r="W1300" s="14">
        <f t="shared" si="5"/>
        <v>1</v>
      </c>
      <c r="X1300" s="14" t="str">
        <f t="shared" si="6"/>
        <v>Manju Ajay</v>
      </c>
      <c r="Y1300" s="15">
        <f t="shared" si="7"/>
        <v>45106</v>
      </c>
      <c r="Z1300" s="14" t="str">
        <f t="shared" si="8"/>
        <v>UPI</v>
      </c>
      <c r="AA1300" s="14" t="str">
        <f t="shared" si="9"/>
        <v>Delivered</v>
      </c>
      <c r="AB1300" s="14" t="str">
        <f t="shared" ref="AB1300:AC1300" si="2604">trim(Q1300)</f>
        <v>Satisfied with the Delivery</v>
      </c>
      <c r="AC1300" s="14" t="str">
        <f t="shared" si="2604"/>
        <v>Timely and quality</v>
      </c>
      <c r="AD1300" s="8"/>
    </row>
    <row r="1301">
      <c r="A1301" s="14" t="str">
        <f>IFERROR(__xludf.DUMMYFUNCTION("""COMPUTED_VALUE"""),"//ord_61279//Ishaan Chaturvedi//Bandra//Chilli Cheese Toast+5*Vivek Kumar/8/18/2023//Online Payment//Delivered*Customer Service: Seamless and easy")</f>
        <v>//ord_61279//Ishaan Chaturvedi//Bandra//Chilli Cheese Toast+5*Vivek Kumar/8/18/2023//Online Payment//Delivered*Customer Service: Seamless and easy</v>
      </c>
      <c r="B1301" s="14" t="str">
        <f>IFERROR(__xludf.DUMMYFUNCTION("split(A1301,""//"")"),"ord_61279")</f>
        <v>ord_61279</v>
      </c>
      <c r="C1301" s="14" t="str">
        <f>IFERROR(__xludf.DUMMYFUNCTION("""COMPUTED_VALUE"""),"Ishaan Chaturvedi")</f>
        <v>Ishaan Chaturvedi</v>
      </c>
      <c r="D1301" s="14" t="str">
        <f>IFERROR(__xludf.DUMMYFUNCTION("""COMPUTED_VALUE"""),"Bandra")</f>
        <v>Bandra</v>
      </c>
      <c r="E1301" s="14" t="str">
        <f>IFERROR(__xludf.DUMMYFUNCTION("""COMPUTED_VALUE"""),"Chilli Cheese Toast+5*Vivek Kumar")</f>
        <v>Chilli Cheese Toast+5*Vivek Kumar</v>
      </c>
      <c r="F1301" s="14">
        <f>IFERROR(__xludf.DUMMYFUNCTION("""COMPUTED_VALUE"""),8.0)</f>
        <v>8</v>
      </c>
      <c r="G1301" s="14">
        <f>IFERROR(__xludf.DUMMYFUNCTION("""COMPUTED_VALUE"""),18.0)</f>
        <v>18</v>
      </c>
      <c r="H1301" s="14">
        <f>IFERROR(__xludf.DUMMYFUNCTION("""COMPUTED_VALUE"""),2023.0)</f>
        <v>2023</v>
      </c>
      <c r="I1301" s="14" t="str">
        <f>IFERROR(__xludf.DUMMYFUNCTION("""COMPUTED_VALUE"""),"Online Payment")</f>
        <v>Online Payment</v>
      </c>
      <c r="J1301" s="14" t="str">
        <f>IFERROR(__xludf.DUMMYFUNCTION("""COMPUTED_VALUE"""),"Delivered*Customer Service: Seamless and easy")</f>
        <v>Delivered*Customer Service: Seamless and easy</v>
      </c>
      <c r="K1301" s="14" t="str">
        <f>IFERROR(__xludf.DUMMYFUNCTION("split(E1301,""+"")"),"Chilli Cheese Toast")</f>
        <v>Chilli Cheese Toast</v>
      </c>
      <c r="L1301" s="14" t="str">
        <f>IFERROR(__xludf.DUMMYFUNCTION("""COMPUTED_VALUE"""),"5*Vivek Kumar")</f>
        <v>5*Vivek Kumar</v>
      </c>
      <c r="M1301" s="14">
        <f>IFERROR(__xludf.DUMMYFUNCTION("SPLIT(L1301,""*"")"),5.0)</f>
        <v>5</v>
      </c>
      <c r="N1301" s="14" t="str">
        <f>IFERROR(__xludf.DUMMYFUNCTION("""COMPUTED_VALUE"""),"Vivek Kumar")</f>
        <v>Vivek Kumar</v>
      </c>
      <c r="O1301" s="14" t="str">
        <f>IFERROR(__xludf.DUMMYFUNCTION("split(J1301,""*"")"),"Delivered")</f>
        <v>Delivered</v>
      </c>
      <c r="P1301" s="14" t="str">
        <f>IFERROR(__xludf.DUMMYFUNCTION("""COMPUTED_VALUE"""),"Customer Service: Seamless and easy")</f>
        <v>Customer Service: Seamless and easy</v>
      </c>
      <c r="Q1301" s="14" t="str">
        <f>IFERROR(__xludf.DUMMYFUNCTION("split(P1301,"":"")"),"Customer Service")</f>
        <v>Customer Service</v>
      </c>
      <c r="R1301" s="14" t="str">
        <f>IFERROR(__xludf.DUMMYFUNCTION("""COMPUTED_VALUE""")," Seamless and easy")</f>
        <v> Seamless and easy</v>
      </c>
      <c r="S1301" s="14" t="str">
        <f t="shared" ref="S1301:U1301" si="2605">trim(B1301)</f>
        <v>ord_61279</v>
      </c>
      <c r="T1301" s="14" t="str">
        <f t="shared" si="2605"/>
        <v>Ishaan Chaturvedi</v>
      </c>
      <c r="U1301" s="14" t="str">
        <f t="shared" si="2605"/>
        <v>Bandra</v>
      </c>
      <c r="V1301" s="14" t="str">
        <f t="shared" si="4"/>
        <v>Chilli Cheese Toast</v>
      </c>
      <c r="W1301" s="14">
        <f t="shared" si="5"/>
        <v>5</v>
      </c>
      <c r="X1301" s="14" t="str">
        <f t="shared" si="6"/>
        <v>Vivek Kumar</v>
      </c>
      <c r="Y1301" s="15">
        <f t="shared" si="7"/>
        <v>45156</v>
      </c>
      <c r="Z1301" s="14" t="str">
        <f t="shared" si="8"/>
        <v>Online Payment</v>
      </c>
      <c r="AA1301" s="14" t="str">
        <f t="shared" si="9"/>
        <v>Delivered</v>
      </c>
      <c r="AB1301" s="14" t="str">
        <f t="shared" ref="AB1301:AC1301" si="2606">trim(Q1301)</f>
        <v>Customer Service</v>
      </c>
      <c r="AC1301" s="14" t="str">
        <f t="shared" si="2606"/>
        <v>Seamless and easy</v>
      </c>
      <c r="AD1301" s="8"/>
    </row>
    <row r="1302">
      <c r="A1302" s="14" t="str">
        <f>IFERROR(__xludf.DUMMYFUNCTION("""COMPUTED_VALUE"""),"//ord_61280//Mehul Thakkar//Malad//Cold Coffee+3*Not Assigned/2/18/2023//Credit Card//Cancelled*App Glitches: Payment Button Malfunction")</f>
        <v>//ord_61280//Mehul Thakkar//Malad//Cold Coffee+3*Not Assigned/2/18/2023//Credit Card//Cancelled*App Glitches: Payment Button Malfunction</v>
      </c>
      <c r="B1302" s="14" t="str">
        <f>IFERROR(__xludf.DUMMYFUNCTION("split(A1302,""//"")"),"ord_61280")</f>
        <v>ord_61280</v>
      </c>
      <c r="C1302" s="14" t="str">
        <f>IFERROR(__xludf.DUMMYFUNCTION("""COMPUTED_VALUE"""),"Mehul Thakkar")</f>
        <v>Mehul Thakkar</v>
      </c>
      <c r="D1302" s="14" t="str">
        <f>IFERROR(__xludf.DUMMYFUNCTION("""COMPUTED_VALUE"""),"Malad")</f>
        <v>Malad</v>
      </c>
      <c r="E1302" s="14" t="str">
        <f>IFERROR(__xludf.DUMMYFUNCTION("""COMPUTED_VALUE"""),"Cold Coffee+3*Not Assigned")</f>
        <v>Cold Coffee+3*Not Assigned</v>
      </c>
      <c r="F1302" s="14">
        <f>IFERROR(__xludf.DUMMYFUNCTION("""COMPUTED_VALUE"""),2.0)</f>
        <v>2</v>
      </c>
      <c r="G1302" s="14">
        <f>IFERROR(__xludf.DUMMYFUNCTION("""COMPUTED_VALUE"""),18.0)</f>
        <v>18</v>
      </c>
      <c r="H1302" s="14">
        <f>IFERROR(__xludf.DUMMYFUNCTION("""COMPUTED_VALUE"""),2023.0)</f>
        <v>2023</v>
      </c>
      <c r="I1302" s="14" t="str">
        <f>IFERROR(__xludf.DUMMYFUNCTION("""COMPUTED_VALUE"""),"Credit Card")</f>
        <v>Credit Card</v>
      </c>
      <c r="J1302" s="14" t="str">
        <f>IFERROR(__xludf.DUMMYFUNCTION("""COMPUTED_VALUE"""),"Cancelled*App Glitches: Payment Button Malfunction")</f>
        <v>Cancelled*App Glitches: Payment Button Malfunction</v>
      </c>
      <c r="K1302" s="14" t="str">
        <f>IFERROR(__xludf.DUMMYFUNCTION("split(E1302,""+"")"),"Cold Coffee")</f>
        <v>Cold Coffee</v>
      </c>
      <c r="L1302" s="14" t="str">
        <f>IFERROR(__xludf.DUMMYFUNCTION("""COMPUTED_VALUE"""),"3*Not Assigned")</f>
        <v>3*Not Assigned</v>
      </c>
      <c r="M1302" s="14">
        <f>IFERROR(__xludf.DUMMYFUNCTION("SPLIT(L1302,""*"")"),3.0)</f>
        <v>3</v>
      </c>
      <c r="N1302" s="14" t="str">
        <f>IFERROR(__xludf.DUMMYFUNCTION("""COMPUTED_VALUE"""),"Not Assigned")</f>
        <v>Not Assigned</v>
      </c>
      <c r="O1302" s="14" t="str">
        <f>IFERROR(__xludf.DUMMYFUNCTION("split(J1302,""*"")"),"Cancelled")</f>
        <v>Cancelled</v>
      </c>
      <c r="P1302" s="14" t="str">
        <f>IFERROR(__xludf.DUMMYFUNCTION("""COMPUTED_VALUE"""),"App Glitches: Payment Button Malfunction")</f>
        <v>App Glitches: Payment Button Malfunction</v>
      </c>
      <c r="Q1302" s="14" t="str">
        <f>IFERROR(__xludf.DUMMYFUNCTION("split(P1302,"":"")"),"App Glitches")</f>
        <v>App Glitches</v>
      </c>
      <c r="R1302" s="14" t="str">
        <f>IFERROR(__xludf.DUMMYFUNCTION("""COMPUTED_VALUE""")," Payment Button Malfunction")</f>
        <v> Payment Button Malfunction</v>
      </c>
      <c r="S1302" s="14" t="str">
        <f t="shared" ref="S1302:U1302" si="2607">trim(B1302)</f>
        <v>ord_61280</v>
      </c>
      <c r="T1302" s="14" t="str">
        <f t="shared" si="2607"/>
        <v>Mehul Thakkar</v>
      </c>
      <c r="U1302" s="14" t="str">
        <f t="shared" si="2607"/>
        <v>Malad</v>
      </c>
      <c r="V1302" s="14" t="str">
        <f t="shared" si="4"/>
        <v>Cold Coffee</v>
      </c>
      <c r="W1302" s="14">
        <f t="shared" si="5"/>
        <v>3</v>
      </c>
      <c r="X1302" s="14" t="str">
        <f t="shared" si="6"/>
        <v>Not Assigned</v>
      </c>
      <c r="Y1302" s="15">
        <f t="shared" si="7"/>
        <v>44975</v>
      </c>
      <c r="Z1302" s="14" t="str">
        <f t="shared" si="8"/>
        <v>Credit Card</v>
      </c>
      <c r="AA1302" s="14" t="str">
        <f t="shared" si="9"/>
        <v>Cancelled</v>
      </c>
      <c r="AB1302" s="14" t="str">
        <f t="shared" ref="AB1302:AC1302" si="2608">trim(Q1302)</f>
        <v>App Glitches</v>
      </c>
      <c r="AC1302" s="14" t="str">
        <f t="shared" si="2608"/>
        <v>Payment Button Malfunction</v>
      </c>
      <c r="AD1302" s="8"/>
    </row>
    <row r="1303">
      <c r="A1303" s="14" t="str">
        <f>IFERROR(__xludf.DUMMYFUNCTION("""COMPUTED_VALUE"""),"//ord_61281//Ishita Banerjee//Juhu//Guava+1*Not Assigned/8/12/2023//Credit Card//Cancelled*App Glitches:App Freezes")</f>
        <v>//ord_61281//Ishita Banerjee//Juhu//Guava+1*Not Assigned/8/12/2023//Credit Card//Cancelled*App Glitches:App Freezes</v>
      </c>
      <c r="B1303" s="14" t="str">
        <f>IFERROR(__xludf.DUMMYFUNCTION("split(A1303,""//"")"),"ord_61281")</f>
        <v>ord_61281</v>
      </c>
      <c r="C1303" s="14" t="str">
        <f>IFERROR(__xludf.DUMMYFUNCTION("""COMPUTED_VALUE"""),"Ishita Banerjee")</f>
        <v>Ishita Banerjee</v>
      </c>
      <c r="D1303" s="14" t="str">
        <f>IFERROR(__xludf.DUMMYFUNCTION("""COMPUTED_VALUE"""),"Juhu")</f>
        <v>Juhu</v>
      </c>
      <c r="E1303" s="14" t="str">
        <f>IFERROR(__xludf.DUMMYFUNCTION("""COMPUTED_VALUE"""),"Guava+1*Not Assigned")</f>
        <v>Guava+1*Not Assigned</v>
      </c>
      <c r="F1303" s="14">
        <f>IFERROR(__xludf.DUMMYFUNCTION("""COMPUTED_VALUE"""),8.0)</f>
        <v>8</v>
      </c>
      <c r="G1303" s="14">
        <f>IFERROR(__xludf.DUMMYFUNCTION("""COMPUTED_VALUE"""),12.0)</f>
        <v>12</v>
      </c>
      <c r="H1303" s="14">
        <f>IFERROR(__xludf.DUMMYFUNCTION("""COMPUTED_VALUE"""),2023.0)</f>
        <v>2023</v>
      </c>
      <c r="I1303" s="14" t="str">
        <f>IFERROR(__xludf.DUMMYFUNCTION("""COMPUTED_VALUE"""),"Credit Card")</f>
        <v>Credit Card</v>
      </c>
      <c r="J1303" s="14" t="str">
        <f>IFERROR(__xludf.DUMMYFUNCTION("""COMPUTED_VALUE"""),"Cancelled*App Glitches:App Freezes")</f>
        <v>Cancelled*App Glitches:App Freezes</v>
      </c>
      <c r="K1303" s="14" t="str">
        <f>IFERROR(__xludf.DUMMYFUNCTION("split(E1303,""+"")"),"Guava")</f>
        <v>Guava</v>
      </c>
      <c r="L1303" s="14" t="str">
        <f>IFERROR(__xludf.DUMMYFUNCTION("""COMPUTED_VALUE"""),"1*Not Assigned")</f>
        <v>1*Not Assigned</v>
      </c>
      <c r="M1303" s="14">
        <f>IFERROR(__xludf.DUMMYFUNCTION("SPLIT(L1303,""*"")"),1.0)</f>
        <v>1</v>
      </c>
      <c r="N1303" s="14" t="str">
        <f>IFERROR(__xludf.DUMMYFUNCTION("""COMPUTED_VALUE"""),"Not Assigned")</f>
        <v>Not Assigned</v>
      </c>
      <c r="O1303" s="14" t="str">
        <f>IFERROR(__xludf.DUMMYFUNCTION("split(J1303,""*"")"),"Cancelled")</f>
        <v>Cancelled</v>
      </c>
      <c r="P1303" s="14" t="str">
        <f>IFERROR(__xludf.DUMMYFUNCTION("""COMPUTED_VALUE"""),"App Glitches:App Freezes")</f>
        <v>App Glitches:App Freezes</v>
      </c>
      <c r="Q1303" s="14" t="str">
        <f>IFERROR(__xludf.DUMMYFUNCTION("split(P1303,"":"")"),"App Glitches")</f>
        <v>App Glitches</v>
      </c>
      <c r="R1303" s="14" t="str">
        <f>IFERROR(__xludf.DUMMYFUNCTION("""COMPUTED_VALUE"""),"App Freezes")</f>
        <v>App Freezes</v>
      </c>
      <c r="S1303" s="14" t="str">
        <f t="shared" ref="S1303:U1303" si="2609">trim(B1303)</f>
        <v>ord_61281</v>
      </c>
      <c r="T1303" s="14" t="str">
        <f t="shared" si="2609"/>
        <v>Ishita Banerjee</v>
      </c>
      <c r="U1303" s="14" t="str">
        <f t="shared" si="2609"/>
        <v>Juhu</v>
      </c>
      <c r="V1303" s="14" t="str">
        <f t="shared" si="4"/>
        <v>Guava</v>
      </c>
      <c r="W1303" s="14">
        <f t="shared" si="5"/>
        <v>1</v>
      </c>
      <c r="X1303" s="14" t="str">
        <f t="shared" si="6"/>
        <v>Not Assigned</v>
      </c>
      <c r="Y1303" s="15">
        <f t="shared" si="7"/>
        <v>45150</v>
      </c>
      <c r="Z1303" s="14" t="str">
        <f t="shared" si="8"/>
        <v>Credit Card</v>
      </c>
      <c r="AA1303" s="14" t="str">
        <f t="shared" si="9"/>
        <v>Cancelled</v>
      </c>
      <c r="AB1303" s="14" t="str">
        <f t="shared" ref="AB1303:AC1303" si="2610">trim(Q1303)</f>
        <v>App Glitches</v>
      </c>
      <c r="AC1303" s="14" t="str">
        <f t="shared" si="2610"/>
        <v>App Freezes</v>
      </c>
      <c r="AD1303" s="8"/>
    </row>
    <row r="1304">
      <c r="A1304" s="14" t="str">
        <f>IFERROR(__xludf.DUMMYFUNCTION("""COMPUTED_VALUE"""),"//ord_61282//Anaya Rao//Colaba//Sweet Corn+1*Not Assigned/9/10/2023//Online Payment//Cancelled*App Glitches: Payment Button Malfunction")</f>
        <v>//ord_61282//Anaya Rao//Colaba//Sweet Corn+1*Not Assigned/9/10/2023//Online Payment//Cancelled*App Glitches: Payment Button Malfunction</v>
      </c>
      <c r="B1304" s="14" t="str">
        <f>IFERROR(__xludf.DUMMYFUNCTION("split(A1304,""//"")"),"ord_61282")</f>
        <v>ord_61282</v>
      </c>
      <c r="C1304" s="14" t="str">
        <f>IFERROR(__xludf.DUMMYFUNCTION("""COMPUTED_VALUE"""),"Anaya Rao")</f>
        <v>Anaya Rao</v>
      </c>
      <c r="D1304" s="14" t="str">
        <f>IFERROR(__xludf.DUMMYFUNCTION("""COMPUTED_VALUE"""),"Colaba")</f>
        <v>Colaba</v>
      </c>
      <c r="E1304" s="14" t="str">
        <f>IFERROR(__xludf.DUMMYFUNCTION("""COMPUTED_VALUE"""),"Sweet Corn+1*Not Assigned")</f>
        <v>Sweet Corn+1*Not Assigned</v>
      </c>
      <c r="F1304" s="14">
        <f>IFERROR(__xludf.DUMMYFUNCTION("""COMPUTED_VALUE"""),9.0)</f>
        <v>9</v>
      </c>
      <c r="G1304" s="14">
        <f>IFERROR(__xludf.DUMMYFUNCTION("""COMPUTED_VALUE"""),10.0)</f>
        <v>10</v>
      </c>
      <c r="H1304" s="14">
        <f>IFERROR(__xludf.DUMMYFUNCTION("""COMPUTED_VALUE"""),2023.0)</f>
        <v>2023</v>
      </c>
      <c r="I1304" s="14" t="str">
        <f>IFERROR(__xludf.DUMMYFUNCTION("""COMPUTED_VALUE"""),"Online Payment")</f>
        <v>Online Payment</v>
      </c>
      <c r="J1304" s="14" t="str">
        <f>IFERROR(__xludf.DUMMYFUNCTION("""COMPUTED_VALUE"""),"Cancelled*App Glitches: Payment Button Malfunction")</f>
        <v>Cancelled*App Glitches: Payment Button Malfunction</v>
      </c>
      <c r="K1304" s="14" t="str">
        <f>IFERROR(__xludf.DUMMYFUNCTION("split(E1304,""+"")"),"Sweet Corn")</f>
        <v>Sweet Corn</v>
      </c>
      <c r="L1304" s="14" t="str">
        <f>IFERROR(__xludf.DUMMYFUNCTION("""COMPUTED_VALUE"""),"1*Not Assigned")</f>
        <v>1*Not Assigned</v>
      </c>
      <c r="M1304" s="14">
        <f>IFERROR(__xludf.DUMMYFUNCTION("SPLIT(L1304,""*"")"),1.0)</f>
        <v>1</v>
      </c>
      <c r="N1304" s="14" t="str">
        <f>IFERROR(__xludf.DUMMYFUNCTION("""COMPUTED_VALUE"""),"Not Assigned")</f>
        <v>Not Assigned</v>
      </c>
      <c r="O1304" s="14" t="str">
        <f>IFERROR(__xludf.DUMMYFUNCTION("split(J1304,""*"")"),"Cancelled")</f>
        <v>Cancelled</v>
      </c>
      <c r="P1304" s="14" t="str">
        <f>IFERROR(__xludf.DUMMYFUNCTION("""COMPUTED_VALUE"""),"App Glitches: Payment Button Malfunction")</f>
        <v>App Glitches: Payment Button Malfunction</v>
      </c>
      <c r="Q1304" s="14" t="str">
        <f>IFERROR(__xludf.DUMMYFUNCTION("split(P1304,"":"")"),"App Glitches")</f>
        <v>App Glitches</v>
      </c>
      <c r="R1304" s="14" t="str">
        <f>IFERROR(__xludf.DUMMYFUNCTION("""COMPUTED_VALUE""")," Payment Button Malfunction")</f>
        <v> Payment Button Malfunction</v>
      </c>
      <c r="S1304" s="14" t="str">
        <f t="shared" ref="S1304:U1304" si="2611">trim(B1304)</f>
        <v>ord_61282</v>
      </c>
      <c r="T1304" s="14" t="str">
        <f t="shared" si="2611"/>
        <v>Anaya Rao</v>
      </c>
      <c r="U1304" s="14" t="str">
        <f t="shared" si="2611"/>
        <v>Colaba</v>
      </c>
      <c r="V1304" s="14" t="str">
        <f t="shared" si="4"/>
        <v>Sweet Corn</v>
      </c>
      <c r="W1304" s="14">
        <f t="shared" si="5"/>
        <v>1</v>
      </c>
      <c r="X1304" s="14" t="str">
        <f t="shared" si="6"/>
        <v>Not Assigned</v>
      </c>
      <c r="Y1304" s="15">
        <f t="shared" si="7"/>
        <v>45179</v>
      </c>
      <c r="Z1304" s="14" t="str">
        <f t="shared" si="8"/>
        <v>Online Payment</v>
      </c>
      <c r="AA1304" s="14" t="str">
        <f t="shared" si="9"/>
        <v>Cancelled</v>
      </c>
      <c r="AB1304" s="14" t="str">
        <f t="shared" ref="AB1304:AC1304" si="2612">trim(Q1304)</f>
        <v>App Glitches</v>
      </c>
      <c r="AC1304" s="14" t="str">
        <f t="shared" si="2612"/>
        <v>Payment Button Malfunction</v>
      </c>
      <c r="AD1304" s="8"/>
    </row>
    <row r="1305">
      <c r="A1305" s="14" t="str">
        <f>IFERROR(__xludf.DUMMYFUNCTION("""COMPUTED_VALUE"""),"//ord_61283//Arvind Kulkarni//Juhu//Orange+2*Sandeep Kumar/2/24/2023//UPI//Cancelled*Delayed Delivery:Traffic Accidents or Road Closures")</f>
        <v>//ord_61283//Arvind Kulkarni//Juhu//Orange+2*Sandeep Kumar/2/24/2023//UPI//Cancelled*Delayed Delivery:Traffic Accidents or Road Closures</v>
      </c>
      <c r="B1305" s="14" t="str">
        <f>IFERROR(__xludf.DUMMYFUNCTION("split(A1305,""//"")"),"ord_61283")</f>
        <v>ord_61283</v>
      </c>
      <c r="C1305" s="14" t="str">
        <f>IFERROR(__xludf.DUMMYFUNCTION("""COMPUTED_VALUE"""),"Arvind Kulkarni")</f>
        <v>Arvind Kulkarni</v>
      </c>
      <c r="D1305" s="14" t="str">
        <f>IFERROR(__xludf.DUMMYFUNCTION("""COMPUTED_VALUE"""),"Juhu")</f>
        <v>Juhu</v>
      </c>
      <c r="E1305" s="14" t="str">
        <f>IFERROR(__xludf.DUMMYFUNCTION("""COMPUTED_VALUE"""),"Orange+2*Sandeep Kumar")</f>
        <v>Orange+2*Sandeep Kumar</v>
      </c>
      <c r="F1305" s="14">
        <f>IFERROR(__xludf.DUMMYFUNCTION("""COMPUTED_VALUE"""),2.0)</f>
        <v>2</v>
      </c>
      <c r="G1305" s="14">
        <f>IFERROR(__xludf.DUMMYFUNCTION("""COMPUTED_VALUE"""),24.0)</f>
        <v>24</v>
      </c>
      <c r="H1305" s="14">
        <f>IFERROR(__xludf.DUMMYFUNCTION("""COMPUTED_VALUE"""),2023.0)</f>
        <v>2023</v>
      </c>
      <c r="I1305" s="14" t="str">
        <f>IFERROR(__xludf.DUMMYFUNCTION("""COMPUTED_VALUE"""),"UPI")</f>
        <v>UPI</v>
      </c>
      <c r="J1305" s="14" t="str">
        <f>IFERROR(__xludf.DUMMYFUNCTION("""COMPUTED_VALUE"""),"Cancelled*Delayed Delivery:Traffic Accidents or Road Closures")</f>
        <v>Cancelled*Delayed Delivery:Traffic Accidents or Road Closures</v>
      </c>
      <c r="K1305" s="14" t="str">
        <f>IFERROR(__xludf.DUMMYFUNCTION("split(E1305,""+"")"),"Orange")</f>
        <v>Orange</v>
      </c>
      <c r="L1305" s="14" t="str">
        <f>IFERROR(__xludf.DUMMYFUNCTION("""COMPUTED_VALUE"""),"2*Sandeep Kumar")</f>
        <v>2*Sandeep Kumar</v>
      </c>
      <c r="M1305" s="14">
        <f>IFERROR(__xludf.DUMMYFUNCTION("SPLIT(L1305,""*"")"),2.0)</f>
        <v>2</v>
      </c>
      <c r="N1305" s="14" t="str">
        <f>IFERROR(__xludf.DUMMYFUNCTION("""COMPUTED_VALUE"""),"Sandeep Kumar")</f>
        <v>Sandeep Kumar</v>
      </c>
      <c r="O1305" s="14" t="str">
        <f>IFERROR(__xludf.DUMMYFUNCTION("split(J1305,""*"")"),"Cancelled")</f>
        <v>Cancelled</v>
      </c>
      <c r="P1305" s="14" t="str">
        <f>IFERROR(__xludf.DUMMYFUNCTION("""COMPUTED_VALUE"""),"Delayed Delivery:Traffic Accidents or Road Closures")</f>
        <v>Delayed Delivery:Traffic Accidents or Road Closures</v>
      </c>
      <c r="Q1305" s="14" t="str">
        <f>IFERROR(__xludf.DUMMYFUNCTION("split(P1305,"":"")"),"Delayed Delivery")</f>
        <v>Delayed Delivery</v>
      </c>
      <c r="R1305" s="14" t="str">
        <f>IFERROR(__xludf.DUMMYFUNCTION("""COMPUTED_VALUE"""),"Traffic Accidents or Road Closures")</f>
        <v>Traffic Accidents or Road Closures</v>
      </c>
      <c r="S1305" s="14" t="str">
        <f t="shared" ref="S1305:U1305" si="2613">trim(B1305)</f>
        <v>ord_61283</v>
      </c>
      <c r="T1305" s="14" t="str">
        <f t="shared" si="2613"/>
        <v>Arvind Kulkarni</v>
      </c>
      <c r="U1305" s="14" t="str">
        <f t="shared" si="2613"/>
        <v>Juhu</v>
      </c>
      <c r="V1305" s="14" t="str">
        <f t="shared" si="4"/>
        <v>Orange</v>
      </c>
      <c r="W1305" s="14">
        <f t="shared" si="5"/>
        <v>2</v>
      </c>
      <c r="X1305" s="14" t="str">
        <f t="shared" si="6"/>
        <v>Sandeep Kumar</v>
      </c>
      <c r="Y1305" s="15">
        <f t="shared" si="7"/>
        <v>44981</v>
      </c>
      <c r="Z1305" s="14" t="str">
        <f t="shared" si="8"/>
        <v>UPI</v>
      </c>
      <c r="AA1305" s="14" t="str">
        <f t="shared" si="9"/>
        <v>Cancelled</v>
      </c>
      <c r="AB1305" s="14" t="str">
        <f t="shared" ref="AB1305:AC1305" si="2614">trim(Q1305)</f>
        <v>Delayed Delivery</v>
      </c>
      <c r="AC1305" s="14" t="str">
        <f t="shared" si="2614"/>
        <v>Traffic Accidents or Road Closures</v>
      </c>
      <c r="AD1305" s="8"/>
    </row>
    <row r="1306">
      <c r="A1306" s="14" t="str">
        <f>IFERROR(__xludf.DUMMYFUNCTION("""COMPUTED_VALUE"""),"//ord_61284//Parth Goel//Juhu//Sweet Corn+2*Not Assigned/1/23/2023//Credit Card//Cancelled*High Delivery Fees")</f>
        <v>//ord_61284//Parth Goel//Juhu//Sweet Corn+2*Not Assigned/1/23/2023//Credit Card//Cancelled*High Delivery Fees</v>
      </c>
      <c r="B1306" s="14" t="str">
        <f>IFERROR(__xludf.DUMMYFUNCTION("split(A1306,""//"")"),"ord_61284")</f>
        <v>ord_61284</v>
      </c>
      <c r="C1306" s="14" t="str">
        <f>IFERROR(__xludf.DUMMYFUNCTION("""COMPUTED_VALUE"""),"Parth Goel")</f>
        <v>Parth Goel</v>
      </c>
      <c r="D1306" s="14" t="str">
        <f>IFERROR(__xludf.DUMMYFUNCTION("""COMPUTED_VALUE"""),"Juhu")</f>
        <v>Juhu</v>
      </c>
      <c r="E1306" s="14" t="str">
        <f>IFERROR(__xludf.DUMMYFUNCTION("""COMPUTED_VALUE"""),"Sweet Corn+2*Not Assigned")</f>
        <v>Sweet Corn+2*Not Assigned</v>
      </c>
      <c r="F1306" s="14">
        <f>IFERROR(__xludf.DUMMYFUNCTION("""COMPUTED_VALUE"""),1.0)</f>
        <v>1</v>
      </c>
      <c r="G1306" s="14">
        <f>IFERROR(__xludf.DUMMYFUNCTION("""COMPUTED_VALUE"""),23.0)</f>
        <v>23</v>
      </c>
      <c r="H1306" s="14">
        <f>IFERROR(__xludf.DUMMYFUNCTION("""COMPUTED_VALUE"""),2023.0)</f>
        <v>2023</v>
      </c>
      <c r="I1306" s="14" t="str">
        <f>IFERROR(__xludf.DUMMYFUNCTION("""COMPUTED_VALUE"""),"Credit Card")</f>
        <v>Credit Card</v>
      </c>
      <c r="J1306" s="14" t="str">
        <f>IFERROR(__xludf.DUMMYFUNCTION("""COMPUTED_VALUE"""),"Cancelled*High Delivery Fees")</f>
        <v>Cancelled*High Delivery Fees</v>
      </c>
      <c r="K1306" s="14" t="str">
        <f>IFERROR(__xludf.DUMMYFUNCTION("split(E1306,""+"")"),"Sweet Corn")</f>
        <v>Sweet Corn</v>
      </c>
      <c r="L1306" s="14" t="str">
        <f>IFERROR(__xludf.DUMMYFUNCTION("""COMPUTED_VALUE"""),"2*Not Assigned")</f>
        <v>2*Not Assigned</v>
      </c>
      <c r="M1306" s="14">
        <f>IFERROR(__xludf.DUMMYFUNCTION("SPLIT(L1306,""*"")"),2.0)</f>
        <v>2</v>
      </c>
      <c r="N1306" s="14" t="str">
        <f>IFERROR(__xludf.DUMMYFUNCTION("""COMPUTED_VALUE"""),"Not Assigned")</f>
        <v>Not Assigned</v>
      </c>
      <c r="O1306" s="14" t="str">
        <f>IFERROR(__xludf.DUMMYFUNCTION("split(J1306,""*"")"),"Cancelled")</f>
        <v>Cancelled</v>
      </c>
      <c r="P1306" s="14" t="str">
        <f>IFERROR(__xludf.DUMMYFUNCTION("""COMPUTED_VALUE"""),"High Delivery Fees")</f>
        <v>High Delivery Fees</v>
      </c>
      <c r="Q1306" s="14" t="str">
        <f>IFERROR(__xludf.DUMMYFUNCTION("split(P1306,"":"")"),"High Delivery Fees")</f>
        <v>High Delivery Fees</v>
      </c>
      <c r="R1306" s="14"/>
      <c r="S1306" s="14" t="str">
        <f t="shared" ref="S1306:U1306" si="2615">trim(B1306)</f>
        <v>ord_61284</v>
      </c>
      <c r="T1306" s="14" t="str">
        <f t="shared" si="2615"/>
        <v>Parth Goel</v>
      </c>
      <c r="U1306" s="14" t="str">
        <f t="shared" si="2615"/>
        <v>Juhu</v>
      </c>
      <c r="V1306" s="14" t="str">
        <f t="shared" si="4"/>
        <v>Sweet Corn</v>
      </c>
      <c r="W1306" s="14">
        <f t="shared" si="5"/>
        <v>2</v>
      </c>
      <c r="X1306" s="14" t="str">
        <f t="shared" si="6"/>
        <v>Not Assigned</v>
      </c>
      <c r="Y1306" s="15">
        <f t="shared" si="7"/>
        <v>44949</v>
      </c>
      <c r="Z1306" s="14" t="str">
        <f t="shared" si="8"/>
        <v>Credit Card</v>
      </c>
      <c r="AA1306" s="14" t="str">
        <f t="shared" si="9"/>
        <v>Cancelled</v>
      </c>
      <c r="AB1306" s="14" t="str">
        <f t="shared" ref="AB1306:AC1306" si="2616">trim(Q1306)</f>
        <v>High Delivery Fees</v>
      </c>
      <c r="AC1306" s="14" t="str">
        <f t="shared" si="2616"/>
        <v/>
      </c>
      <c r="AD1306" s="8"/>
    </row>
    <row r="1307">
      <c r="A1307" s="14" t="str">
        <f>IFERROR(__xludf.DUMMYFUNCTION("""COMPUTED_VALUE"""),"//ord_61285//Parth Goel//Juhu//Chicken Puff+4*Ramesh S/1/12/2023//UPI//Delivered*Delivery Experience: Quick and professional")</f>
        <v>//ord_61285//Parth Goel//Juhu//Chicken Puff+4*Ramesh S/1/12/2023//UPI//Delivered*Delivery Experience: Quick and professional</v>
      </c>
      <c r="B1307" s="14" t="str">
        <f>IFERROR(__xludf.DUMMYFUNCTION("split(A1307,""//"")"),"ord_61285")</f>
        <v>ord_61285</v>
      </c>
      <c r="C1307" s="14" t="str">
        <f>IFERROR(__xludf.DUMMYFUNCTION("""COMPUTED_VALUE"""),"Parth Goel")</f>
        <v>Parth Goel</v>
      </c>
      <c r="D1307" s="14" t="str">
        <f>IFERROR(__xludf.DUMMYFUNCTION("""COMPUTED_VALUE"""),"Juhu")</f>
        <v>Juhu</v>
      </c>
      <c r="E1307" s="14" t="str">
        <f>IFERROR(__xludf.DUMMYFUNCTION("""COMPUTED_VALUE"""),"Chicken Puff+4*Ramesh S")</f>
        <v>Chicken Puff+4*Ramesh S</v>
      </c>
      <c r="F1307" s="14">
        <f>IFERROR(__xludf.DUMMYFUNCTION("""COMPUTED_VALUE"""),1.0)</f>
        <v>1</v>
      </c>
      <c r="G1307" s="14">
        <f>IFERROR(__xludf.DUMMYFUNCTION("""COMPUTED_VALUE"""),12.0)</f>
        <v>12</v>
      </c>
      <c r="H1307" s="14">
        <f>IFERROR(__xludf.DUMMYFUNCTION("""COMPUTED_VALUE"""),2023.0)</f>
        <v>2023</v>
      </c>
      <c r="I1307" s="14" t="str">
        <f>IFERROR(__xludf.DUMMYFUNCTION("""COMPUTED_VALUE"""),"UPI")</f>
        <v>UPI</v>
      </c>
      <c r="J1307" s="14" t="str">
        <f>IFERROR(__xludf.DUMMYFUNCTION("""COMPUTED_VALUE"""),"Delivered*Delivery Experience: Quick and professional")</f>
        <v>Delivered*Delivery Experience: Quick and professional</v>
      </c>
      <c r="K1307" s="14" t="str">
        <f>IFERROR(__xludf.DUMMYFUNCTION("split(E1307,""+"")"),"Chicken Puff")</f>
        <v>Chicken Puff</v>
      </c>
      <c r="L1307" s="14" t="str">
        <f>IFERROR(__xludf.DUMMYFUNCTION("""COMPUTED_VALUE"""),"4*Ramesh S")</f>
        <v>4*Ramesh S</v>
      </c>
      <c r="M1307" s="14">
        <f>IFERROR(__xludf.DUMMYFUNCTION("SPLIT(L1307,""*"")"),4.0)</f>
        <v>4</v>
      </c>
      <c r="N1307" s="14" t="str">
        <f>IFERROR(__xludf.DUMMYFUNCTION("""COMPUTED_VALUE"""),"Ramesh S")</f>
        <v>Ramesh S</v>
      </c>
      <c r="O1307" s="14" t="str">
        <f>IFERROR(__xludf.DUMMYFUNCTION("split(J1307,""*"")"),"Delivered")</f>
        <v>Delivered</v>
      </c>
      <c r="P1307" s="14" t="str">
        <f>IFERROR(__xludf.DUMMYFUNCTION("""COMPUTED_VALUE"""),"Delivery Experience: Quick and professional")</f>
        <v>Delivery Experience: Quick and professional</v>
      </c>
      <c r="Q1307" s="14" t="str">
        <f>IFERROR(__xludf.DUMMYFUNCTION("split(P1307,"":"")"),"Delivery Experience")</f>
        <v>Delivery Experience</v>
      </c>
      <c r="R1307" s="14" t="str">
        <f>IFERROR(__xludf.DUMMYFUNCTION("""COMPUTED_VALUE""")," Quick and professional")</f>
        <v> Quick and professional</v>
      </c>
      <c r="S1307" s="14" t="str">
        <f t="shared" ref="S1307:U1307" si="2617">trim(B1307)</f>
        <v>ord_61285</v>
      </c>
      <c r="T1307" s="14" t="str">
        <f t="shared" si="2617"/>
        <v>Parth Goel</v>
      </c>
      <c r="U1307" s="14" t="str">
        <f t="shared" si="2617"/>
        <v>Juhu</v>
      </c>
      <c r="V1307" s="14" t="str">
        <f t="shared" si="4"/>
        <v>Chicken Puff</v>
      </c>
      <c r="W1307" s="14">
        <f t="shared" si="5"/>
        <v>4</v>
      </c>
      <c r="X1307" s="14" t="str">
        <f t="shared" si="6"/>
        <v>Ramesh S</v>
      </c>
      <c r="Y1307" s="15">
        <f t="shared" si="7"/>
        <v>44938</v>
      </c>
      <c r="Z1307" s="14" t="str">
        <f t="shared" si="8"/>
        <v>UPI</v>
      </c>
      <c r="AA1307" s="14" t="str">
        <f t="shared" si="9"/>
        <v>Delivered</v>
      </c>
      <c r="AB1307" s="14" t="str">
        <f t="shared" ref="AB1307:AC1307" si="2618">trim(Q1307)</f>
        <v>Delivery Experience</v>
      </c>
      <c r="AC1307" s="14" t="str">
        <f t="shared" si="2618"/>
        <v>Quick and professional</v>
      </c>
      <c r="AD1307" s="8"/>
    </row>
    <row r="1308">
      <c r="A1308" s="14" t="str">
        <f>IFERROR(__xludf.DUMMYFUNCTION("""COMPUTED_VALUE"""),"//ord_61286//Siya Reddy//Juhu//Rasmalai+4*Ramesh S/8/7/2023//UPI//Delivered*Convenience: Easy tracking")</f>
        <v>//ord_61286//Siya Reddy//Juhu//Rasmalai+4*Ramesh S/8/7/2023//UPI//Delivered*Convenience: Easy tracking</v>
      </c>
      <c r="B1308" s="14" t="str">
        <f>IFERROR(__xludf.DUMMYFUNCTION("split(A1308,""//"")"),"ord_61286")</f>
        <v>ord_61286</v>
      </c>
      <c r="C1308" s="14" t="str">
        <f>IFERROR(__xludf.DUMMYFUNCTION("""COMPUTED_VALUE"""),"Siya Reddy")</f>
        <v>Siya Reddy</v>
      </c>
      <c r="D1308" s="14" t="str">
        <f>IFERROR(__xludf.DUMMYFUNCTION("""COMPUTED_VALUE"""),"Juhu")</f>
        <v>Juhu</v>
      </c>
      <c r="E1308" s="14" t="str">
        <f>IFERROR(__xludf.DUMMYFUNCTION("""COMPUTED_VALUE"""),"Rasmalai+4*Ramesh S")</f>
        <v>Rasmalai+4*Ramesh S</v>
      </c>
      <c r="F1308" s="14">
        <f>IFERROR(__xludf.DUMMYFUNCTION("""COMPUTED_VALUE"""),8.0)</f>
        <v>8</v>
      </c>
      <c r="G1308" s="14">
        <f>IFERROR(__xludf.DUMMYFUNCTION("""COMPUTED_VALUE"""),7.0)</f>
        <v>7</v>
      </c>
      <c r="H1308" s="14">
        <f>IFERROR(__xludf.DUMMYFUNCTION("""COMPUTED_VALUE"""),2023.0)</f>
        <v>2023</v>
      </c>
      <c r="I1308" s="14" t="str">
        <f>IFERROR(__xludf.DUMMYFUNCTION("""COMPUTED_VALUE"""),"UPI")</f>
        <v>UPI</v>
      </c>
      <c r="J1308" s="14" t="str">
        <f>IFERROR(__xludf.DUMMYFUNCTION("""COMPUTED_VALUE"""),"Delivered*Convenience: Easy tracking")</f>
        <v>Delivered*Convenience: Easy tracking</v>
      </c>
      <c r="K1308" s="14" t="str">
        <f>IFERROR(__xludf.DUMMYFUNCTION("split(E1308,""+"")"),"Rasmalai")</f>
        <v>Rasmalai</v>
      </c>
      <c r="L1308" s="14" t="str">
        <f>IFERROR(__xludf.DUMMYFUNCTION("""COMPUTED_VALUE"""),"4*Ramesh S")</f>
        <v>4*Ramesh S</v>
      </c>
      <c r="M1308" s="14">
        <f>IFERROR(__xludf.DUMMYFUNCTION("SPLIT(L1308,""*"")"),4.0)</f>
        <v>4</v>
      </c>
      <c r="N1308" s="14" t="str">
        <f>IFERROR(__xludf.DUMMYFUNCTION("""COMPUTED_VALUE"""),"Ramesh S")</f>
        <v>Ramesh S</v>
      </c>
      <c r="O1308" s="14" t="str">
        <f>IFERROR(__xludf.DUMMYFUNCTION("split(J1308,""*"")"),"Delivered")</f>
        <v>Delivered</v>
      </c>
      <c r="P1308" s="14" t="str">
        <f>IFERROR(__xludf.DUMMYFUNCTION("""COMPUTED_VALUE"""),"Convenience: Easy tracking")</f>
        <v>Convenience: Easy tracking</v>
      </c>
      <c r="Q1308" s="14" t="str">
        <f>IFERROR(__xludf.DUMMYFUNCTION("split(P1308,"":"")"),"Convenience")</f>
        <v>Convenience</v>
      </c>
      <c r="R1308" s="14" t="str">
        <f>IFERROR(__xludf.DUMMYFUNCTION("""COMPUTED_VALUE""")," Easy tracking")</f>
        <v> Easy tracking</v>
      </c>
      <c r="S1308" s="14" t="str">
        <f t="shared" ref="S1308:U1308" si="2619">trim(B1308)</f>
        <v>ord_61286</v>
      </c>
      <c r="T1308" s="14" t="str">
        <f t="shared" si="2619"/>
        <v>Siya Reddy</v>
      </c>
      <c r="U1308" s="14" t="str">
        <f t="shared" si="2619"/>
        <v>Juhu</v>
      </c>
      <c r="V1308" s="14" t="str">
        <f t="shared" si="4"/>
        <v>Rasmalai</v>
      </c>
      <c r="W1308" s="14">
        <f t="shared" si="5"/>
        <v>4</v>
      </c>
      <c r="X1308" s="14" t="str">
        <f t="shared" si="6"/>
        <v>Ramesh S</v>
      </c>
      <c r="Y1308" s="15">
        <f t="shared" si="7"/>
        <v>45145</v>
      </c>
      <c r="Z1308" s="14" t="str">
        <f t="shared" si="8"/>
        <v>UPI</v>
      </c>
      <c r="AA1308" s="14" t="str">
        <f t="shared" si="9"/>
        <v>Delivered</v>
      </c>
      <c r="AB1308" s="14" t="str">
        <f t="shared" ref="AB1308:AC1308" si="2620">trim(Q1308)</f>
        <v>Convenience</v>
      </c>
      <c r="AC1308" s="14" t="str">
        <f t="shared" si="2620"/>
        <v>Easy tracking</v>
      </c>
      <c r="AD1308" s="8"/>
    </row>
    <row r="1309">
      <c r="A1309" s="14" t="str">
        <f>IFERROR(__xludf.DUMMYFUNCTION("""COMPUTED_VALUE"""),"//ord_61287//Aarav Mehta//Andheri//Apple+1*Ramesh S/2/25/2023//UPI//Delivered*Overall Satisfaction: Great service will order again")</f>
        <v>//ord_61287//Aarav Mehta//Andheri//Apple+1*Ramesh S/2/25/2023//UPI//Delivered*Overall Satisfaction: Great service will order again</v>
      </c>
      <c r="B1309" s="14" t="str">
        <f>IFERROR(__xludf.DUMMYFUNCTION("split(A1309,""//"")"),"ord_61287")</f>
        <v>ord_61287</v>
      </c>
      <c r="C1309" s="14" t="str">
        <f>IFERROR(__xludf.DUMMYFUNCTION("""COMPUTED_VALUE"""),"Aarav Mehta")</f>
        <v>Aarav Mehta</v>
      </c>
      <c r="D1309" s="14" t="str">
        <f>IFERROR(__xludf.DUMMYFUNCTION("""COMPUTED_VALUE"""),"Andheri")</f>
        <v>Andheri</v>
      </c>
      <c r="E1309" s="14" t="str">
        <f>IFERROR(__xludf.DUMMYFUNCTION("""COMPUTED_VALUE"""),"Apple+1*Ramesh S")</f>
        <v>Apple+1*Ramesh S</v>
      </c>
      <c r="F1309" s="14">
        <f>IFERROR(__xludf.DUMMYFUNCTION("""COMPUTED_VALUE"""),2.0)</f>
        <v>2</v>
      </c>
      <c r="G1309" s="14">
        <f>IFERROR(__xludf.DUMMYFUNCTION("""COMPUTED_VALUE"""),25.0)</f>
        <v>25</v>
      </c>
      <c r="H1309" s="14">
        <f>IFERROR(__xludf.DUMMYFUNCTION("""COMPUTED_VALUE"""),2023.0)</f>
        <v>2023</v>
      </c>
      <c r="I1309" s="14" t="str">
        <f>IFERROR(__xludf.DUMMYFUNCTION("""COMPUTED_VALUE"""),"UPI")</f>
        <v>UPI</v>
      </c>
      <c r="J1309" s="14" t="str">
        <f>IFERROR(__xludf.DUMMYFUNCTION("""COMPUTED_VALUE"""),"Delivered*Overall Satisfaction: Great service will order again")</f>
        <v>Delivered*Overall Satisfaction: Great service will order again</v>
      </c>
      <c r="K1309" s="14" t="str">
        <f>IFERROR(__xludf.DUMMYFUNCTION("split(E1309,""+"")"),"Apple")</f>
        <v>Apple</v>
      </c>
      <c r="L1309" s="14" t="str">
        <f>IFERROR(__xludf.DUMMYFUNCTION("""COMPUTED_VALUE"""),"1*Ramesh S")</f>
        <v>1*Ramesh S</v>
      </c>
      <c r="M1309" s="14">
        <f>IFERROR(__xludf.DUMMYFUNCTION("SPLIT(L1309,""*"")"),1.0)</f>
        <v>1</v>
      </c>
      <c r="N1309" s="14" t="str">
        <f>IFERROR(__xludf.DUMMYFUNCTION("""COMPUTED_VALUE"""),"Ramesh S")</f>
        <v>Ramesh S</v>
      </c>
      <c r="O1309" s="14" t="str">
        <f>IFERROR(__xludf.DUMMYFUNCTION("split(J1309,""*"")"),"Delivered")</f>
        <v>Delivered</v>
      </c>
      <c r="P1309" s="14" t="str">
        <f>IFERROR(__xludf.DUMMYFUNCTION("""COMPUTED_VALUE"""),"Overall Satisfaction: Great service will order again")</f>
        <v>Overall Satisfaction: Great service will order again</v>
      </c>
      <c r="Q1309" s="14" t="str">
        <f>IFERROR(__xludf.DUMMYFUNCTION("split(P1309,"":"")"),"Overall Satisfaction")</f>
        <v>Overall Satisfaction</v>
      </c>
      <c r="R1309" s="14" t="str">
        <f>IFERROR(__xludf.DUMMYFUNCTION("""COMPUTED_VALUE""")," Great service will order again")</f>
        <v> Great service will order again</v>
      </c>
      <c r="S1309" s="14" t="str">
        <f t="shared" ref="S1309:U1309" si="2621">trim(B1309)</f>
        <v>ord_61287</v>
      </c>
      <c r="T1309" s="14" t="str">
        <f t="shared" si="2621"/>
        <v>Aarav Mehta</v>
      </c>
      <c r="U1309" s="14" t="str">
        <f t="shared" si="2621"/>
        <v>Andheri</v>
      </c>
      <c r="V1309" s="14" t="str">
        <f t="shared" si="4"/>
        <v>Apple</v>
      </c>
      <c r="W1309" s="14">
        <f t="shared" si="5"/>
        <v>1</v>
      </c>
      <c r="X1309" s="14" t="str">
        <f t="shared" si="6"/>
        <v>Ramesh S</v>
      </c>
      <c r="Y1309" s="15">
        <f t="shared" si="7"/>
        <v>44982</v>
      </c>
      <c r="Z1309" s="14" t="str">
        <f t="shared" si="8"/>
        <v>UPI</v>
      </c>
      <c r="AA1309" s="14" t="str">
        <f t="shared" si="9"/>
        <v>Delivered</v>
      </c>
      <c r="AB1309" s="14" t="str">
        <f t="shared" ref="AB1309:AC1309" si="2622">trim(Q1309)</f>
        <v>Overall Satisfaction</v>
      </c>
      <c r="AC1309" s="14" t="str">
        <f t="shared" si="2622"/>
        <v>Great service will order again</v>
      </c>
      <c r="AD1309" s="8"/>
    </row>
    <row r="1310">
      <c r="A1310" s="14" t="str">
        <f>IFERROR(__xludf.DUMMYFUNCTION("""COMPUTED_VALUE"""),"//ord_61288//Tanishq Bansal//Powai//Rasmalai+4*Sita T/8/7/2023//Credit Card//Delivered*On-time Delivery: Delivered on time")</f>
        <v>//ord_61288//Tanishq Bansal//Powai//Rasmalai+4*Sita T/8/7/2023//Credit Card//Delivered*On-time Delivery: Delivered on time</v>
      </c>
      <c r="B1310" s="14" t="str">
        <f>IFERROR(__xludf.DUMMYFUNCTION("split(A1310,""//"")"),"ord_61288")</f>
        <v>ord_61288</v>
      </c>
      <c r="C1310" s="14" t="str">
        <f>IFERROR(__xludf.DUMMYFUNCTION("""COMPUTED_VALUE"""),"Tanishq Bansal")</f>
        <v>Tanishq Bansal</v>
      </c>
      <c r="D1310" s="14" t="str">
        <f>IFERROR(__xludf.DUMMYFUNCTION("""COMPUTED_VALUE"""),"Powai")</f>
        <v>Powai</v>
      </c>
      <c r="E1310" s="14" t="str">
        <f>IFERROR(__xludf.DUMMYFUNCTION("""COMPUTED_VALUE"""),"Rasmalai+4*Sita T")</f>
        <v>Rasmalai+4*Sita T</v>
      </c>
      <c r="F1310" s="14">
        <f>IFERROR(__xludf.DUMMYFUNCTION("""COMPUTED_VALUE"""),8.0)</f>
        <v>8</v>
      </c>
      <c r="G1310" s="14">
        <f>IFERROR(__xludf.DUMMYFUNCTION("""COMPUTED_VALUE"""),7.0)</f>
        <v>7</v>
      </c>
      <c r="H1310" s="14">
        <f>IFERROR(__xludf.DUMMYFUNCTION("""COMPUTED_VALUE"""),2023.0)</f>
        <v>2023</v>
      </c>
      <c r="I1310" s="14" t="str">
        <f>IFERROR(__xludf.DUMMYFUNCTION("""COMPUTED_VALUE"""),"Credit Card")</f>
        <v>Credit Card</v>
      </c>
      <c r="J1310" s="14" t="str">
        <f>IFERROR(__xludf.DUMMYFUNCTION("""COMPUTED_VALUE"""),"Delivered*On-time Delivery: Delivered on time")</f>
        <v>Delivered*On-time Delivery: Delivered on time</v>
      </c>
      <c r="K1310" s="14" t="str">
        <f>IFERROR(__xludf.DUMMYFUNCTION("split(E1310,""+"")"),"Rasmalai")</f>
        <v>Rasmalai</v>
      </c>
      <c r="L1310" s="14" t="str">
        <f>IFERROR(__xludf.DUMMYFUNCTION("""COMPUTED_VALUE"""),"4*Sita T")</f>
        <v>4*Sita T</v>
      </c>
      <c r="M1310" s="14">
        <f>IFERROR(__xludf.DUMMYFUNCTION("SPLIT(L1310,""*"")"),4.0)</f>
        <v>4</v>
      </c>
      <c r="N1310" s="14" t="str">
        <f>IFERROR(__xludf.DUMMYFUNCTION("""COMPUTED_VALUE"""),"Sita T")</f>
        <v>Sita T</v>
      </c>
      <c r="O1310" s="14" t="str">
        <f>IFERROR(__xludf.DUMMYFUNCTION("split(J1310,""*"")"),"Delivered")</f>
        <v>Delivered</v>
      </c>
      <c r="P1310" s="14" t="str">
        <f>IFERROR(__xludf.DUMMYFUNCTION("""COMPUTED_VALUE"""),"On-time Delivery: Delivered on time")</f>
        <v>On-time Delivery: Delivered on time</v>
      </c>
      <c r="Q1310" s="14" t="str">
        <f>IFERROR(__xludf.DUMMYFUNCTION("split(P1310,"":"")"),"On-time Delivery")</f>
        <v>On-time Delivery</v>
      </c>
      <c r="R1310" s="14" t="str">
        <f>IFERROR(__xludf.DUMMYFUNCTION("""COMPUTED_VALUE""")," Delivered on time")</f>
        <v> Delivered on time</v>
      </c>
      <c r="S1310" s="14" t="str">
        <f t="shared" ref="S1310:U1310" si="2623">trim(B1310)</f>
        <v>ord_61288</v>
      </c>
      <c r="T1310" s="14" t="str">
        <f t="shared" si="2623"/>
        <v>Tanishq Bansal</v>
      </c>
      <c r="U1310" s="14" t="str">
        <f t="shared" si="2623"/>
        <v>Powai</v>
      </c>
      <c r="V1310" s="14" t="str">
        <f t="shared" si="4"/>
        <v>Rasmalai</v>
      </c>
      <c r="W1310" s="14">
        <f t="shared" si="5"/>
        <v>4</v>
      </c>
      <c r="X1310" s="14" t="str">
        <f t="shared" si="6"/>
        <v>Sita T</v>
      </c>
      <c r="Y1310" s="15">
        <f t="shared" si="7"/>
        <v>45145</v>
      </c>
      <c r="Z1310" s="14" t="str">
        <f t="shared" si="8"/>
        <v>Credit Card</v>
      </c>
      <c r="AA1310" s="14" t="str">
        <f t="shared" si="9"/>
        <v>Delivered</v>
      </c>
      <c r="AB1310" s="14" t="str">
        <f t="shared" ref="AB1310:AC1310" si="2624">trim(Q1310)</f>
        <v>On-time Delivery</v>
      </c>
      <c r="AC1310" s="14" t="str">
        <f t="shared" si="2624"/>
        <v>Delivered on time</v>
      </c>
      <c r="AD1310" s="8"/>
    </row>
    <row r="1311">
      <c r="A1311" s="14" t="str">
        <f>IFERROR(__xludf.DUMMYFUNCTION("""COMPUTED_VALUE"""),"//ord_61289//Sanjay Nair//Dadar//Banana+2*Venu R/7/25/2023//Credit Card//Delivered*Quality of Items: Perfect condition")</f>
        <v>//ord_61289//Sanjay Nair//Dadar//Banana+2*Venu R/7/25/2023//Credit Card//Delivered*Quality of Items: Perfect condition</v>
      </c>
      <c r="B1311" s="14" t="str">
        <f>IFERROR(__xludf.DUMMYFUNCTION("split(A1311,""//"")"),"ord_61289")</f>
        <v>ord_61289</v>
      </c>
      <c r="C1311" s="14" t="str">
        <f>IFERROR(__xludf.DUMMYFUNCTION("""COMPUTED_VALUE"""),"Sanjay Nair")</f>
        <v>Sanjay Nair</v>
      </c>
      <c r="D1311" s="14" t="str">
        <f>IFERROR(__xludf.DUMMYFUNCTION("""COMPUTED_VALUE"""),"Dadar")</f>
        <v>Dadar</v>
      </c>
      <c r="E1311" s="14" t="str">
        <f>IFERROR(__xludf.DUMMYFUNCTION("""COMPUTED_VALUE"""),"Banana+2*Venu R")</f>
        <v>Banana+2*Venu R</v>
      </c>
      <c r="F1311" s="14">
        <f>IFERROR(__xludf.DUMMYFUNCTION("""COMPUTED_VALUE"""),7.0)</f>
        <v>7</v>
      </c>
      <c r="G1311" s="14">
        <f>IFERROR(__xludf.DUMMYFUNCTION("""COMPUTED_VALUE"""),25.0)</f>
        <v>25</v>
      </c>
      <c r="H1311" s="14">
        <f>IFERROR(__xludf.DUMMYFUNCTION("""COMPUTED_VALUE"""),2023.0)</f>
        <v>2023</v>
      </c>
      <c r="I1311" s="14" t="str">
        <f>IFERROR(__xludf.DUMMYFUNCTION("""COMPUTED_VALUE"""),"Credit Card")</f>
        <v>Credit Card</v>
      </c>
      <c r="J1311" s="14" t="str">
        <f>IFERROR(__xludf.DUMMYFUNCTION("""COMPUTED_VALUE"""),"Delivered*Quality of Items: Perfect condition")</f>
        <v>Delivered*Quality of Items: Perfect condition</v>
      </c>
      <c r="K1311" s="14" t="str">
        <f>IFERROR(__xludf.DUMMYFUNCTION("split(E1311,""+"")"),"Banana")</f>
        <v>Banana</v>
      </c>
      <c r="L1311" s="14" t="str">
        <f>IFERROR(__xludf.DUMMYFUNCTION("""COMPUTED_VALUE"""),"2*Venu R")</f>
        <v>2*Venu R</v>
      </c>
      <c r="M1311" s="14">
        <f>IFERROR(__xludf.DUMMYFUNCTION("SPLIT(L1311,""*"")"),2.0)</f>
        <v>2</v>
      </c>
      <c r="N1311" s="14" t="str">
        <f>IFERROR(__xludf.DUMMYFUNCTION("""COMPUTED_VALUE"""),"Venu R")</f>
        <v>Venu R</v>
      </c>
      <c r="O1311" s="14" t="str">
        <f>IFERROR(__xludf.DUMMYFUNCTION("split(J1311,""*"")"),"Delivered")</f>
        <v>Delivered</v>
      </c>
      <c r="P1311" s="14" t="str">
        <f>IFERROR(__xludf.DUMMYFUNCTION("""COMPUTED_VALUE"""),"Quality of Items: Perfect condition")</f>
        <v>Quality of Items: Perfect condition</v>
      </c>
      <c r="Q1311" s="14" t="str">
        <f>IFERROR(__xludf.DUMMYFUNCTION("split(P1311,"":"")"),"Quality of Items")</f>
        <v>Quality of Items</v>
      </c>
      <c r="R1311" s="14" t="str">
        <f>IFERROR(__xludf.DUMMYFUNCTION("""COMPUTED_VALUE""")," Perfect condition")</f>
        <v> Perfect condition</v>
      </c>
      <c r="S1311" s="14" t="str">
        <f t="shared" ref="S1311:U1311" si="2625">trim(B1311)</f>
        <v>ord_61289</v>
      </c>
      <c r="T1311" s="14" t="str">
        <f t="shared" si="2625"/>
        <v>Sanjay Nair</v>
      </c>
      <c r="U1311" s="14" t="str">
        <f t="shared" si="2625"/>
        <v>Dadar</v>
      </c>
      <c r="V1311" s="14" t="str">
        <f t="shared" si="4"/>
        <v>Banana</v>
      </c>
      <c r="W1311" s="14">
        <f t="shared" si="5"/>
        <v>2</v>
      </c>
      <c r="X1311" s="14" t="str">
        <f t="shared" si="6"/>
        <v>Venu R</v>
      </c>
      <c r="Y1311" s="15">
        <f t="shared" si="7"/>
        <v>45132</v>
      </c>
      <c r="Z1311" s="14" t="str">
        <f t="shared" si="8"/>
        <v>Credit Card</v>
      </c>
      <c r="AA1311" s="14" t="str">
        <f t="shared" si="9"/>
        <v>Delivered</v>
      </c>
      <c r="AB1311" s="14" t="str">
        <f t="shared" ref="AB1311:AC1311" si="2626">trim(Q1311)</f>
        <v>Quality of Items</v>
      </c>
      <c r="AC1311" s="14" t="str">
        <f t="shared" si="2626"/>
        <v>Perfect condition</v>
      </c>
      <c r="AD1311" s="8"/>
    </row>
    <row r="1312">
      <c r="A1312" s="14" t="str">
        <f>IFERROR(__xludf.DUMMYFUNCTION("""COMPUTED_VALUE"""),"//ord_61290//Kritika Shetty//Malad//Tomato+2*Manju Ajay/7/10/2023//Online Payment//Delivered*On-time Delivery: Delivered on time")</f>
        <v>//ord_61290//Kritika Shetty//Malad//Tomato+2*Manju Ajay/7/10/2023//Online Payment//Delivered*On-time Delivery: Delivered on time</v>
      </c>
      <c r="B1312" s="14" t="str">
        <f>IFERROR(__xludf.DUMMYFUNCTION("split(A1312,""//"")"),"ord_61290")</f>
        <v>ord_61290</v>
      </c>
      <c r="C1312" s="14" t="str">
        <f>IFERROR(__xludf.DUMMYFUNCTION("""COMPUTED_VALUE"""),"Kritika Shetty")</f>
        <v>Kritika Shetty</v>
      </c>
      <c r="D1312" s="14" t="str">
        <f>IFERROR(__xludf.DUMMYFUNCTION("""COMPUTED_VALUE"""),"Malad")</f>
        <v>Malad</v>
      </c>
      <c r="E1312" s="14" t="str">
        <f>IFERROR(__xludf.DUMMYFUNCTION("""COMPUTED_VALUE"""),"Tomato+2*Manju Ajay")</f>
        <v>Tomato+2*Manju Ajay</v>
      </c>
      <c r="F1312" s="14">
        <f>IFERROR(__xludf.DUMMYFUNCTION("""COMPUTED_VALUE"""),7.0)</f>
        <v>7</v>
      </c>
      <c r="G1312" s="14">
        <f>IFERROR(__xludf.DUMMYFUNCTION("""COMPUTED_VALUE"""),10.0)</f>
        <v>10</v>
      </c>
      <c r="H1312" s="14">
        <f>IFERROR(__xludf.DUMMYFUNCTION("""COMPUTED_VALUE"""),2023.0)</f>
        <v>2023</v>
      </c>
      <c r="I1312" s="14" t="str">
        <f>IFERROR(__xludf.DUMMYFUNCTION("""COMPUTED_VALUE"""),"Online Payment")</f>
        <v>Online Payment</v>
      </c>
      <c r="J1312" s="14" t="str">
        <f>IFERROR(__xludf.DUMMYFUNCTION("""COMPUTED_VALUE"""),"Delivered*On-time Delivery: Delivered on time")</f>
        <v>Delivered*On-time Delivery: Delivered on time</v>
      </c>
      <c r="K1312" s="14" t="str">
        <f>IFERROR(__xludf.DUMMYFUNCTION("split(E1312,""+"")"),"Tomato")</f>
        <v>Tomato</v>
      </c>
      <c r="L1312" s="14" t="str">
        <f>IFERROR(__xludf.DUMMYFUNCTION("""COMPUTED_VALUE"""),"2*Manju Ajay")</f>
        <v>2*Manju Ajay</v>
      </c>
      <c r="M1312" s="14">
        <f>IFERROR(__xludf.DUMMYFUNCTION("SPLIT(L1312,""*"")"),2.0)</f>
        <v>2</v>
      </c>
      <c r="N1312" s="14" t="str">
        <f>IFERROR(__xludf.DUMMYFUNCTION("""COMPUTED_VALUE"""),"Manju Ajay")</f>
        <v>Manju Ajay</v>
      </c>
      <c r="O1312" s="14" t="str">
        <f>IFERROR(__xludf.DUMMYFUNCTION("split(J1312,""*"")"),"Delivered")</f>
        <v>Delivered</v>
      </c>
      <c r="P1312" s="14" t="str">
        <f>IFERROR(__xludf.DUMMYFUNCTION("""COMPUTED_VALUE"""),"On-time Delivery: Delivered on time")</f>
        <v>On-time Delivery: Delivered on time</v>
      </c>
      <c r="Q1312" s="14" t="str">
        <f>IFERROR(__xludf.DUMMYFUNCTION("split(P1312,"":"")"),"On-time Delivery")</f>
        <v>On-time Delivery</v>
      </c>
      <c r="R1312" s="14" t="str">
        <f>IFERROR(__xludf.DUMMYFUNCTION("""COMPUTED_VALUE""")," Delivered on time")</f>
        <v> Delivered on time</v>
      </c>
      <c r="S1312" s="14" t="str">
        <f t="shared" ref="S1312:U1312" si="2627">trim(B1312)</f>
        <v>ord_61290</v>
      </c>
      <c r="T1312" s="14" t="str">
        <f t="shared" si="2627"/>
        <v>Kritika Shetty</v>
      </c>
      <c r="U1312" s="14" t="str">
        <f t="shared" si="2627"/>
        <v>Malad</v>
      </c>
      <c r="V1312" s="14" t="str">
        <f t="shared" si="4"/>
        <v>Tomato</v>
      </c>
      <c r="W1312" s="14">
        <f t="shared" si="5"/>
        <v>2</v>
      </c>
      <c r="X1312" s="14" t="str">
        <f t="shared" si="6"/>
        <v>Manju Ajay</v>
      </c>
      <c r="Y1312" s="15">
        <f t="shared" si="7"/>
        <v>45117</v>
      </c>
      <c r="Z1312" s="14" t="str">
        <f t="shared" si="8"/>
        <v>Online Payment</v>
      </c>
      <c r="AA1312" s="14" t="str">
        <f t="shared" si="9"/>
        <v>Delivered</v>
      </c>
      <c r="AB1312" s="14" t="str">
        <f t="shared" ref="AB1312:AC1312" si="2628">trim(Q1312)</f>
        <v>On-time Delivery</v>
      </c>
      <c r="AC1312" s="14" t="str">
        <f t="shared" si="2628"/>
        <v>Delivered on time</v>
      </c>
      <c r="AD1312" s="8"/>
    </row>
    <row r="1313">
      <c r="A1313" s="14" t="str">
        <f>IFERROR(__xludf.DUMMYFUNCTION("""COMPUTED_VALUE"""),"//ord_61291//Ishaan Chaturvedi//Bandra//Potato+2*Not Assigned/1/7/2023//Online Payment//Cancelled*App Glitches:Slow Loading Time")</f>
        <v>//ord_61291//Ishaan Chaturvedi//Bandra//Potato+2*Not Assigned/1/7/2023//Online Payment//Cancelled*App Glitches:Slow Loading Time</v>
      </c>
      <c r="B1313" s="14" t="str">
        <f>IFERROR(__xludf.DUMMYFUNCTION("split(A1313,""//"")"),"ord_61291")</f>
        <v>ord_61291</v>
      </c>
      <c r="C1313" s="14" t="str">
        <f>IFERROR(__xludf.DUMMYFUNCTION("""COMPUTED_VALUE"""),"Ishaan Chaturvedi")</f>
        <v>Ishaan Chaturvedi</v>
      </c>
      <c r="D1313" s="14" t="str">
        <f>IFERROR(__xludf.DUMMYFUNCTION("""COMPUTED_VALUE"""),"Bandra")</f>
        <v>Bandra</v>
      </c>
      <c r="E1313" s="14" t="str">
        <f>IFERROR(__xludf.DUMMYFUNCTION("""COMPUTED_VALUE"""),"Potato+2*Not Assigned")</f>
        <v>Potato+2*Not Assigned</v>
      </c>
      <c r="F1313" s="14">
        <f>IFERROR(__xludf.DUMMYFUNCTION("""COMPUTED_VALUE"""),1.0)</f>
        <v>1</v>
      </c>
      <c r="G1313" s="14">
        <f>IFERROR(__xludf.DUMMYFUNCTION("""COMPUTED_VALUE"""),7.0)</f>
        <v>7</v>
      </c>
      <c r="H1313" s="14">
        <f>IFERROR(__xludf.DUMMYFUNCTION("""COMPUTED_VALUE"""),2023.0)</f>
        <v>2023</v>
      </c>
      <c r="I1313" s="14" t="str">
        <f>IFERROR(__xludf.DUMMYFUNCTION("""COMPUTED_VALUE"""),"Online Payment")</f>
        <v>Online Payment</v>
      </c>
      <c r="J1313" s="14" t="str">
        <f>IFERROR(__xludf.DUMMYFUNCTION("""COMPUTED_VALUE"""),"Cancelled*App Glitches:Slow Loading Time")</f>
        <v>Cancelled*App Glitches:Slow Loading Time</v>
      </c>
      <c r="K1313" s="14" t="str">
        <f>IFERROR(__xludf.DUMMYFUNCTION("split(E1313,""+"")"),"Potato")</f>
        <v>Potato</v>
      </c>
      <c r="L1313" s="14" t="str">
        <f>IFERROR(__xludf.DUMMYFUNCTION("""COMPUTED_VALUE"""),"2*Not Assigned")</f>
        <v>2*Not Assigned</v>
      </c>
      <c r="M1313" s="14">
        <f>IFERROR(__xludf.DUMMYFUNCTION("SPLIT(L1313,""*"")"),2.0)</f>
        <v>2</v>
      </c>
      <c r="N1313" s="14" t="str">
        <f>IFERROR(__xludf.DUMMYFUNCTION("""COMPUTED_VALUE"""),"Not Assigned")</f>
        <v>Not Assigned</v>
      </c>
      <c r="O1313" s="14" t="str">
        <f>IFERROR(__xludf.DUMMYFUNCTION("split(J1313,""*"")"),"Cancelled")</f>
        <v>Cancelled</v>
      </c>
      <c r="P1313" s="14" t="str">
        <f>IFERROR(__xludf.DUMMYFUNCTION("""COMPUTED_VALUE"""),"App Glitches:Slow Loading Time")</f>
        <v>App Glitches:Slow Loading Time</v>
      </c>
      <c r="Q1313" s="14" t="str">
        <f>IFERROR(__xludf.DUMMYFUNCTION("split(P1313,"":"")"),"App Glitches")</f>
        <v>App Glitches</v>
      </c>
      <c r="R1313" s="14" t="str">
        <f>IFERROR(__xludf.DUMMYFUNCTION("""COMPUTED_VALUE"""),"Slow Loading Time")</f>
        <v>Slow Loading Time</v>
      </c>
      <c r="S1313" s="14" t="str">
        <f t="shared" ref="S1313:U1313" si="2629">trim(B1313)</f>
        <v>ord_61291</v>
      </c>
      <c r="T1313" s="14" t="str">
        <f t="shared" si="2629"/>
        <v>Ishaan Chaturvedi</v>
      </c>
      <c r="U1313" s="14" t="str">
        <f t="shared" si="2629"/>
        <v>Bandra</v>
      </c>
      <c r="V1313" s="14" t="str">
        <f t="shared" si="4"/>
        <v>Potato</v>
      </c>
      <c r="W1313" s="14">
        <f t="shared" si="5"/>
        <v>2</v>
      </c>
      <c r="X1313" s="14" t="str">
        <f t="shared" si="6"/>
        <v>Not Assigned</v>
      </c>
      <c r="Y1313" s="15">
        <f t="shared" si="7"/>
        <v>44933</v>
      </c>
      <c r="Z1313" s="14" t="str">
        <f t="shared" si="8"/>
        <v>Online Payment</v>
      </c>
      <c r="AA1313" s="14" t="str">
        <f t="shared" si="9"/>
        <v>Cancelled</v>
      </c>
      <c r="AB1313" s="14" t="str">
        <f t="shared" ref="AB1313:AC1313" si="2630">trim(Q1313)</f>
        <v>App Glitches</v>
      </c>
      <c r="AC1313" s="14" t="str">
        <f t="shared" si="2630"/>
        <v>Slow Loading Time</v>
      </c>
      <c r="AD1313" s="8"/>
    </row>
    <row r="1314">
      <c r="A1314" s="14" t="str">
        <f>IFERROR(__xludf.DUMMYFUNCTION("""COMPUTED_VALUE"""),"//ord_61292//Aditya Basu//Juhu//Onion+3*Not Assigned/6/22/2023//Credit Card//Cancelled*High Delivery Fees")</f>
        <v>//ord_61292//Aditya Basu//Juhu//Onion+3*Not Assigned/6/22/2023//Credit Card//Cancelled*High Delivery Fees</v>
      </c>
      <c r="B1314" s="14" t="str">
        <f>IFERROR(__xludf.DUMMYFUNCTION("split(A1314,""//"")"),"ord_61292")</f>
        <v>ord_61292</v>
      </c>
      <c r="C1314" s="14" t="str">
        <f>IFERROR(__xludf.DUMMYFUNCTION("""COMPUTED_VALUE"""),"Aditya Basu")</f>
        <v>Aditya Basu</v>
      </c>
      <c r="D1314" s="14" t="str">
        <f>IFERROR(__xludf.DUMMYFUNCTION("""COMPUTED_VALUE"""),"Juhu")</f>
        <v>Juhu</v>
      </c>
      <c r="E1314" s="14" t="str">
        <f>IFERROR(__xludf.DUMMYFUNCTION("""COMPUTED_VALUE"""),"Onion+3*Not Assigned")</f>
        <v>Onion+3*Not Assigned</v>
      </c>
      <c r="F1314" s="14">
        <f>IFERROR(__xludf.DUMMYFUNCTION("""COMPUTED_VALUE"""),6.0)</f>
        <v>6</v>
      </c>
      <c r="G1314" s="14">
        <f>IFERROR(__xludf.DUMMYFUNCTION("""COMPUTED_VALUE"""),22.0)</f>
        <v>22</v>
      </c>
      <c r="H1314" s="14">
        <f>IFERROR(__xludf.DUMMYFUNCTION("""COMPUTED_VALUE"""),2023.0)</f>
        <v>2023</v>
      </c>
      <c r="I1314" s="14" t="str">
        <f>IFERROR(__xludf.DUMMYFUNCTION("""COMPUTED_VALUE"""),"Credit Card")</f>
        <v>Credit Card</v>
      </c>
      <c r="J1314" s="14" t="str">
        <f>IFERROR(__xludf.DUMMYFUNCTION("""COMPUTED_VALUE"""),"Cancelled*High Delivery Fees")</f>
        <v>Cancelled*High Delivery Fees</v>
      </c>
      <c r="K1314" s="14" t="str">
        <f>IFERROR(__xludf.DUMMYFUNCTION("split(E1314,""+"")"),"Onion")</f>
        <v>Onion</v>
      </c>
      <c r="L1314" s="14" t="str">
        <f>IFERROR(__xludf.DUMMYFUNCTION("""COMPUTED_VALUE"""),"3*Not Assigned")</f>
        <v>3*Not Assigned</v>
      </c>
      <c r="M1314" s="14">
        <f>IFERROR(__xludf.DUMMYFUNCTION("SPLIT(L1314,""*"")"),3.0)</f>
        <v>3</v>
      </c>
      <c r="N1314" s="14" t="str">
        <f>IFERROR(__xludf.DUMMYFUNCTION("""COMPUTED_VALUE"""),"Not Assigned")</f>
        <v>Not Assigned</v>
      </c>
      <c r="O1314" s="14" t="str">
        <f>IFERROR(__xludf.DUMMYFUNCTION("split(J1314,""*"")"),"Cancelled")</f>
        <v>Cancelled</v>
      </c>
      <c r="P1314" s="14" t="str">
        <f>IFERROR(__xludf.DUMMYFUNCTION("""COMPUTED_VALUE"""),"High Delivery Fees")</f>
        <v>High Delivery Fees</v>
      </c>
      <c r="Q1314" s="14" t="str">
        <f>IFERROR(__xludf.DUMMYFUNCTION("split(P1314,"":"")"),"High Delivery Fees")</f>
        <v>High Delivery Fees</v>
      </c>
      <c r="R1314" s="14"/>
      <c r="S1314" s="14" t="str">
        <f t="shared" ref="S1314:U1314" si="2631">trim(B1314)</f>
        <v>ord_61292</v>
      </c>
      <c r="T1314" s="14" t="str">
        <f t="shared" si="2631"/>
        <v>Aditya Basu</v>
      </c>
      <c r="U1314" s="14" t="str">
        <f t="shared" si="2631"/>
        <v>Juhu</v>
      </c>
      <c r="V1314" s="14" t="str">
        <f t="shared" si="4"/>
        <v>Onion</v>
      </c>
      <c r="W1314" s="14">
        <f t="shared" si="5"/>
        <v>3</v>
      </c>
      <c r="X1314" s="14" t="str">
        <f t="shared" si="6"/>
        <v>Not Assigned</v>
      </c>
      <c r="Y1314" s="15">
        <f t="shared" si="7"/>
        <v>45099</v>
      </c>
      <c r="Z1314" s="14" t="str">
        <f t="shared" si="8"/>
        <v>Credit Card</v>
      </c>
      <c r="AA1314" s="14" t="str">
        <f t="shared" si="9"/>
        <v>Cancelled</v>
      </c>
      <c r="AB1314" s="14" t="str">
        <f t="shared" ref="AB1314:AC1314" si="2632">trim(Q1314)</f>
        <v>High Delivery Fees</v>
      </c>
      <c r="AC1314" s="14" t="str">
        <f t="shared" si="2632"/>
        <v/>
      </c>
      <c r="AD1314" s="8"/>
    </row>
    <row r="1315">
      <c r="A1315" s="14" t="str">
        <f>IFERROR(__xludf.DUMMYFUNCTION("""COMPUTED_VALUE"""),"//ord_61293//Mohit Malhotra//Lower Parel//Onion+2*Ramesh S/4/25/2023//Online Payment//Delivered*Quality of Items: Perfect condition")</f>
        <v>//ord_61293//Mohit Malhotra//Lower Parel//Onion+2*Ramesh S/4/25/2023//Online Payment//Delivered*Quality of Items: Perfect condition</v>
      </c>
      <c r="B1315" s="14" t="str">
        <f>IFERROR(__xludf.DUMMYFUNCTION("split(A1315,""//"")"),"ord_61293")</f>
        <v>ord_61293</v>
      </c>
      <c r="C1315" s="14" t="str">
        <f>IFERROR(__xludf.DUMMYFUNCTION("""COMPUTED_VALUE"""),"Mohit Malhotra")</f>
        <v>Mohit Malhotra</v>
      </c>
      <c r="D1315" s="14" t="str">
        <f>IFERROR(__xludf.DUMMYFUNCTION("""COMPUTED_VALUE"""),"Lower Parel")</f>
        <v>Lower Parel</v>
      </c>
      <c r="E1315" s="14" t="str">
        <f>IFERROR(__xludf.DUMMYFUNCTION("""COMPUTED_VALUE"""),"Onion+2*Ramesh S")</f>
        <v>Onion+2*Ramesh S</v>
      </c>
      <c r="F1315" s="14">
        <f>IFERROR(__xludf.DUMMYFUNCTION("""COMPUTED_VALUE"""),4.0)</f>
        <v>4</v>
      </c>
      <c r="G1315" s="14">
        <f>IFERROR(__xludf.DUMMYFUNCTION("""COMPUTED_VALUE"""),25.0)</f>
        <v>25</v>
      </c>
      <c r="H1315" s="14">
        <f>IFERROR(__xludf.DUMMYFUNCTION("""COMPUTED_VALUE"""),2023.0)</f>
        <v>2023</v>
      </c>
      <c r="I1315" s="14" t="str">
        <f>IFERROR(__xludf.DUMMYFUNCTION("""COMPUTED_VALUE"""),"Online Payment")</f>
        <v>Online Payment</v>
      </c>
      <c r="J1315" s="14" t="str">
        <f>IFERROR(__xludf.DUMMYFUNCTION("""COMPUTED_VALUE"""),"Delivered*Quality of Items: Perfect condition")</f>
        <v>Delivered*Quality of Items: Perfect condition</v>
      </c>
      <c r="K1315" s="14" t="str">
        <f>IFERROR(__xludf.DUMMYFUNCTION("split(E1315,""+"")"),"Onion")</f>
        <v>Onion</v>
      </c>
      <c r="L1315" s="14" t="str">
        <f>IFERROR(__xludf.DUMMYFUNCTION("""COMPUTED_VALUE"""),"2*Ramesh S")</f>
        <v>2*Ramesh S</v>
      </c>
      <c r="M1315" s="14">
        <f>IFERROR(__xludf.DUMMYFUNCTION("SPLIT(L1315,""*"")"),2.0)</f>
        <v>2</v>
      </c>
      <c r="N1315" s="14" t="str">
        <f>IFERROR(__xludf.DUMMYFUNCTION("""COMPUTED_VALUE"""),"Ramesh S")</f>
        <v>Ramesh S</v>
      </c>
      <c r="O1315" s="14" t="str">
        <f>IFERROR(__xludf.DUMMYFUNCTION("split(J1315,""*"")"),"Delivered")</f>
        <v>Delivered</v>
      </c>
      <c r="P1315" s="14" t="str">
        <f>IFERROR(__xludf.DUMMYFUNCTION("""COMPUTED_VALUE"""),"Quality of Items: Perfect condition")</f>
        <v>Quality of Items: Perfect condition</v>
      </c>
      <c r="Q1315" s="14" t="str">
        <f>IFERROR(__xludf.DUMMYFUNCTION("split(P1315,"":"")"),"Quality of Items")</f>
        <v>Quality of Items</v>
      </c>
      <c r="R1315" s="14" t="str">
        <f>IFERROR(__xludf.DUMMYFUNCTION("""COMPUTED_VALUE""")," Perfect condition")</f>
        <v> Perfect condition</v>
      </c>
      <c r="S1315" s="14" t="str">
        <f t="shared" ref="S1315:U1315" si="2633">trim(B1315)</f>
        <v>ord_61293</v>
      </c>
      <c r="T1315" s="14" t="str">
        <f t="shared" si="2633"/>
        <v>Mohit Malhotra</v>
      </c>
      <c r="U1315" s="14" t="str">
        <f t="shared" si="2633"/>
        <v>Lower Parel</v>
      </c>
      <c r="V1315" s="14" t="str">
        <f t="shared" si="4"/>
        <v>Onion</v>
      </c>
      <c r="W1315" s="14">
        <f t="shared" si="5"/>
        <v>2</v>
      </c>
      <c r="X1315" s="14" t="str">
        <f t="shared" si="6"/>
        <v>Ramesh S</v>
      </c>
      <c r="Y1315" s="15">
        <f t="shared" si="7"/>
        <v>45041</v>
      </c>
      <c r="Z1315" s="14" t="str">
        <f t="shared" si="8"/>
        <v>Online Payment</v>
      </c>
      <c r="AA1315" s="14" t="str">
        <f t="shared" si="9"/>
        <v>Delivered</v>
      </c>
      <c r="AB1315" s="14" t="str">
        <f t="shared" ref="AB1315:AC1315" si="2634">trim(Q1315)</f>
        <v>Quality of Items</v>
      </c>
      <c r="AC1315" s="14" t="str">
        <f t="shared" si="2634"/>
        <v>Perfect condition</v>
      </c>
      <c r="AD1315" s="8"/>
    </row>
    <row r="1316">
      <c r="A1316" s="14" t="str">
        <f>IFERROR(__xludf.DUMMYFUNCTION("""COMPUTED_VALUE"""),"//ord_61294//Diya Arora//Lower Parel//Veg Puff+5*Ram Gopal/10/29/2023//UPI//Delivered*Packaging: Secure and intact")</f>
        <v>//ord_61294//Diya Arora//Lower Parel//Veg Puff+5*Ram Gopal/10/29/2023//UPI//Delivered*Packaging: Secure and intact</v>
      </c>
      <c r="B1316" s="14" t="str">
        <f>IFERROR(__xludf.DUMMYFUNCTION("split(A1316,""//"")"),"ord_61294")</f>
        <v>ord_61294</v>
      </c>
      <c r="C1316" s="14" t="str">
        <f>IFERROR(__xludf.DUMMYFUNCTION("""COMPUTED_VALUE"""),"Diya Arora")</f>
        <v>Diya Arora</v>
      </c>
      <c r="D1316" s="14" t="str">
        <f>IFERROR(__xludf.DUMMYFUNCTION("""COMPUTED_VALUE"""),"Lower Parel")</f>
        <v>Lower Parel</v>
      </c>
      <c r="E1316" s="14" t="str">
        <f>IFERROR(__xludf.DUMMYFUNCTION("""COMPUTED_VALUE"""),"Veg Puff+5*Ram Gopal")</f>
        <v>Veg Puff+5*Ram Gopal</v>
      </c>
      <c r="F1316" s="14">
        <f>IFERROR(__xludf.DUMMYFUNCTION("""COMPUTED_VALUE"""),10.0)</f>
        <v>10</v>
      </c>
      <c r="G1316" s="14">
        <f>IFERROR(__xludf.DUMMYFUNCTION("""COMPUTED_VALUE"""),29.0)</f>
        <v>29</v>
      </c>
      <c r="H1316" s="14">
        <f>IFERROR(__xludf.DUMMYFUNCTION("""COMPUTED_VALUE"""),2023.0)</f>
        <v>2023</v>
      </c>
      <c r="I1316" s="14" t="str">
        <f>IFERROR(__xludf.DUMMYFUNCTION("""COMPUTED_VALUE"""),"UPI")</f>
        <v>UPI</v>
      </c>
      <c r="J1316" s="14" t="str">
        <f>IFERROR(__xludf.DUMMYFUNCTION("""COMPUTED_VALUE"""),"Delivered*Packaging: Secure and intact")</f>
        <v>Delivered*Packaging: Secure and intact</v>
      </c>
      <c r="K1316" s="14" t="str">
        <f>IFERROR(__xludf.DUMMYFUNCTION("split(E1316,""+"")"),"Veg Puff")</f>
        <v>Veg Puff</v>
      </c>
      <c r="L1316" s="14" t="str">
        <f>IFERROR(__xludf.DUMMYFUNCTION("""COMPUTED_VALUE"""),"5*Ram Gopal")</f>
        <v>5*Ram Gopal</v>
      </c>
      <c r="M1316" s="14">
        <f>IFERROR(__xludf.DUMMYFUNCTION("SPLIT(L1316,""*"")"),5.0)</f>
        <v>5</v>
      </c>
      <c r="N1316" s="14" t="str">
        <f>IFERROR(__xludf.DUMMYFUNCTION("""COMPUTED_VALUE"""),"Ram Gopal")</f>
        <v>Ram Gopal</v>
      </c>
      <c r="O1316" s="14" t="str">
        <f>IFERROR(__xludf.DUMMYFUNCTION("split(J1316,""*"")"),"Delivered")</f>
        <v>Delivered</v>
      </c>
      <c r="P1316" s="14" t="str">
        <f>IFERROR(__xludf.DUMMYFUNCTION("""COMPUTED_VALUE"""),"Packaging: Secure and intact")</f>
        <v>Packaging: Secure and intact</v>
      </c>
      <c r="Q1316" s="14" t="str">
        <f>IFERROR(__xludf.DUMMYFUNCTION("split(P1316,"":"")"),"Packaging")</f>
        <v>Packaging</v>
      </c>
      <c r="R1316" s="14" t="str">
        <f>IFERROR(__xludf.DUMMYFUNCTION("""COMPUTED_VALUE""")," Secure and intact")</f>
        <v> Secure and intact</v>
      </c>
      <c r="S1316" s="14" t="str">
        <f t="shared" ref="S1316:U1316" si="2635">trim(B1316)</f>
        <v>ord_61294</v>
      </c>
      <c r="T1316" s="14" t="str">
        <f t="shared" si="2635"/>
        <v>Diya Arora</v>
      </c>
      <c r="U1316" s="14" t="str">
        <f t="shared" si="2635"/>
        <v>Lower Parel</v>
      </c>
      <c r="V1316" s="14" t="str">
        <f t="shared" si="4"/>
        <v>Veg Puff</v>
      </c>
      <c r="W1316" s="14">
        <f t="shared" si="5"/>
        <v>5</v>
      </c>
      <c r="X1316" s="14" t="str">
        <f t="shared" si="6"/>
        <v>Ram Gopal</v>
      </c>
      <c r="Y1316" s="15">
        <f t="shared" si="7"/>
        <v>45228</v>
      </c>
      <c r="Z1316" s="14" t="str">
        <f t="shared" si="8"/>
        <v>UPI</v>
      </c>
      <c r="AA1316" s="14" t="str">
        <f t="shared" si="9"/>
        <v>Delivered</v>
      </c>
      <c r="AB1316" s="14" t="str">
        <f t="shared" ref="AB1316:AC1316" si="2636">trim(Q1316)</f>
        <v>Packaging</v>
      </c>
      <c r="AC1316" s="14" t="str">
        <f t="shared" si="2636"/>
        <v>Secure and intact</v>
      </c>
      <c r="AD1316" s="8"/>
    </row>
    <row r="1317">
      <c r="A1317" s="14" t="str">
        <f>IFERROR(__xludf.DUMMYFUNCTION("""COMPUTED_VALUE"""),"//ord_61295//Pallavi Ghosh//Bandra//Cold Coffee+3*Ram Gopal/6/23/2023//Credit Card//Delivered*Satisfied with the Delivery: Timely and quality")</f>
        <v>//ord_61295//Pallavi Ghosh//Bandra//Cold Coffee+3*Ram Gopal/6/23/2023//Credit Card//Delivered*Satisfied with the Delivery: Timely and quality</v>
      </c>
      <c r="B1317" s="14" t="str">
        <f>IFERROR(__xludf.DUMMYFUNCTION("split(A1317,""//"")"),"ord_61295")</f>
        <v>ord_61295</v>
      </c>
      <c r="C1317" s="14" t="str">
        <f>IFERROR(__xludf.DUMMYFUNCTION("""COMPUTED_VALUE"""),"Pallavi Ghosh")</f>
        <v>Pallavi Ghosh</v>
      </c>
      <c r="D1317" s="14" t="str">
        <f>IFERROR(__xludf.DUMMYFUNCTION("""COMPUTED_VALUE"""),"Bandra")</f>
        <v>Bandra</v>
      </c>
      <c r="E1317" s="14" t="str">
        <f>IFERROR(__xludf.DUMMYFUNCTION("""COMPUTED_VALUE"""),"Cold Coffee+3*Ram Gopal")</f>
        <v>Cold Coffee+3*Ram Gopal</v>
      </c>
      <c r="F1317" s="14">
        <f>IFERROR(__xludf.DUMMYFUNCTION("""COMPUTED_VALUE"""),6.0)</f>
        <v>6</v>
      </c>
      <c r="G1317" s="14">
        <f>IFERROR(__xludf.DUMMYFUNCTION("""COMPUTED_VALUE"""),23.0)</f>
        <v>23</v>
      </c>
      <c r="H1317" s="14">
        <f>IFERROR(__xludf.DUMMYFUNCTION("""COMPUTED_VALUE"""),2023.0)</f>
        <v>2023</v>
      </c>
      <c r="I1317" s="14" t="str">
        <f>IFERROR(__xludf.DUMMYFUNCTION("""COMPUTED_VALUE"""),"Credit Card")</f>
        <v>Credit Card</v>
      </c>
      <c r="J1317" s="14" t="str">
        <f>IFERROR(__xludf.DUMMYFUNCTION("""COMPUTED_VALUE"""),"Delivered*Satisfied with the Delivery: Timely and quality")</f>
        <v>Delivered*Satisfied with the Delivery: Timely and quality</v>
      </c>
      <c r="K1317" s="14" t="str">
        <f>IFERROR(__xludf.DUMMYFUNCTION("split(E1317,""+"")"),"Cold Coffee")</f>
        <v>Cold Coffee</v>
      </c>
      <c r="L1317" s="14" t="str">
        <f>IFERROR(__xludf.DUMMYFUNCTION("""COMPUTED_VALUE"""),"3*Ram Gopal")</f>
        <v>3*Ram Gopal</v>
      </c>
      <c r="M1317" s="14">
        <f>IFERROR(__xludf.DUMMYFUNCTION("SPLIT(L1317,""*"")"),3.0)</f>
        <v>3</v>
      </c>
      <c r="N1317" s="14" t="str">
        <f>IFERROR(__xludf.DUMMYFUNCTION("""COMPUTED_VALUE"""),"Ram Gopal")</f>
        <v>Ram Gopal</v>
      </c>
      <c r="O1317" s="14" t="str">
        <f>IFERROR(__xludf.DUMMYFUNCTION("split(J1317,""*"")"),"Delivered")</f>
        <v>Delivered</v>
      </c>
      <c r="P1317" s="14" t="str">
        <f>IFERROR(__xludf.DUMMYFUNCTION("""COMPUTED_VALUE"""),"Satisfied with the Delivery: Timely and quality")</f>
        <v>Satisfied with the Delivery: Timely and quality</v>
      </c>
      <c r="Q1317" s="14" t="str">
        <f>IFERROR(__xludf.DUMMYFUNCTION("split(P1317,"":"")"),"Satisfied with the Delivery")</f>
        <v>Satisfied with the Delivery</v>
      </c>
      <c r="R1317" s="14" t="str">
        <f>IFERROR(__xludf.DUMMYFUNCTION("""COMPUTED_VALUE""")," Timely and quality")</f>
        <v> Timely and quality</v>
      </c>
      <c r="S1317" s="14" t="str">
        <f t="shared" ref="S1317:U1317" si="2637">trim(B1317)</f>
        <v>ord_61295</v>
      </c>
      <c r="T1317" s="14" t="str">
        <f t="shared" si="2637"/>
        <v>Pallavi Ghosh</v>
      </c>
      <c r="U1317" s="14" t="str">
        <f t="shared" si="2637"/>
        <v>Bandra</v>
      </c>
      <c r="V1317" s="14" t="str">
        <f t="shared" si="4"/>
        <v>Cold Coffee</v>
      </c>
      <c r="W1317" s="14">
        <f t="shared" si="5"/>
        <v>3</v>
      </c>
      <c r="X1317" s="14" t="str">
        <f t="shared" si="6"/>
        <v>Ram Gopal</v>
      </c>
      <c r="Y1317" s="15">
        <f t="shared" si="7"/>
        <v>45100</v>
      </c>
      <c r="Z1317" s="14" t="str">
        <f t="shared" si="8"/>
        <v>Credit Card</v>
      </c>
      <c r="AA1317" s="14" t="str">
        <f t="shared" si="9"/>
        <v>Delivered</v>
      </c>
      <c r="AB1317" s="14" t="str">
        <f t="shared" ref="AB1317:AC1317" si="2638">trim(Q1317)</f>
        <v>Satisfied with the Delivery</v>
      </c>
      <c r="AC1317" s="14" t="str">
        <f t="shared" si="2638"/>
        <v>Timely and quality</v>
      </c>
      <c r="AD1317" s="8"/>
    </row>
    <row r="1318">
      <c r="A1318" s="14" t="str">
        <f>IFERROR(__xludf.DUMMYFUNCTION("""COMPUTED_VALUE"""),"//ord_61296//Mehul Thakkar//Malad//Icecream+3*Vivek Kumar/7/8/2023//Credit Card//Delivered*Customer Service: Seamless and easy")</f>
        <v>//ord_61296//Mehul Thakkar//Malad//Icecream+3*Vivek Kumar/7/8/2023//Credit Card//Delivered*Customer Service: Seamless and easy</v>
      </c>
      <c r="B1318" s="14" t="str">
        <f>IFERROR(__xludf.DUMMYFUNCTION("split(A1318,""//"")"),"ord_61296")</f>
        <v>ord_61296</v>
      </c>
      <c r="C1318" s="14" t="str">
        <f>IFERROR(__xludf.DUMMYFUNCTION("""COMPUTED_VALUE"""),"Mehul Thakkar")</f>
        <v>Mehul Thakkar</v>
      </c>
      <c r="D1318" s="14" t="str">
        <f>IFERROR(__xludf.DUMMYFUNCTION("""COMPUTED_VALUE"""),"Malad")</f>
        <v>Malad</v>
      </c>
      <c r="E1318" s="14" t="str">
        <f>IFERROR(__xludf.DUMMYFUNCTION("""COMPUTED_VALUE"""),"Icecream+3*Vivek Kumar")</f>
        <v>Icecream+3*Vivek Kumar</v>
      </c>
      <c r="F1318" s="14">
        <f>IFERROR(__xludf.DUMMYFUNCTION("""COMPUTED_VALUE"""),7.0)</f>
        <v>7</v>
      </c>
      <c r="G1318" s="14">
        <f>IFERROR(__xludf.DUMMYFUNCTION("""COMPUTED_VALUE"""),8.0)</f>
        <v>8</v>
      </c>
      <c r="H1318" s="14">
        <f>IFERROR(__xludf.DUMMYFUNCTION("""COMPUTED_VALUE"""),2023.0)</f>
        <v>2023</v>
      </c>
      <c r="I1318" s="14" t="str">
        <f>IFERROR(__xludf.DUMMYFUNCTION("""COMPUTED_VALUE"""),"Credit Card")</f>
        <v>Credit Card</v>
      </c>
      <c r="J1318" s="14" t="str">
        <f>IFERROR(__xludf.DUMMYFUNCTION("""COMPUTED_VALUE"""),"Delivered*Customer Service: Seamless and easy")</f>
        <v>Delivered*Customer Service: Seamless and easy</v>
      </c>
      <c r="K1318" s="14" t="str">
        <f>IFERROR(__xludf.DUMMYFUNCTION("split(E1318,""+"")"),"Icecream")</f>
        <v>Icecream</v>
      </c>
      <c r="L1318" s="14" t="str">
        <f>IFERROR(__xludf.DUMMYFUNCTION("""COMPUTED_VALUE"""),"3*Vivek Kumar")</f>
        <v>3*Vivek Kumar</v>
      </c>
      <c r="M1318" s="14">
        <f>IFERROR(__xludf.DUMMYFUNCTION("SPLIT(L1318,""*"")"),3.0)</f>
        <v>3</v>
      </c>
      <c r="N1318" s="14" t="str">
        <f>IFERROR(__xludf.DUMMYFUNCTION("""COMPUTED_VALUE"""),"Vivek Kumar")</f>
        <v>Vivek Kumar</v>
      </c>
      <c r="O1318" s="14" t="str">
        <f>IFERROR(__xludf.DUMMYFUNCTION("split(J1318,""*"")"),"Delivered")</f>
        <v>Delivered</v>
      </c>
      <c r="P1318" s="14" t="str">
        <f>IFERROR(__xludf.DUMMYFUNCTION("""COMPUTED_VALUE"""),"Customer Service: Seamless and easy")</f>
        <v>Customer Service: Seamless and easy</v>
      </c>
      <c r="Q1318" s="14" t="str">
        <f>IFERROR(__xludf.DUMMYFUNCTION("split(P1318,"":"")"),"Customer Service")</f>
        <v>Customer Service</v>
      </c>
      <c r="R1318" s="14" t="str">
        <f>IFERROR(__xludf.DUMMYFUNCTION("""COMPUTED_VALUE""")," Seamless and easy")</f>
        <v> Seamless and easy</v>
      </c>
      <c r="S1318" s="14" t="str">
        <f t="shared" ref="S1318:U1318" si="2639">trim(B1318)</f>
        <v>ord_61296</v>
      </c>
      <c r="T1318" s="14" t="str">
        <f t="shared" si="2639"/>
        <v>Mehul Thakkar</v>
      </c>
      <c r="U1318" s="14" t="str">
        <f t="shared" si="2639"/>
        <v>Malad</v>
      </c>
      <c r="V1318" s="14" t="str">
        <f t="shared" si="4"/>
        <v>Icecream</v>
      </c>
      <c r="W1318" s="14">
        <f t="shared" si="5"/>
        <v>3</v>
      </c>
      <c r="X1318" s="14" t="str">
        <f t="shared" si="6"/>
        <v>Vivek Kumar</v>
      </c>
      <c r="Y1318" s="15">
        <f t="shared" si="7"/>
        <v>45115</v>
      </c>
      <c r="Z1318" s="14" t="str">
        <f t="shared" si="8"/>
        <v>Credit Card</v>
      </c>
      <c r="AA1318" s="14" t="str">
        <f t="shared" si="9"/>
        <v>Delivered</v>
      </c>
      <c r="AB1318" s="14" t="str">
        <f t="shared" ref="AB1318:AC1318" si="2640">trim(Q1318)</f>
        <v>Customer Service</v>
      </c>
      <c r="AC1318" s="14" t="str">
        <f t="shared" si="2640"/>
        <v>Seamless and easy</v>
      </c>
      <c r="AD1318" s="8"/>
    </row>
    <row r="1319">
      <c r="A1319" s="14" t="str">
        <f>IFERROR(__xludf.DUMMYFUNCTION("""COMPUTED_VALUE"""),"//ord_61297//Kritika Shetty//Malad//Sweet Corn+2*Shine Thomas/5/6/2023//UPI//Cancelled*Delayed Delivery:High Order Volume")</f>
        <v>//ord_61297//Kritika Shetty//Malad//Sweet Corn+2*Shine Thomas/5/6/2023//UPI//Cancelled*Delayed Delivery:High Order Volume</v>
      </c>
      <c r="B1319" s="14" t="str">
        <f>IFERROR(__xludf.DUMMYFUNCTION("split(A1319,""//"")"),"ord_61297")</f>
        <v>ord_61297</v>
      </c>
      <c r="C1319" s="14" t="str">
        <f>IFERROR(__xludf.DUMMYFUNCTION("""COMPUTED_VALUE"""),"Kritika Shetty")</f>
        <v>Kritika Shetty</v>
      </c>
      <c r="D1319" s="14" t="str">
        <f>IFERROR(__xludf.DUMMYFUNCTION("""COMPUTED_VALUE"""),"Malad")</f>
        <v>Malad</v>
      </c>
      <c r="E1319" s="14" t="str">
        <f>IFERROR(__xludf.DUMMYFUNCTION("""COMPUTED_VALUE"""),"Sweet Corn+2*Shine Thomas")</f>
        <v>Sweet Corn+2*Shine Thomas</v>
      </c>
      <c r="F1319" s="14">
        <f>IFERROR(__xludf.DUMMYFUNCTION("""COMPUTED_VALUE"""),5.0)</f>
        <v>5</v>
      </c>
      <c r="G1319" s="14">
        <f>IFERROR(__xludf.DUMMYFUNCTION("""COMPUTED_VALUE"""),6.0)</f>
        <v>6</v>
      </c>
      <c r="H1319" s="14">
        <f>IFERROR(__xludf.DUMMYFUNCTION("""COMPUTED_VALUE"""),2023.0)</f>
        <v>2023</v>
      </c>
      <c r="I1319" s="14" t="str">
        <f>IFERROR(__xludf.DUMMYFUNCTION("""COMPUTED_VALUE"""),"UPI")</f>
        <v>UPI</v>
      </c>
      <c r="J1319" s="14" t="str">
        <f>IFERROR(__xludf.DUMMYFUNCTION("""COMPUTED_VALUE"""),"Cancelled*Delayed Delivery:High Order Volume")</f>
        <v>Cancelled*Delayed Delivery:High Order Volume</v>
      </c>
      <c r="K1319" s="14" t="str">
        <f>IFERROR(__xludf.DUMMYFUNCTION("split(E1319,""+"")"),"Sweet Corn")</f>
        <v>Sweet Corn</v>
      </c>
      <c r="L1319" s="14" t="str">
        <f>IFERROR(__xludf.DUMMYFUNCTION("""COMPUTED_VALUE"""),"2*Shine Thomas")</f>
        <v>2*Shine Thomas</v>
      </c>
      <c r="M1319" s="14">
        <f>IFERROR(__xludf.DUMMYFUNCTION("SPLIT(L1319,""*"")"),2.0)</f>
        <v>2</v>
      </c>
      <c r="N1319" s="14" t="str">
        <f>IFERROR(__xludf.DUMMYFUNCTION("""COMPUTED_VALUE"""),"Shine Thomas")</f>
        <v>Shine Thomas</v>
      </c>
      <c r="O1319" s="14" t="str">
        <f>IFERROR(__xludf.DUMMYFUNCTION("split(J1319,""*"")"),"Cancelled")</f>
        <v>Cancelled</v>
      </c>
      <c r="P1319" s="14" t="str">
        <f>IFERROR(__xludf.DUMMYFUNCTION("""COMPUTED_VALUE"""),"Delayed Delivery:High Order Volume")</f>
        <v>Delayed Delivery:High Order Volume</v>
      </c>
      <c r="Q1319" s="14" t="str">
        <f>IFERROR(__xludf.DUMMYFUNCTION("split(P1319,"":"")"),"Delayed Delivery")</f>
        <v>Delayed Delivery</v>
      </c>
      <c r="R1319" s="14" t="str">
        <f>IFERROR(__xludf.DUMMYFUNCTION("""COMPUTED_VALUE"""),"High Order Volume")</f>
        <v>High Order Volume</v>
      </c>
      <c r="S1319" s="14" t="str">
        <f t="shared" ref="S1319:U1319" si="2641">trim(B1319)</f>
        <v>ord_61297</v>
      </c>
      <c r="T1319" s="14" t="str">
        <f t="shared" si="2641"/>
        <v>Kritika Shetty</v>
      </c>
      <c r="U1319" s="14" t="str">
        <f t="shared" si="2641"/>
        <v>Malad</v>
      </c>
      <c r="V1319" s="14" t="str">
        <f t="shared" si="4"/>
        <v>Sweet Corn</v>
      </c>
      <c r="W1319" s="14">
        <f t="shared" si="5"/>
        <v>2</v>
      </c>
      <c r="X1319" s="14" t="str">
        <f t="shared" si="6"/>
        <v>Shine Thomas</v>
      </c>
      <c r="Y1319" s="15">
        <f t="shared" si="7"/>
        <v>45052</v>
      </c>
      <c r="Z1319" s="14" t="str">
        <f t="shared" si="8"/>
        <v>UPI</v>
      </c>
      <c r="AA1319" s="14" t="str">
        <f t="shared" si="9"/>
        <v>Cancelled</v>
      </c>
      <c r="AB1319" s="14" t="str">
        <f t="shared" ref="AB1319:AC1319" si="2642">trim(Q1319)</f>
        <v>Delayed Delivery</v>
      </c>
      <c r="AC1319" s="14" t="str">
        <f t="shared" si="2642"/>
        <v>High Order Volume</v>
      </c>
      <c r="AD1319" s="8"/>
    </row>
    <row r="1320">
      <c r="A1320" s="14" t="str">
        <f>IFERROR(__xludf.DUMMYFUNCTION("""COMPUTED_VALUE"""),"//ord_61298//Siya Reddy//Juhu//Cucumber+1*Tanvi Jain/1/24/2023//UPI//Cancelled*Delayed Delivery:Heavy Traffic")</f>
        <v>//ord_61298//Siya Reddy//Juhu//Cucumber+1*Tanvi Jain/1/24/2023//UPI//Cancelled*Delayed Delivery:Heavy Traffic</v>
      </c>
      <c r="B1320" s="14" t="str">
        <f>IFERROR(__xludf.DUMMYFUNCTION("split(A1320,""//"")"),"ord_61298")</f>
        <v>ord_61298</v>
      </c>
      <c r="C1320" s="14" t="str">
        <f>IFERROR(__xludf.DUMMYFUNCTION("""COMPUTED_VALUE"""),"Siya Reddy")</f>
        <v>Siya Reddy</v>
      </c>
      <c r="D1320" s="14" t="str">
        <f>IFERROR(__xludf.DUMMYFUNCTION("""COMPUTED_VALUE"""),"Juhu")</f>
        <v>Juhu</v>
      </c>
      <c r="E1320" s="14" t="str">
        <f>IFERROR(__xludf.DUMMYFUNCTION("""COMPUTED_VALUE"""),"Cucumber+1*Tanvi Jain")</f>
        <v>Cucumber+1*Tanvi Jain</v>
      </c>
      <c r="F1320" s="14">
        <f>IFERROR(__xludf.DUMMYFUNCTION("""COMPUTED_VALUE"""),1.0)</f>
        <v>1</v>
      </c>
      <c r="G1320" s="14">
        <f>IFERROR(__xludf.DUMMYFUNCTION("""COMPUTED_VALUE"""),24.0)</f>
        <v>24</v>
      </c>
      <c r="H1320" s="14">
        <f>IFERROR(__xludf.DUMMYFUNCTION("""COMPUTED_VALUE"""),2023.0)</f>
        <v>2023</v>
      </c>
      <c r="I1320" s="14" t="str">
        <f>IFERROR(__xludf.DUMMYFUNCTION("""COMPUTED_VALUE"""),"UPI")</f>
        <v>UPI</v>
      </c>
      <c r="J1320" s="14" t="str">
        <f>IFERROR(__xludf.DUMMYFUNCTION("""COMPUTED_VALUE"""),"Cancelled*Delayed Delivery:Heavy Traffic")</f>
        <v>Cancelled*Delayed Delivery:Heavy Traffic</v>
      </c>
      <c r="K1320" s="14" t="str">
        <f>IFERROR(__xludf.DUMMYFUNCTION("split(E1320,""+"")"),"Cucumber")</f>
        <v>Cucumber</v>
      </c>
      <c r="L1320" s="14" t="str">
        <f>IFERROR(__xludf.DUMMYFUNCTION("""COMPUTED_VALUE"""),"1*Tanvi Jain")</f>
        <v>1*Tanvi Jain</v>
      </c>
      <c r="M1320" s="14">
        <f>IFERROR(__xludf.DUMMYFUNCTION("SPLIT(L1320,""*"")"),1.0)</f>
        <v>1</v>
      </c>
      <c r="N1320" s="14" t="str">
        <f>IFERROR(__xludf.DUMMYFUNCTION("""COMPUTED_VALUE"""),"Tanvi Jain")</f>
        <v>Tanvi Jain</v>
      </c>
      <c r="O1320" s="14" t="str">
        <f>IFERROR(__xludf.DUMMYFUNCTION("split(J1320,""*"")"),"Cancelled")</f>
        <v>Cancelled</v>
      </c>
      <c r="P1320" s="14" t="str">
        <f>IFERROR(__xludf.DUMMYFUNCTION("""COMPUTED_VALUE"""),"Delayed Delivery:Heavy Traffic")</f>
        <v>Delayed Delivery:Heavy Traffic</v>
      </c>
      <c r="Q1320" s="14" t="str">
        <f>IFERROR(__xludf.DUMMYFUNCTION("split(P1320,"":"")"),"Delayed Delivery")</f>
        <v>Delayed Delivery</v>
      </c>
      <c r="R1320" s="14" t="str">
        <f>IFERROR(__xludf.DUMMYFUNCTION("""COMPUTED_VALUE"""),"Heavy Traffic")</f>
        <v>Heavy Traffic</v>
      </c>
      <c r="S1320" s="14" t="str">
        <f t="shared" ref="S1320:U1320" si="2643">trim(B1320)</f>
        <v>ord_61298</v>
      </c>
      <c r="T1320" s="14" t="str">
        <f t="shared" si="2643"/>
        <v>Siya Reddy</v>
      </c>
      <c r="U1320" s="14" t="str">
        <f t="shared" si="2643"/>
        <v>Juhu</v>
      </c>
      <c r="V1320" s="14" t="str">
        <f t="shared" si="4"/>
        <v>Cucumber</v>
      </c>
      <c r="W1320" s="14">
        <f t="shared" si="5"/>
        <v>1</v>
      </c>
      <c r="X1320" s="14" t="str">
        <f t="shared" si="6"/>
        <v>Tanvi Jain</v>
      </c>
      <c r="Y1320" s="15">
        <f t="shared" si="7"/>
        <v>44950</v>
      </c>
      <c r="Z1320" s="14" t="str">
        <f t="shared" si="8"/>
        <v>UPI</v>
      </c>
      <c r="AA1320" s="14" t="str">
        <f t="shared" si="9"/>
        <v>Cancelled</v>
      </c>
      <c r="AB1320" s="14" t="str">
        <f t="shared" ref="AB1320:AC1320" si="2644">trim(Q1320)</f>
        <v>Delayed Delivery</v>
      </c>
      <c r="AC1320" s="14" t="str">
        <f t="shared" si="2644"/>
        <v>Heavy Traffic</v>
      </c>
      <c r="AD1320" s="8"/>
    </row>
    <row r="1321">
      <c r="A1321" s="14" t="str">
        <f>IFERROR(__xludf.DUMMYFUNCTION("""COMPUTED_VALUE"""),"//ord_61299//Aarav Mehta//Andheri//Sweet Corn+2*Ramesh S/12/1/2023//Online Payment//Cancelled*Delayed Delivery:Bad Weather Conditions ")</f>
        <v>//ord_61299//Aarav Mehta//Andheri//Sweet Corn+2*Ramesh S/12/1/2023//Online Payment//Cancelled*Delayed Delivery:Bad Weather Conditions </v>
      </c>
      <c r="B1321" s="14" t="str">
        <f>IFERROR(__xludf.DUMMYFUNCTION("split(A1321,""//"")"),"ord_61299")</f>
        <v>ord_61299</v>
      </c>
      <c r="C1321" s="14" t="str">
        <f>IFERROR(__xludf.DUMMYFUNCTION("""COMPUTED_VALUE"""),"Aarav Mehta")</f>
        <v>Aarav Mehta</v>
      </c>
      <c r="D1321" s="14" t="str">
        <f>IFERROR(__xludf.DUMMYFUNCTION("""COMPUTED_VALUE"""),"Andheri")</f>
        <v>Andheri</v>
      </c>
      <c r="E1321" s="14" t="str">
        <f>IFERROR(__xludf.DUMMYFUNCTION("""COMPUTED_VALUE"""),"Sweet Corn+2*Ramesh S")</f>
        <v>Sweet Corn+2*Ramesh S</v>
      </c>
      <c r="F1321" s="14">
        <f>IFERROR(__xludf.DUMMYFUNCTION("""COMPUTED_VALUE"""),12.0)</f>
        <v>12</v>
      </c>
      <c r="G1321" s="14">
        <f>IFERROR(__xludf.DUMMYFUNCTION("""COMPUTED_VALUE"""),1.0)</f>
        <v>1</v>
      </c>
      <c r="H1321" s="14">
        <f>IFERROR(__xludf.DUMMYFUNCTION("""COMPUTED_VALUE"""),2023.0)</f>
        <v>2023</v>
      </c>
      <c r="I1321" s="14" t="str">
        <f>IFERROR(__xludf.DUMMYFUNCTION("""COMPUTED_VALUE"""),"Online Payment")</f>
        <v>Online Payment</v>
      </c>
      <c r="J1321" s="14" t="str">
        <f>IFERROR(__xludf.DUMMYFUNCTION("""COMPUTED_VALUE"""),"Cancelled*Delayed Delivery:Bad Weather Conditions ")</f>
        <v>Cancelled*Delayed Delivery:Bad Weather Conditions </v>
      </c>
      <c r="K1321" s="14" t="str">
        <f>IFERROR(__xludf.DUMMYFUNCTION("split(E1321,""+"")"),"Sweet Corn")</f>
        <v>Sweet Corn</v>
      </c>
      <c r="L1321" s="14" t="str">
        <f>IFERROR(__xludf.DUMMYFUNCTION("""COMPUTED_VALUE"""),"2*Ramesh S")</f>
        <v>2*Ramesh S</v>
      </c>
      <c r="M1321" s="14">
        <f>IFERROR(__xludf.DUMMYFUNCTION("SPLIT(L1321,""*"")"),2.0)</f>
        <v>2</v>
      </c>
      <c r="N1321" s="14" t="str">
        <f>IFERROR(__xludf.DUMMYFUNCTION("""COMPUTED_VALUE"""),"Ramesh S")</f>
        <v>Ramesh S</v>
      </c>
      <c r="O1321" s="14" t="str">
        <f>IFERROR(__xludf.DUMMYFUNCTION("split(J1321,""*"")"),"Cancelled")</f>
        <v>Cancelled</v>
      </c>
      <c r="P1321" s="14" t="str">
        <f>IFERROR(__xludf.DUMMYFUNCTION("""COMPUTED_VALUE"""),"Delayed Delivery:Bad Weather Conditions ")</f>
        <v>Delayed Delivery:Bad Weather Conditions </v>
      </c>
      <c r="Q1321" s="14" t="str">
        <f>IFERROR(__xludf.DUMMYFUNCTION("split(P1321,"":"")"),"Delayed Delivery")</f>
        <v>Delayed Delivery</v>
      </c>
      <c r="R1321" s="14" t="str">
        <f>IFERROR(__xludf.DUMMYFUNCTION("""COMPUTED_VALUE"""),"Bad Weather Conditions ")</f>
        <v>Bad Weather Conditions </v>
      </c>
      <c r="S1321" s="14" t="str">
        <f t="shared" ref="S1321:U1321" si="2645">trim(B1321)</f>
        <v>ord_61299</v>
      </c>
      <c r="T1321" s="14" t="str">
        <f t="shared" si="2645"/>
        <v>Aarav Mehta</v>
      </c>
      <c r="U1321" s="14" t="str">
        <f t="shared" si="2645"/>
        <v>Andheri</v>
      </c>
      <c r="V1321" s="14" t="str">
        <f t="shared" si="4"/>
        <v>Sweet Corn</v>
      </c>
      <c r="W1321" s="14">
        <f t="shared" si="5"/>
        <v>2</v>
      </c>
      <c r="X1321" s="14" t="str">
        <f t="shared" si="6"/>
        <v>Ramesh S</v>
      </c>
      <c r="Y1321" s="15">
        <f t="shared" si="7"/>
        <v>45261</v>
      </c>
      <c r="Z1321" s="14" t="str">
        <f t="shared" si="8"/>
        <v>Online Payment</v>
      </c>
      <c r="AA1321" s="14" t="str">
        <f t="shared" si="9"/>
        <v>Cancelled</v>
      </c>
      <c r="AB1321" s="14" t="str">
        <f t="shared" ref="AB1321:AC1321" si="2646">trim(Q1321)</f>
        <v>Delayed Delivery</v>
      </c>
      <c r="AC1321" s="14" t="str">
        <f t="shared" si="2646"/>
        <v>Bad Weather Conditions</v>
      </c>
      <c r="AD1321" s="8"/>
    </row>
    <row r="1322">
      <c r="A1322" s="14" t="str">
        <f>IFERROR(__xludf.DUMMYFUNCTION("""COMPUTED_VALUE"""),"//ord_61300//Dev Chauhan//Bandra//Popcorn+4*Nikhil Deshmukh/6/11/2023//Online Payment//Cancelled*Delayed Delivery:Bad Weather Conditions ")</f>
        <v>//ord_61300//Dev Chauhan//Bandra//Popcorn+4*Nikhil Deshmukh/6/11/2023//Online Payment//Cancelled*Delayed Delivery:Bad Weather Conditions </v>
      </c>
      <c r="B1322" s="14" t="str">
        <f>IFERROR(__xludf.DUMMYFUNCTION("split(A1322,""//"")"),"ord_61300")</f>
        <v>ord_61300</v>
      </c>
      <c r="C1322" s="14" t="str">
        <f>IFERROR(__xludf.DUMMYFUNCTION("""COMPUTED_VALUE"""),"Dev Chauhan")</f>
        <v>Dev Chauhan</v>
      </c>
      <c r="D1322" s="14" t="str">
        <f>IFERROR(__xludf.DUMMYFUNCTION("""COMPUTED_VALUE"""),"Bandra")</f>
        <v>Bandra</v>
      </c>
      <c r="E1322" s="14" t="str">
        <f>IFERROR(__xludf.DUMMYFUNCTION("""COMPUTED_VALUE"""),"Popcorn+4*Nikhil Deshmukh")</f>
        <v>Popcorn+4*Nikhil Deshmukh</v>
      </c>
      <c r="F1322" s="14">
        <f>IFERROR(__xludf.DUMMYFUNCTION("""COMPUTED_VALUE"""),6.0)</f>
        <v>6</v>
      </c>
      <c r="G1322" s="14">
        <f>IFERROR(__xludf.DUMMYFUNCTION("""COMPUTED_VALUE"""),11.0)</f>
        <v>11</v>
      </c>
      <c r="H1322" s="14">
        <f>IFERROR(__xludf.DUMMYFUNCTION("""COMPUTED_VALUE"""),2023.0)</f>
        <v>2023</v>
      </c>
      <c r="I1322" s="14" t="str">
        <f>IFERROR(__xludf.DUMMYFUNCTION("""COMPUTED_VALUE"""),"Online Payment")</f>
        <v>Online Payment</v>
      </c>
      <c r="J1322" s="14" t="str">
        <f>IFERROR(__xludf.DUMMYFUNCTION("""COMPUTED_VALUE"""),"Cancelled*Delayed Delivery:Bad Weather Conditions ")</f>
        <v>Cancelled*Delayed Delivery:Bad Weather Conditions </v>
      </c>
      <c r="K1322" s="14" t="str">
        <f>IFERROR(__xludf.DUMMYFUNCTION("split(E1322,""+"")"),"Popcorn")</f>
        <v>Popcorn</v>
      </c>
      <c r="L1322" s="14" t="str">
        <f>IFERROR(__xludf.DUMMYFUNCTION("""COMPUTED_VALUE"""),"4*Nikhil Deshmukh")</f>
        <v>4*Nikhil Deshmukh</v>
      </c>
      <c r="M1322" s="14">
        <f>IFERROR(__xludf.DUMMYFUNCTION("SPLIT(L1322,""*"")"),4.0)</f>
        <v>4</v>
      </c>
      <c r="N1322" s="14" t="str">
        <f>IFERROR(__xludf.DUMMYFUNCTION("""COMPUTED_VALUE"""),"Nikhil Deshmukh")</f>
        <v>Nikhil Deshmukh</v>
      </c>
      <c r="O1322" s="14" t="str">
        <f>IFERROR(__xludf.DUMMYFUNCTION("split(J1322,""*"")"),"Cancelled")</f>
        <v>Cancelled</v>
      </c>
      <c r="P1322" s="14" t="str">
        <f>IFERROR(__xludf.DUMMYFUNCTION("""COMPUTED_VALUE"""),"Delayed Delivery:Bad Weather Conditions ")</f>
        <v>Delayed Delivery:Bad Weather Conditions </v>
      </c>
      <c r="Q1322" s="14" t="str">
        <f>IFERROR(__xludf.DUMMYFUNCTION("split(P1322,"":"")"),"Delayed Delivery")</f>
        <v>Delayed Delivery</v>
      </c>
      <c r="R1322" s="14" t="str">
        <f>IFERROR(__xludf.DUMMYFUNCTION("""COMPUTED_VALUE"""),"Bad Weather Conditions ")</f>
        <v>Bad Weather Conditions </v>
      </c>
      <c r="S1322" s="14" t="str">
        <f t="shared" ref="S1322:U1322" si="2647">trim(B1322)</f>
        <v>ord_61300</v>
      </c>
      <c r="T1322" s="14" t="str">
        <f t="shared" si="2647"/>
        <v>Dev Chauhan</v>
      </c>
      <c r="U1322" s="14" t="str">
        <f t="shared" si="2647"/>
        <v>Bandra</v>
      </c>
      <c r="V1322" s="14" t="str">
        <f t="shared" si="4"/>
        <v>Popcorn</v>
      </c>
      <c r="W1322" s="14">
        <f t="shared" si="5"/>
        <v>4</v>
      </c>
      <c r="X1322" s="14" t="str">
        <f t="shared" si="6"/>
        <v>Nikhil Deshmukh</v>
      </c>
      <c r="Y1322" s="15">
        <f t="shared" si="7"/>
        <v>45088</v>
      </c>
      <c r="Z1322" s="14" t="str">
        <f t="shared" si="8"/>
        <v>Online Payment</v>
      </c>
      <c r="AA1322" s="14" t="str">
        <f t="shared" si="9"/>
        <v>Cancelled</v>
      </c>
      <c r="AB1322" s="14" t="str">
        <f t="shared" ref="AB1322:AC1322" si="2648">trim(Q1322)</f>
        <v>Delayed Delivery</v>
      </c>
      <c r="AC1322" s="14" t="str">
        <f t="shared" si="2648"/>
        <v>Bad Weather Conditions</v>
      </c>
      <c r="AD1322" s="8"/>
    </row>
    <row r="1323">
      <c r="A1323" s="14" t="str">
        <f>IFERROR(__xludf.DUMMYFUNCTION("""COMPUTED_VALUE"""),"//ord_61301//Ishita Banerjee//Juhu//Onion+2*Vivek Kumar/9/22/2023//Credit Card//Cancelled*Delayed Delivery:Heavy Traffic")</f>
        <v>//ord_61301//Ishita Banerjee//Juhu//Onion+2*Vivek Kumar/9/22/2023//Credit Card//Cancelled*Delayed Delivery:Heavy Traffic</v>
      </c>
      <c r="B1323" s="14" t="str">
        <f>IFERROR(__xludf.DUMMYFUNCTION("split(A1323,""//"")"),"ord_61301")</f>
        <v>ord_61301</v>
      </c>
      <c r="C1323" s="14" t="str">
        <f>IFERROR(__xludf.DUMMYFUNCTION("""COMPUTED_VALUE"""),"Ishita Banerjee")</f>
        <v>Ishita Banerjee</v>
      </c>
      <c r="D1323" s="14" t="str">
        <f>IFERROR(__xludf.DUMMYFUNCTION("""COMPUTED_VALUE"""),"Juhu")</f>
        <v>Juhu</v>
      </c>
      <c r="E1323" s="14" t="str">
        <f>IFERROR(__xludf.DUMMYFUNCTION("""COMPUTED_VALUE"""),"Onion+2*Vivek Kumar")</f>
        <v>Onion+2*Vivek Kumar</v>
      </c>
      <c r="F1323" s="14">
        <f>IFERROR(__xludf.DUMMYFUNCTION("""COMPUTED_VALUE"""),9.0)</f>
        <v>9</v>
      </c>
      <c r="G1323" s="14">
        <f>IFERROR(__xludf.DUMMYFUNCTION("""COMPUTED_VALUE"""),22.0)</f>
        <v>22</v>
      </c>
      <c r="H1323" s="14">
        <f>IFERROR(__xludf.DUMMYFUNCTION("""COMPUTED_VALUE"""),2023.0)</f>
        <v>2023</v>
      </c>
      <c r="I1323" s="14" t="str">
        <f>IFERROR(__xludf.DUMMYFUNCTION("""COMPUTED_VALUE"""),"Credit Card")</f>
        <v>Credit Card</v>
      </c>
      <c r="J1323" s="14" t="str">
        <f>IFERROR(__xludf.DUMMYFUNCTION("""COMPUTED_VALUE"""),"Cancelled*Delayed Delivery:Heavy Traffic")</f>
        <v>Cancelled*Delayed Delivery:Heavy Traffic</v>
      </c>
      <c r="K1323" s="14" t="str">
        <f>IFERROR(__xludf.DUMMYFUNCTION("split(E1323,""+"")"),"Onion")</f>
        <v>Onion</v>
      </c>
      <c r="L1323" s="14" t="str">
        <f>IFERROR(__xludf.DUMMYFUNCTION("""COMPUTED_VALUE"""),"2*Vivek Kumar")</f>
        <v>2*Vivek Kumar</v>
      </c>
      <c r="M1323" s="14">
        <f>IFERROR(__xludf.DUMMYFUNCTION("SPLIT(L1323,""*"")"),2.0)</f>
        <v>2</v>
      </c>
      <c r="N1323" s="14" t="str">
        <f>IFERROR(__xludf.DUMMYFUNCTION("""COMPUTED_VALUE"""),"Vivek Kumar")</f>
        <v>Vivek Kumar</v>
      </c>
      <c r="O1323" s="14" t="str">
        <f>IFERROR(__xludf.DUMMYFUNCTION("split(J1323,""*"")"),"Cancelled")</f>
        <v>Cancelled</v>
      </c>
      <c r="P1323" s="14" t="str">
        <f>IFERROR(__xludf.DUMMYFUNCTION("""COMPUTED_VALUE"""),"Delayed Delivery:Heavy Traffic")</f>
        <v>Delayed Delivery:Heavy Traffic</v>
      </c>
      <c r="Q1323" s="14" t="str">
        <f>IFERROR(__xludf.DUMMYFUNCTION("split(P1323,"":"")"),"Delayed Delivery")</f>
        <v>Delayed Delivery</v>
      </c>
      <c r="R1323" s="14" t="str">
        <f>IFERROR(__xludf.DUMMYFUNCTION("""COMPUTED_VALUE"""),"Heavy Traffic")</f>
        <v>Heavy Traffic</v>
      </c>
      <c r="S1323" s="14" t="str">
        <f t="shared" ref="S1323:U1323" si="2649">trim(B1323)</f>
        <v>ord_61301</v>
      </c>
      <c r="T1323" s="14" t="str">
        <f t="shared" si="2649"/>
        <v>Ishita Banerjee</v>
      </c>
      <c r="U1323" s="14" t="str">
        <f t="shared" si="2649"/>
        <v>Juhu</v>
      </c>
      <c r="V1323" s="14" t="str">
        <f t="shared" si="4"/>
        <v>Onion</v>
      </c>
      <c r="W1323" s="14">
        <f t="shared" si="5"/>
        <v>2</v>
      </c>
      <c r="X1323" s="14" t="str">
        <f t="shared" si="6"/>
        <v>Vivek Kumar</v>
      </c>
      <c r="Y1323" s="15">
        <f t="shared" si="7"/>
        <v>45191</v>
      </c>
      <c r="Z1323" s="14" t="str">
        <f t="shared" si="8"/>
        <v>Credit Card</v>
      </c>
      <c r="AA1323" s="14" t="str">
        <f t="shared" si="9"/>
        <v>Cancelled</v>
      </c>
      <c r="AB1323" s="14" t="str">
        <f t="shared" ref="AB1323:AC1323" si="2650">trim(Q1323)</f>
        <v>Delayed Delivery</v>
      </c>
      <c r="AC1323" s="14" t="str">
        <f t="shared" si="2650"/>
        <v>Heavy Traffic</v>
      </c>
      <c r="AD1323" s="8"/>
    </row>
    <row r="1324">
      <c r="A1324" s="14" t="str">
        <f>IFERROR(__xludf.DUMMYFUNCTION("""COMPUTED_VALUE"""),"//ord_61302//Ishita Banerjee//Juhu//Potato+1*Ramesh S/11/30/2023//UPI//Delivered*Delivery Experience: Quick and professional")</f>
        <v>//ord_61302//Ishita Banerjee//Juhu//Potato+1*Ramesh S/11/30/2023//UPI//Delivered*Delivery Experience: Quick and professional</v>
      </c>
      <c r="B1324" s="14" t="str">
        <f>IFERROR(__xludf.DUMMYFUNCTION("split(A1324,""//"")"),"ord_61302")</f>
        <v>ord_61302</v>
      </c>
      <c r="C1324" s="14" t="str">
        <f>IFERROR(__xludf.DUMMYFUNCTION("""COMPUTED_VALUE"""),"Ishita Banerjee")</f>
        <v>Ishita Banerjee</v>
      </c>
      <c r="D1324" s="14" t="str">
        <f>IFERROR(__xludf.DUMMYFUNCTION("""COMPUTED_VALUE"""),"Juhu")</f>
        <v>Juhu</v>
      </c>
      <c r="E1324" s="14" t="str">
        <f>IFERROR(__xludf.DUMMYFUNCTION("""COMPUTED_VALUE"""),"Potato+1*Ramesh S")</f>
        <v>Potato+1*Ramesh S</v>
      </c>
      <c r="F1324" s="14">
        <f>IFERROR(__xludf.DUMMYFUNCTION("""COMPUTED_VALUE"""),11.0)</f>
        <v>11</v>
      </c>
      <c r="G1324" s="14">
        <f>IFERROR(__xludf.DUMMYFUNCTION("""COMPUTED_VALUE"""),30.0)</f>
        <v>30</v>
      </c>
      <c r="H1324" s="14">
        <f>IFERROR(__xludf.DUMMYFUNCTION("""COMPUTED_VALUE"""),2023.0)</f>
        <v>2023</v>
      </c>
      <c r="I1324" s="14" t="str">
        <f>IFERROR(__xludf.DUMMYFUNCTION("""COMPUTED_VALUE"""),"UPI")</f>
        <v>UPI</v>
      </c>
      <c r="J1324" s="14" t="str">
        <f>IFERROR(__xludf.DUMMYFUNCTION("""COMPUTED_VALUE"""),"Delivered*Delivery Experience: Quick and professional")</f>
        <v>Delivered*Delivery Experience: Quick and professional</v>
      </c>
      <c r="K1324" s="14" t="str">
        <f>IFERROR(__xludf.DUMMYFUNCTION("split(E1324,""+"")"),"Potato")</f>
        <v>Potato</v>
      </c>
      <c r="L1324" s="14" t="str">
        <f>IFERROR(__xludf.DUMMYFUNCTION("""COMPUTED_VALUE"""),"1*Ramesh S")</f>
        <v>1*Ramesh S</v>
      </c>
      <c r="M1324" s="14">
        <f>IFERROR(__xludf.DUMMYFUNCTION("SPLIT(L1324,""*"")"),1.0)</f>
        <v>1</v>
      </c>
      <c r="N1324" s="14" t="str">
        <f>IFERROR(__xludf.DUMMYFUNCTION("""COMPUTED_VALUE"""),"Ramesh S")</f>
        <v>Ramesh S</v>
      </c>
      <c r="O1324" s="14" t="str">
        <f>IFERROR(__xludf.DUMMYFUNCTION("split(J1324,""*"")"),"Delivered")</f>
        <v>Delivered</v>
      </c>
      <c r="P1324" s="14" t="str">
        <f>IFERROR(__xludf.DUMMYFUNCTION("""COMPUTED_VALUE"""),"Delivery Experience: Quick and professional")</f>
        <v>Delivery Experience: Quick and professional</v>
      </c>
      <c r="Q1324" s="14" t="str">
        <f>IFERROR(__xludf.DUMMYFUNCTION("split(P1324,"":"")"),"Delivery Experience")</f>
        <v>Delivery Experience</v>
      </c>
      <c r="R1324" s="14" t="str">
        <f>IFERROR(__xludf.DUMMYFUNCTION("""COMPUTED_VALUE""")," Quick and professional")</f>
        <v> Quick and professional</v>
      </c>
      <c r="S1324" s="14" t="str">
        <f t="shared" ref="S1324:U1324" si="2651">trim(B1324)</f>
        <v>ord_61302</v>
      </c>
      <c r="T1324" s="14" t="str">
        <f t="shared" si="2651"/>
        <v>Ishita Banerjee</v>
      </c>
      <c r="U1324" s="14" t="str">
        <f t="shared" si="2651"/>
        <v>Juhu</v>
      </c>
      <c r="V1324" s="14" t="str">
        <f t="shared" si="4"/>
        <v>Potato</v>
      </c>
      <c r="W1324" s="14">
        <f t="shared" si="5"/>
        <v>1</v>
      </c>
      <c r="X1324" s="14" t="str">
        <f t="shared" si="6"/>
        <v>Ramesh S</v>
      </c>
      <c r="Y1324" s="15">
        <f t="shared" si="7"/>
        <v>45260</v>
      </c>
      <c r="Z1324" s="14" t="str">
        <f t="shared" si="8"/>
        <v>UPI</v>
      </c>
      <c r="AA1324" s="14" t="str">
        <f t="shared" si="9"/>
        <v>Delivered</v>
      </c>
      <c r="AB1324" s="14" t="str">
        <f t="shared" ref="AB1324:AC1324" si="2652">trim(Q1324)</f>
        <v>Delivery Experience</v>
      </c>
      <c r="AC1324" s="14" t="str">
        <f t="shared" si="2652"/>
        <v>Quick and professional</v>
      </c>
      <c r="AD1324" s="8"/>
    </row>
    <row r="1325">
      <c r="A1325" s="14" t="str">
        <f>IFERROR(__xludf.DUMMYFUNCTION("""COMPUTED_VALUE"""),"//ord_61303//Arvind Kulkarni//Juhu//Orange+2*Ramesh S/6/29/2023//Credit Card//Delivered*Convenience: Easy tracking")</f>
        <v>//ord_61303//Arvind Kulkarni//Juhu//Orange+2*Ramesh S/6/29/2023//Credit Card//Delivered*Convenience: Easy tracking</v>
      </c>
      <c r="B1325" s="14" t="str">
        <f>IFERROR(__xludf.DUMMYFUNCTION("split(A1325,""//"")"),"ord_61303")</f>
        <v>ord_61303</v>
      </c>
      <c r="C1325" s="14" t="str">
        <f>IFERROR(__xludf.DUMMYFUNCTION("""COMPUTED_VALUE"""),"Arvind Kulkarni")</f>
        <v>Arvind Kulkarni</v>
      </c>
      <c r="D1325" s="14" t="str">
        <f>IFERROR(__xludf.DUMMYFUNCTION("""COMPUTED_VALUE"""),"Juhu")</f>
        <v>Juhu</v>
      </c>
      <c r="E1325" s="14" t="str">
        <f>IFERROR(__xludf.DUMMYFUNCTION("""COMPUTED_VALUE"""),"Orange+2*Ramesh S")</f>
        <v>Orange+2*Ramesh S</v>
      </c>
      <c r="F1325" s="14">
        <f>IFERROR(__xludf.DUMMYFUNCTION("""COMPUTED_VALUE"""),6.0)</f>
        <v>6</v>
      </c>
      <c r="G1325" s="14">
        <f>IFERROR(__xludf.DUMMYFUNCTION("""COMPUTED_VALUE"""),29.0)</f>
        <v>29</v>
      </c>
      <c r="H1325" s="14">
        <f>IFERROR(__xludf.DUMMYFUNCTION("""COMPUTED_VALUE"""),2023.0)</f>
        <v>2023</v>
      </c>
      <c r="I1325" s="14" t="str">
        <f>IFERROR(__xludf.DUMMYFUNCTION("""COMPUTED_VALUE"""),"Credit Card")</f>
        <v>Credit Card</v>
      </c>
      <c r="J1325" s="14" t="str">
        <f>IFERROR(__xludf.DUMMYFUNCTION("""COMPUTED_VALUE"""),"Delivered*Convenience: Easy tracking")</f>
        <v>Delivered*Convenience: Easy tracking</v>
      </c>
      <c r="K1325" s="14" t="str">
        <f>IFERROR(__xludf.DUMMYFUNCTION("split(E1325,""+"")"),"Orange")</f>
        <v>Orange</v>
      </c>
      <c r="L1325" s="14" t="str">
        <f>IFERROR(__xludf.DUMMYFUNCTION("""COMPUTED_VALUE"""),"2*Ramesh S")</f>
        <v>2*Ramesh S</v>
      </c>
      <c r="M1325" s="14">
        <f>IFERROR(__xludf.DUMMYFUNCTION("SPLIT(L1325,""*"")"),2.0)</f>
        <v>2</v>
      </c>
      <c r="N1325" s="14" t="str">
        <f>IFERROR(__xludf.DUMMYFUNCTION("""COMPUTED_VALUE"""),"Ramesh S")</f>
        <v>Ramesh S</v>
      </c>
      <c r="O1325" s="14" t="str">
        <f>IFERROR(__xludf.DUMMYFUNCTION("split(J1325,""*"")"),"Delivered")</f>
        <v>Delivered</v>
      </c>
      <c r="P1325" s="14" t="str">
        <f>IFERROR(__xludf.DUMMYFUNCTION("""COMPUTED_VALUE"""),"Convenience: Easy tracking")</f>
        <v>Convenience: Easy tracking</v>
      </c>
      <c r="Q1325" s="14" t="str">
        <f>IFERROR(__xludf.DUMMYFUNCTION("split(P1325,"":"")"),"Convenience")</f>
        <v>Convenience</v>
      </c>
      <c r="R1325" s="14" t="str">
        <f>IFERROR(__xludf.DUMMYFUNCTION("""COMPUTED_VALUE""")," Easy tracking")</f>
        <v> Easy tracking</v>
      </c>
      <c r="S1325" s="14" t="str">
        <f t="shared" ref="S1325:U1325" si="2653">trim(B1325)</f>
        <v>ord_61303</v>
      </c>
      <c r="T1325" s="14" t="str">
        <f t="shared" si="2653"/>
        <v>Arvind Kulkarni</v>
      </c>
      <c r="U1325" s="14" t="str">
        <f t="shared" si="2653"/>
        <v>Juhu</v>
      </c>
      <c r="V1325" s="14" t="str">
        <f t="shared" si="4"/>
        <v>Orange</v>
      </c>
      <c r="W1325" s="14">
        <f t="shared" si="5"/>
        <v>2</v>
      </c>
      <c r="X1325" s="14" t="str">
        <f t="shared" si="6"/>
        <v>Ramesh S</v>
      </c>
      <c r="Y1325" s="15">
        <f t="shared" si="7"/>
        <v>45106</v>
      </c>
      <c r="Z1325" s="14" t="str">
        <f t="shared" si="8"/>
        <v>Credit Card</v>
      </c>
      <c r="AA1325" s="14" t="str">
        <f t="shared" si="9"/>
        <v>Delivered</v>
      </c>
      <c r="AB1325" s="14" t="str">
        <f t="shared" ref="AB1325:AC1325" si="2654">trim(Q1325)</f>
        <v>Convenience</v>
      </c>
      <c r="AC1325" s="14" t="str">
        <f t="shared" si="2654"/>
        <v>Easy tracking</v>
      </c>
      <c r="AD1325" s="8"/>
    </row>
    <row r="1326">
      <c r="A1326" s="14" t="str">
        <f>IFERROR(__xludf.DUMMYFUNCTION("""COMPUTED_VALUE"""),"//ord_61304//Mehul Thakkar//Malad//Cucumber+2*Not Assigned/1/5/2023//Online Payment//Cancelled*High Delivery Fees")</f>
        <v>//ord_61304//Mehul Thakkar//Malad//Cucumber+2*Not Assigned/1/5/2023//Online Payment//Cancelled*High Delivery Fees</v>
      </c>
      <c r="B1326" s="14" t="str">
        <f>IFERROR(__xludf.DUMMYFUNCTION("split(A1326,""//"")"),"ord_61304")</f>
        <v>ord_61304</v>
      </c>
      <c r="C1326" s="14" t="str">
        <f>IFERROR(__xludf.DUMMYFUNCTION("""COMPUTED_VALUE"""),"Mehul Thakkar")</f>
        <v>Mehul Thakkar</v>
      </c>
      <c r="D1326" s="14" t="str">
        <f>IFERROR(__xludf.DUMMYFUNCTION("""COMPUTED_VALUE"""),"Malad")</f>
        <v>Malad</v>
      </c>
      <c r="E1326" s="14" t="str">
        <f>IFERROR(__xludf.DUMMYFUNCTION("""COMPUTED_VALUE"""),"Cucumber+2*Not Assigned")</f>
        <v>Cucumber+2*Not Assigned</v>
      </c>
      <c r="F1326" s="14">
        <f>IFERROR(__xludf.DUMMYFUNCTION("""COMPUTED_VALUE"""),1.0)</f>
        <v>1</v>
      </c>
      <c r="G1326" s="14">
        <f>IFERROR(__xludf.DUMMYFUNCTION("""COMPUTED_VALUE"""),5.0)</f>
        <v>5</v>
      </c>
      <c r="H1326" s="14">
        <f>IFERROR(__xludf.DUMMYFUNCTION("""COMPUTED_VALUE"""),2023.0)</f>
        <v>2023</v>
      </c>
      <c r="I1326" s="14" t="str">
        <f>IFERROR(__xludf.DUMMYFUNCTION("""COMPUTED_VALUE"""),"Online Payment")</f>
        <v>Online Payment</v>
      </c>
      <c r="J1326" s="14" t="str">
        <f>IFERROR(__xludf.DUMMYFUNCTION("""COMPUTED_VALUE"""),"Cancelled*High Delivery Fees")</f>
        <v>Cancelled*High Delivery Fees</v>
      </c>
      <c r="K1326" s="14" t="str">
        <f>IFERROR(__xludf.DUMMYFUNCTION("split(E1326,""+"")"),"Cucumber")</f>
        <v>Cucumber</v>
      </c>
      <c r="L1326" s="14" t="str">
        <f>IFERROR(__xludf.DUMMYFUNCTION("""COMPUTED_VALUE"""),"2*Not Assigned")</f>
        <v>2*Not Assigned</v>
      </c>
      <c r="M1326" s="14">
        <f>IFERROR(__xludf.DUMMYFUNCTION("SPLIT(L1326,""*"")"),2.0)</f>
        <v>2</v>
      </c>
      <c r="N1326" s="14" t="str">
        <f>IFERROR(__xludf.DUMMYFUNCTION("""COMPUTED_VALUE"""),"Not Assigned")</f>
        <v>Not Assigned</v>
      </c>
      <c r="O1326" s="14" t="str">
        <f>IFERROR(__xludf.DUMMYFUNCTION("split(J1326,""*"")"),"Cancelled")</f>
        <v>Cancelled</v>
      </c>
      <c r="P1326" s="14" t="str">
        <f>IFERROR(__xludf.DUMMYFUNCTION("""COMPUTED_VALUE"""),"High Delivery Fees")</f>
        <v>High Delivery Fees</v>
      </c>
      <c r="Q1326" s="14" t="str">
        <f>IFERROR(__xludf.DUMMYFUNCTION("split(P1326,"":"")"),"High Delivery Fees")</f>
        <v>High Delivery Fees</v>
      </c>
      <c r="R1326" s="14"/>
      <c r="S1326" s="14" t="str">
        <f t="shared" ref="S1326:U1326" si="2655">trim(B1326)</f>
        <v>ord_61304</v>
      </c>
      <c r="T1326" s="14" t="str">
        <f t="shared" si="2655"/>
        <v>Mehul Thakkar</v>
      </c>
      <c r="U1326" s="14" t="str">
        <f t="shared" si="2655"/>
        <v>Malad</v>
      </c>
      <c r="V1326" s="14" t="str">
        <f t="shared" si="4"/>
        <v>Cucumber</v>
      </c>
      <c r="W1326" s="14">
        <f t="shared" si="5"/>
        <v>2</v>
      </c>
      <c r="X1326" s="14" t="str">
        <f t="shared" si="6"/>
        <v>Not Assigned</v>
      </c>
      <c r="Y1326" s="15">
        <f t="shared" si="7"/>
        <v>44931</v>
      </c>
      <c r="Z1326" s="14" t="str">
        <f t="shared" si="8"/>
        <v>Online Payment</v>
      </c>
      <c r="AA1326" s="14" t="str">
        <f t="shared" si="9"/>
        <v>Cancelled</v>
      </c>
      <c r="AB1326" s="14" t="str">
        <f t="shared" ref="AB1326:AC1326" si="2656">trim(Q1326)</f>
        <v>High Delivery Fees</v>
      </c>
      <c r="AC1326" s="14" t="str">
        <f t="shared" si="2656"/>
        <v/>
      </c>
      <c r="AD1326" s="8"/>
    </row>
    <row r="1327">
      <c r="A1327" s="14" t="str">
        <f>IFERROR(__xludf.DUMMYFUNCTION("""COMPUTED_VALUE"""),"//ord_61305//Anaya Rao//Colaba//Onion+2*Shine Thomas/3/24/2023//UPI//Delivered*Overall Satisfaction: Great service will order again")</f>
        <v>//ord_61305//Anaya Rao//Colaba//Onion+2*Shine Thomas/3/24/2023//UPI//Delivered*Overall Satisfaction: Great service will order again</v>
      </c>
      <c r="B1327" s="14" t="str">
        <f>IFERROR(__xludf.DUMMYFUNCTION("split(A1327,""//"")"),"ord_61305")</f>
        <v>ord_61305</v>
      </c>
      <c r="C1327" s="14" t="str">
        <f>IFERROR(__xludf.DUMMYFUNCTION("""COMPUTED_VALUE"""),"Anaya Rao")</f>
        <v>Anaya Rao</v>
      </c>
      <c r="D1327" s="14" t="str">
        <f>IFERROR(__xludf.DUMMYFUNCTION("""COMPUTED_VALUE"""),"Colaba")</f>
        <v>Colaba</v>
      </c>
      <c r="E1327" s="14" t="str">
        <f>IFERROR(__xludf.DUMMYFUNCTION("""COMPUTED_VALUE"""),"Onion+2*Shine Thomas")</f>
        <v>Onion+2*Shine Thomas</v>
      </c>
      <c r="F1327" s="14">
        <f>IFERROR(__xludf.DUMMYFUNCTION("""COMPUTED_VALUE"""),3.0)</f>
        <v>3</v>
      </c>
      <c r="G1327" s="14">
        <f>IFERROR(__xludf.DUMMYFUNCTION("""COMPUTED_VALUE"""),24.0)</f>
        <v>24</v>
      </c>
      <c r="H1327" s="14">
        <f>IFERROR(__xludf.DUMMYFUNCTION("""COMPUTED_VALUE"""),2023.0)</f>
        <v>2023</v>
      </c>
      <c r="I1327" s="14" t="str">
        <f>IFERROR(__xludf.DUMMYFUNCTION("""COMPUTED_VALUE"""),"UPI")</f>
        <v>UPI</v>
      </c>
      <c r="J1327" s="14" t="str">
        <f>IFERROR(__xludf.DUMMYFUNCTION("""COMPUTED_VALUE"""),"Delivered*Overall Satisfaction: Great service will order again")</f>
        <v>Delivered*Overall Satisfaction: Great service will order again</v>
      </c>
      <c r="K1327" s="14" t="str">
        <f>IFERROR(__xludf.DUMMYFUNCTION("split(E1327,""+"")"),"Onion")</f>
        <v>Onion</v>
      </c>
      <c r="L1327" s="14" t="str">
        <f>IFERROR(__xludf.DUMMYFUNCTION("""COMPUTED_VALUE"""),"2*Shine Thomas")</f>
        <v>2*Shine Thomas</v>
      </c>
      <c r="M1327" s="14">
        <f>IFERROR(__xludf.DUMMYFUNCTION("SPLIT(L1327,""*"")"),2.0)</f>
        <v>2</v>
      </c>
      <c r="N1327" s="14" t="str">
        <f>IFERROR(__xludf.DUMMYFUNCTION("""COMPUTED_VALUE"""),"Shine Thomas")</f>
        <v>Shine Thomas</v>
      </c>
      <c r="O1327" s="14" t="str">
        <f>IFERROR(__xludf.DUMMYFUNCTION("split(J1327,""*"")"),"Delivered")</f>
        <v>Delivered</v>
      </c>
      <c r="P1327" s="14" t="str">
        <f>IFERROR(__xludf.DUMMYFUNCTION("""COMPUTED_VALUE"""),"Overall Satisfaction: Great service will order again")</f>
        <v>Overall Satisfaction: Great service will order again</v>
      </c>
      <c r="Q1327" s="14" t="str">
        <f>IFERROR(__xludf.DUMMYFUNCTION("split(P1327,"":"")"),"Overall Satisfaction")</f>
        <v>Overall Satisfaction</v>
      </c>
      <c r="R1327" s="14" t="str">
        <f>IFERROR(__xludf.DUMMYFUNCTION("""COMPUTED_VALUE""")," Great service will order again")</f>
        <v> Great service will order again</v>
      </c>
      <c r="S1327" s="14" t="str">
        <f t="shared" ref="S1327:U1327" si="2657">trim(B1327)</f>
        <v>ord_61305</v>
      </c>
      <c r="T1327" s="14" t="str">
        <f t="shared" si="2657"/>
        <v>Anaya Rao</v>
      </c>
      <c r="U1327" s="14" t="str">
        <f t="shared" si="2657"/>
        <v>Colaba</v>
      </c>
      <c r="V1327" s="14" t="str">
        <f t="shared" si="4"/>
        <v>Onion</v>
      </c>
      <c r="W1327" s="14">
        <f t="shared" si="5"/>
        <v>2</v>
      </c>
      <c r="X1327" s="14" t="str">
        <f t="shared" si="6"/>
        <v>Shine Thomas</v>
      </c>
      <c r="Y1327" s="15">
        <f t="shared" si="7"/>
        <v>45009</v>
      </c>
      <c r="Z1327" s="14" t="str">
        <f t="shared" si="8"/>
        <v>UPI</v>
      </c>
      <c r="AA1327" s="14" t="str">
        <f t="shared" si="9"/>
        <v>Delivered</v>
      </c>
      <c r="AB1327" s="14" t="str">
        <f t="shared" ref="AB1327:AC1327" si="2658">trim(Q1327)</f>
        <v>Overall Satisfaction</v>
      </c>
      <c r="AC1327" s="14" t="str">
        <f t="shared" si="2658"/>
        <v>Great service will order again</v>
      </c>
      <c r="AD1327" s="8"/>
    </row>
    <row r="1328">
      <c r="A1328" s="14" t="str">
        <f>IFERROR(__xludf.DUMMYFUNCTION("""COMPUTED_VALUE"""),"//ord_61306//Aarav Mehta//Andheri//Potato+1*Aman Kumar/9/15/2023//Credit Card//Cancelled*Delayed Delivery:Heavy Traffic")</f>
        <v>//ord_61306//Aarav Mehta//Andheri//Potato+1*Aman Kumar/9/15/2023//Credit Card//Cancelled*Delayed Delivery:Heavy Traffic</v>
      </c>
      <c r="B1328" s="14" t="str">
        <f>IFERROR(__xludf.DUMMYFUNCTION("split(A1328,""//"")"),"ord_61306")</f>
        <v>ord_61306</v>
      </c>
      <c r="C1328" s="14" t="str">
        <f>IFERROR(__xludf.DUMMYFUNCTION("""COMPUTED_VALUE"""),"Aarav Mehta")</f>
        <v>Aarav Mehta</v>
      </c>
      <c r="D1328" s="14" t="str">
        <f>IFERROR(__xludf.DUMMYFUNCTION("""COMPUTED_VALUE"""),"Andheri")</f>
        <v>Andheri</v>
      </c>
      <c r="E1328" s="14" t="str">
        <f>IFERROR(__xludf.DUMMYFUNCTION("""COMPUTED_VALUE"""),"Potato+1*Aman Kumar")</f>
        <v>Potato+1*Aman Kumar</v>
      </c>
      <c r="F1328" s="14">
        <f>IFERROR(__xludf.DUMMYFUNCTION("""COMPUTED_VALUE"""),9.0)</f>
        <v>9</v>
      </c>
      <c r="G1328" s="14">
        <f>IFERROR(__xludf.DUMMYFUNCTION("""COMPUTED_VALUE"""),15.0)</f>
        <v>15</v>
      </c>
      <c r="H1328" s="14">
        <f>IFERROR(__xludf.DUMMYFUNCTION("""COMPUTED_VALUE"""),2023.0)</f>
        <v>2023</v>
      </c>
      <c r="I1328" s="14" t="str">
        <f>IFERROR(__xludf.DUMMYFUNCTION("""COMPUTED_VALUE"""),"Credit Card")</f>
        <v>Credit Card</v>
      </c>
      <c r="J1328" s="14" t="str">
        <f>IFERROR(__xludf.DUMMYFUNCTION("""COMPUTED_VALUE"""),"Cancelled*Delayed Delivery:Heavy Traffic")</f>
        <v>Cancelled*Delayed Delivery:Heavy Traffic</v>
      </c>
      <c r="K1328" s="14" t="str">
        <f>IFERROR(__xludf.DUMMYFUNCTION("split(E1328,""+"")"),"Potato")</f>
        <v>Potato</v>
      </c>
      <c r="L1328" s="14" t="str">
        <f>IFERROR(__xludf.DUMMYFUNCTION("""COMPUTED_VALUE"""),"1*Aman Kumar")</f>
        <v>1*Aman Kumar</v>
      </c>
      <c r="M1328" s="14">
        <f>IFERROR(__xludf.DUMMYFUNCTION("SPLIT(L1328,""*"")"),1.0)</f>
        <v>1</v>
      </c>
      <c r="N1328" s="14" t="str">
        <f>IFERROR(__xludf.DUMMYFUNCTION("""COMPUTED_VALUE"""),"Aman Kumar")</f>
        <v>Aman Kumar</v>
      </c>
      <c r="O1328" s="14" t="str">
        <f>IFERROR(__xludf.DUMMYFUNCTION("split(J1328,""*"")"),"Cancelled")</f>
        <v>Cancelled</v>
      </c>
      <c r="P1328" s="14" t="str">
        <f>IFERROR(__xludf.DUMMYFUNCTION("""COMPUTED_VALUE"""),"Delayed Delivery:Heavy Traffic")</f>
        <v>Delayed Delivery:Heavy Traffic</v>
      </c>
      <c r="Q1328" s="14" t="str">
        <f>IFERROR(__xludf.DUMMYFUNCTION("split(P1328,"":"")"),"Delayed Delivery")</f>
        <v>Delayed Delivery</v>
      </c>
      <c r="R1328" s="14" t="str">
        <f>IFERROR(__xludf.DUMMYFUNCTION("""COMPUTED_VALUE"""),"Heavy Traffic")</f>
        <v>Heavy Traffic</v>
      </c>
      <c r="S1328" s="14" t="str">
        <f t="shared" ref="S1328:U1328" si="2659">trim(B1328)</f>
        <v>ord_61306</v>
      </c>
      <c r="T1328" s="14" t="str">
        <f t="shared" si="2659"/>
        <v>Aarav Mehta</v>
      </c>
      <c r="U1328" s="14" t="str">
        <f t="shared" si="2659"/>
        <v>Andheri</v>
      </c>
      <c r="V1328" s="14" t="str">
        <f t="shared" si="4"/>
        <v>Potato</v>
      </c>
      <c r="W1328" s="14">
        <f t="shared" si="5"/>
        <v>1</v>
      </c>
      <c r="X1328" s="14" t="str">
        <f t="shared" si="6"/>
        <v>Aman Kumar</v>
      </c>
      <c r="Y1328" s="15">
        <f t="shared" si="7"/>
        <v>45184</v>
      </c>
      <c r="Z1328" s="14" t="str">
        <f t="shared" si="8"/>
        <v>Credit Card</v>
      </c>
      <c r="AA1328" s="14" t="str">
        <f t="shared" si="9"/>
        <v>Cancelled</v>
      </c>
      <c r="AB1328" s="14" t="str">
        <f t="shared" ref="AB1328:AC1328" si="2660">trim(Q1328)</f>
        <v>Delayed Delivery</v>
      </c>
      <c r="AC1328" s="14" t="str">
        <f t="shared" si="2660"/>
        <v>Heavy Traffic</v>
      </c>
      <c r="AD1328" s="8"/>
    </row>
    <row r="1329">
      <c r="A1329" s="14" t="str">
        <f>IFERROR(__xludf.DUMMYFUNCTION("""COMPUTED_VALUE"""),"//ord_61307//Ishaan Chaturvedi//Bandra//Veg Puff+5*Sita T/2/5/2023//Credit Card//Delivered*On-time Delivery: Delivered on time")</f>
        <v>//ord_61307//Ishaan Chaturvedi//Bandra//Veg Puff+5*Sita T/2/5/2023//Credit Card//Delivered*On-time Delivery: Delivered on time</v>
      </c>
      <c r="B1329" s="14" t="str">
        <f>IFERROR(__xludf.DUMMYFUNCTION("split(A1329,""//"")"),"ord_61307")</f>
        <v>ord_61307</v>
      </c>
      <c r="C1329" s="14" t="str">
        <f>IFERROR(__xludf.DUMMYFUNCTION("""COMPUTED_VALUE"""),"Ishaan Chaturvedi")</f>
        <v>Ishaan Chaturvedi</v>
      </c>
      <c r="D1329" s="14" t="str">
        <f>IFERROR(__xludf.DUMMYFUNCTION("""COMPUTED_VALUE"""),"Bandra")</f>
        <v>Bandra</v>
      </c>
      <c r="E1329" s="14" t="str">
        <f>IFERROR(__xludf.DUMMYFUNCTION("""COMPUTED_VALUE"""),"Veg Puff+5*Sita T")</f>
        <v>Veg Puff+5*Sita T</v>
      </c>
      <c r="F1329" s="14">
        <f>IFERROR(__xludf.DUMMYFUNCTION("""COMPUTED_VALUE"""),2.0)</f>
        <v>2</v>
      </c>
      <c r="G1329" s="14">
        <f>IFERROR(__xludf.DUMMYFUNCTION("""COMPUTED_VALUE"""),5.0)</f>
        <v>5</v>
      </c>
      <c r="H1329" s="14">
        <f>IFERROR(__xludf.DUMMYFUNCTION("""COMPUTED_VALUE"""),2023.0)</f>
        <v>2023</v>
      </c>
      <c r="I1329" s="14" t="str">
        <f>IFERROR(__xludf.DUMMYFUNCTION("""COMPUTED_VALUE"""),"Credit Card")</f>
        <v>Credit Card</v>
      </c>
      <c r="J1329" s="14" t="str">
        <f>IFERROR(__xludf.DUMMYFUNCTION("""COMPUTED_VALUE"""),"Delivered*On-time Delivery: Delivered on time")</f>
        <v>Delivered*On-time Delivery: Delivered on time</v>
      </c>
      <c r="K1329" s="14" t="str">
        <f>IFERROR(__xludf.DUMMYFUNCTION("split(E1329,""+"")"),"Veg Puff")</f>
        <v>Veg Puff</v>
      </c>
      <c r="L1329" s="14" t="str">
        <f>IFERROR(__xludf.DUMMYFUNCTION("""COMPUTED_VALUE"""),"5*Sita T")</f>
        <v>5*Sita T</v>
      </c>
      <c r="M1329" s="14">
        <f>IFERROR(__xludf.DUMMYFUNCTION("SPLIT(L1329,""*"")"),5.0)</f>
        <v>5</v>
      </c>
      <c r="N1329" s="14" t="str">
        <f>IFERROR(__xludf.DUMMYFUNCTION("""COMPUTED_VALUE"""),"Sita T")</f>
        <v>Sita T</v>
      </c>
      <c r="O1329" s="14" t="str">
        <f>IFERROR(__xludf.DUMMYFUNCTION("split(J1329,""*"")"),"Delivered")</f>
        <v>Delivered</v>
      </c>
      <c r="P1329" s="14" t="str">
        <f>IFERROR(__xludf.DUMMYFUNCTION("""COMPUTED_VALUE"""),"On-time Delivery: Delivered on time")</f>
        <v>On-time Delivery: Delivered on time</v>
      </c>
      <c r="Q1329" s="14" t="str">
        <f>IFERROR(__xludf.DUMMYFUNCTION("split(P1329,"":"")"),"On-time Delivery")</f>
        <v>On-time Delivery</v>
      </c>
      <c r="R1329" s="14" t="str">
        <f>IFERROR(__xludf.DUMMYFUNCTION("""COMPUTED_VALUE""")," Delivered on time")</f>
        <v> Delivered on time</v>
      </c>
      <c r="S1329" s="14" t="str">
        <f t="shared" ref="S1329:U1329" si="2661">trim(B1329)</f>
        <v>ord_61307</v>
      </c>
      <c r="T1329" s="14" t="str">
        <f t="shared" si="2661"/>
        <v>Ishaan Chaturvedi</v>
      </c>
      <c r="U1329" s="14" t="str">
        <f t="shared" si="2661"/>
        <v>Bandra</v>
      </c>
      <c r="V1329" s="14" t="str">
        <f t="shared" si="4"/>
        <v>Veg Puff</v>
      </c>
      <c r="W1329" s="14">
        <f t="shared" si="5"/>
        <v>5</v>
      </c>
      <c r="X1329" s="14" t="str">
        <f t="shared" si="6"/>
        <v>Sita T</v>
      </c>
      <c r="Y1329" s="15">
        <f t="shared" si="7"/>
        <v>44962</v>
      </c>
      <c r="Z1329" s="14" t="str">
        <f t="shared" si="8"/>
        <v>Credit Card</v>
      </c>
      <c r="AA1329" s="14" t="str">
        <f t="shared" si="9"/>
        <v>Delivered</v>
      </c>
      <c r="AB1329" s="14" t="str">
        <f t="shared" ref="AB1329:AC1329" si="2662">trim(Q1329)</f>
        <v>On-time Delivery</v>
      </c>
      <c r="AC1329" s="14" t="str">
        <f t="shared" si="2662"/>
        <v>Delivered on time</v>
      </c>
      <c r="AD1329" s="8"/>
    </row>
    <row r="1330">
      <c r="A1330" s="14" t="str">
        <f>IFERROR(__xludf.DUMMYFUNCTION("""COMPUTED_VALUE"""),"//ord_61308//Sanjay Nair//Dadar//Veg Puff+2*Vivek Kumar/5/30/2023//UPI//Cancelled*Delayed Delivery:Bad Weather Conditions ")</f>
        <v>//ord_61308//Sanjay Nair//Dadar//Veg Puff+2*Vivek Kumar/5/30/2023//UPI//Cancelled*Delayed Delivery:Bad Weather Conditions </v>
      </c>
      <c r="B1330" s="14" t="str">
        <f>IFERROR(__xludf.DUMMYFUNCTION("split(A1330,""//"")"),"ord_61308")</f>
        <v>ord_61308</v>
      </c>
      <c r="C1330" s="14" t="str">
        <f>IFERROR(__xludf.DUMMYFUNCTION("""COMPUTED_VALUE"""),"Sanjay Nair")</f>
        <v>Sanjay Nair</v>
      </c>
      <c r="D1330" s="14" t="str">
        <f>IFERROR(__xludf.DUMMYFUNCTION("""COMPUTED_VALUE"""),"Dadar")</f>
        <v>Dadar</v>
      </c>
      <c r="E1330" s="14" t="str">
        <f>IFERROR(__xludf.DUMMYFUNCTION("""COMPUTED_VALUE"""),"Veg Puff+2*Vivek Kumar")</f>
        <v>Veg Puff+2*Vivek Kumar</v>
      </c>
      <c r="F1330" s="14">
        <f>IFERROR(__xludf.DUMMYFUNCTION("""COMPUTED_VALUE"""),5.0)</f>
        <v>5</v>
      </c>
      <c r="G1330" s="14">
        <f>IFERROR(__xludf.DUMMYFUNCTION("""COMPUTED_VALUE"""),30.0)</f>
        <v>30</v>
      </c>
      <c r="H1330" s="14">
        <f>IFERROR(__xludf.DUMMYFUNCTION("""COMPUTED_VALUE"""),2023.0)</f>
        <v>2023</v>
      </c>
      <c r="I1330" s="14" t="str">
        <f>IFERROR(__xludf.DUMMYFUNCTION("""COMPUTED_VALUE"""),"UPI")</f>
        <v>UPI</v>
      </c>
      <c r="J1330" s="14" t="str">
        <f>IFERROR(__xludf.DUMMYFUNCTION("""COMPUTED_VALUE"""),"Cancelled*Delayed Delivery:Bad Weather Conditions ")</f>
        <v>Cancelled*Delayed Delivery:Bad Weather Conditions </v>
      </c>
      <c r="K1330" s="14" t="str">
        <f>IFERROR(__xludf.DUMMYFUNCTION("split(E1330,""+"")"),"Veg Puff")</f>
        <v>Veg Puff</v>
      </c>
      <c r="L1330" s="14" t="str">
        <f>IFERROR(__xludf.DUMMYFUNCTION("""COMPUTED_VALUE"""),"2*Vivek Kumar")</f>
        <v>2*Vivek Kumar</v>
      </c>
      <c r="M1330" s="14">
        <f>IFERROR(__xludf.DUMMYFUNCTION("SPLIT(L1330,""*"")"),2.0)</f>
        <v>2</v>
      </c>
      <c r="N1330" s="14" t="str">
        <f>IFERROR(__xludf.DUMMYFUNCTION("""COMPUTED_VALUE"""),"Vivek Kumar")</f>
        <v>Vivek Kumar</v>
      </c>
      <c r="O1330" s="14" t="str">
        <f>IFERROR(__xludf.DUMMYFUNCTION("split(J1330,""*"")"),"Cancelled")</f>
        <v>Cancelled</v>
      </c>
      <c r="P1330" s="14" t="str">
        <f>IFERROR(__xludf.DUMMYFUNCTION("""COMPUTED_VALUE"""),"Delayed Delivery:Bad Weather Conditions ")</f>
        <v>Delayed Delivery:Bad Weather Conditions </v>
      </c>
      <c r="Q1330" s="14" t="str">
        <f>IFERROR(__xludf.DUMMYFUNCTION("split(P1330,"":"")"),"Delayed Delivery")</f>
        <v>Delayed Delivery</v>
      </c>
      <c r="R1330" s="14" t="str">
        <f>IFERROR(__xludf.DUMMYFUNCTION("""COMPUTED_VALUE"""),"Bad Weather Conditions ")</f>
        <v>Bad Weather Conditions </v>
      </c>
      <c r="S1330" s="14" t="str">
        <f t="shared" ref="S1330:U1330" si="2663">trim(B1330)</f>
        <v>ord_61308</v>
      </c>
      <c r="T1330" s="14" t="str">
        <f t="shared" si="2663"/>
        <v>Sanjay Nair</v>
      </c>
      <c r="U1330" s="14" t="str">
        <f t="shared" si="2663"/>
        <v>Dadar</v>
      </c>
      <c r="V1330" s="14" t="str">
        <f t="shared" si="4"/>
        <v>Veg Puff</v>
      </c>
      <c r="W1330" s="14">
        <f t="shared" si="5"/>
        <v>2</v>
      </c>
      <c r="X1330" s="14" t="str">
        <f t="shared" si="6"/>
        <v>Vivek Kumar</v>
      </c>
      <c r="Y1330" s="15">
        <f t="shared" si="7"/>
        <v>45076</v>
      </c>
      <c r="Z1330" s="14" t="str">
        <f t="shared" si="8"/>
        <v>UPI</v>
      </c>
      <c r="AA1330" s="14" t="str">
        <f t="shared" si="9"/>
        <v>Cancelled</v>
      </c>
      <c r="AB1330" s="14" t="str">
        <f t="shared" ref="AB1330:AC1330" si="2664">trim(Q1330)</f>
        <v>Delayed Delivery</v>
      </c>
      <c r="AC1330" s="14" t="str">
        <f t="shared" si="2664"/>
        <v>Bad Weather Conditions</v>
      </c>
      <c r="AD1330" s="8"/>
    </row>
    <row r="1331">
      <c r="A1331" s="14" t="str">
        <f>IFERROR(__xludf.DUMMYFUNCTION("""COMPUTED_VALUE"""),"//ord_61309//Aditi Iyer//Dadar//Icecream+4*Not Assigned/11/22/2023//Online Payment//Cancelled*High Delivery Fees")</f>
        <v>//ord_61309//Aditi Iyer//Dadar//Icecream+4*Not Assigned/11/22/2023//Online Payment//Cancelled*High Delivery Fees</v>
      </c>
      <c r="B1331" s="14" t="str">
        <f>IFERROR(__xludf.DUMMYFUNCTION("split(A1331,""//"")"),"ord_61309")</f>
        <v>ord_61309</v>
      </c>
      <c r="C1331" s="14" t="str">
        <f>IFERROR(__xludf.DUMMYFUNCTION("""COMPUTED_VALUE"""),"Aditi Iyer")</f>
        <v>Aditi Iyer</v>
      </c>
      <c r="D1331" s="14" t="str">
        <f>IFERROR(__xludf.DUMMYFUNCTION("""COMPUTED_VALUE"""),"Dadar")</f>
        <v>Dadar</v>
      </c>
      <c r="E1331" s="14" t="str">
        <f>IFERROR(__xludf.DUMMYFUNCTION("""COMPUTED_VALUE"""),"Icecream+4*Not Assigned")</f>
        <v>Icecream+4*Not Assigned</v>
      </c>
      <c r="F1331" s="14">
        <f>IFERROR(__xludf.DUMMYFUNCTION("""COMPUTED_VALUE"""),11.0)</f>
        <v>11</v>
      </c>
      <c r="G1331" s="14">
        <f>IFERROR(__xludf.DUMMYFUNCTION("""COMPUTED_VALUE"""),22.0)</f>
        <v>22</v>
      </c>
      <c r="H1331" s="14">
        <f>IFERROR(__xludf.DUMMYFUNCTION("""COMPUTED_VALUE"""),2023.0)</f>
        <v>2023</v>
      </c>
      <c r="I1331" s="14" t="str">
        <f>IFERROR(__xludf.DUMMYFUNCTION("""COMPUTED_VALUE"""),"Online Payment")</f>
        <v>Online Payment</v>
      </c>
      <c r="J1331" s="14" t="str">
        <f>IFERROR(__xludf.DUMMYFUNCTION("""COMPUTED_VALUE"""),"Cancelled*High Delivery Fees")</f>
        <v>Cancelled*High Delivery Fees</v>
      </c>
      <c r="K1331" s="14" t="str">
        <f>IFERROR(__xludf.DUMMYFUNCTION("split(E1331,""+"")"),"Icecream")</f>
        <v>Icecream</v>
      </c>
      <c r="L1331" s="14" t="str">
        <f>IFERROR(__xludf.DUMMYFUNCTION("""COMPUTED_VALUE"""),"4*Not Assigned")</f>
        <v>4*Not Assigned</v>
      </c>
      <c r="M1331" s="14">
        <f>IFERROR(__xludf.DUMMYFUNCTION("SPLIT(L1331,""*"")"),4.0)</f>
        <v>4</v>
      </c>
      <c r="N1331" s="14" t="str">
        <f>IFERROR(__xludf.DUMMYFUNCTION("""COMPUTED_VALUE"""),"Not Assigned")</f>
        <v>Not Assigned</v>
      </c>
      <c r="O1331" s="14" t="str">
        <f>IFERROR(__xludf.DUMMYFUNCTION("split(J1331,""*"")"),"Cancelled")</f>
        <v>Cancelled</v>
      </c>
      <c r="P1331" s="14" t="str">
        <f>IFERROR(__xludf.DUMMYFUNCTION("""COMPUTED_VALUE"""),"High Delivery Fees")</f>
        <v>High Delivery Fees</v>
      </c>
      <c r="Q1331" s="14" t="str">
        <f>IFERROR(__xludf.DUMMYFUNCTION("split(P1331,"":"")"),"High Delivery Fees")</f>
        <v>High Delivery Fees</v>
      </c>
      <c r="R1331" s="14"/>
      <c r="S1331" s="14" t="str">
        <f t="shared" ref="S1331:U1331" si="2665">trim(B1331)</f>
        <v>ord_61309</v>
      </c>
      <c r="T1331" s="14" t="str">
        <f t="shared" si="2665"/>
        <v>Aditi Iyer</v>
      </c>
      <c r="U1331" s="14" t="str">
        <f t="shared" si="2665"/>
        <v>Dadar</v>
      </c>
      <c r="V1331" s="14" t="str">
        <f t="shared" si="4"/>
        <v>Icecream</v>
      </c>
      <c r="W1331" s="14">
        <f t="shared" si="5"/>
        <v>4</v>
      </c>
      <c r="X1331" s="14" t="str">
        <f t="shared" si="6"/>
        <v>Not Assigned</v>
      </c>
      <c r="Y1331" s="15">
        <f t="shared" si="7"/>
        <v>45252</v>
      </c>
      <c r="Z1331" s="14" t="str">
        <f t="shared" si="8"/>
        <v>Online Payment</v>
      </c>
      <c r="AA1331" s="14" t="str">
        <f t="shared" si="9"/>
        <v>Cancelled</v>
      </c>
      <c r="AB1331" s="14" t="str">
        <f t="shared" ref="AB1331:AC1331" si="2666">trim(Q1331)</f>
        <v>High Delivery Fees</v>
      </c>
      <c r="AC1331" s="14" t="str">
        <f t="shared" si="2666"/>
        <v/>
      </c>
      <c r="AD1331" s="8"/>
    </row>
    <row r="1332">
      <c r="A1332" s="14" t="str">
        <f>IFERROR(__xludf.DUMMYFUNCTION("""COMPUTED_VALUE"""),"//ord_61310//Mohit Malhotra//Lower Parel//Cucumber+2*Priya Joshi/1/11/2023//Online Payment//Cancelled*Delayed Delivery:Bad Weather Conditions ")</f>
        <v>//ord_61310//Mohit Malhotra//Lower Parel//Cucumber+2*Priya Joshi/1/11/2023//Online Payment//Cancelled*Delayed Delivery:Bad Weather Conditions </v>
      </c>
      <c r="B1332" s="14" t="str">
        <f>IFERROR(__xludf.DUMMYFUNCTION("split(A1332,""//"")"),"ord_61310")</f>
        <v>ord_61310</v>
      </c>
      <c r="C1332" s="14" t="str">
        <f>IFERROR(__xludf.DUMMYFUNCTION("""COMPUTED_VALUE"""),"Mohit Malhotra")</f>
        <v>Mohit Malhotra</v>
      </c>
      <c r="D1332" s="14" t="str">
        <f>IFERROR(__xludf.DUMMYFUNCTION("""COMPUTED_VALUE"""),"Lower Parel")</f>
        <v>Lower Parel</v>
      </c>
      <c r="E1332" s="14" t="str">
        <f>IFERROR(__xludf.DUMMYFUNCTION("""COMPUTED_VALUE"""),"Cucumber+2*Priya Joshi")</f>
        <v>Cucumber+2*Priya Joshi</v>
      </c>
      <c r="F1332" s="14">
        <f>IFERROR(__xludf.DUMMYFUNCTION("""COMPUTED_VALUE"""),1.0)</f>
        <v>1</v>
      </c>
      <c r="G1332" s="14">
        <f>IFERROR(__xludf.DUMMYFUNCTION("""COMPUTED_VALUE"""),11.0)</f>
        <v>11</v>
      </c>
      <c r="H1332" s="14">
        <f>IFERROR(__xludf.DUMMYFUNCTION("""COMPUTED_VALUE"""),2023.0)</f>
        <v>2023</v>
      </c>
      <c r="I1332" s="14" t="str">
        <f>IFERROR(__xludf.DUMMYFUNCTION("""COMPUTED_VALUE"""),"Online Payment")</f>
        <v>Online Payment</v>
      </c>
      <c r="J1332" s="14" t="str">
        <f>IFERROR(__xludf.DUMMYFUNCTION("""COMPUTED_VALUE"""),"Cancelled*Delayed Delivery:Bad Weather Conditions ")</f>
        <v>Cancelled*Delayed Delivery:Bad Weather Conditions </v>
      </c>
      <c r="K1332" s="14" t="str">
        <f>IFERROR(__xludf.DUMMYFUNCTION("split(E1332,""+"")"),"Cucumber")</f>
        <v>Cucumber</v>
      </c>
      <c r="L1332" s="14" t="str">
        <f>IFERROR(__xludf.DUMMYFUNCTION("""COMPUTED_VALUE"""),"2*Priya Joshi")</f>
        <v>2*Priya Joshi</v>
      </c>
      <c r="M1332" s="14">
        <f>IFERROR(__xludf.DUMMYFUNCTION("SPLIT(L1332,""*"")"),2.0)</f>
        <v>2</v>
      </c>
      <c r="N1332" s="14" t="str">
        <f>IFERROR(__xludf.DUMMYFUNCTION("""COMPUTED_VALUE"""),"Priya Joshi")</f>
        <v>Priya Joshi</v>
      </c>
      <c r="O1332" s="14" t="str">
        <f>IFERROR(__xludf.DUMMYFUNCTION("split(J1332,""*"")"),"Cancelled")</f>
        <v>Cancelled</v>
      </c>
      <c r="P1332" s="14" t="str">
        <f>IFERROR(__xludf.DUMMYFUNCTION("""COMPUTED_VALUE"""),"Delayed Delivery:Bad Weather Conditions ")</f>
        <v>Delayed Delivery:Bad Weather Conditions </v>
      </c>
      <c r="Q1332" s="14" t="str">
        <f>IFERROR(__xludf.DUMMYFUNCTION("split(P1332,"":"")"),"Delayed Delivery")</f>
        <v>Delayed Delivery</v>
      </c>
      <c r="R1332" s="14" t="str">
        <f>IFERROR(__xludf.DUMMYFUNCTION("""COMPUTED_VALUE"""),"Bad Weather Conditions ")</f>
        <v>Bad Weather Conditions </v>
      </c>
      <c r="S1332" s="14" t="str">
        <f t="shared" ref="S1332:U1332" si="2667">trim(B1332)</f>
        <v>ord_61310</v>
      </c>
      <c r="T1332" s="14" t="str">
        <f t="shared" si="2667"/>
        <v>Mohit Malhotra</v>
      </c>
      <c r="U1332" s="14" t="str">
        <f t="shared" si="2667"/>
        <v>Lower Parel</v>
      </c>
      <c r="V1332" s="14" t="str">
        <f t="shared" si="4"/>
        <v>Cucumber</v>
      </c>
      <c r="W1332" s="14">
        <f t="shared" si="5"/>
        <v>2</v>
      </c>
      <c r="X1332" s="14" t="str">
        <f t="shared" si="6"/>
        <v>Priya Joshi</v>
      </c>
      <c r="Y1332" s="15">
        <f t="shared" si="7"/>
        <v>44937</v>
      </c>
      <c r="Z1332" s="14" t="str">
        <f t="shared" si="8"/>
        <v>Online Payment</v>
      </c>
      <c r="AA1332" s="14" t="str">
        <f t="shared" si="9"/>
        <v>Cancelled</v>
      </c>
      <c r="AB1332" s="14" t="str">
        <f t="shared" ref="AB1332:AC1332" si="2668">trim(Q1332)</f>
        <v>Delayed Delivery</v>
      </c>
      <c r="AC1332" s="14" t="str">
        <f t="shared" si="2668"/>
        <v>Bad Weather Conditions</v>
      </c>
      <c r="AD1332" s="8"/>
    </row>
    <row r="1333">
      <c r="A1333" s="14" t="str">
        <f>IFERROR(__xludf.DUMMYFUNCTION("""COMPUTED_VALUE"""),"//ord_61311//Sanjay Nair//Dadar//Papaya+1*Ram Gopal/3/11/2023//UPI//Cancelled*Delayed Delivery:Heavy Traffic")</f>
        <v>//ord_61311//Sanjay Nair//Dadar//Papaya+1*Ram Gopal/3/11/2023//UPI//Cancelled*Delayed Delivery:Heavy Traffic</v>
      </c>
      <c r="B1333" s="14" t="str">
        <f>IFERROR(__xludf.DUMMYFUNCTION("split(A1333,""//"")"),"ord_61311")</f>
        <v>ord_61311</v>
      </c>
      <c r="C1333" s="14" t="str">
        <f>IFERROR(__xludf.DUMMYFUNCTION("""COMPUTED_VALUE"""),"Sanjay Nair")</f>
        <v>Sanjay Nair</v>
      </c>
      <c r="D1333" s="14" t="str">
        <f>IFERROR(__xludf.DUMMYFUNCTION("""COMPUTED_VALUE"""),"Dadar")</f>
        <v>Dadar</v>
      </c>
      <c r="E1333" s="14" t="str">
        <f>IFERROR(__xludf.DUMMYFUNCTION("""COMPUTED_VALUE"""),"Papaya+1*Ram Gopal")</f>
        <v>Papaya+1*Ram Gopal</v>
      </c>
      <c r="F1333" s="14">
        <f>IFERROR(__xludf.DUMMYFUNCTION("""COMPUTED_VALUE"""),3.0)</f>
        <v>3</v>
      </c>
      <c r="G1333" s="14">
        <f>IFERROR(__xludf.DUMMYFUNCTION("""COMPUTED_VALUE"""),11.0)</f>
        <v>11</v>
      </c>
      <c r="H1333" s="14">
        <f>IFERROR(__xludf.DUMMYFUNCTION("""COMPUTED_VALUE"""),2023.0)</f>
        <v>2023</v>
      </c>
      <c r="I1333" s="14" t="str">
        <f>IFERROR(__xludf.DUMMYFUNCTION("""COMPUTED_VALUE"""),"UPI")</f>
        <v>UPI</v>
      </c>
      <c r="J1333" s="14" t="str">
        <f>IFERROR(__xludf.DUMMYFUNCTION("""COMPUTED_VALUE"""),"Cancelled*Delayed Delivery:Heavy Traffic")</f>
        <v>Cancelled*Delayed Delivery:Heavy Traffic</v>
      </c>
      <c r="K1333" s="14" t="str">
        <f>IFERROR(__xludf.DUMMYFUNCTION("split(E1333,""+"")"),"Papaya")</f>
        <v>Papaya</v>
      </c>
      <c r="L1333" s="14" t="str">
        <f>IFERROR(__xludf.DUMMYFUNCTION("""COMPUTED_VALUE"""),"1*Ram Gopal")</f>
        <v>1*Ram Gopal</v>
      </c>
      <c r="M1333" s="14">
        <f>IFERROR(__xludf.DUMMYFUNCTION("SPLIT(L1333,""*"")"),1.0)</f>
        <v>1</v>
      </c>
      <c r="N1333" s="14" t="str">
        <f>IFERROR(__xludf.DUMMYFUNCTION("""COMPUTED_VALUE"""),"Ram Gopal")</f>
        <v>Ram Gopal</v>
      </c>
      <c r="O1333" s="14" t="str">
        <f>IFERROR(__xludf.DUMMYFUNCTION("split(J1333,""*"")"),"Cancelled")</f>
        <v>Cancelled</v>
      </c>
      <c r="P1333" s="14" t="str">
        <f>IFERROR(__xludf.DUMMYFUNCTION("""COMPUTED_VALUE"""),"Delayed Delivery:Heavy Traffic")</f>
        <v>Delayed Delivery:Heavy Traffic</v>
      </c>
      <c r="Q1333" s="14" t="str">
        <f>IFERROR(__xludf.DUMMYFUNCTION("split(P1333,"":"")"),"Delayed Delivery")</f>
        <v>Delayed Delivery</v>
      </c>
      <c r="R1333" s="14" t="str">
        <f>IFERROR(__xludf.DUMMYFUNCTION("""COMPUTED_VALUE"""),"Heavy Traffic")</f>
        <v>Heavy Traffic</v>
      </c>
      <c r="S1333" s="14" t="str">
        <f t="shared" ref="S1333:U1333" si="2669">trim(B1333)</f>
        <v>ord_61311</v>
      </c>
      <c r="T1333" s="14" t="str">
        <f t="shared" si="2669"/>
        <v>Sanjay Nair</v>
      </c>
      <c r="U1333" s="14" t="str">
        <f t="shared" si="2669"/>
        <v>Dadar</v>
      </c>
      <c r="V1333" s="14" t="str">
        <f t="shared" si="4"/>
        <v>Papaya</v>
      </c>
      <c r="W1333" s="14">
        <f t="shared" si="5"/>
        <v>1</v>
      </c>
      <c r="X1333" s="14" t="str">
        <f t="shared" si="6"/>
        <v>Ram Gopal</v>
      </c>
      <c r="Y1333" s="15">
        <f t="shared" si="7"/>
        <v>44996</v>
      </c>
      <c r="Z1333" s="14" t="str">
        <f t="shared" si="8"/>
        <v>UPI</v>
      </c>
      <c r="AA1333" s="14" t="str">
        <f t="shared" si="9"/>
        <v>Cancelled</v>
      </c>
      <c r="AB1333" s="14" t="str">
        <f t="shared" ref="AB1333:AC1333" si="2670">trim(Q1333)</f>
        <v>Delayed Delivery</v>
      </c>
      <c r="AC1333" s="14" t="str">
        <f t="shared" si="2670"/>
        <v>Heavy Traffic</v>
      </c>
      <c r="AD1333" s="8"/>
    </row>
    <row r="1334">
      <c r="A1334" s="14" t="str">
        <f>IFERROR(__xludf.DUMMYFUNCTION("""COMPUTED_VALUE"""),"//ord_61312//Diya Arora//Lower Parel//Cold Coffee+4*Manju Ajay/6/24/2023//Credit Card//Delivered*Quality of Items: Perfect condition")</f>
        <v>//ord_61312//Diya Arora//Lower Parel//Cold Coffee+4*Manju Ajay/6/24/2023//Credit Card//Delivered*Quality of Items: Perfect condition</v>
      </c>
      <c r="B1334" s="14" t="str">
        <f>IFERROR(__xludf.DUMMYFUNCTION("split(A1334,""//"")"),"ord_61312")</f>
        <v>ord_61312</v>
      </c>
      <c r="C1334" s="14" t="str">
        <f>IFERROR(__xludf.DUMMYFUNCTION("""COMPUTED_VALUE"""),"Diya Arora")</f>
        <v>Diya Arora</v>
      </c>
      <c r="D1334" s="14" t="str">
        <f>IFERROR(__xludf.DUMMYFUNCTION("""COMPUTED_VALUE"""),"Lower Parel")</f>
        <v>Lower Parel</v>
      </c>
      <c r="E1334" s="14" t="str">
        <f>IFERROR(__xludf.DUMMYFUNCTION("""COMPUTED_VALUE"""),"Cold Coffee+4*Manju Ajay")</f>
        <v>Cold Coffee+4*Manju Ajay</v>
      </c>
      <c r="F1334" s="14">
        <f>IFERROR(__xludf.DUMMYFUNCTION("""COMPUTED_VALUE"""),6.0)</f>
        <v>6</v>
      </c>
      <c r="G1334" s="14">
        <f>IFERROR(__xludf.DUMMYFUNCTION("""COMPUTED_VALUE"""),24.0)</f>
        <v>24</v>
      </c>
      <c r="H1334" s="14">
        <f>IFERROR(__xludf.DUMMYFUNCTION("""COMPUTED_VALUE"""),2023.0)</f>
        <v>2023</v>
      </c>
      <c r="I1334" s="14" t="str">
        <f>IFERROR(__xludf.DUMMYFUNCTION("""COMPUTED_VALUE"""),"Credit Card")</f>
        <v>Credit Card</v>
      </c>
      <c r="J1334" s="14" t="str">
        <f>IFERROR(__xludf.DUMMYFUNCTION("""COMPUTED_VALUE"""),"Delivered*Quality of Items: Perfect condition")</f>
        <v>Delivered*Quality of Items: Perfect condition</v>
      </c>
      <c r="K1334" s="14" t="str">
        <f>IFERROR(__xludf.DUMMYFUNCTION("split(E1334,""+"")"),"Cold Coffee")</f>
        <v>Cold Coffee</v>
      </c>
      <c r="L1334" s="14" t="str">
        <f>IFERROR(__xludf.DUMMYFUNCTION("""COMPUTED_VALUE"""),"4*Manju Ajay")</f>
        <v>4*Manju Ajay</v>
      </c>
      <c r="M1334" s="14">
        <f>IFERROR(__xludf.DUMMYFUNCTION("SPLIT(L1334,""*"")"),4.0)</f>
        <v>4</v>
      </c>
      <c r="N1334" s="14" t="str">
        <f>IFERROR(__xludf.DUMMYFUNCTION("""COMPUTED_VALUE"""),"Manju Ajay")</f>
        <v>Manju Ajay</v>
      </c>
      <c r="O1334" s="14" t="str">
        <f>IFERROR(__xludf.DUMMYFUNCTION("split(J1334,""*"")"),"Delivered")</f>
        <v>Delivered</v>
      </c>
      <c r="P1334" s="14" t="str">
        <f>IFERROR(__xludf.DUMMYFUNCTION("""COMPUTED_VALUE"""),"Quality of Items: Perfect condition")</f>
        <v>Quality of Items: Perfect condition</v>
      </c>
      <c r="Q1334" s="14" t="str">
        <f>IFERROR(__xludf.DUMMYFUNCTION("split(P1334,"":"")"),"Quality of Items")</f>
        <v>Quality of Items</v>
      </c>
      <c r="R1334" s="14" t="str">
        <f>IFERROR(__xludf.DUMMYFUNCTION("""COMPUTED_VALUE""")," Perfect condition")</f>
        <v> Perfect condition</v>
      </c>
      <c r="S1334" s="14" t="str">
        <f t="shared" ref="S1334:U1334" si="2671">trim(B1334)</f>
        <v>ord_61312</v>
      </c>
      <c r="T1334" s="14" t="str">
        <f t="shared" si="2671"/>
        <v>Diya Arora</v>
      </c>
      <c r="U1334" s="14" t="str">
        <f t="shared" si="2671"/>
        <v>Lower Parel</v>
      </c>
      <c r="V1334" s="14" t="str">
        <f t="shared" si="4"/>
        <v>Cold Coffee</v>
      </c>
      <c r="W1334" s="14">
        <f t="shared" si="5"/>
        <v>4</v>
      </c>
      <c r="X1334" s="14" t="str">
        <f t="shared" si="6"/>
        <v>Manju Ajay</v>
      </c>
      <c r="Y1334" s="15">
        <f t="shared" si="7"/>
        <v>45101</v>
      </c>
      <c r="Z1334" s="14" t="str">
        <f t="shared" si="8"/>
        <v>Credit Card</v>
      </c>
      <c r="AA1334" s="14" t="str">
        <f t="shared" si="9"/>
        <v>Delivered</v>
      </c>
      <c r="AB1334" s="14" t="str">
        <f t="shared" ref="AB1334:AC1334" si="2672">trim(Q1334)</f>
        <v>Quality of Items</v>
      </c>
      <c r="AC1334" s="14" t="str">
        <f t="shared" si="2672"/>
        <v>Perfect condition</v>
      </c>
      <c r="AD1334" s="8"/>
    </row>
    <row r="1335">
      <c r="A1335" s="14" t="str">
        <f>IFERROR(__xludf.DUMMYFUNCTION("""COMPUTED_VALUE"""),"//ord_61313//Mehul Thakkar//Malad//Banana+1*Sandeep Kumar/1/15/2023//UPI//Cancelled*Delayed Delivery:Heavy Traffic")</f>
        <v>//ord_61313//Mehul Thakkar//Malad//Banana+1*Sandeep Kumar/1/15/2023//UPI//Cancelled*Delayed Delivery:Heavy Traffic</v>
      </c>
      <c r="B1335" s="14" t="str">
        <f>IFERROR(__xludf.DUMMYFUNCTION("split(A1335,""//"")"),"ord_61313")</f>
        <v>ord_61313</v>
      </c>
      <c r="C1335" s="14" t="str">
        <f>IFERROR(__xludf.DUMMYFUNCTION("""COMPUTED_VALUE"""),"Mehul Thakkar")</f>
        <v>Mehul Thakkar</v>
      </c>
      <c r="D1335" s="14" t="str">
        <f>IFERROR(__xludf.DUMMYFUNCTION("""COMPUTED_VALUE"""),"Malad")</f>
        <v>Malad</v>
      </c>
      <c r="E1335" s="14" t="str">
        <f>IFERROR(__xludf.DUMMYFUNCTION("""COMPUTED_VALUE"""),"Banana+1*Sandeep Kumar")</f>
        <v>Banana+1*Sandeep Kumar</v>
      </c>
      <c r="F1335" s="14">
        <f>IFERROR(__xludf.DUMMYFUNCTION("""COMPUTED_VALUE"""),1.0)</f>
        <v>1</v>
      </c>
      <c r="G1335" s="14">
        <f>IFERROR(__xludf.DUMMYFUNCTION("""COMPUTED_VALUE"""),15.0)</f>
        <v>15</v>
      </c>
      <c r="H1335" s="14">
        <f>IFERROR(__xludf.DUMMYFUNCTION("""COMPUTED_VALUE"""),2023.0)</f>
        <v>2023</v>
      </c>
      <c r="I1335" s="14" t="str">
        <f>IFERROR(__xludf.DUMMYFUNCTION("""COMPUTED_VALUE"""),"UPI")</f>
        <v>UPI</v>
      </c>
      <c r="J1335" s="14" t="str">
        <f>IFERROR(__xludf.DUMMYFUNCTION("""COMPUTED_VALUE"""),"Cancelled*Delayed Delivery:Heavy Traffic")</f>
        <v>Cancelled*Delayed Delivery:Heavy Traffic</v>
      </c>
      <c r="K1335" s="14" t="str">
        <f>IFERROR(__xludf.DUMMYFUNCTION("split(E1335,""+"")"),"Banana")</f>
        <v>Banana</v>
      </c>
      <c r="L1335" s="14" t="str">
        <f>IFERROR(__xludf.DUMMYFUNCTION("""COMPUTED_VALUE"""),"1*Sandeep Kumar")</f>
        <v>1*Sandeep Kumar</v>
      </c>
      <c r="M1335" s="14">
        <f>IFERROR(__xludf.DUMMYFUNCTION("SPLIT(L1335,""*"")"),1.0)</f>
        <v>1</v>
      </c>
      <c r="N1335" s="14" t="str">
        <f>IFERROR(__xludf.DUMMYFUNCTION("""COMPUTED_VALUE"""),"Sandeep Kumar")</f>
        <v>Sandeep Kumar</v>
      </c>
      <c r="O1335" s="14" t="str">
        <f>IFERROR(__xludf.DUMMYFUNCTION("split(J1335,""*"")"),"Cancelled")</f>
        <v>Cancelled</v>
      </c>
      <c r="P1335" s="14" t="str">
        <f>IFERROR(__xludf.DUMMYFUNCTION("""COMPUTED_VALUE"""),"Delayed Delivery:Heavy Traffic")</f>
        <v>Delayed Delivery:Heavy Traffic</v>
      </c>
      <c r="Q1335" s="14" t="str">
        <f>IFERROR(__xludf.DUMMYFUNCTION("split(P1335,"":"")"),"Delayed Delivery")</f>
        <v>Delayed Delivery</v>
      </c>
      <c r="R1335" s="14" t="str">
        <f>IFERROR(__xludf.DUMMYFUNCTION("""COMPUTED_VALUE"""),"Heavy Traffic")</f>
        <v>Heavy Traffic</v>
      </c>
      <c r="S1335" s="14" t="str">
        <f t="shared" ref="S1335:U1335" si="2673">trim(B1335)</f>
        <v>ord_61313</v>
      </c>
      <c r="T1335" s="14" t="str">
        <f t="shared" si="2673"/>
        <v>Mehul Thakkar</v>
      </c>
      <c r="U1335" s="14" t="str">
        <f t="shared" si="2673"/>
        <v>Malad</v>
      </c>
      <c r="V1335" s="14" t="str">
        <f t="shared" si="4"/>
        <v>Banana</v>
      </c>
      <c r="W1335" s="14">
        <f t="shared" si="5"/>
        <v>1</v>
      </c>
      <c r="X1335" s="14" t="str">
        <f t="shared" si="6"/>
        <v>Sandeep Kumar</v>
      </c>
      <c r="Y1335" s="15">
        <f t="shared" si="7"/>
        <v>44941</v>
      </c>
      <c r="Z1335" s="14" t="str">
        <f t="shared" si="8"/>
        <v>UPI</v>
      </c>
      <c r="AA1335" s="14" t="str">
        <f t="shared" si="9"/>
        <v>Cancelled</v>
      </c>
      <c r="AB1335" s="14" t="str">
        <f t="shared" ref="AB1335:AC1335" si="2674">trim(Q1335)</f>
        <v>Delayed Delivery</v>
      </c>
      <c r="AC1335" s="14" t="str">
        <f t="shared" si="2674"/>
        <v>Heavy Traffic</v>
      </c>
      <c r="AD1335" s="8"/>
    </row>
    <row r="1336">
      <c r="A1336" s="14" t="str">
        <f>IFERROR(__xludf.DUMMYFUNCTION("""COMPUTED_VALUE"""),"//ord_61314//Ishaan Chaturvedi//Bandra//Juice+5*Shine Thomas/6/26/2023//Credit Card//Delivered*On-time Delivery: Delivered on time")</f>
        <v>//ord_61314//Ishaan Chaturvedi//Bandra//Juice+5*Shine Thomas/6/26/2023//Credit Card//Delivered*On-time Delivery: Delivered on time</v>
      </c>
      <c r="B1336" s="14" t="str">
        <f>IFERROR(__xludf.DUMMYFUNCTION("split(A1336,""//"")"),"ord_61314")</f>
        <v>ord_61314</v>
      </c>
      <c r="C1336" s="14" t="str">
        <f>IFERROR(__xludf.DUMMYFUNCTION("""COMPUTED_VALUE"""),"Ishaan Chaturvedi")</f>
        <v>Ishaan Chaturvedi</v>
      </c>
      <c r="D1336" s="14" t="str">
        <f>IFERROR(__xludf.DUMMYFUNCTION("""COMPUTED_VALUE"""),"Bandra")</f>
        <v>Bandra</v>
      </c>
      <c r="E1336" s="14" t="str">
        <f>IFERROR(__xludf.DUMMYFUNCTION("""COMPUTED_VALUE"""),"Juice+5*Shine Thomas")</f>
        <v>Juice+5*Shine Thomas</v>
      </c>
      <c r="F1336" s="14">
        <f>IFERROR(__xludf.DUMMYFUNCTION("""COMPUTED_VALUE"""),6.0)</f>
        <v>6</v>
      </c>
      <c r="G1336" s="14">
        <f>IFERROR(__xludf.DUMMYFUNCTION("""COMPUTED_VALUE"""),26.0)</f>
        <v>26</v>
      </c>
      <c r="H1336" s="14">
        <f>IFERROR(__xludf.DUMMYFUNCTION("""COMPUTED_VALUE"""),2023.0)</f>
        <v>2023</v>
      </c>
      <c r="I1336" s="14" t="str">
        <f>IFERROR(__xludf.DUMMYFUNCTION("""COMPUTED_VALUE"""),"Credit Card")</f>
        <v>Credit Card</v>
      </c>
      <c r="J1336" s="14" t="str">
        <f>IFERROR(__xludf.DUMMYFUNCTION("""COMPUTED_VALUE"""),"Delivered*On-time Delivery: Delivered on time")</f>
        <v>Delivered*On-time Delivery: Delivered on time</v>
      </c>
      <c r="K1336" s="14" t="str">
        <f>IFERROR(__xludf.DUMMYFUNCTION("split(E1336,""+"")"),"Juice")</f>
        <v>Juice</v>
      </c>
      <c r="L1336" s="14" t="str">
        <f>IFERROR(__xludf.DUMMYFUNCTION("""COMPUTED_VALUE"""),"5*Shine Thomas")</f>
        <v>5*Shine Thomas</v>
      </c>
      <c r="M1336" s="14">
        <f>IFERROR(__xludf.DUMMYFUNCTION("SPLIT(L1336,""*"")"),5.0)</f>
        <v>5</v>
      </c>
      <c r="N1336" s="14" t="str">
        <f>IFERROR(__xludf.DUMMYFUNCTION("""COMPUTED_VALUE"""),"Shine Thomas")</f>
        <v>Shine Thomas</v>
      </c>
      <c r="O1336" s="14" t="str">
        <f>IFERROR(__xludf.DUMMYFUNCTION("split(J1336,""*"")"),"Delivered")</f>
        <v>Delivered</v>
      </c>
      <c r="P1336" s="14" t="str">
        <f>IFERROR(__xludf.DUMMYFUNCTION("""COMPUTED_VALUE"""),"On-time Delivery: Delivered on time")</f>
        <v>On-time Delivery: Delivered on time</v>
      </c>
      <c r="Q1336" s="14" t="str">
        <f>IFERROR(__xludf.DUMMYFUNCTION("split(P1336,"":"")"),"On-time Delivery")</f>
        <v>On-time Delivery</v>
      </c>
      <c r="R1336" s="14" t="str">
        <f>IFERROR(__xludf.DUMMYFUNCTION("""COMPUTED_VALUE""")," Delivered on time")</f>
        <v> Delivered on time</v>
      </c>
      <c r="S1336" s="14" t="str">
        <f t="shared" ref="S1336:U1336" si="2675">trim(B1336)</f>
        <v>ord_61314</v>
      </c>
      <c r="T1336" s="14" t="str">
        <f t="shared" si="2675"/>
        <v>Ishaan Chaturvedi</v>
      </c>
      <c r="U1336" s="14" t="str">
        <f t="shared" si="2675"/>
        <v>Bandra</v>
      </c>
      <c r="V1336" s="14" t="str">
        <f t="shared" si="4"/>
        <v>Juice</v>
      </c>
      <c r="W1336" s="14">
        <f t="shared" si="5"/>
        <v>5</v>
      </c>
      <c r="X1336" s="14" t="str">
        <f t="shared" si="6"/>
        <v>Shine Thomas</v>
      </c>
      <c r="Y1336" s="15">
        <f t="shared" si="7"/>
        <v>45103</v>
      </c>
      <c r="Z1336" s="14" t="str">
        <f t="shared" si="8"/>
        <v>Credit Card</v>
      </c>
      <c r="AA1336" s="14" t="str">
        <f t="shared" si="9"/>
        <v>Delivered</v>
      </c>
      <c r="AB1336" s="14" t="str">
        <f t="shared" ref="AB1336:AC1336" si="2676">trim(Q1336)</f>
        <v>On-time Delivery</v>
      </c>
      <c r="AC1336" s="14" t="str">
        <f t="shared" si="2676"/>
        <v>Delivered on time</v>
      </c>
      <c r="AD1336" s="8"/>
    </row>
    <row r="1337">
      <c r="A1337" s="14" t="str">
        <f>IFERROR(__xludf.DUMMYFUNCTION("""COMPUTED_VALUE"""),"//ord_61315//Ishaan Chaturvedi//Bandra//Sweet Corn+1*Vivek Kumar/3/19/2023//Credit Card//Delivered*Quality of Items: Perfect condition")</f>
        <v>//ord_61315//Ishaan Chaturvedi//Bandra//Sweet Corn+1*Vivek Kumar/3/19/2023//Credit Card//Delivered*Quality of Items: Perfect condition</v>
      </c>
      <c r="B1337" s="14" t="str">
        <f>IFERROR(__xludf.DUMMYFUNCTION("split(A1337,""//"")"),"ord_61315")</f>
        <v>ord_61315</v>
      </c>
      <c r="C1337" s="14" t="str">
        <f>IFERROR(__xludf.DUMMYFUNCTION("""COMPUTED_VALUE"""),"Ishaan Chaturvedi")</f>
        <v>Ishaan Chaturvedi</v>
      </c>
      <c r="D1337" s="14" t="str">
        <f>IFERROR(__xludf.DUMMYFUNCTION("""COMPUTED_VALUE"""),"Bandra")</f>
        <v>Bandra</v>
      </c>
      <c r="E1337" s="14" t="str">
        <f>IFERROR(__xludf.DUMMYFUNCTION("""COMPUTED_VALUE"""),"Sweet Corn+1*Vivek Kumar")</f>
        <v>Sweet Corn+1*Vivek Kumar</v>
      </c>
      <c r="F1337" s="14">
        <f>IFERROR(__xludf.DUMMYFUNCTION("""COMPUTED_VALUE"""),3.0)</f>
        <v>3</v>
      </c>
      <c r="G1337" s="14">
        <f>IFERROR(__xludf.DUMMYFUNCTION("""COMPUTED_VALUE"""),19.0)</f>
        <v>19</v>
      </c>
      <c r="H1337" s="14">
        <f>IFERROR(__xludf.DUMMYFUNCTION("""COMPUTED_VALUE"""),2023.0)</f>
        <v>2023</v>
      </c>
      <c r="I1337" s="14" t="str">
        <f>IFERROR(__xludf.DUMMYFUNCTION("""COMPUTED_VALUE"""),"Credit Card")</f>
        <v>Credit Card</v>
      </c>
      <c r="J1337" s="14" t="str">
        <f>IFERROR(__xludf.DUMMYFUNCTION("""COMPUTED_VALUE"""),"Delivered*Quality of Items: Perfect condition")</f>
        <v>Delivered*Quality of Items: Perfect condition</v>
      </c>
      <c r="K1337" s="14" t="str">
        <f>IFERROR(__xludf.DUMMYFUNCTION("split(E1337,""+"")"),"Sweet Corn")</f>
        <v>Sweet Corn</v>
      </c>
      <c r="L1337" s="14" t="str">
        <f>IFERROR(__xludf.DUMMYFUNCTION("""COMPUTED_VALUE"""),"1*Vivek Kumar")</f>
        <v>1*Vivek Kumar</v>
      </c>
      <c r="M1337" s="14">
        <f>IFERROR(__xludf.DUMMYFUNCTION("SPLIT(L1337,""*"")"),1.0)</f>
        <v>1</v>
      </c>
      <c r="N1337" s="14" t="str">
        <f>IFERROR(__xludf.DUMMYFUNCTION("""COMPUTED_VALUE"""),"Vivek Kumar")</f>
        <v>Vivek Kumar</v>
      </c>
      <c r="O1337" s="14" t="str">
        <f>IFERROR(__xludf.DUMMYFUNCTION("split(J1337,""*"")"),"Delivered")</f>
        <v>Delivered</v>
      </c>
      <c r="P1337" s="14" t="str">
        <f>IFERROR(__xludf.DUMMYFUNCTION("""COMPUTED_VALUE"""),"Quality of Items: Perfect condition")</f>
        <v>Quality of Items: Perfect condition</v>
      </c>
      <c r="Q1337" s="14" t="str">
        <f>IFERROR(__xludf.DUMMYFUNCTION("split(P1337,"":"")"),"Quality of Items")</f>
        <v>Quality of Items</v>
      </c>
      <c r="R1337" s="14" t="str">
        <f>IFERROR(__xludf.DUMMYFUNCTION("""COMPUTED_VALUE""")," Perfect condition")</f>
        <v> Perfect condition</v>
      </c>
      <c r="S1337" s="14" t="str">
        <f t="shared" ref="S1337:U1337" si="2677">trim(B1337)</f>
        <v>ord_61315</v>
      </c>
      <c r="T1337" s="14" t="str">
        <f t="shared" si="2677"/>
        <v>Ishaan Chaturvedi</v>
      </c>
      <c r="U1337" s="14" t="str">
        <f t="shared" si="2677"/>
        <v>Bandra</v>
      </c>
      <c r="V1337" s="14" t="str">
        <f t="shared" si="4"/>
        <v>Sweet Corn</v>
      </c>
      <c r="W1337" s="14">
        <f t="shared" si="5"/>
        <v>1</v>
      </c>
      <c r="X1337" s="14" t="str">
        <f t="shared" si="6"/>
        <v>Vivek Kumar</v>
      </c>
      <c r="Y1337" s="15">
        <f t="shared" si="7"/>
        <v>45004</v>
      </c>
      <c r="Z1337" s="14" t="str">
        <f t="shared" si="8"/>
        <v>Credit Card</v>
      </c>
      <c r="AA1337" s="14" t="str">
        <f t="shared" si="9"/>
        <v>Delivered</v>
      </c>
      <c r="AB1337" s="14" t="str">
        <f t="shared" ref="AB1337:AC1337" si="2678">trim(Q1337)</f>
        <v>Quality of Items</v>
      </c>
      <c r="AC1337" s="14" t="str">
        <f t="shared" si="2678"/>
        <v>Perfect condition</v>
      </c>
      <c r="AD1337" s="8"/>
    </row>
    <row r="1338">
      <c r="A1338" s="14" t="str">
        <f>IFERROR(__xludf.DUMMYFUNCTION("""COMPUTED_VALUE"""),"//ord_61316//Siya Reddy//Juhu//Orange+2*Vivek Kumar/8/12/2023//UPI//Delivered*Packaging: Secure and intact")</f>
        <v>//ord_61316//Siya Reddy//Juhu//Orange+2*Vivek Kumar/8/12/2023//UPI//Delivered*Packaging: Secure and intact</v>
      </c>
      <c r="B1338" s="14" t="str">
        <f>IFERROR(__xludf.DUMMYFUNCTION("split(A1338,""//"")"),"ord_61316")</f>
        <v>ord_61316</v>
      </c>
      <c r="C1338" s="14" t="str">
        <f>IFERROR(__xludf.DUMMYFUNCTION("""COMPUTED_VALUE"""),"Siya Reddy")</f>
        <v>Siya Reddy</v>
      </c>
      <c r="D1338" s="14" t="str">
        <f>IFERROR(__xludf.DUMMYFUNCTION("""COMPUTED_VALUE"""),"Juhu")</f>
        <v>Juhu</v>
      </c>
      <c r="E1338" s="14" t="str">
        <f>IFERROR(__xludf.DUMMYFUNCTION("""COMPUTED_VALUE"""),"Orange+2*Vivek Kumar")</f>
        <v>Orange+2*Vivek Kumar</v>
      </c>
      <c r="F1338" s="14">
        <f>IFERROR(__xludf.DUMMYFUNCTION("""COMPUTED_VALUE"""),8.0)</f>
        <v>8</v>
      </c>
      <c r="G1338" s="14">
        <f>IFERROR(__xludf.DUMMYFUNCTION("""COMPUTED_VALUE"""),12.0)</f>
        <v>12</v>
      </c>
      <c r="H1338" s="14">
        <f>IFERROR(__xludf.DUMMYFUNCTION("""COMPUTED_VALUE"""),2023.0)</f>
        <v>2023</v>
      </c>
      <c r="I1338" s="14" t="str">
        <f>IFERROR(__xludf.DUMMYFUNCTION("""COMPUTED_VALUE"""),"UPI")</f>
        <v>UPI</v>
      </c>
      <c r="J1338" s="14" t="str">
        <f>IFERROR(__xludf.DUMMYFUNCTION("""COMPUTED_VALUE"""),"Delivered*Packaging: Secure and intact")</f>
        <v>Delivered*Packaging: Secure and intact</v>
      </c>
      <c r="K1338" s="14" t="str">
        <f>IFERROR(__xludf.DUMMYFUNCTION("split(E1338,""+"")"),"Orange")</f>
        <v>Orange</v>
      </c>
      <c r="L1338" s="14" t="str">
        <f>IFERROR(__xludf.DUMMYFUNCTION("""COMPUTED_VALUE"""),"2*Vivek Kumar")</f>
        <v>2*Vivek Kumar</v>
      </c>
      <c r="M1338" s="14">
        <f>IFERROR(__xludf.DUMMYFUNCTION("SPLIT(L1338,""*"")"),2.0)</f>
        <v>2</v>
      </c>
      <c r="N1338" s="14" t="str">
        <f>IFERROR(__xludf.DUMMYFUNCTION("""COMPUTED_VALUE"""),"Vivek Kumar")</f>
        <v>Vivek Kumar</v>
      </c>
      <c r="O1338" s="14" t="str">
        <f>IFERROR(__xludf.DUMMYFUNCTION("split(J1338,""*"")"),"Delivered")</f>
        <v>Delivered</v>
      </c>
      <c r="P1338" s="14" t="str">
        <f>IFERROR(__xludf.DUMMYFUNCTION("""COMPUTED_VALUE"""),"Packaging: Secure and intact")</f>
        <v>Packaging: Secure and intact</v>
      </c>
      <c r="Q1338" s="14" t="str">
        <f>IFERROR(__xludf.DUMMYFUNCTION("split(P1338,"":"")"),"Packaging")</f>
        <v>Packaging</v>
      </c>
      <c r="R1338" s="14" t="str">
        <f>IFERROR(__xludf.DUMMYFUNCTION("""COMPUTED_VALUE""")," Secure and intact")</f>
        <v> Secure and intact</v>
      </c>
      <c r="S1338" s="14" t="str">
        <f t="shared" ref="S1338:U1338" si="2679">trim(B1338)</f>
        <v>ord_61316</v>
      </c>
      <c r="T1338" s="14" t="str">
        <f t="shared" si="2679"/>
        <v>Siya Reddy</v>
      </c>
      <c r="U1338" s="14" t="str">
        <f t="shared" si="2679"/>
        <v>Juhu</v>
      </c>
      <c r="V1338" s="14" t="str">
        <f t="shared" si="4"/>
        <v>Orange</v>
      </c>
      <c r="W1338" s="14">
        <f t="shared" si="5"/>
        <v>2</v>
      </c>
      <c r="X1338" s="14" t="str">
        <f t="shared" si="6"/>
        <v>Vivek Kumar</v>
      </c>
      <c r="Y1338" s="15">
        <f t="shared" si="7"/>
        <v>45150</v>
      </c>
      <c r="Z1338" s="14" t="str">
        <f t="shared" si="8"/>
        <v>UPI</v>
      </c>
      <c r="AA1338" s="14" t="str">
        <f t="shared" si="9"/>
        <v>Delivered</v>
      </c>
      <c r="AB1338" s="14" t="str">
        <f t="shared" ref="AB1338:AC1338" si="2680">trim(Q1338)</f>
        <v>Packaging</v>
      </c>
      <c r="AC1338" s="14" t="str">
        <f t="shared" si="2680"/>
        <v>Secure and intact</v>
      </c>
      <c r="AD1338" s="8"/>
    </row>
    <row r="1339">
      <c r="A1339" s="14" t="str">
        <f>IFERROR(__xludf.DUMMYFUNCTION("""COMPUTED_VALUE"""),"//ord_61317//Kunal Sharma//Powai//Chocolate Mousse+4*Ramesh S/8/19/2023//UPI//Delivered*Satisfied with the Delivery: Timely and quality")</f>
        <v>//ord_61317//Kunal Sharma//Powai//Chocolate Mousse+4*Ramesh S/8/19/2023//UPI//Delivered*Satisfied with the Delivery: Timely and quality</v>
      </c>
      <c r="B1339" s="14" t="str">
        <f>IFERROR(__xludf.DUMMYFUNCTION("split(A1339,""//"")"),"ord_61317")</f>
        <v>ord_61317</v>
      </c>
      <c r="C1339" s="14" t="str">
        <f>IFERROR(__xludf.DUMMYFUNCTION("""COMPUTED_VALUE"""),"Kunal Sharma")</f>
        <v>Kunal Sharma</v>
      </c>
      <c r="D1339" s="14" t="str">
        <f>IFERROR(__xludf.DUMMYFUNCTION("""COMPUTED_VALUE"""),"Powai")</f>
        <v>Powai</v>
      </c>
      <c r="E1339" s="14" t="str">
        <f>IFERROR(__xludf.DUMMYFUNCTION("""COMPUTED_VALUE"""),"Chocolate Mousse+4*Ramesh S")</f>
        <v>Chocolate Mousse+4*Ramesh S</v>
      </c>
      <c r="F1339" s="14">
        <f>IFERROR(__xludf.DUMMYFUNCTION("""COMPUTED_VALUE"""),8.0)</f>
        <v>8</v>
      </c>
      <c r="G1339" s="14">
        <f>IFERROR(__xludf.DUMMYFUNCTION("""COMPUTED_VALUE"""),19.0)</f>
        <v>19</v>
      </c>
      <c r="H1339" s="14">
        <f>IFERROR(__xludf.DUMMYFUNCTION("""COMPUTED_VALUE"""),2023.0)</f>
        <v>2023</v>
      </c>
      <c r="I1339" s="14" t="str">
        <f>IFERROR(__xludf.DUMMYFUNCTION("""COMPUTED_VALUE"""),"UPI")</f>
        <v>UPI</v>
      </c>
      <c r="J1339" s="14" t="str">
        <f>IFERROR(__xludf.DUMMYFUNCTION("""COMPUTED_VALUE"""),"Delivered*Satisfied with the Delivery: Timely and quality")</f>
        <v>Delivered*Satisfied with the Delivery: Timely and quality</v>
      </c>
      <c r="K1339" s="14" t="str">
        <f>IFERROR(__xludf.DUMMYFUNCTION("split(E1339,""+"")"),"Chocolate Mousse")</f>
        <v>Chocolate Mousse</v>
      </c>
      <c r="L1339" s="14" t="str">
        <f>IFERROR(__xludf.DUMMYFUNCTION("""COMPUTED_VALUE"""),"4*Ramesh S")</f>
        <v>4*Ramesh S</v>
      </c>
      <c r="M1339" s="14">
        <f>IFERROR(__xludf.DUMMYFUNCTION("SPLIT(L1339,""*"")"),4.0)</f>
        <v>4</v>
      </c>
      <c r="N1339" s="14" t="str">
        <f>IFERROR(__xludf.DUMMYFUNCTION("""COMPUTED_VALUE"""),"Ramesh S")</f>
        <v>Ramesh S</v>
      </c>
      <c r="O1339" s="14" t="str">
        <f>IFERROR(__xludf.DUMMYFUNCTION("split(J1339,""*"")"),"Delivered")</f>
        <v>Delivered</v>
      </c>
      <c r="P1339" s="14" t="str">
        <f>IFERROR(__xludf.DUMMYFUNCTION("""COMPUTED_VALUE"""),"Satisfied with the Delivery: Timely and quality")</f>
        <v>Satisfied with the Delivery: Timely and quality</v>
      </c>
      <c r="Q1339" s="14" t="str">
        <f>IFERROR(__xludf.DUMMYFUNCTION("split(P1339,"":"")"),"Satisfied with the Delivery")</f>
        <v>Satisfied with the Delivery</v>
      </c>
      <c r="R1339" s="14" t="str">
        <f>IFERROR(__xludf.DUMMYFUNCTION("""COMPUTED_VALUE""")," Timely and quality")</f>
        <v> Timely and quality</v>
      </c>
      <c r="S1339" s="14" t="str">
        <f t="shared" ref="S1339:U1339" si="2681">trim(B1339)</f>
        <v>ord_61317</v>
      </c>
      <c r="T1339" s="14" t="str">
        <f t="shared" si="2681"/>
        <v>Kunal Sharma</v>
      </c>
      <c r="U1339" s="14" t="str">
        <f t="shared" si="2681"/>
        <v>Powai</v>
      </c>
      <c r="V1339" s="14" t="str">
        <f t="shared" si="4"/>
        <v>Chocolate Mousse</v>
      </c>
      <c r="W1339" s="14">
        <f t="shared" si="5"/>
        <v>4</v>
      </c>
      <c r="X1339" s="14" t="str">
        <f t="shared" si="6"/>
        <v>Ramesh S</v>
      </c>
      <c r="Y1339" s="15">
        <f t="shared" si="7"/>
        <v>45157</v>
      </c>
      <c r="Z1339" s="14" t="str">
        <f t="shared" si="8"/>
        <v>UPI</v>
      </c>
      <c r="AA1339" s="14" t="str">
        <f t="shared" si="9"/>
        <v>Delivered</v>
      </c>
      <c r="AB1339" s="14" t="str">
        <f t="shared" ref="AB1339:AC1339" si="2682">trim(Q1339)</f>
        <v>Satisfied with the Delivery</v>
      </c>
      <c r="AC1339" s="14" t="str">
        <f t="shared" si="2682"/>
        <v>Timely and quality</v>
      </c>
      <c r="AD1339" s="8"/>
    </row>
    <row r="1340">
      <c r="A1340" s="14" t="str">
        <f>IFERROR(__xludf.DUMMYFUNCTION("""COMPUTED_VALUE"""),"//ord_61318//Kunal Sharma//Powai//Guava+3*Sandeep Kumar/2/4/2023//Online Payment//Delivered*Customer Service: Seamless and easy")</f>
        <v>//ord_61318//Kunal Sharma//Powai//Guava+3*Sandeep Kumar/2/4/2023//Online Payment//Delivered*Customer Service: Seamless and easy</v>
      </c>
      <c r="B1340" s="14" t="str">
        <f>IFERROR(__xludf.DUMMYFUNCTION("split(A1340,""//"")"),"ord_61318")</f>
        <v>ord_61318</v>
      </c>
      <c r="C1340" s="14" t="str">
        <f>IFERROR(__xludf.DUMMYFUNCTION("""COMPUTED_VALUE"""),"Kunal Sharma")</f>
        <v>Kunal Sharma</v>
      </c>
      <c r="D1340" s="14" t="str">
        <f>IFERROR(__xludf.DUMMYFUNCTION("""COMPUTED_VALUE"""),"Powai")</f>
        <v>Powai</v>
      </c>
      <c r="E1340" s="14" t="str">
        <f>IFERROR(__xludf.DUMMYFUNCTION("""COMPUTED_VALUE"""),"Guava+3*Sandeep Kumar")</f>
        <v>Guava+3*Sandeep Kumar</v>
      </c>
      <c r="F1340" s="14">
        <f>IFERROR(__xludf.DUMMYFUNCTION("""COMPUTED_VALUE"""),2.0)</f>
        <v>2</v>
      </c>
      <c r="G1340" s="14">
        <f>IFERROR(__xludf.DUMMYFUNCTION("""COMPUTED_VALUE"""),4.0)</f>
        <v>4</v>
      </c>
      <c r="H1340" s="14">
        <f>IFERROR(__xludf.DUMMYFUNCTION("""COMPUTED_VALUE"""),2023.0)</f>
        <v>2023</v>
      </c>
      <c r="I1340" s="14" t="str">
        <f>IFERROR(__xludf.DUMMYFUNCTION("""COMPUTED_VALUE"""),"Online Payment")</f>
        <v>Online Payment</v>
      </c>
      <c r="J1340" s="14" t="str">
        <f>IFERROR(__xludf.DUMMYFUNCTION("""COMPUTED_VALUE"""),"Delivered*Customer Service: Seamless and easy")</f>
        <v>Delivered*Customer Service: Seamless and easy</v>
      </c>
      <c r="K1340" s="14" t="str">
        <f>IFERROR(__xludf.DUMMYFUNCTION("split(E1340,""+"")"),"Guava")</f>
        <v>Guava</v>
      </c>
      <c r="L1340" s="14" t="str">
        <f>IFERROR(__xludf.DUMMYFUNCTION("""COMPUTED_VALUE"""),"3*Sandeep Kumar")</f>
        <v>3*Sandeep Kumar</v>
      </c>
      <c r="M1340" s="14">
        <f>IFERROR(__xludf.DUMMYFUNCTION("SPLIT(L1340,""*"")"),3.0)</f>
        <v>3</v>
      </c>
      <c r="N1340" s="14" t="str">
        <f>IFERROR(__xludf.DUMMYFUNCTION("""COMPUTED_VALUE"""),"Sandeep Kumar")</f>
        <v>Sandeep Kumar</v>
      </c>
      <c r="O1340" s="14" t="str">
        <f>IFERROR(__xludf.DUMMYFUNCTION("split(J1340,""*"")"),"Delivered")</f>
        <v>Delivered</v>
      </c>
      <c r="P1340" s="14" t="str">
        <f>IFERROR(__xludf.DUMMYFUNCTION("""COMPUTED_VALUE"""),"Customer Service: Seamless and easy")</f>
        <v>Customer Service: Seamless and easy</v>
      </c>
      <c r="Q1340" s="14" t="str">
        <f>IFERROR(__xludf.DUMMYFUNCTION("split(P1340,"":"")"),"Customer Service")</f>
        <v>Customer Service</v>
      </c>
      <c r="R1340" s="14" t="str">
        <f>IFERROR(__xludf.DUMMYFUNCTION("""COMPUTED_VALUE""")," Seamless and easy")</f>
        <v> Seamless and easy</v>
      </c>
      <c r="S1340" s="14" t="str">
        <f t="shared" ref="S1340:U1340" si="2683">trim(B1340)</f>
        <v>ord_61318</v>
      </c>
      <c r="T1340" s="14" t="str">
        <f t="shared" si="2683"/>
        <v>Kunal Sharma</v>
      </c>
      <c r="U1340" s="14" t="str">
        <f t="shared" si="2683"/>
        <v>Powai</v>
      </c>
      <c r="V1340" s="14" t="str">
        <f t="shared" si="4"/>
        <v>Guava</v>
      </c>
      <c r="W1340" s="14">
        <f t="shared" si="5"/>
        <v>3</v>
      </c>
      <c r="X1340" s="14" t="str">
        <f t="shared" si="6"/>
        <v>Sandeep Kumar</v>
      </c>
      <c r="Y1340" s="15">
        <f t="shared" si="7"/>
        <v>44961</v>
      </c>
      <c r="Z1340" s="14" t="str">
        <f t="shared" si="8"/>
        <v>Online Payment</v>
      </c>
      <c r="AA1340" s="14" t="str">
        <f t="shared" si="9"/>
        <v>Delivered</v>
      </c>
      <c r="AB1340" s="14" t="str">
        <f t="shared" ref="AB1340:AC1340" si="2684">trim(Q1340)</f>
        <v>Customer Service</v>
      </c>
      <c r="AC1340" s="14" t="str">
        <f t="shared" si="2684"/>
        <v>Seamless and easy</v>
      </c>
      <c r="AD1340" s="8"/>
    </row>
    <row r="1341">
      <c r="A1341" s="14" t="str">
        <f>IFERROR(__xludf.DUMMYFUNCTION("""COMPUTED_VALUE"""),"//ord_61319//Ishaan Chaturvedi//Bandra//Onion+1*Not Assigned/7/19/2023//UPI//Cancelled*Out of Stock")</f>
        <v>//ord_61319//Ishaan Chaturvedi//Bandra//Onion+1*Not Assigned/7/19/2023//UPI//Cancelled*Out of Stock</v>
      </c>
      <c r="B1341" s="14" t="str">
        <f>IFERROR(__xludf.DUMMYFUNCTION("split(A1341,""//"")"),"ord_61319")</f>
        <v>ord_61319</v>
      </c>
      <c r="C1341" s="14" t="str">
        <f>IFERROR(__xludf.DUMMYFUNCTION("""COMPUTED_VALUE"""),"Ishaan Chaturvedi")</f>
        <v>Ishaan Chaturvedi</v>
      </c>
      <c r="D1341" s="14" t="str">
        <f>IFERROR(__xludf.DUMMYFUNCTION("""COMPUTED_VALUE"""),"Bandra")</f>
        <v>Bandra</v>
      </c>
      <c r="E1341" s="14" t="str">
        <f>IFERROR(__xludf.DUMMYFUNCTION("""COMPUTED_VALUE"""),"Onion+1*Not Assigned")</f>
        <v>Onion+1*Not Assigned</v>
      </c>
      <c r="F1341" s="14">
        <f>IFERROR(__xludf.DUMMYFUNCTION("""COMPUTED_VALUE"""),7.0)</f>
        <v>7</v>
      </c>
      <c r="G1341" s="14">
        <f>IFERROR(__xludf.DUMMYFUNCTION("""COMPUTED_VALUE"""),19.0)</f>
        <v>19</v>
      </c>
      <c r="H1341" s="14">
        <f>IFERROR(__xludf.DUMMYFUNCTION("""COMPUTED_VALUE"""),2023.0)</f>
        <v>2023</v>
      </c>
      <c r="I1341" s="14" t="str">
        <f>IFERROR(__xludf.DUMMYFUNCTION("""COMPUTED_VALUE"""),"UPI")</f>
        <v>UPI</v>
      </c>
      <c r="J1341" s="14" t="str">
        <f>IFERROR(__xludf.DUMMYFUNCTION("""COMPUTED_VALUE"""),"Cancelled*Out of Stock")</f>
        <v>Cancelled*Out of Stock</v>
      </c>
      <c r="K1341" s="14" t="str">
        <f>IFERROR(__xludf.DUMMYFUNCTION("split(E1341,""+"")"),"Onion")</f>
        <v>Onion</v>
      </c>
      <c r="L1341" s="14" t="str">
        <f>IFERROR(__xludf.DUMMYFUNCTION("""COMPUTED_VALUE"""),"1*Not Assigned")</f>
        <v>1*Not Assigned</v>
      </c>
      <c r="M1341" s="14">
        <f>IFERROR(__xludf.DUMMYFUNCTION("SPLIT(L1341,""*"")"),1.0)</f>
        <v>1</v>
      </c>
      <c r="N1341" s="14" t="str">
        <f>IFERROR(__xludf.DUMMYFUNCTION("""COMPUTED_VALUE"""),"Not Assigned")</f>
        <v>Not Assigned</v>
      </c>
      <c r="O1341" s="14" t="str">
        <f>IFERROR(__xludf.DUMMYFUNCTION("split(J1341,""*"")"),"Cancelled")</f>
        <v>Cancelled</v>
      </c>
      <c r="P1341" s="14" t="str">
        <f>IFERROR(__xludf.DUMMYFUNCTION("""COMPUTED_VALUE"""),"Out of Stock")</f>
        <v>Out of Stock</v>
      </c>
      <c r="Q1341" s="14" t="str">
        <f>IFERROR(__xludf.DUMMYFUNCTION("split(P1341,"":"")"),"Out of Stock")</f>
        <v>Out of Stock</v>
      </c>
      <c r="R1341" s="14"/>
      <c r="S1341" s="14" t="str">
        <f t="shared" ref="S1341:U1341" si="2685">trim(B1341)</f>
        <v>ord_61319</v>
      </c>
      <c r="T1341" s="14" t="str">
        <f t="shared" si="2685"/>
        <v>Ishaan Chaturvedi</v>
      </c>
      <c r="U1341" s="14" t="str">
        <f t="shared" si="2685"/>
        <v>Bandra</v>
      </c>
      <c r="V1341" s="14" t="str">
        <f t="shared" si="4"/>
        <v>Onion</v>
      </c>
      <c r="W1341" s="14">
        <f t="shared" si="5"/>
        <v>1</v>
      </c>
      <c r="X1341" s="14" t="str">
        <f t="shared" si="6"/>
        <v>Not Assigned</v>
      </c>
      <c r="Y1341" s="15">
        <f t="shared" si="7"/>
        <v>45126</v>
      </c>
      <c r="Z1341" s="14" t="str">
        <f t="shared" si="8"/>
        <v>UPI</v>
      </c>
      <c r="AA1341" s="14" t="str">
        <f t="shared" si="9"/>
        <v>Cancelled</v>
      </c>
      <c r="AB1341" s="14" t="str">
        <f t="shared" ref="AB1341:AC1341" si="2686">trim(Q1341)</f>
        <v>Out of Stock</v>
      </c>
      <c r="AC1341" s="14" t="str">
        <f t="shared" si="2686"/>
        <v/>
      </c>
      <c r="AD1341" s="8"/>
    </row>
    <row r="1342">
      <c r="A1342" s="14" t="str">
        <f>IFERROR(__xludf.DUMMYFUNCTION("""COMPUTED_VALUE"""),"//ord_61320//Aditi Iyer//Dadar//Cucumber+2*Aman Kumar/11/11/2023//Credit Card//Delivered*Delivery Experience: Quick and professional")</f>
        <v>//ord_61320//Aditi Iyer//Dadar//Cucumber+2*Aman Kumar/11/11/2023//Credit Card//Delivered*Delivery Experience: Quick and professional</v>
      </c>
      <c r="B1342" s="14" t="str">
        <f>IFERROR(__xludf.DUMMYFUNCTION("split(A1342,""//"")"),"ord_61320")</f>
        <v>ord_61320</v>
      </c>
      <c r="C1342" s="14" t="str">
        <f>IFERROR(__xludf.DUMMYFUNCTION("""COMPUTED_VALUE"""),"Aditi Iyer")</f>
        <v>Aditi Iyer</v>
      </c>
      <c r="D1342" s="14" t="str">
        <f>IFERROR(__xludf.DUMMYFUNCTION("""COMPUTED_VALUE"""),"Dadar")</f>
        <v>Dadar</v>
      </c>
      <c r="E1342" s="14" t="str">
        <f>IFERROR(__xludf.DUMMYFUNCTION("""COMPUTED_VALUE"""),"Cucumber+2*Aman Kumar")</f>
        <v>Cucumber+2*Aman Kumar</v>
      </c>
      <c r="F1342" s="14">
        <f>IFERROR(__xludf.DUMMYFUNCTION("""COMPUTED_VALUE"""),11.0)</f>
        <v>11</v>
      </c>
      <c r="G1342" s="14">
        <f>IFERROR(__xludf.DUMMYFUNCTION("""COMPUTED_VALUE"""),11.0)</f>
        <v>11</v>
      </c>
      <c r="H1342" s="14">
        <f>IFERROR(__xludf.DUMMYFUNCTION("""COMPUTED_VALUE"""),2023.0)</f>
        <v>2023</v>
      </c>
      <c r="I1342" s="14" t="str">
        <f>IFERROR(__xludf.DUMMYFUNCTION("""COMPUTED_VALUE"""),"Credit Card")</f>
        <v>Credit Card</v>
      </c>
      <c r="J1342" s="14" t="str">
        <f>IFERROR(__xludf.DUMMYFUNCTION("""COMPUTED_VALUE"""),"Delivered*Delivery Experience: Quick and professional")</f>
        <v>Delivered*Delivery Experience: Quick and professional</v>
      </c>
      <c r="K1342" s="14" t="str">
        <f>IFERROR(__xludf.DUMMYFUNCTION("split(E1342,""+"")"),"Cucumber")</f>
        <v>Cucumber</v>
      </c>
      <c r="L1342" s="14" t="str">
        <f>IFERROR(__xludf.DUMMYFUNCTION("""COMPUTED_VALUE"""),"2*Aman Kumar")</f>
        <v>2*Aman Kumar</v>
      </c>
      <c r="M1342" s="14">
        <f>IFERROR(__xludf.DUMMYFUNCTION("SPLIT(L1342,""*"")"),2.0)</f>
        <v>2</v>
      </c>
      <c r="N1342" s="14" t="str">
        <f>IFERROR(__xludf.DUMMYFUNCTION("""COMPUTED_VALUE"""),"Aman Kumar")</f>
        <v>Aman Kumar</v>
      </c>
      <c r="O1342" s="14" t="str">
        <f>IFERROR(__xludf.DUMMYFUNCTION("split(J1342,""*"")"),"Delivered")</f>
        <v>Delivered</v>
      </c>
      <c r="P1342" s="14" t="str">
        <f>IFERROR(__xludf.DUMMYFUNCTION("""COMPUTED_VALUE"""),"Delivery Experience: Quick and professional")</f>
        <v>Delivery Experience: Quick and professional</v>
      </c>
      <c r="Q1342" s="14" t="str">
        <f>IFERROR(__xludf.DUMMYFUNCTION("split(P1342,"":"")"),"Delivery Experience")</f>
        <v>Delivery Experience</v>
      </c>
      <c r="R1342" s="14" t="str">
        <f>IFERROR(__xludf.DUMMYFUNCTION("""COMPUTED_VALUE""")," Quick and professional")</f>
        <v> Quick and professional</v>
      </c>
      <c r="S1342" s="14" t="str">
        <f t="shared" ref="S1342:U1342" si="2687">trim(B1342)</f>
        <v>ord_61320</v>
      </c>
      <c r="T1342" s="14" t="str">
        <f t="shared" si="2687"/>
        <v>Aditi Iyer</v>
      </c>
      <c r="U1342" s="14" t="str">
        <f t="shared" si="2687"/>
        <v>Dadar</v>
      </c>
      <c r="V1342" s="14" t="str">
        <f t="shared" si="4"/>
        <v>Cucumber</v>
      </c>
      <c r="W1342" s="14">
        <f t="shared" si="5"/>
        <v>2</v>
      </c>
      <c r="X1342" s="14" t="str">
        <f t="shared" si="6"/>
        <v>Aman Kumar</v>
      </c>
      <c r="Y1342" s="15">
        <f t="shared" si="7"/>
        <v>45241</v>
      </c>
      <c r="Z1342" s="14" t="str">
        <f t="shared" si="8"/>
        <v>Credit Card</v>
      </c>
      <c r="AA1342" s="14" t="str">
        <f t="shared" si="9"/>
        <v>Delivered</v>
      </c>
      <c r="AB1342" s="14" t="str">
        <f t="shared" ref="AB1342:AC1342" si="2688">trim(Q1342)</f>
        <v>Delivery Experience</v>
      </c>
      <c r="AC1342" s="14" t="str">
        <f t="shared" si="2688"/>
        <v>Quick and professional</v>
      </c>
      <c r="AD1342" s="8"/>
    </row>
    <row r="1343">
      <c r="A1343" s="14" t="str">
        <f>IFERROR(__xludf.DUMMYFUNCTION("""COMPUTED_VALUE"""),"//ord_61321//Siya Reddy//Juhu//Chicken Puff+5*Not Assigned/3/2/2023//Credit Card//Cancelled*Out of Stock")</f>
        <v>//ord_61321//Siya Reddy//Juhu//Chicken Puff+5*Not Assigned/3/2/2023//Credit Card//Cancelled*Out of Stock</v>
      </c>
      <c r="B1343" s="14" t="str">
        <f>IFERROR(__xludf.DUMMYFUNCTION("split(A1343,""//"")"),"ord_61321")</f>
        <v>ord_61321</v>
      </c>
      <c r="C1343" s="14" t="str">
        <f>IFERROR(__xludf.DUMMYFUNCTION("""COMPUTED_VALUE"""),"Siya Reddy")</f>
        <v>Siya Reddy</v>
      </c>
      <c r="D1343" s="14" t="str">
        <f>IFERROR(__xludf.DUMMYFUNCTION("""COMPUTED_VALUE"""),"Juhu")</f>
        <v>Juhu</v>
      </c>
      <c r="E1343" s="14" t="str">
        <f>IFERROR(__xludf.DUMMYFUNCTION("""COMPUTED_VALUE"""),"Chicken Puff+5*Not Assigned")</f>
        <v>Chicken Puff+5*Not Assigned</v>
      </c>
      <c r="F1343" s="14">
        <f>IFERROR(__xludf.DUMMYFUNCTION("""COMPUTED_VALUE"""),3.0)</f>
        <v>3</v>
      </c>
      <c r="G1343" s="14">
        <f>IFERROR(__xludf.DUMMYFUNCTION("""COMPUTED_VALUE"""),2.0)</f>
        <v>2</v>
      </c>
      <c r="H1343" s="14">
        <f>IFERROR(__xludf.DUMMYFUNCTION("""COMPUTED_VALUE"""),2023.0)</f>
        <v>2023</v>
      </c>
      <c r="I1343" s="14" t="str">
        <f>IFERROR(__xludf.DUMMYFUNCTION("""COMPUTED_VALUE"""),"Credit Card")</f>
        <v>Credit Card</v>
      </c>
      <c r="J1343" s="14" t="str">
        <f>IFERROR(__xludf.DUMMYFUNCTION("""COMPUTED_VALUE"""),"Cancelled*Out of Stock")</f>
        <v>Cancelled*Out of Stock</v>
      </c>
      <c r="K1343" s="14" t="str">
        <f>IFERROR(__xludf.DUMMYFUNCTION("split(E1343,""+"")"),"Chicken Puff")</f>
        <v>Chicken Puff</v>
      </c>
      <c r="L1343" s="14" t="str">
        <f>IFERROR(__xludf.DUMMYFUNCTION("""COMPUTED_VALUE"""),"5*Not Assigned")</f>
        <v>5*Not Assigned</v>
      </c>
      <c r="M1343" s="14">
        <f>IFERROR(__xludf.DUMMYFUNCTION("SPLIT(L1343,""*"")"),5.0)</f>
        <v>5</v>
      </c>
      <c r="N1343" s="14" t="str">
        <f>IFERROR(__xludf.DUMMYFUNCTION("""COMPUTED_VALUE"""),"Not Assigned")</f>
        <v>Not Assigned</v>
      </c>
      <c r="O1343" s="14" t="str">
        <f>IFERROR(__xludf.DUMMYFUNCTION("split(J1343,""*"")"),"Cancelled")</f>
        <v>Cancelled</v>
      </c>
      <c r="P1343" s="14" t="str">
        <f>IFERROR(__xludf.DUMMYFUNCTION("""COMPUTED_VALUE"""),"Out of Stock")</f>
        <v>Out of Stock</v>
      </c>
      <c r="Q1343" s="14" t="str">
        <f>IFERROR(__xludf.DUMMYFUNCTION("split(P1343,"":"")"),"Out of Stock")</f>
        <v>Out of Stock</v>
      </c>
      <c r="R1343" s="14"/>
      <c r="S1343" s="14" t="str">
        <f t="shared" ref="S1343:U1343" si="2689">trim(B1343)</f>
        <v>ord_61321</v>
      </c>
      <c r="T1343" s="14" t="str">
        <f t="shared" si="2689"/>
        <v>Siya Reddy</v>
      </c>
      <c r="U1343" s="14" t="str">
        <f t="shared" si="2689"/>
        <v>Juhu</v>
      </c>
      <c r="V1343" s="14" t="str">
        <f t="shared" si="4"/>
        <v>Chicken Puff</v>
      </c>
      <c r="W1343" s="14">
        <f t="shared" si="5"/>
        <v>5</v>
      </c>
      <c r="X1343" s="14" t="str">
        <f t="shared" si="6"/>
        <v>Not Assigned</v>
      </c>
      <c r="Y1343" s="15">
        <f t="shared" si="7"/>
        <v>44987</v>
      </c>
      <c r="Z1343" s="14" t="str">
        <f t="shared" si="8"/>
        <v>Credit Card</v>
      </c>
      <c r="AA1343" s="14" t="str">
        <f t="shared" si="9"/>
        <v>Cancelled</v>
      </c>
      <c r="AB1343" s="14" t="str">
        <f t="shared" ref="AB1343:AC1343" si="2690">trim(Q1343)</f>
        <v>Out of Stock</v>
      </c>
      <c r="AC1343" s="14" t="str">
        <f t="shared" si="2690"/>
        <v/>
      </c>
      <c r="AD1343" s="8"/>
    </row>
    <row r="1344">
      <c r="A1344" s="14" t="str">
        <f>IFERROR(__xludf.DUMMYFUNCTION("""COMPUTED_VALUE"""),"//ord_61322//Omkar Mishra//Powai//Orange+2*Sandeep Kumar/11/25/2023//UPI//Delivered*Convenience: Easy tracking")</f>
        <v>//ord_61322//Omkar Mishra//Powai//Orange+2*Sandeep Kumar/11/25/2023//UPI//Delivered*Convenience: Easy tracking</v>
      </c>
      <c r="B1344" s="14" t="str">
        <f>IFERROR(__xludf.DUMMYFUNCTION("split(A1344,""//"")"),"ord_61322")</f>
        <v>ord_61322</v>
      </c>
      <c r="C1344" s="14" t="str">
        <f>IFERROR(__xludf.DUMMYFUNCTION("""COMPUTED_VALUE"""),"Omkar Mishra")</f>
        <v>Omkar Mishra</v>
      </c>
      <c r="D1344" s="14" t="str">
        <f>IFERROR(__xludf.DUMMYFUNCTION("""COMPUTED_VALUE"""),"Powai")</f>
        <v>Powai</v>
      </c>
      <c r="E1344" s="14" t="str">
        <f>IFERROR(__xludf.DUMMYFUNCTION("""COMPUTED_VALUE"""),"Orange+2*Sandeep Kumar")</f>
        <v>Orange+2*Sandeep Kumar</v>
      </c>
      <c r="F1344" s="14">
        <f>IFERROR(__xludf.DUMMYFUNCTION("""COMPUTED_VALUE"""),11.0)</f>
        <v>11</v>
      </c>
      <c r="G1344" s="14">
        <f>IFERROR(__xludf.DUMMYFUNCTION("""COMPUTED_VALUE"""),25.0)</f>
        <v>25</v>
      </c>
      <c r="H1344" s="14">
        <f>IFERROR(__xludf.DUMMYFUNCTION("""COMPUTED_VALUE"""),2023.0)</f>
        <v>2023</v>
      </c>
      <c r="I1344" s="14" t="str">
        <f>IFERROR(__xludf.DUMMYFUNCTION("""COMPUTED_VALUE"""),"UPI")</f>
        <v>UPI</v>
      </c>
      <c r="J1344" s="14" t="str">
        <f>IFERROR(__xludf.DUMMYFUNCTION("""COMPUTED_VALUE"""),"Delivered*Convenience: Easy tracking")</f>
        <v>Delivered*Convenience: Easy tracking</v>
      </c>
      <c r="K1344" s="14" t="str">
        <f>IFERROR(__xludf.DUMMYFUNCTION("split(E1344,""+"")"),"Orange")</f>
        <v>Orange</v>
      </c>
      <c r="L1344" s="14" t="str">
        <f>IFERROR(__xludf.DUMMYFUNCTION("""COMPUTED_VALUE"""),"2*Sandeep Kumar")</f>
        <v>2*Sandeep Kumar</v>
      </c>
      <c r="M1344" s="14">
        <f>IFERROR(__xludf.DUMMYFUNCTION("SPLIT(L1344,""*"")"),2.0)</f>
        <v>2</v>
      </c>
      <c r="N1344" s="14" t="str">
        <f>IFERROR(__xludf.DUMMYFUNCTION("""COMPUTED_VALUE"""),"Sandeep Kumar")</f>
        <v>Sandeep Kumar</v>
      </c>
      <c r="O1344" s="14" t="str">
        <f>IFERROR(__xludf.DUMMYFUNCTION("split(J1344,""*"")"),"Delivered")</f>
        <v>Delivered</v>
      </c>
      <c r="P1344" s="14" t="str">
        <f>IFERROR(__xludf.DUMMYFUNCTION("""COMPUTED_VALUE"""),"Convenience: Easy tracking")</f>
        <v>Convenience: Easy tracking</v>
      </c>
      <c r="Q1344" s="14" t="str">
        <f>IFERROR(__xludf.DUMMYFUNCTION("split(P1344,"":"")"),"Convenience")</f>
        <v>Convenience</v>
      </c>
      <c r="R1344" s="14" t="str">
        <f>IFERROR(__xludf.DUMMYFUNCTION("""COMPUTED_VALUE""")," Easy tracking")</f>
        <v> Easy tracking</v>
      </c>
      <c r="S1344" s="14" t="str">
        <f t="shared" ref="S1344:U1344" si="2691">trim(B1344)</f>
        <v>ord_61322</v>
      </c>
      <c r="T1344" s="14" t="str">
        <f t="shared" si="2691"/>
        <v>Omkar Mishra</v>
      </c>
      <c r="U1344" s="14" t="str">
        <f t="shared" si="2691"/>
        <v>Powai</v>
      </c>
      <c r="V1344" s="14" t="str">
        <f t="shared" si="4"/>
        <v>Orange</v>
      </c>
      <c r="W1344" s="14">
        <f t="shared" si="5"/>
        <v>2</v>
      </c>
      <c r="X1344" s="14" t="str">
        <f t="shared" si="6"/>
        <v>Sandeep Kumar</v>
      </c>
      <c r="Y1344" s="15">
        <f t="shared" si="7"/>
        <v>45255</v>
      </c>
      <c r="Z1344" s="14" t="str">
        <f t="shared" si="8"/>
        <v>UPI</v>
      </c>
      <c r="AA1344" s="14" t="str">
        <f t="shared" si="9"/>
        <v>Delivered</v>
      </c>
      <c r="AB1344" s="14" t="str">
        <f t="shared" ref="AB1344:AC1344" si="2692">trim(Q1344)</f>
        <v>Convenience</v>
      </c>
      <c r="AC1344" s="14" t="str">
        <f t="shared" si="2692"/>
        <v>Easy tracking</v>
      </c>
      <c r="AD1344" s="8"/>
    </row>
    <row r="1345">
      <c r="A1345" s="14" t="str">
        <f>IFERROR(__xludf.DUMMYFUNCTION("""COMPUTED_VALUE"""),"//ord_61323//Arvind Kulkarni//Juhu//Apple+1*Venu R/5/29/2023//UPI//Cancelled*Delayed Delivery:Bad Weather Conditions ")</f>
        <v>//ord_61323//Arvind Kulkarni//Juhu//Apple+1*Venu R/5/29/2023//UPI//Cancelled*Delayed Delivery:Bad Weather Conditions </v>
      </c>
      <c r="B1345" s="14" t="str">
        <f>IFERROR(__xludf.DUMMYFUNCTION("split(A1345,""//"")"),"ord_61323")</f>
        <v>ord_61323</v>
      </c>
      <c r="C1345" s="14" t="str">
        <f>IFERROR(__xludf.DUMMYFUNCTION("""COMPUTED_VALUE"""),"Arvind Kulkarni")</f>
        <v>Arvind Kulkarni</v>
      </c>
      <c r="D1345" s="14" t="str">
        <f>IFERROR(__xludf.DUMMYFUNCTION("""COMPUTED_VALUE"""),"Juhu")</f>
        <v>Juhu</v>
      </c>
      <c r="E1345" s="14" t="str">
        <f>IFERROR(__xludf.DUMMYFUNCTION("""COMPUTED_VALUE"""),"Apple+1*Venu R")</f>
        <v>Apple+1*Venu R</v>
      </c>
      <c r="F1345" s="14">
        <f>IFERROR(__xludf.DUMMYFUNCTION("""COMPUTED_VALUE"""),5.0)</f>
        <v>5</v>
      </c>
      <c r="G1345" s="14">
        <f>IFERROR(__xludf.DUMMYFUNCTION("""COMPUTED_VALUE"""),29.0)</f>
        <v>29</v>
      </c>
      <c r="H1345" s="14">
        <f>IFERROR(__xludf.DUMMYFUNCTION("""COMPUTED_VALUE"""),2023.0)</f>
        <v>2023</v>
      </c>
      <c r="I1345" s="14" t="str">
        <f>IFERROR(__xludf.DUMMYFUNCTION("""COMPUTED_VALUE"""),"UPI")</f>
        <v>UPI</v>
      </c>
      <c r="J1345" s="14" t="str">
        <f>IFERROR(__xludf.DUMMYFUNCTION("""COMPUTED_VALUE"""),"Cancelled*Delayed Delivery:Bad Weather Conditions ")</f>
        <v>Cancelled*Delayed Delivery:Bad Weather Conditions </v>
      </c>
      <c r="K1345" s="14" t="str">
        <f>IFERROR(__xludf.DUMMYFUNCTION("split(E1345,""+"")"),"Apple")</f>
        <v>Apple</v>
      </c>
      <c r="L1345" s="14" t="str">
        <f>IFERROR(__xludf.DUMMYFUNCTION("""COMPUTED_VALUE"""),"1*Venu R")</f>
        <v>1*Venu R</v>
      </c>
      <c r="M1345" s="14">
        <f>IFERROR(__xludf.DUMMYFUNCTION("SPLIT(L1345,""*"")"),1.0)</f>
        <v>1</v>
      </c>
      <c r="N1345" s="14" t="str">
        <f>IFERROR(__xludf.DUMMYFUNCTION("""COMPUTED_VALUE"""),"Venu R")</f>
        <v>Venu R</v>
      </c>
      <c r="O1345" s="14" t="str">
        <f>IFERROR(__xludf.DUMMYFUNCTION("split(J1345,""*"")"),"Cancelled")</f>
        <v>Cancelled</v>
      </c>
      <c r="P1345" s="14" t="str">
        <f>IFERROR(__xludf.DUMMYFUNCTION("""COMPUTED_VALUE"""),"Delayed Delivery:Bad Weather Conditions ")</f>
        <v>Delayed Delivery:Bad Weather Conditions </v>
      </c>
      <c r="Q1345" s="14" t="str">
        <f>IFERROR(__xludf.DUMMYFUNCTION("split(P1345,"":"")"),"Delayed Delivery")</f>
        <v>Delayed Delivery</v>
      </c>
      <c r="R1345" s="14" t="str">
        <f>IFERROR(__xludf.DUMMYFUNCTION("""COMPUTED_VALUE"""),"Bad Weather Conditions ")</f>
        <v>Bad Weather Conditions </v>
      </c>
      <c r="S1345" s="14" t="str">
        <f t="shared" ref="S1345:U1345" si="2693">trim(B1345)</f>
        <v>ord_61323</v>
      </c>
      <c r="T1345" s="14" t="str">
        <f t="shared" si="2693"/>
        <v>Arvind Kulkarni</v>
      </c>
      <c r="U1345" s="14" t="str">
        <f t="shared" si="2693"/>
        <v>Juhu</v>
      </c>
      <c r="V1345" s="14" t="str">
        <f t="shared" si="4"/>
        <v>Apple</v>
      </c>
      <c r="W1345" s="14">
        <f t="shared" si="5"/>
        <v>1</v>
      </c>
      <c r="X1345" s="14" t="str">
        <f t="shared" si="6"/>
        <v>Venu R</v>
      </c>
      <c r="Y1345" s="15">
        <f t="shared" si="7"/>
        <v>45075</v>
      </c>
      <c r="Z1345" s="14" t="str">
        <f t="shared" si="8"/>
        <v>UPI</v>
      </c>
      <c r="AA1345" s="14" t="str">
        <f t="shared" si="9"/>
        <v>Cancelled</v>
      </c>
      <c r="AB1345" s="14" t="str">
        <f t="shared" ref="AB1345:AC1345" si="2694">trim(Q1345)</f>
        <v>Delayed Delivery</v>
      </c>
      <c r="AC1345" s="14" t="str">
        <f t="shared" si="2694"/>
        <v>Bad Weather Conditions</v>
      </c>
      <c r="AD1345" s="8"/>
    </row>
    <row r="1346">
      <c r="A1346" s="14" t="str">
        <f>IFERROR(__xludf.DUMMYFUNCTION("""COMPUTED_VALUE"""),"//ord_61324//Kritika Shetty//Malad//Popcorn+4*Neha Shah/9/5/2023//Credit Card//Delivered*Overall Satisfaction: Great service will order again")</f>
        <v>//ord_61324//Kritika Shetty//Malad//Popcorn+4*Neha Shah/9/5/2023//Credit Card//Delivered*Overall Satisfaction: Great service will order again</v>
      </c>
      <c r="B1346" s="14" t="str">
        <f>IFERROR(__xludf.DUMMYFUNCTION("split(A1346,""//"")"),"ord_61324")</f>
        <v>ord_61324</v>
      </c>
      <c r="C1346" s="14" t="str">
        <f>IFERROR(__xludf.DUMMYFUNCTION("""COMPUTED_VALUE"""),"Kritika Shetty")</f>
        <v>Kritika Shetty</v>
      </c>
      <c r="D1346" s="14" t="str">
        <f>IFERROR(__xludf.DUMMYFUNCTION("""COMPUTED_VALUE"""),"Malad")</f>
        <v>Malad</v>
      </c>
      <c r="E1346" s="14" t="str">
        <f>IFERROR(__xludf.DUMMYFUNCTION("""COMPUTED_VALUE"""),"Popcorn+4*Neha Shah")</f>
        <v>Popcorn+4*Neha Shah</v>
      </c>
      <c r="F1346" s="14">
        <f>IFERROR(__xludf.DUMMYFUNCTION("""COMPUTED_VALUE"""),9.0)</f>
        <v>9</v>
      </c>
      <c r="G1346" s="14">
        <f>IFERROR(__xludf.DUMMYFUNCTION("""COMPUTED_VALUE"""),5.0)</f>
        <v>5</v>
      </c>
      <c r="H1346" s="14">
        <f>IFERROR(__xludf.DUMMYFUNCTION("""COMPUTED_VALUE"""),2023.0)</f>
        <v>2023</v>
      </c>
      <c r="I1346" s="14" t="str">
        <f>IFERROR(__xludf.DUMMYFUNCTION("""COMPUTED_VALUE"""),"Credit Card")</f>
        <v>Credit Card</v>
      </c>
      <c r="J1346" s="14" t="str">
        <f>IFERROR(__xludf.DUMMYFUNCTION("""COMPUTED_VALUE"""),"Delivered*Overall Satisfaction: Great service will order again")</f>
        <v>Delivered*Overall Satisfaction: Great service will order again</v>
      </c>
      <c r="K1346" s="14" t="str">
        <f>IFERROR(__xludf.DUMMYFUNCTION("split(E1346,""+"")"),"Popcorn")</f>
        <v>Popcorn</v>
      </c>
      <c r="L1346" s="14" t="str">
        <f>IFERROR(__xludf.DUMMYFUNCTION("""COMPUTED_VALUE"""),"4*Neha Shah")</f>
        <v>4*Neha Shah</v>
      </c>
      <c r="M1346" s="14">
        <f>IFERROR(__xludf.DUMMYFUNCTION("SPLIT(L1346,""*"")"),4.0)</f>
        <v>4</v>
      </c>
      <c r="N1346" s="14" t="str">
        <f>IFERROR(__xludf.DUMMYFUNCTION("""COMPUTED_VALUE"""),"Neha Shah")</f>
        <v>Neha Shah</v>
      </c>
      <c r="O1346" s="14" t="str">
        <f>IFERROR(__xludf.DUMMYFUNCTION("split(J1346,""*"")"),"Delivered")</f>
        <v>Delivered</v>
      </c>
      <c r="P1346" s="14" t="str">
        <f>IFERROR(__xludf.DUMMYFUNCTION("""COMPUTED_VALUE"""),"Overall Satisfaction: Great service will order again")</f>
        <v>Overall Satisfaction: Great service will order again</v>
      </c>
      <c r="Q1346" s="14" t="str">
        <f>IFERROR(__xludf.DUMMYFUNCTION("split(P1346,"":"")"),"Overall Satisfaction")</f>
        <v>Overall Satisfaction</v>
      </c>
      <c r="R1346" s="14" t="str">
        <f>IFERROR(__xludf.DUMMYFUNCTION("""COMPUTED_VALUE""")," Great service will order again")</f>
        <v> Great service will order again</v>
      </c>
      <c r="S1346" s="14" t="str">
        <f t="shared" ref="S1346:U1346" si="2695">trim(B1346)</f>
        <v>ord_61324</v>
      </c>
      <c r="T1346" s="14" t="str">
        <f t="shared" si="2695"/>
        <v>Kritika Shetty</v>
      </c>
      <c r="U1346" s="14" t="str">
        <f t="shared" si="2695"/>
        <v>Malad</v>
      </c>
      <c r="V1346" s="14" t="str">
        <f t="shared" si="4"/>
        <v>Popcorn</v>
      </c>
      <c r="W1346" s="14">
        <f t="shared" si="5"/>
        <v>4</v>
      </c>
      <c r="X1346" s="14" t="str">
        <f t="shared" si="6"/>
        <v>Neha Shah</v>
      </c>
      <c r="Y1346" s="15">
        <f t="shared" si="7"/>
        <v>45174</v>
      </c>
      <c r="Z1346" s="14" t="str">
        <f t="shared" si="8"/>
        <v>Credit Card</v>
      </c>
      <c r="AA1346" s="14" t="str">
        <f t="shared" si="9"/>
        <v>Delivered</v>
      </c>
      <c r="AB1346" s="14" t="str">
        <f t="shared" ref="AB1346:AC1346" si="2696">trim(Q1346)</f>
        <v>Overall Satisfaction</v>
      </c>
      <c r="AC1346" s="14" t="str">
        <f t="shared" si="2696"/>
        <v>Great service will order again</v>
      </c>
      <c r="AD1346" s="8"/>
    </row>
    <row r="1347">
      <c r="A1347" s="14" t="str">
        <f>IFERROR(__xludf.DUMMYFUNCTION("""COMPUTED_VALUE"""),"//ord_61325//Aditi Iyer//Dadar//Icecream+1*Aman Kumar/3/14/2023//UPI//Delivered*On-time Delivery: Delivered on time")</f>
        <v>//ord_61325//Aditi Iyer//Dadar//Icecream+1*Aman Kumar/3/14/2023//UPI//Delivered*On-time Delivery: Delivered on time</v>
      </c>
      <c r="B1347" s="14" t="str">
        <f>IFERROR(__xludf.DUMMYFUNCTION("split(A1347,""//"")"),"ord_61325")</f>
        <v>ord_61325</v>
      </c>
      <c r="C1347" s="14" t="str">
        <f>IFERROR(__xludf.DUMMYFUNCTION("""COMPUTED_VALUE"""),"Aditi Iyer")</f>
        <v>Aditi Iyer</v>
      </c>
      <c r="D1347" s="14" t="str">
        <f>IFERROR(__xludf.DUMMYFUNCTION("""COMPUTED_VALUE"""),"Dadar")</f>
        <v>Dadar</v>
      </c>
      <c r="E1347" s="14" t="str">
        <f>IFERROR(__xludf.DUMMYFUNCTION("""COMPUTED_VALUE"""),"Icecream+1*Aman Kumar")</f>
        <v>Icecream+1*Aman Kumar</v>
      </c>
      <c r="F1347" s="14">
        <f>IFERROR(__xludf.DUMMYFUNCTION("""COMPUTED_VALUE"""),3.0)</f>
        <v>3</v>
      </c>
      <c r="G1347" s="14">
        <f>IFERROR(__xludf.DUMMYFUNCTION("""COMPUTED_VALUE"""),14.0)</f>
        <v>14</v>
      </c>
      <c r="H1347" s="14">
        <f>IFERROR(__xludf.DUMMYFUNCTION("""COMPUTED_VALUE"""),2023.0)</f>
        <v>2023</v>
      </c>
      <c r="I1347" s="14" t="str">
        <f>IFERROR(__xludf.DUMMYFUNCTION("""COMPUTED_VALUE"""),"UPI")</f>
        <v>UPI</v>
      </c>
      <c r="J1347" s="14" t="str">
        <f>IFERROR(__xludf.DUMMYFUNCTION("""COMPUTED_VALUE"""),"Delivered*On-time Delivery: Delivered on time")</f>
        <v>Delivered*On-time Delivery: Delivered on time</v>
      </c>
      <c r="K1347" s="14" t="str">
        <f>IFERROR(__xludf.DUMMYFUNCTION("split(E1347,""+"")"),"Icecream")</f>
        <v>Icecream</v>
      </c>
      <c r="L1347" s="14" t="str">
        <f>IFERROR(__xludf.DUMMYFUNCTION("""COMPUTED_VALUE"""),"1*Aman Kumar")</f>
        <v>1*Aman Kumar</v>
      </c>
      <c r="M1347" s="14">
        <f>IFERROR(__xludf.DUMMYFUNCTION("SPLIT(L1347,""*"")"),1.0)</f>
        <v>1</v>
      </c>
      <c r="N1347" s="14" t="str">
        <f>IFERROR(__xludf.DUMMYFUNCTION("""COMPUTED_VALUE"""),"Aman Kumar")</f>
        <v>Aman Kumar</v>
      </c>
      <c r="O1347" s="14" t="str">
        <f>IFERROR(__xludf.DUMMYFUNCTION("split(J1347,""*"")"),"Delivered")</f>
        <v>Delivered</v>
      </c>
      <c r="P1347" s="14" t="str">
        <f>IFERROR(__xludf.DUMMYFUNCTION("""COMPUTED_VALUE"""),"On-time Delivery: Delivered on time")</f>
        <v>On-time Delivery: Delivered on time</v>
      </c>
      <c r="Q1347" s="14" t="str">
        <f>IFERROR(__xludf.DUMMYFUNCTION("split(P1347,"":"")"),"On-time Delivery")</f>
        <v>On-time Delivery</v>
      </c>
      <c r="R1347" s="14" t="str">
        <f>IFERROR(__xludf.DUMMYFUNCTION("""COMPUTED_VALUE""")," Delivered on time")</f>
        <v> Delivered on time</v>
      </c>
      <c r="S1347" s="14" t="str">
        <f t="shared" ref="S1347:U1347" si="2697">trim(B1347)</f>
        <v>ord_61325</v>
      </c>
      <c r="T1347" s="14" t="str">
        <f t="shared" si="2697"/>
        <v>Aditi Iyer</v>
      </c>
      <c r="U1347" s="14" t="str">
        <f t="shared" si="2697"/>
        <v>Dadar</v>
      </c>
      <c r="V1347" s="14" t="str">
        <f t="shared" si="4"/>
        <v>Icecream</v>
      </c>
      <c r="W1347" s="14">
        <f t="shared" si="5"/>
        <v>1</v>
      </c>
      <c r="X1347" s="14" t="str">
        <f t="shared" si="6"/>
        <v>Aman Kumar</v>
      </c>
      <c r="Y1347" s="15">
        <f t="shared" si="7"/>
        <v>44999</v>
      </c>
      <c r="Z1347" s="14" t="str">
        <f t="shared" si="8"/>
        <v>UPI</v>
      </c>
      <c r="AA1347" s="14" t="str">
        <f t="shared" si="9"/>
        <v>Delivered</v>
      </c>
      <c r="AB1347" s="14" t="str">
        <f t="shared" ref="AB1347:AC1347" si="2698">trim(Q1347)</f>
        <v>On-time Delivery</v>
      </c>
      <c r="AC1347" s="14" t="str">
        <f t="shared" si="2698"/>
        <v>Delivered on time</v>
      </c>
      <c r="AD1347" s="8"/>
    </row>
    <row r="1348">
      <c r="A1348" s="14" t="str">
        <f>IFERROR(__xludf.DUMMYFUNCTION("""COMPUTED_VALUE"""),"//ord_61326//Parth Goel//Juhu//Banana+2*Tanvi Jain/9/13/2023//UPI//Delivered*Quality of Items: Perfect condition")</f>
        <v>//ord_61326//Parth Goel//Juhu//Banana+2*Tanvi Jain/9/13/2023//UPI//Delivered*Quality of Items: Perfect condition</v>
      </c>
      <c r="B1348" s="14" t="str">
        <f>IFERROR(__xludf.DUMMYFUNCTION("split(A1348,""//"")"),"ord_61326")</f>
        <v>ord_61326</v>
      </c>
      <c r="C1348" s="14" t="str">
        <f>IFERROR(__xludf.DUMMYFUNCTION("""COMPUTED_VALUE"""),"Parth Goel")</f>
        <v>Parth Goel</v>
      </c>
      <c r="D1348" s="14" t="str">
        <f>IFERROR(__xludf.DUMMYFUNCTION("""COMPUTED_VALUE"""),"Juhu")</f>
        <v>Juhu</v>
      </c>
      <c r="E1348" s="14" t="str">
        <f>IFERROR(__xludf.DUMMYFUNCTION("""COMPUTED_VALUE"""),"Banana+2*Tanvi Jain")</f>
        <v>Banana+2*Tanvi Jain</v>
      </c>
      <c r="F1348" s="14">
        <f>IFERROR(__xludf.DUMMYFUNCTION("""COMPUTED_VALUE"""),9.0)</f>
        <v>9</v>
      </c>
      <c r="G1348" s="14">
        <f>IFERROR(__xludf.DUMMYFUNCTION("""COMPUTED_VALUE"""),13.0)</f>
        <v>13</v>
      </c>
      <c r="H1348" s="14">
        <f>IFERROR(__xludf.DUMMYFUNCTION("""COMPUTED_VALUE"""),2023.0)</f>
        <v>2023</v>
      </c>
      <c r="I1348" s="14" t="str">
        <f>IFERROR(__xludf.DUMMYFUNCTION("""COMPUTED_VALUE"""),"UPI")</f>
        <v>UPI</v>
      </c>
      <c r="J1348" s="14" t="str">
        <f>IFERROR(__xludf.DUMMYFUNCTION("""COMPUTED_VALUE"""),"Delivered*Quality of Items: Perfect condition")</f>
        <v>Delivered*Quality of Items: Perfect condition</v>
      </c>
      <c r="K1348" s="14" t="str">
        <f>IFERROR(__xludf.DUMMYFUNCTION("split(E1348,""+"")"),"Banana")</f>
        <v>Banana</v>
      </c>
      <c r="L1348" s="14" t="str">
        <f>IFERROR(__xludf.DUMMYFUNCTION("""COMPUTED_VALUE"""),"2*Tanvi Jain")</f>
        <v>2*Tanvi Jain</v>
      </c>
      <c r="M1348" s="14">
        <f>IFERROR(__xludf.DUMMYFUNCTION("SPLIT(L1348,""*"")"),2.0)</f>
        <v>2</v>
      </c>
      <c r="N1348" s="14" t="str">
        <f>IFERROR(__xludf.DUMMYFUNCTION("""COMPUTED_VALUE"""),"Tanvi Jain")</f>
        <v>Tanvi Jain</v>
      </c>
      <c r="O1348" s="14" t="str">
        <f>IFERROR(__xludf.DUMMYFUNCTION("split(J1348,""*"")"),"Delivered")</f>
        <v>Delivered</v>
      </c>
      <c r="P1348" s="14" t="str">
        <f>IFERROR(__xludf.DUMMYFUNCTION("""COMPUTED_VALUE"""),"Quality of Items: Perfect condition")</f>
        <v>Quality of Items: Perfect condition</v>
      </c>
      <c r="Q1348" s="14" t="str">
        <f>IFERROR(__xludf.DUMMYFUNCTION("split(P1348,"":"")"),"Quality of Items")</f>
        <v>Quality of Items</v>
      </c>
      <c r="R1348" s="14" t="str">
        <f>IFERROR(__xludf.DUMMYFUNCTION("""COMPUTED_VALUE""")," Perfect condition")</f>
        <v> Perfect condition</v>
      </c>
      <c r="S1348" s="14" t="str">
        <f t="shared" ref="S1348:U1348" si="2699">trim(B1348)</f>
        <v>ord_61326</v>
      </c>
      <c r="T1348" s="14" t="str">
        <f t="shared" si="2699"/>
        <v>Parth Goel</v>
      </c>
      <c r="U1348" s="14" t="str">
        <f t="shared" si="2699"/>
        <v>Juhu</v>
      </c>
      <c r="V1348" s="14" t="str">
        <f t="shared" si="4"/>
        <v>Banana</v>
      </c>
      <c r="W1348" s="14">
        <f t="shared" si="5"/>
        <v>2</v>
      </c>
      <c r="X1348" s="14" t="str">
        <f t="shared" si="6"/>
        <v>Tanvi Jain</v>
      </c>
      <c r="Y1348" s="15">
        <f t="shared" si="7"/>
        <v>45182</v>
      </c>
      <c r="Z1348" s="14" t="str">
        <f t="shared" si="8"/>
        <v>UPI</v>
      </c>
      <c r="AA1348" s="14" t="str">
        <f t="shared" si="9"/>
        <v>Delivered</v>
      </c>
      <c r="AB1348" s="14" t="str">
        <f t="shared" ref="AB1348:AC1348" si="2700">trim(Q1348)</f>
        <v>Quality of Items</v>
      </c>
      <c r="AC1348" s="14" t="str">
        <f t="shared" si="2700"/>
        <v>Perfect condition</v>
      </c>
      <c r="AD1348" s="8"/>
    </row>
    <row r="1349">
      <c r="A1349" s="14" t="str">
        <f>IFERROR(__xludf.DUMMYFUNCTION("""COMPUTED_VALUE"""),"//ord_61327//Sanjay Nair//Dadar//Popcorn+1*Aman Kumar/11/18/2023//Credit Card//Delivered*On-time Delivery: Delivered on time")</f>
        <v>//ord_61327//Sanjay Nair//Dadar//Popcorn+1*Aman Kumar/11/18/2023//Credit Card//Delivered*On-time Delivery: Delivered on time</v>
      </c>
      <c r="B1349" s="14" t="str">
        <f>IFERROR(__xludf.DUMMYFUNCTION("split(A1349,""//"")"),"ord_61327")</f>
        <v>ord_61327</v>
      </c>
      <c r="C1349" s="14" t="str">
        <f>IFERROR(__xludf.DUMMYFUNCTION("""COMPUTED_VALUE"""),"Sanjay Nair")</f>
        <v>Sanjay Nair</v>
      </c>
      <c r="D1349" s="14" t="str">
        <f>IFERROR(__xludf.DUMMYFUNCTION("""COMPUTED_VALUE"""),"Dadar")</f>
        <v>Dadar</v>
      </c>
      <c r="E1349" s="14" t="str">
        <f>IFERROR(__xludf.DUMMYFUNCTION("""COMPUTED_VALUE"""),"Popcorn+1*Aman Kumar")</f>
        <v>Popcorn+1*Aman Kumar</v>
      </c>
      <c r="F1349" s="14">
        <f>IFERROR(__xludf.DUMMYFUNCTION("""COMPUTED_VALUE"""),11.0)</f>
        <v>11</v>
      </c>
      <c r="G1349" s="14">
        <f>IFERROR(__xludf.DUMMYFUNCTION("""COMPUTED_VALUE"""),18.0)</f>
        <v>18</v>
      </c>
      <c r="H1349" s="14">
        <f>IFERROR(__xludf.DUMMYFUNCTION("""COMPUTED_VALUE"""),2023.0)</f>
        <v>2023</v>
      </c>
      <c r="I1349" s="14" t="str">
        <f>IFERROR(__xludf.DUMMYFUNCTION("""COMPUTED_VALUE"""),"Credit Card")</f>
        <v>Credit Card</v>
      </c>
      <c r="J1349" s="14" t="str">
        <f>IFERROR(__xludf.DUMMYFUNCTION("""COMPUTED_VALUE"""),"Delivered*On-time Delivery: Delivered on time")</f>
        <v>Delivered*On-time Delivery: Delivered on time</v>
      </c>
      <c r="K1349" s="14" t="str">
        <f>IFERROR(__xludf.DUMMYFUNCTION("split(E1349,""+"")"),"Popcorn")</f>
        <v>Popcorn</v>
      </c>
      <c r="L1349" s="14" t="str">
        <f>IFERROR(__xludf.DUMMYFUNCTION("""COMPUTED_VALUE"""),"1*Aman Kumar")</f>
        <v>1*Aman Kumar</v>
      </c>
      <c r="M1349" s="14">
        <f>IFERROR(__xludf.DUMMYFUNCTION("SPLIT(L1349,""*"")"),1.0)</f>
        <v>1</v>
      </c>
      <c r="N1349" s="14" t="str">
        <f>IFERROR(__xludf.DUMMYFUNCTION("""COMPUTED_VALUE"""),"Aman Kumar")</f>
        <v>Aman Kumar</v>
      </c>
      <c r="O1349" s="14" t="str">
        <f>IFERROR(__xludf.DUMMYFUNCTION("split(J1349,""*"")"),"Delivered")</f>
        <v>Delivered</v>
      </c>
      <c r="P1349" s="14" t="str">
        <f>IFERROR(__xludf.DUMMYFUNCTION("""COMPUTED_VALUE"""),"On-time Delivery: Delivered on time")</f>
        <v>On-time Delivery: Delivered on time</v>
      </c>
      <c r="Q1349" s="14" t="str">
        <f>IFERROR(__xludf.DUMMYFUNCTION("split(P1349,"":"")"),"On-time Delivery")</f>
        <v>On-time Delivery</v>
      </c>
      <c r="R1349" s="14" t="str">
        <f>IFERROR(__xludf.DUMMYFUNCTION("""COMPUTED_VALUE""")," Delivered on time")</f>
        <v> Delivered on time</v>
      </c>
      <c r="S1349" s="14" t="str">
        <f t="shared" ref="S1349:U1349" si="2701">trim(B1349)</f>
        <v>ord_61327</v>
      </c>
      <c r="T1349" s="14" t="str">
        <f t="shared" si="2701"/>
        <v>Sanjay Nair</v>
      </c>
      <c r="U1349" s="14" t="str">
        <f t="shared" si="2701"/>
        <v>Dadar</v>
      </c>
      <c r="V1349" s="14" t="str">
        <f t="shared" si="4"/>
        <v>Popcorn</v>
      </c>
      <c r="W1349" s="14">
        <f t="shared" si="5"/>
        <v>1</v>
      </c>
      <c r="X1349" s="14" t="str">
        <f t="shared" si="6"/>
        <v>Aman Kumar</v>
      </c>
      <c r="Y1349" s="15">
        <f t="shared" si="7"/>
        <v>45248</v>
      </c>
      <c r="Z1349" s="14" t="str">
        <f t="shared" si="8"/>
        <v>Credit Card</v>
      </c>
      <c r="AA1349" s="14" t="str">
        <f t="shared" si="9"/>
        <v>Delivered</v>
      </c>
      <c r="AB1349" s="14" t="str">
        <f t="shared" ref="AB1349:AC1349" si="2702">trim(Q1349)</f>
        <v>On-time Delivery</v>
      </c>
      <c r="AC1349" s="14" t="str">
        <f t="shared" si="2702"/>
        <v>Delivered on time</v>
      </c>
      <c r="AD1349" s="8"/>
    </row>
    <row r="1350">
      <c r="A1350" s="14" t="str">
        <f>IFERROR(__xludf.DUMMYFUNCTION("""COMPUTED_VALUE"""),"//ord_61328//Diya Arora//Lower Parel//Popcorn+2*Kiran Mehta/2/12/2023//UPI//Delivered*Quality of Items: Perfect condition")</f>
        <v>//ord_61328//Diya Arora//Lower Parel//Popcorn+2*Kiran Mehta/2/12/2023//UPI//Delivered*Quality of Items: Perfect condition</v>
      </c>
      <c r="B1350" s="14" t="str">
        <f>IFERROR(__xludf.DUMMYFUNCTION("split(A1350,""//"")"),"ord_61328")</f>
        <v>ord_61328</v>
      </c>
      <c r="C1350" s="14" t="str">
        <f>IFERROR(__xludf.DUMMYFUNCTION("""COMPUTED_VALUE"""),"Diya Arora")</f>
        <v>Diya Arora</v>
      </c>
      <c r="D1350" s="14" t="str">
        <f>IFERROR(__xludf.DUMMYFUNCTION("""COMPUTED_VALUE"""),"Lower Parel")</f>
        <v>Lower Parel</v>
      </c>
      <c r="E1350" s="14" t="str">
        <f>IFERROR(__xludf.DUMMYFUNCTION("""COMPUTED_VALUE"""),"Popcorn+2*Kiran Mehta")</f>
        <v>Popcorn+2*Kiran Mehta</v>
      </c>
      <c r="F1350" s="14">
        <f>IFERROR(__xludf.DUMMYFUNCTION("""COMPUTED_VALUE"""),2.0)</f>
        <v>2</v>
      </c>
      <c r="G1350" s="14">
        <f>IFERROR(__xludf.DUMMYFUNCTION("""COMPUTED_VALUE"""),12.0)</f>
        <v>12</v>
      </c>
      <c r="H1350" s="14">
        <f>IFERROR(__xludf.DUMMYFUNCTION("""COMPUTED_VALUE"""),2023.0)</f>
        <v>2023</v>
      </c>
      <c r="I1350" s="14" t="str">
        <f>IFERROR(__xludf.DUMMYFUNCTION("""COMPUTED_VALUE"""),"UPI")</f>
        <v>UPI</v>
      </c>
      <c r="J1350" s="14" t="str">
        <f>IFERROR(__xludf.DUMMYFUNCTION("""COMPUTED_VALUE"""),"Delivered*Quality of Items: Perfect condition")</f>
        <v>Delivered*Quality of Items: Perfect condition</v>
      </c>
      <c r="K1350" s="14" t="str">
        <f>IFERROR(__xludf.DUMMYFUNCTION("split(E1350,""+"")"),"Popcorn")</f>
        <v>Popcorn</v>
      </c>
      <c r="L1350" s="14" t="str">
        <f>IFERROR(__xludf.DUMMYFUNCTION("""COMPUTED_VALUE"""),"2*Kiran Mehta")</f>
        <v>2*Kiran Mehta</v>
      </c>
      <c r="M1350" s="14">
        <f>IFERROR(__xludf.DUMMYFUNCTION("SPLIT(L1350,""*"")"),2.0)</f>
        <v>2</v>
      </c>
      <c r="N1350" s="14" t="str">
        <f>IFERROR(__xludf.DUMMYFUNCTION("""COMPUTED_VALUE"""),"Kiran Mehta")</f>
        <v>Kiran Mehta</v>
      </c>
      <c r="O1350" s="14" t="str">
        <f>IFERROR(__xludf.DUMMYFUNCTION("split(J1350,""*"")"),"Delivered")</f>
        <v>Delivered</v>
      </c>
      <c r="P1350" s="14" t="str">
        <f>IFERROR(__xludf.DUMMYFUNCTION("""COMPUTED_VALUE"""),"Quality of Items: Perfect condition")</f>
        <v>Quality of Items: Perfect condition</v>
      </c>
      <c r="Q1350" s="14" t="str">
        <f>IFERROR(__xludf.DUMMYFUNCTION("split(P1350,"":"")"),"Quality of Items")</f>
        <v>Quality of Items</v>
      </c>
      <c r="R1350" s="14" t="str">
        <f>IFERROR(__xludf.DUMMYFUNCTION("""COMPUTED_VALUE""")," Perfect condition")</f>
        <v> Perfect condition</v>
      </c>
      <c r="S1350" s="14" t="str">
        <f t="shared" ref="S1350:U1350" si="2703">trim(B1350)</f>
        <v>ord_61328</v>
      </c>
      <c r="T1350" s="14" t="str">
        <f t="shared" si="2703"/>
        <v>Diya Arora</v>
      </c>
      <c r="U1350" s="14" t="str">
        <f t="shared" si="2703"/>
        <v>Lower Parel</v>
      </c>
      <c r="V1350" s="14" t="str">
        <f t="shared" si="4"/>
        <v>Popcorn</v>
      </c>
      <c r="W1350" s="14">
        <f t="shared" si="5"/>
        <v>2</v>
      </c>
      <c r="X1350" s="14" t="str">
        <f t="shared" si="6"/>
        <v>Kiran Mehta</v>
      </c>
      <c r="Y1350" s="15">
        <f t="shared" si="7"/>
        <v>44969</v>
      </c>
      <c r="Z1350" s="14" t="str">
        <f t="shared" si="8"/>
        <v>UPI</v>
      </c>
      <c r="AA1350" s="14" t="str">
        <f t="shared" si="9"/>
        <v>Delivered</v>
      </c>
      <c r="AB1350" s="14" t="str">
        <f t="shared" ref="AB1350:AC1350" si="2704">trim(Q1350)</f>
        <v>Quality of Items</v>
      </c>
      <c r="AC1350" s="14" t="str">
        <f t="shared" si="2704"/>
        <v>Perfect condition</v>
      </c>
      <c r="AD1350" s="8"/>
    </row>
    <row r="1351">
      <c r="A1351" s="14" t="str">
        <f>IFERROR(__xludf.DUMMYFUNCTION("""COMPUTED_VALUE"""),"//ord_61329//Aditi Iyer//Dadar//Banana+1*Aman Kumar/6/27/2023//UPI//Delivered*Packaging: Secure and intact")</f>
        <v>//ord_61329//Aditi Iyer//Dadar//Banana+1*Aman Kumar/6/27/2023//UPI//Delivered*Packaging: Secure and intact</v>
      </c>
      <c r="B1351" s="14" t="str">
        <f>IFERROR(__xludf.DUMMYFUNCTION("split(A1351,""//"")"),"ord_61329")</f>
        <v>ord_61329</v>
      </c>
      <c r="C1351" s="14" t="str">
        <f>IFERROR(__xludf.DUMMYFUNCTION("""COMPUTED_VALUE"""),"Aditi Iyer")</f>
        <v>Aditi Iyer</v>
      </c>
      <c r="D1351" s="14" t="str">
        <f>IFERROR(__xludf.DUMMYFUNCTION("""COMPUTED_VALUE"""),"Dadar")</f>
        <v>Dadar</v>
      </c>
      <c r="E1351" s="14" t="str">
        <f>IFERROR(__xludf.DUMMYFUNCTION("""COMPUTED_VALUE"""),"Banana+1*Aman Kumar")</f>
        <v>Banana+1*Aman Kumar</v>
      </c>
      <c r="F1351" s="14">
        <f>IFERROR(__xludf.DUMMYFUNCTION("""COMPUTED_VALUE"""),6.0)</f>
        <v>6</v>
      </c>
      <c r="G1351" s="14">
        <f>IFERROR(__xludf.DUMMYFUNCTION("""COMPUTED_VALUE"""),27.0)</f>
        <v>27</v>
      </c>
      <c r="H1351" s="14">
        <f>IFERROR(__xludf.DUMMYFUNCTION("""COMPUTED_VALUE"""),2023.0)</f>
        <v>2023</v>
      </c>
      <c r="I1351" s="14" t="str">
        <f>IFERROR(__xludf.DUMMYFUNCTION("""COMPUTED_VALUE"""),"UPI")</f>
        <v>UPI</v>
      </c>
      <c r="J1351" s="14" t="str">
        <f>IFERROR(__xludf.DUMMYFUNCTION("""COMPUTED_VALUE"""),"Delivered*Packaging: Secure and intact")</f>
        <v>Delivered*Packaging: Secure and intact</v>
      </c>
      <c r="K1351" s="14" t="str">
        <f>IFERROR(__xludf.DUMMYFUNCTION("split(E1351,""+"")"),"Banana")</f>
        <v>Banana</v>
      </c>
      <c r="L1351" s="14" t="str">
        <f>IFERROR(__xludf.DUMMYFUNCTION("""COMPUTED_VALUE"""),"1*Aman Kumar")</f>
        <v>1*Aman Kumar</v>
      </c>
      <c r="M1351" s="14">
        <f>IFERROR(__xludf.DUMMYFUNCTION("SPLIT(L1351,""*"")"),1.0)</f>
        <v>1</v>
      </c>
      <c r="N1351" s="14" t="str">
        <f>IFERROR(__xludf.DUMMYFUNCTION("""COMPUTED_VALUE"""),"Aman Kumar")</f>
        <v>Aman Kumar</v>
      </c>
      <c r="O1351" s="14" t="str">
        <f>IFERROR(__xludf.DUMMYFUNCTION("split(J1351,""*"")"),"Delivered")</f>
        <v>Delivered</v>
      </c>
      <c r="P1351" s="14" t="str">
        <f>IFERROR(__xludf.DUMMYFUNCTION("""COMPUTED_VALUE"""),"Packaging: Secure and intact")</f>
        <v>Packaging: Secure and intact</v>
      </c>
      <c r="Q1351" s="14" t="str">
        <f>IFERROR(__xludf.DUMMYFUNCTION("split(P1351,"":"")"),"Packaging")</f>
        <v>Packaging</v>
      </c>
      <c r="R1351" s="14" t="str">
        <f>IFERROR(__xludf.DUMMYFUNCTION("""COMPUTED_VALUE""")," Secure and intact")</f>
        <v> Secure and intact</v>
      </c>
      <c r="S1351" s="14" t="str">
        <f t="shared" ref="S1351:U1351" si="2705">trim(B1351)</f>
        <v>ord_61329</v>
      </c>
      <c r="T1351" s="14" t="str">
        <f t="shared" si="2705"/>
        <v>Aditi Iyer</v>
      </c>
      <c r="U1351" s="14" t="str">
        <f t="shared" si="2705"/>
        <v>Dadar</v>
      </c>
      <c r="V1351" s="14" t="str">
        <f t="shared" si="4"/>
        <v>Banana</v>
      </c>
      <c r="W1351" s="14">
        <f t="shared" si="5"/>
        <v>1</v>
      </c>
      <c r="X1351" s="14" t="str">
        <f t="shared" si="6"/>
        <v>Aman Kumar</v>
      </c>
      <c r="Y1351" s="15">
        <f t="shared" si="7"/>
        <v>45104</v>
      </c>
      <c r="Z1351" s="14" t="str">
        <f t="shared" si="8"/>
        <v>UPI</v>
      </c>
      <c r="AA1351" s="14" t="str">
        <f t="shared" si="9"/>
        <v>Delivered</v>
      </c>
      <c r="AB1351" s="14" t="str">
        <f t="shared" ref="AB1351:AC1351" si="2706">trim(Q1351)</f>
        <v>Packaging</v>
      </c>
      <c r="AC1351" s="14" t="str">
        <f t="shared" si="2706"/>
        <v>Secure and intact</v>
      </c>
      <c r="AD1351" s="8"/>
    </row>
    <row r="1352">
      <c r="A1352" s="14" t="str">
        <f>IFERROR(__xludf.DUMMYFUNCTION("""COMPUTED_VALUE"""),"//ord_61330//Dev Chauhan//Bandra//Veg Puff+3*Priya Joshi/1/12/2023//UPI//Delivered*Satisfied with the Delivery: Timely and quality")</f>
        <v>//ord_61330//Dev Chauhan//Bandra//Veg Puff+3*Priya Joshi/1/12/2023//UPI//Delivered*Satisfied with the Delivery: Timely and quality</v>
      </c>
      <c r="B1352" s="14" t="str">
        <f>IFERROR(__xludf.DUMMYFUNCTION("split(A1352,""//"")"),"ord_61330")</f>
        <v>ord_61330</v>
      </c>
      <c r="C1352" s="14" t="str">
        <f>IFERROR(__xludf.DUMMYFUNCTION("""COMPUTED_VALUE"""),"Dev Chauhan")</f>
        <v>Dev Chauhan</v>
      </c>
      <c r="D1352" s="14" t="str">
        <f>IFERROR(__xludf.DUMMYFUNCTION("""COMPUTED_VALUE"""),"Bandra")</f>
        <v>Bandra</v>
      </c>
      <c r="E1352" s="14" t="str">
        <f>IFERROR(__xludf.DUMMYFUNCTION("""COMPUTED_VALUE"""),"Veg Puff+3*Priya Joshi")</f>
        <v>Veg Puff+3*Priya Joshi</v>
      </c>
      <c r="F1352" s="14">
        <f>IFERROR(__xludf.DUMMYFUNCTION("""COMPUTED_VALUE"""),1.0)</f>
        <v>1</v>
      </c>
      <c r="G1352" s="14">
        <f>IFERROR(__xludf.DUMMYFUNCTION("""COMPUTED_VALUE"""),12.0)</f>
        <v>12</v>
      </c>
      <c r="H1352" s="14">
        <f>IFERROR(__xludf.DUMMYFUNCTION("""COMPUTED_VALUE"""),2023.0)</f>
        <v>2023</v>
      </c>
      <c r="I1352" s="14" t="str">
        <f>IFERROR(__xludf.DUMMYFUNCTION("""COMPUTED_VALUE"""),"UPI")</f>
        <v>UPI</v>
      </c>
      <c r="J1352" s="14" t="str">
        <f>IFERROR(__xludf.DUMMYFUNCTION("""COMPUTED_VALUE"""),"Delivered*Satisfied with the Delivery: Timely and quality")</f>
        <v>Delivered*Satisfied with the Delivery: Timely and quality</v>
      </c>
      <c r="K1352" s="14" t="str">
        <f>IFERROR(__xludf.DUMMYFUNCTION("split(E1352,""+"")"),"Veg Puff")</f>
        <v>Veg Puff</v>
      </c>
      <c r="L1352" s="14" t="str">
        <f>IFERROR(__xludf.DUMMYFUNCTION("""COMPUTED_VALUE"""),"3*Priya Joshi")</f>
        <v>3*Priya Joshi</v>
      </c>
      <c r="M1352" s="14">
        <f>IFERROR(__xludf.DUMMYFUNCTION("SPLIT(L1352,""*"")"),3.0)</f>
        <v>3</v>
      </c>
      <c r="N1352" s="14" t="str">
        <f>IFERROR(__xludf.DUMMYFUNCTION("""COMPUTED_VALUE"""),"Priya Joshi")</f>
        <v>Priya Joshi</v>
      </c>
      <c r="O1352" s="14" t="str">
        <f>IFERROR(__xludf.DUMMYFUNCTION("split(J1352,""*"")"),"Delivered")</f>
        <v>Delivered</v>
      </c>
      <c r="P1352" s="14" t="str">
        <f>IFERROR(__xludf.DUMMYFUNCTION("""COMPUTED_VALUE"""),"Satisfied with the Delivery: Timely and quality")</f>
        <v>Satisfied with the Delivery: Timely and quality</v>
      </c>
      <c r="Q1352" s="14" t="str">
        <f>IFERROR(__xludf.DUMMYFUNCTION("split(P1352,"":"")"),"Satisfied with the Delivery")</f>
        <v>Satisfied with the Delivery</v>
      </c>
      <c r="R1352" s="14" t="str">
        <f>IFERROR(__xludf.DUMMYFUNCTION("""COMPUTED_VALUE""")," Timely and quality")</f>
        <v> Timely and quality</v>
      </c>
      <c r="S1352" s="14" t="str">
        <f t="shared" ref="S1352:U1352" si="2707">trim(B1352)</f>
        <v>ord_61330</v>
      </c>
      <c r="T1352" s="14" t="str">
        <f t="shared" si="2707"/>
        <v>Dev Chauhan</v>
      </c>
      <c r="U1352" s="14" t="str">
        <f t="shared" si="2707"/>
        <v>Bandra</v>
      </c>
      <c r="V1352" s="14" t="str">
        <f t="shared" si="4"/>
        <v>Veg Puff</v>
      </c>
      <c r="W1352" s="14">
        <f t="shared" si="5"/>
        <v>3</v>
      </c>
      <c r="X1352" s="14" t="str">
        <f t="shared" si="6"/>
        <v>Priya Joshi</v>
      </c>
      <c r="Y1352" s="15">
        <f t="shared" si="7"/>
        <v>44938</v>
      </c>
      <c r="Z1352" s="14" t="str">
        <f t="shared" si="8"/>
        <v>UPI</v>
      </c>
      <c r="AA1352" s="14" t="str">
        <f t="shared" si="9"/>
        <v>Delivered</v>
      </c>
      <c r="AB1352" s="14" t="str">
        <f t="shared" ref="AB1352:AC1352" si="2708">trim(Q1352)</f>
        <v>Satisfied with the Delivery</v>
      </c>
      <c r="AC1352" s="14" t="str">
        <f t="shared" si="2708"/>
        <v>Timely and quality</v>
      </c>
      <c r="AD1352" s="8"/>
    </row>
    <row r="1353">
      <c r="A1353" s="14" t="str">
        <f>IFERROR(__xludf.DUMMYFUNCTION("""COMPUTED_VALUE"""),"//ord_61331//Ishita Banerjee//Juhu//Rasmalai+1*Tanvi Jain/11/3/2023//Credit Card//Delivered*Customer Service: Seamless and easy")</f>
        <v>//ord_61331//Ishita Banerjee//Juhu//Rasmalai+1*Tanvi Jain/11/3/2023//Credit Card//Delivered*Customer Service: Seamless and easy</v>
      </c>
      <c r="B1353" s="14" t="str">
        <f>IFERROR(__xludf.DUMMYFUNCTION("split(A1353,""//"")"),"ord_61331")</f>
        <v>ord_61331</v>
      </c>
      <c r="C1353" s="14" t="str">
        <f>IFERROR(__xludf.DUMMYFUNCTION("""COMPUTED_VALUE"""),"Ishita Banerjee")</f>
        <v>Ishita Banerjee</v>
      </c>
      <c r="D1353" s="14" t="str">
        <f>IFERROR(__xludf.DUMMYFUNCTION("""COMPUTED_VALUE"""),"Juhu")</f>
        <v>Juhu</v>
      </c>
      <c r="E1353" s="14" t="str">
        <f>IFERROR(__xludf.DUMMYFUNCTION("""COMPUTED_VALUE"""),"Rasmalai+1*Tanvi Jain")</f>
        <v>Rasmalai+1*Tanvi Jain</v>
      </c>
      <c r="F1353" s="14">
        <f>IFERROR(__xludf.DUMMYFUNCTION("""COMPUTED_VALUE"""),11.0)</f>
        <v>11</v>
      </c>
      <c r="G1353" s="14">
        <f>IFERROR(__xludf.DUMMYFUNCTION("""COMPUTED_VALUE"""),3.0)</f>
        <v>3</v>
      </c>
      <c r="H1353" s="14">
        <f>IFERROR(__xludf.DUMMYFUNCTION("""COMPUTED_VALUE"""),2023.0)</f>
        <v>2023</v>
      </c>
      <c r="I1353" s="14" t="str">
        <f>IFERROR(__xludf.DUMMYFUNCTION("""COMPUTED_VALUE"""),"Credit Card")</f>
        <v>Credit Card</v>
      </c>
      <c r="J1353" s="14" t="str">
        <f>IFERROR(__xludf.DUMMYFUNCTION("""COMPUTED_VALUE"""),"Delivered*Customer Service: Seamless and easy")</f>
        <v>Delivered*Customer Service: Seamless and easy</v>
      </c>
      <c r="K1353" s="14" t="str">
        <f>IFERROR(__xludf.DUMMYFUNCTION("split(E1353,""+"")"),"Rasmalai")</f>
        <v>Rasmalai</v>
      </c>
      <c r="L1353" s="14" t="str">
        <f>IFERROR(__xludf.DUMMYFUNCTION("""COMPUTED_VALUE"""),"1*Tanvi Jain")</f>
        <v>1*Tanvi Jain</v>
      </c>
      <c r="M1353" s="14">
        <f>IFERROR(__xludf.DUMMYFUNCTION("SPLIT(L1353,""*"")"),1.0)</f>
        <v>1</v>
      </c>
      <c r="N1353" s="14" t="str">
        <f>IFERROR(__xludf.DUMMYFUNCTION("""COMPUTED_VALUE"""),"Tanvi Jain")</f>
        <v>Tanvi Jain</v>
      </c>
      <c r="O1353" s="14" t="str">
        <f>IFERROR(__xludf.DUMMYFUNCTION("split(J1353,""*"")"),"Delivered")</f>
        <v>Delivered</v>
      </c>
      <c r="P1353" s="14" t="str">
        <f>IFERROR(__xludf.DUMMYFUNCTION("""COMPUTED_VALUE"""),"Customer Service: Seamless and easy")</f>
        <v>Customer Service: Seamless and easy</v>
      </c>
      <c r="Q1353" s="14" t="str">
        <f>IFERROR(__xludf.DUMMYFUNCTION("split(P1353,"":"")"),"Customer Service")</f>
        <v>Customer Service</v>
      </c>
      <c r="R1353" s="14" t="str">
        <f>IFERROR(__xludf.DUMMYFUNCTION("""COMPUTED_VALUE""")," Seamless and easy")</f>
        <v> Seamless and easy</v>
      </c>
      <c r="S1353" s="14" t="str">
        <f t="shared" ref="S1353:U1353" si="2709">trim(B1353)</f>
        <v>ord_61331</v>
      </c>
      <c r="T1353" s="14" t="str">
        <f t="shared" si="2709"/>
        <v>Ishita Banerjee</v>
      </c>
      <c r="U1353" s="14" t="str">
        <f t="shared" si="2709"/>
        <v>Juhu</v>
      </c>
      <c r="V1353" s="14" t="str">
        <f t="shared" si="4"/>
        <v>Rasmalai</v>
      </c>
      <c r="W1353" s="14">
        <f t="shared" si="5"/>
        <v>1</v>
      </c>
      <c r="X1353" s="14" t="str">
        <f t="shared" si="6"/>
        <v>Tanvi Jain</v>
      </c>
      <c r="Y1353" s="15">
        <f t="shared" si="7"/>
        <v>45233</v>
      </c>
      <c r="Z1353" s="14" t="str">
        <f t="shared" si="8"/>
        <v>Credit Card</v>
      </c>
      <c r="AA1353" s="14" t="str">
        <f t="shared" si="9"/>
        <v>Delivered</v>
      </c>
      <c r="AB1353" s="14" t="str">
        <f t="shared" ref="AB1353:AC1353" si="2710">trim(Q1353)</f>
        <v>Customer Service</v>
      </c>
      <c r="AC1353" s="14" t="str">
        <f t="shared" si="2710"/>
        <v>Seamless and easy</v>
      </c>
      <c r="AD1353" s="8"/>
    </row>
    <row r="1354">
      <c r="A1354" s="14" t="str">
        <f>IFERROR(__xludf.DUMMYFUNCTION("""COMPUTED_VALUE"""),"//ord_61332//Arvind Kulkarni//Juhu//Apple+1*Tanvi Jain/5/12/2023//UPI//Delivered*Delivery Experience: Quick and professional")</f>
        <v>//ord_61332//Arvind Kulkarni//Juhu//Apple+1*Tanvi Jain/5/12/2023//UPI//Delivered*Delivery Experience: Quick and professional</v>
      </c>
      <c r="B1354" s="14" t="str">
        <f>IFERROR(__xludf.DUMMYFUNCTION("split(A1354,""//"")"),"ord_61332")</f>
        <v>ord_61332</v>
      </c>
      <c r="C1354" s="14" t="str">
        <f>IFERROR(__xludf.DUMMYFUNCTION("""COMPUTED_VALUE"""),"Arvind Kulkarni")</f>
        <v>Arvind Kulkarni</v>
      </c>
      <c r="D1354" s="14" t="str">
        <f>IFERROR(__xludf.DUMMYFUNCTION("""COMPUTED_VALUE"""),"Juhu")</f>
        <v>Juhu</v>
      </c>
      <c r="E1354" s="14" t="str">
        <f>IFERROR(__xludf.DUMMYFUNCTION("""COMPUTED_VALUE"""),"Apple+1*Tanvi Jain")</f>
        <v>Apple+1*Tanvi Jain</v>
      </c>
      <c r="F1354" s="14">
        <f>IFERROR(__xludf.DUMMYFUNCTION("""COMPUTED_VALUE"""),5.0)</f>
        <v>5</v>
      </c>
      <c r="G1354" s="14">
        <f>IFERROR(__xludf.DUMMYFUNCTION("""COMPUTED_VALUE"""),12.0)</f>
        <v>12</v>
      </c>
      <c r="H1354" s="14">
        <f>IFERROR(__xludf.DUMMYFUNCTION("""COMPUTED_VALUE"""),2023.0)</f>
        <v>2023</v>
      </c>
      <c r="I1354" s="14" t="str">
        <f>IFERROR(__xludf.DUMMYFUNCTION("""COMPUTED_VALUE"""),"UPI")</f>
        <v>UPI</v>
      </c>
      <c r="J1354" s="14" t="str">
        <f>IFERROR(__xludf.DUMMYFUNCTION("""COMPUTED_VALUE"""),"Delivered*Delivery Experience: Quick and professional")</f>
        <v>Delivered*Delivery Experience: Quick and professional</v>
      </c>
      <c r="K1354" s="14" t="str">
        <f>IFERROR(__xludf.DUMMYFUNCTION("split(E1354,""+"")"),"Apple")</f>
        <v>Apple</v>
      </c>
      <c r="L1354" s="14" t="str">
        <f>IFERROR(__xludf.DUMMYFUNCTION("""COMPUTED_VALUE"""),"1*Tanvi Jain")</f>
        <v>1*Tanvi Jain</v>
      </c>
      <c r="M1354" s="14">
        <f>IFERROR(__xludf.DUMMYFUNCTION("SPLIT(L1354,""*"")"),1.0)</f>
        <v>1</v>
      </c>
      <c r="N1354" s="14" t="str">
        <f>IFERROR(__xludf.DUMMYFUNCTION("""COMPUTED_VALUE"""),"Tanvi Jain")</f>
        <v>Tanvi Jain</v>
      </c>
      <c r="O1354" s="14" t="str">
        <f>IFERROR(__xludf.DUMMYFUNCTION("split(J1354,""*"")"),"Delivered")</f>
        <v>Delivered</v>
      </c>
      <c r="P1354" s="14" t="str">
        <f>IFERROR(__xludf.DUMMYFUNCTION("""COMPUTED_VALUE"""),"Delivery Experience: Quick and professional")</f>
        <v>Delivery Experience: Quick and professional</v>
      </c>
      <c r="Q1354" s="14" t="str">
        <f>IFERROR(__xludf.DUMMYFUNCTION("split(P1354,"":"")"),"Delivery Experience")</f>
        <v>Delivery Experience</v>
      </c>
      <c r="R1354" s="14" t="str">
        <f>IFERROR(__xludf.DUMMYFUNCTION("""COMPUTED_VALUE""")," Quick and professional")</f>
        <v> Quick and professional</v>
      </c>
      <c r="S1354" s="14" t="str">
        <f t="shared" ref="S1354:U1354" si="2711">trim(B1354)</f>
        <v>ord_61332</v>
      </c>
      <c r="T1354" s="14" t="str">
        <f t="shared" si="2711"/>
        <v>Arvind Kulkarni</v>
      </c>
      <c r="U1354" s="14" t="str">
        <f t="shared" si="2711"/>
        <v>Juhu</v>
      </c>
      <c r="V1354" s="14" t="str">
        <f t="shared" si="4"/>
        <v>Apple</v>
      </c>
      <c r="W1354" s="14">
        <f t="shared" si="5"/>
        <v>1</v>
      </c>
      <c r="X1354" s="14" t="str">
        <f t="shared" si="6"/>
        <v>Tanvi Jain</v>
      </c>
      <c r="Y1354" s="15">
        <f t="shared" si="7"/>
        <v>45058</v>
      </c>
      <c r="Z1354" s="14" t="str">
        <f t="shared" si="8"/>
        <v>UPI</v>
      </c>
      <c r="AA1354" s="14" t="str">
        <f t="shared" si="9"/>
        <v>Delivered</v>
      </c>
      <c r="AB1354" s="14" t="str">
        <f t="shared" ref="AB1354:AC1354" si="2712">trim(Q1354)</f>
        <v>Delivery Experience</v>
      </c>
      <c r="AC1354" s="14" t="str">
        <f t="shared" si="2712"/>
        <v>Quick and professional</v>
      </c>
      <c r="AD1354" s="8"/>
    </row>
    <row r="1355">
      <c r="A1355" s="14" t="str">
        <f>IFERROR(__xludf.DUMMYFUNCTION("""COMPUTED_VALUE"""),"//ord_61333//Diya Arora//Lower Parel//Cold Coffee+3*Kiran Mehta/12/6/2023//Online Payment//Delivered*Convenience: Easy tracking")</f>
        <v>//ord_61333//Diya Arora//Lower Parel//Cold Coffee+3*Kiran Mehta/12/6/2023//Online Payment//Delivered*Convenience: Easy tracking</v>
      </c>
      <c r="B1355" s="14" t="str">
        <f>IFERROR(__xludf.DUMMYFUNCTION("split(A1355,""//"")"),"ord_61333")</f>
        <v>ord_61333</v>
      </c>
      <c r="C1355" s="14" t="str">
        <f>IFERROR(__xludf.DUMMYFUNCTION("""COMPUTED_VALUE"""),"Diya Arora")</f>
        <v>Diya Arora</v>
      </c>
      <c r="D1355" s="14" t="str">
        <f>IFERROR(__xludf.DUMMYFUNCTION("""COMPUTED_VALUE"""),"Lower Parel")</f>
        <v>Lower Parel</v>
      </c>
      <c r="E1355" s="14" t="str">
        <f>IFERROR(__xludf.DUMMYFUNCTION("""COMPUTED_VALUE"""),"Cold Coffee+3*Kiran Mehta")</f>
        <v>Cold Coffee+3*Kiran Mehta</v>
      </c>
      <c r="F1355" s="14">
        <f>IFERROR(__xludf.DUMMYFUNCTION("""COMPUTED_VALUE"""),12.0)</f>
        <v>12</v>
      </c>
      <c r="G1355" s="14">
        <f>IFERROR(__xludf.DUMMYFUNCTION("""COMPUTED_VALUE"""),6.0)</f>
        <v>6</v>
      </c>
      <c r="H1355" s="14">
        <f>IFERROR(__xludf.DUMMYFUNCTION("""COMPUTED_VALUE"""),2023.0)</f>
        <v>2023</v>
      </c>
      <c r="I1355" s="14" t="str">
        <f>IFERROR(__xludf.DUMMYFUNCTION("""COMPUTED_VALUE"""),"Online Payment")</f>
        <v>Online Payment</v>
      </c>
      <c r="J1355" s="14" t="str">
        <f>IFERROR(__xludf.DUMMYFUNCTION("""COMPUTED_VALUE"""),"Delivered*Convenience: Easy tracking")</f>
        <v>Delivered*Convenience: Easy tracking</v>
      </c>
      <c r="K1355" s="14" t="str">
        <f>IFERROR(__xludf.DUMMYFUNCTION("split(E1355,""+"")"),"Cold Coffee")</f>
        <v>Cold Coffee</v>
      </c>
      <c r="L1355" s="14" t="str">
        <f>IFERROR(__xludf.DUMMYFUNCTION("""COMPUTED_VALUE"""),"3*Kiran Mehta")</f>
        <v>3*Kiran Mehta</v>
      </c>
      <c r="M1355" s="14">
        <f>IFERROR(__xludf.DUMMYFUNCTION("SPLIT(L1355,""*"")"),3.0)</f>
        <v>3</v>
      </c>
      <c r="N1355" s="14" t="str">
        <f>IFERROR(__xludf.DUMMYFUNCTION("""COMPUTED_VALUE"""),"Kiran Mehta")</f>
        <v>Kiran Mehta</v>
      </c>
      <c r="O1355" s="14" t="str">
        <f>IFERROR(__xludf.DUMMYFUNCTION("split(J1355,""*"")"),"Delivered")</f>
        <v>Delivered</v>
      </c>
      <c r="P1355" s="14" t="str">
        <f>IFERROR(__xludf.DUMMYFUNCTION("""COMPUTED_VALUE"""),"Convenience: Easy tracking")</f>
        <v>Convenience: Easy tracking</v>
      </c>
      <c r="Q1355" s="14" t="str">
        <f>IFERROR(__xludf.DUMMYFUNCTION("split(P1355,"":"")"),"Convenience")</f>
        <v>Convenience</v>
      </c>
      <c r="R1355" s="14" t="str">
        <f>IFERROR(__xludf.DUMMYFUNCTION("""COMPUTED_VALUE""")," Easy tracking")</f>
        <v> Easy tracking</v>
      </c>
      <c r="S1355" s="14" t="str">
        <f t="shared" ref="S1355:U1355" si="2713">trim(B1355)</f>
        <v>ord_61333</v>
      </c>
      <c r="T1355" s="14" t="str">
        <f t="shared" si="2713"/>
        <v>Diya Arora</v>
      </c>
      <c r="U1355" s="14" t="str">
        <f t="shared" si="2713"/>
        <v>Lower Parel</v>
      </c>
      <c r="V1355" s="14" t="str">
        <f t="shared" si="4"/>
        <v>Cold Coffee</v>
      </c>
      <c r="W1355" s="14">
        <f t="shared" si="5"/>
        <v>3</v>
      </c>
      <c r="X1355" s="14" t="str">
        <f t="shared" si="6"/>
        <v>Kiran Mehta</v>
      </c>
      <c r="Y1355" s="15">
        <f t="shared" si="7"/>
        <v>45266</v>
      </c>
      <c r="Z1355" s="14" t="str">
        <f t="shared" si="8"/>
        <v>Online Payment</v>
      </c>
      <c r="AA1355" s="14" t="str">
        <f t="shared" si="9"/>
        <v>Delivered</v>
      </c>
      <c r="AB1355" s="14" t="str">
        <f t="shared" ref="AB1355:AC1355" si="2714">trim(Q1355)</f>
        <v>Convenience</v>
      </c>
      <c r="AC1355" s="14" t="str">
        <f t="shared" si="2714"/>
        <v>Easy tracking</v>
      </c>
      <c r="AD1355" s="8"/>
    </row>
    <row r="1356">
      <c r="A1356" s="14" t="str">
        <f>IFERROR(__xludf.DUMMYFUNCTION("""COMPUTED_VALUE"""),"//ord_61334//Aarohi Kapoor//Bandra//Guava+1*Priya Joshi/12/4/2023//UPI//Delivered*Overall Satisfaction: Great service will order again")</f>
        <v>//ord_61334//Aarohi Kapoor//Bandra//Guava+1*Priya Joshi/12/4/2023//UPI//Delivered*Overall Satisfaction: Great service will order again</v>
      </c>
      <c r="B1356" s="14" t="str">
        <f>IFERROR(__xludf.DUMMYFUNCTION("split(A1356,""//"")"),"ord_61334")</f>
        <v>ord_61334</v>
      </c>
      <c r="C1356" s="14" t="str">
        <f>IFERROR(__xludf.DUMMYFUNCTION("""COMPUTED_VALUE"""),"Aarohi Kapoor")</f>
        <v>Aarohi Kapoor</v>
      </c>
      <c r="D1356" s="14" t="str">
        <f>IFERROR(__xludf.DUMMYFUNCTION("""COMPUTED_VALUE"""),"Bandra")</f>
        <v>Bandra</v>
      </c>
      <c r="E1356" s="14" t="str">
        <f>IFERROR(__xludf.DUMMYFUNCTION("""COMPUTED_VALUE"""),"Guava+1*Priya Joshi")</f>
        <v>Guava+1*Priya Joshi</v>
      </c>
      <c r="F1356" s="14">
        <f>IFERROR(__xludf.DUMMYFUNCTION("""COMPUTED_VALUE"""),12.0)</f>
        <v>12</v>
      </c>
      <c r="G1356" s="14">
        <f>IFERROR(__xludf.DUMMYFUNCTION("""COMPUTED_VALUE"""),4.0)</f>
        <v>4</v>
      </c>
      <c r="H1356" s="14">
        <f>IFERROR(__xludf.DUMMYFUNCTION("""COMPUTED_VALUE"""),2023.0)</f>
        <v>2023</v>
      </c>
      <c r="I1356" s="14" t="str">
        <f>IFERROR(__xludf.DUMMYFUNCTION("""COMPUTED_VALUE"""),"UPI")</f>
        <v>UPI</v>
      </c>
      <c r="J1356" s="14" t="str">
        <f>IFERROR(__xludf.DUMMYFUNCTION("""COMPUTED_VALUE"""),"Delivered*Overall Satisfaction: Great service will order again")</f>
        <v>Delivered*Overall Satisfaction: Great service will order again</v>
      </c>
      <c r="K1356" s="14" t="str">
        <f>IFERROR(__xludf.DUMMYFUNCTION("split(E1356,""+"")"),"Guava")</f>
        <v>Guava</v>
      </c>
      <c r="L1356" s="14" t="str">
        <f>IFERROR(__xludf.DUMMYFUNCTION("""COMPUTED_VALUE"""),"1*Priya Joshi")</f>
        <v>1*Priya Joshi</v>
      </c>
      <c r="M1356" s="14">
        <f>IFERROR(__xludf.DUMMYFUNCTION("SPLIT(L1356,""*"")"),1.0)</f>
        <v>1</v>
      </c>
      <c r="N1356" s="14" t="str">
        <f>IFERROR(__xludf.DUMMYFUNCTION("""COMPUTED_VALUE"""),"Priya Joshi")</f>
        <v>Priya Joshi</v>
      </c>
      <c r="O1356" s="14" t="str">
        <f>IFERROR(__xludf.DUMMYFUNCTION("split(J1356,""*"")"),"Delivered")</f>
        <v>Delivered</v>
      </c>
      <c r="P1356" s="14" t="str">
        <f>IFERROR(__xludf.DUMMYFUNCTION("""COMPUTED_VALUE"""),"Overall Satisfaction: Great service will order again")</f>
        <v>Overall Satisfaction: Great service will order again</v>
      </c>
      <c r="Q1356" s="14" t="str">
        <f>IFERROR(__xludf.DUMMYFUNCTION("split(P1356,"":"")"),"Overall Satisfaction")</f>
        <v>Overall Satisfaction</v>
      </c>
      <c r="R1356" s="14" t="str">
        <f>IFERROR(__xludf.DUMMYFUNCTION("""COMPUTED_VALUE""")," Great service will order again")</f>
        <v> Great service will order again</v>
      </c>
      <c r="S1356" s="14" t="str">
        <f t="shared" ref="S1356:U1356" si="2715">trim(B1356)</f>
        <v>ord_61334</v>
      </c>
      <c r="T1356" s="14" t="str">
        <f t="shared" si="2715"/>
        <v>Aarohi Kapoor</v>
      </c>
      <c r="U1356" s="14" t="str">
        <f t="shared" si="2715"/>
        <v>Bandra</v>
      </c>
      <c r="V1356" s="14" t="str">
        <f t="shared" si="4"/>
        <v>Guava</v>
      </c>
      <c r="W1356" s="14">
        <f t="shared" si="5"/>
        <v>1</v>
      </c>
      <c r="X1356" s="14" t="str">
        <f t="shared" si="6"/>
        <v>Priya Joshi</v>
      </c>
      <c r="Y1356" s="15">
        <f t="shared" si="7"/>
        <v>45264</v>
      </c>
      <c r="Z1356" s="14" t="str">
        <f t="shared" si="8"/>
        <v>UPI</v>
      </c>
      <c r="AA1356" s="14" t="str">
        <f t="shared" si="9"/>
        <v>Delivered</v>
      </c>
      <c r="AB1356" s="14" t="str">
        <f t="shared" ref="AB1356:AC1356" si="2716">trim(Q1356)</f>
        <v>Overall Satisfaction</v>
      </c>
      <c r="AC1356" s="14" t="str">
        <f t="shared" si="2716"/>
        <v>Great service will order again</v>
      </c>
      <c r="AD1356" s="8"/>
    </row>
    <row r="1357">
      <c r="A1357" s="14" t="str">
        <f>IFERROR(__xludf.DUMMYFUNCTION("""COMPUTED_VALUE"""),"//ord_61335//Arvind Kulkarni//Juhu//Guava+1*Kiran Mehta/7/1/2023//Online Payment//Cancelled*Delayed Delivery:Heavy Traffic")</f>
        <v>//ord_61335//Arvind Kulkarni//Juhu//Guava+1*Kiran Mehta/7/1/2023//Online Payment//Cancelled*Delayed Delivery:Heavy Traffic</v>
      </c>
      <c r="B1357" s="14" t="str">
        <f>IFERROR(__xludf.DUMMYFUNCTION("split(A1357,""//"")"),"ord_61335")</f>
        <v>ord_61335</v>
      </c>
      <c r="C1357" s="14" t="str">
        <f>IFERROR(__xludf.DUMMYFUNCTION("""COMPUTED_VALUE"""),"Arvind Kulkarni")</f>
        <v>Arvind Kulkarni</v>
      </c>
      <c r="D1357" s="14" t="str">
        <f>IFERROR(__xludf.DUMMYFUNCTION("""COMPUTED_VALUE"""),"Juhu")</f>
        <v>Juhu</v>
      </c>
      <c r="E1357" s="14" t="str">
        <f>IFERROR(__xludf.DUMMYFUNCTION("""COMPUTED_VALUE"""),"Guava+1*Kiran Mehta")</f>
        <v>Guava+1*Kiran Mehta</v>
      </c>
      <c r="F1357" s="14">
        <f>IFERROR(__xludf.DUMMYFUNCTION("""COMPUTED_VALUE"""),7.0)</f>
        <v>7</v>
      </c>
      <c r="G1357" s="14">
        <f>IFERROR(__xludf.DUMMYFUNCTION("""COMPUTED_VALUE"""),1.0)</f>
        <v>1</v>
      </c>
      <c r="H1357" s="14">
        <f>IFERROR(__xludf.DUMMYFUNCTION("""COMPUTED_VALUE"""),2023.0)</f>
        <v>2023</v>
      </c>
      <c r="I1357" s="14" t="str">
        <f>IFERROR(__xludf.DUMMYFUNCTION("""COMPUTED_VALUE"""),"Online Payment")</f>
        <v>Online Payment</v>
      </c>
      <c r="J1357" s="14" t="str">
        <f>IFERROR(__xludf.DUMMYFUNCTION("""COMPUTED_VALUE"""),"Cancelled*Delayed Delivery:Heavy Traffic")</f>
        <v>Cancelled*Delayed Delivery:Heavy Traffic</v>
      </c>
      <c r="K1357" s="14" t="str">
        <f>IFERROR(__xludf.DUMMYFUNCTION("split(E1357,""+"")"),"Guava")</f>
        <v>Guava</v>
      </c>
      <c r="L1357" s="14" t="str">
        <f>IFERROR(__xludf.DUMMYFUNCTION("""COMPUTED_VALUE"""),"1*Kiran Mehta")</f>
        <v>1*Kiran Mehta</v>
      </c>
      <c r="M1357" s="14">
        <f>IFERROR(__xludf.DUMMYFUNCTION("SPLIT(L1357,""*"")"),1.0)</f>
        <v>1</v>
      </c>
      <c r="N1357" s="14" t="str">
        <f>IFERROR(__xludf.DUMMYFUNCTION("""COMPUTED_VALUE"""),"Kiran Mehta")</f>
        <v>Kiran Mehta</v>
      </c>
      <c r="O1357" s="14" t="str">
        <f>IFERROR(__xludf.DUMMYFUNCTION("split(J1357,""*"")"),"Cancelled")</f>
        <v>Cancelled</v>
      </c>
      <c r="P1357" s="14" t="str">
        <f>IFERROR(__xludf.DUMMYFUNCTION("""COMPUTED_VALUE"""),"Delayed Delivery:Heavy Traffic")</f>
        <v>Delayed Delivery:Heavy Traffic</v>
      </c>
      <c r="Q1357" s="14" t="str">
        <f>IFERROR(__xludf.DUMMYFUNCTION("split(P1357,"":"")"),"Delayed Delivery")</f>
        <v>Delayed Delivery</v>
      </c>
      <c r="R1357" s="14" t="str">
        <f>IFERROR(__xludf.DUMMYFUNCTION("""COMPUTED_VALUE"""),"Heavy Traffic")</f>
        <v>Heavy Traffic</v>
      </c>
      <c r="S1357" s="14" t="str">
        <f t="shared" ref="S1357:U1357" si="2717">trim(B1357)</f>
        <v>ord_61335</v>
      </c>
      <c r="T1357" s="14" t="str">
        <f t="shared" si="2717"/>
        <v>Arvind Kulkarni</v>
      </c>
      <c r="U1357" s="14" t="str">
        <f t="shared" si="2717"/>
        <v>Juhu</v>
      </c>
      <c r="V1357" s="14" t="str">
        <f t="shared" si="4"/>
        <v>Guava</v>
      </c>
      <c r="W1357" s="14">
        <f t="shared" si="5"/>
        <v>1</v>
      </c>
      <c r="X1357" s="14" t="str">
        <f t="shared" si="6"/>
        <v>Kiran Mehta</v>
      </c>
      <c r="Y1357" s="15">
        <f t="shared" si="7"/>
        <v>45108</v>
      </c>
      <c r="Z1357" s="14" t="str">
        <f t="shared" si="8"/>
        <v>Online Payment</v>
      </c>
      <c r="AA1357" s="14" t="str">
        <f t="shared" si="9"/>
        <v>Cancelled</v>
      </c>
      <c r="AB1357" s="14" t="str">
        <f t="shared" ref="AB1357:AC1357" si="2718">trim(Q1357)</f>
        <v>Delayed Delivery</v>
      </c>
      <c r="AC1357" s="14" t="str">
        <f t="shared" si="2718"/>
        <v>Heavy Traffic</v>
      </c>
      <c r="AD1357" s="8"/>
    </row>
    <row r="1358">
      <c r="A1358" s="14" t="str">
        <f>IFERROR(__xludf.DUMMYFUNCTION("""COMPUTED_VALUE"""),"//ord_61336//Siya Reddy//Juhu//Chocolate Mousse+4*Not Assigned/5/5/2023//UPI//Cancelled*Payment Issues")</f>
        <v>//ord_61336//Siya Reddy//Juhu//Chocolate Mousse+4*Not Assigned/5/5/2023//UPI//Cancelled*Payment Issues</v>
      </c>
      <c r="B1358" s="14" t="str">
        <f>IFERROR(__xludf.DUMMYFUNCTION("split(A1358,""//"")"),"ord_61336")</f>
        <v>ord_61336</v>
      </c>
      <c r="C1358" s="14" t="str">
        <f>IFERROR(__xludf.DUMMYFUNCTION("""COMPUTED_VALUE"""),"Siya Reddy")</f>
        <v>Siya Reddy</v>
      </c>
      <c r="D1358" s="14" t="str">
        <f>IFERROR(__xludf.DUMMYFUNCTION("""COMPUTED_VALUE"""),"Juhu")</f>
        <v>Juhu</v>
      </c>
      <c r="E1358" s="14" t="str">
        <f>IFERROR(__xludf.DUMMYFUNCTION("""COMPUTED_VALUE"""),"Chocolate Mousse+4*Not Assigned")</f>
        <v>Chocolate Mousse+4*Not Assigned</v>
      </c>
      <c r="F1358" s="14">
        <f>IFERROR(__xludf.DUMMYFUNCTION("""COMPUTED_VALUE"""),5.0)</f>
        <v>5</v>
      </c>
      <c r="G1358" s="14">
        <f>IFERROR(__xludf.DUMMYFUNCTION("""COMPUTED_VALUE"""),5.0)</f>
        <v>5</v>
      </c>
      <c r="H1358" s="14">
        <f>IFERROR(__xludf.DUMMYFUNCTION("""COMPUTED_VALUE"""),2023.0)</f>
        <v>2023</v>
      </c>
      <c r="I1358" s="14" t="str">
        <f>IFERROR(__xludf.DUMMYFUNCTION("""COMPUTED_VALUE"""),"UPI")</f>
        <v>UPI</v>
      </c>
      <c r="J1358" s="14" t="str">
        <f>IFERROR(__xludf.DUMMYFUNCTION("""COMPUTED_VALUE"""),"Cancelled*Payment Issues")</f>
        <v>Cancelled*Payment Issues</v>
      </c>
      <c r="K1358" s="14" t="str">
        <f>IFERROR(__xludf.DUMMYFUNCTION("split(E1358,""+"")"),"Chocolate Mousse")</f>
        <v>Chocolate Mousse</v>
      </c>
      <c r="L1358" s="14" t="str">
        <f>IFERROR(__xludf.DUMMYFUNCTION("""COMPUTED_VALUE"""),"4*Not Assigned")</f>
        <v>4*Not Assigned</v>
      </c>
      <c r="M1358" s="14">
        <f>IFERROR(__xludf.DUMMYFUNCTION("SPLIT(L1358,""*"")"),4.0)</f>
        <v>4</v>
      </c>
      <c r="N1358" s="14" t="str">
        <f>IFERROR(__xludf.DUMMYFUNCTION("""COMPUTED_VALUE"""),"Not Assigned")</f>
        <v>Not Assigned</v>
      </c>
      <c r="O1358" s="14" t="str">
        <f>IFERROR(__xludf.DUMMYFUNCTION("split(J1358,""*"")"),"Cancelled")</f>
        <v>Cancelled</v>
      </c>
      <c r="P1358" s="14" t="str">
        <f>IFERROR(__xludf.DUMMYFUNCTION("""COMPUTED_VALUE"""),"Payment Issues")</f>
        <v>Payment Issues</v>
      </c>
      <c r="Q1358" s="14" t="str">
        <f>IFERROR(__xludf.DUMMYFUNCTION("split(P1358,"":"")"),"Payment Issues")</f>
        <v>Payment Issues</v>
      </c>
      <c r="R1358" s="14"/>
      <c r="S1358" s="14" t="str">
        <f t="shared" ref="S1358:U1358" si="2719">trim(B1358)</f>
        <v>ord_61336</v>
      </c>
      <c r="T1358" s="14" t="str">
        <f t="shared" si="2719"/>
        <v>Siya Reddy</v>
      </c>
      <c r="U1358" s="14" t="str">
        <f t="shared" si="2719"/>
        <v>Juhu</v>
      </c>
      <c r="V1358" s="14" t="str">
        <f t="shared" si="4"/>
        <v>Chocolate Mousse</v>
      </c>
      <c r="W1358" s="14">
        <f t="shared" si="5"/>
        <v>4</v>
      </c>
      <c r="X1358" s="14" t="str">
        <f t="shared" si="6"/>
        <v>Not Assigned</v>
      </c>
      <c r="Y1358" s="15">
        <f t="shared" si="7"/>
        <v>45051</v>
      </c>
      <c r="Z1358" s="14" t="str">
        <f t="shared" si="8"/>
        <v>UPI</v>
      </c>
      <c r="AA1358" s="14" t="str">
        <f t="shared" si="9"/>
        <v>Cancelled</v>
      </c>
      <c r="AB1358" s="14" t="str">
        <f t="shared" ref="AB1358:AC1358" si="2720">trim(Q1358)</f>
        <v>Payment Issues</v>
      </c>
      <c r="AC1358" s="14" t="str">
        <f t="shared" si="2720"/>
        <v/>
      </c>
      <c r="AD1358" s="8"/>
    </row>
    <row r="1359">
      <c r="A1359" s="14" t="str">
        <f>IFERROR(__xludf.DUMMYFUNCTION("""COMPUTED_VALUE"""),"//ord_61337//Omkar Mishra//Powai//Tiramisu+3*Sandeep Kumar/3/2/2023//Online Payment//Delivered*On-time Delivery: Delivered on time")</f>
        <v>//ord_61337//Omkar Mishra//Powai//Tiramisu+3*Sandeep Kumar/3/2/2023//Online Payment//Delivered*On-time Delivery: Delivered on time</v>
      </c>
      <c r="B1359" s="14" t="str">
        <f>IFERROR(__xludf.DUMMYFUNCTION("split(A1359,""//"")"),"ord_61337")</f>
        <v>ord_61337</v>
      </c>
      <c r="C1359" s="14" t="str">
        <f>IFERROR(__xludf.DUMMYFUNCTION("""COMPUTED_VALUE"""),"Omkar Mishra")</f>
        <v>Omkar Mishra</v>
      </c>
      <c r="D1359" s="14" t="str">
        <f>IFERROR(__xludf.DUMMYFUNCTION("""COMPUTED_VALUE"""),"Powai")</f>
        <v>Powai</v>
      </c>
      <c r="E1359" s="14" t="str">
        <f>IFERROR(__xludf.DUMMYFUNCTION("""COMPUTED_VALUE"""),"Tiramisu+3*Sandeep Kumar")</f>
        <v>Tiramisu+3*Sandeep Kumar</v>
      </c>
      <c r="F1359" s="14">
        <f>IFERROR(__xludf.DUMMYFUNCTION("""COMPUTED_VALUE"""),3.0)</f>
        <v>3</v>
      </c>
      <c r="G1359" s="14">
        <f>IFERROR(__xludf.DUMMYFUNCTION("""COMPUTED_VALUE"""),2.0)</f>
        <v>2</v>
      </c>
      <c r="H1359" s="14">
        <f>IFERROR(__xludf.DUMMYFUNCTION("""COMPUTED_VALUE"""),2023.0)</f>
        <v>2023</v>
      </c>
      <c r="I1359" s="14" t="str">
        <f>IFERROR(__xludf.DUMMYFUNCTION("""COMPUTED_VALUE"""),"Online Payment")</f>
        <v>Online Payment</v>
      </c>
      <c r="J1359" s="14" t="str">
        <f>IFERROR(__xludf.DUMMYFUNCTION("""COMPUTED_VALUE"""),"Delivered*On-time Delivery: Delivered on time")</f>
        <v>Delivered*On-time Delivery: Delivered on time</v>
      </c>
      <c r="K1359" s="14" t="str">
        <f>IFERROR(__xludf.DUMMYFUNCTION("split(E1359,""+"")"),"Tiramisu")</f>
        <v>Tiramisu</v>
      </c>
      <c r="L1359" s="14" t="str">
        <f>IFERROR(__xludf.DUMMYFUNCTION("""COMPUTED_VALUE"""),"3*Sandeep Kumar")</f>
        <v>3*Sandeep Kumar</v>
      </c>
      <c r="M1359" s="14">
        <f>IFERROR(__xludf.DUMMYFUNCTION("SPLIT(L1359,""*"")"),3.0)</f>
        <v>3</v>
      </c>
      <c r="N1359" s="14" t="str">
        <f>IFERROR(__xludf.DUMMYFUNCTION("""COMPUTED_VALUE"""),"Sandeep Kumar")</f>
        <v>Sandeep Kumar</v>
      </c>
      <c r="O1359" s="14" t="str">
        <f>IFERROR(__xludf.DUMMYFUNCTION("split(J1359,""*"")"),"Delivered")</f>
        <v>Delivered</v>
      </c>
      <c r="P1359" s="14" t="str">
        <f>IFERROR(__xludf.DUMMYFUNCTION("""COMPUTED_VALUE"""),"On-time Delivery: Delivered on time")</f>
        <v>On-time Delivery: Delivered on time</v>
      </c>
      <c r="Q1359" s="14" t="str">
        <f>IFERROR(__xludf.DUMMYFUNCTION("split(P1359,"":"")"),"On-time Delivery")</f>
        <v>On-time Delivery</v>
      </c>
      <c r="R1359" s="14" t="str">
        <f>IFERROR(__xludf.DUMMYFUNCTION("""COMPUTED_VALUE""")," Delivered on time")</f>
        <v> Delivered on time</v>
      </c>
      <c r="S1359" s="14" t="str">
        <f t="shared" ref="S1359:U1359" si="2721">trim(B1359)</f>
        <v>ord_61337</v>
      </c>
      <c r="T1359" s="14" t="str">
        <f t="shared" si="2721"/>
        <v>Omkar Mishra</v>
      </c>
      <c r="U1359" s="14" t="str">
        <f t="shared" si="2721"/>
        <v>Powai</v>
      </c>
      <c r="V1359" s="14" t="str">
        <f t="shared" si="4"/>
        <v>Tiramisu</v>
      </c>
      <c r="W1359" s="14">
        <f t="shared" si="5"/>
        <v>3</v>
      </c>
      <c r="X1359" s="14" t="str">
        <f t="shared" si="6"/>
        <v>Sandeep Kumar</v>
      </c>
      <c r="Y1359" s="15">
        <f t="shared" si="7"/>
        <v>44987</v>
      </c>
      <c r="Z1359" s="14" t="str">
        <f t="shared" si="8"/>
        <v>Online Payment</v>
      </c>
      <c r="AA1359" s="14" t="str">
        <f t="shared" si="9"/>
        <v>Delivered</v>
      </c>
      <c r="AB1359" s="14" t="str">
        <f t="shared" ref="AB1359:AC1359" si="2722">trim(Q1359)</f>
        <v>On-time Delivery</v>
      </c>
      <c r="AC1359" s="14" t="str">
        <f t="shared" si="2722"/>
        <v>Delivered on time</v>
      </c>
      <c r="AD1359" s="8"/>
    </row>
    <row r="1360">
      <c r="A1360" s="14" t="str">
        <f>IFERROR(__xludf.DUMMYFUNCTION("""COMPUTED_VALUE"""),"//ord_61338//Pallavi Ghosh//Bandra//Icecream+4*Priya Joshi/1/19/2023//UPI//Delivered*Quality of Items: Perfect condition")</f>
        <v>//ord_61338//Pallavi Ghosh//Bandra//Icecream+4*Priya Joshi/1/19/2023//UPI//Delivered*Quality of Items: Perfect condition</v>
      </c>
      <c r="B1360" s="14" t="str">
        <f>IFERROR(__xludf.DUMMYFUNCTION("split(A1360,""//"")"),"ord_61338")</f>
        <v>ord_61338</v>
      </c>
      <c r="C1360" s="14" t="str">
        <f>IFERROR(__xludf.DUMMYFUNCTION("""COMPUTED_VALUE"""),"Pallavi Ghosh")</f>
        <v>Pallavi Ghosh</v>
      </c>
      <c r="D1360" s="14" t="str">
        <f>IFERROR(__xludf.DUMMYFUNCTION("""COMPUTED_VALUE"""),"Bandra")</f>
        <v>Bandra</v>
      </c>
      <c r="E1360" s="14" t="str">
        <f>IFERROR(__xludf.DUMMYFUNCTION("""COMPUTED_VALUE"""),"Icecream+4*Priya Joshi")</f>
        <v>Icecream+4*Priya Joshi</v>
      </c>
      <c r="F1360" s="14">
        <f>IFERROR(__xludf.DUMMYFUNCTION("""COMPUTED_VALUE"""),1.0)</f>
        <v>1</v>
      </c>
      <c r="G1360" s="14">
        <f>IFERROR(__xludf.DUMMYFUNCTION("""COMPUTED_VALUE"""),19.0)</f>
        <v>19</v>
      </c>
      <c r="H1360" s="14">
        <f>IFERROR(__xludf.DUMMYFUNCTION("""COMPUTED_VALUE"""),2023.0)</f>
        <v>2023</v>
      </c>
      <c r="I1360" s="14" t="str">
        <f>IFERROR(__xludf.DUMMYFUNCTION("""COMPUTED_VALUE"""),"UPI")</f>
        <v>UPI</v>
      </c>
      <c r="J1360" s="14" t="str">
        <f>IFERROR(__xludf.DUMMYFUNCTION("""COMPUTED_VALUE"""),"Delivered*Quality of Items: Perfect condition")</f>
        <v>Delivered*Quality of Items: Perfect condition</v>
      </c>
      <c r="K1360" s="14" t="str">
        <f>IFERROR(__xludf.DUMMYFUNCTION("split(E1360,""+"")"),"Icecream")</f>
        <v>Icecream</v>
      </c>
      <c r="L1360" s="14" t="str">
        <f>IFERROR(__xludf.DUMMYFUNCTION("""COMPUTED_VALUE"""),"4*Priya Joshi")</f>
        <v>4*Priya Joshi</v>
      </c>
      <c r="M1360" s="14">
        <f>IFERROR(__xludf.DUMMYFUNCTION("SPLIT(L1360,""*"")"),4.0)</f>
        <v>4</v>
      </c>
      <c r="N1360" s="14" t="str">
        <f>IFERROR(__xludf.DUMMYFUNCTION("""COMPUTED_VALUE"""),"Priya Joshi")</f>
        <v>Priya Joshi</v>
      </c>
      <c r="O1360" s="14" t="str">
        <f>IFERROR(__xludf.DUMMYFUNCTION("split(J1360,""*"")"),"Delivered")</f>
        <v>Delivered</v>
      </c>
      <c r="P1360" s="14" t="str">
        <f>IFERROR(__xludf.DUMMYFUNCTION("""COMPUTED_VALUE"""),"Quality of Items: Perfect condition")</f>
        <v>Quality of Items: Perfect condition</v>
      </c>
      <c r="Q1360" s="14" t="str">
        <f>IFERROR(__xludf.DUMMYFUNCTION("split(P1360,"":"")"),"Quality of Items")</f>
        <v>Quality of Items</v>
      </c>
      <c r="R1360" s="14" t="str">
        <f>IFERROR(__xludf.DUMMYFUNCTION("""COMPUTED_VALUE""")," Perfect condition")</f>
        <v> Perfect condition</v>
      </c>
      <c r="S1360" s="14" t="str">
        <f t="shared" ref="S1360:U1360" si="2723">trim(B1360)</f>
        <v>ord_61338</v>
      </c>
      <c r="T1360" s="14" t="str">
        <f t="shared" si="2723"/>
        <v>Pallavi Ghosh</v>
      </c>
      <c r="U1360" s="14" t="str">
        <f t="shared" si="2723"/>
        <v>Bandra</v>
      </c>
      <c r="V1360" s="14" t="str">
        <f t="shared" si="4"/>
        <v>Icecream</v>
      </c>
      <c r="W1360" s="14">
        <f t="shared" si="5"/>
        <v>4</v>
      </c>
      <c r="X1360" s="14" t="str">
        <f t="shared" si="6"/>
        <v>Priya Joshi</v>
      </c>
      <c r="Y1360" s="15">
        <f t="shared" si="7"/>
        <v>44945</v>
      </c>
      <c r="Z1360" s="14" t="str">
        <f t="shared" si="8"/>
        <v>UPI</v>
      </c>
      <c r="AA1360" s="14" t="str">
        <f t="shared" si="9"/>
        <v>Delivered</v>
      </c>
      <c r="AB1360" s="14" t="str">
        <f t="shared" ref="AB1360:AC1360" si="2724">trim(Q1360)</f>
        <v>Quality of Items</v>
      </c>
      <c r="AC1360" s="14" t="str">
        <f t="shared" si="2724"/>
        <v>Perfect condition</v>
      </c>
      <c r="AD1360" s="8"/>
    </row>
    <row r="1361">
      <c r="A1361" s="14" t="str">
        <f>IFERROR(__xludf.DUMMYFUNCTION("""COMPUTED_VALUE"""),"//ord_61339//Ishaan Chaturvedi//Bandra//Chocolate Mousse+4*Priya Joshi/11/29/2023//UPI//Delivered*On-time Delivery: Delivered on time")</f>
        <v>//ord_61339//Ishaan Chaturvedi//Bandra//Chocolate Mousse+4*Priya Joshi/11/29/2023//UPI//Delivered*On-time Delivery: Delivered on time</v>
      </c>
      <c r="B1361" s="14" t="str">
        <f>IFERROR(__xludf.DUMMYFUNCTION("split(A1361,""//"")"),"ord_61339")</f>
        <v>ord_61339</v>
      </c>
      <c r="C1361" s="14" t="str">
        <f>IFERROR(__xludf.DUMMYFUNCTION("""COMPUTED_VALUE"""),"Ishaan Chaturvedi")</f>
        <v>Ishaan Chaturvedi</v>
      </c>
      <c r="D1361" s="14" t="str">
        <f>IFERROR(__xludf.DUMMYFUNCTION("""COMPUTED_VALUE"""),"Bandra")</f>
        <v>Bandra</v>
      </c>
      <c r="E1361" s="14" t="str">
        <f>IFERROR(__xludf.DUMMYFUNCTION("""COMPUTED_VALUE"""),"Chocolate Mousse+4*Priya Joshi")</f>
        <v>Chocolate Mousse+4*Priya Joshi</v>
      </c>
      <c r="F1361" s="14">
        <f>IFERROR(__xludf.DUMMYFUNCTION("""COMPUTED_VALUE"""),11.0)</f>
        <v>11</v>
      </c>
      <c r="G1361" s="14">
        <f>IFERROR(__xludf.DUMMYFUNCTION("""COMPUTED_VALUE"""),29.0)</f>
        <v>29</v>
      </c>
      <c r="H1361" s="14">
        <f>IFERROR(__xludf.DUMMYFUNCTION("""COMPUTED_VALUE"""),2023.0)</f>
        <v>2023</v>
      </c>
      <c r="I1361" s="14" t="str">
        <f>IFERROR(__xludf.DUMMYFUNCTION("""COMPUTED_VALUE"""),"UPI")</f>
        <v>UPI</v>
      </c>
      <c r="J1361" s="14" t="str">
        <f>IFERROR(__xludf.DUMMYFUNCTION("""COMPUTED_VALUE"""),"Delivered*On-time Delivery: Delivered on time")</f>
        <v>Delivered*On-time Delivery: Delivered on time</v>
      </c>
      <c r="K1361" s="14" t="str">
        <f>IFERROR(__xludf.DUMMYFUNCTION("split(E1361,""+"")"),"Chocolate Mousse")</f>
        <v>Chocolate Mousse</v>
      </c>
      <c r="L1361" s="14" t="str">
        <f>IFERROR(__xludf.DUMMYFUNCTION("""COMPUTED_VALUE"""),"4*Priya Joshi")</f>
        <v>4*Priya Joshi</v>
      </c>
      <c r="M1361" s="14">
        <f>IFERROR(__xludf.DUMMYFUNCTION("SPLIT(L1361,""*"")"),4.0)</f>
        <v>4</v>
      </c>
      <c r="N1361" s="14" t="str">
        <f>IFERROR(__xludf.DUMMYFUNCTION("""COMPUTED_VALUE"""),"Priya Joshi")</f>
        <v>Priya Joshi</v>
      </c>
      <c r="O1361" s="14" t="str">
        <f>IFERROR(__xludf.DUMMYFUNCTION("split(J1361,""*"")"),"Delivered")</f>
        <v>Delivered</v>
      </c>
      <c r="P1361" s="14" t="str">
        <f>IFERROR(__xludf.DUMMYFUNCTION("""COMPUTED_VALUE"""),"On-time Delivery: Delivered on time")</f>
        <v>On-time Delivery: Delivered on time</v>
      </c>
      <c r="Q1361" s="14" t="str">
        <f>IFERROR(__xludf.DUMMYFUNCTION("split(P1361,"":"")"),"On-time Delivery")</f>
        <v>On-time Delivery</v>
      </c>
      <c r="R1361" s="14" t="str">
        <f>IFERROR(__xludf.DUMMYFUNCTION("""COMPUTED_VALUE""")," Delivered on time")</f>
        <v> Delivered on time</v>
      </c>
      <c r="S1361" s="14" t="str">
        <f t="shared" ref="S1361:U1361" si="2725">trim(B1361)</f>
        <v>ord_61339</v>
      </c>
      <c r="T1361" s="14" t="str">
        <f t="shared" si="2725"/>
        <v>Ishaan Chaturvedi</v>
      </c>
      <c r="U1361" s="14" t="str">
        <f t="shared" si="2725"/>
        <v>Bandra</v>
      </c>
      <c r="V1361" s="14" t="str">
        <f t="shared" si="4"/>
        <v>Chocolate Mousse</v>
      </c>
      <c r="W1361" s="14">
        <f t="shared" si="5"/>
        <v>4</v>
      </c>
      <c r="X1361" s="14" t="str">
        <f t="shared" si="6"/>
        <v>Priya Joshi</v>
      </c>
      <c r="Y1361" s="15">
        <f t="shared" si="7"/>
        <v>45259</v>
      </c>
      <c r="Z1361" s="14" t="str">
        <f t="shared" si="8"/>
        <v>UPI</v>
      </c>
      <c r="AA1361" s="14" t="str">
        <f t="shared" si="9"/>
        <v>Delivered</v>
      </c>
      <c r="AB1361" s="14" t="str">
        <f t="shared" ref="AB1361:AC1361" si="2726">trim(Q1361)</f>
        <v>On-time Delivery</v>
      </c>
      <c r="AC1361" s="14" t="str">
        <f t="shared" si="2726"/>
        <v>Delivered on time</v>
      </c>
      <c r="AD1361" s="8"/>
    </row>
    <row r="1362">
      <c r="A1362" s="14" t="str">
        <f>IFERROR(__xludf.DUMMYFUNCTION("""COMPUTED_VALUE"""),"//ord_61340//Mohit Malhotra//Lower Parel//Chocolate Mousse+1*Kiran Mehta/6/30/2023//Credit Card//Delivered*Quality of Items: Perfect condition")</f>
        <v>//ord_61340//Mohit Malhotra//Lower Parel//Chocolate Mousse+1*Kiran Mehta/6/30/2023//Credit Card//Delivered*Quality of Items: Perfect condition</v>
      </c>
      <c r="B1362" s="14" t="str">
        <f>IFERROR(__xludf.DUMMYFUNCTION("split(A1362,""//"")"),"ord_61340")</f>
        <v>ord_61340</v>
      </c>
      <c r="C1362" s="14" t="str">
        <f>IFERROR(__xludf.DUMMYFUNCTION("""COMPUTED_VALUE"""),"Mohit Malhotra")</f>
        <v>Mohit Malhotra</v>
      </c>
      <c r="D1362" s="14" t="str">
        <f>IFERROR(__xludf.DUMMYFUNCTION("""COMPUTED_VALUE"""),"Lower Parel")</f>
        <v>Lower Parel</v>
      </c>
      <c r="E1362" s="14" t="str">
        <f>IFERROR(__xludf.DUMMYFUNCTION("""COMPUTED_VALUE"""),"Chocolate Mousse+1*Kiran Mehta")</f>
        <v>Chocolate Mousse+1*Kiran Mehta</v>
      </c>
      <c r="F1362" s="14">
        <f>IFERROR(__xludf.DUMMYFUNCTION("""COMPUTED_VALUE"""),6.0)</f>
        <v>6</v>
      </c>
      <c r="G1362" s="14">
        <f>IFERROR(__xludf.DUMMYFUNCTION("""COMPUTED_VALUE"""),30.0)</f>
        <v>30</v>
      </c>
      <c r="H1362" s="14">
        <f>IFERROR(__xludf.DUMMYFUNCTION("""COMPUTED_VALUE"""),2023.0)</f>
        <v>2023</v>
      </c>
      <c r="I1362" s="14" t="str">
        <f>IFERROR(__xludf.DUMMYFUNCTION("""COMPUTED_VALUE"""),"Credit Card")</f>
        <v>Credit Card</v>
      </c>
      <c r="J1362" s="14" t="str">
        <f>IFERROR(__xludf.DUMMYFUNCTION("""COMPUTED_VALUE"""),"Delivered*Quality of Items: Perfect condition")</f>
        <v>Delivered*Quality of Items: Perfect condition</v>
      </c>
      <c r="K1362" s="14" t="str">
        <f>IFERROR(__xludf.DUMMYFUNCTION("split(E1362,""+"")"),"Chocolate Mousse")</f>
        <v>Chocolate Mousse</v>
      </c>
      <c r="L1362" s="14" t="str">
        <f>IFERROR(__xludf.DUMMYFUNCTION("""COMPUTED_VALUE"""),"1*Kiran Mehta")</f>
        <v>1*Kiran Mehta</v>
      </c>
      <c r="M1362" s="14">
        <f>IFERROR(__xludf.DUMMYFUNCTION("SPLIT(L1362,""*"")"),1.0)</f>
        <v>1</v>
      </c>
      <c r="N1362" s="14" t="str">
        <f>IFERROR(__xludf.DUMMYFUNCTION("""COMPUTED_VALUE"""),"Kiran Mehta")</f>
        <v>Kiran Mehta</v>
      </c>
      <c r="O1362" s="14" t="str">
        <f>IFERROR(__xludf.DUMMYFUNCTION("split(J1362,""*"")"),"Delivered")</f>
        <v>Delivered</v>
      </c>
      <c r="P1362" s="14" t="str">
        <f>IFERROR(__xludf.DUMMYFUNCTION("""COMPUTED_VALUE"""),"Quality of Items: Perfect condition")</f>
        <v>Quality of Items: Perfect condition</v>
      </c>
      <c r="Q1362" s="14" t="str">
        <f>IFERROR(__xludf.DUMMYFUNCTION("split(P1362,"":"")"),"Quality of Items")</f>
        <v>Quality of Items</v>
      </c>
      <c r="R1362" s="14" t="str">
        <f>IFERROR(__xludf.DUMMYFUNCTION("""COMPUTED_VALUE""")," Perfect condition")</f>
        <v> Perfect condition</v>
      </c>
      <c r="S1362" s="14" t="str">
        <f t="shared" ref="S1362:U1362" si="2727">trim(B1362)</f>
        <v>ord_61340</v>
      </c>
      <c r="T1362" s="14" t="str">
        <f t="shared" si="2727"/>
        <v>Mohit Malhotra</v>
      </c>
      <c r="U1362" s="14" t="str">
        <f t="shared" si="2727"/>
        <v>Lower Parel</v>
      </c>
      <c r="V1362" s="14" t="str">
        <f t="shared" si="4"/>
        <v>Chocolate Mousse</v>
      </c>
      <c r="W1362" s="14">
        <f t="shared" si="5"/>
        <v>1</v>
      </c>
      <c r="X1362" s="14" t="str">
        <f t="shared" si="6"/>
        <v>Kiran Mehta</v>
      </c>
      <c r="Y1362" s="15">
        <f t="shared" si="7"/>
        <v>45107</v>
      </c>
      <c r="Z1362" s="14" t="str">
        <f t="shared" si="8"/>
        <v>Credit Card</v>
      </c>
      <c r="AA1362" s="14" t="str">
        <f t="shared" si="9"/>
        <v>Delivered</v>
      </c>
      <c r="AB1362" s="14" t="str">
        <f t="shared" ref="AB1362:AC1362" si="2728">trim(Q1362)</f>
        <v>Quality of Items</v>
      </c>
      <c r="AC1362" s="14" t="str">
        <f t="shared" si="2728"/>
        <v>Perfect condition</v>
      </c>
      <c r="AD1362" s="8"/>
    </row>
    <row r="1363">
      <c r="A1363" s="14" t="str">
        <f>IFERROR(__xludf.DUMMYFUNCTION("""COMPUTED_VALUE"""),"//ord_61341//Ishita Banerjee//Juhu//Apple+2*Ram Gopal/11/22/2023//Credit Card//Cancelled*Delayed Delivery:Bad Weather Conditions ")</f>
        <v>//ord_61341//Ishita Banerjee//Juhu//Apple+2*Ram Gopal/11/22/2023//Credit Card//Cancelled*Delayed Delivery:Bad Weather Conditions </v>
      </c>
      <c r="B1363" s="14" t="str">
        <f>IFERROR(__xludf.DUMMYFUNCTION("split(A1363,""//"")"),"ord_61341")</f>
        <v>ord_61341</v>
      </c>
      <c r="C1363" s="14" t="str">
        <f>IFERROR(__xludf.DUMMYFUNCTION("""COMPUTED_VALUE"""),"Ishita Banerjee")</f>
        <v>Ishita Banerjee</v>
      </c>
      <c r="D1363" s="14" t="str">
        <f>IFERROR(__xludf.DUMMYFUNCTION("""COMPUTED_VALUE"""),"Juhu")</f>
        <v>Juhu</v>
      </c>
      <c r="E1363" s="14" t="str">
        <f>IFERROR(__xludf.DUMMYFUNCTION("""COMPUTED_VALUE"""),"Apple+2*Ram Gopal")</f>
        <v>Apple+2*Ram Gopal</v>
      </c>
      <c r="F1363" s="14">
        <f>IFERROR(__xludf.DUMMYFUNCTION("""COMPUTED_VALUE"""),11.0)</f>
        <v>11</v>
      </c>
      <c r="G1363" s="14">
        <f>IFERROR(__xludf.DUMMYFUNCTION("""COMPUTED_VALUE"""),22.0)</f>
        <v>22</v>
      </c>
      <c r="H1363" s="14">
        <f>IFERROR(__xludf.DUMMYFUNCTION("""COMPUTED_VALUE"""),2023.0)</f>
        <v>2023</v>
      </c>
      <c r="I1363" s="14" t="str">
        <f>IFERROR(__xludf.DUMMYFUNCTION("""COMPUTED_VALUE"""),"Credit Card")</f>
        <v>Credit Card</v>
      </c>
      <c r="J1363" s="14" t="str">
        <f>IFERROR(__xludf.DUMMYFUNCTION("""COMPUTED_VALUE"""),"Cancelled*Delayed Delivery:Bad Weather Conditions ")</f>
        <v>Cancelled*Delayed Delivery:Bad Weather Conditions </v>
      </c>
      <c r="K1363" s="14" t="str">
        <f>IFERROR(__xludf.DUMMYFUNCTION("split(E1363,""+"")"),"Apple")</f>
        <v>Apple</v>
      </c>
      <c r="L1363" s="14" t="str">
        <f>IFERROR(__xludf.DUMMYFUNCTION("""COMPUTED_VALUE"""),"2*Ram Gopal")</f>
        <v>2*Ram Gopal</v>
      </c>
      <c r="M1363" s="14">
        <f>IFERROR(__xludf.DUMMYFUNCTION("SPLIT(L1363,""*"")"),2.0)</f>
        <v>2</v>
      </c>
      <c r="N1363" s="14" t="str">
        <f>IFERROR(__xludf.DUMMYFUNCTION("""COMPUTED_VALUE"""),"Ram Gopal")</f>
        <v>Ram Gopal</v>
      </c>
      <c r="O1363" s="14" t="str">
        <f>IFERROR(__xludf.DUMMYFUNCTION("split(J1363,""*"")"),"Cancelled")</f>
        <v>Cancelled</v>
      </c>
      <c r="P1363" s="14" t="str">
        <f>IFERROR(__xludf.DUMMYFUNCTION("""COMPUTED_VALUE"""),"Delayed Delivery:Bad Weather Conditions ")</f>
        <v>Delayed Delivery:Bad Weather Conditions </v>
      </c>
      <c r="Q1363" s="14" t="str">
        <f>IFERROR(__xludf.DUMMYFUNCTION("split(P1363,"":"")"),"Delayed Delivery")</f>
        <v>Delayed Delivery</v>
      </c>
      <c r="R1363" s="14" t="str">
        <f>IFERROR(__xludf.DUMMYFUNCTION("""COMPUTED_VALUE"""),"Bad Weather Conditions ")</f>
        <v>Bad Weather Conditions </v>
      </c>
      <c r="S1363" s="14" t="str">
        <f t="shared" ref="S1363:U1363" si="2729">trim(B1363)</f>
        <v>ord_61341</v>
      </c>
      <c r="T1363" s="14" t="str">
        <f t="shared" si="2729"/>
        <v>Ishita Banerjee</v>
      </c>
      <c r="U1363" s="14" t="str">
        <f t="shared" si="2729"/>
        <v>Juhu</v>
      </c>
      <c r="V1363" s="14" t="str">
        <f t="shared" si="4"/>
        <v>Apple</v>
      </c>
      <c r="W1363" s="14">
        <f t="shared" si="5"/>
        <v>2</v>
      </c>
      <c r="X1363" s="14" t="str">
        <f t="shared" si="6"/>
        <v>Ram Gopal</v>
      </c>
      <c r="Y1363" s="15">
        <f t="shared" si="7"/>
        <v>45252</v>
      </c>
      <c r="Z1363" s="14" t="str">
        <f t="shared" si="8"/>
        <v>Credit Card</v>
      </c>
      <c r="AA1363" s="14" t="str">
        <f t="shared" si="9"/>
        <v>Cancelled</v>
      </c>
      <c r="AB1363" s="14" t="str">
        <f t="shared" ref="AB1363:AC1363" si="2730">trim(Q1363)</f>
        <v>Delayed Delivery</v>
      </c>
      <c r="AC1363" s="14" t="str">
        <f t="shared" si="2730"/>
        <v>Bad Weather Conditions</v>
      </c>
      <c r="AD1363" s="8"/>
    </row>
    <row r="1364">
      <c r="A1364" s="14" t="str">
        <f>IFERROR(__xludf.DUMMYFUNCTION("""COMPUTED_VALUE"""),"//ord_71342//Pranav Joshi//Andheri//Sweet Corn+2*Rohan Yadav/12/16/2023//UPI//Delivered*Packaging: Secure and intact")</f>
        <v>//ord_71342//Pranav Joshi//Andheri//Sweet Corn+2*Rohan Yadav/12/16/2023//UPI//Delivered*Packaging: Secure and intact</v>
      </c>
      <c r="B1364" s="14" t="str">
        <f>IFERROR(__xludf.DUMMYFUNCTION("split(A1364,""//"")"),"ord_71342")</f>
        <v>ord_71342</v>
      </c>
      <c r="C1364" s="14" t="str">
        <f>IFERROR(__xludf.DUMMYFUNCTION("""COMPUTED_VALUE"""),"Pranav Joshi")</f>
        <v>Pranav Joshi</v>
      </c>
      <c r="D1364" s="14" t="str">
        <f>IFERROR(__xludf.DUMMYFUNCTION("""COMPUTED_VALUE"""),"Andheri")</f>
        <v>Andheri</v>
      </c>
      <c r="E1364" s="14" t="str">
        <f>IFERROR(__xludf.DUMMYFUNCTION("""COMPUTED_VALUE"""),"Sweet Corn+2*Rohan Yadav")</f>
        <v>Sweet Corn+2*Rohan Yadav</v>
      </c>
      <c r="F1364" s="14">
        <f>IFERROR(__xludf.DUMMYFUNCTION("""COMPUTED_VALUE"""),12.0)</f>
        <v>12</v>
      </c>
      <c r="G1364" s="14">
        <f>IFERROR(__xludf.DUMMYFUNCTION("""COMPUTED_VALUE"""),16.0)</f>
        <v>16</v>
      </c>
      <c r="H1364" s="14">
        <f>IFERROR(__xludf.DUMMYFUNCTION("""COMPUTED_VALUE"""),2023.0)</f>
        <v>2023</v>
      </c>
      <c r="I1364" s="14" t="str">
        <f>IFERROR(__xludf.DUMMYFUNCTION("""COMPUTED_VALUE"""),"UPI")</f>
        <v>UPI</v>
      </c>
      <c r="J1364" s="14" t="str">
        <f>IFERROR(__xludf.DUMMYFUNCTION("""COMPUTED_VALUE"""),"Delivered*Packaging: Secure and intact")</f>
        <v>Delivered*Packaging: Secure and intact</v>
      </c>
      <c r="K1364" s="14" t="str">
        <f>IFERROR(__xludf.DUMMYFUNCTION("split(E1364,""+"")"),"Sweet Corn")</f>
        <v>Sweet Corn</v>
      </c>
      <c r="L1364" s="14" t="str">
        <f>IFERROR(__xludf.DUMMYFUNCTION("""COMPUTED_VALUE"""),"2*Rohan Yadav")</f>
        <v>2*Rohan Yadav</v>
      </c>
      <c r="M1364" s="14">
        <f>IFERROR(__xludf.DUMMYFUNCTION("SPLIT(L1364,""*"")"),2.0)</f>
        <v>2</v>
      </c>
      <c r="N1364" s="14" t="str">
        <f>IFERROR(__xludf.DUMMYFUNCTION("""COMPUTED_VALUE"""),"Rohan Yadav")</f>
        <v>Rohan Yadav</v>
      </c>
      <c r="O1364" s="14" t="str">
        <f>IFERROR(__xludf.DUMMYFUNCTION("split(J1364,""*"")"),"Delivered")</f>
        <v>Delivered</v>
      </c>
      <c r="P1364" s="14" t="str">
        <f>IFERROR(__xludf.DUMMYFUNCTION("""COMPUTED_VALUE"""),"Packaging: Secure and intact")</f>
        <v>Packaging: Secure and intact</v>
      </c>
      <c r="Q1364" s="14" t="str">
        <f>IFERROR(__xludf.DUMMYFUNCTION("split(P1364,"":"")"),"Packaging")</f>
        <v>Packaging</v>
      </c>
      <c r="R1364" s="14" t="str">
        <f>IFERROR(__xludf.DUMMYFUNCTION("""COMPUTED_VALUE""")," Secure and intact")</f>
        <v> Secure and intact</v>
      </c>
      <c r="S1364" s="14" t="str">
        <f t="shared" ref="S1364:U1364" si="2731">trim(B1364)</f>
        <v>ord_71342</v>
      </c>
      <c r="T1364" s="14" t="str">
        <f t="shared" si="2731"/>
        <v>Pranav Joshi</v>
      </c>
      <c r="U1364" s="14" t="str">
        <f t="shared" si="2731"/>
        <v>Andheri</v>
      </c>
      <c r="V1364" s="14" t="str">
        <f t="shared" si="4"/>
        <v>Sweet Corn</v>
      </c>
      <c r="W1364" s="14">
        <f t="shared" si="5"/>
        <v>2</v>
      </c>
      <c r="X1364" s="14" t="str">
        <f t="shared" si="6"/>
        <v>Rohan Yadav</v>
      </c>
      <c r="Y1364" s="15">
        <f t="shared" si="7"/>
        <v>45276</v>
      </c>
      <c r="Z1364" s="14" t="str">
        <f t="shared" si="8"/>
        <v>UPI</v>
      </c>
      <c r="AA1364" s="14" t="str">
        <f t="shared" si="9"/>
        <v>Delivered</v>
      </c>
      <c r="AB1364" s="14" t="str">
        <f t="shared" ref="AB1364:AC1364" si="2732">trim(Q1364)</f>
        <v>Packaging</v>
      </c>
      <c r="AC1364" s="14" t="str">
        <f t="shared" si="2732"/>
        <v>Secure and intact</v>
      </c>
      <c r="AD1364" s="8"/>
    </row>
    <row r="1365">
      <c r="A1365" s="14" t="str">
        <f>IFERROR(__xludf.DUMMYFUNCTION("""COMPUTED_VALUE"""),"//ord_71343//Aarav Mehta//Andheri//Chilli Cheese Toast+4*Rohan Yadav/11/9/2023//Online Payment//Delivered*Satisfied with the Delivery: Timely and quality")</f>
        <v>//ord_71343//Aarav Mehta//Andheri//Chilli Cheese Toast+4*Rohan Yadav/11/9/2023//Online Payment//Delivered*Satisfied with the Delivery: Timely and quality</v>
      </c>
      <c r="B1365" s="14" t="str">
        <f>IFERROR(__xludf.DUMMYFUNCTION("split(A1365,""//"")"),"ord_71343")</f>
        <v>ord_71343</v>
      </c>
      <c r="C1365" s="14" t="str">
        <f>IFERROR(__xludf.DUMMYFUNCTION("""COMPUTED_VALUE"""),"Aarav Mehta")</f>
        <v>Aarav Mehta</v>
      </c>
      <c r="D1365" s="14" t="str">
        <f>IFERROR(__xludf.DUMMYFUNCTION("""COMPUTED_VALUE"""),"Andheri")</f>
        <v>Andheri</v>
      </c>
      <c r="E1365" s="14" t="str">
        <f>IFERROR(__xludf.DUMMYFUNCTION("""COMPUTED_VALUE"""),"Chilli Cheese Toast+4*Rohan Yadav")</f>
        <v>Chilli Cheese Toast+4*Rohan Yadav</v>
      </c>
      <c r="F1365" s="14">
        <f>IFERROR(__xludf.DUMMYFUNCTION("""COMPUTED_VALUE"""),11.0)</f>
        <v>11</v>
      </c>
      <c r="G1365" s="14">
        <f>IFERROR(__xludf.DUMMYFUNCTION("""COMPUTED_VALUE"""),9.0)</f>
        <v>9</v>
      </c>
      <c r="H1365" s="14">
        <f>IFERROR(__xludf.DUMMYFUNCTION("""COMPUTED_VALUE"""),2023.0)</f>
        <v>2023</v>
      </c>
      <c r="I1365" s="14" t="str">
        <f>IFERROR(__xludf.DUMMYFUNCTION("""COMPUTED_VALUE"""),"Online Payment")</f>
        <v>Online Payment</v>
      </c>
      <c r="J1365" s="14" t="str">
        <f>IFERROR(__xludf.DUMMYFUNCTION("""COMPUTED_VALUE"""),"Delivered*Satisfied with the Delivery: Timely and quality")</f>
        <v>Delivered*Satisfied with the Delivery: Timely and quality</v>
      </c>
      <c r="K1365" s="14" t="str">
        <f>IFERROR(__xludf.DUMMYFUNCTION("split(E1365,""+"")"),"Chilli Cheese Toast")</f>
        <v>Chilli Cheese Toast</v>
      </c>
      <c r="L1365" s="14" t="str">
        <f>IFERROR(__xludf.DUMMYFUNCTION("""COMPUTED_VALUE"""),"4*Rohan Yadav")</f>
        <v>4*Rohan Yadav</v>
      </c>
      <c r="M1365" s="14">
        <f>IFERROR(__xludf.DUMMYFUNCTION("SPLIT(L1365,""*"")"),4.0)</f>
        <v>4</v>
      </c>
      <c r="N1365" s="14" t="str">
        <f>IFERROR(__xludf.DUMMYFUNCTION("""COMPUTED_VALUE"""),"Rohan Yadav")</f>
        <v>Rohan Yadav</v>
      </c>
      <c r="O1365" s="14" t="str">
        <f>IFERROR(__xludf.DUMMYFUNCTION("split(J1365,""*"")"),"Delivered")</f>
        <v>Delivered</v>
      </c>
      <c r="P1365" s="14" t="str">
        <f>IFERROR(__xludf.DUMMYFUNCTION("""COMPUTED_VALUE"""),"Satisfied with the Delivery: Timely and quality")</f>
        <v>Satisfied with the Delivery: Timely and quality</v>
      </c>
      <c r="Q1365" s="14" t="str">
        <f>IFERROR(__xludf.DUMMYFUNCTION("split(P1365,"":"")"),"Satisfied with the Delivery")</f>
        <v>Satisfied with the Delivery</v>
      </c>
      <c r="R1365" s="14" t="str">
        <f>IFERROR(__xludf.DUMMYFUNCTION("""COMPUTED_VALUE""")," Timely and quality")</f>
        <v> Timely and quality</v>
      </c>
      <c r="S1365" s="14" t="str">
        <f t="shared" ref="S1365:U1365" si="2733">trim(B1365)</f>
        <v>ord_71343</v>
      </c>
      <c r="T1365" s="14" t="str">
        <f t="shared" si="2733"/>
        <v>Aarav Mehta</v>
      </c>
      <c r="U1365" s="14" t="str">
        <f t="shared" si="2733"/>
        <v>Andheri</v>
      </c>
      <c r="V1365" s="14" t="str">
        <f t="shared" si="4"/>
        <v>Chilli Cheese Toast</v>
      </c>
      <c r="W1365" s="14">
        <f t="shared" si="5"/>
        <v>4</v>
      </c>
      <c r="X1365" s="14" t="str">
        <f t="shared" si="6"/>
        <v>Rohan Yadav</v>
      </c>
      <c r="Y1365" s="15">
        <f t="shared" si="7"/>
        <v>45239</v>
      </c>
      <c r="Z1365" s="14" t="str">
        <f t="shared" si="8"/>
        <v>Online Payment</v>
      </c>
      <c r="AA1365" s="14" t="str">
        <f t="shared" si="9"/>
        <v>Delivered</v>
      </c>
      <c r="AB1365" s="14" t="str">
        <f t="shared" ref="AB1365:AC1365" si="2734">trim(Q1365)</f>
        <v>Satisfied with the Delivery</v>
      </c>
      <c r="AC1365" s="14" t="str">
        <f t="shared" si="2734"/>
        <v>Timely and quality</v>
      </c>
      <c r="AD1365" s="8"/>
    </row>
    <row r="1366">
      <c r="A1366" s="14" t="str">
        <f>IFERROR(__xludf.DUMMYFUNCTION("""COMPUTED_VALUE"""),"//ord_71344//Mehul Thakkar//Malad//Cucumber+1*Not Assigned/12/17/2023//Credit Card//Cancelled*Payment Issues")</f>
        <v>//ord_71344//Mehul Thakkar//Malad//Cucumber+1*Not Assigned/12/17/2023//Credit Card//Cancelled*Payment Issues</v>
      </c>
      <c r="B1366" s="14" t="str">
        <f>IFERROR(__xludf.DUMMYFUNCTION("split(A1366,""//"")"),"ord_71344")</f>
        <v>ord_71344</v>
      </c>
      <c r="C1366" s="14" t="str">
        <f>IFERROR(__xludf.DUMMYFUNCTION("""COMPUTED_VALUE"""),"Mehul Thakkar")</f>
        <v>Mehul Thakkar</v>
      </c>
      <c r="D1366" s="14" t="str">
        <f>IFERROR(__xludf.DUMMYFUNCTION("""COMPUTED_VALUE"""),"Malad")</f>
        <v>Malad</v>
      </c>
      <c r="E1366" s="14" t="str">
        <f>IFERROR(__xludf.DUMMYFUNCTION("""COMPUTED_VALUE"""),"Cucumber+1*Not Assigned")</f>
        <v>Cucumber+1*Not Assigned</v>
      </c>
      <c r="F1366" s="14">
        <f>IFERROR(__xludf.DUMMYFUNCTION("""COMPUTED_VALUE"""),12.0)</f>
        <v>12</v>
      </c>
      <c r="G1366" s="14">
        <f>IFERROR(__xludf.DUMMYFUNCTION("""COMPUTED_VALUE"""),17.0)</f>
        <v>17</v>
      </c>
      <c r="H1366" s="14">
        <f>IFERROR(__xludf.DUMMYFUNCTION("""COMPUTED_VALUE"""),2023.0)</f>
        <v>2023</v>
      </c>
      <c r="I1366" s="14" t="str">
        <f>IFERROR(__xludf.DUMMYFUNCTION("""COMPUTED_VALUE"""),"Credit Card")</f>
        <v>Credit Card</v>
      </c>
      <c r="J1366" s="14" t="str">
        <f>IFERROR(__xludf.DUMMYFUNCTION("""COMPUTED_VALUE"""),"Cancelled*Payment Issues")</f>
        <v>Cancelled*Payment Issues</v>
      </c>
      <c r="K1366" s="14" t="str">
        <f>IFERROR(__xludf.DUMMYFUNCTION("split(E1366,""+"")"),"Cucumber")</f>
        <v>Cucumber</v>
      </c>
      <c r="L1366" s="14" t="str">
        <f>IFERROR(__xludf.DUMMYFUNCTION("""COMPUTED_VALUE"""),"1*Not Assigned")</f>
        <v>1*Not Assigned</v>
      </c>
      <c r="M1366" s="14">
        <f>IFERROR(__xludf.DUMMYFUNCTION("SPLIT(L1366,""*"")"),1.0)</f>
        <v>1</v>
      </c>
      <c r="N1366" s="14" t="str">
        <f>IFERROR(__xludf.DUMMYFUNCTION("""COMPUTED_VALUE"""),"Not Assigned")</f>
        <v>Not Assigned</v>
      </c>
      <c r="O1366" s="14" t="str">
        <f>IFERROR(__xludf.DUMMYFUNCTION("split(J1366,""*"")"),"Cancelled")</f>
        <v>Cancelled</v>
      </c>
      <c r="P1366" s="14" t="str">
        <f>IFERROR(__xludf.DUMMYFUNCTION("""COMPUTED_VALUE"""),"Payment Issues")</f>
        <v>Payment Issues</v>
      </c>
      <c r="Q1366" s="14" t="str">
        <f>IFERROR(__xludf.DUMMYFUNCTION("split(P1366,"":"")"),"Payment Issues")</f>
        <v>Payment Issues</v>
      </c>
      <c r="R1366" s="14"/>
      <c r="S1366" s="14" t="str">
        <f t="shared" ref="S1366:U1366" si="2735">trim(B1366)</f>
        <v>ord_71344</v>
      </c>
      <c r="T1366" s="14" t="str">
        <f t="shared" si="2735"/>
        <v>Mehul Thakkar</v>
      </c>
      <c r="U1366" s="14" t="str">
        <f t="shared" si="2735"/>
        <v>Malad</v>
      </c>
      <c r="V1366" s="14" t="str">
        <f t="shared" si="4"/>
        <v>Cucumber</v>
      </c>
      <c r="W1366" s="14">
        <f t="shared" si="5"/>
        <v>1</v>
      </c>
      <c r="X1366" s="14" t="str">
        <f t="shared" si="6"/>
        <v>Not Assigned</v>
      </c>
      <c r="Y1366" s="15">
        <f t="shared" si="7"/>
        <v>45277</v>
      </c>
      <c r="Z1366" s="14" t="str">
        <f t="shared" si="8"/>
        <v>Credit Card</v>
      </c>
      <c r="AA1366" s="14" t="str">
        <f t="shared" si="9"/>
        <v>Cancelled</v>
      </c>
      <c r="AB1366" s="14" t="str">
        <f t="shared" ref="AB1366:AC1366" si="2736">trim(Q1366)</f>
        <v>Payment Issues</v>
      </c>
      <c r="AC1366" s="14" t="str">
        <f t="shared" si="2736"/>
        <v/>
      </c>
      <c r="AD1366" s="8"/>
    </row>
    <row r="1367">
      <c r="A1367" s="14" t="str">
        <f>IFERROR(__xludf.DUMMYFUNCTION("""COMPUTED_VALUE"""),"//ord_71345//Pranav Joshi//Andheri//Tiramisu+4*Rohan Yadav/8/18/2023//UPI//Delivered*Customer Service: Seamless and easy")</f>
        <v>//ord_71345//Pranav Joshi//Andheri//Tiramisu+4*Rohan Yadav/8/18/2023//UPI//Delivered*Customer Service: Seamless and easy</v>
      </c>
      <c r="B1367" s="14" t="str">
        <f>IFERROR(__xludf.DUMMYFUNCTION("split(A1367,""//"")"),"ord_71345")</f>
        <v>ord_71345</v>
      </c>
      <c r="C1367" s="14" t="str">
        <f>IFERROR(__xludf.DUMMYFUNCTION("""COMPUTED_VALUE"""),"Pranav Joshi")</f>
        <v>Pranav Joshi</v>
      </c>
      <c r="D1367" s="14" t="str">
        <f>IFERROR(__xludf.DUMMYFUNCTION("""COMPUTED_VALUE"""),"Andheri")</f>
        <v>Andheri</v>
      </c>
      <c r="E1367" s="14" t="str">
        <f>IFERROR(__xludf.DUMMYFUNCTION("""COMPUTED_VALUE"""),"Tiramisu+4*Rohan Yadav")</f>
        <v>Tiramisu+4*Rohan Yadav</v>
      </c>
      <c r="F1367" s="14">
        <f>IFERROR(__xludf.DUMMYFUNCTION("""COMPUTED_VALUE"""),8.0)</f>
        <v>8</v>
      </c>
      <c r="G1367" s="14">
        <f>IFERROR(__xludf.DUMMYFUNCTION("""COMPUTED_VALUE"""),18.0)</f>
        <v>18</v>
      </c>
      <c r="H1367" s="14">
        <f>IFERROR(__xludf.DUMMYFUNCTION("""COMPUTED_VALUE"""),2023.0)</f>
        <v>2023</v>
      </c>
      <c r="I1367" s="14" t="str">
        <f>IFERROR(__xludf.DUMMYFUNCTION("""COMPUTED_VALUE"""),"UPI")</f>
        <v>UPI</v>
      </c>
      <c r="J1367" s="14" t="str">
        <f>IFERROR(__xludf.DUMMYFUNCTION("""COMPUTED_VALUE"""),"Delivered*Customer Service: Seamless and easy")</f>
        <v>Delivered*Customer Service: Seamless and easy</v>
      </c>
      <c r="K1367" s="14" t="str">
        <f>IFERROR(__xludf.DUMMYFUNCTION("split(E1367,""+"")"),"Tiramisu")</f>
        <v>Tiramisu</v>
      </c>
      <c r="L1367" s="14" t="str">
        <f>IFERROR(__xludf.DUMMYFUNCTION("""COMPUTED_VALUE"""),"4*Rohan Yadav")</f>
        <v>4*Rohan Yadav</v>
      </c>
      <c r="M1367" s="14">
        <f>IFERROR(__xludf.DUMMYFUNCTION("SPLIT(L1367,""*"")"),4.0)</f>
        <v>4</v>
      </c>
      <c r="N1367" s="14" t="str">
        <f>IFERROR(__xludf.DUMMYFUNCTION("""COMPUTED_VALUE"""),"Rohan Yadav")</f>
        <v>Rohan Yadav</v>
      </c>
      <c r="O1367" s="14" t="str">
        <f>IFERROR(__xludf.DUMMYFUNCTION("split(J1367,""*"")"),"Delivered")</f>
        <v>Delivered</v>
      </c>
      <c r="P1367" s="14" t="str">
        <f>IFERROR(__xludf.DUMMYFUNCTION("""COMPUTED_VALUE"""),"Customer Service: Seamless and easy")</f>
        <v>Customer Service: Seamless and easy</v>
      </c>
      <c r="Q1367" s="14" t="str">
        <f>IFERROR(__xludf.DUMMYFUNCTION("split(P1367,"":"")"),"Customer Service")</f>
        <v>Customer Service</v>
      </c>
      <c r="R1367" s="14" t="str">
        <f>IFERROR(__xludf.DUMMYFUNCTION("""COMPUTED_VALUE""")," Seamless and easy")</f>
        <v> Seamless and easy</v>
      </c>
      <c r="S1367" s="14" t="str">
        <f t="shared" ref="S1367:U1367" si="2737">trim(B1367)</f>
        <v>ord_71345</v>
      </c>
      <c r="T1367" s="14" t="str">
        <f t="shared" si="2737"/>
        <v>Pranav Joshi</v>
      </c>
      <c r="U1367" s="14" t="str">
        <f t="shared" si="2737"/>
        <v>Andheri</v>
      </c>
      <c r="V1367" s="14" t="str">
        <f t="shared" si="4"/>
        <v>Tiramisu</v>
      </c>
      <c r="W1367" s="14">
        <f t="shared" si="5"/>
        <v>4</v>
      </c>
      <c r="X1367" s="14" t="str">
        <f t="shared" si="6"/>
        <v>Rohan Yadav</v>
      </c>
      <c r="Y1367" s="15">
        <f t="shared" si="7"/>
        <v>45156</v>
      </c>
      <c r="Z1367" s="14" t="str">
        <f t="shared" si="8"/>
        <v>UPI</v>
      </c>
      <c r="AA1367" s="14" t="str">
        <f t="shared" si="9"/>
        <v>Delivered</v>
      </c>
      <c r="AB1367" s="14" t="str">
        <f t="shared" ref="AB1367:AC1367" si="2738">trim(Q1367)</f>
        <v>Customer Service</v>
      </c>
      <c r="AC1367" s="14" t="str">
        <f t="shared" si="2738"/>
        <v>Seamless and easy</v>
      </c>
      <c r="AD1367" s="8"/>
    </row>
    <row r="1368">
      <c r="A1368" s="14" t="str">
        <f>IFERROR(__xludf.DUMMYFUNCTION("""COMPUTED_VALUE"""),"//ord_71346//Anaya Rao//Malad//Rasmalai+2*Neha Shah/2/27/2023//Online Payment//Delivered*Delivery Experience: Quick and professional")</f>
        <v>//ord_71346//Anaya Rao//Malad//Rasmalai+2*Neha Shah/2/27/2023//Online Payment//Delivered*Delivery Experience: Quick and professional</v>
      </c>
      <c r="B1368" s="14" t="str">
        <f>IFERROR(__xludf.DUMMYFUNCTION("split(A1368,""//"")"),"ord_71346")</f>
        <v>ord_71346</v>
      </c>
      <c r="C1368" s="14" t="str">
        <f>IFERROR(__xludf.DUMMYFUNCTION("""COMPUTED_VALUE"""),"Anaya Rao")</f>
        <v>Anaya Rao</v>
      </c>
      <c r="D1368" s="14" t="str">
        <f>IFERROR(__xludf.DUMMYFUNCTION("""COMPUTED_VALUE"""),"Malad")</f>
        <v>Malad</v>
      </c>
      <c r="E1368" s="14" t="str">
        <f>IFERROR(__xludf.DUMMYFUNCTION("""COMPUTED_VALUE"""),"Rasmalai+2*Neha Shah")</f>
        <v>Rasmalai+2*Neha Shah</v>
      </c>
      <c r="F1368" s="14">
        <f>IFERROR(__xludf.DUMMYFUNCTION("""COMPUTED_VALUE"""),2.0)</f>
        <v>2</v>
      </c>
      <c r="G1368" s="14">
        <f>IFERROR(__xludf.DUMMYFUNCTION("""COMPUTED_VALUE"""),27.0)</f>
        <v>27</v>
      </c>
      <c r="H1368" s="14">
        <f>IFERROR(__xludf.DUMMYFUNCTION("""COMPUTED_VALUE"""),2023.0)</f>
        <v>2023</v>
      </c>
      <c r="I1368" s="14" t="str">
        <f>IFERROR(__xludf.DUMMYFUNCTION("""COMPUTED_VALUE"""),"Online Payment")</f>
        <v>Online Payment</v>
      </c>
      <c r="J1368" s="14" t="str">
        <f>IFERROR(__xludf.DUMMYFUNCTION("""COMPUTED_VALUE"""),"Delivered*Delivery Experience: Quick and professional")</f>
        <v>Delivered*Delivery Experience: Quick and professional</v>
      </c>
      <c r="K1368" s="14" t="str">
        <f>IFERROR(__xludf.DUMMYFUNCTION("split(E1368,""+"")"),"Rasmalai")</f>
        <v>Rasmalai</v>
      </c>
      <c r="L1368" s="14" t="str">
        <f>IFERROR(__xludf.DUMMYFUNCTION("""COMPUTED_VALUE"""),"2*Neha Shah")</f>
        <v>2*Neha Shah</v>
      </c>
      <c r="M1368" s="14">
        <f>IFERROR(__xludf.DUMMYFUNCTION("SPLIT(L1368,""*"")"),2.0)</f>
        <v>2</v>
      </c>
      <c r="N1368" s="14" t="str">
        <f>IFERROR(__xludf.DUMMYFUNCTION("""COMPUTED_VALUE"""),"Neha Shah")</f>
        <v>Neha Shah</v>
      </c>
      <c r="O1368" s="14" t="str">
        <f>IFERROR(__xludf.DUMMYFUNCTION("split(J1368,""*"")"),"Delivered")</f>
        <v>Delivered</v>
      </c>
      <c r="P1368" s="14" t="str">
        <f>IFERROR(__xludf.DUMMYFUNCTION("""COMPUTED_VALUE"""),"Delivery Experience: Quick and professional")</f>
        <v>Delivery Experience: Quick and professional</v>
      </c>
      <c r="Q1368" s="14" t="str">
        <f>IFERROR(__xludf.DUMMYFUNCTION("split(P1368,"":"")"),"Delivery Experience")</f>
        <v>Delivery Experience</v>
      </c>
      <c r="R1368" s="14" t="str">
        <f>IFERROR(__xludf.DUMMYFUNCTION("""COMPUTED_VALUE""")," Quick and professional")</f>
        <v> Quick and professional</v>
      </c>
      <c r="S1368" s="14" t="str">
        <f t="shared" ref="S1368:U1368" si="2739">trim(B1368)</f>
        <v>ord_71346</v>
      </c>
      <c r="T1368" s="14" t="str">
        <f t="shared" si="2739"/>
        <v>Anaya Rao</v>
      </c>
      <c r="U1368" s="14" t="str">
        <f t="shared" si="2739"/>
        <v>Malad</v>
      </c>
      <c r="V1368" s="14" t="str">
        <f t="shared" si="4"/>
        <v>Rasmalai</v>
      </c>
      <c r="W1368" s="14">
        <f t="shared" si="5"/>
        <v>2</v>
      </c>
      <c r="X1368" s="14" t="str">
        <f t="shared" si="6"/>
        <v>Neha Shah</v>
      </c>
      <c r="Y1368" s="15">
        <f t="shared" si="7"/>
        <v>44984</v>
      </c>
      <c r="Z1368" s="14" t="str">
        <f t="shared" si="8"/>
        <v>Online Payment</v>
      </c>
      <c r="AA1368" s="14" t="str">
        <f t="shared" si="9"/>
        <v>Delivered</v>
      </c>
      <c r="AB1368" s="14" t="str">
        <f t="shared" ref="AB1368:AC1368" si="2740">trim(Q1368)</f>
        <v>Delivery Experience</v>
      </c>
      <c r="AC1368" s="14" t="str">
        <f t="shared" si="2740"/>
        <v>Quick and professional</v>
      </c>
      <c r="AD1368" s="8"/>
    </row>
    <row r="1369">
      <c r="A1369" s="14" t="str">
        <f>IFERROR(__xludf.DUMMYFUNCTION("""COMPUTED_VALUE"""),"//ord_71347//Mohit Malhotra//Lower Parel//Banana+2*Kiran Mehta/3/6/2023//Online Payment//Delivered*Convenience: Easy tracking")</f>
        <v>//ord_71347//Mohit Malhotra//Lower Parel//Banana+2*Kiran Mehta/3/6/2023//Online Payment//Delivered*Convenience: Easy tracking</v>
      </c>
      <c r="B1369" s="14" t="str">
        <f>IFERROR(__xludf.DUMMYFUNCTION("split(A1369,""//"")"),"ord_71347")</f>
        <v>ord_71347</v>
      </c>
      <c r="C1369" s="14" t="str">
        <f>IFERROR(__xludf.DUMMYFUNCTION("""COMPUTED_VALUE"""),"Mohit Malhotra")</f>
        <v>Mohit Malhotra</v>
      </c>
      <c r="D1369" s="14" t="str">
        <f>IFERROR(__xludf.DUMMYFUNCTION("""COMPUTED_VALUE"""),"Lower Parel")</f>
        <v>Lower Parel</v>
      </c>
      <c r="E1369" s="14" t="str">
        <f>IFERROR(__xludf.DUMMYFUNCTION("""COMPUTED_VALUE"""),"Banana+2*Kiran Mehta")</f>
        <v>Banana+2*Kiran Mehta</v>
      </c>
      <c r="F1369" s="14">
        <f>IFERROR(__xludf.DUMMYFUNCTION("""COMPUTED_VALUE"""),3.0)</f>
        <v>3</v>
      </c>
      <c r="G1369" s="14">
        <f>IFERROR(__xludf.DUMMYFUNCTION("""COMPUTED_VALUE"""),6.0)</f>
        <v>6</v>
      </c>
      <c r="H1369" s="14">
        <f>IFERROR(__xludf.DUMMYFUNCTION("""COMPUTED_VALUE"""),2023.0)</f>
        <v>2023</v>
      </c>
      <c r="I1369" s="14" t="str">
        <f>IFERROR(__xludf.DUMMYFUNCTION("""COMPUTED_VALUE"""),"Online Payment")</f>
        <v>Online Payment</v>
      </c>
      <c r="J1369" s="14" t="str">
        <f>IFERROR(__xludf.DUMMYFUNCTION("""COMPUTED_VALUE"""),"Delivered*Convenience: Easy tracking")</f>
        <v>Delivered*Convenience: Easy tracking</v>
      </c>
      <c r="K1369" s="14" t="str">
        <f>IFERROR(__xludf.DUMMYFUNCTION("split(E1369,""+"")"),"Banana")</f>
        <v>Banana</v>
      </c>
      <c r="L1369" s="14" t="str">
        <f>IFERROR(__xludf.DUMMYFUNCTION("""COMPUTED_VALUE"""),"2*Kiran Mehta")</f>
        <v>2*Kiran Mehta</v>
      </c>
      <c r="M1369" s="14">
        <f>IFERROR(__xludf.DUMMYFUNCTION("SPLIT(L1369,""*"")"),2.0)</f>
        <v>2</v>
      </c>
      <c r="N1369" s="14" t="str">
        <f>IFERROR(__xludf.DUMMYFUNCTION("""COMPUTED_VALUE"""),"Kiran Mehta")</f>
        <v>Kiran Mehta</v>
      </c>
      <c r="O1369" s="14" t="str">
        <f>IFERROR(__xludf.DUMMYFUNCTION("split(J1369,""*"")"),"Delivered")</f>
        <v>Delivered</v>
      </c>
      <c r="P1369" s="14" t="str">
        <f>IFERROR(__xludf.DUMMYFUNCTION("""COMPUTED_VALUE"""),"Convenience: Easy tracking")</f>
        <v>Convenience: Easy tracking</v>
      </c>
      <c r="Q1369" s="14" t="str">
        <f>IFERROR(__xludf.DUMMYFUNCTION("split(P1369,"":"")"),"Convenience")</f>
        <v>Convenience</v>
      </c>
      <c r="R1369" s="14" t="str">
        <f>IFERROR(__xludf.DUMMYFUNCTION("""COMPUTED_VALUE""")," Easy tracking")</f>
        <v> Easy tracking</v>
      </c>
      <c r="S1369" s="14" t="str">
        <f t="shared" ref="S1369:U1369" si="2741">trim(B1369)</f>
        <v>ord_71347</v>
      </c>
      <c r="T1369" s="14" t="str">
        <f t="shared" si="2741"/>
        <v>Mohit Malhotra</v>
      </c>
      <c r="U1369" s="14" t="str">
        <f t="shared" si="2741"/>
        <v>Lower Parel</v>
      </c>
      <c r="V1369" s="14" t="str">
        <f t="shared" si="4"/>
        <v>Banana</v>
      </c>
      <c r="W1369" s="14">
        <f t="shared" si="5"/>
        <v>2</v>
      </c>
      <c r="X1369" s="14" t="str">
        <f t="shared" si="6"/>
        <v>Kiran Mehta</v>
      </c>
      <c r="Y1369" s="15">
        <f t="shared" si="7"/>
        <v>44991</v>
      </c>
      <c r="Z1369" s="14" t="str">
        <f t="shared" si="8"/>
        <v>Online Payment</v>
      </c>
      <c r="AA1369" s="14" t="str">
        <f t="shared" si="9"/>
        <v>Delivered</v>
      </c>
      <c r="AB1369" s="14" t="str">
        <f t="shared" ref="AB1369:AC1369" si="2742">trim(Q1369)</f>
        <v>Convenience</v>
      </c>
      <c r="AC1369" s="14" t="str">
        <f t="shared" si="2742"/>
        <v>Easy tracking</v>
      </c>
      <c r="AD1369" s="8"/>
    </row>
    <row r="1370">
      <c r="A1370" s="14" t="str">
        <f>IFERROR(__xludf.DUMMYFUNCTION("""COMPUTED_VALUE"""),"//ord_71348//Arvind Kulkarni//Juhu//Sweet Corn+2*Nikhil Deshmukh/5/18/2023//UPI//Cancelled*Delayed Delivery:Bad Weather Conditions ")</f>
        <v>//ord_71348//Arvind Kulkarni//Juhu//Sweet Corn+2*Nikhil Deshmukh/5/18/2023//UPI//Cancelled*Delayed Delivery:Bad Weather Conditions </v>
      </c>
      <c r="B1370" s="14" t="str">
        <f>IFERROR(__xludf.DUMMYFUNCTION("split(A1370,""//"")"),"ord_71348")</f>
        <v>ord_71348</v>
      </c>
      <c r="C1370" s="14" t="str">
        <f>IFERROR(__xludf.DUMMYFUNCTION("""COMPUTED_VALUE"""),"Arvind Kulkarni")</f>
        <v>Arvind Kulkarni</v>
      </c>
      <c r="D1370" s="14" t="str">
        <f>IFERROR(__xludf.DUMMYFUNCTION("""COMPUTED_VALUE"""),"Juhu")</f>
        <v>Juhu</v>
      </c>
      <c r="E1370" s="14" t="str">
        <f>IFERROR(__xludf.DUMMYFUNCTION("""COMPUTED_VALUE"""),"Sweet Corn+2*Nikhil Deshmukh")</f>
        <v>Sweet Corn+2*Nikhil Deshmukh</v>
      </c>
      <c r="F1370" s="14">
        <f>IFERROR(__xludf.DUMMYFUNCTION("""COMPUTED_VALUE"""),5.0)</f>
        <v>5</v>
      </c>
      <c r="G1370" s="14">
        <f>IFERROR(__xludf.DUMMYFUNCTION("""COMPUTED_VALUE"""),18.0)</f>
        <v>18</v>
      </c>
      <c r="H1370" s="14">
        <f>IFERROR(__xludf.DUMMYFUNCTION("""COMPUTED_VALUE"""),2023.0)</f>
        <v>2023</v>
      </c>
      <c r="I1370" s="14" t="str">
        <f>IFERROR(__xludf.DUMMYFUNCTION("""COMPUTED_VALUE"""),"UPI")</f>
        <v>UPI</v>
      </c>
      <c r="J1370" s="14" t="str">
        <f>IFERROR(__xludf.DUMMYFUNCTION("""COMPUTED_VALUE"""),"Cancelled*Delayed Delivery:Bad Weather Conditions ")</f>
        <v>Cancelled*Delayed Delivery:Bad Weather Conditions </v>
      </c>
      <c r="K1370" s="14" t="str">
        <f>IFERROR(__xludf.DUMMYFUNCTION("split(E1370,""+"")"),"Sweet Corn")</f>
        <v>Sweet Corn</v>
      </c>
      <c r="L1370" s="14" t="str">
        <f>IFERROR(__xludf.DUMMYFUNCTION("""COMPUTED_VALUE"""),"2*Nikhil Deshmukh")</f>
        <v>2*Nikhil Deshmukh</v>
      </c>
      <c r="M1370" s="14">
        <f>IFERROR(__xludf.DUMMYFUNCTION("SPLIT(L1370,""*"")"),2.0)</f>
        <v>2</v>
      </c>
      <c r="N1370" s="14" t="str">
        <f>IFERROR(__xludf.DUMMYFUNCTION("""COMPUTED_VALUE"""),"Nikhil Deshmukh")</f>
        <v>Nikhil Deshmukh</v>
      </c>
      <c r="O1370" s="14" t="str">
        <f>IFERROR(__xludf.DUMMYFUNCTION("split(J1370,""*"")"),"Cancelled")</f>
        <v>Cancelled</v>
      </c>
      <c r="P1370" s="14" t="str">
        <f>IFERROR(__xludf.DUMMYFUNCTION("""COMPUTED_VALUE"""),"Delayed Delivery:Bad Weather Conditions ")</f>
        <v>Delayed Delivery:Bad Weather Conditions </v>
      </c>
      <c r="Q1370" s="14" t="str">
        <f>IFERROR(__xludf.DUMMYFUNCTION("split(P1370,"":"")"),"Delayed Delivery")</f>
        <v>Delayed Delivery</v>
      </c>
      <c r="R1370" s="14" t="str">
        <f>IFERROR(__xludf.DUMMYFUNCTION("""COMPUTED_VALUE"""),"Bad Weather Conditions ")</f>
        <v>Bad Weather Conditions </v>
      </c>
      <c r="S1370" s="14" t="str">
        <f t="shared" ref="S1370:U1370" si="2743">trim(B1370)</f>
        <v>ord_71348</v>
      </c>
      <c r="T1370" s="14" t="str">
        <f t="shared" si="2743"/>
        <v>Arvind Kulkarni</v>
      </c>
      <c r="U1370" s="14" t="str">
        <f t="shared" si="2743"/>
        <v>Juhu</v>
      </c>
      <c r="V1370" s="14" t="str">
        <f t="shared" si="4"/>
        <v>Sweet Corn</v>
      </c>
      <c r="W1370" s="14">
        <f t="shared" si="5"/>
        <v>2</v>
      </c>
      <c r="X1370" s="14" t="str">
        <f t="shared" si="6"/>
        <v>Nikhil Deshmukh</v>
      </c>
      <c r="Y1370" s="15">
        <f t="shared" si="7"/>
        <v>45064</v>
      </c>
      <c r="Z1370" s="14" t="str">
        <f t="shared" si="8"/>
        <v>UPI</v>
      </c>
      <c r="AA1370" s="14" t="str">
        <f t="shared" si="9"/>
        <v>Cancelled</v>
      </c>
      <c r="AB1370" s="14" t="str">
        <f t="shared" ref="AB1370:AC1370" si="2744">trim(Q1370)</f>
        <v>Delayed Delivery</v>
      </c>
      <c r="AC1370" s="14" t="str">
        <f t="shared" si="2744"/>
        <v>Bad Weather Conditions</v>
      </c>
      <c r="AD1370" s="8"/>
    </row>
    <row r="1371">
      <c r="A1371" s="14" t="str">
        <f>IFERROR(__xludf.DUMMYFUNCTION("""COMPUTED_VALUE"""),"//ord_71349//Ishita Banerjee//Juhu//Guava+2*Tanvi Jain/3/4/2023//Online Payment//Delivered*Overall Satisfaction: Great service will order again")</f>
        <v>//ord_71349//Ishita Banerjee//Juhu//Guava+2*Tanvi Jain/3/4/2023//Online Payment//Delivered*Overall Satisfaction: Great service will order again</v>
      </c>
      <c r="B1371" s="14" t="str">
        <f>IFERROR(__xludf.DUMMYFUNCTION("split(A1371,""//"")"),"ord_71349")</f>
        <v>ord_71349</v>
      </c>
      <c r="C1371" s="14" t="str">
        <f>IFERROR(__xludf.DUMMYFUNCTION("""COMPUTED_VALUE"""),"Ishita Banerjee")</f>
        <v>Ishita Banerjee</v>
      </c>
      <c r="D1371" s="14" t="str">
        <f>IFERROR(__xludf.DUMMYFUNCTION("""COMPUTED_VALUE"""),"Juhu")</f>
        <v>Juhu</v>
      </c>
      <c r="E1371" s="14" t="str">
        <f>IFERROR(__xludf.DUMMYFUNCTION("""COMPUTED_VALUE"""),"Guava+2*Tanvi Jain")</f>
        <v>Guava+2*Tanvi Jain</v>
      </c>
      <c r="F1371" s="14">
        <f>IFERROR(__xludf.DUMMYFUNCTION("""COMPUTED_VALUE"""),3.0)</f>
        <v>3</v>
      </c>
      <c r="G1371" s="14">
        <f>IFERROR(__xludf.DUMMYFUNCTION("""COMPUTED_VALUE"""),4.0)</f>
        <v>4</v>
      </c>
      <c r="H1371" s="14">
        <f>IFERROR(__xludf.DUMMYFUNCTION("""COMPUTED_VALUE"""),2023.0)</f>
        <v>2023</v>
      </c>
      <c r="I1371" s="14" t="str">
        <f>IFERROR(__xludf.DUMMYFUNCTION("""COMPUTED_VALUE"""),"Online Payment")</f>
        <v>Online Payment</v>
      </c>
      <c r="J1371" s="14" t="str">
        <f>IFERROR(__xludf.DUMMYFUNCTION("""COMPUTED_VALUE"""),"Delivered*Overall Satisfaction: Great service will order again")</f>
        <v>Delivered*Overall Satisfaction: Great service will order again</v>
      </c>
      <c r="K1371" s="14" t="str">
        <f>IFERROR(__xludf.DUMMYFUNCTION("split(E1371,""+"")"),"Guava")</f>
        <v>Guava</v>
      </c>
      <c r="L1371" s="14" t="str">
        <f>IFERROR(__xludf.DUMMYFUNCTION("""COMPUTED_VALUE"""),"2*Tanvi Jain")</f>
        <v>2*Tanvi Jain</v>
      </c>
      <c r="M1371" s="14">
        <f>IFERROR(__xludf.DUMMYFUNCTION("SPLIT(L1371,""*"")"),2.0)</f>
        <v>2</v>
      </c>
      <c r="N1371" s="14" t="str">
        <f>IFERROR(__xludf.DUMMYFUNCTION("""COMPUTED_VALUE"""),"Tanvi Jain")</f>
        <v>Tanvi Jain</v>
      </c>
      <c r="O1371" s="14" t="str">
        <f>IFERROR(__xludf.DUMMYFUNCTION("split(J1371,""*"")"),"Delivered")</f>
        <v>Delivered</v>
      </c>
      <c r="P1371" s="14" t="str">
        <f>IFERROR(__xludf.DUMMYFUNCTION("""COMPUTED_VALUE"""),"Overall Satisfaction: Great service will order again")</f>
        <v>Overall Satisfaction: Great service will order again</v>
      </c>
      <c r="Q1371" s="14" t="str">
        <f>IFERROR(__xludf.DUMMYFUNCTION("split(P1371,"":"")"),"Overall Satisfaction")</f>
        <v>Overall Satisfaction</v>
      </c>
      <c r="R1371" s="14" t="str">
        <f>IFERROR(__xludf.DUMMYFUNCTION("""COMPUTED_VALUE""")," Great service will order again")</f>
        <v> Great service will order again</v>
      </c>
      <c r="S1371" s="14" t="str">
        <f t="shared" ref="S1371:U1371" si="2745">trim(B1371)</f>
        <v>ord_71349</v>
      </c>
      <c r="T1371" s="14" t="str">
        <f t="shared" si="2745"/>
        <v>Ishita Banerjee</v>
      </c>
      <c r="U1371" s="14" t="str">
        <f t="shared" si="2745"/>
        <v>Juhu</v>
      </c>
      <c r="V1371" s="14" t="str">
        <f t="shared" si="4"/>
        <v>Guava</v>
      </c>
      <c r="W1371" s="14">
        <f t="shared" si="5"/>
        <v>2</v>
      </c>
      <c r="X1371" s="14" t="str">
        <f t="shared" si="6"/>
        <v>Tanvi Jain</v>
      </c>
      <c r="Y1371" s="15">
        <f t="shared" si="7"/>
        <v>44989</v>
      </c>
      <c r="Z1371" s="14" t="str">
        <f t="shared" si="8"/>
        <v>Online Payment</v>
      </c>
      <c r="AA1371" s="14" t="str">
        <f t="shared" si="9"/>
        <v>Delivered</v>
      </c>
      <c r="AB1371" s="14" t="str">
        <f t="shared" ref="AB1371:AC1371" si="2746">trim(Q1371)</f>
        <v>Overall Satisfaction</v>
      </c>
      <c r="AC1371" s="14" t="str">
        <f t="shared" si="2746"/>
        <v>Great service will order again</v>
      </c>
      <c r="AD1371" s="8"/>
    </row>
    <row r="1372">
      <c r="A1372" s="14" t="str">
        <f>IFERROR(__xludf.DUMMYFUNCTION("""COMPUTED_VALUE"""),"//ord_71350//Parth Goel//Juhu//Icecream+2*Tanvi Jain/11/26/2023//UPI//Delivered*On-time Delivery: Delivered on time")</f>
        <v>//ord_71350//Parth Goel//Juhu//Icecream+2*Tanvi Jain/11/26/2023//UPI//Delivered*On-time Delivery: Delivered on time</v>
      </c>
      <c r="B1372" s="14" t="str">
        <f>IFERROR(__xludf.DUMMYFUNCTION("split(A1372,""//"")"),"ord_71350")</f>
        <v>ord_71350</v>
      </c>
      <c r="C1372" s="14" t="str">
        <f>IFERROR(__xludf.DUMMYFUNCTION("""COMPUTED_VALUE"""),"Parth Goel")</f>
        <v>Parth Goel</v>
      </c>
      <c r="D1372" s="14" t="str">
        <f>IFERROR(__xludf.DUMMYFUNCTION("""COMPUTED_VALUE"""),"Juhu")</f>
        <v>Juhu</v>
      </c>
      <c r="E1372" s="14" t="str">
        <f>IFERROR(__xludf.DUMMYFUNCTION("""COMPUTED_VALUE"""),"Icecream+2*Tanvi Jain")</f>
        <v>Icecream+2*Tanvi Jain</v>
      </c>
      <c r="F1372" s="14">
        <f>IFERROR(__xludf.DUMMYFUNCTION("""COMPUTED_VALUE"""),11.0)</f>
        <v>11</v>
      </c>
      <c r="G1372" s="14">
        <f>IFERROR(__xludf.DUMMYFUNCTION("""COMPUTED_VALUE"""),26.0)</f>
        <v>26</v>
      </c>
      <c r="H1372" s="14">
        <f>IFERROR(__xludf.DUMMYFUNCTION("""COMPUTED_VALUE"""),2023.0)</f>
        <v>2023</v>
      </c>
      <c r="I1372" s="14" t="str">
        <f>IFERROR(__xludf.DUMMYFUNCTION("""COMPUTED_VALUE"""),"UPI")</f>
        <v>UPI</v>
      </c>
      <c r="J1372" s="14" t="str">
        <f>IFERROR(__xludf.DUMMYFUNCTION("""COMPUTED_VALUE"""),"Delivered*On-time Delivery: Delivered on time")</f>
        <v>Delivered*On-time Delivery: Delivered on time</v>
      </c>
      <c r="K1372" s="14" t="str">
        <f>IFERROR(__xludf.DUMMYFUNCTION("split(E1372,""+"")"),"Icecream")</f>
        <v>Icecream</v>
      </c>
      <c r="L1372" s="14" t="str">
        <f>IFERROR(__xludf.DUMMYFUNCTION("""COMPUTED_VALUE"""),"2*Tanvi Jain")</f>
        <v>2*Tanvi Jain</v>
      </c>
      <c r="M1372" s="14">
        <f>IFERROR(__xludf.DUMMYFUNCTION("SPLIT(L1372,""*"")"),2.0)</f>
        <v>2</v>
      </c>
      <c r="N1372" s="14" t="str">
        <f>IFERROR(__xludf.DUMMYFUNCTION("""COMPUTED_VALUE"""),"Tanvi Jain")</f>
        <v>Tanvi Jain</v>
      </c>
      <c r="O1372" s="14" t="str">
        <f>IFERROR(__xludf.DUMMYFUNCTION("split(J1372,""*"")"),"Delivered")</f>
        <v>Delivered</v>
      </c>
      <c r="P1372" s="14" t="str">
        <f>IFERROR(__xludf.DUMMYFUNCTION("""COMPUTED_VALUE"""),"On-time Delivery: Delivered on time")</f>
        <v>On-time Delivery: Delivered on time</v>
      </c>
      <c r="Q1372" s="14" t="str">
        <f>IFERROR(__xludf.DUMMYFUNCTION("split(P1372,"":"")"),"On-time Delivery")</f>
        <v>On-time Delivery</v>
      </c>
      <c r="R1372" s="14" t="str">
        <f>IFERROR(__xludf.DUMMYFUNCTION("""COMPUTED_VALUE""")," Delivered on time")</f>
        <v> Delivered on time</v>
      </c>
      <c r="S1372" s="14" t="str">
        <f t="shared" ref="S1372:U1372" si="2747">trim(B1372)</f>
        <v>ord_71350</v>
      </c>
      <c r="T1372" s="14" t="str">
        <f t="shared" si="2747"/>
        <v>Parth Goel</v>
      </c>
      <c r="U1372" s="14" t="str">
        <f t="shared" si="2747"/>
        <v>Juhu</v>
      </c>
      <c r="V1372" s="14" t="str">
        <f t="shared" si="4"/>
        <v>Icecream</v>
      </c>
      <c r="W1372" s="14">
        <f t="shared" si="5"/>
        <v>2</v>
      </c>
      <c r="X1372" s="14" t="str">
        <f t="shared" si="6"/>
        <v>Tanvi Jain</v>
      </c>
      <c r="Y1372" s="15">
        <f t="shared" si="7"/>
        <v>45256</v>
      </c>
      <c r="Z1372" s="14" t="str">
        <f t="shared" si="8"/>
        <v>UPI</v>
      </c>
      <c r="AA1372" s="14" t="str">
        <f t="shared" si="9"/>
        <v>Delivered</v>
      </c>
      <c r="AB1372" s="14" t="str">
        <f t="shared" ref="AB1372:AC1372" si="2748">trim(Q1372)</f>
        <v>On-time Delivery</v>
      </c>
      <c r="AC1372" s="14" t="str">
        <f t="shared" si="2748"/>
        <v>Delivered on time</v>
      </c>
      <c r="AD1372" s="8"/>
    </row>
    <row r="1373">
      <c r="A1373" s="14" t="str">
        <f>IFERROR(__xludf.DUMMYFUNCTION("""COMPUTED_VALUE"""),"//ord_71351//Aarav Mehta//Andheri//Orange+2*Rohan Yadav/4/2/2023//Credit Card//Delivered*Quality of Items: Perfect condition")</f>
        <v>//ord_71351//Aarav Mehta//Andheri//Orange+2*Rohan Yadav/4/2/2023//Credit Card//Delivered*Quality of Items: Perfect condition</v>
      </c>
      <c r="B1373" s="14" t="str">
        <f>IFERROR(__xludf.DUMMYFUNCTION("split(A1373,""//"")"),"ord_71351")</f>
        <v>ord_71351</v>
      </c>
      <c r="C1373" s="14" t="str">
        <f>IFERROR(__xludf.DUMMYFUNCTION("""COMPUTED_VALUE"""),"Aarav Mehta")</f>
        <v>Aarav Mehta</v>
      </c>
      <c r="D1373" s="14" t="str">
        <f>IFERROR(__xludf.DUMMYFUNCTION("""COMPUTED_VALUE"""),"Andheri")</f>
        <v>Andheri</v>
      </c>
      <c r="E1373" s="14" t="str">
        <f>IFERROR(__xludf.DUMMYFUNCTION("""COMPUTED_VALUE"""),"Orange+2*Rohan Yadav")</f>
        <v>Orange+2*Rohan Yadav</v>
      </c>
      <c r="F1373" s="14">
        <f>IFERROR(__xludf.DUMMYFUNCTION("""COMPUTED_VALUE"""),4.0)</f>
        <v>4</v>
      </c>
      <c r="G1373" s="14">
        <f>IFERROR(__xludf.DUMMYFUNCTION("""COMPUTED_VALUE"""),2.0)</f>
        <v>2</v>
      </c>
      <c r="H1373" s="14">
        <f>IFERROR(__xludf.DUMMYFUNCTION("""COMPUTED_VALUE"""),2023.0)</f>
        <v>2023</v>
      </c>
      <c r="I1373" s="14" t="str">
        <f>IFERROR(__xludf.DUMMYFUNCTION("""COMPUTED_VALUE"""),"Credit Card")</f>
        <v>Credit Card</v>
      </c>
      <c r="J1373" s="14" t="str">
        <f>IFERROR(__xludf.DUMMYFUNCTION("""COMPUTED_VALUE"""),"Delivered*Quality of Items: Perfect condition")</f>
        <v>Delivered*Quality of Items: Perfect condition</v>
      </c>
      <c r="K1373" s="14" t="str">
        <f>IFERROR(__xludf.DUMMYFUNCTION("split(E1373,""+"")"),"Orange")</f>
        <v>Orange</v>
      </c>
      <c r="L1373" s="14" t="str">
        <f>IFERROR(__xludf.DUMMYFUNCTION("""COMPUTED_VALUE"""),"2*Rohan Yadav")</f>
        <v>2*Rohan Yadav</v>
      </c>
      <c r="M1373" s="14">
        <f>IFERROR(__xludf.DUMMYFUNCTION("SPLIT(L1373,""*"")"),2.0)</f>
        <v>2</v>
      </c>
      <c r="N1373" s="14" t="str">
        <f>IFERROR(__xludf.DUMMYFUNCTION("""COMPUTED_VALUE"""),"Rohan Yadav")</f>
        <v>Rohan Yadav</v>
      </c>
      <c r="O1373" s="14" t="str">
        <f>IFERROR(__xludf.DUMMYFUNCTION("split(J1373,""*"")"),"Delivered")</f>
        <v>Delivered</v>
      </c>
      <c r="P1373" s="14" t="str">
        <f>IFERROR(__xludf.DUMMYFUNCTION("""COMPUTED_VALUE"""),"Quality of Items: Perfect condition")</f>
        <v>Quality of Items: Perfect condition</v>
      </c>
      <c r="Q1373" s="14" t="str">
        <f>IFERROR(__xludf.DUMMYFUNCTION("split(P1373,"":"")"),"Quality of Items")</f>
        <v>Quality of Items</v>
      </c>
      <c r="R1373" s="14" t="str">
        <f>IFERROR(__xludf.DUMMYFUNCTION("""COMPUTED_VALUE""")," Perfect condition")</f>
        <v> Perfect condition</v>
      </c>
      <c r="S1373" s="14" t="str">
        <f t="shared" ref="S1373:U1373" si="2749">trim(B1373)</f>
        <v>ord_71351</v>
      </c>
      <c r="T1373" s="14" t="str">
        <f t="shared" si="2749"/>
        <v>Aarav Mehta</v>
      </c>
      <c r="U1373" s="14" t="str">
        <f t="shared" si="2749"/>
        <v>Andheri</v>
      </c>
      <c r="V1373" s="14" t="str">
        <f t="shared" si="4"/>
        <v>Orange</v>
      </c>
      <c r="W1373" s="14">
        <f t="shared" si="5"/>
        <v>2</v>
      </c>
      <c r="X1373" s="14" t="str">
        <f t="shared" si="6"/>
        <v>Rohan Yadav</v>
      </c>
      <c r="Y1373" s="15">
        <f t="shared" si="7"/>
        <v>45018</v>
      </c>
      <c r="Z1373" s="14" t="str">
        <f t="shared" si="8"/>
        <v>Credit Card</v>
      </c>
      <c r="AA1373" s="14" t="str">
        <f t="shared" si="9"/>
        <v>Delivered</v>
      </c>
      <c r="AB1373" s="14" t="str">
        <f t="shared" ref="AB1373:AC1373" si="2750">trim(Q1373)</f>
        <v>Quality of Items</v>
      </c>
      <c r="AC1373" s="14" t="str">
        <f t="shared" si="2750"/>
        <v>Perfect condition</v>
      </c>
      <c r="AD1373" s="8"/>
    </row>
    <row r="1374">
      <c r="A1374" s="14" t="str">
        <f>IFERROR(__xludf.DUMMYFUNCTION("""COMPUTED_VALUE"""),"//ord_71352//Siya Reddy//Juhu//Banana+2*Sita T/5/26/2023//Online Payment//Cancelled*Delayed Delivery:High Order Volume")</f>
        <v>//ord_71352//Siya Reddy//Juhu//Banana+2*Sita T/5/26/2023//Online Payment//Cancelled*Delayed Delivery:High Order Volume</v>
      </c>
      <c r="B1374" s="14" t="str">
        <f>IFERROR(__xludf.DUMMYFUNCTION("split(A1374,""//"")"),"ord_71352")</f>
        <v>ord_71352</v>
      </c>
      <c r="C1374" s="14" t="str">
        <f>IFERROR(__xludf.DUMMYFUNCTION("""COMPUTED_VALUE"""),"Siya Reddy")</f>
        <v>Siya Reddy</v>
      </c>
      <c r="D1374" s="14" t="str">
        <f>IFERROR(__xludf.DUMMYFUNCTION("""COMPUTED_VALUE"""),"Juhu")</f>
        <v>Juhu</v>
      </c>
      <c r="E1374" s="14" t="str">
        <f>IFERROR(__xludf.DUMMYFUNCTION("""COMPUTED_VALUE"""),"Banana+2*Sita T")</f>
        <v>Banana+2*Sita T</v>
      </c>
      <c r="F1374" s="14">
        <f>IFERROR(__xludf.DUMMYFUNCTION("""COMPUTED_VALUE"""),5.0)</f>
        <v>5</v>
      </c>
      <c r="G1374" s="14">
        <f>IFERROR(__xludf.DUMMYFUNCTION("""COMPUTED_VALUE"""),26.0)</f>
        <v>26</v>
      </c>
      <c r="H1374" s="14">
        <f>IFERROR(__xludf.DUMMYFUNCTION("""COMPUTED_VALUE"""),2023.0)</f>
        <v>2023</v>
      </c>
      <c r="I1374" s="14" t="str">
        <f>IFERROR(__xludf.DUMMYFUNCTION("""COMPUTED_VALUE"""),"Online Payment")</f>
        <v>Online Payment</v>
      </c>
      <c r="J1374" s="14" t="str">
        <f>IFERROR(__xludf.DUMMYFUNCTION("""COMPUTED_VALUE"""),"Cancelled*Delayed Delivery:High Order Volume")</f>
        <v>Cancelled*Delayed Delivery:High Order Volume</v>
      </c>
      <c r="K1374" s="14" t="str">
        <f>IFERROR(__xludf.DUMMYFUNCTION("split(E1374,""+"")"),"Banana")</f>
        <v>Banana</v>
      </c>
      <c r="L1374" s="14" t="str">
        <f>IFERROR(__xludf.DUMMYFUNCTION("""COMPUTED_VALUE"""),"2*Sita T")</f>
        <v>2*Sita T</v>
      </c>
      <c r="M1374" s="14">
        <f>IFERROR(__xludf.DUMMYFUNCTION("SPLIT(L1374,""*"")"),2.0)</f>
        <v>2</v>
      </c>
      <c r="N1374" s="14" t="str">
        <f>IFERROR(__xludf.DUMMYFUNCTION("""COMPUTED_VALUE"""),"Sita T")</f>
        <v>Sita T</v>
      </c>
      <c r="O1374" s="14" t="str">
        <f>IFERROR(__xludf.DUMMYFUNCTION("split(J1374,""*"")"),"Cancelled")</f>
        <v>Cancelled</v>
      </c>
      <c r="P1374" s="14" t="str">
        <f>IFERROR(__xludf.DUMMYFUNCTION("""COMPUTED_VALUE"""),"Delayed Delivery:High Order Volume")</f>
        <v>Delayed Delivery:High Order Volume</v>
      </c>
      <c r="Q1374" s="14" t="str">
        <f>IFERROR(__xludf.DUMMYFUNCTION("split(P1374,"":"")"),"Delayed Delivery")</f>
        <v>Delayed Delivery</v>
      </c>
      <c r="R1374" s="14" t="str">
        <f>IFERROR(__xludf.DUMMYFUNCTION("""COMPUTED_VALUE"""),"High Order Volume")</f>
        <v>High Order Volume</v>
      </c>
      <c r="S1374" s="14" t="str">
        <f t="shared" ref="S1374:U1374" si="2751">trim(B1374)</f>
        <v>ord_71352</v>
      </c>
      <c r="T1374" s="14" t="str">
        <f t="shared" si="2751"/>
        <v>Siya Reddy</v>
      </c>
      <c r="U1374" s="14" t="str">
        <f t="shared" si="2751"/>
        <v>Juhu</v>
      </c>
      <c r="V1374" s="14" t="str">
        <f t="shared" si="4"/>
        <v>Banana</v>
      </c>
      <c r="W1374" s="14">
        <f t="shared" si="5"/>
        <v>2</v>
      </c>
      <c r="X1374" s="14" t="str">
        <f t="shared" si="6"/>
        <v>Sita T</v>
      </c>
      <c r="Y1374" s="15">
        <f t="shared" si="7"/>
        <v>45072</v>
      </c>
      <c r="Z1374" s="14" t="str">
        <f t="shared" si="8"/>
        <v>Online Payment</v>
      </c>
      <c r="AA1374" s="14" t="str">
        <f t="shared" si="9"/>
        <v>Cancelled</v>
      </c>
      <c r="AB1374" s="14" t="str">
        <f t="shared" ref="AB1374:AC1374" si="2752">trim(Q1374)</f>
        <v>Delayed Delivery</v>
      </c>
      <c r="AC1374" s="14" t="str">
        <f t="shared" si="2752"/>
        <v>High Order Volume</v>
      </c>
      <c r="AD1374" s="8"/>
    </row>
    <row r="1375">
      <c r="A1375" s="14" t="str">
        <f>IFERROR(__xludf.DUMMYFUNCTION("""COMPUTED_VALUE"""),"//ord_71353//Sakshi Tandon//Colaba//Chilli Cheese Toast+4*Nikhil Deshmukh/9/10/2023//UPI//Delivered*On-time Delivery: Delivered on time")</f>
        <v>//ord_71353//Sakshi Tandon//Colaba//Chilli Cheese Toast+4*Nikhil Deshmukh/9/10/2023//UPI//Delivered*On-time Delivery: Delivered on time</v>
      </c>
      <c r="B1375" s="14" t="str">
        <f>IFERROR(__xludf.DUMMYFUNCTION("split(A1375,""//"")"),"ord_71353")</f>
        <v>ord_71353</v>
      </c>
      <c r="C1375" s="14" t="str">
        <f>IFERROR(__xludf.DUMMYFUNCTION("""COMPUTED_VALUE"""),"Sakshi Tandon")</f>
        <v>Sakshi Tandon</v>
      </c>
      <c r="D1375" s="14" t="str">
        <f>IFERROR(__xludf.DUMMYFUNCTION("""COMPUTED_VALUE"""),"Colaba")</f>
        <v>Colaba</v>
      </c>
      <c r="E1375" s="14" t="str">
        <f>IFERROR(__xludf.DUMMYFUNCTION("""COMPUTED_VALUE"""),"Chilli Cheese Toast+4*Nikhil Deshmukh")</f>
        <v>Chilli Cheese Toast+4*Nikhil Deshmukh</v>
      </c>
      <c r="F1375" s="14">
        <f>IFERROR(__xludf.DUMMYFUNCTION("""COMPUTED_VALUE"""),9.0)</f>
        <v>9</v>
      </c>
      <c r="G1375" s="14">
        <f>IFERROR(__xludf.DUMMYFUNCTION("""COMPUTED_VALUE"""),10.0)</f>
        <v>10</v>
      </c>
      <c r="H1375" s="14">
        <f>IFERROR(__xludf.DUMMYFUNCTION("""COMPUTED_VALUE"""),2023.0)</f>
        <v>2023</v>
      </c>
      <c r="I1375" s="14" t="str">
        <f>IFERROR(__xludf.DUMMYFUNCTION("""COMPUTED_VALUE"""),"UPI")</f>
        <v>UPI</v>
      </c>
      <c r="J1375" s="14" t="str">
        <f>IFERROR(__xludf.DUMMYFUNCTION("""COMPUTED_VALUE"""),"Delivered*On-time Delivery: Delivered on time")</f>
        <v>Delivered*On-time Delivery: Delivered on time</v>
      </c>
      <c r="K1375" s="14" t="str">
        <f>IFERROR(__xludf.DUMMYFUNCTION("split(E1375,""+"")"),"Chilli Cheese Toast")</f>
        <v>Chilli Cheese Toast</v>
      </c>
      <c r="L1375" s="14" t="str">
        <f>IFERROR(__xludf.DUMMYFUNCTION("""COMPUTED_VALUE"""),"4*Nikhil Deshmukh")</f>
        <v>4*Nikhil Deshmukh</v>
      </c>
      <c r="M1375" s="14">
        <f>IFERROR(__xludf.DUMMYFUNCTION("SPLIT(L1375,""*"")"),4.0)</f>
        <v>4</v>
      </c>
      <c r="N1375" s="14" t="str">
        <f>IFERROR(__xludf.DUMMYFUNCTION("""COMPUTED_VALUE"""),"Nikhil Deshmukh")</f>
        <v>Nikhil Deshmukh</v>
      </c>
      <c r="O1375" s="14" t="str">
        <f>IFERROR(__xludf.DUMMYFUNCTION("split(J1375,""*"")"),"Delivered")</f>
        <v>Delivered</v>
      </c>
      <c r="P1375" s="14" t="str">
        <f>IFERROR(__xludf.DUMMYFUNCTION("""COMPUTED_VALUE"""),"On-time Delivery: Delivered on time")</f>
        <v>On-time Delivery: Delivered on time</v>
      </c>
      <c r="Q1375" s="14" t="str">
        <f>IFERROR(__xludf.DUMMYFUNCTION("split(P1375,"":"")"),"On-time Delivery")</f>
        <v>On-time Delivery</v>
      </c>
      <c r="R1375" s="14" t="str">
        <f>IFERROR(__xludf.DUMMYFUNCTION("""COMPUTED_VALUE""")," Delivered on time")</f>
        <v> Delivered on time</v>
      </c>
      <c r="S1375" s="14" t="str">
        <f t="shared" ref="S1375:U1375" si="2753">trim(B1375)</f>
        <v>ord_71353</v>
      </c>
      <c r="T1375" s="14" t="str">
        <f t="shared" si="2753"/>
        <v>Sakshi Tandon</v>
      </c>
      <c r="U1375" s="14" t="str">
        <f t="shared" si="2753"/>
        <v>Colaba</v>
      </c>
      <c r="V1375" s="14" t="str">
        <f t="shared" si="4"/>
        <v>Chilli Cheese Toast</v>
      </c>
      <c r="W1375" s="14">
        <f t="shared" si="5"/>
        <v>4</v>
      </c>
      <c r="X1375" s="14" t="str">
        <f t="shared" si="6"/>
        <v>Nikhil Deshmukh</v>
      </c>
      <c r="Y1375" s="15">
        <f t="shared" si="7"/>
        <v>45179</v>
      </c>
      <c r="Z1375" s="14" t="str">
        <f t="shared" si="8"/>
        <v>UPI</v>
      </c>
      <c r="AA1375" s="14" t="str">
        <f t="shared" si="9"/>
        <v>Delivered</v>
      </c>
      <c r="AB1375" s="14" t="str">
        <f t="shared" ref="AB1375:AC1375" si="2754">trim(Q1375)</f>
        <v>On-time Delivery</v>
      </c>
      <c r="AC1375" s="14" t="str">
        <f t="shared" si="2754"/>
        <v>Delivered on time</v>
      </c>
      <c r="AD1375" s="8"/>
    </row>
    <row r="1376">
      <c r="A1376" s="14" t="str">
        <f>IFERROR(__xludf.DUMMYFUNCTION("""COMPUTED_VALUE"""),"//ord_71354//Ishita Banerjee//Juhu//Rasmalai+2*Priya Joshi/10/6/2023//Credit Card//Cancelled*Delayed Delivery:Bad Weather Conditions ")</f>
        <v>//ord_71354//Ishita Banerjee//Juhu//Rasmalai+2*Priya Joshi/10/6/2023//Credit Card//Cancelled*Delayed Delivery:Bad Weather Conditions </v>
      </c>
      <c r="B1376" s="14" t="str">
        <f>IFERROR(__xludf.DUMMYFUNCTION("split(A1376,""//"")"),"ord_71354")</f>
        <v>ord_71354</v>
      </c>
      <c r="C1376" s="14" t="str">
        <f>IFERROR(__xludf.DUMMYFUNCTION("""COMPUTED_VALUE"""),"Ishita Banerjee")</f>
        <v>Ishita Banerjee</v>
      </c>
      <c r="D1376" s="14" t="str">
        <f>IFERROR(__xludf.DUMMYFUNCTION("""COMPUTED_VALUE"""),"Juhu")</f>
        <v>Juhu</v>
      </c>
      <c r="E1376" s="14" t="str">
        <f>IFERROR(__xludf.DUMMYFUNCTION("""COMPUTED_VALUE"""),"Rasmalai+2*Priya Joshi")</f>
        <v>Rasmalai+2*Priya Joshi</v>
      </c>
      <c r="F1376" s="14">
        <f>IFERROR(__xludf.DUMMYFUNCTION("""COMPUTED_VALUE"""),10.0)</f>
        <v>10</v>
      </c>
      <c r="G1376" s="14">
        <f>IFERROR(__xludf.DUMMYFUNCTION("""COMPUTED_VALUE"""),6.0)</f>
        <v>6</v>
      </c>
      <c r="H1376" s="14">
        <f>IFERROR(__xludf.DUMMYFUNCTION("""COMPUTED_VALUE"""),2023.0)</f>
        <v>2023</v>
      </c>
      <c r="I1376" s="14" t="str">
        <f>IFERROR(__xludf.DUMMYFUNCTION("""COMPUTED_VALUE"""),"Credit Card")</f>
        <v>Credit Card</v>
      </c>
      <c r="J1376" s="14" t="str">
        <f>IFERROR(__xludf.DUMMYFUNCTION("""COMPUTED_VALUE"""),"Cancelled*Delayed Delivery:Bad Weather Conditions ")</f>
        <v>Cancelled*Delayed Delivery:Bad Weather Conditions </v>
      </c>
      <c r="K1376" s="14" t="str">
        <f>IFERROR(__xludf.DUMMYFUNCTION("split(E1376,""+"")"),"Rasmalai")</f>
        <v>Rasmalai</v>
      </c>
      <c r="L1376" s="14" t="str">
        <f>IFERROR(__xludf.DUMMYFUNCTION("""COMPUTED_VALUE"""),"2*Priya Joshi")</f>
        <v>2*Priya Joshi</v>
      </c>
      <c r="M1376" s="14">
        <f>IFERROR(__xludf.DUMMYFUNCTION("SPLIT(L1376,""*"")"),2.0)</f>
        <v>2</v>
      </c>
      <c r="N1376" s="14" t="str">
        <f>IFERROR(__xludf.DUMMYFUNCTION("""COMPUTED_VALUE"""),"Priya Joshi")</f>
        <v>Priya Joshi</v>
      </c>
      <c r="O1376" s="14" t="str">
        <f>IFERROR(__xludf.DUMMYFUNCTION("split(J1376,""*"")"),"Cancelled")</f>
        <v>Cancelled</v>
      </c>
      <c r="P1376" s="14" t="str">
        <f>IFERROR(__xludf.DUMMYFUNCTION("""COMPUTED_VALUE"""),"Delayed Delivery:Bad Weather Conditions ")</f>
        <v>Delayed Delivery:Bad Weather Conditions </v>
      </c>
      <c r="Q1376" s="14" t="str">
        <f>IFERROR(__xludf.DUMMYFUNCTION("split(P1376,"":"")"),"Delayed Delivery")</f>
        <v>Delayed Delivery</v>
      </c>
      <c r="R1376" s="14" t="str">
        <f>IFERROR(__xludf.DUMMYFUNCTION("""COMPUTED_VALUE"""),"Bad Weather Conditions ")</f>
        <v>Bad Weather Conditions </v>
      </c>
      <c r="S1376" s="14" t="str">
        <f t="shared" ref="S1376:U1376" si="2755">trim(B1376)</f>
        <v>ord_71354</v>
      </c>
      <c r="T1376" s="14" t="str">
        <f t="shared" si="2755"/>
        <v>Ishita Banerjee</v>
      </c>
      <c r="U1376" s="14" t="str">
        <f t="shared" si="2755"/>
        <v>Juhu</v>
      </c>
      <c r="V1376" s="14" t="str">
        <f t="shared" si="4"/>
        <v>Rasmalai</v>
      </c>
      <c r="W1376" s="14">
        <f t="shared" si="5"/>
        <v>2</v>
      </c>
      <c r="X1376" s="14" t="str">
        <f t="shared" si="6"/>
        <v>Priya Joshi</v>
      </c>
      <c r="Y1376" s="15">
        <f t="shared" si="7"/>
        <v>45205</v>
      </c>
      <c r="Z1376" s="14" t="str">
        <f t="shared" si="8"/>
        <v>Credit Card</v>
      </c>
      <c r="AA1376" s="14" t="str">
        <f t="shared" si="9"/>
        <v>Cancelled</v>
      </c>
      <c r="AB1376" s="14" t="str">
        <f t="shared" ref="AB1376:AC1376" si="2756">trim(Q1376)</f>
        <v>Delayed Delivery</v>
      </c>
      <c r="AC1376" s="14" t="str">
        <f t="shared" si="2756"/>
        <v>Bad Weather Conditions</v>
      </c>
      <c r="AD1376" s="8"/>
    </row>
    <row r="1377">
      <c r="A1377" s="14" t="str">
        <f>IFERROR(__xludf.DUMMYFUNCTION("""COMPUTED_VALUE"""),"//ord_71355//Anaya Rao//Colaba//Apple+1*Nikhil Deshmukh/11/23/2023//Credit Card//Delivered*Quality of Items: Perfect condition")</f>
        <v>//ord_71355//Anaya Rao//Colaba//Apple+1*Nikhil Deshmukh/11/23/2023//Credit Card//Delivered*Quality of Items: Perfect condition</v>
      </c>
      <c r="B1377" s="14" t="str">
        <f>IFERROR(__xludf.DUMMYFUNCTION("split(A1377,""//"")"),"ord_71355")</f>
        <v>ord_71355</v>
      </c>
      <c r="C1377" s="14" t="str">
        <f>IFERROR(__xludf.DUMMYFUNCTION("""COMPUTED_VALUE"""),"Anaya Rao")</f>
        <v>Anaya Rao</v>
      </c>
      <c r="D1377" s="14" t="str">
        <f>IFERROR(__xludf.DUMMYFUNCTION("""COMPUTED_VALUE"""),"Colaba")</f>
        <v>Colaba</v>
      </c>
      <c r="E1377" s="14" t="str">
        <f>IFERROR(__xludf.DUMMYFUNCTION("""COMPUTED_VALUE"""),"Apple+1*Nikhil Deshmukh")</f>
        <v>Apple+1*Nikhil Deshmukh</v>
      </c>
      <c r="F1377" s="14">
        <f>IFERROR(__xludf.DUMMYFUNCTION("""COMPUTED_VALUE"""),11.0)</f>
        <v>11</v>
      </c>
      <c r="G1377" s="14">
        <f>IFERROR(__xludf.DUMMYFUNCTION("""COMPUTED_VALUE"""),23.0)</f>
        <v>23</v>
      </c>
      <c r="H1377" s="14">
        <f>IFERROR(__xludf.DUMMYFUNCTION("""COMPUTED_VALUE"""),2023.0)</f>
        <v>2023</v>
      </c>
      <c r="I1377" s="14" t="str">
        <f>IFERROR(__xludf.DUMMYFUNCTION("""COMPUTED_VALUE"""),"Credit Card")</f>
        <v>Credit Card</v>
      </c>
      <c r="J1377" s="14" t="str">
        <f>IFERROR(__xludf.DUMMYFUNCTION("""COMPUTED_VALUE"""),"Delivered*Quality of Items: Perfect condition")</f>
        <v>Delivered*Quality of Items: Perfect condition</v>
      </c>
      <c r="K1377" s="14" t="str">
        <f>IFERROR(__xludf.DUMMYFUNCTION("split(E1377,""+"")"),"Apple")</f>
        <v>Apple</v>
      </c>
      <c r="L1377" s="14" t="str">
        <f>IFERROR(__xludf.DUMMYFUNCTION("""COMPUTED_VALUE"""),"1*Nikhil Deshmukh")</f>
        <v>1*Nikhil Deshmukh</v>
      </c>
      <c r="M1377" s="14">
        <f>IFERROR(__xludf.DUMMYFUNCTION("SPLIT(L1377,""*"")"),1.0)</f>
        <v>1</v>
      </c>
      <c r="N1377" s="14" t="str">
        <f>IFERROR(__xludf.DUMMYFUNCTION("""COMPUTED_VALUE"""),"Nikhil Deshmukh")</f>
        <v>Nikhil Deshmukh</v>
      </c>
      <c r="O1377" s="14" t="str">
        <f>IFERROR(__xludf.DUMMYFUNCTION("split(J1377,""*"")"),"Delivered")</f>
        <v>Delivered</v>
      </c>
      <c r="P1377" s="14" t="str">
        <f>IFERROR(__xludf.DUMMYFUNCTION("""COMPUTED_VALUE"""),"Quality of Items: Perfect condition")</f>
        <v>Quality of Items: Perfect condition</v>
      </c>
      <c r="Q1377" s="14" t="str">
        <f>IFERROR(__xludf.DUMMYFUNCTION("split(P1377,"":"")"),"Quality of Items")</f>
        <v>Quality of Items</v>
      </c>
      <c r="R1377" s="14" t="str">
        <f>IFERROR(__xludf.DUMMYFUNCTION("""COMPUTED_VALUE""")," Perfect condition")</f>
        <v> Perfect condition</v>
      </c>
      <c r="S1377" s="14" t="str">
        <f t="shared" ref="S1377:U1377" si="2757">trim(B1377)</f>
        <v>ord_71355</v>
      </c>
      <c r="T1377" s="14" t="str">
        <f t="shared" si="2757"/>
        <v>Anaya Rao</v>
      </c>
      <c r="U1377" s="14" t="str">
        <f t="shared" si="2757"/>
        <v>Colaba</v>
      </c>
      <c r="V1377" s="14" t="str">
        <f t="shared" si="4"/>
        <v>Apple</v>
      </c>
      <c r="W1377" s="14">
        <f t="shared" si="5"/>
        <v>1</v>
      </c>
      <c r="X1377" s="14" t="str">
        <f t="shared" si="6"/>
        <v>Nikhil Deshmukh</v>
      </c>
      <c r="Y1377" s="15">
        <f t="shared" si="7"/>
        <v>45253</v>
      </c>
      <c r="Z1377" s="14" t="str">
        <f t="shared" si="8"/>
        <v>Credit Card</v>
      </c>
      <c r="AA1377" s="14" t="str">
        <f t="shared" si="9"/>
        <v>Delivered</v>
      </c>
      <c r="AB1377" s="14" t="str">
        <f t="shared" ref="AB1377:AC1377" si="2758">trim(Q1377)</f>
        <v>Quality of Items</v>
      </c>
      <c r="AC1377" s="14" t="str">
        <f t="shared" si="2758"/>
        <v>Perfect condition</v>
      </c>
      <c r="AD1377" s="8"/>
    </row>
    <row r="1378">
      <c r="A1378" s="14" t="str">
        <f>IFERROR(__xludf.DUMMYFUNCTION("""COMPUTED_VALUE"""),"//ord_71356//Mehul Thakkar//Dadar//Tiramisu+2*Aman Kumar/1/4/2023//Online Payment//Delivered*Packaging: Secure and intact")</f>
        <v>//ord_71356//Mehul Thakkar//Dadar//Tiramisu+2*Aman Kumar/1/4/2023//Online Payment//Delivered*Packaging: Secure and intact</v>
      </c>
      <c r="B1378" s="14" t="str">
        <f>IFERROR(__xludf.DUMMYFUNCTION("split(A1378,""//"")"),"ord_71356")</f>
        <v>ord_71356</v>
      </c>
      <c r="C1378" s="14" t="str">
        <f>IFERROR(__xludf.DUMMYFUNCTION("""COMPUTED_VALUE"""),"Mehul Thakkar")</f>
        <v>Mehul Thakkar</v>
      </c>
      <c r="D1378" s="14" t="str">
        <f>IFERROR(__xludf.DUMMYFUNCTION("""COMPUTED_VALUE"""),"Dadar")</f>
        <v>Dadar</v>
      </c>
      <c r="E1378" s="14" t="str">
        <f>IFERROR(__xludf.DUMMYFUNCTION("""COMPUTED_VALUE"""),"Tiramisu+2*Aman Kumar")</f>
        <v>Tiramisu+2*Aman Kumar</v>
      </c>
      <c r="F1378" s="14">
        <f>IFERROR(__xludf.DUMMYFUNCTION("""COMPUTED_VALUE"""),1.0)</f>
        <v>1</v>
      </c>
      <c r="G1378" s="14">
        <f>IFERROR(__xludf.DUMMYFUNCTION("""COMPUTED_VALUE"""),4.0)</f>
        <v>4</v>
      </c>
      <c r="H1378" s="14">
        <f>IFERROR(__xludf.DUMMYFUNCTION("""COMPUTED_VALUE"""),2023.0)</f>
        <v>2023</v>
      </c>
      <c r="I1378" s="14" t="str">
        <f>IFERROR(__xludf.DUMMYFUNCTION("""COMPUTED_VALUE"""),"Online Payment")</f>
        <v>Online Payment</v>
      </c>
      <c r="J1378" s="14" t="str">
        <f>IFERROR(__xludf.DUMMYFUNCTION("""COMPUTED_VALUE"""),"Delivered*Packaging: Secure and intact")</f>
        <v>Delivered*Packaging: Secure and intact</v>
      </c>
      <c r="K1378" s="14" t="str">
        <f>IFERROR(__xludf.DUMMYFUNCTION("split(E1378,""+"")"),"Tiramisu")</f>
        <v>Tiramisu</v>
      </c>
      <c r="L1378" s="14" t="str">
        <f>IFERROR(__xludf.DUMMYFUNCTION("""COMPUTED_VALUE"""),"2*Aman Kumar")</f>
        <v>2*Aman Kumar</v>
      </c>
      <c r="M1378" s="14">
        <f>IFERROR(__xludf.DUMMYFUNCTION("SPLIT(L1378,""*"")"),2.0)</f>
        <v>2</v>
      </c>
      <c r="N1378" s="14" t="str">
        <f>IFERROR(__xludf.DUMMYFUNCTION("""COMPUTED_VALUE"""),"Aman Kumar")</f>
        <v>Aman Kumar</v>
      </c>
      <c r="O1378" s="14" t="str">
        <f>IFERROR(__xludf.DUMMYFUNCTION("split(J1378,""*"")"),"Delivered")</f>
        <v>Delivered</v>
      </c>
      <c r="P1378" s="14" t="str">
        <f>IFERROR(__xludf.DUMMYFUNCTION("""COMPUTED_VALUE"""),"Packaging: Secure and intact")</f>
        <v>Packaging: Secure and intact</v>
      </c>
      <c r="Q1378" s="14" t="str">
        <f>IFERROR(__xludf.DUMMYFUNCTION("split(P1378,"":"")"),"Packaging")</f>
        <v>Packaging</v>
      </c>
      <c r="R1378" s="14" t="str">
        <f>IFERROR(__xludf.DUMMYFUNCTION("""COMPUTED_VALUE""")," Secure and intact")</f>
        <v> Secure and intact</v>
      </c>
      <c r="S1378" s="14" t="str">
        <f t="shared" ref="S1378:U1378" si="2759">trim(B1378)</f>
        <v>ord_71356</v>
      </c>
      <c r="T1378" s="14" t="str">
        <f t="shared" si="2759"/>
        <v>Mehul Thakkar</v>
      </c>
      <c r="U1378" s="14" t="str">
        <f t="shared" si="2759"/>
        <v>Dadar</v>
      </c>
      <c r="V1378" s="14" t="str">
        <f t="shared" si="4"/>
        <v>Tiramisu</v>
      </c>
      <c r="W1378" s="14">
        <f t="shared" si="5"/>
        <v>2</v>
      </c>
      <c r="X1378" s="14" t="str">
        <f t="shared" si="6"/>
        <v>Aman Kumar</v>
      </c>
      <c r="Y1378" s="15">
        <f t="shared" si="7"/>
        <v>44930</v>
      </c>
      <c r="Z1378" s="14" t="str">
        <f t="shared" si="8"/>
        <v>Online Payment</v>
      </c>
      <c r="AA1378" s="14" t="str">
        <f t="shared" si="9"/>
        <v>Delivered</v>
      </c>
      <c r="AB1378" s="14" t="str">
        <f t="shared" ref="AB1378:AC1378" si="2760">trim(Q1378)</f>
        <v>Packaging</v>
      </c>
      <c r="AC1378" s="14" t="str">
        <f t="shared" si="2760"/>
        <v>Secure and intact</v>
      </c>
      <c r="AD1378" s="8"/>
    </row>
    <row r="1379">
      <c r="A1379" s="14" t="str">
        <f>IFERROR(__xludf.DUMMYFUNCTION("""COMPUTED_VALUE"""),"//ord_71357//Aditi Iyer//Bandra//Popcorn+1*Priya Joshi/9/29/2023//UPI//Delivered*Satisfied with the Delivery: Timely and quality")</f>
        <v>//ord_71357//Aditi Iyer//Bandra//Popcorn+1*Priya Joshi/9/29/2023//UPI//Delivered*Satisfied with the Delivery: Timely and quality</v>
      </c>
      <c r="B1379" s="14" t="str">
        <f>IFERROR(__xludf.DUMMYFUNCTION("split(A1379,""//"")"),"ord_71357")</f>
        <v>ord_71357</v>
      </c>
      <c r="C1379" s="14" t="str">
        <f>IFERROR(__xludf.DUMMYFUNCTION("""COMPUTED_VALUE"""),"Aditi Iyer")</f>
        <v>Aditi Iyer</v>
      </c>
      <c r="D1379" s="14" t="str">
        <f>IFERROR(__xludf.DUMMYFUNCTION("""COMPUTED_VALUE"""),"Bandra")</f>
        <v>Bandra</v>
      </c>
      <c r="E1379" s="14" t="str">
        <f>IFERROR(__xludf.DUMMYFUNCTION("""COMPUTED_VALUE"""),"Popcorn+1*Priya Joshi")</f>
        <v>Popcorn+1*Priya Joshi</v>
      </c>
      <c r="F1379" s="14">
        <f>IFERROR(__xludf.DUMMYFUNCTION("""COMPUTED_VALUE"""),9.0)</f>
        <v>9</v>
      </c>
      <c r="G1379" s="14">
        <f>IFERROR(__xludf.DUMMYFUNCTION("""COMPUTED_VALUE"""),29.0)</f>
        <v>29</v>
      </c>
      <c r="H1379" s="14">
        <f>IFERROR(__xludf.DUMMYFUNCTION("""COMPUTED_VALUE"""),2023.0)</f>
        <v>2023</v>
      </c>
      <c r="I1379" s="14" t="str">
        <f>IFERROR(__xludf.DUMMYFUNCTION("""COMPUTED_VALUE"""),"UPI")</f>
        <v>UPI</v>
      </c>
      <c r="J1379" s="14" t="str">
        <f>IFERROR(__xludf.DUMMYFUNCTION("""COMPUTED_VALUE"""),"Delivered*Satisfied with the Delivery: Timely and quality")</f>
        <v>Delivered*Satisfied with the Delivery: Timely and quality</v>
      </c>
      <c r="K1379" s="14" t="str">
        <f>IFERROR(__xludf.DUMMYFUNCTION("split(E1379,""+"")"),"Popcorn")</f>
        <v>Popcorn</v>
      </c>
      <c r="L1379" s="14" t="str">
        <f>IFERROR(__xludf.DUMMYFUNCTION("""COMPUTED_VALUE"""),"1*Priya Joshi")</f>
        <v>1*Priya Joshi</v>
      </c>
      <c r="M1379" s="14">
        <f>IFERROR(__xludf.DUMMYFUNCTION("SPLIT(L1379,""*"")"),1.0)</f>
        <v>1</v>
      </c>
      <c r="N1379" s="14" t="str">
        <f>IFERROR(__xludf.DUMMYFUNCTION("""COMPUTED_VALUE"""),"Priya Joshi")</f>
        <v>Priya Joshi</v>
      </c>
      <c r="O1379" s="14" t="str">
        <f>IFERROR(__xludf.DUMMYFUNCTION("split(J1379,""*"")"),"Delivered")</f>
        <v>Delivered</v>
      </c>
      <c r="P1379" s="14" t="str">
        <f>IFERROR(__xludf.DUMMYFUNCTION("""COMPUTED_VALUE"""),"Satisfied with the Delivery: Timely and quality")</f>
        <v>Satisfied with the Delivery: Timely and quality</v>
      </c>
      <c r="Q1379" s="14" t="str">
        <f>IFERROR(__xludf.DUMMYFUNCTION("split(P1379,"":"")"),"Satisfied with the Delivery")</f>
        <v>Satisfied with the Delivery</v>
      </c>
      <c r="R1379" s="14" t="str">
        <f>IFERROR(__xludf.DUMMYFUNCTION("""COMPUTED_VALUE""")," Timely and quality")</f>
        <v> Timely and quality</v>
      </c>
      <c r="S1379" s="14" t="str">
        <f t="shared" ref="S1379:U1379" si="2761">trim(B1379)</f>
        <v>ord_71357</v>
      </c>
      <c r="T1379" s="14" t="str">
        <f t="shared" si="2761"/>
        <v>Aditi Iyer</v>
      </c>
      <c r="U1379" s="14" t="str">
        <f t="shared" si="2761"/>
        <v>Bandra</v>
      </c>
      <c r="V1379" s="14" t="str">
        <f t="shared" si="4"/>
        <v>Popcorn</v>
      </c>
      <c r="W1379" s="14">
        <f t="shared" si="5"/>
        <v>1</v>
      </c>
      <c r="X1379" s="14" t="str">
        <f t="shared" si="6"/>
        <v>Priya Joshi</v>
      </c>
      <c r="Y1379" s="15">
        <f t="shared" si="7"/>
        <v>45198</v>
      </c>
      <c r="Z1379" s="14" t="str">
        <f t="shared" si="8"/>
        <v>UPI</v>
      </c>
      <c r="AA1379" s="14" t="str">
        <f t="shared" si="9"/>
        <v>Delivered</v>
      </c>
      <c r="AB1379" s="14" t="str">
        <f t="shared" ref="AB1379:AC1379" si="2762">trim(Q1379)</f>
        <v>Satisfied with the Delivery</v>
      </c>
      <c r="AC1379" s="14" t="str">
        <f t="shared" si="2762"/>
        <v>Timely and quality</v>
      </c>
      <c r="AD1379" s="8"/>
    </row>
    <row r="1380">
      <c r="A1380" s="14" t="str">
        <f>IFERROR(__xludf.DUMMYFUNCTION("""COMPUTED_VALUE"""),"//ord_71358//Omkar Mishra//Powai//Chilli Cheese Toast+5*Sandeep Kumar/1/2/2023//Online Payment//Delivered*Customer Service: Seamless and easy")</f>
        <v>//ord_71358//Omkar Mishra//Powai//Chilli Cheese Toast+5*Sandeep Kumar/1/2/2023//Online Payment//Delivered*Customer Service: Seamless and easy</v>
      </c>
      <c r="B1380" s="14" t="str">
        <f>IFERROR(__xludf.DUMMYFUNCTION("split(A1380,""//"")"),"ord_71358")</f>
        <v>ord_71358</v>
      </c>
      <c r="C1380" s="14" t="str">
        <f>IFERROR(__xludf.DUMMYFUNCTION("""COMPUTED_VALUE"""),"Omkar Mishra")</f>
        <v>Omkar Mishra</v>
      </c>
      <c r="D1380" s="14" t="str">
        <f>IFERROR(__xludf.DUMMYFUNCTION("""COMPUTED_VALUE"""),"Powai")</f>
        <v>Powai</v>
      </c>
      <c r="E1380" s="14" t="str">
        <f>IFERROR(__xludf.DUMMYFUNCTION("""COMPUTED_VALUE"""),"Chilli Cheese Toast+5*Sandeep Kumar")</f>
        <v>Chilli Cheese Toast+5*Sandeep Kumar</v>
      </c>
      <c r="F1380" s="14">
        <f>IFERROR(__xludf.DUMMYFUNCTION("""COMPUTED_VALUE"""),1.0)</f>
        <v>1</v>
      </c>
      <c r="G1380" s="14">
        <f>IFERROR(__xludf.DUMMYFUNCTION("""COMPUTED_VALUE"""),2.0)</f>
        <v>2</v>
      </c>
      <c r="H1380" s="14">
        <f>IFERROR(__xludf.DUMMYFUNCTION("""COMPUTED_VALUE"""),2023.0)</f>
        <v>2023</v>
      </c>
      <c r="I1380" s="14" t="str">
        <f>IFERROR(__xludf.DUMMYFUNCTION("""COMPUTED_VALUE"""),"Online Payment")</f>
        <v>Online Payment</v>
      </c>
      <c r="J1380" s="14" t="str">
        <f>IFERROR(__xludf.DUMMYFUNCTION("""COMPUTED_VALUE"""),"Delivered*Customer Service: Seamless and easy")</f>
        <v>Delivered*Customer Service: Seamless and easy</v>
      </c>
      <c r="K1380" s="14" t="str">
        <f>IFERROR(__xludf.DUMMYFUNCTION("split(E1380,""+"")"),"Chilli Cheese Toast")</f>
        <v>Chilli Cheese Toast</v>
      </c>
      <c r="L1380" s="14" t="str">
        <f>IFERROR(__xludf.DUMMYFUNCTION("""COMPUTED_VALUE"""),"5*Sandeep Kumar")</f>
        <v>5*Sandeep Kumar</v>
      </c>
      <c r="M1380" s="14">
        <f>IFERROR(__xludf.DUMMYFUNCTION("SPLIT(L1380,""*"")"),5.0)</f>
        <v>5</v>
      </c>
      <c r="N1380" s="14" t="str">
        <f>IFERROR(__xludf.DUMMYFUNCTION("""COMPUTED_VALUE"""),"Sandeep Kumar")</f>
        <v>Sandeep Kumar</v>
      </c>
      <c r="O1380" s="14" t="str">
        <f>IFERROR(__xludf.DUMMYFUNCTION("split(J1380,""*"")"),"Delivered")</f>
        <v>Delivered</v>
      </c>
      <c r="P1380" s="14" t="str">
        <f>IFERROR(__xludf.DUMMYFUNCTION("""COMPUTED_VALUE"""),"Customer Service: Seamless and easy")</f>
        <v>Customer Service: Seamless and easy</v>
      </c>
      <c r="Q1380" s="14" t="str">
        <f>IFERROR(__xludf.DUMMYFUNCTION("split(P1380,"":"")"),"Customer Service")</f>
        <v>Customer Service</v>
      </c>
      <c r="R1380" s="14" t="str">
        <f>IFERROR(__xludf.DUMMYFUNCTION("""COMPUTED_VALUE""")," Seamless and easy")</f>
        <v> Seamless and easy</v>
      </c>
      <c r="S1380" s="14" t="str">
        <f t="shared" ref="S1380:U1380" si="2763">trim(B1380)</f>
        <v>ord_71358</v>
      </c>
      <c r="T1380" s="14" t="str">
        <f t="shared" si="2763"/>
        <v>Omkar Mishra</v>
      </c>
      <c r="U1380" s="14" t="str">
        <f t="shared" si="2763"/>
        <v>Powai</v>
      </c>
      <c r="V1380" s="14" t="str">
        <f t="shared" si="4"/>
        <v>Chilli Cheese Toast</v>
      </c>
      <c r="W1380" s="14">
        <f t="shared" si="5"/>
        <v>5</v>
      </c>
      <c r="X1380" s="14" t="str">
        <f t="shared" si="6"/>
        <v>Sandeep Kumar</v>
      </c>
      <c r="Y1380" s="15">
        <f t="shared" si="7"/>
        <v>44928</v>
      </c>
      <c r="Z1380" s="14" t="str">
        <f t="shared" si="8"/>
        <v>Online Payment</v>
      </c>
      <c r="AA1380" s="14" t="str">
        <f t="shared" si="9"/>
        <v>Delivered</v>
      </c>
      <c r="AB1380" s="14" t="str">
        <f t="shared" ref="AB1380:AC1380" si="2764">trim(Q1380)</f>
        <v>Customer Service</v>
      </c>
      <c r="AC1380" s="14" t="str">
        <f t="shared" si="2764"/>
        <v>Seamless and easy</v>
      </c>
      <c r="AD1380" s="8"/>
    </row>
    <row r="1381">
      <c r="A1381" s="14" t="str">
        <f>IFERROR(__xludf.DUMMYFUNCTION("""COMPUTED_VALUE"""),"//ord_71359//Dev Chauhan//Bandra//Icecream+1*Priya Joshi/4/28/2023//COD//Delivered*Delivery Experience: Quick and professional")</f>
        <v>//ord_71359//Dev Chauhan//Bandra//Icecream+1*Priya Joshi/4/28/2023//COD//Delivered*Delivery Experience: Quick and professional</v>
      </c>
      <c r="B1381" s="14" t="str">
        <f>IFERROR(__xludf.DUMMYFUNCTION("split(A1381,""//"")"),"ord_71359")</f>
        <v>ord_71359</v>
      </c>
      <c r="C1381" s="14" t="str">
        <f>IFERROR(__xludf.DUMMYFUNCTION("""COMPUTED_VALUE"""),"Dev Chauhan")</f>
        <v>Dev Chauhan</v>
      </c>
      <c r="D1381" s="14" t="str">
        <f>IFERROR(__xludf.DUMMYFUNCTION("""COMPUTED_VALUE"""),"Bandra")</f>
        <v>Bandra</v>
      </c>
      <c r="E1381" s="14" t="str">
        <f>IFERROR(__xludf.DUMMYFUNCTION("""COMPUTED_VALUE"""),"Icecream+1*Priya Joshi")</f>
        <v>Icecream+1*Priya Joshi</v>
      </c>
      <c r="F1381" s="14">
        <f>IFERROR(__xludf.DUMMYFUNCTION("""COMPUTED_VALUE"""),4.0)</f>
        <v>4</v>
      </c>
      <c r="G1381" s="14">
        <f>IFERROR(__xludf.DUMMYFUNCTION("""COMPUTED_VALUE"""),28.0)</f>
        <v>28</v>
      </c>
      <c r="H1381" s="14">
        <f>IFERROR(__xludf.DUMMYFUNCTION("""COMPUTED_VALUE"""),2023.0)</f>
        <v>2023</v>
      </c>
      <c r="I1381" s="14" t="str">
        <f>IFERROR(__xludf.DUMMYFUNCTION("""COMPUTED_VALUE"""),"COD")</f>
        <v>COD</v>
      </c>
      <c r="J1381" s="14" t="str">
        <f>IFERROR(__xludf.DUMMYFUNCTION("""COMPUTED_VALUE"""),"Delivered*Delivery Experience: Quick and professional")</f>
        <v>Delivered*Delivery Experience: Quick and professional</v>
      </c>
      <c r="K1381" s="14" t="str">
        <f>IFERROR(__xludf.DUMMYFUNCTION("split(E1381,""+"")"),"Icecream")</f>
        <v>Icecream</v>
      </c>
      <c r="L1381" s="14" t="str">
        <f>IFERROR(__xludf.DUMMYFUNCTION("""COMPUTED_VALUE"""),"1*Priya Joshi")</f>
        <v>1*Priya Joshi</v>
      </c>
      <c r="M1381" s="14">
        <f>IFERROR(__xludf.DUMMYFUNCTION("SPLIT(L1381,""*"")"),1.0)</f>
        <v>1</v>
      </c>
      <c r="N1381" s="14" t="str">
        <f>IFERROR(__xludf.DUMMYFUNCTION("""COMPUTED_VALUE"""),"Priya Joshi")</f>
        <v>Priya Joshi</v>
      </c>
      <c r="O1381" s="14" t="str">
        <f>IFERROR(__xludf.DUMMYFUNCTION("split(J1381,""*"")"),"Delivered")</f>
        <v>Delivered</v>
      </c>
      <c r="P1381" s="14" t="str">
        <f>IFERROR(__xludf.DUMMYFUNCTION("""COMPUTED_VALUE"""),"Delivery Experience: Quick and professional")</f>
        <v>Delivery Experience: Quick and professional</v>
      </c>
      <c r="Q1381" s="14" t="str">
        <f>IFERROR(__xludf.DUMMYFUNCTION("split(P1381,"":"")"),"Delivery Experience")</f>
        <v>Delivery Experience</v>
      </c>
      <c r="R1381" s="14" t="str">
        <f>IFERROR(__xludf.DUMMYFUNCTION("""COMPUTED_VALUE""")," Quick and professional")</f>
        <v> Quick and professional</v>
      </c>
      <c r="S1381" s="14" t="str">
        <f t="shared" ref="S1381:U1381" si="2765">trim(B1381)</f>
        <v>ord_71359</v>
      </c>
      <c r="T1381" s="14" t="str">
        <f t="shared" si="2765"/>
        <v>Dev Chauhan</v>
      </c>
      <c r="U1381" s="14" t="str">
        <f t="shared" si="2765"/>
        <v>Bandra</v>
      </c>
      <c r="V1381" s="14" t="str">
        <f t="shared" si="4"/>
        <v>Icecream</v>
      </c>
      <c r="W1381" s="14">
        <f t="shared" si="5"/>
        <v>1</v>
      </c>
      <c r="X1381" s="14" t="str">
        <f t="shared" si="6"/>
        <v>Priya Joshi</v>
      </c>
      <c r="Y1381" s="15">
        <f t="shared" si="7"/>
        <v>45044</v>
      </c>
      <c r="Z1381" s="14" t="str">
        <f t="shared" si="8"/>
        <v>COD</v>
      </c>
      <c r="AA1381" s="14" t="str">
        <f t="shared" si="9"/>
        <v>Delivered</v>
      </c>
      <c r="AB1381" s="14" t="str">
        <f t="shared" ref="AB1381:AC1381" si="2766">trim(Q1381)</f>
        <v>Delivery Experience</v>
      </c>
      <c r="AC1381" s="14" t="str">
        <f t="shared" si="2766"/>
        <v>Quick and professional</v>
      </c>
      <c r="AD1381" s="8"/>
    </row>
    <row r="1382">
      <c r="A1382" s="14" t="str">
        <f>IFERROR(__xludf.DUMMYFUNCTION("""COMPUTED_VALUE"""),"//ord_71360//Ishaan Chaturvedi//Bandra//Banana+1*Priya Joshi/10/11/2023//Online Payment//Delivered*Convenience: Easy tracking")</f>
        <v>//ord_71360//Ishaan Chaturvedi//Bandra//Banana+1*Priya Joshi/10/11/2023//Online Payment//Delivered*Convenience: Easy tracking</v>
      </c>
      <c r="B1382" s="14" t="str">
        <f>IFERROR(__xludf.DUMMYFUNCTION("split(A1382,""//"")"),"ord_71360")</f>
        <v>ord_71360</v>
      </c>
      <c r="C1382" s="14" t="str">
        <f>IFERROR(__xludf.DUMMYFUNCTION("""COMPUTED_VALUE"""),"Ishaan Chaturvedi")</f>
        <v>Ishaan Chaturvedi</v>
      </c>
      <c r="D1382" s="14" t="str">
        <f>IFERROR(__xludf.DUMMYFUNCTION("""COMPUTED_VALUE"""),"Bandra")</f>
        <v>Bandra</v>
      </c>
      <c r="E1382" s="14" t="str">
        <f>IFERROR(__xludf.DUMMYFUNCTION("""COMPUTED_VALUE"""),"Banana+1*Priya Joshi")</f>
        <v>Banana+1*Priya Joshi</v>
      </c>
      <c r="F1382" s="14">
        <f>IFERROR(__xludf.DUMMYFUNCTION("""COMPUTED_VALUE"""),10.0)</f>
        <v>10</v>
      </c>
      <c r="G1382" s="14">
        <f>IFERROR(__xludf.DUMMYFUNCTION("""COMPUTED_VALUE"""),11.0)</f>
        <v>11</v>
      </c>
      <c r="H1382" s="14">
        <f>IFERROR(__xludf.DUMMYFUNCTION("""COMPUTED_VALUE"""),2023.0)</f>
        <v>2023</v>
      </c>
      <c r="I1382" s="14" t="str">
        <f>IFERROR(__xludf.DUMMYFUNCTION("""COMPUTED_VALUE"""),"Online Payment")</f>
        <v>Online Payment</v>
      </c>
      <c r="J1382" s="14" t="str">
        <f>IFERROR(__xludf.DUMMYFUNCTION("""COMPUTED_VALUE"""),"Delivered*Convenience: Easy tracking")</f>
        <v>Delivered*Convenience: Easy tracking</v>
      </c>
      <c r="K1382" s="14" t="str">
        <f>IFERROR(__xludf.DUMMYFUNCTION("split(E1382,""+"")"),"Banana")</f>
        <v>Banana</v>
      </c>
      <c r="L1382" s="14" t="str">
        <f>IFERROR(__xludf.DUMMYFUNCTION("""COMPUTED_VALUE"""),"1*Priya Joshi")</f>
        <v>1*Priya Joshi</v>
      </c>
      <c r="M1382" s="14">
        <f>IFERROR(__xludf.DUMMYFUNCTION("SPLIT(L1382,""*"")"),1.0)</f>
        <v>1</v>
      </c>
      <c r="N1382" s="14" t="str">
        <f>IFERROR(__xludf.DUMMYFUNCTION("""COMPUTED_VALUE"""),"Priya Joshi")</f>
        <v>Priya Joshi</v>
      </c>
      <c r="O1382" s="14" t="str">
        <f>IFERROR(__xludf.DUMMYFUNCTION("split(J1382,""*"")"),"Delivered")</f>
        <v>Delivered</v>
      </c>
      <c r="P1382" s="14" t="str">
        <f>IFERROR(__xludf.DUMMYFUNCTION("""COMPUTED_VALUE"""),"Convenience: Easy tracking")</f>
        <v>Convenience: Easy tracking</v>
      </c>
      <c r="Q1382" s="14" t="str">
        <f>IFERROR(__xludf.DUMMYFUNCTION("split(P1382,"":"")"),"Convenience")</f>
        <v>Convenience</v>
      </c>
      <c r="R1382" s="14" t="str">
        <f>IFERROR(__xludf.DUMMYFUNCTION("""COMPUTED_VALUE""")," Easy tracking")</f>
        <v> Easy tracking</v>
      </c>
      <c r="S1382" s="14" t="str">
        <f t="shared" ref="S1382:U1382" si="2767">trim(B1382)</f>
        <v>ord_71360</v>
      </c>
      <c r="T1382" s="14" t="str">
        <f t="shared" si="2767"/>
        <v>Ishaan Chaturvedi</v>
      </c>
      <c r="U1382" s="14" t="str">
        <f t="shared" si="2767"/>
        <v>Bandra</v>
      </c>
      <c r="V1382" s="14" t="str">
        <f t="shared" si="4"/>
        <v>Banana</v>
      </c>
      <c r="W1382" s="14">
        <f t="shared" si="5"/>
        <v>1</v>
      </c>
      <c r="X1382" s="14" t="str">
        <f t="shared" si="6"/>
        <v>Priya Joshi</v>
      </c>
      <c r="Y1382" s="15">
        <f t="shared" si="7"/>
        <v>45210</v>
      </c>
      <c r="Z1382" s="14" t="str">
        <f t="shared" si="8"/>
        <v>Online Payment</v>
      </c>
      <c r="AA1382" s="14" t="str">
        <f t="shared" si="9"/>
        <v>Delivered</v>
      </c>
      <c r="AB1382" s="14" t="str">
        <f t="shared" ref="AB1382:AC1382" si="2768">trim(Q1382)</f>
        <v>Convenience</v>
      </c>
      <c r="AC1382" s="14" t="str">
        <f t="shared" si="2768"/>
        <v>Easy tracking</v>
      </c>
      <c r="AD1382" s="8"/>
    </row>
    <row r="1383">
      <c r="A1383" s="14" t="str">
        <f>IFERROR(__xludf.DUMMYFUNCTION("""COMPUTED_VALUE"""),"//ord_71361//Sanjay Nair//Dadar//Guava+1*Aman Kumar/1/30/2023//Online Payment//Delivered*Overall Satisfaction: Great service will order again")</f>
        <v>//ord_71361//Sanjay Nair//Dadar//Guava+1*Aman Kumar/1/30/2023//Online Payment//Delivered*Overall Satisfaction: Great service will order again</v>
      </c>
      <c r="B1383" s="14" t="str">
        <f>IFERROR(__xludf.DUMMYFUNCTION("split(A1383,""//"")"),"ord_71361")</f>
        <v>ord_71361</v>
      </c>
      <c r="C1383" s="14" t="str">
        <f>IFERROR(__xludf.DUMMYFUNCTION("""COMPUTED_VALUE"""),"Sanjay Nair")</f>
        <v>Sanjay Nair</v>
      </c>
      <c r="D1383" s="14" t="str">
        <f>IFERROR(__xludf.DUMMYFUNCTION("""COMPUTED_VALUE"""),"Dadar")</f>
        <v>Dadar</v>
      </c>
      <c r="E1383" s="14" t="str">
        <f>IFERROR(__xludf.DUMMYFUNCTION("""COMPUTED_VALUE"""),"Guava+1*Aman Kumar")</f>
        <v>Guava+1*Aman Kumar</v>
      </c>
      <c r="F1383" s="14">
        <f>IFERROR(__xludf.DUMMYFUNCTION("""COMPUTED_VALUE"""),1.0)</f>
        <v>1</v>
      </c>
      <c r="G1383" s="14">
        <f>IFERROR(__xludf.DUMMYFUNCTION("""COMPUTED_VALUE"""),30.0)</f>
        <v>30</v>
      </c>
      <c r="H1383" s="14">
        <f>IFERROR(__xludf.DUMMYFUNCTION("""COMPUTED_VALUE"""),2023.0)</f>
        <v>2023</v>
      </c>
      <c r="I1383" s="14" t="str">
        <f>IFERROR(__xludf.DUMMYFUNCTION("""COMPUTED_VALUE"""),"Online Payment")</f>
        <v>Online Payment</v>
      </c>
      <c r="J1383" s="14" t="str">
        <f>IFERROR(__xludf.DUMMYFUNCTION("""COMPUTED_VALUE"""),"Delivered*Overall Satisfaction: Great service will order again")</f>
        <v>Delivered*Overall Satisfaction: Great service will order again</v>
      </c>
      <c r="K1383" s="14" t="str">
        <f>IFERROR(__xludf.DUMMYFUNCTION("split(E1383,""+"")"),"Guava")</f>
        <v>Guava</v>
      </c>
      <c r="L1383" s="14" t="str">
        <f>IFERROR(__xludf.DUMMYFUNCTION("""COMPUTED_VALUE"""),"1*Aman Kumar")</f>
        <v>1*Aman Kumar</v>
      </c>
      <c r="M1383" s="14">
        <f>IFERROR(__xludf.DUMMYFUNCTION("SPLIT(L1383,""*"")"),1.0)</f>
        <v>1</v>
      </c>
      <c r="N1383" s="14" t="str">
        <f>IFERROR(__xludf.DUMMYFUNCTION("""COMPUTED_VALUE"""),"Aman Kumar")</f>
        <v>Aman Kumar</v>
      </c>
      <c r="O1383" s="14" t="str">
        <f>IFERROR(__xludf.DUMMYFUNCTION("split(J1383,""*"")"),"Delivered")</f>
        <v>Delivered</v>
      </c>
      <c r="P1383" s="14" t="str">
        <f>IFERROR(__xludf.DUMMYFUNCTION("""COMPUTED_VALUE"""),"Overall Satisfaction: Great service will order again")</f>
        <v>Overall Satisfaction: Great service will order again</v>
      </c>
      <c r="Q1383" s="14" t="str">
        <f>IFERROR(__xludf.DUMMYFUNCTION("split(P1383,"":"")"),"Overall Satisfaction")</f>
        <v>Overall Satisfaction</v>
      </c>
      <c r="R1383" s="14" t="str">
        <f>IFERROR(__xludf.DUMMYFUNCTION("""COMPUTED_VALUE""")," Great service will order again")</f>
        <v> Great service will order again</v>
      </c>
      <c r="S1383" s="14" t="str">
        <f t="shared" ref="S1383:U1383" si="2769">trim(B1383)</f>
        <v>ord_71361</v>
      </c>
      <c r="T1383" s="14" t="str">
        <f t="shared" si="2769"/>
        <v>Sanjay Nair</v>
      </c>
      <c r="U1383" s="14" t="str">
        <f t="shared" si="2769"/>
        <v>Dadar</v>
      </c>
      <c r="V1383" s="14" t="str">
        <f t="shared" si="4"/>
        <v>Guava</v>
      </c>
      <c r="W1383" s="14">
        <f t="shared" si="5"/>
        <v>1</v>
      </c>
      <c r="X1383" s="14" t="str">
        <f t="shared" si="6"/>
        <v>Aman Kumar</v>
      </c>
      <c r="Y1383" s="15">
        <f t="shared" si="7"/>
        <v>44956</v>
      </c>
      <c r="Z1383" s="14" t="str">
        <f t="shared" si="8"/>
        <v>Online Payment</v>
      </c>
      <c r="AA1383" s="14" t="str">
        <f t="shared" si="9"/>
        <v>Delivered</v>
      </c>
      <c r="AB1383" s="14" t="str">
        <f t="shared" ref="AB1383:AC1383" si="2770">trim(Q1383)</f>
        <v>Overall Satisfaction</v>
      </c>
      <c r="AC1383" s="14" t="str">
        <f t="shared" si="2770"/>
        <v>Great service will order again</v>
      </c>
      <c r="AD1383" s="8"/>
    </row>
    <row r="1384">
      <c r="A1384" s="14" t="str">
        <f>IFERROR(__xludf.DUMMYFUNCTION("""COMPUTED_VALUE"""),"//ord_71362//Aarohi Kapoor//Bandra//Veg Puff+2*Priya Joshi/2/7/2023//Credit Card//Delivered*On-time Delivery: Delivered on time")</f>
        <v>//ord_71362//Aarohi Kapoor//Bandra//Veg Puff+2*Priya Joshi/2/7/2023//Credit Card//Delivered*On-time Delivery: Delivered on time</v>
      </c>
      <c r="B1384" s="14" t="str">
        <f>IFERROR(__xludf.DUMMYFUNCTION("split(A1384,""//"")"),"ord_71362")</f>
        <v>ord_71362</v>
      </c>
      <c r="C1384" s="14" t="str">
        <f>IFERROR(__xludf.DUMMYFUNCTION("""COMPUTED_VALUE"""),"Aarohi Kapoor")</f>
        <v>Aarohi Kapoor</v>
      </c>
      <c r="D1384" s="14" t="str">
        <f>IFERROR(__xludf.DUMMYFUNCTION("""COMPUTED_VALUE"""),"Bandra")</f>
        <v>Bandra</v>
      </c>
      <c r="E1384" s="14" t="str">
        <f>IFERROR(__xludf.DUMMYFUNCTION("""COMPUTED_VALUE"""),"Veg Puff+2*Priya Joshi")</f>
        <v>Veg Puff+2*Priya Joshi</v>
      </c>
      <c r="F1384" s="14">
        <f>IFERROR(__xludf.DUMMYFUNCTION("""COMPUTED_VALUE"""),2.0)</f>
        <v>2</v>
      </c>
      <c r="G1384" s="14">
        <f>IFERROR(__xludf.DUMMYFUNCTION("""COMPUTED_VALUE"""),7.0)</f>
        <v>7</v>
      </c>
      <c r="H1384" s="14">
        <f>IFERROR(__xludf.DUMMYFUNCTION("""COMPUTED_VALUE"""),2023.0)</f>
        <v>2023</v>
      </c>
      <c r="I1384" s="14" t="str">
        <f>IFERROR(__xludf.DUMMYFUNCTION("""COMPUTED_VALUE"""),"Credit Card")</f>
        <v>Credit Card</v>
      </c>
      <c r="J1384" s="14" t="str">
        <f>IFERROR(__xludf.DUMMYFUNCTION("""COMPUTED_VALUE"""),"Delivered*On-time Delivery: Delivered on time")</f>
        <v>Delivered*On-time Delivery: Delivered on time</v>
      </c>
      <c r="K1384" s="14" t="str">
        <f>IFERROR(__xludf.DUMMYFUNCTION("split(E1384,""+"")"),"Veg Puff")</f>
        <v>Veg Puff</v>
      </c>
      <c r="L1384" s="14" t="str">
        <f>IFERROR(__xludf.DUMMYFUNCTION("""COMPUTED_VALUE"""),"2*Priya Joshi")</f>
        <v>2*Priya Joshi</v>
      </c>
      <c r="M1384" s="14">
        <f>IFERROR(__xludf.DUMMYFUNCTION("SPLIT(L1384,""*"")"),2.0)</f>
        <v>2</v>
      </c>
      <c r="N1384" s="14" t="str">
        <f>IFERROR(__xludf.DUMMYFUNCTION("""COMPUTED_VALUE"""),"Priya Joshi")</f>
        <v>Priya Joshi</v>
      </c>
      <c r="O1384" s="14" t="str">
        <f>IFERROR(__xludf.DUMMYFUNCTION("split(J1384,""*"")"),"Delivered")</f>
        <v>Delivered</v>
      </c>
      <c r="P1384" s="14" t="str">
        <f>IFERROR(__xludf.DUMMYFUNCTION("""COMPUTED_VALUE"""),"On-time Delivery: Delivered on time")</f>
        <v>On-time Delivery: Delivered on time</v>
      </c>
      <c r="Q1384" s="14" t="str">
        <f>IFERROR(__xludf.DUMMYFUNCTION("split(P1384,"":"")"),"On-time Delivery")</f>
        <v>On-time Delivery</v>
      </c>
      <c r="R1384" s="14" t="str">
        <f>IFERROR(__xludf.DUMMYFUNCTION("""COMPUTED_VALUE""")," Delivered on time")</f>
        <v> Delivered on time</v>
      </c>
      <c r="S1384" s="14" t="str">
        <f t="shared" ref="S1384:U1384" si="2771">trim(B1384)</f>
        <v>ord_71362</v>
      </c>
      <c r="T1384" s="14" t="str">
        <f t="shared" si="2771"/>
        <v>Aarohi Kapoor</v>
      </c>
      <c r="U1384" s="14" t="str">
        <f t="shared" si="2771"/>
        <v>Bandra</v>
      </c>
      <c r="V1384" s="14" t="str">
        <f t="shared" si="4"/>
        <v>Veg Puff</v>
      </c>
      <c r="W1384" s="14">
        <f t="shared" si="5"/>
        <v>2</v>
      </c>
      <c r="X1384" s="14" t="str">
        <f t="shared" si="6"/>
        <v>Priya Joshi</v>
      </c>
      <c r="Y1384" s="15">
        <f t="shared" si="7"/>
        <v>44964</v>
      </c>
      <c r="Z1384" s="14" t="str">
        <f t="shared" si="8"/>
        <v>Credit Card</v>
      </c>
      <c r="AA1384" s="14" t="str">
        <f t="shared" si="9"/>
        <v>Delivered</v>
      </c>
      <c r="AB1384" s="14" t="str">
        <f t="shared" ref="AB1384:AC1384" si="2772">trim(Q1384)</f>
        <v>On-time Delivery</v>
      </c>
      <c r="AC1384" s="14" t="str">
        <f t="shared" si="2772"/>
        <v>Delivered on time</v>
      </c>
      <c r="AD1384" s="8"/>
    </row>
    <row r="1385">
      <c r="A1385" s="14" t="str">
        <f>IFERROR(__xludf.DUMMYFUNCTION("""COMPUTED_VALUE"""),"//ord_71363//Aditi Iyer//Dadar//Orange+2*Aman Kumar/7/22/2023//Credit Card//Delivered*Quality of Items: Perfect condition")</f>
        <v>//ord_71363//Aditi Iyer//Dadar//Orange+2*Aman Kumar/7/22/2023//Credit Card//Delivered*Quality of Items: Perfect condition</v>
      </c>
      <c r="B1385" s="14" t="str">
        <f>IFERROR(__xludf.DUMMYFUNCTION("split(A1385,""//"")"),"ord_71363")</f>
        <v>ord_71363</v>
      </c>
      <c r="C1385" s="14" t="str">
        <f>IFERROR(__xludf.DUMMYFUNCTION("""COMPUTED_VALUE"""),"Aditi Iyer")</f>
        <v>Aditi Iyer</v>
      </c>
      <c r="D1385" s="14" t="str">
        <f>IFERROR(__xludf.DUMMYFUNCTION("""COMPUTED_VALUE"""),"Dadar")</f>
        <v>Dadar</v>
      </c>
      <c r="E1385" s="14" t="str">
        <f>IFERROR(__xludf.DUMMYFUNCTION("""COMPUTED_VALUE"""),"Orange+2*Aman Kumar")</f>
        <v>Orange+2*Aman Kumar</v>
      </c>
      <c r="F1385" s="14">
        <f>IFERROR(__xludf.DUMMYFUNCTION("""COMPUTED_VALUE"""),7.0)</f>
        <v>7</v>
      </c>
      <c r="G1385" s="14">
        <f>IFERROR(__xludf.DUMMYFUNCTION("""COMPUTED_VALUE"""),22.0)</f>
        <v>22</v>
      </c>
      <c r="H1385" s="14">
        <f>IFERROR(__xludf.DUMMYFUNCTION("""COMPUTED_VALUE"""),2023.0)</f>
        <v>2023</v>
      </c>
      <c r="I1385" s="14" t="str">
        <f>IFERROR(__xludf.DUMMYFUNCTION("""COMPUTED_VALUE"""),"Credit Card")</f>
        <v>Credit Card</v>
      </c>
      <c r="J1385" s="14" t="str">
        <f>IFERROR(__xludf.DUMMYFUNCTION("""COMPUTED_VALUE"""),"Delivered*Quality of Items: Perfect condition")</f>
        <v>Delivered*Quality of Items: Perfect condition</v>
      </c>
      <c r="K1385" s="14" t="str">
        <f>IFERROR(__xludf.DUMMYFUNCTION("split(E1385,""+"")"),"Orange")</f>
        <v>Orange</v>
      </c>
      <c r="L1385" s="14" t="str">
        <f>IFERROR(__xludf.DUMMYFUNCTION("""COMPUTED_VALUE"""),"2*Aman Kumar")</f>
        <v>2*Aman Kumar</v>
      </c>
      <c r="M1385" s="14">
        <f>IFERROR(__xludf.DUMMYFUNCTION("SPLIT(L1385,""*"")"),2.0)</f>
        <v>2</v>
      </c>
      <c r="N1385" s="14" t="str">
        <f>IFERROR(__xludf.DUMMYFUNCTION("""COMPUTED_VALUE"""),"Aman Kumar")</f>
        <v>Aman Kumar</v>
      </c>
      <c r="O1385" s="14" t="str">
        <f>IFERROR(__xludf.DUMMYFUNCTION("split(J1385,""*"")"),"Delivered")</f>
        <v>Delivered</v>
      </c>
      <c r="P1385" s="14" t="str">
        <f>IFERROR(__xludf.DUMMYFUNCTION("""COMPUTED_VALUE"""),"Quality of Items: Perfect condition")</f>
        <v>Quality of Items: Perfect condition</v>
      </c>
      <c r="Q1385" s="14" t="str">
        <f>IFERROR(__xludf.DUMMYFUNCTION("split(P1385,"":"")"),"Quality of Items")</f>
        <v>Quality of Items</v>
      </c>
      <c r="R1385" s="14" t="str">
        <f>IFERROR(__xludf.DUMMYFUNCTION("""COMPUTED_VALUE""")," Perfect condition")</f>
        <v> Perfect condition</v>
      </c>
      <c r="S1385" s="14" t="str">
        <f t="shared" ref="S1385:U1385" si="2773">trim(B1385)</f>
        <v>ord_71363</v>
      </c>
      <c r="T1385" s="14" t="str">
        <f t="shared" si="2773"/>
        <v>Aditi Iyer</v>
      </c>
      <c r="U1385" s="14" t="str">
        <f t="shared" si="2773"/>
        <v>Dadar</v>
      </c>
      <c r="V1385" s="14" t="str">
        <f t="shared" si="4"/>
        <v>Orange</v>
      </c>
      <c r="W1385" s="14">
        <f t="shared" si="5"/>
        <v>2</v>
      </c>
      <c r="X1385" s="14" t="str">
        <f t="shared" si="6"/>
        <v>Aman Kumar</v>
      </c>
      <c r="Y1385" s="15">
        <f t="shared" si="7"/>
        <v>45129</v>
      </c>
      <c r="Z1385" s="14" t="str">
        <f t="shared" si="8"/>
        <v>Credit Card</v>
      </c>
      <c r="AA1385" s="14" t="str">
        <f t="shared" si="9"/>
        <v>Delivered</v>
      </c>
      <c r="AB1385" s="14" t="str">
        <f t="shared" ref="AB1385:AC1385" si="2774">trim(Q1385)</f>
        <v>Quality of Items</v>
      </c>
      <c r="AC1385" s="14" t="str">
        <f t="shared" si="2774"/>
        <v>Perfect condition</v>
      </c>
      <c r="AD1385" s="8"/>
    </row>
    <row r="1386">
      <c r="A1386" s="14" t="str">
        <f>IFERROR(__xludf.DUMMYFUNCTION("""COMPUTED_VALUE"""),"//ord_71364//Diya Arora//Lower Parel//Guava+1*Kiran Mehta/6/7/2023//Credit Card//Delivered*On-time Delivery: Delivered on time")</f>
        <v>//ord_71364//Diya Arora//Lower Parel//Guava+1*Kiran Mehta/6/7/2023//Credit Card//Delivered*On-time Delivery: Delivered on time</v>
      </c>
      <c r="B1386" s="14" t="str">
        <f>IFERROR(__xludf.DUMMYFUNCTION("split(A1386,""//"")"),"ord_71364")</f>
        <v>ord_71364</v>
      </c>
      <c r="C1386" s="14" t="str">
        <f>IFERROR(__xludf.DUMMYFUNCTION("""COMPUTED_VALUE"""),"Diya Arora")</f>
        <v>Diya Arora</v>
      </c>
      <c r="D1386" s="14" t="str">
        <f>IFERROR(__xludf.DUMMYFUNCTION("""COMPUTED_VALUE"""),"Lower Parel")</f>
        <v>Lower Parel</v>
      </c>
      <c r="E1386" s="14" t="str">
        <f>IFERROR(__xludf.DUMMYFUNCTION("""COMPUTED_VALUE"""),"Guava+1*Kiran Mehta")</f>
        <v>Guava+1*Kiran Mehta</v>
      </c>
      <c r="F1386" s="14">
        <f>IFERROR(__xludf.DUMMYFUNCTION("""COMPUTED_VALUE"""),6.0)</f>
        <v>6</v>
      </c>
      <c r="G1386" s="14">
        <f>IFERROR(__xludf.DUMMYFUNCTION("""COMPUTED_VALUE"""),7.0)</f>
        <v>7</v>
      </c>
      <c r="H1386" s="14">
        <f>IFERROR(__xludf.DUMMYFUNCTION("""COMPUTED_VALUE"""),2023.0)</f>
        <v>2023</v>
      </c>
      <c r="I1386" s="14" t="str">
        <f>IFERROR(__xludf.DUMMYFUNCTION("""COMPUTED_VALUE"""),"Credit Card")</f>
        <v>Credit Card</v>
      </c>
      <c r="J1386" s="14" t="str">
        <f>IFERROR(__xludf.DUMMYFUNCTION("""COMPUTED_VALUE"""),"Delivered*On-time Delivery: Delivered on time")</f>
        <v>Delivered*On-time Delivery: Delivered on time</v>
      </c>
      <c r="K1386" s="14" t="str">
        <f>IFERROR(__xludf.DUMMYFUNCTION("split(E1386,""+"")"),"Guava")</f>
        <v>Guava</v>
      </c>
      <c r="L1386" s="14" t="str">
        <f>IFERROR(__xludf.DUMMYFUNCTION("""COMPUTED_VALUE"""),"1*Kiran Mehta")</f>
        <v>1*Kiran Mehta</v>
      </c>
      <c r="M1386" s="14">
        <f>IFERROR(__xludf.DUMMYFUNCTION("SPLIT(L1386,""*"")"),1.0)</f>
        <v>1</v>
      </c>
      <c r="N1386" s="14" t="str">
        <f>IFERROR(__xludf.DUMMYFUNCTION("""COMPUTED_VALUE"""),"Kiran Mehta")</f>
        <v>Kiran Mehta</v>
      </c>
      <c r="O1386" s="14" t="str">
        <f>IFERROR(__xludf.DUMMYFUNCTION("split(J1386,""*"")"),"Delivered")</f>
        <v>Delivered</v>
      </c>
      <c r="P1386" s="14" t="str">
        <f>IFERROR(__xludf.DUMMYFUNCTION("""COMPUTED_VALUE"""),"On-time Delivery: Delivered on time")</f>
        <v>On-time Delivery: Delivered on time</v>
      </c>
      <c r="Q1386" s="14" t="str">
        <f>IFERROR(__xludf.DUMMYFUNCTION("split(P1386,"":"")"),"On-time Delivery")</f>
        <v>On-time Delivery</v>
      </c>
      <c r="R1386" s="14" t="str">
        <f>IFERROR(__xludf.DUMMYFUNCTION("""COMPUTED_VALUE""")," Delivered on time")</f>
        <v> Delivered on time</v>
      </c>
      <c r="S1386" s="14" t="str">
        <f t="shared" ref="S1386:U1386" si="2775">trim(B1386)</f>
        <v>ord_71364</v>
      </c>
      <c r="T1386" s="14" t="str">
        <f t="shared" si="2775"/>
        <v>Diya Arora</v>
      </c>
      <c r="U1386" s="14" t="str">
        <f t="shared" si="2775"/>
        <v>Lower Parel</v>
      </c>
      <c r="V1386" s="14" t="str">
        <f t="shared" si="4"/>
        <v>Guava</v>
      </c>
      <c r="W1386" s="14">
        <f t="shared" si="5"/>
        <v>1</v>
      </c>
      <c r="X1386" s="14" t="str">
        <f t="shared" si="6"/>
        <v>Kiran Mehta</v>
      </c>
      <c r="Y1386" s="15">
        <f t="shared" si="7"/>
        <v>45084</v>
      </c>
      <c r="Z1386" s="14" t="str">
        <f t="shared" si="8"/>
        <v>Credit Card</v>
      </c>
      <c r="AA1386" s="14" t="str">
        <f t="shared" si="9"/>
        <v>Delivered</v>
      </c>
      <c r="AB1386" s="14" t="str">
        <f t="shared" ref="AB1386:AC1386" si="2776">trim(Q1386)</f>
        <v>On-time Delivery</v>
      </c>
      <c r="AC1386" s="14" t="str">
        <f t="shared" si="2776"/>
        <v>Delivered on time</v>
      </c>
      <c r="AD1386" s="8"/>
    </row>
    <row r="1387">
      <c r="A1387" s="14" t="str">
        <f>IFERROR(__xludf.DUMMYFUNCTION("""COMPUTED_VALUE"""),"//ord_71365//Parth Goel//Juhu//Cucumber+1*Tanvi Jain/1/7/2023//COD//Delivered*Quality of Items: Perfect condition")</f>
        <v>//ord_71365//Parth Goel//Juhu//Cucumber+1*Tanvi Jain/1/7/2023//COD//Delivered*Quality of Items: Perfect condition</v>
      </c>
      <c r="B1387" s="14" t="str">
        <f>IFERROR(__xludf.DUMMYFUNCTION("split(A1387,""//"")"),"ord_71365")</f>
        <v>ord_71365</v>
      </c>
      <c r="C1387" s="14" t="str">
        <f>IFERROR(__xludf.DUMMYFUNCTION("""COMPUTED_VALUE"""),"Parth Goel")</f>
        <v>Parth Goel</v>
      </c>
      <c r="D1387" s="14" t="str">
        <f>IFERROR(__xludf.DUMMYFUNCTION("""COMPUTED_VALUE"""),"Juhu")</f>
        <v>Juhu</v>
      </c>
      <c r="E1387" s="14" t="str">
        <f>IFERROR(__xludf.DUMMYFUNCTION("""COMPUTED_VALUE"""),"Cucumber+1*Tanvi Jain")</f>
        <v>Cucumber+1*Tanvi Jain</v>
      </c>
      <c r="F1387" s="14">
        <f>IFERROR(__xludf.DUMMYFUNCTION("""COMPUTED_VALUE"""),1.0)</f>
        <v>1</v>
      </c>
      <c r="G1387" s="14">
        <f>IFERROR(__xludf.DUMMYFUNCTION("""COMPUTED_VALUE"""),7.0)</f>
        <v>7</v>
      </c>
      <c r="H1387" s="14">
        <f>IFERROR(__xludf.DUMMYFUNCTION("""COMPUTED_VALUE"""),2023.0)</f>
        <v>2023</v>
      </c>
      <c r="I1387" s="14" t="str">
        <f>IFERROR(__xludf.DUMMYFUNCTION("""COMPUTED_VALUE"""),"COD")</f>
        <v>COD</v>
      </c>
      <c r="J1387" s="14" t="str">
        <f>IFERROR(__xludf.DUMMYFUNCTION("""COMPUTED_VALUE"""),"Delivered*Quality of Items: Perfect condition")</f>
        <v>Delivered*Quality of Items: Perfect condition</v>
      </c>
      <c r="K1387" s="14" t="str">
        <f>IFERROR(__xludf.DUMMYFUNCTION("split(E1387,""+"")"),"Cucumber")</f>
        <v>Cucumber</v>
      </c>
      <c r="L1387" s="14" t="str">
        <f>IFERROR(__xludf.DUMMYFUNCTION("""COMPUTED_VALUE"""),"1*Tanvi Jain")</f>
        <v>1*Tanvi Jain</v>
      </c>
      <c r="M1387" s="14">
        <f>IFERROR(__xludf.DUMMYFUNCTION("SPLIT(L1387,""*"")"),1.0)</f>
        <v>1</v>
      </c>
      <c r="N1387" s="14" t="str">
        <f>IFERROR(__xludf.DUMMYFUNCTION("""COMPUTED_VALUE"""),"Tanvi Jain")</f>
        <v>Tanvi Jain</v>
      </c>
      <c r="O1387" s="14" t="str">
        <f>IFERROR(__xludf.DUMMYFUNCTION("split(J1387,""*"")"),"Delivered")</f>
        <v>Delivered</v>
      </c>
      <c r="P1387" s="14" t="str">
        <f>IFERROR(__xludf.DUMMYFUNCTION("""COMPUTED_VALUE"""),"Quality of Items: Perfect condition")</f>
        <v>Quality of Items: Perfect condition</v>
      </c>
      <c r="Q1387" s="14" t="str">
        <f>IFERROR(__xludf.DUMMYFUNCTION("split(P1387,"":"")"),"Quality of Items")</f>
        <v>Quality of Items</v>
      </c>
      <c r="R1387" s="14" t="str">
        <f>IFERROR(__xludf.DUMMYFUNCTION("""COMPUTED_VALUE""")," Perfect condition")</f>
        <v> Perfect condition</v>
      </c>
      <c r="S1387" s="14" t="str">
        <f t="shared" ref="S1387:U1387" si="2777">trim(B1387)</f>
        <v>ord_71365</v>
      </c>
      <c r="T1387" s="14" t="str">
        <f t="shared" si="2777"/>
        <v>Parth Goel</v>
      </c>
      <c r="U1387" s="14" t="str">
        <f t="shared" si="2777"/>
        <v>Juhu</v>
      </c>
      <c r="V1387" s="14" t="str">
        <f t="shared" si="4"/>
        <v>Cucumber</v>
      </c>
      <c r="W1387" s="14">
        <f t="shared" si="5"/>
        <v>1</v>
      </c>
      <c r="X1387" s="14" t="str">
        <f t="shared" si="6"/>
        <v>Tanvi Jain</v>
      </c>
      <c r="Y1387" s="15">
        <f t="shared" si="7"/>
        <v>44933</v>
      </c>
      <c r="Z1387" s="14" t="str">
        <f t="shared" si="8"/>
        <v>COD</v>
      </c>
      <c r="AA1387" s="14" t="str">
        <f t="shared" si="9"/>
        <v>Delivered</v>
      </c>
      <c r="AB1387" s="14" t="str">
        <f t="shared" ref="AB1387:AC1387" si="2778">trim(Q1387)</f>
        <v>Quality of Items</v>
      </c>
      <c r="AC1387" s="14" t="str">
        <f t="shared" si="2778"/>
        <v>Perfect condition</v>
      </c>
      <c r="AD1387" s="8"/>
    </row>
    <row r="1388">
      <c r="A1388" s="14" t="str">
        <f>IFERROR(__xludf.DUMMYFUNCTION("""COMPUTED_VALUE"""),"//ord_71366//Mehul Thakkar//Malad//Veg Puff+3*Not Assigned/11/16/2023//Credit Card//Cancelled*App Glitches:Slow Loading Time")</f>
        <v>//ord_71366//Mehul Thakkar//Malad//Veg Puff+3*Not Assigned/11/16/2023//Credit Card//Cancelled*App Glitches:Slow Loading Time</v>
      </c>
      <c r="B1388" s="14" t="str">
        <f>IFERROR(__xludf.DUMMYFUNCTION("split(A1388,""//"")"),"ord_71366")</f>
        <v>ord_71366</v>
      </c>
      <c r="C1388" s="14" t="str">
        <f>IFERROR(__xludf.DUMMYFUNCTION("""COMPUTED_VALUE"""),"Mehul Thakkar")</f>
        <v>Mehul Thakkar</v>
      </c>
      <c r="D1388" s="14" t="str">
        <f>IFERROR(__xludf.DUMMYFUNCTION("""COMPUTED_VALUE"""),"Malad")</f>
        <v>Malad</v>
      </c>
      <c r="E1388" s="14" t="str">
        <f>IFERROR(__xludf.DUMMYFUNCTION("""COMPUTED_VALUE"""),"Veg Puff+3*Not Assigned")</f>
        <v>Veg Puff+3*Not Assigned</v>
      </c>
      <c r="F1388" s="14">
        <f>IFERROR(__xludf.DUMMYFUNCTION("""COMPUTED_VALUE"""),11.0)</f>
        <v>11</v>
      </c>
      <c r="G1388" s="14">
        <f>IFERROR(__xludf.DUMMYFUNCTION("""COMPUTED_VALUE"""),16.0)</f>
        <v>16</v>
      </c>
      <c r="H1388" s="14">
        <f>IFERROR(__xludf.DUMMYFUNCTION("""COMPUTED_VALUE"""),2023.0)</f>
        <v>2023</v>
      </c>
      <c r="I1388" s="14" t="str">
        <f>IFERROR(__xludf.DUMMYFUNCTION("""COMPUTED_VALUE"""),"Credit Card")</f>
        <v>Credit Card</v>
      </c>
      <c r="J1388" s="14" t="str">
        <f>IFERROR(__xludf.DUMMYFUNCTION("""COMPUTED_VALUE"""),"Cancelled*App Glitches:Slow Loading Time")</f>
        <v>Cancelled*App Glitches:Slow Loading Time</v>
      </c>
      <c r="K1388" s="14" t="str">
        <f>IFERROR(__xludf.DUMMYFUNCTION("split(E1388,""+"")"),"Veg Puff")</f>
        <v>Veg Puff</v>
      </c>
      <c r="L1388" s="14" t="str">
        <f>IFERROR(__xludf.DUMMYFUNCTION("""COMPUTED_VALUE"""),"3*Not Assigned")</f>
        <v>3*Not Assigned</v>
      </c>
      <c r="M1388" s="14">
        <f>IFERROR(__xludf.DUMMYFUNCTION("SPLIT(L1388,""*"")"),3.0)</f>
        <v>3</v>
      </c>
      <c r="N1388" s="14" t="str">
        <f>IFERROR(__xludf.DUMMYFUNCTION("""COMPUTED_VALUE"""),"Not Assigned")</f>
        <v>Not Assigned</v>
      </c>
      <c r="O1388" s="14" t="str">
        <f>IFERROR(__xludf.DUMMYFUNCTION("split(J1388,""*"")"),"Cancelled")</f>
        <v>Cancelled</v>
      </c>
      <c r="P1388" s="14" t="str">
        <f>IFERROR(__xludf.DUMMYFUNCTION("""COMPUTED_VALUE"""),"App Glitches:Slow Loading Time")</f>
        <v>App Glitches:Slow Loading Time</v>
      </c>
      <c r="Q1388" s="14" t="str">
        <f>IFERROR(__xludf.DUMMYFUNCTION("split(P1388,"":"")"),"App Glitches")</f>
        <v>App Glitches</v>
      </c>
      <c r="R1388" s="14" t="str">
        <f>IFERROR(__xludf.DUMMYFUNCTION("""COMPUTED_VALUE"""),"Slow Loading Time")</f>
        <v>Slow Loading Time</v>
      </c>
      <c r="S1388" s="14" t="str">
        <f t="shared" ref="S1388:U1388" si="2779">trim(B1388)</f>
        <v>ord_71366</v>
      </c>
      <c r="T1388" s="14" t="str">
        <f t="shared" si="2779"/>
        <v>Mehul Thakkar</v>
      </c>
      <c r="U1388" s="14" t="str">
        <f t="shared" si="2779"/>
        <v>Malad</v>
      </c>
      <c r="V1388" s="14" t="str">
        <f t="shared" si="4"/>
        <v>Veg Puff</v>
      </c>
      <c r="W1388" s="14">
        <f t="shared" si="5"/>
        <v>3</v>
      </c>
      <c r="X1388" s="14" t="str">
        <f t="shared" si="6"/>
        <v>Not Assigned</v>
      </c>
      <c r="Y1388" s="15">
        <f t="shared" si="7"/>
        <v>45246</v>
      </c>
      <c r="Z1388" s="14" t="str">
        <f t="shared" si="8"/>
        <v>Credit Card</v>
      </c>
      <c r="AA1388" s="14" t="str">
        <f t="shared" si="9"/>
        <v>Cancelled</v>
      </c>
      <c r="AB1388" s="14" t="str">
        <f t="shared" ref="AB1388:AC1388" si="2780">trim(Q1388)</f>
        <v>App Glitches</v>
      </c>
      <c r="AC1388" s="14" t="str">
        <f t="shared" si="2780"/>
        <v>Slow Loading Time</v>
      </c>
      <c r="AD1388" s="8"/>
    </row>
    <row r="1389">
      <c r="A1389" s="14" t="str">
        <f>IFERROR(__xludf.DUMMYFUNCTION("""COMPUTED_VALUE"""),"//ord_71367//Kritika Shetty//Malad//Orange+2*Shine Thomas/10/29/2023//Credit Card//Cancelled*Delayed Delivery:Heavy Traffic")</f>
        <v>//ord_71367//Kritika Shetty//Malad//Orange+2*Shine Thomas/10/29/2023//Credit Card//Cancelled*Delayed Delivery:Heavy Traffic</v>
      </c>
      <c r="B1389" s="14" t="str">
        <f>IFERROR(__xludf.DUMMYFUNCTION("split(A1389,""//"")"),"ord_71367")</f>
        <v>ord_71367</v>
      </c>
      <c r="C1389" s="14" t="str">
        <f>IFERROR(__xludf.DUMMYFUNCTION("""COMPUTED_VALUE"""),"Kritika Shetty")</f>
        <v>Kritika Shetty</v>
      </c>
      <c r="D1389" s="14" t="str">
        <f>IFERROR(__xludf.DUMMYFUNCTION("""COMPUTED_VALUE"""),"Malad")</f>
        <v>Malad</v>
      </c>
      <c r="E1389" s="14" t="str">
        <f>IFERROR(__xludf.DUMMYFUNCTION("""COMPUTED_VALUE"""),"Orange+2*Shine Thomas")</f>
        <v>Orange+2*Shine Thomas</v>
      </c>
      <c r="F1389" s="14">
        <f>IFERROR(__xludf.DUMMYFUNCTION("""COMPUTED_VALUE"""),10.0)</f>
        <v>10</v>
      </c>
      <c r="G1389" s="14">
        <f>IFERROR(__xludf.DUMMYFUNCTION("""COMPUTED_VALUE"""),29.0)</f>
        <v>29</v>
      </c>
      <c r="H1389" s="14">
        <f>IFERROR(__xludf.DUMMYFUNCTION("""COMPUTED_VALUE"""),2023.0)</f>
        <v>2023</v>
      </c>
      <c r="I1389" s="14" t="str">
        <f>IFERROR(__xludf.DUMMYFUNCTION("""COMPUTED_VALUE"""),"Credit Card")</f>
        <v>Credit Card</v>
      </c>
      <c r="J1389" s="14" t="str">
        <f>IFERROR(__xludf.DUMMYFUNCTION("""COMPUTED_VALUE"""),"Cancelled*Delayed Delivery:Heavy Traffic")</f>
        <v>Cancelled*Delayed Delivery:Heavy Traffic</v>
      </c>
      <c r="K1389" s="14" t="str">
        <f>IFERROR(__xludf.DUMMYFUNCTION("split(E1389,""+"")"),"Orange")</f>
        <v>Orange</v>
      </c>
      <c r="L1389" s="14" t="str">
        <f>IFERROR(__xludf.DUMMYFUNCTION("""COMPUTED_VALUE"""),"2*Shine Thomas")</f>
        <v>2*Shine Thomas</v>
      </c>
      <c r="M1389" s="14">
        <f>IFERROR(__xludf.DUMMYFUNCTION("SPLIT(L1389,""*"")"),2.0)</f>
        <v>2</v>
      </c>
      <c r="N1389" s="14" t="str">
        <f>IFERROR(__xludf.DUMMYFUNCTION("""COMPUTED_VALUE"""),"Shine Thomas")</f>
        <v>Shine Thomas</v>
      </c>
      <c r="O1389" s="14" t="str">
        <f>IFERROR(__xludf.DUMMYFUNCTION("split(J1389,""*"")"),"Cancelled")</f>
        <v>Cancelled</v>
      </c>
      <c r="P1389" s="14" t="str">
        <f>IFERROR(__xludf.DUMMYFUNCTION("""COMPUTED_VALUE"""),"Delayed Delivery:Heavy Traffic")</f>
        <v>Delayed Delivery:Heavy Traffic</v>
      </c>
      <c r="Q1389" s="14" t="str">
        <f>IFERROR(__xludf.DUMMYFUNCTION("split(P1389,"":"")"),"Delayed Delivery")</f>
        <v>Delayed Delivery</v>
      </c>
      <c r="R1389" s="14" t="str">
        <f>IFERROR(__xludf.DUMMYFUNCTION("""COMPUTED_VALUE"""),"Heavy Traffic")</f>
        <v>Heavy Traffic</v>
      </c>
      <c r="S1389" s="14" t="str">
        <f t="shared" ref="S1389:U1389" si="2781">trim(B1389)</f>
        <v>ord_71367</v>
      </c>
      <c r="T1389" s="14" t="str">
        <f t="shared" si="2781"/>
        <v>Kritika Shetty</v>
      </c>
      <c r="U1389" s="14" t="str">
        <f t="shared" si="2781"/>
        <v>Malad</v>
      </c>
      <c r="V1389" s="14" t="str">
        <f t="shared" si="4"/>
        <v>Orange</v>
      </c>
      <c r="W1389" s="14">
        <f t="shared" si="5"/>
        <v>2</v>
      </c>
      <c r="X1389" s="14" t="str">
        <f t="shared" si="6"/>
        <v>Shine Thomas</v>
      </c>
      <c r="Y1389" s="15">
        <f t="shared" si="7"/>
        <v>45228</v>
      </c>
      <c r="Z1389" s="14" t="str">
        <f t="shared" si="8"/>
        <v>Credit Card</v>
      </c>
      <c r="AA1389" s="14" t="str">
        <f t="shared" si="9"/>
        <v>Cancelled</v>
      </c>
      <c r="AB1389" s="14" t="str">
        <f t="shared" ref="AB1389:AC1389" si="2782">trim(Q1389)</f>
        <v>Delayed Delivery</v>
      </c>
      <c r="AC1389" s="14" t="str">
        <f t="shared" si="2782"/>
        <v>Heavy Traffic</v>
      </c>
      <c r="AD1389" s="8"/>
    </row>
    <row r="1390">
      <c r="A1390" s="14" t="str">
        <f>IFERROR(__xludf.DUMMYFUNCTION("""COMPUTED_VALUE"""),"//ord_71368//Aarav Mehta//Andheri//Sweet Corn+2*Rohan Yadav/5/8/2023//Credit Card//Delivered*Packaging: Secure and intact")</f>
        <v>//ord_71368//Aarav Mehta//Andheri//Sweet Corn+2*Rohan Yadav/5/8/2023//Credit Card//Delivered*Packaging: Secure and intact</v>
      </c>
      <c r="B1390" s="14" t="str">
        <f>IFERROR(__xludf.DUMMYFUNCTION("split(A1390,""//"")"),"ord_71368")</f>
        <v>ord_71368</v>
      </c>
      <c r="C1390" s="14" t="str">
        <f>IFERROR(__xludf.DUMMYFUNCTION("""COMPUTED_VALUE"""),"Aarav Mehta")</f>
        <v>Aarav Mehta</v>
      </c>
      <c r="D1390" s="14" t="str">
        <f>IFERROR(__xludf.DUMMYFUNCTION("""COMPUTED_VALUE"""),"Andheri")</f>
        <v>Andheri</v>
      </c>
      <c r="E1390" s="14" t="str">
        <f>IFERROR(__xludf.DUMMYFUNCTION("""COMPUTED_VALUE"""),"Sweet Corn+2*Rohan Yadav")</f>
        <v>Sweet Corn+2*Rohan Yadav</v>
      </c>
      <c r="F1390" s="14">
        <f>IFERROR(__xludf.DUMMYFUNCTION("""COMPUTED_VALUE"""),5.0)</f>
        <v>5</v>
      </c>
      <c r="G1390" s="14">
        <f>IFERROR(__xludf.DUMMYFUNCTION("""COMPUTED_VALUE"""),8.0)</f>
        <v>8</v>
      </c>
      <c r="H1390" s="14">
        <f>IFERROR(__xludf.DUMMYFUNCTION("""COMPUTED_VALUE"""),2023.0)</f>
        <v>2023</v>
      </c>
      <c r="I1390" s="14" t="str">
        <f>IFERROR(__xludf.DUMMYFUNCTION("""COMPUTED_VALUE"""),"Credit Card")</f>
        <v>Credit Card</v>
      </c>
      <c r="J1390" s="14" t="str">
        <f>IFERROR(__xludf.DUMMYFUNCTION("""COMPUTED_VALUE"""),"Delivered*Packaging: Secure and intact")</f>
        <v>Delivered*Packaging: Secure and intact</v>
      </c>
      <c r="K1390" s="14" t="str">
        <f>IFERROR(__xludf.DUMMYFUNCTION("split(E1390,""+"")"),"Sweet Corn")</f>
        <v>Sweet Corn</v>
      </c>
      <c r="L1390" s="14" t="str">
        <f>IFERROR(__xludf.DUMMYFUNCTION("""COMPUTED_VALUE"""),"2*Rohan Yadav")</f>
        <v>2*Rohan Yadav</v>
      </c>
      <c r="M1390" s="14">
        <f>IFERROR(__xludf.DUMMYFUNCTION("SPLIT(L1390,""*"")"),2.0)</f>
        <v>2</v>
      </c>
      <c r="N1390" s="14" t="str">
        <f>IFERROR(__xludf.DUMMYFUNCTION("""COMPUTED_VALUE"""),"Rohan Yadav")</f>
        <v>Rohan Yadav</v>
      </c>
      <c r="O1390" s="14" t="str">
        <f>IFERROR(__xludf.DUMMYFUNCTION("split(J1390,""*"")"),"Delivered")</f>
        <v>Delivered</v>
      </c>
      <c r="P1390" s="14" t="str">
        <f>IFERROR(__xludf.DUMMYFUNCTION("""COMPUTED_VALUE"""),"Packaging: Secure and intact")</f>
        <v>Packaging: Secure and intact</v>
      </c>
      <c r="Q1390" s="14" t="str">
        <f>IFERROR(__xludf.DUMMYFUNCTION("split(P1390,"":"")"),"Packaging")</f>
        <v>Packaging</v>
      </c>
      <c r="R1390" s="14" t="str">
        <f>IFERROR(__xludf.DUMMYFUNCTION("""COMPUTED_VALUE""")," Secure and intact")</f>
        <v> Secure and intact</v>
      </c>
      <c r="S1390" s="14" t="str">
        <f t="shared" ref="S1390:U1390" si="2783">trim(B1390)</f>
        <v>ord_71368</v>
      </c>
      <c r="T1390" s="14" t="str">
        <f t="shared" si="2783"/>
        <v>Aarav Mehta</v>
      </c>
      <c r="U1390" s="14" t="str">
        <f t="shared" si="2783"/>
        <v>Andheri</v>
      </c>
      <c r="V1390" s="14" t="str">
        <f t="shared" si="4"/>
        <v>Sweet Corn</v>
      </c>
      <c r="W1390" s="14">
        <f t="shared" si="5"/>
        <v>2</v>
      </c>
      <c r="X1390" s="14" t="str">
        <f t="shared" si="6"/>
        <v>Rohan Yadav</v>
      </c>
      <c r="Y1390" s="15">
        <f t="shared" si="7"/>
        <v>45054</v>
      </c>
      <c r="Z1390" s="14" t="str">
        <f t="shared" si="8"/>
        <v>Credit Card</v>
      </c>
      <c r="AA1390" s="14" t="str">
        <f t="shared" si="9"/>
        <v>Delivered</v>
      </c>
      <c r="AB1390" s="14" t="str">
        <f t="shared" ref="AB1390:AC1390" si="2784">trim(Q1390)</f>
        <v>Packaging</v>
      </c>
      <c r="AC1390" s="14" t="str">
        <f t="shared" si="2784"/>
        <v>Secure and intact</v>
      </c>
      <c r="AD1390" s="8"/>
    </row>
    <row r="1391">
      <c r="A1391" s="14" t="str">
        <f>IFERROR(__xludf.DUMMYFUNCTION("""COMPUTED_VALUE"""),"//ord_71369//Siya Reddy//Juhu//Orange+1*Not Assigned/7/12/2023//Online Payment//Cancelled*App Glitches: Payment Button Malfunction")</f>
        <v>//ord_71369//Siya Reddy//Juhu//Orange+1*Not Assigned/7/12/2023//Online Payment//Cancelled*App Glitches: Payment Button Malfunction</v>
      </c>
      <c r="B1391" s="14" t="str">
        <f>IFERROR(__xludf.DUMMYFUNCTION("split(A1391,""//"")"),"ord_71369")</f>
        <v>ord_71369</v>
      </c>
      <c r="C1391" s="14" t="str">
        <f>IFERROR(__xludf.DUMMYFUNCTION("""COMPUTED_VALUE"""),"Siya Reddy")</f>
        <v>Siya Reddy</v>
      </c>
      <c r="D1391" s="14" t="str">
        <f>IFERROR(__xludf.DUMMYFUNCTION("""COMPUTED_VALUE"""),"Juhu")</f>
        <v>Juhu</v>
      </c>
      <c r="E1391" s="14" t="str">
        <f>IFERROR(__xludf.DUMMYFUNCTION("""COMPUTED_VALUE"""),"Orange+1*Not Assigned")</f>
        <v>Orange+1*Not Assigned</v>
      </c>
      <c r="F1391" s="14">
        <f>IFERROR(__xludf.DUMMYFUNCTION("""COMPUTED_VALUE"""),7.0)</f>
        <v>7</v>
      </c>
      <c r="G1391" s="14">
        <f>IFERROR(__xludf.DUMMYFUNCTION("""COMPUTED_VALUE"""),12.0)</f>
        <v>12</v>
      </c>
      <c r="H1391" s="14">
        <f>IFERROR(__xludf.DUMMYFUNCTION("""COMPUTED_VALUE"""),2023.0)</f>
        <v>2023</v>
      </c>
      <c r="I1391" s="14" t="str">
        <f>IFERROR(__xludf.DUMMYFUNCTION("""COMPUTED_VALUE"""),"Online Payment")</f>
        <v>Online Payment</v>
      </c>
      <c r="J1391" s="14" t="str">
        <f>IFERROR(__xludf.DUMMYFUNCTION("""COMPUTED_VALUE"""),"Cancelled*App Glitches: Payment Button Malfunction")</f>
        <v>Cancelled*App Glitches: Payment Button Malfunction</v>
      </c>
      <c r="K1391" s="14" t="str">
        <f>IFERROR(__xludf.DUMMYFUNCTION("split(E1391,""+"")"),"Orange")</f>
        <v>Orange</v>
      </c>
      <c r="L1391" s="14" t="str">
        <f>IFERROR(__xludf.DUMMYFUNCTION("""COMPUTED_VALUE"""),"1*Not Assigned")</f>
        <v>1*Not Assigned</v>
      </c>
      <c r="M1391" s="14">
        <f>IFERROR(__xludf.DUMMYFUNCTION("SPLIT(L1391,""*"")"),1.0)</f>
        <v>1</v>
      </c>
      <c r="N1391" s="14" t="str">
        <f>IFERROR(__xludf.DUMMYFUNCTION("""COMPUTED_VALUE"""),"Not Assigned")</f>
        <v>Not Assigned</v>
      </c>
      <c r="O1391" s="14" t="str">
        <f>IFERROR(__xludf.DUMMYFUNCTION("split(J1391,""*"")"),"Cancelled")</f>
        <v>Cancelled</v>
      </c>
      <c r="P1391" s="14" t="str">
        <f>IFERROR(__xludf.DUMMYFUNCTION("""COMPUTED_VALUE"""),"App Glitches: Payment Button Malfunction")</f>
        <v>App Glitches: Payment Button Malfunction</v>
      </c>
      <c r="Q1391" s="14" t="str">
        <f>IFERROR(__xludf.DUMMYFUNCTION("split(P1391,"":"")"),"App Glitches")</f>
        <v>App Glitches</v>
      </c>
      <c r="R1391" s="14" t="str">
        <f>IFERROR(__xludf.DUMMYFUNCTION("""COMPUTED_VALUE""")," Payment Button Malfunction")</f>
        <v> Payment Button Malfunction</v>
      </c>
      <c r="S1391" s="14" t="str">
        <f t="shared" ref="S1391:U1391" si="2785">trim(B1391)</f>
        <v>ord_71369</v>
      </c>
      <c r="T1391" s="14" t="str">
        <f t="shared" si="2785"/>
        <v>Siya Reddy</v>
      </c>
      <c r="U1391" s="14" t="str">
        <f t="shared" si="2785"/>
        <v>Juhu</v>
      </c>
      <c r="V1391" s="14" t="str">
        <f t="shared" si="4"/>
        <v>Orange</v>
      </c>
      <c r="W1391" s="14">
        <f t="shared" si="5"/>
        <v>1</v>
      </c>
      <c r="X1391" s="14" t="str">
        <f t="shared" si="6"/>
        <v>Not Assigned</v>
      </c>
      <c r="Y1391" s="15">
        <f t="shared" si="7"/>
        <v>45119</v>
      </c>
      <c r="Z1391" s="14" t="str">
        <f t="shared" si="8"/>
        <v>Online Payment</v>
      </c>
      <c r="AA1391" s="14" t="str">
        <f t="shared" si="9"/>
        <v>Cancelled</v>
      </c>
      <c r="AB1391" s="14" t="str">
        <f t="shared" ref="AB1391:AC1391" si="2786">trim(Q1391)</f>
        <v>App Glitches</v>
      </c>
      <c r="AC1391" s="14" t="str">
        <f t="shared" si="2786"/>
        <v>Payment Button Malfunction</v>
      </c>
      <c r="AD1391" s="8"/>
    </row>
    <row r="1392">
      <c r="A1392" s="14" t="str">
        <f>IFERROR(__xludf.DUMMYFUNCTION("""COMPUTED_VALUE"""),"//ord_71370//Pranav Joshi//Andheri//Chicken Puff+5*Ramesh S/8/25/2023//UPI//Delivered*Satisfied with the Delivery: Timely and quality")</f>
        <v>//ord_71370//Pranav Joshi//Andheri//Chicken Puff+5*Ramesh S/8/25/2023//UPI//Delivered*Satisfied with the Delivery: Timely and quality</v>
      </c>
      <c r="B1392" s="14" t="str">
        <f>IFERROR(__xludf.DUMMYFUNCTION("split(A1392,""//"")"),"ord_71370")</f>
        <v>ord_71370</v>
      </c>
      <c r="C1392" s="14" t="str">
        <f>IFERROR(__xludf.DUMMYFUNCTION("""COMPUTED_VALUE"""),"Pranav Joshi")</f>
        <v>Pranav Joshi</v>
      </c>
      <c r="D1392" s="14" t="str">
        <f>IFERROR(__xludf.DUMMYFUNCTION("""COMPUTED_VALUE"""),"Andheri")</f>
        <v>Andheri</v>
      </c>
      <c r="E1392" s="14" t="str">
        <f>IFERROR(__xludf.DUMMYFUNCTION("""COMPUTED_VALUE"""),"Chicken Puff+5*Ramesh S")</f>
        <v>Chicken Puff+5*Ramesh S</v>
      </c>
      <c r="F1392" s="14">
        <f>IFERROR(__xludf.DUMMYFUNCTION("""COMPUTED_VALUE"""),8.0)</f>
        <v>8</v>
      </c>
      <c r="G1392" s="14">
        <f>IFERROR(__xludf.DUMMYFUNCTION("""COMPUTED_VALUE"""),25.0)</f>
        <v>25</v>
      </c>
      <c r="H1392" s="14">
        <f>IFERROR(__xludf.DUMMYFUNCTION("""COMPUTED_VALUE"""),2023.0)</f>
        <v>2023</v>
      </c>
      <c r="I1392" s="14" t="str">
        <f>IFERROR(__xludf.DUMMYFUNCTION("""COMPUTED_VALUE"""),"UPI")</f>
        <v>UPI</v>
      </c>
      <c r="J1392" s="14" t="str">
        <f>IFERROR(__xludf.DUMMYFUNCTION("""COMPUTED_VALUE"""),"Delivered*Satisfied with the Delivery: Timely and quality")</f>
        <v>Delivered*Satisfied with the Delivery: Timely and quality</v>
      </c>
      <c r="K1392" s="14" t="str">
        <f>IFERROR(__xludf.DUMMYFUNCTION("split(E1392,""+"")"),"Chicken Puff")</f>
        <v>Chicken Puff</v>
      </c>
      <c r="L1392" s="14" t="str">
        <f>IFERROR(__xludf.DUMMYFUNCTION("""COMPUTED_VALUE"""),"5*Ramesh S")</f>
        <v>5*Ramesh S</v>
      </c>
      <c r="M1392" s="14">
        <f>IFERROR(__xludf.DUMMYFUNCTION("SPLIT(L1392,""*"")"),5.0)</f>
        <v>5</v>
      </c>
      <c r="N1392" s="14" t="str">
        <f>IFERROR(__xludf.DUMMYFUNCTION("""COMPUTED_VALUE"""),"Ramesh S")</f>
        <v>Ramesh S</v>
      </c>
      <c r="O1392" s="14" t="str">
        <f>IFERROR(__xludf.DUMMYFUNCTION("split(J1392,""*"")"),"Delivered")</f>
        <v>Delivered</v>
      </c>
      <c r="P1392" s="14" t="str">
        <f>IFERROR(__xludf.DUMMYFUNCTION("""COMPUTED_VALUE"""),"Satisfied with the Delivery: Timely and quality")</f>
        <v>Satisfied with the Delivery: Timely and quality</v>
      </c>
      <c r="Q1392" s="14" t="str">
        <f>IFERROR(__xludf.DUMMYFUNCTION("split(P1392,"":"")"),"Satisfied with the Delivery")</f>
        <v>Satisfied with the Delivery</v>
      </c>
      <c r="R1392" s="14" t="str">
        <f>IFERROR(__xludf.DUMMYFUNCTION("""COMPUTED_VALUE""")," Timely and quality")</f>
        <v> Timely and quality</v>
      </c>
      <c r="S1392" s="14" t="str">
        <f t="shared" ref="S1392:U1392" si="2787">trim(B1392)</f>
        <v>ord_71370</v>
      </c>
      <c r="T1392" s="14" t="str">
        <f t="shared" si="2787"/>
        <v>Pranav Joshi</v>
      </c>
      <c r="U1392" s="14" t="str">
        <f t="shared" si="2787"/>
        <v>Andheri</v>
      </c>
      <c r="V1392" s="14" t="str">
        <f t="shared" si="4"/>
        <v>Chicken Puff</v>
      </c>
      <c r="W1392" s="14">
        <f t="shared" si="5"/>
        <v>5</v>
      </c>
      <c r="X1392" s="14" t="str">
        <f t="shared" si="6"/>
        <v>Ramesh S</v>
      </c>
      <c r="Y1392" s="15">
        <f t="shared" si="7"/>
        <v>45163</v>
      </c>
      <c r="Z1392" s="14" t="str">
        <f t="shared" si="8"/>
        <v>UPI</v>
      </c>
      <c r="AA1392" s="14" t="str">
        <f t="shared" si="9"/>
        <v>Delivered</v>
      </c>
      <c r="AB1392" s="14" t="str">
        <f t="shared" ref="AB1392:AC1392" si="2788">trim(Q1392)</f>
        <v>Satisfied with the Delivery</v>
      </c>
      <c r="AC1392" s="14" t="str">
        <f t="shared" si="2788"/>
        <v>Timely and quality</v>
      </c>
      <c r="AD1392" s="8"/>
    </row>
    <row r="1393">
      <c r="A1393" s="14" t="str">
        <f>IFERROR(__xludf.DUMMYFUNCTION("""COMPUTED_VALUE"""),"//ord_71371//Ishaan Chaturvedi//Bandra//Popcorn+4*Sita T/11/7/2023//COD//Delivered*Customer Service: Seamless and easy")</f>
        <v>//ord_71371//Ishaan Chaturvedi//Bandra//Popcorn+4*Sita T/11/7/2023//COD//Delivered*Customer Service: Seamless and easy</v>
      </c>
      <c r="B1393" s="14" t="str">
        <f>IFERROR(__xludf.DUMMYFUNCTION("split(A1393,""//"")"),"ord_71371")</f>
        <v>ord_71371</v>
      </c>
      <c r="C1393" s="14" t="str">
        <f>IFERROR(__xludf.DUMMYFUNCTION("""COMPUTED_VALUE"""),"Ishaan Chaturvedi")</f>
        <v>Ishaan Chaturvedi</v>
      </c>
      <c r="D1393" s="14" t="str">
        <f>IFERROR(__xludf.DUMMYFUNCTION("""COMPUTED_VALUE"""),"Bandra")</f>
        <v>Bandra</v>
      </c>
      <c r="E1393" s="14" t="str">
        <f>IFERROR(__xludf.DUMMYFUNCTION("""COMPUTED_VALUE"""),"Popcorn+4*Sita T")</f>
        <v>Popcorn+4*Sita T</v>
      </c>
      <c r="F1393" s="14">
        <f>IFERROR(__xludf.DUMMYFUNCTION("""COMPUTED_VALUE"""),11.0)</f>
        <v>11</v>
      </c>
      <c r="G1393" s="14">
        <f>IFERROR(__xludf.DUMMYFUNCTION("""COMPUTED_VALUE"""),7.0)</f>
        <v>7</v>
      </c>
      <c r="H1393" s="14">
        <f>IFERROR(__xludf.DUMMYFUNCTION("""COMPUTED_VALUE"""),2023.0)</f>
        <v>2023</v>
      </c>
      <c r="I1393" s="14" t="str">
        <f>IFERROR(__xludf.DUMMYFUNCTION("""COMPUTED_VALUE"""),"COD")</f>
        <v>COD</v>
      </c>
      <c r="J1393" s="14" t="str">
        <f>IFERROR(__xludf.DUMMYFUNCTION("""COMPUTED_VALUE"""),"Delivered*Customer Service: Seamless and easy")</f>
        <v>Delivered*Customer Service: Seamless and easy</v>
      </c>
      <c r="K1393" s="14" t="str">
        <f>IFERROR(__xludf.DUMMYFUNCTION("split(E1393,""+"")"),"Popcorn")</f>
        <v>Popcorn</v>
      </c>
      <c r="L1393" s="14" t="str">
        <f>IFERROR(__xludf.DUMMYFUNCTION("""COMPUTED_VALUE"""),"4*Sita T")</f>
        <v>4*Sita T</v>
      </c>
      <c r="M1393" s="14">
        <f>IFERROR(__xludf.DUMMYFUNCTION("SPLIT(L1393,""*"")"),4.0)</f>
        <v>4</v>
      </c>
      <c r="N1393" s="14" t="str">
        <f>IFERROR(__xludf.DUMMYFUNCTION("""COMPUTED_VALUE"""),"Sita T")</f>
        <v>Sita T</v>
      </c>
      <c r="O1393" s="14" t="str">
        <f>IFERROR(__xludf.DUMMYFUNCTION("split(J1393,""*"")"),"Delivered")</f>
        <v>Delivered</v>
      </c>
      <c r="P1393" s="14" t="str">
        <f>IFERROR(__xludf.DUMMYFUNCTION("""COMPUTED_VALUE"""),"Customer Service: Seamless and easy")</f>
        <v>Customer Service: Seamless and easy</v>
      </c>
      <c r="Q1393" s="14" t="str">
        <f>IFERROR(__xludf.DUMMYFUNCTION("split(P1393,"":"")"),"Customer Service")</f>
        <v>Customer Service</v>
      </c>
      <c r="R1393" s="14" t="str">
        <f>IFERROR(__xludf.DUMMYFUNCTION("""COMPUTED_VALUE""")," Seamless and easy")</f>
        <v> Seamless and easy</v>
      </c>
      <c r="S1393" s="14" t="str">
        <f t="shared" ref="S1393:U1393" si="2789">trim(B1393)</f>
        <v>ord_71371</v>
      </c>
      <c r="T1393" s="14" t="str">
        <f t="shared" si="2789"/>
        <v>Ishaan Chaturvedi</v>
      </c>
      <c r="U1393" s="14" t="str">
        <f t="shared" si="2789"/>
        <v>Bandra</v>
      </c>
      <c r="V1393" s="14" t="str">
        <f t="shared" si="4"/>
        <v>Popcorn</v>
      </c>
      <c r="W1393" s="14">
        <f t="shared" si="5"/>
        <v>4</v>
      </c>
      <c r="X1393" s="14" t="str">
        <f t="shared" si="6"/>
        <v>Sita T</v>
      </c>
      <c r="Y1393" s="15">
        <f t="shared" si="7"/>
        <v>45237</v>
      </c>
      <c r="Z1393" s="14" t="str">
        <f t="shared" si="8"/>
        <v>COD</v>
      </c>
      <c r="AA1393" s="14" t="str">
        <f t="shared" si="9"/>
        <v>Delivered</v>
      </c>
      <c r="AB1393" s="14" t="str">
        <f t="shared" ref="AB1393:AC1393" si="2790">trim(Q1393)</f>
        <v>Customer Service</v>
      </c>
      <c r="AC1393" s="14" t="str">
        <f t="shared" si="2790"/>
        <v>Seamless and easy</v>
      </c>
      <c r="AD1393" s="8"/>
    </row>
    <row r="1394">
      <c r="A1394" s="14" t="str">
        <f>IFERROR(__xludf.DUMMYFUNCTION("""COMPUTED_VALUE"""),"//ord_71372//Aarohi Kapoor//Bandra//Rasmalai+1*Vivek Kumar/2/16/2023//Online Payment//Delivered*Delivery Experience: Quick and professional")</f>
        <v>//ord_71372//Aarohi Kapoor//Bandra//Rasmalai+1*Vivek Kumar/2/16/2023//Online Payment//Delivered*Delivery Experience: Quick and professional</v>
      </c>
      <c r="B1394" s="14" t="str">
        <f>IFERROR(__xludf.DUMMYFUNCTION("split(A1394,""//"")"),"ord_71372")</f>
        <v>ord_71372</v>
      </c>
      <c r="C1394" s="14" t="str">
        <f>IFERROR(__xludf.DUMMYFUNCTION("""COMPUTED_VALUE"""),"Aarohi Kapoor")</f>
        <v>Aarohi Kapoor</v>
      </c>
      <c r="D1394" s="14" t="str">
        <f>IFERROR(__xludf.DUMMYFUNCTION("""COMPUTED_VALUE"""),"Bandra")</f>
        <v>Bandra</v>
      </c>
      <c r="E1394" s="14" t="str">
        <f>IFERROR(__xludf.DUMMYFUNCTION("""COMPUTED_VALUE"""),"Rasmalai+1*Vivek Kumar")</f>
        <v>Rasmalai+1*Vivek Kumar</v>
      </c>
      <c r="F1394" s="14">
        <f>IFERROR(__xludf.DUMMYFUNCTION("""COMPUTED_VALUE"""),2.0)</f>
        <v>2</v>
      </c>
      <c r="G1394" s="14">
        <f>IFERROR(__xludf.DUMMYFUNCTION("""COMPUTED_VALUE"""),16.0)</f>
        <v>16</v>
      </c>
      <c r="H1394" s="14">
        <f>IFERROR(__xludf.DUMMYFUNCTION("""COMPUTED_VALUE"""),2023.0)</f>
        <v>2023</v>
      </c>
      <c r="I1394" s="14" t="str">
        <f>IFERROR(__xludf.DUMMYFUNCTION("""COMPUTED_VALUE"""),"Online Payment")</f>
        <v>Online Payment</v>
      </c>
      <c r="J1394" s="14" t="str">
        <f>IFERROR(__xludf.DUMMYFUNCTION("""COMPUTED_VALUE"""),"Delivered*Delivery Experience: Quick and professional")</f>
        <v>Delivered*Delivery Experience: Quick and professional</v>
      </c>
      <c r="K1394" s="14" t="str">
        <f>IFERROR(__xludf.DUMMYFUNCTION("split(E1394,""+"")"),"Rasmalai")</f>
        <v>Rasmalai</v>
      </c>
      <c r="L1394" s="14" t="str">
        <f>IFERROR(__xludf.DUMMYFUNCTION("""COMPUTED_VALUE"""),"1*Vivek Kumar")</f>
        <v>1*Vivek Kumar</v>
      </c>
      <c r="M1394" s="14">
        <f>IFERROR(__xludf.DUMMYFUNCTION("SPLIT(L1394,""*"")"),1.0)</f>
        <v>1</v>
      </c>
      <c r="N1394" s="14" t="str">
        <f>IFERROR(__xludf.DUMMYFUNCTION("""COMPUTED_VALUE"""),"Vivek Kumar")</f>
        <v>Vivek Kumar</v>
      </c>
      <c r="O1394" s="14" t="str">
        <f>IFERROR(__xludf.DUMMYFUNCTION("split(J1394,""*"")"),"Delivered")</f>
        <v>Delivered</v>
      </c>
      <c r="P1394" s="14" t="str">
        <f>IFERROR(__xludf.DUMMYFUNCTION("""COMPUTED_VALUE"""),"Delivery Experience: Quick and professional")</f>
        <v>Delivery Experience: Quick and professional</v>
      </c>
      <c r="Q1394" s="14" t="str">
        <f>IFERROR(__xludf.DUMMYFUNCTION("split(P1394,"":"")"),"Delivery Experience")</f>
        <v>Delivery Experience</v>
      </c>
      <c r="R1394" s="14" t="str">
        <f>IFERROR(__xludf.DUMMYFUNCTION("""COMPUTED_VALUE""")," Quick and professional")</f>
        <v> Quick and professional</v>
      </c>
      <c r="S1394" s="14" t="str">
        <f t="shared" ref="S1394:U1394" si="2791">trim(B1394)</f>
        <v>ord_71372</v>
      </c>
      <c r="T1394" s="14" t="str">
        <f t="shared" si="2791"/>
        <v>Aarohi Kapoor</v>
      </c>
      <c r="U1394" s="14" t="str">
        <f t="shared" si="2791"/>
        <v>Bandra</v>
      </c>
      <c r="V1394" s="14" t="str">
        <f t="shared" si="4"/>
        <v>Rasmalai</v>
      </c>
      <c r="W1394" s="14">
        <f t="shared" si="5"/>
        <v>1</v>
      </c>
      <c r="X1394" s="14" t="str">
        <f t="shared" si="6"/>
        <v>Vivek Kumar</v>
      </c>
      <c r="Y1394" s="15">
        <f t="shared" si="7"/>
        <v>44973</v>
      </c>
      <c r="Z1394" s="14" t="str">
        <f t="shared" si="8"/>
        <v>Online Payment</v>
      </c>
      <c r="AA1394" s="14" t="str">
        <f t="shared" si="9"/>
        <v>Delivered</v>
      </c>
      <c r="AB1394" s="14" t="str">
        <f t="shared" ref="AB1394:AC1394" si="2792">trim(Q1394)</f>
        <v>Delivery Experience</v>
      </c>
      <c r="AC1394" s="14" t="str">
        <f t="shared" si="2792"/>
        <v>Quick and professional</v>
      </c>
      <c r="AD1394" s="8"/>
    </row>
    <row r="1395">
      <c r="A1395" s="14" t="str">
        <f>IFERROR(__xludf.DUMMYFUNCTION("""COMPUTED_VALUE"""),"//ord_71373//Sanjay Nair//Dadar//Apple+1*Vivek Kumar/1/23/2023//Online Payment//Delivered*Convenience: Easy tracking")</f>
        <v>//ord_71373//Sanjay Nair//Dadar//Apple+1*Vivek Kumar/1/23/2023//Online Payment//Delivered*Convenience: Easy tracking</v>
      </c>
      <c r="B1395" s="14" t="str">
        <f>IFERROR(__xludf.DUMMYFUNCTION("split(A1395,""//"")"),"ord_71373")</f>
        <v>ord_71373</v>
      </c>
      <c r="C1395" s="14" t="str">
        <f>IFERROR(__xludf.DUMMYFUNCTION("""COMPUTED_VALUE"""),"Sanjay Nair")</f>
        <v>Sanjay Nair</v>
      </c>
      <c r="D1395" s="14" t="str">
        <f>IFERROR(__xludf.DUMMYFUNCTION("""COMPUTED_VALUE"""),"Dadar")</f>
        <v>Dadar</v>
      </c>
      <c r="E1395" s="14" t="str">
        <f>IFERROR(__xludf.DUMMYFUNCTION("""COMPUTED_VALUE"""),"Apple+1*Vivek Kumar")</f>
        <v>Apple+1*Vivek Kumar</v>
      </c>
      <c r="F1395" s="14">
        <f>IFERROR(__xludf.DUMMYFUNCTION("""COMPUTED_VALUE"""),1.0)</f>
        <v>1</v>
      </c>
      <c r="G1395" s="14">
        <f>IFERROR(__xludf.DUMMYFUNCTION("""COMPUTED_VALUE"""),23.0)</f>
        <v>23</v>
      </c>
      <c r="H1395" s="14">
        <f>IFERROR(__xludf.DUMMYFUNCTION("""COMPUTED_VALUE"""),2023.0)</f>
        <v>2023</v>
      </c>
      <c r="I1395" s="14" t="str">
        <f>IFERROR(__xludf.DUMMYFUNCTION("""COMPUTED_VALUE"""),"Online Payment")</f>
        <v>Online Payment</v>
      </c>
      <c r="J1395" s="14" t="str">
        <f>IFERROR(__xludf.DUMMYFUNCTION("""COMPUTED_VALUE"""),"Delivered*Convenience: Easy tracking")</f>
        <v>Delivered*Convenience: Easy tracking</v>
      </c>
      <c r="K1395" s="14" t="str">
        <f>IFERROR(__xludf.DUMMYFUNCTION("split(E1395,""+"")"),"Apple")</f>
        <v>Apple</v>
      </c>
      <c r="L1395" s="14" t="str">
        <f>IFERROR(__xludf.DUMMYFUNCTION("""COMPUTED_VALUE"""),"1*Vivek Kumar")</f>
        <v>1*Vivek Kumar</v>
      </c>
      <c r="M1395" s="14">
        <f>IFERROR(__xludf.DUMMYFUNCTION("SPLIT(L1395,""*"")"),1.0)</f>
        <v>1</v>
      </c>
      <c r="N1395" s="14" t="str">
        <f>IFERROR(__xludf.DUMMYFUNCTION("""COMPUTED_VALUE"""),"Vivek Kumar")</f>
        <v>Vivek Kumar</v>
      </c>
      <c r="O1395" s="14" t="str">
        <f>IFERROR(__xludf.DUMMYFUNCTION("split(J1395,""*"")"),"Delivered")</f>
        <v>Delivered</v>
      </c>
      <c r="P1395" s="14" t="str">
        <f>IFERROR(__xludf.DUMMYFUNCTION("""COMPUTED_VALUE"""),"Convenience: Easy tracking")</f>
        <v>Convenience: Easy tracking</v>
      </c>
      <c r="Q1395" s="14" t="str">
        <f>IFERROR(__xludf.DUMMYFUNCTION("split(P1395,"":"")"),"Convenience")</f>
        <v>Convenience</v>
      </c>
      <c r="R1395" s="14" t="str">
        <f>IFERROR(__xludf.DUMMYFUNCTION("""COMPUTED_VALUE""")," Easy tracking")</f>
        <v> Easy tracking</v>
      </c>
      <c r="S1395" s="14" t="str">
        <f t="shared" ref="S1395:U1395" si="2793">trim(B1395)</f>
        <v>ord_71373</v>
      </c>
      <c r="T1395" s="14" t="str">
        <f t="shared" si="2793"/>
        <v>Sanjay Nair</v>
      </c>
      <c r="U1395" s="14" t="str">
        <f t="shared" si="2793"/>
        <v>Dadar</v>
      </c>
      <c r="V1395" s="14" t="str">
        <f t="shared" si="4"/>
        <v>Apple</v>
      </c>
      <c r="W1395" s="14">
        <f t="shared" si="5"/>
        <v>1</v>
      </c>
      <c r="X1395" s="14" t="str">
        <f t="shared" si="6"/>
        <v>Vivek Kumar</v>
      </c>
      <c r="Y1395" s="15">
        <f t="shared" si="7"/>
        <v>44949</v>
      </c>
      <c r="Z1395" s="14" t="str">
        <f t="shared" si="8"/>
        <v>Online Payment</v>
      </c>
      <c r="AA1395" s="14" t="str">
        <f t="shared" si="9"/>
        <v>Delivered</v>
      </c>
      <c r="AB1395" s="14" t="str">
        <f t="shared" ref="AB1395:AC1395" si="2794">trim(Q1395)</f>
        <v>Convenience</v>
      </c>
      <c r="AC1395" s="14" t="str">
        <f t="shared" si="2794"/>
        <v>Easy tracking</v>
      </c>
      <c r="AD1395" s="8"/>
    </row>
    <row r="1396">
      <c r="A1396" s="14" t="str">
        <f>IFERROR(__xludf.DUMMYFUNCTION("""COMPUTED_VALUE"""),"//ord_71374//Sakshi Tandon//Colaba//Potato+2*Manju Ajay/8/20/2023//COD//Delivered*Overall Satisfaction: Great service will order again")</f>
        <v>//ord_71374//Sakshi Tandon//Colaba//Potato+2*Manju Ajay/8/20/2023//COD//Delivered*Overall Satisfaction: Great service will order again</v>
      </c>
      <c r="B1396" s="14" t="str">
        <f>IFERROR(__xludf.DUMMYFUNCTION("split(A1396,""//"")"),"ord_71374")</f>
        <v>ord_71374</v>
      </c>
      <c r="C1396" s="14" t="str">
        <f>IFERROR(__xludf.DUMMYFUNCTION("""COMPUTED_VALUE"""),"Sakshi Tandon")</f>
        <v>Sakshi Tandon</v>
      </c>
      <c r="D1396" s="14" t="str">
        <f>IFERROR(__xludf.DUMMYFUNCTION("""COMPUTED_VALUE"""),"Colaba")</f>
        <v>Colaba</v>
      </c>
      <c r="E1396" s="14" t="str">
        <f>IFERROR(__xludf.DUMMYFUNCTION("""COMPUTED_VALUE"""),"Potato+2*Manju Ajay")</f>
        <v>Potato+2*Manju Ajay</v>
      </c>
      <c r="F1396" s="14">
        <f>IFERROR(__xludf.DUMMYFUNCTION("""COMPUTED_VALUE"""),8.0)</f>
        <v>8</v>
      </c>
      <c r="G1396" s="14">
        <f>IFERROR(__xludf.DUMMYFUNCTION("""COMPUTED_VALUE"""),20.0)</f>
        <v>20</v>
      </c>
      <c r="H1396" s="14">
        <f>IFERROR(__xludf.DUMMYFUNCTION("""COMPUTED_VALUE"""),2023.0)</f>
        <v>2023</v>
      </c>
      <c r="I1396" s="14" t="str">
        <f>IFERROR(__xludf.DUMMYFUNCTION("""COMPUTED_VALUE"""),"COD")</f>
        <v>COD</v>
      </c>
      <c r="J1396" s="14" t="str">
        <f>IFERROR(__xludf.DUMMYFUNCTION("""COMPUTED_VALUE"""),"Delivered*Overall Satisfaction: Great service will order again")</f>
        <v>Delivered*Overall Satisfaction: Great service will order again</v>
      </c>
      <c r="K1396" s="14" t="str">
        <f>IFERROR(__xludf.DUMMYFUNCTION("split(E1396,""+"")"),"Potato")</f>
        <v>Potato</v>
      </c>
      <c r="L1396" s="14" t="str">
        <f>IFERROR(__xludf.DUMMYFUNCTION("""COMPUTED_VALUE"""),"2*Manju Ajay")</f>
        <v>2*Manju Ajay</v>
      </c>
      <c r="M1396" s="14">
        <f>IFERROR(__xludf.DUMMYFUNCTION("SPLIT(L1396,""*"")"),2.0)</f>
        <v>2</v>
      </c>
      <c r="N1396" s="14" t="str">
        <f>IFERROR(__xludf.DUMMYFUNCTION("""COMPUTED_VALUE"""),"Manju Ajay")</f>
        <v>Manju Ajay</v>
      </c>
      <c r="O1396" s="14" t="str">
        <f>IFERROR(__xludf.DUMMYFUNCTION("split(J1396,""*"")"),"Delivered")</f>
        <v>Delivered</v>
      </c>
      <c r="P1396" s="14" t="str">
        <f>IFERROR(__xludf.DUMMYFUNCTION("""COMPUTED_VALUE"""),"Overall Satisfaction: Great service will order again")</f>
        <v>Overall Satisfaction: Great service will order again</v>
      </c>
      <c r="Q1396" s="14" t="str">
        <f>IFERROR(__xludf.DUMMYFUNCTION("split(P1396,"":"")"),"Overall Satisfaction")</f>
        <v>Overall Satisfaction</v>
      </c>
      <c r="R1396" s="14" t="str">
        <f>IFERROR(__xludf.DUMMYFUNCTION("""COMPUTED_VALUE""")," Great service will order again")</f>
        <v> Great service will order again</v>
      </c>
      <c r="S1396" s="14" t="str">
        <f t="shared" ref="S1396:U1396" si="2795">trim(B1396)</f>
        <v>ord_71374</v>
      </c>
      <c r="T1396" s="14" t="str">
        <f t="shared" si="2795"/>
        <v>Sakshi Tandon</v>
      </c>
      <c r="U1396" s="14" t="str">
        <f t="shared" si="2795"/>
        <v>Colaba</v>
      </c>
      <c r="V1396" s="14" t="str">
        <f t="shared" si="4"/>
        <v>Potato</v>
      </c>
      <c r="W1396" s="14">
        <f t="shared" si="5"/>
        <v>2</v>
      </c>
      <c r="X1396" s="14" t="str">
        <f t="shared" si="6"/>
        <v>Manju Ajay</v>
      </c>
      <c r="Y1396" s="15">
        <f t="shared" si="7"/>
        <v>45158</v>
      </c>
      <c r="Z1396" s="14" t="str">
        <f t="shared" si="8"/>
        <v>COD</v>
      </c>
      <c r="AA1396" s="14" t="str">
        <f t="shared" si="9"/>
        <v>Delivered</v>
      </c>
      <c r="AB1396" s="14" t="str">
        <f t="shared" ref="AB1396:AC1396" si="2796">trim(Q1396)</f>
        <v>Overall Satisfaction</v>
      </c>
      <c r="AC1396" s="14" t="str">
        <f t="shared" si="2796"/>
        <v>Great service will order again</v>
      </c>
      <c r="AD1396" s="8"/>
    </row>
    <row r="1397">
      <c r="A1397" s="14" t="str">
        <f>IFERROR(__xludf.DUMMYFUNCTION("""COMPUTED_VALUE"""),"//ord_71375//Siya Reddy//Juhu//Juice+4*Not Assigned/10/18/2023//UPI//Cancelled*App Glitches: Payment Button Malfunction")</f>
        <v>//ord_71375//Siya Reddy//Juhu//Juice+4*Not Assigned/10/18/2023//UPI//Cancelled*App Glitches: Payment Button Malfunction</v>
      </c>
      <c r="B1397" s="14" t="str">
        <f>IFERROR(__xludf.DUMMYFUNCTION("split(A1397,""//"")"),"ord_71375")</f>
        <v>ord_71375</v>
      </c>
      <c r="C1397" s="14" t="str">
        <f>IFERROR(__xludf.DUMMYFUNCTION("""COMPUTED_VALUE"""),"Siya Reddy")</f>
        <v>Siya Reddy</v>
      </c>
      <c r="D1397" s="14" t="str">
        <f>IFERROR(__xludf.DUMMYFUNCTION("""COMPUTED_VALUE"""),"Juhu")</f>
        <v>Juhu</v>
      </c>
      <c r="E1397" s="14" t="str">
        <f>IFERROR(__xludf.DUMMYFUNCTION("""COMPUTED_VALUE"""),"Juice+4*Not Assigned")</f>
        <v>Juice+4*Not Assigned</v>
      </c>
      <c r="F1397" s="14">
        <f>IFERROR(__xludf.DUMMYFUNCTION("""COMPUTED_VALUE"""),10.0)</f>
        <v>10</v>
      </c>
      <c r="G1397" s="14">
        <f>IFERROR(__xludf.DUMMYFUNCTION("""COMPUTED_VALUE"""),18.0)</f>
        <v>18</v>
      </c>
      <c r="H1397" s="14">
        <f>IFERROR(__xludf.DUMMYFUNCTION("""COMPUTED_VALUE"""),2023.0)</f>
        <v>2023</v>
      </c>
      <c r="I1397" s="14" t="str">
        <f>IFERROR(__xludf.DUMMYFUNCTION("""COMPUTED_VALUE"""),"UPI")</f>
        <v>UPI</v>
      </c>
      <c r="J1397" s="14" t="str">
        <f>IFERROR(__xludf.DUMMYFUNCTION("""COMPUTED_VALUE"""),"Cancelled*App Glitches: Payment Button Malfunction")</f>
        <v>Cancelled*App Glitches: Payment Button Malfunction</v>
      </c>
      <c r="K1397" s="14" t="str">
        <f>IFERROR(__xludf.DUMMYFUNCTION("split(E1397,""+"")"),"Juice")</f>
        <v>Juice</v>
      </c>
      <c r="L1397" s="14" t="str">
        <f>IFERROR(__xludf.DUMMYFUNCTION("""COMPUTED_VALUE"""),"4*Not Assigned")</f>
        <v>4*Not Assigned</v>
      </c>
      <c r="M1397" s="14">
        <f>IFERROR(__xludf.DUMMYFUNCTION("SPLIT(L1397,""*"")"),4.0)</f>
        <v>4</v>
      </c>
      <c r="N1397" s="14" t="str">
        <f>IFERROR(__xludf.DUMMYFUNCTION("""COMPUTED_VALUE"""),"Not Assigned")</f>
        <v>Not Assigned</v>
      </c>
      <c r="O1397" s="14" t="str">
        <f>IFERROR(__xludf.DUMMYFUNCTION("split(J1397,""*"")"),"Cancelled")</f>
        <v>Cancelled</v>
      </c>
      <c r="P1397" s="14" t="str">
        <f>IFERROR(__xludf.DUMMYFUNCTION("""COMPUTED_VALUE"""),"App Glitches: Payment Button Malfunction")</f>
        <v>App Glitches: Payment Button Malfunction</v>
      </c>
      <c r="Q1397" s="14" t="str">
        <f>IFERROR(__xludf.DUMMYFUNCTION("split(P1397,"":"")"),"App Glitches")</f>
        <v>App Glitches</v>
      </c>
      <c r="R1397" s="14" t="str">
        <f>IFERROR(__xludf.DUMMYFUNCTION("""COMPUTED_VALUE""")," Payment Button Malfunction")</f>
        <v> Payment Button Malfunction</v>
      </c>
      <c r="S1397" s="14" t="str">
        <f t="shared" ref="S1397:U1397" si="2797">trim(B1397)</f>
        <v>ord_71375</v>
      </c>
      <c r="T1397" s="14" t="str">
        <f t="shared" si="2797"/>
        <v>Siya Reddy</v>
      </c>
      <c r="U1397" s="14" t="str">
        <f t="shared" si="2797"/>
        <v>Juhu</v>
      </c>
      <c r="V1397" s="14" t="str">
        <f t="shared" si="4"/>
        <v>Juice</v>
      </c>
      <c r="W1397" s="14">
        <f t="shared" si="5"/>
        <v>4</v>
      </c>
      <c r="X1397" s="14" t="str">
        <f t="shared" si="6"/>
        <v>Not Assigned</v>
      </c>
      <c r="Y1397" s="15">
        <f t="shared" si="7"/>
        <v>45217</v>
      </c>
      <c r="Z1397" s="14" t="str">
        <f t="shared" si="8"/>
        <v>UPI</v>
      </c>
      <c r="AA1397" s="14" t="str">
        <f t="shared" si="9"/>
        <v>Cancelled</v>
      </c>
      <c r="AB1397" s="14" t="str">
        <f t="shared" ref="AB1397:AC1397" si="2798">trim(Q1397)</f>
        <v>App Glitches</v>
      </c>
      <c r="AC1397" s="14" t="str">
        <f t="shared" si="2798"/>
        <v>Payment Button Malfunction</v>
      </c>
      <c r="AD1397" s="8"/>
    </row>
    <row r="1398">
      <c r="A1398" s="14" t="str">
        <f>IFERROR(__xludf.DUMMYFUNCTION("""COMPUTED_VALUE"""),"//ord_71376//Aarav Mehta//Andheri//Chilli Cheese Toast+2*Ramesh S/7/23/2023//Credit Card//Delivered*On-time Delivery: Delivered on time")</f>
        <v>//ord_71376//Aarav Mehta//Andheri//Chilli Cheese Toast+2*Ramesh S/7/23/2023//Credit Card//Delivered*On-time Delivery: Delivered on time</v>
      </c>
      <c r="B1398" s="14" t="str">
        <f>IFERROR(__xludf.DUMMYFUNCTION("split(A1398,""//"")"),"ord_71376")</f>
        <v>ord_71376</v>
      </c>
      <c r="C1398" s="14" t="str">
        <f>IFERROR(__xludf.DUMMYFUNCTION("""COMPUTED_VALUE"""),"Aarav Mehta")</f>
        <v>Aarav Mehta</v>
      </c>
      <c r="D1398" s="14" t="str">
        <f>IFERROR(__xludf.DUMMYFUNCTION("""COMPUTED_VALUE"""),"Andheri")</f>
        <v>Andheri</v>
      </c>
      <c r="E1398" s="14" t="str">
        <f>IFERROR(__xludf.DUMMYFUNCTION("""COMPUTED_VALUE"""),"Chilli Cheese Toast+2*Ramesh S")</f>
        <v>Chilli Cheese Toast+2*Ramesh S</v>
      </c>
      <c r="F1398" s="14">
        <f>IFERROR(__xludf.DUMMYFUNCTION("""COMPUTED_VALUE"""),7.0)</f>
        <v>7</v>
      </c>
      <c r="G1398" s="14">
        <f>IFERROR(__xludf.DUMMYFUNCTION("""COMPUTED_VALUE"""),23.0)</f>
        <v>23</v>
      </c>
      <c r="H1398" s="14">
        <f>IFERROR(__xludf.DUMMYFUNCTION("""COMPUTED_VALUE"""),2023.0)</f>
        <v>2023</v>
      </c>
      <c r="I1398" s="14" t="str">
        <f>IFERROR(__xludf.DUMMYFUNCTION("""COMPUTED_VALUE"""),"Credit Card")</f>
        <v>Credit Card</v>
      </c>
      <c r="J1398" s="14" t="str">
        <f>IFERROR(__xludf.DUMMYFUNCTION("""COMPUTED_VALUE"""),"Delivered*On-time Delivery: Delivered on time")</f>
        <v>Delivered*On-time Delivery: Delivered on time</v>
      </c>
      <c r="K1398" s="14" t="str">
        <f>IFERROR(__xludf.DUMMYFUNCTION("split(E1398,""+"")"),"Chilli Cheese Toast")</f>
        <v>Chilli Cheese Toast</v>
      </c>
      <c r="L1398" s="14" t="str">
        <f>IFERROR(__xludf.DUMMYFUNCTION("""COMPUTED_VALUE"""),"2*Ramesh S")</f>
        <v>2*Ramesh S</v>
      </c>
      <c r="M1398" s="14">
        <f>IFERROR(__xludf.DUMMYFUNCTION("SPLIT(L1398,""*"")"),2.0)</f>
        <v>2</v>
      </c>
      <c r="N1398" s="14" t="str">
        <f>IFERROR(__xludf.DUMMYFUNCTION("""COMPUTED_VALUE"""),"Ramesh S")</f>
        <v>Ramesh S</v>
      </c>
      <c r="O1398" s="14" t="str">
        <f>IFERROR(__xludf.DUMMYFUNCTION("split(J1398,""*"")"),"Delivered")</f>
        <v>Delivered</v>
      </c>
      <c r="P1398" s="14" t="str">
        <f>IFERROR(__xludf.DUMMYFUNCTION("""COMPUTED_VALUE"""),"On-time Delivery: Delivered on time")</f>
        <v>On-time Delivery: Delivered on time</v>
      </c>
      <c r="Q1398" s="14" t="str">
        <f>IFERROR(__xludf.DUMMYFUNCTION("split(P1398,"":"")"),"On-time Delivery")</f>
        <v>On-time Delivery</v>
      </c>
      <c r="R1398" s="14" t="str">
        <f>IFERROR(__xludf.DUMMYFUNCTION("""COMPUTED_VALUE""")," Delivered on time")</f>
        <v> Delivered on time</v>
      </c>
      <c r="S1398" s="14" t="str">
        <f t="shared" ref="S1398:U1398" si="2799">trim(B1398)</f>
        <v>ord_71376</v>
      </c>
      <c r="T1398" s="14" t="str">
        <f t="shared" si="2799"/>
        <v>Aarav Mehta</v>
      </c>
      <c r="U1398" s="14" t="str">
        <f t="shared" si="2799"/>
        <v>Andheri</v>
      </c>
      <c r="V1398" s="14" t="str">
        <f t="shared" si="4"/>
        <v>Chilli Cheese Toast</v>
      </c>
      <c r="W1398" s="14">
        <f t="shared" si="5"/>
        <v>2</v>
      </c>
      <c r="X1398" s="14" t="str">
        <f t="shared" si="6"/>
        <v>Ramesh S</v>
      </c>
      <c r="Y1398" s="15">
        <f t="shared" si="7"/>
        <v>45130</v>
      </c>
      <c r="Z1398" s="14" t="str">
        <f t="shared" si="8"/>
        <v>Credit Card</v>
      </c>
      <c r="AA1398" s="14" t="str">
        <f t="shared" si="9"/>
        <v>Delivered</v>
      </c>
      <c r="AB1398" s="14" t="str">
        <f t="shared" ref="AB1398:AC1398" si="2800">trim(Q1398)</f>
        <v>On-time Delivery</v>
      </c>
      <c r="AC1398" s="14" t="str">
        <f t="shared" si="2800"/>
        <v>Delivered on time</v>
      </c>
      <c r="AD1398" s="8"/>
    </row>
    <row r="1399">
      <c r="A1399" s="14" t="str">
        <f>IFERROR(__xludf.DUMMYFUNCTION("""COMPUTED_VALUE"""),"//ord_71377//Aditi Iyer//Dadar//Cucumber+2*Sita T/9/15/2023//Online Payment//Delivered*Quality of Items: Perfect condition")</f>
        <v>//ord_71377//Aditi Iyer//Dadar//Cucumber+2*Sita T/9/15/2023//Online Payment//Delivered*Quality of Items: Perfect condition</v>
      </c>
      <c r="B1399" s="14" t="str">
        <f>IFERROR(__xludf.DUMMYFUNCTION("split(A1399,""//"")"),"ord_71377")</f>
        <v>ord_71377</v>
      </c>
      <c r="C1399" s="14" t="str">
        <f>IFERROR(__xludf.DUMMYFUNCTION("""COMPUTED_VALUE"""),"Aditi Iyer")</f>
        <v>Aditi Iyer</v>
      </c>
      <c r="D1399" s="14" t="str">
        <f>IFERROR(__xludf.DUMMYFUNCTION("""COMPUTED_VALUE"""),"Dadar")</f>
        <v>Dadar</v>
      </c>
      <c r="E1399" s="14" t="str">
        <f>IFERROR(__xludf.DUMMYFUNCTION("""COMPUTED_VALUE"""),"Cucumber+2*Sita T")</f>
        <v>Cucumber+2*Sita T</v>
      </c>
      <c r="F1399" s="14">
        <f>IFERROR(__xludf.DUMMYFUNCTION("""COMPUTED_VALUE"""),9.0)</f>
        <v>9</v>
      </c>
      <c r="G1399" s="14">
        <f>IFERROR(__xludf.DUMMYFUNCTION("""COMPUTED_VALUE"""),15.0)</f>
        <v>15</v>
      </c>
      <c r="H1399" s="14">
        <f>IFERROR(__xludf.DUMMYFUNCTION("""COMPUTED_VALUE"""),2023.0)</f>
        <v>2023</v>
      </c>
      <c r="I1399" s="14" t="str">
        <f>IFERROR(__xludf.DUMMYFUNCTION("""COMPUTED_VALUE"""),"Online Payment")</f>
        <v>Online Payment</v>
      </c>
      <c r="J1399" s="14" t="str">
        <f>IFERROR(__xludf.DUMMYFUNCTION("""COMPUTED_VALUE"""),"Delivered*Quality of Items: Perfect condition")</f>
        <v>Delivered*Quality of Items: Perfect condition</v>
      </c>
      <c r="K1399" s="14" t="str">
        <f>IFERROR(__xludf.DUMMYFUNCTION("split(E1399,""+"")"),"Cucumber")</f>
        <v>Cucumber</v>
      </c>
      <c r="L1399" s="14" t="str">
        <f>IFERROR(__xludf.DUMMYFUNCTION("""COMPUTED_VALUE"""),"2*Sita T")</f>
        <v>2*Sita T</v>
      </c>
      <c r="M1399" s="14">
        <f>IFERROR(__xludf.DUMMYFUNCTION("SPLIT(L1399,""*"")"),2.0)</f>
        <v>2</v>
      </c>
      <c r="N1399" s="14" t="str">
        <f>IFERROR(__xludf.DUMMYFUNCTION("""COMPUTED_VALUE"""),"Sita T")</f>
        <v>Sita T</v>
      </c>
      <c r="O1399" s="14" t="str">
        <f>IFERROR(__xludf.DUMMYFUNCTION("split(J1399,""*"")"),"Delivered")</f>
        <v>Delivered</v>
      </c>
      <c r="P1399" s="14" t="str">
        <f>IFERROR(__xludf.DUMMYFUNCTION("""COMPUTED_VALUE"""),"Quality of Items: Perfect condition")</f>
        <v>Quality of Items: Perfect condition</v>
      </c>
      <c r="Q1399" s="14" t="str">
        <f>IFERROR(__xludf.DUMMYFUNCTION("split(P1399,"":"")"),"Quality of Items")</f>
        <v>Quality of Items</v>
      </c>
      <c r="R1399" s="14" t="str">
        <f>IFERROR(__xludf.DUMMYFUNCTION("""COMPUTED_VALUE""")," Perfect condition")</f>
        <v> Perfect condition</v>
      </c>
      <c r="S1399" s="14" t="str">
        <f t="shared" ref="S1399:U1399" si="2801">trim(B1399)</f>
        <v>ord_71377</v>
      </c>
      <c r="T1399" s="14" t="str">
        <f t="shared" si="2801"/>
        <v>Aditi Iyer</v>
      </c>
      <c r="U1399" s="14" t="str">
        <f t="shared" si="2801"/>
        <v>Dadar</v>
      </c>
      <c r="V1399" s="14" t="str">
        <f t="shared" si="4"/>
        <v>Cucumber</v>
      </c>
      <c r="W1399" s="14">
        <f t="shared" si="5"/>
        <v>2</v>
      </c>
      <c r="X1399" s="14" t="str">
        <f t="shared" si="6"/>
        <v>Sita T</v>
      </c>
      <c r="Y1399" s="15">
        <f t="shared" si="7"/>
        <v>45184</v>
      </c>
      <c r="Z1399" s="14" t="str">
        <f t="shared" si="8"/>
        <v>Online Payment</v>
      </c>
      <c r="AA1399" s="14" t="str">
        <f t="shared" si="9"/>
        <v>Delivered</v>
      </c>
      <c r="AB1399" s="14" t="str">
        <f t="shared" ref="AB1399:AC1399" si="2802">trim(Q1399)</f>
        <v>Quality of Items</v>
      </c>
      <c r="AC1399" s="14" t="str">
        <f t="shared" si="2802"/>
        <v>Perfect condition</v>
      </c>
      <c r="AD1399" s="8"/>
    </row>
    <row r="1400">
      <c r="A1400" s="14" t="str">
        <f>IFERROR(__xludf.DUMMYFUNCTION("""COMPUTED_VALUE"""),"//ord_71378//Aditi Iyer//Dadar//Veg Puff+2*Manju Ajay/2/7/2023//COD//Delivered*On-time Delivery: Delivered on time")</f>
        <v>//ord_71378//Aditi Iyer//Dadar//Veg Puff+2*Manju Ajay/2/7/2023//COD//Delivered*On-time Delivery: Delivered on time</v>
      </c>
      <c r="B1400" s="14" t="str">
        <f>IFERROR(__xludf.DUMMYFUNCTION("split(A1400,""//"")"),"ord_71378")</f>
        <v>ord_71378</v>
      </c>
      <c r="C1400" s="14" t="str">
        <f>IFERROR(__xludf.DUMMYFUNCTION("""COMPUTED_VALUE"""),"Aditi Iyer")</f>
        <v>Aditi Iyer</v>
      </c>
      <c r="D1400" s="14" t="str">
        <f>IFERROR(__xludf.DUMMYFUNCTION("""COMPUTED_VALUE"""),"Dadar")</f>
        <v>Dadar</v>
      </c>
      <c r="E1400" s="14" t="str">
        <f>IFERROR(__xludf.DUMMYFUNCTION("""COMPUTED_VALUE"""),"Veg Puff+2*Manju Ajay")</f>
        <v>Veg Puff+2*Manju Ajay</v>
      </c>
      <c r="F1400" s="14">
        <f>IFERROR(__xludf.DUMMYFUNCTION("""COMPUTED_VALUE"""),2.0)</f>
        <v>2</v>
      </c>
      <c r="G1400" s="14">
        <f>IFERROR(__xludf.DUMMYFUNCTION("""COMPUTED_VALUE"""),7.0)</f>
        <v>7</v>
      </c>
      <c r="H1400" s="14">
        <f>IFERROR(__xludf.DUMMYFUNCTION("""COMPUTED_VALUE"""),2023.0)</f>
        <v>2023</v>
      </c>
      <c r="I1400" s="14" t="str">
        <f>IFERROR(__xludf.DUMMYFUNCTION("""COMPUTED_VALUE"""),"COD")</f>
        <v>COD</v>
      </c>
      <c r="J1400" s="14" t="str">
        <f>IFERROR(__xludf.DUMMYFUNCTION("""COMPUTED_VALUE"""),"Delivered*On-time Delivery: Delivered on time")</f>
        <v>Delivered*On-time Delivery: Delivered on time</v>
      </c>
      <c r="K1400" s="14" t="str">
        <f>IFERROR(__xludf.DUMMYFUNCTION("split(E1400,""+"")"),"Veg Puff")</f>
        <v>Veg Puff</v>
      </c>
      <c r="L1400" s="14" t="str">
        <f>IFERROR(__xludf.DUMMYFUNCTION("""COMPUTED_VALUE"""),"2*Manju Ajay")</f>
        <v>2*Manju Ajay</v>
      </c>
      <c r="M1400" s="14">
        <f>IFERROR(__xludf.DUMMYFUNCTION("SPLIT(L1400,""*"")"),2.0)</f>
        <v>2</v>
      </c>
      <c r="N1400" s="14" t="str">
        <f>IFERROR(__xludf.DUMMYFUNCTION("""COMPUTED_VALUE"""),"Manju Ajay")</f>
        <v>Manju Ajay</v>
      </c>
      <c r="O1400" s="14" t="str">
        <f>IFERROR(__xludf.DUMMYFUNCTION("split(J1400,""*"")"),"Delivered")</f>
        <v>Delivered</v>
      </c>
      <c r="P1400" s="14" t="str">
        <f>IFERROR(__xludf.DUMMYFUNCTION("""COMPUTED_VALUE"""),"On-time Delivery: Delivered on time")</f>
        <v>On-time Delivery: Delivered on time</v>
      </c>
      <c r="Q1400" s="14" t="str">
        <f>IFERROR(__xludf.DUMMYFUNCTION("split(P1400,"":"")"),"On-time Delivery")</f>
        <v>On-time Delivery</v>
      </c>
      <c r="R1400" s="14" t="str">
        <f>IFERROR(__xludf.DUMMYFUNCTION("""COMPUTED_VALUE""")," Delivered on time")</f>
        <v> Delivered on time</v>
      </c>
      <c r="S1400" s="14" t="str">
        <f t="shared" ref="S1400:U1400" si="2803">trim(B1400)</f>
        <v>ord_71378</v>
      </c>
      <c r="T1400" s="14" t="str">
        <f t="shared" si="2803"/>
        <v>Aditi Iyer</v>
      </c>
      <c r="U1400" s="14" t="str">
        <f t="shared" si="2803"/>
        <v>Dadar</v>
      </c>
      <c r="V1400" s="14" t="str">
        <f t="shared" si="4"/>
        <v>Veg Puff</v>
      </c>
      <c r="W1400" s="14">
        <f t="shared" si="5"/>
        <v>2</v>
      </c>
      <c r="X1400" s="14" t="str">
        <f t="shared" si="6"/>
        <v>Manju Ajay</v>
      </c>
      <c r="Y1400" s="15">
        <f t="shared" si="7"/>
        <v>44964</v>
      </c>
      <c r="Z1400" s="14" t="str">
        <f t="shared" si="8"/>
        <v>COD</v>
      </c>
      <c r="AA1400" s="14" t="str">
        <f t="shared" si="9"/>
        <v>Delivered</v>
      </c>
      <c r="AB1400" s="14" t="str">
        <f t="shared" ref="AB1400:AC1400" si="2804">trim(Q1400)</f>
        <v>On-time Delivery</v>
      </c>
      <c r="AC1400" s="14" t="str">
        <f t="shared" si="2804"/>
        <v>Delivered on time</v>
      </c>
      <c r="AD1400" s="8"/>
    </row>
    <row r="1401">
      <c r="A1401" s="14" t="str">
        <f>IFERROR(__xludf.DUMMYFUNCTION("""COMPUTED_VALUE"""),"//ord_71379//Mehul Thakkar//Malad//Chilli Cheese Toast+5*Priya Joshi/12/14/2023//Credit Card//Cancelled*Delayed Delivery:Bad Weather Conditions ")</f>
        <v>//ord_71379//Mehul Thakkar//Malad//Chilli Cheese Toast+5*Priya Joshi/12/14/2023//Credit Card//Cancelled*Delayed Delivery:Bad Weather Conditions </v>
      </c>
      <c r="B1401" s="14" t="str">
        <f>IFERROR(__xludf.DUMMYFUNCTION("split(A1401,""//"")"),"ord_71379")</f>
        <v>ord_71379</v>
      </c>
      <c r="C1401" s="14" t="str">
        <f>IFERROR(__xludf.DUMMYFUNCTION("""COMPUTED_VALUE"""),"Mehul Thakkar")</f>
        <v>Mehul Thakkar</v>
      </c>
      <c r="D1401" s="14" t="str">
        <f>IFERROR(__xludf.DUMMYFUNCTION("""COMPUTED_VALUE"""),"Malad")</f>
        <v>Malad</v>
      </c>
      <c r="E1401" s="14" t="str">
        <f>IFERROR(__xludf.DUMMYFUNCTION("""COMPUTED_VALUE"""),"Chilli Cheese Toast+5*Priya Joshi")</f>
        <v>Chilli Cheese Toast+5*Priya Joshi</v>
      </c>
      <c r="F1401" s="14">
        <f>IFERROR(__xludf.DUMMYFUNCTION("""COMPUTED_VALUE"""),12.0)</f>
        <v>12</v>
      </c>
      <c r="G1401" s="14">
        <f>IFERROR(__xludf.DUMMYFUNCTION("""COMPUTED_VALUE"""),14.0)</f>
        <v>14</v>
      </c>
      <c r="H1401" s="14">
        <f>IFERROR(__xludf.DUMMYFUNCTION("""COMPUTED_VALUE"""),2023.0)</f>
        <v>2023</v>
      </c>
      <c r="I1401" s="14" t="str">
        <f>IFERROR(__xludf.DUMMYFUNCTION("""COMPUTED_VALUE"""),"Credit Card")</f>
        <v>Credit Card</v>
      </c>
      <c r="J1401" s="14" t="str">
        <f>IFERROR(__xludf.DUMMYFUNCTION("""COMPUTED_VALUE"""),"Cancelled*Delayed Delivery:Bad Weather Conditions ")</f>
        <v>Cancelled*Delayed Delivery:Bad Weather Conditions </v>
      </c>
      <c r="K1401" s="14" t="str">
        <f>IFERROR(__xludf.DUMMYFUNCTION("split(E1401,""+"")"),"Chilli Cheese Toast")</f>
        <v>Chilli Cheese Toast</v>
      </c>
      <c r="L1401" s="14" t="str">
        <f>IFERROR(__xludf.DUMMYFUNCTION("""COMPUTED_VALUE"""),"5*Priya Joshi")</f>
        <v>5*Priya Joshi</v>
      </c>
      <c r="M1401" s="14">
        <f>IFERROR(__xludf.DUMMYFUNCTION("SPLIT(L1401,""*"")"),5.0)</f>
        <v>5</v>
      </c>
      <c r="N1401" s="14" t="str">
        <f>IFERROR(__xludf.DUMMYFUNCTION("""COMPUTED_VALUE"""),"Priya Joshi")</f>
        <v>Priya Joshi</v>
      </c>
      <c r="O1401" s="14" t="str">
        <f>IFERROR(__xludf.DUMMYFUNCTION("split(J1401,""*"")"),"Cancelled")</f>
        <v>Cancelled</v>
      </c>
      <c r="P1401" s="14" t="str">
        <f>IFERROR(__xludf.DUMMYFUNCTION("""COMPUTED_VALUE"""),"Delayed Delivery:Bad Weather Conditions ")</f>
        <v>Delayed Delivery:Bad Weather Conditions </v>
      </c>
      <c r="Q1401" s="14" t="str">
        <f>IFERROR(__xludf.DUMMYFUNCTION("split(P1401,"":"")"),"Delayed Delivery")</f>
        <v>Delayed Delivery</v>
      </c>
      <c r="R1401" s="14" t="str">
        <f>IFERROR(__xludf.DUMMYFUNCTION("""COMPUTED_VALUE"""),"Bad Weather Conditions ")</f>
        <v>Bad Weather Conditions </v>
      </c>
      <c r="S1401" s="14" t="str">
        <f t="shared" ref="S1401:U1401" si="2805">trim(B1401)</f>
        <v>ord_71379</v>
      </c>
      <c r="T1401" s="14" t="str">
        <f t="shared" si="2805"/>
        <v>Mehul Thakkar</v>
      </c>
      <c r="U1401" s="14" t="str">
        <f t="shared" si="2805"/>
        <v>Malad</v>
      </c>
      <c r="V1401" s="14" t="str">
        <f t="shared" si="4"/>
        <v>Chilli Cheese Toast</v>
      </c>
      <c r="W1401" s="14">
        <f t="shared" si="5"/>
        <v>5</v>
      </c>
      <c r="X1401" s="14" t="str">
        <f t="shared" si="6"/>
        <v>Priya Joshi</v>
      </c>
      <c r="Y1401" s="15">
        <f t="shared" si="7"/>
        <v>45274</v>
      </c>
      <c r="Z1401" s="14" t="str">
        <f t="shared" si="8"/>
        <v>Credit Card</v>
      </c>
      <c r="AA1401" s="14" t="str">
        <f t="shared" si="9"/>
        <v>Cancelled</v>
      </c>
      <c r="AB1401" s="14" t="str">
        <f t="shared" ref="AB1401:AC1401" si="2806">trim(Q1401)</f>
        <v>Delayed Delivery</v>
      </c>
      <c r="AC1401" s="14" t="str">
        <f t="shared" si="2806"/>
        <v>Bad Weather Conditions</v>
      </c>
      <c r="AD1401" s="8"/>
    </row>
    <row r="1402">
      <c r="A1402" s="14" t="str">
        <f>IFERROR(__xludf.DUMMYFUNCTION("""COMPUTED_VALUE"""),"//ord_71380//Diya Arora//Lower Parel//Veg Puff+3*Shine Thomas/7/28/2023//Credit Card//Delivered*Quality of Items: Perfect condition")</f>
        <v>//ord_71380//Diya Arora//Lower Parel//Veg Puff+3*Shine Thomas/7/28/2023//Credit Card//Delivered*Quality of Items: Perfect condition</v>
      </c>
      <c r="B1402" s="14" t="str">
        <f>IFERROR(__xludf.DUMMYFUNCTION("split(A1402,""//"")"),"ord_71380")</f>
        <v>ord_71380</v>
      </c>
      <c r="C1402" s="14" t="str">
        <f>IFERROR(__xludf.DUMMYFUNCTION("""COMPUTED_VALUE"""),"Diya Arora")</f>
        <v>Diya Arora</v>
      </c>
      <c r="D1402" s="14" t="str">
        <f>IFERROR(__xludf.DUMMYFUNCTION("""COMPUTED_VALUE"""),"Lower Parel")</f>
        <v>Lower Parel</v>
      </c>
      <c r="E1402" s="14" t="str">
        <f>IFERROR(__xludf.DUMMYFUNCTION("""COMPUTED_VALUE"""),"Veg Puff+3*Shine Thomas")</f>
        <v>Veg Puff+3*Shine Thomas</v>
      </c>
      <c r="F1402" s="14">
        <f>IFERROR(__xludf.DUMMYFUNCTION("""COMPUTED_VALUE"""),7.0)</f>
        <v>7</v>
      </c>
      <c r="G1402" s="14">
        <f>IFERROR(__xludf.DUMMYFUNCTION("""COMPUTED_VALUE"""),28.0)</f>
        <v>28</v>
      </c>
      <c r="H1402" s="14">
        <f>IFERROR(__xludf.DUMMYFUNCTION("""COMPUTED_VALUE"""),2023.0)</f>
        <v>2023</v>
      </c>
      <c r="I1402" s="14" t="str">
        <f>IFERROR(__xludf.DUMMYFUNCTION("""COMPUTED_VALUE"""),"Credit Card")</f>
        <v>Credit Card</v>
      </c>
      <c r="J1402" s="14" t="str">
        <f>IFERROR(__xludf.DUMMYFUNCTION("""COMPUTED_VALUE"""),"Delivered*Quality of Items: Perfect condition")</f>
        <v>Delivered*Quality of Items: Perfect condition</v>
      </c>
      <c r="K1402" s="14" t="str">
        <f>IFERROR(__xludf.DUMMYFUNCTION("split(E1402,""+"")"),"Veg Puff")</f>
        <v>Veg Puff</v>
      </c>
      <c r="L1402" s="14" t="str">
        <f>IFERROR(__xludf.DUMMYFUNCTION("""COMPUTED_VALUE"""),"3*Shine Thomas")</f>
        <v>3*Shine Thomas</v>
      </c>
      <c r="M1402" s="14">
        <f>IFERROR(__xludf.DUMMYFUNCTION("SPLIT(L1402,""*"")"),3.0)</f>
        <v>3</v>
      </c>
      <c r="N1402" s="14" t="str">
        <f>IFERROR(__xludf.DUMMYFUNCTION("""COMPUTED_VALUE"""),"Shine Thomas")</f>
        <v>Shine Thomas</v>
      </c>
      <c r="O1402" s="14" t="str">
        <f>IFERROR(__xludf.DUMMYFUNCTION("split(J1402,""*"")"),"Delivered")</f>
        <v>Delivered</v>
      </c>
      <c r="P1402" s="14" t="str">
        <f>IFERROR(__xludf.DUMMYFUNCTION("""COMPUTED_VALUE"""),"Quality of Items: Perfect condition")</f>
        <v>Quality of Items: Perfect condition</v>
      </c>
      <c r="Q1402" s="14" t="str">
        <f>IFERROR(__xludf.DUMMYFUNCTION("split(P1402,"":"")"),"Quality of Items")</f>
        <v>Quality of Items</v>
      </c>
      <c r="R1402" s="14" t="str">
        <f>IFERROR(__xludf.DUMMYFUNCTION("""COMPUTED_VALUE""")," Perfect condition")</f>
        <v> Perfect condition</v>
      </c>
      <c r="S1402" s="14" t="str">
        <f t="shared" ref="S1402:U1402" si="2807">trim(B1402)</f>
        <v>ord_71380</v>
      </c>
      <c r="T1402" s="14" t="str">
        <f t="shared" si="2807"/>
        <v>Diya Arora</v>
      </c>
      <c r="U1402" s="14" t="str">
        <f t="shared" si="2807"/>
        <v>Lower Parel</v>
      </c>
      <c r="V1402" s="14" t="str">
        <f t="shared" si="4"/>
        <v>Veg Puff</v>
      </c>
      <c r="W1402" s="14">
        <f t="shared" si="5"/>
        <v>3</v>
      </c>
      <c r="X1402" s="14" t="str">
        <f t="shared" si="6"/>
        <v>Shine Thomas</v>
      </c>
      <c r="Y1402" s="15">
        <f t="shared" si="7"/>
        <v>45135</v>
      </c>
      <c r="Z1402" s="14" t="str">
        <f t="shared" si="8"/>
        <v>Credit Card</v>
      </c>
      <c r="AA1402" s="14" t="str">
        <f t="shared" si="9"/>
        <v>Delivered</v>
      </c>
      <c r="AB1402" s="14" t="str">
        <f t="shared" ref="AB1402:AC1402" si="2808">trim(Q1402)</f>
        <v>Quality of Items</v>
      </c>
      <c r="AC1402" s="14" t="str">
        <f t="shared" si="2808"/>
        <v>Perfect condition</v>
      </c>
      <c r="AD1402" s="8"/>
    </row>
    <row r="1403">
      <c r="A1403" s="14" t="str">
        <f>IFERROR(__xludf.DUMMYFUNCTION("""COMPUTED_VALUE"""),"//ord_71381//Riya Chakraborty//Juhu//Juice+6*Ram Gopal/5/10/2023//Credit Card//Delivered*Packaging: Secure and intact")</f>
        <v>//ord_71381//Riya Chakraborty//Juhu//Juice+6*Ram Gopal/5/10/2023//Credit Card//Delivered*Packaging: Secure and intact</v>
      </c>
      <c r="B1403" s="14" t="str">
        <f>IFERROR(__xludf.DUMMYFUNCTION("split(A1403,""//"")"),"ord_71381")</f>
        <v>ord_71381</v>
      </c>
      <c r="C1403" s="14" t="str">
        <f>IFERROR(__xludf.DUMMYFUNCTION("""COMPUTED_VALUE"""),"Riya Chakraborty")</f>
        <v>Riya Chakraborty</v>
      </c>
      <c r="D1403" s="14" t="str">
        <f>IFERROR(__xludf.DUMMYFUNCTION("""COMPUTED_VALUE"""),"Juhu")</f>
        <v>Juhu</v>
      </c>
      <c r="E1403" s="14" t="str">
        <f>IFERROR(__xludf.DUMMYFUNCTION("""COMPUTED_VALUE"""),"Juice+6*Ram Gopal")</f>
        <v>Juice+6*Ram Gopal</v>
      </c>
      <c r="F1403" s="14">
        <f>IFERROR(__xludf.DUMMYFUNCTION("""COMPUTED_VALUE"""),5.0)</f>
        <v>5</v>
      </c>
      <c r="G1403" s="14">
        <f>IFERROR(__xludf.DUMMYFUNCTION("""COMPUTED_VALUE"""),10.0)</f>
        <v>10</v>
      </c>
      <c r="H1403" s="14">
        <f>IFERROR(__xludf.DUMMYFUNCTION("""COMPUTED_VALUE"""),2023.0)</f>
        <v>2023</v>
      </c>
      <c r="I1403" s="14" t="str">
        <f>IFERROR(__xludf.DUMMYFUNCTION("""COMPUTED_VALUE"""),"Credit Card")</f>
        <v>Credit Card</v>
      </c>
      <c r="J1403" s="14" t="str">
        <f>IFERROR(__xludf.DUMMYFUNCTION("""COMPUTED_VALUE"""),"Delivered*Packaging: Secure and intact")</f>
        <v>Delivered*Packaging: Secure and intact</v>
      </c>
      <c r="K1403" s="14" t="str">
        <f>IFERROR(__xludf.DUMMYFUNCTION("split(E1403,""+"")"),"Juice")</f>
        <v>Juice</v>
      </c>
      <c r="L1403" s="14" t="str">
        <f>IFERROR(__xludf.DUMMYFUNCTION("""COMPUTED_VALUE"""),"6*Ram Gopal")</f>
        <v>6*Ram Gopal</v>
      </c>
      <c r="M1403" s="14">
        <f>IFERROR(__xludf.DUMMYFUNCTION("SPLIT(L1403,""*"")"),6.0)</f>
        <v>6</v>
      </c>
      <c r="N1403" s="14" t="str">
        <f>IFERROR(__xludf.DUMMYFUNCTION("""COMPUTED_VALUE"""),"Ram Gopal")</f>
        <v>Ram Gopal</v>
      </c>
      <c r="O1403" s="14" t="str">
        <f>IFERROR(__xludf.DUMMYFUNCTION("split(J1403,""*"")"),"Delivered")</f>
        <v>Delivered</v>
      </c>
      <c r="P1403" s="14" t="str">
        <f>IFERROR(__xludf.DUMMYFUNCTION("""COMPUTED_VALUE"""),"Packaging: Secure and intact")</f>
        <v>Packaging: Secure and intact</v>
      </c>
      <c r="Q1403" s="14" t="str">
        <f>IFERROR(__xludf.DUMMYFUNCTION("split(P1403,"":"")"),"Packaging")</f>
        <v>Packaging</v>
      </c>
      <c r="R1403" s="14" t="str">
        <f>IFERROR(__xludf.DUMMYFUNCTION("""COMPUTED_VALUE""")," Secure and intact")</f>
        <v> Secure and intact</v>
      </c>
      <c r="S1403" s="14" t="str">
        <f t="shared" ref="S1403:U1403" si="2809">trim(B1403)</f>
        <v>ord_71381</v>
      </c>
      <c r="T1403" s="14" t="str">
        <f t="shared" si="2809"/>
        <v>Riya Chakraborty</v>
      </c>
      <c r="U1403" s="14" t="str">
        <f t="shared" si="2809"/>
        <v>Juhu</v>
      </c>
      <c r="V1403" s="14" t="str">
        <f t="shared" si="4"/>
        <v>Juice</v>
      </c>
      <c r="W1403" s="14">
        <f t="shared" si="5"/>
        <v>6</v>
      </c>
      <c r="X1403" s="14" t="str">
        <f t="shared" si="6"/>
        <v>Ram Gopal</v>
      </c>
      <c r="Y1403" s="15">
        <f t="shared" si="7"/>
        <v>45056</v>
      </c>
      <c r="Z1403" s="14" t="str">
        <f t="shared" si="8"/>
        <v>Credit Card</v>
      </c>
      <c r="AA1403" s="14" t="str">
        <f t="shared" si="9"/>
        <v>Delivered</v>
      </c>
      <c r="AB1403" s="14" t="str">
        <f t="shared" ref="AB1403:AC1403" si="2810">trim(Q1403)</f>
        <v>Packaging</v>
      </c>
      <c r="AC1403" s="14" t="str">
        <f t="shared" si="2810"/>
        <v>Secure and intact</v>
      </c>
      <c r="AD1403" s="8"/>
    </row>
    <row r="1404">
      <c r="A1404" s="14" t="str">
        <f>IFERROR(__xludf.DUMMYFUNCTION("""COMPUTED_VALUE"""),"//ord_71382//Tanishq Bansal//Bandra//Orange+1*Ramesh S/7/17/2023//Online Payment//Delivered*Satisfied with the Delivery: Timely and quality")</f>
        <v>//ord_71382//Tanishq Bansal//Bandra//Orange+1*Ramesh S/7/17/2023//Online Payment//Delivered*Satisfied with the Delivery: Timely and quality</v>
      </c>
      <c r="B1404" s="14" t="str">
        <f>IFERROR(__xludf.DUMMYFUNCTION("split(A1404,""//"")"),"ord_71382")</f>
        <v>ord_71382</v>
      </c>
      <c r="C1404" s="14" t="str">
        <f>IFERROR(__xludf.DUMMYFUNCTION("""COMPUTED_VALUE"""),"Tanishq Bansal")</f>
        <v>Tanishq Bansal</v>
      </c>
      <c r="D1404" s="14" t="str">
        <f>IFERROR(__xludf.DUMMYFUNCTION("""COMPUTED_VALUE"""),"Bandra")</f>
        <v>Bandra</v>
      </c>
      <c r="E1404" s="14" t="str">
        <f>IFERROR(__xludf.DUMMYFUNCTION("""COMPUTED_VALUE"""),"Orange+1*Ramesh S")</f>
        <v>Orange+1*Ramesh S</v>
      </c>
      <c r="F1404" s="14">
        <f>IFERROR(__xludf.DUMMYFUNCTION("""COMPUTED_VALUE"""),7.0)</f>
        <v>7</v>
      </c>
      <c r="G1404" s="14">
        <f>IFERROR(__xludf.DUMMYFUNCTION("""COMPUTED_VALUE"""),17.0)</f>
        <v>17</v>
      </c>
      <c r="H1404" s="14">
        <f>IFERROR(__xludf.DUMMYFUNCTION("""COMPUTED_VALUE"""),2023.0)</f>
        <v>2023</v>
      </c>
      <c r="I1404" s="14" t="str">
        <f>IFERROR(__xludf.DUMMYFUNCTION("""COMPUTED_VALUE"""),"Online Payment")</f>
        <v>Online Payment</v>
      </c>
      <c r="J1404" s="14" t="str">
        <f>IFERROR(__xludf.DUMMYFUNCTION("""COMPUTED_VALUE"""),"Delivered*Satisfied with the Delivery: Timely and quality")</f>
        <v>Delivered*Satisfied with the Delivery: Timely and quality</v>
      </c>
      <c r="K1404" s="14" t="str">
        <f>IFERROR(__xludf.DUMMYFUNCTION("split(E1404,""+"")"),"Orange")</f>
        <v>Orange</v>
      </c>
      <c r="L1404" s="14" t="str">
        <f>IFERROR(__xludf.DUMMYFUNCTION("""COMPUTED_VALUE"""),"1*Ramesh S")</f>
        <v>1*Ramesh S</v>
      </c>
      <c r="M1404" s="14">
        <f>IFERROR(__xludf.DUMMYFUNCTION("SPLIT(L1404,""*"")"),1.0)</f>
        <v>1</v>
      </c>
      <c r="N1404" s="14" t="str">
        <f>IFERROR(__xludf.DUMMYFUNCTION("""COMPUTED_VALUE"""),"Ramesh S")</f>
        <v>Ramesh S</v>
      </c>
      <c r="O1404" s="14" t="str">
        <f>IFERROR(__xludf.DUMMYFUNCTION("split(J1404,""*"")"),"Delivered")</f>
        <v>Delivered</v>
      </c>
      <c r="P1404" s="14" t="str">
        <f>IFERROR(__xludf.DUMMYFUNCTION("""COMPUTED_VALUE"""),"Satisfied with the Delivery: Timely and quality")</f>
        <v>Satisfied with the Delivery: Timely and quality</v>
      </c>
      <c r="Q1404" s="14" t="str">
        <f>IFERROR(__xludf.DUMMYFUNCTION("split(P1404,"":"")"),"Satisfied with the Delivery")</f>
        <v>Satisfied with the Delivery</v>
      </c>
      <c r="R1404" s="14" t="str">
        <f>IFERROR(__xludf.DUMMYFUNCTION("""COMPUTED_VALUE""")," Timely and quality")</f>
        <v> Timely and quality</v>
      </c>
      <c r="S1404" s="14" t="str">
        <f t="shared" ref="S1404:U1404" si="2811">trim(B1404)</f>
        <v>ord_71382</v>
      </c>
      <c r="T1404" s="14" t="str">
        <f t="shared" si="2811"/>
        <v>Tanishq Bansal</v>
      </c>
      <c r="U1404" s="14" t="str">
        <f t="shared" si="2811"/>
        <v>Bandra</v>
      </c>
      <c r="V1404" s="14" t="str">
        <f t="shared" si="4"/>
        <v>Orange</v>
      </c>
      <c r="W1404" s="14">
        <f t="shared" si="5"/>
        <v>1</v>
      </c>
      <c r="X1404" s="14" t="str">
        <f t="shared" si="6"/>
        <v>Ramesh S</v>
      </c>
      <c r="Y1404" s="15">
        <f t="shared" si="7"/>
        <v>45124</v>
      </c>
      <c r="Z1404" s="14" t="str">
        <f t="shared" si="8"/>
        <v>Online Payment</v>
      </c>
      <c r="AA1404" s="14" t="str">
        <f t="shared" si="9"/>
        <v>Delivered</v>
      </c>
      <c r="AB1404" s="14" t="str">
        <f t="shared" ref="AB1404:AC1404" si="2812">trim(Q1404)</f>
        <v>Satisfied with the Delivery</v>
      </c>
      <c r="AC1404" s="14" t="str">
        <f t="shared" si="2812"/>
        <v>Timely and quality</v>
      </c>
      <c r="AD1404" s="8"/>
    </row>
    <row r="1405">
      <c r="A1405" s="14" t="str">
        <f>IFERROR(__xludf.DUMMYFUNCTION("""COMPUTED_VALUE"""),"//ord_71383//Aarav Mehta//Andheri//Onion+1*Vivek Kumar/10/28/2023//Online Payment//Delivered*Customer Service: Seamless and easy")</f>
        <v>//ord_71383//Aarav Mehta//Andheri//Onion+1*Vivek Kumar/10/28/2023//Online Payment//Delivered*Customer Service: Seamless and easy</v>
      </c>
      <c r="B1405" s="14" t="str">
        <f>IFERROR(__xludf.DUMMYFUNCTION("split(A1405,""//"")"),"ord_71383")</f>
        <v>ord_71383</v>
      </c>
      <c r="C1405" s="14" t="str">
        <f>IFERROR(__xludf.DUMMYFUNCTION("""COMPUTED_VALUE"""),"Aarav Mehta")</f>
        <v>Aarav Mehta</v>
      </c>
      <c r="D1405" s="14" t="str">
        <f>IFERROR(__xludf.DUMMYFUNCTION("""COMPUTED_VALUE"""),"Andheri")</f>
        <v>Andheri</v>
      </c>
      <c r="E1405" s="14" t="str">
        <f>IFERROR(__xludf.DUMMYFUNCTION("""COMPUTED_VALUE"""),"Onion+1*Vivek Kumar")</f>
        <v>Onion+1*Vivek Kumar</v>
      </c>
      <c r="F1405" s="14">
        <f>IFERROR(__xludf.DUMMYFUNCTION("""COMPUTED_VALUE"""),10.0)</f>
        <v>10</v>
      </c>
      <c r="G1405" s="14">
        <f>IFERROR(__xludf.DUMMYFUNCTION("""COMPUTED_VALUE"""),28.0)</f>
        <v>28</v>
      </c>
      <c r="H1405" s="14">
        <f>IFERROR(__xludf.DUMMYFUNCTION("""COMPUTED_VALUE"""),2023.0)</f>
        <v>2023</v>
      </c>
      <c r="I1405" s="14" t="str">
        <f>IFERROR(__xludf.DUMMYFUNCTION("""COMPUTED_VALUE"""),"Online Payment")</f>
        <v>Online Payment</v>
      </c>
      <c r="J1405" s="14" t="str">
        <f>IFERROR(__xludf.DUMMYFUNCTION("""COMPUTED_VALUE"""),"Delivered*Customer Service: Seamless and easy")</f>
        <v>Delivered*Customer Service: Seamless and easy</v>
      </c>
      <c r="K1405" s="14" t="str">
        <f>IFERROR(__xludf.DUMMYFUNCTION("split(E1405,""+"")"),"Onion")</f>
        <v>Onion</v>
      </c>
      <c r="L1405" s="14" t="str">
        <f>IFERROR(__xludf.DUMMYFUNCTION("""COMPUTED_VALUE"""),"1*Vivek Kumar")</f>
        <v>1*Vivek Kumar</v>
      </c>
      <c r="M1405" s="14">
        <f>IFERROR(__xludf.DUMMYFUNCTION("SPLIT(L1405,""*"")"),1.0)</f>
        <v>1</v>
      </c>
      <c r="N1405" s="14" t="str">
        <f>IFERROR(__xludf.DUMMYFUNCTION("""COMPUTED_VALUE"""),"Vivek Kumar")</f>
        <v>Vivek Kumar</v>
      </c>
      <c r="O1405" s="14" t="str">
        <f>IFERROR(__xludf.DUMMYFUNCTION("split(J1405,""*"")"),"Delivered")</f>
        <v>Delivered</v>
      </c>
      <c r="P1405" s="14" t="str">
        <f>IFERROR(__xludf.DUMMYFUNCTION("""COMPUTED_VALUE"""),"Customer Service: Seamless and easy")</f>
        <v>Customer Service: Seamless and easy</v>
      </c>
      <c r="Q1405" s="14" t="str">
        <f>IFERROR(__xludf.DUMMYFUNCTION("split(P1405,"":"")"),"Customer Service")</f>
        <v>Customer Service</v>
      </c>
      <c r="R1405" s="14" t="str">
        <f>IFERROR(__xludf.DUMMYFUNCTION("""COMPUTED_VALUE""")," Seamless and easy")</f>
        <v> Seamless and easy</v>
      </c>
      <c r="S1405" s="14" t="str">
        <f t="shared" ref="S1405:U1405" si="2813">trim(B1405)</f>
        <v>ord_71383</v>
      </c>
      <c r="T1405" s="14" t="str">
        <f t="shared" si="2813"/>
        <v>Aarav Mehta</v>
      </c>
      <c r="U1405" s="14" t="str">
        <f t="shared" si="2813"/>
        <v>Andheri</v>
      </c>
      <c r="V1405" s="14" t="str">
        <f t="shared" si="4"/>
        <v>Onion</v>
      </c>
      <c r="W1405" s="14">
        <f t="shared" si="5"/>
        <v>1</v>
      </c>
      <c r="X1405" s="14" t="str">
        <f t="shared" si="6"/>
        <v>Vivek Kumar</v>
      </c>
      <c r="Y1405" s="15">
        <f t="shared" si="7"/>
        <v>45227</v>
      </c>
      <c r="Z1405" s="14" t="str">
        <f t="shared" si="8"/>
        <v>Online Payment</v>
      </c>
      <c r="AA1405" s="14" t="str">
        <f t="shared" si="9"/>
        <v>Delivered</v>
      </c>
      <c r="AB1405" s="14" t="str">
        <f t="shared" ref="AB1405:AC1405" si="2814">trim(Q1405)</f>
        <v>Customer Service</v>
      </c>
      <c r="AC1405" s="14" t="str">
        <f t="shared" si="2814"/>
        <v>Seamless and easy</v>
      </c>
      <c r="AD1405" s="8"/>
    </row>
    <row r="1406">
      <c r="A1406" s="14" t="str">
        <f>IFERROR(__xludf.DUMMYFUNCTION("""COMPUTED_VALUE"""),"//ord_71384//Aarohi Kapoor//Bandra//Apple+1*Sita T/10/6/2023//Online Payment//Delivered*Delivery Experience: Quick and professional")</f>
        <v>//ord_71384//Aarohi Kapoor//Bandra//Apple+1*Sita T/10/6/2023//Online Payment//Delivered*Delivery Experience: Quick and professional</v>
      </c>
      <c r="B1406" s="14" t="str">
        <f>IFERROR(__xludf.DUMMYFUNCTION("split(A1406,""//"")"),"ord_71384")</f>
        <v>ord_71384</v>
      </c>
      <c r="C1406" s="14" t="str">
        <f>IFERROR(__xludf.DUMMYFUNCTION("""COMPUTED_VALUE"""),"Aarohi Kapoor")</f>
        <v>Aarohi Kapoor</v>
      </c>
      <c r="D1406" s="14" t="str">
        <f>IFERROR(__xludf.DUMMYFUNCTION("""COMPUTED_VALUE"""),"Bandra")</f>
        <v>Bandra</v>
      </c>
      <c r="E1406" s="14" t="str">
        <f>IFERROR(__xludf.DUMMYFUNCTION("""COMPUTED_VALUE"""),"Apple+1*Sita T")</f>
        <v>Apple+1*Sita T</v>
      </c>
      <c r="F1406" s="14">
        <f>IFERROR(__xludf.DUMMYFUNCTION("""COMPUTED_VALUE"""),10.0)</f>
        <v>10</v>
      </c>
      <c r="G1406" s="14">
        <f>IFERROR(__xludf.DUMMYFUNCTION("""COMPUTED_VALUE"""),6.0)</f>
        <v>6</v>
      </c>
      <c r="H1406" s="14">
        <f>IFERROR(__xludf.DUMMYFUNCTION("""COMPUTED_VALUE"""),2023.0)</f>
        <v>2023</v>
      </c>
      <c r="I1406" s="14" t="str">
        <f>IFERROR(__xludf.DUMMYFUNCTION("""COMPUTED_VALUE"""),"Online Payment")</f>
        <v>Online Payment</v>
      </c>
      <c r="J1406" s="14" t="str">
        <f>IFERROR(__xludf.DUMMYFUNCTION("""COMPUTED_VALUE"""),"Delivered*Delivery Experience: Quick and professional")</f>
        <v>Delivered*Delivery Experience: Quick and professional</v>
      </c>
      <c r="K1406" s="14" t="str">
        <f>IFERROR(__xludf.DUMMYFUNCTION("split(E1406,""+"")"),"Apple")</f>
        <v>Apple</v>
      </c>
      <c r="L1406" s="14" t="str">
        <f>IFERROR(__xludf.DUMMYFUNCTION("""COMPUTED_VALUE"""),"1*Sita T")</f>
        <v>1*Sita T</v>
      </c>
      <c r="M1406" s="14">
        <f>IFERROR(__xludf.DUMMYFUNCTION("SPLIT(L1406,""*"")"),1.0)</f>
        <v>1</v>
      </c>
      <c r="N1406" s="14" t="str">
        <f>IFERROR(__xludf.DUMMYFUNCTION("""COMPUTED_VALUE"""),"Sita T")</f>
        <v>Sita T</v>
      </c>
      <c r="O1406" s="14" t="str">
        <f>IFERROR(__xludf.DUMMYFUNCTION("split(J1406,""*"")"),"Delivered")</f>
        <v>Delivered</v>
      </c>
      <c r="P1406" s="14" t="str">
        <f>IFERROR(__xludf.DUMMYFUNCTION("""COMPUTED_VALUE"""),"Delivery Experience: Quick and professional")</f>
        <v>Delivery Experience: Quick and professional</v>
      </c>
      <c r="Q1406" s="14" t="str">
        <f>IFERROR(__xludf.DUMMYFUNCTION("split(P1406,"":"")"),"Delivery Experience")</f>
        <v>Delivery Experience</v>
      </c>
      <c r="R1406" s="14" t="str">
        <f>IFERROR(__xludf.DUMMYFUNCTION("""COMPUTED_VALUE""")," Quick and professional")</f>
        <v> Quick and professional</v>
      </c>
      <c r="S1406" s="14" t="str">
        <f t="shared" ref="S1406:U1406" si="2815">trim(B1406)</f>
        <v>ord_71384</v>
      </c>
      <c r="T1406" s="14" t="str">
        <f t="shared" si="2815"/>
        <v>Aarohi Kapoor</v>
      </c>
      <c r="U1406" s="14" t="str">
        <f t="shared" si="2815"/>
        <v>Bandra</v>
      </c>
      <c r="V1406" s="14" t="str">
        <f t="shared" si="4"/>
        <v>Apple</v>
      </c>
      <c r="W1406" s="14">
        <f t="shared" si="5"/>
        <v>1</v>
      </c>
      <c r="X1406" s="14" t="str">
        <f t="shared" si="6"/>
        <v>Sita T</v>
      </c>
      <c r="Y1406" s="15">
        <f t="shared" si="7"/>
        <v>45205</v>
      </c>
      <c r="Z1406" s="14" t="str">
        <f t="shared" si="8"/>
        <v>Online Payment</v>
      </c>
      <c r="AA1406" s="14" t="str">
        <f t="shared" si="9"/>
        <v>Delivered</v>
      </c>
      <c r="AB1406" s="14" t="str">
        <f t="shared" ref="AB1406:AC1406" si="2816">trim(Q1406)</f>
        <v>Delivery Experience</v>
      </c>
      <c r="AC1406" s="14" t="str">
        <f t="shared" si="2816"/>
        <v>Quick and professional</v>
      </c>
      <c r="AD1406" s="8"/>
    </row>
    <row r="1407">
      <c r="A1407" s="14" t="str">
        <f>IFERROR(__xludf.DUMMYFUNCTION("""COMPUTED_VALUE"""),"//ord_71385//Omkar Mishra//Powai//Onion+1*Vivek Kumar/10/29/2023//Online Payment//Delivered*Convenience: Easy tracking")</f>
        <v>//ord_71385//Omkar Mishra//Powai//Onion+1*Vivek Kumar/10/29/2023//Online Payment//Delivered*Convenience: Easy tracking</v>
      </c>
      <c r="B1407" s="14" t="str">
        <f>IFERROR(__xludf.DUMMYFUNCTION("split(A1407,""//"")"),"ord_71385")</f>
        <v>ord_71385</v>
      </c>
      <c r="C1407" s="14" t="str">
        <f>IFERROR(__xludf.DUMMYFUNCTION("""COMPUTED_VALUE"""),"Omkar Mishra")</f>
        <v>Omkar Mishra</v>
      </c>
      <c r="D1407" s="14" t="str">
        <f>IFERROR(__xludf.DUMMYFUNCTION("""COMPUTED_VALUE"""),"Powai")</f>
        <v>Powai</v>
      </c>
      <c r="E1407" s="14" t="str">
        <f>IFERROR(__xludf.DUMMYFUNCTION("""COMPUTED_VALUE"""),"Onion+1*Vivek Kumar")</f>
        <v>Onion+1*Vivek Kumar</v>
      </c>
      <c r="F1407" s="14">
        <f>IFERROR(__xludf.DUMMYFUNCTION("""COMPUTED_VALUE"""),10.0)</f>
        <v>10</v>
      </c>
      <c r="G1407" s="14">
        <f>IFERROR(__xludf.DUMMYFUNCTION("""COMPUTED_VALUE"""),29.0)</f>
        <v>29</v>
      </c>
      <c r="H1407" s="14">
        <f>IFERROR(__xludf.DUMMYFUNCTION("""COMPUTED_VALUE"""),2023.0)</f>
        <v>2023</v>
      </c>
      <c r="I1407" s="14" t="str">
        <f>IFERROR(__xludf.DUMMYFUNCTION("""COMPUTED_VALUE"""),"Online Payment")</f>
        <v>Online Payment</v>
      </c>
      <c r="J1407" s="14" t="str">
        <f>IFERROR(__xludf.DUMMYFUNCTION("""COMPUTED_VALUE"""),"Delivered*Convenience: Easy tracking")</f>
        <v>Delivered*Convenience: Easy tracking</v>
      </c>
      <c r="K1407" s="14" t="str">
        <f>IFERROR(__xludf.DUMMYFUNCTION("split(E1407,""+"")"),"Onion")</f>
        <v>Onion</v>
      </c>
      <c r="L1407" s="14" t="str">
        <f>IFERROR(__xludf.DUMMYFUNCTION("""COMPUTED_VALUE"""),"1*Vivek Kumar")</f>
        <v>1*Vivek Kumar</v>
      </c>
      <c r="M1407" s="14">
        <f>IFERROR(__xludf.DUMMYFUNCTION("SPLIT(L1407,""*"")"),1.0)</f>
        <v>1</v>
      </c>
      <c r="N1407" s="14" t="str">
        <f>IFERROR(__xludf.DUMMYFUNCTION("""COMPUTED_VALUE"""),"Vivek Kumar")</f>
        <v>Vivek Kumar</v>
      </c>
      <c r="O1407" s="14" t="str">
        <f>IFERROR(__xludf.DUMMYFUNCTION("split(J1407,""*"")"),"Delivered")</f>
        <v>Delivered</v>
      </c>
      <c r="P1407" s="14" t="str">
        <f>IFERROR(__xludf.DUMMYFUNCTION("""COMPUTED_VALUE"""),"Convenience: Easy tracking")</f>
        <v>Convenience: Easy tracking</v>
      </c>
      <c r="Q1407" s="14" t="str">
        <f>IFERROR(__xludf.DUMMYFUNCTION("split(P1407,"":"")"),"Convenience")</f>
        <v>Convenience</v>
      </c>
      <c r="R1407" s="14" t="str">
        <f>IFERROR(__xludf.DUMMYFUNCTION("""COMPUTED_VALUE""")," Easy tracking")</f>
        <v> Easy tracking</v>
      </c>
      <c r="S1407" s="14" t="str">
        <f t="shared" ref="S1407:U1407" si="2817">trim(B1407)</f>
        <v>ord_71385</v>
      </c>
      <c r="T1407" s="14" t="str">
        <f t="shared" si="2817"/>
        <v>Omkar Mishra</v>
      </c>
      <c r="U1407" s="14" t="str">
        <f t="shared" si="2817"/>
        <v>Powai</v>
      </c>
      <c r="V1407" s="14" t="str">
        <f t="shared" si="4"/>
        <v>Onion</v>
      </c>
      <c r="W1407" s="14">
        <f t="shared" si="5"/>
        <v>1</v>
      </c>
      <c r="X1407" s="14" t="str">
        <f t="shared" si="6"/>
        <v>Vivek Kumar</v>
      </c>
      <c r="Y1407" s="15">
        <f t="shared" si="7"/>
        <v>45228</v>
      </c>
      <c r="Z1407" s="14" t="str">
        <f t="shared" si="8"/>
        <v>Online Payment</v>
      </c>
      <c r="AA1407" s="14" t="str">
        <f t="shared" si="9"/>
        <v>Delivered</v>
      </c>
      <c r="AB1407" s="14" t="str">
        <f t="shared" ref="AB1407:AC1407" si="2818">trim(Q1407)</f>
        <v>Convenience</v>
      </c>
      <c r="AC1407" s="14" t="str">
        <f t="shared" si="2818"/>
        <v>Easy tracking</v>
      </c>
      <c r="AD1407" s="8"/>
    </row>
    <row r="1408">
      <c r="A1408" s="14" t="str">
        <f>IFERROR(__xludf.DUMMYFUNCTION("""COMPUTED_VALUE"""),"//ord_71386//Parth Goel//Juhu//Banana+2*Venu R/4/16/2023//Credit Card//Delivered*Overall Satisfaction: Great service will order again")</f>
        <v>//ord_71386//Parth Goel//Juhu//Banana+2*Venu R/4/16/2023//Credit Card//Delivered*Overall Satisfaction: Great service will order again</v>
      </c>
      <c r="B1408" s="14" t="str">
        <f>IFERROR(__xludf.DUMMYFUNCTION("split(A1408,""//"")"),"ord_71386")</f>
        <v>ord_71386</v>
      </c>
      <c r="C1408" s="14" t="str">
        <f>IFERROR(__xludf.DUMMYFUNCTION("""COMPUTED_VALUE"""),"Parth Goel")</f>
        <v>Parth Goel</v>
      </c>
      <c r="D1408" s="14" t="str">
        <f>IFERROR(__xludf.DUMMYFUNCTION("""COMPUTED_VALUE"""),"Juhu")</f>
        <v>Juhu</v>
      </c>
      <c r="E1408" s="14" t="str">
        <f>IFERROR(__xludf.DUMMYFUNCTION("""COMPUTED_VALUE"""),"Banana+2*Venu R")</f>
        <v>Banana+2*Venu R</v>
      </c>
      <c r="F1408" s="14">
        <f>IFERROR(__xludf.DUMMYFUNCTION("""COMPUTED_VALUE"""),4.0)</f>
        <v>4</v>
      </c>
      <c r="G1408" s="14">
        <f>IFERROR(__xludf.DUMMYFUNCTION("""COMPUTED_VALUE"""),16.0)</f>
        <v>16</v>
      </c>
      <c r="H1408" s="14">
        <f>IFERROR(__xludf.DUMMYFUNCTION("""COMPUTED_VALUE"""),2023.0)</f>
        <v>2023</v>
      </c>
      <c r="I1408" s="14" t="str">
        <f>IFERROR(__xludf.DUMMYFUNCTION("""COMPUTED_VALUE"""),"Credit Card")</f>
        <v>Credit Card</v>
      </c>
      <c r="J1408" s="14" t="str">
        <f>IFERROR(__xludf.DUMMYFUNCTION("""COMPUTED_VALUE"""),"Delivered*Overall Satisfaction: Great service will order again")</f>
        <v>Delivered*Overall Satisfaction: Great service will order again</v>
      </c>
      <c r="K1408" s="14" t="str">
        <f>IFERROR(__xludf.DUMMYFUNCTION("split(E1408,""+"")"),"Banana")</f>
        <v>Banana</v>
      </c>
      <c r="L1408" s="14" t="str">
        <f>IFERROR(__xludf.DUMMYFUNCTION("""COMPUTED_VALUE"""),"2*Venu R")</f>
        <v>2*Venu R</v>
      </c>
      <c r="M1408" s="14">
        <f>IFERROR(__xludf.DUMMYFUNCTION("SPLIT(L1408,""*"")"),2.0)</f>
        <v>2</v>
      </c>
      <c r="N1408" s="14" t="str">
        <f>IFERROR(__xludf.DUMMYFUNCTION("""COMPUTED_VALUE"""),"Venu R")</f>
        <v>Venu R</v>
      </c>
      <c r="O1408" s="14" t="str">
        <f>IFERROR(__xludf.DUMMYFUNCTION("split(J1408,""*"")"),"Delivered")</f>
        <v>Delivered</v>
      </c>
      <c r="P1408" s="14" t="str">
        <f>IFERROR(__xludf.DUMMYFUNCTION("""COMPUTED_VALUE"""),"Overall Satisfaction: Great service will order again")</f>
        <v>Overall Satisfaction: Great service will order again</v>
      </c>
      <c r="Q1408" s="14" t="str">
        <f>IFERROR(__xludf.DUMMYFUNCTION("split(P1408,"":"")"),"Overall Satisfaction")</f>
        <v>Overall Satisfaction</v>
      </c>
      <c r="R1408" s="14" t="str">
        <f>IFERROR(__xludf.DUMMYFUNCTION("""COMPUTED_VALUE""")," Great service will order again")</f>
        <v> Great service will order again</v>
      </c>
      <c r="S1408" s="14" t="str">
        <f t="shared" ref="S1408:U1408" si="2819">trim(B1408)</f>
        <v>ord_71386</v>
      </c>
      <c r="T1408" s="14" t="str">
        <f t="shared" si="2819"/>
        <v>Parth Goel</v>
      </c>
      <c r="U1408" s="14" t="str">
        <f t="shared" si="2819"/>
        <v>Juhu</v>
      </c>
      <c r="V1408" s="14" t="str">
        <f t="shared" si="4"/>
        <v>Banana</v>
      </c>
      <c r="W1408" s="14">
        <f t="shared" si="5"/>
        <v>2</v>
      </c>
      <c r="X1408" s="14" t="str">
        <f t="shared" si="6"/>
        <v>Venu R</v>
      </c>
      <c r="Y1408" s="15">
        <f t="shared" si="7"/>
        <v>45032</v>
      </c>
      <c r="Z1408" s="14" t="str">
        <f t="shared" si="8"/>
        <v>Credit Card</v>
      </c>
      <c r="AA1408" s="14" t="str">
        <f t="shared" si="9"/>
        <v>Delivered</v>
      </c>
      <c r="AB1408" s="14" t="str">
        <f t="shared" ref="AB1408:AC1408" si="2820">trim(Q1408)</f>
        <v>Overall Satisfaction</v>
      </c>
      <c r="AC1408" s="14" t="str">
        <f t="shared" si="2820"/>
        <v>Great service will order again</v>
      </c>
      <c r="AD1408" s="8"/>
    </row>
    <row r="1409">
      <c r="A1409" s="14" t="str">
        <f>IFERROR(__xludf.DUMMYFUNCTION("""COMPUTED_VALUE"""),"//ord_71387//Pranav Joshi//Andheri//Rasmalai+2*Ramesh S/6/5/2023//Credit Card//Delivered*On-time Delivery: Delivered on time")</f>
        <v>//ord_71387//Pranav Joshi//Andheri//Rasmalai+2*Ramesh S/6/5/2023//Credit Card//Delivered*On-time Delivery: Delivered on time</v>
      </c>
      <c r="B1409" s="14" t="str">
        <f>IFERROR(__xludf.DUMMYFUNCTION("split(A1409,""//"")"),"ord_71387")</f>
        <v>ord_71387</v>
      </c>
      <c r="C1409" s="14" t="str">
        <f>IFERROR(__xludf.DUMMYFUNCTION("""COMPUTED_VALUE"""),"Pranav Joshi")</f>
        <v>Pranav Joshi</v>
      </c>
      <c r="D1409" s="14" t="str">
        <f>IFERROR(__xludf.DUMMYFUNCTION("""COMPUTED_VALUE"""),"Andheri")</f>
        <v>Andheri</v>
      </c>
      <c r="E1409" s="14" t="str">
        <f>IFERROR(__xludf.DUMMYFUNCTION("""COMPUTED_VALUE"""),"Rasmalai+2*Ramesh S")</f>
        <v>Rasmalai+2*Ramesh S</v>
      </c>
      <c r="F1409" s="14">
        <f>IFERROR(__xludf.DUMMYFUNCTION("""COMPUTED_VALUE"""),6.0)</f>
        <v>6</v>
      </c>
      <c r="G1409" s="14">
        <f>IFERROR(__xludf.DUMMYFUNCTION("""COMPUTED_VALUE"""),5.0)</f>
        <v>5</v>
      </c>
      <c r="H1409" s="14">
        <f>IFERROR(__xludf.DUMMYFUNCTION("""COMPUTED_VALUE"""),2023.0)</f>
        <v>2023</v>
      </c>
      <c r="I1409" s="14" t="str">
        <f>IFERROR(__xludf.DUMMYFUNCTION("""COMPUTED_VALUE"""),"Credit Card")</f>
        <v>Credit Card</v>
      </c>
      <c r="J1409" s="14" t="str">
        <f>IFERROR(__xludf.DUMMYFUNCTION("""COMPUTED_VALUE"""),"Delivered*On-time Delivery: Delivered on time")</f>
        <v>Delivered*On-time Delivery: Delivered on time</v>
      </c>
      <c r="K1409" s="14" t="str">
        <f>IFERROR(__xludf.DUMMYFUNCTION("split(E1409,""+"")"),"Rasmalai")</f>
        <v>Rasmalai</v>
      </c>
      <c r="L1409" s="14" t="str">
        <f>IFERROR(__xludf.DUMMYFUNCTION("""COMPUTED_VALUE"""),"2*Ramesh S")</f>
        <v>2*Ramesh S</v>
      </c>
      <c r="M1409" s="14">
        <f>IFERROR(__xludf.DUMMYFUNCTION("SPLIT(L1409,""*"")"),2.0)</f>
        <v>2</v>
      </c>
      <c r="N1409" s="14" t="str">
        <f>IFERROR(__xludf.DUMMYFUNCTION("""COMPUTED_VALUE"""),"Ramesh S")</f>
        <v>Ramesh S</v>
      </c>
      <c r="O1409" s="14" t="str">
        <f>IFERROR(__xludf.DUMMYFUNCTION("split(J1409,""*"")"),"Delivered")</f>
        <v>Delivered</v>
      </c>
      <c r="P1409" s="14" t="str">
        <f>IFERROR(__xludf.DUMMYFUNCTION("""COMPUTED_VALUE"""),"On-time Delivery: Delivered on time")</f>
        <v>On-time Delivery: Delivered on time</v>
      </c>
      <c r="Q1409" s="14" t="str">
        <f>IFERROR(__xludf.DUMMYFUNCTION("split(P1409,"":"")"),"On-time Delivery")</f>
        <v>On-time Delivery</v>
      </c>
      <c r="R1409" s="14" t="str">
        <f>IFERROR(__xludf.DUMMYFUNCTION("""COMPUTED_VALUE""")," Delivered on time")</f>
        <v> Delivered on time</v>
      </c>
      <c r="S1409" s="14" t="str">
        <f t="shared" ref="S1409:U1409" si="2821">trim(B1409)</f>
        <v>ord_71387</v>
      </c>
      <c r="T1409" s="14" t="str">
        <f t="shared" si="2821"/>
        <v>Pranav Joshi</v>
      </c>
      <c r="U1409" s="14" t="str">
        <f t="shared" si="2821"/>
        <v>Andheri</v>
      </c>
      <c r="V1409" s="14" t="str">
        <f t="shared" si="4"/>
        <v>Rasmalai</v>
      </c>
      <c r="W1409" s="14">
        <f t="shared" si="5"/>
        <v>2</v>
      </c>
      <c r="X1409" s="14" t="str">
        <f t="shared" si="6"/>
        <v>Ramesh S</v>
      </c>
      <c r="Y1409" s="15">
        <f t="shared" si="7"/>
        <v>45082</v>
      </c>
      <c r="Z1409" s="14" t="str">
        <f t="shared" si="8"/>
        <v>Credit Card</v>
      </c>
      <c r="AA1409" s="14" t="str">
        <f t="shared" si="9"/>
        <v>Delivered</v>
      </c>
      <c r="AB1409" s="14" t="str">
        <f t="shared" ref="AB1409:AC1409" si="2822">trim(Q1409)</f>
        <v>On-time Delivery</v>
      </c>
      <c r="AC1409" s="14" t="str">
        <f t="shared" si="2822"/>
        <v>Delivered on time</v>
      </c>
      <c r="AD1409" s="8"/>
    </row>
    <row r="1410">
      <c r="A1410" s="14" t="str">
        <f>IFERROR(__xludf.DUMMYFUNCTION("""COMPUTED_VALUE"""),"//ord_71388//Omkar Mishra//Powai//Onion+1*Sita T/8/24/2023//COD//Delivered*Quality of Items: Perfect condition")</f>
        <v>//ord_71388//Omkar Mishra//Powai//Onion+1*Sita T/8/24/2023//COD//Delivered*Quality of Items: Perfect condition</v>
      </c>
      <c r="B1410" s="14" t="str">
        <f>IFERROR(__xludf.DUMMYFUNCTION("split(A1410,""//"")"),"ord_71388")</f>
        <v>ord_71388</v>
      </c>
      <c r="C1410" s="14" t="str">
        <f>IFERROR(__xludf.DUMMYFUNCTION("""COMPUTED_VALUE"""),"Omkar Mishra")</f>
        <v>Omkar Mishra</v>
      </c>
      <c r="D1410" s="14" t="str">
        <f>IFERROR(__xludf.DUMMYFUNCTION("""COMPUTED_VALUE"""),"Powai")</f>
        <v>Powai</v>
      </c>
      <c r="E1410" s="14" t="str">
        <f>IFERROR(__xludf.DUMMYFUNCTION("""COMPUTED_VALUE"""),"Onion+1*Sita T")</f>
        <v>Onion+1*Sita T</v>
      </c>
      <c r="F1410" s="14">
        <f>IFERROR(__xludf.DUMMYFUNCTION("""COMPUTED_VALUE"""),8.0)</f>
        <v>8</v>
      </c>
      <c r="G1410" s="14">
        <f>IFERROR(__xludf.DUMMYFUNCTION("""COMPUTED_VALUE"""),24.0)</f>
        <v>24</v>
      </c>
      <c r="H1410" s="14">
        <f>IFERROR(__xludf.DUMMYFUNCTION("""COMPUTED_VALUE"""),2023.0)</f>
        <v>2023</v>
      </c>
      <c r="I1410" s="14" t="str">
        <f>IFERROR(__xludf.DUMMYFUNCTION("""COMPUTED_VALUE"""),"COD")</f>
        <v>COD</v>
      </c>
      <c r="J1410" s="14" t="str">
        <f>IFERROR(__xludf.DUMMYFUNCTION("""COMPUTED_VALUE"""),"Delivered*Quality of Items: Perfect condition")</f>
        <v>Delivered*Quality of Items: Perfect condition</v>
      </c>
      <c r="K1410" s="14" t="str">
        <f>IFERROR(__xludf.DUMMYFUNCTION("split(E1410,""+"")"),"Onion")</f>
        <v>Onion</v>
      </c>
      <c r="L1410" s="14" t="str">
        <f>IFERROR(__xludf.DUMMYFUNCTION("""COMPUTED_VALUE"""),"1*Sita T")</f>
        <v>1*Sita T</v>
      </c>
      <c r="M1410" s="14">
        <f>IFERROR(__xludf.DUMMYFUNCTION("SPLIT(L1410,""*"")"),1.0)</f>
        <v>1</v>
      </c>
      <c r="N1410" s="14" t="str">
        <f>IFERROR(__xludf.DUMMYFUNCTION("""COMPUTED_VALUE"""),"Sita T")</f>
        <v>Sita T</v>
      </c>
      <c r="O1410" s="14" t="str">
        <f>IFERROR(__xludf.DUMMYFUNCTION("split(J1410,""*"")"),"Delivered")</f>
        <v>Delivered</v>
      </c>
      <c r="P1410" s="14" t="str">
        <f>IFERROR(__xludf.DUMMYFUNCTION("""COMPUTED_VALUE"""),"Quality of Items: Perfect condition")</f>
        <v>Quality of Items: Perfect condition</v>
      </c>
      <c r="Q1410" s="14" t="str">
        <f>IFERROR(__xludf.DUMMYFUNCTION("split(P1410,"":"")"),"Quality of Items")</f>
        <v>Quality of Items</v>
      </c>
      <c r="R1410" s="14" t="str">
        <f>IFERROR(__xludf.DUMMYFUNCTION("""COMPUTED_VALUE""")," Perfect condition")</f>
        <v> Perfect condition</v>
      </c>
      <c r="S1410" s="14" t="str">
        <f t="shared" ref="S1410:U1410" si="2823">trim(B1410)</f>
        <v>ord_71388</v>
      </c>
      <c r="T1410" s="14" t="str">
        <f t="shared" si="2823"/>
        <v>Omkar Mishra</v>
      </c>
      <c r="U1410" s="14" t="str">
        <f t="shared" si="2823"/>
        <v>Powai</v>
      </c>
      <c r="V1410" s="14" t="str">
        <f t="shared" si="4"/>
        <v>Onion</v>
      </c>
      <c r="W1410" s="14">
        <f t="shared" si="5"/>
        <v>1</v>
      </c>
      <c r="X1410" s="14" t="str">
        <f t="shared" si="6"/>
        <v>Sita T</v>
      </c>
      <c r="Y1410" s="15">
        <f t="shared" si="7"/>
        <v>45162</v>
      </c>
      <c r="Z1410" s="14" t="str">
        <f t="shared" si="8"/>
        <v>COD</v>
      </c>
      <c r="AA1410" s="14" t="str">
        <f t="shared" si="9"/>
        <v>Delivered</v>
      </c>
      <c r="AB1410" s="14" t="str">
        <f t="shared" ref="AB1410:AC1410" si="2824">trim(Q1410)</f>
        <v>Quality of Items</v>
      </c>
      <c r="AC1410" s="14" t="str">
        <f t="shared" si="2824"/>
        <v>Perfect condition</v>
      </c>
      <c r="AD1410" s="8"/>
    </row>
    <row r="1411">
      <c r="A1411" s="14" t="str">
        <f>IFERROR(__xludf.DUMMYFUNCTION("""COMPUTED_VALUE"""),"//ord_71389//Diya Arora//Lower Parel//Banana+2*Venu R/7/10/2023//COD//Delivered*On-time Delivery: Delivered on time")</f>
        <v>//ord_71389//Diya Arora//Lower Parel//Banana+2*Venu R/7/10/2023//COD//Delivered*On-time Delivery: Delivered on time</v>
      </c>
      <c r="B1411" s="14" t="str">
        <f>IFERROR(__xludf.DUMMYFUNCTION("split(A1411,""//"")"),"ord_71389")</f>
        <v>ord_71389</v>
      </c>
      <c r="C1411" s="14" t="str">
        <f>IFERROR(__xludf.DUMMYFUNCTION("""COMPUTED_VALUE"""),"Diya Arora")</f>
        <v>Diya Arora</v>
      </c>
      <c r="D1411" s="14" t="str">
        <f>IFERROR(__xludf.DUMMYFUNCTION("""COMPUTED_VALUE"""),"Lower Parel")</f>
        <v>Lower Parel</v>
      </c>
      <c r="E1411" s="14" t="str">
        <f>IFERROR(__xludf.DUMMYFUNCTION("""COMPUTED_VALUE"""),"Banana+2*Venu R")</f>
        <v>Banana+2*Venu R</v>
      </c>
      <c r="F1411" s="14">
        <f>IFERROR(__xludf.DUMMYFUNCTION("""COMPUTED_VALUE"""),7.0)</f>
        <v>7</v>
      </c>
      <c r="G1411" s="14">
        <f>IFERROR(__xludf.DUMMYFUNCTION("""COMPUTED_VALUE"""),10.0)</f>
        <v>10</v>
      </c>
      <c r="H1411" s="14">
        <f>IFERROR(__xludf.DUMMYFUNCTION("""COMPUTED_VALUE"""),2023.0)</f>
        <v>2023</v>
      </c>
      <c r="I1411" s="14" t="str">
        <f>IFERROR(__xludf.DUMMYFUNCTION("""COMPUTED_VALUE"""),"COD")</f>
        <v>COD</v>
      </c>
      <c r="J1411" s="14" t="str">
        <f>IFERROR(__xludf.DUMMYFUNCTION("""COMPUTED_VALUE"""),"Delivered*On-time Delivery: Delivered on time")</f>
        <v>Delivered*On-time Delivery: Delivered on time</v>
      </c>
      <c r="K1411" s="14" t="str">
        <f>IFERROR(__xludf.DUMMYFUNCTION("split(E1411,""+"")"),"Banana")</f>
        <v>Banana</v>
      </c>
      <c r="L1411" s="14" t="str">
        <f>IFERROR(__xludf.DUMMYFUNCTION("""COMPUTED_VALUE"""),"2*Venu R")</f>
        <v>2*Venu R</v>
      </c>
      <c r="M1411" s="14">
        <f>IFERROR(__xludf.DUMMYFUNCTION("SPLIT(L1411,""*"")"),2.0)</f>
        <v>2</v>
      </c>
      <c r="N1411" s="14" t="str">
        <f>IFERROR(__xludf.DUMMYFUNCTION("""COMPUTED_VALUE"""),"Venu R")</f>
        <v>Venu R</v>
      </c>
      <c r="O1411" s="14" t="str">
        <f>IFERROR(__xludf.DUMMYFUNCTION("split(J1411,""*"")"),"Delivered")</f>
        <v>Delivered</v>
      </c>
      <c r="P1411" s="14" t="str">
        <f>IFERROR(__xludf.DUMMYFUNCTION("""COMPUTED_VALUE"""),"On-time Delivery: Delivered on time")</f>
        <v>On-time Delivery: Delivered on time</v>
      </c>
      <c r="Q1411" s="14" t="str">
        <f>IFERROR(__xludf.DUMMYFUNCTION("split(P1411,"":"")"),"On-time Delivery")</f>
        <v>On-time Delivery</v>
      </c>
      <c r="R1411" s="14" t="str">
        <f>IFERROR(__xludf.DUMMYFUNCTION("""COMPUTED_VALUE""")," Delivered on time")</f>
        <v> Delivered on time</v>
      </c>
      <c r="S1411" s="14" t="str">
        <f t="shared" ref="S1411:U1411" si="2825">trim(B1411)</f>
        <v>ord_71389</v>
      </c>
      <c r="T1411" s="14" t="str">
        <f t="shared" si="2825"/>
        <v>Diya Arora</v>
      </c>
      <c r="U1411" s="14" t="str">
        <f t="shared" si="2825"/>
        <v>Lower Parel</v>
      </c>
      <c r="V1411" s="14" t="str">
        <f t="shared" si="4"/>
        <v>Banana</v>
      </c>
      <c r="W1411" s="14">
        <f t="shared" si="5"/>
        <v>2</v>
      </c>
      <c r="X1411" s="14" t="str">
        <f t="shared" si="6"/>
        <v>Venu R</v>
      </c>
      <c r="Y1411" s="15">
        <f t="shared" si="7"/>
        <v>45117</v>
      </c>
      <c r="Z1411" s="14" t="str">
        <f t="shared" si="8"/>
        <v>COD</v>
      </c>
      <c r="AA1411" s="14" t="str">
        <f t="shared" si="9"/>
        <v>Delivered</v>
      </c>
      <c r="AB1411" s="14" t="str">
        <f t="shared" ref="AB1411:AC1411" si="2826">trim(Q1411)</f>
        <v>On-time Delivery</v>
      </c>
      <c r="AC1411" s="14" t="str">
        <f t="shared" si="2826"/>
        <v>Delivered on time</v>
      </c>
      <c r="AD1411" s="8"/>
    </row>
    <row r="1412">
      <c r="A1412" s="14" t="str">
        <f>IFERROR(__xludf.DUMMYFUNCTION("""COMPUTED_VALUE"""),"//ord_71390//Aarav Mehta//Andheri//Chicken Puff+3*Ram Gopal/8/24/2023//Online Payment//Delivered*Quality of Items: Perfect condition")</f>
        <v>//ord_71390//Aarav Mehta//Andheri//Chicken Puff+3*Ram Gopal/8/24/2023//Online Payment//Delivered*Quality of Items: Perfect condition</v>
      </c>
      <c r="B1412" s="14" t="str">
        <f>IFERROR(__xludf.DUMMYFUNCTION("split(A1412,""//"")"),"ord_71390")</f>
        <v>ord_71390</v>
      </c>
      <c r="C1412" s="14" t="str">
        <f>IFERROR(__xludf.DUMMYFUNCTION("""COMPUTED_VALUE"""),"Aarav Mehta")</f>
        <v>Aarav Mehta</v>
      </c>
      <c r="D1412" s="14" t="str">
        <f>IFERROR(__xludf.DUMMYFUNCTION("""COMPUTED_VALUE"""),"Andheri")</f>
        <v>Andheri</v>
      </c>
      <c r="E1412" s="14" t="str">
        <f>IFERROR(__xludf.DUMMYFUNCTION("""COMPUTED_VALUE"""),"Chicken Puff+3*Ram Gopal")</f>
        <v>Chicken Puff+3*Ram Gopal</v>
      </c>
      <c r="F1412" s="14">
        <f>IFERROR(__xludf.DUMMYFUNCTION("""COMPUTED_VALUE"""),8.0)</f>
        <v>8</v>
      </c>
      <c r="G1412" s="14">
        <f>IFERROR(__xludf.DUMMYFUNCTION("""COMPUTED_VALUE"""),24.0)</f>
        <v>24</v>
      </c>
      <c r="H1412" s="14">
        <f>IFERROR(__xludf.DUMMYFUNCTION("""COMPUTED_VALUE"""),2023.0)</f>
        <v>2023</v>
      </c>
      <c r="I1412" s="14" t="str">
        <f>IFERROR(__xludf.DUMMYFUNCTION("""COMPUTED_VALUE"""),"Online Payment")</f>
        <v>Online Payment</v>
      </c>
      <c r="J1412" s="14" t="str">
        <f>IFERROR(__xludf.DUMMYFUNCTION("""COMPUTED_VALUE"""),"Delivered*Quality of Items: Perfect condition")</f>
        <v>Delivered*Quality of Items: Perfect condition</v>
      </c>
      <c r="K1412" s="14" t="str">
        <f>IFERROR(__xludf.DUMMYFUNCTION("split(E1412,""+"")"),"Chicken Puff")</f>
        <v>Chicken Puff</v>
      </c>
      <c r="L1412" s="14" t="str">
        <f>IFERROR(__xludf.DUMMYFUNCTION("""COMPUTED_VALUE"""),"3*Ram Gopal")</f>
        <v>3*Ram Gopal</v>
      </c>
      <c r="M1412" s="14">
        <f>IFERROR(__xludf.DUMMYFUNCTION("SPLIT(L1412,""*"")"),3.0)</f>
        <v>3</v>
      </c>
      <c r="N1412" s="14" t="str">
        <f>IFERROR(__xludf.DUMMYFUNCTION("""COMPUTED_VALUE"""),"Ram Gopal")</f>
        <v>Ram Gopal</v>
      </c>
      <c r="O1412" s="14" t="str">
        <f>IFERROR(__xludf.DUMMYFUNCTION("split(J1412,""*"")"),"Delivered")</f>
        <v>Delivered</v>
      </c>
      <c r="P1412" s="14" t="str">
        <f>IFERROR(__xludf.DUMMYFUNCTION("""COMPUTED_VALUE"""),"Quality of Items: Perfect condition")</f>
        <v>Quality of Items: Perfect condition</v>
      </c>
      <c r="Q1412" s="14" t="str">
        <f>IFERROR(__xludf.DUMMYFUNCTION("split(P1412,"":"")"),"Quality of Items")</f>
        <v>Quality of Items</v>
      </c>
      <c r="R1412" s="14" t="str">
        <f>IFERROR(__xludf.DUMMYFUNCTION("""COMPUTED_VALUE""")," Perfect condition")</f>
        <v> Perfect condition</v>
      </c>
      <c r="S1412" s="14" t="str">
        <f t="shared" ref="S1412:U1412" si="2827">trim(B1412)</f>
        <v>ord_71390</v>
      </c>
      <c r="T1412" s="14" t="str">
        <f t="shared" si="2827"/>
        <v>Aarav Mehta</v>
      </c>
      <c r="U1412" s="14" t="str">
        <f t="shared" si="2827"/>
        <v>Andheri</v>
      </c>
      <c r="V1412" s="14" t="str">
        <f t="shared" si="4"/>
        <v>Chicken Puff</v>
      </c>
      <c r="W1412" s="14">
        <f t="shared" si="5"/>
        <v>3</v>
      </c>
      <c r="X1412" s="14" t="str">
        <f t="shared" si="6"/>
        <v>Ram Gopal</v>
      </c>
      <c r="Y1412" s="15">
        <f t="shared" si="7"/>
        <v>45162</v>
      </c>
      <c r="Z1412" s="14" t="str">
        <f t="shared" si="8"/>
        <v>Online Payment</v>
      </c>
      <c r="AA1412" s="14" t="str">
        <f t="shared" si="9"/>
        <v>Delivered</v>
      </c>
      <c r="AB1412" s="14" t="str">
        <f t="shared" ref="AB1412:AC1412" si="2828">trim(Q1412)</f>
        <v>Quality of Items</v>
      </c>
      <c r="AC1412" s="14" t="str">
        <f t="shared" si="2828"/>
        <v>Perfect condition</v>
      </c>
      <c r="AD1412" s="8"/>
    </row>
    <row r="1413">
      <c r="A1413" s="14" t="str">
        <f>IFERROR(__xludf.DUMMYFUNCTION("""COMPUTED_VALUE"""),"//ord_71391//Tanishq Bansal//Powai//Guava+2*Sita T/1/24/2023//UPI//Delivered*Packaging: Secure and intact")</f>
        <v>//ord_71391//Tanishq Bansal//Powai//Guava+2*Sita T/1/24/2023//UPI//Delivered*Packaging: Secure and intact</v>
      </c>
      <c r="B1413" s="14" t="str">
        <f>IFERROR(__xludf.DUMMYFUNCTION("split(A1413,""//"")"),"ord_71391")</f>
        <v>ord_71391</v>
      </c>
      <c r="C1413" s="14" t="str">
        <f>IFERROR(__xludf.DUMMYFUNCTION("""COMPUTED_VALUE"""),"Tanishq Bansal")</f>
        <v>Tanishq Bansal</v>
      </c>
      <c r="D1413" s="14" t="str">
        <f>IFERROR(__xludf.DUMMYFUNCTION("""COMPUTED_VALUE"""),"Powai")</f>
        <v>Powai</v>
      </c>
      <c r="E1413" s="14" t="str">
        <f>IFERROR(__xludf.DUMMYFUNCTION("""COMPUTED_VALUE"""),"Guava+2*Sita T")</f>
        <v>Guava+2*Sita T</v>
      </c>
      <c r="F1413" s="14">
        <f>IFERROR(__xludf.DUMMYFUNCTION("""COMPUTED_VALUE"""),1.0)</f>
        <v>1</v>
      </c>
      <c r="G1413" s="14">
        <f>IFERROR(__xludf.DUMMYFUNCTION("""COMPUTED_VALUE"""),24.0)</f>
        <v>24</v>
      </c>
      <c r="H1413" s="14">
        <f>IFERROR(__xludf.DUMMYFUNCTION("""COMPUTED_VALUE"""),2023.0)</f>
        <v>2023</v>
      </c>
      <c r="I1413" s="14" t="str">
        <f>IFERROR(__xludf.DUMMYFUNCTION("""COMPUTED_VALUE"""),"UPI")</f>
        <v>UPI</v>
      </c>
      <c r="J1413" s="14" t="str">
        <f>IFERROR(__xludf.DUMMYFUNCTION("""COMPUTED_VALUE"""),"Delivered*Packaging: Secure and intact")</f>
        <v>Delivered*Packaging: Secure and intact</v>
      </c>
      <c r="K1413" s="14" t="str">
        <f>IFERROR(__xludf.DUMMYFUNCTION("split(E1413,""+"")"),"Guava")</f>
        <v>Guava</v>
      </c>
      <c r="L1413" s="14" t="str">
        <f>IFERROR(__xludf.DUMMYFUNCTION("""COMPUTED_VALUE"""),"2*Sita T")</f>
        <v>2*Sita T</v>
      </c>
      <c r="M1413" s="14">
        <f>IFERROR(__xludf.DUMMYFUNCTION("SPLIT(L1413,""*"")"),2.0)</f>
        <v>2</v>
      </c>
      <c r="N1413" s="14" t="str">
        <f>IFERROR(__xludf.DUMMYFUNCTION("""COMPUTED_VALUE"""),"Sita T")</f>
        <v>Sita T</v>
      </c>
      <c r="O1413" s="14" t="str">
        <f>IFERROR(__xludf.DUMMYFUNCTION("split(J1413,""*"")"),"Delivered")</f>
        <v>Delivered</v>
      </c>
      <c r="P1413" s="14" t="str">
        <f>IFERROR(__xludf.DUMMYFUNCTION("""COMPUTED_VALUE"""),"Packaging: Secure and intact")</f>
        <v>Packaging: Secure and intact</v>
      </c>
      <c r="Q1413" s="14" t="str">
        <f>IFERROR(__xludf.DUMMYFUNCTION("split(P1413,"":"")"),"Packaging")</f>
        <v>Packaging</v>
      </c>
      <c r="R1413" s="14" t="str">
        <f>IFERROR(__xludf.DUMMYFUNCTION("""COMPUTED_VALUE""")," Secure and intact")</f>
        <v> Secure and intact</v>
      </c>
      <c r="S1413" s="14" t="str">
        <f t="shared" ref="S1413:U1413" si="2829">trim(B1413)</f>
        <v>ord_71391</v>
      </c>
      <c r="T1413" s="14" t="str">
        <f t="shared" si="2829"/>
        <v>Tanishq Bansal</v>
      </c>
      <c r="U1413" s="14" t="str">
        <f t="shared" si="2829"/>
        <v>Powai</v>
      </c>
      <c r="V1413" s="14" t="str">
        <f t="shared" si="4"/>
        <v>Guava</v>
      </c>
      <c r="W1413" s="14">
        <f t="shared" si="5"/>
        <v>2</v>
      </c>
      <c r="X1413" s="14" t="str">
        <f t="shared" si="6"/>
        <v>Sita T</v>
      </c>
      <c r="Y1413" s="15">
        <f t="shared" si="7"/>
        <v>44950</v>
      </c>
      <c r="Z1413" s="14" t="str">
        <f t="shared" si="8"/>
        <v>UPI</v>
      </c>
      <c r="AA1413" s="14" t="str">
        <f t="shared" si="9"/>
        <v>Delivered</v>
      </c>
      <c r="AB1413" s="14" t="str">
        <f t="shared" ref="AB1413:AC1413" si="2830">trim(Q1413)</f>
        <v>Packaging</v>
      </c>
      <c r="AC1413" s="14" t="str">
        <f t="shared" si="2830"/>
        <v>Secure and intact</v>
      </c>
      <c r="AD1413" s="8"/>
    </row>
    <row r="1414">
      <c r="A1414" s="14" t="str">
        <f>IFERROR(__xludf.DUMMYFUNCTION("""COMPUTED_VALUE"""),"//ord_71392//Sakshi Tandon//Colaba//Orange+2*Venu R/9/5/2023//Online Payment//Delivered*Satisfied with the Delivery: Timely and quality")</f>
        <v>//ord_71392//Sakshi Tandon//Colaba//Orange+2*Venu R/9/5/2023//Online Payment//Delivered*Satisfied with the Delivery: Timely and quality</v>
      </c>
      <c r="B1414" s="14" t="str">
        <f>IFERROR(__xludf.DUMMYFUNCTION("split(A1414,""//"")"),"ord_71392")</f>
        <v>ord_71392</v>
      </c>
      <c r="C1414" s="14" t="str">
        <f>IFERROR(__xludf.DUMMYFUNCTION("""COMPUTED_VALUE"""),"Sakshi Tandon")</f>
        <v>Sakshi Tandon</v>
      </c>
      <c r="D1414" s="14" t="str">
        <f>IFERROR(__xludf.DUMMYFUNCTION("""COMPUTED_VALUE"""),"Colaba")</f>
        <v>Colaba</v>
      </c>
      <c r="E1414" s="14" t="str">
        <f>IFERROR(__xludf.DUMMYFUNCTION("""COMPUTED_VALUE"""),"Orange+2*Venu R")</f>
        <v>Orange+2*Venu R</v>
      </c>
      <c r="F1414" s="14">
        <f>IFERROR(__xludf.DUMMYFUNCTION("""COMPUTED_VALUE"""),9.0)</f>
        <v>9</v>
      </c>
      <c r="G1414" s="14">
        <f>IFERROR(__xludf.DUMMYFUNCTION("""COMPUTED_VALUE"""),5.0)</f>
        <v>5</v>
      </c>
      <c r="H1414" s="14">
        <f>IFERROR(__xludf.DUMMYFUNCTION("""COMPUTED_VALUE"""),2023.0)</f>
        <v>2023</v>
      </c>
      <c r="I1414" s="14" t="str">
        <f>IFERROR(__xludf.DUMMYFUNCTION("""COMPUTED_VALUE"""),"Online Payment")</f>
        <v>Online Payment</v>
      </c>
      <c r="J1414" s="14" t="str">
        <f>IFERROR(__xludf.DUMMYFUNCTION("""COMPUTED_VALUE"""),"Delivered*Satisfied with the Delivery: Timely and quality")</f>
        <v>Delivered*Satisfied with the Delivery: Timely and quality</v>
      </c>
      <c r="K1414" s="14" t="str">
        <f>IFERROR(__xludf.DUMMYFUNCTION("split(E1414,""+"")"),"Orange")</f>
        <v>Orange</v>
      </c>
      <c r="L1414" s="14" t="str">
        <f>IFERROR(__xludf.DUMMYFUNCTION("""COMPUTED_VALUE"""),"2*Venu R")</f>
        <v>2*Venu R</v>
      </c>
      <c r="M1414" s="14">
        <f>IFERROR(__xludf.DUMMYFUNCTION("SPLIT(L1414,""*"")"),2.0)</f>
        <v>2</v>
      </c>
      <c r="N1414" s="14" t="str">
        <f>IFERROR(__xludf.DUMMYFUNCTION("""COMPUTED_VALUE"""),"Venu R")</f>
        <v>Venu R</v>
      </c>
      <c r="O1414" s="14" t="str">
        <f>IFERROR(__xludf.DUMMYFUNCTION("split(J1414,""*"")"),"Delivered")</f>
        <v>Delivered</v>
      </c>
      <c r="P1414" s="14" t="str">
        <f>IFERROR(__xludf.DUMMYFUNCTION("""COMPUTED_VALUE"""),"Satisfied with the Delivery: Timely and quality")</f>
        <v>Satisfied with the Delivery: Timely and quality</v>
      </c>
      <c r="Q1414" s="14" t="str">
        <f>IFERROR(__xludf.DUMMYFUNCTION("split(P1414,"":"")"),"Satisfied with the Delivery")</f>
        <v>Satisfied with the Delivery</v>
      </c>
      <c r="R1414" s="14" t="str">
        <f>IFERROR(__xludf.DUMMYFUNCTION("""COMPUTED_VALUE""")," Timely and quality")</f>
        <v> Timely and quality</v>
      </c>
      <c r="S1414" s="14" t="str">
        <f t="shared" ref="S1414:U1414" si="2831">trim(B1414)</f>
        <v>ord_71392</v>
      </c>
      <c r="T1414" s="14" t="str">
        <f t="shared" si="2831"/>
        <v>Sakshi Tandon</v>
      </c>
      <c r="U1414" s="14" t="str">
        <f t="shared" si="2831"/>
        <v>Colaba</v>
      </c>
      <c r="V1414" s="14" t="str">
        <f t="shared" si="4"/>
        <v>Orange</v>
      </c>
      <c r="W1414" s="14">
        <f t="shared" si="5"/>
        <v>2</v>
      </c>
      <c r="X1414" s="14" t="str">
        <f t="shared" si="6"/>
        <v>Venu R</v>
      </c>
      <c r="Y1414" s="15">
        <f t="shared" si="7"/>
        <v>45174</v>
      </c>
      <c r="Z1414" s="14" t="str">
        <f t="shared" si="8"/>
        <v>Online Payment</v>
      </c>
      <c r="AA1414" s="14" t="str">
        <f t="shared" si="9"/>
        <v>Delivered</v>
      </c>
      <c r="AB1414" s="14" t="str">
        <f t="shared" ref="AB1414:AC1414" si="2832">trim(Q1414)</f>
        <v>Satisfied with the Delivery</v>
      </c>
      <c r="AC1414" s="14" t="str">
        <f t="shared" si="2832"/>
        <v>Timely and quality</v>
      </c>
      <c r="AD1414" s="8"/>
    </row>
    <row r="1415">
      <c r="A1415" s="14" t="str">
        <f>IFERROR(__xludf.DUMMYFUNCTION("""COMPUTED_VALUE"""),"//ord_71393//Riya Chakraborty//Juhu//Cucumber+2*Nithin Lal/1/28/2023//Online Payment//Delivered*Customer Service: Seamless and easy")</f>
        <v>//ord_71393//Riya Chakraborty//Juhu//Cucumber+2*Nithin Lal/1/28/2023//Online Payment//Delivered*Customer Service: Seamless and easy</v>
      </c>
      <c r="B1415" s="14" t="str">
        <f>IFERROR(__xludf.DUMMYFUNCTION("split(A1415,""//"")"),"ord_71393")</f>
        <v>ord_71393</v>
      </c>
      <c r="C1415" s="14" t="str">
        <f>IFERROR(__xludf.DUMMYFUNCTION("""COMPUTED_VALUE"""),"Riya Chakraborty")</f>
        <v>Riya Chakraborty</v>
      </c>
      <c r="D1415" s="14" t="str">
        <f>IFERROR(__xludf.DUMMYFUNCTION("""COMPUTED_VALUE"""),"Juhu")</f>
        <v>Juhu</v>
      </c>
      <c r="E1415" s="14" t="str">
        <f>IFERROR(__xludf.DUMMYFUNCTION("""COMPUTED_VALUE"""),"Cucumber+2*Nithin Lal")</f>
        <v>Cucumber+2*Nithin Lal</v>
      </c>
      <c r="F1415" s="14">
        <f>IFERROR(__xludf.DUMMYFUNCTION("""COMPUTED_VALUE"""),1.0)</f>
        <v>1</v>
      </c>
      <c r="G1415" s="14">
        <f>IFERROR(__xludf.DUMMYFUNCTION("""COMPUTED_VALUE"""),28.0)</f>
        <v>28</v>
      </c>
      <c r="H1415" s="14">
        <f>IFERROR(__xludf.DUMMYFUNCTION("""COMPUTED_VALUE"""),2023.0)</f>
        <v>2023</v>
      </c>
      <c r="I1415" s="14" t="str">
        <f>IFERROR(__xludf.DUMMYFUNCTION("""COMPUTED_VALUE"""),"Online Payment")</f>
        <v>Online Payment</v>
      </c>
      <c r="J1415" s="14" t="str">
        <f>IFERROR(__xludf.DUMMYFUNCTION("""COMPUTED_VALUE"""),"Delivered*Customer Service: Seamless and easy")</f>
        <v>Delivered*Customer Service: Seamless and easy</v>
      </c>
      <c r="K1415" s="14" t="str">
        <f>IFERROR(__xludf.DUMMYFUNCTION("split(E1415,""+"")"),"Cucumber")</f>
        <v>Cucumber</v>
      </c>
      <c r="L1415" s="14" t="str">
        <f>IFERROR(__xludf.DUMMYFUNCTION("""COMPUTED_VALUE"""),"2*Nithin Lal")</f>
        <v>2*Nithin Lal</v>
      </c>
      <c r="M1415" s="14">
        <f>IFERROR(__xludf.DUMMYFUNCTION("SPLIT(L1415,""*"")"),2.0)</f>
        <v>2</v>
      </c>
      <c r="N1415" s="14" t="str">
        <f>IFERROR(__xludf.DUMMYFUNCTION("""COMPUTED_VALUE"""),"Nithin Lal")</f>
        <v>Nithin Lal</v>
      </c>
      <c r="O1415" s="14" t="str">
        <f>IFERROR(__xludf.DUMMYFUNCTION("split(J1415,""*"")"),"Delivered")</f>
        <v>Delivered</v>
      </c>
      <c r="P1415" s="14" t="str">
        <f>IFERROR(__xludf.DUMMYFUNCTION("""COMPUTED_VALUE"""),"Customer Service: Seamless and easy")</f>
        <v>Customer Service: Seamless and easy</v>
      </c>
      <c r="Q1415" s="14" t="str">
        <f>IFERROR(__xludf.DUMMYFUNCTION("split(P1415,"":"")"),"Customer Service")</f>
        <v>Customer Service</v>
      </c>
      <c r="R1415" s="14" t="str">
        <f>IFERROR(__xludf.DUMMYFUNCTION("""COMPUTED_VALUE""")," Seamless and easy")</f>
        <v> Seamless and easy</v>
      </c>
      <c r="S1415" s="14" t="str">
        <f t="shared" ref="S1415:U1415" si="2833">trim(B1415)</f>
        <v>ord_71393</v>
      </c>
      <c r="T1415" s="14" t="str">
        <f t="shared" si="2833"/>
        <v>Riya Chakraborty</v>
      </c>
      <c r="U1415" s="14" t="str">
        <f t="shared" si="2833"/>
        <v>Juhu</v>
      </c>
      <c r="V1415" s="14" t="str">
        <f t="shared" si="4"/>
        <v>Cucumber</v>
      </c>
      <c r="W1415" s="14">
        <f t="shared" si="5"/>
        <v>2</v>
      </c>
      <c r="X1415" s="14" t="str">
        <f t="shared" si="6"/>
        <v>Nithin Lal</v>
      </c>
      <c r="Y1415" s="15">
        <f t="shared" si="7"/>
        <v>44954</v>
      </c>
      <c r="Z1415" s="14" t="str">
        <f t="shared" si="8"/>
        <v>Online Payment</v>
      </c>
      <c r="AA1415" s="14" t="str">
        <f t="shared" si="9"/>
        <v>Delivered</v>
      </c>
      <c r="AB1415" s="14" t="str">
        <f t="shared" ref="AB1415:AC1415" si="2834">trim(Q1415)</f>
        <v>Customer Service</v>
      </c>
      <c r="AC1415" s="14" t="str">
        <f t="shared" si="2834"/>
        <v>Seamless and easy</v>
      </c>
      <c r="AD1415" s="8"/>
    </row>
    <row r="1416">
      <c r="A1416" s="14" t="str">
        <f>IFERROR(__xludf.DUMMYFUNCTION("""COMPUTED_VALUE"""),"//ord_71394//Aditi Iyer//Dadar//Popcorn+4*Ramesh S/12/6/2023//UPI//Delivered*Delivery Experience: Quick and professional")</f>
        <v>//ord_71394//Aditi Iyer//Dadar//Popcorn+4*Ramesh S/12/6/2023//UPI//Delivered*Delivery Experience: Quick and professional</v>
      </c>
      <c r="B1416" s="14" t="str">
        <f>IFERROR(__xludf.DUMMYFUNCTION("split(A1416,""//"")"),"ord_71394")</f>
        <v>ord_71394</v>
      </c>
      <c r="C1416" s="14" t="str">
        <f>IFERROR(__xludf.DUMMYFUNCTION("""COMPUTED_VALUE"""),"Aditi Iyer")</f>
        <v>Aditi Iyer</v>
      </c>
      <c r="D1416" s="14" t="str">
        <f>IFERROR(__xludf.DUMMYFUNCTION("""COMPUTED_VALUE"""),"Dadar")</f>
        <v>Dadar</v>
      </c>
      <c r="E1416" s="14" t="str">
        <f>IFERROR(__xludf.DUMMYFUNCTION("""COMPUTED_VALUE"""),"Popcorn+4*Ramesh S")</f>
        <v>Popcorn+4*Ramesh S</v>
      </c>
      <c r="F1416" s="14">
        <f>IFERROR(__xludf.DUMMYFUNCTION("""COMPUTED_VALUE"""),12.0)</f>
        <v>12</v>
      </c>
      <c r="G1416" s="14">
        <f>IFERROR(__xludf.DUMMYFUNCTION("""COMPUTED_VALUE"""),6.0)</f>
        <v>6</v>
      </c>
      <c r="H1416" s="14">
        <f>IFERROR(__xludf.DUMMYFUNCTION("""COMPUTED_VALUE"""),2023.0)</f>
        <v>2023</v>
      </c>
      <c r="I1416" s="14" t="str">
        <f>IFERROR(__xludf.DUMMYFUNCTION("""COMPUTED_VALUE"""),"UPI")</f>
        <v>UPI</v>
      </c>
      <c r="J1416" s="14" t="str">
        <f>IFERROR(__xludf.DUMMYFUNCTION("""COMPUTED_VALUE"""),"Delivered*Delivery Experience: Quick and professional")</f>
        <v>Delivered*Delivery Experience: Quick and professional</v>
      </c>
      <c r="K1416" s="14" t="str">
        <f>IFERROR(__xludf.DUMMYFUNCTION("split(E1416,""+"")"),"Popcorn")</f>
        <v>Popcorn</v>
      </c>
      <c r="L1416" s="14" t="str">
        <f>IFERROR(__xludf.DUMMYFUNCTION("""COMPUTED_VALUE"""),"4*Ramesh S")</f>
        <v>4*Ramesh S</v>
      </c>
      <c r="M1416" s="14">
        <f>IFERROR(__xludf.DUMMYFUNCTION("SPLIT(L1416,""*"")"),4.0)</f>
        <v>4</v>
      </c>
      <c r="N1416" s="14" t="str">
        <f>IFERROR(__xludf.DUMMYFUNCTION("""COMPUTED_VALUE"""),"Ramesh S")</f>
        <v>Ramesh S</v>
      </c>
      <c r="O1416" s="14" t="str">
        <f>IFERROR(__xludf.DUMMYFUNCTION("split(J1416,""*"")"),"Delivered")</f>
        <v>Delivered</v>
      </c>
      <c r="P1416" s="14" t="str">
        <f>IFERROR(__xludf.DUMMYFUNCTION("""COMPUTED_VALUE"""),"Delivery Experience: Quick and professional")</f>
        <v>Delivery Experience: Quick and professional</v>
      </c>
      <c r="Q1416" s="14" t="str">
        <f>IFERROR(__xludf.DUMMYFUNCTION("split(P1416,"":"")"),"Delivery Experience")</f>
        <v>Delivery Experience</v>
      </c>
      <c r="R1416" s="14" t="str">
        <f>IFERROR(__xludf.DUMMYFUNCTION("""COMPUTED_VALUE""")," Quick and professional")</f>
        <v> Quick and professional</v>
      </c>
      <c r="S1416" s="14" t="str">
        <f t="shared" ref="S1416:U1416" si="2835">trim(B1416)</f>
        <v>ord_71394</v>
      </c>
      <c r="T1416" s="14" t="str">
        <f t="shared" si="2835"/>
        <v>Aditi Iyer</v>
      </c>
      <c r="U1416" s="14" t="str">
        <f t="shared" si="2835"/>
        <v>Dadar</v>
      </c>
      <c r="V1416" s="14" t="str">
        <f t="shared" si="4"/>
        <v>Popcorn</v>
      </c>
      <c r="W1416" s="14">
        <f t="shared" si="5"/>
        <v>4</v>
      </c>
      <c r="X1416" s="14" t="str">
        <f t="shared" si="6"/>
        <v>Ramesh S</v>
      </c>
      <c r="Y1416" s="15">
        <f t="shared" si="7"/>
        <v>45266</v>
      </c>
      <c r="Z1416" s="14" t="str">
        <f t="shared" si="8"/>
        <v>UPI</v>
      </c>
      <c r="AA1416" s="14" t="str">
        <f t="shared" si="9"/>
        <v>Delivered</v>
      </c>
      <c r="AB1416" s="14" t="str">
        <f t="shared" ref="AB1416:AC1416" si="2836">trim(Q1416)</f>
        <v>Delivery Experience</v>
      </c>
      <c r="AC1416" s="14" t="str">
        <f t="shared" si="2836"/>
        <v>Quick and professional</v>
      </c>
      <c r="AD1416" s="8"/>
    </row>
    <row r="1417">
      <c r="A1417" s="14" t="str">
        <f>IFERROR(__xludf.DUMMYFUNCTION("""COMPUTED_VALUE"""),"//ord_71395//Kritika Shetty//Malad//Juice+5*Not Assigned/2/1/2023//Credit Card//Cancelled*App Glitches:Slow Loading Time")</f>
        <v>//ord_71395//Kritika Shetty//Malad//Juice+5*Not Assigned/2/1/2023//Credit Card//Cancelled*App Glitches:Slow Loading Time</v>
      </c>
      <c r="B1417" s="14" t="str">
        <f>IFERROR(__xludf.DUMMYFUNCTION("split(A1417,""//"")"),"ord_71395")</f>
        <v>ord_71395</v>
      </c>
      <c r="C1417" s="14" t="str">
        <f>IFERROR(__xludf.DUMMYFUNCTION("""COMPUTED_VALUE"""),"Kritika Shetty")</f>
        <v>Kritika Shetty</v>
      </c>
      <c r="D1417" s="14" t="str">
        <f>IFERROR(__xludf.DUMMYFUNCTION("""COMPUTED_VALUE"""),"Malad")</f>
        <v>Malad</v>
      </c>
      <c r="E1417" s="14" t="str">
        <f>IFERROR(__xludf.DUMMYFUNCTION("""COMPUTED_VALUE"""),"Juice+5*Not Assigned")</f>
        <v>Juice+5*Not Assigned</v>
      </c>
      <c r="F1417" s="14">
        <f>IFERROR(__xludf.DUMMYFUNCTION("""COMPUTED_VALUE"""),2.0)</f>
        <v>2</v>
      </c>
      <c r="G1417" s="14">
        <f>IFERROR(__xludf.DUMMYFUNCTION("""COMPUTED_VALUE"""),1.0)</f>
        <v>1</v>
      </c>
      <c r="H1417" s="14">
        <f>IFERROR(__xludf.DUMMYFUNCTION("""COMPUTED_VALUE"""),2023.0)</f>
        <v>2023</v>
      </c>
      <c r="I1417" s="14" t="str">
        <f>IFERROR(__xludf.DUMMYFUNCTION("""COMPUTED_VALUE"""),"Credit Card")</f>
        <v>Credit Card</v>
      </c>
      <c r="J1417" s="14" t="str">
        <f>IFERROR(__xludf.DUMMYFUNCTION("""COMPUTED_VALUE"""),"Cancelled*App Glitches:Slow Loading Time")</f>
        <v>Cancelled*App Glitches:Slow Loading Time</v>
      </c>
      <c r="K1417" s="14" t="str">
        <f>IFERROR(__xludf.DUMMYFUNCTION("split(E1417,""+"")"),"Juice")</f>
        <v>Juice</v>
      </c>
      <c r="L1417" s="14" t="str">
        <f>IFERROR(__xludf.DUMMYFUNCTION("""COMPUTED_VALUE"""),"5*Not Assigned")</f>
        <v>5*Not Assigned</v>
      </c>
      <c r="M1417" s="14">
        <f>IFERROR(__xludf.DUMMYFUNCTION("SPLIT(L1417,""*"")"),5.0)</f>
        <v>5</v>
      </c>
      <c r="N1417" s="14" t="str">
        <f>IFERROR(__xludf.DUMMYFUNCTION("""COMPUTED_VALUE"""),"Not Assigned")</f>
        <v>Not Assigned</v>
      </c>
      <c r="O1417" s="14" t="str">
        <f>IFERROR(__xludf.DUMMYFUNCTION("split(J1417,""*"")"),"Cancelled")</f>
        <v>Cancelled</v>
      </c>
      <c r="P1417" s="14" t="str">
        <f>IFERROR(__xludf.DUMMYFUNCTION("""COMPUTED_VALUE"""),"App Glitches:Slow Loading Time")</f>
        <v>App Glitches:Slow Loading Time</v>
      </c>
      <c r="Q1417" s="14" t="str">
        <f>IFERROR(__xludf.DUMMYFUNCTION("split(P1417,"":"")"),"App Glitches")</f>
        <v>App Glitches</v>
      </c>
      <c r="R1417" s="14" t="str">
        <f>IFERROR(__xludf.DUMMYFUNCTION("""COMPUTED_VALUE"""),"Slow Loading Time")</f>
        <v>Slow Loading Time</v>
      </c>
      <c r="S1417" s="14" t="str">
        <f t="shared" ref="S1417:U1417" si="2837">trim(B1417)</f>
        <v>ord_71395</v>
      </c>
      <c r="T1417" s="14" t="str">
        <f t="shared" si="2837"/>
        <v>Kritika Shetty</v>
      </c>
      <c r="U1417" s="14" t="str">
        <f t="shared" si="2837"/>
        <v>Malad</v>
      </c>
      <c r="V1417" s="14" t="str">
        <f t="shared" si="4"/>
        <v>Juice</v>
      </c>
      <c r="W1417" s="14">
        <f t="shared" si="5"/>
        <v>5</v>
      </c>
      <c r="X1417" s="14" t="str">
        <f t="shared" si="6"/>
        <v>Not Assigned</v>
      </c>
      <c r="Y1417" s="15">
        <f t="shared" si="7"/>
        <v>44958</v>
      </c>
      <c r="Z1417" s="14" t="str">
        <f t="shared" si="8"/>
        <v>Credit Card</v>
      </c>
      <c r="AA1417" s="14" t="str">
        <f t="shared" si="9"/>
        <v>Cancelled</v>
      </c>
      <c r="AB1417" s="14" t="str">
        <f t="shared" ref="AB1417:AC1417" si="2838">trim(Q1417)</f>
        <v>App Glitches</v>
      </c>
      <c r="AC1417" s="14" t="str">
        <f t="shared" si="2838"/>
        <v>Slow Loading Time</v>
      </c>
      <c r="AD1417" s="8"/>
    </row>
    <row r="1418">
      <c r="A1418" s="14" t="str">
        <f>IFERROR(__xludf.DUMMYFUNCTION("""COMPUTED_VALUE"""),"//ord_71396//Siya Reddy//Juhu//Banana+1*Not Assigned/11/13/2023//Online Payment//Cancelled*App Glitches: Payment Button Malfunction")</f>
        <v>//ord_71396//Siya Reddy//Juhu//Banana+1*Not Assigned/11/13/2023//Online Payment//Cancelled*App Glitches: Payment Button Malfunction</v>
      </c>
      <c r="B1418" s="14" t="str">
        <f>IFERROR(__xludf.DUMMYFUNCTION("split(A1418,""//"")"),"ord_71396")</f>
        <v>ord_71396</v>
      </c>
      <c r="C1418" s="14" t="str">
        <f>IFERROR(__xludf.DUMMYFUNCTION("""COMPUTED_VALUE"""),"Siya Reddy")</f>
        <v>Siya Reddy</v>
      </c>
      <c r="D1418" s="14" t="str">
        <f>IFERROR(__xludf.DUMMYFUNCTION("""COMPUTED_VALUE"""),"Juhu")</f>
        <v>Juhu</v>
      </c>
      <c r="E1418" s="14" t="str">
        <f>IFERROR(__xludf.DUMMYFUNCTION("""COMPUTED_VALUE"""),"Banana+1*Not Assigned")</f>
        <v>Banana+1*Not Assigned</v>
      </c>
      <c r="F1418" s="14">
        <f>IFERROR(__xludf.DUMMYFUNCTION("""COMPUTED_VALUE"""),11.0)</f>
        <v>11</v>
      </c>
      <c r="G1418" s="14">
        <f>IFERROR(__xludf.DUMMYFUNCTION("""COMPUTED_VALUE"""),13.0)</f>
        <v>13</v>
      </c>
      <c r="H1418" s="14">
        <f>IFERROR(__xludf.DUMMYFUNCTION("""COMPUTED_VALUE"""),2023.0)</f>
        <v>2023</v>
      </c>
      <c r="I1418" s="14" t="str">
        <f>IFERROR(__xludf.DUMMYFUNCTION("""COMPUTED_VALUE"""),"Online Payment")</f>
        <v>Online Payment</v>
      </c>
      <c r="J1418" s="14" t="str">
        <f>IFERROR(__xludf.DUMMYFUNCTION("""COMPUTED_VALUE"""),"Cancelled*App Glitches: Payment Button Malfunction")</f>
        <v>Cancelled*App Glitches: Payment Button Malfunction</v>
      </c>
      <c r="K1418" s="14" t="str">
        <f>IFERROR(__xludf.DUMMYFUNCTION("split(E1418,""+"")"),"Banana")</f>
        <v>Banana</v>
      </c>
      <c r="L1418" s="14" t="str">
        <f>IFERROR(__xludf.DUMMYFUNCTION("""COMPUTED_VALUE"""),"1*Not Assigned")</f>
        <v>1*Not Assigned</v>
      </c>
      <c r="M1418" s="14">
        <f>IFERROR(__xludf.DUMMYFUNCTION("SPLIT(L1418,""*"")"),1.0)</f>
        <v>1</v>
      </c>
      <c r="N1418" s="14" t="str">
        <f>IFERROR(__xludf.DUMMYFUNCTION("""COMPUTED_VALUE"""),"Not Assigned")</f>
        <v>Not Assigned</v>
      </c>
      <c r="O1418" s="14" t="str">
        <f>IFERROR(__xludf.DUMMYFUNCTION("split(J1418,""*"")"),"Cancelled")</f>
        <v>Cancelled</v>
      </c>
      <c r="P1418" s="14" t="str">
        <f>IFERROR(__xludf.DUMMYFUNCTION("""COMPUTED_VALUE"""),"App Glitches: Payment Button Malfunction")</f>
        <v>App Glitches: Payment Button Malfunction</v>
      </c>
      <c r="Q1418" s="14" t="str">
        <f>IFERROR(__xludf.DUMMYFUNCTION("split(P1418,"":"")"),"App Glitches")</f>
        <v>App Glitches</v>
      </c>
      <c r="R1418" s="14" t="str">
        <f>IFERROR(__xludf.DUMMYFUNCTION("""COMPUTED_VALUE""")," Payment Button Malfunction")</f>
        <v> Payment Button Malfunction</v>
      </c>
      <c r="S1418" s="14" t="str">
        <f t="shared" ref="S1418:U1418" si="2839">trim(B1418)</f>
        <v>ord_71396</v>
      </c>
      <c r="T1418" s="14" t="str">
        <f t="shared" si="2839"/>
        <v>Siya Reddy</v>
      </c>
      <c r="U1418" s="14" t="str">
        <f t="shared" si="2839"/>
        <v>Juhu</v>
      </c>
      <c r="V1418" s="14" t="str">
        <f t="shared" si="4"/>
        <v>Banana</v>
      </c>
      <c r="W1418" s="14">
        <f t="shared" si="5"/>
        <v>1</v>
      </c>
      <c r="X1418" s="14" t="str">
        <f t="shared" si="6"/>
        <v>Not Assigned</v>
      </c>
      <c r="Y1418" s="15">
        <f t="shared" si="7"/>
        <v>45243</v>
      </c>
      <c r="Z1418" s="14" t="str">
        <f t="shared" si="8"/>
        <v>Online Payment</v>
      </c>
      <c r="AA1418" s="14" t="str">
        <f t="shared" si="9"/>
        <v>Cancelled</v>
      </c>
      <c r="AB1418" s="14" t="str">
        <f t="shared" ref="AB1418:AC1418" si="2840">trim(Q1418)</f>
        <v>App Glitches</v>
      </c>
      <c r="AC1418" s="14" t="str">
        <f t="shared" si="2840"/>
        <v>Payment Button Malfunction</v>
      </c>
      <c r="AD1418" s="8"/>
    </row>
    <row r="1419">
      <c r="A1419" s="14" t="str">
        <f>IFERROR(__xludf.DUMMYFUNCTION("""COMPUTED_VALUE"""),"//ord_71397//Dev Chauhan//Bandra//Onion+1*Ramesh S/8/19/2023//Online Payment//Delivered*Convenience: Easy tracking")</f>
        <v>//ord_71397//Dev Chauhan//Bandra//Onion+1*Ramesh S/8/19/2023//Online Payment//Delivered*Convenience: Easy tracking</v>
      </c>
      <c r="B1419" s="14" t="str">
        <f>IFERROR(__xludf.DUMMYFUNCTION("split(A1419,""//"")"),"ord_71397")</f>
        <v>ord_71397</v>
      </c>
      <c r="C1419" s="14" t="str">
        <f>IFERROR(__xludf.DUMMYFUNCTION("""COMPUTED_VALUE"""),"Dev Chauhan")</f>
        <v>Dev Chauhan</v>
      </c>
      <c r="D1419" s="14" t="str">
        <f>IFERROR(__xludf.DUMMYFUNCTION("""COMPUTED_VALUE"""),"Bandra")</f>
        <v>Bandra</v>
      </c>
      <c r="E1419" s="14" t="str">
        <f>IFERROR(__xludf.DUMMYFUNCTION("""COMPUTED_VALUE"""),"Onion+1*Ramesh S")</f>
        <v>Onion+1*Ramesh S</v>
      </c>
      <c r="F1419" s="14">
        <f>IFERROR(__xludf.DUMMYFUNCTION("""COMPUTED_VALUE"""),8.0)</f>
        <v>8</v>
      </c>
      <c r="G1419" s="14">
        <f>IFERROR(__xludf.DUMMYFUNCTION("""COMPUTED_VALUE"""),19.0)</f>
        <v>19</v>
      </c>
      <c r="H1419" s="14">
        <f>IFERROR(__xludf.DUMMYFUNCTION("""COMPUTED_VALUE"""),2023.0)</f>
        <v>2023</v>
      </c>
      <c r="I1419" s="14" t="str">
        <f>IFERROR(__xludf.DUMMYFUNCTION("""COMPUTED_VALUE"""),"Online Payment")</f>
        <v>Online Payment</v>
      </c>
      <c r="J1419" s="14" t="str">
        <f>IFERROR(__xludf.DUMMYFUNCTION("""COMPUTED_VALUE"""),"Delivered*Convenience: Easy tracking")</f>
        <v>Delivered*Convenience: Easy tracking</v>
      </c>
      <c r="K1419" s="14" t="str">
        <f>IFERROR(__xludf.DUMMYFUNCTION("split(E1419,""+"")"),"Onion")</f>
        <v>Onion</v>
      </c>
      <c r="L1419" s="14" t="str">
        <f>IFERROR(__xludf.DUMMYFUNCTION("""COMPUTED_VALUE"""),"1*Ramesh S")</f>
        <v>1*Ramesh S</v>
      </c>
      <c r="M1419" s="14">
        <f>IFERROR(__xludf.DUMMYFUNCTION("SPLIT(L1419,""*"")"),1.0)</f>
        <v>1</v>
      </c>
      <c r="N1419" s="14" t="str">
        <f>IFERROR(__xludf.DUMMYFUNCTION("""COMPUTED_VALUE"""),"Ramesh S")</f>
        <v>Ramesh S</v>
      </c>
      <c r="O1419" s="14" t="str">
        <f>IFERROR(__xludf.DUMMYFUNCTION("split(J1419,""*"")"),"Delivered")</f>
        <v>Delivered</v>
      </c>
      <c r="P1419" s="14" t="str">
        <f>IFERROR(__xludf.DUMMYFUNCTION("""COMPUTED_VALUE"""),"Convenience: Easy tracking")</f>
        <v>Convenience: Easy tracking</v>
      </c>
      <c r="Q1419" s="14" t="str">
        <f>IFERROR(__xludf.DUMMYFUNCTION("split(P1419,"":"")"),"Convenience")</f>
        <v>Convenience</v>
      </c>
      <c r="R1419" s="14" t="str">
        <f>IFERROR(__xludf.DUMMYFUNCTION("""COMPUTED_VALUE""")," Easy tracking")</f>
        <v> Easy tracking</v>
      </c>
      <c r="S1419" s="14" t="str">
        <f t="shared" ref="S1419:U1419" si="2841">trim(B1419)</f>
        <v>ord_71397</v>
      </c>
      <c r="T1419" s="14" t="str">
        <f t="shared" si="2841"/>
        <v>Dev Chauhan</v>
      </c>
      <c r="U1419" s="14" t="str">
        <f t="shared" si="2841"/>
        <v>Bandra</v>
      </c>
      <c r="V1419" s="14" t="str">
        <f t="shared" si="4"/>
        <v>Onion</v>
      </c>
      <c r="W1419" s="14">
        <f t="shared" si="5"/>
        <v>1</v>
      </c>
      <c r="X1419" s="14" t="str">
        <f t="shared" si="6"/>
        <v>Ramesh S</v>
      </c>
      <c r="Y1419" s="15">
        <f t="shared" si="7"/>
        <v>45157</v>
      </c>
      <c r="Z1419" s="14" t="str">
        <f t="shared" si="8"/>
        <v>Online Payment</v>
      </c>
      <c r="AA1419" s="14" t="str">
        <f t="shared" si="9"/>
        <v>Delivered</v>
      </c>
      <c r="AB1419" s="14" t="str">
        <f t="shared" ref="AB1419:AC1419" si="2842">trim(Q1419)</f>
        <v>Convenience</v>
      </c>
      <c r="AC1419" s="14" t="str">
        <f t="shared" si="2842"/>
        <v>Easy tracking</v>
      </c>
      <c r="AD1419" s="8"/>
    </row>
    <row r="1420">
      <c r="A1420" s="14" t="str">
        <f>IFERROR(__xludf.DUMMYFUNCTION("""COMPUTED_VALUE"""),"//ord_71398//Kritika Shetty//Malad//Papaya+2*Not Assigned/6/16/2023//Credit Card//Cancelled*App Glitches: Inconsistent Data Display")</f>
        <v>//ord_71398//Kritika Shetty//Malad//Papaya+2*Not Assigned/6/16/2023//Credit Card//Cancelled*App Glitches: Inconsistent Data Display</v>
      </c>
      <c r="B1420" s="14" t="str">
        <f>IFERROR(__xludf.DUMMYFUNCTION("split(A1420,""//"")"),"ord_71398")</f>
        <v>ord_71398</v>
      </c>
      <c r="C1420" s="14" t="str">
        <f>IFERROR(__xludf.DUMMYFUNCTION("""COMPUTED_VALUE"""),"Kritika Shetty")</f>
        <v>Kritika Shetty</v>
      </c>
      <c r="D1420" s="14" t="str">
        <f>IFERROR(__xludf.DUMMYFUNCTION("""COMPUTED_VALUE"""),"Malad")</f>
        <v>Malad</v>
      </c>
      <c r="E1420" s="14" t="str">
        <f>IFERROR(__xludf.DUMMYFUNCTION("""COMPUTED_VALUE"""),"Papaya+2*Not Assigned")</f>
        <v>Papaya+2*Not Assigned</v>
      </c>
      <c r="F1420" s="14">
        <f>IFERROR(__xludf.DUMMYFUNCTION("""COMPUTED_VALUE"""),6.0)</f>
        <v>6</v>
      </c>
      <c r="G1420" s="14">
        <f>IFERROR(__xludf.DUMMYFUNCTION("""COMPUTED_VALUE"""),16.0)</f>
        <v>16</v>
      </c>
      <c r="H1420" s="14">
        <f>IFERROR(__xludf.DUMMYFUNCTION("""COMPUTED_VALUE"""),2023.0)</f>
        <v>2023</v>
      </c>
      <c r="I1420" s="14" t="str">
        <f>IFERROR(__xludf.DUMMYFUNCTION("""COMPUTED_VALUE"""),"Credit Card")</f>
        <v>Credit Card</v>
      </c>
      <c r="J1420" s="14" t="str">
        <f>IFERROR(__xludf.DUMMYFUNCTION("""COMPUTED_VALUE"""),"Cancelled*App Glitches: Inconsistent Data Display")</f>
        <v>Cancelled*App Glitches: Inconsistent Data Display</v>
      </c>
      <c r="K1420" s="14" t="str">
        <f>IFERROR(__xludf.DUMMYFUNCTION("split(E1420,""+"")"),"Papaya")</f>
        <v>Papaya</v>
      </c>
      <c r="L1420" s="14" t="str">
        <f>IFERROR(__xludf.DUMMYFUNCTION("""COMPUTED_VALUE"""),"2*Not Assigned")</f>
        <v>2*Not Assigned</v>
      </c>
      <c r="M1420" s="14">
        <f>IFERROR(__xludf.DUMMYFUNCTION("SPLIT(L1420,""*"")"),2.0)</f>
        <v>2</v>
      </c>
      <c r="N1420" s="14" t="str">
        <f>IFERROR(__xludf.DUMMYFUNCTION("""COMPUTED_VALUE"""),"Not Assigned")</f>
        <v>Not Assigned</v>
      </c>
      <c r="O1420" s="14" t="str">
        <f>IFERROR(__xludf.DUMMYFUNCTION("split(J1420,""*"")"),"Cancelled")</f>
        <v>Cancelled</v>
      </c>
      <c r="P1420" s="14" t="str">
        <f>IFERROR(__xludf.DUMMYFUNCTION("""COMPUTED_VALUE"""),"App Glitches: Inconsistent Data Display")</f>
        <v>App Glitches: Inconsistent Data Display</v>
      </c>
      <c r="Q1420" s="14" t="str">
        <f>IFERROR(__xludf.DUMMYFUNCTION("split(P1420,"":"")"),"App Glitches")</f>
        <v>App Glitches</v>
      </c>
      <c r="R1420" s="14" t="str">
        <f>IFERROR(__xludf.DUMMYFUNCTION("""COMPUTED_VALUE""")," Inconsistent Data Display")</f>
        <v> Inconsistent Data Display</v>
      </c>
      <c r="S1420" s="14" t="str">
        <f t="shared" ref="S1420:U1420" si="2843">trim(B1420)</f>
        <v>ord_71398</v>
      </c>
      <c r="T1420" s="14" t="str">
        <f t="shared" si="2843"/>
        <v>Kritika Shetty</v>
      </c>
      <c r="U1420" s="14" t="str">
        <f t="shared" si="2843"/>
        <v>Malad</v>
      </c>
      <c r="V1420" s="14" t="str">
        <f t="shared" si="4"/>
        <v>Papaya</v>
      </c>
      <c r="W1420" s="14">
        <f t="shared" si="5"/>
        <v>2</v>
      </c>
      <c r="X1420" s="14" t="str">
        <f t="shared" si="6"/>
        <v>Not Assigned</v>
      </c>
      <c r="Y1420" s="15">
        <f t="shared" si="7"/>
        <v>45093</v>
      </c>
      <c r="Z1420" s="14" t="str">
        <f t="shared" si="8"/>
        <v>Credit Card</v>
      </c>
      <c r="AA1420" s="14" t="str">
        <f t="shared" si="9"/>
        <v>Cancelled</v>
      </c>
      <c r="AB1420" s="14" t="str">
        <f t="shared" ref="AB1420:AC1420" si="2844">trim(Q1420)</f>
        <v>App Glitches</v>
      </c>
      <c r="AC1420" s="14" t="str">
        <f t="shared" si="2844"/>
        <v>Inconsistent Data Display</v>
      </c>
      <c r="AD1420" s="8"/>
    </row>
    <row r="1421">
      <c r="A1421" s="14" t="str">
        <f>IFERROR(__xludf.DUMMYFUNCTION("""COMPUTED_VALUE"""),"//ord_71399//Pranav Joshi//Andheri//Potato+2*Shine Thomas/8/8/2023//UPI//Delivered*Overall Satisfaction: Great service will order again")</f>
        <v>//ord_71399//Pranav Joshi//Andheri//Potato+2*Shine Thomas/8/8/2023//UPI//Delivered*Overall Satisfaction: Great service will order again</v>
      </c>
      <c r="B1421" s="14" t="str">
        <f>IFERROR(__xludf.DUMMYFUNCTION("split(A1421,""//"")"),"ord_71399")</f>
        <v>ord_71399</v>
      </c>
      <c r="C1421" s="14" t="str">
        <f>IFERROR(__xludf.DUMMYFUNCTION("""COMPUTED_VALUE"""),"Pranav Joshi")</f>
        <v>Pranav Joshi</v>
      </c>
      <c r="D1421" s="14" t="str">
        <f>IFERROR(__xludf.DUMMYFUNCTION("""COMPUTED_VALUE"""),"Andheri")</f>
        <v>Andheri</v>
      </c>
      <c r="E1421" s="14" t="str">
        <f>IFERROR(__xludf.DUMMYFUNCTION("""COMPUTED_VALUE"""),"Potato+2*Shine Thomas")</f>
        <v>Potato+2*Shine Thomas</v>
      </c>
      <c r="F1421" s="14">
        <f>IFERROR(__xludf.DUMMYFUNCTION("""COMPUTED_VALUE"""),8.0)</f>
        <v>8</v>
      </c>
      <c r="G1421" s="14">
        <f>IFERROR(__xludf.DUMMYFUNCTION("""COMPUTED_VALUE"""),8.0)</f>
        <v>8</v>
      </c>
      <c r="H1421" s="14">
        <f>IFERROR(__xludf.DUMMYFUNCTION("""COMPUTED_VALUE"""),2023.0)</f>
        <v>2023</v>
      </c>
      <c r="I1421" s="14" t="str">
        <f>IFERROR(__xludf.DUMMYFUNCTION("""COMPUTED_VALUE"""),"UPI")</f>
        <v>UPI</v>
      </c>
      <c r="J1421" s="14" t="str">
        <f>IFERROR(__xludf.DUMMYFUNCTION("""COMPUTED_VALUE"""),"Delivered*Overall Satisfaction: Great service will order again")</f>
        <v>Delivered*Overall Satisfaction: Great service will order again</v>
      </c>
      <c r="K1421" s="14" t="str">
        <f>IFERROR(__xludf.DUMMYFUNCTION("split(E1421,""+"")"),"Potato")</f>
        <v>Potato</v>
      </c>
      <c r="L1421" s="14" t="str">
        <f>IFERROR(__xludf.DUMMYFUNCTION("""COMPUTED_VALUE"""),"2*Shine Thomas")</f>
        <v>2*Shine Thomas</v>
      </c>
      <c r="M1421" s="14">
        <f>IFERROR(__xludf.DUMMYFUNCTION("SPLIT(L1421,""*"")"),2.0)</f>
        <v>2</v>
      </c>
      <c r="N1421" s="14" t="str">
        <f>IFERROR(__xludf.DUMMYFUNCTION("""COMPUTED_VALUE"""),"Shine Thomas")</f>
        <v>Shine Thomas</v>
      </c>
      <c r="O1421" s="14" t="str">
        <f>IFERROR(__xludf.DUMMYFUNCTION("split(J1421,""*"")"),"Delivered")</f>
        <v>Delivered</v>
      </c>
      <c r="P1421" s="14" t="str">
        <f>IFERROR(__xludf.DUMMYFUNCTION("""COMPUTED_VALUE"""),"Overall Satisfaction: Great service will order again")</f>
        <v>Overall Satisfaction: Great service will order again</v>
      </c>
      <c r="Q1421" s="14" t="str">
        <f>IFERROR(__xludf.DUMMYFUNCTION("split(P1421,"":"")"),"Overall Satisfaction")</f>
        <v>Overall Satisfaction</v>
      </c>
      <c r="R1421" s="14" t="str">
        <f>IFERROR(__xludf.DUMMYFUNCTION("""COMPUTED_VALUE""")," Great service will order again")</f>
        <v> Great service will order again</v>
      </c>
      <c r="S1421" s="14" t="str">
        <f t="shared" ref="S1421:U1421" si="2845">trim(B1421)</f>
        <v>ord_71399</v>
      </c>
      <c r="T1421" s="14" t="str">
        <f t="shared" si="2845"/>
        <v>Pranav Joshi</v>
      </c>
      <c r="U1421" s="14" t="str">
        <f t="shared" si="2845"/>
        <v>Andheri</v>
      </c>
      <c r="V1421" s="14" t="str">
        <f t="shared" si="4"/>
        <v>Potato</v>
      </c>
      <c r="W1421" s="14">
        <f t="shared" si="5"/>
        <v>2</v>
      </c>
      <c r="X1421" s="14" t="str">
        <f t="shared" si="6"/>
        <v>Shine Thomas</v>
      </c>
      <c r="Y1421" s="15">
        <f t="shared" si="7"/>
        <v>45146</v>
      </c>
      <c r="Z1421" s="14" t="str">
        <f t="shared" si="8"/>
        <v>UPI</v>
      </c>
      <c r="AA1421" s="14" t="str">
        <f t="shared" si="9"/>
        <v>Delivered</v>
      </c>
      <c r="AB1421" s="14" t="str">
        <f t="shared" ref="AB1421:AC1421" si="2846">trim(Q1421)</f>
        <v>Overall Satisfaction</v>
      </c>
      <c r="AC1421" s="14" t="str">
        <f t="shared" si="2846"/>
        <v>Great service will order again</v>
      </c>
      <c r="AD1421" s="8"/>
    </row>
    <row r="1422">
      <c r="A1422" s="14" t="str">
        <f>IFERROR(__xludf.DUMMYFUNCTION("""COMPUTED_VALUE"""),"//ord_71400//Sanjay Nair//Dadar//Guava+1*Sita T/5/21/2023//Credit Card//Delivered*On-time Delivery: Delivered on time")</f>
        <v>//ord_71400//Sanjay Nair//Dadar//Guava+1*Sita T/5/21/2023//Credit Card//Delivered*On-time Delivery: Delivered on time</v>
      </c>
      <c r="B1422" s="14" t="str">
        <f>IFERROR(__xludf.DUMMYFUNCTION("split(A1422,""//"")"),"ord_71400")</f>
        <v>ord_71400</v>
      </c>
      <c r="C1422" s="14" t="str">
        <f>IFERROR(__xludf.DUMMYFUNCTION("""COMPUTED_VALUE"""),"Sanjay Nair")</f>
        <v>Sanjay Nair</v>
      </c>
      <c r="D1422" s="14" t="str">
        <f>IFERROR(__xludf.DUMMYFUNCTION("""COMPUTED_VALUE"""),"Dadar")</f>
        <v>Dadar</v>
      </c>
      <c r="E1422" s="14" t="str">
        <f>IFERROR(__xludf.DUMMYFUNCTION("""COMPUTED_VALUE"""),"Guava+1*Sita T")</f>
        <v>Guava+1*Sita T</v>
      </c>
      <c r="F1422" s="14">
        <f>IFERROR(__xludf.DUMMYFUNCTION("""COMPUTED_VALUE"""),5.0)</f>
        <v>5</v>
      </c>
      <c r="G1422" s="14">
        <f>IFERROR(__xludf.DUMMYFUNCTION("""COMPUTED_VALUE"""),21.0)</f>
        <v>21</v>
      </c>
      <c r="H1422" s="14">
        <f>IFERROR(__xludf.DUMMYFUNCTION("""COMPUTED_VALUE"""),2023.0)</f>
        <v>2023</v>
      </c>
      <c r="I1422" s="14" t="str">
        <f>IFERROR(__xludf.DUMMYFUNCTION("""COMPUTED_VALUE"""),"Credit Card")</f>
        <v>Credit Card</v>
      </c>
      <c r="J1422" s="14" t="str">
        <f>IFERROR(__xludf.DUMMYFUNCTION("""COMPUTED_VALUE"""),"Delivered*On-time Delivery: Delivered on time")</f>
        <v>Delivered*On-time Delivery: Delivered on time</v>
      </c>
      <c r="K1422" s="14" t="str">
        <f>IFERROR(__xludf.DUMMYFUNCTION("split(E1422,""+"")"),"Guava")</f>
        <v>Guava</v>
      </c>
      <c r="L1422" s="14" t="str">
        <f>IFERROR(__xludf.DUMMYFUNCTION("""COMPUTED_VALUE"""),"1*Sita T")</f>
        <v>1*Sita T</v>
      </c>
      <c r="M1422" s="14">
        <f>IFERROR(__xludf.DUMMYFUNCTION("SPLIT(L1422,""*"")"),1.0)</f>
        <v>1</v>
      </c>
      <c r="N1422" s="14" t="str">
        <f>IFERROR(__xludf.DUMMYFUNCTION("""COMPUTED_VALUE"""),"Sita T")</f>
        <v>Sita T</v>
      </c>
      <c r="O1422" s="14" t="str">
        <f>IFERROR(__xludf.DUMMYFUNCTION("split(J1422,""*"")"),"Delivered")</f>
        <v>Delivered</v>
      </c>
      <c r="P1422" s="14" t="str">
        <f>IFERROR(__xludf.DUMMYFUNCTION("""COMPUTED_VALUE"""),"On-time Delivery: Delivered on time")</f>
        <v>On-time Delivery: Delivered on time</v>
      </c>
      <c r="Q1422" s="14" t="str">
        <f>IFERROR(__xludf.DUMMYFUNCTION("split(P1422,"":"")"),"On-time Delivery")</f>
        <v>On-time Delivery</v>
      </c>
      <c r="R1422" s="14" t="str">
        <f>IFERROR(__xludf.DUMMYFUNCTION("""COMPUTED_VALUE""")," Delivered on time")</f>
        <v> Delivered on time</v>
      </c>
      <c r="S1422" s="14" t="str">
        <f t="shared" ref="S1422:U1422" si="2847">trim(B1422)</f>
        <v>ord_71400</v>
      </c>
      <c r="T1422" s="14" t="str">
        <f t="shared" si="2847"/>
        <v>Sanjay Nair</v>
      </c>
      <c r="U1422" s="14" t="str">
        <f t="shared" si="2847"/>
        <v>Dadar</v>
      </c>
      <c r="V1422" s="14" t="str">
        <f t="shared" si="4"/>
        <v>Guava</v>
      </c>
      <c r="W1422" s="14">
        <f t="shared" si="5"/>
        <v>1</v>
      </c>
      <c r="X1422" s="14" t="str">
        <f t="shared" si="6"/>
        <v>Sita T</v>
      </c>
      <c r="Y1422" s="15">
        <f t="shared" si="7"/>
        <v>45067</v>
      </c>
      <c r="Z1422" s="14" t="str">
        <f t="shared" si="8"/>
        <v>Credit Card</v>
      </c>
      <c r="AA1422" s="14" t="str">
        <f t="shared" si="9"/>
        <v>Delivered</v>
      </c>
      <c r="AB1422" s="14" t="str">
        <f t="shared" ref="AB1422:AC1422" si="2848">trim(Q1422)</f>
        <v>On-time Delivery</v>
      </c>
      <c r="AC1422" s="14" t="str">
        <f t="shared" si="2848"/>
        <v>Delivered on time</v>
      </c>
      <c r="AD1422" s="8"/>
    </row>
    <row r="1423">
      <c r="A1423" s="14" t="str">
        <f>IFERROR(__xludf.DUMMYFUNCTION("""COMPUTED_VALUE"""),"//ord_71401//Ishita Banerjee//Juhu//Potato+2*Manju Ajay/8/2/2023//Credit Card//Cancelled*Delayed Delivery:Incorrect Address or Location")</f>
        <v>//ord_71401//Ishita Banerjee//Juhu//Potato+2*Manju Ajay/8/2/2023//Credit Card//Cancelled*Delayed Delivery:Incorrect Address or Location</v>
      </c>
      <c r="B1423" s="14" t="str">
        <f>IFERROR(__xludf.DUMMYFUNCTION("split(A1423,""//"")"),"ord_71401")</f>
        <v>ord_71401</v>
      </c>
      <c r="C1423" s="14" t="str">
        <f>IFERROR(__xludf.DUMMYFUNCTION("""COMPUTED_VALUE"""),"Ishita Banerjee")</f>
        <v>Ishita Banerjee</v>
      </c>
      <c r="D1423" s="14" t="str">
        <f>IFERROR(__xludf.DUMMYFUNCTION("""COMPUTED_VALUE"""),"Juhu")</f>
        <v>Juhu</v>
      </c>
      <c r="E1423" s="14" t="str">
        <f>IFERROR(__xludf.DUMMYFUNCTION("""COMPUTED_VALUE"""),"Potato+2*Manju Ajay")</f>
        <v>Potato+2*Manju Ajay</v>
      </c>
      <c r="F1423" s="14">
        <f>IFERROR(__xludf.DUMMYFUNCTION("""COMPUTED_VALUE"""),8.0)</f>
        <v>8</v>
      </c>
      <c r="G1423" s="14">
        <f>IFERROR(__xludf.DUMMYFUNCTION("""COMPUTED_VALUE"""),2.0)</f>
        <v>2</v>
      </c>
      <c r="H1423" s="14">
        <f>IFERROR(__xludf.DUMMYFUNCTION("""COMPUTED_VALUE"""),2023.0)</f>
        <v>2023</v>
      </c>
      <c r="I1423" s="14" t="str">
        <f>IFERROR(__xludf.DUMMYFUNCTION("""COMPUTED_VALUE"""),"Credit Card")</f>
        <v>Credit Card</v>
      </c>
      <c r="J1423" s="14" t="str">
        <f>IFERROR(__xludf.DUMMYFUNCTION("""COMPUTED_VALUE"""),"Cancelled*Delayed Delivery:Incorrect Address or Location")</f>
        <v>Cancelled*Delayed Delivery:Incorrect Address or Location</v>
      </c>
      <c r="K1423" s="14" t="str">
        <f>IFERROR(__xludf.DUMMYFUNCTION("split(E1423,""+"")"),"Potato")</f>
        <v>Potato</v>
      </c>
      <c r="L1423" s="14" t="str">
        <f>IFERROR(__xludf.DUMMYFUNCTION("""COMPUTED_VALUE"""),"2*Manju Ajay")</f>
        <v>2*Manju Ajay</v>
      </c>
      <c r="M1423" s="14">
        <f>IFERROR(__xludf.DUMMYFUNCTION("SPLIT(L1423,""*"")"),2.0)</f>
        <v>2</v>
      </c>
      <c r="N1423" s="14" t="str">
        <f>IFERROR(__xludf.DUMMYFUNCTION("""COMPUTED_VALUE"""),"Manju Ajay")</f>
        <v>Manju Ajay</v>
      </c>
      <c r="O1423" s="14" t="str">
        <f>IFERROR(__xludf.DUMMYFUNCTION("split(J1423,""*"")"),"Cancelled")</f>
        <v>Cancelled</v>
      </c>
      <c r="P1423" s="14" t="str">
        <f>IFERROR(__xludf.DUMMYFUNCTION("""COMPUTED_VALUE"""),"Delayed Delivery:Incorrect Address or Location")</f>
        <v>Delayed Delivery:Incorrect Address or Location</v>
      </c>
      <c r="Q1423" s="14" t="str">
        <f>IFERROR(__xludf.DUMMYFUNCTION("split(P1423,"":"")"),"Delayed Delivery")</f>
        <v>Delayed Delivery</v>
      </c>
      <c r="R1423" s="14" t="str">
        <f>IFERROR(__xludf.DUMMYFUNCTION("""COMPUTED_VALUE"""),"Incorrect Address or Location")</f>
        <v>Incorrect Address or Location</v>
      </c>
      <c r="S1423" s="14" t="str">
        <f t="shared" ref="S1423:U1423" si="2849">trim(B1423)</f>
        <v>ord_71401</v>
      </c>
      <c r="T1423" s="14" t="str">
        <f t="shared" si="2849"/>
        <v>Ishita Banerjee</v>
      </c>
      <c r="U1423" s="14" t="str">
        <f t="shared" si="2849"/>
        <v>Juhu</v>
      </c>
      <c r="V1423" s="14" t="str">
        <f t="shared" si="4"/>
        <v>Potato</v>
      </c>
      <c r="W1423" s="14">
        <f t="shared" si="5"/>
        <v>2</v>
      </c>
      <c r="X1423" s="14" t="str">
        <f t="shared" si="6"/>
        <v>Manju Ajay</v>
      </c>
      <c r="Y1423" s="15">
        <f t="shared" si="7"/>
        <v>45140</v>
      </c>
      <c r="Z1423" s="14" t="str">
        <f t="shared" si="8"/>
        <v>Credit Card</v>
      </c>
      <c r="AA1423" s="14" t="str">
        <f t="shared" si="9"/>
        <v>Cancelled</v>
      </c>
      <c r="AB1423" s="14" t="str">
        <f t="shared" ref="AB1423:AC1423" si="2850">trim(Q1423)</f>
        <v>Delayed Delivery</v>
      </c>
      <c r="AC1423" s="14" t="str">
        <f t="shared" si="2850"/>
        <v>Incorrect Address or Location</v>
      </c>
      <c r="AD1423" s="8"/>
    </row>
    <row r="1424">
      <c r="A1424" s="14" t="str">
        <f>IFERROR(__xludf.DUMMYFUNCTION("""COMPUTED_VALUE"""),"//ord_71402//Ishita Banerjee//Juhu//Guava+2*Not Assigned/5/30/2023//Online Payment//Cancelled*App Glitches:Slow Loading Time")</f>
        <v>//ord_71402//Ishita Banerjee//Juhu//Guava+2*Not Assigned/5/30/2023//Online Payment//Cancelled*App Glitches:Slow Loading Time</v>
      </c>
      <c r="B1424" s="14" t="str">
        <f>IFERROR(__xludf.DUMMYFUNCTION("split(A1424,""//"")"),"ord_71402")</f>
        <v>ord_71402</v>
      </c>
      <c r="C1424" s="14" t="str">
        <f>IFERROR(__xludf.DUMMYFUNCTION("""COMPUTED_VALUE"""),"Ishita Banerjee")</f>
        <v>Ishita Banerjee</v>
      </c>
      <c r="D1424" s="14" t="str">
        <f>IFERROR(__xludf.DUMMYFUNCTION("""COMPUTED_VALUE"""),"Juhu")</f>
        <v>Juhu</v>
      </c>
      <c r="E1424" s="14" t="str">
        <f>IFERROR(__xludf.DUMMYFUNCTION("""COMPUTED_VALUE"""),"Guava+2*Not Assigned")</f>
        <v>Guava+2*Not Assigned</v>
      </c>
      <c r="F1424" s="14">
        <f>IFERROR(__xludf.DUMMYFUNCTION("""COMPUTED_VALUE"""),5.0)</f>
        <v>5</v>
      </c>
      <c r="G1424" s="14">
        <f>IFERROR(__xludf.DUMMYFUNCTION("""COMPUTED_VALUE"""),30.0)</f>
        <v>30</v>
      </c>
      <c r="H1424" s="14">
        <f>IFERROR(__xludf.DUMMYFUNCTION("""COMPUTED_VALUE"""),2023.0)</f>
        <v>2023</v>
      </c>
      <c r="I1424" s="14" t="str">
        <f>IFERROR(__xludf.DUMMYFUNCTION("""COMPUTED_VALUE"""),"Online Payment")</f>
        <v>Online Payment</v>
      </c>
      <c r="J1424" s="14" t="str">
        <f>IFERROR(__xludf.DUMMYFUNCTION("""COMPUTED_VALUE"""),"Cancelled*App Glitches:Slow Loading Time")</f>
        <v>Cancelled*App Glitches:Slow Loading Time</v>
      </c>
      <c r="K1424" s="14" t="str">
        <f>IFERROR(__xludf.DUMMYFUNCTION("split(E1424,""+"")"),"Guava")</f>
        <v>Guava</v>
      </c>
      <c r="L1424" s="14" t="str">
        <f>IFERROR(__xludf.DUMMYFUNCTION("""COMPUTED_VALUE"""),"2*Not Assigned")</f>
        <v>2*Not Assigned</v>
      </c>
      <c r="M1424" s="14">
        <f>IFERROR(__xludf.DUMMYFUNCTION("SPLIT(L1424,""*"")"),2.0)</f>
        <v>2</v>
      </c>
      <c r="N1424" s="14" t="str">
        <f>IFERROR(__xludf.DUMMYFUNCTION("""COMPUTED_VALUE"""),"Not Assigned")</f>
        <v>Not Assigned</v>
      </c>
      <c r="O1424" s="14" t="str">
        <f>IFERROR(__xludf.DUMMYFUNCTION("split(J1424,""*"")"),"Cancelled")</f>
        <v>Cancelled</v>
      </c>
      <c r="P1424" s="14" t="str">
        <f>IFERROR(__xludf.DUMMYFUNCTION("""COMPUTED_VALUE"""),"App Glitches:Slow Loading Time")</f>
        <v>App Glitches:Slow Loading Time</v>
      </c>
      <c r="Q1424" s="14" t="str">
        <f>IFERROR(__xludf.DUMMYFUNCTION("split(P1424,"":"")"),"App Glitches")</f>
        <v>App Glitches</v>
      </c>
      <c r="R1424" s="14" t="str">
        <f>IFERROR(__xludf.DUMMYFUNCTION("""COMPUTED_VALUE"""),"Slow Loading Time")</f>
        <v>Slow Loading Time</v>
      </c>
      <c r="S1424" s="14" t="str">
        <f t="shared" ref="S1424:U1424" si="2851">trim(B1424)</f>
        <v>ord_71402</v>
      </c>
      <c r="T1424" s="14" t="str">
        <f t="shared" si="2851"/>
        <v>Ishita Banerjee</v>
      </c>
      <c r="U1424" s="14" t="str">
        <f t="shared" si="2851"/>
        <v>Juhu</v>
      </c>
      <c r="V1424" s="14" t="str">
        <f t="shared" si="4"/>
        <v>Guava</v>
      </c>
      <c r="W1424" s="14">
        <f t="shared" si="5"/>
        <v>2</v>
      </c>
      <c r="X1424" s="14" t="str">
        <f t="shared" si="6"/>
        <v>Not Assigned</v>
      </c>
      <c r="Y1424" s="15">
        <f t="shared" si="7"/>
        <v>45076</v>
      </c>
      <c r="Z1424" s="14" t="str">
        <f t="shared" si="8"/>
        <v>Online Payment</v>
      </c>
      <c r="AA1424" s="14" t="str">
        <f t="shared" si="9"/>
        <v>Cancelled</v>
      </c>
      <c r="AB1424" s="14" t="str">
        <f t="shared" ref="AB1424:AC1424" si="2852">trim(Q1424)</f>
        <v>App Glitches</v>
      </c>
      <c r="AC1424" s="14" t="str">
        <f t="shared" si="2852"/>
        <v>Slow Loading Time</v>
      </c>
      <c r="AD1424" s="8"/>
    </row>
    <row r="1425">
      <c r="A1425" s="14" t="str">
        <f>IFERROR(__xludf.DUMMYFUNCTION("""COMPUTED_VALUE"""),"//ord_71403//Ishaan Chaturvedi//Bandra//Orange+2*Ramesh S/12/30/2023//UPI//Delivered*Quality of Items: Perfect condition")</f>
        <v>//ord_71403//Ishaan Chaturvedi//Bandra//Orange+2*Ramesh S/12/30/2023//UPI//Delivered*Quality of Items: Perfect condition</v>
      </c>
      <c r="B1425" s="14" t="str">
        <f>IFERROR(__xludf.DUMMYFUNCTION("split(A1425,""//"")"),"ord_71403")</f>
        <v>ord_71403</v>
      </c>
      <c r="C1425" s="14" t="str">
        <f>IFERROR(__xludf.DUMMYFUNCTION("""COMPUTED_VALUE"""),"Ishaan Chaturvedi")</f>
        <v>Ishaan Chaturvedi</v>
      </c>
      <c r="D1425" s="14" t="str">
        <f>IFERROR(__xludf.DUMMYFUNCTION("""COMPUTED_VALUE"""),"Bandra")</f>
        <v>Bandra</v>
      </c>
      <c r="E1425" s="14" t="str">
        <f>IFERROR(__xludf.DUMMYFUNCTION("""COMPUTED_VALUE"""),"Orange+2*Ramesh S")</f>
        <v>Orange+2*Ramesh S</v>
      </c>
      <c r="F1425" s="14">
        <f>IFERROR(__xludf.DUMMYFUNCTION("""COMPUTED_VALUE"""),12.0)</f>
        <v>12</v>
      </c>
      <c r="G1425" s="14">
        <f>IFERROR(__xludf.DUMMYFUNCTION("""COMPUTED_VALUE"""),30.0)</f>
        <v>30</v>
      </c>
      <c r="H1425" s="14">
        <f>IFERROR(__xludf.DUMMYFUNCTION("""COMPUTED_VALUE"""),2023.0)</f>
        <v>2023</v>
      </c>
      <c r="I1425" s="14" t="str">
        <f>IFERROR(__xludf.DUMMYFUNCTION("""COMPUTED_VALUE"""),"UPI")</f>
        <v>UPI</v>
      </c>
      <c r="J1425" s="14" t="str">
        <f>IFERROR(__xludf.DUMMYFUNCTION("""COMPUTED_VALUE"""),"Delivered*Quality of Items: Perfect condition")</f>
        <v>Delivered*Quality of Items: Perfect condition</v>
      </c>
      <c r="K1425" s="14" t="str">
        <f>IFERROR(__xludf.DUMMYFUNCTION("split(E1425,""+"")"),"Orange")</f>
        <v>Orange</v>
      </c>
      <c r="L1425" s="14" t="str">
        <f>IFERROR(__xludf.DUMMYFUNCTION("""COMPUTED_VALUE"""),"2*Ramesh S")</f>
        <v>2*Ramesh S</v>
      </c>
      <c r="M1425" s="14">
        <f>IFERROR(__xludf.DUMMYFUNCTION("SPLIT(L1425,""*"")"),2.0)</f>
        <v>2</v>
      </c>
      <c r="N1425" s="14" t="str">
        <f>IFERROR(__xludf.DUMMYFUNCTION("""COMPUTED_VALUE"""),"Ramesh S")</f>
        <v>Ramesh S</v>
      </c>
      <c r="O1425" s="14" t="str">
        <f>IFERROR(__xludf.DUMMYFUNCTION("split(J1425,""*"")"),"Delivered")</f>
        <v>Delivered</v>
      </c>
      <c r="P1425" s="14" t="str">
        <f>IFERROR(__xludf.DUMMYFUNCTION("""COMPUTED_VALUE"""),"Quality of Items: Perfect condition")</f>
        <v>Quality of Items: Perfect condition</v>
      </c>
      <c r="Q1425" s="14" t="str">
        <f>IFERROR(__xludf.DUMMYFUNCTION("split(P1425,"":"")"),"Quality of Items")</f>
        <v>Quality of Items</v>
      </c>
      <c r="R1425" s="14" t="str">
        <f>IFERROR(__xludf.DUMMYFUNCTION("""COMPUTED_VALUE""")," Perfect condition")</f>
        <v> Perfect condition</v>
      </c>
      <c r="S1425" s="14" t="str">
        <f t="shared" ref="S1425:U1425" si="2853">trim(B1425)</f>
        <v>ord_71403</v>
      </c>
      <c r="T1425" s="14" t="str">
        <f t="shared" si="2853"/>
        <v>Ishaan Chaturvedi</v>
      </c>
      <c r="U1425" s="14" t="str">
        <f t="shared" si="2853"/>
        <v>Bandra</v>
      </c>
      <c r="V1425" s="14" t="str">
        <f t="shared" si="4"/>
        <v>Orange</v>
      </c>
      <c r="W1425" s="14">
        <f t="shared" si="5"/>
        <v>2</v>
      </c>
      <c r="X1425" s="14" t="str">
        <f t="shared" si="6"/>
        <v>Ramesh S</v>
      </c>
      <c r="Y1425" s="15">
        <f t="shared" si="7"/>
        <v>45290</v>
      </c>
      <c r="Z1425" s="14" t="str">
        <f t="shared" si="8"/>
        <v>UPI</v>
      </c>
      <c r="AA1425" s="14" t="str">
        <f t="shared" si="9"/>
        <v>Delivered</v>
      </c>
      <c r="AB1425" s="14" t="str">
        <f t="shared" ref="AB1425:AC1425" si="2854">trim(Q1425)</f>
        <v>Quality of Items</v>
      </c>
      <c r="AC1425" s="14" t="str">
        <f t="shared" si="2854"/>
        <v>Perfect condition</v>
      </c>
      <c r="AD1425" s="8"/>
    </row>
    <row r="1426">
      <c r="A1426" s="14" t="str">
        <f>IFERROR(__xludf.DUMMYFUNCTION("""COMPUTED_VALUE"""),"//ord_71404//Ishita Banerjee//Juhu//Tiramisu+4*Aman Kumar/7/15/2023//Online Payment//Cancelled*Delayed Delivery:Heavy Traffic")</f>
        <v>//ord_71404//Ishita Banerjee//Juhu//Tiramisu+4*Aman Kumar/7/15/2023//Online Payment//Cancelled*Delayed Delivery:Heavy Traffic</v>
      </c>
      <c r="B1426" s="14" t="str">
        <f>IFERROR(__xludf.DUMMYFUNCTION("split(A1426,""//"")"),"ord_71404")</f>
        <v>ord_71404</v>
      </c>
      <c r="C1426" s="14" t="str">
        <f>IFERROR(__xludf.DUMMYFUNCTION("""COMPUTED_VALUE"""),"Ishita Banerjee")</f>
        <v>Ishita Banerjee</v>
      </c>
      <c r="D1426" s="14" t="str">
        <f>IFERROR(__xludf.DUMMYFUNCTION("""COMPUTED_VALUE"""),"Juhu")</f>
        <v>Juhu</v>
      </c>
      <c r="E1426" s="14" t="str">
        <f>IFERROR(__xludf.DUMMYFUNCTION("""COMPUTED_VALUE"""),"Tiramisu+4*Aman Kumar")</f>
        <v>Tiramisu+4*Aman Kumar</v>
      </c>
      <c r="F1426" s="14">
        <f>IFERROR(__xludf.DUMMYFUNCTION("""COMPUTED_VALUE"""),7.0)</f>
        <v>7</v>
      </c>
      <c r="G1426" s="14">
        <f>IFERROR(__xludf.DUMMYFUNCTION("""COMPUTED_VALUE"""),15.0)</f>
        <v>15</v>
      </c>
      <c r="H1426" s="14">
        <f>IFERROR(__xludf.DUMMYFUNCTION("""COMPUTED_VALUE"""),2023.0)</f>
        <v>2023</v>
      </c>
      <c r="I1426" s="14" t="str">
        <f>IFERROR(__xludf.DUMMYFUNCTION("""COMPUTED_VALUE"""),"Online Payment")</f>
        <v>Online Payment</v>
      </c>
      <c r="J1426" s="14" t="str">
        <f>IFERROR(__xludf.DUMMYFUNCTION("""COMPUTED_VALUE"""),"Cancelled*Delayed Delivery:Heavy Traffic")</f>
        <v>Cancelled*Delayed Delivery:Heavy Traffic</v>
      </c>
      <c r="K1426" s="14" t="str">
        <f>IFERROR(__xludf.DUMMYFUNCTION("split(E1426,""+"")"),"Tiramisu")</f>
        <v>Tiramisu</v>
      </c>
      <c r="L1426" s="14" t="str">
        <f>IFERROR(__xludf.DUMMYFUNCTION("""COMPUTED_VALUE"""),"4*Aman Kumar")</f>
        <v>4*Aman Kumar</v>
      </c>
      <c r="M1426" s="14">
        <f>IFERROR(__xludf.DUMMYFUNCTION("SPLIT(L1426,""*"")"),4.0)</f>
        <v>4</v>
      </c>
      <c r="N1426" s="14" t="str">
        <f>IFERROR(__xludf.DUMMYFUNCTION("""COMPUTED_VALUE"""),"Aman Kumar")</f>
        <v>Aman Kumar</v>
      </c>
      <c r="O1426" s="14" t="str">
        <f>IFERROR(__xludf.DUMMYFUNCTION("split(J1426,""*"")"),"Cancelled")</f>
        <v>Cancelled</v>
      </c>
      <c r="P1426" s="14" t="str">
        <f>IFERROR(__xludf.DUMMYFUNCTION("""COMPUTED_VALUE"""),"Delayed Delivery:Heavy Traffic")</f>
        <v>Delayed Delivery:Heavy Traffic</v>
      </c>
      <c r="Q1426" s="14" t="str">
        <f>IFERROR(__xludf.DUMMYFUNCTION("split(P1426,"":"")"),"Delayed Delivery")</f>
        <v>Delayed Delivery</v>
      </c>
      <c r="R1426" s="14" t="str">
        <f>IFERROR(__xludf.DUMMYFUNCTION("""COMPUTED_VALUE"""),"Heavy Traffic")</f>
        <v>Heavy Traffic</v>
      </c>
      <c r="S1426" s="14" t="str">
        <f t="shared" ref="S1426:U1426" si="2855">trim(B1426)</f>
        <v>ord_71404</v>
      </c>
      <c r="T1426" s="14" t="str">
        <f t="shared" si="2855"/>
        <v>Ishita Banerjee</v>
      </c>
      <c r="U1426" s="14" t="str">
        <f t="shared" si="2855"/>
        <v>Juhu</v>
      </c>
      <c r="V1426" s="14" t="str">
        <f t="shared" si="4"/>
        <v>Tiramisu</v>
      </c>
      <c r="W1426" s="14">
        <f t="shared" si="5"/>
        <v>4</v>
      </c>
      <c r="X1426" s="14" t="str">
        <f t="shared" si="6"/>
        <v>Aman Kumar</v>
      </c>
      <c r="Y1426" s="15">
        <f t="shared" si="7"/>
        <v>45122</v>
      </c>
      <c r="Z1426" s="14" t="str">
        <f t="shared" si="8"/>
        <v>Online Payment</v>
      </c>
      <c r="AA1426" s="14" t="str">
        <f t="shared" si="9"/>
        <v>Cancelled</v>
      </c>
      <c r="AB1426" s="14" t="str">
        <f t="shared" ref="AB1426:AC1426" si="2856">trim(Q1426)</f>
        <v>Delayed Delivery</v>
      </c>
      <c r="AC1426" s="14" t="str">
        <f t="shared" si="2856"/>
        <v>Heavy Traffic</v>
      </c>
      <c r="AD1426" s="8"/>
    </row>
    <row r="1427">
      <c r="A1427" s="14" t="str">
        <f>IFERROR(__xludf.DUMMYFUNCTION("""COMPUTED_VALUE"""),"//ord_71405//Tanishq Bansal//Powai//Juice+1*Ramesh S/12/4/2023//Credit Card//Delivered*On-time Delivery: Delivered on time")</f>
        <v>//ord_71405//Tanishq Bansal//Powai//Juice+1*Ramesh S/12/4/2023//Credit Card//Delivered*On-time Delivery: Delivered on time</v>
      </c>
      <c r="B1427" s="14" t="str">
        <f>IFERROR(__xludf.DUMMYFUNCTION("split(A1427,""//"")"),"ord_71405")</f>
        <v>ord_71405</v>
      </c>
      <c r="C1427" s="14" t="str">
        <f>IFERROR(__xludf.DUMMYFUNCTION("""COMPUTED_VALUE"""),"Tanishq Bansal")</f>
        <v>Tanishq Bansal</v>
      </c>
      <c r="D1427" s="14" t="str">
        <f>IFERROR(__xludf.DUMMYFUNCTION("""COMPUTED_VALUE"""),"Powai")</f>
        <v>Powai</v>
      </c>
      <c r="E1427" s="14" t="str">
        <f>IFERROR(__xludf.DUMMYFUNCTION("""COMPUTED_VALUE"""),"Juice+1*Ramesh S")</f>
        <v>Juice+1*Ramesh S</v>
      </c>
      <c r="F1427" s="14">
        <f>IFERROR(__xludf.DUMMYFUNCTION("""COMPUTED_VALUE"""),12.0)</f>
        <v>12</v>
      </c>
      <c r="G1427" s="14">
        <f>IFERROR(__xludf.DUMMYFUNCTION("""COMPUTED_VALUE"""),4.0)</f>
        <v>4</v>
      </c>
      <c r="H1427" s="14">
        <f>IFERROR(__xludf.DUMMYFUNCTION("""COMPUTED_VALUE"""),2023.0)</f>
        <v>2023</v>
      </c>
      <c r="I1427" s="14" t="str">
        <f>IFERROR(__xludf.DUMMYFUNCTION("""COMPUTED_VALUE"""),"Credit Card")</f>
        <v>Credit Card</v>
      </c>
      <c r="J1427" s="14" t="str">
        <f>IFERROR(__xludf.DUMMYFUNCTION("""COMPUTED_VALUE"""),"Delivered*On-time Delivery: Delivered on time")</f>
        <v>Delivered*On-time Delivery: Delivered on time</v>
      </c>
      <c r="K1427" s="14" t="str">
        <f>IFERROR(__xludf.DUMMYFUNCTION("split(E1427,""+"")"),"Juice")</f>
        <v>Juice</v>
      </c>
      <c r="L1427" s="14" t="str">
        <f>IFERROR(__xludf.DUMMYFUNCTION("""COMPUTED_VALUE"""),"1*Ramesh S")</f>
        <v>1*Ramesh S</v>
      </c>
      <c r="M1427" s="14">
        <f>IFERROR(__xludf.DUMMYFUNCTION("SPLIT(L1427,""*"")"),1.0)</f>
        <v>1</v>
      </c>
      <c r="N1427" s="14" t="str">
        <f>IFERROR(__xludf.DUMMYFUNCTION("""COMPUTED_VALUE"""),"Ramesh S")</f>
        <v>Ramesh S</v>
      </c>
      <c r="O1427" s="14" t="str">
        <f>IFERROR(__xludf.DUMMYFUNCTION("split(J1427,""*"")"),"Delivered")</f>
        <v>Delivered</v>
      </c>
      <c r="P1427" s="14" t="str">
        <f>IFERROR(__xludf.DUMMYFUNCTION("""COMPUTED_VALUE"""),"On-time Delivery: Delivered on time")</f>
        <v>On-time Delivery: Delivered on time</v>
      </c>
      <c r="Q1427" s="14" t="str">
        <f>IFERROR(__xludf.DUMMYFUNCTION("split(P1427,"":"")"),"On-time Delivery")</f>
        <v>On-time Delivery</v>
      </c>
      <c r="R1427" s="14" t="str">
        <f>IFERROR(__xludf.DUMMYFUNCTION("""COMPUTED_VALUE""")," Delivered on time")</f>
        <v> Delivered on time</v>
      </c>
      <c r="S1427" s="14" t="str">
        <f t="shared" ref="S1427:U1427" si="2857">trim(B1427)</f>
        <v>ord_71405</v>
      </c>
      <c r="T1427" s="14" t="str">
        <f t="shared" si="2857"/>
        <v>Tanishq Bansal</v>
      </c>
      <c r="U1427" s="14" t="str">
        <f t="shared" si="2857"/>
        <v>Powai</v>
      </c>
      <c r="V1427" s="14" t="str">
        <f t="shared" si="4"/>
        <v>Juice</v>
      </c>
      <c r="W1427" s="14">
        <f t="shared" si="5"/>
        <v>1</v>
      </c>
      <c r="X1427" s="14" t="str">
        <f t="shared" si="6"/>
        <v>Ramesh S</v>
      </c>
      <c r="Y1427" s="15">
        <f t="shared" si="7"/>
        <v>45264</v>
      </c>
      <c r="Z1427" s="14" t="str">
        <f t="shared" si="8"/>
        <v>Credit Card</v>
      </c>
      <c r="AA1427" s="14" t="str">
        <f t="shared" si="9"/>
        <v>Delivered</v>
      </c>
      <c r="AB1427" s="14" t="str">
        <f t="shared" ref="AB1427:AC1427" si="2858">trim(Q1427)</f>
        <v>On-time Delivery</v>
      </c>
      <c r="AC1427" s="14" t="str">
        <f t="shared" si="2858"/>
        <v>Delivered on time</v>
      </c>
      <c r="AD1427" s="8"/>
    </row>
    <row r="1428">
      <c r="A1428" s="14" t="str">
        <f>IFERROR(__xludf.DUMMYFUNCTION("""COMPUTED_VALUE"""),"//ord_71406//Kritika Shetty//Malad//Cold Coffee+4*Not Assigned/3/8/2023//UPI//Cancelled*App Glitches:Slow Loading Time")</f>
        <v>//ord_71406//Kritika Shetty//Malad//Cold Coffee+4*Not Assigned/3/8/2023//UPI//Cancelled*App Glitches:Slow Loading Time</v>
      </c>
      <c r="B1428" s="14" t="str">
        <f>IFERROR(__xludf.DUMMYFUNCTION("split(A1428,""//"")"),"ord_71406")</f>
        <v>ord_71406</v>
      </c>
      <c r="C1428" s="14" t="str">
        <f>IFERROR(__xludf.DUMMYFUNCTION("""COMPUTED_VALUE"""),"Kritika Shetty")</f>
        <v>Kritika Shetty</v>
      </c>
      <c r="D1428" s="14" t="str">
        <f>IFERROR(__xludf.DUMMYFUNCTION("""COMPUTED_VALUE"""),"Malad")</f>
        <v>Malad</v>
      </c>
      <c r="E1428" s="14" t="str">
        <f>IFERROR(__xludf.DUMMYFUNCTION("""COMPUTED_VALUE"""),"Cold Coffee+4*Not Assigned")</f>
        <v>Cold Coffee+4*Not Assigned</v>
      </c>
      <c r="F1428" s="14">
        <f>IFERROR(__xludf.DUMMYFUNCTION("""COMPUTED_VALUE"""),3.0)</f>
        <v>3</v>
      </c>
      <c r="G1428" s="14">
        <f>IFERROR(__xludf.DUMMYFUNCTION("""COMPUTED_VALUE"""),8.0)</f>
        <v>8</v>
      </c>
      <c r="H1428" s="14">
        <f>IFERROR(__xludf.DUMMYFUNCTION("""COMPUTED_VALUE"""),2023.0)</f>
        <v>2023</v>
      </c>
      <c r="I1428" s="14" t="str">
        <f>IFERROR(__xludf.DUMMYFUNCTION("""COMPUTED_VALUE"""),"UPI")</f>
        <v>UPI</v>
      </c>
      <c r="J1428" s="14" t="str">
        <f>IFERROR(__xludf.DUMMYFUNCTION("""COMPUTED_VALUE"""),"Cancelled*App Glitches:Slow Loading Time")</f>
        <v>Cancelled*App Glitches:Slow Loading Time</v>
      </c>
      <c r="K1428" s="14" t="str">
        <f>IFERROR(__xludf.DUMMYFUNCTION("split(E1428,""+"")"),"Cold Coffee")</f>
        <v>Cold Coffee</v>
      </c>
      <c r="L1428" s="14" t="str">
        <f>IFERROR(__xludf.DUMMYFUNCTION("""COMPUTED_VALUE"""),"4*Not Assigned")</f>
        <v>4*Not Assigned</v>
      </c>
      <c r="M1428" s="14">
        <f>IFERROR(__xludf.DUMMYFUNCTION("SPLIT(L1428,""*"")"),4.0)</f>
        <v>4</v>
      </c>
      <c r="N1428" s="14" t="str">
        <f>IFERROR(__xludf.DUMMYFUNCTION("""COMPUTED_VALUE"""),"Not Assigned")</f>
        <v>Not Assigned</v>
      </c>
      <c r="O1428" s="14" t="str">
        <f>IFERROR(__xludf.DUMMYFUNCTION("split(J1428,""*"")"),"Cancelled")</f>
        <v>Cancelled</v>
      </c>
      <c r="P1428" s="14" t="str">
        <f>IFERROR(__xludf.DUMMYFUNCTION("""COMPUTED_VALUE"""),"App Glitches:Slow Loading Time")</f>
        <v>App Glitches:Slow Loading Time</v>
      </c>
      <c r="Q1428" s="14" t="str">
        <f>IFERROR(__xludf.DUMMYFUNCTION("split(P1428,"":"")"),"App Glitches")</f>
        <v>App Glitches</v>
      </c>
      <c r="R1428" s="14" t="str">
        <f>IFERROR(__xludf.DUMMYFUNCTION("""COMPUTED_VALUE"""),"Slow Loading Time")</f>
        <v>Slow Loading Time</v>
      </c>
      <c r="S1428" s="14" t="str">
        <f t="shared" ref="S1428:U1428" si="2859">trim(B1428)</f>
        <v>ord_71406</v>
      </c>
      <c r="T1428" s="14" t="str">
        <f t="shared" si="2859"/>
        <v>Kritika Shetty</v>
      </c>
      <c r="U1428" s="14" t="str">
        <f t="shared" si="2859"/>
        <v>Malad</v>
      </c>
      <c r="V1428" s="14" t="str">
        <f t="shared" si="4"/>
        <v>Cold Coffee</v>
      </c>
      <c r="W1428" s="14">
        <f t="shared" si="5"/>
        <v>4</v>
      </c>
      <c r="X1428" s="14" t="str">
        <f t="shared" si="6"/>
        <v>Not Assigned</v>
      </c>
      <c r="Y1428" s="15">
        <f t="shared" si="7"/>
        <v>44993</v>
      </c>
      <c r="Z1428" s="14" t="str">
        <f t="shared" si="8"/>
        <v>UPI</v>
      </c>
      <c r="AA1428" s="14" t="str">
        <f t="shared" si="9"/>
        <v>Cancelled</v>
      </c>
      <c r="AB1428" s="14" t="str">
        <f t="shared" ref="AB1428:AC1428" si="2860">trim(Q1428)</f>
        <v>App Glitches</v>
      </c>
      <c r="AC1428" s="14" t="str">
        <f t="shared" si="2860"/>
        <v>Slow Loading Time</v>
      </c>
      <c r="AD1428" s="8"/>
    </row>
    <row r="1429">
      <c r="A1429" s="14" t="str">
        <f>IFERROR(__xludf.DUMMYFUNCTION("""COMPUTED_VALUE"""),"//ord_71407//Tanishq Bansal//Powai//Rasmalai+4*Shine Thomas/11/16/2023//COD//Delivered*Quality of Items: Perfect condition")</f>
        <v>//ord_71407//Tanishq Bansal//Powai//Rasmalai+4*Shine Thomas/11/16/2023//COD//Delivered*Quality of Items: Perfect condition</v>
      </c>
      <c r="B1429" s="14" t="str">
        <f>IFERROR(__xludf.DUMMYFUNCTION("split(A1429,""//"")"),"ord_71407")</f>
        <v>ord_71407</v>
      </c>
      <c r="C1429" s="14" t="str">
        <f>IFERROR(__xludf.DUMMYFUNCTION("""COMPUTED_VALUE"""),"Tanishq Bansal")</f>
        <v>Tanishq Bansal</v>
      </c>
      <c r="D1429" s="14" t="str">
        <f>IFERROR(__xludf.DUMMYFUNCTION("""COMPUTED_VALUE"""),"Powai")</f>
        <v>Powai</v>
      </c>
      <c r="E1429" s="14" t="str">
        <f>IFERROR(__xludf.DUMMYFUNCTION("""COMPUTED_VALUE"""),"Rasmalai+4*Shine Thomas")</f>
        <v>Rasmalai+4*Shine Thomas</v>
      </c>
      <c r="F1429" s="14">
        <f>IFERROR(__xludf.DUMMYFUNCTION("""COMPUTED_VALUE"""),11.0)</f>
        <v>11</v>
      </c>
      <c r="G1429" s="14">
        <f>IFERROR(__xludf.DUMMYFUNCTION("""COMPUTED_VALUE"""),16.0)</f>
        <v>16</v>
      </c>
      <c r="H1429" s="14">
        <f>IFERROR(__xludf.DUMMYFUNCTION("""COMPUTED_VALUE"""),2023.0)</f>
        <v>2023</v>
      </c>
      <c r="I1429" s="14" t="str">
        <f>IFERROR(__xludf.DUMMYFUNCTION("""COMPUTED_VALUE"""),"COD")</f>
        <v>COD</v>
      </c>
      <c r="J1429" s="14" t="str">
        <f>IFERROR(__xludf.DUMMYFUNCTION("""COMPUTED_VALUE"""),"Delivered*Quality of Items: Perfect condition")</f>
        <v>Delivered*Quality of Items: Perfect condition</v>
      </c>
      <c r="K1429" s="14" t="str">
        <f>IFERROR(__xludf.DUMMYFUNCTION("split(E1429,""+"")"),"Rasmalai")</f>
        <v>Rasmalai</v>
      </c>
      <c r="L1429" s="14" t="str">
        <f>IFERROR(__xludf.DUMMYFUNCTION("""COMPUTED_VALUE"""),"4*Shine Thomas")</f>
        <v>4*Shine Thomas</v>
      </c>
      <c r="M1429" s="14">
        <f>IFERROR(__xludf.DUMMYFUNCTION("SPLIT(L1429,""*"")"),4.0)</f>
        <v>4</v>
      </c>
      <c r="N1429" s="14" t="str">
        <f>IFERROR(__xludf.DUMMYFUNCTION("""COMPUTED_VALUE"""),"Shine Thomas")</f>
        <v>Shine Thomas</v>
      </c>
      <c r="O1429" s="14" t="str">
        <f>IFERROR(__xludf.DUMMYFUNCTION("split(J1429,""*"")"),"Delivered")</f>
        <v>Delivered</v>
      </c>
      <c r="P1429" s="14" t="str">
        <f>IFERROR(__xludf.DUMMYFUNCTION("""COMPUTED_VALUE"""),"Quality of Items: Perfect condition")</f>
        <v>Quality of Items: Perfect condition</v>
      </c>
      <c r="Q1429" s="14" t="str">
        <f>IFERROR(__xludf.DUMMYFUNCTION("split(P1429,"":"")"),"Quality of Items")</f>
        <v>Quality of Items</v>
      </c>
      <c r="R1429" s="14" t="str">
        <f>IFERROR(__xludf.DUMMYFUNCTION("""COMPUTED_VALUE""")," Perfect condition")</f>
        <v> Perfect condition</v>
      </c>
      <c r="S1429" s="14" t="str">
        <f t="shared" ref="S1429:U1429" si="2861">trim(B1429)</f>
        <v>ord_71407</v>
      </c>
      <c r="T1429" s="14" t="str">
        <f t="shared" si="2861"/>
        <v>Tanishq Bansal</v>
      </c>
      <c r="U1429" s="14" t="str">
        <f t="shared" si="2861"/>
        <v>Powai</v>
      </c>
      <c r="V1429" s="14" t="str">
        <f t="shared" si="4"/>
        <v>Rasmalai</v>
      </c>
      <c r="W1429" s="14">
        <f t="shared" si="5"/>
        <v>4</v>
      </c>
      <c r="X1429" s="14" t="str">
        <f t="shared" si="6"/>
        <v>Shine Thomas</v>
      </c>
      <c r="Y1429" s="15">
        <f t="shared" si="7"/>
        <v>45246</v>
      </c>
      <c r="Z1429" s="14" t="str">
        <f t="shared" si="8"/>
        <v>COD</v>
      </c>
      <c r="AA1429" s="14" t="str">
        <f t="shared" si="9"/>
        <v>Delivered</v>
      </c>
      <c r="AB1429" s="14" t="str">
        <f t="shared" ref="AB1429:AC1429" si="2862">trim(Q1429)</f>
        <v>Quality of Items</v>
      </c>
      <c r="AC1429" s="14" t="str">
        <f t="shared" si="2862"/>
        <v>Perfect condition</v>
      </c>
      <c r="AD1429" s="8"/>
    </row>
    <row r="1430">
      <c r="A1430" s="14" t="str">
        <f>IFERROR(__xludf.DUMMYFUNCTION("""COMPUTED_VALUE"""),"//ord_71408//Kritika Shetty//Malad//Tiramisu+5*Not Assigned/12/16/2023//Online Payment//Cancelled*App Glitches: Payment Button Malfunction")</f>
        <v>//ord_71408//Kritika Shetty//Malad//Tiramisu+5*Not Assigned/12/16/2023//Online Payment//Cancelled*App Glitches: Payment Button Malfunction</v>
      </c>
      <c r="B1430" s="14" t="str">
        <f>IFERROR(__xludf.DUMMYFUNCTION("split(A1430,""//"")"),"ord_71408")</f>
        <v>ord_71408</v>
      </c>
      <c r="C1430" s="14" t="str">
        <f>IFERROR(__xludf.DUMMYFUNCTION("""COMPUTED_VALUE"""),"Kritika Shetty")</f>
        <v>Kritika Shetty</v>
      </c>
      <c r="D1430" s="14" t="str">
        <f>IFERROR(__xludf.DUMMYFUNCTION("""COMPUTED_VALUE"""),"Malad")</f>
        <v>Malad</v>
      </c>
      <c r="E1430" s="14" t="str">
        <f>IFERROR(__xludf.DUMMYFUNCTION("""COMPUTED_VALUE"""),"Tiramisu+5*Not Assigned")</f>
        <v>Tiramisu+5*Not Assigned</v>
      </c>
      <c r="F1430" s="14">
        <f>IFERROR(__xludf.DUMMYFUNCTION("""COMPUTED_VALUE"""),12.0)</f>
        <v>12</v>
      </c>
      <c r="G1430" s="14">
        <f>IFERROR(__xludf.DUMMYFUNCTION("""COMPUTED_VALUE"""),16.0)</f>
        <v>16</v>
      </c>
      <c r="H1430" s="14">
        <f>IFERROR(__xludf.DUMMYFUNCTION("""COMPUTED_VALUE"""),2023.0)</f>
        <v>2023</v>
      </c>
      <c r="I1430" s="14" t="str">
        <f>IFERROR(__xludf.DUMMYFUNCTION("""COMPUTED_VALUE"""),"Online Payment")</f>
        <v>Online Payment</v>
      </c>
      <c r="J1430" s="14" t="str">
        <f>IFERROR(__xludf.DUMMYFUNCTION("""COMPUTED_VALUE"""),"Cancelled*App Glitches: Payment Button Malfunction")</f>
        <v>Cancelled*App Glitches: Payment Button Malfunction</v>
      </c>
      <c r="K1430" s="14" t="str">
        <f>IFERROR(__xludf.DUMMYFUNCTION("split(E1430,""+"")"),"Tiramisu")</f>
        <v>Tiramisu</v>
      </c>
      <c r="L1430" s="14" t="str">
        <f>IFERROR(__xludf.DUMMYFUNCTION("""COMPUTED_VALUE"""),"5*Not Assigned")</f>
        <v>5*Not Assigned</v>
      </c>
      <c r="M1430" s="14">
        <f>IFERROR(__xludf.DUMMYFUNCTION("SPLIT(L1430,""*"")"),5.0)</f>
        <v>5</v>
      </c>
      <c r="N1430" s="14" t="str">
        <f>IFERROR(__xludf.DUMMYFUNCTION("""COMPUTED_VALUE"""),"Not Assigned")</f>
        <v>Not Assigned</v>
      </c>
      <c r="O1430" s="14" t="str">
        <f>IFERROR(__xludf.DUMMYFUNCTION("split(J1430,""*"")"),"Cancelled")</f>
        <v>Cancelled</v>
      </c>
      <c r="P1430" s="14" t="str">
        <f>IFERROR(__xludf.DUMMYFUNCTION("""COMPUTED_VALUE"""),"App Glitches: Payment Button Malfunction")</f>
        <v>App Glitches: Payment Button Malfunction</v>
      </c>
      <c r="Q1430" s="14" t="str">
        <f>IFERROR(__xludf.DUMMYFUNCTION("split(P1430,"":"")"),"App Glitches")</f>
        <v>App Glitches</v>
      </c>
      <c r="R1430" s="14" t="str">
        <f>IFERROR(__xludf.DUMMYFUNCTION("""COMPUTED_VALUE""")," Payment Button Malfunction")</f>
        <v> Payment Button Malfunction</v>
      </c>
      <c r="S1430" s="14" t="str">
        <f t="shared" ref="S1430:U1430" si="2863">trim(B1430)</f>
        <v>ord_71408</v>
      </c>
      <c r="T1430" s="14" t="str">
        <f t="shared" si="2863"/>
        <v>Kritika Shetty</v>
      </c>
      <c r="U1430" s="14" t="str">
        <f t="shared" si="2863"/>
        <v>Malad</v>
      </c>
      <c r="V1430" s="14" t="str">
        <f t="shared" si="4"/>
        <v>Tiramisu</v>
      </c>
      <c r="W1430" s="14">
        <f t="shared" si="5"/>
        <v>5</v>
      </c>
      <c r="X1430" s="14" t="str">
        <f t="shared" si="6"/>
        <v>Not Assigned</v>
      </c>
      <c r="Y1430" s="15">
        <f t="shared" si="7"/>
        <v>45276</v>
      </c>
      <c r="Z1430" s="14" t="str">
        <f t="shared" si="8"/>
        <v>Online Payment</v>
      </c>
      <c r="AA1430" s="14" t="str">
        <f t="shared" si="9"/>
        <v>Cancelled</v>
      </c>
      <c r="AB1430" s="14" t="str">
        <f t="shared" ref="AB1430:AC1430" si="2864">trim(Q1430)</f>
        <v>App Glitches</v>
      </c>
      <c r="AC1430" s="14" t="str">
        <f t="shared" si="2864"/>
        <v>Payment Button Malfunction</v>
      </c>
      <c r="AD1430" s="8"/>
    </row>
    <row r="1431">
      <c r="A1431" s="14" t="str">
        <f>IFERROR(__xludf.DUMMYFUNCTION("""COMPUTED_VALUE"""),"//ord_71409//Sanjay Nair//Dadar//Tiramisu+1*Shine Thomas/2/28/2023//Online Payment//Delivered*Packaging: Secure and intact")</f>
        <v>//ord_71409//Sanjay Nair//Dadar//Tiramisu+1*Shine Thomas/2/28/2023//Online Payment//Delivered*Packaging: Secure and intact</v>
      </c>
      <c r="B1431" s="14" t="str">
        <f>IFERROR(__xludf.DUMMYFUNCTION("split(A1431,""//"")"),"ord_71409")</f>
        <v>ord_71409</v>
      </c>
      <c r="C1431" s="14" t="str">
        <f>IFERROR(__xludf.DUMMYFUNCTION("""COMPUTED_VALUE"""),"Sanjay Nair")</f>
        <v>Sanjay Nair</v>
      </c>
      <c r="D1431" s="14" t="str">
        <f>IFERROR(__xludf.DUMMYFUNCTION("""COMPUTED_VALUE"""),"Dadar")</f>
        <v>Dadar</v>
      </c>
      <c r="E1431" s="14" t="str">
        <f>IFERROR(__xludf.DUMMYFUNCTION("""COMPUTED_VALUE"""),"Tiramisu+1*Shine Thomas")</f>
        <v>Tiramisu+1*Shine Thomas</v>
      </c>
      <c r="F1431" s="14">
        <f>IFERROR(__xludf.DUMMYFUNCTION("""COMPUTED_VALUE"""),2.0)</f>
        <v>2</v>
      </c>
      <c r="G1431" s="14">
        <f>IFERROR(__xludf.DUMMYFUNCTION("""COMPUTED_VALUE"""),28.0)</f>
        <v>28</v>
      </c>
      <c r="H1431" s="14">
        <f>IFERROR(__xludf.DUMMYFUNCTION("""COMPUTED_VALUE"""),2023.0)</f>
        <v>2023</v>
      </c>
      <c r="I1431" s="14" t="str">
        <f>IFERROR(__xludf.DUMMYFUNCTION("""COMPUTED_VALUE"""),"Online Payment")</f>
        <v>Online Payment</v>
      </c>
      <c r="J1431" s="14" t="str">
        <f>IFERROR(__xludf.DUMMYFUNCTION("""COMPUTED_VALUE"""),"Delivered*Packaging: Secure and intact")</f>
        <v>Delivered*Packaging: Secure and intact</v>
      </c>
      <c r="K1431" s="14" t="str">
        <f>IFERROR(__xludf.DUMMYFUNCTION("split(E1431,""+"")"),"Tiramisu")</f>
        <v>Tiramisu</v>
      </c>
      <c r="L1431" s="14" t="str">
        <f>IFERROR(__xludf.DUMMYFUNCTION("""COMPUTED_VALUE"""),"1*Shine Thomas")</f>
        <v>1*Shine Thomas</v>
      </c>
      <c r="M1431" s="14">
        <f>IFERROR(__xludf.DUMMYFUNCTION("SPLIT(L1431,""*"")"),1.0)</f>
        <v>1</v>
      </c>
      <c r="N1431" s="14" t="str">
        <f>IFERROR(__xludf.DUMMYFUNCTION("""COMPUTED_VALUE"""),"Shine Thomas")</f>
        <v>Shine Thomas</v>
      </c>
      <c r="O1431" s="14" t="str">
        <f>IFERROR(__xludf.DUMMYFUNCTION("split(J1431,""*"")"),"Delivered")</f>
        <v>Delivered</v>
      </c>
      <c r="P1431" s="14" t="str">
        <f>IFERROR(__xludf.DUMMYFUNCTION("""COMPUTED_VALUE"""),"Packaging: Secure and intact")</f>
        <v>Packaging: Secure and intact</v>
      </c>
      <c r="Q1431" s="14" t="str">
        <f>IFERROR(__xludf.DUMMYFUNCTION("split(P1431,"":"")"),"Packaging")</f>
        <v>Packaging</v>
      </c>
      <c r="R1431" s="14" t="str">
        <f>IFERROR(__xludf.DUMMYFUNCTION("""COMPUTED_VALUE""")," Secure and intact")</f>
        <v> Secure and intact</v>
      </c>
      <c r="S1431" s="14" t="str">
        <f t="shared" ref="S1431:U1431" si="2865">trim(B1431)</f>
        <v>ord_71409</v>
      </c>
      <c r="T1431" s="14" t="str">
        <f t="shared" si="2865"/>
        <v>Sanjay Nair</v>
      </c>
      <c r="U1431" s="14" t="str">
        <f t="shared" si="2865"/>
        <v>Dadar</v>
      </c>
      <c r="V1431" s="14" t="str">
        <f t="shared" si="4"/>
        <v>Tiramisu</v>
      </c>
      <c r="W1431" s="14">
        <f t="shared" si="5"/>
        <v>1</v>
      </c>
      <c r="X1431" s="14" t="str">
        <f t="shared" si="6"/>
        <v>Shine Thomas</v>
      </c>
      <c r="Y1431" s="15">
        <f t="shared" si="7"/>
        <v>44985</v>
      </c>
      <c r="Z1431" s="14" t="str">
        <f t="shared" si="8"/>
        <v>Online Payment</v>
      </c>
      <c r="AA1431" s="14" t="str">
        <f t="shared" si="9"/>
        <v>Delivered</v>
      </c>
      <c r="AB1431" s="14" t="str">
        <f t="shared" ref="AB1431:AC1431" si="2866">trim(Q1431)</f>
        <v>Packaging</v>
      </c>
      <c r="AC1431" s="14" t="str">
        <f t="shared" si="2866"/>
        <v>Secure and intact</v>
      </c>
      <c r="AD1431" s="8"/>
    </row>
    <row r="1432">
      <c r="A1432" s="14" t="str">
        <f>IFERROR(__xludf.DUMMYFUNCTION("""COMPUTED_VALUE"""),"//ord_71410//Pranav Joshi//Andheri//Juice+4*Manju Ajay/2/11/2023//Credit Card//Delivered*Satisfied with the Delivery: Timely and quality")</f>
        <v>//ord_71410//Pranav Joshi//Andheri//Juice+4*Manju Ajay/2/11/2023//Credit Card//Delivered*Satisfied with the Delivery: Timely and quality</v>
      </c>
      <c r="B1432" s="14" t="str">
        <f>IFERROR(__xludf.DUMMYFUNCTION("split(A1432,""//"")"),"ord_71410")</f>
        <v>ord_71410</v>
      </c>
      <c r="C1432" s="14" t="str">
        <f>IFERROR(__xludf.DUMMYFUNCTION("""COMPUTED_VALUE"""),"Pranav Joshi")</f>
        <v>Pranav Joshi</v>
      </c>
      <c r="D1432" s="14" t="str">
        <f>IFERROR(__xludf.DUMMYFUNCTION("""COMPUTED_VALUE"""),"Andheri")</f>
        <v>Andheri</v>
      </c>
      <c r="E1432" s="14" t="str">
        <f>IFERROR(__xludf.DUMMYFUNCTION("""COMPUTED_VALUE"""),"Juice+4*Manju Ajay")</f>
        <v>Juice+4*Manju Ajay</v>
      </c>
      <c r="F1432" s="14">
        <f>IFERROR(__xludf.DUMMYFUNCTION("""COMPUTED_VALUE"""),2.0)</f>
        <v>2</v>
      </c>
      <c r="G1432" s="14">
        <f>IFERROR(__xludf.DUMMYFUNCTION("""COMPUTED_VALUE"""),11.0)</f>
        <v>11</v>
      </c>
      <c r="H1432" s="14">
        <f>IFERROR(__xludf.DUMMYFUNCTION("""COMPUTED_VALUE"""),2023.0)</f>
        <v>2023</v>
      </c>
      <c r="I1432" s="14" t="str">
        <f>IFERROR(__xludf.DUMMYFUNCTION("""COMPUTED_VALUE"""),"Credit Card")</f>
        <v>Credit Card</v>
      </c>
      <c r="J1432" s="14" t="str">
        <f>IFERROR(__xludf.DUMMYFUNCTION("""COMPUTED_VALUE"""),"Delivered*Satisfied with the Delivery: Timely and quality")</f>
        <v>Delivered*Satisfied with the Delivery: Timely and quality</v>
      </c>
      <c r="K1432" s="14" t="str">
        <f>IFERROR(__xludf.DUMMYFUNCTION("split(E1432,""+"")"),"Juice")</f>
        <v>Juice</v>
      </c>
      <c r="L1432" s="14" t="str">
        <f>IFERROR(__xludf.DUMMYFUNCTION("""COMPUTED_VALUE"""),"4*Manju Ajay")</f>
        <v>4*Manju Ajay</v>
      </c>
      <c r="M1432" s="14">
        <f>IFERROR(__xludf.DUMMYFUNCTION("SPLIT(L1432,""*"")"),4.0)</f>
        <v>4</v>
      </c>
      <c r="N1432" s="14" t="str">
        <f>IFERROR(__xludf.DUMMYFUNCTION("""COMPUTED_VALUE"""),"Manju Ajay")</f>
        <v>Manju Ajay</v>
      </c>
      <c r="O1432" s="14" t="str">
        <f>IFERROR(__xludf.DUMMYFUNCTION("split(J1432,""*"")"),"Delivered")</f>
        <v>Delivered</v>
      </c>
      <c r="P1432" s="14" t="str">
        <f>IFERROR(__xludf.DUMMYFUNCTION("""COMPUTED_VALUE"""),"Satisfied with the Delivery: Timely and quality")</f>
        <v>Satisfied with the Delivery: Timely and quality</v>
      </c>
      <c r="Q1432" s="14" t="str">
        <f>IFERROR(__xludf.DUMMYFUNCTION("split(P1432,"":"")"),"Satisfied with the Delivery")</f>
        <v>Satisfied with the Delivery</v>
      </c>
      <c r="R1432" s="14" t="str">
        <f>IFERROR(__xludf.DUMMYFUNCTION("""COMPUTED_VALUE""")," Timely and quality")</f>
        <v> Timely and quality</v>
      </c>
      <c r="S1432" s="14" t="str">
        <f t="shared" ref="S1432:U1432" si="2867">trim(B1432)</f>
        <v>ord_71410</v>
      </c>
      <c r="T1432" s="14" t="str">
        <f t="shared" si="2867"/>
        <v>Pranav Joshi</v>
      </c>
      <c r="U1432" s="14" t="str">
        <f t="shared" si="2867"/>
        <v>Andheri</v>
      </c>
      <c r="V1432" s="14" t="str">
        <f t="shared" si="4"/>
        <v>Juice</v>
      </c>
      <c r="W1432" s="14">
        <f t="shared" si="5"/>
        <v>4</v>
      </c>
      <c r="X1432" s="14" t="str">
        <f t="shared" si="6"/>
        <v>Manju Ajay</v>
      </c>
      <c r="Y1432" s="15">
        <f t="shared" si="7"/>
        <v>44968</v>
      </c>
      <c r="Z1432" s="14" t="str">
        <f t="shared" si="8"/>
        <v>Credit Card</v>
      </c>
      <c r="AA1432" s="14" t="str">
        <f t="shared" si="9"/>
        <v>Delivered</v>
      </c>
      <c r="AB1432" s="14" t="str">
        <f t="shared" ref="AB1432:AC1432" si="2868">trim(Q1432)</f>
        <v>Satisfied with the Delivery</v>
      </c>
      <c r="AC1432" s="14" t="str">
        <f t="shared" si="2868"/>
        <v>Timely and quality</v>
      </c>
      <c r="AD1432" s="8"/>
    </row>
    <row r="1433">
      <c r="A1433" s="14" t="str">
        <f>IFERROR(__xludf.DUMMYFUNCTION("""COMPUTED_VALUE"""),"//ord_71411//Ishita Banerjee//Juhu//Chocolate Mousse+3*Sita T/8/6/2023//Credit Card//Cancelled*Delayed Delivery:High Order Volume")</f>
        <v>//ord_71411//Ishita Banerjee//Juhu//Chocolate Mousse+3*Sita T/8/6/2023//Credit Card//Cancelled*Delayed Delivery:High Order Volume</v>
      </c>
      <c r="B1433" s="14" t="str">
        <f>IFERROR(__xludf.DUMMYFUNCTION("split(A1433,""//"")"),"ord_71411")</f>
        <v>ord_71411</v>
      </c>
      <c r="C1433" s="14" t="str">
        <f>IFERROR(__xludf.DUMMYFUNCTION("""COMPUTED_VALUE"""),"Ishita Banerjee")</f>
        <v>Ishita Banerjee</v>
      </c>
      <c r="D1433" s="14" t="str">
        <f>IFERROR(__xludf.DUMMYFUNCTION("""COMPUTED_VALUE"""),"Juhu")</f>
        <v>Juhu</v>
      </c>
      <c r="E1433" s="14" t="str">
        <f>IFERROR(__xludf.DUMMYFUNCTION("""COMPUTED_VALUE"""),"Chocolate Mousse+3*Sita T")</f>
        <v>Chocolate Mousse+3*Sita T</v>
      </c>
      <c r="F1433" s="14">
        <f>IFERROR(__xludf.DUMMYFUNCTION("""COMPUTED_VALUE"""),8.0)</f>
        <v>8</v>
      </c>
      <c r="G1433" s="14">
        <f>IFERROR(__xludf.DUMMYFUNCTION("""COMPUTED_VALUE"""),6.0)</f>
        <v>6</v>
      </c>
      <c r="H1433" s="14">
        <f>IFERROR(__xludf.DUMMYFUNCTION("""COMPUTED_VALUE"""),2023.0)</f>
        <v>2023</v>
      </c>
      <c r="I1433" s="14" t="str">
        <f>IFERROR(__xludf.DUMMYFUNCTION("""COMPUTED_VALUE"""),"Credit Card")</f>
        <v>Credit Card</v>
      </c>
      <c r="J1433" s="14" t="str">
        <f>IFERROR(__xludf.DUMMYFUNCTION("""COMPUTED_VALUE"""),"Cancelled*Delayed Delivery:High Order Volume")</f>
        <v>Cancelled*Delayed Delivery:High Order Volume</v>
      </c>
      <c r="K1433" s="14" t="str">
        <f>IFERROR(__xludf.DUMMYFUNCTION("split(E1433,""+"")"),"Chocolate Mousse")</f>
        <v>Chocolate Mousse</v>
      </c>
      <c r="L1433" s="14" t="str">
        <f>IFERROR(__xludf.DUMMYFUNCTION("""COMPUTED_VALUE"""),"3*Sita T")</f>
        <v>3*Sita T</v>
      </c>
      <c r="M1433" s="14">
        <f>IFERROR(__xludf.DUMMYFUNCTION("SPLIT(L1433,""*"")"),3.0)</f>
        <v>3</v>
      </c>
      <c r="N1433" s="14" t="str">
        <f>IFERROR(__xludf.DUMMYFUNCTION("""COMPUTED_VALUE"""),"Sita T")</f>
        <v>Sita T</v>
      </c>
      <c r="O1433" s="14" t="str">
        <f>IFERROR(__xludf.DUMMYFUNCTION("split(J1433,""*"")"),"Cancelled")</f>
        <v>Cancelled</v>
      </c>
      <c r="P1433" s="14" t="str">
        <f>IFERROR(__xludf.DUMMYFUNCTION("""COMPUTED_VALUE"""),"Delayed Delivery:High Order Volume")</f>
        <v>Delayed Delivery:High Order Volume</v>
      </c>
      <c r="Q1433" s="14" t="str">
        <f>IFERROR(__xludf.DUMMYFUNCTION("split(P1433,"":"")"),"Delayed Delivery")</f>
        <v>Delayed Delivery</v>
      </c>
      <c r="R1433" s="14" t="str">
        <f>IFERROR(__xludf.DUMMYFUNCTION("""COMPUTED_VALUE"""),"High Order Volume")</f>
        <v>High Order Volume</v>
      </c>
      <c r="S1433" s="14" t="str">
        <f t="shared" ref="S1433:U1433" si="2869">trim(B1433)</f>
        <v>ord_71411</v>
      </c>
      <c r="T1433" s="14" t="str">
        <f t="shared" si="2869"/>
        <v>Ishita Banerjee</v>
      </c>
      <c r="U1433" s="14" t="str">
        <f t="shared" si="2869"/>
        <v>Juhu</v>
      </c>
      <c r="V1433" s="14" t="str">
        <f t="shared" si="4"/>
        <v>Chocolate Mousse</v>
      </c>
      <c r="W1433" s="14">
        <f t="shared" si="5"/>
        <v>3</v>
      </c>
      <c r="X1433" s="14" t="str">
        <f t="shared" si="6"/>
        <v>Sita T</v>
      </c>
      <c r="Y1433" s="15">
        <f t="shared" si="7"/>
        <v>45144</v>
      </c>
      <c r="Z1433" s="14" t="str">
        <f t="shared" si="8"/>
        <v>Credit Card</v>
      </c>
      <c r="AA1433" s="14" t="str">
        <f t="shared" si="9"/>
        <v>Cancelled</v>
      </c>
      <c r="AB1433" s="14" t="str">
        <f t="shared" ref="AB1433:AC1433" si="2870">trim(Q1433)</f>
        <v>Delayed Delivery</v>
      </c>
      <c r="AC1433" s="14" t="str">
        <f t="shared" si="2870"/>
        <v>High Order Volume</v>
      </c>
      <c r="AD1433" s="8"/>
    </row>
    <row r="1434">
      <c r="A1434" s="14" t="str">
        <f>IFERROR(__xludf.DUMMYFUNCTION("""COMPUTED_VALUE"""),"//ord_71412//Anaya Rao//Colaba//Tomato+2*Not Assigned/7/7/2023//UPI//Cancelled*High Delivery Fees")</f>
        <v>//ord_71412//Anaya Rao//Colaba//Tomato+2*Not Assigned/7/7/2023//UPI//Cancelled*High Delivery Fees</v>
      </c>
      <c r="B1434" s="14" t="str">
        <f>IFERROR(__xludf.DUMMYFUNCTION("split(A1434,""//"")"),"ord_71412")</f>
        <v>ord_71412</v>
      </c>
      <c r="C1434" s="14" t="str">
        <f>IFERROR(__xludf.DUMMYFUNCTION("""COMPUTED_VALUE"""),"Anaya Rao")</f>
        <v>Anaya Rao</v>
      </c>
      <c r="D1434" s="14" t="str">
        <f>IFERROR(__xludf.DUMMYFUNCTION("""COMPUTED_VALUE"""),"Colaba")</f>
        <v>Colaba</v>
      </c>
      <c r="E1434" s="14" t="str">
        <f>IFERROR(__xludf.DUMMYFUNCTION("""COMPUTED_VALUE"""),"Tomato+2*Not Assigned")</f>
        <v>Tomato+2*Not Assigned</v>
      </c>
      <c r="F1434" s="14">
        <f>IFERROR(__xludf.DUMMYFUNCTION("""COMPUTED_VALUE"""),7.0)</f>
        <v>7</v>
      </c>
      <c r="G1434" s="14">
        <f>IFERROR(__xludf.DUMMYFUNCTION("""COMPUTED_VALUE"""),7.0)</f>
        <v>7</v>
      </c>
      <c r="H1434" s="14">
        <f>IFERROR(__xludf.DUMMYFUNCTION("""COMPUTED_VALUE"""),2023.0)</f>
        <v>2023</v>
      </c>
      <c r="I1434" s="14" t="str">
        <f>IFERROR(__xludf.DUMMYFUNCTION("""COMPUTED_VALUE"""),"UPI")</f>
        <v>UPI</v>
      </c>
      <c r="J1434" s="14" t="str">
        <f>IFERROR(__xludf.DUMMYFUNCTION("""COMPUTED_VALUE"""),"Cancelled*High Delivery Fees")</f>
        <v>Cancelled*High Delivery Fees</v>
      </c>
      <c r="K1434" s="14" t="str">
        <f>IFERROR(__xludf.DUMMYFUNCTION("split(E1434,""+"")"),"Tomato")</f>
        <v>Tomato</v>
      </c>
      <c r="L1434" s="14" t="str">
        <f>IFERROR(__xludf.DUMMYFUNCTION("""COMPUTED_VALUE"""),"2*Not Assigned")</f>
        <v>2*Not Assigned</v>
      </c>
      <c r="M1434" s="14">
        <f>IFERROR(__xludf.DUMMYFUNCTION("SPLIT(L1434,""*"")"),2.0)</f>
        <v>2</v>
      </c>
      <c r="N1434" s="14" t="str">
        <f>IFERROR(__xludf.DUMMYFUNCTION("""COMPUTED_VALUE"""),"Not Assigned")</f>
        <v>Not Assigned</v>
      </c>
      <c r="O1434" s="14" t="str">
        <f>IFERROR(__xludf.DUMMYFUNCTION("split(J1434,""*"")"),"Cancelled")</f>
        <v>Cancelled</v>
      </c>
      <c r="P1434" s="14" t="str">
        <f>IFERROR(__xludf.DUMMYFUNCTION("""COMPUTED_VALUE"""),"High Delivery Fees")</f>
        <v>High Delivery Fees</v>
      </c>
      <c r="Q1434" s="14" t="str">
        <f>IFERROR(__xludf.DUMMYFUNCTION("split(P1434,"":"")"),"High Delivery Fees")</f>
        <v>High Delivery Fees</v>
      </c>
      <c r="R1434" s="14"/>
      <c r="S1434" s="14" t="str">
        <f t="shared" ref="S1434:U1434" si="2871">trim(B1434)</f>
        <v>ord_71412</v>
      </c>
      <c r="T1434" s="14" t="str">
        <f t="shared" si="2871"/>
        <v>Anaya Rao</v>
      </c>
      <c r="U1434" s="14" t="str">
        <f t="shared" si="2871"/>
        <v>Colaba</v>
      </c>
      <c r="V1434" s="14" t="str">
        <f t="shared" si="4"/>
        <v>Tomato</v>
      </c>
      <c r="W1434" s="14">
        <f t="shared" si="5"/>
        <v>2</v>
      </c>
      <c r="X1434" s="14" t="str">
        <f t="shared" si="6"/>
        <v>Not Assigned</v>
      </c>
      <c r="Y1434" s="15">
        <f t="shared" si="7"/>
        <v>45114</v>
      </c>
      <c r="Z1434" s="14" t="str">
        <f t="shared" si="8"/>
        <v>UPI</v>
      </c>
      <c r="AA1434" s="14" t="str">
        <f t="shared" si="9"/>
        <v>Cancelled</v>
      </c>
      <c r="AB1434" s="14" t="str">
        <f t="shared" ref="AB1434:AC1434" si="2872">trim(Q1434)</f>
        <v>High Delivery Fees</v>
      </c>
      <c r="AC1434" s="14" t="str">
        <f t="shared" si="2872"/>
        <v/>
      </c>
      <c r="AD1434" s="8"/>
    </row>
    <row r="1435">
      <c r="A1435" s="14" t="str">
        <f>IFERROR(__xludf.DUMMYFUNCTION("""COMPUTED_VALUE"""),"//ord_71413//Kunal Sharma//Powai//Chilli Cheese Toast+3*Nithin Lal/6/22/2023//UPI//Delivered*Customer Service: Seamless and easy")</f>
        <v>//ord_71413//Kunal Sharma//Powai//Chilli Cheese Toast+3*Nithin Lal/6/22/2023//UPI//Delivered*Customer Service: Seamless and easy</v>
      </c>
      <c r="B1435" s="14" t="str">
        <f>IFERROR(__xludf.DUMMYFUNCTION("split(A1435,""//"")"),"ord_71413")</f>
        <v>ord_71413</v>
      </c>
      <c r="C1435" s="14" t="str">
        <f>IFERROR(__xludf.DUMMYFUNCTION("""COMPUTED_VALUE"""),"Kunal Sharma")</f>
        <v>Kunal Sharma</v>
      </c>
      <c r="D1435" s="14" t="str">
        <f>IFERROR(__xludf.DUMMYFUNCTION("""COMPUTED_VALUE"""),"Powai")</f>
        <v>Powai</v>
      </c>
      <c r="E1435" s="14" t="str">
        <f>IFERROR(__xludf.DUMMYFUNCTION("""COMPUTED_VALUE"""),"Chilli Cheese Toast+3*Nithin Lal")</f>
        <v>Chilli Cheese Toast+3*Nithin Lal</v>
      </c>
      <c r="F1435" s="14">
        <f>IFERROR(__xludf.DUMMYFUNCTION("""COMPUTED_VALUE"""),6.0)</f>
        <v>6</v>
      </c>
      <c r="G1435" s="14">
        <f>IFERROR(__xludf.DUMMYFUNCTION("""COMPUTED_VALUE"""),22.0)</f>
        <v>22</v>
      </c>
      <c r="H1435" s="14">
        <f>IFERROR(__xludf.DUMMYFUNCTION("""COMPUTED_VALUE"""),2023.0)</f>
        <v>2023</v>
      </c>
      <c r="I1435" s="14" t="str">
        <f>IFERROR(__xludf.DUMMYFUNCTION("""COMPUTED_VALUE"""),"UPI")</f>
        <v>UPI</v>
      </c>
      <c r="J1435" s="14" t="str">
        <f>IFERROR(__xludf.DUMMYFUNCTION("""COMPUTED_VALUE"""),"Delivered*Customer Service: Seamless and easy")</f>
        <v>Delivered*Customer Service: Seamless and easy</v>
      </c>
      <c r="K1435" s="14" t="str">
        <f>IFERROR(__xludf.DUMMYFUNCTION("split(E1435,""+"")"),"Chilli Cheese Toast")</f>
        <v>Chilli Cheese Toast</v>
      </c>
      <c r="L1435" s="14" t="str">
        <f>IFERROR(__xludf.DUMMYFUNCTION("""COMPUTED_VALUE"""),"3*Nithin Lal")</f>
        <v>3*Nithin Lal</v>
      </c>
      <c r="M1435" s="14">
        <f>IFERROR(__xludf.DUMMYFUNCTION("SPLIT(L1435,""*"")"),3.0)</f>
        <v>3</v>
      </c>
      <c r="N1435" s="14" t="str">
        <f>IFERROR(__xludf.DUMMYFUNCTION("""COMPUTED_VALUE"""),"Nithin Lal")</f>
        <v>Nithin Lal</v>
      </c>
      <c r="O1435" s="14" t="str">
        <f>IFERROR(__xludf.DUMMYFUNCTION("split(J1435,""*"")"),"Delivered")</f>
        <v>Delivered</v>
      </c>
      <c r="P1435" s="14" t="str">
        <f>IFERROR(__xludf.DUMMYFUNCTION("""COMPUTED_VALUE"""),"Customer Service: Seamless and easy")</f>
        <v>Customer Service: Seamless and easy</v>
      </c>
      <c r="Q1435" s="14" t="str">
        <f>IFERROR(__xludf.DUMMYFUNCTION("split(P1435,"":"")"),"Customer Service")</f>
        <v>Customer Service</v>
      </c>
      <c r="R1435" s="14" t="str">
        <f>IFERROR(__xludf.DUMMYFUNCTION("""COMPUTED_VALUE""")," Seamless and easy")</f>
        <v> Seamless and easy</v>
      </c>
      <c r="S1435" s="14" t="str">
        <f t="shared" ref="S1435:U1435" si="2873">trim(B1435)</f>
        <v>ord_71413</v>
      </c>
      <c r="T1435" s="14" t="str">
        <f t="shared" si="2873"/>
        <v>Kunal Sharma</v>
      </c>
      <c r="U1435" s="14" t="str">
        <f t="shared" si="2873"/>
        <v>Powai</v>
      </c>
      <c r="V1435" s="14" t="str">
        <f t="shared" si="4"/>
        <v>Chilli Cheese Toast</v>
      </c>
      <c r="W1435" s="14">
        <f t="shared" si="5"/>
        <v>3</v>
      </c>
      <c r="X1435" s="14" t="str">
        <f t="shared" si="6"/>
        <v>Nithin Lal</v>
      </c>
      <c r="Y1435" s="15">
        <f t="shared" si="7"/>
        <v>45099</v>
      </c>
      <c r="Z1435" s="14" t="str">
        <f t="shared" si="8"/>
        <v>UPI</v>
      </c>
      <c r="AA1435" s="14" t="str">
        <f t="shared" si="9"/>
        <v>Delivered</v>
      </c>
      <c r="AB1435" s="14" t="str">
        <f t="shared" ref="AB1435:AC1435" si="2874">trim(Q1435)</f>
        <v>Customer Service</v>
      </c>
      <c r="AC1435" s="14" t="str">
        <f t="shared" si="2874"/>
        <v>Seamless and easy</v>
      </c>
      <c r="AD1435" s="8"/>
    </row>
    <row r="1436">
      <c r="A1436" s="14" t="str">
        <f>IFERROR(__xludf.DUMMYFUNCTION("""COMPUTED_VALUE"""),"//ord_71414//Kunal Sharma//Powai//Guava+3*Venu R/4/30/2023//UPI//Delivered*Delivery Experience: Quick and professional")</f>
        <v>//ord_71414//Kunal Sharma//Powai//Guava+3*Venu R/4/30/2023//UPI//Delivered*Delivery Experience: Quick and professional</v>
      </c>
      <c r="B1436" s="14" t="str">
        <f>IFERROR(__xludf.DUMMYFUNCTION("split(A1436,""//"")"),"ord_71414")</f>
        <v>ord_71414</v>
      </c>
      <c r="C1436" s="14" t="str">
        <f>IFERROR(__xludf.DUMMYFUNCTION("""COMPUTED_VALUE"""),"Kunal Sharma")</f>
        <v>Kunal Sharma</v>
      </c>
      <c r="D1436" s="14" t="str">
        <f>IFERROR(__xludf.DUMMYFUNCTION("""COMPUTED_VALUE"""),"Powai")</f>
        <v>Powai</v>
      </c>
      <c r="E1436" s="14" t="str">
        <f>IFERROR(__xludf.DUMMYFUNCTION("""COMPUTED_VALUE"""),"Guava+3*Venu R")</f>
        <v>Guava+3*Venu R</v>
      </c>
      <c r="F1436" s="14">
        <f>IFERROR(__xludf.DUMMYFUNCTION("""COMPUTED_VALUE"""),4.0)</f>
        <v>4</v>
      </c>
      <c r="G1436" s="14">
        <f>IFERROR(__xludf.DUMMYFUNCTION("""COMPUTED_VALUE"""),30.0)</f>
        <v>30</v>
      </c>
      <c r="H1436" s="14">
        <f>IFERROR(__xludf.DUMMYFUNCTION("""COMPUTED_VALUE"""),2023.0)</f>
        <v>2023</v>
      </c>
      <c r="I1436" s="14" t="str">
        <f>IFERROR(__xludf.DUMMYFUNCTION("""COMPUTED_VALUE"""),"UPI")</f>
        <v>UPI</v>
      </c>
      <c r="J1436" s="14" t="str">
        <f>IFERROR(__xludf.DUMMYFUNCTION("""COMPUTED_VALUE"""),"Delivered*Delivery Experience: Quick and professional")</f>
        <v>Delivered*Delivery Experience: Quick and professional</v>
      </c>
      <c r="K1436" s="14" t="str">
        <f>IFERROR(__xludf.DUMMYFUNCTION("split(E1436,""+"")"),"Guava")</f>
        <v>Guava</v>
      </c>
      <c r="L1436" s="14" t="str">
        <f>IFERROR(__xludf.DUMMYFUNCTION("""COMPUTED_VALUE"""),"3*Venu R")</f>
        <v>3*Venu R</v>
      </c>
      <c r="M1436" s="14">
        <f>IFERROR(__xludf.DUMMYFUNCTION("SPLIT(L1436,""*"")"),3.0)</f>
        <v>3</v>
      </c>
      <c r="N1436" s="14" t="str">
        <f>IFERROR(__xludf.DUMMYFUNCTION("""COMPUTED_VALUE"""),"Venu R")</f>
        <v>Venu R</v>
      </c>
      <c r="O1436" s="14" t="str">
        <f>IFERROR(__xludf.DUMMYFUNCTION("split(J1436,""*"")"),"Delivered")</f>
        <v>Delivered</v>
      </c>
      <c r="P1436" s="14" t="str">
        <f>IFERROR(__xludf.DUMMYFUNCTION("""COMPUTED_VALUE"""),"Delivery Experience: Quick and professional")</f>
        <v>Delivery Experience: Quick and professional</v>
      </c>
      <c r="Q1436" s="14" t="str">
        <f>IFERROR(__xludf.DUMMYFUNCTION("split(P1436,"":"")"),"Delivery Experience")</f>
        <v>Delivery Experience</v>
      </c>
      <c r="R1436" s="14" t="str">
        <f>IFERROR(__xludf.DUMMYFUNCTION("""COMPUTED_VALUE""")," Quick and professional")</f>
        <v> Quick and professional</v>
      </c>
      <c r="S1436" s="14" t="str">
        <f t="shared" ref="S1436:U1436" si="2875">trim(B1436)</f>
        <v>ord_71414</v>
      </c>
      <c r="T1436" s="14" t="str">
        <f t="shared" si="2875"/>
        <v>Kunal Sharma</v>
      </c>
      <c r="U1436" s="14" t="str">
        <f t="shared" si="2875"/>
        <v>Powai</v>
      </c>
      <c r="V1436" s="14" t="str">
        <f t="shared" si="4"/>
        <v>Guava</v>
      </c>
      <c r="W1436" s="14">
        <f t="shared" si="5"/>
        <v>3</v>
      </c>
      <c r="X1436" s="14" t="str">
        <f t="shared" si="6"/>
        <v>Venu R</v>
      </c>
      <c r="Y1436" s="15">
        <f t="shared" si="7"/>
        <v>45046</v>
      </c>
      <c r="Z1436" s="14" t="str">
        <f t="shared" si="8"/>
        <v>UPI</v>
      </c>
      <c r="AA1436" s="14" t="str">
        <f t="shared" si="9"/>
        <v>Delivered</v>
      </c>
      <c r="AB1436" s="14" t="str">
        <f t="shared" ref="AB1436:AC1436" si="2876">trim(Q1436)</f>
        <v>Delivery Experience</v>
      </c>
      <c r="AC1436" s="14" t="str">
        <f t="shared" si="2876"/>
        <v>Quick and professional</v>
      </c>
      <c r="AD1436" s="8"/>
    </row>
    <row r="1437">
      <c r="A1437" s="14" t="str">
        <f>IFERROR(__xludf.DUMMYFUNCTION("""COMPUTED_VALUE"""),"//ord_71415//Aditya Rao//Lower Parel//Cold Coffee+5*Priya Joshi/8/15/2023//Online Payment//Cancelled*Delayed Delivery:Bad Weather Conditions ")</f>
        <v>//ord_71415//Aditya Rao//Lower Parel//Cold Coffee+5*Priya Joshi/8/15/2023//Online Payment//Cancelled*Delayed Delivery:Bad Weather Conditions </v>
      </c>
      <c r="B1437" s="14" t="str">
        <f>IFERROR(__xludf.DUMMYFUNCTION("split(A1437,""//"")"),"ord_71415")</f>
        <v>ord_71415</v>
      </c>
      <c r="C1437" s="14" t="str">
        <f>IFERROR(__xludf.DUMMYFUNCTION("""COMPUTED_VALUE"""),"Aditya Rao")</f>
        <v>Aditya Rao</v>
      </c>
      <c r="D1437" s="14" t="str">
        <f>IFERROR(__xludf.DUMMYFUNCTION("""COMPUTED_VALUE"""),"Lower Parel")</f>
        <v>Lower Parel</v>
      </c>
      <c r="E1437" s="14" t="str">
        <f>IFERROR(__xludf.DUMMYFUNCTION("""COMPUTED_VALUE"""),"Cold Coffee+5*Priya Joshi")</f>
        <v>Cold Coffee+5*Priya Joshi</v>
      </c>
      <c r="F1437" s="14">
        <f>IFERROR(__xludf.DUMMYFUNCTION("""COMPUTED_VALUE"""),8.0)</f>
        <v>8</v>
      </c>
      <c r="G1437" s="14">
        <f>IFERROR(__xludf.DUMMYFUNCTION("""COMPUTED_VALUE"""),15.0)</f>
        <v>15</v>
      </c>
      <c r="H1437" s="14">
        <f>IFERROR(__xludf.DUMMYFUNCTION("""COMPUTED_VALUE"""),2023.0)</f>
        <v>2023</v>
      </c>
      <c r="I1437" s="14" t="str">
        <f>IFERROR(__xludf.DUMMYFUNCTION("""COMPUTED_VALUE"""),"Online Payment")</f>
        <v>Online Payment</v>
      </c>
      <c r="J1437" s="14" t="str">
        <f>IFERROR(__xludf.DUMMYFUNCTION("""COMPUTED_VALUE"""),"Cancelled*Delayed Delivery:Bad Weather Conditions ")</f>
        <v>Cancelled*Delayed Delivery:Bad Weather Conditions </v>
      </c>
      <c r="K1437" s="14" t="str">
        <f>IFERROR(__xludf.DUMMYFUNCTION("split(E1437,""+"")"),"Cold Coffee")</f>
        <v>Cold Coffee</v>
      </c>
      <c r="L1437" s="14" t="str">
        <f>IFERROR(__xludf.DUMMYFUNCTION("""COMPUTED_VALUE"""),"5*Priya Joshi")</f>
        <v>5*Priya Joshi</v>
      </c>
      <c r="M1437" s="14">
        <f>IFERROR(__xludf.DUMMYFUNCTION("SPLIT(L1437,""*"")"),5.0)</f>
        <v>5</v>
      </c>
      <c r="N1437" s="14" t="str">
        <f>IFERROR(__xludf.DUMMYFUNCTION("""COMPUTED_VALUE"""),"Priya Joshi")</f>
        <v>Priya Joshi</v>
      </c>
      <c r="O1437" s="14" t="str">
        <f>IFERROR(__xludf.DUMMYFUNCTION("split(J1437,""*"")"),"Cancelled")</f>
        <v>Cancelled</v>
      </c>
      <c r="P1437" s="14" t="str">
        <f>IFERROR(__xludf.DUMMYFUNCTION("""COMPUTED_VALUE"""),"Delayed Delivery:Bad Weather Conditions ")</f>
        <v>Delayed Delivery:Bad Weather Conditions </v>
      </c>
      <c r="Q1437" s="14" t="str">
        <f>IFERROR(__xludf.DUMMYFUNCTION("split(P1437,"":"")"),"Delayed Delivery")</f>
        <v>Delayed Delivery</v>
      </c>
      <c r="R1437" s="14" t="str">
        <f>IFERROR(__xludf.DUMMYFUNCTION("""COMPUTED_VALUE"""),"Bad Weather Conditions ")</f>
        <v>Bad Weather Conditions </v>
      </c>
      <c r="S1437" s="14" t="str">
        <f t="shared" ref="S1437:U1437" si="2877">trim(B1437)</f>
        <v>ord_71415</v>
      </c>
      <c r="T1437" s="14" t="str">
        <f t="shared" si="2877"/>
        <v>Aditya Rao</v>
      </c>
      <c r="U1437" s="14" t="str">
        <f t="shared" si="2877"/>
        <v>Lower Parel</v>
      </c>
      <c r="V1437" s="14" t="str">
        <f t="shared" si="4"/>
        <v>Cold Coffee</v>
      </c>
      <c r="W1437" s="14">
        <f t="shared" si="5"/>
        <v>5</v>
      </c>
      <c r="X1437" s="14" t="str">
        <f t="shared" si="6"/>
        <v>Priya Joshi</v>
      </c>
      <c r="Y1437" s="15">
        <f t="shared" si="7"/>
        <v>45153</v>
      </c>
      <c r="Z1437" s="14" t="str">
        <f t="shared" si="8"/>
        <v>Online Payment</v>
      </c>
      <c r="AA1437" s="14" t="str">
        <f t="shared" si="9"/>
        <v>Cancelled</v>
      </c>
      <c r="AB1437" s="14" t="str">
        <f t="shared" ref="AB1437:AC1437" si="2878">trim(Q1437)</f>
        <v>Delayed Delivery</v>
      </c>
      <c r="AC1437" s="14" t="str">
        <f t="shared" si="2878"/>
        <v>Bad Weather Conditions</v>
      </c>
      <c r="AD1437" s="8"/>
    </row>
    <row r="1438">
      <c r="A1438" s="14" t="str">
        <f>IFERROR(__xludf.DUMMYFUNCTION("""COMPUTED_VALUE"""),"//ord_71416//Dev Chauhan//Bandra//Veg Puff+4*Ram Gopal/6/1/2023//Online Payment//Delivered*Convenience: Easy tracking")</f>
        <v>//ord_71416//Dev Chauhan//Bandra//Veg Puff+4*Ram Gopal/6/1/2023//Online Payment//Delivered*Convenience: Easy tracking</v>
      </c>
      <c r="B1438" s="14" t="str">
        <f>IFERROR(__xludf.DUMMYFUNCTION("split(A1438,""//"")"),"ord_71416")</f>
        <v>ord_71416</v>
      </c>
      <c r="C1438" s="14" t="str">
        <f>IFERROR(__xludf.DUMMYFUNCTION("""COMPUTED_VALUE"""),"Dev Chauhan")</f>
        <v>Dev Chauhan</v>
      </c>
      <c r="D1438" s="14" t="str">
        <f>IFERROR(__xludf.DUMMYFUNCTION("""COMPUTED_VALUE"""),"Bandra")</f>
        <v>Bandra</v>
      </c>
      <c r="E1438" s="14" t="str">
        <f>IFERROR(__xludf.DUMMYFUNCTION("""COMPUTED_VALUE"""),"Veg Puff+4*Ram Gopal")</f>
        <v>Veg Puff+4*Ram Gopal</v>
      </c>
      <c r="F1438" s="14">
        <f>IFERROR(__xludf.DUMMYFUNCTION("""COMPUTED_VALUE"""),6.0)</f>
        <v>6</v>
      </c>
      <c r="G1438" s="14">
        <f>IFERROR(__xludf.DUMMYFUNCTION("""COMPUTED_VALUE"""),1.0)</f>
        <v>1</v>
      </c>
      <c r="H1438" s="14">
        <f>IFERROR(__xludf.DUMMYFUNCTION("""COMPUTED_VALUE"""),2023.0)</f>
        <v>2023</v>
      </c>
      <c r="I1438" s="14" t="str">
        <f>IFERROR(__xludf.DUMMYFUNCTION("""COMPUTED_VALUE"""),"Online Payment")</f>
        <v>Online Payment</v>
      </c>
      <c r="J1438" s="14" t="str">
        <f>IFERROR(__xludf.DUMMYFUNCTION("""COMPUTED_VALUE"""),"Delivered*Convenience: Easy tracking")</f>
        <v>Delivered*Convenience: Easy tracking</v>
      </c>
      <c r="K1438" s="14" t="str">
        <f>IFERROR(__xludf.DUMMYFUNCTION("split(E1438,""+"")"),"Veg Puff")</f>
        <v>Veg Puff</v>
      </c>
      <c r="L1438" s="14" t="str">
        <f>IFERROR(__xludf.DUMMYFUNCTION("""COMPUTED_VALUE"""),"4*Ram Gopal")</f>
        <v>4*Ram Gopal</v>
      </c>
      <c r="M1438" s="14">
        <f>IFERROR(__xludf.DUMMYFUNCTION("SPLIT(L1438,""*"")"),4.0)</f>
        <v>4</v>
      </c>
      <c r="N1438" s="14" t="str">
        <f>IFERROR(__xludf.DUMMYFUNCTION("""COMPUTED_VALUE"""),"Ram Gopal")</f>
        <v>Ram Gopal</v>
      </c>
      <c r="O1438" s="14" t="str">
        <f>IFERROR(__xludf.DUMMYFUNCTION("split(J1438,""*"")"),"Delivered")</f>
        <v>Delivered</v>
      </c>
      <c r="P1438" s="14" t="str">
        <f>IFERROR(__xludf.DUMMYFUNCTION("""COMPUTED_VALUE"""),"Convenience: Easy tracking")</f>
        <v>Convenience: Easy tracking</v>
      </c>
      <c r="Q1438" s="14" t="str">
        <f>IFERROR(__xludf.DUMMYFUNCTION("split(P1438,"":"")"),"Convenience")</f>
        <v>Convenience</v>
      </c>
      <c r="R1438" s="14" t="str">
        <f>IFERROR(__xludf.DUMMYFUNCTION("""COMPUTED_VALUE""")," Easy tracking")</f>
        <v> Easy tracking</v>
      </c>
      <c r="S1438" s="14" t="str">
        <f t="shared" ref="S1438:U1438" si="2879">trim(B1438)</f>
        <v>ord_71416</v>
      </c>
      <c r="T1438" s="14" t="str">
        <f t="shared" si="2879"/>
        <v>Dev Chauhan</v>
      </c>
      <c r="U1438" s="14" t="str">
        <f t="shared" si="2879"/>
        <v>Bandra</v>
      </c>
      <c r="V1438" s="14" t="str">
        <f t="shared" si="4"/>
        <v>Veg Puff</v>
      </c>
      <c r="W1438" s="14">
        <f t="shared" si="5"/>
        <v>4</v>
      </c>
      <c r="X1438" s="14" t="str">
        <f t="shared" si="6"/>
        <v>Ram Gopal</v>
      </c>
      <c r="Y1438" s="15">
        <f t="shared" si="7"/>
        <v>45078</v>
      </c>
      <c r="Z1438" s="14" t="str">
        <f t="shared" si="8"/>
        <v>Online Payment</v>
      </c>
      <c r="AA1438" s="14" t="str">
        <f t="shared" si="9"/>
        <v>Delivered</v>
      </c>
      <c r="AB1438" s="14" t="str">
        <f t="shared" ref="AB1438:AC1438" si="2880">trim(Q1438)</f>
        <v>Convenience</v>
      </c>
      <c r="AC1438" s="14" t="str">
        <f t="shared" si="2880"/>
        <v>Easy tracking</v>
      </c>
      <c r="AD1438" s="8"/>
    </row>
    <row r="1439">
      <c r="A1439" s="14" t="str">
        <f>IFERROR(__xludf.DUMMYFUNCTION("""COMPUTED_VALUE"""),"//ord_71417//Kritika Shetty//Malad//Rasmalai+4*Not Assigned/8/15/2023//Credit Card//Cancelled*App Glitches:App Freezes")</f>
        <v>//ord_71417//Kritika Shetty//Malad//Rasmalai+4*Not Assigned/8/15/2023//Credit Card//Cancelled*App Glitches:App Freezes</v>
      </c>
      <c r="B1439" s="14" t="str">
        <f>IFERROR(__xludf.DUMMYFUNCTION("split(A1439,""//"")"),"ord_71417")</f>
        <v>ord_71417</v>
      </c>
      <c r="C1439" s="14" t="str">
        <f>IFERROR(__xludf.DUMMYFUNCTION("""COMPUTED_VALUE"""),"Kritika Shetty")</f>
        <v>Kritika Shetty</v>
      </c>
      <c r="D1439" s="14" t="str">
        <f>IFERROR(__xludf.DUMMYFUNCTION("""COMPUTED_VALUE"""),"Malad")</f>
        <v>Malad</v>
      </c>
      <c r="E1439" s="14" t="str">
        <f>IFERROR(__xludf.DUMMYFUNCTION("""COMPUTED_VALUE"""),"Rasmalai+4*Not Assigned")</f>
        <v>Rasmalai+4*Not Assigned</v>
      </c>
      <c r="F1439" s="14">
        <f>IFERROR(__xludf.DUMMYFUNCTION("""COMPUTED_VALUE"""),8.0)</f>
        <v>8</v>
      </c>
      <c r="G1439" s="14">
        <f>IFERROR(__xludf.DUMMYFUNCTION("""COMPUTED_VALUE"""),15.0)</f>
        <v>15</v>
      </c>
      <c r="H1439" s="14">
        <f>IFERROR(__xludf.DUMMYFUNCTION("""COMPUTED_VALUE"""),2023.0)</f>
        <v>2023</v>
      </c>
      <c r="I1439" s="14" t="str">
        <f>IFERROR(__xludf.DUMMYFUNCTION("""COMPUTED_VALUE"""),"Credit Card")</f>
        <v>Credit Card</v>
      </c>
      <c r="J1439" s="14" t="str">
        <f>IFERROR(__xludf.DUMMYFUNCTION("""COMPUTED_VALUE"""),"Cancelled*App Glitches:App Freezes")</f>
        <v>Cancelled*App Glitches:App Freezes</v>
      </c>
      <c r="K1439" s="14" t="str">
        <f>IFERROR(__xludf.DUMMYFUNCTION("split(E1439,""+"")"),"Rasmalai")</f>
        <v>Rasmalai</v>
      </c>
      <c r="L1439" s="14" t="str">
        <f>IFERROR(__xludf.DUMMYFUNCTION("""COMPUTED_VALUE"""),"4*Not Assigned")</f>
        <v>4*Not Assigned</v>
      </c>
      <c r="M1439" s="14">
        <f>IFERROR(__xludf.DUMMYFUNCTION("SPLIT(L1439,""*"")"),4.0)</f>
        <v>4</v>
      </c>
      <c r="N1439" s="14" t="str">
        <f>IFERROR(__xludf.DUMMYFUNCTION("""COMPUTED_VALUE"""),"Not Assigned")</f>
        <v>Not Assigned</v>
      </c>
      <c r="O1439" s="14" t="str">
        <f>IFERROR(__xludf.DUMMYFUNCTION("split(J1439,""*"")"),"Cancelled")</f>
        <v>Cancelled</v>
      </c>
      <c r="P1439" s="14" t="str">
        <f>IFERROR(__xludf.DUMMYFUNCTION("""COMPUTED_VALUE"""),"App Glitches:App Freezes")</f>
        <v>App Glitches:App Freezes</v>
      </c>
      <c r="Q1439" s="14" t="str">
        <f>IFERROR(__xludf.DUMMYFUNCTION("split(P1439,"":"")"),"App Glitches")</f>
        <v>App Glitches</v>
      </c>
      <c r="R1439" s="14" t="str">
        <f>IFERROR(__xludf.DUMMYFUNCTION("""COMPUTED_VALUE"""),"App Freezes")</f>
        <v>App Freezes</v>
      </c>
      <c r="S1439" s="14" t="str">
        <f t="shared" ref="S1439:U1439" si="2881">trim(B1439)</f>
        <v>ord_71417</v>
      </c>
      <c r="T1439" s="14" t="str">
        <f t="shared" si="2881"/>
        <v>Kritika Shetty</v>
      </c>
      <c r="U1439" s="14" t="str">
        <f t="shared" si="2881"/>
        <v>Malad</v>
      </c>
      <c r="V1439" s="14" t="str">
        <f t="shared" si="4"/>
        <v>Rasmalai</v>
      </c>
      <c r="W1439" s="14">
        <f t="shared" si="5"/>
        <v>4</v>
      </c>
      <c r="X1439" s="14" t="str">
        <f t="shared" si="6"/>
        <v>Not Assigned</v>
      </c>
      <c r="Y1439" s="15">
        <f t="shared" si="7"/>
        <v>45153</v>
      </c>
      <c r="Z1439" s="14" t="str">
        <f t="shared" si="8"/>
        <v>Credit Card</v>
      </c>
      <c r="AA1439" s="14" t="str">
        <f t="shared" si="9"/>
        <v>Cancelled</v>
      </c>
      <c r="AB1439" s="14" t="str">
        <f t="shared" ref="AB1439:AC1439" si="2882">trim(Q1439)</f>
        <v>App Glitches</v>
      </c>
      <c r="AC1439" s="14" t="str">
        <f t="shared" si="2882"/>
        <v>App Freezes</v>
      </c>
      <c r="AD1439" s="8"/>
    </row>
    <row r="1440">
      <c r="A1440" s="14" t="str">
        <f>IFERROR(__xludf.DUMMYFUNCTION("""COMPUTED_VALUE"""),"//ord_71418//Arvind Kulkarni//Juhu//Cold Coffee+5*Shine Thomas/1/25/2023//Credit Card//Cancelled*Delayed Delivery:Heavy Traffic")</f>
        <v>//ord_71418//Arvind Kulkarni//Juhu//Cold Coffee+5*Shine Thomas/1/25/2023//Credit Card//Cancelled*Delayed Delivery:Heavy Traffic</v>
      </c>
      <c r="B1440" s="14" t="str">
        <f>IFERROR(__xludf.DUMMYFUNCTION("split(A1440,""//"")"),"ord_71418")</f>
        <v>ord_71418</v>
      </c>
      <c r="C1440" s="14" t="str">
        <f>IFERROR(__xludf.DUMMYFUNCTION("""COMPUTED_VALUE"""),"Arvind Kulkarni")</f>
        <v>Arvind Kulkarni</v>
      </c>
      <c r="D1440" s="14" t="str">
        <f>IFERROR(__xludf.DUMMYFUNCTION("""COMPUTED_VALUE"""),"Juhu")</f>
        <v>Juhu</v>
      </c>
      <c r="E1440" s="14" t="str">
        <f>IFERROR(__xludf.DUMMYFUNCTION("""COMPUTED_VALUE"""),"Cold Coffee+5*Shine Thomas")</f>
        <v>Cold Coffee+5*Shine Thomas</v>
      </c>
      <c r="F1440" s="14">
        <f>IFERROR(__xludf.DUMMYFUNCTION("""COMPUTED_VALUE"""),1.0)</f>
        <v>1</v>
      </c>
      <c r="G1440" s="14">
        <f>IFERROR(__xludf.DUMMYFUNCTION("""COMPUTED_VALUE"""),25.0)</f>
        <v>25</v>
      </c>
      <c r="H1440" s="14">
        <f>IFERROR(__xludf.DUMMYFUNCTION("""COMPUTED_VALUE"""),2023.0)</f>
        <v>2023</v>
      </c>
      <c r="I1440" s="14" t="str">
        <f>IFERROR(__xludf.DUMMYFUNCTION("""COMPUTED_VALUE"""),"Credit Card")</f>
        <v>Credit Card</v>
      </c>
      <c r="J1440" s="14" t="str">
        <f>IFERROR(__xludf.DUMMYFUNCTION("""COMPUTED_VALUE"""),"Cancelled*Delayed Delivery:Heavy Traffic")</f>
        <v>Cancelled*Delayed Delivery:Heavy Traffic</v>
      </c>
      <c r="K1440" s="14" t="str">
        <f>IFERROR(__xludf.DUMMYFUNCTION("split(E1440,""+"")"),"Cold Coffee")</f>
        <v>Cold Coffee</v>
      </c>
      <c r="L1440" s="14" t="str">
        <f>IFERROR(__xludf.DUMMYFUNCTION("""COMPUTED_VALUE"""),"5*Shine Thomas")</f>
        <v>5*Shine Thomas</v>
      </c>
      <c r="M1440" s="14">
        <f>IFERROR(__xludf.DUMMYFUNCTION("SPLIT(L1440,""*"")"),5.0)</f>
        <v>5</v>
      </c>
      <c r="N1440" s="14" t="str">
        <f>IFERROR(__xludf.DUMMYFUNCTION("""COMPUTED_VALUE"""),"Shine Thomas")</f>
        <v>Shine Thomas</v>
      </c>
      <c r="O1440" s="14" t="str">
        <f>IFERROR(__xludf.DUMMYFUNCTION("split(J1440,""*"")"),"Cancelled")</f>
        <v>Cancelled</v>
      </c>
      <c r="P1440" s="14" t="str">
        <f>IFERROR(__xludf.DUMMYFUNCTION("""COMPUTED_VALUE"""),"Delayed Delivery:Heavy Traffic")</f>
        <v>Delayed Delivery:Heavy Traffic</v>
      </c>
      <c r="Q1440" s="14" t="str">
        <f>IFERROR(__xludf.DUMMYFUNCTION("split(P1440,"":"")"),"Delayed Delivery")</f>
        <v>Delayed Delivery</v>
      </c>
      <c r="R1440" s="14" t="str">
        <f>IFERROR(__xludf.DUMMYFUNCTION("""COMPUTED_VALUE"""),"Heavy Traffic")</f>
        <v>Heavy Traffic</v>
      </c>
      <c r="S1440" s="14" t="str">
        <f t="shared" ref="S1440:U1440" si="2883">trim(B1440)</f>
        <v>ord_71418</v>
      </c>
      <c r="T1440" s="14" t="str">
        <f t="shared" si="2883"/>
        <v>Arvind Kulkarni</v>
      </c>
      <c r="U1440" s="14" t="str">
        <f t="shared" si="2883"/>
        <v>Juhu</v>
      </c>
      <c r="V1440" s="14" t="str">
        <f t="shared" si="4"/>
        <v>Cold Coffee</v>
      </c>
      <c r="W1440" s="14">
        <f t="shared" si="5"/>
        <v>5</v>
      </c>
      <c r="X1440" s="14" t="str">
        <f t="shared" si="6"/>
        <v>Shine Thomas</v>
      </c>
      <c r="Y1440" s="15">
        <f t="shared" si="7"/>
        <v>44951</v>
      </c>
      <c r="Z1440" s="14" t="str">
        <f t="shared" si="8"/>
        <v>Credit Card</v>
      </c>
      <c r="AA1440" s="14" t="str">
        <f t="shared" si="9"/>
        <v>Cancelled</v>
      </c>
      <c r="AB1440" s="14" t="str">
        <f t="shared" ref="AB1440:AC1440" si="2884">trim(Q1440)</f>
        <v>Delayed Delivery</v>
      </c>
      <c r="AC1440" s="14" t="str">
        <f t="shared" si="2884"/>
        <v>Heavy Traffic</v>
      </c>
      <c r="AD1440" s="8"/>
    </row>
    <row r="1441">
      <c r="A1441" s="14" t="str">
        <f>IFERROR(__xludf.DUMMYFUNCTION("""COMPUTED_VALUE"""),"//ord_71419//Kritika Shetty//Malad//Tiramisu+4*Priya Joshi/12/9/2023//Credit Card//Cancelled*Delayed Delivery:Bad Weather Conditions ")</f>
        <v>//ord_71419//Kritika Shetty//Malad//Tiramisu+4*Priya Joshi/12/9/2023//Credit Card//Cancelled*Delayed Delivery:Bad Weather Conditions </v>
      </c>
      <c r="B1441" s="14" t="str">
        <f>IFERROR(__xludf.DUMMYFUNCTION("split(A1441,""//"")"),"ord_71419")</f>
        <v>ord_71419</v>
      </c>
      <c r="C1441" s="14" t="str">
        <f>IFERROR(__xludf.DUMMYFUNCTION("""COMPUTED_VALUE"""),"Kritika Shetty")</f>
        <v>Kritika Shetty</v>
      </c>
      <c r="D1441" s="14" t="str">
        <f>IFERROR(__xludf.DUMMYFUNCTION("""COMPUTED_VALUE"""),"Malad")</f>
        <v>Malad</v>
      </c>
      <c r="E1441" s="14" t="str">
        <f>IFERROR(__xludf.DUMMYFUNCTION("""COMPUTED_VALUE"""),"Tiramisu+4*Priya Joshi")</f>
        <v>Tiramisu+4*Priya Joshi</v>
      </c>
      <c r="F1441" s="14">
        <f>IFERROR(__xludf.DUMMYFUNCTION("""COMPUTED_VALUE"""),12.0)</f>
        <v>12</v>
      </c>
      <c r="G1441" s="14">
        <f>IFERROR(__xludf.DUMMYFUNCTION("""COMPUTED_VALUE"""),9.0)</f>
        <v>9</v>
      </c>
      <c r="H1441" s="14">
        <f>IFERROR(__xludf.DUMMYFUNCTION("""COMPUTED_VALUE"""),2023.0)</f>
        <v>2023</v>
      </c>
      <c r="I1441" s="14" t="str">
        <f>IFERROR(__xludf.DUMMYFUNCTION("""COMPUTED_VALUE"""),"Credit Card")</f>
        <v>Credit Card</v>
      </c>
      <c r="J1441" s="14" t="str">
        <f>IFERROR(__xludf.DUMMYFUNCTION("""COMPUTED_VALUE"""),"Cancelled*Delayed Delivery:Bad Weather Conditions ")</f>
        <v>Cancelled*Delayed Delivery:Bad Weather Conditions </v>
      </c>
      <c r="K1441" s="14" t="str">
        <f>IFERROR(__xludf.DUMMYFUNCTION("split(E1441,""+"")"),"Tiramisu")</f>
        <v>Tiramisu</v>
      </c>
      <c r="L1441" s="14" t="str">
        <f>IFERROR(__xludf.DUMMYFUNCTION("""COMPUTED_VALUE"""),"4*Priya Joshi")</f>
        <v>4*Priya Joshi</v>
      </c>
      <c r="M1441" s="14">
        <f>IFERROR(__xludf.DUMMYFUNCTION("SPLIT(L1441,""*"")"),4.0)</f>
        <v>4</v>
      </c>
      <c r="N1441" s="14" t="str">
        <f>IFERROR(__xludf.DUMMYFUNCTION("""COMPUTED_VALUE"""),"Priya Joshi")</f>
        <v>Priya Joshi</v>
      </c>
      <c r="O1441" s="14" t="str">
        <f>IFERROR(__xludf.DUMMYFUNCTION("split(J1441,""*"")"),"Cancelled")</f>
        <v>Cancelled</v>
      </c>
      <c r="P1441" s="14" t="str">
        <f>IFERROR(__xludf.DUMMYFUNCTION("""COMPUTED_VALUE"""),"Delayed Delivery:Bad Weather Conditions ")</f>
        <v>Delayed Delivery:Bad Weather Conditions </v>
      </c>
      <c r="Q1441" s="14" t="str">
        <f>IFERROR(__xludf.DUMMYFUNCTION("split(P1441,"":"")"),"Delayed Delivery")</f>
        <v>Delayed Delivery</v>
      </c>
      <c r="R1441" s="14" t="str">
        <f>IFERROR(__xludf.DUMMYFUNCTION("""COMPUTED_VALUE"""),"Bad Weather Conditions ")</f>
        <v>Bad Weather Conditions </v>
      </c>
      <c r="S1441" s="14" t="str">
        <f t="shared" ref="S1441:U1441" si="2885">trim(B1441)</f>
        <v>ord_71419</v>
      </c>
      <c r="T1441" s="14" t="str">
        <f t="shared" si="2885"/>
        <v>Kritika Shetty</v>
      </c>
      <c r="U1441" s="14" t="str">
        <f t="shared" si="2885"/>
        <v>Malad</v>
      </c>
      <c r="V1441" s="14" t="str">
        <f t="shared" si="4"/>
        <v>Tiramisu</v>
      </c>
      <c r="W1441" s="14">
        <f t="shared" si="5"/>
        <v>4</v>
      </c>
      <c r="X1441" s="14" t="str">
        <f t="shared" si="6"/>
        <v>Priya Joshi</v>
      </c>
      <c r="Y1441" s="15">
        <f t="shared" si="7"/>
        <v>45269</v>
      </c>
      <c r="Z1441" s="14" t="str">
        <f t="shared" si="8"/>
        <v>Credit Card</v>
      </c>
      <c r="AA1441" s="14" t="str">
        <f t="shared" si="9"/>
        <v>Cancelled</v>
      </c>
      <c r="AB1441" s="14" t="str">
        <f t="shared" ref="AB1441:AC1441" si="2886">trim(Q1441)</f>
        <v>Delayed Delivery</v>
      </c>
      <c r="AC1441" s="14" t="str">
        <f t="shared" si="2886"/>
        <v>Bad Weather Conditions</v>
      </c>
      <c r="AD1441" s="8"/>
    </row>
    <row r="1442">
      <c r="A1442" s="14" t="str">
        <f>IFERROR(__xludf.DUMMYFUNCTION("""COMPUTED_VALUE"""),"//ord_71420//Dev Chauhan//Bandra//Chilli Cheese Toast+2*Shine Thomas/2/7/2023//Credit Card//Delivered*Overall Satisfaction: Great service will order again")</f>
        <v>//ord_71420//Dev Chauhan//Bandra//Chilli Cheese Toast+2*Shine Thomas/2/7/2023//Credit Card//Delivered*Overall Satisfaction: Great service will order again</v>
      </c>
      <c r="B1442" s="14" t="str">
        <f>IFERROR(__xludf.DUMMYFUNCTION("split(A1442,""//"")"),"ord_71420")</f>
        <v>ord_71420</v>
      </c>
      <c r="C1442" s="14" t="str">
        <f>IFERROR(__xludf.DUMMYFUNCTION("""COMPUTED_VALUE"""),"Dev Chauhan")</f>
        <v>Dev Chauhan</v>
      </c>
      <c r="D1442" s="14" t="str">
        <f>IFERROR(__xludf.DUMMYFUNCTION("""COMPUTED_VALUE"""),"Bandra")</f>
        <v>Bandra</v>
      </c>
      <c r="E1442" s="14" t="str">
        <f>IFERROR(__xludf.DUMMYFUNCTION("""COMPUTED_VALUE"""),"Chilli Cheese Toast+2*Shine Thomas")</f>
        <v>Chilli Cheese Toast+2*Shine Thomas</v>
      </c>
      <c r="F1442" s="14">
        <f>IFERROR(__xludf.DUMMYFUNCTION("""COMPUTED_VALUE"""),2.0)</f>
        <v>2</v>
      </c>
      <c r="G1442" s="14">
        <f>IFERROR(__xludf.DUMMYFUNCTION("""COMPUTED_VALUE"""),7.0)</f>
        <v>7</v>
      </c>
      <c r="H1442" s="14">
        <f>IFERROR(__xludf.DUMMYFUNCTION("""COMPUTED_VALUE"""),2023.0)</f>
        <v>2023</v>
      </c>
      <c r="I1442" s="14" t="str">
        <f>IFERROR(__xludf.DUMMYFUNCTION("""COMPUTED_VALUE"""),"Credit Card")</f>
        <v>Credit Card</v>
      </c>
      <c r="J1442" s="14" t="str">
        <f>IFERROR(__xludf.DUMMYFUNCTION("""COMPUTED_VALUE"""),"Delivered*Overall Satisfaction: Great service will order again")</f>
        <v>Delivered*Overall Satisfaction: Great service will order again</v>
      </c>
      <c r="K1442" s="14" t="str">
        <f>IFERROR(__xludf.DUMMYFUNCTION("split(E1442,""+"")"),"Chilli Cheese Toast")</f>
        <v>Chilli Cheese Toast</v>
      </c>
      <c r="L1442" s="14" t="str">
        <f>IFERROR(__xludf.DUMMYFUNCTION("""COMPUTED_VALUE"""),"2*Shine Thomas")</f>
        <v>2*Shine Thomas</v>
      </c>
      <c r="M1442" s="14">
        <f>IFERROR(__xludf.DUMMYFUNCTION("SPLIT(L1442,""*"")"),2.0)</f>
        <v>2</v>
      </c>
      <c r="N1442" s="14" t="str">
        <f>IFERROR(__xludf.DUMMYFUNCTION("""COMPUTED_VALUE"""),"Shine Thomas")</f>
        <v>Shine Thomas</v>
      </c>
      <c r="O1442" s="14" t="str">
        <f>IFERROR(__xludf.DUMMYFUNCTION("split(J1442,""*"")"),"Delivered")</f>
        <v>Delivered</v>
      </c>
      <c r="P1442" s="14" t="str">
        <f>IFERROR(__xludf.DUMMYFUNCTION("""COMPUTED_VALUE"""),"Overall Satisfaction: Great service will order again")</f>
        <v>Overall Satisfaction: Great service will order again</v>
      </c>
      <c r="Q1442" s="14" t="str">
        <f>IFERROR(__xludf.DUMMYFUNCTION("split(P1442,"":"")"),"Overall Satisfaction")</f>
        <v>Overall Satisfaction</v>
      </c>
      <c r="R1442" s="14" t="str">
        <f>IFERROR(__xludf.DUMMYFUNCTION("""COMPUTED_VALUE""")," Great service will order again")</f>
        <v> Great service will order again</v>
      </c>
      <c r="S1442" s="14" t="str">
        <f t="shared" ref="S1442:U1442" si="2887">trim(B1442)</f>
        <v>ord_71420</v>
      </c>
      <c r="T1442" s="14" t="str">
        <f t="shared" si="2887"/>
        <v>Dev Chauhan</v>
      </c>
      <c r="U1442" s="14" t="str">
        <f t="shared" si="2887"/>
        <v>Bandra</v>
      </c>
      <c r="V1442" s="14" t="str">
        <f t="shared" si="4"/>
        <v>Chilli Cheese Toast</v>
      </c>
      <c r="W1442" s="14">
        <f t="shared" si="5"/>
        <v>2</v>
      </c>
      <c r="X1442" s="14" t="str">
        <f t="shared" si="6"/>
        <v>Shine Thomas</v>
      </c>
      <c r="Y1442" s="15">
        <f t="shared" si="7"/>
        <v>44964</v>
      </c>
      <c r="Z1442" s="14" t="str">
        <f t="shared" si="8"/>
        <v>Credit Card</v>
      </c>
      <c r="AA1442" s="14" t="str">
        <f t="shared" si="9"/>
        <v>Delivered</v>
      </c>
      <c r="AB1442" s="14" t="str">
        <f t="shared" ref="AB1442:AC1442" si="2888">trim(Q1442)</f>
        <v>Overall Satisfaction</v>
      </c>
      <c r="AC1442" s="14" t="str">
        <f t="shared" si="2888"/>
        <v>Great service will order again</v>
      </c>
      <c r="AD1442" s="8"/>
    </row>
    <row r="1443">
      <c r="A1443" s="14" t="str">
        <f>IFERROR(__xludf.DUMMYFUNCTION("""COMPUTED_VALUE"""),"//ord_71421//Omkar Mishra//Powai//Sweet Corn+1*Vivek Kumar/9/27/2023//Credit Card//Cancelled*Delayed Delivery:Incorrect Address or Location")</f>
        <v>//ord_71421//Omkar Mishra//Powai//Sweet Corn+1*Vivek Kumar/9/27/2023//Credit Card//Cancelled*Delayed Delivery:Incorrect Address or Location</v>
      </c>
      <c r="B1443" s="14" t="str">
        <f>IFERROR(__xludf.DUMMYFUNCTION("split(A1443,""//"")"),"ord_71421")</f>
        <v>ord_71421</v>
      </c>
      <c r="C1443" s="14" t="str">
        <f>IFERROR(__xludf.DUMMYFUNCTION("""COMPUTED_VALUE"""),"Omkar Mishra")</f>
        <v>Omkar Mishra</v>
      </c>
      <c r="D1443" s="14" t="str">
        <f>IFERROR(__xludf.DUMMYFUNCTION("""COMPUTED_VALUE"""),"Powai")</f>
        <v>Powai</v>
      </c>
      <c r="E1443" s="14" t="str">
        <f>IFERROR(__xludf.DUMMYFUNCTION("""COMPUTED_VALUE"""),"Sweet Corn+1*Vivek Kumar")</f>
        <v>Sweet Corn+1*Vivek Kumar</v>
      </c>
      <c r="F1443" s="14">
        <f>IFERROR(__xludf.DUMMYFUNCTION("""COMPUTED_VALUE"""),9.0)</f>
        <v>9</v>
      </c>
      <c r="G1443" s="14">
        <f>IFERROR(__xludf.DUMMYFUNCTION("""COMPUTED_VALUE"""),27.0)</f>
        <v>27</v>
      </c>
      <c r="H1443" s="14">
        <f>IFERROR(__xludf.DUMMYFUNCTION("""COMPUTED_VALUE"""),2023.0)</f>
        <v>2023</v>
      </c>
      <c r="I1443" s="14" t="str">
        <f>IFERROR(__xludf.DUMMYFUNCTION("""COMPUTED_VALUE"""),"Credit Card")</f>
        <v>Credit Card</v>
      </c>
      <c r="J1443" s="14" t="str">
        <f>IFERROR(__xludf.DUMMYFUNCTION("""COMPUTED_VALUE"""),"Cancelled*Delayed Delivery:Incorrect Address or Location")</f>
        <v>Cancelled*Delayed Delivery:Incorrect Address or Location</v>
      </c>
      <c r="K1443" s="14" t="str">
        <f>IFERROR(__xludf.DUMMYFUNCTION("split(E1443,""+"")"),"Sweet Corn")</f>
        <v>Sweet Corn</v>
      </c>
      <c r="L1443" s="14" t="str">
        <f>IFERROR(__xludf.DUMMYFUNCTION("""COMPUTED_VALUE"""),"1*Vivek Kumar")</f>
        <v>1*Vivek Kumar</v>
      </c>
      <c r="M1443" s="14">
        <f>IFERROR(__xludf.DUMMYFUNCTION("SPLIT(L1443,""*"")"),1.0)</f>
        <v>1</v>
      </c>
      <c r="N1443" s="14" t="str">
        <f>IFERROR(__xludf.DUMMYFUNCTION("""COMPUTED_VALUE"""),"Vivek Kumar")</f>
        <v>Vivek Kumar</v>
      </c>
      <c r="O1443" s="14" t="str">
        <f>IFERROR(__xludf.DUMMYFUNCTION("split(J1443,""*"")"),"Cancelled")</f>
        <v>Cancelled</v>
      </c>
      <c r="P1443" s="14" t="str">
        <f>IFERROR(__xludf.DUMMYFUNCTION("""COMPUTED_VALUE"""),"Delayed Delivery:Incorrect Address or Location")</f>
        <v>Delayed Delivery:Incorrect Address or Location</v>
      </c>
      <c r="Q1443" s="14" t="str">
        <f>IFERROR(__xludf.DUMMYFUNCTION("split(P1443,"":"")"),"Delayed Delivery")</f>
        <v>Delayed Delivery</v>
      </c>
      <c r="R1443" s="14" t="str">
        <f>IFERROR(__xludf.DUMMYFUNCTION("""COMPUTED_VALUE"""),"Incorrect Address or Location")</f>
        <v>Incorrect Address or Location</v>
      </c>
      <c r="S1443" s="14" t="str">
        <f t="shared" ref="S1443:U1443" si="2889">trim(B1443)</f>
        <v>ord_71421</v>
      </c>
      <c r="T1443" s="14" t="str">
        <f t="shared" si="2889"/>
        <v>Omkar Mishra</v>
      </c>
      <c r="U1443" s="14" t="str">
        <f t="shared" si="2889"/>
        <v>Powai</v>
      </c>
      <c r="V1443" s="14" t="str">
        <f t="shared" si="4"/>
        <v>Sweet Corn</v>
      </c>
      <c r="W1443" s="14">
        <f t="shared" si="5"/>
        <v>1</v>
      </c>
      <c r="X1443" s="14" t="str">
        <f t="shared" si="6"/>
        <v>Vivek Kumar</v>
      </c>
      <c r="Y1443" s="15">
        <f t="shared" si="7"/>
        <v>45196</v>
      </c>
      <c r="Z1443" s="14" t="str">
        <f t="shared" si="8"/>
        <v>Credit Card</v>
      </c>
      <c r="AA1443" s="14" t="str">
        <f t="shared" si="9"/>
        <v>Cancelled</v>
      </c>
      <c r="AB1443" s="14" t="str">
        <f t="shared" ref="AB1443:AC1443" si="2890">trim(Q1443)</f>
        <v>Delayed Delivery</v>
      </c>
      <c r="AC1443" s="14" t="str">
        <f t="shared" si="2890"/>
        <v>Incorrect Address or Location</v>
      </c>
      <c r="AD1443" s="8"/>
    </row>
    <row r="1444">
      <c r="A1444" s="14" t="str">
        <f>IFERROR(__xludf.DUMMYFUNCTION("""COMPUTED_VALUE"""),"//ord_71422//Anaya Rao//Colaba//Chocolate Mousse+4*Not Assigned/3/11/2023//Credit Card//Cancelled*High Delivery Fees")</f>
        <v>//ord_71422//Anaya Rao//Colaba//Chocolate Mousse+4*Not Assigned/3/11/2023//Credit Card//Cancelled*High Delivery Fees</v>
      </c>
      <c r="B1444" s="14" t="str">
        <f>IFERROR(__xludf.DUMMYFUNCTION("split(A1444,""//"")"),"ord_71422")</f>
        <v>ord_71422</v>
      </c>
      <c r="C1444" s="14" t="str">
        <f>IFERROR(__xludf.DUMMYFUNCTION("""COMPUTED_VALUE"""),"Anaya Rao")</f>
        <v>Anaya Rao</v>
      </c>
      <c r="D1444" s="14" t="str">
        <f>IFERROR(__xludf.DUMMYFUNCTION("""COMPUTED_VALUE"""),"Colaba")</f>
        <v>Colaba</v>
      </c>
      <c r="E1444" s="14" t="str">
        <f>IFERROR(__xludf.DUMMYFUNCTION("""COMPUTED_VALUE"""),"Chocolate Mousse+4*Not Assigned")</f>
        <v>Chocolate Mousse+4*Not Assigned</v>
      </c>
      <c r="F1444" s="14">
        <f>IFERROR(__xludf.DUMMYFUNCTION("""COMPUTED_VALUE"""),3.0)</f>
        <v>3</v>
      </c>
      <c r="G1444" s="14">
        <f>IFERROR(__xludf.DUMMYFUNCTION("""COMPUTED_VALUE"""),11.0)</f>
        <v>11</v>
      </c>
      <c r="H1444" s="14">
        <f>IFERROR(__xludf.DUMMYFUNCTION("""COMPUTED_VALUE"""),2023.0)</f>
        <v>2023</v>
      </c>
      <c r="I1444" s="14" t="str">
        <f>IFERROR(__xludf.DUMMYFUNCTION("""COMPUTED_VALUE"""),"Credit Card")</f>
        <v>Credit Card</v>
      </c>
      <c r="J1444" s="14" t="str">
        <f>IFERROR(__xludf.DUMMYFUNCTION("""COMPUTED_VALUE"""),"Cancelled*High Delivery Fees")</f>
        <v>Cancelled*High Delivery Fees</v>
      </c>
      <c r="K1444" s="14" t="str">
        <f>IFERROR(__xludf.DUMMYFUNCTION("split(E1444,""+"")"),"Chocolate Mousse")</f>
        <v>Chocolate Mousse</v>
      </c>
      <c r="L1444" s="14" t="str">
        <f>IFERROR(__xludf.DUMMYFUNCTION("""COMPUTED_VALUE"""),"4*Not Assigned")</f>
        <v>4*Not Assigned</v>
      </c>
      <c r="M1444" s="14">
        <f>IFERROR(__xludf.DUMMYFUNCTION("SPLIT(L1444,""*"")"),4.0)</f>
        <v>4</v>
      </c>
      <c r="N1444" s="14" t="str">
        <f>IFERROR(__xludf.DUMMYFUNCTION("""COMPUTED_VALUE"""),"Not Assigned")</f>
        <v>Not Assigned</v>
      </c>
      <c r="O1444" s="14" t="str">
        <f>IFERROR(__xludf.DUMMYFUNCTION("split(J1444,""*"")"),"Cancelled")</f>
        <v>Cancelled</v>
      </c>
      <c r="P1444" s="14" t="str">
        <f>IFERROR(__xludf.DUMMYFUNCTION("""COMPUTED_VALUE"""),"High Delivery Fees")</f>
        <v>High Delivery Fees</v>
      </c>
      <c r="Q1444" s="14" t="str">
        <f>IFERROR(__xludf.DUMMYFUNCTION("split(P1444,"":"")"),"High Delivery Fees")</f>
        <v>High Delivery Fees</v>
      </c>
      <c r="R1444" s="14"/>
      <c r="S1444" s="14" t="str">
        <f t="shared" ref="S1444:U1444" si="2891">trim(B1444)</f>
        <v>ord_71422</v>
      </c>
      <c r="T1444" s="14" t="str">
        <f t="shared" si="2891"/>
        <v>Anaya Rao</v>
      </c>
      <c r="U1444" s="14" t="str">
        <f t="shared" si="2891"/>
        <v>Colaba</v>
      </c>
      <c r="V1444" s="14" t="str">
        <f t="shared" si="4"/>
        <v>Chocolate Mousse</v>
      </c>
      <c r="W1444" s="14">
        <f t="shared" si="5"/>
        <v>4</v>
      </c>
      <c r="X1444" s="14" t="str">
        <f t="shared" si="6"/>
        <v>Not Assigned</v>
      </c>
      <c r="Y1444" s="15">
        <f t="shared" si="7"/>
        <v>44996</v>
      </c>
      <c r="Z1444" s="14" t="str">
        <f t="shared" si="8"/>
        <v>Credit Card</v>
      </c>
      <c r="AA1444" s="14" t="str">
        <f t="shared" si="9"/>
        <v>Cancelled</v>
      </c>
      <c r="AB1444" s="14" t="str">
        <f t="shared" ref="AB1444:AC1444" si="2892">trim(Q1444)</f>
        <v>High Delivery Fees</v>
      </c>
      <c r="AC1444" s="14" t="str">
        <f t="shared" si="2892"/>
        <v/>
      </c>
      <c r="AD1444" s="8"/>
    </row>
    <row r="1445">
      <c r="A1445" s="14" t="str">
        <f>IFERROR(__xludf.DUMMYFUNCTION("""COMPUTED_VALUE"""),"//ord_71423//Tanishq Bansal//Powai//Chilli Cheese Toast+4*Not Assigned/2/7/2023//Credit Card//Cancelled*App Glitches:Error Messages")</f>
        <v>//ord_71423//Tanishq Bansal//Powai//Chilli Cheese Toast+4*Not Assigned/2/7/2023//Credit Card//Cancelled*App Glitches:Error Messages</v>
      </c>
      <c r="B1445" s="14" t="str">
        <f>IFERROR(__xludf.DUMMYFUNCTION("split(A1445,""//"")"),"ord_71423")</f>
        <v>ord_71423</v>
      </c>
      <c r="C1445" s="14" t="str">
        <f>IFERROR(__xludf.DUMMYFUNCTION("""COMPUTED_VALUE"""),"Tanishq Bansal")</f>
        <v>Tanishq Bansal</v>
      </c>
      <c r="D1445" s="14" t="str">
        <f>IFERROR(__xludf.DUMMYFUNCTION("""COMPUTED_VALUE"""),"Powai")</f>
        <v>Powai</v>
      </c>
      <c r="E1445" s="14" t="str">
        <f>IFERROR(__xludf.DUMMYFUNCTION("""COMPUTED_VALUE"""),"Chilli Cheese Toast+4*Not Assigned")</f>
        <v>Chilli Cheese Toast+4*Not Assigned</v>
      </c>
      <c r="F1445" s="14">
        <f>IFERROR(__xludf.DUMMYFUNCTION("""COMPUTED_VALUE"""),2.0)</f>
        <v>2</v>
      </c>
      <c r="G1445" s="14">
        <f>IFERROR(__xludf.DUMMYFUNCTION("""COMPUTED_VALUE"""),7.0)</f>
        <v>7</v>
      </c>
      <c r="H1445" s="14">
        <f>IFERROR(__xludf.DUMMYFUNCTION("""COMPUTED_VALUE"""),2023.0)</f>
        <v>2023</v>
      </c>
      <c r="I1445" s="14" t="str">
        <f>IFERROR(__xludf.DUMMYFUNCTION("""COMPUTED_VALUE"""),"Credit Card")</f>
        <v>Credit Card</v>
      </c>
      <c r="J1445" s="14" t="str">
        <f>IFERROR(__xludf.DUMMYFUNCTION("""COMPUTED_VALUE"""),"Cancelled*App Glitches:Error Messages")</f>
        <v>Cancelled*App Glitches:Error Messages</v>
      </c>
      <c r="K1445" s="14" t="str">
        <f>IFERROR(__xludf.DUMMYFUNCTION("split(E1445,""+"")"),"Chilli Cheese Toast")</f>
        <v>Chilli Cheese Toast</v>
      </c>
      <c r="L1445" s="14" t="str">
        <f>IFERROR(__xludf.DUMMYFUNCTION("""COMPUTED_VALUE"""),"4*Not Assigned")</f>
        <v>4*Not Assigned</v>
      </c>
      <c r="M1445" s="14">
        <f>IFERROR(__xludf.DUMMYFUNCTION("SPLIT(L1445,""*"")"),4.0)</f>
        <v>4</v>
      </c>
      <c r="N1445" s="14" t="str">
        <f>IFERROR(__xludf.DUMMYFUNCTION("""COMPUTED_VALUE"""),"Not Assigned")</f>
        <v>Not Assigned</v>
      </c>
      <c r="O1445" s="14" t="str">
        <f>IFERROR(__xludf.DUMMYFUNCTION("split(J1445,""*"")"),"Cancelled")</f>
        <v>Cancelled</v>
      </c>
      <c r="P1445" s="14" t="str">
        <f>IFERROR(__xludf.DUMMYFUNCTION("""COMPUTED_VALUE"""),"App Glitches:Error Messages")</f>
        <v>App Glitches:Error Messages</v>
      </c>
      <c r="Q1445" s="14" t="str">
        <f>IFERROR(__xludf.DUMMYFUNCTION("split(P1445,"":"")"),"App Glitches")</f>
        <v>App Glitches</v>
      </c>
      <c r="R1445" s="14" t="str">
        <f>IFERROR(__xludf.DUMMYFUNCTION("""COMPUTED_VALUE"""),"Error Messages")</f>
        <v>Error Messages</v>
      </c>
      <c r="S1445" s="14" t="str">
        <f t="shared" ref="S1445:U1445" si="2893">trim(B1445)</f>
        <v>ord_71423</v>
      </c>
      <c r="T1445" s="14" t="str">
        <f t="shared" si="2893"/>
        <v>Tanishq Bansal</v>
      </c>
      <c r="U1445" s="14" t="str">
        <f t="shared" si="2893"/>
        <v>Powai</v>
      </c>
      <c r="V1445" s="14" t="str">
        <f t="shared" si="4"/>
        <v>Chilli Cheese Toast</v>
      </c>
      <c r="W1445" s="14">
        <f t="shared" si="5"/>
        <v>4</v>
      </c>
      <c r="X1445" s="14" t="str">
        <f t="shared" si="6"/>
        <v>Not Assigned</v>
      </c>
      <c r="Y1445" s="15">
        <f t="shared" si="7"/>
        <v>44964</v>
      </c>
      <c r="Z1445" s="14" t="str">
        <f t="shared" si="8"/>
        <v>Credit Card</v>
      </c>
      <c r="AA1445" s="14" t="str">
        <f t="shared" si="9"/>
        <v>Cancelled</v>
      </c>
      <c r="AB1445" s="14" t="str">
        <f t="shared" ref="AB1445:AC1445" si="2894">trim(Q1445)</f>
        <v>App Glitches</v>
      </c>
      <c r="AC1445" s="14" t="str">
        <f t="shared" si="2894"/>
        <v>Error Messages</v>
      </c>
      <c r="AD1445" s="8"/>
    </row>
    <row r="1446">
      <c r="A1446" s="14" t="str">
        <f>IFERROR(__xludf.DUMMYFUNCTION("""COMPUTED_VALUE"""),"//ord_71424//Pallavi Ghosh//Bandra//Papaya+1*Venu R/5/9/2023//Credit Card//Delivered*On-time Delivery: Delivered on time")</f>
        <v>//ord_71424//Pallavi Ghosh//Bandra//Papaya+1*Venu R/5/9/2023//Credit Card//Delivered*On-time Delivery: Delivered on time</v>
      </c>
      <c r="B1446" s="14" t="str">
        <f>IFERROR(__xludf.DUMMYFUNCTION("split(A1446,""//"")"),"ord_71424")</f>
        <v>ord_71424</v>
      </c>
      <c r="C1446" s="14" t="str">
        <f>IFERROR(__xludf.DUMMYFUNCTION("""COMPUTED_VALUE"""),"Pallavi Ghosh")</f>
        <v>Pallavi Ghosh</v>
      </c>
      <c r="D1446" s="14" t="str">
        <f>IFERROR(__xludf.DUMMYFUNCTION("""COMPUTED_VALUE"""),"Bandra")</f>
        <v>Bandra</v>
      </c>
      <c r="E1446" s="14" t="str">
        <f>IFERROR(__xludf.DUMMYFUNCTION("""COMPUTED_VALUE"""),"Papaya+1*Venu R")</f>
        <v>Papaya+1*Venu R</v>
      </c>
      <c r="F1446" s="14">
        <f>IFERROR(__xludf.DUMMYFUNCTION("""COMPUTED_VALUE"""),5.0)</f>
        <v>5</v>
      </c>
      <c r="G1446" s="14">
        <f>IFERROR(__xludf.DUMMYFUNCTION("""COMPUTED_VALUE"""),9.0)</f>
        <v>9</v>
      </c>
      <c r="H1446" s="14">
        <f>IFERROR(__xludf.DUMMYFUNCTION("""COMPUTED_VALUE"""),2023.0)</f>
        <v>2023</v>
      </c>
      <c r="I1446" s="14" t="str">
        <f>IFERROR(__xludf.DUMMYFUNCTION("""COMPUTED_VALUE"""),"Credit Card")</f>
        <v>Credit Card</v>
      </c>
      <c r="J1446" s="14" t="str">
        <f>IFERROR(__xludf.DUMMYFUNCTION("""COMPUTED_VALUE"""),"Delivered*On-time Delivery: Delivered on time")</f>
        <v>Delivered*On-time Delivery: Delivered on time</v>
      </c>
      <c r="K1446" s="14" t="str">
        <f>IFERROR(__xludf.DUMMYFUNCTION("split(E1446,""+"")"),"Papaya")</f>
        <v>Papaya</v>
      </c>
      <c r="L1446" s="14" t="str">
        <f>IFERROR(__xludf.DUMMYFUNCTION("""COMPUTED_VALUE"""),"1*Venu R")</f>
        <v>1*Venu R</v>
      </c>
      <c r="M1446" s="14">
        <f>IFERROR(__xludf.DUMMYFUNCTION("SPLIT(L1446,""*"")"),1.0)</f>
        <v>1</v>
      </c>
      <c r="N1446" s="14" t="str">
        <f>IFERROR(__xludf.DUMMYFUNCTION("""COMPUTED_VALUE"""),"Venu R")</f>
        <v>Venu R</v>
      </c>
      <c r="O1446" s="14" t="str">
        <f>IFERROR(__xludf.DUMMYFUNCTION("split(J1446,""*"")"),"Delivered")</f>
        <v>Delivered</v>
      </c>
      <c r="P1446" s="14" t="str">
        <f>IFERROR(__xludf.DUMMYFUNCTION("""COMPUTED_VALUE"""),"On-time Delivery: Delivered on time")</f>
        <v>On-time Delivery: Delivered on time</v>
      </c>
      <c r="Q1446" s="14" t="str">
        <f>IFERROR(__xludf.DUMMYFUNCTION("split(P1446,"":"")"),"On-time Delivery")</f>
        <v>On-time Delivery</v>
      </c>
      <c r="R1446" s="14" t="str">
        <f>IFERROR(__xludf.DUMMYFUNCTION("""COMPUTED_VALUE""")," Delivered on time")</f>
        <v> Delivered on time</v>
      </c>
      <c r="S1446" s="14" t="str">
        <f t="shared" ref="S1446:U1446" si="2895">trim(B1446)</f>
        <v>ord_71424</v>
      </c>
      <c r="T1446" s="14" t="str">
        <f t="shared" si="2895"/>
        <v>Pallavi Ghosh</v>
      </c>
      <c r="U1446" s="14" t="str">
        <f t="shared" si="2895"/>
        <v>Bandra</v>
      </c>
      <c r="V1446" s="14" t="str">
        <f t="shared" si="4"/>
        <v>Papaya</v>
      </c>
      <c r="W1446" s="14">
        <f t="shared" si="5"/>
        <v>1</v>
      </c>
      <c r="X1446" s="14" t="str">
        <f t="shared" si="6"/>
        <v>Venu R</v>
      </c>
      <c r="Y1446" s="15">
        <f t="shared" si="7"/>
        <v>45055</v>
      </c>
      <c r="Z1446" s="14" t="str">
        <f t="shared" si="8"/>
        <v>Credit Card</v>
      </c>
      <c r="AA1446" s="14" t="str">
        <f t="shared" si="9"/>
        <v>Delivered</v>
      </c>
      <c r="AB1446" s="14" t="str">
        <f t="shared" ref="AB1446:AC1446" si="2896">trim(Q1446)</f>
        <v>On-time Delivery</v>
      </c>
      <c r="AC1446" s="14" t="str">
        <f t="shared" si="2896"/>
        <v>Delivered on time</v>
      </c>
      <c r="AD1446" s="8"/>
    </row>
    <row r="1447">
      <c r="A1447" s="14" t="str">
        <f>IFERROR(__xludf.DUMMYFUNCTION("""COMPUTED_VALUE"""),"//ord_71425//Siya Reddy//Juhu//Chilli Cheese Toast+2*Vivek Kumar/8/2/2023//COD//Delivered*Quality of Items: Perfect condition")</f>
        <v>//ord_71425//Siya Reddy//Juhu//Chilli Cheese Toast+2*Vivek Kumar/8/2/2023//COD//Delivered*Quality of Items: Perfect condition</v>
      </c>
      <c r="B1447" s="14" t="str">
        <f>IFERROR(__xludf.DUMMYFUNCTION("split(A1447,""//"")"),"ord_71425")</f>
        <v>ord_71425</v>
      </c>
      <c r="C1447" s="14" t="str">
        <f>IFERROR(__xludf.DUMMYFUNCTION("""COMPUTED_VALUE"""),"Siya Reddy")</f>
        <v>Siya Reddy</v>
      </c>
      <c r="D1447" s="14" t="str">
        <f>IFERROR(__xludf.DUMMYFUNCTION("""COMPUTED_VALUE"""),"Juhu")</f>
        <v>Juhu</v>
      </c>
      <c r="E1447" s="14" t="str">
        <f>IFERROR(__xludf.DUMMYFUNCTION("""COMPUTED_VALUE"""),"Chilli Cheese Toast+2*Vivek Kumar")</f>
        <v>Chilli Cheese Toast+2*Vivek Kumar</v>
      </c>
      <c r="F1447" s="14">
        <f>IFERROR(__xludf.DUMMYFUNCTION("""COMPUTED_VALUE"""),8.0)</f>
        <v>8</v>
      </c>
      <c r="G1447" s="14">
        <f>IFERROR(__xludf.DUMMYFUNCTION("""COMPUTED_VALUE"""),2.0)</f>
        <v>2</v>
      </c>
      <c r="H1447" s="14">
        <f>IFERROR(__xludf.DUMMYFUNCTION("""COMPUTED_VALUE"""),2023.0)</f>
        <v>2023</v>
      </c>
      <c r="I1447" s="14" t="str">
        <f>IFERROR(__xludf.DUMMYFUNCTION("""COMPUTED_VALUE"""),"COD")</f>
        <v>COD</v>
      </c>
      <c r="J1447" s="14" t="str">
        <f>IFERROR(__xludf.DUMMYFUNCTION("""COMPUTED_VALUE"""),"Delivered*Quality of Items: Perfect condition")</f>
        <v>Delivered*Quality of Items: Perfect condition</v>
      </c>
      <c r="K1447" s="14" t="str">
        <f>IFERROR(__xludf.DUMMYFUNCTION("split(E1447,""+"")"),"Chilli Cheese Toast")</f>
        <v>Chilli Cheese Toast</v>
      </c>
      <c r="L1447" s="14" t="str">
        <f>IFERROR(__xludf.DUMMYFUNCTION("""COMPUTED_VALUE"""),"2*Vivek Kumar")</f>
        <v>2*Vivek Kumar</v>
      </c>
      <c r="M1447" s="14">
        <f>IFERROR(__xludf.DUMMYFUNCTION("SPLIT(L1447,""*"")"),2.0)</f>
        <v>2</v>
      </c>
      <c r="N1447" s="14" t="str">
        <f>IFERROR(__xludf.DUMMYFUNCTION("""COMPUTED_VALUE"""),"Vivek Kumar")</f>
        <v>Vivek Kumar</v>
      </c>
      <c r="O1447" s="14" t="str">
        <f>IFERROR(__xludf.DUMMYFUNCTION("split(J1447,""*"")"),"Delivered")</f>
        <v>Delivered</v>
      </c>
      <c r="P1447" s="14" t="str">
        <f>IFERROR(__xludf.DUMMYFUNCTION("""COMPUTED_VALUE"""),"Quality of Items: Perfect condition")</f>
        <v>Quality of Items: Perfect condition</v>
      </c>
      <c r="Q1447" s="14" t="str">
        <f>IFERROR(__xludf.DUMMYFUNCTION("split(P1447,"":"")"),"Quality of Items")</f>
        <v>Quality of Items</v>
      </c>
      <c r="R1447" s="14" t="str">
        <f>IFERROR(__xludf.DUMMYFUNCTION("""COMPUTED_VALUE""")," Perfect condition")</f>
        <v> Perfect condition</v>
      </c>
      <c r="S1447" s="14" t="str">
        <f t="shared" ref="S1447:U1447" si="2897">trim(B1447)</f>
        <v>ord_71425</v>
      </c>
      <c r="T1447" s="14" t="str">
        <f t="shared" si="2897"/>
        <v>Siya Reddy</v>
      </c>
      <c r="U1447" s="14" t="str">
        <f t="shared" si="2897"/>
        <v>Juhu</v>
      </c>
      <c r="V1447" s="14" t="str">
        <f t="shared" si="4"/>
        <v>Chilli Cheese Toast</v>
      </c>
      <c r="W1447" s="14">
        <f t="shared" si="5"/>
        <v>2</v>
      </c>
      <c r="X1447" s="14" t="str">
        <f t="shared" si="6"/>
        <v>Vivek Kumar</v>
      </c>
      <c r="Y1447" s="15">
        <f t="shared" si="7"/>
        <v>45140</v>
      </c>
      <c r="Z1447" s="14" t="str">
        <f t="shared" si="8"/>
        <v>COD</v>
      </c>
      <c r="AA1447" s="14" t="str">
        <f t="shared" si="9"/>
        <v>Delivered</v>
      </c>
      <c r="AB1447" s="14" t="str">
        <f t="shared" ref="AB1447:AC1447" si="2898">trim(Q1447)</f>
        <v>Quality of Items</v>
      </c>
      <c r="AC1447" s="14" t="str">
        <f t="shared" si="2898"/>
        <v>Perfect condition</v>
      </c>
      <c r="AD1447" s="8"/>
    </row>
    <row r="1448">
      <c r="A1448" s="14" t="str">
        <f>IFERROR(__xludf.DUMMYFUNCTION("""COMPUTED_VALUE"""),"//ord_71426//Tanishq Bansal//Powai//Cucumber+1*Ramesh S/1/26/2023//COD//Delivered*On-time Delivery: Delivered on time")</f>
        <v>//ord_71426//Tanishq Bansal//Powai//Cucumber+1*Ramesh S/1/26/2023//COD//Delivered*On-time Delivery: Delivered on time</v>
      </c>
      <c r="B1448" s="14" t="str">
        <f>IFERROR(__xludf.DUMMYFUNCTION("split(A1448,""//"")"),"ord_71426")</f>
        <v>ord_71426</v>
      </c>
      <c r="C1448" s="14" t="str">
        <f>IFERROR(__xludf.DUMMYFUNCTION("""COMPUTED_VALUE"""),"Tanishq Bansal")</f>
        <v>Tanishq Bansal</v>
      </c>
      <c r="D1448" s="14" t="str">
        <f>IFERROR(__xludf.DUMMYFUNCTION("""COMPUTED_VALUE"""),"Powai")</f>
        <v>Powai</v>
      </c>
      <c r="E1448" s="14" t="str">
        <f>IFERROR(__xludf.DUMMYFUNCTION("""COMPUTED_VALUE"""),"Cucumber+1*Ramesh S")</f>
        <v>Cucumber+1*Ramesh S</v>
      </c>
      <c r="F1448" s="14">
        <f>IFERROR(__xludf.DUMMYFUNCTION("""COMPUTED_VALUE"""),1.0)</f>
        <v>1</v>
      </c>
      <c r="G1448" s="14">
        <f>IFERROR(__xludf.DUMMYFUNCTION("""COMPUTED_VALUE"""),26.0)</f>
        <v>26</v>
      </c>
      <c r="H1448" s="14">
        <f>IFERROR(__xludf.DUMMYFUNCTION("""COMPUTED_VALUE"""),2023.0)</f>
        <v>2023</v>
      </c>
      <c r="I1448" s="14" t="str">
        <f>IFERROR(__xludf.DUMMYFUNCTION("""COMPUTED_VALUE"""),"COD")</f>
        <v>COD</v>
      </c>
      <c r="J1448" s="14" t="str">
        <f>IFERROR(__xludf.DUMMYFUNCTION("""COMPUTED_VALUE"""),"Delivered*On-time Delivery: Delivered on time")</f>
        <v>Delivered*On-time Delivery: Delivered on time</v>
      </c>
      <c r="K1448" s="14" t="str">
        <f>IFERROR(__xludf.DUMMYFUNCTION("split(E1448,""+"")"),"Cucumber")</f>
        <v>Cucumber</v>
      </c>
      <c r="L1448" s="14" t="str">
        <f>IFERROR(__xludf.DUMMYFUNCTION("""COMPUTED_VALUE"""),"1*Ramesh S")</f>
        <v>1*Ramesh S</v>
      </c>
      <c r="M1448" s="14">
        <f>IFERROR(__xludf.DUMMYFUNCTION("SPLIT(L1448,""*"")"),1.0)</f>
        <v>1</v>
      </c>
      <c r="N1448" s="14" t="str">
        <f>IFERROR(__xludf.DUMMYFUNCTION("""COMPUTED_VALUE"""),"Ramesh S")</f>
        <v>Ramesh S</v>
      </c>
      <c r="O1448" s="14" t="str">
        <f>IFERROR(__xludf.DUMMYFUNCTION("split(J1448,""*"")"),"Delivered")</f>
        <v>Delivered</v>
      </c>
      <c r="P1448" s="14" t="str">
        <f>IFERROR(__xludf.DUMMYFUNCTION("""COMPUTED_VALUE"""),"On-time Delivery: Delivered on time")</f>
        <v>On-time Delivery: Delivered on time</v>
      </c>
      <c r="Q1448" s="14" t="str">
        <f>IFERROR(__xludf.DUMMYFUNCTION("split(P1448,"":"")"),"On-time Delivery")</f>
        <v>On-time Delivery</v>
      </c>
      <c r="R1448" s="14" t="str">
        <f>IFERROR(__xludf.DUMMYFUNCTION("""COMPUTED_VALUE""")," Delivered on time")</f>
        <v> Delivered on time</v>
      </c>
      <c r="S1448" s="14" t="str">
        <f t="shared" ref="S1448:U1448" si="2899">trim(B1448)</f>
        <v>ord_71426</v>
      </c>
      <c r="T1448" s="14" t="str">
        <f t="shared" si="2899"/>
        <v>Tanishq Bansal</v>
      </c>
      <c r="U1448" s="14" t="str">
        <f t="shared" si="2899"/>
        <v>Powai</v>
      </c>
      <c r="V1448" s="14" t="str">
        <f t="shared" si="4"/>
        <v>Cucumber</v>
      </c>
      <c r="W1448" s="14">
        <f t="shared" si="5"/>
        <v>1</v>
      </c>
      <c r="X1448" s="14" t="str">
        <f t="shared" si="6"/>
        <v>Ramesh S</v>
      </c>
      <c r="Y1448" s="15">
        <f t="shared" si="7"/>
        <v>44952</v>
      </c>
      <c r="Z1448" s="14" t="str">
        <f t="shared" si="8"/>
        <v>COD</v>
      </c>
      <c r="AA1448" s="14" t="str">
        <f t="shared" si="9"/>
        <v>Delivered</v>
      </c>
      <c r="AB1448" s="14" t="str">
        <f t="shared" ref="AB1448:AC1448" si="2900">trim(Q1448)</f>
        <v>On-time Delivery</v>
      </c>
      <c r="AC1448" s="14" t="str">
        <f t="shared" si="2900"/>
        <v>Delivered on time</v>
      </c>
      <c r="AD1448" s="8"/>
    </row>
    <row r="1449">
      <c r="A1449" s="14" t="str">
        <f>IFERROR(__xludf.DUMMYFUNCTION("""COMPUTED_VALUE"""),"//ord_71427//Dev Chauhan//Bandra//Guava+2*Not Assigned/2/4/2023//Credit Card//Cancelled*Payment Issues")</f>
        <v>//ord_71427//Dev Chauhan//Bandra//Guava+2*Not Assigned/2/4/2023//Credit Card//Cancelled*Payment Issues</v>
      </c>
      <c r="B1449" s="14" t="str">
        <f>IFERROR(__xludf.DUMMYFUNCTION("split(A1449,""//"")"),"ord_71427")</f>
        <v>ord_71427</v>
      </c>
      <c r="C1449" s="14" t="str">
        <f>IFERROR(__xludf.DUMMYFUNCTION("""COMPUTED_VALUE"""),"Dev Chauhan")</f>
        <v>Dev Chauhan</v>
      </c>
      <c r="D1449" s="14" t="str">
        <f>IFERROR(__xludf.DUMMYFUNCTION("""COMPUTED_VALUE"""),"Bandra")</f>
        <v>Bandra</v>
      </c>
      <c r="E1449" s="14" t="str">
        <f>IFERROR(__xludf.DUMMYFUNCTION("""COMPUTED_VALUE"""),"Guava+2*Not Assigned")</f>
        <v>Guava+2*Not Assigned</v>
      </c>
      <c r="F1449" s="14">
        <f>IFERROR(__xludf.DUMMYFUNCTION("""COMPUTED_VALUE"""),2.0)</f>
        <v>2</v>
      </c>
      <c r="G1449" s="14">
        <f>IFERROR(__xludf.DUMMYFUNCTION("""COMPUTED_VALUE"""),4.0)</f>
        <v>4</v>
      </c>
      <c r="H1449" s="14">
        <f>IFERROR(__xludf.DUMMYFUNCTION("""COMPUTED_VALUE"""),2023.0)</f>
        <v>2023</v>
      </c>
      <c r="I1449" s="14" t="str">
        <f>IFERROR(__xludf.DUMMYFUNCTION("""COMPUTED_VALUE"""),"Credit Card")</f>
        <v>Credit Card</v>
      </c>
      <c r="J1449" s="14" t="str">
        <f>IFERROR(__xludf.DUMMYFUNCTION("""COMPUTED_VALUE"""),"Cancelled*Payment Issues")</f>
        <v>Cancelled*Payment Issues</v>
      </c>
      <c r="K1449" s="14" t="str">
        <f>IFERROR(__xludf.DUMMYFUNCTION("split(E1449,""+"")"),"Guava")</f>
        <v>Guava</v>
      </c>
      <c r="L1449" s="14" t="str">
        <f>IFERROR(__xludf.DUMMYFUNCTION("""COMPUTED_VALUE"""),"2*Not Assigned")</f>
        <v>2*Not Assigned</v>
      </c>
      <c r="M1449" s="14">
        <f>IFERROR(__xludf.DUMMYFUNCTION("SPLIT(L1449,""*"")"),2.0)</f>
        <v>2</v>
      </c>
      <c r="N1449" s="14" t="str">
        <f>IFERROR(__xludf.DUMMYFUNCTION("""COMPUTED_VALUE"""),"Not Assigned")</f>
        <v>Not Assigned</v>
      </c>
      <c r="O1449" s="14" t="str">
        <f>IFERROR(__xludf.DUMMYFUNCTION("split(J1449,""*"")"),"Cancelled")</f>
        <v>Cancelled</v>
      </c>
      <c r="P1449" s="14" t="str">
        <f>IFERROR(__xludf.DUMMYFUNCTION("""COMPUTED_VALUE"""),"Payment Issues")</f>
        <v>Payment Issues</v>
      </c>
      <c r="Q1449" s="14" t="str">
        <f>IFERROR(__xludf.DUMMYFUNCTION("split(P1449,"":"")"),"Payment Issues")</f>
        <v>Payment Issues</v>
      </c>
      <c r="R1449" s="14"/>
      <c r="S1449" s="14" t="str">
        <f t="shared" ref="S1449:U1449" si="2901">trim(B1449)</f>
        <v>ord_71427</v>
      </c>
      <c r="T1449" s="14" t="str">
        <f t="shared" si="2901"/>
        <v>Dev Chauhan</v>
      </c>
      <c r="U1449" s="14" t="str">
        <f t="shared" si="2901"/>
        <v>Bandra</v>
      </c>
      <c r="V1449" s="14" t="str">
        <f t="shared" si="4"/>
        <v>Guava</v>
      </c>
      <c r="W1449" s="14">
        <f t="shared" si="5"/>
        <v>2</v>
      </c>
      <c r="X1449" s="14" t="str">
        <f t="shared" si="6"/>
        <v>Not Assigned</v>
      </c>
      <c r="Y1449" s="15">
        <f t="shared" si="7"/>
        <v>44961</v>
      </c>
      <c r="Z1449" s="14" t="str">
        <f t="shared" si="8"/>
        <v>Credit Card</v>
      </c>
      <c r="AA1449" s="14" t="str">
        <f t="shared" si="9"/>
        <v>Cancelled</v>
      </c>
      <c r="AB1449" s="14" t="str">
        <f t="shared" ref="AB1449:AC1449" si="2902">trim(Q1449)</f>
        <v>Payment Issues</v>
      </c>
      <c r="AC1449" s="14" t="str">
        <f t="shared" si="2902"/>
        <v/>
      </c>
      <c r="AD1449" s="8"/>
    </row>
    <row r="1450">
      <c r="A1450" s="14" t="str">
        <f>IFERROR(__xludf.DUMMYFUNCTION("""COMPUTED_VALUE"""),"//ord_71428//Tanishq Bansal//Powai//Icecream+1*Not Assigned/7/19/2023//UPI//Cancelled*App Glitches:Slow Loading Time")</f>
        <v>//ord_71428//Tanishq Bansal//Powai//Icecream+1*Not Assigned/7/19/2023//UPI//Cancelled*App Glitches:Slow Loading Time</v>
      </c>
      <c r="B1450" s="14" t="str">
        <f>IFERROR(__xludf.DUMMYFUNCTION("split(A1450,""//"")"),"ord_71428")</f>
        <v>ord_71428</v>
      </c>
      <c r="C1450" s="14" t="str">
        <f>IFERROR(__xludf.DUMMYFUNCTION("""COMPUTED_VALUE"""),"Tanishq Bansal")</f>
        <v>Tanishq Bansal</v>
      </c>
      <c r="D1450" s="14" t="str">
        <f>IFERROR(__xludf.DUMMYFUNCTION("""COMPUTED_VALUE"""),"Powai")</f>
        <v>Powai</v>
      </c>
      <c r="E1450" s="14" t="str">
        <f>IFERROR(__xludf.DUMMYFUNCTION("""COMPUTED_VALUE"""),"Icecream+1*Not Assigned")</f>
        <v>Icecream+1*Not Assigned</v>
      </c>
      <c r="F1450" s="14">
        <f>IFERROR(__xludf.DUMMYFUNCTION("""COMPUTED_VALUE"""),7.0)</f>
        <v>7</v>
      </c>
      <c r="G1450" s="14">
        <f>IFERROR(__xludf.DUMMYFUNCTION("""COMPUTED_VALUE"""),19.0)</f>
        <v>19</v>
      </c>
      <c r="H1450" s="14">
        <f>IFERROR(__xludf.DUMMYFUNCTION("""COMPUTED_VALUE"""),2023.0)</f>
        <v>2023</v>
      </c>
      <c r="I1450" s="14" t="str">
        <f>IFERROR(__xludf.DUMMYFUNCTION("""COMPUTED_VALUE"""),"UPI")</f>
        <v>UPI</v>
      </c>
      <c r="J1450" s="14" t="str">
        <f>IFERROR(__xludf.DUMMYFUNCTION("""COMPUTED_VALUE"""),"Cancelled*App Glitches:Slow Loading Time")</f>
        <v>Cancelled*App Glitches:Slow Loading Time</v>
      </c>
      <c r="K1450" s="14" t="str">
        <f>IFERROR(__xludf.DUMMYFUNCTION("split(E1450,""+"")"),"Icecream")</f>
        <v>Icecream</v>
      </c>
      <c r="L1450" s="14" t="str">
        <f>IFERROR(__xludf.DUMMYFUNCTION("""COMPUTED_VALUE"""),"1*Not Assigned")</f>
        <v>1*Not Assigned</v>
      </c>
      <c r="M1450" s="14">
        <f>IFERROR(__xludf.DUMMYFUNCTION("SPLIT(L1450,""*"")"),1.0)</f>
        <v>1</v>
      </c>
      <c r="N1450" s="14" t="str">
        <f>IFERROR(__xludf.DUMMYFUNCTION("""COMPUTED_VALUE"""),"Not Assigned")</f>
        <v>Not Assigned</v>
      </c>
      <c r="O1450" s="14" t="str">
        <f>IFERROR(__xludf.DUMMYFUNCTION("split(J1450,""*"")"),"Cancelled")</f>
        <v>Cancelled</v>
      </c>
      <c r="P1450" s="14" t="str">
        <f>IFERROR(__xludf.DUMMYFUNCTION("""COMPUTED_VALUE"""),"App Glitches:Slow Loading Time")</f>
        <v>App Glitches:Slow Loading Time</v>
      </c>
      <c r="Q1450" s="14" t="str">
        <f>IFERROR(__xludf.DUMMYFUNCTION("split(P1450,"":"")"),"App Glitches")</f>
        <v>App Glitches</v>
      </c>
      <c r="R1450" s="14" t="str">
        <f>IFERROR(__xludf.DUMMYFUNCTION("""COMPUTED_VALUE"""),"Slow Loading Time")</f>
        <v>Slow Loading Time</v>
      </c>
      <c r="S1450" s="14" t="str">
        <f t="shared" ref="S1450:U1450" si="2903">trim(B1450)</f>
        <v>ord_71428</v>
      </c>
      <c r="T1450" s="14" t="str">
        <f t="shared" si="2903"/>
        <v>Tanishq Bansal</v>
      </c>
      <c r="U1450" s="14" t="str">
        <f t="shared" si="2903"/>
        <v>Powai</v>
      </c>
      <c r="V1450" s="14" t="str">
        <f t="shared" si="4"/>
        <v>Icecream</v>
      </c>
      <c r="W1450" s="14">
        <f t="shared" si="5"/>
        <v>1</v>
      </c>
      <c r="X1450" s="14" t="str">
        <f t="shared" si="6"/>
        <v>Not Assigned</v>
      </c>
      <c r="Y1450" s="15">
        <f t="shared" si="7"/>
        <v>45126</v>
      </c>
      <c r="Z1450" s="14" t="str">
        <f t="shared" si="8"/>
        <v>UPI</v>
      </c>
      <c r="AA1450" s="14" t="str">
        <f t="shared" si="9"/>
        <v>Cancelled</v>
      </c>
      <c r="AB1450" s="14" t="str">
        <f t="shared" ref="AB1450:AC1450" si="2904">trim(Q1450)</f>
        <v>App Glitches</v>
      </c>
      <c r="AC1450" s="14" t="str">
        <f t="shared" si="2904"/>
        <v>Slow Loading Time</v>
      </c>
      <c r="AD1450" s="8"/>
    </row>
    <row r="1451">
      <c r="A1451" s="14" t="str">
        <f>IFERROR(__xludf.DUMMYFUNCTION("""COMPUTED_VALUE"""),"//ord_71429//Pallavi Ghosh//Bandra//Onion+2*Not Assigned/5/20/2023//Online Payment//Cancelled*App Glitches: Inconsistent Data Display")</f>
        <v>//ord_71429//Pallavi Ghosh//Bandra//Onion+2*Not Assigned/5/20/2023//Online Payment//Cancelled*App Glitches: Inconsistent Data Display</v>
      </c>
      <c r="B1451" s="14" t="str">
        <f>IFERROR(__xludf.DUMMYFUNCTION("split(A1451,""//"")"),"ord_71429")</f>
        <v>ord_71429</v>
      </c>
      <c r="C1451" s="14" t="str">
        <f>IFERROR(__xludf.DUMMYFUNCTION("""COMPUTED_VALUE"""),"Pallavi Ghosh")</f>
        <v>Pallavi Ghosh</v>
      </c>
      <c r="D1451" s="14" t="str">
        <f>IFERROR(__xludf.DUMMYFUNCTION("""COMPUTED_VALUE"""),"Bandra")</f>
        <v>Bandra</v>
      </c>
      <c r="E1451" s="14" t="str">
        <f>IFERROR(__xludf.DUMMYFUNCTION("""COMPUTED_VALUE"""),"Onion+2*Not Assigned")</f>
        <v>Onion+2*Not Assigned</v>
      </c>
      <c r="F1451" s="14">
        <f>IFERROR(__xludf.DUMMYFUNCTION("""COMPUTED_VALUE"""),5.0)</f>
        <v>5</v>
      </c>
      <c r="G1451" s="14">
        <f>IFERROR(__xludf.DUMMYFUNCTION("""COMPUTED_VALUE"""),20.0)</f>
        <v>20</v>
      </c>
      <c r="H1451" s="14">
        <f>IFERROR(__xludf.DUMMYFUNCTION("""COMPUTED_VALUE"""),2023.0)</f>
        <v>2023</v>
      </c>
      <c r="I1451" s="14" t="str">
        <f>IFERROR(__xludf.DUMMYFUNCTION("""COMPUTED_VALUE"""),"Online Payment")</f>
        <v>Online Payment</v>
      </c>
      <c r="J1451" s="14" t="str">
        <f>IFERROR(__xludf.DUMMYFUNCTION("""COMPUTED_VALUE"""),"Cancelled*App Glitches: Inconsistent Data Display")</f>
        <v>Cancelled*App Glitches: Inconsistent Data Display</v>
      </c>
      <c r="K1451" s="14" t="str">
        <f>IFERROR(__xludf.DUMMYFUNCTION("split(E1451,""+"")"),"Onion")</f>
        <v>Onion</v>
      </c>
      <c r="L1451" s="14" t="str">
        <f>IFERROR(__xludf.DUMMYFUNCTION("""COMPUTED_VALUE"""),"2*Not Assigned")</f>
        <v>2*Not Assigned</v>
      </c>
      <c r="M1451" s="14">
        <f>IFERROR(__xludf.DUMMYFUNCTION("SPLIT(L1451,""*"")"),2.0)</f>
        <v>2</v>
      </c>
      <c r="N1451" s="14" t="str">
        <f>IFERROR(__xludf.DUMMYFUNCTION("""COMPUTED_VALUE"""),"Not Assigned")</f>
        <v>Not Assigned</v>
      </c>
      <c r="O1451" s="14" t="str">
        <f>IFERROR(__xludf.DUMMYFUNCTION("split(J1451,""*"")"),"Cancelled")</f>
        <v>Cancelled</v>
      </c>
      <c r="P1451" s="14" t="str">
        <f>IFERROR(__xludf.DUMMYFUNCTION("""COMPUTED_VALUE"""),"App Glitches: Inconsistent Data Display")</f>
        <v>App Glitches: Inconsistent Data Display</v>
      </c>
      <c r="Q1451" s="14" t="str">
        <f>IFERROR(__xludf.DUMMYFUNCTION("split(P1451,"":"")"),"App Glitches")</f>
        <v>App Glitches</v>
      </c>
      <c r="R1451" s="14" t="str">
        <f>IFERROR(__xludf.DUMMYFUNCTION("""COMPUTED_VALUE""")," Inconsistent Data Display")</f>
        <v> Inconsistent Data Display</v>
      </c>
      <c r="S1451" s="14" t="str">
        <f t="shared" ref="S1451:U1451" si="2905">trim(B1451)</f>
        <v>ord_71429</v>
      </c>
      <c r="T1451" s="14" t="str">
        <f t="shared" si="2905"/>
        <v>Pallavi Ghosh</v>
      </c>
      <c r="U1451" s="14" t="str">
        <f t="shared" si="2905"/>
        <v>Bandra</v>
      </c>
      <c r="V1451" s="14" t="str">
        <f t="shared" si="4"/>
        <v>Onion</v>
      </c>
      <c r="W1451" s="14">
        <f t="shared" si="5"/>
        <v>2</v>
      </c>
      <c r="X1451" s="14" t="str">
        <f t="shared" si="6"/>
        <v>Not Assigned</v>
      </c>
      <c r="Y1451" s="15">
        <f t="shared" si="7"/>
        <v>45066</v>
      </c>
      <c r="Z1451" s="14" t="str">
        <f t="shared" si="8"/>
        <v>Online Payment</v>
      </c>
      <c r="AA1451" s="14" t="str">
        <f t="shared" si="9"/>
        <v>Cancelled</v>
      </c>
      <c r="AB1451" s="14" t="str">
        <f t="shared" ref="AB1451:AC1451" si="2906">trim(Q1451)</f>
        <v>App Glitches</v>
      </c>
      <c r="AC1451" s="14" t="str">
        <f t="shared" si="2906"/>
        <v>Inconsistent Data Display</v>
      </c>
      <c r="AD1451" s="8"/>
    </row>
    <row r="1452">
      <c r="A1452" s="14" t="str">
        <f>IFERROR(__xludf.DUMMYFUNCTION("""COMPUTED_VALUE"""),"//ord_71430//Diya Arora//Lower Parel//Chocolate Mousse+3*Kiran Mehta/5/13/2023//UPI//Delivered*Quality of Items: Perfect condition")</f>
        <v>//ord_71430//Diya Arora//Lower Parel//Chocolate Mousse+3*Kiran Mehta/5/13/2023//UPI//Delivered*Quality of Items: Perfect condition</v>
      </c>
      <c r="B1452" s="14" t="str">
        <f>IFERROR(__xludf.DUMMYFUNCTION("split(A1452,""//"")"),"ord_71430")</f>
        <v>ord_71430</v>
      </c>
      <c r="C1452" s="14" t="str">
        <f>IFERROR(__xludf.DUMMYFUNCTION("""COMPUTED_VALUE"""),"Diya Arora")</f>
        <v>Diya Arora</v>
      </c>
      <c r="D1452" s="14" t="str">
        <f>IFERROR(__xludf.DUMMYFUNCTION("""COMPUTED_VALUE"""),"Lower Parel")</f>
        <v>Lower Parel</v>
      </c>
      <c r="E1452" s="14" t="str">
        <f>IFERROR(__xludf.DUMMYFUNCTION("""COMPUTED_VALUE"""),"Chocolate Mousse+3*Kiran Mehta")</f>
        <v>Chocolate Mousse+3*Kiran Mehta</v>
      </c>
      <c r="F1452" s="14">
        <f>IFERROR(__xludf.DUMMYFUNCTION("""COMPUTED_VALUE"""),5.0)</f>
        <v>5</v>
      </c>
      <c r="G1452" s="14">
        <f>IFERROR(__xludf.DUMMYFUNCTION("""COMPUTED_VALUE"""),13.0)</f>
        <v>13</v>
      </c>
      <c r="H1452" s="14">
        <f>IFERROR(__xludf.DUMMYFUNCTION("""COMPUTED_VALUE"""),2023.0)</f>
        <v>2023</v>
      </c>
      <c r="I1452" s="14" t="str">
        <f>IFERROR(__xludf.DUMMYFUNCTION("""COMPUTED_VALUE"""),"UPI")</f>
        <v>UPI</v>
      </c>
      <c r="J1452" s="14" t="str">
        <f>IFERROR(__xludf.DUMMYFUNCTION("""COMPUTED_VALUE"""),"Delivered*Quality of Items: Perfect condition")</f>
        <v>Delivered*Quality of Items: Perfect condition</v>
      </c>
      <c r="K1452" s="14" t="str">
        <f>IFERROR(__xludf.DUMMYFUNCTION("split(E1452,""+"")"),"Chocolate Mousse")</f>
        <v>Chocolate Mousse</v>
      </c>
      <c r="L1452" s="14" t="str">
        <f>IFERROR(__xludf.DUMMYFUNCTION("""COMPUTED_VALUE"""),"3*Kiran Mehta")</f>
        <v>3*Kiran Mehta</v>
      </c>
      <c r="M1452" s="14">
        <f>IFERROR(__xludf.DUMMYFUNCTION("SPLIT(L1452,""*"")"),3.0)</f>
        <v>3</v>
      </c>
      <c r="N1452" s="14" t="str">
        <f>IFERROR(__xludf.DUMMYFUNCTION("""COMPUTED_VALUE"""),"Kiran Mehta")</f>
        <v>Kiran Mehta</v>
      </c>
      <c r="O1452" s="14" t="str">
        <f>IFERROR(__xludf.DUMMYFUNCTION("split(J1452,""*"")"),"Delivered")</f>
        <v>Delivered</v>
      </c>
      <c r="P1452" s="14" t="str">
        <f>IFERROR(__xludf.DUMMYFUNCTION("""COMPUTED_VALUE"""),"Quality of Items: Perfect condition")</f>
        <v>Quality of Items: Perfect condition</v>
      </c>
      <c r="Q1452" s="14" t="str">
        <f>IFERROR(__xludf.DUMMYFUNCTION("split(P1452,"":"")"),"Quality of Items")</f>
        <v>Quality of Items</v>
      </c>
      <c r="R1452" s="14" t="str">
        <f>IFERROR(__xludf.DUMMYFUNCTION("""COMPUTED_VALUE""")," Perfect condition")</f>
        <v> Perfect condition</v>
      </c>
      <c r="S1452" s="14" t="str">
        <f t="shared" ref="S1452:U1452" si="2907">trim(B1452)</f>
        <v>ord_71430</v>
      </c>
      <c r="T1452" s="14" t="str">
        <f t="shared" si="2907"/>
        <v>Diya Arora</v>
      </c>
      <c r="U1452" s="14" t="str">
        <f t="shared" si="2907"/>
        <v>Lower Parel</v>
      </c>
      <c r="V1452" s="14" t="str">
        <f t="shared" si="4"/>
        <v>Chocolate Mousse</v>
      </c>
      <c r="W1452" s="14">
        <f t="shared" si="5"/>
        <v>3</v>
      </c>
      <c r="X1452" s="14" t="str">
        <f t="shared" si="6"/>
        <v>Kiran Mehta</v>
      </c>
      <c r="Y1452" s="15">
        <f t="shared" si="7"/>
        <v>45059</v>
      </c>
      <c r="Z1452" s="14" t="str">
        <f t="shared" si="8"/>
        <v>UPI</v>
      </c>
      <c r="AA1452" s="14" t="str">
        <f t="shared" si="9"/>
        <v>Delivered</v>
      </c>
      <c r="AB1452" s="14" t="str">
        <f t="shared" ref="AB1452:AC1452" si="2908">trim(Q1452)</f>
        <v>Quality of Items</v>
      </c>
      <c r="AC1452" s="14" t="str">
        <f t="shared" si="2908"/>
        <v>Perfect condition</v>
      </c>
      <c r="AD1452" s="8"/>
    </row>
    <row r="1453">
      <c r="A1453" s="14" t="str">
        <f>IFERROR(__xludf.DUMMYFUNCTION("""COMPUTED_VALUE"""),"//ord_71431//Kritika Shetty//Malad//Papaya+1*Neha Shah/3/3/2023//Credit Card//Delivered*Packaging: Secure and intact")</f>
        <v>//ord_71431//Kritika Shetty//Malad//Papaya+1*Neha Shah/3/3/2023//Credit Card//Delivered*Packaging: Secure and intact</v>
      </c>
      <c r="B1453" s="14" t="str">
        <f>IFERROR(__xludf.DUMMYFUNCTION("split(A1453,""//"")"),"ord_71431")</f>
        <v>ord_71431</v>
      </c>
      <c r="C1453" s="14" t="str">
        <f>IFERROR(__xludf.DUMMYFUNCTION("""COMPUTED_VALUE"""),"Kritika Shetty")</f>
        <v>Kritika Shetty</v>
      </c>
      <c r="D1453" s="14" t="str">
        <f>IFERROR(__xludf.DUMMYFUNCTION("""COMPUTED_VALUE"""),"Malad")</f>
        <v>Malad</v>
      </c>
      <c r="E1453" s="14" t="str">
        <f>IFERROR(__xludf.DUMMYFUNCTION("""COMPUTED_VALUE"""),"Papaya+1*Neha Shah")</f>
        <v>Papaya+1*Neha Shah</v>
      </c>
      <c r="F1453" s="14">
        <f>IFERROR(__xludf.DUMMYFUNCTION("""COMPUTED_VALUE"""),3.0)</f>
        <v>3</v>
      </c>
      <c r="G1453" s="14">
        <f>IFERROR(__xludf.DUMMYFUNCTION("""COMPUTED_VALUE"""),3.0)</f>
        <v>3</v>
      </c>
      <c r="H1453" s="14">
        <f>IFERROR(__xludf.DUMMYFUNCTION("""COMPUTED_VALUE"""),2023.0)</f>
        <v>2023</v>
      </c>
      <c r="I1453" s="14" t="str">
        <f>IFERROR(__xludf.DUMMYFUNCTION("""COMPUTED_VALUE"""),"Credit Card")</f>
        <v>Credit Card</v>
      </c>
      <c r="J1453" s="14" t="str">
        <f>IFERROR(__xludf.DUMMYFUNCTION("""COMPUTED_VALUE"""),"Delivered*Packaging: Secure and intact")</f>
        <v>Delivered*Packaging: Secure and intact</v>
      </c>
      <c r="K1453" s="14" t="str">
        <f>IFERROR(__xludf.DUMMYFUNCTION("split(E1453,""+"")"),"Papaya")</f>
        <v>Papaya</v>
      </c>
      <c r="L1453" s="14" t="str">
        <f>IFERROR(__xludf.DUMMYFUNCTION("""COMPUTED_VALUE"""),"1*Neha Shah")</f>
        <v>1*Neha Shah</v>
      </c>
      <c r="M1453" s="14">
        <f>IFERROR(__xludf.DUMMYFUNCTION("SPLIT(L1453,""*"")"),1.0)</f>
        <v>1</v>
      </c>
      <c r="N1453" s="14" t="str">
        <f>IFERROR(__xludf.DUMMYFUNCTION("""COMPUTED_VALUE"""),"Neha Shah")</f>
        <v>Neha Shah</v>
      </c>
      <c r="O1453" s="14" t="str">
        <f>IFERROR(__xludf.DUMMYFUNCTION("split(J1453,""*"")"),"Delivered")</f>
        <v>Delivered</v>
      </c>
      <c r="P1453" s="14" t="str">
        <f>IFERROR(__xludf.DUMMYFUNCTION("""COMPUTED_VALUE"""),"Packaging: Secure and intact")</f>
        <v>Packaging: Secure and intact</v>
      </c>
      <c r="Q1453" s="14" t="str">
        <f>IFERROR(__xludf.DUMMYFUNCTION("split(P1453,"":"")"),"Packaging")</f>
        <v>Packaging</v>
      </c>
      <c r="R1453" s="14" t="str">
        <f>IFERROR(__xludf.DUMMYFUNCTION("""COMPUTED_VALUE""")," Secure and intact")</f>
        <v> Secure and intact</v>
      </c>
      <c r="S1453" s="14" t="str">
        <f t="shared" ref="S1453:U1453" si="2909">trim(B1453)</f>
        <v>ord_71431</v>
      </c>
      <c r="T1453" s="14" t="str">
        <f t="shared" si="2909"/>
        <v>Kritika Shetty</v>
      </c>
      <c r="U1453" s="14" t="str">
        <f t="shared" si="2909"/>
        <v>Malad</v>
      </c>
      <c r="V1453" s="14" t="str">
        <f t="shared" si="4"/>
        <v>Papaya</v>
      </c>
      <c r="W1453" s="14">
        <f t="shared" si="5"/>
        <v>1</v>
      </c>
      <c r="X1453" s="14" t="str">
        <f t="shared" si="6"/>
        <v>Neha Shah</v>
      </c>
      <c r="Y1453" s="15">
        <f t="shared" si="7"/>
        <v>44988</v>
      </c>
      <c r="Z1453" s="14" t="str">
        <f t="shared" si="8"/>
        <v>Credit Card</v>
      </c>
      <c r="AA1453" s="14" t="str">
        <f t="shared" si="9"/>
        <v>Delivered</v>
      </c>
      <c r="AB1453" s="14" t="str">
        <f t="shared" ref="AB1453:AC1453" si="2910">trim(Q1453)</f>
        <v>Packaging</v>
      </c>
      <c r="AC1453" s="14" t="str">
        <f t="shared" si="2910"/>
        <v>Secure and intact</v>
      </c>
      <c r="AD1453" s="8"/>
    </row>
    <row r="1454">
      <c r="A1454" s="14" t="str">
        <f>IFERROR(__xludf.DUMMYFUNCTION("""COMPUTED_VALUE"""),"//ord_71432//Aditi Iyer//Dadar//Potato+2*Not Assigned/5/19/2023//UPI//Cancelled*High Delivery Fees")</f>
        <v>//ord_71432//Aditi Iyer//Dadar//Potato+2*Not Assigned/5/19/2023//UPI//Cancelled*High Delivery Fees</v>
      </c>
      <c r="B1454" s="14" t="str">
        <f>IFERROR(__xludf.DUMMYFUNCTION("split(A1454,""//"")"),"ord_71432")</f>
        <v>ord_71432</v>
      </c>
      <c r="C1454" s="14" t="str">
        <f>IFERROR(__xludf.DUMMYFUNCTION("""COMPUTED_VALUE"""),"Aditi Iyer")</f>
        <v>Aditi Iyer</v>
      </c>
      <c r="D1454" s="14" t="str">
        <f>IFERROR(__xludf.DUMMYFUNCTION("""COMPUTED_VALUE"""),"Dadar")</f>
        <v>Dadar</v>
      </c>
      <c r="E1454" s="14" t="str">
        <f>IFERROR(__xludf.DUMMYFUNCTION("""COMPUTED_VALUE"""),"Potato+2*Not Assigned")</f>
        <v>Potato+2*Not Assigned</v>
      </c>
      <c r="F1454" s="14">
        <f>IFERROR(__xludf.DUMMYFUNCTION("""COMPUTED_VALUE"""),5.0)</f>
        <v>5</v>
      </c>
      <c r="G1454" s="14">
        <f>IFERROR(__xludf.DUMMYFUNCTION("""COMPUTED_VALUE"""),19.0)</f>
        <v>19</v>
      </c>
      <c r="H1454" s="14">
        <f>IFERROR(__xludf.DUMMYFUNCTION("""COMPUTED_VALUE"""),2023.0)</f>
        <v>2023</v>
      </c>
      <c r="I1454" s="14" t="str">
        <f>IFERROR(__xludf.DUMMYFUNCTION("""COMPUTED_VALUE"""),"UPI")</f>
        <v>UPI</v>
      </c>
      <c r="J1454" s="14" t="str">
        <f>IFERROR(__xludf.DUMMYFUNCTION("""COMPUTED_VALUE"""),"Cancelled*High Delivery Fees")</f>
        <v>Cancelled*High Delivery Fees</v>
      </c>
      <c r="K1454" s="14" t="str">
        <f>IFERROR(__xludf.DUMMYFUNCTION("split(E1454,""+"")"),"Potato")</f>
        <v>Potato</v>
      </c>
      <c r="L1454" s="14" t="str">
        <f>IFERROR(__xludf.DUMMYFUNCTION("""COMPUTED_VALUE"""),"2*Not Assigned")</f>
        <v>2*Not Assigned</v>
      </c>
      <c r="M1454" s="14">
        <f>IFERROR(__xludf.DUMMYFUNCTION("SPLIT(L1454,""*"")"),2.0)</f>
        <v>2</v>
      </c>
      <c r="N1454" s="14" t="str">
        <f>IFERROR(__xludf.DUMMYFUNCTION("""COMPUTED_VALUE"""),"Not Assigned")</f>
        <v>Not Assigned</v>
      </c>
      <c r="O1454" s="14" t="str">
        <f>IFERROR(__xludf.DUMMYFUNCTION("split(J1454,""*"")"),"Cancelled")</f>
        <v>Cancelled</v>
      </c>
      <c r="P1454" s="14" t="str">
        <f>IFERROR(__xludf.DUMMYFUNCTION("""COMPUTED_VALUE"""),"High Delivery Fees")</f>
        <v>High Delivery Fees</v>
      </c>
      <c r="Q1454" s="14" t="str">
        <f>IFERROR(__xludf.DUMMYFUNCTION("split(P1454,"":"")"),"High Delivery Fees")</f>
        <v>High Delivery Fees</v>
      </c>
      <c r="R1454" s="14"/>
      <c r="S1454" s="14" t="str">
        <f t="shared" ref="S1454:U1454" si="2911">trim(B1454)</f>
        <v>ord_71432</v>
      </c>
      <c r="T1454" s="14" t="str">
        <f t="shared" si="2911"/>
        <v>Aditi Iyer</v>
      </c>
      <c r="U1454" s="14" t="str">
        <f t="shared" si="2911"/>
        <v>Dadar</v>
      </c>
      <c r="V1454" s="14" t="str">
        <f t="shared" si="4"/>
        <v>Potato</v>
      </c>
      <c r="W1454" s="14">
        <f t="shared" si="5"/>
        <v>2</v>
      </c>
      <c r="X1454" s="14" t="str">
        <f t="shared" si="6"/>
        <v>Not Assigned</v>
      </c>
      <c r="Y1454" s="15">
        <f t="shared" si="7"/>
        <v>45065</v>
      </c>
      <c r="Z1454" s="14" t="str">
        <f t="shared" si="8"/>
        <v>UPI</v>
      </c>
      <c r="AA1454" s="14" t="str">
        <f t="shared" si="9"/>
        <v>Cancelled</v>
      </c>
      <c r="AB1454" s="14" t="str">
        <f t="shared" ref="AB1454:AC1454" si="2912">trim(Q1454)</f>
        <v>High Delivery Fees</v>
      </c>
      <c r="AC1454" s="14" t="str">
        <f t="shared" si="2912"/>
        <v/>
      </c>
      <c r="AD1454" s="8"/>
    </row>
    <row r="1455">
      <c r="A1455" s="14" t="str">
        <f>IFERROR(__xludf.DUMMYFUNCTION("""COMPUTED_VALUE"""),"//ord_71433//Mohit Malhotra//Lower Parel//Papaya+2*Not Assigned/2/3/2023//Credit Card//Cancelled*High Delivery Fees")</f>
        <v>//ord_71433//Mohit Malhotra//Lower Parel//Papaya+2*Not Assigned/2/3/2023//Credit Card//Cancelled*High Delivery Fees</v>
      </c>
      <c r="B1455" s="14" t="str">
        <f>IFERROR(__xludf.DUMMYFUNCTION("split(A1455,""//"")"),"ord_71433")</f>
        <v>ord_71433</v>
      </c>
      <c r="C1455" s="14" t="str">
        <f>IFERROR(__xludf.DUMMYFUNCTION("""COMPUTED_VALUE"""),"Mohit Malhotra")</f>
        <v>Mohit Malhotra</v>
      </c>
      <c r="D1455" s="14" t="str">
        <f>IFERROR(__xludf.DUMMYFUNCTION("""COMPUTED_VALUE"""),"Lower Parel")</f>
        <v>Lower Parel</v>
      </c>
      <c r="E1455" s="14" t="str">
        <f>IFERROR(__xludf.DUMMYFUNCTION("""COMPUTED_VALUE"""),"Papaya+2*Not Assigned")</f>
        <v>Papaya+2*Not Assigned</v>
      </c>
      <c r="F1455" s="14">
        <f>IFERROR(__xludf.DUMMYFUNCTION("""COMPUTED_VALUE"""),2.0)</f>
        <v>2</v>
      </c>
      <c r="G1455" s="14">
        <f>IFERROR(__xludf.DUMMYFUNCTION("""COMPUTED_VALUE"""),3.0)</f>
        <v>3</v>
      </c>
      <c r="H1455" s="14">
        <f>IFERROR(__xludf.DUMMYFUNCTION("""COMPUTED_VALUE"""),2023.0)</f>
        <v>2023</v>
      </c>
      <c r="I1455" s="14" t="str">
        <f>IFERROR(__xludf.DUMMYFUNCTION("""COMPUTED_VALUE"""),"Credit Card")</f>
        <v>Credit Card</v>
      </c>
      <c r="J1455" s="14" t="str">
        <f>IFERROR(__xludf.DUMMYFUNCTION("""COMPUTED_VALUE"""),"Cancelled*High Delivery Fees")</f>
        <v>Cancelled*High Delivery Fees</v>
      </c>
      <c r="K1455" s="14" t="str">
        <f>IFERROR(__xludf.DUMMYFUNCTION("split(E1455,""+"")"),"Papaya")</f>
        <v>Papaya</v>
      </c>
      <c r="L1455" s="14" t="str">
        <f>IFERROR(__xludf.DUMMYFUNCTION("""COMPUTED_VALUE"""),"2*Not Assigned")</f>
        <v>2*Not Assigned</v>
      </c>
      <c r="M1455" s="14">
        <f>IFERROR(__xludf.DUMMYFUNCTION("SPLIT(L1455,""*"")"),2.0)</f>
        <v>2</v>
      </c>
      <c r="N1455" s="14" t="str">
        <f>IFERROR(__xludf.DUMMYFUNCTION("""COMPUTED_VALUE"""),"Not Assigned")</f>
        <v>Not Assigned</v>
      </c>
      <c r="O1455" s="14" t="str">
        <f>IFERROR(__xludf.DUMMYFUNCTION("split(J1455,""*"")"),"Cancelled")</f>
        <v>Cancelled</v>
      </c>
      <c r="P1455" s="14" t="str">
        <f>IFERROR(__xludf.DUMMYFUNCTION("""COMPUTED_VALUE"""),"High Delivery Fees")</f>
        <v>High Delivery Fees</v>
      </c>
      <c r="Q1455" s="14" t="str">
        <f>IFERROR(__xludf.DUMMYFUNCTION("split(P1455,"":"")"),"High Delivery Fees")</f>
        <v>High Delivery Fees</v>
      </c>
      <c r="R1455" s="14"/>
      <c r="S1455" s="14" t="str">
        <f t="shared" ref="S1455:U1455" si="2913">trim(B1455)</f>
        <v>ord_71433</v>
      </c>
      <c r="T1455" s="14" t="str">
        <f t="shared" si="2913"/>
        <v>Mohit Malhotra</v>
      </c>
      <c r="U1455" s="14" t="str">
        <f t="shared" si="2913"/>
        <v>Lower Parel</v>
      </c>
      <c r="V1455" s="14" t="str">
        <f t="shared" si="4"/>
        <v>Papaya</v>
      </c>
      <c r="W1455" s="14">
        <f t="shared" si="5"/>
        <v>2</v>
      </c>
      <c r="X1455" s="14" t="str">
        <f t="shared" si="6"/>
        <v>Not Assigned</v>
      </c>
      <c r="Y1455" s="15">
        <f t="shared" si="7"/>
        <v>44960</v>
      </c>
      <c r="Z1455" s="14" t="str">
        <f t="shared" si="8"/>
        <v>Credit Card</v>
      </c>
      <c r="AA1455" s="14" t="str">
        <f t="shared" si="9"/>
        <v>Cancelled</v>
      </c>
      <c r="AB1455" s="14" t="str">
        <f t="shared" ref="AB1455:AC1455" si="2914">trim(Q1455)</f>
        <v>High Delivery Fees</v>
      </c>
      <c r="AC1455" s="14" t="str">
        <f t="shared" si="2914"/>
        <v/>
      </c>
      <c r="AD1455" s="8"/>
    </row>
    <row r="1456">
      <c r="A1456" s="14" t="str">
        <f>IFERROR(__xludf.DUMMYFUNCTION("""COMPUTED_VALUE"""),"//ord_71434//Aditya Rao//Lower Parel//Banana+3*Kiran Mehta/5/19/2023//UPI//Delivered*Satisfied with the Delivery: Timely and quality")</f>
        <v>//ord_71434//Aditya Rao//Lower Parel//Banana+3*Kiran Mehta/5/19/2023//UPI//Delivered*Satisfied with the Delivery: Timely and quality</v>
      </c>
      <c r="B1456" s="14" t="str">
        <f>IFERROR(__xludf.DUMMYFUNCTION("split(A1456,""//"")"),"ord_71434")</f>
        <v>ord_71434</v>
      </c>
      <c r="C1456" s="14" t="str">
        <f>IFERROR(__xludf.DUMMYFUNCTION("""COMPUTED_VALUE"""),"Aditya Rao")</f>
        <v>Aditya Rao</v>
      </c>
      <c r="D1456" s="14" t="str">
        <f>IFERROR(__xludf.DUMMYFUNCTION("""COMPUTED_VALUE"""),"Lower Parel")</f>
        <v>Lower Parel</v>
      </c>
      <c r="E1456" s="14" t="str">
        <f>IFERROR(__xludf.DUMMYFUNCTION("""COMPUTED_VALUE"""),"Banana+3*Kiran Mehta")</f>
        <v>Banana+3*Kiran Mehta</v>
      </c>
      <c r="F1456" s="14">
        <f>IFERROR(__xludf.DUMMYFUNCTION("""COMPUTED_VALUE"""),5.0)</f>
        <v>5</v>
      </c>
      <c r="G1456" s="14">
        <f>IFERROR(__xludf.DUMMYFUNCTION("""COMPUTED_VALUE"""),19.0)</f>
        <v>19</v>
      </c>
      <c r="H1456" s="14">
        <f>IFERROR(__xludf.DUMMYFUNCTION("""COMPUTED_VALUE"""),2023.0)</f>
        <v>2023</v>
      </c>
      <c r="I1456" s="14" t="str">
        <f>IFERROR(__xludf.DUMMYFUNCTION("""COMPUTED_VALUE"""),"UPI")</f>
        <v>UPI</v>
      </c>
      <c r="J1456" s="14" t="str">
        <f>IFERROR(__xludf.DUMMYFUNCTION("""COMPUTED_VALUE"""),"Delivered*Satisfied with the Delivery: Timely and quality")</f>
        <v>Delivered*Satisfied with the Delivery: Timely and quality</v>
      </c>
      <c r="K1456" s="14" t="str">
        <f>IFERROR(__xludf.DUMMYFUNCTION("split(E1456,""+"")"),"Banana")</f>
        <v>Banana</v>
      </c>
      <c r="L1456" s="14" t="str">
        <f>IFERROR(__xludf.DUMMYFUNCTION("""COMPUTED_VALUE"""),"3*Kiran Mehta")</f>
        <v>3*Kiran Mehta</v>
      </c>
      <c r="M1456" s="14">
        <f>IFERROR(__xludf.DUMMYFUNCTION("SPLIT(L1456,""*"")"),3.0)</f>
        <v>3</v>
      </c>
      <c r="N1456" s="14" t="str">
        <f>IFERROR(__xludf.DUMMYFUNCTION("""COMPUTED_VALUE"""),"Kiran Mehta")</f>
        <v>Kiran Mehta</v>
      </c>
      <c r="O1456" s="14" t="str">
        <f>IFERROR(__xludf.DUMMYFUNCTION("split(J1456,""*"")"),"Delivered")</f>
        <v>Delivered</v>
      </c>
      <c r="P1456" s="14" t="str">
        <f>IFERROR(__xludf.DUMMYFUNCTION("""COMPUTED_VALUE"""),"Satisfied with the Delivery: Timely and quality")</f>
        <v>Satisfied with the Delivery: Timely and quality</v>
      </c>
      <c r="Q1456" s="14" t="str">
        <f>IFERROR(__xludf.DUMMYFUNCTION("split(P1456,"":"")"),"Satisfied with the Delivery")</f>
        <v>Satisfied with the Delivery</v>
      </c>
      <c r="R1456" s="14" t="str">
        <f>IFERROR(__xludf.DUMMYFUNCTION("""COMPUTED_VALUE""")," Timely and quality")</f>
        <v> Timely and quality</v>
      </c>
      <c r="S1456" s="14" t="str">
        <f t="shared" ref="S1456:U1456" si="2915">trim(B1456)</f>
        <v>ord_71434</v>
      </c>
      <c r="T1456" s="14" t="str">
        <f t="shared" si="2915"/>
        <v>Aditya Rao</v>
      </c>
      <c r="U1456" s="14" t="str">
        <f t="shared" si="2915"/>
        <v>Lower Parel</v>
      </c>
      <c r="V1456" s="14" t="str">
        <f t="shared" si="4"/>
        <v>Banana</v>
      </c>
      <c r="W1456" s="14">
        <f t="shared" si="5"/>
        <v>3</v>
      </c>
      <c r="X1456" s="14" t="str">
        <f t="shared" si="6"/>
        <v>Kiran Mehta</v>
      </c>
      <c r="Y1456" s="15">
        <f t="shared" si="7"/>
        <v>45065</v>
      </c>
      <c r="Z1456" s="14" t="str">
        <f t="shared" si="8"/>
        <v>UPI</v>
      </c>
      <c r="AA1456" s="14" t="str">
        <f t="shared" si="9"/>
        <v>Delivered</v>
      </c>
      <c r="AB1456" s="14" t="str">
        <f t="shared" ref="AB1456:AC1456" si="2916">trim(Q1456)</f>
        <v>Satisfied with the Delivery</v>
      </c>
      <c r="AC1456" s="14" t="str">
        <f t="shared" si="2916"/>
        <v>Timely and quality</v>
      </c>
      <c r="AD1456" s="8"/>
    </row>
    <row r="1457">
      <c r="A1457" s="14" t="str">
        <f>IFERROR(__xludf.DUMMYFUNCTION("""COMPUTED_VALUE"""),"//ord_71435//Aditi Iyer//Dadar//Veg Puff+5*Sandeep Kumar/10/10/2023//Credit Card//Cancelled*Delayed Delivery:Traffic Accidents or Road Closures")</f>
        <v>//ord_71435//Aditi Iyer//Dadar//Veg Puff+5*Sandeep Kumar/10/10/2023//Credit Card//Cancelled*Delayed Delivery:Traffic Accidents or Road Closures</v>
      </c>
      <c r="B1457" s="14" t="str">
        <f>IFERROR(__xludf.DUMMYFUNCTION("split(A1457,""//"")"),"ord_71435")</f>
        <v>ord_71435</v>
      </c>
      <c r="C1457" s="14" t="str">
        <f>IFERROR(__xludf.DUMMYFUNCTION("""COMPUTED_VALUE"""),"Aditi Iyer")</f>
        <v>Aditi Iyer</v>
      </c>
      <c r="D1457" s="14" t="str">
        <f>IFERROR(__xludf.DUMMYFUNCTION("""COMPUTED_VALUE"""),"Dadar")</f>
        <v>Dadar</v>
      </c>
      <c r="E1457" s="14" t="str">
        <f>IFERROR(__xludf.DUMMYFUNCTION("""COMPUTED_VALUE"""),"Veg Puff+5*Sandeep Kumar")</f>
        <v>Veg Puff+5*Sandeep Kumar</v>
      </c>
      <c r="F1457" s="14">
        <f>IFERROR(__xludf.DUMMYFUNCTION("""COMPUTED_VALUE"""),10.0)</f>
        <v>10</v>
      </c>
      <c r="G1457" s="14">
        <f>IFERROR(__xludf.DUMMYFUNCTION("""COMPUTED_VALUE"""),10.0)</f>
        <v>10</v>
      </c>
      <c r="H1457" s="14">
        <f>IFERROR(__xludf.DUMMYFUNCTION("""COMPUTED_VALUE"""),2023.0)</f>
        <v>2023</v>
      </c>
      <c r="I1457" s="14" t="str">
        <f>IFERROR(__xludf.DUMMYFUNCTION("""COMPUTED_VALUE"""),"Credit Card")</f>
        <v>Credit Card</v>
      </c>
      <c r="J1457" s="14" t="str">
        <f>IFERROR(__xludf.DUMMYFUNCTION("""COMPUTED_VALUE"""),"Cancelled*Delayed Delivery:Traffic Accidents or Road Closures")</f>
        <v>Cancelled*Delayed Delivery:Traffic Accidents or Road Closures</v>
      </c>
      <c r="K1457" s="14" t="str">
        <f>IFERROR(__xludf.DUMMYFUNCTION("split(E1457,""+"")"),"Veg Puff")</f>
        <v>Veg Puff</v>
      </c>
      <c r="L1457" s="14" t="str">
        <f>IFERROR(__xludf.DUMMYFUNCTION("""COMPUTED_VALUE"""),"5*Sandeep Kumar")</f>
        <v>5*Sandeep Kumar</v>
      </c>
      <c r="M1457" s="14">
        <f>IFERROR(__xludf.DUMMYFUNCTION("SPLIT(L1457,""*"")"),5.0)</f>
        <v>5</v>
      </c>
      <c r="N1457" s="14" t="str">
        <f>IFERROR(__xludf.DUMMYFUNCTION("""COMPUTED_VALUE"""),"Sandeep Kumar")</f>
        <v>Sandeep Kumar</v>
      </c>
      <c r="O1457" s="14" t="str">
        <f>IFERROR(__xludf.DUMMYFUNCTION("split(J1457,""*"")"),"Cancelled")</f>
        <v>Cancelled</v>
      </c>
      <c r="P1457" s="14" t="str">
        <f>IFERROR(__xludf.DUMMYFUNCTION("""COMPUTED_VALUE"""),"Delayed Delivery:Traffic Accidents or Road Closures")</f>
        <v>Delayed Delivery:Traffic Accidents or Road Closures</v>
      </c>
      <c r="Q1457" s="14" t="str">
        <f>IFERROR(__xludf.DUMMYFUNCTION("split(P1457,"":"")"),"Delayed Delivery")</f>
        <v>Delayed Delivery</v>
      </c>
      <c r="R1457" s="14" t="str">
        <f>IFERROR(__xludf.DUMMYFUNCTION("""COMPUTED_VALUE"""),"Traffic Accidents or Road Closures")</f>
        <v>Traffic Accidents or Road Closures</v>
      </c>
      <c r="S1457" s="14" t="str">
        <f t="shared" ref="S1457:U1457" si="2917">trim(B1457)</f>
        <v>ord_71435</v>
      </c>
      <c r="T1457" s="14" t="str">
        <f t="shared" si="2917"/>
        <v>Aditi Iyer</v>
      </c>
      <c r="U1457" s="14" t="str">
        <f t="shared" si="2917"/>
        <v>Dadar</v>
      </c>
      <c r="V1457" s="14" t="str">
        <f t="shared" si="4"/>
        <v>Veg Puff</v>
      </c>
      <c r="W1457" s="14">
        <f t="shared" si="5"/>
        <v>5</v>
      </c>
      <c r="X1457" s="14" t="str">
        <f t="shared" si="6"/>
        <v>Sandeep Kumar</v>
      </c>
      <c r="Y1457" s="15">
        <f t="shared" si="7"/>
        <v>45209</v>
      </c>
      <c r="Z1457" s="14" t="str">
        <f t="shared" si="8"/>
        <v>Credit Card</v>
      </c>
      <c r="AA1457" s="14" t="str">
        <f t="shared" si="9"/>
        <v>Cancelled</v>
      </c>
      <c r="AB1457" s="14" t="str">
        <f t="shared" ref="AB1457:AC1457" si="2918">trim(Q1457)</f>
        <v>Delayed Delivery</v>
      </c>
      <c r="AC1457" s="14" t="str">
        <f t="shared" si="2918"/>
        <v>Traffic Accidents or Road Closures</v>
      </c>
      <c r="AD1457" s="8"/>
    </row>
    <row r="1458">
      <c r="A1458" s="14" t="str">
        <f>IFERROR(__xludf.DUMMYFUNCTION("""COMPUTED_VALUE"""),"//ord_71436//Pallavi Ghosh//Bandra//Apple+1*Priya Joshi/7/26/2023//Online Payment//Delivered*Customer Service: Seamless and easy")</f>
        <v>//ord_71436//Pallavi Ghosh//Bandra//Apple+1*Priya Joshi/7/26/2023//Online Payment//Delivered*Customer Service: Seamless and easy</v>
      </c>
      <c r="B1458" s="14" t="str">
        <f>IFERROR(__xludf.DUMMYFUNCTION("split(A1458,""//"")"),"ord_71436")</f>
        <v>ord_71436</v>
      </c>
      <c r="C1458" s="14" t="str">
        <f>IFERROR(__xludf.DUMMYFUNCTION("""COMPUTED_VALUE"""),"Pallavi Ghosh")</f>
        <v>Pallavi Ghosh</v>
      </c>
      <c r="D1458" s="14" t="str">
        <f>IFERROR(__xludf.DUMMYFUNCTION("""COMPUTED_VALUE"""),"Bandra")</f>
        <v>Bandra</v>
      </c>
      <c r="E1458" s="14" t="str">
        <f>IFERROR(__xludf.DUMMYFUNCTION("""COMPUTED_VALUE"""),"Apple+1*Priya Joshi")</f>
        <v>Apple+1*Priya Joshi</v>
      </c>
      <c r="F1458" s="14">
        <f>IFERROR(__xludf.DUMMYFUNCTION("""COMPUTED_VALUE"""),7.0)</f>
        <v>7</v>
      </c>
      <c r="G1458" s="14">
        <f>IFERROR(__xludf.DUMMYFUNCTION("""COMPUTED_VALUE"""),26.0)</f>
        <v>26</v>
      </c>
      <c r="H1458" s="14">
        <f>IFERROR(__xludf.DUMMYFUNCTION("""COMPUTED_VALUE"""),2023.0)</f>
        <v>2023</v>
      </c>
      <c r="I1458" s="14" t="str">
        <f>IFERROR(__xludf.DUMMYFUNCTION("""COMPUTED_VALUE"""),"Online Payment")</f>
        <v>Online Payment</v>
      </c>
      <c r="J1458" s="14" t="str">
        <f>IFERROR(__xludf.DUMMYFUNCTION("""COMPUTED_VALUE"""),"Delivered*Customer Service: Seamless and easy")</f>
        <v>Delivered*Customer Service: Seamless and easy</v>
      </c>
      <c r="K1458" s="14" t="str">
        <f>IFERROR(__xludf.DUMMYFUNCTION("split(E1458,""+"")"),"Apple")</f>
        <v>Apple</v>
      </c>
      <c r="L1458" s="14" t="str">
        <f>IFERROR(__xludf.DUMMYFUNCTION("""COMPUTED_VALUE"""),"1*Priya Joshi")</f>
        <v>1*Priya Joshi</v>
      </c>
      <c r="M1458" s="14">
        <f>IFERROR(__xludf.DUMMYFUNCTION("SPLIT(L1458,""*"")"),1.0)</f>
        <v>1</v>
      </c>
      <c r="N1458" s="14" t="str">
        <f>IFERROR(__xludf.DUMMYFUNCTION("""COMPUTED_VALUE"""),"Priya Joshi")</f>
        <v>Priya Joshi</v>
      </c>
      <c r="O1458" s="14" t="str">
        <f>IFERROR(__xludf.DUMMYFUNCTION("split(J1458,""*"")"),"Delivered")</f>
        <v>Delivered</v>
      </c>
      <c r="P1458" s="14" t="str">
        <f>IFERROR(__xludf.DUMMYFUNCTION("""COMPUTED_VALUE"""),"Customer Service: Seamless and easy")</f>
        <v>Customer Service: Seamless and easy</v>
      </c>
      <c r="Q1458" s="14" t="str">
        <f>IFERROR(__xludf.DUMMYFUNCTION("split(P1458,"":"")"),"Customer Service")</f>
        <v>Customer Service</v>
      </c>
      <c r="R1458" s="14" t="str">
        <f>IFERROR(__xludf.DUMMYFUNCTION("""COMPUTED_VALUE""")," Seamless and easy")</f>
        <v> Seamless and easy</v>
      </c>
      <c r="S1458" s="14" t="str">
        <f t="shared" ref="S1458:U1458" si="2919">trim(B1458)</f>
        <v>ord_71436</v>
      </c>
      <c r="T1458" s="14" t="str">
        <f t="shared" si="2919"/>
        <v>Pallavi Ghosh</v>
      </c>
      <c r="U1458" s="14" t="str">
        <f t="shared" si="2919"/>
        <v>Bandra</v>
      </c>
      <c r="V1458" s="14" t="str">
        <f t="shared" si="4"/>
        <v>Apple</v>
      </c>
      <c r="W1458" s="14">
        <f t="shared" si="5"/>
        <v>1</v>
      </c>
      <c r="X1458" s="14" t="str">
        <f t="shared" si="6"/>
        <v>Priya Joshi</v>
      </c>
      <c r="Y1458" s="15">
        <f t="shared" si="7"/>
        <v>45133</v>
      </c>
      <c r="Z1458" s="14" t="str">
        <f t="shared" si="8"/>
        <v>Online Payment</v>
      </c>
      <c r="AA1458" s="14" t="str">
        <f t="shared" si="9"/>
        <v>Delivered</v>
      </c>
      <c r="AB1458" s="14" t="str">
        <f t="shared" ref="AB1458:AC1458" si="2920">trim(Q1458)</f>
        <v>Customer Service</v>
      </c>
      <c r="AC1458" s="14" t="str">
        <f t="shared" si="2920"/>
        <v>Seamless and easy</v>
      </c>
      <c r="AD1458" s="8"/>
    </row>
    <row r="1459">
      <c r="A1459" s="14" t="str">
        <f>IFERROR(__xludf.DUMMYFUNCTION("""COMPUTED_VALUE"""),"//ord_71437//Arvind Kulkarni//Juhu//Orange+1*Not Assigned/5/19/2023//Online Payment//Cancelled*App Glitches:Slow Loading Time")</f>
        <v>//ord_71437//Arvind Kulkarni//Juhu//Orange+1*Not Assigned/5/19/2023//Online Payment//Cancelled*App Glitches:Slow Loading Time</v>
      </c>
      <c r="B1459" s="14" t="str">
        <f>IFERROR(__xludf.DUMMYFUNCTION("split(A1459,""//"")"),"ord_71437")</f>
        <v>ord_71437</v>
      </c>
      <c r="C1459" s="14" t="str">
        <f>IFERROR(__xludf.DUMMYFUNCTION("""COMPUTED_VALUE"""),"Arvind Kulkarni")</f>
        <v>Arvind Kulkarni</v>
      </c>
      <c r="D1459" s="14" t="str">
        <f>IFERROR(__xludf.DUMMYFUNCTION("""COMPUTED_VALUE"""),"Juhu")</f>
        <v>Juhu</v>
      </c>
      <c r="E1459" s="14" t="str">
        <f>IFERROR(__xludf.DUMMYFUNCTION("""COMPUTED_VALUE"""),"Orange+1*Not Assigned")</f>
        <v>Orange+1*Not Assigned</v>
      </c>
      <c r="F1459" s="14">
        <f>IFERROR(__xludf.DUMMYFUNCTION("""COMPUTED_VALUE"""),5.0)</f>
        <v>5</v>
      </c>
      <c r="G1459" s="14">
        <f>IFERROR(__xludf.DUMMYFUNCTION("""COMPUTED_VALUE"""),19.0)</f>
        <v>19</v>
      </c>
      <c r="H1459" s="14">
        <f>IFERROR(__xludf.DUMMYFUNCTION("""COMPUTED_VALUE"""),2023.0)</f>
        <v>2023</v>
      </c>
      <c r="I1459" s="14" t="str">
        <f>IFERROR(__xludf.DUMMYFUNCTION("""COMPUTED_VALUE"""),"Online Payment")</f>
        <v>Online Payment</v>
      </c>
      <c r="J1459" s="14" t="str">
        <f>IFERROR(__xludf.DUMMYFUNCTION("""COMPUTED_VALUE"""),"Cancelled*App Glitches:Slow Loading Time")</f>
        <v>Cancelled*App Glitches:Slow Loading Time</v>
      </c>
      <c r="K1459" s="14" t="str">
        <f>IFERROR(__xludf.DUMMYFUNCTION("split(E1459,""+"")"),"Orange")</f>
        <v>Orange</v>
      </c>
      <c r="L1459" s="14" t="str">
        <f>IFERROR(__xludf.DUMMYFUNCTION("""COMPUTED_VALUE"""),"1*Not Assigned")</f>
        <v>1*Not Assigned</v>
      </c>
      <c r="M1459" s="14">
        <f>IFERROR(__xludf.DUMMYFUNCTION("SPLIT(L1459,""*"")"),1.0)</f>
        <v>1</v>
      </c>
      <c r="N1459" s="14" t="str">
        <f>IFERROR(__xludf.DUMMYFUNCTION("""COMPUTED_VALUE"""),"Not Assigned")</f>
        <v>Not Assigned</v>
      </c>
      <c r="O1459" s="14" t="str">
        <f>IFERROR(__xludf.DUMMYFUNCTION("split(J1459,""*"")"),"Cancelled")</f>
        <v>Cancelled</v>
      </c>
      <c r="P1459" s="14" t="str">
        <f>IFERROR(__xludf.DUMMYFUNCTION("""COMPUTED_VALUE"""),"App Glitches:Slow Loading Time")</f>
        <v>App Glitches:Slow Loading Time</v>
      </c>
      <c r="Q1459" s="14" t="str">
        <f>IFERROR(__xludf.DUMMYFUNCTION("split(P1459,"":"")"),"App Glitches")</f>
        <v>App Glitches</v>
      </c>
      <c r="R1459" s="14" t="str">
        <f>IFERROR(__xludf.DUMMYFUNCTION("""COMPUTED_VALUE"""),"Slow Loading Time")</f>
        <v>Slow Loading Time</v>
      </c>
      <c r="S1459" s="14" t="str">
        <f t="shared" ref="S1459:U1459" si="2921">trim(B1459)</f>
        <v>ord_71437</v>
      </c>
      <c r="T1459" s="14" t="str">
        <f t="shared" si="2921"/>
        <v>Arvind Kulkarni</v>
      </c>
      <c r="U1459" s="14" t="str">
        <f t="shared" si="2921"/>
        <v>Juhu</v>
      </c>
      <c r="V1459" s="14" t="str">
        <f t="shared" si="4"/>
        <v>Orange</v>
      </c>
      <c r="W1459" s="14">
        <f t="shared" si="5"/>
        <v>1</v>
      </c>
      <c r="X1459" s="14" t="str">
        <f t="shared" si="6"/>
        <v>Not Assigned</v>
      </c>
      <c r="Y1459" s="15">
        <f t="shared" si="7"/>
        <v>45065</v>
      </c>
      <c r="Z1459" s="14" t="str">
        <f t="shared" si="8"/>
        <v>Online Payment</v>
      </c>
      <c r="AA1459" s="14" t="str">
        <f t="shared" si="9"/>
        <v>Cancelled</v>
      </c>
      <c r="AB1459" s="14" t="str">
        <f t="shared" ref="AB1459:AC1459" si="2922">trim(Q1459)</f>
        <v>App Glitches</v>
      </c>
      <c r="AC1459" s="14" t="str">
        <f t="shared" si="2922"/>
        <v>Slow Loading Time</v>
      </c>
      <c r="AD1459" s="8"/>
    </row>
    <row r="1460">
      <c r="A1460" s="14" t="str">
        <f>IFERROR(__xludf.DUMMYFUNCTION("""COMPUTED_VALUE"""),"//ord_71438//Ishaan Chaturvedi//Bandra//Cold Coffee+5*Priya Joshi/3/29/2023//COD//Delivered*Delivery Experience: Quick and professional")</f>
        <v>//ord_71438//Ishaan Chaturvedi//Bandra//Cold Coffee+5*Priya Joshi/3/29/2023//COD//Delivered*Delivery Experience: Quick and professional</v>
      </c>
      <c r="B1460" s="14" t="str">
        <f>IFERROR(__xludf.DUMMYFUNCTION("split(A1460,""//"")"),"ord_71438")</f>
        <v>ord_71438</v>
      </c>
      <c r="C1460" s="14" t="str">
        <f>IFERROR(__xludf.DUMMYFUNCTION("""COMPUTED_VALUE"""),"Ishaan Chaturvedi")</f>
        <v>Ishaan Chaturvedi</v>
      </c>
      <c r="D1460" s="14" t="str">
        <f>IFERROR(__xludf.DUMMYFUNCTION("""COMPUTED_VALUE"""),"Bandra")</f>
        <v>Bandra</v>
      </c>
      <c r="E1460" s="14" t="str">
        <f>IFERROR(__xludf.DUMMYFUNCTION("""COMPUTED_VALUE"""),"Cold Coffee+5*Priya Joshi")</f>
        <v>Cold Coffee+5*Priya Joshi</v>
      </c>
      <c r="F1460" s="14">
        <f>IFERROR(__xludf.DUMMYFUNCTION("""COMPUTED_VALUE"""),3.0)</f>
        <v>3</v>
      </c>
      <c r="G1460" s="14">
        <f>IFERROR(__xludf.DUMMYFUNCTION("""COMPUTED_VALUE"""),29.0)</f>
        <v>29</v>
      </c>
      <c r="H1460" s="14">
        <f>IFERROR(__xludf.DUMMYFUNCTION("""COMPUTED_VALUE"""),2023.0)</f>
        <v>2023</v>
      </c>
      <c r="I1460" s="14" t="str">
        <f>IFERROR(__xludf.DUMMYFUNCTION("""COMPUTED_VALUE"""),"COD")</f>
        <v>COD</v>
      </c>
      <c r="J1460" s="14" t="str">
        <f>IFERROR(__xludf.DUMMYFUNCTION("""COMPUTED_VALUE"""),"Delivered*Delivery Experience: Quick and professional")</f>
        <v>Delivered*Delivery Experience: Quick and professional</v>
      </c>
      <c r="K1460" s="14" t="str">
        <f>IFERROR(__xludf.DUMMYFUNCTION("split(E1460,""+"")"),"Cold Coffee")</f>
        <v>Cold Coffee</v>
      </c>
      <c r="L1460" s="14" t="str">
        <f>IFERROR(__xludf.DUMMYFUNCTION("""COMPUTED_VALUE"""),"5*Priya Joshi")</f>
        <v>5*Priya Joshi</v>
      </c>
      <c r="M1460" s="14">
        <f>IFERROR(__xludf.DUMMYFUNCTION("SPLIT(L1460,""*"")"),5.0)</f>
        <v>5</v>
      </c>
      <c r="N1460" s="14" t="str">
        <f>IFERROR(__xludf.DUMMYFUNCTION("""COMPUTED_VALUE"""),"Priya Joshi")</f>
        <v>Priya Joshi</v>
      </c>
      <c r="O1460" s="14" t="str">
        <f>IFERROR(__xludf.DUMMYFUNCTION("split(J1460,""*"")"),"Delivered")</f>
        <v>Delivered</v>
      </c>
      <c r="P1460" s="14" t="str">
        <f>IFERROR(__xludf.DUMMYFUNCTION("""COMPUTED_VALUE"""),"Delivery Experience: Quick and professional")</f>
        <v>Delivery Experience: Quick and professional</v>
      </c>
      <c r="Q1460" s="14" t="str">
        <f>IFERROR(__xludf.DUMMYFUNCTION("split(P1460,"":"")"),"Delivery Experience")</f>
        <v>Delivery Experience</v>
      </c>
      <c r="R1460" s="14" t="str">
        <f>IFERROR(__xludf.DUMMYFUNCTION("""COMPUTED_VALUE""")," Quick and professional")</f>
        <v> Quick and professional</v>
      </c>
      <c r="S1460" s="14" t="str">
        <f t="shared" ref="S1460:U1460" si="2923">trim(B1460)</f>
        <v>ord_71438</v>
      </c>
      <c r="T1460" s="14" t="str">
        <f t="shared" si="2923"/>
        <v>Ishaan Chaturvedi</v>
      </c>
      <c r="U1460" s="14" t="str">
        <f t="shared" si="2923"/>
        <v>Bandra</v>
      </c>
      <c r="V1460" s="14" t="str">
        <f t="shared" si="4"/>
        <v>Cold Coffee</v>
      </c>
      <c r="W1460" s="14">
        <f t="shared" si="5"/>
        <v>5</v>
      </c>
      <c r="X1460" s="14" t="str">
        <f t="shared" si="6"/>
        <v>Priya Joshi</v>
      </c>
      <c r="Y1460" s="15">
        <f t="shared" si="7"/>
        <v>45014</v>
      </c>
      <c r="Z1460" s="14" t="str">
        <f t="shared" si="8"/>
        <v>COD</v>
      </c>
      <c r="AA1460" s="14" t="str">
        <f t="shared" si="9"/>
        <v>Delivered</v>
      </c>
      <c r="AB1460" s="14" t="str">
        <f t="shared" ref="AB1460:AC1460" si="2924">trim(Q1460)</f>
        <v>Delivery Experience</v>
      </c>
      <c r="AC1460" s="14" t="str">
        <f t="shared" si="2924"/>
        <v>Quick and professional</v>
      </c>
      <c r="AD1460" s="8"/>
    </row>
    <row r="1461">
      <c r="A1461" s="14" t="str">
        <f>IFERROR(__xludf.DUMMYFUNCTION("""COMPUTED_VALUE"""),"//ord_71439//Arvind Kulkarni//Juhu//Tomato+2*Not Assigned/4/20/2023//UPI//Cancelled*App Glitches:Slow Loading Time")</f>
        <v>//ord_71439//Arvind Kulkarni//Juhu//Tomato+2*Not Assigned/4/20/2023//UPI//Cancelled*App Glitches:Slow Loading Time</v>
      </c>
      <c r="B1461" s="14" t="str">
        <f>IFERROR(__xludf.DUMMYFUNCTION("split(A1461,""//"")"),"ord_71439")</f>
        <v>ord_71439</v>
      </c>
      <c r="C1461" s="14" t="str">
        <f>IFERROR(__xludf.DUMMYFUNCTION("""COMPUTED_VALUE"""),"Arvind Kulkarni")</f>
        <v>Arvind Kulkarni</v>
      </c>
      <c r="D1461" s="14" t="str">
        <f>IFERROR(__xludf.DUMMYFUNCTION("""COMPUTED_VALUE"""),"Juhu")</f>
        <v>Juhu</v>
      </c>
      <c r="E1461" s="14" t="str">
        <f>IFERROR(__xludf.DUMMYFUNCTION("""COMPUTED_VALUE"""),"Tomato+2*Not Assigned")</f>
        <v>Tomato+2*Not Assigned</v>
      </c>
      <c r="F1461" s="14">
        <f>IFERROR(__xludf.DUMMYFUNCTION("""COMPUTED_VALUE"""),4.0)</f>
        <v>4</v>
      </c>
      <c r="G1461" s="14">
        <f>IFERROR(__xludf.DUMMYFUNCTION("""COMPUTED_VALUE"""),20.0)</f>
        <v>20</v>
      </c>
      <c r="H1461" s="14">
        <f>IFERROR(__xludf.DUMMYFUNCTION("""COMPUTED_VALUE"""),2023.0)</f>
        <v>2023</v>
      </c>
      <c r="I1461" s="14" t="str">
        <f>IFERROR(__xludf.DUMMYFUNCTION("""COMPUTED_VALUE"""),"UPI")</f>
        <v>UPI</v>
      </c>
      <c r="J1461" s="14" t="str">
        <f>IFERROR(__xludf.DUMMYFUNCTION("""COMPUTED_VALUE"""),"Cancelled*App Glitches:Slow Loading Time")</f>
        <v>Cancelled*App Glitches:Slow Loading Time</v>
      </c>
      <c r="K1461" s="14" t="str">
        <f>IFERROR(__xludf.DUMMYFUNCTION("split(E1461,""+"")"),"Tomato")</f>
        <v>Tomato</v>
      </c>
      <c r="L1461" s="14" t="str">
        <f>IFERROR(__xludf.DUMMYFUNCTION("""COMPUTED_VALUE"""),"2*Not Assigned")</f>
        <v>2*Not Assigned</v>
      </c>
      <c r="M1461" s="14">
        <f>IFERROR(__xludf.DUMMYFUNCTION("SPLIT(L1461,""*"")"),2.0)</f>
        <v>2</v>
      </c>
      <c r="N1461" s="14" t="str">
        <f>IFERROR(__xludf.DUMMYFUNCTION("""COMPUTED_VALUE"""),"Not Assigned")</f>
        <v>Not Assigned</v>
      </c>
      <c r="O1461" s="14" t="str">
        <f>IFERROR(__xludf.DUMMYFUNCTION("split(J1461,""*"")"),"Cancelled")</f>
        <v>Cancelled</v>
      </c>
      <c r="P1461" s="14" t="str">
        <f>IFERROR(__xludf.DUMMYFUNCTION("""COMPUTED_VALUE"""),"App Glitches:Slow Loading Time")</f>
        <v>App Glitches:Slow Loading Time</v>
      </c>
      <c r="Q1461" s="14" t="str">
        <f>IFERROR(__xludf.DUMMYFUNCTION("split(P1461,"":"")"),"App Glitches")</f>
        <v>App Glitches</v>
      </c>
      <c r="R1461" s="14" t="str">
        <f>IFERROR(__xludf.DUMMYFUNCTION("""COMPUTED_VALUE"""),"Slow Loading Time")</f>
        <v>Slow Loading Time</v>
      </c>
      <c r="S1461" s="14" t="str">
        <f t="shared" ref="S1461:U1461" si="2925">trim(B1461)</f>
        <v>ord_71439</v>
      </c>
      <c r="T1461" s="14" t="str">
        <f t="shared" si="2925"/>
        <v>Arvind Kulkarni</v>
      </c>
      <c r="U1461" s="14" t="str">
        <f t="shared" si="2925"/>
        <v>Juhu</v>
      </c>
      <c r="V1461" s="14" t="str">
        <f t="shared" si="4"/>
        <v>Tomato</v>
      </c>
      <c r="W1461" s="14">
        <f t="shared" si="5"/>
        <v>2</v>
      </c>
      <c r="X1461" s="14" t="str">
        <f t="shared" si="6"/>
        <v>Not Assigned</v>
      </c>
      <c r="Y1461" s="15">
        <f t="shared" si="7"/>
        <v>45036</v>
      </c>
      <c r="Z1461" s="14" t="str">
        <f t="shared" si="8"/>
        <v>UPI</v>
      </c>
      <c r="AA1461" s="14" t="str">
        <f t="shared" si="9"/>
        <v>Cancelled</v>
      </c>
      <c r="AB1461" s="14" t="str">
        <f t="shared" ref="AB1461:AC1461" si="2926">trim(Q1461)</f>
        <v>App Glitches</v>
      </c>
      <c r="AC1461" s="14" t="str">
        <f t="shared" si="2926"/>
        <v>Slow Loading Time</v>
      </c>
      <c r="AD1461" s="8"/>
    </row>
    <row r="1462">
      <c r="A1462" s="14" t="str">
        <f>IFERROR(__xludf.DUMMYFUNCTION("""COMPUTED_VALUE"""),"//ord_71440//Omkar Mishra//Powai//Tiramisu+2*Not Assigned/6/17/2023//Credit Card//Cancelled*App Glitches:Slow Loading Time")</f>
        <v>//ord_71440//Omkar Mishra//Powai//Tiramisu+2*Not Assigned/6/17/2023//Credit Card//Cancelled*App Glitches:Slow Loading Time</v>
      </c>
      <c r="B1462" s="14" t="str">
        <f>IFERROR(__xludf.DUMMYFUNCTION("split(A1462,""//"")"),"ord_71440")</f>
        <v>ord_71440</v>
      </c>
      <c r="C1462" s="14" t="str">
        <f>IFERROR(__xludf.DUMMYFUNCTION("""COMPUTED_VALUE"""),"Omkar Mishra")</f>
        <v>Omkar Mishra</v>
      </c>
      <c r="D1462" s="14" t="str">
        <f>IFERROR(__xludf.DUMMYFUNCTION("""COMPUTED_VALUE"""),"Powai")</f>
        <v>Powai</v>
      </c>
      <c r="E1462" s="14" t="str">
        <f>IFERROR(__xludf.DUMMYFUNCTION("""COMPUTED_VALUE"""),"Tiramisu+2*Not Assigned")</f>
        <v>Tiramisu+2*Not Assigned</v>
      </c>
      <c r="F1462" s="14">
        <f>IFERROR(__xludf.DUMMYFUNCTION("""COMPUTED_VALUE"""),6.0)</f>
        <v>6</v>
      </c>
      <c r="G1462" s="14">
        <f>IFERROR(__xludf.DUMMYFUNCTION("""COMPUTED_VALUE"""),17.0)</f>
        <v>17</v>
      </c>
      <c r="H1462" s="14">
        <f>IFERROR(__xludf.DUMMYFUNCTION("""COMPUTED_VALUE"""),2023.0)</f>
        <v>2023</v>
      </c>
      <c r="I1462" s="14" t="str">
        <f>IFERROR(__xludf.DUMMYFUNCTION("""COMPUTED_VALUE"""),"Credit Card")</f>
        <v>Credit Card</v>
      </c>
      <c r="J1462" s="14" t="str">
        <f>IFERROR(__xludf.DUMMYFUNCTION("""COMPUTED_VALUE"""),"Cancelled*App Glitches:Slow Loading Time")</f>
        <v>Cancelled*App Glitches:Slow Loading Time</v>
      </c>
      <c r="K1462" s="14" t="str">
        <f>IFERROR(__xludf.DUMMYFUNCTION("split(E1462,""+"")"),"Tiramisu")</f>
        <v>Tiramisu</v>
      </c>
      <c r="L1462" s="14" t="str">
        <f>IFERROR(__xludf.DUMMYFUNCTION("""COMPUTED_VALUE"""),"2*Not Assigned")</f>
        <v>2*Not Assigned</v>
      </c>
      <c r="M1462" s="14">
        <f>IFERROR(__xludf.DUMMYFUNCTION("SPLIT(L1462,""*"")"),2.0)</f>
        <v>2</v>
      </c>
      <c r="N1462" s="14" t="str">
        <f>IFERROR(__xludf.DUMMYFUNCTION("""COMPUTED_VALUE"""),"Not Assigned")</f>
        <v>Not Assigned</v>
      </c>
      <c r="O1462" s="14" t="str">
        <f>IFERROR(__xludf.DUMMYFUNCTION("split(J1462,""*"")"),"Cancelled")</f>
        <v>Cancelled</v>
      </c>
      <c r="P1462" s="14" t="str">
        <f>IFERROR(__xludf.DUMMYFUNCTION("""COMPUTED_VALUE"""),"App Glitches:Slow Loading Time")</f>
        <v>App Glitches:Slow Loading Time</v>
      </c>
      <c r="Q1462" s="14" t="str">
        <f>IFERROR(__xludf.DUMMYFUNCTION("split(P1462,"":"")"),"App Glitches")</f>
        <v>App Glitches</v>
      </c>
      <c r="R1462" s="14" t="str">
        <f>IFERROR(__xludf.DUMMYFUNCTION("""COMPUTED_VALUE"""),"Slow Loading Time")</f>
        <v>Slow Loading Time</v>
      </c>
      <c r="S1462" s="14" t="str">
        <f t="shared" ref="S1462:U1462" si="2927">trim(B1462)</f>
        <v>ord_71440</v>
      </c>
      <c r="T1462" s="14" t="str">
        <f t="shared" si="2927"/>
        <v>Omkar Mishra</v>
      </c>
      <c r="U1462" s="14" t="str">
        <f t="shared" si="2927"/>
        <v>Powai</v>
      </c>
      <c r="V1462" s="14" t="str">
        <f t="shared" si="4"/>
        <v>Tiramisu</v>
      </c>
      <c r="W1462" s="14">
        <f t="shared" si="5"/>
        <v>2</v>
      </c>
      <c r="X1462" s="14" t="str">
        <f t="shared" si="6"/>
        <v>Not Assigned</v>
      </c>
      <c r="Y1462" s="15">
        <f t="shared" si="7"/>
        <v>45094</v>
      </c>
      <c r="Z1462" s="14" t="str">
        <f t="shared" si="8"/>
        <v>Credit Card</v>
      </c>
      <c r="AA1462" s="14" t="str">
        <f t="shared" si="9"/>
        <v>Cancelled</v>
      </c>
      <c r="AB1462" s="14" t="str">
        <f t="shared" ref="AB1462:AC1462" si="2928">trim(Q1462)</f>
        <v>App Glitches</v>
      </c>
      <c r="AC1462" s="14" t="str">
        <f t="shared" si="2928"/>
        <v>Slow Loading Time</v>
      </c>
      <c r="AD1462" s="8"/>
    </row>
    <row r="1463">
      <c r="A1463" s="14" t="str">
        <f>IFERROR(__xludf.DUMMYFUNCTION("""COMPUTED_VALUE"""),"//ord_71441//Mohit Malhotra//Lower Parel//Juice+4*Kiran Mehta/3/25/2023//COD//Delivered*Convenience: Easy tracking")</f>
        <v>//ord_71441//Mohit Malhotra//Lower Parel//Juice+4*Kiran Mehta/3/25/2023//COD//Delivered*Convenience: Easy tracking</v>
      </c>
      <c r="B1463" s="14" t="str">
        <f>IFERROR(__xludf.DUMMYFUNCTION("split(A1463,""//"")"),"ord_71441")</f>
        <v>ord_71441</v>
      </c>
      <c r="C1463" s="14" t="str">
        <f>IFERROR(__xludf.DUMMYFUNCTION("""COMPUTED_VALUE"""),"Mohit Malhotra")</f>
        <v>Mohit Malhotra</v>
      </c>
      <c r="D1463" s="14" t="str">
        <f>IFERROR(__xludf.DUMMYFUNCTION("""COMPUTED_VALUE"""),"Lower Parel")</f>
        <v>Lower Parel</v>
      </c>
      <c r="E1463" s="14" t="str">
        <f>IFERROR(__xludf.DUMMYFUNCTION("""COMPUTED_VALUE"""),"Juice+4*Kiran Mehta")</f>
        <v>Juice+4*Kiran Mehta</v>
      </c>
      <c r="F1463" s="14">
        <f>IFERROR(__xludf.DUMMYFUNCTION("""COMPUTED_VALUE"""),3.0)</f>
        <v>3</v>
      </c>
      <c r="G1463" s="14">
        <f>IFERROR(__xludf.DUMMYFUNCTION("""COMPUTED_VALUE"""),25.0)</f>
        <v>25</v>
      </c>
      <c r="H1463" s="14">
        <f>IFERROR(__xludf.DUMMYFUNCTION("""COMPUTED_VALUE"""),2023.0)</f>
        <v>2023</v>
      </c>
      <c r="I1463" s="14" t="str">
        <f>IFERROR(__xludf.DUMMYFUNCTION("""COMPUTED_VALUE"""),"COD")</f>
        <v>COD</v>
      </c>
      <c r="J1463" s="14" t="str">
        <f>IFERROR(__xludf.DUMMYFUNCTION("""COMPUTED_VALUE"""),"Delivered*Convenience: Easy tracking")</f>
        <v>Delivered*Convenience: Easy tracking</v>
      </c>
      <c r="K1463" s="14" t="str">
        <f>IFERROR(__xludf.DUMMYFUNCTION("split(E1463,""+"")"),"Juice")</f>
        <v>Juice</v>
      </c>
      <c r="L1463" s="14" t="str">
        <f>IFERROR(__xludf.DUMMYFUNCTION("""COMPUTED_VALUE"""),"4*Kiran Mehta")</f>
        <v>4*Kiran Mehta</v>
      </c>
      <c r="M1463" s="14">
        <f>IFERROR(__xludf.DUMMYFUNCTION("SPLIT(L1463,""*"")"),4.0)</f>
        <v>4</v>
      </c>
      <c r="N1463" s="14" t="str">
        <f>IFERROR(__xludf.DUMMYFUNCTION("""COMPUTED_VALUE"""),"Kiran Mehta")</f>
        <v>Kiran Mehta</v>
      </c>
      <c r="O1463" s="14" t="str">
        <f>IFERROR(__xludf.DUMMYFUNCTION("split(J1463,""*"")"),"Delivered")</f>
        <v>Delivered</v>
      </c>
      <c r="P1463" s="14" t="str">
        <f>IFERROR(__xludf.DUMMYFUNCTION("""COMPUTED_VALUE"""),"Convenience: Easy tracking")</f>
        <v>Convenience: Easy tracking</v>
      </c>
      <c r="Q1463" s="14" t="str">
        <f>IFERROR(__xludf.DUMMYFUNCTION("split(P1463,"":"")"),"Convenience")</f>
        <v>Convenience</v>
      </c>
      <c r="R1463" s="14" t="str">
        <f>IFERROR(__xludf.DUMMYFUNCTION("""COMPUTED_VALUE""")," Easy tracking")</f>
        <v> Easy tracking</v>
      </c>
      <c r="S1463" s="14" t="str">
        <f t="shared" ref="S1463:U1463" si="2929">trim(B1463)</f>
        <v>ord_71441</v>
      </c>
      <c r="T1463" s="14" t="str">
        <f t="shared" si="2929"/>
        <v>Mohit Malhotra</v>
      </c>
      <c r="U1463" s="14" t="str">
        <f t="shared" si="2929"/>
        <v>Lower Parel</v>
      </c>
      <c r="V1463" s="14" t="str">
        <f t="shared" si="4"/>
        <v>Juice</v>
      </c>
      <c r="W1463" s="14">
        <f t="shared" si="5"/>
        <v>4</v>
      </c>
      <c r="X1463" s="14" t="str">
        <f t="shared" si="6"/>
        <v>Kiran Mehta</v>
      </c>
      <c r="Y1463" s="15">
        <f t="shared" si="7"/>
        <v>45010</v>
      </c>
      <c r="Z1463" s="14" t="str">
        <f t="shared" si="8"/>
        <v>COD</v>
      </c>
      <c r="AA1463" s="14" t="str">
        <f t="shared" si="9"/>
        <v>Delivered</v>
      </c>
      <c r="AB1463" s="14" t="str">
        <f t="shared" ref="AB1463:AC1463" si="2930">trim(Q1463)</f>
        <v>Convenience</v>
      </c>
      <c r="AC1463" s="14" t="str">
        <f t="shared" si="2930"/>
        <v>Easy tracking</v>
      </c>
      <c r="AD1463" s="8"/>
    </row>
    <row r="1464">
      <c r="A1464" s="14" t="str">
        <f>IFERROR(__xludf.DUMMYFUNCTION("""COMPUTED_VALUE"""),"//ord_71442//Ishita Banerjee//Juhu//Veg Puff+1*Ram Gopal/9/2/2023//Online Payment//Cancelled*Delayed Delivery:High Order Volume")</f>
        <v>//ord_71442//Ishita Banerjee//Juhu//Veg Puff+1*Ram Gopal/9/2/2023//Online Payment//Cancelled*Delayed Delivery:High Order Volume</v>
      </c>
      <c r="B1464" s="14" t="str">
        <f>IFERROR(__xludf.DUMMYFUNCTION("split(A1464,""//"")"),"ord_71442")</f>
        <v>ord_71442</v>
      </c>
      <c r="C1464" s="14" t="str">
        <f>IFERROR(__xludf.DUMMYFUNCTION("""COMPUTED_VALUE"""),"Ishita Banerjee")</f>
        <v>Ishita Banerjee</v>
      </c>
      <c r="D1464" s="14" t="str">
        <f>IFERROR(__xludf.DUMMYFUNCTION("""COMPUTED_VALUE"""),"Juhu")</f>
        <v>Juhu</v>
      </c>
      <c r="E1464" s="14" t="str">
        <f>IFERROR(__xludf.DUMMYFUNCTION("""COMPUTED_VALUE"""),"Veg Puff+1*Ram Gopal")</f>
        <v>Veg Puff+1*Ram Gopal</v>
      </c>
      <c r="F1464" s="14">
        <f>IFERROR(__xludf.DUMMYFUNCTION("""COMPUTED_VALUE"""),9.0)</f>
        <v>9</v>
      </c>
      <c r="G1464" s="14">
        <f>IFERROR(__xludf.DUMMYFUNCTION("""COMPUTED_VALUE"""),2.0)</f>
        <v>2</v>
      </c>
      <c r="H1464" s="14">
        <f>IFERROR(__xludf.DUMMYFUNCTION("""COMPUTED_VALUE"""),2023.0)</f>
        <v>2023</v>
      </c>
      <c r="I1464" s="14" t="str">
        <f>IFERROR(__xludf.DUMMYFUNCTION("""COMPUTED_VALUE"""),"Online Payment")</f>
        <v>Online Payment</v>
      </c>
      <c r="J1464" s="14" t="str">
        <f>IFERROR(__xludf.DUMMYFUNCTION("""COMPUTED_VALUE"""),"Cancelled*Delayed Delivery:High Order Volume")</f>
        <v>Cancelled*Delayed Delivery:High Order Volume</v>
      </c>
      <c r="K1464" s="14" t="str">
        <f>IFERROR(__xludf.DUMMYFUNCTION("split(E1464,""+"")"),"Veg Puff")</f>
        <v>Veg Puff</v>
      </c>
      <c r="L1464" s="14" t="str">
        <f>IFERROR(__xludf.DUMMYFUNCTION("""COMPUTED_VALUE"""),"1*Ram Gopal")</f>
        <v>1*Ram Gopal</v>
      </c>
      <c r="M1464" s="14">
        <f>IFERROR(__xludf.DUMMYFUNCTION("SPLIT(L1464,""*"")"),1.0)</f>
        <v>1</v>
      </c>
      <c r="N1464" s="14" t="str">
        <f>IFERROR(__xludf.DUMMYFUNCTION("""COMPUTED_VALUE"""),"Ram Gopal")</f>
        <v>Ram Gopal</v>
      </c>
      <c r="O1464" s="14" t="str">
        <f>IFERROR(__xludf.DUMMYFUNCTION("split(J1464,""*"")"),"Cancelled")</f>
        <v>Cancelled</v>
      </c>
      <c r="P1464" s="14" t="str">
        <f>IFERROR(__xludf.DUMMYFUNCTION("""COMPUTED_VALUE"""),"Delayed Delivery:High Order Volume")</f>
        <v>Delayed Delivery:High Order Volume</v>
      </c>
      <c r="Q1464" s="14" t="str">
        <f>IFERROR(__xludf.DUMMYFUNCTION("split(P1464,"":"")"),"Delayed Delivery")</f>
        <v>Delayed Delivery</v>
      </c>
      <c r="R1464" s="14" t="str">
        <f>IFERROR(__xludf.DUMMYFUNCTION("""COMPUTED_VALUE"""),"High Order Volume")</f>
        <v>High Order Volume</v>
      </c>
      <c r="S1464" s="14" t="str">
        <f t="shared" ref="S1464:U1464" si="2931">trim(B1464)</f>
        <v>ord_71442</v>
      </c>
      <c r="T1464" s="14" t="str">
        <f t="shared" si="2931"/>
        <v>Ishita Banerjee</v>
      </c>
      <c r="U1464" s="14" t="str">
        <f t="shared" si="2931"/>
        <v>Juhu</v>
      </c>
      <c r="V1464" s="14" t="str">
        <f t="shared" si="4"/>
        <v>Veg Puff</v>
      </c>
      <c r="W1464" s="14">
        <f t="shared" si="5"/>
        <v>1</v>
      </c>
      <c r="X1464" s="14" t="str">
        <f t="shared" si="6"/>
        <v>Ram Gopal</v>
      </c>
      <c r="Y1464" s="15">
        <f t="shared" si="7"/>
        <v>45171</v>
      </c>
      <c r="Z1464" s="14" t="str">
        <f t="shared" si="8"/>
        <v>Online Payment</v>
      </c>
      <c r="AA1464" s="14" t="str">
        <f t="shared" si="9"/>
        <v>Cancelled</v>
      </c>
      <c r="AB1464" s="14" t="str">
        <f t="shared" ref="AB1464:AC1464" si="2932">trim(Q1464)</f>
        <v>Delayed Delivery</v>
      </c>
      <c r="AC1464" s="14" t="str">
        <f t="shared" si="2932"/>
        <v>High Order Volume</v>
      </c>
      <c r="AD1464" s="8"/>
    </row>
    <row r="1465">
      <c r="A1465" s="14" t="str">
        <f>IFERROR(__xludf.DUMMYFUNCTION("""COMPUTED_VALUE"""),"//ord_71443//Omkar Mishra//Powai//Onion+1*Sandeep Kumar/11/28/2023//Credit Card//Delivered*Overall Satisfaction: Great service will order again")</f>
        <v>//ord_71443//Omkar Mishra//Powai//Onion+1*Sandeep Kumar/11/28/2023//Credit Card//Delivered*Overall Satisfaction: Great service will order again</v>
      </c>
      <c r="B1465" s="14" t="str">
        <f>IFERROR(__xludf.DUMMYFUNCTION("split(A1465,""//"")"),"ord_71443")</f>
        <v>ord_71443</v>
      </c>
      <c r="C1465" s="14" t="str">
        <f>IFERROR(__xludf.DUMMYFUNCTION("""COMPUTED_VALUE"""),"Omkar Mishra")</f>
        <v>Omkar Mishra</v>
      </c>
      <c r="D1465" s="14" t="str">
        <f>IFERROR(__xludf.DUMMYFUNCTION("""COMPUTED_VALUE"""),"Powai")</f>
        <v>Powai</v>
      </c>
      <c r="E1465" s="14" t="str">
        <f>IFERROR(__xludf.DUMMYFUNCTION("""COMPUTED_VALUE"""),"Onion+1*Sandeep Kumar")</f>
        <v>Onion+1*Sandeep Kumar</v>
      </c>
      <c r="F1465" s="14">
        <f>IFERROR(__xludf.DUMMYFUNCTION("""COMPUTED_VALUE"""),11.0)</f>
        <v>11</v>
      </c>
      <c r="G1465" s="14">
        <f>IFERROR(__xludf.DUMMYFUNCTION("""COMPUTED_VALUE"""),28.0)</f>
        <v>28</v>
      </c>
      <c r="H1465" s="14">
        <f>IFERROR(__xludf.DUMMYFUNCTION("""COMPUTED_VALUE"""),2023.0)</f>
        <v>2023</v>
      </c>
      <c r="I1465" s="14" t="str">
        <f>IFERROR(__xludf.DUMMYFUNCTION("""COMPUTED_VALUE"""),"Credit Card")</f>
        <v>Credit Card</v>
      </c>
      <c r="J1465" s="14" t="str">
        <f>IFERROR(__xludf.DUMMYFUNCTION("""COMPUTED_VALUE"""),"Delivered*Overall Satisfaction: Great service will order again")</f>
        <v>Delivered*Overall Satisfaction: Great service will order again</v>
      </c>
      <c r="K1465" s="14" t="str">
        <f>IFERROR(__xludf.DUMMYFUNCTION("split(E1465,""+"")"),"Onion")</f>
        <v>Onion</v>
      </c>
      <c r="L1465" s="14" t="str">
        <f>IFERROR(__xludf.DUMMYFUNCTION("""COMPUTED_VALUE"""),"1*Sandeep Kumar")</f>
        <v>1*Sandeep Kumar</v>
      </c>
      <c r="M1465" s="14">
        <f>IFERROR(__xludf.DUMMYFUNCTION("SPLIT(L1465,""*"")"),1.0)</f>
        <v>1</v>
      </c>
      <c r="N1465" s="14" t="str">
        <f>IFERROR(__xludf.DUMMYFUNCTION("""COMPUTED_VALUE"""),"Sandeep Kumar")</f>
        <v>Sandeep Kumar</v>
      </c>
      <c r="O1465" s="14" t="str">
        <f>IFERROR(__xludf.DUMMYFUNCTION("split(J1465,""*"")"),"Delivered")</f>
        <v>Delivered</v>
      </c>
      <c r="P1465" s="14" t="str">
        <f>IFERROR(__xludf.DUMMYFUNCTION("""COMPUTED_VALUE"""),"Overall Satisfaction: Great service will order again")</f>
        <v>Overall Satisfaction: Great service will order again</v>
      </c>
      <c r="Q1465" s="14" t="str">
        <f>IFERROR(__xludf.DUMMYFUNCTION("split(P1465,"":"")"),"Overall Satisfaction")</f>
        <v>Overall Satisfaction</v>
      </c>
      <c r="R1465" s="14" t="str">
        <f>IFERROR(__xludf.DUMMYFUNCTION("""COMPUTED_VALUE""")," Great service will order again")</f>
        <v> Great service will order again</v>
      </c>
      <c r="S1465" s="14" t="str">
        <f t="shared" ref="S1465:U1465" si="2933">trim(B1465)</f>
        <v>ord_71443</v>
      </c>
      <c r="T1465" s="14" t="str">
        <f t="shared" si="2933"/>
        <v>Omkar Mishra</v>
      </c>
      <c r="U1465" s="14" t="str">
        <f t="shared" si="2933"/>
        <v>Powai</v>
      </c>
      <c r="V1465" s="14" t="str">
        <f t="shared" si="4"/>
        <v>Onion</v>
      </c>
      <c r="W1465" s="14">
        <f t="shared" si="5"/>
        <v>1</v>
      </c>
      <c r="X1465" s="14" t="str">
        <f t="shared" si="6"/>
        <v>Sandeep Kumar</v>
      </c>
      <c r="Y1465" s="15">
        <f t="shared" si="7"/>
        <v>45258</v>
      </c>
      <c r="Z1465" s="14" t="str">
        <f t="shared" si="8"/>
        <v>Credit Card</v>
      </c>
      <c r="AA1465" s="14" t="str">
        <f t="shared" si="9"/>
        <v>Delivered</v>
      </c>
      <c r="AB1465" s="14" t="str">
        <f t="shared" ref="AB1465:AC1465" si="2934">trim(Q1465)</f>
        <v>Overall Satisfaction</v>
      </c>
      <c r="AC1465" s="14" t="str">
        <f t="shared" si="2934"/>
        <v>Great service will order again</v>
      </c>
      <c r="AD1465" s="8"/>
    </row>
    <row r="1466">
      <c r="A1466" s="14" t="str">
        <f>IFERROR(__xludf.DUMMYFUNCTION("""COMPUTED_VALUE"""),"//ord_71444//Ishaan Chaturvedi//Bandra//Orange+1*Priya Joshi/11/29/2023//Online Payment//Delivered*On-time Delivery: Delivered on time")</f>
        <v>//ord_71444//Ishaan Chaturvedi//Bandra//Orange+1*Priya Joshi/11/29/2023//Online Payment//Delivered*On-time Delivery: Delivered on time</v>
      </c>
      <c r="B1466" s="14" t="str">
        <f>IFERROR(__xludf.DUMMYFUNCTION("split(A1466,""//"")"),"ord_71444")</f>
        <v>ord_71444</v>
      </c>
      <c r="C1466" s="14" t="str">
        <f>IFERROR(__xludf.DUMMYFUNCTION("""COMPUTED_VALUE"""),"Ishaan Chaturvedi")</f>
        <v>Ishaan Chaturvedi</v>
      </c>
      <c r="D1466" s="14" t="str">
        <f>IFERROR(__xludf.DUMMYFUNCTION("""COMPUTED_VALUE"""),"Bandra")</f>
        <v>Bandra</v>
      </c>
      <c r="E1466" s="14" t="str">
        <f>IFERROR(__xludf.DUMMYFUNCTION("""COMPUTED_VALUE"""),"Orange+1*Priya Joshi")</f>
        <v>Orange+1*Priya Joshi</v>
      </c>
      <c r="F1466" s="14">
        <f>IFERROR(__xludf.DUMMYFUNCTION("""COMPUTED_VALUE"""),11.0)</f>
        <v>11</v>
      </c>
      <c r="G1466" s="14">
        <f>IFERROR(__xludf.DUMMYFUNCTION("""COMPUTED_VALUE"""),29.0)</f>
        <v>29</v>
      </c>
      <c r="H1466" s="14">
        <f>IFERROR(__xludf.DUMMYFUNCTION("""COMPUTED_VALUE"""),2023.0)</f>
        <v>2023</v>
      </c>
      <c r="I1466" s="14" t="str">
        <f>IFERROR(__xludf.DUMMYFUNCTION("""COMPUTED_VALUE"""),"Online Payment")</f>
        <v>Online Payment</v>
      </c>
      <c r="J1466" s="14" t="str">
        <f>IFERROR(__xludf.DUMMYFUNCTION("""COMPUTED_VALUE"""),"Delivered*On-time Delivery: Delivered on time")</f>
        <v>Delivered*On-time Delivery: Delivered on time</v>
      </c>
      <c r="K1466" s="14" t="str">
        <f>IFERROR(__xludf.DUMMYFUNCTION("split(E1466,""+"")"),"Orange")</f>
        <v>Orange</v>
      </c>
      <c r="L1466" s="14" t="str">
        <f>IFERROR(__xludf.DUMMYFUNCTION("""COMPUTED_VALUE"""),"1*Priya Joshi")</f>
        <v>1*Priya Joshi</v>
      </c>
      <c r="M1466" s="14">
        <f>IFERROR(__xludf.DUMMYFUNCTION("SPLIT(L1466,""*"")"),1.0)</f>
        <v>1</v>
      </c>
      <c r="N1466" s="14" t="str">
        <f>IFERROR(__xludf.DUMMYFUNCTION("""COMPUTED_VALUE"""),"Priya Joshi")</f>
        <v>Priya Joshi</v>
      </c>
      <c r="O1466" s="14" t="str">
        <f>IFERROR(__xludf.DUMMYFUNCTION("split(J1466,""*"")"),"Delivered")</f>
        <v>Delivered</v>
      </c>
      <c r="P1466" s="14" t="str">
        <f>IFERROR(__xludf.DUMMYFUNCTION("""COMPUTED_VALUE"""),"On-time Delivery: Delivered on time")</f>
        <v>On-time Delivery: Delivered on time</v>
      </c>
      <c r="Q1466" s="14" t="str">
        <f>IFERROR(__xludf.DUMMYFUNCTION("split(P1466,"":"")"),"On-time Delivery")</f>
        <v>On-time Delivery</v>
      </c>
      <c r="R1466" s="14" t="str">
        <f>IFERROR(__xludf.DUMMYFUNCTION("""COMPUTED_VALUE""")," Delivered on time")</f>
        <v> Delivered on time</v>
      </c>
      <c r="S1466" s="14" t="str">
        <f t="shared" ref="S1466:U1466" si="2935">trim(B1466)</f>
        <v>ord_71444</v>
      </c>
      <c r="T1466" s="14" t="str">
        <f t="shared" si="2935"/>
        <v>Ishaan Chaturvedi</v>
      </c>
      <c r="U1466" s="14" t="str">
        <f t="shared" si="2935"/>
        <v>Bandra</v>
      </c>
      <c r="V1466" s="14" t="str">
        <f t="shared" si="4"/>
        <v>Orange</v>
      </c>
      <c r="W1466" s="14">
        <f t="shared" si="5"/>
        <v>1</v>
      </c>
      <c r="X1466" s="14" t="str">
        <f t="shared" si="6"/>
        <v>Priya Joshi</v>
      </c>
      <c r="Y1466" s="15">
        <f t="shared" si="7"/>
        <v>45259</v>
      </c>
      <c r="Z1466" s="14" t="str">
        <f t="shared" si="8"/>
        <v>Online Payment</v>
      </c>
      <c r="AA1466" s="14" t="str">
        <f t="shared" si="9"/>
        <v>Delivered</v>
      </c>
      <c r="AB1466" s="14" t="str">
        <f t="shared" ref="AB1466:AC1466" si="2936">trim(Q1466)</f>
        <v>On-time Delivery</v>
      </c>
      <c r="AC1466" s="14" t="str">
        <f t="shared" si="2936"/>
        <v>Delivered on time</v>
      </c>
      <c r="AD1466" s="8"/>
    </row>
    <row r="1467">
      <c r="A1467" s="14" t="str">
        <f>IFERROR(__xludf.DUMMYFUNCTION("""COMPUTED_VALUE"""),"//ord_71445//Sanjay Nair//Dadar//Chocolate Mousse+3*Aman Kumar/11/2/2023//UPI//Delivered*Quality of Items: Perfect condition")</f>
        <v>//ord_71445//Sanjay Nair//Dadar//Chocolate Mousse+3*Aman Kumar/11/2/2023//UPI//Delivered*Quality of Items: Perfect condition</v>
      </c>
      <c r="B1467" s="14" t="str">
        <f>IFERROR(__xludf.DUMMYFUNCTION("split(A1467,""//"")"),"ord_71445")</f>
        <v>ord_71445</v>
      </c>
      <c r="C1467" s="14" t="str">
        <f>IFERROR(__xludf.DUMMYFUNCTION("""COMPUTED_VALUE"""),"Sanjay Nair")</f>
        <v>Sanjay Nair</v>
      </c>
      <c r="D1467" s="14" t="str">
        <f>IFERROR(__xludf.DUMMYFUNCTION("""COMPUTED_VALUE"""),"Dadar")</f>
        <v>Dadar</v>
      </c>
      <c r="E1467" s="14" t="str">
        <f>IFERROR(__xludf.DUMMYFUNCTION("""COMPUTED_VALUE"""),"Chocolate Mousse+3*Aman Kumar")</f>
        <v>Chocolate Mousse+3*Aman Kumar</v>
      </c>
      <c r="F1467" s="14">
        <f>IFERROR(__xludf.DUMMYFUNCTION("""COMPUTED_VALUE"""),11.0)</f>
        <v>11</v>
      </c>
      <c r="G1467" s="14">
        <f>IFERROR(__xludf.DUMMYFUNCTION("""COMPUTED_VALUE"""),2.0)</f>
        <v>2</v>
      </c>
      <c r="H1467" s="14">
        <f>IFERROR(__xludf.DUMMYFUNCTION("""COMPUTED_VALUE"""),2023.0)</f>
        <v>2023</v>
      </c>
      <c r="I1467" s="14" t="str">
        <f>IFERROR(__xludf.DUMMYFUNCTION("""COMPUTED_VALUE"""),"UPI")</f>
        <v>UPI</v>
      </c>
      <c r="J1467" s="14" t="str">
        <f>IFERROR(__xludf.DUMMYFUNCTION("""COMPUTED_VALUE"""),"Delivered*Quality of Items: Perfect condition")</f>
        <v>Delivered*Quality of Items: Perfect condition</v>
      </c>
      <c r="K1467" s="14" t="str">
        <f>IFERROR(__xludf.DUMMYFUNCTION("split(E1467,""+"")"),"Chocolate Mousse")</f>
        <v>Chocolate Mousse</v>
      </c>
      <c r="L1467" s="14" t="str">
        <f>IFERROR(__xludf.DUMMYFUNCTION("""COMPUTED_VALUE"""),"3*Aman Kumar")</f>
        <v>3*Aman Kumar</v>
      </c>
      <c r="M1467" s="14">
        <f>IFERROR(__xludf.DUMMYFUNCTION("SPLIT(L1467,""*"")"),3.0)</f>
        <v>3</v>
      </c>
      <c r="N1467" s="14" t="str">
        <f>IFERROR(__xludf.DUMMYFUNCTION("""COMPUTED_VALUE"""),"Aman Kumar")</f>
        <v>Aman Kumar</v>
      </c>
      <c r="O1467" s="14" t="str">
        <f>IFERROR(__xludf.DUMMYFUNCTION("split(J1467,""*"")"),"Delivered")</f>
        <v>Delivered</v>
      </c>
      <c r="P1467" s="14" t="str">
        <f>IFERROR(__xludf.DUMMYFUNCTION("""COMPUTED_VALUE"""),"Quality of Items: Perfect condition")</f>
        <v>Quality of Items: Perfect condition</v>
      </c>
      <c r="Q1467" s="14" t="str">
        <f>IFERROR(__xludf.DUMMYFUNCTION("split(P1467,"":"")"),"Quality of Items")</f>
        <v>Quality of Items</v>
      </c>
      <c r="R1467" s="14" t="str">
        <f>IFERROR(__xludf.DUMMYFUNCTION("""COMPUTED_VALUE""")," Perfect condition")</f>
        <v> Perfect condition</v>
      </c>
      <c r="S1467" s="14" t="str">
        <f t="shared" ref="S1467:U1467" si="2937">trim(B1467)</f>
        <v>ord_71445</v>
      </c>
      <c r="T1467" s="14" t="str">
        <f t="shared" si="2937"/>
        <v>Sanjay Nair</v>
      </c>
      <c r="U1467" s="14" t="str">
        <f t="shared" si="2937"/>
        <v>Dadar</v>
      </c>
      <c r="V1467" s="14" t="str">
        <f t="shared" si="4"/>
        <v>Chocolate Mousse</v>
      </c>
      <c r="W1467" s="14">
        <f t="shared" si="5"/>
        <v>3</v>
      </c>
      <c r="X1467" s="14" t="str">
        <f t="shared" si="6"/>
        <v>Aman Kumar</v>
      </c>
      <c r="Y1467" s="15">
        <f t="shared" si="7"/>
        <v>45232</v>
      </c>
      <c r="Z1467" s="14" t="str">
        <f t="shared" si="8"/>
        <v>UPI</v>
      </c>
      <c r="AA1467" s="14" t="str">
        <f t="shared" si="9"/>
        <v>Delivered</v>
      </c>
      <c r="AB1467" s="14" t="str">
        <f t="shared" ref="AB1467:AC1467" si="2938">trim(Q1467)</f>
        <v>Quality of Items</v>
      </c>
      <c r="AC1467" s="14" t="str">
        <f t="shared" si="2938"/>
        <v>Perfect condition</v>
      </c>
      <c r="AD1467" s="8"/>
    </row>
    <row r="1468">
      <c r="A1468" s="14" t="str">
        <f>IFERROR(__xludf.DUMMYFUNCTION("""COMPUTED_VALUE"""),"//ord_71446//Dev Chauhan//Bandra//Tomato+2*Priya Joshi/11/6/2023//UPI//Delivered*On-time Delivery: Delivered on time")</f>
        <v>//ord_71446//Dev Chauhan//Bandra//Tomato+2*Priya Joshi/11/6/2023//UPI//Delivered*On-time Delivery: Delivered on time</v>
      </c>
      <c r="B1468" s="14" t="str">
        <f>IFERROR(__xludf.DUMMYFUNCTION("split(A1468,""//"")"),"ord_71446")</f>
        <v>ord_71446</v>
      </c>
      <c r="C1468" s="14" t="str">
        <f>IFERROR(__xludf.DUMMYFUNCTION("""COMPUTED_VALUE"""),"Dev Chauhan")</f>
        <v>Dev Chauhan</v>
      </c>
      <c r="D1468" s="14" t="str">
        <f>IFERROR(__xludf.DUMMYFUNCTION("""COMPUTED_VALUE"""),"Bandra")</f>
        <v>Bandra</v>
      </c>
      <c r="E1468" s="14" t="str">
        <f>IFERROR(__xludf.DUMMYFUNCTION("""COMPUTED_VALUE"""),"Tomato+2*Priya Joshi")</f>
        <v>Tomato+2*Priya Joshi</v>
      </c>
      <c r="F1468" s="14">
        <f>IFERROR(__xludf.DUMMYFUNCTION("""COMPUTED_VALUE"""),11.0)</f>
        <v>11</v>
      </c>
      <c r="G1468" s="14">
        <f>IFERROR(__xludf.DUMMYFUNCTION("""COMPUTED_VALUE"""),6.0)</f>
        <v>6</v>
      </c>
      <c r="H1468" s="14">
        <f>IFERROR(__xludf.DUMMYFUNCTION("""COMPUTED_VALUE"""),2023.0)</f>
        <v>2023</v>
      </c>
      <c r="I1468" s="14" t="str">
        <f>IFERROR(__xludf.DUMMYFUNCTION("""COMPUTED_VALUE"""),"UPI")</f>
        <v>UPI</v>
      </c>
      <c r="J1468" s="14" t="str">
        <f>IFERROR(__xludf.DUMMYFUNCTION("""COMPUTED_VALUE"""),"Delivered*On-time Delivery: Delivered on time")</f>
        <v>Delivered*On-time Delivery: Delivered on time</v>
      </c>
      <c r="K1468" s="14" t="str">
        <f>IFERROR(__xludf.DUMMYFUNCTION("split(E1468,""+"")"),"Tomato")</f>
        <v>Tomato</v>
      </c>
      <c r="L1468" s="14" t="str">
        <f>IFERROR(__xludf.DUMMYFUNCTION("""COMPUTED_VALUE"""),"2*Priya Joshi")</f>
        <v>2*Priya Joshi</v>
      </c>
      <c r="M1468" s="14">
        <f>IFERROR(__xludf.DUMMYFUNCTION("SPLIT(L1468,""*"")"),2.0)</f>
        <v>2</v>
      </c>
      <c r="N1468" s="14" t="str">
        <f>IFERROR(__xludf.DUMMYFUNCTION("""COMPUTED_VALUE"""),"Priya Joshi")</f>
        <v>Priya Joshi</v>
      </c>
      <c r="O1468" s="14" t="str">
        <f>IFERROR(__xludf.DUMMYFUNCTION("split(J1468,""*"")"),"Delivered")</f>
        <v>Delivered</v>
      </c>
      <c r="P1468" s="14" t="str">
        <f>IFERROR(__xludf.DUMMYFUNCTION("""COMPUTED_VALUE"""),"On-time Delivery: Delivered on time")</f>
        <v>On-time Delivery: Delivered on time</v>
      </c>
      <c r="Q1468" s="14" t="str">
        <f>IFERROR(__xludf.DUMMYFUNCTION("split(P1468,"":"")"),"On-time Delivery")</f>
        <v>On-time Delivery</v>
      </c>
      <c r="R1468" s="14" t="str">
        <f>IFERROR(__xludf.DUMMYFUNCTION("""COMPUTED_VALUE""")," Delivered on time")</f>
        <v> Delivered on time</v>
      </c>
      <c r="S1468" s="14" t="str">
        <f t="shared" ref="S1468:U1468" si="2939">trim(B1468)</f>
        <v>ord_71446</v>
      </c>
      <c r="T1468" s="14" t="str">
        <f t="shared" si="2939"/>
        <v>Dev Chauhan</v>
      </c>
      <c r="U1468" s="14" t="str">
        <f t="shared" si="2939"/>
        <v>Bandra</v>
      </c>
      <c r="V1468" s="14" t="str">
        <f t="shared" si="4"/>
        <v>Tomato</v>
      </c>
      <c r="W1468" s="14">
        <f t="shared" si="5"/>
        <v>2</v>
      </c>
      <c r="X1468" s="14" t="str">
        <f t="shared" si="6"/>
        <v>Priya Joshi</v>
      </c>
      <c r="Y1468" s="15">
        <f t="shared" si="7"/>
        <v>45236</v>
      </c>
      <c r="Z1468" s="14" t="str">
        <f t="shared" si="8"/>
        <v>UPI</v>
      </c>
      <c r="AA1468" s="14" t="str">
        <f t="shared" si="9"/>
        <v>Delivered</v>
      </c>
      <c r="AB1468" s="14" t="str">
        <f t="shared" ref="AB1468:AC1468" si="2940">trim(Q1468)</f>
        <v>On-time Delivery</v>
      </c>
      <c r="AC1468" s="14" t="str">
        <f t="shared" si="2940"/>
        <v>Delivered on time</v>
      </c>
      <c r="AD1468" s="8"/>
    </row>
    <row r="1469">
      <c r="A1469" s="14" t="str">
        <f>IFERROR(__xludf.DUMMYFUNCTION("""COMPUTED_VALUE"""),"//ord_71447//Kritika Shetty//Malad//Popcorn+3*Priya Joshi/6/4/2023//Credit Card//Cancelled*Delayed Delivery:Vehicle Breakdown")</f>
        <v>//ord_71447//Kritika Shetty//Malad//Popcorn+3*Priya Joshi/6/4/2023//Credit Card//Cancelled*Delayed Delivery:Vehicle Breakdown</v>
      </c>
      <c r="B1469" s="14" t="str">
        <f>IFERROR(__xludf.DUMMYFUNCTION("split(A1469,""//"")"),"ord_71447")</f>
        <v>ord_71447</v>
      </c>
      <c r="C1469" s="14" t="str">
        <f>IFERROR(__xludf.DUMMYFUNCTION("""COMPUTED_VALUE"""),"Kritika Shetty")</f>
        <v>Kritika Shetty</v>
      </c>
      <c r="D1469" s="14" t="str">
        <f>IFERROR(__xludf.DUMMYFUNCTION("""COMPUTED_VALUE"""),"Malad")</f>
        <v>Malad</v>
      </c>
      <c r="E1469" s="14" t="str">
        <f>IFERROR(__xludf.DUMMYFUNCTION("""COMPUTED_VALUE"""),"Popcorn+3*Priya Joshi")</f>
        <v>Popcorn+3*Priya Joshi</v>
      </c>
      <c r="F1469" s="14">
        <f>IFERROR(__xludf.DUMMYFUNCTION("""COMPUTED_VALUE"""),6.0)</f>
        <v>6</v>
      </c>
      <c r="G1469" s="14">
        <f>IFERROR(__xludf.DUMMYFUNCTION("""COMPUTED_VALUE"""),4.0)</f>
        <v>4</v>
      </c>
      <c r="H1469" s="14">
        <f>IFERROR(__xludf.DUMMYFUNCTION("""COMPUTED_VALUE"""),2023.0)</f>
        <v>2023</v>
      </c>
      <c r="I1469" s="14" t="str">
        <f>IFERROR(__xludf.DUMMYFUNCTION("""COMPUTED_VALUE"""),"Credit Card")</f>
        <v>Credit Card</v>
      </c>
      <c r="J1469" s="14" t="str">
        <f>IFERROR(__xludf.DUMMYFUNCTION("""COMPUTED_VALUE"""),"Cancelled*Delayed Delivery:Vehicle Breakdown")</f>
        <v>Cancelled*Delayed Delivery:Vehicle Breakdown</v>
      </c>
      <c r="K1469" s="14" t="str">
        <f>IFERROR(__xludf.DUMMYFUNCTION("split(E1469,""+"")"),"Popcorn")</f>
        <v>Popcorn</v>
      </c>
      <c r="L1469" s="14" t="str">
        <f>IFERROR(__xludf.DUMMYFUNCTION("""COMPUTED_VALUE"""),"3*Priya Joshi")</f>
        <v>3*Priya Joshi</v>
      </c>
      <c r="M1469" s="14">
        <f>IFERROR(__xludf.DUMMYFUNCTION("SPLIT(L1469,""*"")"),3.0)</f>
        <v>3</v>
      </c>
      <c r="N1469" s="14" t="str">
        <f>IFERROR(__xludf.DUMMYFUNCTION("""COMPUTED_VALUE"""),"Priya Joshi")</f>
        <v>Priya Joshi</v>
      </c>
      <c r="O1469" s="14" t="str">
        <f>IFERROR(__xludf.DUMMYFUNCTION("split(J1469,""*"")"),"Cancelled")</f>
        <v>Cancelled</v>
      </c>
      <c r="P1469" s="14" t="str">
        <f>IFERROR(__xludf.DUMMYFUNCTION("""COMPUTED_VALUE"""),"Delayed Delivery:Vehicle Breakdown")</f>
        <v>Delayed Delivery:Vehicle Breakdown</v>
      </c>
      <c r="Q1469" s="14" t="str">
        <f>IFERROR(__xludf.DUMMYFUNCTION("split(P1469,"":"")"),"Delayed Delivery")</f>
        <v>Delayed Delivery</v>
      </c>
      <c r="R1469" s="14" t="str">
        <f>IFERROR(__xludf.DUMMYFUNCTION("""COMPUTED_VALUE"""),"Vehicle Breakdown")</f>
        <v>Vehicle Breakdown</v>
      </c>
      <c r="S1469" s="14" t="str">
        <f t="shared" ref="S1469:U1469" si="2941">trim(B1469)</f>
        <v>ord_71447</v>
      </c>
      <c r="T1469" s="14" t="str">
        <f t="shared" si="2941"/>
        <v>Kritika Shetty</v>
      </c>
      <c r="U1469" s="14" t="str">
        <f t="shared" si="2941"/>
        <v>Malad</v>
      </c>
      <c r="V1469" s="14" t="str">
        <f t="shared" si="4"/>
        <v>Popcorn</v>
      </c>
      <c r="W1469" s="14">
        <f t="shared" si="5"/>
        <v>3</v>
      </c>
      <c r="X1469" s="14" t="str">
        <f t="shared" si="6"/>
        <v>Priya Joshi</v>
      </c>
      <c r="Y1469" s="15">
        <f t="shared" si="7"/>
        <v>45081</v>
      </c>
      <c r="Z1469" s="14" t="str">
        <f t="shared" si="8"/>
        <v>Credit Card</v>
      </c>
      <c r="AA1469" s="14" t="str">
        <f t="shared" si="9"/>
        <v>Cancelled</v>
      </c>
      <c r="AB1469" s="14" t="str">
        <f t="shared" ref="AB1469:AC1469" si="2942">trim(Q1469)</f>
        <v>Delayed Delivery</v>
      </c>
      <c r="AC1469" s="14" t="str">
        <f t="shared" si="2942"/>
        <v>Vehicle Breakdown</v>
      </c>
      <c r="AD1469" s="8"/>
    </row>
    <row r="1470">
      <c r="A1470" s="14" t="str">
        <f>IFERROR(__xludf.DUMMYFUNCTION("""COMPUTED_VALUE"""),"//ord_71448//Sakshi Tandon//Colaba//Sweet Corn+2*Nikhil Deshmukh/12/20/2023//UPI//Delivered*Quality of Items: Perfect condition")</f>
        <v>//ord_71448//Sakshi Tandon//Colaba//Sweet Corn+2*Nikhil Deshmukh/12/20/2023//UPI//Delivered*Quality of Items: Perfect condition</v>
      </c>
      <c r="B1470" s="14" t="str">
        <f>IFERROR(__xludf.DUMMYFUNCTION("split(A1470,""//"")"),"ord_71448")</f>
        <v>ord_71448</v>
      </c>
      <c r="C1470" s="14" t="str">
        <f>IFERROR(__xludf.DUMMYFUNCTION("""COMPUTED_VALUE"""),"Sakshi Tandon")</f>
        <v>Sakshi Tandon</v>
      </c>
      <c r="D1470" s="14" t="str">
        <f>IFERROR(__xludf.DUMMYFUNCTION("""COMPUTED_VALUE"""),"Colaba")</f>
        <v>Colaba</v>
      </c>
      <c r="E1470" s="14" t="str">
        <f>IFERROR(__xludf.DUMMYFUNCTION("""COMPUTED_VALUE"""),"Sweet Corn+2*Nikhil Deshmukh")</f>
        <v>Sweet Corn+2*Nikhil Deshmukh</v>
      </c>
      <c r="F1470" s="14">
        <f>IFERROR(__xludf.DUMMYFUNCTION("""COMPUTED_VALUE"""),12.0)</f>
        <v>12</v>
      </c>
      <c r="G1470" s="14">
        <f>IFERROR(__xludf.DUMMYFUNCTION("""COMPUTED_VALUE"""),20.0)</f>
        <v>20</v>
      </c>
      <c r="H1470" s="14">
        <f>IFERROR(__xludf.DUMMYFUNCTION("""COMPUTED_VALUE"""),2023.0)</f>
        <v>2023</v>
      </c>
      <c r="I1470" s="14" t="str">
        <f>IFERROR(__xludf.DUMMYFUNCTION("""COMPUTED_VALUE"""),"UPI")</f>
        <v>UPI</v>
      </c>
      <c r="J1470" s="14" t="str">
        <f>IFERROR(__xludf.DUMMYFUNCTION("""COMPUTED_VALUE"""),"Delivered*Quality of Items: Perfect condition")</f>
        <v>Delivered*Quality of Items: Perfect condition</v>
      </c>
      <c r="K1470" s="14" t="str">
        <f>IFERROR(__xludf.DUMMYFUNCTION("split(E1470,""+"")"),"Sweet Corn")</f>
        <v>Sweet Corn</v>
      </c>
      <c r="L1470" s="14" t="str">
        <f>IFERROR(__xludf.DUMMYFUNCTION("""COMPUTED_VALUE"""),"2*Nikhil Deshmukh")</f>
        <v>2*Nikhil Deshmukh</v>
      </c>
      <c r="M1470" s="14">
        <f>IFERROR(__xludf.DUMMYFUNCTION("SPLIT(L1470,""*"")"),2.0)</f>
        <v>2</v>
      </c>
      <c r="N1470" s="14" t="str">
        <f>IFERROR(__xludf.DUMMYFUNCTION("""COMPUTED_VALUE"""),"Nikhil Deshmukh")</f>
        <v>Nikhil Deshmukh</v>
      </c>
      <c r="O1470" s="14" t="str">
        <f>IFERROR(__xludf.DUMMYFUNCTION("split(J1470,""*"")"),"Delivered")</f>
        <v>Delivered</v>
      </c>
      <c r="P1470" s="14" t="str">
        <f>IFERROR(__xludf.DUMMYFUNCTION("""COMPUTED_VALUE"""),"Quality of Items: Perfect condition")</f>
        <v>Quality of Items: Perfect condition</v>
      </c>
      <c r="Q1470" s="14" t="str">
        <f>IFERROR(__xludf.DUMMYFUNCTION("split(P1470,"":"")"),"Quality of Items")</f>
        <v>Quality of Items</v>
      </c>
      <c r="R1470" s="14" t="str">
        <f>IFERROR(__xludf.DUMMYFUNCTION("""COMPUTED_VALUE""")," Perfect condition")</f>
        <v> Perfect condition</v>
      </c>
      <c r="S1470" s="14" t="str">
        <f t="shared" ref="S1470:U1470" si="2943">trim(B1470)</f>
        <v>ord_71448</v>
      </c>
      <c r="T1470" s="14" t="str">
        <f t="shared" si="2943"/>
        <v>Sakshi Tandon</v>
      </c>
      <c r="U1470" s="14" t="str">
        <f t="shared" si="2943"/>
        <v>Colaba</v>
      </c>
      <c r="V1470" s="14" t="str">
        <f t="shared" si="4"/>
        <v>Sweet Corn</v>
      </c>
      <c r="W1470" s="14">
        <f t="shared" si="5"/>
        <v>2</v>
      </c>
      <c r="X1470" s="14" t="str">
        <f t="shared" si="6"/>
        <v>Nikhil Deshmukh</v>
      </c>
      <c r="Y1470" s="15">
        <f t="shared" si="7"/>
        <v>45280</v>
      </c>
      <c r="Z1470" s="14" t="str">
        <f t="shared" si="8"/>
        <v>UPI</v>
      </c>
      <c r="AA1470" s="14" t="str">
        <f t="shared" si="9"/>
        <v>Delivered</v>
      </c>
      <c r="AB1470" s="14" t="str">
        <f t="shared" ref="AB1470:AC1470" si="2944">trim(Q1470)</f>
        <v>Quality of Items</v>
      </c>
      <c r="AC1470" s="14" t="str">
        <f t="shared" si="2944"/>
        <v>Perfect condition</v>
      </c>
      <c r="AD1470" s="8"/>
    </row>
    <row r="1471">
      <c r="A1471" s="14" t="str">
        <f>IFERROR(__xludf.DUMMYFUNCTION("""COMPUTED_VALUE"""),"//ord_71449//Ishaan Chaturvedi//Bandra//Papaya+2*Priya Joshi/9/9/2023//Credit Card//Delivered*Packaging: Secure and intact")</f>
        <v>//ord_71449//Ishaan Chaturvedi//Bandra//Papaya+2*Priya Joshi/9/9/2023//Credit Card//Delivered*Packaging: Secure and intact</v>
      </c>
      <c r="B1471" s="14" t="str">
        <f>IFERROR(__xludf.DUMMYFUNCTION("split(A1471,""//"")"),"ord_71449")</f>
        <v>ord_71449</v>
      </c>
      <c r="C1471" s="14" t="str">
        <f>IFERROR(__xludf.DUMMYFUNCTION("""COMPUTED_VALUE"""),"Ishaan Chaturvedi")</f>
        <v>Ishaan Chaturvedi</v>
      </c>
      <c r="D1471" s="14" t="str">
        <f>IFERROR(__xludf.DUMMYFUNCTION("""COMPUTED_VALUE"""),"Bandra")</f>
        <v>Bandra</v>
      </c>
      <c r="E1471" s="14" t="str">
        <f>IFERROR(__xludf.DUMMYFUNCTION("""COMPUTED_VALUE"""),"Papaya+2*Priya Joshi")</f>
        <v>Papaya+2*Priya Joshi</v>
      </c>
      <c r="F1471" s="14">
        <f>IFERROR(__xludf.DUMMYFUNCTION("""COMPUTED_VALUE"""),9.0)</f>
        <v>9</v>
      </c>
      <c r="G1471" s="14">
        <f>IFERROR(__xludf.DUMMYFUNCTION("""COMPUTED_VALUE"""),9.0)</f>
        <v>9</v>
      </c>
      <c r="H1471" s="14">
        <f>IFERROR(__xludf.DUMMYFUNCTION("""COMPUTED_VALUE"""),2023.0)</f>
        <v>2023</v>
      </c>
      <c r="I1471" s="14" t="str">
        <f>IFERROR(__xludf.DUMMYFUNCTION("""COMPUTED_VALUE"""),"Credit Card")</f>
        <v>Credit Card</v>
      </c>
      <c r="J1471" s="14" t="str">
        <f>IFERROR(__xludf.DUMMYFUNCTION("""COMPUTED_VALUE"""),"Delivered*Packaging: Secure and intact")</f>
        <v>Delivered*Packaging: Secure and intact</v>
      </c>
      <c r="K1471" s="14" t="str">
        <f>IFERROR(__xludf.DUMMYFUNCTION("split(E1471,""+"")"),"Papaya")</f>
        <v>Papaya</v>
      </c>
      <c r="L1471" s="14" t="str">
        <f>IFERROR(__xludf.DUMMYFUNCTION("""COMPUTED_VALUE"""),"2*Priya Joshi")</f>
        <v>2*Priya Joshi</v>
      </c>
      <c r="M1471" s="14">
        <f>IFERROR(__xludf.DUMMYFUNCTION("SPLIT(L1471,""*"")"),2.0)</f>
        <v>2</v>
      </c>
      <c r="N1471" s="14" t="str">
        <f>IFERROR(__xludf.DUMMYFUNCTION("""COMPUTED_VALUE"""),"Priya Joshi")</f>
        <v>Priya Joshi</v>
      </c>
      <c r="O1471" s="14" t="str">
        <f>IFERROR(__xludf.DUMMYFUNCTION("split(J1471,""*"")"),"Delivered")</f>
        <v>Delivered</v>
      </c>
      <c r="P1471" s="14" t="str">
        <f>IFERROR(__xludf.DUMMYFUNCTION("""COMPUTED_VALUE"""),"Packaging: Secure and intact")</f>
        <v>Packaging: Secure and intact</v>
      </c>
      <c r="Q1471" s="14" t="str">
        <f>IFERROR(__xludf.DUMMYFUNCTION("split(P1471,"":"")"),"Packaging")</f>
        <v>Packaging</v>
      </c>
      <c r="R1471" s="14" t="str">
        <f>IFERROR(__xludf.DUMMYFUNCTION("""COMPUTED_VALUE""")," Secure and intact")</f>
        <v> Secure and intact</v>
      </c>
      <c r="S1471" s="14" t="str">
        <f t="shared" ref="S1471:U1471" si="2945">trim(B1471)</f>
        <v>ord_71449</v>
      </c>
      <c r="T1471" s="14" t="str">
        <f t="shared" si="2945"/>
        <v>Ishaan Chaturvedi</v>
      </c>
      <c r="U1471" s="14" t="str">
        <f t="shared" si="2945"/>
        <v>Bandra</v>
      </c>
      <c r="V1471" s="14" t="str">
        <f t="shared" si="4"/>
        <v>Papaya</v>
      </c>
      <c r="W1471" s="14">
        <f t="shared" si="5"/>
        <v>2</v>
      </c>
      <c r="X1471" s="14" t="str">
        <f t="shared" si="6"/>
        <v>Priya Joshi</v>
      </c>
      <c r="Y1471" s="15">
        <f t="shared" si="7"/>
        <v>45178</v>
      </c>
      <c r="Z1471" s="14" t="str">
        <f t="shared" si="8"/>
        <v>Credit Card</v>
      </c>
      <c r="AA1471" s="14" t="str">
        <f t="shared" si="9"/>
        <v>Delivered</v>
      </c>
      <c r="AB1471" s="14" t="str">
        <f t="shared" ref="AB1471:AC1471" si="2946">trim(Q1471)</f>
        <v>Packaging</v>
      </c>
      <c r="AC1471" s="14" t="str">
        <f t="shared" si="2946"/>
        <v>Secure and intact</v>
      </c>
      <c r="AD1471" s="8"/>
    </row>
    <row r="1472">
      <c r="A1472" s="14" t="str">
        <f>IFERROR(__xludf.DUMMYFUNCTION("""COMPUTED_VALUE"""),"//ord_71450//Kritika Shetty//Malad//Chicken Puff+1*Not Assigned/11/11/2023//Credit Card//Cancelled*App Glitches: Payment Button Malfunction")</f>
        <v>//ord_71450//Kritika Shetty//Malad//Chicken Puff+1*Not Assigned/11/11/2023//Credit Card//Cancelled*App Glitches: Payment Button Malfunction</v>
      </c>
      <c r="B1472" s="14" t="str">
        <f>IFERROR(__xludf.DUMMYFUNCTION("split(A1472,""//"")"),"ord_71450")</f>
        <v>ord_71450</v>
      </c>
      <c r="C1472" s="14" t="str">
        <f>IFERROR(__xludf.DUMMYFUNCTION("""COMPUTED_VALUE"""),"Kritika Shetty")</f>
        <v>Kritika Shetty</v>
      </c>
      <c r="D1472" s="14" t="str">
        <f>IFERROR(__xludf.DUMMYFUNCTION("""COMPUTED_VALUE"""),"Malad")</f>
        <v>Malad</v>
      </c>
      <c r="E1472" s="14" t="str">
        <f>IFERROR(__xludf.DUMMYFUNCTION("""COMPUTED_VALUE"""),"Chicken Puff+1*Not Assigned")</f>
        <v>Chicken Puff+1*Not Assigned</v>
      </c>
      <c r="F1472" s="14">
        <f>IFERROR(__xludf.DUMMYFUNCTION("""COMPUTED_VALUE"""),11.0)</f>
        <v>11</v>
      </c>
      <c r="G1472" s="14">
        <f>IFERROR(__xludf.DUMMYFUNCTION("""COMPUTED_VALUE"""),11.0)</f>
        <v>11</v>
      </c>
      <c r="H1472" s="14">
        <f>IFERROR(__xludf.DUMMYFUNCTION("""COMPUTED_VALUE"""),2023.0)</f>
        <v>2023</v>
      </c>
      <c r="I1472" s="14" t="str">
        <f>IFERROR(__xludf.DUMMYFUNCTION("""COMPUTED_VALUE"""),"Credit Card")</f>
        <v>Credit Card</v>
      </c>
      <c r="J1472" s="14" t="str">
        <f>IFERROR(__xludf.DUMMYFUNCTION("""COMPUTED_VALUE"""),"Cancelled*App Glitches: Payment Button Malfunction")</f>
        <v>Cancelled*App Glitches: Payment Button Malfunction</v>
      </c>
      <c r="K1472" s="14" t="str">
        <f>IFERROR(__xludf.DUMMYFUNCTION("split(E1472,""+"")"),"Chicken Puff")</f>
        <v>Chicken Puff</v>
      </c>
      <c r="L1472" s="14" t="str">
        <f>IFERROR(__xludf.DUMMYFUNCTION("""COMPUTED_VALUE"""),"1*Not Assigned")</f>
        <v>1*Not Assigned</v>
      </c>
      <c r="M1472" s="14">
        <f>IFERROR(__xludf.DUMMYFUNCTION("SPLIT(L1472,""*"")"),1.0)</f>
        <v>1</v>
      </c>
      <c r="N1472" s="14" t="str">
        <f>IFERROR(__xludf.DUMMYFUNCTION("""COMPUTED_VALUE"""),"Not Assigned")</f>
        <v>Not Assigned</v>
      </c>
      <c r="O1472" s="14" t="str">
        <f>IFERROR(__xludf.DUMMYFUNCTION("split(J1472,""*"")"),"Cancelled")</f>
        <v>Cancelled</v>
      </c>
      <c r="P1472" s="14" t="str">
        <f>IFERROR(__xludf.DUMMYFUNCTION("""COMPUTED_VALUE"""),"App Glitches: Payment Button Malfunction")</f>
        <v>App Glitches: Payment Button Malfunction</v>
      </c>
      <c r="Q1472" s="14" t="str">
        <f>IFERROR(__xludf.DUMMYFUNCTION("split(P1472,"":"")"),"App Glitches")</f>
        <v>App Glitches</v>
      </c>
      <c r="R1472" s="14" t="str">
        <f>IFERROR(__xludf.DUMMYFUNCTION("""COMPUTED_VALUE""")," Payment Button Malfunction")</f>
        <v> Payment Button Malfunction</v>
      </c>
      <c r="S1472" s="14" t="str">
        <f t="shared" ref="S1472:U1472" si="2947">trim(B1472)</f>
        <v>ord_71450</v>
      </c>
      <c r="T1472" s="14" t="str">
        <f t="shared" si="2947"/>
        <v>Kritika Shetty</v>
      </c>
      <c r="U1472" s="14" t="str">
        <f t="shared" si="2947"/>
        <v>Malad</v>
      </c>
      <c r="V1472" s="14" t="str">
        <f t="shared" si="4"/>
        <v>Chicken Puff</v>
      </c>
      <c r="W1472" s="14">
        <f t="shared" si="5"/>
        <v>1</v>
      </c>
      <c r="X1472" s="14" t="str">
        <f t="shared" si="6"/>
        <v>Not Assigned</v>
      </c>
      <c r="Y1472" s="15">
        <f t="shared" si="7"/>
        <v>45241</v>
      </c>
      <c r="Z1472" s="14" t="str">
        <f t="shared" si="8"/>
        <v>Credit Card</v>
      </c>
      <c r="AA1472" s="14" t="str">
        <f t="shared" si="9"/>
        <v>Cancelled</v>
      </c>
      <c r="AB1472" s="14" t="str">
        <f t="shared" ref="AB1472:AC1472" si="2948">trim(Q1472)</f>
        <v>App Glitches</v>
      </c>
      <c r="AC1472" s="14" t="str">
        <f t="shared" si="2948"/>
        <v>Payment Button Malfunction</v>
      </c>
      <c r="AD1472" s="8"/>
    </row>
    <row r="1473">
      <c r="A1473" s="14" t="str">
        <f>IFERROR(__xludf.DUMMYFUNCTION("""COMPUTED_VALUE"""),"//ord_71451//Arvind Kulkarni//Juhu//Chicken Puff+5*Shine Thomas/4/8/2023//Credit Card//Cancelled*Delayed Delivery:Heavy Traffic")</f>
        <v>//ord_71451//Arvind Kulkarni//Juhu//Chicken Puff+5*Shine Thomas/4/8/2023//Credit Card//Cancelled*Delayed Delivery:Heavy Traffic</v>
      </c>
      <c r="B1473" s="14" t="str">
        <f>IFERROR(__xludf.DUMMYFUNCTION("split(A1473,""//"")"),"ord_71451")</f>
        <v>ord_71451</v>
      </c>
      <c r="C1473" s="14" t="str">
        <f>IFERROR(__xludf.DUMMYFUNCTION("""COMPUTED_VALUE"""),"Arvind Kulkarni")</f>
        <v>Arvind Kulkarni</v>
      </c>
      <c r="D1473" s="14" t="str">
        <f>IFERROR(__xludf.DUMMYFUNCTION("""COMPUTED_VALUE"""),"Juhu")</f>
        <v>Juhu</v>
      </c>
      <c r="E1473" s="14" t="str">
        <f>IFERROR(__xludf.DUMMYFUNCTION("""COMPUTED_VALUE"""),"Chicken Puff+5*Shine Thomas")</f>
        <v>Chicken Puff+5*Shine Thomas</v>
      </c>
      <c r="F1473" s="14">
        <f>IFERROR(__xludf.DUMMYFUNCTION("""COMPUTED_VALUE"""),4.0)</f>
        <v>4</v>
      </c>
      <c r="G1473" s="14">
        <f>IFERROR(__xludf.DUMMYFUNCTION("""COMPUTED_VALUE"""),8.0)</f>
        <v>8</v>
      </c>
      <c r="H1473" s="14">
        <f>IFERROR(__xludf.DUMMYFUNCTION("""COMPUTED_VALUE"""),2023.0)</f>
        <v>2023</v>
      </c>
      <c r="I1473" s="14" t="str">
        <f>IFERROR(__xludf.DUMMYFUNCTION("""COMPUTED_VALUE"""),"Credit Card")</f>
        <v>Credit Card</v>
      </c>
      <c r="J1473" s="14" t="str">
        <f>IFERROR(__xludf.DUMMYFUNCTION("""COMPUTED_VALUE"""),"Cancelled*Delayed Delivery:Heavy Traffic")</f>
        <v>Cancelled*Delayed Delivery:Heavy Traffic</v>
      </c>
      <c r="K1473" s="14" t="str">
        <f>IFERROR(__xludf.DUMMYFUNCTION("split(E1473,""+"")"),"Chicken Puff")</f>
        <v>Chicken Puff</v>
      </c>
      <c r="L1473" s="14" t="str">
        <f>IFERROR(__xludf.DUMMYFUNCTION("""COMPUTED_VALUE"""),"5*Shine Thomas")</f>
        <v>5*Shine Thomas</v>
      </c>
      <c r="M1473" s="14">
        <f>IFERROR(__xludf.DUMMYFUNCTION("SPLIT(L1473,""*"")"),5.0)</f>
        <v>5</v>
      </c>
      <c r="N1473" s="14" t="str">
        <f>IFERROR(__xludf.DUMMYFUNCTION("""COMPUTED_VALUE"""),"Shine Thomas")</f>
        <v>Shine Thomas</v>
      </c>
      <c r="O1473" s="14" t="str">
        <f>IFERROR(__xludf.DUMMYFUNCTION("split(J1473,""*"")"),"Cancelled")</f>
        <v>Cancelled</v>
      </c>
      <c r="P1473" s="14" t="str">
        <f>IFERROR(__xludf.DUMMYFUNCTION("""COMPUTED_VALUE"""),"Delayed Delivery:Heavy Traffic")</f>
        <v>Delayed Delivery:Heavy Traffic</v>
      </c>
      <c r="Q1473" s="14" t="str">
        <f>IFERROR(__xludf.DUMMYFUNCTION("split(P1473,"":"")"),"Delayed Delivery")</f>
        <v>Delayed Delivery</v>
      </c>
      <c r="R1473" s="14" t="str">
        <f>IFERROR(__xludf.DUMMYFUNCTION("""COMPUTED_VALUE"""),"Heavy Traffic")</f>
        <v>Heavy Traffic</v>
      </c>
      <c r="S1473" s="14" t="str">
        <f t="shared" ref="S1473:U1473" si="2949">trim(B1473)</f>
        <v>ord_71451</v>
      </c>
      <c r="T1473" s="14" t="str">
        <f t="shared" si="2949"/>
        <v>Arvind Kulkarni</v>
      </c>
      <c r="U1473" s="14" t="str">
        <f t="shared" si="2949"/>
        <v>Juhu</v>
      </c>
      <c r="V1473" s="14" t="str">
        <f t="shared" si="4"/>
        <v>Chicken Puff</v>
      </c>
      <c r="W1473" s="14">
        <f t="shared" si="5"/>
        <v>5</v>
      </c>
      <c r="X1473" s="14" t="str">
        <f t="shared" si="6"/>
        <v>Shine Thomas</v>
      </c>
      <c r="Y1473" s="15">
        <f t="shared" si="7"/>
        <v>45024</v>
      </c>
      <c r="Z1473" s="14" t="str">
        <f t="shared" si="8"/>
        <v>Credit Card</v>
      </c>
      <c r="AA1473" s="14" t="str">
        <f t="shared" si="9"/>
        <v>Cancelled</v>
      </c>
      <c r="AB1473" s="14" t="str">
        <f t="shared" ref="AB1473:AC1473" si="2950">trim(Q1473)</f>
        <v>Delayed Delivery</v>
      </c>
      <c r="AC1473" s="14" t="str">
        <f t="shared" si="2950"/>
        <v>Heavy Traffic</v>
      </c>
      <c r="AD1473" s="8"/>
    </row>
    <row r="1474">
      <c r="A1474" s="14" t="str">
        <f>IFERROR(__xludf.DUMMYFUNCTION("""COMPUTED_VALUE"""),"//ord_71452//Pallavi Ghosh//Bandra//Cold Coffee+3*Aman Kumar/4/15/2023//UPI//Cancelled*Delayed Delivery:Bad Weather Conditions ")</f>
        <v>//ord_71452//Pallavi Ghosh//Bandra//Cold Coffee+3*Aman Kumar/4/15/2023//UPI//Cancelled*Delayed Delivery:Bad Weather Conditions </v>
      </c>
      <c r="B1474" s="14" t="str">
        <f>IFERROR(__xludf.DUMMYFUNCTION("split(A1474,""//"")"),"ord_71452")</f>
        <v>ord_71452</v>
      </c>
      <c r="C1474" s="14" t="str">
        <f>IFERROR(__xludf.DUMMYFUNCTION("""COMPUTED_VALUE"""),"Pallavi Ghosh")</f>
        <v>Pallavi Ghosh</v>
      </c>
      <c r="D1474" s="14" t="str">
        <f>IFERROR(__xludf.DUMMYFUNCTION("""COMPUTED_VALUE"""),"Bandra")</f>
        <v>Bandra</v>
      </c>
      <c r="E1474" s="14" t="str">
        <f>IFERROR(__xludf.DUMMYFUNCTION("""COMPUTED_VALUE"""),"Cold Coffee+3*Aman Kumar")</f>
        <v>Cold Coffee+3*Aman Kumar</v>
      </c>
      <c r="F1474" s="14">
        <f>IFERROR(__xludf.DUMMYFUNCTION("""COMPUTED_VALUE"""),4.0)</f>
        <v>4</v>
      </c>
      <c r="G1474" s="14">
        <f>IFERROR(__xludf.DUMMYFUNCTION("""COMPUTED_VALUE"""),15.0)</f>
        <v>15</v>
      </c>
      <c r="H1474" s="14">
        <f>IFERROR(__xludf.DUMMYFUNCTION("""COMPUTED_VALUE"""),2023.0)</f>
        <v>2023</v>
      </c>
      <c r="I1474" s="14" t="str">
        <f>IFERROR(__xludf.DUMMYFUNCTION("""COMPUTED_VALUE"""),"UPI")</f>
        <v>UPI</v>
      </c>
      <c r="J1474" s="14" t="str">
        <f>IFERROR(__xludf.DUMMYFUNCTION("""COMPUTED_VALUE"""),"Cancelled*Delayed Delivery:Bad Weather Conditions ")</f>
        <v>Cancelled*Delayed Delivery:Bad Weather Conditions </v>
      </c>
      <c r="K1474" s="14" t="str">
        <f>IFERROR(__xludf.DUMMYFUNCTION("split(E1474,""+"")"),"Cold Coffee")</f>
        <v>Cold Coffee</v>
      </c>
      <c r="L1474" s="14" t="str">
        <f>IFERROR(__xludf.DUMMYFUNCTION("""COMPUTED_VALUE"""),"3*Aman Kumar")</f>
        <v>3*Aman Kumar</v>
      </c>
      <c r="M1474" s="14">
        <f>IFERROR(__xludf.DUMMYFUNCTION("SPLIT(L1474,""*"")"),3.0)</f>
        <v>3</v>
      </c>
      <c r="N1474" s="14" t="str">
        <f>IFERROR(__xludf.DUMMYFUNCTION("""COMPUTED_VALUE"""),"Aman Kumar")</f>
        <v>Aman Kumar</v>
      </c>
      <c r="O1474" s="14" t="str">
        <f>IFERROR(__xludf.DUMMYFUNCTION("split(J1474,""*"")"),"Cancelled")</f>
        <v>Cancelled</v>
      </c>
      <c r="P1474" s="14" t="str">
        <f>IFERROR(__xludf.DUMMYFUNCTION("""COMPUTED_VALUE"""),"Delayed Delivery:Bad Weather Conditions ")</f>
        <v>Delayed Delivery:Bad Weather Conditions </v>
      </c>
      <c r="Q1474" s="14" t="str">
        <f>IFERROR(__xludf.DUMMYFUNCTION("split(P1474,"":"")"),"Delayed Delivery")</f>
        <v>Delayed Delivery</v>
      </c>
      <c r="R1474" s="14" t="str">
        <f>IFERROR(__xludf.DUMMYFUNCTION("""COMPUTED_VALUE"""),"Bad Weather Conditions ")</f>
        <v>Bad Weather Conditions </v>
      </c>
      <c r="S1474" s="14" t="str">
        <f t="shared" ref="S1474:U1474" si="2951">trim(B1474)</f>
        <v>ord_71452</v>
      </c>
      <c r="T1474" s="14" t="str">
        <f t="shared" si="2951"/>
        <v>Pallavi Ghosh</v>
      </c>
      <c r="U1474" s="14" t="str">
        <f t="shared" si="2951"/>
        <v>Bandra</v>
      </c>
      <c r="V1474" s="14" t="str">
        <f t="shared" si="4"/>
        <v>Cold Coffee</v>
      </c>
      <c r="W1474" s="14">
        <f t="shared" si="5"/>
        <v>3</v>
      </c>
      <c r="X1474" s="14" t="str">
        <f t="shared" si="6"/>
        <v>Aman Kumar</v>
      </c>
      <c r="Y1474" s="15">
        <f t="shared" si="7"/>
        <v>45031</v>
      </c>
      <c r="Z1474" s="14" t="str">
        <f t="shared" si="8"/>
        <v>UPI</v>
      </c>
      <c r="AA1474" s="14" t="str">
        <f t="shared" si="9"/>
        <v>Cancelled</v>
      </c>
      <c r="AB1474" s="14" t="str">
        <f t="shared" ref="AB1474:AC1474" si="2952">trim(Q1474)</f>
        <v>Delayed Delivery</v>
      </c>
      <c r="AC1474" s="14" t="str">
        <f t="shared" si="2952"/>
        <v>Bad Weather Conditions</v>
      </c>
      <c r="AD1474" s="8"/>
    </row>
    <row r="1475">
      <c r="A1475" s="14" t="str">
        <f>IFERROR(__xludf.DUMMYFUNCTION("""COMPUTED_VALUE"""),"//ord_71453//Aarav Mehta//Andheri//Tiramisu+5*Rohan Yadav/6/30/2023//Credit Card//Delivered*Satisfied with the Delivery: Timely and quality")</f>
        <v>//ord_71453//Aarav Mehta//Andheri//Tiramisu+5*Rohan Yadav/6/30/2023//Credit Card//Delivered*Satisfied with the Delivery: Timely and quality</v>
      </c>
      <c r="B1475" s="14" t="str">
        <f>IFERROR(__xludf.DUMMYFUNCTION("split(A1475,""//"")"),"ord_71453")</f>
        <v>ord_71453</v>
      </c>
      <c r="C1475" s="14" t="str">
        <f>IFERROR(__xludf.DUMMYFUNCTION("""COMPUTED_VALUE"""),"Aarav Mehta")</f>
        <v>Aarav Mehta</v>
      </c>
      <c r="D1475" s="14" t="str">
        <f>IFERROR(__xludf.DUMMYFUNCTION("""COMPUTED_VALUE"""),"Andheri")</f>
        <v>Andheri</v>
      </c>
      <c r="E1475" s="14" t="str">
        <f>IFERROR(__xludf.DUMMYFUNCTION("""COMPUTED_VALUE"""),"Tiramisu+5*Rohan Yadav")</f>
        <v>Tiramisu+5*Rohan Yadav</v>
      </c>
      <c r="F1475" s="14">
        <f>IFERROR(__xludf.DUMMYFUNCTION("""COMPUTED_VALUE"""),6.0)</f>
        <v>6</v>
      </c>
      <c r="G1475" s="14">
        <f>IFERROR(__xludf.DUMMYFUNCTION("""COMPUTED_VALUE"""),30.0)</f>
        <v>30</v>
      </c>
      <c r="H1475" s="14">
        <f>IFERROR(__xludf.DUMMYFUNCTION("""COMPUTED_VALUE"""),2023.0)</f>
        <v>2023</v>
      </c>
      <c r="I1475" s="14" t="str">
        <f>IFERROR(__xludf.DUMMYFUNCTION("""COMPUTED_VALUE"""),"Credit Card")</f>
        <v>Credit Card</v>
      </c>
      <c r="J1475" s="14" t="str">
        <f>IFERROR(__xludf.DUMMYFUNCTION("""COMPUTED_VALUE"""),"Delivered*Satisfied with the Delivery: Timely and quality")</f>
        <v>Delivered*Satisfied with the Delivery: Timely and quality</v>
      </c>
      <c r="K1475" s="14" t="str">
        <f>IFERROR(__xludf.DUMMYFUNCTION("split(E1475,""+"")"),"Tiramisu")</f>
        <v>Tiramisu</v>
      </c>
      <c r="L1475" s="14" t="str">
        <f>IFERROR(__xludf.DUMMYFUNCTION("""COMPUTED_VALUE"""),"5*Rohan Yadav")</f>
        <v>5*Rohan Yadav</v>
      </c>
      <c r="M1475" s="14">
        <f>IFERROR(__xludf.DUMMYFUNCTION("SPLIT(L1475,""*"")"),5.0)</f>
        <v>5</v>
      </c>
      <c r="N1475" s="14" t="str">
        <f>IFERROR(__xludf.DUMMYFUNCTION("""COMPUTED_VALUE"""),"Rohan Yadav")</f>
        <v>Rohan Yadav</v>
      </c>
      <c r="O1475" s="14" t="str">
        <f>IFERROR(__xludf.DUMMYFUNCTION("split(J1475,""*"")"),"Delivered")</f>
        <v>Delivered</v>
      </c>
      <c r="P1475" s="14" t="str">
        <f>IFERROR(__xludf.DUMMYFUNCTION("""COMPUTED_VALUE"""),"Satisfied with the Delivery: Timely and quality")</f>
        <v>Satisfied with the Delivery: Timely and quality</v>
      </c>
      <c r="Q1475" s="14" t="str">
        <f>IFERROR(__xludf.DUMMYFUNCTION("split(P1475,"":"")"),"Satisfied with the Delivery")</f>
        <v>Satisfied with the Delivery</v>
      </c>
      <c r="R1475" s="14" t="str">
        <f>IFERROR(__xludf.DUMMYFUNCTION("""COMPUTED_VALUE""")," Timely and quality")</f>
        <v> Timely and quality</v>
      </c>
      <c r="S1475" s="14" t="str">
        <f t="shared" ref="S1475:U1475" si="2953">trim(B1475)</f>
        <v>ord_71453</v>
      </c>
      <c r="T1475" s="14" t="str">
        <f t="shared" si="2953"/>
        <v>Aarav Mehta</v>
      </c>
      <c r="U1475" s="14" t="str">
        <f t="shared" si="2953"/>
        <v>Andheri</v>
      </c>
      <c r="V1475" s="14" t="str">
        <f t="shared" si="4"/>
        <v>Tiramisu</v>
      </c>
      <c r="W1475" s="14">
        <f t="shared" si="5"/>
        <v>5</v>
      </c>
      <c r="X1475" s="14" t="str">
        <f t="shared" si="6"/>
        <v>Rohan Yadav</v>
      </c>
      <c r="Y1475" s="15">
        <f t="shared" si="7"/>
        <v>45107</v>
      </c>
      <c r="Z1475" s="14" t="str">
        <f t="shared" si="8"/>
        <v>Credit Card</v>
      </c>
      <c r="AA1475" s="14" t="str">
        <f t="shared" si="9"/>
        <v>Delivered</v>
      </c>
      <c r="AB1475" s="14" t="str">
        <f t="shared" ref="AB1475:AC1475" si="2954">trim(Q1475)</f>
        <v>Satisfied with the Delivery</v>
      </c>
      <c r="AC1475" s="14" t="str">
        <f t="shared" si="2954"/>
        <v>Timely and quality</v>
      </c>
      <c r="AD1475" s="8"/>
    </row>
    <row r="1476">
      <c r="A1476" s="14" t="str">
        <f>IFERROR(__xludf.DUMMYFUNCTION("""COMPUTED_VALUE"""),"//ord_71454//Dev Chauhan//Bandra//Potato+1*Priya Joshi/3/28/2023//Online Payment//Delivered*Customer Service: Seamless and easy")</f>
        <v>//ord_71454//Dev Chauhan//Bandra//Potato+1*Priya Joshi/3/28/2023//Online Payment//Delivered*Customer Service: Seamless and easy</v>
      </c>
      <c r="B1476" s="14" t="str">
        <f>IFERROR(__xludf.DUMMYFUNCTION("split(A1476,""//"")"),"ord_71454")</f>
        <v>ord_71454</v>
      </c>
      <c r="C1476" s="14" t="str">
        <f>IFERROR(__xludf.DUMMYFUNCTION("""COMPUTED_VALUE"""),"Dev Chauhan")</f>
        <v>Dev Chauhan</v>
      </c>
      <c r="D1476" s="14" t="str">
        <f>IFERROR(__xludf.DUMMYFUNCTION("""COMPUTED_VALUE"""),"Bandra")</f>
        <v>Bandra</v>
      </c>
      <c r="E1476" s="14" t="str">
        <f>IFERROR(__xludf.DUMMYFUNCTION("""COMPUTED_VALUE"""),"Potato+1*Priya Joshi")</f>
        <v>Potato+1*Priya Joshi</v>
      </c>
      <c r="F1476" s="14">
        <f>IFERROR(__xludf.DUMMYFUNCTION("""COMPUTED_VALUE"""),3.0)</f>
        <v>3</v>
      </c>
      <c r="G1476" s="14">
        <f>IFERROR(__xludf.DUMMYFUNCTION("""COMPUTED_VALUE"""),28.0)</f>
        <v>28</v>
      </c>
      <c r="H1476" s="14">
        <f>IFERROR(__xludf.DUMMYFUNCTION("""COMPUTED_VALUE"""),2023.0)</f>
        <v>2023</v>
      </c>
      <c r="I1476" s="14" t="str">
        <f>IFERROR(__xludf.DUMMYFUNCTION("""COMPUTED_VALUE"""),"Online Payment")</f>
        <v>Online Payment</v>
      </c>
      <c r="J1476" s="14" t="str">
        <f>IFERROR(__xludf.DUMMYFUNCTION("""COMPUTED_VALUE"""),"Delivered*Customer Service: Seamless and easy")</f>
        <v>Delivered*Customer Service: Seamless and easy</v>
      </c>
      <c r="K1476" s="14" t="str">
        <f>IFERROR(__xludf.DUMMYFUNCTION("split(E1476,""+"")"),"Potato")</f>
        <v>Potato</v>
      </c>
      <c r="L1476" s="14" t="str">
        <f>IFERROR(__xludf.DUMMYFUNCTION("""COMPUTED_VALUE"""),"1*Priya Joshi")</f>
        <v>1*Priya Joshi</v>
      </c>
      <c r="M1476" s="14">
        <f>IFERROR(__xludf.DUMMYFUNCTION("SPLIT(L1476,""*"")"),1.0)</f>
        <v>1</v>
      </c>
      <c r="N1476" s="14" t="str">
        <f>IFERROR(__xludf.DUMMYFUNCTION("""COMPUTED_VALUE"""),"Priya Joshi")</f>
        <v>Priya Joshi</v>
      </c>
      <c r="O1476" s="14" t="str">
        <f>IFERROR(__xludf.DUMMYFUNCTION("split(J1476,""*"")"),"Delivered")</f>
        <v>Delivered</v>
      </c>
      <c r="P1476" s="14" t="str">
        <f>IFERROR(__xludf.DUMMYFUNCTION("""COMPUTED_VALUE"""),"Customer Service: Seamless and easy")</f>
        <v>Customer Service: Seamless and easy</v>
      </c>
      <c r="Q1476" s="14" t="str">
        <f>IFERROR(__xludf.DUMMYFUNCTION("split(P1476,"":"")"),"Customer Service")</f>
        <v>Customer Service</v>
      </c>
      <c r="R1476" s="14" t="str">
        <f>IFERROR(__xludf.DUMMYFUNCTION("""COMPUTED_VALUE""")," Seamless and easy")</f>
        <v> Seamless and easy</v>
      </c>
      <c r="S1476" s="14" t="str">
        <f t="shared" ref="S1476:U1476" si="2955">trim(B1476)</f>
        <v>ord_71454</v>
      </c>
      <c r="T1476" s="14" t="str">
        <f t="shared" si="2955"/>
        <v>Dev Chauhan</v>
      </c>
      <c r="U1476" s="14" t="str">
        <f t="shared" si="2955"/>
        <v>Bandra</v>
      </c>
      <c r="V1476" s="14" t="str">
        <f t="shared" si="4"/>
        <v>Potato</v>
      </c>
      <c r="W1476" s="14">
        <f t="shared" si="5"/>
        <v>1</v>
      </c>
      <c r="X1476" s="14" t="str">
        <f t="shared" si="6"/>
        <v>Priya Joshi</v>
      </c>
      <c r="Y1476" s="15">
        <f t="shared" si="7"/>
        <v>45013</v>
      </c>
      <c r="Z1476" s="14" t="str">
        <f t="shared" si="8"/>
        <v>Online Payment</v>
      </c>
      <c r="AA1476" s="14" t="str">
        <f t="shared" si="9"/>
        <v>Delivered</v>
      </c>
      <c r="AB1476" s="14" t="str">
        <f t="shared" ref="AB1476:AC1476" si="2956">trim(Q1476)</f>
        <v>Customer Service</v>
      </c>
      <c r="AC1476" s="14" t="str">
        <f t="shared" si="2956"/>
        <v>Seamless and easy</v>
      </c>
      <c r="AD1476" s="8"/>
    </row>
    <row r="1477">
      <c r="A1477" s="14" t="str">
        <f>IFERROR(__xludf.DUMMYFUNCTION("""COMPUTED_VALUE"""),"//ord_71455//Aarohi Kapoor//Bandra//Banana+1*Priya Joshi/7/5/2023//Online Payment//Delivered*Delivery Experience: Quick and professional")</f>
        <v>//ord_71455//Aarohi Kapoor//Bandra//Banana+1*Priya Joshi/7/5/2023//Online Payment//Delivered*Delivery Experience: Quick and professional</v>
      </c>
      <c r="B1477" s="14" t="str">
        <f>IFERROR(__xludf.DUMMYFUNCTION("split(A1477,""//"")"),"ord_71455")</f>
        <v>ord_71455</v>
      </c>
      <c r="C1477" s="14" t="str">
        <f>IFERROR(__xludf.DUMMYFUNCTION("""COMPUTED_VALUE"""),"Aarohi Kapoor")</f>
        <v>Aarohi Kapoor</v>
      </c>
      <c r="D1477" s="14" t="str">
        <f>IFERROR(__xludf.DUMMYFUNCTION("""COMPUTED_VALUE"""),"Bandra")</f>
        <v>Bandra</v>
      </c>
      <c r="E1477" s="14" t="str">
        <f>IFERROR(__xludf.DUMMYFUNCTION("""COMPUTED_VALUE"""),"Banana+1*Priya Joshi")</f>
        <v>Banana+1*Priya Joshi</v>
      </c>
      <c r="F1477" s="14">
        <f>IFERROR(__xludf.DUMMYFUNCTION("""COMPUTED_VALUE"""),7.0)</f>
        <v>7</v>
      </c>
      <c r="G1477" s="14">
        <f>IFERROR(__xludf.DUMMYFUNCTION("""COMPUTED_VALUE"""),5.0)</f>
        <v>5</v>
      </c>
      <c r="H1477" s="14">
        <f>IFERROR(__xludf.DUMMYFUNCTION("""COMPUTED_VALUE"""),2023.0)</f>
        <v>2023</v>
      </c>
      <c r="I1477" s="14" t="str">
        <f>IFERROR(__xludf.DUMMYFUNCTION("""COMPUTED_VALUE"""),"Online Payment")</f>
        <v>Online Payment</v>
      </c>
      <c r="J1477" s="14" t="str">
        <f>IFERROR(__xludf.DUMMYFUNCTION("""COMPUTED_VALUE"""),"Delivered*Delivery Experience: Quick and professional")</f>
        <v>Delivered*Delivery Experience: Quick and professional</v>
      </c>
      <c r="K1477" s="14" t="str">
        <f>IFERROR(__xludf.DUMMYFUNCTION("split(E1477,""+"")"),"Banana")</f>
        <v>Banana</v>
      </c>
      <c r="L1477" s="14" t="str">
        <f>IFERROR(__xludf.DUMMYFUNCTION("""COMPUTED_VALUE"""),"1*Priya Joshi")</f>
        <v>1*Priya Joshi</v>
      </c>
      <c r="M1477" s="14">
        <f>IFERROR(__xludf.DUMMYFUNCTION("SPLIT(L1477,""*"")"),1.0)</f>
        <v>1</v>
      </c>
      <c r="N1477" s="14" t="str">
        <f>IFERROR(__xludf.DUMMYFUNCTION("""COMPUTED_VALUE"""),"Priya Joshi")</f>
        <v>Priya Joshi</v>
      </c>
      <c r="O1477" s="14" t="str">
        <f>IFERROR(__xludf.DUMMYFUNCTION("split(J1477,""*"")"),"Delivered")</f>
        <v>Delivered</v>
      </c>
      <c r="P1477" s="14" t="str">
        <f>IFERROR(__xludf.DUMMYFUNCTION("""COMPUTED_VALUE"""),"Delivery Experience: Quick and professional")</f>
        <v>Delivery Experience: Quick and professional</v>
      </c>
      <c r="Q1477" s="14" t="str">
        <f>IFERROR(__xludf.DUMMYFUNCTION("split(P1477,"":"")"),"Delivery Experience")</f>
        <v>Delivery Experience</v>
      </c>
      <c r="R1477" s="14" t="str">
        <f>IFERROR(__xludf.DUMMYFUNCTION("""COMPUTED_VALUE""")," Quick and professional")</f>
        <v> Quick and professional</v>
      </c>
      <c r="S1477" s="14" t="str">
        <f t="shared" ref="S1477:U1477" si="2957">trim(B1477)</f>
        <v>ord_71455</v>
      </c>
      <c r="T1477" s="14" t="str">
        <f t="shared" si="2957"/>
        <v>Aarohi Kapoor</v>
      </c>
      <c r="U1477" s="14" t="str">
        <f t="shared" si="2957"/>
        <v>Bandra</v>
      </c>
      <c r="V1477" s="14" t="str">
        <f t="shared" si="4"/>
        <v>Banana</v>
      </c>
      <c r="W1477" s="14">
        <f t="shared" si="5"/>
        <v>1</v>
      </c>
      <c r="X1477" s="14" t="str">
        <f t="shared" si="6"/>
        <v>Priya Joshi</v>
      </c>
      <c r="Y1477" s="15">
        <f t="shared" si="7"/>
        <v>45112</v>
      </c>
      <c r="Z1477" s="14" t="str">
        <f t="shared" si="8"/>
        <v>Online Payment</v>
      </c>
      <c r="AA1477" s="14" t="str">
        <f t="shared" si="9"/>
        <v>Delivered</v>
      </c>
      <c r="AB1477" s="14" t="str">
        <f t="shared" ref="AB1477:AC1477" si="2958">trim(Q1477)</f>
        <v>Delivery Experience</v>
      </c>
      <c r="AC1477" s="14" t="str">
        <f t="shared" si="2958"/>
        <v>Quick and professional</v>
      </c>
      <c r="AD1477" s="8"/>
    </row>
    <row r="1478">
      <c r="A1478" s="14" t="str">
        <f>IFERROR(__xludf.DUMMYFUNCTION("""COMPUTED_VALUE"""),"//ord_71456//Aarav Mehta//Andheri//Banana+2*Rohan Yadav/3/30/2023//Credit Card//Delivered*Convenience: Easy tracking")</f>
        <v>//ord_71456//Aarav Mehta//Andheri//Banana+2*Rohan Yadav/3/30/2023//Credit Card//Delivered*Convenience: Easy tracking</v>
      </c>
      <c r="B1478" s="14" t="str">
        <f>IFERROR(__xludf.DUMMYFUNCTION("split(A1478,""//"")"),"ord_71456")</f>
        <v>ord_71456</v>
      </c>
      <c r="C1478" s="14" t="str">
        <f>IFERROR(__xludf.DUMMYFUNCTION("""COMPUTED_VALUE"""),"Aarav Mehta")</f>
        <v>Aarav Mehta</v>
      </c>
      <c r="D1478" s="14" t="str">
        <f>IFERROR(__xludf.DUMMYFUNCTION("""COMPUTED_VALUE"""),"Andheri")</f>
        <v>Andheri</v>
      </c>
      <c r="E1478" s="14" t="str">
        <f>IFERROR(__xludf.DUMMYFUNCTION("""COMPUTED_VALUE"""),"Banana+2*Rohan Yadav")</f>
        <v>Banana+2*Rohan Yadav</v>
      </c>
      <c r="F1478" s="14">
        <f>IFERROR(__xludf.DUMMYFUNCTION("""COMPUTED_VALUE"""),3.0)</f>
        <v>3</v>
      </c>
      <c r="G1478" s="14">
        <f>IFERROR(__xludf.DUMMYFUNCTION("""COMPUTED_VALUE"""),30.0)</f>
        <v>30</v>
      </c>
      <c r="H1478" s="14">
        <f>IFERROR(__xludf.DUMMYFUNCTION("""COMPUTED_VALUE"""),2023.0)</f>
        <v>2023</v>
      </c>
      <c r="I1478" s="14" t="str">
        <f>IFERROR(__xludf.DUMMYFUNCTION("""COMPUTED_VALUE"""),"Credit Card")</f>
        <v>Credit Card</v>
      </c>
      <c r="J1478" s="14" t="str">
        <f>IFERROR(__xludf.DUMMYFUNCTION("""COMPUTED_VALUE"""),"Delivered*Convenience: Easy tracking")</f>
        <v>Delivered*Convenience: Easy tracking</v>
      </c>
      <c r="K1478" s="14" t="str">
        <f>IFERROR(__xludf.DUMMYFUNCTION("split(E1478,""+"")"),"Banana")</f>
        <v>Banana</v>
      </c>
      <c r="L1478" s="14" t="str">
        <f>IFERROR(__xludf.DUMMYFUNCTION("""COMPUTED_VALUE"""),"2*Rohan Yadav")</f>
        <v>2*Rohan Yadav</v>
      </c>
      <c r="M1478" s="14">
        <f>IFERROR(__xludf.DUMMYFUNCTION("SPLIT(L1478,""*"")"),2.0)</f>
        <v>2</v>
      </c>
      <c r="N1478" s="14" t="str">
        <f>IFERROR(__xludf.DUMMYFUNCTION("""COMPUTED_VALUE"""),"Rohan Yadav")</f>
        <v>Rohan Yadav</v>
      </c>
      <c r="O1478" s="14" t="str">
        <f>IFERROR(__xludf.DUMMYFUNCTION("split(J1478,""*"")"),"Delivered")</f>
        <v>Delivered</v>
      </c>
      <c r="P1478" s="14" t="str">
        <f>IFERROR(__xludf.DUMMYFUNCTION("""COMPUTED_VALUE"""),"Convenience: Easy tracking")</f>
        <v>Convenience: Easy tracking</v>
      </c>
      <c r="Q1478" s="14" t="str">
        <f>IFERROR(__xludf.DUMMYFUNCTION("split(P1478,"":"")"),"Convenience")</f>
        <v>Convenience</v>
      </c>
      <c r="R1478" s="14" t="str">
        <f>IFERROR(__xludf.DUMMYFUNCTION("""COMPUTED_VALUE""")," Easy tracking")</f>
        <v> Easy tracking</v>
      </c>
      <c r="S1478" s="14" t="str">
        <f t="shared" ref="S1478:U1478" si="2959">trim(B1478)</f>
        <v>ord_71456</v>
      </c>
      <c r="T1478" s="14" t="str">
        <f t="shared" si="2959"/>
        <v>Aarav Mehta</v>
      </c>
      <c r="U1478" s="14" t="str">
        <f t="shared" si="2959"/>
        <v>Andheri</v>
      </c>
      <c r="V1478" s="14" t="str">
        <f t="shared" si="4"/>
        <v>Banana</v>
      </c>
      <c r="W1478" s="14">
        <f t="shared" si="5"/>
        <v>2</v>
      </c>
      <c r="X1478" s="14" t="str">
        <f t="shared" si="6"/>
        <v>Rohan Yadav</v>
      </c>
      <c r="Y1478" s="15">
        <f t="shared" si="7"/>
        <v>45015</v>
      </c>
      <c r="Z1478" s="14" t="str">
        <f t="shared" si="8"/>
        <v>Credit Card</v>
      </c>
      <c r="AA1478" s="14" t="str">
        <f t="shared" si="9"/>
        <v>Delivered</v>
      </c>
      <c r="AB1478" s="14" t="str">
        <f t="shared" ref="AB1478:AC1478" si="2960">trim(Q1478)</f>
        <v>Convenience</v>
      </c>
      <c r="AC1478" s="14" t="str">
        <f t="shared" si="2960"/>
        <v>Easy tracking</v>
      </c>
      <c r="AD1478" s="8"/>
    </row>
    <row r="1479">
      <c r="A1479" s="14" t="str">
        <f>IFERROR(__xludf.DUMMYFUNCTION("""COMPUTED_VALUE"""),"//ord_71457//Sanjay Nair//Dadar//Potato+1*Aman Kumar/11/14/2023//Online Payment//Delivered*Overall Satisfaction: Great service will order again")</f>
        <v>//ord_71457//Sanjay Nair//Dadar//Potato+1*Aman Kumar/11/14/2023//Online Payment//Delivered*Overall Satisfaction: Great service will order again</v>
      </c>
      <c r="B1479" s="14" t="str">
        <f>IFERROR(__xludf.DUMMYFUNCTION("split(A1479,""//"")"),"ord_71457")</f>
        <v>ord_71457</v>
      </c>
      <c r="C1479" s="14" t="str">
        <f>IFERROR(__xludf.DUMMYFUNCTION("""COMPUTED_VALUE"""),"Sanjay Nair")</f>
        <v>Sanjay Nair</v>
      </c>
      <c r="D1479" s="14" t="str">
        <f>IFERROR(__xludf.DUMMYFUNCTION("""COMPUTED_VALUE"""),"Dadar")</f>
        <v>Dadar</v>
      </c>
      <c r="E1479" s="14" t="str">
        <f>IFERROR(__xludf.DUMMYFUNCTION("""COMPUTED_VALUE"""),"Potato+1*Aman Kumar")</f>
        <v>Potato+1*Aman Kumar</v>
      </c>
      <c r="F1479" s="14">
        <f>IFERROR(__xludf.DUMMYFUNCTION("""COMPUTED_VALUE"""),11.0)</f>
        <v>11</v>
      </c>
      <c r="G1479" s="14">
        <f>IFERROR(__xludf.DUMMYFUNCTION("""COMPUTED_VALUE"""),14.0)</f>
        <v>14</v>
      </c>
      <c r="H1479" s="14">
        <f>IFERROR(__xludf.DUMMYFUNCTION("""COMPUTED_VALUE"""),2023.0)</f>
        <v>2023</v>
      </c>
      <c r="I1479" s="14" t="str">
        <f>IFERROR(__xludf.DUMMYFUNCTION("""COMPUTED_VALUE"""),"Online Payment")</f>
        <v>Online Payment</v>
      </c>
      <c r="J1479" s="14" t="str">
        <f>IFERROR(__xludf.DUMMYFUNCTION("""COMPUTED_VALUE"""),"Delivered*Overall Satisfaction: Great service will order again")</f>
        <v>Delivered*Overall Satisfaction: Great service will order again</v>
      </c>
      <c r="K1479" s="14" t="str">
        <f>IFERROR(__xludf.DUMMYFUNCTION("split(E1479,""+"")"),"Potato")</f>
        <v>Potato</v>
      </c>
      <c r="L1479" s="14" t="str">
        <f>IFERROR(__xludf.DUMMYFUNCTION("""COMPUTED_VALUE"""),"1*Aman Kumar")</f>
        <v>1*Aman Kumar</v>
      </c>
      <c r="M1479" s="14">
        <f>IFERROR(__xludf.DUMMYFUNCTION("SPLIT(L1479,""*"")"),1.0)</f>
        <v>1</v>
      </c>
      <c r="N1479" s="14" t="str">
        <f>IFERROR(__xludf.DUMMYFUNCTION("""COMPUTED_VALUE"""),"Aman Kumar")</f>
        <v>Aman Kumar</v>
      </c>
      <c r="O1479" s="14" t="str">
        <f>IFERROR(__xludf.DUMMYFUNCTION("split(J1479,""*"")"),"Delivered")</f>
        <v>Delivered</v>
      </c>
      <c r="P1479" s="14" t="str">
        <f>IFERROR(__xludf.DUMMYFUNCTION("""COMPUTED_VALUE"""),"Overall Satisfaction: Great service will order again")</f>
        <v>Overall Satisfaction: Great service will order again</v>
      </c>
      <c r="Q1479" s="14" t="str">
        <f>IFERROR(__xludf.DUMMYFUNCTION("split(P1479,"":"")"),"Overall Satisfaction")</f>
        <v>Overall Satisfaction</v>
      </c>
      <c r="R1479" s="14" t="str">
        <f>IFERROR(__xludf.DUMMYFUNCTION("""COMPUTED_VALUE""")," Great service will order again")</f>
        <v> Great service will order again</v>
      </c>
      <c r="S1479" s="14" t="str">
        <f t="shared" ref="S1479:U1479" si="2961">trim(B1479)</f>
        <v>ord_71457</v>
      </c>
      <c r="T1479" s="14" t="str">
        <f t="shared" si="2961"/>
        <v>Sanjay Nair</v>
      </c>
      <c r="U1479" s="14" t="str">
        <f t="shared" si="2961"/>
        <v>Dadar</v>
      </c>
      <c r="V1479" s="14" t="str">
        <f t="shared" si="4"/>
        <v>Potato</v>
      </c>
      <c r="W1479" s="14">
        <f t="shared" si="5"/>
        <v>1</v>
      </c>
      <c r="X1479" s="14" t="str">
        <f t="shared" si="6"/>
        <v>Aman Kumar</v>
      </c>
      <c r="Y1479" s="15">
        <f t="shared" si="7"/>
        <v>45244</v>
      </c>
      <c r="Z1479" s="14" t="str">
        <f t="shared" si="8"/>
        <v>Online Payment</v>
      </c>
      <c r="AA1479" s="14" t="str">
        <f t="shared" si="9"/>
        <v>Delivered</v>
      </c>
      <c r="AB1479" s="14" t="str">
        <f t="shared" ref="AB1479:AC1479" si="2962">trim(Q1479)</f>
        <v>Overall Satisfaction</v>
      </c>
      <c r="AC1479" s="14" t="str">
        <f t="shared" si="2962"/>
        <v>Great service will order again</v>
      </c>
      <c r="AD1479" s="8"/>
    </row>
    <row r="1480">
      <c r="A1480" s="14" t="str">
        <f>IFERROR(__xludf.DUMMYFUNCTION("""COMPUTED_VALUE"""),"//ord_71458//Omkar Mishra//Powai//Popcorn+5*Not Assigned/5/12/2023//UPI//Cancelled*Payment Issues")</f>
        <v>//ord_71458//Omkar Mishra//Powai//Popcorn+5*Not Assigned/5/12/2023//UPI//Cancelled*Payment Issues</v>
      </c>
      <c r="B1480" s="14" t="str">
        <f>IFERROR(__xludf.DUMMYFUNCTION("split(A1480,""//"")"),"ord_71458")</f>
        <v>ord_71458</v>
      </c>
      <c r="C1480" s="14" t="str">
        <f>IFERROR(__xludf.DUMMYFUNCTION("""COMPUTED_VALUE"""),"Omkar Mishra")</f>
        <v>Omkar Mishra</v>
      </c>
      <c r="D1480" s="14" t="str">
        <f>IFERROR(__xludf.DUMMYFUNCTION("""COMPUTED_VALUE"""),"Powai")</f>
        <v>Powai</v>
      </c>
      <c r="E1480" s="14" t="str">
        <f>IFERROR(__xludf.DUMMYFUNCTION("""COMPUTED_VALUE"""),"Popcorn+5*Not Assigned")</f>
        <v>Popcorn+5*Not Assigned</v>
      </c>
      <c r="F1480" s="14">
        <f>IFERROR(__xludf.DUMMYFUNCTION("""COMPUTED_VALUE"""),5.0)</f>
        <v>5</v>
      </c>
      <c r="G1480" s="14">
        <f>IFERROR(__xludf.DUMMYFUNCTION("""COMPUTED_VALUE"""),12.0)</f>
        <v>12</v>
      </c>
      <c r="H1480" s="14">
        <f>IFERROR(__xludf.DUMMYFUNCTION("""COMPUTED_VALUE"""),2023.0)</f>
        <v>2023</v>
      </c>
      <c r="I1480" s="14" t="str">
        <f>IFERROR(__xludf.DUMMYFUNCTION("""COMPUTED_VALUE"""),"UPI")</f>
        <v>UPI</v>
      </c>
      <c r="J1480" s="14" t="str">
        <f>IFERROR(__xludf.DUMMYFUNCTION("""COMPUTED_VALUE"""),"Cancelled*Payment Issues")</f>
        <v>Cancelled*Payment Issues</v>
      </c>
      <c r="K1480" s="14" t="str">
        <f>IFERROR(__xludf.DUMMYFUNCTION("split(E1480,""+"")"),"Popcorn")</f>
        <v>Popcorn</v>
      </c>
      <c r="L1480" s="14" t="str">
        <f>IFERROR(__xludf.DUMMYFUNCTION("""COMPUTED_VALUE"""),"5*Not Assigned")</f>
        <v>5*Not Assigned</v>
      </c>
      <c r="M1480" s="14">
        <f>IFERROR(__xludf.DUMMYFUNCTION("SPLIT(L1480,""*"")"),5.0)</f>
        <v>5</v>
      </c>
      <c r="N1480" s="14" t="str">
        <f>IFERROR(__xludf.DUMMYFUNCTION("""COMPUTED_VALUE"""),"Not Assigned")</f>
        <v>Not Assigned</v>
      </c>
      <c r="O1480" s="14" t="str">
        <f>IFERROR(__xludf.DUMMYFUNCTION("split(J1480,""*"")"),"Cancelled")</f>
        <v>Cancelled</v>
      </c>
      <c r="P1480" s="14" t="str">
        <f>IFERROR(__xludf.DUMMYFUNCTION("""COMPUTED_VALUE"""),"Payment Issues")</f>
        <v>Payment Issues</v>
      </c>
      <c r="Q1480" s="14" t="str">
        <f>IFERROR(__xludf.DUMMYFUNCTION("split(P1480,"":"")"),"Payment Issues")</f>
        <v>Payment Issues</v>
      </c>
      <c r="R1480" s="14"/>
      <c r="S1480" s="14" t="str">
        <f t="shared" ref="S1480:U1480" si="2963">trim(B1480)</f>
        <v>ord_71458</v>
      </c>
      <c r="T1480" s="14" t="str">
        <f t="shared" si="2963"/>
        <v>Omkar Mishra</v>
      </c>
      <c r="U1480" s="14" t="str">
        <f t="shared" si="2963"/>
        <v>Powai</v>
      </c>
      <c r="V1480" s="14" t="str">
        <f t="shared" si="4"/>
        <v>Popcorn</v>
      </c>
      <c r="W1480" s="14">
        <f t="shared" si="5"/>
        <v>5</v>
      </c>
      <c r="X1480" s="14" t="str">
        <f t="shared" si="6"/>
        <v>Not Assigned</v>
      </c>
      <c r="Y1480" s="15">
        <f t="shared" si="7"/>
        <v>45058</v>
      </c>
      <c r="Z1480" s="14" t="str">
        <f t="shared" si="8"/>
        <v>UPI</v>
      </c>
      <c r="AA1480" s="14" t="str">
        <f t="shared" si="9"/>
        <v>Cancelled</v>
      </c>
      <c r="AB1480" s="14" t="str">
        <f t="shared" ref="AB1480:AC1480" si="2964">trim(Q1480)</f>
        <v>Payment Issues</v>
      </c>
      <c r="AC1480" s="14" t="str">
        <f t="shared" si="2964"/>
        <v/>
      </c>
      <c r="AD1480" s="8"/>
    </row>
    <row r="1481">
      <c r="A1481" s="14" t="str">
        <f>IFERROR(__xludf.DUMMYFUNCTION("""COMPUTED_VALUE"""),"//ord_71459//Omkar Mishra//Powai//Chocolate Mousse+3*Not Assigned/6/30/2023//UPI//Cancelled*App Glitches:Slow Loading Time")</f>
        <v>//ord_71459//Omkar Mishra//Powai//Chocolate Mousse+3*Not Assigned/6/30/2023//UPI//Cancelled*App Glitches:Slow Loading Time</v>
      </c>
      <c r="B1481" s="14" t="str">
        <f>IFERROR(__xludf.DUMMYFUNCTION("split(A1481,""//"")"),"ord_71459")</f>
        <v>ord_71459</v>
      </c>
      <c r="C1481" s="14" t="str">
        <f>IFERROR(__xludf.DUMMYFUNCTION("""COMPUTED_VALUE"""),"Omkar Mishra")</f>
        <v>Omkar Mishra</v>
      </c>
      <c r="D1481" s="14" t="str">
        <f>IFERROR(__xludf.DUMMYFUNCTION("""COMPUTED_VALUE"""),"Powai")</f>
        <v>Powai</v>
      </c>
      <c r="E1481" s="14" t="str">
        <f>IFERROR(__xludf.DUMMYFUNCTION("""COMPUTED_VALUE"""),"Chocolate Mousse+3*Not Assigned")</f>
        <v>Chocolate Mousse+3*Not Assigned</v>
      </c>
      <c r="F1481" s="14">
        <f>IFERROR(__xludf.DUMMYFUNCTION("""COMPUTED_VALUE"""),6.0)</f>
        <v>6</v>
      </c>
      <c r="G1481" s="14">
        <f>IFERROR(__xludf.DUMMYFUNCTION("""COMPUTED_VALUE"""),30.0)</f>
        <v>30</v>
      </c>
      <c r="H1481" s="14">
        <f>IFERROR(__xludf.DUMMYFUNCTION("""COMPUTED_VALUE"""),2023.0)</f>
        <v>2023</v>
      </c>
      <c r="I1481" s="14" t="str">
        <f>IFERROR(__xludf.DUMMYFUNCTION("""COMPUTED_VALUE"""),"UPI")</f>
        <v>UPI</v>
      </c>
      <c r="J1481" s="14" t="str">
        <f>IFERROR(__xludf.DUMMYFUNCTION("""COMPUTED_VALUE"""),"Cancelled*App Glitches:Slow Loading Time")</f>
        <v>Cancelled*App Glitches:Slow Loading Time</v>
      </c>
      <c r="K1481" s="14" t="str">
        <f>IFERROR(__xludf.DUMMYFUNCTION("split(E1481,""+"")"),"Chocolate Mousse")</f>
        <v>Chocolate Mousse</v>
      </c>
      <c r="L1481" s="14" t="str">
        <f>IFERROR(__xludf.DUMMYFUNCTION("""COMPUTED_VALUE"""),"3*Not Assigned")</f>
        <v>3*Not Assigned</v>
      </c>
      <c r="M1481" s="14">
        <f>IFERROR(__xludf.DUMMYFUNCTION("SPLIT(L1481,""*"")"),3.0)</f>
        <v>3</v>
      </c>
      <c r="N1481" s="14" t="str">
        <f>IFERROR(__xludf.DUMMYFUNCTION("""COMPUTED_VALUE"""),"Not Assigned")</f>
        <v>Not Assigned</v>
      </c>
      <c r="O1481" s="14" t="str">
        <f>IFERROR(__xludf.DUMMYFUNCTION("split(J1481,""*"")"),"Cancelled")</f>
        <v>Cancelled</v>
      </c>
      <c r="P1481" s="14" t="str">
        <f>IFERROR(__xludf.DUMMYFUNCTION("""COMPUTED_VALUE"""),"App Glitches:Slow Loading Time")</f>
        <v>App Glitches:Slow Loading Time</v>
      </c>
      <c r="Q1481" s="14" t="str">
        <f>IFERROR(__xludf.DUMMYFUNCTION("split(P1481,"":"")"),"App Glitches")</f>
        <v>App Glitches</v>
      </c>
      <c r="R1481" s="14" t="str">
        <f>IFERROR(__xludf.DUMMYFUNCTION("""COMPUTED_VALUE"""),"Slow Loading Time")</f>
        <v>Slow Loading Time</v>
      </c>
      <c r="S1481" s="14" t="str">
        <f t="shared" ref="S1481:U1481" si="2965">trim(B1481)</f>
        <v>ord_71459</v>
      </c>
      <c r="T1481" s="14" t="str">
        <f t="shared" si="2965"/>
        <v>Omkar Mishra</v>
      </c>
      <c r="U1481" s="14" t="str">
        <f t="shared" si="2965"/>
        <v>Powai</v>
      </c>
      <c r="V1481" s="14" t="str">
        <f t="shared" si="4"/>
        <v>Chocolate Mousse</v>
      </c>
      <c r="W1481" s="14">
        <f t="shared" si="5"/>
        <v>3</v>
      </c>
      <c r="X1481" s="14" t="str">
        <f t="shared" si="6"/>
        <v>Not Assigned</v>
      </c>
      <c r="Y1481" s="15">
        <f t="shared" si="7"/>
        <v>45107</v>
      </c>
      <c r="Z1481" s="14" t="str">
        <f t="shared" si="8"/>
        <v>UPI</v>
      </c>
      <c r="AA1481" s="14" t="str">
        <f t="shared" si="9"/>
        <v>Cancelled</v>
      </c>
      <c r="AB1481" s="14" t="str">
        <f t="shared" ref="AB1481:AC1481" si="2966">trim(Q1481)</f>
        <v>App Glitches</v>
      </c>
      <c r="AC1481" s="14" t="str">
        <f t="shared" si="2966"/>
        <v>Slow Loading Time</v>
      </c>
      <c r="AD1481" s="8"/>
    </row>
    <row r="1482">
      <c r="A1482" s="14" t="str">
        <f>IFERROR(__xludf.DUMMYFUNCTION("""COMPUTED_VALUE"""),"//ord_71460//Aditi Iyer//Dadar//Icecream+3*Not Assigned/11/20/2023//Credit Card//Cancelled*App Glitches: Payment Button Malfunction")</f>
        <v>//ord_71460//Aditi Iyer//Dadar//Icecream+3*Not Assigned/11/20/2023//Credit Card//Cancelled*App Glitches: Payment Button Malfunction</v>
      </c>
      <c r="B1482" s="14" t="str">
        <f>IFERROR(__xludf.DUMMYFUNCTION("split(A1482,""//"")"),"ord_71460")</f>
        <v>ord_71460</v>
      </c>
      <c r="C1482" s="14" t="str">
        <f>IFERROR(__xludf.DUMMYFUNCTION("""COMPUTED_VALUE"""),"Aditi Iyer")</f>
        <v>Aditi Iyer</v>
      </c>
      <c r="D1482" s="14" t="str">
        <f>IFERROR(__xludf.DUMMYFUNCTION("""COMPUTED_VALUE"""),"Dadar")</f>
        <v>Dadar</v>
      </c>
      <c r="E1482" s="14" t="str">
        <f>IFERROR(__xludf.DUMMYFUNCTION("""COMPUTED_VALUE"""),"Icecream+3*Not Assigned")</f>
        <v>Icecream+3*Not Assigned</v>
      </c>
      <c r="F1482" s="14">
        <f>IFERROR(__xludf.DUMMYFUNCTION("""COMPUTED_VALUE"""),11.0)</f>
        <v>11</v>
      </c>
      <c r="G1482" s="14">
        <f>IFERROR(__xludf.DUMMYFUNCTION("""COMPUTED_VALUE"""),20.0)</f>
        <v>20</v>
      </c>
      <c r="H1482" s="14">
        <f>IFERROR(__xludf.DUMMYFUNCTION("""COMPUTED_VALUE"""),2023.0)</f>
        <v>2023</v>
      </c>
      <c r="I1482" s="14" t="str">
        <f>IFERROR(__xludf.DUMMYFUNCTION("""COMPUTED_VALUE"""),"Credit Card")</f>
        <v>Credit Card</v>
      </c>
      <c r="J1482" s="14" t="str">
        <f>IFERROR(__xludf.DUMMYFUNCTION("""COMPUTED_VALUE"""),"Cancelled*App Glitches: Payment Button Malfunction")</f>
        <v>Cancelled*App Glitches: Payment Button Malfunction</v>
      </c>
      <c r="K1482" s="14" t="str">
        <f>IFERROR(__xludf.DUMMYFUNCTION("split(E1482,""+"")"),"Icecream")</f>
        <v>Icecream</v>
      </c>
      <c r="L1482" s="14" t="str">
        <f>IFERROR(__xludf.DUMMYFUNCTION("""COMPUTED_VALUE"""),"3*Not Assigned")</f>
        <v>3*Not Assigned</v>
      </c>
      <c r="M1482" s="14">
        <f>IFERROR(__xludf.DUMMYFUNCTION("SPLIT(L1482,""*"")"),3.0)</f>
        <v>3</v>
      </c>
      <c r="N1482" s="14" t="str">
        <f>IFERROR(__xludf.DUMMYFUNCTION("""COMPUTED_VALUE"""),"Not Assigned")</f>
        <v>Not Assigned</v>
      </c>
      <c r="O1482" s="14" t="str">
        <f>IFERROR(__xludf.DUMMYFUNCTION("split(J1482,""*"")"),"Cancelled")</f>
        <v>Cancelled</v>
      </c>
      <c r="P1482" s="14" t="str">
        <f>IFERROR(__xludf.DUMMYFUNCTION("""COMPUTED_VALUE"""),"App Glitches: Payment Button Malfunction")</f>
        <v>App Glitches: Payment Button Malfunction</v>
      </c>
      <c r="Q1482" s="14" t="str">
        <f>IFERROR(__xludf.DUMMYFUNCTION("split(P1482,"":"")"),"App Glitches")</f>
        <v>App Glitches</v>
      </c>
      <c r="R1482" s="14" t="str">
        <f>IFERROR(__xludf.DUMMYFUNCTION("""COMPUTED_VALUE""")," Payment Button Malfunction")</f>
        <v> Payment Button Malfunction</v>
      </c>
      <c r="S1482" s="14" t="str">
        <f t="shared" ref="S1482:U1482" si="2967">trim(B1482)</f>
        <v>ord_71460</v>
      </c>
      <c r="T1482" s="14" t="str">
        <f t="shared" si="2967"/>
        <v>Aditi Iyer</v>
      </c>
      <c r="U1482" s="14" t="str">
        <f t="shared" si="2967"/>
        <v>Dadar</v>
      </c>
      <c r="V1482" s="14" t="str">
        <f t="shared" si="4"/>
        <v>Icecream</v>
      </c>
      <c r="W1482" s="14">
        <f t="shared" si="5"/>
        <v>3</v>
      </c>
      <c r="X1482" s="14" t="str">
        <f t="shared" si="6"/>
        <v>Not Assigned</v>
      </c>
      <c r="Y1482" s="15">
        <f t="shared" si="7"/>
        <v>45250</v>
      </c>
      <c r="Z1482" s="14" t="str">
        <f t="shared" si="8"/>
        <v>Credit Card</v>
      </c>
      <c r="AA1482" s="14" t="str">
        <f t="shared" si="9"/>
        <v>Cancelled</v>
      </c>
      <c r="AB1482" s="14" t="str">
        <f t="shared" ref="AB1482:AC1482" si="2968">trim(Q1482)</f>
        <v>App Glitches</v>
      </c>
      <c r="AC1482" s="14" t="str">
        <f t="shared" si="2968"/>
        <v>Payment Button Malfunction</v>
      </c>
      <c r="AD1482" s="8"/>
    </row>
    <row r="1483">
      <c r="A1483" s="14" t="str">
        <f>IFERROR(__xludf.DUMMYFUNCTION("""COMPUTED_VALUE"""),"//ord_71461//Siya Reddy//Juhu//Papaya+1*Not Assigned/4/30/2023//Online Payment//Cancelled*App Glitches: Payment Button Malfunction")</f>
        <v>//ord_71461//Siya Reddy//Juhu//Papaya+1*Not Assigned/4/30/2023//Online Payment//Cancelled*App Glitches: Payment Button Malfunction</v>
      </c>
      <c r="B1483" s="14" t="str">
        <f>IFERROR(__xludf.DUMMYFUNCTION("split(A1483,""//"")"),"ord_71461")</f>
        <v>ord_71461</v>
      </c>
      <c r="C1483" s="14" t="str">
        <f>IFERROR(__xludf.DUMMYFUNCTION("""COMPUTED_VALUE"""),"Siya Reddy")</f>
        <v>Siya Reddy</v>
      </c>
      <c r="D1483" s="14" t="str">
        <f>IFERROR(__xludf.DUMMYFUNCTION("""COMPUTED_VALUE"""),"Juhu")</f>
        <v>Juhu</v>
      </c>
      <c r="E1483" s="14" t="str">
        <f>IFERROR(__xludf.DUMMYFUNCTION("""COMPUTED_VALUE"""),"Papaya+1*Not Assigned")</f>
        <v>Papaya+1*Not Assigned</v>
      </c>
      <c r="F1483" s="14">
        <f>IFERROR(__xludf.DUMMYFUNCTION("""COMPUTED_VALUE"""),4.0)</f>
        <v>4</v>
      </c>
      <c r="G1483" s="14">
        <f>IFERROR(__xludf.DUMMYFUNCTION("""COMPUTED_VALUE"""),30.0)</f>
        <v>30</v>
      </c>
      <c r="H1483" s="14">
        <f>IFERROR(__xludf.DUMMYFUNCTION("""COMPUTED_VALUE"""),2023.0)</f>
        <v>2023</v>
      </c>
      <c r="I1483" s="14" t="str">
        <f>IFERROR(__xludf.DUMMYFUNCTION("""COMPUTED_VALUE"""),"Online Payment")</f>
        <v>Online Payment</v>
      </c>
      <c r="J1483" s="14" t="str">
        <f>IFERROR(__xludf.DUMMYFUNCTION("""COMPUTED_VALUE"""),"Cancelled*App Glitches: Payment Button Malfunction")</f>
        <v>Cancelled*App Glitches: Payment Button Malfunction</v>
      </c>
      <c r="K1483" s="14" t="str">
        <f>IFERROR(__xludf.DUMMYFUNCTION("split(E1483,""+"")"),"Papaya")</f>
        <v>Papaya</v>
      </c>
      <c r="L1483" s="14" t="str">
        <f>IFERROR(__xludf.DUMMYFUNCTION("""COMPUTED_VALUE"""),"1*Not Assigned")</f>
        <v>1*Not Assigned</v>
      </c>
      <c r="M1483" s="14">
        <f>IFERROR(__xludf.DUMMYFUNCTION("SPLIT(L1483,""*"")"),1.0)</f>
        <v>1</v>
      </c>
      <c r="N1483" s="14" t="str">
        <f>IFERROR(__xludf.DUMMYFUNCTION("""COMPUTED_VALUE"""),"Not Assigned")</f>
        <v>Not Assigned</v>
      </c>
      <c r="O1483" s="14" t="str">
        <f>IFERROR(__xludf.DUMMYFUNCTION("split(J1483,""*"")"),"Cancelled")</f>
        <v>Cancelled</v>
      </c>
      <c r="P1483" s="14" t="str">
        <f>IFERROR(__xludf.DUMMYFUNCTION("""COMPUTED_VALUE"""),"App Glitches: Payment Button Malfunction")</f>
        <v>App Glitches: Payment Button Malfunction</v>
      </c>
      <c r="Q1483" s="14" t="str">
        <f>IFERROR(__xludf.DUMMYFUNCTION("split(P1483,"":"")"),"App Glitches")</f>
        <v>App Glitches</v>
      </c>
      <c r="R1483" s="14" t="str">
        <f>IFERROR(__xludf.DUMMYFUNCTION("""COMPUTED_VALUE""")," Payment Button Malfunction")</f>
        <v> Payment Button Malfunction</v>
      </c>
      <c r="S1483" s="14" t="str">
        <f t="shared" ref="S1483:U1483" si="2969">trim(B1483)</f>
        <v>ord_71461</v>
      </c>
      <c r="T1483" s="14" t="str">
        <f t="shared" si="2969"/>
        <v>Siya Reddy</v>
      </c>
      <c r="U1483" s="14" t="str">
        <f t="shared" si="2969"/>
        <v>Juhu</v>
      </c>
      <c r="V1483" s="14" t="str">
        <f t="shared" si="4"/>
        <v>Papaya</v>
      </c>
      <c r="W1483" s="14">
        <f t="shared" si="5"/>
        <v>1</v>
      </c>
      <c r="X1483" s="14" t="str">
        <f t="shared" si="6"/>
        <v>Not Assigned</v>
      </c>
      <c r="Y1483" s="15">
        <f t="shared" si="7"/>
        <v>45046</v>
      </c>
      <c r="Z1483" s="14" t="str">
        <f t="shared" si="8"/>
        <v>Online Payment</v>
      </c>
      <c r="AA1483" s="14" t="str">
        <f t="shared" si="9"/>
        <v>Cancelled</v>
      </c>
      <c r="AB1483" s="14" t="str">
        <f t="shared" ref="AB1483:AC1483" si="2970">trim(Q1483)</f>
        <v>App Glitches</v>
      </c>
      <c r="AC1483" s="14" t="str">
        <f t="shared" si="2970"/>
        <v>Payment Button Malfunction</v>
      </c>
      <c r="AD1483" s="8"/>
    </row>
    <row r="1484">
      <c r="A1484" s="14" t="str">
        <f>IFERROR(__xludf.DUMMYFUNCTION("""COMPUTED_VALUE"""),"//ord_71462//Dev Chauhan//Bandra//Potato+2*Priya Joshi/5/3/2023//UPI//Delivered*On-time Delivery: Delivered on time")</f>
        <v>//ord_71462//Dev Chauhan//Bandra//Potato+2*Priya Joshi/5/3/2023//UPI//Delivered*On-time Delivery: Delivered on time</v>
      </c>
      <c r="B1484" s="14" t="str">
        <f>IFERROR(__xludf.DUMMYFUNCTION("split(A1484,""//"")"),"ord_71462")</f>
        <v>ord_71462</v>
      </c>
      <c r="C1484" s="14" t="str">
        <f>IFERROR(__xludf.DUMMYFUNCTION("""COMPUTED_VALUE"""),"Dev Chauhan")</f>
        <v>Dev Chauhan</v>
      </c>
      <c r="D1484" s="14" t="str">
        <f>IFERROR(__xludf.DUMMYFUNCTION("""COMPUTED_VALUE"""),"Bandra")</f>
        <v>Bandra</v>
      </c>
      <c r="E1484" s="14" t="str">
        <f>IFERROR(__xludf.DUMMYFUNCTION("""COMPUTED_VALUE"""),"Potato+2*Priya Joshi")</f>
        <v>Potato+2*Priya Joshi</v>
      </c>
      <c r="F1484" s="14">
        <f>IFERROR(__xludf.DUMMYFUNCTION("""COMPUTED_VALUE"""),5.0)</f>
        <v>5</v>
      </c>
      <c r="G1484" s="14">
        <f>IFERROR(__xludf.DUMMYFUNCTION("""COMPUTED_VALUE"""),3.0)</f>
        <v>3</v>
      </c>
      <c r="H1484" s="14">
        <f>IFERROR(__xludf.DUMMYFUNCTION("""COMPUTED_VALUE"""),2023.0)</f>
        <v>2023</v>
      </c>
      <c r="I1484" s="14" t="str">
        <f>IFERROR(__xludf.DUMMYFUNCTION("""COMPUTED_VALUE"""),"UPI")</f>
        <v>UPI</v>
      </c>
      <c r="J1484" s="14" t="str">
        <f>IFERROR(__xludf.DUMMYFUNCTION("""COMPUTED_VALUE"""),"Delivered*On-time Delivery: Delivered on time")</f>
        <v>Delivered*On-time Delivery: Delivered on time</v>
      </c>
      <c r="K1484" s="14" t="str">
        <f>IFERROR(__xludf.DUMMYFUNCTION("split(E1484,""+"")"),"Potato")</f>
        <v>Potato</v>
      </c>
      <c r="L1484" s="14" t="str">
        <f>IFERROR(__xludf.DUMMYFUNCTION("""COMPUTED_VALUE"""),"2*Priya Joshi")</f>
        <v>2*Priya Joshi</v>
      </c>
      <c r="M1484" s="14">
        <f>IFERROR(__xludf.DUMMYFUNCTION("SPLIT(L1484,""*"")"),2.0)</f>
        <v>2</v>
      </c>
      <c r="N1484" s="14" t="str">
        <f>IFERROR(__xludf.DUMMYFUNCTION("""COMPUTED_VALUE"""),"Priya Joshi")</f>
        <v>Priya Joshi</v>
      </c>
      <c r="O1484" s="14" t="str">
        <f>IFERROR(__xludf.DUMMYFUNCTION("split(J1484,""*"")"),"Delivered")</f>
        <v>Delivered</v>
      </c>
      <c r="P1484" s="14" t="str">
        <f>IFERROR(__xludf.DUMMYFUNCTION("""COMPUTED_VALUE"""),"On-time Delivery: Delivered on time")</f>
        <v>On-time Delivery: Delivered on time</v>
      </c>
      <c r="Q1484" s="14" t="str">
        <f>IFERROR(__xludf.DUMMYFUNCTION("split(P1484,"":"")"),"On-time Delivery")</f>
        <v>On-time Delivery</v>
      </c>
      <c r="R1484" s="14" t="str">
        <f>IFERROR(__xludf.DUMMYFUNCTION("""COMPUTED_VALUE""")," Delivered on time")</f>
        <v> Delivered on time</v>
      </c>
      <c r="S1484" s="14" t="str">
        <f t="shared" ref="S1484:U1484" si="2971">trim(B1484)</f>
        <v>ord_71462</v>
      </c>
      <c r="T1484" s="14" t="str">
        <f t="shared" si="2971"/>
        <v>Dev Chauhan</v>
      </c>
      <c r="U1484" s="14" t="str">
        <f t="shared" si="2971"/>
        <v>Bandra</v>
      </c>
      <c r="V1484" s="14" t="str">
        <f t="shared" si="4"/>
        <v>Potato</v>
      </c>
      <c r="W1484" s="14">
        <f t="shared" si="5"/>
        <v>2</v>
      </c>
      <c r="X1484" s="14" t="str">
        <f t="shared" si="6"/>
        <v>Priya Joshi</v>
      </c>
      <c r="Y1484" s="15">
        <f t="shared" si="7"/>
        <v>45049</v>
      </c>
      <c r="Z1484" s="14" t="str">
        <f t="shared" si="8"/>
        <v>UPI</v>
      </c>
      <c r="AA1484" s="14" t="str">
        <f t="shared" si="9"/>
        <v>Delivered</v>
      </c>
      <c r="AB1484" s="14" t="str">
        <f t="shared" ref="AB1484:AC1484" si="2972">trim(Q1484)</f>
        <v>On-time Delivery</v>
      </c>
      <c r="AC1484" s="14" t="str">
        <f t="shared" si="2972"/>
        <v>Delivered on time</v>
      </c>
      <c r="AD1484" s="8"/>
    </row>
    <row r="1485">
      <c r="A1485" s="14" t="str">
        <f>IFERROR(__xludf.DUMMYFUNCTION("""COMPUTED_VALUE"""),"//ord_71463//Pallavi Ghosh//Bandra//Cucumber+2*Priya Joshi/2/15/2023//Credit Card//Delivered*Quality of Items: Perfect condition")</f>
        <v>//ord_71463//Pallavi Ghosh//Bandra//Cucumber+2*Priya Joshi/2/15/2023//Credit Card//Delivered*Quality of Items: Perfect condition</v>
      </c>
      <c r="B1485" s="14" t="str">
        <f>IFERROR(__xludf.DUMMYFUNCTION("split(A1485,""//"")"),"ord_71463")</f>
        <v>ord_71463</v>
      </c>
      <c r="C1485" s="14" t="str">
        <f>IFERROR(__xludf.DUMMYFUNCTION("""COMPUTED_VALUE"""),"Pallavi Ghosh")</f>
        <v>Pallavi Ghosh</v>
      </c>
      <c r="D1485" s="14" t="str">
        <f>IFERROR(__xludf.DUMMYFUNCTION("""COMPUTED_VALUE"""),"Bandra")</f>
        <v>Bandra</v>
      </c>
      <c r="E1485" s="14" t="str">
        <f>IFERROR(__xludf.DUMMYFUNCTION("""COMPUTED_VALUE"""),"Cucumber+2*Priya Joshi")</f>
        <v>Cucumber+2*Priya Joshi</v>
      </c>
      <c r="F1485" s="14">
        <f>IFERROR(__xludf.DUMMYFUNCTION("""COMPUTED_VALUE"""),2.0)</f>
        <v>2</v>
      </c>
      <c r="G1485" s="14">
        <f>IFERROR(__xludf.DUMMYFUNCTION("""COMPUTED_VALUE"""),15.0)</f>
        <v>15</v>
      </c>
      <c r="H1485" s="14">
        <f>IFERROR(__xludf.DUMMYFUNCTION("""COMPUTED_VALUE"""),2023.0)</f>
        <v>2023</v>
      </c>
      <c r="I1485" s="14" t="str">
        <f>IFERROR(__xludf.DUMMYFUNCTION("""COMPUTED_VALUE"""),"Credit Card")</f>
        <v>Credit Card</v>
      </c>
      <c r="J1485" s="14" t="str">
        <f>IFERROR(__xludf.DUMMYFUNCTION("""COMPUTED_VALUE"""),"Delivered*Quality of Items: Perfect condition")</f>
        <v>Delivered*Quality of Items: Perfect condition</v>
      </c>
      <c r="K1485" s="14" t="str">
        <f>IFERROR(__xludf.DUMMYFUNCTION("split(E1485,""+"")"),"Cucumber")</f>
        <v>Cucumber</v>
      </c>
      <c r="L1485" s="14" t="str">
        <f>IFERROR(__xludf.DUMMYFUNCTION("""COMPUTED_VALUE"""),"2*Priya Joshi")</f>
        <v>2*Priya Joshi</v>
      </c>
      <c r="M1485" s="14">
        <f>IFERROR(__xludf.DUMMYFUNCTION("SPLIT(L1485,""*"")"),2.0)</f>
        <v>2</v>
      </c>
      <c r="N1485" s="14" t="str">
        <f>IFERROR(__xludf.DUMMYFUNCTION("""COMPUTED_VALUE"""),"Priya Joshi")</f>
        <v>Priya Joshi</v>
      </c>
      <c r="O1485" s="14" t="str">
        <f>IFERROR(__xludf.DUMMYFUNCTION("split(J1485,""*"")"),"Delivered")</f>
        <v>Delivered</v>
      </c>
      <c r="P1485" s="14" t="str">
        <f>IFERROR(__xludf.DUMMYFUNCTION("""COMPUTED_VALUE"""),"Quality of Items: Perfect condition")</f>
        <v>Quality of Items: Perfect condition</v>
      </c>
      <c r="Q1485" s="14" t="str">
        <f>IFERROR(__xludf.DUMMYFUNCTION("split(P1485,"":"")"),"Quality of Items")</f>
        <v>Quality of Items</v>
      </c>
      <c r="R1485" s="14" t="str">
        <f>IFERROR(__xludf.DUMMYFUNCTION("""COMPUTED_VALUE""")," Perfect condition")</f>
        <v> Perfect condition</v>
      </c>
      <c r="S1485" s="14" t="str">
        <f t="shared" ref="S1485:U1485" si="2973">trim(B1485)</f>
        <v>ord_71463</v>
      </c>
      <c r="T1485" s="14" t="str">
        <f t="shared" si="2973"/>
        <v>Pallavi Ghosh</v>
      </c>
      <c r="U1485" s="14" t="str">
        <f t="shared" si="2973"/>
        <v>Bandra</v>
      </c>
      <c r="V1485" s="14" t="str">
        <f t="shared" si="4"/>
        <v>Cucumber</v>
      </c>
      <c r="W1485" s="14">
        <f t="shared" si="5"/>
        <v>2</v>
      </c>
      <c r="X1485" s="14" t="str">
        <f t="shared" si="6"/>
        <v>Priya Joshi</v>
      </c>
      <c r="Y1485" s="15">
        <f t="shared" si="7"/>
        <v>44972</v>
      </c>
      <c r="Z1485" s="14" t="str">
        <f t="shared" si="8"/>
        <v>Credit Card</v>
      </c>
      <c r="AA1485" s="14" t="str">
        <f t="shared" si="9"/>
        <v>Delivered</v>
      </c>
      <c r="AB1485" s="14" t="str">
        <f t="shared" ref="AB1485:AC1485" si="2974">trim(Q1485)</f>
        <v>Quality of Items</v>
      </c>
      <c r="AC1485" s="14" t="str">
        <f t="shared" si="2974"/>
        <v>Perfect condition</v>
      </c>
      <c r="AD1485" s="8"/>
    </row>
    <row r="1486">
      <c r="A1486" s="14" t="str">
        <f>IFERROR(__xludf.DUMMYFUNCTION("""COMPUTED_VALUE"""),"//ord_71464//Anaya Rao//Colaba//Banana+2*Nikhil Deshmukh/6/12/2023//Online Payment//Delivered*On-time Delivery: Delivered on time")</f>
        <v>//ord_71464//Anaya Rao//Colaba//Banana+2*Nikhil Deshmukh/6/12/2023//Online Payment//Delivered*On-time Delivery: Delivered on time</v>
      </c>
      <c r="B1486" s="14" t="str">
        <f>IFERROR(__xludf.DUMMYFUNCTION("split(A1486,""//"")"),"ord_71464")</f>
        <v>ord_71464</v>
      </c>
      <c r="C1486" s="14" t="str">
        <f>IFERROR(__xludf.DUMMYFUNCTION("""COMPUTED_VALUE"""),"Anaya Rao")</f>
        <v>Anaya Rao</v>
      </c>
      <c r="D1486" s="14" t="str">
        <f>IFERROR(__xludf.DUMMYFUNCTION("""COMPUTED_VALUE"""),"Colaba")</f>
        <v>Colaba</v>
      </c>
      <c r="E1486" s="14" t="str">
        <f>IFERROR(__xludf.DUMMYFUNCTION("""COMPUTED_VALUE"""),"Banana+2*Nikhil Deshmukh")</f>
        <v>Banana+2*Nikhil Deshmukh</v>
      </c>
      <c r="F1486" s="14">
        <f>IFERROR(__xludf.DUMMYFUNCTION("""COMPUTED_VALUE"""),6.0)</f>
        <v>6</v>
      </c>
      <c r="G1486" s="14">
        <f>IFERROR(__xludf.DUMMYFUNCTION("""COMPUTED_VALUE"""),12.0)</f>
        <v>12</v>
      </c>
      <c r="H1486" s="14">
        <f>IFERROR(__xludf.DUMMYFUNCTION("""COMPUTED_VALUE"""),2023.0)</f>
        <v>2023</v>
      </c>
      <c r="I1486" s="14" t="str">
        <f>IFERROR(__xludf.DUMMYFUNCTION("""COMPUTED_VALUE"""),"Online Payment")</f>
        <v>Online Payment</v>
      </c>
      <c r="J1486" s="14" t="str">
        <f>IFERROR(__xludf.DUMMYFUNCTION("""COMPUTED_VALUE"""),"Delivered*On-time Delivery: Delivered on time")</f>
        <v>Delivered*On-time Delivery: Delivered on time</v>
      </c>
      <c r="K1486" s="14" t="str">
        <f>IFERROR(__xludf.DUMMYFUNCTION("split(E1486,""+"")"),"Banana")</f>
        <v>Banana</v>
      </c>
      <c r="L1486" s="14" t="str">
        <f>IFERROR(__xludf.DUMMYFUNCTION("""COMPUTED_VALUE"""),"2*Nikhil Deshmukh")</f>
        <v>2*Nikhil Deshmukh</v>
      </c>
      <c r="M1486" s="14">
        <f>IFERROR(__xludf.DUMMYFUNCTION("SPLIT(L1486,""*"")"),2.0)</f>
        <v>2</v>
      </c>
      <c r="N1486" s="14" t="str">
        <f>IFERROR(__xludf.DUMMYFUNCTION("""COMPUTED_VALUE"""),"Nikhil Deshmukh")</f>
        <v>Nikhil Deshmukh</v>
      </c>
      <c r="O1486" s="14" t="str">
        <f>IFERROR(__xludf.DUMMYFUNCTION("split(J1486,""*"")"),"Delivered")</f>
        <v>Delivered</v>
      </c>
      <c r="P1486" s="14" t="str">
        <f>IFERROR(__xludf.DUMMYFUNCTION("""COMPUTED_VALUE"""),"On-time Delivery: Delivered on time")</f>
        <v>On-time Delivery: Delivered on time</v>
      </c>
      <c r="Q1486" s="14" t="str">
        <f>IFERROR(__xludf.DUMMYFUNCTION("split(P1486,"":"")"),"On-time Delivery")</f>
        <v>On-time Delivery</v>
      </c>
      <c r="R1486" s="14" t="str">
        <f>IFERROR(__xludf.DUMMYFUNCTION("""COMPUTED_VALUE""")," Delivered on time")</f>
        <v> Delivered on time</v>
      </c>
      <c r="S1486" s="14" t="str">
        <f t="shared" ref="S1486:U1486" si="2975">trim(B1486)</f>
        <v>ord_71464</v>
      </c>
      <c r="T1486" s="14" t="str">
        <f t="shared" si="2975"/>
        <v>Anaya Rao</v>
      </c>
      <c r="U1486" s="14" t="str">
        <f t="shared" si="2975"/>
        <v>Colaba</v>
      </c>
      <c r="V1486" s="14" t="str">
        <f t="shared" si="4"/>
        <v>Banana</v>
      </c>
      <c r="W1486" s="14">
        <f t="shared" si="5"/>
        <v>2</v>
      </c>
      <c r="X1486" s="14" t="str">
        <f t="shared" si="6"/>
        <v>Nikhil Deshmukh</v>
      </c>
      <c r="Y1486" s="15">
        <f t="shared" si="7"/>
        <v>45089</v>
      </c>
      <c r="Z1486" s="14" t="str">
        <f t="shared" si="8"/>
        <v>Online Payment</v>
      </c>
      <c r="AA1486" s="14" t="str">
        <f t="shared" si="9"/>
        <v>Delivered</v>
      </c>
      <c r="AB1486" s="14" t="str">
        <f t="shared" ref="AB1486:AC1486" si="2976">trim(Q1486)</f>
        <v>On-time Delivery</v>
      </c>
      <c r="AC1486" s="14" t="str">
        <f t="shared" si="2976"/>
        <v>Delivered on time</v>
      </c>
      <c r="AD1486" s="8"/>
    </row>
    <row r="1487">
      <c r="A1487" s="14" t="str">
        <f>IFERROR(__xludf.DUMMYFUNCTION("""COMPUTED_VALUE"""),"//ord_71465//Omkar Mishra//Powai//Chocolate Mousse+3*Not Assigned/12/16/2023//Credit Card//Cancelled*App Glitches: Inconsistent Data Display")</f>
        <v>//ord_71465//Omkar Mishra//Powai//Chocolate Mousse+3*Not Assigned/12/16/2023//Credit Card//Cancelled*App Glitches: Inconsistent Data Display</v>
      </c>
      <c r="B1487" s="14" t="str">
        <f>IFERROR(__xludf.DUMMYFUNCTION("split(A1487,""//"")"),"ord_71465")</f>
        <v>ord_71465</v>
      </c>
      <c r="C1487" s="14" t="str">
        <f>IFERROR(__xludf.DUMMYFUNCTION("""COMPUTED_VALUE"""),"Omkar Mishra")</f>
        <v>Omkar Mishra</v>
      </c>
      <c r="D1487" s="14" t="str">
        <f>IFERROR(__xludf.DUMMYFUNCTION("""COMPUTED_VALUE"""),"Powai")</f>
        <v>Powai</v>
      </c>
      <c r="E1487" s="14" t="str">
        <f>IFERROR(__xludf.DUMMYFUNCTION("""COMPUTED_VALUE"""),"Chocolate Mousse+3*Not Assigned")</f>
        <v>Chocolate Mousse+3*Not Assigned</v>
      </c>
      <c r="F1487" s="14">
        <f>IFERROR(__xludf.DUMMYFUNCTION("""COMPUTED_VALUE"""),12.0)</f>
        <v>12</v>
      </c>
      <c r="G1487" s="14">
        <f>IFERROR(__xludf.DUMMYFUNCTION("""COMPUTED_VALUE"""),16.0)</f>
        <v>16</v>
      </c>
      <c r="H1487" s="14">
        <f>IFERROR(__xludf.DUMMYFUNCTION("""COMPUTED_VALUE"""),2023.0)</f>
        <v>2023</v>
      </c>
      <c r="I1487" s="14" t="str">
        <f>IFERROR(__xludf.DUMMYFUNCTION("""COMPUTED_VALUE"""),"Credit Card")</f>
        <v>Credit Card</v>
      </c>
      <c r="J1487" s="14" t="str">
        <f>IFERROR(__xludf.DUMMYFUNCTION("""COMPUTED_VALUE"""),"Cancelled*App Glitches: Inconsistent Data Display")</f>
        <v>Cancelled*App Glitches: Inconsistent Data Display</v>
      </c>
      <c r="K1487" s="14" t="str">
        <f>IFERROR(__xludf.DUMMYFUNCTION("split(E1487,""+"")"),"Chocolate Mousse")</f>
        <v>Chocolate Mousse</v>
      </c>
      <c r="L1487" s="14" t="str">
        <f>IFERROR(__xludf.DUMMYFUNCTION("""COMPUTED_VALUE"""),"3*Not Assigned")</f>
        <v>3*Not Assigned</v>
      </c>
      <c r="M1487" s="14">
        <f>IFERROR(__xludf.DUMMYFUNCTION("SPLIT(L1487,""*"")"),3.0)</f>
        <v>3</v>
      </c>
      <c r="N1487" s="14" t="str">
        <f>IFERROR(__xludf.DUMMYFUNCTION("""COMPUTED_VALUE"""),"Not Assigned")</f>
        <v>Not Assigned</v>
      </c>
      <c r="O1487" s="14" t="str">
        <f>IFERROR(__xludf.DUMMYFUNCTION("split(J1487,""*"")"),"Cancelled")</f>
        <v>Cancelled</v>
      </c>
      <c r="P1487" s="14" t="str">
        <f>IFERROR(__xludf.DUMMYFUNCTION("""COMPUTED_VALUE"""),"App Glitches: Inconsistent Data Display")</f>
        <v>App Glitches: Inconsistent Data Display</v>
      </c>
      <c r="Q1487" s="14" t="str">
        <f>IFERROR(__xludf.DUMMYFUNCTION("split(P1487,"":"")"),"App Glitches")</f>
        <v>App Glitches</v>
      </c>
      <c r="R1487" s="14" t="str">
        <f>IFERROR(__xludf.DUMMYFUNCTION("""COMPUTED_VALUE""")," Inconsistent Data Display")</f>
        <v> Inconsistent Data Display</v>
      </c>
      <c r="S1487" s="14" t="str">
        <f t="shared" ref="S1487:U1487" si="2977">trim(B1487)</f>
        <v>ord_71465</v>
      </c>
      <c r="T1487" s="14" t="str">
        <f t="shared" si="2977"/>
        <v>Omkar Mishra</v>
      </c>
      <c r="U1487" s="14" t="str">
        <f t="shared" si="2977"/>
        <v>Powai</v>
      </c>
      <c r="V1487" s="14" t="str">
        <f t="shared" si="4"/>
        <v>Chocolate Mousse</v>
      </c>
      <c r="W1487" s="14">
        <f t="shared" si="5"/>
        <v>3</v>
      </c>
      <c r="X1487" s="14" t="str">
        <f t="shared" si="6"/>
        <v>Not Assigned</v>
      </c>
      <c r="Y1487" s="15">
        <f t="shared" si="7"/>
        <v>45276</v>
      </c>
      <c r="Z1487" s="14" t="str">
        <f t="shared" si="8"/>
        <v>Credit Card</v>
      </c>
      <c r="AA1487" s="14" t="str">
        <f t="shared" si="9"/>
        <v>Cancelled</v>
      </c>
      <c r="AB1487" s="14" t="str">
        <f t="shared" ref="AB1487:AC1487" si="2978">trim(Q1487)</f>
        <v>App Glitches</v>
      </c>
      <c r="AC1487" s="14" t="str">
        <f t="shared" si="2978"/>
        <v>Inconsistent Data Display</v>
      </c>
      <c r="AD1487" s="8"/>
    </row>
    <row r="1488">
      <c r="A1488" s="14" t="str">
        <f>IFERROR(__xludf.DUMMYFUNCTION("""COMPUTED_VALUE"""),"//ord_71466//Kritika Shetty//Malad//Sweet Corn+1*Not Assigned/2/25/2023//Credit Card//Cancelled*App Glitches:Slow Loading Time")</f>
        <v>//ord_71466//Kritika Shetty//Malad//Sweet Corn+1*Not Assigned/2/25/2023//Credit Card//Cancelled*App Glitches:Slow Loading Time</v>
      </c>
      <c r="B1488" s="14" t="str">
        <f>IFERROR(__xludf.DUMMYFUNCTION("split(A1488,""//"")"),"ord_71466")</f>
        <v>ord_71466</v>
      </c>
      <c r="C1488" s="14" t="str">
        <f>IFERROR(__xludf.DUMMYFUNCTION("""COMPUTED_VALUE"""),"Kritika Shetty")</f>
        <v>Kritika Shetty</v>
      </c>
      <c r="D1488" s="14" t="str">
        <f>IFERROR(__xludf.DUMMYFUNCTION("""COMPUTED_VALUE"""),"Malad")</f>
        <v>Malad</v>
      </c>
      <c r="E1488" s="14" t="str">
        <f>IFERROR(__xludf.DUMMYFUNCTION("""COMPUTED_VALUE"""),"Sweet Corn+1*Not Assigned")</f>
        <v>Sweet Corn+1*Not Assigned</v>
      </c>
      <c r="F1488" s="14">
        <f>IFERROR(__xludf.DUMMYFUNCTION("""COMPUTED_VALUE"""),2.0)</f>
        <v>2</v>
      </c>
      <c r="G1488" s="14">
        <f>IFERROR(__xludf.DUMMYFUNCTION("""COMPUTED_VALUE"""),25.0)</f>
        <v>25</v>
      </c>
      <c r="H1488" s="14">
        <f>IFERROR(__xludf.DUMMYFUNCTION("""COMPUTED_VALUE"""),2023.0)</f>
        <v>2023</v>
      </c>
      <c r="I1488" s="14" t="str">
        <f>IFERROR(__xludf.DUMMYFUNCTION("""COMPUTED_VALUE"""),"Credit Card")</f>
        <v>Credit Card</v>
      </c>
      <c r="J1488" s="14" t="str">
        <f>IFERROR(__xludf.DUMMYFUNCTION("""COMPUTED_VALUE"""),"Cancelled*App Glitches:Slow Loading Time")</f>
        <v>Cancelled*App Glitches:Slow Loading Time</v>
      </c>
      <c r="K1488" s="14" t="str">
        <f>IFERROR(__xludf.DUMMYFUNCTION("split(E1488,""+"")"),"Sweet Corn")</f>
        <v>Sweet Corn</v>
      </c>
      <c r="L1488" s="14" t="str">
        <f>IFERROR(__xludf.DUMMYFUNCTION("""COMPUTED_VALUE"""),"1*Not Assigned")</f>
        <v>1*Not Assigned</v>
      </c>
      <c r="M1488" s="14">
        <f>IFERROR(__xludf.DUMMYFUNCTION("SPLIT(L1488,""*"")"),1.0)</f>
        <v>1</v>
      </c>
      <c r="N1488" s="14" t="str">
        <f>IFERROR(__xludf.DUMMYFUNCTION("""COMPUTED_VALUE"""),"Not Assigned")</f>
        <v>Not Assigned</v>
      </c>
      <c r="O1488" s="14" t="str">
        <f>IFERROR(__xludf.DUMMYFUNCTION("split(J1488,""*"")"),"Cancelled")</f>
        <v>Cancelled</v>
      </c>
      <c r="P1488" s="14" t="str">
        <f>IFERROR(__xludf.DUMMYFUNCTION("""COMPUTED_VALUE"""),"App Glitches:Slow Loading Time")</f>
        <v>App Glitches:Slow Loading Time</v>
      </c>
      <c r="Q1488" s="14" t="str">
        <f>IFERROR(__xludf.DUMMYFUNCTION("split(P1488,"":"")"),"App Glitches")</f>
        <v>App Glitches</v>
      </c>
      <c r="R1488" s="14" t="str">
        <f>IFERROR(__xludf.DUMMYFUNCTION("""COMPUTED_VALUE"""),"Slow Loading Time")</f>
        <v>Slow Loading Time</v>
      </c>
      <c r="S1488" s="14" t="str">
        <f t="shared" ref="S1488:U1488" si="2979">trim(B1488)</f>
        <v>ord_71466</v>
      </c>
      <c r="T1488" s="14" t="str">
        <f t="shared" si="2979"/>
        <v>Kritika Shetty</v>
      </c>
      <c r="U1488" s="14" t="str">
        <f t="shared" si="2979"/>
        <v>Malad</v>
      </c>
      <c r="V1488" s="14" t="str">
        <f t="shared" si="4"/>
        <v>Sweet Corn</v>
      </c>
      <c r="W1488" s="14">
        <f t="shared" si="5"/>
        <v>1</v>
      </c>
      <c r="X1488" s="14" t="str">
        <f t="shared" si="6"/>
        <v>Not Assigned</v>
      </c>
      <c r="Y1488" s="15">
        <f t="shared" si="7"/>
        <v>44982</v>
      </c>
      <c r="Z1488" s="14" t="str">
        <f t="shared" si="8"/>
        <v>Credit Card</v>
      </c>
      <c r="AA1488" s="14" t="str">
        <f t="shared" si="9"/>
        <v>Cancelled</v>
      </c>
      <c r="AB1488" s="14" t="str">
        <f t="shared" ref="AB1488:AC1488" si="2980">trim(Q1488)</f>
        <v>App Glitches</v>
      </c>
      <c r="AC1488" s="14" t="str">
        <f t="shared" si="2980"/>
        <v>Slow Loading Time</v>
      </c>
      <c r="AD1488" s="8"/>
    </row>
    <row r="1489">
      <c r="A1489" s="14" t="str">
        <f>IFERROR(__xludf.DUMMYFUNCTION("""COMPUTED_VALUE"""),"//ord_71467//Aarohi Kapoor//Bandra//Popcorn+3*Not Assigned/3/15/2023//Credit Card//Cancelled*High Delivery Fees")</f>
        <v>//ord_71467//Aarohi Kapoor//Bandra//Popcorn+3*Not Assigned/3/15/2023//Credit Card//Cancelled*High Delivery Fees</v>
      </c>
      <c r="B1489" s="14" t="str">
        <f>IFERROR(__xludf.DUMMYFUNCTION("split(A1489,""//"")"),"ord_71467")</f>
        <v>ord_71467</v>
      </c>
      <c r="C1489" s="14" t="str">
        <f>IFERROR(__xludf.DUMMYFUNCTION("""COMPUTED_VALUE"""),"Aarohi Kapoor")</f>
        <v>Aarohi Kapoor</v>
      </c>
      <c r="D1489" s="14" t="str">
        <f>IFERROR(__xludf.DUMMYFUNCTION("""COMPUTED_VALUE"""),"Bandra")</f>
        <v>Bandra</v>
      </c>
      <c r="E1489" s="14" t="str">
        <f>IFERROR(__xludf.DUMMYFUNCTION("""COMPUTED_VALUE"""),"Popcorn+3*Not Assigned")</f>
        <v>Popcorn+3*Not Assigned</v>
      </c>
      <c r="F1489" s="14">
        <f>IFERROR(__xludf.DUMMYFUNCTION("""COMPUTED_VALUE"""),3.0)</f>
        <v>3</v>
      </c>
      <c r="G1489" s="14">
        <f>IFERROR(__xludf.DUMMYFUNCTION("""COMPUTED_VALUE"""),15.0)</f>
        <v>15</v>
      </c>
      <c r="H1489" s="14">
        <f>IFERROR(__xludf.DUMMYFUNCTION("""COMPUTED_VALUE"""),2023.0)</f>
        <v>2023</v>
      </c>
      <c r="I1489" s="14" t="str">
        <f>IFERROR(__xludf.DUMMYFUNCTION("""COMPUTED_VALUE"""),"Credit Card")</f>
        <v>Credit Card</v>
      </c>
      <c r="J1489" s="14" t="str">
        <f>IFERROR(__xludf.DUMMYFUNCTION("""COMPUTED_VALUE"""),"Cancelled*High Delivery Fees")</f>
        <v>Cancelled*High Delivery Fees</v>
      </c>
      <c r="K1489" s="14" t="str">
        <f>IFERROR(__xludf.DUMMYFUNCTION("split(E1489,""+"")"),"Popcorn")</f>
        <v>Popcorn</v>
      </c>
      <c r="L1489" s="14" t="str">
        <f>IFERROR(__xludf.DUMMYFUNCTION("""COMPUTED_VALUE"""),"3*Not Assigned")</f>
        <v>3*Not Assigned</v>
      </c>
      <c r="M1489" s="14">
        <f>IFERROR(__xludf.DUMMYFUNCTION("SPLIT(L1489,""*"")"),3.0)</f>
        <v>3</v>
      </c>
      <c r="N1489" s="14" t="str">
        <f>IFERROR(__xludf.DUMMYFUNCTION("""COMPUTED_VALUE"""),"Not Assigned")</f>
        <v>Not Assigned</v>
      </c>
      <c r="O1489" s="14" t="str">
        <f>IFERROR(__xludf.DUMMYFUNCTION("split(J1489,""*"")"),"Cancelled")</f>
        <v>Cancelled</v>
      </c>
      <c r="P1489" s="14" t="str">
        <f>IFERROR(__xludf.DUMMYFUNCTION("""COMPUTED_VALUE"""),"High Delivery Fees")</f>
        <v>High Delivery Fees</v>
      </c>
      <c r="Q1489" s="14" t="str">
        <f>IFERROR(__xludf.DUMMYFUNCTION("split(P1489,"":"")"),"High Delivery Fees")</f>
        <v>High Delivery Fees</v>
      </c>
      <c r="R1489" s="14"/>
      <c r="S1489" s="14" t="str">
        <f t="shared" ref="S1489:U1489" si="2981">trim(B1489)</f>
        <v>ord_71467</v>
      </c>
      <c r="T1489" s="14" t="str">
        <f t="shared" si="2981"/>
        <v>Aarohi Kapoor</v>
      </c>
      <c r="U1489" s="14" t="str">
        <f t="shared" si="2981"/>
        <v>Bandra</v>
      </c>
      <c r="V1489" s="14" t="str">
        <f t="shared" si="4"/>
        <v>Popcorn</v>
      </c>
      <c r="W1489" s="14">
        <f t="shared" si="5"/>
        <v>3</v>
      </c>
      <c r="X1489" s="14" t="str">
        <f t="shared" si="6"/>
        <v>Not Assigned</v>
      </c>
      <c r="Y1489" s="15">
        <f t="shared" si="7"/>
        <v>45000</v>
      </c>
      <c r="Z1489" s="14" t="str">
        <f t="shared" si="8"/>
        <v>Credit Card</v>
      </c>
      <c r="AA1489" s="14" t="str">
        <f t="shared" si="9"/>
        <v>Cancelled</v>
      </c>
      <c r="AB1489" s="14" t="str">
        <f t="shared" ref="AB1489:AC1489" si="2982">trim(Q1489)</f>
        <v>High Delivery Fees</v>
      </c>
      <c r="AC1489" s="14" t="str">
        <f t="shared" si="2982"/>
        <v/>
      </c>
      <c r="AD1489" s="8"/>
    </row>
    <row r="1490">
      <c r="A1490" s="14" t="str">
        <f>IFERROR(__xludf.DUMMYFUNCTION("""COMPUTED_VALUE"""),"//ord_71468//Aditya Basu//Juhu//Cucumber+2*Tanvi Jain/10/16/2023//COD//Delivered*Quality of Items: Perfect condition")</f>
        <v>//ord_71468//Aditya Basu//Juhu//Cucumber+2*Tanvi Jain/10/16/2023//COD//Delivered*Quality of Items: Perfect condition</v>
      </c>
      <c r="B1490" s="14" t="str">
        <f>IFERROR(__xludf.DUMMYFUNCTION("split(A1490,""//"")"),"ord_71468")</f>
        <v>ord_71468</v>
      </c>
      <c r="C1490" s="14" t="str">
        <f>IFERROR(__xludf.DUMMYFUNCTION("""COMPUTED_VALUE"""),"Aditya Basu")</f>
        <v>Aditya Basu</v>
      </c>
      <c r="D1490" s="14" t="str">
        <f>IFERROR(__xludf.DUMMYFUNCTION("""COMPUTED_VALUE"""),"Juhu")</f>
        <v>Juhu</v>
      </c>
      <c r="E1490" s="14" t="str">
        <f>IFERROR(__xludf.DUMMYFUNCTION("""COMPUTED_VALUE"""),"Cucumber+2*Tanvi Jain")</f>
        <v>Cucumber+2*Tanvi Jain</v>
      </c>
      <c r="F1490" s="14">
        <f>IFERROR(__xludf.DUMMYFUNCTION("""COMPUTED_VALUE"""),10.0)</f>
        <v>10</v>
      </c>
      <c r="G1490" s="14">
        <f>IFERROR(__xludf.DUMMYFUNCTION("""COMPUTED_VALUE"""),16.0)</f>
        <v>16</v>
      </c>
      <c r="H1490" s="14">
        <f>IFERROR(__xludf.DUMMYFUNCTION("""COMPUTED_VALUE"""),2023.0)</f>
        <v>2023</v>
      </c>
      <c r="I1490" s="14" t="str">
        <f>IFERROR(__xludf.DUMMYFUNCTION("""COMPUTED_VALUE"""),"COD")</f>
        <v>COD</v>
      </c>
      <c r="J1490" s="14" t="str">
        <f>IFERROR(__xludf.DUMMYFUNCTION("""COMPUTED_VALUE"""),"Delivered*Quality of Items: Perfect condition")</f>
        <v>Delivered*Quality of Items: Perfect condition</v>
      </c>
      <c r="K1490" s="14" t="str">
        <f>IFERROR(__xludf.DUMMYFUNCTION("split(E1490,""+"")"),"Cucumber")</f>
        <v>Cucumber</v>
      </c>
      <c r="L1490" s="14" t="str">
        <f>IFERROR(__xludf.DUMMYFUNCTION("""COMPUTED_VALUE"""),"2*Tanvi Jain")</f>
        <v>2*Tanvi Jain</v>
      </c>
      <c r="M1490" s="14">
        <f>IFERROR(__xludf.DUMMYFUNCTION("SPLIT(L1490,""*"")"),2.0)</f>
        <v>2</v>
      </c>
      <c r="N1490" s="14" t="str">
        <f>IFERROR(__xludf.DUMMYFUNCTION("""COMPUTED_VALUE"""),"Tanvi Jain")</f>
        <v>Tanvi Jain</v>
      </c>
      <c r="O1490" s="14" t="str">
        <f>IFERROR(__xludf.DUMMYFUNCTION("split(J1490,""*"")"),"Delivered")</f>
        <v>Delivered</v>
      </c>
      <c r="P1490" s="14" t="str">
        <f>IFERROR(__xludf.DUMMYFUNCTION("""COMPUTED_VALUE"""),"Quality of Items: Perfect condition")</f>
        <v>Quality of Items: Perfect condition</v>
      </c>
      <c r="Q1490" s="14" t="str">
        <f>IFERROR(__xludf.DUMMYFUNCTION("split(P1490,"":"")"),"Quality of Items")</f>
        <v>Quality of Items</v>
      </c>
      <c r="R1490" s="14" t="str">
        <f>IFERROR(__xludf.DUMMYFUNCTION("""COMPUTED_VALUE""")," Perfect condition")</f>
        <v> Perfect condition</v>
      </c>
      <c r="S1490" s="14" t="str">
        <f t="shared" ref="S1490:U1490" si="2983">trim(B1490)</f>
        <v>ord_71468</v>
      </c>
      <c r="T1490" s="14" t="str">
        <f t="shared" si="2983"/>
        <v>Aditya Basu</v>
      </c>
      <c r="U1490" s="14" t="str">
        <f t="shared" si="2983"/>
        <v>Juhu</v>
      </c>
      <c r="V1490" s="14" t="str">
        <f t="shared" si="4"/>
        <v>Cucumber</v>
      </c>
      <c r="W1490" s="14">
        <f t="shared" si="5"/>
        <v>2</v>
      </c>
      <c r="X1490" s="14" t="str">
        <f t="shared" si="6"/>
        <v>Tanvi Jain</v>
      </c>
      <c r="Y1490" s="15">
        <f t="shared" si="7"/>
        <v>45215</v>
      </c>
      <c r="Z1490" s="14" t="str">
        <f t="shared" si="8"/>
        <v>COD</v>
      </c>
      <c r="AA1490" s="14" t="str">
        <f t="shared" si="9"/>
        <v>Delivered</v>
      </c>
      <c r="AB1490" s="14" t="str">
        <f t="shared" ref="AB1490:AC1490" si="2984">trim(Q1490)</f>
        <v>Quality of Items</v>
      </c>
      <c r="AC1490" s="14" t="str">
        <f t="shared" si="2984"/>
        <v>Perfect condition</v>
      </c>
      <c r="AD1490" s="8"/>
    </row>
    <row r="1491">
      <c r="A1491" s="14" t="str">
        <f>IFERROR(__xludf.DUMMYFUNCTION("""COMPUTED_VALUE"""),"//ord_71469//Parth Goel//Juhu//Chocolate Mousse+1*Tanvi Jain/6/24/2023//Online Payment//Delivered*Packaging: Secure and intact")</f>
        <v>//ord_71469//Parth Goel//Juhu//Chocolate Mousse+1*Tanvi Jain/6/24/2023//Online Payment//Delivered*Packaging: Secure and intact</v>
      </c>
      <c r="B1491" s="14" t="str">
        <f>IFERROR(__xludf.DUMMYFUNCTION("split(A1491,""//"")"),"ord_71469")</f>
        <v>ord_71469</v>
      </c>
      <c r="C1491" s="14" t="str">
        <f>IFERROR(__xludf.DUMMYFUNCTION("""COMPUTED_VALUE"""),"Parth Goel")</f>
        <v>Parth Goel</v>
      </c>
      <c r="D1491" s="14" t="str">
        <f>IFERROR(__xludf.DUMMYFUNCTION("""COMPUTED_VALUE"""),"Juhu")</f>
        <v>Juhu</v>
      </c>
      <c r="E1491" s="14" t="str">
        <f>IFERROR(__xludf.DUMMYFUNCTION("""COMPUTED_VALUE"""),"Chocolate Mousse+1*Tanvi Jain")</f>
        <v>Chocolate Mousse+1*Tanvi Jain</v>
      </c>
      <c r="F1491" s="14">
        <f>IFERROR(__xludf.DUMMYFUNCTION("""COMPUTED_VALUE"""),6.0)</f>
        <v>6</v>
      </c>
      <c r="G1491" s="14">
        <f>IFERROR(__xludf.DUMMYFUNCTION("""COMPUTED_VALUE"""),24.0)</f>
        <v>24</v>
      </c>
      <c r="H1491" s="14">
        <f>IFERROR(__xludf.DUMMYFUNCTION("""COMPUTED_VALUE"""),2023.0)</f>
        <v>2023</v>
      </c>
      <c r="I1491" s="14" t="str">
        <f>IFERROR(__xludf.DUMMYFUNCTION("""COMPUTED_VALUE"""),"Online Payment")</f>
        <v>Online Payment</v>
      </c>
      <c r="J1491" s="14" t="str">
        <f>IFERROR(__xludf.DUMMYFUNCTION("""COMPUTED_VALUE"""),"Delivered*Packaging: Secure and intact")</f>
        <v>Delivered*Packaging: Secure and intact</v>
      </c>
      <c r="K1491" s="14" t="str">
        <f>IFERROR(__xludf.DUMMYFUNCTION("split(E1491,""+"")"),"Chocolate Mousse")</f>
        <v>Chocolate Mousse</v>
      </c>
      <c r="L1491" s="14" t="str">
        <f>IFERROR(__xludf.DUMMYFUNCTION("""COMPUTED_VALUE"""),"1*Tanvi Jain")</f>
        <v>1*Tanvi Jain</v>
      </c>
      <c r="M1491" s="14">
        <f>IFERROR(__xludf.DUMMYFUNCTION("SPLIT(L1491,""*"")"),1.0)</f>
        <v>1</v>
      </c>
      <c r="N1491" s="14" t="str">
        <f>IFERROR(__xludf.DUMMYFUNCTION("""COMPUTED_VALUE"""),"Tanvi Jain")</f>
        <v>Tanvi Jain</v>
      </c>
      <c r="O1491" s="14" t="str">
        <f>IFERROR(__xludf.DUMMYFUNCTION("split(J1491,""*"")"),"Delivered")</f>
        <v>Delivered</v>
      </c>
      <c r="P1491" s="14" t="str">
        <f>IFERROR(__xludf.DUMMYFUNCTION("""COMPUTED_VALUE"""),"Packaging: Secure and intact")</f>
        <v>Packaging: Secure and intact</v>
      </c>
      <c r="Q1491" s="14" t="str">
        <f>IFERROR(__xludf.DUMMYFUNCTION("split(P1491,"":"")"),"Packaging")</f>
        <v>Packaging</v>
      </c>
      <c r="R1491" s="14" t="str">
        <f>IFERROR(__xludf.DUMMYFUNCTION("""COMPUTED_VALUE""")," Secure and intact")</f>
        <v> Secure and intact</v>
      </c>
      <c r="S1491" s="14" t="str">
        <f t="shared" ref="S1491:U1491" si="2985">trim(B1491)</f>
        <v>ord_71469</v>
      </c>
      <c r="T1491" s="14" t="str">
        <f t="shared" si="2985"/>
        <v>Parth Goel</v>
      </c>
      <c r="U1491" s="14" t="str">
        <f t="shared" si="2985"/>
        <v>Juhu</v>
      </c>
      <c r="V1491" s="14" t="str">
        <f t="shared" si="4"/>
        <v>Chocolate Mousse</v>
      </c>
      <c r="W1491" s="14">
        <f t="shared" si="5"/>
        <v>1</v>
      </c>
      <c r="X1491" s="14" t="str">
        <f t="shared" si="6"/>
        <v>Tanvi Jain</v>
      </c>
      <c r="Y1491" s="15">
        <f t="shared" si="7"/>
        <v>45101</v>
      </c>
      <c r="Z1491" s="14" t="str">
        <f t="shared" si="8"/>
        <v>Online Payment</v>
      </c>
      <c r="AA1491" s="14" t="str">
        <f t="shared" si="9"/>
        <v>Delivered</v>
      </c>
      <c r="AB1491" s="14" t="str">
        <f t="shared" ref="AB1491:AC1491" si="2986">trim(Q1491)</f>
        <v>Packaging</v>
      </c>
      <c r="AC1491" s="14" t="str">
        <f t="shared" si="2986"/>
        <v>Secure and intact</v>
      </c>
      <c r="AD1491" s="8"/>
    </row>
    <row r="1492">
      <c r="A1492" s="14" t="str">
        <f>IFERROR(__xludf.DUMMYFUNCTION("""COMPUTED_VALUE"""),"//ord_71470//Siya Reddy//Juhu//Tiramisu+1*Not Assigned/7/26/2023//Online Payment//Cancelled*App Glitches:Missing Content")</f>
        <v>//ord_71470//Siya Reddy//Juhu//Tiramisu+1*Not Assigned/7/26/2023//Online Payment//Cancelled*App Glitches:Missing Content</v>
      </c>
      <c r="B1492" s="14" t="str">
        <f>IFERROR(__xludf.DUMMYFUNCTION("split(A1492,""//"")"),"ord_71470")</f>
        <v>ord_71470</v>
      </c>
      <c r="C1492" s="14" t="str">
        <f>IFERROR(__xludf.DUMMYFUNCTION("""COMPUTED_VALUE"""),"Siya Reddy")</f>
        <v>Siya Reddy</v>
      </c>
      <c r="D1492" s="14" t="str">
        <f>IFERROR(__xludf.DUMMYFUNCTION("""COMPUTED_VALUE"""),"Juhu")</f>
        <v>Juhu</v>
      </c>
      <c r="E1492" s="14" t="str">
        <f>IFERROR(__xludf.DUMMYFUNCTION("""COMPUTED_VALUE"""),"Tiramisu+1*Not Assigned")</f>
        <v>Tiramisu+1*Not Assigned</v>
      </c>
      <c r="F1492" s="14">
        <f>IFERROR(__xludf.DUMMYFUNCTION("""COMPUTED_VALUE"""),7.0)</f>
        <v>7</v>
      </c>
      <c r="G1492" s="14">
        <f>IFERROR(__xludf.DUMMYFUNCTION("""COMPUTED_VALUE"""),26.0)</f>
        <v>26</v>
      </c>
      <c r="H1492" s="14">
        <f>IFERROR(__xludf.DUMMYFUNCTION("""COMPUTED_VALUE"""),2023.0)</f>
        <v>2023</v>
      </c>
      <c r="I1492" s="14" t="str">
        <f>IFERROR(__xludf.DUMMYFUNCTION("""COMPUTED_VALUE"""),"Online Payment")</f>
        <v>Online Payment</v>
      </c>
      <c r="J1492" s="14" t="str">
        <f>IFERROR(__xludf.DUMMYFUNCTION("""COMPUTED_VALUE"""),"Cancelled*App Glitches:Missing Content")</f>
        <v>Cancelled*App Glitches:Missing Content</v>
      </c>
      <c r="K1492" s="14" t="str">
        <f>IFERROR(__xludf.DUMMYFUNCTION("split(E1492,""+"")"),"Tiramisu")</f>
        <v>Tiramisu</v>
      </c>
      <c r="L1492" s="14" t="str">
        <f>IFERROR(__xludf.DUMMYFUNCTION("""COMPUTED_VALUE"""),"1*Not Assigned")</f>
        <v>1*Not Assigned</v>
      </c>
      <c r="M1492" s="14">
        <f>IFERROR(__xludf.DUMMYFUNCTION("SPLIT(L1492,""*"")"),1.0)</f>
        <v>1</v>
      </c>
      <c r="N1492" s="14" t="str">
        <f>IFERROR(__xludf.DUMMYFUNCTION("""COMPUTED_VALUE"""),"Not Assigned")</f>
        <v>Not Assigned</v>
      </c>
      <c r="O1492" s="14" t="str">
        <f>IFERROR(__xludf.DUMMYFUNCTION("split(J1492,""*"")"),"Cancelled")</f>
        <v>Cancelled</v>
      </c>
      <c r="P1492" s="14" t="str">
        <f>IFERROR(__xludf.DUMMYFUNCTION("""COMPUTED_VALUE"""),"App Glitches:Missing Content")</f>
        <v>App Glitches:Missing Content</v>
      </c>
      <c r="Q1492" s="14" t="str">
        <f>IFERROR(__xludf.DUMMYFUNCTION("split(P1492,"":"")"),"App Glitches")</f>
        <v>App Glitches</v>
      </c>
      <c r="R1492" s="14" t="str">
        <f>IFERROR(__xludf.DUMMYFUNCTION("""COMPUTED_VALUE"""),"Missing Content")</f>
        <v>Missing Content</v>
      </c>
      <c r="S1492" s="14" t="str">
        <f t="shared" ref="S1492:U1492" si="2987">trim(B1492)</f>
        <v>ord_71470</v>
      </c>
      <c r="T1492" s="14" t="str">
        <f t="shared" si="2987"/>
        <v>Siya Reddy</v>
      </c>
      <c r="U1492" s="14" t="str">
        <f t="shared" si="2987"/>
        <v>Juhu</v>
      </c>
      <c r="V1492" s="14" t="str">
        <f t="shared" si="4"/>
        <v>Tiramisu</v>
      </c>
      <c r="W1492" s="14">
        <f t="shared" si="5"/>
        <v>1</v>
      </c>
      <c r="X1492" s="14" t="str">
        <f t="shared" si="6"/>
        <v>Not Assigned</v>
      </c>
      <c r="Y1492" s="15">
        <f t="shared" si="7"/>
        <v>45133</v>
      </c>
      <c r="Z1492" s="14" t="str">
        <f t="shared" si="8"/>
        <v>Online Payment</v>
      </c>
      <c r="AA1492" s="14" t="str">
        <f t="shared" si="9"/>
        <v>Cancelled</v>
      </c>
      <c r="AB1492" s="14" t="str">
        <f t="shared" ref="AB1492:AC1492" si="2988">trim(Q1492)</f>
        <v>App Glitches</v>
      </c>
      <c r="AC1492" s="14" t="str">
        <f t="shared" si="2988"/>
        <v>Missing Content</v>
      </c>
      <c r="AD1492" s="8"/>
    </row>
    <row r="1493">
      <c r="A1493" s="14" t="str">
        <f>IFERROR(__xludf.DUMMYFUNCTION("""COMPUTED_VALUE"""),"//ord_71471//Parth Goel//Juhu//Veg Puff+2*Tanvi Jain/11/13/2023//COD//Delivered*Satisfied with the Delivery: Timely and quality")</f>
        <v>//ord_71471//Parth Goel//Juhu//Veg Puff+2*Tanvi Jain/11/13/2023//COD//Delivered*Satisfied with the Delivery: Timely and quality</v>
      </c>
      <c r="B1493" s="14" t="str">
        <f>IFERROR(__xludf.DUMMYFUNCTION("split(A1493,""//"")"),"ord_71471")</f>
        <v>ord_71471</v>
      </c>
      <c r="C1493" s="14" t="str">
        <f>IFERROR(__xludf.DUMMYFUNCTION("""COMPUTED_VALUE"""),"Parth Goel")</f>
        <v>Parth Goel</v>
      </c>
      <c r="D1493" s="14" t="str">
        <f>IFERROR(__xludf.DUMMYFUNCTION("""COMPUTED_VALUE"""),"Juhu")</f>
        <v>Juhu</v>
      </c>
      <c r="E1493" s="14" t="str">
        <f>IFERROR(__xludf.DUMMYFUNCTION("""COMPUTED_VALUE"""),"Veg Puff+2*Tanvi Jain")</f>
        <v>Veg Puff+2*Tanvi Jain</v>
      </c>
      <c r="F1493" s="14">
        <f>IFERROR(__xludf.DUMMYFUNCTION("""COMPUTED_VALUE"""),11.0)</f>
        <v>11</v>
      </c>
      <c r="G1493" s="14">
        <f>IFERROR(__xludf.DUMMYFUNCTION("""COMPUTED_VALUE"""),13.0)</f>
        <v>13</v>
      </c>
      <c r="H1493" s="14">
        <f>IFERROR(__xludf.DUMMYFUNCTION("""COMPUTED_VALUE"""),2023.0)</f>
        <v>2023</v>
      </c>
      <c r="I1493" s="14" t="str">
        <f>IFERROR(__xludf.DUMMYFUNCTION("""COMPUTED_VALUE"""),"COD")</f>
        <v>COD</v>
      </c>
      <c r="J1493" s="14" t="str">
        <f>IFERROR(__xludf.DUMMYFUNCTION("""COMPUTED_VALUE"""),"Delivered*Satisfied with the Delivery: Timely and quality")</f>
        <v>Delivered*Satisfied with the Delivery: Timely and quality</v>
      </c>
      <c r="K1493" s="14" t="str">
        <f>IFERROR(__xludf.DUMMYFUNCTION("split(E1493,""+"")"),"Veg Puff")</f>
        <v>Veg Puff</v>
      </c>
      <c r="L1493" s="14" t="str">
        <f>IFERROR(__xludf.DUMMYFUNCTION("""COMPUTED_VALUE"""),"2*Tanvi Jain")</f>
        <v>2*Tanvi Jain</v>
      </c>
      <c r="M1493" s="14">
        <f>IFERROR(__xludf.DUMMYFUNCTION("SPLIT(L1493,""*"")"),2.0)</f>
        <v>2</v>
      </c>
      <c r="N1493" s="14" t="str">
        <f>IFERROR(__xludf.DUMMYFUNCTION("""COMPUTED_VALUE"""),"Tanvi Jain")</f>
        <v>Tanvi Jain</v>
      </c>
      <c r="O1493" s="14" t="str">
        <f>IFERROR(__xludf.DUMMYFUNCTION("split(J1493,""*"")"),"Delivered")</f>
        <v>Delivered</v>
      </c>
      <c r="P1493" s="14" t="str">
        <f>IFERROR(__xludf.DUMMYFUNCTION("""COMPUTED_VALUE"""),"Satisfied with the Delivery: Timely and quality")</f>
        <v>Satisfied with the Delivery: Timely and quality</v>
      </c>
      <c r="Q1493" s="14" t="str">
        <f>IFERROR(__xludf.DUMMYFUNCTION("split(P1493,"":"")"),"Satisfied with the Delivery")</f>
        <v>Satisfied with the Delivery</v>
      </c>
      <c r="R1493" s="14" t="str">
        <f>IFERROR(__xludf.DUMMYFUNCTION("""COMPUTED_VALUE""")," Timely and quality")</f>
        <v> Timely and quality</v>
      </c>
      <c r="S1493" s="14" t="str">
        <f t="shared" ref="S1493:U1493" si="2989">trim(B1493)</f>
        <v>ord_71471</v>
      </c>
      <c r="T1493" s="14" t="str">
        <f t="shared" si="2989"/>
        <v>Parth Goel</v>
      </c>
      <c r="U1493" s="14" t="str">
        <f t="shared" si="2989"/>
        <v>Juhu</v>
      </c>
      <c r="V1493" s="14" t="str">
        <f t="shared" si="4"/>
        <v>Veg Puff</v>
      </c>
      <c r="W1493" s="14">
        <f t="shared" si="5"/>
        <v>2</v>
      </c>
      <c r="X1493" s="14" t="str">
        <f t="shared" si="6"/>
        <v>Tanvi Jain</v>
      </c>
      <c r="Y1493" s="15">
        <f t="shared" si="7"/>
        <v>45243</v>
      </c>
      <c r="Z1493" s="14" t="str">
        <f t="shared" si="8"/>
        <v>COD</v>
      </c>
      <c r="AA1493" s="14" t="str">
        <f t="shared" si="9"/>
        <v>Delivered</v>
      </c>
      <c r="AB1493" s="14" t="str">
        <f t="shared" ref="AB1493:AC1493" si="2990">trim(Q1493)</f>
        <v>Satisfied with the Delivery</v>
      </c>
      <c r="AC1493" s="14" t="str">
        <f t="shared" si="2990"/>
        <v>Timely and quality</v>
      </c>
      <c r="AD1493" s="8"/>
    </row>
    <row r="1494">
      <c r="A1494" s="14" t="str">
        <f>IFERROR(__xludf.DUMMYFUNCTION("""COMPUTED_VALUE"""),"//ord_71472//Arvind Kulkarni//Juhu//Popcorn+1*Ramesh S/7/6/2023//Online Payment//Cancelled*Delayed Delivery:Heavy Traffic")</f>
        <v>//ord_71472//Arvind Kulkarni//Juhu//Popcorn+1*Ramesh S/7/6/2023//Online Payment//Cancelled*Delayed Delivery:Heavy Traffic</v>
      </c>
      <c r="B1494" s="14" t="str">
        <f>IFERROR(__xludf.DUMMYFUNCTION("split(A1494,""//"")"),"ord_71472")</f>
        <v>ord_71472</v>
      </c>
      <c r="C1494" s="14" t="str">
        <f>IFERROR(__xludf.DUMMYFUNCTION("""COMPUTED_VALUE"""),"Arvind Kulkarni")</f>
        <v>Arvind Kulkarni</v>
      </c>
      <c r="D1494" s="14" t="str">
        <f>IFERROR(__xludf.DUMMYFUNCTION("""COMPUTED_VALUE"""),"Juhu")</f>
        <v>Juhu</v>
      </c>
      <c r="E1494" s="14" t="str">
        <f>IFERROR(__xludf.DUMMYFUNCTION("""COMPUTED_VALUE"""),"Popcorn+1*Ramesh S")</f>
        <v>Popcorn+1*Ramesh S</v>
      </c>
      <c r="F1494" s="14">
        <f>IFERROR(__xludf.DUMMYFUNCTION("""COMPUTED_VALUE"""),7.0)</f>
        <v>7</v>
      </c>
      <c r="G1494" s="14">
        <f>IFERROR(__xludf.DUMMYFUNCTION("""COMPUTED_VALUE"""),6.0)</f>
        <v>6</v>
      </c>
      <c r="H1494" s="14">
        <f>IFERROR(__xludf.DUMMYFUNCTION("""COMPUTED_VALUE"""),2023.0)</f>
        <v>2023</v>
      </c>
      <c r="I1494" s="14" t="str">
        <f>IFERROR(__xludf.DUMMYFUNCTION("""COMPUTED_VALUE"""),"Online Payment")</f>
        <v>Online Payment</v>
      </c>
      <c r="J1494" s="14" t="str">
        <f>IFERROR(__xludf.DUMMYFUNCTION("""COMPUTED_VALUE"""),"Cancelled*Delayed Delivery:Heavy Traffic")</f>
        <v>Cancelled*Delayed Delivery:Heavy Traffic</v>
      </c>
      <c r="K1494" s="14" t="str">
        <f>IFERROR(__xludf.DUMMYFUNCTION("split(E1494,""+"")"),"Popcorn")</f>
        <v>Popcorn</v>
      </c>
      <c r="L1494" s="14" t="str">
        <f>IFERROR(__xludf.DUMMYFUNCTION("""COMPUTED_VALUE"""),"1*Ramesh S")</f>
        <v>1*Ramesh S</v>
      </c>
      <c r="M1494" s="14">
        <f>IFERROR(__xludf.DUMMYFUNCTION("SPLIT(L1494,""*"")"),1.0)</f>
        <v>1</v>
      </c>
      <c r="N1494" s="14" t="str">
        <f>IFERROR(__xludf.DUMMYFUNCTION("""COMPUTED_VALUE"""),"Ramesh S")</f>
        <v>Ramesh S</v>
      </c>
      <c r="O1494" s="14" t="str">
        <f>IFERROR(__xludf.DUMMYFUNCTION("split(J1494,""*"")"),"Cancelled")</f>
        <v>Cancelled</v>
      </c>
      <c r="P1494" s="14" t="str">
        <f>IFERROR(__xludf.DUMMYFUNCTION("""COMPUTED_VALUE"""),"Delayed Delivery:Heavy Traffic")</f>
        <v>Delayed Delivery:Heavy Traffic</v>
      </c>
      <c r="Q1494" s="14" t="str">
        <f>IFERROR(__xludf.DUMMYFUNCTION("split(P1494,"":"")"),"Delayed Delivery")</f>
        <v>Delayed Delivery</v>
      </c>
      <c r="R1494" s="14" t="str">
        <f>IFERROR(__xludf.DUMMYFUNCTION("""COMPUTED_VALUE"""),"Heavy Traffic")</f>
        <v>Heavy Traffic</v>
      </c>
      <c r="S1494" s="14" t="str">
        <f t="shared" ref="S1494:U1494" si="2991">trim(B1494)</f>
        <v>ord_71472</v>
      </c>
      <c r="T1494" s="14" t="str">
        <f t="shared" si="2991"/>
        <v>Arvind Kulkarni</v>
      </c>
      <c r="U1494" s="14" t="str">
        <f t="shared" si="2991"/>
        <v>Juhu</v>
      </c>
      <c r="V1494" s="14" t="str">
        <f t="shared" si="4"/>
        <v>Popcorn</v>
      </c>
      <c r="W1494" s="14">
        <f t="shared" si="5"/>
        <v>1</v>
      </c>
      <c r="X1494" s="14" t="str">
        <f t="shared" si="6"/>
        <v>Ramesh S</v>
      </c>
      <c r="Y1494" s="15">
        <f t="shared" si="7"/>
        <v>45113</v>
      </c>
      <c r="Z1494" s="14" t="str">
        <f t="shared" si="8"/>
        <v>Online Payment</v>
      </c>
      <c r="AA1494" s="14" t="str">
        <f t="shared" si="9"/>
        <v>Cancelled</v>
      </c>
      <c r="AB1494" s="14" t="str">
        <f t="shared" ref="AB1494:AC1494" si="2992">trim(Q1494)</f>
        <v>Delayed Delivery</v>
      </c>
      <c r="AC1494" s="14" t="str">
        <f t="shared" si="2992"/>
        <v>Heavy Traffic</v>
      </c>
      <c r="AD1494" s="8"/>
    </row>
    <row r="1495">
      <c r="A1495" s="14" t="str">
        <f>IFERROR(__xludf.DUMMYFUNCTION("""COMPUTED_VALUE"""),"//ord_71473//Sakshi Tandon//Colaba//Tiramisu+1*Nikhil Deshmukh/6/18/2023//Online Payment//Delivered*Customer Service: Seamless and easy")</f>
        <v>//ord_71473//Sakshi Tandon//Colaba//Tiramisu+1*Nikhil Deshmukh/6/18/2023//Online Payment//Delivered*Customer Service: Seamless and easy</v>
      </c>
      <c r="B1495" s="14" t="str">
        <f>IFERROR(__xludf.DUMMYFUNCTION("split(A1495,""//"")"),"ord_71473")</f>
        <v>ord_71473</v>
      </c>
      <c r="C1495" s="14" t="str">
        <f>IFERROR(__xludf.DUMMYFUNCTION("""COMPUTED_VALUE"""),"Sakshi Tandon")</f>
        <v>Sakshi Tandon</v>
      </c>
      <c r="D1495" s="14" t="str">
        <f>IFERROR(__xludf.DUMMYFUNCTION("""COMPUTED_VALUE"""),"Colaba")</f>
        <v>Colaba</v>
      </c>
      <c r="E1495" s="14" t="str">
        <f>IFERROR(__xludf.DUMMYFUNCTION("""COMPUTED_VALUE"""),"Tiramisu+1*Nikhil Deshmukh")</f>
        <v>Tiramisu+1*Nikhil Deshmukh</v>
      </c>
      <c r="F1495" s="14">
        <f>IFERROR(__xludf.DUMMYFUNCTION("""COMPUTED_VALUE"""),6.0)</f>
        <v>6</v>
      </c>
      <c r="G1495" s="14">
        <f>IFERROR(__xludf.DUMMYFUNCTION("""COMPUTED_VALUE"""),18.0)</f>
        <v>18</v>
      </c>
      <c r="H1495" s="14">
        <f>IFERROR(__xludf.DUMMYFUNCTION("""COMPUTED_VALUE"""),2023.0)</f>
        <v>2023</v>
      </c>
      <c r="I1495" s="14" t="str">
        <f>IFERROR(__xludf.DUMMYFUNCTION("""COMPUTED_VALUE"""),"Online Payment")</f>
        <v>Online Payment</v>
      </c>
      <c r="J1495" s="14" t="str">
        <f>IFERROR(__xludf.DUMMYFUNCTION("""COMPUTED_VALUE"""),"Delivered*Customer Service: Seamless and easy")</f>
        <v>Delivered*Customer Service: Seamless and easy</v>
      </c>
      <c r="K1495" s="14" t="str">
        <f>IFERROR(__xludf.DUMMYFUNCTION("split(E1495,""+"")"),"Tiramisu")</f>
        <v>Tiramisu</v>
      </c>
      <c r="L1495" s="14" t="str">
        <f>IFERROR(__xludf.DUMMYFUNCTION("""COMPUTED_VALUE"""),"1*Nikhil Deshmukh")</f>
        <v>1*Nikhil Deshmukh</v>
      </c>
      <c r="M1495" s="14">
        <f>IFERROR(__xludf.DUMMYFUNCTION("SPLIT(L1495,""*"")"),1.0)</f>
        <v>1</v>
      </c>
      <c r="N1495" s="14" t="str">
        <f>IFERROR(__xludf.DUMMYFUNCTION("""COMPUTED_VALUE"""),"Nikhil Deshmukh")</f>
        <v>Nikhil Deshmukh</v>
      </c>
      <c r="O1495" s="14" t="str">
        <f>IFERROR(__xludf.DUMMYFUNCTION("split(J1495,""*"")"),"Delivered")</f>
        <v>Delivered</v>
      </c>
      <c r="P1495" s="14" t="str">
        <f>IFERROR(__xludf.DUMMYFUNCTION("""COMPUTED_VALUE"""),"Customer Service: Seamless and easy")</f>
        <v>Customer Service: Seamless and easy</v>
      </c>
      <c r="Q1495" s="14" t="str">
        <f>IFERROR(__xludf.DUMMYFUNCTION("split(P1495,"":"")"),"Customer Service")</f>
        <v>Customer Service</v>
      </c>
      <c r="R1495" s="14" t="str">
        <f>IFERROR(__xludf.DUMMYFUNCTION("""COMPUTED_VALUE""")," Seamless and easy")</f>
        <v> Seamless and easy</v>
      </c>
      <c r="S1495" s="14" t="str">
        <f t="shared" ref="S1495:U1495" si="2993">trim(B1495)</f>
        <v>ord_71473</v>
      </c>
      <c r="T1495" s="14" t="str">
        <f t="shared" si="2993"/>
        <v>Sakshi Tandon</v>
      </c>
      <c r="U1495" s="14" t="str">
        <f t="shared" si="2993"/>
        <v>Colaba</v>
      </c>
      <c r="V1495" s="14" t="str">
        <f t="shared" si="4"/>
        <v>Tiramisu</v>
      </c>
      <c r="W1495" s="14">
        <f t="shared" si="5"/>
        <v>1</v>
      </c>
      <c r="X1495" s="14" t="str">
        <f t="shared" si="6"/>
        <v>Nikhil Deshmukh</v>
      </c>
      <c r="Y1495" s="15">
        <f t="shared" si="7"/>
        <v>45095</v>
      </c>
      <c r="Z1495" s="14" t="str">
        <f t="shared" si="8"/>
        <v>Online Payment</v>
      </c>
      <c r="AA1495" s="14" t="str">
        <f t="shared" si="9"/>
        <v>Delivered</v>
      </c>
      <c r="AB1495" s="14" t="str">
        <f t="shared" ref="AB1495:AC1495" si="2994">trim(Q1495)</f>
        <v>Customer Service</v>
      </c>
      <c r="AC1495" s="14" t="str">
        <f t="shared" si="2994"/>
        <v>Seamless and easy</v>
      </c>
      <c r="AD1495" s="8"/>
    </row>
    <row r="1496">
      <c r="A1496" s="14" t="str">
        <f>IFERROR(__xludf.DUMMYFUNCTION("""COMPUTED_VALUE"""),"//ord_71474//Arvind Kulkarni//Juhu//Banana+2*Not Assigned/11/2/2023//Credit Card//Cancelled*App Glitches: Payment Button Malfunction")</f>
        <v>//ord_71474//Arvind Kulkarni//Juhu//Banana+2*Not Assigned/11/2/2023//Credit Card//Cancelled*App Glitches: Payment Button Malfunction</v>
      </c>
      <c r="B1496" s="14" t="str">
        <f>IFERROR(__xludf.DUMMYFUNCTION("split(A1496,""//"")"),"ord_71474")</f>
        <v>ord_71474</v>
      </c>
      <c r="C1496" s="14" t="str">
        <f>IFERROR(__xludf.DUMMYFUNCTION("""COMPUTED_VALUE"""),"Arvind Kulkarni")</f>
        <v>Arvind Kulkarni</v>
      </c>
      <c r="D1496" s="14" t="str">
        <f>IFERROR(__xludf.DUMMYFUNCTION("""COMPUTED_VALUE"""),"Juhu")</f>
        <v>Juhu</v>
      </c>
      <c r="E1496" s="14" t="str">
        <f>IFERROR(__xludf.DUMMYFUNCTION("""COMPUTED_VALUE"""),"Banana+2*Not Assigned")</f>
        <v>Banana+2*Not Assigned</v>
      </c>
      <c r="F1496" s="14">
        <f>IFERROR(__xludf.DUMMYFUNCTION("""COMPUTED_VALUE"""),11.0)</f>
        <v>11</v>
      </c>
      <c r="G1496" s="14">
        <f>IFERROR(__xludf.DUMMYFUNCTION("""COMPUTED_VALUE"""),2.0)</f>
        <v>2</v>
      </c>
      <c r="H1496" s="14">
        <f>IFERROR(__xludf.DUMMYFUNCTION("""COMPUTED_VALUE"""),2023.0)</f>
        <v>2023</v>
      </c>
      <c r="I1496" s="14" t="str">
        <f>IFERROR(__xludf.DUMMYFUNCTION("""COMPUTED_VALUE"""),"Credit Card")</f>
        <v>Credit Card</v>
      </c>
      <c r="J1496" s="14" t="str">
        <f>IFERROR(__xludf.DUMMYFUNCTION("""COMPUTED_VALUE"""),"Cancelled*App Glitches: Payment Button Malfunction")</f>
        <v>Cancelled*App Glitches: Payment Button Malfunction</v>
      </c>
      <c r="K1496" s="14" t="str">
        <f>IFERROR(__xludf.DUMMYFUNCTION("split(E1496,""+"")"),"Banana")</f>
        <v>Banana</v>
      </c>
      <c r="L1496" s="14" t="str">
        <f>IFERROR(__xludf.DUMMYFUNCTION("""COMPUTED_VALUE"""),"2*Not Assigned")</f>
        <v>2*Not Assigned</v>
      </c>
      <c r="M1496" s="14">
        <f>IFERROR(__xludf.DUMMYFUNCTION("SPLIT(L1496,""*"")"),2.0)</f>
        <v>2</v>
      </c>
      <c r="N1496" s="14" t="str">
        <f>IFERROR(__xludf.DUMMYFUNCTION("""COMPUTED_VALUE"""),"Not Assigned")</f>
        <v>Not Assigned</v>
      </c>
      <c r="O1496" s="14" t="str">
        <f>IFERROR(__xludf.DUMMYFUNCTION("split(J1496,""*"")"),"Cancelled")</f>
        <v>Cancelled</v>
      </c>
      <c r="P1496" s="14" t="str">
        <f>IFERROR(__xludf.DUMMYFUNCTION("""COMPUTED_VALUE"""),"App Glitches: Payment Button Malfunction")</f>
        <v>App Glitches: Payment Button Malfunction</v>
      </c>
      <c r="Q1496" s="14" t="str">
        <f>IFERROR(__xludf.DUMMYFUNCTION("split(P1496,"":"")"),"App Glitches")</f>
        <v>App Glitches</v>
      </c>
      <c r="R1496" s="14" t="str">
        <f>IFERROR(__xludf.DUMMYFUNCTION("""COMPUTED_VALUE""")," Payment Button Malfunction")</f>
        <v> Payment Button Malfunction</v>
      </c>
      <c r="S1496" s="14" t="str">
        <f t="shared" ref="S1496:U1496" si="2995">trim(B1496)</f>
        <v>ord_71474</v>
      </c>
      <c r="T1496" s="14" t="str">
        <f t="shared" si="2995"/>
        <v>Arvind Kulkarni</v>
      </c>
      <c r="U1496" s="14" t="str">
        <f t="shared" si="2995"/>
        <v>Juhu</v>
      </c>
      <c r="V1496" s="14" t="str">
        <f t="shared" si="4"/>
        <v>Banana</v>
      </c>
      <c r="W1496" s="14">
        <f t="shared" si="5"/>
        <v>2</v>
      </c>
      <c r="X1496" s="14" t="str">
        <f t="shared" si="6"/>
        <v>Not Assigned</v>
      </c>
      <c r="Y1496" s="15">
        <f t="shared" si="7"/>
        <v>45232</v>
      </c>
      <c r="Z1496" s="14" t="str">
        <f t="shared" si="8"/>
        <v>Credit Card</v>
      </c>
      <c r="AA1496" s="14" t="str">
        <f t="shared" si="9"/>
        <v>Cancelled</v>
      </c>
      <c r="AB1496" s="14" t="str">
        <f t="shared" ref="AB1496:AC1496" si="2996">trim(Q1496)</f>
        <v>App Glitches</v>
      </c>
      <c r="AC1496" s="14" t="str">
        <f t="shared" si="2996"/>
        <v>Payment Button Malfunction</v>
      </c>
      <c r="AD1496" s="8"/>
    </row>
    <row r="1497">
      <c r="A1497" s="14" t="str">
        <f>IFERROR(__xludf.DUMMYFUNCTION("""COMPUTED_VALUE"""),"//ord_71475//Anaya Rao//Colaba//Chocolate Mousse+2*Nikhil Deshmukh/10/5/2023//COD//Delivered*Delivery Experience: Quick and professional")</f>
        <v>//ord_71475//Anaya Rao//Colaba//Chocolate Mousse+2*Nikhil Deshmukh/10/5/2023//COD//Delivered*Delivery Experience: Quick and professional</v>
      </c>
      <c r="B1497" s="14" t="str">
        <f>IFERROR(__xludf.DUMMYFUNCTION("split(A1497,""//"")"),"ord_71475")</f>
        <v>ord_71475</v>
      </c>
      <c r="C1497" s="14" t="str">
        <f>IFERROR(__xludf.DUMMYFUNCTION("""COMPUTED_VALUE"""),"Anaya Rao")</f>
        <v>Anaya Rao</v>
      </c>
      <c r="D1497" s="14" t="str">
        <f>IFERROR(__xludf.DUMMYFUNCTION("""COMPUTED_VALUE"""),"Colaba")</f>
        <v>Colaba</v>
      </c>
      <c r="E1497" s="14" t="str">
        <f>IFERROR(__xludf.DUMMYFUNCTION("""COMPUTED_VALUE"""),"Chocolate Mousse+2*Nikhil Deshmukh")</f>
        <v>Chocolate Mousse+2*Nikhil Deshmukh</v>
      </c>
      <c r="F1497" s="14">
        <f>IFERROR(__xludf.DUMMYFUNCTION("""COMPUTED_VALUE"""),10.0)</f>
        <v>10</v>
      </c>
      <c r="G1497" s="14">
        <f>IFERROR(__xludf.DUMMYFUNCTION("""COMPUTED_VALUE"""),5.0)</f>
        <v>5</v>
      </c>
      <c r="H1497" s="14">
        <f>IFERROR(__xludf.DUMMYFUNCTION("""COMPUTED_VALUE"""),2023.0)</f>
        <v>2023</v>
      </c>
      <c r="I1497" s="14" t="str">
        <f>IFERROR(__xludf.DUMMYFUNCTION("""COMPUTED_VALUE"""),"COD")</f>
        <v>COD</v>
      </c>
      <c r="J1497" s="14" t="str">
        <f>IFERROR(__xludf.DUMMYFUNCTION("""COMPUTED_VALUE"""),"Delivered*Delivery Experience: Quick and professional")</f>
        <v>Delivered*Delivery Experience: Quick and professional</v>
      </c>
      <c r="K1497" s="14" t="str">
        <f>IFERROR(__xludf.DUMMYFUNCTION("split(E1497,""+"")"),"Chocolate Mousse")</f>
        <v>Chocolate Mousse</v>
      </c>
      <c r="L1497" s="14" t="str">
        <f>IFERROR(__xludf.DUMMYFUNCTION("""COMPUTED_VALUE"""),"2*Nikhil Deshmukh")</f>
        <v>2*Nikhil Deshmukh</v>
      </c>
      <c r="M1497" s="14">
        <f>IFERROR(__xludf.DUMMYFUNCTION("SPLIT(L1497,""*"")"),2.0)</f>
        <v>2</v>
      </c>
      <c r="N1497" s="14" t="str">
        <f>IFERROR(__xludf.DUMMYFUNCTION("""COMPUTED_VALUE"""),"Nikhil Deshmukh")</f>
        <v>Nikhil Deshmukh</v>
      </c>
      <c r="O1497" s="14" t="str">
        <f>IFERROR(__xludf.DUMMYFUNCTION("split(J1497,""*"")"),"Delivered")</f>
        <v>Delivered</v>
      </c>
      <c r="P1497" s="14" t="str">
        <f>IFERROR(__xludf.DUMMYFUNCTION("""COMPUTED_VALUE"""),"Delivery Experience: Quick and professional")</f>
        <v>Delivery Experience: Quick and professional</v>
      </c>
      <c r="Q1497" s="14" t="str">
        <f>IFERROR(__xludf.DUMMYFUNCTION("split(P1497,"":"")"),"Delivery Experience")</f>
        <v>Delivery Experience</v>
      </c>
      <c r="R1497" s="14" t="str">
        <f>IFERROR(__xludf.DUMMYFUNCTION("""COMPUTED_VALUE""")," Quick and professional")</f>
        <v> Quick and professional</v>
      </c>
      <c r="S1497" s="14" t="str">
        <f t="shared" ref="S1497:U1497" si="2997">trim(B1497)</f>
        <v>ord_71475</v>
      </c>
      <c r="T1497" s="14" t="str">
        <f t="shared" si="2997"/>
        <v>Anaya Rao</v>
      </c>
      <c r="U1497" s="14" t="str">
        <f t="shared" si="2997"/>
        <v>Colaba</v>
      </c>
      <c r="V1497" s="14" t="str">
        <f t="shared" si="4"/>
        <v>Chocolate Mousse</v>
      </c>
      <c r="W1497" s="14">
        <f t="shared" si="5"/>
        <v>2</v>
      </c>
      <c r="X1497" s="14" t="str">
        <f t="shared" si="6"/>
        <v>Nikhil Deshmukh</v>
      </c>
      <c r="Y1497" s="15">
        <f t="shared" si="7"/>
        <v>45204</v>
      </c>
      <c r="Z1497" s="14" t="str">
        <f t="shared" si="8"/>
        <v>COD</v>
      </c>
      <c r="AA1497" s="14" t="str">
        <f t="shared" si="9"/>
        <v>Delivered</v>
      </c>
      <c r="AB1497" s="14" t="str">
        <f t="shared" ref="AB1497:AC1497" si="2998">trim(Q1497)</f>
        <v>Delivery Experience</v>
      </c>
      <c r="AC1497" s="14" t="str">
        <f t="shared" si="2998"/>
        <v>Quick and professional</v>
      </c>
      <c r="AD1497" s="8"/>
    </row>
    <row r="1498">
      <c r="A1498" s="14" t="str">
        <f>IFERROR(__xludf.DUMMYFUNCTION("""COMPUTED_VALUE"""),"//ord_71476//Arvind Kulkarni//Juhu//Juice+1*Not Assigned/3/2/2023//UPI//Cancelled*App Glitches:App Freezes")</f>
        <v>//ord_71476//Arvind Kulkarni//Juhu//Juice+1*Not Assigned/3/2/2023//UPI//Cancelled*App Glitches:App Freezes</v>
      </c>
      <c r="B1498" s="14" t="str">
        <f>IFERROR(__xludf.DUMMYFUNCTION("split(A1498,""//"")"),"ord_71476")</f>
        <v>ord_71476</v>
      </c>
      <c r="C1498" s="14" t="str">
        <f>IFERROR(__xludf.DUMMYFUNCTION("""COMPUTED_VALUE"""),"Arvind Kulkarni")</f>
        <v>Arvind Kulkarni</v>
      </c>
      <c r="D1498" s="14" t="str">
        <f>IFERROR(__xludf.DUMMYFUNCTION("""COMPUTED_VALUE"""),"Juhu")</f>
        <v>Juhu</v>
      </c>
      <c r="E1498" s="14" t="str">
        <f>IFERROR(__xludf.DUMMYFUNCTION("""COMPUTED_VALUE"""),"Juice+1*Not Assigned")</f>
        <v>Juice+1*Not Assigned</v>
      </c>
      <c r="F1498" s="14">
        <f>IFERROR(__xludf.DUMMYFUNCTION("""COMPUTED_VALUE"""),3.0)</f>
        <v>3</v>
      </c>
      <c r="G1498" s="14">
        <f>IFERROR(__xludf.DUMMYFUNCTION("""COMPUTED_VALUE"""),2.0)</f>
        <v>2</v>
      </c>
      <c r="H1498" s="14">
        <f>IFERROR(__xludf.DUMMYFUNCTION("""COMPUTED_VALUE"""),2023.0)</f>
        <v>2023</v>
      </c>
      <c r="I1498" s="14" t="str">
        <f>IFERROR(__xludf.DUMMYFUNCTION("""COMPUTED_VALUE"""),"UPI")</f>
        <v>UPI</v>
      </c>
      <c r="J1498" s="14" t="str">
        <f>IFERROR(__xludf.DUMMYFUNCTION("""COMPUTED_VALUE"""),"Cancelled*App Glitches:App Freezes")</f>
        <v>Cancelled*App Glitches:App Freezes</v>
      </c>
      <c r="K1498" s="14" t="str">
        <f>IFERROR(__xludf.DUMMYFUNCTION("split(E1498,""+"")"),"Juice")</f>
        <v>Juice</v>
      </c>
      <c r="L1498" s="14" t="str">
        <f>IFERROR(__xludf.DUMMYFUNCTION("""COMPUTED_VALUE"""),"1*Not Assigned")</f>
        <v>1*Not Assigned</v>
      </c>
      <c r="M1498" s="14">
        <f>IFERROR(__xludf.DUMMYFUNCTION("SPLIT(L1498,""*"")"),1.0)</f>
        <v>1</v>
      </c>
      <c r="N1498" s="14" t="str">
        <f>IFERROR(__xludf.DUMMYFUNCTION("""COMPUTED_VALUE"""),"Not Assigned")</f>
        <v>Not Assigned</v>
      </c>
      <c r="O1498" s="14" t="str">
        <f>IFERROR(__xludf.DUMMYFUNCTION("split(J1498,""*"")"),"Cancelled")</f>
        <v>Cancelled</v>
      </c>
      <c r="P1498" s="14" t="str">
        <f>IFERROR(__xludf.DUMMYFUNCTION("""COMPUTED_VALUE"""),"App Glitches:App Freezes")</f>
        <v>App Glitches:App Freezes</v>
      </c>
      <c r="Q1498" s="14" t="str">
        <f>IFERROR(__xludf.DUMMYFUNCTION("split(P1498,"":"")"),"App Glitches")</f>
        <v>App Glitches</v>
      </c>
      <c r="R1498" s="14" t="str">
        <f>IFERROR(__xludf.DUMMYFUNCTION("""COMPUTED_VALUE"""),"App Freezes")</f>
        <v>App Freezes</v>
      </c>
      <c r="S1498" s="14" t="str">
        <f t="shared" ref="S1498:U1498" si="2999">trim(B1498)</f>
        <v>ord_71476</v>
      </c>
      <c r="T1498" s="14" t="str">
        <f t="shared" si="2999"/>
        <v>Arvind Kulkarni</v>
      </c>
      <c r="U1498" s="14" t="str">
        <f t="shared" si="2999"/>
        <v>Juhu</v>
      </c>
      <c r="V1498" s="14" t="str">
        <f t="shared" si="4"/>
        <v>Juice</v>
      </c>
      <c r="W1498" s="14">
        <f t="shared" si="5"/>
        <v>1</v>
      </c>
      <c r="X1498" s="14" t="str">
        <f t="shared" si="6"/>
        <v>Not Assigned</v>
      </c>
      <c r="Y1498" s="15">
        <f t="shared" si="7"/>
        <v>44987</v>
      </c>
      <c r="Z1498" s="14" t="str">
        <f t="shared" si="8"/>
        <v>UPI</v>
      </c>
      <c r="AA1498" s="14" t="str">
        <f t="shared" si="9"/>
        <v>Cancelled</v>
      </c>
      <c r="AB1498" s="14" t="str">
        <f t="shared" ref="AB1498:AC1498" si="3000">trim(Q1498)</f>
        <v>App Glitches</v>
      </c>
      <c r="AC1498" s="14" t="str">
        <f t="shared" si="3000"/>
        <v>App Freezes</v>
      </c>
      <c r="AD1498" s="8"/>
    </row>
    <row r="1499">
      <c r="A1499" s="14" t="str">
        <f>IFERROR(__xludf.DUMMYFUNCTION("""COMPUTED_VALUE"""),"//ord_71477//Mohit Malhotra//Lower Parel//Veg Puff+2*Kiran Mehta/12/29/2023//Credit Card//Delivered*Convenience: Easy tracking")</f>
        <v>//ord_71477//Mohit Malhotra//Lower Parel//Veg Puff+2*Kiran Mehta/12/29/2023//Credit Card//Delivered*Convenience: Easy tracking</v>
      </c>
      <c r="B1499" s="14" t="str">
        <f>IFERROR(__xludf.DUMMYFUNCTION("split(A1499,""//"")"),"ord_71477")</f>
        <v>ord_71477</v>
      </c>
      <c r="C1499" s="14" t="str">
        <f>IFERROR(__xludf.DUMMYFUNCTION("""COMPUTED_VALUE"""),"Mohit Malhotra")</f>
        <v>Mohit Malhotra</v>
      </c>
      <c r="D1499" s="14" t="str">
        <f>IFERROR(__xludf.DUMMYFUNCTION("""COMPUTED_VALUE"""),"Lower Parel")</f>
        <v>Lower Parel</v>
      </c>
      <c r="E1499" s="14" t="str">
        <f>IFERROR(__xludf.DUMMYFUNCTION("""COMPUTED_VALUE"""),"Veg Puff+2*Kiran Mehta")</f>
        <v>Veg Puff+2*Kiran Mehta</v>
      </c>
      <c r="F1499" s="14">
        <f>IFERROR(__xludf.DUMMYFUNCTION("""COMPUTED_VALUE"""),12.0)</f>
        <v>12</v>
      </c>
      <c r="G1499" s="14">
        <f>IFERROR(__xludf.DUMMYFUNCTION("""COMPUTED_VALUE"""),29.0)</f>
        <v>29</v>
      </c>
      <c r="H1499" s="14">
        <f>IFERROR(__xludf.DUMMYFUNCTION("""COMPUTED_VALUE"""),2023.0)</f>
        <v>2023</v>
      </c>
      <c r="I1499" s="14" t="str">
        <f>IFERROR(__xludf.DUMMYFUNCTION("""COMPUTED_VALUE"""),"Credit Card")</f>
        <v>Credit Card</v>
      </c>
      <c r="J1499" s="14" t="str">
        <f>IFERROR(__xludf.DUMMYFUNCTION("""COMPUTED_VALUE"""),"Delivered*Convenience: Easy tracking")</f>
        <v>Delivered*Convenience: Easy tracking</v>
      </c>
      <c r="K1499" s="14" t="str">
        <f>IFERROR(__xludf.DUMMYFUNCTION("split(E1499,""+"")"),"Veg Puff")</f>
        <v>Veg Puff</v>
      </c>
      <c r="L1499" s="14" t="str">
        <f>IFERROR(__xludf.DUMMYFUNCTION("""COMPUTED_VALUE"""),"2*Kiran Mehta")</f>
        <v>2*Kiran Mehta</v>
      </c>
      <c r="M1499" s="14">
        <f>IFERROR(__xludf.DUMMYFUNCTION("SPLIT(L1499,""*"")"),2.0)</f>
        <v>2</v>
      </c>
      <c r="N1499" s="14" t="str">
        <f>IFERROR(__xludf.DUMMYFUNCTION("""COMPUTED_VALUE"""),"Kiran Mehta")</f>
        <v>Kiran Mehta</v>
      </c>
      <c r="O1499" s="14" t="str">
        <f>IFERROR(__xludf.DUMMYFUNCTION("split(J1499,""*"")"),"Delivered")</f>
        <v>Delivered</v>
      </c>
      <c r="P1499" s="14" t="str">
        <f>IFERROR(__xludf.DUMMYFUNCTION("""COMPUTED_VALUE"""),"Convenience: Easy tracking")</f>
        <v>Convenience: Easy tracking</v>
      </c>
      <c r="Q1499" s="14" t="str">
        <f>IFERROR(__xludf.DUMMYFUNCTION("split(P1499,"":"")"),"Convenience")</f>
        <v>Convenience</v>
      </c>
      <c r="R1499" s="14" t="str">
        <f>IFERROR(__xludf.DUMMYFUNCTION("""COMPUTED_VALUE""")," Easy tracking")</f>
        <v> Easy tracking</v>
      </c>
      <c r="S1499" s="14" t="str">
        <f t="shared" ref="S1499:U1499" si="3001">trim(B1499)</f>
        <v>ord_71477</v>
      </c>
      <c r="T1499" s="14" t="str">
        <f t="shared" si="3001"/>
        <v>Mohit Malhotra</v>
      </c>
      <c r="U1499" s="14" t="str">
        <f t="shared" si="3001"/>
        <v>Lower Parel</v>
      </c>
      <c r="V1499" s="14" t="str">
        <f t="shared" si="4"/>
        <v>Veg Puff</v>
      </c>
      <c r="W1499" s="14">
        <f t="shared" si="5"/>
        <v>2</v>
      </c>
      <c r="X1499" s="14" t="str">
        <f t="shared" si="6"/>
        <v>Kiran Mehta</v>
      </c>
      <c r="Y1499" s="15">
        <f t="shared" si="7"/>
        <v>45289</v>
      </c>
      <c r="Z1499" s="14" t="str">
        <f t="shared" si="8"/>
        <v>Credit Card</v>
      </c>
      <c r="AA1499" s="14" t="str">
        <f t="shared" si="9"/>
        <v>Delivered</v>
      </c>
      <c r="AB1499" s="14" t="str">
        <f t="shared" ref="AB1499:AC1499" si="3002">trim(Q1499)</f>
        <v>Convenience</v>
      </c>
      <c r="AC1499" s="14" t="str">
        <f t="shared" si="3002"/>
        <v>Easy tracking</v>
      </c>
      <c r="AD1499" s="8"/>
    </row>
    <row r="1500">
      <c r="A1500" s="14" t="str">
        <f>IFERROR(__xludf.DUMMYFUNCTION("""COMPUTED_VALUE"""),"//ord_71478//Dev Chauhan//Bandra//Veg Puff+5*Priya Joshi/10/19/2023//UPI//Delivered*Overall Satisfaction: Great service will order again")</f>
        <v>//ord_71478//Dev Chauhan//Bandra//Veg Puff+5*Priya Joshi/10/19/2023//UPI//Delivered*Overall Satisfaction: Great service will order again</v>
      </c>
      <c r="B1500" s="14" t="str">
        <f>IFERROR(__xludf.DUMMYFUNCTION("split(A1500,""//"")"),"ord_71478")</f>
        <v>ord_71478</v>
      </c>
      <c r="C1500" s="14" t="str">
        <f>IFERROR(__xludf.DUMMYFUNCTION("""COMPUTED_VALUE"""),"Dev Chauhan")</f>
        <v>Dev Chauhan</v>
      </c>
      <c r="D1500" s="14" t="str">
        <f>IFERROR(__xludf.DUMMYFUNCTION("""COMPUTED_VALUE"""),"Bandra")</f>
        <v>Bandra</v>
      </c>
      <c r="E1500" s="14" t="str">
        <f>IFERROR(__xludf.DUMMYFUNCTION("""COMPUTED_VALUE"""),"Veg Puff+5*Priya Joshi")</f>
        <v>Veg Puff+5*Priya Joshi</v>
      </c>
      <c r="F1500" s="14">
        <f>IFERROR(__xludf.DUMMYFUNCTION("""COMPUTED_VALUE"""),10.0)</f>
        <v>10</v>
      </c>
      <c r="G1500" s="14">
        <f>IFERROR(__xludf.DUMMYFUNCTION("""COMPUTED_VALUE"""),19.0)</f>
        <v>19</v>
      </c>
      <c r="H1500" s="14">
        <f>IFERROR(__xludf.DUMMYFUNCTION("""COMPUTED_VALUE"""),2023.0)</f>
        <v>2023</v>
      </c>
      <c r="I1500" s="14" t="str">
        <f>IFERROR(__xludf.DUMMYFUNCTION("""COMPUTED_VALUE"""),"UPI")</f>
        <v>UPI</v>
      </c>
      <c r="J1500" s="14" t="str">
        <f>IFERROR(__xludf.DUMMYFUNCTION("""COMPUTED_VALUE"""),"Delivered*Overall Satisfaction: Great service will order again")</f>
        <v>Delivered*Overall Satisfaction: Great service will order again</v>
      </c>
      <c r="K1500" s="14" t="str">
        <f>IFERROR(__xludf.DUMMYFUNCTION("split(E1500,""+"")"),"Veg Puff")</f>
        <v>Veg Puff</v>
      </c>
      <c r="L1500" s="14" t="str">
        <f>IFERROR(__xludf.DUMMYFUNCTION("""COMPUTED_VALUE"""),"5*Priya Joshi")</f>
        <v>5*Priya Joshi</v>
      </c>
      <c r="M1500" s="14">
        <f>IFERROR(__xludf.DUMMYFUNCTION("SPLIT(L1500,""*"")"),5.0)</f>
        <v>5</v>
      </c>
      <c r="N1500" s="14" t="str">
        <f>IFERROR(__xludf.DUMMYFUNCTION("""COMPUTED_VALUE"""),"Priya Joshi")</f>
        <v>Priya Joshi</v>
      </c>
      <c r="O1500" s="14" t="str">
        <f>IFERROR(__xludf.DUMMYFUNCTION("split(J1500,""*"")"),"Delivered")</f>
        <v>Delivered</v>
      </c>
      <c r="P1500" s="14" t="str">
        <f>IFERROR(__xludf.DUMMYFUNCTION("""COMPUTED_VALUE"""),"Overall Satisfaction: Great service will order again")</f>
        <v>Overall Satisfaction: Great service will order again</v>
      </c>
      <c r="Q1500" s="14" t="str">
        <f>IFERROR(__xludf.DUMMYFUNCTION("split(P1500,"":"")"),"Overall Satisfaction")</f>
        <v>Overall Satisfaction</v>
      </c>
      <c r="R1500" s="14" t="str">
        <f>IFERROR(__xludf.DUMMYFUNCTION("""COMPUTED_VALUE""")," Great service will order again")</f>
        <v> Great service will order again</v>
      </c>
      <c r="S1500" s="14" t="str">
        <f t="shared" ref="S1500:U1500" si="3003">trim(B1500)</f>
        <v>ord_71478</v>
      </c>
      <c r="T1500" s="14" t="str">
        <f t="shared" si="3003"/>
        <v>Dev Chauhan</v>
      </c>
      <c r="U1500" s="14" t="str">
        <f t="shared" si="3003"/>
        <v>Bandra</v>
      </c>
      <c r="V1500" s="14" t="str">
        <f t="shared" si="4"/>
        <v>Veg Puff</v>
      </c>
      <c r="W1500" s="14">
        <f t="shared" si="5"/>
        <v>5</v>
      </c>
      <c r="X1500" s="14" t="str">
        <f t="shared" si="6"/>
        <v>Priya Joshi</v>
      </c>
      <c r="Y1500" s="15">
        <f t="shared" si="7"/>
        <v>45218</v>
      </c>
      <c r="Z1500" s="14" t="str">
        <f t="shared" si="8"/>
        <v>UPI</v>
      </c>
      <c r="AA1500" s="14" t="str">
        <f t="shared" si="9"/>
        <v>Delivered</v>
      </c>
      <c r="AB1500" s="14" t="str">
        <f t="shared" ref="AB1500:AC1500" si="3004">trim(Q1500)</f>
        <v>Overall Satisfaction</v>
      </c>
      <c r="AC1500" s="14" t="str">
        <f t="shared" si="3004"/>
        <v>Great service will order again</v>
      </c>
      <c r="AD1500" s="8"/>
    </row>
    <row r="1501">
      <c r="A1501" s="14" t="str">
        <f>IFERROR(__xludf.DUMMYFUNCTION("""COMPUTED_VALUE"""),"//ord_71479//Sakshi Tandon//Colaba//Popcorn+3*Nikhil Deshmukh/12/6/2023//Online Payment//Delivered*On-time Delivery: Delivered on time")</f>
        <v>//ord_71479//Sakshi Tandon//Colaba//Popcorn+3*Nikhil Deshmukh/12/6/2023//Online Payment//Delivered*On-time Delivery: Delivered on time</v>
      </c>
      <c r="B1501" s="14" t="str">
        <f>IFERROR(__xludf.DUMMYFUNCTION("split(A1501,""//"")"),"ord_71479")</f>
        <v>ord_71479</v>
      </c>
      <c r="C1501" s="14" t="str">
        <f>IFERROR(__xludf.DUMMYFUNCTION("""COMPUTED_VALUE"""),"Sakshi Tandon")</f>
        <v>Sakshi Tandon</v>
      </c>
      <c r="D1501" s="14" t="str">
        <f>IFERROR(__xludf.DUMMYFUNCTION("""COMPUTED_VALUE"""),"Colaba")</f>
        <v>Colaba</v>
      </c>
      <c r="E1501" s="14" t="str">
        <f>IFERROR(__xludf.DUMMYFUNCTION("""COMPUTED_VALUE"""),"Popcorn+3*Nikhil Deshmukh")</f>
        <v>Popcorn+3*Nikhil Deshmukh</v>
      </c>
      <c r="F1501" s="14">
        <f>IFERROR(__xludf.DUMMYFUNCTION("""COMPUTED_VALUE"""),12.0)</f>
        <v>12</v>
      </c>
      <c r="G1501" s="14">
        <f>IFERROR(__xludf.DUMMYFUNCTION("""COMPUTED_VALUE"""),6.0)</f>
        <v>6</v>
      </c>
      <c r="H1501" s="14">
        <f>IFERROR(__xludf.DUMMYFUNCTION("""COMPUTED_VALUE"""),2023.0)</f>
        <v>2023</v>
      </c>
      <c r="I1501" s="14" t="str">
        <f>IFERROR(__xludf.DUMMYFUNCTION("""COMPUTED_VALUE"""),"Online Payment")</f>
        <v>Online Payment</v>
      </c>
      <c r="J1501" s="14" t="str">
        <f>IFERROR(__xludf.DUMMYFUNCTION("""COMPUTED_VALUE"""),"Delivered*On-time Delivery: Delivered on time")</f>
        <v>Delivered*On-time Delivery: Delivered on time</v>
      </c>
      <c r="K1501" s="14" t="str">
        <f>IFERROR(__xludf.DUMMYFUNCTION("split(E1501,""+"")"),"Popcorn")</f>
        <v>Popcorn</v>
      </c>
      <c r="L1501" s="14" t="str">
        <f>IFERROR(__xludf.DUMMYFUNCTION("""COMPUTED_VALUE"""),"3*Nikhil Deshmukh")</f>
        <v>3*Nikhil Deshmukh</v>
      </c>
      <c r="M1501" s="14">
        <f>IFERROR(__xludf.DUMMYFUNCTION("SPLIT(L1501,""*"")"),3.0)</f>
        <v>3</v>
      </c>
      <c r="N1501" s="14" t="str">
        <f>IFERROR(__xludf.DUMMYFUNCTION("""COMPUTED_VALUE"""),"Nikhil Deshmukh")</f>
        <v>Nikhil Deshmukh</v>
      </c>
      <c r="O1501" s="14" t="str">
        <f>IFERROR(__xludf.DUMMYFUNCTION("split(J1501,""*"")"),"Delivered")</f>
        <v>Delivered</v>
      </c>
      <c r="P1501" s="14" t="str">
        <f>IFERROR(__xludf.DUMMYFUNCTION("""COMPUTED_VALUE"""),"On-time Delivery: Delivered on time")</f>
        <v>On-time Delivery: Delivered on time</v>
      </c>
      <c r="Q1501" s="14" t="str">
        <f>IFERROR(__xludf.DUMMYFUNCTION("split(P1501,"":"")"),"On-time Delivery")</f>
        <v>On-time Delivery</v>
      </c>
      <c r="R1501" s="14" t="str">
        <f>IFERROR(__xludf.DUMMYFUNCTION("""COMPUTED_VALUE""")," Delivered on time")</f>
        <v> Delivered on time</v>
      </c>
      <c r="S1501" s="14" t="str">
        <f t="shared" ref="S1501:U1501" si="3005">trim(B1501)</f>
        <v>ord_71479</v>
      </c>
      <c r="T1501" s="14" t="str">
        <f t="shared" si="3005"/>
        <v>Sakshi Tandon</v>
      </c>
      <c r="U1501" s="14" t="str">
        <f t="shared" si="3005"/>
        <v>Colaba</v>
      </c>
      <c r="V1501" s="14" t="str">
        <f t="shared" si="4"/>
        <v>Popcorn</v>
      </c>
      <c r="W1501" s="14">
        <f t="shared" si="5"/>
        <v>3</v>
      </c>
      <c r="X1501" s="14" t="str">
        <f t="shared" si="6"/>
        <v>Nikhil Deshmukh</v>
      </c>
      <c r="Y1501" s="15">
        <f t="shared" si="7"/>
        <v>45266</v>
      </c>
      <c r="Z1501" s="14" t="str">
        <f t="shared" si="8"/>
        <v>Online Payment</v>
      </c>
      <c r="AA1501" s="14" t="str">
        <f t="shared" si="9"/>
        <v>Delivered</v>
      </c>
      <c r="AB1501" s="14" t="str">
        <f t="shared" ref="AB1501:AC1501" si="3006">trim(Q1501)</f>
        <v>On-time Delivery</v>
      </c>
      <c r="AC1501" s="14" t="str">
        <f t="shared" si="3006"/>
        <v>Delivered on time</v>
      </c>
      <c r="AD1501" s="8"/>
    </row>
    <row r="1502">
      <c r="A1502" s="14" t="str">
        <f>IFERROR(__xludf.DUMMYFUNCTION("""COMPUTED_VALUE"""),"//ord_71480//Pranav Joshi//Andheri//Chocolate Mousse+5*Rohan Yadav/12/26/2023//COD//Delivered*Quality of Items: Perfect condition")</f>
        <v>//ord_71480//Pranav Joshi//Andheri//Chocolate Mousse+5*Rohan Yadav/12/26/2023//COD//Delivered*Quality of Items: Perfect condition</v>
      </c>
      <c r="B1502" s="14" t="str">
        <f>IFERROR(__xludf.DUMMYFUNCTION("split(A1502,""//"")"),"ord_71480")</f>
        <v>ord_71480</v>
      </c>
      <c r="C1502" s="14" t="str">
        <f>IFERROR(__xludf.DUMMYFUNCTION("""COMPUTED_VALUE"""),"Pranav Joshi")</f>
        <v>Pranav Joshi</v>
      </c>
      <c r="D1502" s="14" t="str">
        <f>IFERROR(__xludf.DUMMYFUNCTION("""COMPUTED_VALUE"""),"Andheri")</f>
        <v>Andheri</v>
      </c>
      <c r="E1502" s="14" t="str">
        <f>IFERROR(__xludf.DUMMYFUNCTION("""COMPUTED_VALUE"""),"Chocolate Mousse+5*Rohan Yadav")</f>
        <v>Chocolate Mousse+5*Rohan Yadav</v>
      </c>
      <c r="F1502" s="14">
        <f>IFERROR(__xludf.DUMMYFUNCTION("""COMPUTED_VALUE"""),12.0)</f>
        <v>12</v>
      </c>
      <c r="G1502" s="14">
        <f>IFERROR(__xludf.DUMMYFUNCTION("""COMPUTED_VALUE"""),26.0)</f>
        <v>26</v>
      </c>
      <c r="H1502" s="14">
        <f>IFERROR(__xludf.DUMMYFUNCTION("""COMPUTED_VALUE"""),2023.0)</f>
        <v>2023</v>
      </c>
      <c r="I1502" s="14" t="str">
        <f>IFERROR(__xludf.DUMMYFUNCTION("""COMPUTED_VALUE"""),"COD")</f>
        <v>COD</v>
      </c>
      <c r="J1502" s="14" t="str">
        <f>IFERROR(__xludf.DUMMYFUNCTION("""COMPUTED_VALUE"""),"Delivered*Quality of Items: Perfect condition")</f>
        <v>Delivered*Quality of Items: Perfect condition</v>
      </c>
      <c r="K1502" s="14" t="str">
        <f>IFERROR(__xludf.DUMMYFUNCTION("split(E1502,""+"")"),"Chocolate Mousse")</f>
        <v>Chocolate Mousse</v>
      </c>
      <c r="L1502" s="14" t="str">
        <f>IFERROR(__xludf.DUMMYFUNCTION("""COMPUTED_VALUE"""),"5*Rohan Yadav")</f>
        <v>5*Rohan Yadav</v>
      </c>
      <c r="M1502" s="14">
        <f>IFERROR(__xludf.DUMMYFUNCTION("SPLIT(L1502,""*"")"),5.0)</f>
        <v>5</v>
      </c>
      <c r="N1502" s="14" t="str">
        <f>IFERROR(__xludf.DUMMYFUNCTION("""COMPUTED_VALUE"""),"Rohan Yadav")</f>
        <v>Rohan Yadav</v>
      </c>
      <c r="O1502" s="14" t="str">
        <f>IFERROR(__xludf.DUMMYFUNCTION("split(J1502,""*"")"),"Delivered")</f>
        <v>Delivered</v>
      </c>
      <c r="P1502" s="14" t="str">
        <f>IFERROR(__xludf.DUMMYFUNCTION("""COMPUTED_VALUE"""),"Quality of Items: Perfect condition")</f>
        <v>Quality of Items: Perfect condition</v>
      </c>
      <c r="Q1502" s="14" t="str">
        <f>IFERROR(__xludf.DUMMYFUNCTION("split(P1502,"":"")"),"Quality of Items")</f>
        <v>Quality of Items</v>
      </c>
      <c r="R1502" s="14" t="str">
        <f>IFERROR(__xludf.DUMMYFUNCTION("""COMPUTED_VALUE""")," Perfect condition")</f>
        <v> Perfect condition</v>
      </c>
      <c r="S1502" s="14" t="str">
        <f t="shared" ref="S1502:U1502" si="3007">trim(B1502)</f>
        <v>ord_71480</v>
      </c>
      <c r="T1502" s="14" t="str">
        <f t="shared" si="3007"/>
        <v>Pranav Joshi</v>
      </c>
      <c r="U1502" s="14" t="str">
        <f t="shared" si="3007"/>
        <v>Andheri</v>
      </c>
      <c r="V1502" s="14" t="str">
        <f t="shared" si="4"/>
        <v>Chocolate Mousse</v>
      </c>
      <c r="W1502" s="14">
        <f t="shared" si="5"/>
        <v>5</v>
      </c>
      <c r="X1502" s="14" t="str">
        <f t="shared" si="6"/>
        <v>Rohan Yadav</v>
      </c>
      <c r="Y1502" s="15">
        <f t="shared" si="7"/>
        <v>45286</v>
      </c>
      <c r="Z1502" s="14" t="str">
        <f t="shared" si="8"/>
        <v>COD</v>
      </c>
      <c r="AA1502" s="14" t="str">
        <f t="shared" si="9"/>
        <v>Delivered</v>
      </c>
      <c r="AB1502" s="14" t="str">
        <f t="shared" ref="AB1502:AC1502" si="3008">trim(Q1502)</f>
        <v>Quality of Items</v>
      </c>
      <c r="AC1502" s="14" t="str">
        <f t="shared" si="3008"/>
        <v>Perfect condition</v>
      </c>
      <c r="AD1502" s="8"/>
    </row>
    <row r="1503">
      <c r="A1503" s="14" t="str">
        <f>IFERROR(__xludf.DUMMYFUNCTION("""COMPUTED_VALUE"""),"//ord_71481//Dev Chauhan//Bandra//Guava+2*Priya Joshi/7/1/2023//Credit Card//Delivered*On-time Delivery: Delivered on time")</f>
        <v>//ord_71481//Dev Chauhan//Bandra//Guava+2*Priya Joshi/7/1/2023//Credit Card//Delivered*On-time Delivery: Delivered on time</v>
      </c>
      <c r="B1503" s="14" t="str">
        <f>IFERROR(__xludf.DUMMYFUNCTION("split(A1503,""//"")"),"ord_71481")</f>
        <v>ord_71481</v>
      </c>
      <c r="C1503" s="14" t="str">
        <f>IFERROR(__xludf.DUMMYFUNCTION("""COMPUTED_VALUE"""),"Dev Chauhan")</f>
        <v>Dev Chauhan</v>
      </c>
      <c r="D1503" s="14" t="str">
        <f>IFERROR(__xludf.DUMMYFUNCTION("""COMPUTED_VALUE"""),"Bandra")</f>
        <v>Bandra</v>
      </c>
      <c r="E1503" s="14" t="str">
        <f>IFERROR(__xludf.DUMMYFUNCTION("""COMPUTED_VALUE"""),"Guava+2*Priya Joshi")</f>
        <v>Guava+2*Priya Joshi</v>
      </c>
      <c r="F1503" s="14">
        <f>IFERROR(__xludf.DUMMYFUNCTION("""COMPUTED_VALUE"""),7.0)</f>
        <v>7</v>
      </c>
      <c r="G1503" s="14">
        <f>IFERROR(__xludf.DUMMYFUNCTION("""COMPUTED_VALUE"""),1.0)</f>
        <v>1</v>
      </c>
      <c r="H1503" s="14">
        <f>IFERROR(__xludf.DUMMYFUNCTION("""COMPUTED_VALUE"""),2023.0)</f>
        <v>2023</v>
      </c>
      <c r="I1503" s="14" t="str">
        <f>IFERROR(__xludf.DUMMYFUNCTION("""COMPUTED_VALUE"""),"Credit Card")</f>
        <v>Credit Card</v>
      </c>
      <c r="J1503" s="14" t="str">
        <f>IFERROR(__xludf.DUMMYFUNCTION("""COMPUTED_VALUE"""),"Delivered*On-time Delivery: Delivered on time")</f>
        <v>Delivered*On-time Delivery: Delivered on time</v>
      </c>
      <c r="K1503" s="14" t="str">
        <f>IFERROR(__xludf.DUMMYFUNCTION("split(E1503,""+"")"),"Guava")</f>
        <v>Guava</v>
      </c>
      <c r="L1503" s="14" t="str">
        <f>IFERROR(__xludf.DUMMYFUNCTION("""COMPUTED_VALUE"""),"2*Priya Joshi")</f>
        <v>2*Priya Joshi</v>
      </c>
      <c r="M1503" s="14">
        <f>IFERROR(__xludf.DUMMYFUNCTION("SPLIT(L1503,""*"")"),2.0)</f>
        <v>2</v>
      </c>
      <c r="N1503" s="14" t="str">
        <f>IFERROR(__xludf.DUMMYFUNCTION("""COMPUTED_VALUE"""),"Priya Joshi")</f>
        <v>Priya Joshi</v>
      </c>
      <c r="O1503" s="14" t="str">
        <f>IFERROR(__xludf.DUMMYFUNCTION("split(J1503,""*"")"),"Delivered")</f>
        <v>Delivered</v>
      </c>
      <c r="P1503" s="14" t="str">
        <f>IFERROR(__xludf.DUMMYFUNCTION("""COMPUTED_VALUE"""),"On-time Delivery: Delivered on time")</f>
        <v>On-time Delivery: Delivered on time</v>
      </c>
      <c r="Q1503" s="14" t="str">
        <f>IFERROR(__xludf.DUMMYFUNCTION("split(P1503,"":"")"),"On-time Delivery")</f>
        <v>On-time Delivery</v>
      </c>
      <c r="R1503" s="14" t="str">
        <f>IFERROR(__xludf.DUMMYFUNCTION("""COMPUTED_VALUE""")," Delivered on time")</f>
        <v> Delivered on time</v>
      </c>
      <c r="S1503" s="14" t="str">
        <f t="shared" ref="S1503:U1503" si="3009">trim(B1503)</f>
        <v>ord_71481</v>
      </c>
      <c r="T1503" s="14" t="str">
        <f t="shared" si="3009"/>
        <v>Dev Chauhan</v>
      </c>
      <c r="U1503" s="14" t="str">
        <f t="shared" si="3009"/>
        <v>Bandra</v>
      </c>
      <c r="V1503" s="14" t="str">
        <f t="shared" si="4"/>
        <v>Guava</v>
      </c>
      <c r="W1503" s="14">
        <f t="shared" si="5"/>
        <v>2</v>
      </c>
      <c r="X1503" s="14" t="str">
        <f t="shared" si="6"/>
        <v>Priya Joshi</v>
      </c>
      <c r="Y1503" s="15">
        <f t="shared" si="7"/>
        <v>45108</v>
      </c>
      <c r="Z1503" s="14" t="str">
        <f t="shared" si="8"/>
        <v>Credit Card</v>
      </c>
      <c r="AA1503" s="14" t="str">
        <f t="shared" si="9"/>
        <v>Delivered</v>
      </c>
      <c r="AB1503" s="14" t="str">
        <f t="shared" ref="AB1503:AC1503" si="3010">trim(Q1503)</f>
        <v>On-time Delivery</v>
      </c>
      <c r="AC1503" s="14" t="str">
        <f t="shared" si="3010"/>
        <v>Delivered on time</v>
      </c>
      <c r="AD1503" s="8"/>
    </row>
    <row r="1504">
      <c r="A1504" s="14" t="str">
        <f>IFERROR(__xludf.DUMMYFUNCTION("""COMPUTED_VALUE"""),"//ord_71482//Siya Reddy//Juhu//Potato+1*Not Assigned/6/2/2023//Credit Card//Cancelled*Out of Stock")</f>
        <v>//ord_71482//Siya Reddy//Juhu//Potato+1*Not Assigned/6/2/2023//Credit Card//Cancelled*Out of Stock</v>
      </c>
      <c r="B1504" s="14" t="str">
        <f>IFERROR(__xludf.DUMMYFUNCTION("split(A1504,""//"")"),"ord_71482")</f>
        <v>ord_71482</v>
      </c>
      <c r="C1504" s="14" t="str">
        <f>IFERROR(__xludf.DUMMYFUNCTION("""COMPUTED_VALUE"""),"Siya Reddy")</f>
        <v>Siya Reddy</v>
      </c>
      <c r="D1504" s="14" t="str">
        <f>IFERROR(__xludf.DUMMYFUNCTION("""COMPUTED_VALUE"""),"Juhu")</f>
        <v>Juhu</v>
      </c>
      <c r="E1504" s="14" t="str">
        <f>IFERROR(__xludf.DUMMYFUNCTION("""COMPUTED_VALUE"""),"Potato+1*Not Assigned")</f>
        <v>Potato+1*Not Assigned</v>
      </c>
      <c r="F1504" s="14">
        <f>IFERROR(__xludf.DUMMYFUNCTION("""COMPUTED_VALUE"""),6.0)</f>
        <v>6</v>
      </c>
      <c r="G1504" s="14">
        <f>IFERROR(__xludf.DUMMYFUNCTION("""COMPUTED_VALUE"""),2.0)</f>
        <v>2</v>
      </c>
      <c r="H1504" s="14">
        <f>IFERROR(__xludf.DUMMYFUNCTION("""COMPUTED_VALUE"""),2023.0)</f>
        <v>2023</v>
      </c>
      <c r="I1504" s="14" t="str">
        <f>IFERROR(__xludf.DUMMYFUNCTION("""COMPUTED_VALUE"""),"Credit Card")</f>
        <v>Credit Card</v>
      </c>
      <c r="J1504" s="14" t="str">
        <f>IFERROR(__xludf.DUMMYFUNCTION("""COMPUTED_VALUE"""),"Cancelled*Out of Stock")</f>
        <v>Cancelled*Out of Stock</v>
      </c>
      <c r="K1504" s="14" t="str">
        <f>IFERROR(__xludf.DUMMYFUNCTION("split(E1504,""+"")"),"Potato")</f>
        <v>Potato</v>
      </c>
      <c r="L1504" s="14" t="str">
        <f>IFERROR(__xludf.DUMMYFUNCTION("""COMPUTED_VALUE"""),"1*Not Assigned")</f>
        <v>1*Not Assigned</v>
      </c>
      <c r="M1504" s="14">
        <f>IFERROR(__xludf.DUMMYFUNCTION("SPLIT(L1504,""*"")"),1.0)</f>
        <v>1</v>
      </c>
      <c r="N1504" s="14" t="str">
        <f>IFERROR(__xludf.DUMMYFUNCTION("""COMPUTED_VALUE"""),"Not Assigned")</f>
        <v>Not Assigned</v>
      </c>
      <c r="O1504" s="14" t="str">
        <f>IFERROR(__xludf.DUMMYFUNCTION("split(J1504,""*"")"),"Cancelled")</f>
        <v>Cancelled</v>
      </c>
      <c r="P1504" s="14" t="str">
        <f>IFERROR(__xludf.DUMMYFUNCTION("""COMPUTED_VALUE"""),"Out of Stock")</f>
        <v>Out of Stock</v>
      </c>
      <c r="Q1504" s="14" t="str">
        <f>IFERROR(__xludf.DUMMYFUNCTION("split(P1504,"":"")"),"Out of Stock")</f>
        <v>Out of Stock</v>
      </c>
      <c r="R1504" s="14"/>
      <c r="S1504" s="14" t="str">
        <f t="shared" ref="S1504:U1504" si="3011">trim(B1504)</f>
        <v>ord_71482</v>
      </c>
      <c r="T1504" s="14" t="str">
        <f t="shared" si="3011"/>
        <v>Siya Reddy</v>
      </c>
      <c r="U1504" s="14" t="str">
        <f t="shared" si="3011"/>
        <v>Juhu</v>
      </c>
      <c r="V1504" s="14" t="str">
        <f t="shared" si="4"/>
        <v>Potato</v>
      </c>
      <c r="W1504" s="14">
        <f t="shared" si="5"/>
        <v>1</v>
      </c>
      <c r="X1504" s="14" t="str">
        <f t="shared" si="6"/>
        <v>Not Assigned</v>
      </c>
      <c r="Y1504" s="15">
        <f t="shared" si="7"/>
        <v>45079</v>
      </c>
      <c r="Z1504" s="14" t="str">
        <f t="shared" si="8"/>
        <v>Credit Card</v>
      </c>
      <c r="AA1504" s="14" t="str">
        <f t="shared" si="9"/>
        <v>Cancelled</v>
      </c>
      <c r="AB1504" s="14" t="str">
        <f t="shared" ref="AB1504:AC1504" si="3012">trim(Q1504)</f>
        <v>Out of Stock</v>
      </c>
      <c r="AC1504" s="14" t="str">
        <f t="shared" si="3012"/>
        <v/>
      </c>
      <c r="AD1504" s="8"/>
    </row>
    <row r="1505">
      <c r="A1505" s="14" t="str">
        <f>IFERROR(__xludf.DUMMYFUNCTION("""COMPUTED_VALUE"""),"//ord_71483//Mehul Thakkar//Malad//Guava+1*Neha Shah/12/21/2023//Online Payment//Delivered*Customer Service: Seamless and easy")</f>
        <v>//ord_71483//Mehul Thakkar//Malad//Guava+1*Neha Shah/12/21/2023//Online Payment//Delivered*Customer Service: Seamless and easy</v>
      </c>
      <c r="B1505" s="14" t="str">
        <f>IFERROR(__xludf.DUMMYFUNCTION("split(A1505,""//"")"),"ord_71483")</f>
        <v>ord_71483</v>
      </c>
      <c r="C1505" s="14" t="str">
        <f>IFERROR(__xludf.DUMMYFUNCTION("""COMPUTED_VALUE"""),"Mehul Thakkar")</f>
        <v>Mehul Thakkar</v>
      </c>
      <c r="D1505" s="14" t="str">
        <f>IFERROR(__xludf.DUMMYFUNCTION("""COMPUTED_VALUE"""),"Malad")</f>
        <v>Malad</v>
      </c>
      <c r="E1505" s="14" t="str">
        <f>IFERROR(__xludf.DUMMYFUNCTION("""COMPUTED_VALUE"""),"Guava+1*Neha Shah")</f>
        <v>Guava+1*Neha Shah</v>
      </c>
      <c r="F1505" s="14">
        <f>IFERROR(__xludf.DUMMYFUNCTION("""COMPUTED_VALUE"""),12.0)</f>
        <v>12</v>
      </c>
      <c r="G1505" s="14">
        <f>IFERROR(__xludf.DUMMYFUNCTION("""COMPUTED_VALUE"""),21.0)</f>
        <v>21</v>
      </c>
      <c r="H1505" s="14">
        <f>IFERROR(__xludf.DUMMYFUNCTION("""COMPUTED_VALUE"""),2023.0)</f>
        <v>2023</v>
      </c>
      <c r="I1505" s="14" t="str">
        <f>IFERROR(__xludf.DUMMYFUNCTION("""COMPUTED_VALUE"""),"Online Payment")</f>
        <v>Online Payment</v>
      </c>
      <c r="J1505" s="14" t="str">
        <f>IFERROR(__xludf.DUMMYFUNCTION("""COMPUTED_VALUE"""),"Delivered*Customer Service: Seamless and easy")</f>
        <v>Delivered*Customer Service: Seamless and easy</v>
      </c>
      <c r="K1505" s="14" t="str">
        <f>IFERROR(__xludf.DUMMYFUNCTION("split(E1505,""+"")"),"Guava")</f>
        <v>Guava</v>
      </c>
      <c r="L1505" s="14" t="str">
        <f>IFERROR(__xludf.DUMMYFUNCTION("""COMPUTED_VALUE"""),"1*Neha Shah")</f>
        <v>1*Neha Shah</v>
      </c>
      <c r="M1505" s="14">
        <f>IFERROR(__xludf.DUMMYFUNCTION("SPLIT(L1505,""*"")"),1.0)</f>
        <v>1</v>
      </c>
      <c r="N1505" s="14" t="str">
        <f>IFERROR(__xludf.DUMMYFUNCTION("""COMPUTED_VALUE"""),"Neha Shah")</f>
        <v>Neha Shah</v>
      </c>
      <c r="O1505" s="14" t="str">
        <f>IFERROR(__xludf.DUMMYFUNCTION("split(J1505,""*"")"),"Delivered")</f>
        <v>Delivered</v>
      </c>
      <c r="P1505" s="14" t="str">
        <f>IFERROR(__xludf.DUMMYFUNCTION("""COMPUTED_VALUE"""),"Customer Service: Seamless and easy")</f>
        <v>Customer Service: Seamless and easy</v>
      </c>
      <c r="Q1505" s="14" t="str">
        <f>IFERROR(__xludf.DUMMYFUNCTION("split(P1505,"":"")"),"Customer Service")</f>
        <v>Customer Service</v>
      </c>
      <c r="R1505" s="14" t="str">
        <f>IFERROR(__xludf.DUMMYFUNCTION("""COMPUTED_VALUE""")," Seamless and easy")</f>
        <v> Seamless and easy</v>
      </c>
      <c r="S1505" s="14" t="str">
        <f t="shared" ref="S1505:U1505" si="3013">trim(B1505)</f>
        <v>ord_71483</v>
      </c>
      <c r="T1505" s="14" t="str">
        <f t="shared" si="3013"/>
        <v>Mehul Thakkar</v>
      </c>
      <c r="U1505" s="14" t="str">
        <f t="shared" si="3013"/>
        <v>Malad</v>
      </c>
      <c r="V1505" s="14" t="str">
        <f t="shared" si="4"/>
        <v>Guava</v>
      </c>
      <c r="W1505" s="14">
        <f t="shared" si="5"/>
        <v>1</v>
      </c>
      <c r="X1505" s="14" t="str">
        <f t="shared" si="6"/>
        <v>Neha Shah</v>
      </c>
      <c r="Y1505" s="15">
        <f t="shared" si="7"/>
        <v>45281</v>
      </c>
      <c r="Z1505" s="14" t="str">
        <f t="shared" si="8"/>
        <v>Online Payment</v>
      </c>
      <c r="AA1505" s="14" t="str">
        <f t="shared" si="9"/>
        <v>Delivered</v>
      </c>
      <c r="AB1505" s="14" t="str">
        <f t="shared" ref="AB1505:AC1505" si="3014">trim(Q1505)</f>
        <v>Customer Service</v>
      </c>
      <c r="AC1505" s="14" t="str">
        <f t="shared" si="3014"/>
        <v>Seamless and easy</v>
      </c>
      <c r="AD1505" s="8"/>
    </row>
    <row r="1506">
      <c r="A1506" s="14" t="str">
        <f>IFERROR(__xludf.DUMMYFUNCTION("""COMPUTED_VALUE"""),"//ord_71484//Pranav Joshi//Andheri//Tiramisu+5*Rohan Yadav/1/11/2023//Credit Card//Delivered*Quality of Items: Perfect condition")</f>
        <v>//ord_71484//Pranav Joshi//Andheri//Tiramisu+5*Rohan Yadav/1/11/2023//Credit Card//Delivered*Quality of Items: Perfect condition</v>
      </c>
      <c r="B1506" s="14" t="str">
        <f>IFERROR(__xludf.DUMMYFUNCTION("split(A1506,""//"")"),"ord_71484")</f>
        <v>ord_71484</v>
      </c>
      <c r="C1506" s="14" t="str">
        <f>IFERROR(__xludf.DUMMYFUNCTION("""COMPUTED_VALUE"""),"Pranav Joshi")</f>
        <v>Pranav Joshi</v>
      </c>
      <c r="D1506" s="14" t="str">
        <f>IFERROR(__xludf.DUMMYFUNCTION("""COMPUTED_VALUE"""),"Andheri")</f>
        <v>Andheri</v>
      </c>
      <c r="E1506" s="14" t="str">
        <f>IFERROR(__xludf.DUMMYFUNCTION("""COMPUTED_VALUE"""),"Tiramisu+5*Rohan Yadav")</f>
        <v>Tiramisu+5*Rohan Yadav</v>
      </c>
      <c r="F1506" s="14">
        <f>IFERROR(__xludf.DUMMYFUNCTION("""COMPUTED_VALUE"""),1.0)</f>
        <v>1</v>
      </c>
      <c r="G1506" s="14">
        <f>IFERROR(__xludf.DUMMYFUNCTION("""COMPUTED_VALUE"""),11.0)</f>
        <v>11</v>
      </c>
      <c r="H1506" s="14">
        <f>IFERROR(__xludf.DUMMYFUNCTION("""COMPUTED_VALUE"""),2023.0)</f>
        <v>2023</v>
      </c>
      <c r="I1506" s="14" t="str">
        <f>IFERROR(__xludf.DUMMYFUNCTION("""COMPUTED_VALUE"""),"Credit Card")</f>
        <v>Credit Card</v>
      </c>
      <c r="J1506" s="14" t="str">
        <f>IFERROR(__xludf.DUMMYFUNCTION("""COMPUTED_VALUE"""),"Delivered*Quality of Items: Perfect condition")</f>
        <v>Delivered*Quality of Items: Perfect condition</v>
      </c>
      <c r="K1506" s="14" t="str">
        <f>IFERROR(__xludf.DUMMYFUNCTION("split(E1506,""+"")"),"Tiramisu")</f>
        <v>Tiramisu</v>
      </c>
      <c r="L1506" s="14" t="str">
        <f>IFERROR(__xludf.DUMMYFUNCTION("""COMPUTED_VALUE"""),"5*Rohan Yadav")</f>
        <v>5*Rohan Yadav</v>
      </c>
      <c r="M1506" s="14">
        <f>IFERROR(__xludf.DUMMYFUNCTION("SPLIT(L1506,""*"")"),5.0)</f>
        <v>5</v>
      </c>
      <c r="N1506" s="14" t="str">
        <f>IFERROR(__xludf.DUMMYFUNCTION("""COMPUTED_VALUE"""),"Rohan Yadav")</f>
        <v>Rohan Yadav</v>
      </c>
      <c r="O1506" s="14" t="str">
        <f>IFERROR(__xludf.DUMMYFUNCTION("split(J1506,""*"")"),"Delivered")</f>
        <v>Delivered</v>
      </c>
      <c r="P1506" s="14" t="str">
        <f>IFERROR(__xludf.DUMMYFUNCTION("""COMPUTED_VALUE"""),"Quality of Items: Perfect condition")</f>
        <v>Quality of Items: Perfect condition</v>
      </c>
      <c r="Q1506" s="14" t="str">
        <f>IFERROR(__xludf.DUMMYFUNCTION("split(P1506,"":"")"),"Quality of Items")</f>
        <v>Quality of Items</v>
      </c>
      <c r="R1506" s="14" t="str">
        <f>IFERROR(__xludf.DUMMYFUNCTION("""COMPUTED_VALUE""")," Perfect condition")</f>
        <v> Perfect condition</v>
      </c>
      <c r="S1506" s="14" t="str">
        <f t="shared" ref="S1506:U1506" si="3015">trim(B1506)</f>
        <v>ord_71484</v>
      </c>
      <c r="T1506" s="14" t="str">
        <f t="shared" si="3015"/>
        <v>Pranav Joshi</v>
      </c>
      <c r="U1506" s="14" t="str">
        <f t="shared" si="3015"/>
        <v>Andheri</v>
      </c>
      <c r="V1506" s="14" t="str">
        <f t="shared" si="4"/>
        <v>Tiramisu</v>
      </c>
      <c r="W1506" s="14">
        <f t="shared" si="5"/>
        <v>5</v>
      </c>
      <c r="X1506" s="14" t="str">
        <f t="shared" si="6"/>
        <v>Rohan Yadav</v>
      </c>
      <c r="Y1506" s="15">
        <f t="shared" si="7"/>
        <v>44937</v>
      </c>
      <c r="Z1506" s="14" t="str">
        <f t="shared" si="8"/>
        <v>Credit Card</v>
      </c>
      <c r="AA1506" s="14" t="str">
        <f t="shared" si="9"/>
        <v>Delivered</v>
      </c>
      <c r="AB1506" s="14" t="str">
        <f t="shared" ref="AB1506:AC1506" si="3016">trim(Q1506)</f>
        <v>Quality of Items</v>
      </c>
      <c r="AC1506" s="14" t="str">
        <f t="shared" si="3016"/>
        <v>Perfect condition</v>
      </c>
      <c r="AD1506" s="8"/>
    </row>
    <row r="1507">
      <c r="A1507" s="14" t="str">
        <f>IFERROR(__xludf.DUMMYFUNCTION("""COMPUTED_VALUE"""),"//ord_71485//Sanjay Nair//Dadar//Chilli Cheese Toast+1*Aman Kumar/2/20/2023//COD//Delivered*Packaging: Secure and intact")</f>
        <v>//ord_71485//Sanjay Nair//Dadar//Chilli Cheese Toast+1*Aman Kumar/2/20/2023//COD//Delivered*Packaging: Secure and intact</v>
      </c>
      <c r="B1507" s="14" t="str">
        <f>IFERROR(__xludf.DUMMYFUNCTION("split(A1507,""//"")"),"ord_71485")</f>
        <v>ord_71485</v>
      </c>
      <c r="C1507" s="14" t="str">
        <f>IFERROR(__xludf.DUMMYFUNCTION("""COMPUTED_VALUE"""),"Sanjay Nair")</f>
        <v>Sanjay Nair</v>
      </c>
      <c r="D1507" s="14" t="str">
        <f>IFERROR(__xludf.DUMMYFUNCTION("""COMPUTED_VALUE"""),"Dadar")</f>
        <v>Dadar</v>
      </c>
      <c r="E1507" s="14" t="str">
        <f>IFERROR(__xludf.DUMMYFUNCTION("""COMPUTED_VALUE"""),"Chilli Cheese Toast+1*Aman Kumar")</f>
        <v>Chilli Cheese Toast+1*Aman Kumar</v>
      </c>
      <c r="F1507" s="14">
        <f>IFERROR(__xludf.DUMMYFUNCTION("""COMPUTED_VALUE"""),2.0)</f>
        <v>2</v>
      </c>
      <c r="G1507" s="14">
        <f>IFERROR(__xludf.DUMMYFUNCTION("""COMPUTED_VALUE"""),20.0)</f>
        <v>20</v>
      </c>
      <c r="H1507" s="14">
        <f>IFERROR(__xludf.DUMMYFUNCTION("""COMPUTED_VALUE"""),2023.0)</f>
        <v>2023</v>
      </c>
      <c r="I1507" s="14" t="str">
        <f>IFERROR(__xludf.DUMMYFUNCTION("""COMPUTED_VALUE"""),"COD")</f>
        <v>COD</v>
      </c>
      <c r="J1507" s="14" t="str">
        <f>IFERROR(__xludf.DUMMYFUNCTION("""COMPUTED_VALUE"""),"Delivered*Packaging: Secure and intact")</f>
        <v>Delivered*Packaging: Secure and intact</v>
      </c>
      <c r="K1507" s="14" t="str">
        <f>IFERROR(__xludf.DUMMYFUNCTION("split(E1507,""+"")"),"Chilli Cheese Toast")</f>
        <v>Chilli Cheese Toast</v>
      </c>
      <c r="L1507" s="14" t="str">
        <f>IFERROR(__xludf.DUMMYFUNCTION("""COMPUTED_VALUE"""),"1*Aman Kumar")</f>
        <v>1*Aman Kumar</v>
      </c>
      <c r="M1507" s="14">
        <f>IFERROR(__xludf.DUMMYFUNCTION("SPLIT(L1507,""*"")"),1.0)</f>
        <v>1</v>
      </c>
      <c r="N1507" s="14" t="str">
        <f>IFERROR(__xludf.DUMMYFUNCTION("""COMPUTED_VALUE"""),"Aman Kumar")</f>
        <v>Aman Kumar</v>
      </c>
      <c r="O1507" s="14" t="str">
        <f>IFERROR(__xludf.DUMMYFUNCTION("split(J1507,""*"")"),"Delivered")</f>
        <v>Delivered</v>
      </c>
      <c r="P1507" s="14" t="str">
        <f>IFERROR(__xludf.DUMMYFUNCTION("""COMPUTED_VALUE"""),"Packaging: Secure and intact")</f>
        <v>Packaging: Secure and intact</v>
      </c>
      <c r="Q1507" s="14" t="str">
        <f>IFERROR(__xludf.DUMMYFUNCTION("split(P1507,"":"")"),"Packaging")</f>
        <v>Packaging</v>
      </c>
      <c r="R1507" s="14" t="str">
        <f>IFERROR(__xludf.DUMMYFUNCTION("""COMPUTED_VALUE""")," Secure and intact")</f>
        <v> Secure and intact</v>
      </c>
      <c r="S1507" s="14" t="str">
        <f t="shared" ref="S1507:U1507" si="3017">trim(B1507)</f>
        <v>ord_71485</v>
      </c>
      <c r="T1507" s="14" t="str">
        <f t="shared" si="3017"/>
        <v>Sanjay Nair</v>
      </c>
      <c r="U1507" s="14" t="str">
        <f t="shared" si="3017"/>
        <v>Dadar</v>
      </c>
      <c r="V1507" s="14" t="str">
        <f t="shared" si="4"/>
        <v>Chilli Cheese Toast</v>
      </c>
      <c r="W1507" s="14">
        <f t="shared" si="5"/>
        <v>1</v>
      </c>
      <c r="X1507" s="14" t="str">
        <f t="shared" si="6"/>
        <v>Aman Kumar</v>
      </c>
      <c r="Y1507" s="15">
        <f t="shared" si="7"/>
        <v>44977</v>
      </c>
      <c r="Z1507" s="14" t="str">
        <f t="shared" si="8"/>
        <v>COD</v>
      </c>
      <c r="AA1507" s="14" t="str">
        <f t="shared" si="9"/>
        <v>Delivered</v>
      </c>
      <c r="AB1507" s="14" t="str">
        <f t="shared" ref="AB1507:AC1507" si="3018">trim(Q1507)</f>
        <v>Packaging</v>
      </c>
      <c r="AC1507" s="14" t="str">
        <f t="shared" si="3018"/>
        <v>Secure and intact</v>
      </c>
      <c r="AD1507" s="8"/>
    </row>
    <row r="1508">
      <c r="A1508" s="14" t="str">
        <f>IFERROR(__xludf.DUMMYFUNCTION("""COMPUTED_VALUE"""),"//ord_71486//Anaya Rao//Colaba//Potato+1*Nikhil Deshmukh/5/29/2023//Credit Card//Delivered*Satisfied with the Delivery: Timely and quality")</f>
        <v>//ord_71486//Anaya Rao//Colaba//Potato+1*Nikhil Deshmukh/5/29/2023//Credit Card//Delivered*Satisfied with the Delivery: Timely and quality</v>
      </c>
      <c r="B1508" s="14" t="str">
        <f>IFERROR(__xludf.DUMMYFUNCTION("split(A1508,""//"")"),"ord_71486")</f>
        <v>ord_71486</v>
      </c>
      <c r="C1508" s="14" t="str">
        <f>IFERROR(__xludf.DUMMYFUNCTION("""COMPUTED_VALUE"""),"Anaya Rao")</f>
        <v>Anaya Rao</v>
      </c>
      <c r="D1508" s="14" t="str">
        <f>IFERROR(__xludf.DUMMYFUNCTION("""COMPUTED_VALUE"""),"Colaba")</f>
        <v>Colaba</v>
      </c>
      <c r="E1508" s="14" t="str">
        <f>IFERROR(__xludf.DUMMYFUNCTION("""COMPUTED_VALUE"""),"Potato+1*Nikhil Deshmukh")</f>
        <v>Potato+1*Nikhil Deshmukh</v>
      </c>
      <c r="F1508" s="14">
        <f>IFERROR(__xludf.DUMMYFUNCTION("""COMPUTED_VALUE"""),5.0)</f>
        <v>5</v>
      </c>
      <c r="G1508" s="14">
        <f>IFERROR(__xludf.DUMMYFUNCTION("""COMPUTED_VALUE"""),29.0)</f>
        <v>29</v>
      </c>
      <c r="H1508" s="14">
        <f>IFERROR(__xludf.DUMMYFUNCTION("""COMPUTED_VALUE"""),2023.0)</f>
        <v>2023</v>
      </c>
      <c r="I1508" s="14" t="str">
        <f>IFERROR(__xludf.DUMMYFUNCTION("""COMPUTED_VALUE"""),"Credit Card")</f>
        <v>Credit Card</v>
      </c>
      <c r="J1508" s="14" t="str">
        <f>IFERROR(__xludf.DUMMYFUNCTION("""COMPUTED_VALUE"""),"Delivered*Satisfied with the Delivery: Timely and quality")</f>
        <v>Delivered*Satisfied with the Delivery: Timely and quality</v>
      </c>
      <c r="K1508" s="14" t="str">
        <f>IFERROR(__xludf.DUMMYFUNCTION("split(E1508,""+"")"),"Potato")</f>
        <v>Potato</v>
      </c>
      <c r="L1508" s="14" t="str">
        <f>IFERROR(__xludf.DUMMYFUNCTION("""COMPUTED_VALUE"""),"1*Nikhil Deshmukh")</f>
        <v>1*Nikhil Deshmukh</v>
      </c>
      <c r="M1508" s="14">
        <f>IFERROR(__xludf.DUMMYFUNCTION("SPLIT(L1508,""*"")"),1.0)</f>
        <v>1</v>
      </c>
      <c r="N1508" s="14" t="str">
        <f>IFERROR(__xludf.DUMMYFUNCTION("""COMPUTED_VALUE"""),"Nikhil Deshmukh")</f>
        <v>Nikhil Deshmukh</v>
      </c>
      <c r="O1508" s="14" t="str">
        <f>IFERROR(__xludf.DUMMYFUNCTION("split(J1508,""*"")"),"Delivered")</f>
        <v>Delivered</v>
      </c>
      <c r="P1508" s="14" t="str">
        <f>IFERROR(__xludf.DUMMYFUNCTION("""COMPUTED_VALUE"""),"Satisfied with the Delivery: Timely and quality")</f>
        <v>Satisfied with the Delivery: Timely and quality</v>
      </c>
      <c r="Q1508" s="14" t="str">
        <f>IFERROR(__xludf.DUMMYFUNCTION("split(P1508,"":"")"),"Satisfied with the Delivery")</f>
        <v>Satisfied with the Delivery</v>
      </c>
      <c r="R1508" s="14" t="str">
        <f>IFERROR(__xludf.DUMMYFUNCTION("""COMPUTED_VALUE""")," Timely and quality")</f>
        <v> Timely and quality</v>
      </c>
      <c r="S1508" s="14" t="str">
        <f t="shared" ref="S1508:U1508" si="3019">trim(B1508)</f>
        <v>ord_71486</v>
      </c>
      <c r="T1508" s="14" t="str">
        <f t="shared" si="3019"/>
        <v>Anaya Rao</v>
      </c>
      <c r="U1508" s="14" t="str">
        <f t="shared" si="3019"/>
        <v>Colaba</v>
      </c>
      <c r="V1508" s="14" t="str">
        <f t="shared" si="4"/>
        <v>Potato</v>
      </c>
      <c r="W1508" s="14">
        <f t="shared" si="5"/>
        <v>1</v>
      </c>
      <c r="X1508" s="14" t="str">
        <f t="shared" si="6"/>
        <v>Nikhil Deshmukh</v>
      </c>
      <c r="Y1508" s="15">
        <f t="shared" si="7"/>
        <v>45075</v>
      </c>
      <c r="Z1508" s="14" t="str">
        <f t="shared" si="8"/>
        <v>Credit Card</v>
      </c>
      <c r="AA1508" s="14" t="str">
        <f t="shared" si="9"/>
        <v>Delivered</v>
      </c>
      <c r="AB1508" s="14" t="str">
        <f t="shared" ref="AB1508:AC1508" si="3020">trim(Q1508)</f>
        <v>Satisfied with the Delivery</v>
      </c>
      <c r="AC1508" s="14" t="str">
        <f t="shared" si="3020"/>
        <v>Timely and quality</v>
      </c>
      <c r="AD1508" s="8"/>
    </row>
    <row r="1509">
      <c r="A1509" s="14" t="str">
        <f>IFERROR(__xludf.DUMMYFUNCTION("""COMPUTED_VALUE"""),"//ord_71487//Sahil Desai//Lower Parel//Tomato+2*Kiran Mehta/8/24/2023//COD//Delivered*Customer Service: Seamless and easy")</f>
        <v>//ord_71487//Sahil Desai//Lower Parel//Tomato+2*Kiran Mehta/8/24/2023//COD//Delivered*Customer Service: Seamless and easy</v>
      </c>
      <c r="B1509" s="14" t="str">
        <f>IFERROR(__xludf.DUMMYFUNCTION("split(A1509,""//"")"),"ord_71487")</f>
        <v>ord_71487</v>
      </c>
      <c r="C1509" s="14" t="str">
        <f>IFERROR(__xludf.DUMMYFUNCTION("""COMPUTED_VALUE"""),"Sahil Desai")</f>
        <v>Sahil Desai</v>
      </c>
      <c r="D1509" s="14" t="str">
        <f>IFERROR(__xludf.DUMMYFUNCTION("""COMPUTED_VALUE"""),"Lower Parel")</f>
        <v>Lower Parel</v>
      </c>
      <c r="E1509" s="14" t="str">
        <f>IFERROR(__xludf.DUMMYFUNCTION("""COMPUTED_VALUE"""),"Tomato+2*Kiran Mehta")</f>
        <v>Tomato+2*Kiran Mehta</v>
      </c>
      <c r="F1509" s="14">
        <f>IFERROR(__xludf.DUMMYFUNCTION("""COMPUTED_VALUE"""),8.0)</f>
        <v>8</v>
      </c>
      <c r="G1509" s="14">
        <f>IFERROR(__xludf.DUMMYFUNCTION("""COMPUTED_VALUE"""),24.0)</f>
        <v>24</v>
      </c>
      <c r="H1509" s="14">
        <f>IFERROR(__xludf.DUMMYFUNCTION("""COMPUTED_VALUE"""),2023.0)</f>
        <v>2023</v>
      </c>
      <c r="I1509" s="14" t="str">
        <f>IFERROR(__xludf.DUMMYFUNCTION("""COMPUTED_VALUE"""),"COD")</f>
        <v>COD</v>
      </c>
      <c r="J1509" s="14" t="str">
        <f>IFERROR(__xludf.DUMMYFUNCTION("""COMPUTED_VALUE"""),"Delivered*Customer Service: Seamless and easy")</f>
        <v>Delivered*Customer Service: Seamless and easy</v>
      </c>
      <c r="K1509" s="14" t="str">
        <f>IFERROR(__xludf.DUMMYFUNCTION("split(E1509,""+"")"),"Tomato")</f>
        <v>Tomato</v>
      </c>
      <c r="L1509" s="14" t="str">
        <f>IFERROR(__xludf.DUMMYFUNCTION("""COMPUTED_VALUE"""),"2*Kiran Mehta")</f>
        <v>2*Kiran Mehta</v>
      </c>
      <c r="M1509" s="14">
        <f>IFERROR(__xludf.DUMMYFUNCTION("SPLIT(L1509,""*"")"),2.0)</f>
        <v>2</v>
      </c>
      <c r="N1509" s="14" t="str">
        <f>IFERROR(__xludf.DUMMYFUNCTION("""COMPUTED_VALUE"""),"Kiran Mehta")</f>
        <v>Kiran Mehta</v>
      </c>
      <c r="O1509" s="14" t="str">
        <f>IFERROR(__xludf.DUMMYFUNCTION("split(J1509,""*"")"),"Delivered")</f>
        <v>Delivered</v>
      </c>
      <c r="P1509" s="14" t="str">
        <f>IFERROR(__xludf.DUMMYFUNCTION("""COMPUTED_VALUE"""),"Customer Service: Seamless and easy")</f>
        <v>Customer Service: Seamless and easy</v>
      </c>
      <c r="Q1509" s="14" t="str">
        <f>IFERROR(__xludf.DUMMYFUNCTION("split(P1509,"":"")"),"Customer Service")</f>
        <v>Customer Service</v>
      </c>
      <c r="R1509" s="14" t="str">
        <f>IFERROR(__xludf.DUMMYFUNCTION("""COMPUTED_VALUE""")," Seamless and easy")</f>
        <v> Seamless and easy</v>
      </c>
      <c r="S1509" s="14" t="str">
        <f t="shared" ref="S1509:U1509" si="3021">trim(B1509)</f>
        <v>ord_71487</v>
      </c>
      <c r="T1509" s="14" t="str">
        <f t="shared" si="3021"/>
        <v>Sahil Desai</v>
      </c>
      <c r="U1509" s="14" t="str">
        <f t="shared" si="3021"/>
        <v>Lower Parel</v>
      </c>
      <c r="V1509" s="14" t="str">
        <f t="shared" si="4"/>
        <v>Tomato</v>
      </c>
      <c r="W1509" s="14">
        <f t="shared" si="5"/>
        <v>2</v>
      </c>
      <c r="X1509" s="14" t="str">
        <f t="shared" si="6"/>
        <v>Kiran Mehta</v>
      </c>
      <c r="Y1509" s="15">
        <f t="shared" si="7"/>
        <v>45162</v>
      </c>
      <c r="Z1509" s="14" t="str">
        <f t="shared" si="8"/>
        <v>COD</v>
      </c>
      <c r="AA1509" s="14" t="str">
        <f t="shared" si="9"/>
        <v>Delivered</v>
      </c>
      <c r="AB1509" s="14" t="str">
        <f t="shared" ref="AB1509:AC1509" si="3022">trim(Q1509)</f>
        <v>Customer Service</v>
      </c>
      <c r="AC1509" s="14" t="str">
        <f t="shared" si="3022"/>
        <v>Seamless and easy</v>
      </c>
      <c r="AD1509" s="8"/>
    </row>
    <row r="1510">
      <c r="A1510" s="14" t="str">
        <f>IFERROR(__xludf.DUMMYFUNCTION("""COMPUTED_VALUE"""),"//ord_71488//Ishaan Chaturvedi//Bandra//Onion+1*Priya Joshi/3/20/2023//Online Payment//Delivered*Delivery Experience: Quick and professional")</f>
        <v>//ord_71488//Ishaan Chaturvedi//Bandra//Onion+1*Priya Joshi/3/20/2023//Online Payment//Delivered*Delivery Experience: Quick and professional</v>
      </c>
      <c r="B1510" s="14" t="str">
        <f>IFERROR(__xludf.DUMMYFUNCTION("split(A1510,""//"")"),"ord_71488")</f>
        <v>ord_71488</v>
      </c>
      <c r="C1510" s="14" t="str">
        <f>IFERROR(__xludf.DUMMYFUNCTION("""COMPUTED_VALUE"""),"Ishaan Chaturvedi")</f>
        <v>Ishaan Chaturvedi</v>
      </c>
      <c r="D1510" s="14" t="str">
        <f>IFERROR(__xludf.DUMMYFUNCTION("""COMPUTED_VALUE"""),"Bandra")</f>
        <v>Bandra</v>
      </c>
      <c r="E1510" s="14" t="str">
        <f>IFERROR(__xludf.DUMMYFUNCTION("""COMPUTED_VALUE"""),"Onion+1*Priya Joshi")</f>
        <v>Onion+1*Priya Joshi</v>
      </c>
      <c r="F1510" s="14">
        <f>IFERROR(__xludf.DUMMYFUNCTION("""COMPUTED_VALUE"""),3.0)</f>
        <v>3</v>
      </c>
      <c r="G1510" s="14">
        <f>IFERROR(__xludf.DUMMYFUNCTION("""COMPUTED_VALUE"""),20.0)</f>
        <v>20</v>
      </c>
      <c r="H1510" s="14">
        <f>IFERROR(__xludf.DUMMYFUNCTION("""COMPUTED_VALUE"""),2023.0)</f>
        <v>2023</v>
      </c>
      <c r="I1510" s="14" t="str">
        <f>IFERROR(__xludf.DUMMYFUNCTION("""COMPUTED_VALUE"""),"Online Payment")</f>
        <v>Online Payment</v>
      </c>
      <c r="J1510" s="14" t="str">
        <f>IFERROR(__xludf.DUMMYFUNCTION("""COMPUTED_VALUE"""),"Delivered*Delivery Experience: Quick and professional")</f>
        <v>Delivered*Delivery Experience: Quick and professional</v>
      </c>
      <c r="K1510" s="14" t="str">
        <f>IFERROR(__xludf.DUMMYFUNCTION("split(E1510,""+"")"),"Onion")</f>
        <v>Onion</v>
      </c>
      <c r="L1510" s="14" t="str">
        <f>IFERROR(__xludf.DUMMYFUNCTION("""COMPUTED_VALUE"""),"1*Priya Joshi")</f>
        <v>1*Priya Joshi</v>
      </c>
      <c r="M1510" s="14">
        <f>IFERROR(__xludf.DUMMYFUNCTION("SPLIT(L1510,""*"")"),1.0)</f>
        <v>1</v>
      </c>
      <c r="N1510" s="14" t="str">
        <f>IFERROR(__xludf.DUMMYFUNCTION("""COMPUTED_VALUE"""),"Priya Joshi")</f>
        <v>Priya Joshi</v>
      </c>
      <c r="O1510" s="14" t="str">
        <f>IFERROR(__xludf.DUMMYFUNCTION("split(J1510,""*"")"),"Delivered")</f>
        <v>Delivered</v>
      </c>
      <c r="P1510" s="14" t="str">
        <f>IFERROR(__xludf.DUMMYFUNCTION("""COMPUTED_VALUE"""),"Delivery Experience: Quick and professional")</f>
        <v>Delivery Experience: Quick and professional</v>
      </c>
      <c r="Q1510" s="14" t="str">
        <f>IFERROR(__xludf.DUMMYFUNCTION("split(P1510,"":"")"),"Delivery Experience")</f>
        <v>Delivery Experience</v>
      </c>
      <c r="R1510" s="14" t="str">
        <f>IFERROR(__xludf.DUMMYFUNCTION("""COMPUTED_VALUE""")," Quick and professional")</f>
        <v> Quick and professional</v>
      </c>
      <c r="S1510" s="14" t="str">
        <f t="shared" ref="S1510:U1510" si="3023">trim(B1510)</f>
        <v>ord_71488</v>
      </c>
      <c r="T1510" s="14" t="str">
        <f t="shared" si="3023"/>
        <v>Ishaan Chaturvedi</v>
      </c>
      <c r="U1510" s="14" t="str">
        <f t="shared" si="3023"/>
        <v>Bandra</v>
      </c>
      <c r="V1510" s="14" t="str">
        <f t="shared" si="4"/>
        <v>Onion</v>
      </c>
      <c r="W1510" s="14">
        <f t="shared" si="5"/>
        <v>1</v>
      </c>
      <c r="X1510" s="14" t="str">
        <f t="shared" si="6"/>
        <v>Priya Joshi</v>
      </c>
      <c r="Y1510" s="15">
        <f t="shared" si="7"/>
        <v>45005</v>
      </c>
      <c r="Z1510" s="14" t="str">
        <f t="shared" si="8"/>
        <v>Online Payment</v>
      </c>
      <c r="AA1510" s="14" t="str">
        <f t="shared" si="9"/>
        <v>Delivered</v>
      </c>
      <c r="AB1510" s="14" t="str">
        <f t="shared" ref="AB1510:AC1510" si="3024">trim(Q1510)</f>
        <v>Delivery Experience</v>
      </c>
      <c r="AC1510" s="14" t="str">
        <f t="shared" si="3024"/>
        <v>Quick and professional</v>
      </c>
      <c r="AD1510" s="8"/>
    </row>
    <row r="1511">
      <c r="A1511" s="14" t="str">
        <f>IFERROR(__xludf.DUMMYFUNCTION("""COMPUTED_VALUE"""),"//ord_71489//Dev Chauhan//Bandra//Sweet Corn+1*Priya Joshi/3/22/2023//UPI//Delivered*Convenience: Easy tracking")</f>
        <v>//ord_71489//Dev Chauhan//Bandra//Sweet Corn+1*Priya Joshi/3/22/2023//UPI//Delivered*Convenience: Easy tracking</v>
      </c>
      <c r="B1511" s="14" t="str">
        <f>IFERROR(__xludf.DUMMYFUNCTION("split(A1511,""//"")"),"ord_71489")</f>
        <v>ord_71489</v>
      </c>
      <c r="C1511" s="14" t="str">
        <f>IFERROR(__xludf.DUMMYFUNCTION("""COMPUTED_VALUE"""),"Dev Chauhan")</f>
        <v>Dev Chauhan</v>
      </c>
      <c r="D1511" s="14" t="str">
        <f>IFERROR(__xludf.DUMMYFUNCTION("""COMPUTED_VALUE"""),"Bandra")</f>
        <v>Bandra</v>
      </c>
      <c r="E1511" s="14" t="str">
        <f>IFERROR(__xludf.DUMMYFUNCTION("""COMPUTED_VALUE"""),"Sweet Corn+1*Priya Joshi")</f>
        <v>Sweet Corn+1*Priya Joshi</v>
      </c>
      <c r="F1511" s="14">
        <f>IFERROR(__xludf.DUMMYFUNCTION("""COMPUTED_VALUE"""),3.0)</f>
        <v>3</v>
      </c>
      <c r="G1511" s="14">
        <f>IFERROR(__xludf.DUMMYFUNCTION("""COMPUTED_VALUE"""),22.0)</f>
        <v>22</v>
      </c>
      <c r="H1511" s="14">
        <f>IFERROR(__xludf.DUMMYFUNCTION("""COMPUTED_VALUE"""),2023.0)</f>
        <v>2023</v>
      </c>
      <c r="I1511" s="14" t="str">
        <f>IFERROR(__xludf.DUMMYFUNCTION("""COMPUTED_VALUE"""),"UPI")</f>
        <v>UPI</v>
      </c>
      <c r="J1511" s="14" t="str">
        <f>IFERROR(__xludf.DUMMYFUNCTION("""COMPUTED_VALUE"""),"Delivered*Convenience: Easy tracking")</f>
        <v>Delivered*Convenience: Easy tracking</v>
      </c>
      <c r="K1511" s="14" t="str">
        <f>IFERROR(__xludf.DUMMYFUNCTION("split(E1511,""+"")"),"Sweet Corn")</f>
        <v>Sweet Corn</v>
      </c>
      <c r="L1511" s="14" t="str">
        <f>IFERROR(__xludf.DUMMYFUNCTION("""COMPUTED_VALUE"""),"1*Priya Joshi")</f>
        <v>1*Priya Joshi</v>
      </c>
      <c r="M1511" s="14">
        <f>IFERROR(__xludf.DUMMYFUNCTION("SPLIT(L1511,""*"")"),1.0)</f>
        <v>1</v>
      </c>
      <c r="N1511" s="14" t="str">
        <f>IFERROR(__xludf.DUMMYFUNCTION("""COMPUTED_VALUE"""),"Priya Joshi")</f>
        <v>Priya Joshi</v>
      </c>
      <c r="O1511" s="14" t="str">
        <f>IFERROR(__xludf.DUMMYFUNCTION("split(J1511,""*"")"),"Delivered")</f>
        <v>Delivered</v>
      </c>
      <c r="P1511" s="14" t="str">
        <f>IFERROR(__xludf.DUMMYFUNCTION("""COMPUTED_VALUE"""),"Convenience: Easy tracking")</f>
        <v>Convenience: Easy tracking</v>
      </c>
      <c r="Q1511" s="14" t="str">
        <f>IFERROR(__xludf.DUMMYFUNCTION("split(P1511,"":"")"),"Convenience")</f>
        <v>Convenience</v>
      </c>
      <c r="R1511" s="14" t="str">
        <f>IFERROR(__xludf.DUMMYFUNCTION("""COMPUTED_VALUE""")," Easy tracking")</f>
        <v> Easy tracking</v>
      </c>
      <c r="S1511" s="14" t="str">
        <f t="shared" ref="S1511:U1511" si="3025">trim(B1511)</f>
        <v>ord_71489</v>
      </c>
      <c r="T1511" s="14" t="str">
        <f t="shared" si="3025"/>
        <v>Dev Chauhan</v>
      </c>
      <c r="U1511" s="14" t="str">
        <f t="shared" si="3025"/>
        <v>Bandra</v>
      </c>
      <c r="V1511" s="14" t="str">
        <f t="shared" si="4"/>
        <v>Sweet Corn</v>
      </c>
      <c r="W1511" s="14">
        <f t="shared" si="5"/>
        <v>1</v>
      </c>
      <c r="X1511" s="14" t="str">
        <f t="shared" si="6"/>
        <v>Priya Joshi</v>
      </c>
      <c r="Y1511" s="15">
        <f t="shared" si="7"/>
        <v>45007</v>
      </c>
      <c r="Z1511" s="14" t="str">
        <f t="shared" si="8"/>
        <v>UPI</v>
      </c>
      <c r="AA1511" s="14" t="str">
        <f t="shared" si="9"/>
        <v>Delivered</v>
      </c>
      <c r="AB1511" s="14" t="str">
        <f t="shared" ref="AB1511:AC1511" si="3026">trim(Q1511)</f>
        <v>Convenience</v>
      </c>
      <c r="AC1511" s="14" t="str">
        <f t="shared" si="3026"/>
        <v>Easy tracking</v>
      </c>
      <c r="AD1511" s="8"/>
    </row>
    <row r="1512">
      <c r="A1512" s="14" t="str">
        <f>IFERROR(__xludf.DUMMYFUNCTION("""COMPUTED_VALUE"""),"//ord_71490//Ishita Banerjee//Juhu//Banana+1*Not Assigned/5/26/2023//Credit Card//Cancelled*App Glitches:Error Messages")</f>
        <v>//ord_71490//Ishita Banerjee//Juhu//Banana+1*Not Assigned/5/26/2023//Credit Card//Cancelled*App Glitches:Error Messages</v>
      </c>
      <c r="B1512" s="14" t="str">
        <f>IFERROR(__xludf.DUMMYFUNCTION("split(A1512,""//"")"),"ord_71490")</f>
        <v>ord_71490</v>
      </c>
      <c r="C1512" s="14" t="str">
        <f>IFERROR(__xludf.DUMMYFUNCTION("""COMPUTED_VALUE"""),"Ishita Banerjee")</f>
        <v>Ishita Banerjee</v>
      </c>
      <c r="D1512" s="14" t="str">
        <f>IFERROR(__xludf.DUMMYFUNCTION("""COMPUTED_VALUE"""),"Juhu")</f>
        <v>Juhu</v>
      </c>
      <c r="E1512" s="14" t="str">
        <f>IFERROR(__xludf.DUMMYFUNCTION("""COMPUTED_VALUE"""),"Banana+1*Not Assigned")</f>
        <v>Banana+1*Not Assigned</v>
      </c>
      <c r="F1512" s="14">
        <f>IFERROR(__xludf.DUMMYFUNCTION("""COMPUTED_VALUE"""),5.0)</f>
        <v>5</v>
      </c>
      <c r="G1512" s="14">
        <f>IFERROR(__xludf.DUMMYFUNCTION("""COMPUTED_VALUE"""),26.0)</f>
        <v>26</v>
      </c>
      <c r="H1512" s="14">
        <f>IFERROR(__xludf.DUMMYFUNCTION("""COMPUTED_VALUE"""),2023.0)</f>
        <v>2023</v>
      </c>
      <c r="I1512" s="14" t="str">
        <f>IFERROR(__xludf.DUMMYFUNCTION("""COMPUTED_VALUE"""),"Credit Card")</f>
        <v>Credit Card</v>
      </c>
      <c r="J1512" s="14" t="str">
        <f>IFERROR(__xludf.DUMMYFUNCTION("""COMPUTED_VALUE"""),"Cancelled*App Glitches:Error Messages")</f>
        <v>Cancelled*App Glitches:Error Messages</v>
      </c>
      <c r="K1512" s="14" t="str">
        <f>IFERROR(__xludf.DUMMYFUNCTION("split(E1512,""+"")"),"Banana")</f>
        <v>Banana</v>
      </c>
      <c r="L1512" s="14" t="str">
        <f>IFERROR(__xludf.DUMMYFUNCTION("""COMPUTED_VALUE"""),"1*Not Assigned")</f>
        <v>1*Not Assigned</v>
      </c>
      <c r="M1512" s="14">
        <f>IFERROR(__xludf.DUMMYFUNCTION("SPLIT(L1512,""*"")"),1.0)</f>
        <v>1</v>
      </c>
      <c r="N1512" s="14" t="str">
        <f>IFERROR(__xludf.DUMMYFUNCTION("""COMPUTED_VALUE"""),"Not Assigned")</f>
        <v>Not Assigned</v>
      </c>
      <c r="O1512" s="14" t="str">
        <f>IFERROR(__xludf.DUMMYFUNCTION("split(J1512,""*"")"),"Cancelled")</f>
        <v>Cancelled</v>
      </c>
      <c r="P1512" s="14" t="str">
        <f>IFERROR(__xludf.DUMMYFUNCTION("""COMPUTED_VALUE"""),"App Glitches:Error Messages")</f>
        <v>App Glitches:Error Messages</v>
      </c>
      <c r="Q1512" s="14" t="str">
        <f>IFERROR(__xludf.DUMMYFUNCTION("split(P1512,"":"")"),"App Glitches")</f>
        <v>App Glitches</v>
      </c>
      <c r="R1512" s="14" t="str">
        <f>IFERROR(__xludf.DUMMYFUNCTION("""COMPUTED_VALUE"""),"Error Messages")</f>
        <v>Error Messages</v>
      </c>
      <c r="S1512" s="14" t="str">
        <f t="shared" ref="S1512:U1512" si="3027">trim(B1512)</f>
        <v>ord_71490</v>
      </c>
      <c r="T1512" s="14" t="str">
        <f t="shared" si="3027"/>
        <v>Ishita Banerjee</v>
      </c>
      <c r="U1512" s="14" t="str">
        <f t="shared" si="3027"/>
        <v>Juhu</v>
      </c>
      <c r="V1512" s="14" t="str">
        <f t="shared" si="4"/>
        <v>Banana</v>
      </c>
      <c r="W1512" s="14">
        <f t="shared" si="5"/>
        <v>1</v>
      </c>
      <c r="X1512" s="14" t="str">
        <f t="shared" si="6"/>
        <v>Not Assigned</v>
      </c>
      <c r="Y1512" s="15">
        <f t="shared" si="7"/>
        <v>45072</v>
      </c>
      <c r="Z1512" s="14" t="str">
        <f t="shared" si="8"/>
        <v>Credit Card</v>
      </c>
      <c r="AA1512" s="14" t="str">
        <f t="shared" si="9"/>
        <v>Cancelled</v>
      </c>
      <c r="AB1512" s="14" t="str">
        <f t="shared" ref="AB1512:AC1512" si="3028">trim(Q1512)</f>
        <v>App Glitches</v>
      </c>
      <c r="AC1512" s="14" t="str">
        <f t="shared" si="3028"/>
        <v>Error Messages</v>
      </c>
      <c r="AD1512" s="8"/>
    </row>
    <row r="1513">
      <c r="A1513" s="14" t="str">
        <f>IFERROR(__xludf.DUMMYFUNCTION("""COMPUTED_VALUE"""),"//ord_71491//Ishaan Chaturvedi//Bandra//Tomato+1*Priya Joshi/5/6/2023//UPI//Delivered*Overall Satisfaction: Great service will order again")</f>
        <v>//ord_71491//Ishaan Chaturvedi//Bandra//Tomato+1*Priya Joshi/5/6/2023//UPI//Delivered*Overall Satisfaction: Great service will order again</v>
      </c>
      <c r="B1513" s="14" t="str">
        <f>IFERROR(__xludf.DUMMYFUNCTION("split(A1513,""//"")"),"ord_71491")</f>
        <v>ord_71491</v>
      </c>
      <c r="C1513" s="14" t="str">
        <f>IFERROR(__xludf.DUMMYFUNCTION("""COMPUTED_VALUE"""),"Ishaan Chaturvedi")</f>
        <v>Ishaan Chaturvedi</v>
      </c>
      <c r="D1513" s="14" t="str">
        <f>IFERROR(__xludf.DUMMYFUNCTION("""COMPUTED_VALUE"""),"Bandra")</f>
        <v>Bandra</v>
      </c>
      <c r="E1513" s="14" t="str">
        <f>IFERROR(__xludf.DUMMYFUNCTION("""COMPUTED_VALUE"""),"Tomato+1*Priya Joshi")</f>
        <v>Tomato+1*Priya Joshi</v>
      </c>
      <c r="F1513" s="14">
        <f>IFERROR(__xludf.DUMMYFUNCTION("""COMPUTED_VALUE"""),5.0)</f>
        <v>5</v>
      </c>
      <c r="G1513" s="14">
        <f>IFERROR(__xludf.DUMMYFUNCTION("""COMPUTED_VALUE"""),6.0)</f>
        <v>6</v>
      </c>
      <c r="H1513" s="14">
        <f>IFERROR(__xludf.DUMMYFUNCTION("""COMPUTED_VALUE"""),2023.0)</f>
        <v>2023</v>
      </c>
      <c r="I1513" s="14" t="str">
        <f>IFERROR(__xludf.DUMMYFUNCTION("""COMPUTED_VALUE"""),"UPI")</f>
        <v>UPI</v>
      </c>
      <c r="J1513" s="14" t="str">
        <f>IFERROR(__xludf.DUMMYFUNCTION("""COMPUTED_VALUE"""),"Delivered*Overall Satisfaction: Great service will order again")</f>
        <v>Delivered*Overall Satisfaction: Great service will order again</v>
      </c>
      <c r="K1513" s="14" t="str">
        <f>IFERROR(__xludf.DUMMYFUNCTION("split(E1513,""+"")"),"Tomato")</f>
        <v>Tomato</v>
      </c>
      <c r="L1513" s="14" t="str">
        <f>IFERROR(__xludf.DUMMYFUNCTION("""COMPUTED_VALUE"""),"1*Priya Joshi")</f>
        <v>1*Priya Joshi</v>
      </c>
      <c r="M1513" s="14">
        <f>IFERROR(__xludf.DUMMYFUNCTION("SPLIT(L1513,""*"")"),1.0)</f>
        <v>1</v>
      </c>
      <c r="N1513" s="14" t="str">
        <f>IFERROR(__xludf.DUMMYFUNCTION("""COMPUTED_VALUE"""),"Priya Joshi")</f>
        <v>Priya Joshi</v>
      </c>
      <c r="O1513" s="14" t="str">
        <f>IFERROR(__xludf.DUMMYFUNCTION("split(J1513,""*"")"),"Delivered")</f>
        <v>Delivered</v>
      </c>
      <c r="P1513" s="14" t="str">
        <f>IFERROR(__xludf.DUMMYFUNCTION("""COMPUTED_VALUE"""),"Overall Satisfaction: Great service will order again")</f>
        <v>Overall Satisfaction: Great service will order again</v>
      </c>
      <c r="Q1513" s="14" t="str">
        <f>IFERROR(__xludf.DUMMYFUNCTION("split(P1513,"":"")"),"Overall Satisfaction")</f>
        <v>Overall Satisfaction</v>
      </c>
      <c r="R1513" s="14" t="str">
        <f>IFERROR(__xludf.DUMMYFUNCTION("""COMPUTED_VALUE""")," Great service will order again")</f>
        <v> Great service will order again</v>
      </c>
      <c r="S1513" s="14" t="str">
        <f t="shared" ref="S1513:U1513" si="3029">trim(B1513)</f>
        <v>ord_71491</v>
      </c>
      <c r="T1513" s="14" t="str">
        <f t="shared" si="3029"/>
        <v>Ishaan Chaturvedi</v>
      </c>
      <c r="U1513" s="14" t="str">
        <f t="shared" si="3029"/>
        <v>Bandra</v>
      </c>
      <c r="V1513" s="14" t="str">
        <f t="shared" si="4"/>
        <v>Tomato</v>
      </c>
      <c r="W1513" s="14">
        <f t="shared" si="5"/>
        <v>1</v>
      </c>
      <c r="X1513" s="14" t="str">
        <f t="shared" si="6"/>
        <v>Priya Joshi</v>
      </c>
      <c r="Y1513" s="15">
        <f t="shared" si="7"/>
        <v>45052</v>
      </c>
      <c r="Z1513" s="14" t="str">
        <f t="shared" si="8"/>
        <v>UPI</v>
      </c>
      <c r="AA1513" s="14" t="str">
        <f t="shared" si="9"/>
        <v>Delivered</v>
      </c>
      <c r="AB1513" s="14" t="str">
        <f t="shared" ref="AB1513:AC1513" si="3030">trim(Q1513)</f>
        <v>Overall Satisfaction</v>
      </c>
      <c r="AC1513" s="14" t="str">
        <f t="shared" si="3030"/>
        <v>Great service will order again</v>
      </c>
      <c r="AD1513" s="8"/>
    </row>
    <row r="1514">
      <c r="A1514" s="14" t="str">
        <f>IFERROR(__xludf.DUMMYFUNCTION("""COMPUTED_VALUE"""),"//ord_71492//Mohit Malhotra//Lower Parel//Tiramisu+1*Vivek Kumar/7/24/2023//Online Payment//Delivered*On-time Delivery: Delivered on time")</f>
        <v>//ord_71492//Mohit Malhotra//Lower Parel//Tiramisu+1*Vivek Kumar/7/24/2023//Online Payment//Delivered*On-time Delivery: Delivered on time</v>
      </c>
      <c r="B1514" s="14" t="str">
        <f>IFERROR(__xludf.DUMMYFUNCTION("split(A1514,""//"")"),"ord_71492")</f>
        <v>ord_71492</v>
      </c>
      <c r="C1514" s="14" t="str">
        <f>IFERROR(__xludf.DUMMYFUNCTION("""COMPUTED_VALUE"""),"Mohit Malhotra")</f>
        <v>Mohit Malhotra</v>
      </c>
      <c r="D1514" s="14" t="str">
        <f>IFERROR(__xludf.DUMMYFUNCTION("""COMPUTED_VALUE"""),"Lower Parel")</f>
        <v>Lower Parel</v>
      </c>
      <c r="E1514" s="14" t="str">
        <f>IFERROR(__xludf.DUMMYFUNCTION("""COMPUTED_VALUE"""),"Tiramisu+1*Vivek Kumar")</f>
        <v>Tiramisu+1*Vivek Kumar</v>
      </c>
      <c r="F1514" s="14">
        <f>IFERROR(__xludf.DUMMYFUNCTION("""COMPUTED_VALUE"""),7.0)</f>
        <v>7</v>
      </c>
      <c r="G1514" s="14">
        <f>IFERROR(__xludf.DUMMYFUNCTION("""COMPUTED_VALUE"""),24.0)</f>
        <v>24</v>
      </c>
      <c r="H1514" s="14">
        <f>IFERROR(__xludf.DUMMYFUNCTION("""COMPUTED_VALUE"""),2023.0)</f>
        <v>2023</v>
      </c>
      <c r="I1514" s="14" t="str">
        <f>IFERROR(__xludf.DUMMYFUNCTION("""COMPUTED_VALUE"""),"Online Payment")</f>
        <v>Online Payment</v>
      </c>
      <c r="J1514" s="14" t="str">
        <f>IFERROR(__xludf.DUMMYFUNCTION("""COMPUTED_VALUE"""),"Delivered*On-time Delivery: Delivered on time")</f>
        <v>Delivered*On-time Delivery: Delivered on time</v>
      </c>
      <c r="K1514" s="14" t="str">
        <f>IFERROR(__xludf.DUMMYFUNCTION("split(E1514,""+"")"),"Tiramisu")</f>
        <v>Tiramisu</v>
      </c>
      <c r="L1514" s="14" t="str">
        <f>IFERROR(__xludf.DUMMYFUNCTION("""COMPUTED_VALUE"""),"1*Vivek Kumar")</f>
        <v>1*Vivek Kumar</v>
      </c>
      <c r="M1514" s="14">
        <f>IFERROR(__xludf.DUMMYFUNCTION("SPLIT(L1514,""*"")"),1.0)</f>
        <v>1</v>
      </c>
      <c r="N1514" s="14" t="str">
        <f>IFERROR(__xludf.DUMMYFUNCTION("""COMPUTED_VALUE"""),"Vivek Kumar")</f>
        <v>Vivek Kumar</v>
      </c>
      <c r="O1514" s="14" t="str">
        <f>IFERROR(__xludf.DUMMYFUNCTION("split(J1514,""*"")"),"Delivered")</f>
        <v>Delivered</v>
      </c>
      <c r="P1514" s="14" t="str">
        <f>IFERROR(__xludf.DUMMYFUNCTION("""COMPUTED_VALUE"""),"On-time Delivery: Delivered on time")</f>
        <v>On-time Delivery: Delivered on time</v>
      </c>
      <c r="Q1514" s="14" t="str">
        <f>IFERROR(__xludf.DUMMYFUNCTION("split(P1514,"":"")"),"On-time Delivery")</f>
        <v>On-time Delivery</v>
      </c>
      <c r="R1514" s="14" t="str">
        <f>IFERROR(__xludf.DUMMYFUNCTION("""COMPUTED_VALUE""")," Delivered on time")</f>
        <v> Delivered on time</v>
      </c>
      <c r="S1514" s="14" t="str">
        <f t="shared" ref="S1514:U1514" si="3031">trim(B1514)</f>
        <v>ord_71492</v>
      </c>
      <c r="T1514" s="14" t="str">
        <f t="shared" si="3031"/>
        <v>Mohit Malhotra</v>
      </c>
      <c r="U1514" s="14" t="str">
        <f t="shared" si="3031"/>
        <v>Lower Parel</v>
      </c>
      <c r="V1514" s="14" t="str">
        <f t="shared" si="4"/>
        <v>Tiramisu</v>
      </c>
      <c r="W1514" s="14">
        <f t="shared" si="5"/>
        <v>1</v>
      </c>
      <c r="X1514" s="14" t="str">
        <f t="shared" si="6"/>
        <v>Vivek Kumar</v>
      </c>
      <c r="Y1514" s="15">
        <f t="shared" si="7"/>
        <v>45131</v>
      </c>
      <c r="Z1514" s="14" t="str">
        <f t="shared" si="8"/>
        <v>Online Payment</v>
      </c>
      <c r="AA1514" s="14" t="str">
        <f t="shared" si="9"/>
        <v>Delivered</v>
      </c>
      <c r="AB1514" s="14" t="str">
        <f t="shared" ref="AB1514:AC1514" si="3032">trim(Q1514)</f>
        <v>On-time Delivery</v>
      </c>
      <c r="AC1514" s="14" t="str">
        <f t="shared" si="3032"/>
        <v>Delivered on time</v>
      </c>
      <c r="AD1514" s="8"/>
    </row>
    <row r="1515">
      <c r="A1515" s="14" t="str">
        <f>IFERROR(__xludf.DUMMYFUNCTION("""COMPUTED_VALUE"""),"//ord_71493//Ishaan Chaturvedi//Bandra//Apple+2*Ram Gopal/3/25/2023//COD//Delivered*Quality of Items: Perfect condition")</f>
        <v>//ord_71493//Ishaan Chaturvedi//Bandra//Apple+2*Ram Gopal/3/25/2023//COD//Delivered*Quality of Items: Perfect condition</v>
      </c>
      <c r="B1515" s="14" t="str">
        <f>IFERROR(__xludf.DUMMYFUNCTION("split(A1515,""//"")"),"ord_71493")</f>
        <v>ord_71493</v>
      </c>
      <c r="C1515" s="14" t="str">
        <f>IFERROR(__xludf.DUMMYFUNCTION("""COMPUTED_VALUE"""),"Ishaan Chaturvedi")</f>
        <v>Ishaan Chaturvedi</v>
      </c>
      <c r="D1515" s="14" t="str">
        <f>IFERROR(__xludf.DUMMYFUNCTION("""COMPUTED_VALUE"""),"Bandra")</f>
        <v>Bandra</v>
      </c>
      <c r="E1515" s="14" t="str">
        <f>IFERROR(__xludf.DUMMYFUNCTION("""COMPUTED_VALUE"""),"Apple+2*Ram Gopal")</f>
        <v>Apple+2*Ram Gopal</v>
      </c>
      <c r="F1515" s="14">
        <f>IFERROR(__xludf.DUMMYFUNCTION("""COMPUTED_VALUE"""),3.0)</f>
        <v>3</v>
      </c>
      <c r="G1515" s="14">
        <f>IFERROR(__xludf.DUMMYFUNCTION("""COMPUTED_VALUE"""),25.0)</f>
        <v>25</v>
      </c>
      <c r="H1515" s="14">
        <f>IFERROR(__xludf.DUMMYFUNCTION("""COMPUTED_VALUE"""),2023.0)</f>
        <v>2023</v>
      </c>
      <c r="I1515" s="14" t="str">
        <f>IFERROR(__xludf.DUMMYFUNCTION("""COMPUTED_VALUE"""),"COD")</f>
        <v>COD</v>
      </c>
      <c r="J1515" s="14" t="str">
        <f>IFERROR(__xludf.DUMMYFUNCTION("""COMPUTED_VALUE"""),"Delivered*Quality of Items: Perfect condition")</f>
        <v>Delivered*Quality of Items: Perfect condition</v>
      </c>
      <c r="K1515" s="14" t="str">
        <f>IFERROR(__xludf.DUMMYFUNCTION("split(E1515,""+"")"),"Apple")</f>
        <v>Apple</v>
      </c>
      <c r="L1515" s="14" t="str">
        <f>IFERROR(__xludf.DUMMYFUNCTION("""COMPUTED_VALUE"""),"2*Ram Gopal")</f>
        <v>2*Ram Gopal</v>
      </c>
      <c r="M1515" s="14">
        <f>IFERROR(__xludf.DUMMYFUNCTION("SPLIT(L1515,""*"")"),2.0)</f>
        <v>2</v>
      </c>
      <c r="N1515" s="14" t="str">
        <f>IFERROR(__xludf.DUMMYFUNCTION("""COMPUTED_VALUE"""),"Ram Gopal")</f>
        <v>Ram Gopal</v>
      </c>
      <c r="O1515" s="14" t="str">
        <f>IFERROR(__xludf.DUMMYFUNCTION("split(J1515,""*"")"),"Delivered")</f>
        <v>Delivered</v>
      </c>
      <c r="P1515" s="14" t="str">
        <f>IFERROR(__xludf.DUMMYFUNCTION("""COMPUTED_VALUE"""),"Quality of Items: Perfect condition")</f>
        <v>Quality of Items: Perfect condition</v>
      </c>
      <c r="Q1515" s="14" t="str">
        <f>IFERROR(__xludf.DUMMYFUNCTION("split(P1515,"":"")"),"Quality of Items")</f>
        <v>Quality of Items</v>
      </c>
      <c r="R1515" s="14" t="str">
        <f>IFERROR(__xludf.DUMMYFUNCTION("""COMPUTED_VALUE""")," Perfect condition")</f>
        <v> Perfect condition</v>
      </c>
      <c r="S1515" s="14" t="str">
        <f t="shared" ref="S1515:U1515" si="3033">trim(B1515)</f>
        <v>ord_71493</v>
      </c>
      <c r="T1515" s="14" t="str">
        <f t="shared" si="3033"/>
        <v>Ishaan Chaturvedi</v>
      </c>
      <c r="U1515" s="14" t="str">
        <f t="shared" si="3033"/>
        <v>Bandra</v>
      </c>
      <c r="V1515" s="14" t="str">
        <f t="shared" si="4"/>
        <v>Apple</v>
      </c>
      <c r="W1515" s="14">
        <f t="shared" si="5"/>
        <v>2</v>
      </c>
      <c r="X1515" s="14" t="str">
        <f t="shared" si="6"/>
        <v>Ram Gopal</v>
      </c>
      <c r="Y1515" s="15">
        <f t="shared" si="7"/>
        <v>45010</v>
      </c>
      <c r="Z1515" s="14" t="str">
        <f t="shared" si="8"/>
        <v>COD</v>
      </c>
      <c r="AA1515" s="14" t="str">
        <f t="shared" si="9"/>
        <v>Delivered</v>
      </c>
      <c r="AB1515" s="14" t="str">
        <f t="shared" ref="AB1515:AC1515" si="3034">trim(Q1515)</f>
        <v>Quality of Items</v>
      </c>
      <c r="AC1515" s="14" t="str">
        <f t="shared" si="3034"/>
        <v>Perfect condition</v>
      </c>
      <c r="AD1515" s="8"/>
    </row>
    <row r="1516">
      <c r="A1516" s="14" t="str">
        <f>IFERROR(__xludf.DUMMYFUNCTION("""COMPUTED_VALUE"""),"//ord_71494//Kritika Shetty//Malad//Chocolate Mousse+5*Not Assigned/11/13/2023//Credit Card//Cancelled*App Glitches:Slow Loading Time")</f>
        <v>//ord_71494//Kritika Shetty//Malad//Chocolate Mousse+5*Not Assigned/11/13/2023//Credit Card//Cancelled*App Glitches:Slow Loading Time</v>
      </c>
      <c r="B1516" s="14" t="str">
        <f>IFERROR(__xludf.DUMMYFUNCTION("split(A1516,""//"")"),"ord_71494")</f>
        <v>ord_71494</v>
      </c>
      <c r="C1516" s="14" t="str">
        <f>IFERROR(__xludf.DUMMYFUNCTION("""COMPUTED_VALUE"""),"Kritika Shetty")</f>
        <v>Kritika Shetty</v>
      </c>
      <c r="D1516" s="14" t="str">
        <f>IFERROR(__xludf.DUMMYFUNCTION("""COMPUTED_VALUE"""),"Malad")</f>
        <v>Malad</v>
      </c>
      <c r="E1516" s="14" t="str">
        <f>IFERROR(__xludf.DUMMYFUNCTION("""COMPUTED_VALUE"""),"Chocolate Mousse+5*Not Assigned")</f>
        <v>Chocolate Mousse+5*Not Assigned</v>
      </c>
      <c r="F1516" s="14">
        <f>IFERROR(__xludf.DUMMYFUNCTION("""COMPUTED_VALUE"""),11.0)</f>
        <v>11</v>
      </c>
      <c r="G1516" s="14">
        <f>IFERROR(__xludf.DUMMYFUNCTION("""COMPUTED_VALUE"""),13.0)</f>
        <v>13</v>
      </c>
      <c r="H1516" s="14">
        <f>IFERROR(__xludf.DUMMYFUNCTION("""COMPUTED_VALUE"""),2023.0)</f>
        <v>2023</v>
      </c>
      <c r="I1516" s="14" t="str">
        <f>IFERROR(__xludf.DUMMYFUNCTION("""COMPUTED_VALUE"""),"Credit Card")</f>
        <v>Credit Card</v>
      </c>
      <c r="J1516" s="14" t="str">
        <f>IFERROR(__xludf.DUMMYFUNCTION("""COMPUTED_VALUE"""),"Cancelled*App Glitches:Slow Loading Time")</f>
        <v>Cancelled*App Glitches:Slow Loading Time</v>
      </c>
      <c r="K1516" s="14" t="str">
        <f>IFERROR(__xludf.DUMMYFUNCTION("split(E1516,""+"")"),"Chocolate Mousse")</f>
        <v>Chocolate Mousse</v>
      </c>
      <c r="L1516" s="14" t="str">
        <f>IFERROR(__xludf.DUMMYFUNCTION("""COMPUTED_VALUE"""),"5*Not Assigned")</f>
        <v>5*Not Assigned</v>
      </c>
      <c r="M1516" s="14">
        <f>IFERROR(__xludf.DUMMYFUNCTION("SPLIT(L1516,""*"")"),5.0)</f>
        <v>5</v>
      </c>
      <c r="N1516" s="14" t="str">
        <f>IFERROR(__xludf.DUMMYFUNCTION("""COMPUTED_VALUE"""),"Not Assigned")</f>
        <v>Not Assigned</v>
      </c>
      <c r="O1516" s="14" t="str">
        <f>IFERROR(__xludf.DUMMYFUNCTION("split(J1516,""*"")"),"Cancelled")</f>
        <v>Cancelled</v>
      </c>
      <c r="P1516" s="14" t="str">
        <f>IFERROR(__xludf.DUMMYFUNCTION("""COMPUTED_VALUE"""),"App Glitches:Slow Loading Time")</f>
        <v>App Glitches:Slow Loading Time</v>
      </c>
      <c r="Q1516" s="14" t="str">
        <f>IFERROR(__xludf.DUMMYFUNCTION("split(P1516,"":"")"),"App Glitches")</f>
        <v>App Glitches</v>
      </c>
      <c r="R1516" s="14" t="str">
        <f>IFERROR(__xludf.DUMMYFUNCTION("""COMPUTED_VALUE"""),"Slow Loading Time")</f>
        <v>Slow Loading Time</v>
      </c>
      <c r="S1516" s="14" t="str">
        <f t="shared" ref="S1516:U1516" si="3035">trim(B1516)</f>
        <v>ord_71494</v>
      </c>
      <c r="T1516" s="14" t="str">
        <f t="shared" si="3035"/>
        <v>Kritika Shetty</v>
      </c>
      <c r="U1516" s="14" t="str">
        <f t="shared" si="3035"/>
        <v>Malad</v>
      </c>
      <c r="V1516" s="14" t="str">
        <f t="shared" si="4"/>
        <v>Chocolate Mousse</v>
      </c>
      <c r="W1516" s="14">
        <f t="shared" si="5"/>
        <v>5</v>
      </c>
      <c r="X1516" s="14" t="str">
        <f t="shared" si="6"/>
        <v>Not Assigned</v>
      </c>
      <c r="Y1516" s="15">
        <f t="shared" si="7"/>
        <v>45243</v>
      </c>
      <c r="Z1516" s="14" t="str">
        <f t="shared" si="8"/>
        <v>Credit Card</v>
      </c>
      <c r="AA1516" s="14" t="str">
        <f t="shared" si="9"/>
        <v>Cancelled</v>
      </c>
      <c r="AB1516" s="14" t="str">
        <f t="shared" ref="AB1516:AC1516" si="3036">trim(Q1516)</f>
        <v>App Glitches</v>
      </c>
      <c r="AC1516" s="14" t="str">
        <f t="shared" si="3036"/>
        <v>Slow Loading Time</v>
      </c>
      <c r="AD1516" s="8"/>
    </row>
    <row r="1517">
      <c r="A1517" s="14" t="str">
        <f>IFERROR(__xludf.DUMMYFUNCTION("""COMPUTED_VALUE"""),"//ord_71495//Sanjay Nair//Dadar//Veg Puff+1*Shine Thomas/9/30/2023//Online Payment//Delivered*On-time Delivery: Delivered on time")</f>
        <v>//ord_71495//Sanjay Nair//Dadar//Veg Puff+1*Shine Thomas/9/30/2023//Online Payment//Delivered*On-time Delivery: Delivered on time</v>
      </c>
      <c r="B1517" s="14" t="str">
        <f>IFERROR(__xludf.DUMMYFUNCTION("split(A1517,""//"")"),"ord_71495")</f>
        <v>ord_71495</v>
      </c>
      <c r="C1517" s="14" t="str">
        <f>IFERROR(__xludf.DUMMYFUNCTION("""COMPUTED_VALUE"""),"Sanjay Nair")</f>
        <v>Sanjay Nair</v>
      </c>
      <c r="D1517" s="14" t="str">
        <f>IFERROR(__xludf.DUMMYFUNCTION("""COMPUTED_VALUE"""),"Dadar")</f>
        <v>Dadar</v>
      </c>
      <c r="E1517" s="14" t="str">
        <f>IFERROR(__xludf.DUMMYFUNCTION("""COMPUTED_VALUE"""),"Veg Puff+1*Shine Thomas")</f>
        <v>Veg Puff+1*Shine Thomas</v>
      </c>
      <c r="F1517" s="14">
        <f>IFERROR(__xludf.DUMMYFUNCTION("""COMPUTED_VALUE"""),9.0)</f>
        <v>9</v>
      </c>
      <c r="G1517" s="14">
        <f>IFERROR(__xludf.DUMMYFUNCTION("""COMPUTED_VALUE"""),30.0)</f>
        <v>30</v>
      </c>
      <c r="H1517" s="14">
        <f>IFERROR(__xludf.DUMMYFUNCTION("""COMPUTED_VALUE"""),2023.0)</f>
        <v>2023</v>
      </c>
      <c r="I1517" s="14" t="str">
        <f>IFERROR(__xludf.DUMMYFUNCTION("""COMPUTED_VALUE"""),"Online Payment")</f>
        <v>Online Payment</v>
      </c>
      <c r="J1517" s="14" t="str">
        <f>IFERROR(__xludf.DUMMYFUNCTION("""COMPUTED_VALUE"""),"Delivered*On-time Delivery: Delivered on time")</f>
        <v>Delivered*On-time Delivery: Delivered on time</v>
      </c>
      <c r="K1517" s="14" t="str">
        <f>IFERROR(__xludf.DUMMYFUNCTION("split(E1517,""+"")"),"Veg Puff")</f>
        <v>Veg Puff</v>
      </c>
      <c r="L1517" s="14" t="str">
        <f>IFERROR(__xludf.DUMMYFUNCTION("""COMPUTED_VALUE"""),"1*Shine Thomas")</f>
        <v>1*Shine Thomas</v>
      </c>
      <c r="M1517" s="14">
        <f>IFERROR(__xludf.DUMMYFUNCTION("SPLIT(L1517,""*"")"),1.0)</f>
        <v>1</v>
      </c>
      <c r="N1517" s="14" t="str">
        <f>IFERROR(__xludf.DUMMYFUNCTION("""COMPUTED_VALUE"""),"Shine Thomas")</f>
        <v>Shine Thomas</v>
      </c>
      <c r="O1517" s="14" t="str">
        <f>IFERROR(__xludf.DUMMYFUNCTION("split(J1517,""*"")"),"Delivered")</f>
        <v>Delivered</v>
      </c>
      <c r="P1517" s="14" t="str">
        <f>IFERROR(__xludf.DUMMYFUNCTION("""COMPUTED_VALUE"""),"On-time Delivery: Delivered on time")</f>
        <v>On-time Delivery: Delivered on time</v>
      </c>
      <c r="Q1517" s="14" t="str">
        <f>IFERROR(__xludf.DUMMYFUNCTION("split(P1517,"":"")"),"On-time Delivery")</f>
        <v>On-time Delivery</v>
      </c>
      <c r="R1517" s="14" t="str">
        <f>IFERROR(__xludf.DUMMYFUNCTION("""COMPUTED_VALUE""")," Delivered on time")</f>
        <v> Delivered on time</v>
      </c>
      <c r="S1517" s="14" t="str">
        <f t="shared" ref="S1517:U1517" si="3037">trim(B1517)</f>
        <v>ord_71495</v>
      </c>
      <c r="T1517" s="14" t="str">
        <f t="shared" si="3037"/>
        <v>Sanjay Nair</v>
      </c>
      <c r="U1517" s="14" t="str">
        <f t="shared" si="3037"/>
        <v>Dadar</v>
      </c>
      <c r="V1517" s="14" t="str">
        <f t="shared" si="4"/>
        <v>Veg Puff</v>
      </c>
      <c r="W1517" s="14">
        <f t="shared" si="5"/>
        <v>1</v>
      </c>
      <c r="X1517" s="14" t="str">
        <f t="shared" si="6"/>
        <v>Shine Thomas</v>
      </c>
      <c r="Y1517" s="15">
        <f t="shared" si="7"/>
        <v>45199</v>
      </c>
      <c r="Z1517" s="14" t="str">
        <f t="shared" si="8"/>
        <v>Online Payment</v>
      </c>
      <c r="AA1517" s="14" t="str">
        <f t="shared" si="9"/>
        <v>Delivered</v>
      </c>
      <c r="AB1517" s="14" t="str">
        <f t="shared" ref="AB1517:AC1517" si="3038">trim(Q1517)</f>
        <v>On-time Delivery</v>
      </c>
      <c r="AC1517" s="14" t="str">
        <f t="shared" si="3038"/>
        <v>Delivered on time</v>
      </c>
      <c r="AD1517" s="8"/>
    </row>
    <row r="1518">
      <c r="A1518" s="14" t="str">
        <f>IFERROR(__xludf.DUMMYFUNCTION("""COMPUTED_VALUE"""),"//ord_71496//Aarav Mehta//Andheri//Rasmalai+2*Manju Ajay/1/14/2023//Credit Card//Delivered*Quality of Items: Perfect condition")</f>
        <v>//ord_71496//Aarav Mehta//Andheri//Rasmalai+2*Manju Ajay/1/14/2023//Credit Card//Delivered*Quality of Items: Perfect condition</v>
      </c>
      <c r="B1518" s="14" t="str">
        <f>IFERROR(__xludf.DUMMYFUNCTION("split(A1518,""//"")"),"ord_71496")</f>
        <v>ord_71496</v>
      </c>
      <c r="C1518" s="14" t="str">
        <f>IFERROR(__xludf.DUMMYFUNCTION("""COMPUTED_VALUE"""),"Aarav Mehta")</f>
        <v>Aarav Mehta</v>
      </c>
      <c r="D1518" s="14" t="str">
        <f>IFERROR(__xludf.DUMMYFUNCTION("""COMPUTED_VALUE"""),"Andheri")</f>
        <v>Andheri</v>
      </c>
      <c r="E1518" s="14" t="str">
        <f>IFERROR(__xludf.DUMMYFUNCTION("""COMPUTED_VALUE"""),"Rasmalai+2*Manju Ajay")</f>
        <v>Rasmalai+2*Manju Ajay</v>
      </c>
      <c r="F1518" s="14">
        <f>IFERROR(__xludf.DUMMYFUNCTION("""COMPUTED_VALUE"""),1.0)</f>
        <v>1</v>
      </c>
      <c r="G1518" s="14">
        <f>IFERROR(__xludf.DUMMYFUNCTION("""COMPUTED_VALUE"""),14.0)</f>
        <v>14</v>
      </c>
      <c r="H1518" s="14">
        <f>IFERROR(__xludf.DUMMYFUNCTION("""COMPUTED_VALUE"""),2023.0)</f>
        <v>2023</v>
      </c>
      <c r="I1518" s="14" t="str">
        <f>IFERROR(__xludf.DUMMYFUNCTION("""COMPUTED_VALUE"""),"Credit Card")</f>
        <v>Credit Card</v>
      </c>
      <c r="J1518" s="14" t="str">
        <f>IFERROR(__xludf.DUMMYFUNCTION("""COMPUTED_VALUE"""),"Delivered*Quality of Items: Perfect condition")</f>
        <v>Delivered*Quality of Items: Perfect condition</v>
      </c>
      <c r="K1518" s="14" t="str">
        <f>IFERROR(__xludf.DUMMYFUNCTION("split(E1518,""+"")"),"Rasmalai")</f>
        <v>Rasmalai</v>
      </c>
      <c r="L1518" s="14" t="str">
        <f>IFERROR(__xludf.DUMMYFUNCTION("""COMPUTED_VALUE"""),"2*Manju Ajay")</f>
        <v>2*Manju Ajay</v>
      </c>
      <c r="M1518" s="14">
        <f>IFERROR(__xludf.DUMMYFUNCTION("SPLIT(L1518,""*"")"),2.0)</f>
        <v>2</v>
      </c>
      <c r="N1518" s="14" t="str">
        <f>IFERROR(__xludf.DUMMYFUNCTION("""COMPUTED_VALUE"""),"Manju Ajay")</f>
        <v>Manju Ajay</v>
      </c>
      <c r="O1518" s="14" t="str">
        <f>IFERROR(__xludf.DUMMYFUNCTION("split(J1518,""*"")"),"Delivered")</f>
        <v>Delivered</v>
      </c>
      <c r="P1518" s="14" t="str">
        <f>IFERROR(__xludf.DUMMYFUNCTION("""COMPUTED_VALUE"""),"Quality of Items: Perfect condition")</f>
        <v>Quality of Items: Perfect condition</v>
      </c>
      <c r="Q1518" s="14" t="str">
        <f>IFERROR(__xludf.DUMMYFUNCTION("split(P1518,"":"")"),"Quality of Items")</f>
        <v>Quality of Items</v>
      </c>
      <c r="R1518" s="14" t="str">
        <f>IFERROR(__xludf.DUMMYFUNCTION("""COMPUTED_VALUE""")," Perfect condition")</f>
        <v> Perfect condition</v>
      </c>
      <c r="S1518" s="14" t="str">
        <f t="shared" ref="S1518:U1518" si="3039">trim(B1518)</f>
        <v>ord_71496</v>
      </c>
      <c r="T1518" s="14" t="str">
        <f t="shared" si="3039"/>
        <v>Aarav Mehta</v>
      </c>
      <c r="U1518" s="14" t="str">
        <f t="shared" si="3039"/>
        <v>Andheri</v>
      </c>
      <c r="V1518" s="14" t="str">
        <f t="shared" si="4"/>
        <v>Rasmalai</v>
      </c>
      <c r="W1518" s="14">
        <f t="shared" si="5"/>
        <v>2</v>
      </c>
      <c r="X1518" s="14" t="str">
        <f t="shared" si="6"/>
        <v>Manju Ajay</v>
      </c>
      <c r="Y1518" s="15">
        <f t="shared" si="7"/>
        <v>44940</v>
      </c>
      <c r="Z1518" s="14" t="str">
        <f t="shared" si="8"/>
        <v>Credit Card</v>
      </c>
      <c r="AA1518" s="14" t="str">
        <f t="shared" si="9"/>
        <v>Delivered</v>
      </c>
      <c r="AB1518" s="14" t="str">
        <f t="shared" ref="AB1518:AC1518" si="3040">trim(Q1518)</f>
        <v>Quality of Items</v>
      </c>
      <c r="AC1518" s="14" t="str">
        <f t="shared" si="3040"/>
        <v>Perfect condition</v>
      </c>
      <c r="AD1518" s="8"/>
    </row>
    <row r="1519">
      <c r="A1519" s="14" t="str">
        <f>IFERROR(__xludf.DUMMYFUNCTION("""COMPUTED_VALUE"""),"//ord_71497//Mohit Malhotra//Lower Parel//Papaya+1*Sita T/12/14/2023//Credit Card//Delivered*Packaging: Secure and intact")</f>
        <v>//ord_71497//Mohit Malhotra//Lower Parel//Papaya+1*Sita T/12/14/2023//Credit Card//Delivered*Packaging: Secure and intact</v>
      </c>
      <c r="B1519" s="14" t="str">
        <f>IFERROR(__xludf.DUMMYFUNCTION("split(A1519,""//"")"),"ord_71497")</f>
        <v>ord_71497</v>
      </c>
      <c r="C1519" s="14" t="str">
        <f>IFERROR(__xludf.DUMMYFUNCTION("""COMPUTED_VALUE"""),"Mohit Malhotra")</f>
        <v>Mohit Malhotra</v>
      </c>
      <c r="D1519" s="14" t="str">
        <f>IFERROR(__xludf.DUMMYFUNCTION("""COMPUTED_VALUE"""),"Lower Parel")</f>
        <v>Lower Parel</v>
      </c>
      <c r="E1519" s="14" t="str">
        <f>IFERROR(__xludf.DUMMYFUNCTION("""COMPUTED_VALUE"""),"Papaya+1*Sita T")</f>
        <v>Papaya+1*Sita T</v>
      </c>
      <c r="F1519" s="14">
        <f>IFERROR(__xludf.DUMMYFUNCTION("""COMPUTED_VALUE"""),12.0)</f>
        <v>12</v>
      </c>
      <c r="G1519" s="14">
        <f>IFERROR(__xludf.DUMMYFUNCTION("""COMPUTED_VALUE"""),14.0)</f>
        <v>14</v>
      </c>
      <c r="H1519" s="14">
        <f>IFERROR(__xludf.DUMMYFUNCTION("""COMPUTED_VALUE"""),2023.0)</f>
        <v>2023</v>
      </c>
      <c r="I1519" s="14" t="str">
        <f>IFERROR(__xludf.DUMMYFUNCTION("""COMPUTED_VALUE"""),"Credit Card")</f>
        <v>Credit Card</v>
      </c>
      <c r="J1519" s="14" t="str">
        <f>IFERROR(__xludf.DUMMYFUNCTION("""COMPUTED_VALUE"""),"Delivered*Packaging: Secure and intact")</f>
        <v>Delivered*Packaging: Secure and intact</v>
      </c>
      <c r="K1519" s="14" t="str">
        <f>IFERROR(__xludf.DUMMYFUNCTION("split(E1519,""+"")"),"Papaya")</f>
        <v>Papaya</v>
      </c>
      <c r="L1519" s="14" t="str">
        <f>IFERROR(__xludf.DUMMYFUNCTION("""COMPUTED_VALUE"""),"1*Sita T")</f>
        <v>1*Sita T</v>
      </c>
      <c r="M1519" s="14">
        <f>IFERROR(__xludf.DUMMYFUNCTION("SPLIT(L1519,""*"")"),1.0)</f>
        <v>1</v>
      </c>
      <c r="N1519" s="14" t="str">
        <f>IFERROR(__xludf.DUMMYFUNCTION("""COMPUTED_VALUE"""),"Sita T")</f>
        <v>Sita T</v>
      </c>
      <c r="O1519" s="14" t="str">
        <f>IFERROR(__xludf.DUMMYFUNCTION("split(J1519,""*"")"),"Delivered")</f>
        <v>Delivered</v>
      </c>
      <c r="P1519" s="14" t="str">
        <f>IFERROR(__xludf.DUMMYFUNCTION("""COMPUTED_VALUE"""),"Packaging: Secure and intact")</f>
        <v>Packaging: Secure and intact</v>
      </c>
      <c r="Q1519" s="14" t="str">
        <f>IFERROR(__xludf.DUMMYFUNCTION("split(P1519,"":"")"),"Packaging")</f>
        <v>Packaging</v>
      </c>
      <c r="R1519" s="14" t="str">
        <f>IFERROR(__xludf.DUMMYFUNCTION("""COMPUTED_VALUE""")," Secure and intact")</f>
        <v> Secure and intact</v>
      </c>
      <c r="S1519" s="14" t="str">
        <f t="shared" ref="S1519:U1519" si="3041">trim(B1519)</f>
        <v>ord_71497</v>
      </c>
      <c r="T1519" s="14" t="str">
        <f t="shared" si="3041"/>
        <v>Mohit Malhotra</v>
      </c>
      <c r="U1519" s="14" t="str">
        <f t="shared" si="3041"/>
        <v>Lower Parel</v>
      </c>
      <c r="V1519" s="14" t="str">
        <f t="shared" si="4"/>
        <v>Papaya</v>
      </c>
      <c r="W1519" s="14">
        <f t="shared" si="5"/>
        <v>1</v>
      </c>
      <c r="X1519" s="14" t="str">
        <f t="shared" si="6"/>
        <v>Sita T</v>
      </c>
      <c r="Y1519" s="15">
        <f t="shared" si="7"/>
        <v>45274</v>
      </c>
      <c r="Z1519" s="14" t="str">
        <f t="shared" si="8"/>
        <v>Credit Card</v>
      </c>
      <c r="AA1519" s="14" t="str">
        <f t="shared" si="9"/>
        <v>Delivered</v>
      </c>
      <c r="AB1519" s="14" t="str">
        <f t="shared" ref="AB1519:AC1519" si="3042">trim(Q1519)</f>
        <v>Packaging</v>
      </c>
      <c r="AC1519" s="14" t="str">
        <f t="shared" si="3042"/>
        <v>Secure and intact</v>
      </c>
      <c r="AD1519" s="8"/>
    </row>
    <row r="1520">
      <c r="A1520" s="14" t="str">
        <f>IFERROR(__xludf.DUMMYFUNCTION("""COMPUTED_VALUE"""),"//ord_71498//Parth Goel//Juhu//Potato+2*Ram Gopal/7/7/2023//Credit Card//Delivered*Satisfied with the Delivery: Timely and quality")</f>
        <v>//ord_71498//Parth Goel//Juhu//Potato+2*Ram Gopal/7/7/2023//Credit Card//Delivered*Satisfied with the Delivery: Timely and quality</v>
      </c>
      <c r="B1520" s="14" t="str">
        <f>IFERROR(__xludf.DUMMYFUNCTION("split(A1520,""//"")"),"ord_71498")</f>
        <v>ord_71498</v>
      </c>
      <c r="C1520" s="14" t="str">
        <f>IFERROR(__xludf.DUMMYFUNCTION("""COMPUTED_VALUE"""),"Parth Goel")</f>
        <v>Parth Goel</v>
      </c>
      <c r="D1520" s="14" t="str">
        <f>IFERROR(__xludf.DUMMYFUNCTION("""COMPUTED_VALUE"""),"Juhu")</f>
        <v>Juhu</v>
      </c>
      <c r="E1520" s="14" t="str">
        <f>IFERROR(__xludf.DUMMYFUNCTION("""COMPUTED_VALUE"""),"Potato+2*Ram Gopal")</f>
        <v>Potato+2*Ram Gopal</v>
      </c>
      <c r="F1520" s="14">
        <f>IFERROR(__xludf.DUMMYFUNCTION("""COMPUTED_VALUE"""),7.0)</f>
        <v>7</v>
      </c>
      <c r="G1520" s="14">
        <f>IFERROR(__xludf.DUMMYFUNCTION("""COMPUTED_VALUE"""),7.0)</f>
        <v>7</v>
      </c>
      <c r="H1520" s="14">
        <f>IFERROR(__xludf.DUMMYFUNCTION("""COMPUTED_VALUE"""),2023.0)</f>
        <v>2023</v>
      </c>
      <c r="I1520" s="14" t="str">
        <f>IFERROR(__xludf.DUMMYFUNCTION("""COMPUTED_VALUE"""),"Credit Card")</f>
        <v>Credit Card</v>
      </c>
      <c r="J1520" s="14" t="str">
        <f>IFERROR(__xludf.DUMMYFUNCTION("""COMPUTED_VALUE"""),"Delivered*Satisfied with the Delivery: Timely and quality")</f>
        <v>Delivered*Satisfied with the Delivery: Timely and quality</v>
      </c>
      <c r="K1520" s="14" t="str">
        <f>IFERROR(__xludf.DUMMYFUNCTION("split(E1520,""+"")"),"Potato")</f>
        <v>Potato</v>
      </c>
      <c r="L1520" s="14" t="str">
        <f>IFERROR(__xludf.DUMMYFUNCTION("""COMPUTED_VALUE"""),"2*Ram Gopal")</f>
        <v>2*Ram Gopal</v>
      </c>
      <c r="M1520" s="14">
        <f>IFERROR(__xludf.DUMMYFUNCTION("SPLIT(L1520,""*"")"),2.0)</f>
        <v>2</v>
      </c>
      <c r="N1520" s="14" t="str">
        <f>IFERROR(__xludf.DUMMYFUNCTION("""COMPUTED_VALUE"""),"Ram Gopal")</f>
        <v>Ram Gopal</v>
      </c>
      <c r="O1520" s="14" t="str">
        <f>IFERROR(__xludf.DUMMYFUNCTION("split(J1520,""*"")"),"Delivered")</f>
        <v>Delivered</v>
      </c>
      <c r="P1520" s="14" t="str">
        <f>IFERROR(__xludf.DUMMYFUNCTION("""COMPUTED_VALUE"""),"Satisfied with the Delivery: Timely and quality")</f>
        <v>Satisfied with the Delivery: Timely and quality</v>
      </c>
      <c r="Q1520" s="14" t="str">
        <f>IFERROR(__xludf.DUMMYFUNCTION("split(P1520,"":"")"),"Satisfied with the Delivery")</f>
        <v>Satisfied with the Delivery</v>
      </c>
      <c r="R1520" s="14" t="str">
        <f>IFERROR(__xludf.DUMMYFUNCTION("""COMPUTED_VALUE""")," Timely and quality")</f>
        <v> Timely and quality</v>
      </c>
      <c r="S1520" s="14" t="str">
        <f t="shared" ref="S1520:U1520" si="3043">trim(B1520)</f>
        <v>ord_71498</v>
      </c>
      <c r="T1520" s="14" t="str">
        <f t="shared" si="3043"/>
        <v>Parth Goel</v>
      </c>
      <c r="U1520" s="14" t="str">
        <f t="shared" si="3043"/>
        <v>Juhu</v>
      </c>
      <c r="V1520" s="14" t="str">
        <f t="shared" si="4"/>
        <v>Potato</v>
      </c>
      <c r="W1520" s="14">
        <f t="shared" si="5"/>
        <v>2</v>
      </c>
      <c r="X1520" s="14" t="str">
        <f t="shared" si="6"/>
        <v>Ram Gopal</v>
      </c>
      <c r="Y1520" s="15">
        <f t="shared" si="7"/>
        <v>45114</v>
      </c>
      <c r="Z1520" s="14" t="str">
        <f t="shared" si="8"/>
        <v>Credit Card</v>
      </c>
      <c r="AA1520" s="14" t="str">
        <f t="shared" si="9"/>
        <v>Delivered</v>
      </c>
      <c r="AB1520" s="14" t="str">
        <f t="shared" ref="AB1520:AC1520" si="3044">trim(Q1520)</f>
        <v>Satisfied with the Delivery</v>
      </c>
      <c r="AC1520" s="14" t="str">
        <f t="shared" si="3044"/>
        <v>Timely and quality</v>
      </c>
      <c r="AD1520" s="8"/>
    </row>
    <row r="1521">
      <c r="A1521" s="14" t="str">
        <f>IFERROR(__xludf.DUMMYFUNCTION("""COMPUTED_VALUE"""),"//ord_71499//Ishita Banerjee//Juhu//Papaya+2*Ramesh S/12/1/2023//COD//Delivered*Customer Service: Seamless and easy")</f>
        <v>//ord_71499//Ishita Banerjee//Juhu//Papaya+2*Ramesh S/12/1/2023//COD//Delivered*Customer Service: Seamless and easy</v>
      </c>
      <c r="B1521" s="14" t="str">
        <f>IFERROR(__xludf.DUMMYFUNCTION("split(A1521,""//"")"),"ord_71499")</f>
        <v>ord_71499</v>
      </c>
      <c r="C1521" s="14" t="str">
        <f>IFERROR(__xludf.DUMMYFUNCTION("""COMPUTED_VALUE"""),"Ishita Banerjee")</f>
        <v>Ishita Banerjee</v>
      </c>
      <c r="D1521" s="14" t="str">
        <f>IFERROR(__xludf.DUMMYFUNCTION("""COMPUTED_VALUE"""),"Juhu")</f>
        <v>Juhu</v>
      </c>
      <c r="E1521" s="14" t="str">
        <f>IFERROR(__xludf.DUMMYFUNCTION("""COMPUTED_VALUE"""),"Papaya+2*Ramesh S")</f>
        <v>Papaya+2*Ramesh S</v>
      </c>
      <c r="F1521" s="14">
        <f>IFERROR(__xludf.DUMMYFUNCTION("""COMPUTED_VALUE"""),12.0)</f>
        <v>12</v>
      </c>
      <c r="G1521" s="14">
        <f>IFERROR(__xludf.DUMMYFUNCTION("""COMPUTED_VALUE"""),1.0)</f>
        <v>1</v>
      </c>
      <c r="H1521" s="14">
        <f>IFERROR(__xludf.DUMMYFUNCTION("""COMPUTED_VALUE"""),2023.0)</f>
        <v>2023</v>
      </c>
      <c r="I1521" s="14" t="str">
        <f>IFERROR(__xludf.DUMMYFUNCTION("""COMPUTED_VALUE"""),"COD")</f>
        <v>COD</v>
      </c>
      <c r="J1521" s="14" t="str">
        <f>IFERROR(__xludf.DUMMYFUNCTION("""COMPUTED_VALUE"""),"Delivered*Customer Service: Seamless and easy")</f>
        <v>Delivered*Customer Service: Seamless and easy</v>
      </c>
      <c r="K1521" s="14" t="str">
        <f>IFERROR(__xludf.DUMMYFUNCTION("split(E1521,""+"")"),"Papaya")</f>
        <v>Papaya</v>
      </c>
      <c r="L1521" s="14" t="str">
        <f>IFERROR(__xludf.DUMMYFUNCTION("""COMPUTED_VALUE"""),"2*Ramesh S")</f>
        <v>2*Ramesh S</v>
      </c>
      <c r="M1521" s="14">
        <f>IFERROR(__xludf.DUMMYFUNCTION("SPLIT(L1521,""*"")"),2.0)</f>
        <v>2</v>
      </c>
      <c r="N1521" s="14" t="str">
        <f>IFERROR(__xludf.DUMMYFUNCTION("""COMPUTED_VALUE"""),"Ramesh S")</f>
        <v>Ramesh S</v>
      </c>
      <c r="O1521" s="14" t="str">
        <f>IFERROR(__xludf.DUMMYFUNCTION("split(J1521,""*"")"),"Delivered")</f>
        <v>Delivered</v>
      </c>
      <c r="P1521" s="14" t="str">
        <f>IFERROR(__xludf.DUMMYFUNCTION("""COMPUTED_VALUE"""),"Customer Service: Seamless and easy")</f>
        <v>Customer Service: Seamless and easy</v>
      </c>
      <c r="Q1521" s="14" t="str">
        <f>IFERROR(__xludf.DUMMYFUNCTION("split(P1521,"":"")"),"Customer Service")</f>
        <v>Customer Service</v>
      </c>
      <c r="R1521" s="14" t="str">
        <f>IFERROR(__xludf.DUMMYFUNCTION("""COMPUTED_VALUE""")," Seamless and easy")</f>
        <v> Seamless and easy</v>
      </c>
      <c r="S1521" s="14" t="str">
        <f t="shared" ref="S1521:U1521" si="3045">trim(B1521)</f>
        <v>ord_71499</v>
      </c>
      <c r="T1521" s="14" t="str">
        <f t="shared" si="3045"/>
        <v>Ishita Banerjee</v>
      </c>
      <c r="U1521" s="14" t="str">
        <f t="shared" si="3045"/>
        <v>Juhu</v>
      </c>
      <c r="V1521" s="14" t="str">
        <f t="shared" si="4"/>
        <v>Papaya</v>
      </c>
      <c r="W1521" s="14">
        <f t="shared" si="5"/>
        <v>2</v>
      </c>
      <c r="X1521" s="14" t="str">
        <f t="shared" si="6"/>
        <v>Ramesh S</v>
      </c>
      <c r="Y1521" s="15">
        <f t="shared" si="7"/>
        <v>45261</v>
      </c>
      <c r="Z1521" s="14" t="str">
        <f t="shared" si="8"/>
        <v>COD</v>
      </c>
      <c r="AA1521" s="14" t="str">
        <f t="shared" si="9"/>
        <v>Delivered</v>
      </c>
      <c r="AB1521" s="14" t="str">
        <f t="shared" ref="AB1521:AC1521" si="3046">trim(Q1521)</f>
        <v>Customer Service</v>
      </c>
      <c r="AC1521" s="14" t="str">
        <f t="shared" si="3046"/>
        <v>Seamless and easy</v>
      </c>
      <c r="AD1521" s="8"/>
    </row>
    <row r="1522">
      <c r="A1522" s="14" t="str">
        <f>IFERROR(__xludf.DUMMYFUNCTION("""COMPUTED_VALUE"""),"//ord_71500//Aditi Iyer//Dadar//Onion+1*Ramesh S/2/14/2023//UPI//Delivered*Delivery Experience: Quick and professional")</f>
        <v>//ord_71500//Aditi Iyer//Dadar//Onion+1*Ramesh S/2/14/2023//UPI//Delivered*Delivery Experience: Quick and professional</v>
      </c>
      <c r="B1522" s="14" t="str">
        <f>IFERROR(__xludf.DUMMYFUNCTION("split(A1522,""//"")"),"ord_71500")</f>
        <v>ord_71500</v>
      </c>
      <c r="C1522" s="14" t="str">
        <f>IFERROR(__xludf.DUMMYFUNCTION("""COMPUTED_VALUE"""),"Aditi Iyer")</f>
        <v>Aditi Iyer</v>
      </c>
      <c r="D1522" s="14" t="str">
        <f>IFERROR(__xludf.DUMMYFUNCTION("""COMPUTED_VALUE"""),"Dadar")</f>
        <v>Dadar</v>
      </c>
      <c r="E1522" s="14" t="str">
        <f>IFERROR(__xludf.DUMMYFUNCTION("""COMPUTED_VALUE"""),"Onion+1*Ramesh S")</f>
        <v>Onion+1*Ramesh S</v>
      </c>
      <c r="F1522" s="14">
        <f>IFERROR(__xludf.DUMMYFUNCTION("""COMPUTED_VALUE"""),2.0)</f>
        <v>2</v>
      </c>
      <c r="G1522" s="14">
        <f>IFERROR(__xludf.DUMMYFUNCTION("""COMPUTED_VALUE"""),14.0)</f>
        <v>14</v>
      </c>
      <c r="H1522" s="14">
        <f>IFERROR(__xludf.DUMMYFUNCTION("""COMPUTED_VALUE"""),2023.0)</f>
        <v>2023</v>
      </c>
      <c r="I1522" s="14" t="str">
        <f>IFERROR(__xludf.DUMMYFUNCTION("""COMPUTED_VALUE"""),"UPI")</f>
        <v>UPI</v>
      </c>
      <c r="J1522" s="14" t="str">
        <f>IFERROR(__xludf.DUMMYFUNCTION("""COMPUTED_VALUE"""),"Delivered*Delivery Experience: Quick and professional")</f>
        <v>Delivered*Delivery Experience: Quick and professional</v>
      </c>
      <c r="K1522" s="14" t="str">
        <f>IFERROR(__xludf.DUMMYFUNCTION("split(E1522,""+"")"),"Onion")</f>
        <v>Onion</v>
      </c>
      <c r="L1522" s="14" t="str">
        <f>IFERROR(__xludf.DUMMYFUNCTION("""COMPUTED_VALUE"""),"1*Ramesh S")</f>
        <v>1*Ramesh S</v>
      </c>
      <c r="M1522" s="14">
        <f>IFERROR(__xludf.DUMMYFUNCTION("SPLIT(L1522,""*"")"),1.0)</f>
        <v>1</v>
      </c>
      <c r="N1522" s="14" t="str">
        <f>IFERROR(__xludf.DUMMYFUNCTION("""COMPUTED_VALUE"""),"Ramesh S")</f>
        <v>Ramesh S</v>
      </c>
      <c r="O1522" s="14" t="str">
        <f>IFERROR(__xludf.DUMMYFUNCTION("split(J1522,""*"")"),"Delivered")</f>
        <v>Delivered</v>
      </c>
      <c r="P1522" s="14" t="str">
        <f>IFERROR(__xludf.DUMMYFUNCTION("""COMPUTED_VALUE"""),"Delivery Experience: Quick and professional")</f>
        <v>Delivery Experience: Quick and professional</v>
      </c>
      <c r="Q1522" s="14" t="str">
        <f>IFERROR(__xludf.DUMMYFUNCTION("split(P1522,"":"")"),"Delivery Experience")</f>
        <v>Delivery Experience</v>
      </c>
      <c r="R1522" s="14" t="str">
        <f>IFERROR(__xludf.DUMMYFUNCTION("""COMPUTED_VALUE""")," Quick and professional")</f>
        <v> Quick and professional</v>
      </c>
      <c r="S1522" s="14" t="str">
        <f t="shared" ref="S1522:U1522" si="3047">trim(B1522)</f>
        <v>ord_71500</v>
      </c>
      <c r="T1522" s="14" t="str">
        <f t="shared" si="3047"/>
        <v>Aditi Iyer</v>
      </c>
      <c r="U1522" s="14" t="str">
        <f t="shared" si="3047"/>
        <v>Dadar</v>
      </c>
      <c r="V1522" s="14" t="str">
        <f t="shared" si="4"/>
        <v>Onion</v>
      </c>
      <c r="W1522" s="14">
        <f t="shared" si="5"/>
        <v>1</v>
      </c>
      <c r="X1522" s="14" t="str">
        <f t="shared" si="6"/>
        <v>Ramesh S</v>
      </c>
      <c r="Y1522" s="15">
        <f t="shared" si="7"/>
        <v>44971</v>
      </c>
      <c r="Z1522" s="14" t="str">
        <f t="shared" si="8"/>
        <v>UPI</v>
      </c>
      <c r="AA1522" s="14" t="str">
        <f t="shared" si="9"/>
        <v>Delivered</v>
      </c>
      <c r="AB1522" s="14" t="str">
        <f t="shared" ref="AB1522:AC1522" si="3048">trim(Q1522)</f>
        <v>Delivery Experience</v>
      </c>
      <c r="AC1522" s="14" t="str">
        <f t="shared" si="3048"/>
        <v>Quick and professional</v>
      </c>
      <c r="AD1522" s="8"/>
    </row>
    <row r="1523">
      <c r="A1523" s="14" t="str">
        <f>IFERROR(__xludf.DUMMYFUNCTION("""COMPUTED_VALUE"""),"//ord_71501//Sanjay Nair//Dadar//Icecream+3*Manju Ajay/3/6/2023//Credit Card//Delivered*Convenience: Easy tracking")</f>
        <v>//ord_71501//Sanjay Nair//Dadar//Icecream+3*Manju Ajay/3/6/2023//Credit Card//Delivered*Convenience: Easy tracking</v>
      </c>
      <c r="B1523" s="14" t="str">
        <f>IFERROR(__xludf.DUMMYFUNCTION("split(A1523,""//"")"),"ord_71501")</f>
        <v>ord_71501</v>
      </c>
      <c r="C1523" s="14" t="str">
        <f>IFERROR(__xludf.DUMMYFUNCTION("""COMPUTED_VALUE"""),"Sanjay Nair")</f>
        <v>Sanjay Nair</v>
      </c>
      <c r="D1523" s="14" t="str">
        <f>IFERROR(__xludf.DUMMYFUNCTION("""COMPUTED_VALUE"""),"Dadar")</f>
        <v>Dadar</v>
      </c>
      <c r="E1523" s="14" t="str">
        <f>IFERROR(__xludf.DUMMYFUNCTION("""COMPUTED_VALUE"""),"Icecream+3*Manju Ajay")</f>
        <v>Icecream+3*Manju Ajay</v>
      </c>
      <c r="F1523" s="14">
        <f>IFERROR(__xludf.DUMMYFUNCTION("""COMPUTED_VALUE"""),3.0)</f>
        <v>3</v>
      </c>
      <c r="G1523" s="14">
        <f>IFERROR(__xludf.DUMMYFUNCTION("""COMPUTED_VALUE"""),6.0)</f>
        <v>6</v>
      </c>
      <c r="H1523" s="14">
        <f>IFERROR(__xludf.DUMMYFUNCTION("""COMPUTED_VALUE"""),2023.0)</f>
        <v>2023</v>
      </c>
      <c r="I1523" s="14" t="str">
        <f>IFERROR(__xludf.DUMMYFUNCTION("""COMPUTED_VALUE"""),"Credit Card")</f>
        <v>Credit Card</v>
      </c>
      <c r="J1523" s="14" t="str">
        <f>IFERROR(__xludf.DUMMYFUNCTION("""COMPUTED_VALUE"""),"Delivered*Convenience: Easy tracking")</f>
        <v>Delivered*Convenience: Easy tracking</v>
      </c>
      <c r="K1523" s="14" t="str">
        <f>IFERROR(__xludf.DUMMYFUNCTION("split(E1523,""+"")"),"Icecream")</f>
        <v>Icecream</v>
      </c>
      <c r="L1523" s="14" t="str">
        <f>IFERROR(__xludf.DUMMYFUNCTION("""COMPUTED_VALUE"""),"3*Manju Ajay")</f>
        <v>3*Manju Ajay</v>
      </c>
      <c r="M1523" s="14">
        <f>IFERROR(__xludf.DUMMYFUNCTION("SPLIT(L1523,""*"")"),3.0)</f>
        <v>3</v>
      </c>
      <c r="N1523" s="14" t="str">
        <f>IFERROR(__xludf.DUMMYFUNCTION("""COMPUTED_VALUE"""),"Manju Ajay")</f>
        <v>Manju Ajay</v>
      </c>
      <c r="O1523" s="14" t="str">
        <f>IFERROR(__xludf.DUMMYFUNCTION("split(J1523,""*"")"),"Delivered")</f>
        <v>Delivered</v>
      </c>
      <c r="P1523" s="14" t="str">
        <f>IFERROR(__xludf.DUMMYFUNCTION("""COMPUTED_VALUE"""),"Convenience: Easy tracking")</f>
        <v>Convenience: Easy tracking</v>
      </c>
      <c r="Q1523" s="14" t="str">
        <f>IFERROR(__xludf.DUMMYFUNCTION("split(P1523,"":"")"),"Convenience")</f>
        <v>Convenience</v>
      </c>
      <c r="R1523" s="14" t="str">
        <f>IFERROR(__xludf.DUMMYFUNCTION("""COMPUTED_VALUE""")," Easy tracking")</f>
        <v> Easy tracking</v>
      </c>
      <c r="S1523" s="14" t="str">
        <f t="shared" ref="S1523:U1523" si="3049">trim(B1523)</f>
        <v>ord_71501</v>
      </c>
      <c r="T1523" s="14" t="str">
        <f t="shared" si="3049"/>
        <v>Sanjay Nair</v>
      </c>
      <c r="U1523" s="14" t="str">
        <f t="shared" si="3049"/>
        <v>Dadar</v>
      </c>
      <c r="V1523" s="14" t="str">
        <f t="shared" si="4"/>
        <v>Icecream</v>
      </c>
      <c r="W1523" s="14">
        <f t="shared" si="5"/>
        <v>3</v>
      </c>
      <c r="X1523" s="14" t="str">
        <f t="shared" si="6"/>
        <v>Manju Ajay</v>
      </c>
      <c r="Y1523" s="15">
        <f t="shared" si="7"/>
        <v>44991</v>
      </c>
      <c r="Z1523" s="14" t="str">
        <f t="shared" si="8"/>
        <v>Credit Card</v>
      </c>
      <c r="AA1523" s="14" t="str">
        <f t="shared" si="9"/>
        <v>Delivered</v>
      </c>
      <c r="AB1523" s="14" t="str">
        <f t="shared" ref="AB1523:AC1523" si="3050">trim(Q1523)</f>
        <v>Convenience</v>
      </c>
      <c r="AC1523" s="14" t="str">
        <f t="shared" si="3050"/>
        <v>Easy tracking</v>
      </c>
      <c r="AD1523" s="8"/>
    </row>
    <row r="1524">
      <c r="A1524" s="14" t="str">
        <f>IFERROR(__xludf.DUMMYFUNCTION("""COMPUTED_VALUE"""),"//ord_71502//Parth Goel//Juhu//Potato+2*Manju Ajay/2/2/2023//UPI//Delivered*Overall Satisfaction: Great service will order again")</f>
        <v>//ord_71502//Parth Goel//Juhu//Potato+2*Manju Ajay/2/2/2023//UPI//Delivered*Overall Satisfaction: Great service will order again</v>
      </c>
      <c r="B1524" s="14" t="str">
        <f>IFERROR(__xludf.DUMMYFUNCTION("split(A1524,""//"")"),"ord_71502")</f>
        <v>ord_71502</v>
      </c>
      <c r="C1524" s="14" t="str">
        <f>IFERROR(__xludf.DUMMYFUNCTION("""COMPUTED_VALUE"""),"Parth Goel")</f>
        <v>Parth Goel</v>
      </c>
      <c r="D1524" s="14" t="str">
        <f>IFERROR(__xludf.DUMMYFUNCTION("""COMPUTED_VALUE"""),"Juhu")</f>
        <v>Juhu</v>
      </c>
      <c r="E1524" s="14" t="str">
        <f>IFERROR(__xludf.DUMMYFUNCTION("""COMPUTED_VALUE"""),"Potato+2*Manju Ajay")</f>
        <v>Potato+2*Manju Ajay</v>
      </c>
      <c r="F1524" s="14">
        <f>IFERROR(__xludf.DUMMYFUNCTION("""COMPUTED_VALUE"""),2.0)</f>
        <v>2</v>
      </c>
      <c r="G1524" s="14">
        <f>IFERROR(__xludf.DUMMYFUNCTION("""COMPUTED_VALUE"""),2.0)</f>
        <v>2</v>
      </c>
      <c r="H1524" s="14">
        <f>IFERROR(__xludf.DUMMYFUNCTION("""COMPUTED_VALUE"""),2023.0)</f>
        <v>2023</v>
      </c>
      <c r="I1524" s="14" t="str">
        <f>IFERROR(__xludf.DUMMYFUNCTION("""COMPUTED_VALUE"""),"UPI")</f>
        <v>UPI</v>
      </c>
      <c r="J1524" s="14" t="str">
        <f>IFERROR(__xludf.DUMMYFUNCTION("""COMPUTED_VALUE"""),"Delivered*Overall Satisfaction: Great service will order again")</f>
        <v>Delivered*Overall Satisfaction: Great service will order again</v>
      </c>
      <c r="K1524" s="14" t="str">
        <f>IFERROR(__xludf.DUMMYFUNCTION("split(E1524,""+"")"),"Potato")</f>
        <v>Potato</v>
      </c>
      <c r="L1524" s="14" t="str">
        <f>IFERROR(__xludf.DUMMYFUNCTION("""COMPUTED_VALUE"""),"2*Manju Ajay")</f>
        <v>2*Manju Ajay</v>
      </c>
      <c r="M1524" s="14">
        <f>IFERROR(__xludf.DUMMYFUNCTION("SPLIT(L1524,""*"")"),2.0)</f>
        <v>2</v>
      </c>
      <c r="N1524" s="14" t="str">
        <f>IFERROR(__xludf.DUMMYFUNCTION("""COMPUTED_VALUE"""),"Manju Ajay")</f>
        <v>Manju Ajay</v>
      </c>
      <c r="O1524" s="14" t="str">
        <f>IFERROR(__xludf.DUMMYFUNCTION("split(J1524,""*"")"),"Delivered")</f>
        <v>Delivered</v>
      </c>
      <c r="P1524" s="14" t="str">
        <f>IFERROR(__xludf.DUMMYFUNCTION("""COMPUTED_VALUE"""),"Overall Satisfaction: Great service will order again")</f>
        <v>Overall Satisfaction: Great service will order again</v>
      </c>
      <c r="Q1524" s="14" t="str">
        <f>IFERROR(__xludf.DUMMYFUNCTION("split(P1524,"":"")"),"Overall Satisfaction")</f>
        <v>Overall Satisfaction</v>
      </c>
      <c r="R1524" s="14" t="str">
        <f>IFERROR(__xludf.DUMMYFUNCTION("""COMPUTED_VALUE""")," Great service will order again")</f>
        <v> Great service will order again</v>
      </c>
      <c r="S1524" s="14" t="str">
        <f t="shared" ref="S1524:U1524" si="3051">trim(B1524)</f>
        <v>ord_71502</v>
      </c>
      <c r="T1524" s="14" t="str">
        <f t="shared" si="3051"/>
        <v>Parth Goel</v>
      </c>
      <c r="U1524" s="14" t="str">
        <f t="shared" si="3051"/>
        <v>Juhu</v>
      </c>
      <c r="V1524" s="14" t="str">
        <f t="shared" si="4"/>
        <v>Potato</v>
      </c>
      <c r="W1524" s="14">
        <f t="shared" si="5"/>
        <v>2</v>
      </c>
      <c r="X1524" s="14" t="str">
        <f t="shared" si="6"/>
        <v>Manju Ajay</v>
      </c>
      <c r="Y1524" s="15">
        <f t="shared" si="7"/>
        <v>44959</v>
      </c>
      <c r="Z1524" s="14" t="str">
        <f t="shared" si="8"/>
        <v>UPI</v>
      </c>
      <c r="AA1524" s="14" t="str">
        <f t="shared" si="9"/>
        <v>Delivered</v>
      </c>
      <c r="AB1524" s="14" t="str">
        <f t="shared" ref="AB1524:AC1524" si="3052">trim(Q1524)</f>
        <v>Overall Satisfaction</v>
      </c>
      <c r="AC1524" s="14" t="str">
        <f t="shared" si="3052"/>
        <v>Great service will order again</v>
      </c>
      <c r="AD1524" s="8"/>
    </row>
    <row r="1525">
      <c r="A1525" s="14" t="str">
        <f>IFERROR(__xludf.DUMMYFUNCTION("""COMPUTED_VALUE"""),"//ord_71503//Pranav Joshi//Andheri//Onion+1*Ramesh S/8/5/2023//Credit Card//Delivered*On-time Delivery: Delivered on time")</f>
        <v>//ord_71503//Pranav Joshi//Andheri//Onion+1*Ramesh S/8/5/2023//Credit Card//Delivered*On-time Delivery: Delivered on time</v>
      </c>
      <c r="B1525" s="14" t="str">
        <f>IFERROR(__xludf.DUMMYFUNCTION("split(A1525,""//"")"),"ord_71503")</f>
        <v>ord_71503</v>
      </c>
      <c r="C1525" s="14" t="str">
        <f>IFERROR(__xludf.DUMMYFUNCTION("""COMPUTED_VALUE"""),"Pranav Joshi")</f>
        <v>Pranav Joshi</v>
      </c>
      <c r="D1525" s="14" t="str">
        <f>IFERROR(__xludf.DUMMYFUNCTION("""COMPUTED_VALUE"""),"Andheri")</f>
        <v>Andheri</v>
      </c>
      <c r="E1525" s="14" t="str">
        <f>IFERROR(__xludf.DUMMYFUNCTION("""COMPUTED_VALUE"""),"Onion+1*Ramesh S")</f>
        <v>Onion+1*Ramesh S</v>
      </c>
      <c r="F1525" s="14">
        <f>IFERROR(__xludf.DUMMYFUNCTION("""COMPUTED_VALUE"""),8.0)</f>
        <v>8</v>
      </c>
      <c r="G1525" s="14">
        <f>IFERROR(__xludf.DUMMYFUNCTION("""COMPUTED_VALUE"""),5.0)</f>
        <v>5</v>
      </c>
      <c r="H1525" s="14">
        <f>IFERROR(__xludf.DUMMYFUNCTION("""COMPUTED_VALUE"""),2023.0)</f>
        <v>2023</v>
      </c>
      <c r="I1525" s="14" t="str">
        <f>IFERROR(__xludf.DUMMYFUNCTION("""COMPUTED_VALUE"""),"Credit Card")</f>
        <v>Credit Card</v>
      </c>
      <c r="J1525" s="14" t="str">
        <f>IFERROR(__xludf.DUMMYFUNCTION("""COMPUTED_VALUE"""),"Delivered*On-time Delivery: Delivered on time")</f>
        <v>Delivered*On-time Delivery: Delivered on time</v>
      </c>
      <c r="K1525" s="14" t="str">
        <f>IFERROR(__xludf.DUMMYFUNCTION("split(E1525,""+"")"),"Onion")</f>
        <v>Onion</v>
      </c>
      <c r="L1525" s="14" t="str">
        <f>IFERROR(__xludf.DUMMYFUNCTION("""COMPUTED_VALUE"""),"1*Ramesh S")</f>
        <v>1*Ramesh S</v>
      </c>
      <c r="M1525" s="14">
        <f>IFERROR(__xludf.DUMMYFUNCTION("SPLIT(L1525,""*"")"),1.0)</f>
        <v>1</v>
      </c>
      <c r="N1525" s="14" t="str">
        <f>IFERROR(__xludf.DUMMYFUNCTION("""COMPUTED_VALUE"""),"Ramesh S")</f>
        <v>Ramesh S</v>
      </c>
      <c r="O1525" s="14" t="str">
        <f>IFERROR(__xludf.DUMMYFUNCTION("split(J1525,""*"")"),"Delivered")</f>
        <v>Delivered</v>
      </c>
      <c r="P1525" s="14" t="str">
        <f>IFERROR(__xludf.DUMMYFUNCTION("""COMPUTED_VALUE"""),"On-time Delivery: Delivered on time")</f>
        <v>On-time Delivery: Delivered on time</v>
      </c>
      <c r="Q1525" s="14" t="str">
        <f>IFERROR(__xludf.DUMMYFUNCTION("split(P1525,"":"")"),"On-time Delivery")</f>
        <v>On-time Delivery</v>
      </c>
      <c r="R1525" s="14" t="str">
        <f>IFERROR(__xludf.DUMMYFUNCTION("""COMPUTED_VALUE""")," Delivered on time")</f>
        <v> Delivered on time</v>
      </c>
      <c r="S1525" s="14" t="str">
        <f t="shared" ref="S1525:U1525" si="3053">trim(B1525)</f>
        <v>ord_71503</v>
      </c>
      <c r="T1525" s="14" t="str">
        <f t="shared" si="3053"/>
        <v>Pranav Joshi</v>
      </c>
      <c r="U1525" s="14" t="str">
        <f t="shared" si="3053"/>
        <v>Andheri</v>
      </c>
      <c r="V1525" s="14" t="str">
        <f t="shared" si="4"/>
        <v>Onion</v>
      </c>
      <c r="W1525" s="14">
        <f t="shared" si="5"/>
        <v>1</v>
      </c>
      <c r="X1525" s="14" t="str">
        <f t="shared" si="6"/>
        <v>Ramesh S</v>
      </c>
      <c r="Y1525" s="15">
        <f t="shared" si="7"/>
        <v>45143</v>
      </c>
      <c r="Z1525" s="14" t="str">
        <f t="shared" si="8"/>
        <v>Credit Card</v>
      </c>
      <c r="AA1525" s="14" t="str">
        <f t="shared" si="9"/>
        <v>Delivered</v>
      </c>
      <c r="AB1525" s="14" t="str">
        <f t="shared" ref="AB1525:AC1525" si="3054">trim(Q1525)</f>
        <v>On-time Delivery</v>
      </c>
      <c r="AC1525" s="14" t="str">
        <f t="shared" si="3054"/>
        <v>Delivered on time</v>
      </c>
      <c r="AD1525" s="8"/>
    </row>
    <row r="1526">
      <c r="A1526" s="14" t="str">
        <f>IFERROR(__xludf.DUMMYFUNCTION("""COMPUTED_VALUE"""),"//ord_71504//Sakshi Tandon//Colaba//Chilli Cheese Toast+5*Sita T/9/9/2023//Credit Card//Delivered*Quality of Items: Perfect condition")</f>
        <v>//ord_71504//Sakshi Tandon//Colaba//Chilli Cheese Toast+5*Sita T/9/9/2023//Credit Card//Delivered*Quality of Items: Perfect condition</v>
      </c>
      <c r="B1526" s="14" t="str">
        <f>IFERROR(__xludf.DUMMYFUNCTION("split(A1526,""//"")"),"ord_71504")</f>
        <v>ord_71504</v>
      </c>
      <c r="C1526" s="14" t="str">
        <f>IFERROR(__xludf.DUMMYFUNCTION("""COMPUTED_VALUE"""),"Sakshi Tandon")</f>
        <v>Sakshi Tandon</v>
      </c>
      <c r="D1526" s="14" t="str">
        <f>IFERROR(__xludf.DUMMYFUNCTION("""COMPUTED_VALUE"""),"Colaba")</f>
        <v>Colaba</v>
      </c>
      <c r="E1526" s="14" t="str">
        <f>IFERROR(__xludf.DUMMYFUNCTION("""COMPUTED_VALUE"""),"Chilli Cheese Toast+5*Sita T")</f>
        <v>Chilli Cheese Toast+5*Sita T</v>
      </c>
      <c r="F1526" s="14">
        <f>IFERROR(__xludf.DUMMYFUNCTION("""COMPUTED_VALUE"""),9.0)</f>
        <v>9</v>
      </c>
      <c r="G1526" s="14">
        <f>IFERROR(__xludf.DUMMYFUNCTION("""COMPUTED_VALUE"""),9.0)</f>
        <v>9</v>
      </c>
      <c r="H1526" s="14">
        <f>IFERROR(__xludf.DUMMYFUNCTION("""COMPUTED_VALUE"""),2023.0)</f>
        <v>2023</v>
      </c>
      <c r="I1526" s="14" t="str">
        <f>IFERROR(__xludf.DUMMYFUNCTION("""COMPUTED_VALUE"""),"Credit Card")</f>
        <v>Credit Card</v>
      </c>
      <c r="J1526" s="14" t="str">
        <f>IFERROR(__xludf.DUMMYFUNCTION("""COMPUTED_VALUE"""),"Delivered*Quality of Items: Perfect condition")</f>
        <v>Delivered*Quality of Items: Perfect condition</v>
      </c>
      <c r="K1526" s="14" t="str">
        <f>IFERROR(__xludf.DUMMYFUNCTION("split(E1526,""+"")"),"Chilli Cheese Toast")</f>
        <v>Chilli Cheese Toast</v>
      </c>
      <c r="L1526" s="14" t="str">
        <f>IFERROR(__xludf.DUMMYFUNCTION("""COMPUTED_VALUE"""),"5*Sita T")</f>
        <v>5*Sita T</v>
      </c>
      <c r="M1526" s="14">
        <f>IFERROR(__xludf.DUMMYFUNCTION("SPLIT(L1526,""*"")"),5.0)</f>
        <v>5</v>
      </c>
      <c r="N1526" s="14" t="str">
        <f>IFERROR(__xludf.DUMMYFUNCTION("""COMPUTED_VALUE"""),"Sita T")</f>
        <v>Sita T</v>
      </c>
      <c r="O1526" s="14" t="str">
        <f>IFERROR(__xludf.DUMMYFUNCTION("split(J1526,""*"")"),"Delivered")</f>
        <v>Delivered</v>
      </c>
      <c r="P1526" s="14" t="str">
        <f>IFERROR(__xludf.DUMMYFUNCTION("""COMPUTED_VALUE"""),"Quality of Items: Perfect condition")</f>
        <v>Quality of Items: Perfect condition</v>
      </c>
      <c r="Q1526" s="14" t="str">
        <f>IFERROR(__xludf.DUMMYFUNCTION("split(P1526,"":"")"),"Quality of Items")</f>
        <v>Quality of Items</v>
      </c>
      <c r="R1526" s="14" t="str">
        <f>IFERROR(__xludf.DUMMYFUNCTION("""COMPUTED_VALUE""")," Perfect condition")</f>
        <v> Perfect condition</v>
      </c>
      <c r="S1526" s="14" t="str">
        <f t="shared" ref="S1526:U1526" si="3055">trim(B1526)</f>
        <v>ord_71504</v>
      </c>
      <c r="T1526" s="14" t="str">
        <f t="shared" si="3055"/>
        <v>Sakshi Tandon</v>
      </c>
      <c r="U1526" s="14" t="str">
        <f t="shared" si="3055"/>
        <v>Colaba</v>
      </c>
      <c r="V1526" s="14" t="str">
        <f t="shared" si="4"/>
        <v>Chilli Cheese Toast</v>
      </c>
      <c r="W1526" s="14">
        <f t="shared" si="5"/>
        <v>5</v>
      </c>
      <c r="X1526" s="14" t="str">
        <f t="shared" si="6"/>
        <v>Sita T</v>
      </c>
      <c r="Y1526" s="15">
        <f t="shared" si="7"/>
        <v>45178</v>
      </c>
      <c r="Z1526" s="14" t="str">
        <f t="shared" si="8"/>
        <v>Credit Card</v>
      </c>
      <c r="AA1526" s="14" t="str">
        <f t="shared" si="9"/>
        <v>Delivered</v>
      </c>
      <c r="AB1526" s="14" t="str">
        <f t="shared" ref="AB1526:AC1526" si="3056">trim(Q1526)</f>
        <v>Quality of Items</v>
      </c>
      <c r="AC1526" s="14" t="str">
        <f t="shared" si="3056"/>
        <v>Perfect condition</v>
      </c>
      <c r="AD1526" s="8"/>
    </row>
    <row r="1527">
      <c r="A1527" s="14" t="str">
        <f>IFERROR(__xludf.DUMMYFUNCTION("""COMPUTED_VALUE"""),"//ord_71505//Sanjay Nair//Dadar//Chocolate Mousse+5*Nithin Lal/6/17/2023//UPI//Delivered*On-time Delivery: Delivered on time")</f>
        <v>//ord_71505//Sanjay Nair//Dadar//Chocolate Mousse+5*Nithin Lal/6/17/2023//UPI//Delivered*On-time Delivery: Delivered on time</v>
      </c>
      <c r="B1527" s="14" t="str">
        <f>IFERROR(__xludf.DUMMYFUNCTION("split(A1527,""//"")"),"ord_71505")</f>
        <v>ord_71505</v>
      </c>
      <c r="C1527" s="14" t="str">
        <f>IFERROR(__xludf.DUMMYFUNCTION("""COMPUTED_VALUE"""),"Sanjay Nair")</f>
        <v>Sanjay Nair</v>
      </c>
      <c r="D1527" s="14" t="str">
        <f>IFERROR(__xludf.DUMMYFUNCTION("""COMPUTED_VALUE"""),"Dadar")</f>
        <v>Dadar</v>
      </c>
      <c r="E1527" s="14" t="str">
        <f>IFERROR(__xludf.DUMMYFUNCTION("""COMPUTED_VALUE"""),"Chocolate Mousse+5*Nithin Lal")</f>
        <v>Chocolate Mousse+5*Nithin Lal</v>
      </c>
      <c r="F1527" s="14">
        <f>IFERROR(__xludf.DUMMYFUNCTION("""COMPUTED_VALUE"""),6.0)</f>
        <v>6</v>
      </c>
      <c r="G1527" s="14">
        <f>IFERROR(__xludf.DUMMYFUNCTION("""COMPUTED_VALUE"""),17.0)</f>
        <v>17</v>
      </c>
      <c r="H1527" s="14">
        <f>IFERROR(__xludf.DUMMYFUNCTION("""COMPUTED_VALUE"""),2023.0)</f>
        <v>2023</v>
      </c>
      <c r="I1527" s="14" t="str">
        <f>IFERROR(__xludf.DUMMYFUNCTION("""COMPUTED_VALUE"""),"UPI")</f>
        <v>UPI</v>
      </c>
      <c r="J1527" s="14" t="str">
        <f>IFERROR(__xludf.DUMMYFUNCTION("""COMPUTED_VALUE"""),"Delivered*On-time Delivery: Delivered on time")</f>
        <v>Delivered*On-time Delivery: Delivered on time</v>
      </c>
      <c r="K1527" s="14" t="str">
        <f>IFERROR(__xludf.DUMMYFUNCTION("split(E1527,""+"")"),"Chocolate Mousse")</f>
        <v>Chocolate Mousse</v>
      </c>
      <c r="L1527" s="14" t="str">
        <f>IFERROR(__xludf.DUMMYFUNCTION("""COMPUTED_VALUE"""),"5*Nithin Lal")</f>
        <v>5*Nithin Lal</v>
      </c>
      <c r="M1527" s="14">
        <f>IFERROR(__xludf.DUMMYFUNCTION("SPLIT(L1527,""*"")"),5.0)</f>
        <v>5</v>
      </c>
      <c r="N1527" s="14" t="str">
        <f>IFERROR(__xludf.DUMMYFUNCTION("""COMPUTED_VALUE"""),"Nithin Lal")</f>
        <v>Nithin Lal</v>
      </c>
      <c r="O1527" s="14" t="str">
        <f>IFERROR(__xludf.DUMMYFUNCTION("split(J1527,""*"")"),"Delivered")</f>
        <v>Delivered</v>
      </c>
      <c r="P1527" s="14" t="str">
        <f>IFERROR(__xludf.DUMMYFUNCTION("""COMPUTED_VALUE"""),"On-time Delivery: Delivered on time")</f>
        <v>On-time Delivery: Delivered on time</v>
      </c>
      <c r="Q1527" s="14" t="str">
        <f>IFERROR(__xludf.DUMMYFUNCTION("split(P1527,"":"")"),"On-time Delivery")</f>
        <v>On-time Delivery</v>
      </c>
      <c r="R1527" s="14" t="str">
        <f>IFERROR(__xludf.DUMMYFUNCTION("""COMPUTED_VALUE""")," Delivered on time")</f>
        <v> Delivered on time</v>
      </c>
      <c r="S1527" s="14" t="str">
        <f t="shared" ref="S1527:U1527" si="3057">trim(B1527)</f>
        <v>ord_71505</v>
      </c>
      <c r="T1527" s="14" t="str">
        <f t="shared" si="3057"/>
        <v>Sanjay Nair</v>
      </c>
      <c r="U1527" s="14" t="str">
        <f t="shared" si="3057"/>
        <v>Dadar</v>
      </c>
      <c r="V1527" s="14" t="str">
        <f t="shared" si="4"/>
        <v>Chocolate Mousse</v>
      </c>
      <c r="W1527" s="14">
        <f t="shared" si="5"/>
        <v>5</v>
      </c>
      <c r="X1527" s="14" t="str">
        <f t="shared" si="6"/>
        <v>Nithin Lal</v>
      </c>
      <c r="Y1527" s="15">
        <f t="shared" si="7"/>
        <v>45094</v>
      </c>
      <c r="Z1527" s="14" t="str">
        <f t="shared" si="8"/>
        <v>UPI</v>
      </c>
      <c r="AA1527" s="14" t="str">
        <f t="shared" si="9"/>
        <v>Delivered</v>
      </c>
      <c r="AB1527" s="14" t="str">
        <f t="shared" ref="AB1527:AC1527" si="3058">trim(Q1527)</f>
        <v>On-time Delivery</v>
      </c>
      <c r="AC1527" s="14" t="str">
        <f t="shared" si="3058"/>
        <v>Delivered on time</v>
      </c>
      <c r="AD1527" s="8"/>
    </row>
    <row r="1528">
      <c r="A1528" s="14" t="str">
        <f>IFERROR(__xludf.DUMMYFUNCTION("""COMPUTED_VALUE"""),"//ord_71506//Sakshi Tandon//Colaba//Cold Coffee+2*Manju Ajay/6/21/2023//COD//Delivered*Quality of Items: Perfect condition")</f>
        <v>//ord_71506//Sakshi Tandon//Colaba//Cold Coffee+2*Manju Ajay/6/21/2023//COD//Delivered*Quality of Items: Perfect condition</v>
      </c>
      <c r="B1528" s="14" t="str">
        <f>IFERROR(__xludf.DUMMYFUNCTION("split(A1528,""//"")"),"ord_71506")</f>
        <v>ord_71506</v>
      </c>
      <c r="C1528" s="14" t="str">
        <f>IFERROR(__xludf.DUMMYFUNCTION("""COMPUTED_VALUE"""),"Sakshi Tandon")</f>
        <v>Sakshi Tandon</v>
      </c>
      <c r="D1528" s="14" t="str">
        <f>IFERROR(__xludf.DUMMYFUNCTION("""COMPUTED_VALUE"""),"Colaba")</f>
        <v>Colaba</v>
      </c>
      <c r="E1528" s="14" t="str">
        <f>IFERROR(__xludf.DUMMYFUNCTION("""COMPUTED_VALUE"""),"Cold Coffee+2*Manju Ajay")</f>
        <v>Cold Coffee+2*Manju Ajay</v>
      </c>
      <c r="F1528" s="14">
        <f>IFERROR(__xludf.DUMMYFUNCTION("""COMPUTED_VALUE"""),6.0)</f>
        <v>6</v>
      </c>
      <c r="G1528" s="14">
        <f>IFERROR(__xludf.DUMMYFUNCTION("""COMPUTED_VALUE"""),21.0)</f>
        <v>21</v>
      </c>
      <c r="H1528" s="14">
        <f>IFERROR(__xludf.DUMMYFUNCTION("""COMPUTED_VALUE"""),2023.0)</f>
        <v>2023</v>
      </c>
      <c r="I1528" s="14" t="str">
        <f>IFERROR(__xludf.DUMMYFUNCTION("""COMPUTED_VALUE"""),"COD")</f>
        <v>COD</v>
      </c>
      <c r="J1528" s="14" t="str">
        <f>IFERROR(__xludf.DUMMYFUNCTION("""COMPUTED_VALUE"""),"Delivered*Quality of Items: Perfect condition")</f>
        <v>Delivered*Quality of Items: Perfect condition</v>
      </c>
      <c r="K1528" s="14" t="str">
        <f>IFERROR(__xludf.DUMMYFUNCTION("split(E1528,""+"")"),"Cold Coffee")</f>
        <v>Cold Coffee</v>
      </c>
      <c r="L1528" s="14" t="str">
        <f>IFERROR(__xludf.DUMMYFUNCTION("""COMPUTED_VALUE"""),"2*Manju Ajay")</f>
        <v>2*Manju Ajay</v>
      </c>
      <c r="M1528" s="14">
        <f>IFERROR(__xludf.DUMMYFUNCTION("SPLIT(L1528,""*"")"),2.0)</f>
        <v>2</v>
      </c>
      <c r="N1528" s="14" t="str">
        <f>IFERROR(__xludf.DUMMYFUNCTION("""COMPUTED_VALUE"""),"Manju Ajay")</f>
        <v>Manju Ajay</v>
      </c>
      <c r="O1528" s="14" t="str">
        <f>IFERROR(__xludf.DUMMYFUNCTION("split(J1528,""*"")"),"Delivered")</f>
        <v>Delivered</v>
      </c>
      <c r="P1528" s="14" t="str">
        <f>IFERROR(__xludf.DUMMYFUNCTION("""COMPUTED_VALUE"""),"Quality of Items: Perfect condition")</f>
        <v>Quality of Items: Perfect condition</v>
      </c>
      <c r="Q1528" s="14" t="str">
        <f>IFERROR(__xludf.DUMMYFUNCTION("split(P1528,"":"")"),"Quality of Items")</f>
        <v>Quality of Items</v>
      </c>
      <c r="R1528" s="14" t="str">
        <f>IFERROR(__xludf.DUMMYFUNCTION("""COMPUTED_VALUE""")," Perfect condition")</f>
        <v> Perfect condition</v>
      </c>
      <c r="S1528" s="14" t="str">
        <f t="shared" ref="S1528:U1528" si="3059">trim(B1528)</f>
        <v>ord_71506</v>
      </c>
      <c r="T1528" s="14" t="str">
        <f t="shared" si="3059"/>
        <v>Sakshi Tandon</v>
      </c>
      <c r="U1528" s="14" t="str">
        <f t="shared" si="3059"/>
        <v>Colaba</v>
      </c>
      <c r="V1528" s="14" t="str">
        <f t="shared" si="4"/>
        <v>Cold Coffee</v>
      </c>
      <c r="W1528" s="14">
        <f t="shared" si="5"/>
        <v>2</v>
      </c>
      <c r="X1528" s="14" t="str">
        <f t="shared" si="6"/>
        <v>Manju Ajay</v>
      </c>
      <c r="Y1528" s="15">
        <f t="shared" si="7"/>
        <v>45098</v>
      </c>
      <c r="Z1528" s="14" t="str">
        <f t="shared" si="8"/>
        <v>COD</v>
      </c>
      <c r="AA1528" s="14" t="str">
        <f t="shared" si="9"/>
        <v>Delivered</v>
      </c>
      <c r="AB1528" s="14" t="str">
        <f t="shared" ref="AB1528:AC1528" si="3060">trim(Q1528)</f>
        <v>Quality of Items</v>
      </c>
      <c r="AC1528" s="14" t="str">
        <f t="shared" si="3060"/>
        <v>Perfect condition</v>
      </c>
      <c r="AD1528" s="8"/>
    </row>
    <row r="1529">
      <c r="A1529" s="14" t="str">
        <f>IFERROR(__xludf.DUMMYFUNCTION("""COMPUTED_VALUE"""),"//ord_71507//Anaya Rao//Colaba//Icecream+1*Nithin Lal/9/2/2023//Online Payment//Delivered*Packaging: Secure and intact")</f>
        <v>//ord_71507//Anaya Rao//Colaba//Icecream+1*Nithin Lal/9/2/2023//Online Payment//Delivered*Packaging: Secure and intact</v>
      </c>
      <c r="B1529" s="14" t="str">
        <f>IFERROR(__xludf.DUMMYFUNCTION("split(A1529,""//"")"),"ord_71507")</f>
        <v>ord_71507</v>
      </c>
      <c r="C1529" s="14" t="str">
        <f>IFERROR(__xludf.DUMMYFUNCTION("""COMPUTED_VALUE"""),"Anaya Rao")</f>
        <v>Anaya Rao</v>
      </c>
      <c r="D1529" s="14" t="str">
        <f>IFERROR(__xludf.DUMMYFUNCTION("""COMPUTED_VALUE"""),"Colaba")</f>
        <v>Colaba</v>
      </c>
      <c r="E1529" s="14" t="str">
        <f>IFERROR(__xludf.DUMMYFUNCTION("""COMPUTED_VALUE"""),"Icecream+1*Nithin Lal")</f>
        <v>Icecream+1*Nithin Lal</v>
      </c>
      <c r="F1529" s="14">
        <f>IFERROR(__xludf.DUMMYFUNCTION("""COMPUTED_VALUE"""),9.0)</f>
        <v>9</v>
      </c>
      <c r="G1529" s="14">
        <f>IFERROR(__xludf.DUMMYFUNCTION("""COMPUTED_VALUE"""),2.0)</f>
        <v>2</v>
      </c>
      <c r="H1529" s="14">
        <f>IFERROR(__xludf.DUMMYFUNCTION("""COMPUTED_VALUE"""),2023.0)</f>
        <v>2023</v>
      </c>
      <c r="I1529" s="14" t="str">
        <f>IFERROR(__xludf.DUMMYFUNCTION("""COMPUTED_VALUE"""),"Online Payment")</f>
        <v>Online Payment</v>
      </c>
      <c r="J1529" s="14" t="str">
        <f>IFERROR(__xludf.DUMMYFUNCTION("""COMPUTED_VALUE"""),"Delivered*Packaging: Secure and intact")</f>
        <v>Delivered*Packaging: Secure and intact</v>
      </c>
      <c r="K1529" s="14" t="str">
        <f>IFERROR(__xludf.DUMMYFUNCTION("split(E1529,""+"")"),"Icecream")</f>
        <v>Icecream</v>
      </c>
      <c r="L1529" s="14" t="str">
        <f>IFERROR(__xludf.DUMMYFUNCTION("""COMPUTED_VALUE"""),"1*Nithin Lal")</f>
        <v>1*Nithin Lal</v>
      </c>
      <c r="M1529" s="14">
        <f>IFERROR(__xludf.DUMMYFUNCTION("SPLIT(L1529,""*"")"),1.0)</f>
        <v>1</v>
      </c>
      <c r="N1529" s="14" t="str">
        <f>IFERROR(__xludf.DUMMYFUNCTION("""COMPUTED_VALUE"""),"Nithin Lal")</f>
        <v>Nithin Lal</v>
      </c>
      <c r="O1529" s="14" t="str">
        <f>IFERROR(__xludf.DUMMYFUNCTION("split(J1529,""*"")"),"Delivered")</f>
        <v>Delivered</v>
      </c>
      <c r="P1529" s="14" t="str">
        <f>IFERROR(__xludf.DUMMYFUNCTION("""COMPUTED_VALUE"""),"Packaging: Secure and intact")</f>
        <v>Packaging: Secure and intact</v>
      </c>
      <c r="Q1529" s="14" t="str">
        <f>IFERROR(__xludf.DUMMYFUNCTION("split(P1529,"":"")"),"Packaging")</f>
        <v>Packaging</v>
      </c>
      <c r="R1529" s="14" t="str">
        <f>IFERROR(__xludf.DUMMYFUNCTION("""COMPUTED_VALUE""")," Secure and intact")</f>
        <v> Secure and intact</v>
      </c>
      <c r="S1529" s="14" t="str">
        <f t="shared" ref="S1529:U1529" si="3061">trim(B1529)</f>
        <v>ord_71507</v>
      </c>
      <c r="T1529" s="14" t="str">
        <f t="shared" si="3061"/>
        <v>Anaya Rao</v>
      </c>
      <c r="U1529" s="14" t="str">
        <f t="shared" si="3061"/>
        <v>Colaba</v>
      </c>
      <c r="V1529" s="14" t="str">
        <f t="shared" si="4"/>
        <v>Icecream</v>
      </c>
      <c r="W1529" s="14">
        <f t="shared" si="5"/>
        <v>1</v>
      </c>
      <c r="X1529" s="14" t="str">
        <f t="shared" si="6"/>
        <v>Nithin Lal</v>
      </c>
      <c r="Y1529" s="15">
        <f t="shared" si="7"/>
        <v>45171</v>
      </c>
      <c r="Z1529" s="14" t="str">
        <f t="shared" si="8"/>
        <v>Online Payment</v>
      </c>
      <c r="AA1529" s="14" t="str">
        <f t="shared" si="9"/>
        <v>Delivered</v>
      </c>
      <c r="AB1529" s="14" t="str">
        <f t="shared" ref="AB1529:AC1529" si="3062">trim(Q1529)</f>
        <v>Packaging</v>
      </c>
      <c r="AC1529" s="14" t="str">
        <f t="shared" si="3062"/>
        <v>Secure and intact</v>
      </c>
      <c r="AD1529" s="8"/>
    </row>
    <row r="1530">
      <c r="A1530" s="14" t="str">
        <f>IFERROR(__xludf.DUMMYFUNCTION("""COMPUTED_VALUE"""),"//ord_71508//Pallavi Ghosh//Bandra//Chocolate Mousse+3*Nithin Lal/11/26/2023//COD//Delivered*Satisfied with the Delivery: Timely and quality")</f>
        <v>//ord_71508//Pallavi Ghosh//Bandra//Chocolate Mousse+3*Nithin Lal/11/26/2023//COD//Delivered*Satisfied with the Delivery: Timely and quality</v>
      </c>
      <c r="B1530" s="14" t="str">
        <f>IFERROR(__xludf.DUMMYFUNCTION("split(A1530,""//"")"),"ord_71508")</f>
        <v>ord_71508</v>
      </c>
      <c r="C1530" s="14" t="str">
        <f>IFERROR(__xludf.DUMMYFUNCTION("""COMPUTED_VALUE"""),"Pallavi Ghosh")</f>
        <v>Pallavi Ghosh</v>
      </c>
      <c r="D1530" s="14" t="str">
        <f>IFERROR(__xludf.DUMMYFUNCTION("""COMPUTED_VALUE"""),"Bandra")</f>
        <v>Bandra</v>
      </c>
      <c r="E1530" s="14" t="str">
        <f>IFERROR(__xludf.DUMMYFUNCTION("""COMPUTED_VALUE"""),"Chocolate Mousse+3*Nithin Lal")</f>
        <v>Chocolate Mousse+3*Nithin Lal</v>
      </c>
      <c r="F1530" s="14">
        <f>IFERROR(__xludf.DUMMYFUNCTION("""COMPUTED_VALUE"""),11.0)</f>
        <v>11</v>
      </c>
      <c r="G1530" s="14">
        <f>IFERROR(__xludf.DUMMYFUNCTION("""COMPUTED_VALUE"""),26.0)</f>
        <v>26</v>
      </c>
      <c r="H1530" s="14">
        <f>IFERROR(__xludf.DUMMYFUNCTION("""COMPUTED_VALUE"""),2023.0)</f>
        <v>2023</v>
      </c>
      <c r="I1530" s="14" t="str">
        <f>IFERROR(__xludf.DUMMYFUNCTION("""COMPUTED_VALUE"""),"COD")</f>
        <v>COD</v>
      </c>
      <c r="J1530" s="14" t="str">
        <f>IFERROR(__xludf.DUMMYFUNCTION("""COMPUTED_VALUE"""),"Delivered*Satisfied with the Delivery: Timely and quality")</f>
        <v>Delivered*Satisfied with the Delivery: Timely and quality</v>
      </c>
      <c r="K1530" s="14" t="str">
        <f>IFERROR(__xludf.DUMMYFUNCTION("split(E1530,""+"")"),"Chocolate Mousse")</f>
        <v>Chocolate Mousse</v>
      </c>
      <c r="L1530" s="14" t="str">
        <f>IFERROR(__xludf.DUMMYFUNCTION("""COMPUTED_VALUE"""),"3*Nithin Lal")</f>
        <v>3*Nithin Lal</v>
      </c>
      <c r="M1530" s="14">
        <f>IFERROR(__xludf.DUMMYFUNCTION("SPLIT(L1530,""*"")"),3.0)</f>
        <v>3</v>
      </c>
      <c r="N1530" s="14" t="str">
        <f>IFERROR(__xludf.DUMMYFUNCTION("""COMPUTED_VALUE"""),"Nithin Lal")</f>
        <v>Nithin Lal</v>
      </c>
      <c r="O1530" s="14" t="str">
        <f>IFERROR(__xludf.DUMMYFUNCTION("split(J1530,""*"")"),"Delivered")</f>
        <v>Delivered</v>
      </c>
      <c r="P1530" s="14" t="str">
        <f>IFERROR(__xludf.DUMMYFUNCTION("""COMPUTED_VALUE"""),"Satisfied with the Delivery: Timely and quality")</f>
        <v>Satisfied with the Delivery: Timely and quality</v>
      </c>
      <c r="Q1530" s="14" t="str">
        <f>IFERROR(__xludf.DUMMYFUNCTION("split(P1530,"":"")"),"Satisfied with the Delivery")</f>
        <v>Satisfied with the Delivery</v>
      </c>
      <c r="R1530" s="14" t="str">
        <f>IFERROR(__xludf.DUMMYFUNCTION("""COMPUTED_VALUE""")," Timely and quality")</f>
        <v> Timely and quality</v>
      </c>
      <c r="S1530" s="14" t="str">
        <f t="shared" ref="S1530:U1530" si="3063">trim(B1530)</f>
        <v>ord_71508</v>
      </c>
      <c r="T1530" s="14" t="str">
        <f t="shared" si="3063"/>
        <v>Pallavi Ghosh</v>
      </c>
      <c r="U1530" s="14" t="str">
        <f t="shared" si="3063"/>
        <v>Bandra</v>
      </c>
      <c r="V1530" s="14" t="str">
        <f t="shared" si="4"/>
        <v>Chocolate Mousse</v>
      </c>
      <c r="W1530" s="14">
        <f t="shared" si="5"/>
        <v>3</v>
      </c>
      <c r="X1530" s="14" t="str">
        <f t="shared" si="6"/>
        <v>Nithin Lal</v>
      </c>
      <c r="Y1530" s="15">
        <f t="shared" si="7"/>
        <v>45256</v>
      </c>
      <c r="Z1530" s="14" t="str">
        <f t="shared" si="8"/>
        <v>COD</v>
      </c>
      <c r="AA1530" s="14" t="str">
        <f t="shared" si="9"/>
        <v>Delivered</v>
      </c>
      <c r="AB1530" s="14" t="str">
        <f t="shared" ref="AB1530:AC1530" si="3064">trim(Q1530)</f>
        <v>Satisfied with the Delivery</v>
      </c>
      <c r="AC1530" s="14" t="str">
        <f t="shared" si="3064"/>
        <v>Timely and quality</v>
      </c>
      <c r="AD1530" s="8"/>
    </row>
    <row r="1531">
      <c r="A1531" s="14" t="str">
        <f>IFERROR(__xludf.DUMMYFUNCTION("""COMPUTED_VALUE"""),"//ord_71509//Tanishq Bansal//Bandra//Juice+2*Vivek Kumar/8/17/2023//Online Payment//Delivered*Customer Service: Seamless and easy")</f>
        <v>//ord_71509//Tanishq Bansal//Bandra//Juice+2*Vivek Kumar/8/17/2023//Online Payment//Delivered*Customer Service: Seamless and easy</v>
      </c>
      <c r="B1531" s="14" t="str">
        <f>IFERROR(__xludf.DUMMYFUNCTION("split(A1531,""//"")"),"ord_71509")</f>
        <v>ord_71509</v>
      </c>
      <c r="C1531" s="14" t="str">
        <f>IFERROR(__xludf.DUMMYFUNCTION("""COMPUTED_VALUE"""),"Tanishq Bansal")</f>
        <v>Tanishq Bansal</v>
      </c>
      <c r="D1531" s="14" t="str">
        <f>IFERROR(__xludf.DUMMYFUNCTION("""COMPUTED_VALUE"""),"Bandra")</f>
        <v>Bandra</v>
      </c>
      <c r="E1531" s="14" t="str">
        <f>IFERROR(__xludf.DUMMYFUNCTION("""COMPUTED_VALUE"""),"Juice+2*Vivek Kumar")</f>
        <v>Juice+2*Vivek Kumar</v>
      </c>
      <c r="F1531" s="14">
        <f>IFERROR(__xludf.DUMMYFUNCTION("""COMPUTED_VALUE"""),8.0)</f>
        <v>8</v>
      </c>
      <c r="G1531" s="14">
        <f>IFERROR(__xludf.DUMMYFUNCTION("""COMPUTED_VALUE"""),17.0)</f>
        <v>17</v>
      </c>
      <c r="H1531" s="14">
        <f>IFERROR(__xludf.DUMMYFUNCTION("""COMPUTED_VALUE"""),2023.0)</f>
        <v>2023</v>
      </c>
      <c r="I1531" s="14" t="str">
        <f>IFERROR(__xludf.DUMMYFUNCTION("""COMPUTED_VALUE"""),"Online Payment")</f>
        <v>Online Payment</v>
      </c>
      <c r="J1531" s="14" t="str">
        <f>IFERROR(__xludf.DUMMYFUNCTION("""COMPUTED_VALUE"""),"Delivered*Customer Service: Seamless and easy")</f>
        <v>Delivered*Customer Service: Seamless and easy</v>
      </c>
      <c r="K1531" s="14" t="str">
        <f>IFERROR(__xludf.DUMMYFUNCTION("split(E1531,""+"")"),"Juice")</f>
        <v>Juice</v>
      </c>
      <c r="L1531" s="14" t="str">
        <f>IFERROR(__xludf.DUMMYFUNCTION("""COMPUTED_VALUE"""),"2*Vivek Kumar")</f>
        <v>2*Vivek Kumar</v>
      </c>
      <c r="M1531" s="14">
        <f>IFERROR(__xludf.DUMMYFUNCTION("SPLIT(L1531,""*"")"),2.0)</f>
        <v>2</v>
      </c>
      <c r="N1531" s="14" t="str">
        <f>IFERROR(__xludf.DUMMYFUNCTION("""COMPUTED_VALUE"""),"Vivek Kumar")</f>
        <v>Vivek Kumar</v>
      </c>
      <c r="O1531" s="14" t="str">
        <f>IFERROR(__xludf.DUMMYFUNCTION("split(J1531,""*"")"),"Delivered")</f>
        <v>Delivered</v>
      </c>
      <c r="P1531" s="14" t="str">
        <f>IFERROR(__xludf.DUMMYFUNCTION("""COMPUTED_VALUE"""),"Customer Service: Seamless and easy")</f>
        <v>Customer Service: Seamless and easy</v>
      </c>
      <c r="Q1531" s="14" t="str">
        <f>IFERROR(__xludf.DUMMYFUNCTION("split(P1531,"":"")"),"Customer Service")</f>
        <v>Customer Service</v>
      </c>
      <c r="R1531" s="14" t="str">
        <f>IFERROR(__xludf.DUMMYFUNCTION("""COMPUTED_VALUE""")," Seamless and easy")</f>
        <v> Seamless and easy</v>
      </c>
      <c r="S1531" s="14" t="str">
        <f t="shared" ref="S1531:U1531" si="3065">trim(B1531)</f>
        <v>ord_71509</v>
      </c>
      <c r="T1531" s="14" t="str">
        <f t="shared" si="3065"/>
        <v>Tanishq Bansal</v>
      </c>
      <c r="U1531" s="14" t="str">
        <f t="shared" si="3065"/>
        <v>Bandra</v>
      </c>
      <c r="V1531" s="14" t="str">
        <f t="shared" si="4"/>
        <v>Juice</v>
      </c>
      <c r="W1531" s="14">
        <f t="shared" si="5"/>
        <v>2</v>
      </c>
      <c r="X1531" s="14" t="str">
        <f t="shared" si="6"/>
        <v>Vivek Kumar</v>
      </c>
      <c r="Y1531" s="15">
        <f t="shared" si="7"/>
        <v>45155</v>
      </c>
      <c r="Z1531" s="14" t="str">
        <f t="shared" si="8"/>
        <v>Online Payment</v>
      </c>
      <c r="AA1531" s="14" t="str">
        <f t="shared" si="9"/>
        <v>Delivered</v>
      </c>
      <c r="AB1531" s="14" t="str">
        <f t="shared" ref="AB1531:AC1531" si="3066">trim(Q1531)</f>
        <v>Customer Service</v>
      </c>
      <c r="AC1531" s="14" t="str">
        <f t="shared" si="3066"/>
        <v>Seamless and easy</v>
      </c>
      <c r="AD1531" s="8"/>
    </row>
    <row r="1532">
      <c r="A1532" s="14" t="str">
        <f>IFERROR(__xludf.DUMMYFUNCTION("""COMPUTED_VALUE"""),"//ord_71510//Kritika Shetty//Malad//Cucumber+1*Not Assigned/9/13/2023//Online Payment//Cancelled*App Glitches:Slow Loading Time")</f>
        <v>//ord_71510//Kritika Shetty//Malad//Cucumber+1*Not Assigned/9/13/2023//Online Payment//Cancelled*App Glitches:Slow Loading Time</v>
      </c>
      <c r="B1532" s="14" t="str">
        <f>IFERROR(__xludf.DUMMYFUNCTION("split(A1532,""//"")"),"ord_71510")</f>
        <v>ord_71510</v>
      </c>
      <c r="C1532" s="14" t="str">
        <f>IFERROR(__xludf.DUMMYFUNCTION("""COMPUTED_VALUE"""),"Kritika Shetty")</f>
        <v>Kritika Shetty</v>
      </c>
      <c r="D1532" s="14" t="str">
        <f>IFERROR(__xludf.DUMMYFUNCTION("""COMPUTED_VALUE"""),"Malad")</f>
        <v>Malad</v>
      </c>
      <c r="E1532" s="14" t="str">
        <f>IFERROR(__xludf.DUMMYFUNCTION("""COMPUTED_VALUE"""),"Cucumber+1*Not Assigned")</f>
        <v>Cucumber+1*Not Assigned</v>
      </c>
      <c r="F1532" s="14">
        <f>IFERROR(__xludf.DUMMYFUNCTION("""COMPUTED_VALUE"""),9.0)</f>
        <v>9</v>
      </c>
      <c r="G1532" s="14">
        <f>IFERROR(__xludf.DUMMYFUNCTION("""COMPUTED_VALUE"""),13.0)</f>
        <v>13</v>
      </c>
      <c r="H1532" s="14">
        <f>IFERROR(__xludf.DUMMYFUNCTION("""COMPUTED_VALUE"""),2023.0)</f>
        <v>2023</v>
      </c>
      <c r="I1532" s="14" t="str">
        <f>IFERROR(__xludf.DUMMYFUNCTION("""COMPUTED_VALUE"""),"Online Payment")</f>
        <v>Online Payment</v>
      </c>
      <c r="J1532" s="14" t="str">
        <f>IFERROR(__xludf.DUMMYFUNCTION("""COMPUTED_VALUE"""),"Cancelled*App Glitches:Slow Loading Time")</f>
        <v>Cancelled*App Glitches:Slow Loading Time</v>
      </c>
      <c r="K1532" s="14" t="str">
        <f>IFERROR(__xludf.DUMMYFUNCTION("split(E1532,""+"")"),"Cucumber")</f>
        <v>Cucumber</v>
      </c>
      <c r="L1532" s="14" t="str">
        <f>IFERROR(__xludf.DUMMYFUNCTION("""COMPUTED_VALUE"""),"1*Not Assigned")</f>
        <v>1*Not Assigned</v>
      </c>
      <c r="M1532" s="14">
        <f>IFERROR(__xludf.DUMMYFUNCTION("SPLIT(L1532,""*"")"),1.0)</f>
        <v>1</v>
      </c>
      <c r="N1532" s="14" t="str">
        <f>IFERROR(__xludf.DUMMYFUNCTION("""COMPUTED_VALUE"""),"Not Assigned")</f>
        <v>Not Assigned</v>
      </c>
      <c r="O1532" s="14" t="str">
        <f>IFERROR(__xludf.DUMMYFUNCTION("split(J1532,""*"")"),"Cancelled")</f>
        <v>Cancelled</v>
      </c>
      <c r="P1532" s="14" t="str">
        <f>IFERROR(__xludf.DUMMYFUNCTION("""COMPUTED_VALUE"""),"App Glitches:Slow Loading Time")</f>
        <v>App Glitches:Slow Loading Time</v>
      </c>
      <c r="Q1532" s="14" t="str">
        <f>IFERROR(__xludf.DUMMYFUNCTION("split(P1532,"":"")"),"App Glitches")</f>
        <v>App Glitches</v>
      </c>
      <c r="R1532" s="14" t="str">
        <f>IFERROR(__xludf.DUMMYFUNCTION("""COMPUTED_VALUE"""),"Slow Loading Time")</f>
        <v>Slow Loading Time</v>
      </c>
      <c r="S1532" s="14" t="str">
        <f t="shared" ref="S1532:U1532" si="3067">trim(B1532)</f>
        <v>ord_71510</v>
      </c>
      <c r="T1532" s="14" t="str">
        <f t="shared" si="3067"/>
        <v>Kritika Shetty</v>
      </c>
      <c r="U1532" s="14" t="str">
        <f t="shared" si="3067"/>
        <v>Malad</v>
      </c>
      <c r="V1532" s="14" t="str">
        <f t="shared" si="4"/>
        <v>Cucumber</v>
      </c>
      <c r="W1532" s="14">
        <f t="shared" si="5"/>
        <v>1</v>
      </c>
      <c r="X1532" s="14" t="str">
        <f t="shared" si="6"/>
        <v>Not Assigned</v>
      </c>
      <c r="Y1532" s="15">
        <f t="shared" si="7"/>
        <v>45182</v>
      </c>
      <c r="Z1532" s="14" t="str">
        <f t="shared" si="8"/>
        <v>Online Payment</v>
      </c>
      <c r="AA1532" s="14" t="str">
        <f t="shared" si="9"/>
        <v>Cancelled</v>
      </c>
      <c r="AB1532" s="14" t="str">
        <f t="shared" ref="AB1532:AC1532" si="3068">trim(Q1532)</f>
        <v>App Glitches</v>
      </c>
      <c r="AC1532" s="14" t="str">
        <f t="shared" si="3068"/>
        <v>Slow Loading Time</v>
      </c>
      <c r="AD1532" s="8"/>
    </row>
    <row r="1533">
      <c r="A1533" s="14" t="str">
        <f>IFERROR(__xludf.DUMMYFUNCTION("""COMPUTED_VALUE"""),"//ord_71511//Aarohi Kapoor//Bandra//Rasmalai+4*Shine Thomas/10/10/2023//COD//Delivered*Delivery Experience: Quick and professional")</f>
        <v>//ord_71511//Aarohi Kapoor//Bandra//Rasmalai+4*Shine Thomas/10/10/2023//COD//Delivered*Delivery Experience: Quick and professional</v>
      </c>
      <c r="B1533" s="14" t="str">
        <f>IFERROR(__xludf.DUMMYFUNCTION("split(A1533,""//"")"),"ord_71511")</f>
        <v>ord_71511</v>
      </c>
      <c r="C1533" s="14" t="str">
        <f>IFERROR(__xludf.DUMMYFUNCTION("""COMPUTED_VALUE"""),"Aarohi Kapoor")</f>
        <v>Aarohi Kapoor</v>
      </c>
      <c r="D1533" s="14" t="str">
        <f>IFERROR(__xludf.DUMMYFUNCTION("""COMPUTED_VALUE"""),"Bandra")</f>
        <v>Bandra</v>
      </c>
      <c r="E1533" s="14" t="str">
        <f>IFERROR(__xludf.DUMMYFUNCTION("""COMPUTED_VALUE"""),"Rasmalai+4*Shine Thomas")</f>
        <v>Rasmalai+4*Shine Thomas</v>
      </c>
      <c r="F1533" s="14">
        <f>IFERROR(__xludf.DUMMYFUNCTION("""COMPUTED_VALUE"""),10.0)</f>
        <v>10</v>
      </c>
      <c r="G1533" s="14">
        <f>IFERROR(__xludf.DUMMYFUNCTION("""COMPUTED_VALUE"""),10.0)</f>
        <v>10</v>
      </c>
      <c r="H1533" s="14">
        <f>IFERROR(__xludf.DUMMYFUNCTION("""COMPUTED_VALUE"""),2023.0)</f>
        <v>2023</v>
      </c>
      <c r="I1533" s="14" t="str">
        <f>IFERROR(__xludf.DUMMYFUNCTION("""COMPUTED_VALUE"""),"COD")</f>
        <v>COD</v>
      </c>
      <c r="J1533" s="14" t="str">
        <f>IFERROR(__xludf.DUMMYFUNCTION("""COMPUTED_VALUE"""),"Delivered*Delivery Experience: Quick and professional")</f>
        <v>Delivered*Delivery Experience: Quick and professional</v>
      </c>
      <c r="K1533" s="14" t="str">
        <f>IFERROR(__xludf.DUMMYFUNCTION("split(E1533,""+"")"),"Rasmalai")</f>
        <v>Rasmalai</v>
      </c>
      <c r="L1533" s="14" t="str">
        <f>IFERROR(__xludf.DUMMYFUNCTION("""COMPUTED_VALUE"""),"4*Shine Thomas")</f>
        <v>4*Shine Thomas</v>
      </c>
      <c r="M1533" s="14">
        <f>IFERROR(__xludf.DUMMYFUNCTION("SPLIT(L1533,""*"")"),4.0)</f>
        <v>4</v>
      </c>
      <c r="N1533" s="14" t="str">
        <f>IFERROR(__xludf.DUMMYFUNCTION("""COMPUTED_VALUE"""),"Shine Thomas")</f>
        <v>Shine Thomas</v>
      </c>
      <c r="O1533" s="14" t="str">
        <f>IFERROR(__xludf.DUMMYFUNCTION("split(J1533,""*"")"),"Delivered")</f>
        <v>Delivered</v>
      </c>
      <c r="P1533" s="14" t="str">
        <f>IFERROR(__xludf.DUMMYFUNCTION("""COMPUTED_VALUE"""),"Delivery Experience: Quick and professional")</f>
        <v>Delivery Experience: Quick and professional</v>
      </c>
      <c r="Q1533" s="14" t="str">
        <f>IFERROR(__xludf.DUMMYFUNCTION("split(P1533,"":"")"),"Delivery Experience")</f>
        <v>Delivery Experience</v>
      </c>
      <c r="R1533" s="14" t="str">
        <f>IFERROR(__xludf.DUMMYFUNCTION("""COMPUTED_VALUE""")," Quick and professional")</f>
        <v> Quick and professional</v>
      </c>
      <c r="S1533" s="14" t="str">
        <f t="shared" ref="S1533:U1533" si="3069">trim(B1533)</f>
        <v>ord_71511</v>
      </c>
      <c r="T1533" s="14" t="str">
        <f t="shared" si="3069"/>
        <v>Aarohi Kapoor</v>
      </c>
      <c r="U1533" s="14" t="str">
        <f t="shared" si="3069"/>
        <v>Bandra</v>
      </c>
      <c r="V1533" s="14" t="str">
        <f t="shared" si="4"/>
        <v>Rasmalai</v>
      </c>
      <c r="W1533" s="14">
        <f t="shared" si="5"/>
        <v>4</v>
      </c>
      <c r="X1533" s="14" t="str">
        <f t="shared" si="6"/>
        <v>Shine Thomas</v>
      </c>
      <c r="Y1533" s="15">
        <f t="shared" si="7"/>
        <v>45209</v>
      </c>
      <c r="Z1533" s="14" t="str">
        <f t="shared" si="8"/>
        <v>COD</v>
      </c>
      <c r="AA1533" s="14" t="str">
        <f t="shared" si="9"/>
        <v>Delivered</v>
      </c>
      <c r="AB1533" s="14" t="str">
        <f t="shared" ref="AB1533:AC1533" si="3070">trim(Q1533)</f>
        <v>Delivery Experience</v>
      </c>
      <c r="AC1533" s="14" t="str">
        <f t="shared" si="3070"/>
        <v>Quick and professional</v>
      </c>
      <c r="AD1533" s="8"/>
    </row>
    <row r="1534">
      <c r="A1534" s="14" t="str">
        <f>IFERROR(__xludf.DUMMYFUNCTION("""COMPUTED_VALUE"""),"//ord_71512//Aarav Mehta//Andheri//Cucumber+1*Vivek Kumar/1/16/2023//Credit Card//Delivered*Convenience: Easy tracking")</f>
        <v>//ord_71512//Aarav Mehta//Andheri//Cucumber+1*Vivek Kumar/1/16/2023//Credit Card//Delivered*Convenience: Easy tracking</v>
      </c>
      <c r="B1534" s="14" t="str">
        <f>IFERROR(__xludf.DUMMYFUNCTION("split(A1534,""//"")"),"ord_71512")</f>
        <v>ord_71512</v>
      </c>
      <c r="C1534" s="14" t="str">
        <f>IFERROR(__xludf.DUMMYFUNCTION("""COMPUTED_VALUE"""),"Aarav Mehta")</f>
        <v>Aarav Mehta</v>
      </c>
      <c r="D1534" s="14" t="str">
        <f>IFERROR(__xludf.DUMMYFUNCTION("""COMPUTED_VALUE"""),"Andheri")</f>
        <v>Andheri</v>
      </c>
      <c r="E1534" s="14" t="str">
        <f>IFERROR(__xludf.DUMMYFUNCTION("""COMPUTED_VALUE"""),"Cucumber+1*Vivek Kumar")</f>
        <v>Cucumber+1*Vivek Kumar</v>
      </c>
      <c r="F1534" s="14">
        <f>IFERROR(__xludf.DUMMYFUNCTION("""COMPUTED_VALUE"""),1.0)</f>
        <v>1</v>
      </c>
      <c r="G1534" s="14">
        <f>IFERROR(__xludf.DUMMYFUNCTION("""COMPUTED_VALUE"""),16.0)</f>
        <v>16</v>
      </c>
      <c r="H1534" s="14">
        <f>IFERROR(__xludf.DUMMYFUNCTION("""COMPUTED_VALUE"""),2023.0)</f>
        <v>2023</v>
      </c>
      <c r="I1534" s="14" t="str">
        <f>IFERROR(__xludf.DUMMYFUNCTION("""COMPUTED_VALUE"""),"Credit Card")</f>
        <v>Credit Card</v>
      </c>
      <c r="J1534" s="14" t="str">
        <f>IFERROR(__xludf.DUMMYFUNCTION("""COMPUTED_VALUE"""),"Delivered*Convenience: Easy tracking")</f>
        <v>Delivered*Convenience: Easy tracking</v>
      </c>
      <c r="K1534" s="14" t="str">
        <f>IFERROR(__xludf.DUMMYFUNCTION("split(E1534,""+"")"),"Cucumber")</f>
        <v>Cucumber</v>
      </c>
      <c r="L1534" s="14" t="str">
        <f>IFERROR(__xludf.DUMMYFUNCTION("""COMPUTED_VALUE"""),"1*Vivek Kumar")</f>
        <v>1*Vivek Kumar</v>
      </c>
      <c r="M1534" s="14">
        <f>IFERROR(__xludf.DUMMYFUNCTION("SPLIT(L1534,""*"")"),1.0)</f>
        <v>1</v>
      </c>
      <c r="N1534" s="14" t="str">
        <f>IFERROR(__xludf.DUMMYFUNCTION("""COMPUTED_VALUE"""),"Vivek Kumar")</f>
        <v>Vivek Kumar</v>
      </c>
      <c r="O1534" s="14" t="str">
        <f>IFERROR(__xludf.DUMMYFUNCTION("split(J1534,""*"")"),"Delivered")</f>
        <v>Delivered</v>
      </c>
      <c r="P1534" s="14" t="str">
        <f>IFERROR(__xludf.DUMMYFUNCTION("""COMPUTED_VALUE"""),"Convenience: Easy tracking")</f>
        <v>Convenience: Easy tracking</v>
      </c>
      <c r="Q1534" s="14" t="str">
        <f>IFERROR(__xludf.DUMMYFUNCTION("split(P1534,"":"")"),"Convenience")</f>
        <v>Convenience</v>
      </c>
      <c r="R1534" s="14" t="str">
        <f>IFERROR(__xludf.DUMMYFUNCTION("""COMPUTED_VALUE""")," Easy tracking")</f>
        <v> Easy tracking</v>
      </c>
      <c r="S1534" s="14" t="str">
        <f t="shared" ref="S1534:U1534" si="3071">trim(B1534)</f>
        <v>ord_71512</v>
      </c>
      <c r="T1534" s="14" t="str">
        <f t="shared" si="3071"/>
        <v>Aarav Mehta</v>
      </c>
      <c r="U1534" s="14" t="str">
        <f t="shared" si="3071"/>
        <v>Andheri</v>
      </c>
      <c r="V1534" s="14" t="str">
        <f t="shared" si="4"/>
        <v>Cucumber</v>
      </c>
      <c r="W1534" s="14">
        <f t="shared" si="5"/>
        <v>1</v>
      </c>
      <c r="X1534" s="14" t="str">
        <f t="shared" si="6"/>
        <v>Vivek Kumar</v>
      </c>
      <c r="Y1534" s="15">
        <f t="shared" si="7"/>
        <v>44942</v>
      </c>
      <c r="Z1534" s="14" t="str">
        <f t="shared" si="8"/>
        <v>Credit Card</v>
      </c>
      <c r="AA1534" s="14" t="str">
        <f t="shared" si="9"/>
        <v>Delivered</v>
      </c>
      <c r="AB1534" s="14" t="str">
        <f t="shared" ref="AB1534:AC1534" si="3072">trim(Q1534)</f>
        <v>Convenience</v>
      </c>
      <c r="AC1534" s="14" t="str">
        <f t="shared" si="3072"/>
        <v>Easy tracking</v>
      </c>
      <c r="AD1534" s="8"/>
    </row>
    <row r="1535">
      <c r="A1535" s="14" t="str">
        <f>IFERROR(__xludf.DUMMYFUNCTION("""COMPUTED_VALUE"""),"//ord_71513//Sanjay Nair//Dadar//Chicken Puff+1*Sita T/3/19/2023//Online Payment//Delivered*Overall Satisfaction: Great service will order again")</f>
        <v>//ord_71513//Sanjay Nair//Dadar//Chicken Puff+1*Sita T/3/19/2023//Online Payment//Delivered*Overall Satisfaction: Great service will order again</v>
      </c>
      <c r="B1535" s="14" t="str">
        <f>IFERROR(__xludf.DUMMYFUNCTION("split(A1535,""//"")"),"ord_71513")</f>
        <v>ord_71513</v>
      </c>
      <c r="C1535" s="14" t="str">
        <f>IFERROR(__xludf.DUMMYFUNCTION("""COMPUTED_VALUE"""),"Sanjay Nair")</f>
        <v>Sanjay Nair</v>
      </c>
      <c r="D1535" s="14" t="str">
        <f>IFERROR(__xludf.DUMMYFUNCTION("""COMPUTED_VALUE"""),"Dadar")</f>
        <v>Dadar</v>
      </c>
      <c r="E1535" s="14" t="str">
        <f>IFERROR(__xludf.DUMMYFUNCTION("""COMPUTED_VALUE"""),"Chicken Puff+1*Sita T")</f>
        <v>Chicken Puff+1*Sita T</v>
      </c>
      <c r="F1535" s="14">
        <f>IFERROR(__xludf.DUMMYFUNCTION("""COMPUTED_VALUE"""),3.0)</f>
        <v>3</v>
      </c>
      <c r="G1535" s="14">
        <f>IFERROR(__xludf.DUMMYFUNCTION("""COMPUTED_VALUE"""),19.0)</f>
        <v>19</v>
      </c>
      <c r="H1535" s="14">
        <f>IFERROR(__xludf.DUMMYFUNCTION("""COMPUTED_VALUE"""),2023.0)</f>
        <v>2023</v>
      </c>
      <c r="I1535" s="14" t="str">
        <f>IFERROR(__xludf.DUMMYFUNCTION("""COMPUTED_VALUE"""),"Online Payment")</f>
        <v>Online Payment</v>
      </c>
      <c r="J1535" s="14" t="str">
        <f>IFERROR(__xludf.DUMMYFUNCTION("""COMPUTED_VALUE"""),"Delivered*Overall Satisfaction: Great service will order again")</f>
        <v>Delivered*Overall Satisfaction: Great service will order again</v>
      </c>
      <c r="K1535" s="14" t="str">
        <f>IFERROR(__xludf.DUMMYFUNCTION("split(E1535,""+"")"),"Chicken Puff")</f>
        <v>Chicken Puff</v>
      </c>
      <c r="L1535" s="14" t="str">
        <f>IFERROR(__xludf.DUMMYFUNCTION("""COMPUTED_VALUE"""),"1*Sita T")</f>
        <v>1*Sita T</v>
      </c>
      <c r="M1535" s="14">
        <f>IFERROR(__xludf.DUMMYFUNCTION("SPLIT(L1535,""*"")"),1.0)</f>
        <v>1</v>
      </c>
      <c r="N1535" s="14" t="str">
        <f>IFERROR(__xludf.DUMMYFUNCTION("""COMPUTED_VALUE"""),"Sita T")</f>
        <v>Sita T</v>
      </c>
      <c r="O1535" s="14" t="str">
        <f>IFERROR(__xludf.DUMMYFUNCTION("split(J1535,""*"")"),"Delivered")</f>
        <v>Delivered</v>
      </c>
      <c r="P1535" s="14" t="str">
        <f>IFERROR(__xludf.DUMMYFUNCTION("""COMPUTED_VALUE"""),"Overall Satisfaction: Great service will order again")</f>
        <v>Overall Satisfaction: Great service will order again</v>
      </c>
      <c r="Q1535" s="14" t="str">
        <f>IFERROR(__xludf.DUMMYFUNCTION("split(P1535,"":"")"),"Overall Satisfaction")</f>
        <v>Overall Satisfaction</v>
      </c>
      <c r="R1535" s="14" t="str">
        <f>IFERROR(__xludf.DUMMYFUNCTION("""COMPUTED_VALUE""")," Great service will order again")</f>
        <v> Great service will order again</v>
      </c>
      <c r="S1535" s="14" t="str">
        <f t="shared" ref="S1535:U1535" si="3073">trim(B1535)</f>
        <v>ord_71513</v>
      </c>
      <c r="T1535" s="14" t="str">
        <f t="shared" si="3073"/>
        <v>Sanjay Nair</v>
      </c>
      <c r="U1535" s="14" t="str">
        <f t="shared" si="3073"/>
        <v>Dadar</v>
      </c>
      <c r="V1535" s="14" t="str">
        <f t="shared" si="4"/>
        <v>Chicken Puff</v>
      </c>
      <c r="W1535" s="14">
        <f t="shared" si="5"/>
        <v>1</v>
      </c>
      <c r="X1535" s="14" t="str">
        <f t="shared" si="6"/>
        <v>Sita T</v>
      </c>
      <c r="Y1535" s="15">
        <f t="shared" si="7"/>
        <v>45004</v>
      </c>
      <c r="Z1535" s="14" t="str">
        <f t="shared" si="8"/>
        <v>Online Payment</v>
      </c>
      <c r="AA1535" s="14" t="str">
        <f t="shared" si="9"/>
        <v>Delivered</v>
      </c>
      <c r="AB1535" s="14" t="str">
        <f t="shared" ref="AB1535:AC1535" si="3074">trim(Q1535)</f>
        <v>Overall Satisfaction</v>
      </c>
      <c r="AC1535" s="14" t="str">
        <f t="shared" si="3074"/>
        <v>Great service will order again</v>
      </c>
      <c r="AD1535" s="8"/>
    </row>
    <row r="1536">
      <c r="A1536" s="14" t="str">
        <f>IFERROR(__xludf.DUMMYFUNCTION("""COMPUTED_VALUE"""),"//ord_71514//Aarav Mehta//Andheri//Potato+2*Manju Ajay/5/6/2023//Credit Card//Delivered*On-time Delivery: Delivered on time")</f>
        <v>//ord_71514//Aarav Mehta//Andheri//Potato+2*Manju Ajay/5/6/2023//Credit Card//Delivered*On-time Delivery: Delivered on time</v>
      </c>
      <c r="B1536" s="14" t="str">
        <f>IFERROR(__xludf.DUMMYFUNCTION("split(A1536,""//"")"),"ord_71514")</f>
        <v>ord_71514</v>
      </c>
      <c r="C1536" s="14" t="str">
        <f>IFERROR(__xludf.DUMMYFUNCTION("""COMPUTED_VALUE"""),"Aarav Mehta")</f>
        <v>Aarav Mehta</v>
      </c>
      <c r="D1536" s="14" t="str">
        <f>IFERROR(__xludf.DUMMYFUNCTION("""COMPUTED_VALUE"""),"Andheri")</f>
        <v>Andheri</v>
      </c>
      <c r="E1536" s="14" t="str">
        <f>IFERROR(__xludf.DUMMYFUNCTION("""COMPUTED_VALUE"""),"Potato+2*Manju Ajay")</f>
        <v>Potato+2*Manju Ajay</v>
      </c>
      <c r="F1536" s="14">
        <f>IFERROR(__xludf.DUMMYFUNCTION("""COMPUTED_VALUE"""),5.0)</f>
        <v>5</v>
      </c>
      <c r="G1536" s="14">
        <f>IFERROR(__xludf.DUMMYFUNCTION("""COMPUTED_VALUE"""),6.0)</f>
        <v>6</v>
      </c>
      <c r="H1536" s="14">
        <f>IFERROR(__xludf.DUMMYFUNCTION("""COMPUTED_VALUE"""),2023.0)</f>
        <v>2023</v>
      </c>
      <c r="I1536" s="14" t="str">
        <f>IFERROR(__xludf.DUMMYFUNCTION("""COMPUTED_VALUE"""),"Credit Card")</f>
        <v>Credit Card</v>
      </c>
      <c r="J1536" s="14" t="str">
        <f>IFERROR(__xludf.DUMMYFUNCTION("""COMPUTED_VALUE"""),"Delivered*On-time Delivery: Delivered on time")</f>
        <v>Delivered*On-time Delivery: Delivered on time</v>
      </c>
      <c r="K1536" s="14" t="str">
        <f>IFERROR(__xludf.DUMMYFUNCTION("split(E1536,""+"")"),"Potato")</f>
        <v>Potato</v>
      </c>
      <c r="L1536" s="14" t="str">
        <f>IFERROR(__xludf.DUMMYFUNCTION("""COMPUTED_VALUE"""),"2*Manju Ajay")</f>
        <v>2*Manju Ajay</v>
      </c>
      <c r="M1536" s="14">
        <f>IFERROR(__xludf.DUMMYFUNCTION("SPLIT(L1536,""*"")"),2.0)</f>
        <v>2</v>
      </c>
      <c r="N1536" s="14" t="str">
        <f>IFERROR(__xludf.DUMMYFUNCTION("""COMPUTED_VALUE"""),"Manju Ajay")</f>
        <v>Manju Ajay</v>
      </c>
      <c r="O1536" s="14" t="str">
        <f>IFERROR(__xludf.DUMMYFUNCTION("split(J1536,""*"")"),"Delivered")</f>
        <v>Delivered</v>
      </c>
      <c r="P1536" s="14" t="str">
        <f>IFERROR(__xludf.DUMMYFUNCTION("""COMPUTED_VALUE"""),"On-time Delivery: Delivered on time")</f>
        <v>On-time Delivery: Delivered on time</v>
      </c>
      <c r="Q1536" s="14" t="str">
        <f>IFERROR(__xludf.DUMMYFUNCTION("split(P1536,"":"")"),"On-time Delivery")</f>
        <v>On-time Delivery</v>
      </c>
      <c r="R1536" s="14" t="str">
        <f>IFERROR(__xludf.DUMMYFUNCTION("""COMPUTED_VALUE""")," Delivered on time")</f>
        <v> Delivered on time</v>
      </c>
      <c r="S1536" s="14" t="str">
        <f t="shared" ref="S1536:U1536" si="3075">trim(B1536)</f>
        <v>ord_71514</v>
      </c>
      <c r="T1536" s="14" t="str">
        <f t="shared" si="3075"/>
        <v>Aarav Mehta</v>
      </c>
      <c r="U1536" s="14" t="str">
        <f t="shared" si="3075"/>
        <v>Andheri</v>
      </c>
      <c r="V1536" s="14" t="str">
        <f t="shared" si="4"/>
        <v>Potato</v>
      </c>
      <c r="W1536" s="14">
        <f t="shared" si="5"/>
        <v>2</v>
      </c>
      <c r="X1536" s="14" t="str">
        <f t="shared" si="6"/>
        <v>Manju Ajay</v>
      </c>
      <c r="Y1536" s="15">
        <f t="shared" si="7"/>
        <v>45052</v>
      </c>
      <c r="Z1536" s="14" t="str">
        <f t="shared" si="8"/>
        <v>Credit Card</v>
      </c>
      <c r="AA1536" s="14" t="str">
        <f t="shared" si="9"/>
        <v>Delivered</v>
      </c>
      <c r="AB1536" s="14" t="str">
        <f t="shared" ref="AB1536:AC1536" si="3076">trim(Q1536)</f>
        <v>On-time Delivery</v>
      </c>
      <c r="AC1536" s="14" t="str">
        <f t="shared" si="3076"/>
        <v>Delivered on time</v>
      </c>
      <c r="AD1536" s="8"/>
    </row>
    <row r="1537">
      <c r="A1537" s="14" t="str">
        <f>IFERROR(__xludf.DUMMYFUNCTION("""COMPUTED_VALUE"""),"//ord_71515//Pallavi Ghosh//Bandra//Chicken Puff+2*Sita T/9/22/2023//Online Payment//Delivered*Quality of Items: Perfect condition")</f>
        <v>//ord_71515//Pallavi Ghosh//Bandra//Chicken Puff+2*Sita T/9/22/2023//Online Payment//Delivered*Quality of Items: Perfect condition</v>
      </c>
      <c r="B1537" s="14" t="str">
        <f>IFERROR(__xludf.DUMMYFUNCTION("split(A1537,""//"")"),"ord_71515")</f>
        <v>ord_71515</v>
      </c>
      <c r="C1537" s="14" t="str">
        <f>IFERROR(__xludf.DUMMYFUNCTION("""COMPUTED_VALUE"""),"Pallavi Ghosh")</f>
        <v>Pallavi Ghosh</v>
      </c>
      <c r="D1537" s="14" t="str">
        <f>IFERROR(__xludf.DUMMYFUNCTION("""COMPUTED_VALUE"""),"Bandra")</f>
        <v>Bandra</v>
      </c>
      <c r="E1537" s="14" t="str">
        <f>IFERROR(__xludf.DUMMYFUNCTION("""COMPUTED_VALUE"""),"Chicken Puff+2*Sita T")</f>
        <v>Chicken Puff+2*Sita T</v>
      </c>
      <c r="F1537" s="14">
        <f>IFERROR(__xludf.DUMMYFUNCTION("""COMPUTED_VALUE"""),9.0)</f>
        <v>9</v>
      </c>
      <c r="G1537" s="14">
        <f>IFERROR(__xludf.DUMMYFUNCTION("""COMPUTED_VALUE"""),22.0)</f>
        <v>22</v>
      </c>
      <c r="H1537" s="14">
        <f>IFERROR(__xludf.DUMMYFUNCTION("""COMPUTED_VALUE"""),2023.0)</f>
        <v>2023</v>
      </c>
      <c r="I1537" s="14" t="str">
        <f>IFERROR(__xludf.DUMMYFUNCTION("""COMPUTED_VALUE"""),"Online Payment")</f>
        <v>Online Payment</v>
      </c>
      <c r="J1537" s="14" t="str">
        <f>IFERROR(__xludf.DUMMYFUNCTION("""COMPUTED_VALUE"""),"Delivered*Quality of Items: Perfect condition")</f>
        <v>Delivered*Quality of Items: Perfect condition</v>
      </c>
      <c r="K1537" s="14" t="str">
        <f>IFERROR(__xludf.DUMMYFUNCTION("split(E1537,""+"")"),"Chicken Puff")</f>
        <v>Chicken Puff</v>
      </c>
      <c r="L1537" s="14" t="str">
        <f>IFERROR(__xludf.DUMMYFUNCTION("""COMPUTED_VALUE"""),"2*Sita T")</f>
        <v>2*Sita T</v>
      </c>
      <c r="M1537" s="14">
        <f>IFERROR(__xludf.DUMMYFUNCTION("SPLIT(L1537,""*"")"),2.0)</f>
        <v>2</v>
      </c>
      <c r="N1537" s="14" t="str">
        <f>IFERROR(__xludf.DUMMYFUNCTION("""COMPUTED_VALUE"""),"Sita T")</f>
        <v>Sita T</v>
      </c>
      <c r="O1537" s="14" t="str">
        <f>IFERROR(__xludf.DUMMYFUNCTION("split(J1537,""*"")"),"Delivered")</f>
        <v>Delivered</v>
      </c>
      <c r="P1537" s="14" t="str">
        <f>IFERROR(__xludf.DUMMYFUNCTION("""COMPUTED_VALUE"""),"Quality of Items: Perfect condition")</f>
        <v>Quality of Items: Perfect condition</v>
      </c>
      <c r="Q1537" s="14" t="str">
        <f>IFERROR(__xludf.DUMMYFUNCTION("split(P1537,"":"")"),"Quality of Items")</f>
        <v>Quality of Items</v>
      </c>
      <c r="R1537" s="14" t="str">
        <f>IFERROR(__xludf.DUMMYFUNCTION("""COMPUTED_VALUE""")," Perfect condition")</f>
        <v> Perfect condition</v>
      </c>
      <c r="S1537" s="14" t="str">
        <f t="shared" ref="S1537:U1537" si="3077">trim(B1537)</f>
        <v>ord_71515</v>
      </c>
      <c r="T1537" s="14" t="str">
        <f t="shared" si="3077"/>
        <v>Pallavi Ghosh</v>
      </c>
      <c r="U1537" s="14" t="str">
        <f t="shared" si="3077"/>
        <v>Bandra</v>
      </c>
      <c r="V1537" s="14" t="str">
        <f t="shared" si="4"/>
        <v>Chicken Puff</v>
      </c>
      <c r="W1537" s="14">
        <f t="shared" si="5"/>
        <v>2</v>
      </c>
      <c r="X1537" s="14" t="str">
        <f t="shared" si="6"/>
        <v>Sita T</v>
      </c>
      <c r="Y1537" s="15">
        <f t="shared" si="7"/>
        <v>45191</v>
      </c>
      <c r="Z1537" s="14" t="str">
        <f t="shared" si="8"/>
        <v>Online Payment</v>
      </c>
      <c r="AA1537" s="14" t="str">
        <f t="shared" si="9"/>
        <v>Delivered</v>
      </c>
      <c r="AB1537" s="14" t="str">
        <f t="shared" ref="AB1537:AC1537" si="3078">trim(Q1537)</f>
        <v>Quality of Items</v>
      </c>
      <c r="AC1537" s="14" t="str">
        <f t="shared" si="3078"/>
        <v>Perfect condition</v>
      </c>
      <c r="AD1537" s="8"/>
    </row>
    <row r="1538">
      <c r="A1538" s="14" t="str">
        <f>IFERROR(__xludf.DUMMYFUNCTION("""COMPUTED_VALUE"""),"//ord_71516//Siya Reddy//Juhu//Icecream+3*Not Assigned/11/27/2023//Credit Card//Cancelled*Payment Issues")</f>
        <v>//ord_71516//Siya Reddy//Juhu//Icecream+3*Not Assigned/11/27/2023//Credit Card//Cancelled*Payment Issues</v>
      </c>
      <c r="B1538" s="14" t="str">
        <f>IFERROR(__xludf.DUMMYFUNCTION("split(A1538,""//"")"),"ord_71516")</f>
        <v>ord_71516</v>
      </c>
      <c r="C1538" s="14" t="str">
        <f>IFERROR(__xludf.DUMMYFUNCTION("""COMPUTED_VALUE"""),"Siya Reddy")</f>
        <v>Siya Reddy</v>
      </c>
      <c r="D1538" s="14" t="str">
        <f>IFERROR(__xludf.DUMMYFUNCTION("""COMPUTED_VALUE"""),"Juhu")</f>
        <v>Juhu</v>
      </c>
      <c r="E1538" s="14" t="str">
        <f>IFERROR(__xludf.DUMMYFUNCTION("""COMPUTED_VALUE"""),"Icecream+3*Not Assigned")</f>
        <v>Icecream+3*Not Assigned</v>
      </c>
      <c r="F1538" s="14">
        <f>IFERROR(__xludf.DUMMYFUNCTION("""COMPUTED_VALUE"""),11.0)</f>
        <v>11</v>
      </c>
      <c r="G1538" s="14">
        <f>IFERROR(__xludf.DUMMYFUNCTION("""COMPUTED_VALUE"""),27.0)</f>
        <v>27</v>
      </c>
      <c r="H1538" s="14">
        <f>IFERROR(__xludf.DUMMYFUNCTION("""COMPUTED_VALUE"""),2023.0)</f>
        <v>2023</v>
      </c>
      <c r="I1538" s="14" t="str">
        <f>IFERROR(__xludf.DUMMYFUNCTION("""COMPUTED_VALUE"""),"Credit Card")</f>
        <v>Credit Card</v>
      </c>
      <c r="J1538" s="14" t="str">
        <f>IFERROR(__xludf.DUMMYFUNCTION("""COMPUTED_VALUE"""),"Cancelled*Payment Issues")</f>
        <v>Cancelled*Payment Issues</v>
      </c>
      <c r="K1538" s="14" t="str">
        <f>IFERROR(__xludf.DUMMYFUNCTION("split(E1538,""+"")"),"Icecream")</f>
        <v>Icecream</v>
      </c>
      <c r="L1538" s="14" t="str">
        <f>IFERROR(__xludf.DUMMYFUNCTION("""COMPUTED_VALUE"""),"3*Not Assigned")</f>
        <v>3*Not Assigned</v>
      </c>
      <c r="M1538" s="14">
        <f>IFERROR(__xludf.DUMMYFUNCTION("SPLIT(L1538,""*"")"),3.0)</f>
        <v>3</v>
      </c>
      <c r="N1538" s="14" t="str">
        <f>IFERROR(__xludf.DUMMYFUNCTION("""COMPUTED_VALUE"""),"Not Assigned")</f>
        <v>Not Assigned</v>
      </c>
      <c r="O1538" s="14" t="str">
        <f>IFERROR(__xludf.DUMMYFUNCTION("split(J1538,""*"")"),"Cancelled")</f>
        <v>Cancelled</v>
      </c>
      <c r="P1538" s="14" t="str">
        <f>IFERROR(__xludf.DUMMYFUNCTION("""COMPUTED_VALUE"""),"Payment Issues")</f>
        <v>Payment Issues</v>
      </c>
      <c r="Q1538" s="14" t="str">
        <f>IFERROR(__xludf.DUMMYFUNCTION("split(P1538,"":"")"),"Payment Issues")</f>
        <v>Payment Issues</v>
      </c>
      <c r="R1538" s="14"/>
      <c r="S1538" s="14" t="str">
        <f t="shared" ref="S1538:U1538" si="3079">trim(B1538)</f>
        <v>ord_71516</v>
      </c>
      <c r="T1538" s="14" t="str">
        <f t="shared" si="3079"/>
        <v>Siya Reddy</v>
      </c>
      <c r="U1538" s="14" t="str">
        <f t="shared" si="3079"/>
        <v>Juhu</v>
      </c>
      <c r="V1538" s="14" t="str">
        <f t="shared" si="4"/>
        <v>Icecream</v>
      </c>
      <c r="W1538" s="14">
        <f t="shared" si="5"/>
        <v>3</v>
      </c>
      <c r="X1538" s="14" t="str">
        <f t="shared" si="6"/>
        <v>Not Assigned</v>
      </c>
      <c r="Y1538" s="15">
        <f t="shared" si="7"/>
        <v>45257</v>
      </c>
      <c r="Z1538" s="14" t="str">
        <f t="shared" si="8"/>
        <v>Credit Card</v>
      </c>
      <c r="AA1538" s="14" t="str">
        <f t="shared" si="9"/>
        <v>Cancelled</v>
      </c>
      <c r="AB1538" s="14" t="str">
        <f t="shared" ref="AB1538:AC1538" si="3080">trim(Q1538)</f>
        <v>Payment Issues</v>
      </c>
      <c r="AC1538" s="14" t="str">
        <f t="shared" si="3080"/>
        <v/>
      </c>
      <c r="AD1538" s="8"/>
    </row>
    <row r="1539">
      <c r="A1539" s="14" t="str">
        <f>IFERROR(__xludf.DUMMYFUNCTION("""COMPUTED_VALUE"""),"//ord_71517//Sakshi Tandon//Colaba//Chilli Cheese Toast+1*Ramesh S/10/23/2023//UPI//Delivered*On-time Delivery: Delivered on time")</f>
        <v>//ord_71517//Sakshi Tandon//Colaba//Chilli Cheese Toast+1*Ramesh S/10/23/2023//UPI//Delivered*On-time Delivery: Delivered on time</v>
      </c>
      <c r="B1539" s="14" t="str">
        <f>IFERROR(__xludf.DUMMYFUNCTION("split(A1539,""//"")"),"ord_71517")</f>
        <v>ord_71517</v>
      </c>
      <c r="C1539" s="14" t="str">
        <f>IFERROR(__xludf.DUMMYFUNCTION("""COMPUTED_VALUE"""),"Sakshi Tandon")</f>
        <v>Sakshi Tandon</v>
      </c>
      <c r="D1539" s="14" t="str">
        <f>IFERROR(__xludf.DUMMYFUNCTION("""COMPUTED_VALUE"""),"Colaba")</f>
        <v>Colaba</v>
      </c>
      <c r="E1539" s="14" t="str">
        <f>IFERROR(__xludf.DUMMYFUNCTION("""COMPUTED_VALUE"""),"Chilli Cheese Toast+1*Ramesh S")</f>
        <v>Chilli Cheese Toast+1*Ramesh S</v>
      </c>
      <c r="F1539" s="14">
        <f>IFERROR(__xludf.DUMMYFUNCTION("""COMPUTED_VALUE"""),10.0)</f>
        <v>10</v>
      </c>
      <c r="G1539" s="14">
        <f>IFERROR(__xludf.DUMMYFUNCTION("""COMPUTED_VALUE"""),23.0)</f>
        <v>23</v>
      </c>
      <c r="H1539" s="14">
        <f>IFERROR(__xludf.DUMMYFUNCTION("""COMPUTED_VALUE"""),2023.0)</f>
        <v>2023</v>
      </c>
      <c r="I1539" s="14" t="str">
        <f>IFERROR(__xludf.DUMMYFUNCTION("""COMPUTED_VALUE"""),"UPI")</f>
        <v>UPI</v>
      </c>
      <c r="J1539" s="14" t="str">
        <f>IFERROR(__xludf.DUMMYFUNCTION("""COMPUTED_VALUE"""),"Delivered*On-time Delivery: Delivered on time")</f>
        <v>Delivered*On-time Delivery: Delivered on time</v>
      </c>
      <c r="K1539" s="14" t="str">
        <f>IFERROR(__xludf.DUMMYFUNCTION("split(E1539,""+"")"),"Chilli Cheese Toast")</f>
        <v>Chilli Cheese Toast</v>
      </c>
      <c r="L1539" s="14" t="str">
        <f>IFERROR(__xludf.DUMMYFUNCTION("""COMPUTED_VALUE"""),"1*Ramesh S")</f>
        <v>1*Ramesh S</v>
      </c>
      <c r="M1539" s="14">
        <f>IFERROR(__xludf.DUMMYFUNCTION("SPLIT(L1539,""*"")"),1.0)</f>
        <v>1</v>
      </c>
      <c r="N1539" s="14" t="str">
        <f>IFERROR(__xludf.DUMMYFUNCTION("""COMPUTED_VALUE"""),"Ramesh S")</f>
        <v>Ramesh S</v>
      </c>
      <c r="O1539" s="14" t="str">
        <f>IFERROR(__xludf.DUMMYFUNCTION("split(J1539,""*"")"),"Delivered")</f>
        <v>Delivered</v>
      </c>
      <c r="P1539" s="14" t="str">
        <f>IFERROR(__xludf.DUMMYFUNCTION("""COMPUTED_VALUE"""),"On-time Delivery: Delivered on time")</f>
        <v>On-time Delivery: Delivered on time</v>
      </c>
      <c r="Q1539" s="14" t="str">
        <f>IFERROR(__xludf.DUMMYFUNCTION("split(P1539,"":"")"),"On-time Delivery")</f>
        <v>On-time Delivery</v>
      </c>
      <c r="R1539" s="14" t="str">
        <f>IFERROR(__xludf.DUMMYFUNCTION("""COMPUTED_VALUE""")," Delivered on time")</f>
        <v> Delivered on time</v>
      </c>
      <c r="S1539" s="14" t="str">
        <f t="shared" ref="S1539:U1539" si="3081">trim(B1539)</f>
        <v>ord_71517</v>
      </c>
      <c r="T1539" s="14" t="str">
        <f t="shared" si="3081"/>
        <v>Sakshi Tandon</v>
      </c>
      <c r="U1539" s="14" t="str">
        <f t="shared" si="3081"/>
        <v>Colaba</v>
      </c>
      <c r="V1539" s="14" t="str">
        <f t="shared" si="4"/>
        <v>Chilli Cheese Toast</v>
      </c>
      <c r="W1539" s="14">
        <f t="shared" si="5"/>
        <v>1</v>
      </c>
      <c r="X1539" s="14" t="str">
        <f t="shared" si="6"/>
        <v>Ramesh S</v>
      </c>
      <c r="Y1539" s="15">
        <f t="shared" si="7"/>
        <v>45222</v>
      </c>
      <c r="Z1539" s="14" t="str">
        <f t="shared" si="8"/>
        <v>UPI</v>
      </c>
      <c r="AA1539" s="14" t="str">
        <f t="shared" si="9"/>
        <v>Delivered</v>
      </c>
      <c r="AB1539" s="14" t="str">
        <f t="shared" ref="AB1539:AC1539" si="3082">trim(Q1539)</f>
        <v>On-time Delivery</v>
      </c>
      <c r="AC1539" s="14" t="str">
        <f t="shared" si="3082"/>
        <v>Delivered on time</v>
      </c>
      <c r="AD1539" s="8"/>
    </row>
    <row r="1540">
      <c r="A1540" s="14" t="str">
        <f>IFERROR(__xludf.DUMMYFUNCTION("""COMPUTED_VALUE"""),"//ord_71518//Sakshi Tandon//Colaba//Sweet Corn+1*Nithin Lal/10/8/2023//Online Payment//Delivered*Quality of Items: Perfect condition")</f>
        <v>//ord_71518//Sakshi Tandon//Colaba//Sweet Corn+1*Nithin Lal/10/8/2023//Online Payment//Delivered*Quality of Items: Perfect condition</v>
      </c>
      <c r="B1540" s="14" t="str">
        <f>IFERROR(__xludf.DUMMYFUNCTION("split(A1540,""//"")"),"ord_71518")</f>
        <v>ord_71518</v>
      </c>
      <c r="C1540" s="14" t="str">
        <f>IFERROR(__xludf.DUMMYFUNCTION("""COMPUTED_VALUE"""),"Sakshi Tandon")</f>
        <v>Sakshi Tandon</v>
      </c>
      <c r="D1540" s="14" t="str">
        <f>IFERROR(__xludf.DUMMYFUNCTION("""COMPUTED_VALUE"""),"Colaba")</f>
        <v>Colaba</v>
      </c>
      <c r="E1540" s="14" t="str">
        <f>IFERROR(__xludf.DUMMYFUNCTION("""COMPUTED_VALUE"""),"Sweet Corn+1*Nithin Lal")</f>
        <v>Sweet Corn+1*Nithin Lal</v>
      </c>
      <c r="F1540" s="14">
        <f>IFERROR(__xludf.DUMMYFUNCTION("""COMPUTED_VALUE"""),10.0)</f>
        <v>10</v>
      </c>
      <c r="G1540" s="14">
        <f>IFERROR(__xludf.DUMMYFUNCTION("""COMPUTED_VALUE"""),8.0)</f>
        <v>8</v>
      </c>
      <c r="H1540" s="14">
        <f>IFERROR(__xludf.DUMMYFUNCTION("""COMPUTED_VALUE"""),2023.0)</f>
        <v>2023</v>
      </c>
      <c r="I1540" s="14" t="str">
        <f>IFERROR(__xludf.DUMMYFUNCTION("""COMPUTED_VALUE"""),"Online Payment")</f>
        <v>Online Payment</v>
      </c>
      <c r="J1540" s="14" t="str">
        <f>IFERROR(__xludf.DUMMYFUNCTION("""COMPUTED_VALUE"""),"Delivered*Quality of Items: Perfect condition")</f>
        <v>Delivered*Quality of Items: Perfect condition</v>
      </c>
      <c r="K1540" s="14" t="str">
        <f>IFERROR(__xludf.DUMMYFUNCTION("split(E1540,""+"")"),"Sweet Corn")</f>
        <v>Sweet Corn</v>
      </c>
      <c r="L1540" s="14" t="str">
        <f>IFERROR(__xludf.DUMMYFUNCTION("""COMPUTED_VALUE"""),"1*Nithin Lal")</f>
        <v>1*Nithin Lal</v>
      </c>
      <c r="M1540" s="14">
        <f>IFERROR(__xludf.DUMMYFUNCTION("SPLIT(L1540,""*"")"),1.0)</f>
        <v>1</v>
      </c>
      <c r="N1540" s="14" t="str">
        <f>IFERROR(__xludf.DUMMYFUNCTION("""COMPUTED_VALUE"""),"Nithin Lal")</f>
        <v>Nithin Lal</v>
      </c>
      <c r="O1540" s="14" t="str">
        <f>IFERROR(__xludf.DUMMYFUNCTION("split(J1540,""*"")"),"Delivered")</f>
        <v>Delivered</v>
      </c>
      <c r="P1540" s="14" t="str">
        <f>IFERROR(__xludf.DUMMYFUNCTION("""COMPUTED_VALUE"""),"Quality of Items: Perfect condition")</f>
        <v>Quality of Items: Perfect condition</v>
      </c>
      <c r="Q1540" s="14" t="str">
        <f>IFERROR(__xludf.DUMMYFUNCTION("split(P1540,"":"")"),"Quality of Items")</f>
        <v>Quality of Items</v>
      </c>
      <c r="R1540" s="14" t="str">
        <f>IFERROR(__xludf.DUMMYFUNCTION("""COMPUTED_VALUE""")," Perfect condition")</f>
        <v> Perfect condition</v>
      </c>
      <c r="S1540" s="14" t="str">
        <f t="shared" ref="S1540:U1540" si="3083">trim(B1540)</f>
        <v>ord_71518</v>
      </c>
      <c r="T1540" s="14" t="str">
        <f t="shared" si="3083"/>
        <v>Sakshi Tandon</v>
      </c>
      <c r="U1540" s="14" t="str">
        <f t="shared" si="3083"/>
        <v>Colaba</v>
      </c>
      <c r="V1540" s="14" t="str">
        <f t="shared" si="4"/>
        <v>Sweet Corn</v>
      </c>
      <c r="W1540" s="14">
        <f t="shared" si="5"/>
        <v>1</v>
      </c>
      <c r="X1540" s="14" t="str">
        <f t="shared" si="6"/>
        <v>Nithin Lal</v>
      </c>
      <c r="Y1540" s="15">
        <f t="shared" si="7"/>
        <v>45207</v>
      </c>
      <c r="Z1540" s="14" t="str">
        <f t="shared" si="8"/>
        <v>Online Payment</v>
      </c>
      <c r="AA1540" s="14" t="str">
        <f t="shared" si="9"/>
        <v>Delivered</v>
      </c>
      <c r="AB1540" s="14" t="str">
        <f t="shared" ref="AB1540:AC1540" si="3084">trim(Q1540)</f>
        <v>Quality of Items</v>
      </c>
      <c r="AC1540" s="14" t="str">
        <f t="shared" si="3084"/>
        <v>Perfect condition</v>
      </c>
      <c r="AD1540" s="8"/>
    </row>
    <row r="1541">
      <c r="A1541" s="14" t="str">
        <f>IFERROR(__xludf.DUMMYFUNCTION("""COMPUTED_VALUE"""),"//ord_71519//Mohit Malhotra//Lower Parel//Sweet Corn+2*Nithin Lal/9/3/2023//Online Payment//Delivered*Packaging: Secure and intact")</f>
        <v>//ord_71519//Mohit Malhotra//Lower Parel//Sweet Corn+2*Nithin Lal/9/3/2023//Online Payment//Delivered*Packaging: Secure and intact</v>
      </c>
      <c r="B1541" s="14" t="str">
        <f>IFERROR(__xludf.DUMMYFUNCTION("split(A1541,""//"")"),"ord_71519")</f>
        <v>ord_71519</v>
      </c>
      <c r="C1541" s="14" t="str">
        <f>IFERROR(__xludf.DUMMYFUNCTION("""COMPUTED_VALUE"""),"Mohit Malhotra")</f>
        <v>Mohit Malhotra</v>
      </c>
      <c r="D1541" s="14" t="str">
        <f>IFERROR(__xludf.DUMMYFUNCTION("""COMPUTED_VALUE"""),"Lower Parel")</f>
        <v>Lower Parel</v>
      </c>
      <c r="E1541" s="14" t="str">
        <f>IFERROR(__xludf.DUMMYFUNCTION("""COMPUTED_VALUE"""),"Sweet Corn+2*Nithin Lal")</f>
        <v>Sweet Corn+2*Nithin Lal</v>
      </c>
      <c r="F1541" s="14">
        <f>IFERROR(__xludf.DUMMYFUNCTION("""COMPUTED_VALUE"""),9.0)</f>
        <v>9</v>
      </c>
      <c r="G1541" s="14">
        <f>IFERROR(__xludf.DUMMYFUNCTION("""COMPUTED_VALUE"""),3.0)</f>
        <v>3</v>
      </c>
      <c r="H1541" s="14">
        <f>IFERROR(__xludf.DUMMYFUNCTION("""COMPUTED_VALUE"""),2023.0)</f>
        <v>2023</v>
      </c>
      <c r="I1541" s="14" t="str">
        <f>IFERROR(__xludf.DUMMYFUNCTION("""COMPUTED_VALUE"""),"Online Payment")</f>
        <v>Online Payment</v>
      </c>
      <c r="J1541" s="14" t="str">
        <f>IFERROR(__xludf.DUMMYFUNCTION("""COMPUTED_VALUE"""),"Delivered*Packaging: Secure and intact")</f>
        <v>Delivered*Packaging: Secure and intact</v>
      </c>
      <c r="K1541" s="14" t="str">
        <f>IFERROR(__xludf.DUMMYFUNCTION("split(E1541,""+"")"),"Sweet Corn")</f>
        <v>Sweet Corn</v>
      </c>
      <c r="L1541" s="14" t="str">
        <f>IFERROR(__xludf.DUMMYFUNCTION("""COMPUTED_VALUE"""),"2*Nithin Lal")</f>
        <v>2*Nithin Lal</v>
      </c>
      <c r="M1541" s="14">
        <f>IFERROR(__xludf.DUMMYFUNCTION("SPLIT(L1541,""*"")"),2.0)</f>
        <v>2</v>
      </c>
      <c r="N1541" s="14" t="str">
        <f>IFERROR(__xludf.DUMMYFUNCTION("""COMPUTED_VALUE"""),"Nithin Lal")</f>
        <v>Nithin Lal</v>
      </c>
      <c r="O1541" s="14" t="str">
        <f>IFERROR(__xludf.DUMMYFUNCTION("split(J1541,""*"")"),"Delivered")</f>
        <v>Delivered</v>
      </c>
      <c r="P1541" s="14" t="str">
        <f>IFERROR(__xludf.DUMMYFUNCTION("""COMPUTED_VALUE"""),"Packaging: Secure and intact")</f>
        <v>Packaging: Secure and intact</v>
      </c>
      <c r="Q1541" s="14" t="str">
        <f>IFERROR(__xludf.DUMMYFUNCTION("split(P1541,"":"")"),"Packaging")</f>
        <v>Packaging</v>
      </c>
      <c r="R1541" s="14" t="str">
        <f>IFERROR(__xludf.DUMMYFUNCTION("""COMPUTED_VALUE""")," Secure and intact")</f>
        <v> Secure and intact</v>
      </c>
      <c r="S1541" s="14" t="str">
        <f t="shared" ref="S1541:U1541" si="3085">trim(B1541)</f>
        <v>ord_71519</v>
      </c>
      <c r="T1541" s="14" t="str">
        <f t="shared" si="3085"/>
        <v>Mohit Malhotra</v>
      </c>
      <c r="U1541" s="14" t="str">
        <f t="shared" si="3085"/>
        <v>Lower Parel</v>
      </c>
      <c r="V1541" s="14" t="str">
        <f t="shared" si="4"/>
        <v>Sweet Corn</v>
      </c>
      <c r="W1541" s="14">
        <f t="shared" si="5"/>
        <v>2</v>
      </c>
      <c r="X1541" s="14" t="str">
        <f t="shared" si="6"/>
        <v>Nithin Lal</v>
      </c>
      <c r="Y1541" s="15">
        <f t="shared" si="7"/>
        <v>45172</v>
      </c>
      <c r="Z1541" s="14" t="str">
        <f t="shared" si="8"/>
        <v>Online Payment</v>
      </c>
      <c r="AA1541" s="14" t="str">
        <f t="shared" si="9"/>
        <v>Delivered</v>
      </c>
      <c r="AB1541" s="14" t="str">
        <f t="shared" ref="AB1541:AC1541" si="3086">trim(Q1541)</f>
        <v>Packaging</v>
      </c>
      <c r="AC1541" s="14" t="str">
        <f t="shared" si="3086"/>
        <v>Secure and intact</v>
      </c>
      <c r="AD1541" s="8"/>
    </row>
    <row r="1542">
      <c r="A1542" s="14" t="str">
        <f>IFERROR(__xludf.DUMMYFUNCTION("""COMPUTED_VALUE"""),"//ord_71520//Aarav Mehta//Andheri//Tomato+2*Ram Gopal/3/15/2023//Credit Card//Delivered*Satisfied with the Delivery: Timely and quality")</f>
        <v>//ord_71520//Aarav Mehta//Andheri//Tomato+2*Ram Gopal/3/15/2023//Credit Card//Delivered*Satisfied with the Delivery: Timely and quality</v>
      </c>
      <c r="B1542" s="14" t="str">
        <f>IFERROR(__xludf.DUMMYFUNCTION("split(A1542,""//"")"),"ord_71520")</f>
        <v>ord_71520</v>
      </c>
      <c r="C1542" s="14" t="str">
        <f>IFERROR(__xludf.DUMMYFUNCTION("""COMPUTED_VALUE"""),"Aarav Mehta")</f>
        <v>Aarav Mehta</v>
      </c>
      <c r="D1542" s="14" t="str">
        <f>IFERROR(__xludf.DUMMYFUNCTION("""COMPUTED_VALUE"""),"Andheri")</f>
        <v>Andheri</v>
      </c>
      <c r="E1542" s="14" t="str">
        <f>IFERROR(__xludf.DUMMYFUNCTION("""COMPUTED_VALUE"""),"Tomato+2*Ram Gopal")</f>
        <v>Tomato+2*Ram Gopal</v>
      </c>
      <c r="F1542" s="14">
        <f>IFERROR(__xludf.DUMMYFUNCTION("""COMPUTED_VALUE"""),3.0)</f>
        <v>3</v>
      </c>
      <c r="G1542" s="14">
        <f>IFERROR(__xludf.DUMMYFUNCTION("""COMPUTED_VALUE"""),15.0)</f>
        <v>15</v>
      </c>
      <c r="H1542" s="14">
        <f>IFERROR(__xludf.DUMMYFUNCTION("""COMPUTED_VALUE"""),2023.0)</f>
        <v>2023</v>
      </c>
      <c r="I1542" s="14" t="str">
        <f>IFERROR(__xludf.DUMMYFUNCTION("""COMPUTED_VALUE"""),"Credit Card")</f>
        <v>Credit Card</v>
      </c>
      <c r="J1542" s="14" t="str">
        <f>IFERROR(__xludf.DUMMYFUNCTION("""COMPUTED_VALUE"""),"Delivered*Satisfied with the Delivery: Timely and quality")</f>
        <v>Delivered*Satisfied with the Delivery: Timely and quality</v>
      </c>
      <c r="K1542" s="14" t="str">
        <f>IFERROR(__xludf.DUMMYFUNCTION("split(E1542,""+"")"),"Tomato")</f>
        <v>Tomato</v>
      </c>
      <c r="L1542" s="14" t="str">
        <f>IFERROR(__xludf.DUMMYFUNCTION("""COMPUTED_VALUE"""),"2*Ram Gopal")</f>
        <v>2*Ram Gopal</v>
      </c>
      <c r="M1542" s="14">
        <f>IFERROR(__xludf.DUMMYFUNCTION("SPLIT(L1542,""*"")"),2.0)</f>
        <v>2</v>
      </c>
      <c r="N1542" s="14" t="str">
        <f>IFERROR(__xludf.DUMMYFUNCTION("""COMPUTED_VALUE"""),"Ram Gopal")</f>
        <v>Ram Gopal</v>
      </c>
      <c r="O1542" s="14" t="str">
        <f>IFERROR(__xludf.DUMMYFUNCTION("split(J1542,""*"")"),"Delivered")</f>
        <v>Delivered</v>
      </c>
      <c r="P1542" s="14" t="str">
        <f>IFERROR(__xludf.DUMMYFUNCTION("""COMPUTED_VALUE"""),"Satisfied with the Delivery: Timely and quality")</f>
        <v>Satisfied with the Delivery: Timely and quality</v>
      </c>
      <c r="Q1542" s="14" t="str">
        <f>IFERROR(__xludf.DUMMYFUNCTION("split(P1542,"":"")"),"Satisfied with the Delivery")</f>
        <v>Satisfied with the Delivery</v>
      </c>
      <c r="R1542" s="14" t="str">
        <f>IFERROR(__xludf.DUMMYFUNCTION("""COMPUTED_VALUE""")," Timely and quality")</f>
        <v> Timely and quality</v>
      </c>
      <c r="S1542" s="14" t="str">
        <f t="shared" ref="S1542:U1542" si="3087">trim(B1542)</f>
        <v>ord_71520</v>
      </c>
      <c r="T1542" s="14" t="str">
        <f t="shared" si="3087"/>
        <v>Aarav Mehta</v>
      </c>
      <c r="U1542" s="14" t="str">
        <f t="shared" si="3087"/>
        <v>Andheri</v>
      </c>
      <c r="V1542" s="14" t="str">
        <f t="shared" si="4"/>
        <v>Tomato</v>
      </c>
      <c r="W1542" s="14">
        <f t="shared" si="5"/>
        <v>2</v>
      </c>
      <c r="X1542" s="14" t="str">
        <f t="shared" si="6"/>
        <v>Ram Gopal</v>
      </c>
      <c r="Y1542" s="15">
        <f t="shared" si="7"/>
        <v>45000</v>
      </c>
      <c r="Z1542" s="14" t="str">
        <f t="shared" si="8"/>
        <v>Credit Card</v>
      </c>
      <c r="AA1542" s="14" t="str">
        <f t="shared" si="9"/>
        <v>Delivered</v>
      </c>
      <c r="AB1542" s="14" t="str">
        <f t="shared" ref="AB1542:AC1542" si="3088">trim(Q1542)</f>
        <v>Satisfied with the Delivery</v>
      </c>
      <c r="AC1542" s="14" t="str">
        <f t="shared" si="3088"/>
        <v>Timely and quality</v>
      </c>
      <c r="AD1542" s="8"/>
    </row>
    <row r="1543">
      <c r="A1543" s="14" t="str">
        <f>IFERROR(__xludf.DUMMYFUNCTION("""COMPUTED_VALUE"""),"//ord_71521//Aarav Mehta//Andheri//Chilli Cheese Toast+1*Sita T/12/6/2023//Online Payment//Delivered*Customer Service: Seamless and easy")</f>
        <v>//ord_71521//Aarav Mehta//Andheri//Chilli Cheese Toast+1*Sita T/12/6/2023//Online Payment//Delivered*Customer Service: Seamless and easy</v>
      </c>
      <c r="B1543" s="14" t="str">
        <f>IFERROR(__xludf.DUMMYFUNCTION("split(A1543,""//"")"),"ord_71521")</f>
        <v>ord_71521</v>
      </c>
      <c r="C1543" s="14" t="str">
        <f>IFERROR(__xludf.DUMMYFUNCTION("""COMPUTED_VALUE"""),"Aarav Mehta")</f>
        <v>Aarav Mehta</v>
      </c>
      <c r="D1543" s="14" t="str">
        <f>IFERROR(__xludf.DUMMYFUNCTION("""COMPUTED_VALUE"""),"Andheri")</f>
        <v>Andheri</v>
      </c>
      <c r="E1543" s="14" t="str">
        <f>IFERROR(__xludf.DUMMYFUNCTION("""COMPUTED_VALUE"""),"Chilli Cheese Toast+1*Sita T")</f>
        <v>Chilli Cheese Toast+1*Sita T</v>
      </c>
      <c r="F1543" s="14">
        <f>IFERROR(__xludf.DUMMYFUNCTION("""COMPUTED_VALUE"""),12.0)</f>
        <v>12</v>
      </c>
      <c r="G1543" s="14">
        <f>IFERROR(__xludf.DUMMYFUNCTION("""COMPUTED_VALUE"""),6.0)</f>
        <v>6</v>
      </c>
      <c r="H1543" s="14">
        <f>IFERROR(__xludf.DUMMYFUNCTION("""COMPUTED_VALUE"""),2023.0)</f>
        <v>2023</v>
      </c>
      <c r="I1543" s="14" t="str">
        <f>IFERROR(__xludf.DUMMYFUNCTION("""COMPUTED_VALUE"""),"Online Payment")</f>
        <v>Online Payment</v>
      </c>
      <c r="J1543" s="14" t="str">
        <f>IFERROR(__xludf.DUMMYFUNCTION("""COMPUTED_VALUE"""),"Delivered*Customer Service: Seamless and easy")</f>
        <v>Delivered*Customer Service: Seamless and easy</v>
      </c>
      <c r="K1543" s="14" t="str">
        <f>IFERROR(__xludf.DUMMYFUNCTION("split(E1543,""+"")"),"Chilli Cheese Toast")</f>
        <v>Chilli Cheese Toast</v>
      </c>
      <c r="L1543" s="14" t="str">
        <f>IFERROR(__xludf.DUMMYFUNCTION("""COMPUTED_VALUE"""),"1*Sita T")</f>
        <v>1*Sita T</v>
      </c>
      <c r="M1543" s="14">
        <f>IFERROR(__xludf.DUMMYFUNCTION("SPLIT(L1543,""*"")"),1.0)</f>
        <v>1</v>
      </c>
      <c r="N1543" s="14" t="str">
        <f>IFERROR(__xludf.DUMMYFUNCTION("""COMPUTED_VALUE"""),"Sita T")</f>
        <v>Sita T</v>
      </c>
      <c r="O1543" s="14" t="str">
        <f>IFERROR(__xludf.DUMMYFUNCTION("split(J1543,""*"")"),"Delivered")</f>
        <v>Delivered</v>
      </c>
      <c r="P1543" s="14" t="str">
        <f>IFERROR(__xludf.DUMMYFUNCTION("""COMPUTED_VALUE"""),"Customer Service: Seamless and easy")</f>
        <v>Customer Service: Seamless and easy</v>
      </c>
      <c r="Q1543" s="14" t="str">
        <f>IFERROR(__xludf.DUMMYFUNCTION("split(P1543,"":"")"),"Customer Service")</f>
        <v>Customer Service</v>
      </c>
      <c r="R1543" s="14" t="str">
        <f>IFERROR(__xludf.DUMMYFUNCTION("""COMPUTED_VALUE""")," Seamless and easy")</f>
        <v> Seamless and easy</v>
      </c>
      <c r="S1543" s="14" t="str">
        <f t="shared" ref="S1543:U1543" si="3089">trim(B1543)</f>
        <v>ord_71521</v>
      </c>
      <c r="T1543" s="14" t="str">
        <f t="shared" si="3089"/>
        <v>Aarav Mehta</v>
      </c>
      <c r="U1543" s="14" t="str">
        <f t="shared" si="3089"/>
        <v>Andheri</v>
      </c>
      <c r="V1543" s="14" t="str">
        <f t="shared" si="4"/>
        <v>Chilli Cheese Toast</v>
      </c>
      <c r="W1543" s="14">
        <f t="shared" si="5"/>
        <v>1</v>
      </c>
      <c r="X1543" s="14" t="str">
        <f t="shared" si="6"/>
        <v>Sita T</v>
      </c>
      <c r="Y1543" s="15">
        <f t="shared" si="7"/>
        <v>45266</v>
      </c>
      <c r="Z1543" s="14" t="str">
        <f t="shared" si="8"/>
        <v>Online Payment</v>
      </c>
      <c r="AA1543" s="14" t="str">
        <f t="shared" si="9"/>
        <v>Delivered</v>
      </c>
      <c r="AB1543" s="14" t="str">
        <f t="shared" ref="AB1543:AC1543" si="3090">trim(Q1543)</f>
        <v>Customer Service</v>
      </c>
      <c r="AC1543" s="14" t="str">
        <f t="shared" si="3090"/>
        <v>Seamless and easy</v>
      </c>
      <c r="AD1543" s="8"/>
    </row>
    <row r="1544">
      <c r="A1544" s="14" t="str">
        <f>IFERROR(__xludf.DUMMYFUNCTION("""COMPUTED_VALUE"""),"//ord_71522//Anaya Rao//Colaba//Potato+2*Sita T/12/25/2023//Online Payment//Delivered*Delivery Experience: Quick and professional")</f>
        <v>//ord_71522//Anaya Rao//Colaba//Potato+2*Sita T/12/25/2023//Online Payment//Delivered*Delivery Experience: Quick and professional</v>
      </c>
      <c r="B1544" s="14" t="str">
        <f>IFERROR(__xludf.DUMMYFUNCTION("split(A1544,""//"")"),"ord_71522")</f>
        <v>ord_71522</v>
      </c>
      <c r="C1544" s="14" t="str">
        <f>IFERROR(__xludf.DUMMYFUNCTION("""COMPUTED_VALUE"""),"Anaya Rao")</f>
        <v>Anaya Rao</v>
      </c>
      <c r="D1544" s="14" t="str">
        <f>IFERROR(__xludf.DUMMYFUNCTION("""COMPUTED_VALUE"""),"Colaba")</f>
        <v>Colaba</v>
      </c>
      <c r="E1544" s="14" t="str">
        <f>IFERROR(__xludf.DUMMYFUNCTION("""COMPUTED_VALUE"""),"Potato+2*Sita T")</f>
        <v>Potato+2*Sita T</v>
      </c>
      <c r="F1544" s="14">
        <f>IFERROR(__xludf.DUMMYFUNCTION("""COMPUTED_VALUE"""),12.0)</f>
        <v>12</v>
      </c>
      <c r="G1544" s="14">
        <f>IFERROR(__xludf.DUMMYFUNCTION("""COMPUTED_VALUE"""),25.0)</f>
        <v>25</v>
      </c>
      <c r="H1544" s="14">
        <f>IFERROR(__xludf.DUMMYFUNCTION("""COMPUTED_VALUE"""),2023.0)</f>
        <v>2023</v>
      </c>
      <c r="I1544" s="14" t="str">
        <f>IFERROR(__xludf.DUMMYFUNCTION("""COMPUTED_VALUE"""),"Online Payment")</f>
        <v>Online Payment</v>
      </c>
      <c r="J1544" s="14" t="str">
        <f>IFERROR(__xludf.DUMMYFUNCTION("""COMPUTED_VALUE"""),"Delivered*Delivery Experience: Quick and professional")</f>
        <v>Delivered*Delivery Experience: Quick and professional</v>
      </c>
      <c r="K1544" s="14" t="str">
        <f>IFERROR(__xludf.DUMMYFUNCTION("split(E1544,""+"")"),"Potato")</f>
        <v>Potato</v>
      </c>
      <c r="L1544" s="14" t="str">
        <f>IFERROR(__xludf.DUMMYFUNCTION("""COMPUTED_VALUE"""),"2*Sita T")</f>
        <v>2*Sita T</v>
      </c>
      <c r="M1544" s="14">
        <f>IFERROR(__xludf.DUMMYFUNCTION("SPLIT(L1544,""*"")"),2.0)</f>
        <v>2</v>
      </c>
      <c r="N1544" s="14" t="str">
        <f>IFERROR(__xludf.DUMMYFUNCTION("""COMPUTED_VALUE"""),"Sita T")</f>
        <v>Sita T</v>
      </c>
      <c r="O1544" s="14" t="str">
        <f>IFERROR(__xludf.DUMMYFUNCTION("split(J1544,""*"")"),"Delivered")</f>
        <v>Delivered</v>
      </c>
      <c r="P1544" s="14" t="str">
        <f>IFERROR(__xludf.DUMMYFUNCTION("""COMPUTED_VALUE"""),"Delivery Experience: Quick and professional")</f>
        <v>Delivery Experience: Quick and professional</v>
      </c>
      <c r="Q1544" s="14" t="str">
        <f>IFERROR(__xludf.DUMMYFUNCTION("split(P1544,"":"")"),"Delivery Experience")</f>
        <v>Delivery Experience</v>
      </c>
      <c r="R1544" s="14" t="str">
        <f>IFERROR(__xludf.DUMMYFUNCTION("""COMPUTED_VALUE""")," Quick and professional")</f>
        <v> Quick and professional</v>
      </c>
      <c r="S1544" s="14" t="str">
        <f t="shared" ref="S1544:U1544" si="3091">trim(B1544)</f>
        <v>ord_71522</v>
      </c>
      <c r="T1544" s="14" t="str">
        <f t="shared" si="3091"/>
        <v>Anaya Rao</v>
      </c>
      <c r="U1544" s="14" t="str">
        <f t="shared" si="3091"/>
        <v>Colaba</v>
      </c>
      <c r="V1544" s="14" t="str">
        <f t="shared" si="4"/>
        <v>Potato</v>
      </c>
      <c r="W1544" s="14">
        <f t="shared" si="5"/>
        <v>2</v>
      </c>
      <c r="X1544" s="14" t="str">
        <f t="shared" si="6"/>
        <v>Sita T</v>
      </c>
      <c r="Y1544" s="15">
        <f t="shared" si="7"/>
        <v>45285</v>
      </c>
      <c r="Z1544" s="14" t="str">
        <f t="shared" si="8"/>
        <v>Online Payment</v>
      </c>
      <c r="AA1544" s="14" t="str">
        <f t="shared" si="9"/>
        <v>Delivered</v>
      </c>
      <c r="AB1544" s="14" t="str">
        <f t="shared" ref="AB1544:AC1544" si="3092">trim(Q1544)</f>
        <v>Delivery Experience</v>
      </c>
      <c r="AC1544" s="14" t="str">
        <f t="shared" si="3092"/>
        <v>Quick and professional</v>
      </c>
      <c r="AD1544" s="8"/>
    </row>
    <row r="1545">
      <c r="A1545" s="14" t="str">
        <f>IFERROR(__xludf.DUMMYFUNCTION("""COMPUTED_VALUE"""),"//ord_71523//Sanjay Nair//Dadar//Chicken Puff+3*Nithin Lal/11/2/2023//Online Payment//Delivered*Convenience: Easy tracking")</f>
        <v>//ord_71523//Sanjay Nair//Dadar//Chicken Puff+3*Nithin Lal/11/2/2023//Online Payment//Delivered*Convenience: Easy tracking</v>
      </c>
      <c r="B1545" s="14" t="str">
        <f>IFERROR(__xludf.DUMMYFUNCTION("split(A1545,""//"")"),"ord_71523")</f>
        <v>ord_71523</v>
      </c>
      <c r="C1545" s="14" t="str">
        <f>IFERROR(__xludf.DUMMYFUNCTION("""COMPUTED_VALUE"""),"Sanjay Nair")</f>
        <v>Sanjay Nair</v>
      </c>
      <c r="D1545" s="14" t="str">
        <f>IFERROR(__xludf.DUMMYFUNCTION("""COMPUTED_VALUE"""),"Dadar")</f>
        <v>Dadar</v>
      </c>
      <c r="E1545" s="14" t="str">
        <f>IFERROR(__xludf.DUMMYFUNCTION("""COMPUTED_VALUE"""),"Chicken Puff+3*Nithin Lal")</f>
        <v>Chicken Puff+3*Nithin Lal</v>
      </c>
      <c r="F1545" s="14">
        <f>IFERROR(__xludf.DUMMYFUNCTION("""COMPUTED_VALUE"""),11.0)</f>
        <v>11</v>
      </c>
      <c r="G1545" s="14">
        <f>IFERROR(__xludf.DUMMYFUNCTION("""COMPUTED_VALUE"""),2.0)</f>
        <v>2</v>
      </c>
      <c r="H1545" s="14">
        <f>IFERROR(__xludf.DUMMYFUNCTION("""COMPUTED_VALUE"""),2023.0)</f>
        <v>2023</v>
      </c>
      <c r="I1545" s="14" t="str">
        <f>IFERROR(__xludf.DUMMYFUNCTION("""COMPUTED_VALUE"""),"Online Payment")</f>
        <v>Online Payment</v>
      </c>
      <c r="J1545" s="14" t="str">
        <f>IFERROR(__xludf.DUMMYFUNCTION("""COMPUTED_VALUE"""),"Delivered*Convenience: Easy tracking")</f>
        <v>Delivered*Convenience: Easy tracking</v>
      </c>
      <c r="K1545" s="14" t="str">
        <f>IFERROR(__xludf.DUMMYFUNCTION("split(E1545,""+"")"),"Chicken Puff")</f>
        <v>Chicken Puff</v>
      </c>
      <c r="L1545" s="14" t="str">
        <f>IFERROR(__xludf.DUMMYFUNCTION("""COMPUTED_VALUE"""),"3*Nithin Lal")</f>
        <v>3*Nithin Lal</v>
      </c>
      <c r="M1545" s="14">
        <f>IFERROR(__xludf.DUMMYFUNCTION("SPLIT(L1545,""*"")"),3.0)</f>
        <v>3</v>
      </c>
      <c r="N1545" s="14" t="str">
        <f>IFERROR(__xludf.DUMMYFUNCTION("""COMPUTED_VALUE"""),"Nithin Lal")</f>
        <v>Nithin Lal</v>
      </c>
      <c r="O1545" s="14" t="str">
        <f>IFERROR(__xludf.DUMMYFUNCTION("split(J1545,""*"")"),"Delivered")</f>
        <v>Delivered</v>
      </c>
      <c r="P1545" s="14" t="str">
        <f>IFERROR(__xludf.DUMMYFUNCTION("""COMPUTED_VALUE"""),"Convenience: Easy tracking")</f>
        <v>Convenience: Easy tracking</v>
      </c>
      <c r="Q1545" s="14" t="str">
        <f>IFERROR(__xludf.DUMMYFUNCTION("split(P1545,"":"")"),"Convenience")</f>
        <v>Convenience</v>
      </c>
      <c r="R1545" s="14" t="str">
        <f>IFERROR(__xludf.DUMMYFUNCTION("""COMPUTED_VALUE""")," Easy tracking")</f>
        <v> Easy tracking</v>
      </c>
      <c r="S1545" s="14" t="str">
        <f t="shared" ref="S1545:U1545" si="3093">trim(B1545)</f>
        <v>ord_71523</v>
      </c>
      <c r="T1545" s="14" t="str">
        <f t="shared" si="3093"/>
        <v>Sanjay Nair</v>
      </c>
      <c r="U1545" s="14" t="str">
        <f t="shared" si="3093"/>
        <v>Dadar</v>
      </c>
      <c r="V1545" s="14" t="str">
        <f t="shared" si="4"/>
        <v>Chicken Puff</v>
      </c>
      <c r="W1545" s="14">
        <f t="shared" si="5"/>
        <v>3</v>
      </c>
      <c r="X1545" s="14" t="str">
        <f t="shared" si="6"/>
        <v>Nithin Lal</v>
      </c>
      <c r="Y1545" s="15">
        <f t="shared" si="7"/>
        <v>45232</v>
      </c>
      <c r="Z1545" s="14" t="str">
        <f t="shared" si="8"/>
        <v>Online Payment</v>
      </c>
      <c r="AA1545" s="14" t="str">
        <f t="shared" si="9"/>
        <v>Delivered</v>
      </c>
      <c r="AB1545" s="14" t="str">
        <f t="shared" ref="AB1545:AC1545" si="3094">trim(Q1545)</f>
        <v>Convenience</v>
      </c>
      <c r="AC1545" s="14" t="str">
        <f t="shared" si="3094"/>
        <v>Easy tracking</v>
      </c>
      <c r="AD1545" s="8"/>
    </row>
    <row r="1546">
      <c r="A1546" s="14" t="str">
        <f>IFERROR(__xludf.DUMMYFUNCTION("""COMPUTED_VALUE"""),"//ord_71524//Ishita Banerjee//Juhu//Rasmalai+5*Priya Joshi/5/14/2023//Credit Card//Cancelled*Delayed Delivery:Bad Weather Conditions ")</f>
        <v>//ord_71524//Ishita Banerjee//Juhu//Rasmalai+5*Priya Joshi/5/14/2023//Credit Card//Cancelled*Delayed Delivery:Bad Weather Conditions </v>
      </c>
      <c r="B1546" s="14" t="str">
        <f>IFERROR(__xludf.DUMMYFUNCTION("split(A1546,""//"")"),"ord_71524")</f>
        <v>ord_71524</v>
      </c>
      <c r="C1546" s="14" t="str">
        <f>IFERROR(__xludf.DUMMYFUNCTION("""COMPUTED_VALUE"""),"Ishita Banerjee")</f>
        <v>Ishita Banerjee</v>
      </c>
      <c r="D1546" s="14" t="str">
        <f>IFERROR(__xludf.DUMMYFUNCTION("""COMPUTED_VALUE"""),"Juhu")</f>
        <v>Juhu</v>
      </c>
      <c r="E1546" s="14" t="str">
        <f>IFERROR(__xludf.DUMMYFUNCTION("""COMPUTED_VALUE"""),"Rasmalai+5*Priya Joshi")</f>
        <v>Rasmalai+5*Priya Joshi</v>
      </c>
      <c r="F1546" s="14">
        <f>IFERROR(__xludf.DUMMYFUNCTION("""COMPUTED_VALUE"""),5.0)</f>
        <v>5</v>
      </c>
      <c r="G1546" s="14">
        <f>IFERROR(__xludf.DUMMYFUNCTION("""COMPUTED_VALUE"""),14.0)</f>
        <v>14</v>
      </c>
      <c r="H1546" s="14">
        <f>IFERROR(__xludf.DUMMYFUNCTION("""COMPUTED_VALUE"""),2023.0)</f>
        <v>2023</v>
      </c>
      <c r="I1546" s="14" t="str">
        <f>IFERROR(__xludf.DUMMYFUNCTION("""COMPUTED_VALUE"""),"Credit Card")</f>
        <v>Credit Card</v>
      </c>
      <c r="J1546" s="14" t="str">
        <f>IFERROR(__xludf.DUMMYFUNCTION("""COMPUTED_VALUE"""),"Cancelled*Delayed Delivery:Bad Weather Conditions ")</f>
        <v>Cancelled*Delayed Delivery:Bad Weather Conditions </v>
      </c>
      <c r="K1546" s="14" t="str">
        <f>IFERROR(__xludf.DUMMYFUNCTION("split(E1546,""+"")"),"Rasmalai")</f>
        <v>Rasmalai</v>
      </c>
      <c r="L1546" s="14" t="str">
        <f>IFERROR(__xludf.DUMMYFUNCTION("""COMPUTED_VALUE"""),"5*Priya Joshi")</f>
        <v>5*Priya Joshi</v>
      </c>
      <c r="M1546" s="14">
        <f>IFERROR(__xludf.DUMMYFUNCTION("SPLIT(L1546,""*"")"),5.0)</f>
        <v>5</v>
      </c>
      <c r="N1546" s="14" t="str">
        <f>IFERROR(__xludf.DUMMYFUNCTION("""COMPUTED_VALUE"""),"Priya Joshi")</f>
        <v>Priya Joshi</v>
      </c>
      <c r="O1546" s="14" t="str">
        <f>IFERROR(__xludf.DUMMYFUNCTION("split(J1546,""*"")"),"Cancelled")</f>
        <v>Cancelled</v>
      </c>
      <c r="P1546" s="14" t="str">
        <f>IFERROR(__xludf.DUMMYFUNCTION("""COMPUTED_VALUE"""),"Delayed Delivery:Bad Weather Conditions ")</f>
        <v>Delayed Delivery:Bad Weather Conditions </v>
      </c>
      <c r="Q1546" s="14" t="str">
        <f>IFERROR(__xludf.DUMMYFUNCTION("split(P1546,"":"")"),"Delayed Delivery")</f>
        <v>Delayed Delivery</v>
      </c>
      <c r="R1546" s="14" t="str">
        <f>IFERROR(__xludf.DUMMYFUNCTION("""COMPUTED_VALUE"""),"Bad Weather Conditions ")</f>
        <v>Bad Weather Conditions </v>
      </c>
      <c r="S1546" s="14" t="str">
        <f t="shared" ref="S1546:U1546" si="3095">trim(B1546)</f>
        <v>ord_71524</v>
      </c>
      <c r="T1546" s="14" t="str">
        <f t="shared" si="3095"/>
        <v>Ishita Banerjee</v>
      </c>
      <c r="U1546" s="14" t="str">
        <f t="shared" si="3095"/>
        <v>Juhu</v>
      </c>
      <c r="V1546" s="14" t="str">
        <f t="shared" si="4"/>
        <v>Rasmalai</v>
      </c>
      <c r="W1546" s="14">
        <f t="shared" si="5"/>
        <v>5</v>
      </c>
      <c r="X1546" s="14" t="str">
        <f t="shared" si="6"/>
        <v>Priya Joshi</v>
      </c>
      <c r="Y1546" s="15">
        <f t="shared" si="7"/>
        <v>45060</v>
      </c>
      <c r="Z1546" s="14" t="str">
        <f t="shared" si="8"/>
        <v>Credit Card</v>
      </c>
      <c r="AA1546" s="14" t="str">
        <f t="shared" si="9"/>
        <v>Cancelled</v>
      </c>
      <c r="AB1546" s="14" t="str">
        <f t="shared" ref="AB1546:AC1546" si="3096">trim(Q1546)</f>
        <v>Delayed Delivery</v>
      </c>
      <c r="AC1546" s="14" t="str">
        <f t="shared" si="3096"/>
        <v>Bad Weather Conditions</v>
      </c>
      <c r="AD1546" s="8"/>
    </row>
    <row r="1547">
      <c r="A1547" s="14" t="str">
        <f>IFERROR(__xludf.DUMMYFUNCTION("""COMPUTED_VALUE"""),"//ord_71525//Parth Goel//Juhu//Sweet Corn+1*Ramesh S/1/6/2023//UPI//Delivered*Overall Satisfaction: Great service will order again")</f>
        <v>//ord_71525//Parth Goel//Juhu//Sweet Corn+1*Ramesh S/1/6/2023//UPI//Delivered*Overall Satisfaction: Great service will order again</v>
      </c>
      <c r="B1547" s="14" t="str">
        <f>IFERROR(__xludf.DUMMYFUNCTION("split(A1547,""//"")"),"ord_71525")</f>
        <v>ord_71525</v>
      </c>
      <c r="C1547" s="14" t="str">
        <f>IFERROR(__xludf.DUMMYFUNCTION("""COMPUTED_VALUE"""),"Parth Goel")</f>
        <v>Parth Goel</v>
      </c>
      <c r="D1547" s="14" t="str">
        <f>IFERROR(__xludf.DUMMYFUNCTION("""COMPUTED_VALUE"""),"Juhu")</f>
        <v>Juhu</v>
      </c>
      <c r="E1547" s="14" t="str">
        <f>IFERROR(__xludf.DUMMYFUNCTION("""COMPUTED_VALUE"""),"Sweet Corn+1*Ramesh S")</f>
        <v>Sweet Corn+1*Ramesh S</v>
      </c>
      <c r="F1547" s="14">
        <f>IFERROR(__xludf.DUMMYFUNCTION("""COMPUTED_VALUE"""),1.0)</f>
        <v>1</v>
      </c>
      <c r="G1547" s="14">
        <f>IFERROR(__xludf.DUMMYFUNCTION("""COMPUTED_VALUE"""),6.0)</f>
        <v>6</v>
      </c>
      <c r="H1547" s="14">
        <f>IFERROR(__xludf.DUMMYFUNCTION("""COMPUTED_VALUE"""),2023.0)</f>
        <v>2023</v>
      </c>
      <c r="I1547" s="14" t="str">
        <f>IFERROR(__xludf.DUMMYFUNCTION("""COMPUTED_VALUE"""),"UPI")</f>
        <v>UPI</v>
      </c>
      <c r="J1547" s="14" t="str">
        <f>IFERROR(__xludf.DUMMYFUNCTION("""COMPUTED_VALUE"""),"Delivered*Overall Satisfaction: Great service will order again")</f>
        <v>Delivered*Overall Satisfaction: Great service will order again</v>
      </c>
      <c r="K1547" s="14" t="str">
        <f>IFERROR(__xludf.DUMMYFUNCTION("split(E1547,""+"")"),"Sweet Corn")</f>
        <v>Sweet Corn</v>
      </c>
      <c r="L1547" s="14" t="str">
        <f>IFERROR(__xludf.DUMMYFUNCTION("""COMPUTED_VALUE"""),"1*Ramesh S")</f>
        <v>1*Ramesh S</v>
      </c>
      <c r="M1547" s="14">
        <f>IFERROR(__xludf.DUMMYFUNCTION("SPLIT(L1547,""*"")"),1.0)</f>
        <v>1</v>
      </c>
      <c r="N1547" s="14" t="str">
        <f>IFERROR(__xludf.DUMMYFUNCTION("""COMPUTED_VALUE"""),"Ramesh S")</f>
        <v>Ramesh S</v>
      </c>
      <c r="O1547" s="14" t="str">
        <f>IFERROR(__xludf.DUMMYFUNCTION("split(J1547,""*"")"),"Delivered")</f>
        <v>Delivered</v>
      </c>
      <c r="P1547" s="14" t="str">
        <f>IFERROR(__xludf.DUMMYFUNCTION("""COMPUTED_VALUE"""),"Overall Satisfaction: Great service will order again")</f>
        <v>Overall Satisfaction: Great service will order again</v>
      </c>
      <c r="Q1547" s="14" t="str">
        <f>IFERROR(__xludf.DUMMYFUNCTION("split(P1547,"":"")"),"Overall Satisfaction")</f>
        <v>Overall Satisfaction</v>
      </c>
      <c r="R1547" s="14" t="str">
        <f>IFERROR(__xludf.DUMMYFUNCTION("""COMPUTED_VALUE""")," Great service will order again")</f>
        <v> Great service will order again</v>
      </c>
      <c r="S1547" s="14" t="str">
        <f t="shared" ref="S1547:U1547" si="3097">trim(B1547)</f>
        <v>ord_71525</v>
      </c>
      <c r="T1547" s="14" t="str">
        <f t="shared" si="3097"/>
        <v>Parth Goel</v>
      </c>
      <c r="U1547" s="14" t="str">
        <f t="shared" si="3097"/>
        <v>Juhu</v>
      </c>
      <c r="V1547" s="14" t="str">
        <f t="shared" si="4"/>
        <v>Sweet Corn</v>
      </c>
      <c r="W1547" s="14">
        <f t="shared" si="5"/>
        <v>1</v>
      </c>
      <c r="X1547" s="14" t="str">
        <f t="shared" si="6"/>
        <v>Ramesh S</v>
      </c>
      <c r="Y1547" s="15">
        <f t="shared" si="7"/>
        <v>44932</v>
      </c>
      <c r="Z1547" s="14" t="str">
        <f t="shared" si="8"/>
        <v>UPI</v>
      </c>
      <c r="AA1547" s="14" t="str">
        <f t="shared" si="9"/>
        <v>Delivered</v>
      </c>
      <c r="AB1547" s="14" t="str">
        <f t="shared" ref="AB1547:AC1547" si="3098">trim(Q1547)</f>
        <v>Overall Satisfaction</v>
      </c>
      <c r="AC1547" s="14" t="str">
        <f t="shared" si="3098"/>
        <v>Great service will order again</v>
      </c>
      <c r="AD1547" s="8"/>
    </row>
    <row r="1548">
      <c r="A1548" s="14" t="str">
        <f>IFERROR(__xludf.DUMMYFUNCTION("""COMPUTED_VALUE"""),"//ord_71526//Sanjay Nair//Dadar//Chocolate Mousse+1*Ramesh S/3/14/2023//COD//Delivered*On-time Delivery: Delivered on time")</f>
        <v>//ord_71526//Sanjay Nair//Dadar//Chocolate Mousse+1*Ramesh S/3/14/2023//COD//Delivered*On-time Delivery: Delivered on time</v>
      </c>
      <c r="B1548" s="14" t="str">
        <f>IFERROR(__xludf.DUMMYFUNCTION("split(A1548,""//"")"),"ord_71526")</f>
        <v>ord_71526</v>
      </c>
      <c r="C1548" s="14" t="str">
        <f>IFERROR(__xludf.DUMMYFUNCTION("""COMPUTED_VALUE"""),"Sanjay Nair")</f>
        <v>Sanjay Nair</v>
      </c>
      <c r="D1548" s="14" t="str">
        <f>IFERROR(__xludf.DUMMYFUNCTION("""COMPUTED_VALUE"""),"Dadar")</f>
        <v>Dadar</v>
      </c>
      <c r="E1548" s="14" t="str">
        <f>IFERROR(__xludf.DUMMYFUNCTION("""COMPUTED_VALUE"""),"Chocolate Mousse+1*Ramesh S")</f>
        <v>Chocolate Mousse+1*Ramesh S</v>
      </c>
      <c r="F1548" s="14">
        <f>IFERROR(__xludf.DUMMYFUNCTION("""COMPUTED_VALUE"""),3.0)</f>
        <v>3</v>
      </c>
      <c r="G1548" s="14">
        <f>IFERROR(__xludf.DUMMYFUNCTION("""COMPUTED_VALUE"""),14.0)</f>
        <v>14</v>
      </c>
      <c r="H1548" s="14">
        <f>IFERROR(__xludf.DUMMYFUNCTION("""COMPUTED_VALUE"""),2023.0)</f>
        <v>2023</v>
      </c>
      <c r="I1548" s="14" t="str">
        <f>IFERROR(__xludf.DUMMYFUNCTION("""COMPUTED_VALUE"""),"COD")</f>
        <v>COD</v>
      </c>
      <c r="J1548" s="14" t="str">
        <f>IFERROR(__xludf.DUMMYFUNCTION("""COMPUTED_VALUE"""),"Delivered*On-time Delivery: Delivered on time")</f>
        <v>Delivered*On-time Delivery: Delivered on time</v>
      </c>
      <c r="K1548" s="14" t="str">
        <f>IFERROR(__xludf.DUMMYFUNCTION("split(E1548,""+"")"),"Chocolate Mousse")</f>
        <v>Chocolate Mousse</v>
      </c>
      <c r="L1548" s="14" t="str">
        <f>IFERROR(__xludf.DUMMYFUNCTION("""COMPUTED_VALUE"""),"1*Ramesh S")</f>
        <v>1*Ramesh S</v>
      </c>
      <c r="M1548" s="14">
        <f>IFERROR(__xludf.DUMMYFUNCTION("SPLIT(L1548,""*"")"),1.0)</f>
        <v>1</v>
      </c>
      <c r="N1548" s="14" t="str">
        <f>IFERROR(__xludf.DUMMYFUNCTION("""COMPUTED_VALUE"""),"Ramesh S")</f>
        <v>Ramesh S</v>
      </c>
      <c r="O1548" s="14" t="str">
        <f>IFERROR(__xludf.DUMMYFUNCTION("split(J1548,""*"")"),"Delivered")</f>
        <v>Delivered</v>
      </c>
      <c r="P1548" s="14" t="str">
        <f>IFERROR(__xludf.DUMMYFUNCTION("""COMPUTED_VALUE"""),"On-time Delivery: Delivered on time")</f>
        <v>On-time Delivery: Delivered on time</v>
      </c>
      <c r="Q1548" s="14" t="str">
        <f>IFERROR(__xludf.DUMMYFUNCTION("split(P1548,"":"")"),"On-time Delivery")</f>
        <v>On-time Delivery</v>
      </c>
      <c r="R1548" s="14" t="str">
        <f>IFERROR(__xludf.DUMMYFUNCTION("""COMPUTED_VALUE""")," Delivered on time")</f>
        <v> Delivered on time</v>
      </c>
      <c r="S1548" s="14" t="str">
        <f t="shared" ref="S1548:U1548" si="3099">trim(B1548)</f>
        <v>ord_71526</v>
      </c>
      <c r="T1548" s="14" t="str">
        <f t="shared" si="3099"/>
        <v>Sanjay Nair</v>
      </c>
      <c r="U1548" s="14" t="str">
        <f t="shared" si="3099"/>
        <v>Dadar</v>
      </c>
      <c r="V1548" s="14" t="str">
        <f t="shared" si="4"/>
        <v>Chocolate Mousse</v>
      </c>
      <c r="W1548" s="14">
        <f t="shared" si="5"/>
        <v>1</v>
      </c>
      <c r="X1548" s="14" t="str">
        <f t="shared" si="6"/>
        <v>Ramesh S</v>
      </c>
      <c r="Y1548" s="15">
        <f t="shared" si="7"/>
        <v>44999</v>
      </c>
      <c r="Z1548" s="14" t="str">
        <f t="shared" si="8"/>
        <v>COD</v>
      </c>
      <c r="AA1548" s="14" t="str">
        <f t="shared" si="9"/>
        <v>Delivered</v>
      </c>
      <c r="AB1548" s="14" t="str">
        <f t="shared" ref="AB1548:AC1548" si="3100">trim(Q1548)</f>
        <v>On-time Delivery</v>
      </c>
      <c r="AC1548" s="14" t="str">
        <f t="shared" si="3100"/>
        <v>Delivered on time</v>
      </c>
      <c r="AD1548" s="8"/>
    </row>
    <row r="1549">
      <c r="A1549" s="14" t="str">
        <f>IFERROR(__xludf.DUMMYFUNCTION("""COMPUTED_VALUE"""),"//ord_71527//Mohit Malhotra//Lower Parel//Cold Coffee+4*Manju Ajay/1/13/2023//UPI//Delivered*Quality of Items: Perfect condition")</f>
        <v>//ord_71527//Mohit Malhotra//Lower Parel//Cold Coffee+4*Manju Ajay/1/13/2023//UPI//Delivered*Quality of Items: Perfect condition</v>
      </c>
      <c r="B1549" s="14" t="str">
        <f>IFERROR(__xludf.DUMMYFUNCTION("split(A1549,""//"")"),"ord_71527")</f>
        <v>ord_71527</v>
      </c>
      <c r="C1549" s="14" t="str">
        <f>IFERROR(__xludf.DUMMYFUNCTION("""COMPUTED_VALUE"""),"Mohit Malhotra")</f>
        <v>Mohit Malhotra</v>
      </c>
      <c r="D1549" s="14" t="str">
        <f>IFERROR(__xludf.DUMMYFUNCTION("""COMPUTED_VALUE"""),"Lower Parel")</f>
        <v>Lower Parel</v>
      </c>
      <c r="E1549" s="14" t="str">
        <f>IFERROR(__xludf.DUMMYFUNCTION("""COMPUTED_VALUE"""),"Cold Coffee+4*Manju Ajay")</f>
        <v>Cold Coffee+4*Manju Ajay</v>
      </c>
      <c r="F1549" s="14">
        <f>IFERROR(__xludf.DUMMYFUNCTION("""COMPUTED_VALUE"""),1.0)</f>
        <v>1</v>
      </c>
      <c r="G1549" s="14">
        <f>IFERROR(__xludf.DUMMYFUNCTION("""COMPUTED_VALUE"""),13.0)</f>
        <v>13</v>
      </c>
      <c r="H1549" s="14">
        <f>IFERROR(__xludf.DUMMYFUNCTION("""COMPUTED_VALUE"""),2023.0)</f>
        <v>2023</v>
      </c>
      <c r="I1549" s="14" t="str">
        <f>IFERROR(__xludf.DUMMYFUNCTION("""COMPUTED_VALUE"""),"UPI")</f>
        <v>UPI</v>
      </c>
      <c r="J1549" s="14" t="str">
        <f>IFERROR(__xludf.DUMMYFUNCTION("""COMPUTED_VALUE"""),"Delivered*Quality of Items: Perfect condition")</f>
        <v>Delivered*Quality of Items: Perfect condition</v>
      </c>
      <c r="K1549" s="14" t="str">
        <f>IFERROR(__xludf.DUMMYFUNCTION("split(E1549,""+"")"),"Cold Coffee")</f>
        <v>Cold Coffee</v>
      </c>
      <c r="L1549" s="14" t="str">
        <f>IFERROR(__xludf.DUMMYFUNCTION("""COMPUTED_VALUE"""),"4*Manju Ajay")</f>
        <v>4*Manju Ajay</v>
      </c>
      <c r="M1549" s="14">
        <f>IFERROR(__xludf.DUMMYFUNCTION("SPLIT(L1549,""*"")"),4.0)</f>
        <v>4</v>
      </c>
      <c r="N1549" s="14" t="str">
        <f>IFERROR(__xludf.DUMMYFUNCTION("""COMPUTED_VALUE"""),"Manju Ajay")</f>
        <v>Manju Ajay</v>
      </c>
      <c r="O1549" s="14" t="str">
        <f>IFERROR(__xludf.DUMMYFUNCTION("split(J1549,""*"")"),"Delivered")</f>
        <v>Delivered</v>
      </c>
      <c r="P1549" s="14" t="str">
        <f>IFERROR(__xludf.DUMMYFUNCTION("""COMPUTED_VALUE"""),"Quality of Items: Perfect condition")</f>
        <v>Quality of Items: Perfect condition</v>
      </c>
      <c r="Q1549" s="14" t="str">
        <f>IFERROR(__xludf.DUMMYFUNCTION("split(P1549,"":"")"),"Quality of Items")</f>
        <v>Quality of Items</v>
      </c>
      <c r="R1549" s="14" t="str">
        <f>IFERROR(__xludf.DUMMYFUNCTION("""COMPUTED_VALUE""")," Perfect condition")</f>
        <v> Perfect condition</v>
      </c>
      <c r="S1549" s="14" t="str">
        <f t="shared" ref="S1549:U1549" si="3101">trim(B1549)</f>
        <v>ord_71527</v>
      </c>
      <c r="T1549" s="14" t="str">
        <f t="shared" si="3101"/>
        <v>Mohit Malhotra</v>
      </c>
      <c r="U1549" s="14" t="str">
        <f t="shared" si="3101"/>
        <v>Lower Parel</v>
      </c>
      <c r="V1549" s="14" t="str">
        <f t="shared" si="4"/>
        <v>Cold Coffee</v>
      </c>
      <c r="W1549" s="14">
        <f t="shared" si="5"/>
        <v>4</v>
      </c>
      <c r="X1549" s="14" t="str">
        <f t="shared" si="6"/>
        <v>Manju Ajay</v>
      </c>
      <c r="Y1549" s="15">
        <f t="shared" si="7"/>
        <v>44939</v>
      </c>
      <c r="Z1549" s="14" t="str">
        <f t="shared" si="8"/>
        <v>UPI</v>
      </c>
      <c r="AA1549" s="14" t="str">
        <f t="shared" si="9"/>
        <v>Delivered</v>
      </c>
      <c r="AB1549" s="14" t="str">
        <f t="shared" ref="AB1549:AC1549" si="3102">trim(Q1549)</f>
        <v>Quality of Items</v>
      </c>
      <c r="AC1549" s="14" t="str">
        <f t="shared" si="3102"/>
        <v>Perfect condition</v>
      </c>
      <c r="AD1549" s="8"/>
    </row>
    <row r="1550">
      <c r="A1550" s="14" t="str">
        <f>IFERROR(__xludf.DUMMYFUNCTION("""COMPUTED_VALUE"""),"//ord_71528//Sanjay Nair//Dadar//Onion+1*Ram Gopal/12/5/2023//Credit Card//Delivered*On-time Delivery: Delivered on time")</f>
        <v>//ord_71528//Sanjay Nair//Dadar//Onion+1*Ram Gopal/12/5/2023//Credit Card//Delivered*On-time Delivery: Delivered on time</v>
      </c>
      <c r="B1550" s="14" t="str">
        <f>IFERROR(__xludf.DUMMYFUNCTION("split(A1550,""//"")"),"ord_71528")</f>
        <v>ord_71528</v>
      </c>
      <c r="C1550" s="14" t="str">
        <f>IFERROR(__xludf.DUMMYFUNCTION("""COMPUTED_VALUE"""),"Sanjay Nair")</f>
        <v>Sanjay Nair</v>
      </c>
      <c r="D1550" s="14" t="str">
        <f>IFERROR(__xludf.DUMMYFUNCTION("""COMPUTED_VALUE"""),"Dadar")</f>
        <v>Dadar</v>
      </c>
      <c r="E1550" s="14" t="str">
        <f>IFERROR(__xludf.DUMMYFUNCTION("""COMPUTED_VALUE"""),"Onion+1*Ram Gopal")</f>
        <v>Onion+1*Ram Gopal</v>
      </c>
      <c r="F1550" s="14">
        <f>IFERROR(__xludf.DUMMYFUNCTION("""COMPUTED_VALUE"""),12.0)</f>
        <v>12</v>
      </c>
      <c r="G1550" s="14">
        <f>IFERROR(__xludf.DUMMYFUNCTION("""COMPUTED_VALUE"""),5.0)</f>
        <v>5</v>
      </c>
      <c r="H1550" s="14">
        <f>IFERROR(__xludf.DUMMYFUNCTION("""COMPUTED_VALUE"""),2023.0)</f>
        <v>2023</v>
      </c>
      <c r="I1550" s="14" t="str">
        <f>IFERROR(__xludf.DUMMYFUNCTION("""COMPUTED_VALUE"""),"Credit Card")</f>
        <v>Credit Card</v>
      </c>
      <c r="J1550" s="14" t="str">
        <f>IFERROR(__xludf.DUMMYFUNCTION("""COMPUTED_VALUE"""),"Delivered*On-time Delivery: Delivered on time")</f>
        <v>Delivered*On-time Delivery: Delivered on time</v>
      </c>
      <c r="K1550" s="14" t="str">
        <f>IFERROR(__xludf.DUMMYFUNCTION("split(E1550,""+"")"),"Onion")</f>
        <v>Onion</v>
      </c>
      <c r="L1550" s="14" t="str">
        <f>IFERROR(__xludf.DUMMYFUNCTION("""COMPUTED_VALUE"""),"1*Ram Gopal")</f>
        <v>1*Ram Gopal</v>
      </c>
      <c r="M1550" s="14">
        <f>IFERROR(__xludf.DUMMYFUNCTION("SPLIT(L1550,""*"")"),1.0)</f>
        <v>1</v>
      </c>
      <c r="N1550" s="14" t="str">
        <f>IFERROR(__xludf.DUMMYFUNCTION("""COMPUTED_VALUE"""),"Ram Gopal")</f>
        <v>Ram Gopal</v>
      </c>
      <c r="O1550" s="14" t="str">
        <f>IFERROR(__xludf.DUMMYFUNCTION("split(J1550,""*"")"),"Delivered")</f>
        <v>Delivered</v>
      </c>
      <c r="P1550" s="14" t="str">
        <f>IFERROR(__xludf.DUMMYFUNCTION("""COMPUTED_VALUE"""),"On-time Delivery: Delivered on time")</f>
        <v>On-time Delivery: Delivered on time</v>
      </c>
      <c r="Q1550" s="14" t="str">
        <f>IFERROR(__xludf.DUMMYFUNCTION("split(P1550,"":"")"),"On-time Delivery")</f>
        <v>On-time Delivery</v>
      </c>
      <c r="R1550" s="14" t="str">
        <f>IFERROR(__xludf.DUMMYFUNCTION("""COMPUTED_VALUE""")," Delivered on time")</f>
        <v> Delivered on time</v>
      </c>
      <c r="S1550" s="14" t="str">
        <f t="shared" ref="S1550:U1550" si="3103">trim(B1550)</f>
        <v>ord_71528</v>
      </c>
      <c r="T1550" s="14" t="str">
        <f t="shared" si="3103"/>
        <v>Sanjay Nair</v>
      </c>
      <c r="U1550" s="14" t="str">
        <f t="shared" si="3103"/>
        <v>Dadar</v>
      </c>
      <c r="V1550" s="14" t="str">
        <f t="shared" si="4"/>
        <v>Onion</v>
      </c>
      <c r="W1550" s="14">
        <f t="shared" si="5"/>
        <v>1</v>
      </c>
      <c r="X1550" s="14" t="str">
        <f t="shared" si="6"/>
        <v>Ram Gopal</v>
      </c>
      <c r="Y1550" s="15">
        <f t="shared" si="7"/>
        <v>45265</v>
      </c>
      <c r="Z1550" s="14" t="str">
        <f t="shared" si="8"/>
        <v>Credit Card</v>
      </c>
      <c r="AA1550" s="14" t="str">
        <f t="shared" si="9"/>
        <v>Delivered</v>
      </c>
      <c r="AB1550" s="14" t="str">
        <f t="shared" ref="AB1550:AC1550" si="3104">trim(Q1550)</f>
        <v>On-time Delivery</v>
      </c>
      <c r="AC1550" s="14" t="str">
        <f t="shared" si="3104"/>
        <v>Delivered on time</v>
      </c>
      <c r="AD1550" s="8"/>
    </row>
    <row r="1551">
      <c r="A1551" s="14" t="str">
        <f>IFERROR(__xludf.DUMMYFUNCTION("""COMPUTED_VALUE"""),"//ord_71529//Pallavi Ghosh//Bandra//Cucumber+1*Manju Ajay/2/18/2023//UPI//Delivered*Quality of Items: Perfect condition")</f>
        <v>//ord_71529//Pallavi Ghosh//Bandra//Cucumber+1*Manju Ajay/2/18/2023//UPI//Delivered*Quality of Items: Perfect condition</v>
      </c>
      <c r="B1551" s="14" t="str">
        <f>IFERROR(__xludf.DUMMYFUNCTION("split(A1551,""//"")"),"ord_71529")</f>
        <v>ord_71529</v>
      </c>
      <c r="C1551" s="14" t="str">
        <f>IFERROR(__xludf.DUMMYFUNCTION("""COMPUTED_VALUE"""),"Pallavi Ghosh")</f>
        <v>Pallavi Ghosh</v>
      </c>
      <c r="D1551" s="14" t="str">
        <f>IFERROR(__xludf.DUMMYFUNCTION("""COMPUTED_VALUE"""),"Bandra")</f>
        <v>Bandra</v>
      </c>
      <c r="E1551" s="14" t="str">
        <f>IFERROR(__xludf.DUMMYFUNCTION("""COMPUTED_VALUE"""),"Cucumber+1*Manju Ajay")</f>
        <v>Cucumber+1*Manju Ajay</v>
      </c>
      <c r="F1551" s="14">
        <f>IFERROR(__xludf.DUMMYFUNCTION("""COMPUTED_VALUE"""),2.0)</f>
        <v>2</v>
      </c>
      <c r="G1551" s="14">
        <f>IFERROR(__xludf.DUMMYFUNCTION("""COMPUTED_VALUE"""),18.0)</f>
        <v>18</v>
      </c>
      <c r="H1551" s="14">
        <f>IFERROR(__xludf.DUMMYFUNCTION("""COMPUTED_VALUE"""),2023.0)</f>
        <v>2023</v>
      </c>
      <c r="I1551" s="14" t="str">
        <f>IFERROR(__xludf.DUMMYFUNCTION("""COMPUTED_VALUE"""),"UPI")</f>
        <v>UPI</v>
      </c>
      <c r="J1551" s="14" t="str">
        <f>IFERROR(__xludf.DUMMYFUNCTION("""COMPUTED_VALUE"""),"Delivered*Quality of Items: Perfect condition")</f>
        <v>Delivered*Quality of Items: Perfect condition</v>
      </c>
      <c r="K1551" s="14" t="str">
        <f>IFERROR(__xludf.DUMMYFUNCTION("split(E1551,""+"")"),"Cucumber")</f>
        <v>Cucumber</v>
      </c>
      <c r="L1551" s="14" t="str">
        <f>IFERROR(__xludf.DUMMYFUNCTION("""COMPUTED_VALUE"""),"1*Manju Ajay")</f>
        <v>1*Manju Ajay</v>
      </c>
      <c r="M1551" s="14">
        <f>IFERROR(__xludf.DUMMYFUNCTION("SPLIT(L1551,""*"")"),1.0)</f>
        <v>1</v>
      </c>
      <c r="N1551" s="14" t="str">
        <f>IFERROR(__xludf.DUMMYFUNCTION("""COMPUTED_VALUE"""),"Manju Ajay")</f>
        <v>Manju Ajay</v>
      </c>
      <c r="O1551" s="14" t="str">
        <f>IFERROR(__xludf.DUMMYFUNCTION("split(J1551,""*"")"),"Delivered")</f>
        <v>Delivered</v>
      </c>
      <c r="P1551" s="14" t="str">
        <f>IFERROR(__xludf.DUMMYFUNCTION("""COMPUTED_VALUE"""),"Quality of Items: Perfect condition")</f>
        <v>Quality of Items: Perfect condition</v>
      </c>
      <c r="Q1551" s="14" t="str">
        <f>IFERROR(__xludf.DUMMYFUNCTION("split(P1551,"":"")"),"Quality of Items")</f>
        <v>Quality of Items</v>
      </c>
      <c r="R1551" s="14" t="str">
        <f>IFERROR(__xludf.DUMMYFUNCTION("""COMPUTED_VALUE""")," Perfect condition")</f>
        <v> Perfect condition</v>
      </c>
      <c r="S1551" s="14" t="str">
        <f t="shared" ref="S1551:U1551" si="3105">trim(B1551)</f>
        <v>ord_71529</v>
      </c>
      <c r="T1551" s="14" t="str">
        <f t="shared" si="3105"/>
        <v>Pallavi Ghosh</v>
      </c>
      <c r="U1551" s="14" t="str">
        <f t="shared" si="3105"/>
        <v>Bandra</v>
      </c>
      <c r="V1551" s="14" t="str">
        <f t="shared" si="4"/>
        <v>Cucumber</v>
      </c>
      <c r="W1551" s="14">
        <f t="shared" si="5"/>
        <v>1</v>
      </c>
      <c r="X1551" s="14" t="str">
        <f t="shared" si="6"/>
        <v>Manju Ajay</v>
      </c>
      <c r="Y1551" s="15">
        <f t="shared" si="7"/>
        <v>44975</v>
      </c>
      <c r="Z1551" s="14" t="str">
        <f t="shared" si="8"/>
        <v>UPI</v>
      </c>
      <c r="AA1551" s="14" t="str">
        <f t="shared" si="9"/>
        <v>Delivered</v>
      </c>
      <c r="AB1551" s="14" t="str">
        <f t="shared" ref="AB1551:AC1551" si="3106">trim(Q1551)</f>
        <v>Quality of Items</v>
      </c>
      <c r="AC1551" s="14" t="str">
        <f t="shared" si="3106"/>
        <v>Perfect condition</v>
      </c>
      <c r="AD1551" s="8"/>
    </row>
    <row r="1552">
      <c r="A1552" s="14" t="str">
        <f>IFERROR(__xludf.DUMMYFUNCTION("""COMPUTED_VALUE"""),"//ord_71530//Dev Chauhan//Bandra//Veg Puff+2*Vivek Kumar/8/15/2023//Credit Card//Delivered*Packaging: Secure and intact")</f>
        <v>//ord_71530//Dev Chauhan//Bandra//Veg Puff+2*Vivek Kumar/8/15/2023//Credit Card//Delivered*Packaging: Secure and intact</v>
      </c>
      <c r="B1552" s="14" t="str">
        <f>IFERROR(__xludf.DUMMYFUNCTION("split(A1552,""//"")"),"ord_71530")</f>
        <v>ord_71530</v>
      </c>
      <c r="C1552" s="14" t="str">
        <f>IFERROR(__xludf.DUMMYFUNCTION("""COMPUTED_VALUE"""),"Dev Chauhan")</f>
        <v>Dev Chauhan</v>
      </c>
      <c r="D1552" s="14" t="str">
        <f>IFERROR(__xludf.DUMMYFUNCTION("""COMPUTED_VALUE"""),"Bandra")</f>
        <v>Bandra</v>
      </c>
      <c r="E1552" s="14" t="str">
        <f>IFERROR(__xludf.DUMMYFUNCTION("""COMPUTED_VALUE"""),"Veg Puff+2*Vivek Kumar")</f>
        <v>Veg Puff+2*Vivek Kumar</v>
      </c>
      <c r="F1552" s="14">
        <f>IFERROR(__xludf.DUMMYFUNCTION("""COMPUTED_VALUE"""),8.0)</f>
        <v>8</v>
      </c>
      <c r="G1552" s="14">
        <f>IFERROR(__xludf.DUMMYFUNCTION("""COMPUTED_VALUE"""),15.0)</f>
        <v>15</v>
      </c>
      <c r="H1552" s="14">
        <f>IFERROR(__xludf.DUMMYFUNCTION("""COMPUTED_VALUE"""),2023.0)</f>
        <v>2023</v>
      </c>
      <c r="I1552" s="14" t="str">
        <f>IFERROR(__xludf.DUMMYFUNCTION("""COMPUTED_VALUE"""),"Credit Card")</f>
        <v>Credit Card</v>
      </c>
      <c r="J1552" s="14" t="str">
        <f>IFERROR(__xludf.DUMMYFUNCTION("""COMPUTED_VALUE"""),"Delivered*Packaging: Secure and intact")</f>
        <v>Delivered*Packaging: Secure and intact</v>
      </c>
      <c r="K1552" s="14" t="str">
        <f>IFERROR(__xludf.DUMMYFUNCTION("split(E1552,""+"")"),"Veg Puff")</f>
        <v>Veg Puff</v>
      </c>
      <c r="L1552" s="14" t="str">
        <f>IFERROR(__xludf.DUMMYFUNCTION("""COMPUTED_VALUE"""),"2*Vivek Kumar")</f>
        <v>2*Vivek Kumar</v>
      </c>
      <c r="M1552" s="14">
        <f>IFERROR(__xludf.DUMMYFUNCTION("SPLIT(L1552,""*"")"),2.0)</f>
        <v>2</v>
      </c>
      <c r="N1552" s="14" t="str">
        <f>IFERROR(__xludf.DUMMYFUNCTION("""COMPUTED_VALUE"""),"Vivek Kumar")</f>
        <v>Vivek Kumar</v>
      </c>
      <c r="O1552" s="14" t="str">
        <f>IFERROR(__xludf.DUMMYFUNCTION("split(J1552,""*"")"),"Delivered")</f>
        <v>Delivered</v>
      </c>
      <c r="P1552" s="14" t="str">
        <f>IFERROR(__xludf.DUMMYFUNCTION("""COMPUTED_VALUE"""),"Packaging: Secure and intact")</f>
        <v>Packaging: Secure and intact</v>
      </c>
      <c r="Q1552" s="14" t="str">
        <f>IFERROR(__xludf.DUMMYFUNCTION("split(P1552,"":"")"),"Packaging")</f>
        <v>Packaging</v>
      </c>
      <c r="R1552" s="14" t="str">
        <f>IFERROR(__xludf.DUMMYFUNCTION("""COMPUTED_VALUE""")," Secure and intact")</f>
        <v> Secure and intact</v>
      </c>
      <c r="S1552" s="14" t="str">
        <f t="shared" ref="S1552:U1552" si="3107">trim(B1552)</f>
        <v>ord_71530</v>
      </c>
      <c r="T1552" s="14" t="str">
        <f t="shared" si="3107"/>
        <v>Dev Chauhan</v>
      </c>
      <c r="U1552" s="14" t="str">
        <f t="shared" si="3107"/>
        <v>Bandra</v>
      </c>
      <c r="V1552" s="14" t="str">
        <f t="shared" si="4"/>
        <v>Veg Puff</v>
      </c>
      <c r="W1552" s="14">
        <f t="shared" si="5"/>
        <v>2</v>
      </c>
      <c r="X1552" s="14" t="str">
        <f t="shared" si="6"/>
        <v>Vivek Kumar</v>
      </c>
      <c r="Y1552" s="15">
        <f t="shared" si="7"/>
        <v>45153</v>
      </c>
      <c r="Z1552" s="14" t="str">
        <f t="shared" si="8"/>
        <v>Credit Card</v>
      </c>
      <c r="AA1552" s="14" t="str">
        <f t="shared" si="9"/>
        <v>Delivered</v>
      </c>
      <c r="AB1552" s="14" t="str">
        <f t="shared" ref="AB1552:AC1552" si="3108">trim(Q1552)</f>
        <v>Packaging</v>
      </c>
      <c r="AC1552" s="14" t="str">
        <f t="shared" si="3108"/>
        <v>Secure and intact</v>
      </c>
      <c r="AD1552" s="8"/>
    </row>
    <row r="1553">
      <c r="A1553" s="14" t="str">
        <f>IFERROR(__xludf.DUMMYFUNCTION("""COMPUTED_VALUE"""),"//ord_71531//Mohit Malhotra//Lower Parel//Potato+1*Vivek Kumar/8/9/2023//UPI//Delivered*Satisfied with the Delivery: Timely and quality")</f>
        <v>//ord_71531//Mohit Malhotra//Lower Parel//Potato+1*Vivek Kumar/8/9/2023//UPI//Delivered*Satisfied with the Delivery: Timely and quality</v>
      </c>
      <c r="B1553" s="14" t="str">
        <f>IFERROR(__xludf.DUMMYFUNCTION("split(A1553,""//"")"),"ord_71531")</f>
        <v>ord_71531</v>
      </c>
      <c r="C1553" s="14" t="str">
        <f>IFERROR(__xludf.DUMMYFUNCTION("""COMPUTED_VALUE"""),"Mohit Malhotra")</f>
        <v>Mohit Malhotra</v>
      </c>
      <c r="D1553" s="14" t="str">
        <f>IFERROR(__xludf.DUMMYFUNCTION("""COMPUTED_VALUE"""),"Lower Parel")</f>
        <v>Lower Parel</v>
      </c>
      <c r="E1553" s="14" t="str">
        <f>IFERROR(__xludf.DUMMYFUNCTION("""COMPUTED_VALUE"""),"Potato+1*Vivek Kumar")</f>
        <v>Potato+1*Vivek Kumar</v>
      </c>
      <c r="F1553" s="14">
        <f>IFERROR(__xludf.DUMMYFUNCTION("""COMPUTED_VALUE"""),8.0)</f>
        <v>8</v>
      </c>
      <c r="G1553" s="14">
        <f>IFERROR(__xludf.DUMMYFUNCTION("""COMPUTED_VALUE"""),9.0)</f>
        <v>9</v>
      </c>
      <c r="H1553" s="14">
        <f>IFERROR(__xludf.DUMMYFUNCTION("""COMPUTED_VALUE"""),2023.0)</f>
        <v>2023</v>
      </c>
      <c r="I1553" s="14" t="str">
        <f>IFERROR(__xludf.DUMMYFUNCTION("""COMPUTED_VALUE"""),"UPI")</f>
        <v>UPI</v>
      </c>
      <c r="J1553" s="14" t="str">
        <f>IFERROR(__xludf.DUMMYFUNCTION("""COMPUTED_VALUE"""),"Delivered*Satisfied with the Delivery: Timely and quality")</f>
        <v>Delivered*Satisfied with the Delivery: Timely and quality</v>
      </c>
      <c r="K1553" s="14" t="str">
        <f>IFERROR(__xludf.DUMMYFUNCTION("split(E1553,""+"")"),"Potato")</f>
        <v>Potato</v>
      </c>
      <c r="L1553" s="14" t="str">
        <f>IFERROR(__xludf.DUMMYFUNCTION("""COMPUTED_VALUE"""),"1*Vivek Kumar")</f>
        <v>1*Vivek Kumar</v>
      </c>
      <c r="M1553" s="14">
        <f>IFERROR(__xludf.DUMMYFUNCTION("SPLIT(L1553,""*"")"),1.0)</f>
        <v>1</v>
      </c>
      <c r="N1553" s="14" t="str">
        <f>IFERROR(__xludf.DUMMYFUNCTION("""COMPUTED_VALUE"""),"Vivek Kumar")</f>
        <v>Vivek Kumar</v>
      </c>
      <c r="O1553" s="14" t="str">
        <f>IFERROR(__xludf.DUMMYFUNCTION("split(J1553,""*"")"),"Delivered")</f>
        <v>Delivered</v>
      </c>
      <c r="P1553" s="14" t="str">
        <f>IFERROR(__xludf.DUMMYFUNCTION("""COMPUTED_VALUE"""),"Satisfied with the Delivery: Timely and quality")</f>
        <v>Satisfied with the Delivery: Timely and quality</v>
      </c>
      <c r="Q1553" s="14" t="str">
        <f>IFERROR(__xludf.DUMMYFUNCTION("split(P1553,"":"")"),"Satisfied with the Delivery")</f>
        <v>Satisfied with the Delivery</v>
      </c>
      <c r="R1553" s="14" t="str">
        <f>IFERROR(__xludf.DUMMYFUNCTION("""COMPUTED_VALUE""")," Timely and quality")</f>
        <v> Timely and quality</v>
      </c>
      <c r="S1553" s="14" t="str">
        <f t="shared" ref="S1553:U1553" si="3109">trim(B1553)</f>
        <v>ord_71531</v>
      </c>
      <c r="T1553" s="14" t="str">
        <f t="shared" si="3109"/>
        <v>Mohit Malhotra</v>
      </c>
      <c r="U1553" s="14" t="str">
        <f t="shared" si="3109"/>
        <v>Lower Parel</v>
      </c>
      <c r="V1553" s="14" t="str">
        <f t="shared" si="4"/>
        <v>Potato</v>
      </c>
      <c r="W1553" s="14">
        <f t="shared" si="5"/>
        <v>1</v>
      </c>
      <c r="X1553" s="14" t="str">
        <f t="shared" si="6"/>
        <v>Vivek Kumar</v>
      </c>
      <c r="Y1553" s="15">
        <f t="shared" si="7"/>
        <v>45147</v>
      </c>
      <c r="Z1553" s="14" t="str">
        <f t="shared" si="8"/>
        <v>UPI</v>
      </c>
      <c r="AA1553" s="14" t="str">
        <f t="shared" si="9"/>
        <v>Delivered</v>
      </c>
      <c r="AB1553" s="14" t="str">
        <f t="shared" ref="AB1553:AC1553" si="3110">trim(Q1553)</f>
        <v>Satisfied with the Delivery</v>
      </c>
      <c r="AC1553" s="14" t="str">
        <f t="shared" si="3110"/>
        <v>Timely and quality</v>
      </c>
      <c r="AD1553" s="8"/>
    </row>
    <row r="1554">
      <c r="A1554" s="14" t="str">
        <f>IFERROR(__xludf.DUMMYFUNCTION("""COMPUTED_VALUE"""),"//ord_71532//Omkar Mishra//Powai//Cold Coffee+1*Ram Gopal/10/5/2023//UPI//Delivered*Customer Service: Seamless and easy")</f>
        <v>//ord_71532//Omkar Mishra//Powai//Cold Coffee+1*Ram Gopal/10/5/2023//UPI//Delivered*Customer Service: Seamless and easy</v>
      </c>
      <c r="B1554" s="14" t="str">
        <f>IFERROR(__xludf.DUMMYFUNCTION("split(A1554,""//"")"),"ord_71532")</f>
        <v>ord_71532</v>
      </c>
      <c r="C1554" s="14" t="str">
        <f>IFERROR(__xludf.DUMMYFUNCTION("""COMPUTED_VALUE"""),"Omkar Mishra")</f>
        <v>Omkar Mishra</v>
      </c>
      <c r="D1554" s="14" t="str">
        <f>IFERROR(__xludf.DUMMYFUNCTION("""COMPUTED_VALUE"""),"Powai")</f>
        <v>Powai</v>
      </c>
      <c r="E1554" s="14" t="str">
        <f>IFERROR(__xludf.DUMMYFUNCTION("""COMPUTED_VALUE"""),"Cold Coffee+1*Ram Gopal")</f>
        <v>Cold Coffee+1*Ram Gopal</v>
      </c>
      <c r="F1554" s="14">
        <f>IFERROR(__xludf.DUMMYFUNCTION("""COMPUTED_VALUE"""),10.0)</f>
        <v>10</v>
      </c>
      <c r="G1554" s="14">
        <f>IFERROR(__xludf.DUMMYFUNCTION("""COMPUTED_VALUE"""),5.0)</f>
        <v>5</v>
      </c>
      <c r="H1554" s="14">
        <f>IFERROR(__xludf.DUMMYFUNCTION("""COMPUTED_VALUE"""),2023.0)</f>
        <v>2023</v>
      </c>
      <c r="I1554" s="14" t="str">
        <f>IFERROR(__xludf.DUMMYFUNCTION("""COMPUTED_VALUE"""),"UPI")</f>
        <v>UPI</v>
      </c>
      <c r="J1554" s="14" t="str">
        <f>IFERROR(__xludf.DUMMYFUNCTION("""COMPUTED_VALUE"""),"Delivered*Customer Service: Seamless and easy")</f>
        <v>Delivered*Customer Service: Seamless and easy</v>
      </c>
      <c r="K1554" s="14" t="str">
        <f>IFERROR(__xludf.DUMMYFUNCTION("split(E1554,""+"")"),"Cold Coffee")</f>
        <v>Cold Coffee</v>
      </c>
      <c r="L1554" s="14" t="str">
        <f>IFERROR(__xludf.DUMMYFUNCTION("""COMPUTED_VALUE"""),"1*Ram Gopal")</f>
        <v>1*Ram Gopal</v>
      </c>
      <c r="M1554" s="14">
        <f>IFERROR(__xludf.DUMMYFUNCTION("SPLIT(L1554,""*"")"),1.0)</f>
        <v>1</v>
      </c>
      <c r="N1554" s="14" t="str">
        <f>IFERROR(__xludf.DUMMYFUNCTION("""COMPUTED_VALUE"""),"Ram Gopal")</f>
        <v>Ram Gopal</v>
      </c>
      <c r="O1554" s="14" t="str">
        <f>IFERROR(__xludf.DUMMYFUNCTION("split(J1554,""*"")"),"Delivered")</f>
        <v>Delivered</v>
      </c>
      <c r="P1554" s="14" t="str">
        <f>IFERROR(__xludf.DUMMYFUNCTION("""COMPUTED_VALUE"""),"Customer Service: Seamless and easy")</f>
        <v>Customer Service: Seamless and easy</v>
      </c>
      <c r="Q1554" s="14" t="str">
        <f>IFERROR(__xludf.DUMMYFUNCTION("split(P1554,"":"")"),"Customer Service")</f>
        <v>Customer Service</v>
      </c>
      <c r="R1554" s="14" t="str">
        <f>IFERROR(__xludf.DUMMYFUNCTION("""COMPUTED_VALUE""")," Seamless and easy")</f>
        <v> Seamless and easy</v>
      </c>
      <c r="S1554" s="14" t="str">
        <f t="shared" ref="S1554:U1554" si="3111">trim(B1554)</f>
        <v>ord_71532</v>
      </c>
      <c r="T1554" s="14" t="str">
        <f t="shared" si="3111"/>
        <v>Omkar Mishra</v>
      </c>
      <c r="U1554" s="14" t="str">
        <f t="shared" si="3111"/>
        <v>Powai</v>
      </c>
      <c r="V1554" s="14" t="str">
        <f t="shared" si="4"/>
        <v>Cold Coffee</v>
      </c>
      <c r="W1554" s="14">
        <f t="shared" si="5"/>
        <v>1</v>
      </c>
      <c r="X1554" s="14" t="str">
        <f t="shared" si="6"/>
        <v>Ram Gopal</v>
      </c>
      <c r="Y1554" s="15">
        <f t="shared" si="7"/>
        <v>45204</v>
      </c>
      <c r="Z1554" s="14" t="str">
        <f t="shared" si="8"/>
        <v>UPI</v>
      </c>
      <c r="AA1554" s="14" t="str">
        <f t="shared" si="9"/>
        <v>Delivered</v>
      </c>
      <c r="AB1554" s="14" t="str">
        <f t="shared" ref="AB1554:AC1554" si="3112">trim(Q1554)</f>
        <v>Customer Service</v>
      </c>
      <c r="AC1554" s="14" t="str">
        <f t="shared" si="3112"/>
        <v>Seamless and easy</v>
      </c>
      <c r="AD1554" s="8"/>
    </row>
    <row r="1555">
      <c r="A1555" s="14" t="str">
        <f>IFERROR(__xludf.DUMMYFUNCTION("""COMPUTED_VALUE"""),"//ord_71533//Tanishq Bansal//Powai//Apple+2*Venu R/2/6/2023//Credit Card//Delivered*Delivery Experience: Quick and professional")</f>
        <v>//ord_71533//Tanishq Bansal//Powai//Apple+2*Venu R/2/6/2023//Credit Card//Delivered*Delivery Experience: Quick and professional</v>
      </c>
      <c r="B1555" s="14" t="str">
        <f>IFERROR(__xludf.DUMMYFUNCTION("split(A1555,""//"")"),"ord_71533")</f>
        <v>ord_71533</v>
      </c>
      <c r="C1555" s="14" t="str">
        <f>IFERROR(__xludf.DUMMYFUNCTION("""COMPUTED_VALUE"""),"Tanishq Bansal")</f>
        <v>Tanishq Bansal</v>
      </c>
      <c r="D1555" s="14" t="str">
        <f>IFERROR(__xludf.DUMMYFUNCTION("""COMPUTED_VALUE"""),"Powai")</f>
        <v>Powai</v>
      </c>
      <c r="E1555" s="14" t="str">
        <f>IFERROR(__xludf.DUMMYFUNCTION("""COMPUTED_VALUE"""),"Apple+2*Venu R")</f>
        <v>Apple+2*Venu R</v>
      </c>
      <c r="F1555" s="14">
        <f>IFERROR(__xludf.DUMMYFUNCTION("""COMPUTED_VALUE"""),2.0)</f>
        <v>2</v>
      </c>
      <c r="G1555" s="14">
        <f>IFERROR(__xludf.DUMMYFUNCTION("""COMPUTED_VALUE"""),6.0)</f>
        <v>6</v>
      </c>
      <c r="H1555" s="14">
        <f>IFERROR(__xludf.DUMMYFUNCTION("""COMPUTED_VALUE"""),2023.0)</f>
        <v>2023</v>
      </c>
      <c r="I1555" s="14" t="str">
        <f>IFERROR(__xludf.DUMMYFUNCTION("""COMPUTED_VALUE"""),"Credit Card")</f>
        <v>Credit Card</v>
      </c>
      <c r="J1555" s="14" t="str">
        <f>IFERROR(__xludf.DUMMYFUNCTION("""COMPUTED_VALUE"""),"Delivered*Delivery Experience: Quick and professional")</f>
        <v>Delivered*Delivery Experience: Quick and professional</v>
      </c>
      <c r="K1555" s="14" t="str">
        <f>IFERROR(__xludf.DUMMYFUNCTION("split(E1555,""+"")"),"Apple")</f>
        <v>Apple</v>
      </c>
      <c r="L1555" s="14" t="str">
        <f>IFERROR(__xludf.DUMMYFUNCTION("""COMPUTED_VALUE"""),"2*Venu R")</f>
        <v>2*Venu R</v>
      </c>
      <c r="M1555" s="14">
        <f>IFERROR(__xludf.DUMMYFUNCTION("SPLIT(L1555,""*"")"),2.0)</f>
        <v>2</v>
      </c>
      <c r="N1555" s="14" t="str">
        <f>IFERROR(__xludf.DUMMYFUNCTION("""COMPUTED_VALUE"""),"Venu R")</f>
        <v>Venu R</v>
      </c>
      <c r="O1555" s="14" t="str">
        <f>IFERROR(__xludf.DUMMYFUNCTION("split(J1555,""*"")"),"Delivered")</f>
        <v>Delivered</v>
      </c>
      <c r="P1555" s="14" t="str">
        <f>IFERROR(__xludf.DUMMYFUNCTION("""COMPUTED_VALUE"""),"Delivery Experience: Quick and professional")</f>
        <v>Delivery Experience: Quick and professional</v>
      </c>
      <c r="Q1555" s="14" t="str">
        <f>IFERROR(__xludf.DUMMYFUNCTION("split(P1555,"":"")"),"Delivery Experience")</f>
        <v>Delivery Experience</v>
      </c>
      <c r="R1555" s="14" t="str">
        <f>IFERROR(__xludf.DUMMYFUNCTION("""COMPUTED_VALUE""")," Quick and professional")</f>
        <v> Quick and professional</v>
      </c>
      <c r="S1555" s="14" t="str">
        <f t="shared" ref="S1555:U1555" si="3113">trim(B1555)</f>
        <v>ord_71533</v>
      </c>
      <c r="T1555" s="14" t="str">
        <f t="shared" si="3113"/>
        <v>Tanishq Bansal</v>
      </c>
      <c r="U1555" s="14" t="str">
        <f t="shared" si="3113"/>
        <v>Powai</v>
      </c>
      <c r="V1555" s="14" t="str">
        <f t="shared" si="4"/>
        <v>Apple</v>
      </c>
      <c r="W1555" s="14">
        <f t="shared" si="5"/>
        <v>2</v>
      </c>
      <c r="X1555" s="14" t="str">
        <f t="shared" si="6"/>
        <v>Venu R</v>
      </c>
      <c r="Y1555" s="15">
        <f t="shared" si="7"/>
        <v>44963</v>
      </c>
      <c r="Z1555" s="14" t="str">
        <f t="shared" si="8"/>
        <v>Credit Card</v>
      </c>
      <c r="AA1555" s="14" t="str">
        <f t="shared" si="9"/>
        <v>Delivered</v>
      </c>
      <c r="AB1555" s="14" t="str">
        <f t="shared" ref="AB1555:AC1555" si="3114">trim(Q1555)</f>
        <v>Delivery Experience</v>
      </c>
      <c r="AC1555" s="14" t="str">
        <f t="shared" si="3114"/>
        <v>Quick and professional</v>
      </c>
      <c r="AD1555" s="8"/>
    </row>
    <row r="1556">
      <c r="A1556" s="14" t="str">
        <f>IFERROR(__xludf.DUMMYFUNCTION("""COMPUTED_VALUE"""),"//ord_71534//Omkar Mishra//Powai//Potato+2*Venu R/11/9/2023//Credit Card//Delivered*Convenience: Easy tracking")</f>
        <v>//ord_71534//Omkar Mishra//Powai//Potato+2*Venu R/11/9/2023//Credit Card//Delivered*Convenience: Easy tracking</v>
      </c>
      <c r="B1556" s="14" t="str">
        <f>IFERROR(__xludf.DUMMYFUNCTION("split(A1556,""//"")"),"ord_71534")</f>
        <v>ord_71534</v>
      </c>
      <c r="C1556" s="14" t="str">
        <f>IFERROR(__xludf.DUMMYFUNCTION("""COMPUTED_VALUE"""),"Omkar Mishra")</f>
        <v>Omkar Mishra</v>
      </c>
      <c r="D1556" s="14" t="str">
        <f>IFERROR(__xludf.DUMMYFUNCTION("""COMPUTED_VALUE"""),"Powai")</f>
        <v>Powai</v>
      </c>
      <c r="E1556" s="14" t="str">
        <f>IFERROR(__xludf.DUMMYFUNCTION("""COMPUTED_VALUE"""),"Potato+2*Venu R")</f>
        <v>Potato+2*Venu R</v>
      </c>
      <c r="F1556" s="14">
        <f>IFERROR(__xludf.DUMMYFUNCTION("""COMPUTED_VALUE"""),11.0)</f>
        <v>11</v>
      </c>
      <c r="G1556" s="14">
        <f>IFERROR(__xludf.DUMMYFUNCTION("""COMPUTED_VALUE"""),9.0)</f>
        <v>9</v>
      </c>
      <c r="H1556" s="14">
        <f>IFERROR(__xludf.DUMMYFUNCTION("""COMPUTED_VALUE"""),2023.0)</f>
        <v>2023</v>
      </c>
      <c r="I1556" s="14" t="str">
        <f>IFERROR(__xludf.DUMMYFUNCTION("""COMPUTED_VALUE"""),"Credit Card")</f>
        <v>Credit Card</v>
      </c>
      <c r="J1556" s="14" t="str">
        <f>IFERROR(__xludf.DUMMYFUNCTION("""COMPUTED_VALUE"""),"Delivered*Convenience: Easy tracking")</f>
        <v>Delivered*Convenience: Easy tracking</v>
      </c>
      <c r="K1556" s="14" t="str">
        <f>IFERROR(__xludf.DUMMYFUNCTION("split(E1556,""+"")"),"Potato")</f>
        <v>Potato</v>
      </c>
      <c r="L1556" s="14" t="str">
        <f>IFERROR(__xludf.DUMMYFUNCTION("""COMPUTED_VALUE"""),"2*Venu R")</f>
        <v>2*Venu R</v>
      </c>
      <c r="M1556" s="14">
        <f>IFERROR(__xludf.DUMMYFUNCTION("SPLIT(L1556,""*"")"),2.0)</f>
        <v>2</v>
      </c>
      <c r="N1556" s="14" t="str">
        <f>IFERROR(__xludf.DUMMYFUNCTION("""COMPUTED_VALUE"""),"Venu R")</f>
        <v>Venu R</v>
      </c>
      <c r="O1556" s="14" t="str">
        <f>IFERROR(__xludf.DUMMYFUNCTION("split(J1556,""*"")"),"Delivered")</f>
        <v>Delivered</v>
      </c>
      <c r="P1556" s="14" t="str">
        <f>IFERROR(__xludf.DUMMYFUNCTION("""COMPUTED_VALUE"""),"Convenience: Easy tracking")</f>
        <v>Convenience: Easy tracking</v>
      </c>
      <c r="Q1556" s="14" t="str">
        <f>IFERROR(__xludf.DUMMYFUNCTION("split(P1556,"":"")"),"Convenience")</f>
        <v>Convenience</v>
      </c>
      <c r="R1556" s="14" t="str">
        <f>IFERROR(__xludf.DUMMYFUNCTION("""COMPUTED_VALUE""")," Easy tracking")</f>
        <v> Easy tracking</v>
      </c>
      <c r="S1556" s="14" t="str">
        <f t="shared" ref="S1556:U1556" si="3115">trim(B1556)</f>
        <v>ord_71534</v>
      </c>
      <c r="T1556" s="14" t="str">
        <f t="shared" si="3115"/>
        <v>Omkar Mishra</v>
      </c>
      <c r="U1556" s="14" t="str">
        <f t="shared" si="3115"/>
        <v>Powai</v>
      </c>
      <c r="V1556" s="14" t="str">
        <f t="shared" si="4"/>
        <v>Potato</v>
      </c>
      <c r="W1556" s="14">
        <f t="shared" si="5"/>
        <v>2</v>
      </c>
      <c r="X1556" s="14" t="str">
        <f t="shared" si="6"/>
        <v>Venu R</v>
      </c>
      <c r="Y1556" s="15">
        <f t="shared" si="7"/>
        <v>45239</v>
      </c>
      <c r="Z1556" s="14" t="str">
        <f t="shared" si="8"/>
        <v>Credit Card</v>
      </c>
      <c r="AA1556" s="14" t="str">
        <f t="shared" si="9"/>
        <v>Delivered</v>
      </c>
      <c r="AB1556" s="14" t="str">
        <f t="shared" ref="AB1556:AC1556" si="3116">trim(Q1556)</f>
        <v>Convenience</v>
      </c>
      <c r="AC1556" s="14" t="str">
        <f t="shared" si="3116"/>
        <v>Easy tracking</v>
      </c>
      <c r="AD1556" s="8"/>
    </row>
    <row r="1557">
      <c r="A1557" s="14" t="str">
        <f>IFERROR(__xludf.DUMMYFUNCTION("""COMPUTED_VALUE"""),"//ord_71535//Pranav Joshi//Andheri//Tiramisu+5*Venu R/8/1/2023//COD//Delivered*Overall Satisfaction: Great service will order again")</f>
        <v>//ord_71535//Pranav Joshi//Andheri//Tiramisu+5*Venu R/8/1/2023//COD//Delivered*Overall Satisfaction: Great service will order again</v>
      </c>
      <c r="B1557" s="14" t="str">
        <f>IFERROR(__xludf.DUMMYFUNCTION("split(A1557,""//"")"),"ord_71535")</f>
        <v>ord_71535</v>
      </c>
      <c r="C1557" s="14" t="str">
        <f>IFERROR(__xludf.DUMMYFUNCTION("""COMPUTED_VALUE"""),"Pranav Joshi")</f>
        <v>Pranav Joshi</v>
      </c>
      <c r="D1557" s="14" t="str">
        <f>IFERROR(__xludf.DUMMYFUNCTION("""COMPUTED_VALUE"""),"Andheri")</f>
        <v>Andheri</v>
      </c>
      <c r="E1557" s="14" t="str">
        <f>IFERROR(__xludf.DUMMYFUNCTION("""COMPUTED_VALUE"""),"Tiramisu+5*Venu R")</f>
        <v>Tiramisu+5*Venu R</v>
      </c>
      <c r="F1557" s="14">
        <f>IFERROR(__xludf.DUMMYFUNCTION("""COMPUTED_VALUE"""),8.0)</f>
        <v>8</v>
      </c>
      <c r="G1557" s="14">
        <f>IFERROR(__xludf.DUMMYFUNCTION("""COMPUTED_VALUE"""),1.0)</f>
        <v>1</v>
      </c>
      <c r="H1557" s="14">
        <f>IFERROR(__xludf.DUMMYFUNCTION("""COMPUTED_VALUE"""),2023.0)</f>
        <v>2023</v>
      </c>
      <c r="I1557" s="14" t="str">
        <f>IFERROR(__xludf.DUMMYFUNCTION("""COMPUTED_VALUE"""),"COD")</f>
        <v>COD</v>
      </c>
      <c r="J1557" s="14" t="str">
        <f>IFERROR(__xludf.DUMMYFUNCTION("""COMPUTED_VALUE"""),"Delivered*Overall Satisfaction: Great service will order again")</f>
        <v>Delivered*Overall Satisfaction: Great service will order again</v>
      </c>
      <c r="K1557" s="14" t="str">
        <f>IFERROR(__xludf.DUMMYFUNCTION("split(E1557,""+"")"),"Tiramisu")</f>
        <v>Tiramisu</v>
      </c>
      <c r="L1557" s="14" t="str">
        <f>IFERROR(__xludf.DUMMYFUNCTION("""COMPUTED_VALUE"""),"5*Venu R")</f>
        <v>5*Venu R</v>
      </c>
      <c r="M1557" s="14">
        <f>IFERROR(__xludf.DUMMYFUNCTION("SPLIT(L1557,""*"")"),5.0)</f>
        <v>5</v>
      </c>
      <c r="N1557" s="14" t="str">
        <f>IFERROR(__xludf.DUMMYFUNCTION("""COMPUTED_VALUE"""),"Venu R")</f>
        <v>Venu R</v>
      </c>
      <c r="O1557" s="14" t="str">
        <f>IFERROR(__xludf.DUMMYFUNCTION("split(J1557,""*"")"),"Delivered")</f>
        <v>Delivered</v>
      </c>
      <c r="P1557" s="14" t="str">
        <f>IFERROR(__xludf.DUMMYFUNCTION("""COMPUTED_VALUE"""),"Overall Satisfaction: Great service will order again")</f>
        <v>Overall Satisfaction: Great service will order again</v>
      </c>
      <c r="Q1557" s="14" t="str">
        <f>IFERROR(__xludf.DUMMYFUNCTION("split(P1557,"":"")"),"Overall Satisfaction")</f>
        <v>Overall Satisfaction</v>
      </c>
      <c r="R1557" s="14" t="str">
        <f>IFERROR(__xludf.DUMMYFUNCTION("""COMPUTED_VALUE""")," Great service will order again")</f>
        <v> Great service will order again</v>
      </c>
      <c r="S1557" s="14" t="str">
        <f t="shared" ref="S1557:U1557" si="3117">trim(B1557)</f>
        <v>ord_71535</v>
      </c>
      <c r="T1557" s="14" t="str">
        <f t="shared" si="3117"/>
        <v>Pranav Joshi</v>
      </c>
      <c r="U1557" s="14" t="str">
        <f t="shared" si="3117"/>
        <v>Andheri</v>
      </c>
      <c r="V1557" s="14" t="str">
        <f t="shared" si="4"/>
        <v>Tiramisu</v>
      </c>
      <c r="W1557" s="14">
        <f t="shared" si="5"/>
        <v>5</v>
      </c>
      <c r="X1557" s="14" t="str">
        <f t="shared" si="6"/>
        <v>Venu R</v>
      </c>
      <c r="Y1557" s="15">
        <f t="shared" si="7"/>
        <v>45139</v>
      </c>
      <c r="Z1557" s="14" t="str">
        <f t="shared" si="8"/>
        <v>COD</v>
      </c>
      <c r="AA1557" s="14" t="str">
        <f t="shared" si="9"/>
        <v>Delivered</v>
      </c>
      <c r="AB1557" s="14" t="str">
        <f t="shared" ref="AB1557:AC1557" si="3118">trim(Q1557)</f>
        <v>Overall Satisfaction</v>
      </c>
      <c r="AC1557" s="14" t="str">
        <f t="shared" si="3118"/>
        <v>Great service will order again</v>
      </c>
      <c r="AD1557" s="8"/>
    </row>
    <row r="1558">
      <c r="A1558" s="14" t="str">
        <f>IFERROR(__xludf.DUMMYFUNCTION("""COMPUTED_VALUE"""),"//ord_71536//Ishaan Chaturvedi//Bandra//Chicken Puff+3*Sita T/8/21/2023//COD//Delivered*On-time Delivery: Delivered on time")</f>
        <v>//ord_71536//Ishaan Chaturvedi//Bandra//Chicken Puff+3*Sita T/8/21/2023//COD//Delivered*On-time Delivery: Delivered on time</v>
      </c>
      <c r="B1558" s="14" t="str">
        <f>IFERROR(__xludf.DUMMYFUNCTION("split(A1558,""//"")"),"ord_71536")</f>
        <v>ord_71536</v>
      </c>
      <c r="C1558" s="14" t="str">
        <f>IFERROR(__xludf.DUMMYFUNCTION("""COMPUTED_VALUE"""),"Ishaan Chaturvedi")</f>
        <v>Ishaan Chaturvedi</v>
      </c>
      <c r="D1558" s="14" t="str">
        <f>IFERROR(__xludf.DUMMYFUNCTION("""COMPUTED_VALUE"""),"Bandra")</f>
        <v>Bandra</v>
      </c>
      <c r="E1558" s="14" t="str">
        <f>IFERROR(__xludf.DUMMYFUNCTION("""COMPUTED_VALUE"""),"Chicken Puff+3*Sita T")</f>
        <v>Chicken Puff+3*Sita T</v>
      </c>
      <c r="F1558" s="14">
        <f>IFERROR(__xludf.DUMMYFUNCTION("""COMPUTED_VALUE"""),8.0)</f>
        <v>8</v>
      </c>
      <c r="G1558" s="14">
        <f>IFERROR(__xludf.DUMMYFUNCTION("""COMPUTED_VALUE"""),21.0)</f>
        <v>21</v>
      </c>
      <c r="H1558" s="14">
        <f>IFERROR(__xludf.DUMMYFUNCTION("""COMPUTED_VALUE"""),2023.0)</f>
        <v>2023</v>
      </c>
      <c r="I1558" s="14" t="str">
        <f>IFERROR(__xludf.DUMMYFUNCTION("""COMPUTED_VALUE"""),"COD")</f>
        <v>COD</v>
      </c>
      <c r="J1558" s="14" t="str">
        <f>IFERROR(__xludf.DUMMYFUNCTION("""COMPUTED_VALUE"""),"Delivered*On-time Delivery: Delivered on time")</f>
        <v>Delivered*On-time Delivery: Delivered on time</v>
      </c>
      <c r="K1558" s="14" t="str">
        <f>IFERROR(__xludf.DUMMYFUNCTION("split(E1558,""+"")"),"Chicken Puff")</f>
        <v>Chicken Puff</v>
      </c>
      <c r="L1558" s="14" t="str">
        <f>IFERROR(__xludf.DUMMYFUNCTION("""COMPUTED_VALUE"""),"3*Sita T")</f>
        <v>3*Sita T</v>
      </c>
      <c r="M1558" s="14">
        <f>IFERROR(__xludf.DUMMYFUNCTION("SPLIT(L1558,""*"")"),3.0)</f>
        <v>3</v>
      </c>
      <c r="N1558" s="14" t="str">
        <f>IFERROR(__xludf.DUMMYFUNCTION("""COMPUTED_VALUE"""),"Sita T")</f>
        <v>Sita T</v>
      </c>
      <c r="O1558" s="14" t="str">
        <f>IFERROR(__xludf.DUMMYFUNCTION("split(J1558,""*"")"),"Delivered")</f>
        <v>Delivered</v>
      </c>
      <c r="P1558" s="14" t="str">
        <f>IFERROR(__xludf.DUMMYFUNCTION("""COMPUTED_VALUE"""),"On-time Delivery: Delivered on time")</f>
        <v>On-time Delivery: Delivered on time</v>
      </c>
      <c r="Q1558" s="14" t="str">
        <f>IFERROR(__xludf.DUMMYFUNCTION("split(P1558,"":"")"),"On-time Delivery")</f>
        <v>On-time Delivery</v>
      </c>
      <c r="R1558" s="14" t="str">
        <f>IFERROR(__xludf.DUMMYFUNCTION("""COMPUTED_VALUE""")," Delivered on time")</f>
        <v> Delivered on time</v>
      </c>
      <c r="S1558" s="14" t="str">
        <f t="shared" ref="S1558:U1558" si="3119">trim(B1558)</f>
        <v>ord_71536</v>
      </c>
      <c r="T1558" s="14" t="str">
        <f t="shared" si="3119"/>
        <v>Ishaan Chaturvedi</v>
      </c>
      <c r="U1558" s="14" t="str">
        <f t="shared" si="3119"/>
        <v>Bandra</v>
      </c>
      <c r="V1558" s="14" t="str">
        <f t="shared" si="4"/>
        <v>Chicken Puff</v>
      </c>
      <c r="W1558" s="14">
        <f t="shared" si="5"/>
        <v>3</v>
      </c>
      <c r="X1558" s="14" t="str">
        <f t="shared" si="6"/>
        <v>Sita T</v>
      </c>
      <c r="Y1558" s="15">
        <f t="shared" si="7"/>
        <v>45159</v>
      </c>
      <c r="Z1558" s="14" t="str">
        <f t="shared" si="8"/>
        <v>COD</v>
      </c>
      <c r="AA1558" s="14" t="str">
        <f t="shared" si="9"/>
        <v>Delivered</v>
      </c>
      <c r="AB1558" s="14" t="str">
        <f t="shared" ref="AB1558:AC1558" si="3120">trim(Q1558)</f>
        <v>On-time Delivery</v>
      </c>
      <c r="AC1558" s="14" t="str">
        <f t="shared" si="3120"/>
        <v>Delivered on time</v>
      </c>
      <c r="AD1558" s="8"/>
    </row>
    <row r="1559">
      <c r="A1559" s="14" t="str">
        <f>IFERROR(__xludf.DUMMYFUNCTION("""COMPUTED_VALUE"""),"//ord_71537//Ishaan Chaturvedi//Bandra//Banana+1*Vivek Kumar/10/1/2023//Online Payment//Delivered*Quality of Items: Perfect condition")</f>
        <v>//ord_71537//Ishaan Chaturvedi//Bandra//Banana+1*Vivek Kumar/10/1/2023//Online Payment//Delivered*Quality of Items: Perfect condition</v>
      </c>
      <c r="B1559" s="14" t="str">
        <f>IFERROR(__xludf.DUMMYFUNCTION("split(A1559,""//"")"),"ord_71537")</f>
        <v>ord_71537</v>
      </c>
      <c r="C1559" s="14" t="str">
        <f>IFERROR(__xludf.DUMMYFUNCTION("""COMPUTED_VALUE"""),"Ishaan Chaturvedi")</f>
        <v>Ishaan Chaturvedi</v>
      </c>
      <c r="D1559" s="14" t="str">
        <f>IFERROR(__xludf.DUMMYFUNCTION("""COMPUTED_VALUE"""),"Bandra")</f>
        <v>Bandra</v>
      </c>
      <c r="E1559" s="14" t="str">
        <f>IFERROR(__xludf.DUMMYFUNCTION("""COMPUTED_VALUE"""),"Banana+1*Vivek Kumar")</f>
        <v>Banana+1*Vivek Kumar</v>
      </c>
      <c r="F1559" s="14">
        <f>IFERROR(__xludf.DUMMYFUNCTION("""COMPUTED_VALUE"""),10.0)</f>
        <v>10</v>
      </c>
      <c r="G1559" s="14">
        <f>IFERROR(__xludf.DUMMYFUNCTION("""COMPUTED_VALUE"""),1.0)</f>
        <v>1</v>
      </c>
      <c r="H1559" s="14">
        <f>IFERROR(__xludf.DUMMYFUNCTION("""COMPUTED_VALUE"""),2023.0)</f>
        <v>2023</v>
      </c>
      <c r="I1559" s="14" t="str">
        <f>IFERROR(__xludf.DUMMYFUNCTION("""COMPUTED_VALUE"""),"Online Payment")</f>
        <v>Online Payment</v>
      </c>
      <c r="J1559" s="14" t="str">
        <f>IFERROR(__xludf.DUMMYFUNCTION("""COMPUTED_VALUE"""),"Delivered*Quality of Items: Perfect condition")</f>
        <v>Delivered*Quality of Items: Perfect condition</v>
      </c>
      <c r="K1559" s="14" t="str">
        <f>IFERROR(__xludf.DUMMYFUNCTION("split(E1559,""+"")"),"Banana")</f>
        <v>Banana</v>
      </c>
      <c r="L1559" s="14" t="str">
        <f>IFERROR(__xludf.DUMMYFUNCTION("""COMPUTED_VALUE"""),"1*Vivek Kumar")</f>
        <v>1*Vivek Kumar</v>
      </c>
      <c r="M1559" s="14">
        <f>IFERROR(__xludf.DUMMYFUNCTION("SPLIT(L1559,""*"")"),1.0)</f>
        <v>1</v>
      </c>
      <c r="N1559" s="14" t="str">
        <f>IFERROR(__xludf.DUMMYFUNCTION("""COMPUTED_VALUE"""),"Vivek Kumar")</f>
        <v>Vivek Kumar</v>
      </c>
      <c r="O1559" s="14" t="str">
        <f>IFERROR(__xludf.DUMMYFUNCTION("split(J1559,""*"")"),"Delivered")</f>
        <v>Delivered</v>
      </c>
      <c r="P1559" s="14" t="str">
        <f>IFERROR(__xludf.DUMMYFUNCTION("""COMPUTED_VALUE"""),"Quality of Items: Perfect condition")</f>
        <v>Quality of Items: Perfect condition</v>
      </c>
      <c r="Q1559" s="14" t="str">
        <f>IFERROR(__xludf.DUMMYFUNCTION("split(P1559,"":"")"),"Quality of Items")</f>
        <v>Quality of Items</v>
      </c>
      <c r="R1559" s="14" t="str">
        <f>IFERROR(__xludf.DUMMYFUNCTION("""COMPUTED_VALUE""")," Perfect condition")</f>
        <v> Perfect condition</v>
      </c>
      <c r="S1559" s="14" t="str">
        <f t="shared" ref="S1559:U1559" si="3121">trim(B1559)</f>
        <v>ord_71537</v>
      </c>
      <c r="T1559" s="14" t="str">
        <f t="shared" si="3121"/>
        <v>Ishaan Chaturvedi</v>
      </c>
      <c r="U1559" s="14" t="str">
        <f t="shared" si="3121"/>
        <v>Bandra</v>
      </c>
      <c r="V1559" s="14" t="str">
        <f t="shared" si="4"/>
        <v>Banana</v>
      </c>
      <c r="W1559" s="14">
        <f t="shared" si="5"/>
        <v>1</v>
      </c>
      <c r="X1559" s="14" t="str">
        <f t="shared" si="6"/>
        <v>Vivek Kumar</v>
      </c>
      <c r="Y1559" s="15">
        <f t="shared" si="7"/>
        <v>45200</v>
      </c>
      <c r="Z1559" s="14" t="str">
        <f t="shared" si="8"/>
        <v>Online Payment</v>
      </c>
      <c r="AA1559" s="14" t="str">
        <f t="shared" si="9"/>
        <v>Delivered</v>
      </c>
      <c r="AB1559" s="14" t="str">
        <f t="shared" ref="AB1559:AC1559" si="3122">trim(Q1559)</f>
        <v>Quality of Items</v>
      </c>
      <c r="AC1559" s="14" t="str">
        <f t="shared" si="3122"/>
        <v>Perfect condition</v>
      </c>
      <c r="AD1559" s="8"/>
    </row>
    <row r="1560">
      <c r="A1560" s="14" t="str">
        <f>IFERROR(__xludf.DUMMYFUNCTION("""COMPUTED_VALUE"""),"//ord_71538//Kritika Shetty//Malad//Popcorn+3*Vivek Kumar/11/10/2023//Credit Card//Cancelled*Delayed Delivery:Heavy Traffic")</f>
        <v>//ord_71538//Kritika Shetty//Malad//Popcorn+3*Vivek Kumar/11/10/2023//Credit Card//Cancelled*Delayed Delivery:Heavy Traffic</v>
      </c>
      <c r="B1560" s="14" t="str">
        <f>IFERROR(__xludf.DUMMYFUNCTION("split(A1560,""//"")"),"ord_71538")</f>
        <v>ord_71538</v>
      </c>
      <c r="C1560" s="14" t="str">
        <f>IFERROR(__xludf.DUMMYFUNCTION("""COMPUTED_VALUE"""),"Kritika Shetty")</f>
        <v>Kritika Shetty</v>
      </c>
      <c r="D1560" s="14" t="str">
        <f>IFERROR(__xludf.DUMMYFUNCTION("""COMPUTED_VALUE"""),"Malad")</f>
        <v>Malad</v>
      </c>
      <c r="E1560" s="14" t="str">
        <f>IFERROR(__xludf.DUMMYFUNCTION("""COMPUTED_VALUE"""),"Popcorn+3*Vivek Kumar")</f>
        <v>Popcorn+3*Vivek Kumar</v>
      </c>
      <c r="F1560" s="14">
        <f>IFERROR(__xludf.DUMMYFUNCTION("""COMPUTED_VALUE"""),11.0)</f>
        <v>11</v>
      </c>
      <c r="G1560" s="14">
        <f>IFERROR(__xludf.DUMMYFUNCTION("""COMPUTED_VALUE"""),10.0)</f>
        <v>10</v>
      </c>
      <c r="H1560" s="14">
        <f>IFERROR(__xludf.DUMMYFUNCTION("""COMPUTED_VALUE"""),2023.0)</f>
        <v>2023</v>
      </c>
      <c r="I1560" s="14" t="str">
        <f>IFERROR(__xludf.DUMMYFUNCTION("""COMPUTED_VALUE"""),"Credit Card")</f>
        <v>Credit Card</v>
      </c>
      <c r="J1560" s="14" t="str">
        <f>IFERROR(__xludf.DUMMYFUNCTION("""COMPUTED_VALUE"""),"Cancelled*Delayed Delivery:Heavy Traffic")</f>
        <v>Cancelled*Delayed Delivery:Heavy Traffic</v>
      </c>
      <c r="K1560" s="14" t="str">
        <f>IFERROR(__xludf.DUMMYFUNCTION("split(E1560,""+"")"),"Popcorn")</f>
        <v>Popcorn</v>
      </c>
      <c r="L1560" s="14" t="str">
        <f>IFERROR(__xludf.DUMMYFUNCTION("""COMPUTED_VALUE"""),"3*Vivek Kumar")</f>
        <v>3*Vivek Kumar</v>
      </c>
      <c r="M1560" s="14">
        <f>IFERROR(__xludf.DUMMYFUNCTION("SPLIT(L1560,""*"")"),3.0)</f>
        <v>3</v>
      </c>
      <c r="N1560" s="14" t="str">
        <f>IFERROR(__xludf.DUMMYFUNCTION("""COMPUTED_VALUE"""),"Vivek Kumar")</f>
        <v>Vivek Kumar</v>
      </c>
      <c r="O1560" s="14" t="str">
        <f>IFERROR(__xludf.DUMMYFUNCTION("split(J1560,""*"")"),"Cancelled")</f>
        <v>Cancelled</v>
      </c>
      <c r="P1560" s="14" t="str">
        <f>IFERROR(__xludf.DUMMYFUNCTION("""COMPUTED_VALUE"""),"Delayed Delivery:Heavy Traffic")</f>
        <v>Delayed Delivery:Heavy Traffic</v>
      </c>
      <c r="Q1560" s="14" t="str">
        <f>IFERROR(__xludf.DUMMYFUNCTION("split(P1560,"":"")"),"Delayed Delivery")</f>
        <v>Delayed Delivery</v>
      </c>
      <c r="R1560" s="14" t="str">
        <f>IFERROR(__xludf.DUMMYFUNCTION("""COMPUTED_VALUE"""),"Heavy Traffic")</f>
        <v>Heavy Traffic</v>
      </c>
      <c r="S1560" s="14" t="str">
        <f t="shared" ref="S1560:U1560" si="3123">trim(B1560)</f>
        <v>ord_71538</v>
      </c>
      <c r="T1560" s="14" t="str">
        <f t="shared" si="3123"/>
        <v>Kritika Shetty</v>
      </c>
      <c r="U1560" s="14" t="str">
        <f t="shared" si="3123"/>
        <v>Malad</v>
      </c>
      <c r="V1560" s="14" t="str">
        <f t="shared" si="4"/>
        <v>Popcorn</v>
      </c>
      <c r="W1560" s="14">
        <f t="shared" si="5"/>
        <v>3</v>
      </c>
      <c r="X1560" s="14" t="str">
        <f t="shared" si="6"/>
        <v>Vivek Kumar</v>
      </c>
      <c r="Y1560" s="15">
        <f t="shared" si="7"/>
        <v>45240</v>
      </c>
      <c r="Z1560" s="14" t="str">
        <f t="shared" si="8"/>
        <v>Credit Card</v>
      </c>
      <c r="AA1560" s="14" t="str">
        <f t="shared" si="9"/>
        <v>Cancelled</v>
      </c>
      <c r="AB1560" s="14" t="str">
        <f t="shared" ref="AB1560:AC1560" si="3124">trim(Q1560)</f>
        <v>Delayed Delivery</v>
      </c>
      <c r="AC1560" s="14" t="str">
        <f t="shared" si="3124"/>
        <v>Heavy Traffic</v>
      </c>
      <c r="AD1560" s="8"/>
    </row>
    <row r="1561">
      <c r="A1561" s="14" t="str">
        <f>IFERROR(__xludf.DUMMYFUNCTION("""COMPUTED_VALUE"""),"//ord_71539//Pranav Joshi//Andheri//Banana+2*Shine Thomas/12/3/2023//Online Payment//Delivered*On-time Delivery: Delivered on time")</f>
        <v>//ord_71539//Pranav Joshi//Andheri//Banana+2*Shine Thomas/12/3/2023//Online Payment//Delivered*On-time Delivery: Delivered on time</v>
      </c>
      <c r="B1561" s="14" t="str">
        <f>IFERROR(__xludf.DUMMYFUNCTION("split(A1561,""//"")"),"ord_71539")</f>
        <v>ord_71539</v>
      </c>
      <c r="C1561" s="14" t="str">
        <f>IFERROR(__xludf.DUMMYFUNCTION("""COMPUTED_VALUE"""),"Pranav Joshi")</f>
        <v>Pranav Joshi</v>
      </c>
      <c r="D1561" s="14" t="str">
        <f>IFERROR(__xludf.DUMMYFUNCTION("""COMPUTED_VALUE"""),"Andheri")</f>
        <v>Andheri</v>
      </c>
      <c r="E1561" s="14" t="str">
        <f>IFERROR(__xludf.DUMMYFUNCTION("""COMPUTED_VALUE"""),"Banana+2*Shine Thomas")</f>
        <v>Banana+2*Shine Thomas</v>
      </c>
      <c r="F1561" s="14">
        <f>IFERROR(__xludf.DUMMYFUNCTION("""COMPUTED_VALUE"""),12.0)</f>
        <v>12</v>
      </c>
      <c r="G1561" s="14">
        <f>IFERROR(__xludf.DUMMYFUNCTION("""COMPUTED_VALUE"""),3.0)</f>
        <v>3</v>
      </c>
      <c r="H1561" s="14">
        <f>IFERROR(__xludf.DUMMYFUNCTION("""COMPUTED_VALUE"""),2023.0)</f>
        <v>2023</v>
      </c>
      <c r="I1561" s="14" t="str">
        <f>IFERROR(__xludf.DUMMYFUNCTION("""COMPUTED_VALUE"""),"Online Payment")</f>
        <v>Online Payment</v>
      </c>
      <c r="J1561" s="14" t="str">
        <f>IFERROR(__xludf.DUMMYFUNCTION("""COMPUTED_VALUE"""),"Delivered*On-time Delivery: Delivered on time")</f>
        <v>Delivered*On-time Delivery: Delivered on time</v>
      </c>
      <c r="K1561" s="14" t="str">
        <f>IFERROR(__xludf.DUMMYFUNCTION("split(E1561,""+"")"),"Banana")</f>
        <v>Banana</v>
      </c>
      <c r="L1561" s="14" t="str">
        <f>IFERROR(__xludf.DUMMYFUNCTION("""COMPUTED_VALUE"""),"2*Shine Thomas")</f>
        <v>2*Shine Thomas</v>
      </c>
      <c r="M1561" s="14">
        <f>IFERROR(__xludf.DUMMYFUNCTION("SPLIT(L1561,""*"")"),2.0)</f>
        <v>2</v>
      </c>
      <c r="N1561" s="14" t="str">
        <f>IFERROR(__xludf.DUMMYFUNCTION("""COMPUTED_VALUE"""),"Shine Thomas")</f>
        <v>Shine Thomas</v>
      </c>
      <c r="O1561" s="14" t="str">
        <f>IFERROR(__xludf.DUMMYFUNCTION("split(J1561,""*"")"),"Delivered")</f>
        <v>Delivered</v>
      </c>
      <c r="P1561" s="14" t="str">
        <f>IFERROR(__xludf.DUMMYFUNCTION("""COMPUTED_VALUE"""),"On-time Delivery: Delivered on time")</f>
        <v>On-time Delivery: Delivered on time</v>
      </c>
      <c r="Q1561" s="14" t="str">
        <f>IFERROR(__xludf.DUMMYFUNCTION("split(P1561,"":"")"),"On-time Delivery")</f>
        <v>On-time Delivery</v>
      </c>
      <c r="R1561" s="14" t="str">
        <f>IFERROR(__xludf.DUMMYFUNCTION("""COMPUTED_VALUE""")," Delivered on time")</f>
        <v> Delivered on time</v>
      </c>
      <c r="S1561" s="14" t="str">
        <f t="shared" ref="S1561:U1561" si="3125">trim(B1561)</f>
        <v>ord_71539</v>
      </c>
      <c r="T1561" s="14" t="str">
        <f t="shared" si="3125"/>
        <v>Pranav Joshi</v>
      </c>
      <c r="U1561" s="14" t="str">
        <f t="shared" si="3125"/>
        <v>Andheri</v>
      </c>
      <c r="V1561" s="14" t="str">
        <f t="shared" si="4"/>
        <v>Banana</v>
      </c>
      <c r="W1561" s="14">
        <f t="shared" si="5"/>
        <v>2</v>
      </c>
      <c r="X1561" s="14" t="str">
        <f t="shared" si="6"/>
        <v>Shine Thomas</v>
      </c>
      <c r="Y1561" s="15">
        <f t="shared" si="7"/>
        <v>45263</v>
      </c>
      <c r="Z1561" s="14" t="str">
        <f t="shared" si="8"/>
        <v>Online Payment</v>
      </c>
      <c r="AA1561" s="14" t="str">
        <f t="shared" si="9"/>
        <v>Delivered</v>
      </c>
      <c r="AB1561" s="14" t="str">
        <f t="shared" ref="AB1561:AC1561" si="3126">trim(Q1561)</f>
        <v>On-time Delivery</v>
      </c>
      <c r="AC1561" s="14" t="str">
        <f t="shared" si="3126"/>
        <v>Delivered on time</v>
      </c>
      <c r="AD1561" s="8"/>
    </row>
    <row r="1562">
      <c r="A1562" s="14" t="str">
        <f>IFERROR(__xludf.DUMMYFUNCTION("""COMPUTED_VALUE"""),"//ord_71540//Dev Chauhan//Bandra//Icecream+4*Sita T/1/10/2023//UPI//Delivered*Quality of Items: Perfect condition")</f>
        <v>//ord_71540//Dev Chauhan//Bandra//Icecream+4*Sita T/1/10/2023//UPI//Delivered*Quality of Items: Perfect condition</v>
      </c>
      <c r="B1562" s="14" t="str">
        <f>IFERROR(__xludf.DUMMYFUNCTION("split(A1562,""//"")"),"ord_71540")</f>
        <v>ord_71540</v>
      </c>
      <c r="C1562" s="14" t="str">
        <f>IFERROR(__xludf.DUMMYFUNCTION("""COMPUTED_VALUE"""),"Dev Chauhan")</f>
        <v>Dev Chauhan</v>
      </c>
      <c r="D1562" s="14" t="str">
        <f>IFERROR(__xludf.DUMMYFUNCTION("""COMPUTED_VALUE"""),"Bandra")</f>
        <v>Bandra</v>
      </c>
      <c r="E1562" s="14" t="str">
        <f>IFERROR(__xludf.DUMMYFUNCTION("""COMPUTED_VALUE"""),"Icecream+4*Sita T")</f>
        <v>Icecream+4*Sita T</v>
      </c>
      <c r="F1562" s="14">
        <f>IFERROR(__xludf.DUMMYFUNCTION("""COMPUTED_VALUE"""),1.0)</f>
        <v>1</v>
      </c>
      <c r="G1562" s="14">
        <f>IFERROR(__xludf.DUMMYFUNCTION("""COMPUTED_VALUE"""),10.0)</f>
        <v>10</v>
      </c>
      <c r="H1562" s="14">
        <f>IFERROR(__xludf.DUMMYFUNCTION("""COMPUTED_VALUE"""),2023.0)</f>
        <v>2023</v>
      </c>
      <c r="I1562" s="14" t="str">
        <f>IFERROR(__xludf.DUMMYFUNCTION("""COMPUTED_VALUE"""),"UPI")</f>
        <v>UPI</v>
      </c>
      <c r="J1562" s="14" t="str">
        <f>IFERROR(__xludf.DUMMYFUNCTION("""COMPUTED_VALUE"""),"Delivered*Quality of Items: Perfect condition")</f>
        <v>Delivered*Quality of Items: Perfect condition</v>
      </c>
      <c r="K1562" s="14" t="str">
        <f>IFERROR(__xludf.DUMMYFUNCTION("split(E1562,""+"")"),"Icecream")</f>
        <v>Icecream</v>
      </c>
      <c r="L1562" s="14" t="str">
        <f>IFERROR(__xludf.DUMMYFUNCTION("""COMPUTED_VALUE"""),"4*Sita T")</f>
        <v>4*Sita T</v>
      </c>
      <c r="M1562" s="14">
        <f>IFERROR(__xludf.DUMMYFUNCTION("SPLIT(L1562,""*"")"),4.0)</f>
        <v>4</v>
      </c>
      <c r="N1562" s="14" t="str">
        <f>IFERROR(__xludf.DUMMYFUNCTION("""COMPUTED_VALUE"""),"Sita T")</f>
        <v>Sita T</v>
      </c>
      <c r="O1562" s="14" t="str">
        <f>IFERROR(__xludf.DUMMYFUNCTION("split(J1562,""*"")"),"Delivered")</f>
        <v>Delivered</v>
      </c>
      <c r="P1562" s="14" t="str">
        <f>IFERROR(__xludf.DUMMYFUNCTION("""COMPUTED_VALUE"""),"Quality of Items: Perfect condition")</f>
        <v>Quality of Items: Perfect condition</v>
      </c>
      <c r="Q1562" s="14" t="str">
        <f>IFERROR(__xludf.DUMMYFUNCTION("split(P1562,"":"")"),"Quality of Items")</f>
        <v>Quality of Items</v>
      </c>
      <c r="R1562" s="14" t="str">
        <f>IFERROR(__xludf.DUMMYFUNCTION("""COMPUTED_VALUE""")," Perfect condition")</f>
        <v> Perfect condition</v>
      </c>
      <c r="S1562" s="14" t="str">
        <f t="shared" ref="S1562:U1562" si="3127">trim(B1562)</f>
        <v>ord_71540</v>
      </c>
      <c r="T1562" s="14" t="str">
        <f t="shared" si="3127"/>
        <v>Dev Chauhan</v>
      </c>
      <c r="U1562" s="14" t="str">
        <f t="shared" si="3127"/>
        <v>Bandra</v>
      </c>
      <c r="V1562" s="14" t="str">
        <f t="shared" si="4"/>
        <v>Icecream</v>
      </c>
      <c r="W1562" s="14">
        <f t="shared" si="5"/>
        <v>4</v>
      </c>
      <c r="X1562" s="14" t="str">
        <f t="shared" si="6"/>
        <v>Sita T</v>
      </c>
      <c r="Y1562" s="15">
        <f t="shared" si="7"/>
        <v>44936</v>
      </c>
      <c r="Z1562" s="14" t="str">
        <f t="shared" si="8"/>
        <v>UPI</v>
      </c>
      <c r="AA1562" s="14" t="str">
        <f t="shared" si="9"/>
        <v>Delivered</v>
      </c>
      <c r="AB1562" s="14" t="str">
        <f t="shared" ref="AB1562:AC1562" si="3128">trim(Q1562)</f>
        <v>Quality of Items</v>
      </c>
      <c r="AC1562" s="14" t="str">
        <f t="shared" si="3128"/>
        <v>Perfect condition</v>
      </c>
      <c r="AD1562" s="8"/>
    </row>
    <row r="1563">
      <c r="A1563" s="14" t="str">
        <f>IFERROR(__xludf.DUMMYFUNCTION("""COMPUTED_VALUE"""),"//ord_71541//Siya Reddy//Juhu//Sweet Corn+1*Tanvi Jain/12/14/2023//Online Payment//Delivered*Packaging: Secure and intact")</f>
        <v>//ord_71541//Siya Reddy//Juhu//Sweet Corn+1*Tanvi Jain/12/14/2023//Online Payment//Delivered*Packaging: Secure and intact</v>
      </c>
      <c r="B1563" s="14" t="str">
        <f>IFERROR(__xludf.DUMMYFUNCTION("split(A1563,""//"")"),"ord_71541")</f>
        <v>ord_71541</v>
      </c>
      <c r="C1563" s="14" t="str">
        <f>IFERROR(__xludf.DUMMYFUNCTION("""COMPUTED_VALUE"""),"Siya Reddy")</f>
        <v>Siya Reddy</v>
      </c>
      <c r="D1563" s="14" t="str">
        <f>IFERROR(__xludf.DUMMYFUNCTION("""COMPUTED_VALUE"""),"Juhu")</f>
        <v>Juhu</v>
      </c>
      <c r="E1563" s="14" t="str">
        <f>IFERROR(__xludf.DUMMYFUNCTION("""COMPUTED_VALUE"""),"Sweet Corn+1*Tanvi Jain")</f>
        <v>Sweet Corn+1*Tanvi Jain</v>
      </c>
      <c r="F1563" s="14">
        <f>IFERROR(__xludf.DUMMYFUNCTION("""COMPUTED_VALUE"""),12.0)</f>
        <v>12</v>
      </c>
      <c r="G1563" s="14">
        <f>IFERROR(__xludf.DUMMYFUNCTION("""COMPUTED_VALUE"""),14.0)</f>
        <v>14</v>
      </c>
      <c r="H1563" s="14">
        <f>IFERROR(__xludf.DUMMYFUNCTION("""COMPUTED_VALUE"""),2023.0)</f>
        <v>2023</v>
      </c>
      <c r="I1563" s="14" t="str">
        <f>IFERROR(__xludf.DUMMYFUNCTION("""COMPUTED_VALUE"""),"Online Payment")</f>
        <v>Online Payment</v>
      </c>
      <c r="J1563" s="14" t="str">
        <f>IFERROR(__xludf.DUMMYFUNCTION("""COMPUTED_VALUE"""),"Delivered*Packaging: Secure and intact")</f>
        <v>Delivered*Packaging: Secure and intact</v>
      </c>
      <c r="K1563" s="14" t="str">
        <f>IFERROR(__xludf.DUMMYFUNCTION("split(E1563,""+"")"),"Sweet Corn")</f>
        <v>Sweet Corn</v>
      </c>
      <c r="L1563" s="14" t="str">
        <f>IFERROR(__xludf.DUMMYFUNCTION("""COMPUTED_VALUE"""),"1*Tanvi Jain")</f>
        <v>1*Tanvi Jain</v>
      </c>
      <c r="M1563" s="14">
        <f>IFERROR(__xludf.DUMMYFUNCTION("SPLIT(L1563,""*"")"),1.0)</f>
        <v>1</v>
      </c>
      <c r="N1563" s="14" t="str">
        <f>IFERROR(__xludf.DUMMYFUNCTION("""COMPUTED_VALUE"""),"Tanvi Jain")</f>
        <v>Tanvi Jain</v>
      </c>
      <c r="O1563" s="14" t="str">
        <f>IFERROR(__xludf.DUMMYFUNCTION("split(J1563,""*"")"),"Delivered")</f>
        <v>Delivered</v>
      </c>
      <c r="P1563" s="14" t="str">
        <f>IFERROR(__xludf.DUMMYFUNCTION("""COMPUTED_VALUE"""),"Packaging: Secure and intact")</f>
        <v>Packaging: Secure and intact</v>
      </c>
      <c r="Q1563" s="14" t="str">
        <f>IFERROR(__xludf.DUMMYFUNCTION("split(P1563,"":"")"),"Packaging")</f>
        <v>Packaging</v>
      </c>
      <c r="R1563" s="14" t="str">
        <f>IFERROR(__xludf.DUMMYFUNCTION("""COMPUTED_VALUE""")," Secure and intact")</f>
        <v> Secure and intact</v>
      </c>
      <c r="S1563" s="14" t="str">
        <f t="shared" ref="S1563:U1563" si="3129">trim(B1563)</f>
        <v>ord_71541</v>
      </c>
      <c r="T1563" s="14" t="str">
        <f t="shared" si="3129"/>
        <v>Siya Reddy</v>
      </c>
      <c r="U1563" s="14" t="str">
        <f t="shared" si="3129"/>
        <v>Juhu</v>
      </c>
      <c r="V1563" s="14" t="str">
        <f t="shared" si="4"/>
        <v>Sweet Corn</v>
      </c>
      <c r="W1563" s="14">
        <f t="shared" si="5"/>
        <v>1</v>
      </c>
      <c r="X1563" s="14" t="str">
        <f t="shared" si="6"/>
        <v>Tanvi Jain</v>
      </c>
      <c r="Y1563" s="15">
        <f t="shared" si="7"/>
        <v>45274</v>
      </c>
      <c r="Z1563" s="14" t="str">
        <f t="shared" si="8"/>
        <v>Online Payment</v>
      </c>
      <c r="AA1563" s="14" t="str">
        <f t="shared" si="9"/>
        <v>Delivered</v>
      </c>
      <c r="AB1563" s="14" t="str">
        <f t="shared" ref="AB1563:AC1563" si="3130">trim(Q1563)</f>
        <v>Packaging</v>
      </c>
      <c r="AC1563" s="14" t="str">
        <f t="shared" si="3130"/>
        <v>Secure and intact</v>
      </c>
      <c r="AD1563" s="8"/>
    </row>
    <row r="1564">
      <c r="A1564" s="14" t="str">
        <f>IFERROR(__xludf.DUMMYFUNCTION("""COMPUTED_VALUE"""),"//ord_71542//Sakshi Tandon//Colaba//Juice+1*Nikhil Deshmukh/11/3/2023//Online Payment//Delivered*Satisfied with the Delivery: Timely and quality")</f>
        <v>//ord_71542//Sakshi Tandon//Colaba//Juice+1*Nikhil Deshmukh/11/3/2023//Online Payment//Delivered*Satisfied with the Delivery: Timely and quality</v>
      </c>
      <c r="B1564" s="14" t="str">
        <f>IFERROR(__xludf.DUMMYFUNCTION("split(A1564,""//"")"),"ord_71542")</f>
        <v>ord_71542</v>
      </c>
      <c r="C1564" s="14" t="str">
        <f>IFERROR(__xludf.DUMMYFUNCTION("""COMPUTED_VALUE"""),"Sakshi Tandon")</f>
        <v>Sakshi Tandon</v>
      </c>
      <c r="D1564" s="14" t="str">
        <f>IFERROR(__xludf.DUMMYFUNCTION("""COMPUTED_VALUE"""),"Colaba")</f>
        <v>Colaba</v>
      </c>
      <c r="E1564" s="14" t="str">
        <f>IFERROR(__xludf.DUMMYFUNCTION("""COMPUTED_VALUE"""),"Juice+1*Nikhil Deshmukh")</f>
        <v>Juice+1*Nikhil Deshmukh</v>
      </c>
      <c r="F1564" s="14">
        <f>IFERROR(__xludf.DUMMYFUNCTION("""COMPUTED_VALUE"""),11.0)</f>
        <v>11</v>
      </c>
      <c r="G1564" s="14">
        <f>IFERROR(__xludf.DUMMYFUNCTION("""COMPUTED_VALUE"""),3.0)</f>
        <v>3</v>
      </c>
      <c r="H1564" s="14">
        <f>IFERROR(__xludf.DUMMYFUNCTION("""COMPUTED_VALUE"""),2023.0)</f>
        <v>2023</v>
      </c>
      <c r="I1564" s="14" t="str">
        <f>IFERROR(__xludf.DUMMYFUNCTION("""COMPUTED_VALUE"""),"Online Payment")</f>
        <v>Online Payment</v>
      </c>
      <c r="J1564" s="14" t="str">
        <f>IFERROR(__xludf.DUMMYFUNCTION("""COMPUTED_VALUE"""),"Delivered*Satisfied with the Delivery: Timely and quality")</f>
        <v>Delivered*Satisfied with the Delivery: Timely and quality</v>
      </c>
      <c r="K1564" s="14" t="str">
        <f>IFERROR(__xludf.DUMMYFUNCTION("split(E1564,""+"")"),"Juice")</f>
        <v>Juice</v>
      </c>
      <c r="L1564" s="14" t="str">
        <f>IFERROR(__xludf.DUMMYFUNCTION("""COMPUTED_VALUE"""),"1*Nikhil Deshmukh")</f>
        <v>1*Nikhil Deshmukh</v>
      </c>
      <c r="M1564" s="14">
        <f>IFERROR(__xludf.DUMMYFUNCTION("SPLIT(L1564,""*"")"),1.0)</f>
        <v>1</v>
      </c>
      <c r="N1564" s="14" t="str">
        <f>IFERROR(__xludf.DUMMYFUNCTION("""COMPUTED_VALUE"""),"Nikhil Deshmukh")</f>
        <v>Nikhil Deshmukh</v>
      </c>
      <c r="O1564" s="14" t="str">
        <f>IFERROR(__xludf.DUMMYFUNCTION("split(J1564,""*"")"),"Delivered")</f>
        <v>Delivered</v>
      </c>
      <c r="P1564" s="14" t="str">
        <f>IFERROR(__xludf.DUMMYFUNCTION("""COMPUTED_VALUE"""),"Satisfied with the Delivery: Timely and quality")</f>
        <v>Satisfied with the Delivery: Timely and quality</v>
      </c>
      <c r="Q1564" s="14" t="str">
        <f>IFERROR(__xludf.DUMMYFUNCTION("split(P1564,"":"")"),"Satisfied with the Delivery")</f>
        <v>Satisfied with the Delivery</v>
      </c>
      <c r="R1564" s="14" t="str">
        <f>IFERROR(__xludf.DUMMYFUNCTION("""COMPUTED_VALUE""")," Timely and quality")</f>
        <v> Timely and quality</v>
      </c>
      <c r="S1564" s="14" t="str">
        <f t="shared" ref="S1564:U1564" si="3131">trim(B1564)</f>
        <v>ord_71542</v>
      </c>
      <c r="T1564" s="14" t="str">
        <f t="shared" si="3131"/>
        <v>Sakshi Tandon</v>
      </c>
      <c r="U1564" s="14" t="str">
        <f t="shared" si="3131"/>
        <v>Colaba</v>
      </c>
      <c r="V1564" s="14" t="str">
        <f t="shared" si="4"/>
        <v>Juice</v>
      </c>
      <c r="W1564" s="14">
        <f t="shared" si="5"/>
        <v>1</v>
      </c>
      <c r="X1564" s="14" t="str">
        <f t="shared" si="6"/>
        <v>Nikhil Deshmukh</v>
      </c>
      <c r="Y1564" s="15">
        <f t="shared" si="7"/>
        <v>45233</v>
      </c>
      <c r="Z1564" s="14" t="str">
        <f t="shared" si="8"/>
        <v>Online Payment</v>
      </c>
      <c r="AA1564" s="14" t="str">
        <f t="shared" si="9"/>
        <v>Delivered</v>
      </c>
      <c r="AB1564" s="14" t="str">
        <f t="shared" ref="AB1564:AC1564" si="3132">trim(Q1564)</f>
        <v>Satisfied with the Delivery</v>
      </c>
      <c r="AC1564" s="14" t="str">
        <f t="shared" si="3132"/>
        <v>Timely and quality</v>
      </c>
      <c r="AD1564" s="8"/>
    </row>
    <row r="1565">
      <c r="A1565" s="14" t="str">
        <f>IFERROR(__xludf.DUMMYFUNCTION("""COMPUTED_VALUE"""),"//ord_71543//Aditi Iyer//Dadar//Apple+1*Aman Kumar/11/25/2023//UPI//Delivered*Customer Service: Seamless and easy")</f>
        <v>//ord_71543//Aditi Iyer//Dadar//Apple+1*Aman Kumar/11/25/2023//UPI//Delivered*Customer Service: Seamless and easy</v>
      </c>
      <c r="B1565" s="14" t="str">
        <f>IFERROR(__xludf.DUMMYFUNCTION("split(A1565,""//"")"),"ord_71543")</f>
        <v>ord_71543</v>
      </c>
      <c r="C1565" s="14" t="str">
        <f>IFERROR(__xludf.DUMMYFUNCTION("""COMPUTED_VALUE"""),"Aditi Iyer")</f>
        <v>Aditi Iyer</v>
      </c>
      <c r="D1565" s="14" t="str">
        <f>IFERROR(__xludf.DUMMYFUNCTION("""COMPUTED_VALUE"""),"Dadar")</f>
        <v>Dadar</v>
      </c>
      <c r="E1565" s="14" t="str">
        <f>IFERROR(__xludf.DUMMYFUNCTION("""COMPUTED_VALUE"""),"Apple+1*Aman Kumar")</f>
        <v>Apple+1*Aman Kumar</v>
      </c>
      <c r="F1565" s="14">
        <f>IFERROR(__xludf.DUMMYFUNCTION("""COMPUTED_VALUE"""),11.0)</f>
        <v>11</v>
      </c>
      <c r="G1565" s="14">
        <f>IFERROR(__xludf.DUMMYFUNCTION("""COMPUTED_VALUE"""),25.0)</f>
        <v>25</v>
      </c>
      <c r="H1565" s="14">
        <f>IFERROR(__xludf.DUMMYFUNCTION("""COMPUTED_VALUE"""),2023.0)</f>
        <v>2023</v>
      </c>
      <c r="I1565" s="14" t="str">
        <f>IFERROR(__xludf.DUMMYFUNCTION("""COMPUTED_VALUE"""),"UPI")</f>
        <v>UPI</v>
      </c>
      <c r="J1565" s="14" t="str">
        <f>IFERROR(__xludf.DUMMYFUNCTION("""COMPUTED_VALUE"""),"Delivered*Customer Service: Seamless and easy")</f>
        <v>Delivered*Customer Service: Seamless and easy</v>
      </c>
      <c r="K1565" s="14" t="str">
        <f>IFERROR(__xludf.DUMMYFUNCTION("split(E1565,""+"")"),"Apple")</f>
        <v>Apple</v>
      </c>
      <c r="L1565" s="14" t="str">
        <f>IFERROR(__xludf.DUMMYFUNCTION("""COMPUTED_VALUE"""),"1*Aman Kumar")</f>
        <v>1*Aman Kumar</v>
      </c>
      <c r="M1565" s="14">
        <f>IFERROR(__xludf.DUMMYFUNCTION("SPLIT(L1565,""*"")"),1.0)</f>
        <v>1</v>
      </c>
      <c r="N1565" s="14" t="str">
        <f>IFERROR(__xludf.DUMMYFUNCTION("""COMPUTED_VALUE"""),"Aman Kumar")</f>
        <v>Aman Kumar</v>
      </c>
      <c r="O1565" s="14" t="str">
        <f>IFERROR(__xludf.DUMMYFUNCTION("split(J1565,""*"")"),"Delivered")</f>
        <v>Delivered</v>
      </c>
      <c r="P1565" s="14" t="str">
        <f>IFERROR(__xludf.DUMMYFUNCTION("""COMPUTED_VALUE"""),"Customer Service: Seamless and easy")</f>
        <v>Customer Service: Seamless and easy</v>
      </c>
      <c r="Q1565" s="14" t="str">
        <f>IFERROR(__xludf.DUMMYFUNCTION("split(P1565,"":"")"),"Customer Service")</f>
        <v>Customer Service</v>
      </c>
      <c r="R1565" s="14" t="str">
        <f>IFERROR(__xludf.DUMMYFUNCTION("""COMPUTED_VALUE""")," Seamless and easy")</f>
        <v> Seamless and easy</v>
      </c>
      <c r="S1565" s="14" t="str">
        <f t="shared" ref="S1565:U1565" si="3133">trim(B1565)</f>
        <v>ord_71543</v>
      </c>
      <c r="T1565" s="14" t="str">
        <f t="shared" si="3133"/>
        <v>Aditi Iyer</v>
      </c>
      <c r="U1565" s="14" t="str">
        <f t="shared" si="3133"/>
        <v>Dadar</v>
      </c>
      <c r="V1565" s="14" t="str">
        <f t="shared" si="4"/>
        <v>Apple</v>
      </c>
      <c r="W1565" s="14">
        <f t="shared" si="5"/>
        <v>1</v>
      </c>
      <c r="X1565" s="14" t="str">
        <f t="shared" si="6"/>
        <v>Aman Kumar</v>
      </c>
      <c r="Y1565" s="15">
        <f t="shared" si="7"/>
        <v>45255</v>
      </c>
      <c r="Z1565" s="14" t="str">
        <f t="shared" si="8"/>
        <v>UPI</v>
      </c>
      <c r="AA1565" s="14" t="str">
        <f t="shared" si="9"/>
        <v>Delivered</v>
      </c>
      <c r="AB1565" s="14" t="str">
        <f t="shared" ref="AB1565:AC1565" si="3134">trim(Q1565)</f>
        <v>Customer Service</v>
      </c>
      <c r="AC1565" s="14" t="str">
        <f t="shared" si="3134"/>
        <v>Seamless and easy</v>
      </c>
      <c r="AD1565" s="8"/>
    </row>
    <row r="1566">
      <c r="A1566" s="14" t="str">
        <f>IFERROR(__xludf.DUMMYFUNCTION("""COMPUTED_VALUE"""),"//ord_71544//Arvind Kulkarni//Juhu//Popcorn+2*Not Assigned/6/10/2023//Credit Card//Cancelled*High Delivery Fees")</f>
        <v>//ord_71544//Arvind Kulkarni//Juhu//Popcorn+2*Not Assigned/6/10/2023//Credit Card//Cancelled*High Delivery Fees</v>
      </c>
      <c r="B1566" s="14" t="str">
        <f>IFERROR(__xludf.DUMMYFUNCTION("split(A1566,""//"")"),"ord_71544")</f>
        <v>ord_71544</v>
      </c>
      <c r="C1566" s="14" t="str">
        <f>IFERROR(__xludf.DUMMYFUNCTION("""COMPUTED_VALUE"""),"Arvind Kulkarni")</f>
        <v>Arvind Kulkarni</v>
      </c>
      <c r="D1566" s="14" t="str">
        <f>IFERROR(__xludf.DUMMYFUNCTION("""COMPUTED_VALUE"""),"Juhu")</f>
        <v>Juhu</v>
      </c>
      <c r="E1566" s="14" t="str">
        <f>IFERROR(__xludf.DUMMYFUNCTION("""COMPUTED_VALUE"""),"Popcorn+2*Not Assigned")</f>
        <v>Popcorn+2*Not Assigned</v>
      </c>
      <c r="F1566" s="14">
        <f>IFERROR(__xludf.DUMMYFUNCTION("""COMPUTED_VALUE"""),6.0)</f>
        <v>6</v>
      </c>
      <c r="G1566" s="14">
        <f>IFERROR(__xludf.DUMMYFUNCTION("""COMPUTED_VALUE"""),10.0)</f>
        <v>10</v>
      </c>
      <c r="H1566" s="14">
        <f>IFERROR(__xludf.DUMMYFUNCTION("""COMPUTED_VALUE"""),2023.0)</f>
        <v>2023</v>
      </c>
      <c r="I1566" s="14" t="str">
        <f>IFERROR(__xludf.DUMMYFUNCTION("""COMPUTED_VALUE"""),"Credit Card")</f>
        <v>Credit Card</v>
      </c>
      <c r="J1566" s="14" t="str">
        <f>IFERROR(__xludf.DUMMYFUNCTION("""COMPUTED_VALUE"""),"Cancelled*High Delivery Fees")</f>
        <v>Cancelled*High Delivery Fees</v>
      </c>
      <c r="K1566" s="14" t="str">
        <f>IFERROR(__xludf.DUMMYFUNCTION("split(E1566,""+"")"),"Popcorn")</f>
        <v>Popcorn</v>
      </c>
      <c r="L1566" s="14" t="str">
        <f>IFERROR(__xludf.DUMMYFUNCTION("""COMPUTED_VALUE"""),"2*Not Assigned")</f>
        <v>2*Not Assigned</v>
      </c>
      <c r="M1566" s="14">
        <f>IFERROR(__xludf.DUMMYFUNCTION("SPLIT(L1566,""*"")"),2.0)</f>
        <v>2</v>
      </c>
      <c r="N1566" s="14" t="str">
        <f>IFERROR(__xludf.DUMMYFUNCTION("""COMPUTED_VALUE"""),"Not Assigned")</f>
        <v>Not Assigned</v>
      </c>
      <c r="O1566" s="14" t="str">
        <f>IFERROR(__xludf.DUMMYFUNCTION("split(J1566,""*"")"),"Cancelled")</f>
        <v>Cancelled</v>
      </c>
      <c r="P1566" s="14" t="str">
        <f>IFERROR(__xludf.DUMMYFUNCTION("""COMPUTED_VALUE"""),"High Delivery Fees")</f>
        <v>High Delivery Fees</v>
      </c>
      <c r="Q1566" s="14" t="str">
        <f>IFERROR(__xludf.DUMMYFUNCTION("split(P1566,"":"")"),"High Delivery Fees")</f>
        <v>High Delivery Fees</v>
      </c>
      <c r="R1566" s="14"/>
      <c r="S1566" s="14" t="str">
        <f t="shared" ref="S1566:U1566" si="3135">trim(B1566)</f>
        <v>ord_71544</v>
      </c>
      <c r="T1566" s="14" t="str">
        <f t="shared" si="3135"/>
        <v>Arvind Kulkarni</v>
      </c>
      <c r="U1566" s="14" t="str">
        <f t="shared" si="3135"/>
        <v>Juhu</v>
      </c>
      <c r="V1566" s="14" t="str">
        <f t="shared" si="4"/>
        <v>Popcorn</v>
      </c>
      <c r="W1566" s="14">
        <f t="shared" si="5"/>
        <v>2</v>
      </c>
      <c r="X1566" s="14" t="str">
        <f t="shared" si="6"/>
        <v>Not Assigned</v>
      </c>
      <c r="Y1566" s="15">
        <f t="shared" si="7"/>
        <v>45087</v>
      </c>
      <c r="Z1566" s="14" t="str">
        <f t="shared" si="8"/>
        <v>Credit Card</v>
      </c>
      <c r="AA1566" s="14" t="str">
        <f t="shared" si="9"/>
        <v>Cancelled</v>
      </c>
      <c r="AB1566" s="14" t="str">
        <f t="shared" ref="AB1566:AC1566" si="3136">trim(Q1566)</f>
        <v>High Delivery Fees</v>
      </c>
      <c r="AC1566" s="14" t="str">
        <f t="shared" si="3136"/>
        <v/>
      </c>
      <c r="AD1566" s="8"/>
    </row>
    <row r="1567">
      <c r="A1567" s="14" t="str">
        <f>IFERROR(__xludf.DUMMYFUNCTION("""COMPUTED_VALUE"""),"//ord_71545//Sakshi Tandon//Colaba//Rasmalai+3*Nikhil Deshmukh/12/12/2023//Online Payment//Delivered*Delivery Experience: Quick and professional")</f>
        <v>//ord_71545//Sakshi Tandon//Colaba//Rasmalai+3*Nikhil Deshmukh/12/12/2023//Online Payment//Delivered*Delivery Experience: Quick and professional</v>
      </c>
      <c r="B1567" s="14" t="str">
        <f>IFERROR(__xludf.DUMMYFUNCTION("split(A1567,""//"")"),"ord_71545")</f>
        <v>ord_71545</v>
      </c>
      <c r="C1567" s="14" t="str">
        <f>IFERROR(__xludf.DUMMYFUNCTION("""COMPUTED_VALUE"""),"Sakshi Tandon")</f>
        <v>Sakshi Tandon</v>
      </c>
      <c r="D1567" s="14" t="str">
        <f>IFERROR(__xludf.DUMMYFUNCTION("""COMPUTED_VALUE"""),"Colaba")</f>
        <v>Colaba</v>
      </c>
      <c r="E1567" s="14" t="str">
        <f>IFERROR(__xludf.DUMMYFUNCTION("""COMPUTED_VALUE"""),"Rasmalai+3*Nikhil Deshmukh")</f>
        <v>Rasmalai+3*Nikhil Deshmukh</v>
      </c>
      <c r="F1567" s="14">
        <f>IFERROR(__xludf.DUMMYFUNCTION("""COMPUTED_VALUE"""),12.0)</f>
        <v>12</v>
      </c>
      <c r="G1567" s="14">
        <f>IFERROR(__xludf.DUMMYFUNCTION("""COMPUTED_VALUE"""),12.0)</f>
        <v>12</v>
      </c>
      <c r="H1567" s="14">
        <f>IFERROR(__xludf.DUMMYFUNCTION("""COMPUTED_VALUE"""),2023.0)</f>
        <v>2023</v>
      </c>
      <c r="I1567" s="14" t="str">
        <f>IFERROR(__xludf.DUMMYFUNCTION("""COMPUTED_VALUE"""),"Online Payment")</f>
        <v>Online Payment</v>
      </c>
      <c r="J1567" s="14" t="str">
        <f>IFERROR(__xludf.DUMMYFUNCTION("""COMPUTED_VALUE"""),"Delivered*Delivery Experience: Quick and professional")</f>
        <v>Delivered*Delivery Experience: Quick and professional</v>
      </c>
      <c r="K1567" s="14" t="str">
        <f>IFERROR(__xludf.DUMMYFUNCTION("split(E1567,""+"")"),"Rasmalai")</f>
        <v>Rasmalai</v>
      </c>
      <c r="L1567" s="14" t="str">
        <f>IFERROR(__xludf.DUMMYFUNCTION("""COMPUTED_VALUE"""),"3*Nikhil Deshmukh")</f>
        <v>3*Nikhil Deshmukh</v>
      </c>
      <c r="M1567" s="14">
        <f>IFERROR(__xludf.DUMMYFUNCTION("SPLIT(L1567,""*"")"),3.0)</f>
        <v>3</v>
      </c>
      <c r="N1567" s="14" t="str">
        <f>IFERROR(__xludf.DUMMYFUNCTION("""COMPUTED_VALUE"""),"Nikhil Deshmukh")</f>
        <v>Nikhil Deshmukh</v>
      </c>
      <c r="O1567" s="14" t="str">
        <f>IFERROR(__xludf.DUMMYFUNCTION("split(J1567,""*"")"),"Delivered")</f>
        <v>Delivered</v>
      </c>
      <c r="P1567" s="14" t="str">
        <f>IFERROR(__xludf.DUMMYFUNCTION("""COMPUTED_VALUE"""),"Delivery Experience: Quick and professional")</f>
        <v>Delivery Experience: Quick and professional</v>
      </c>
      <c r="Q1567" s="14" t="str">
        <f>IFERROR(__xludf.DUMMYFUNCTION("split(P1567,"":"")"),"Delivery Experience")</f>
        <v>Delivery Experience</v>
      </c>
      <c r="R1567" s="14" t="str">
        <f>IFERROR(__xludf.DUMMYFUNCTION("""COMPUTED_VALUE""")," Quick and professional")</f>
        <v> Quick and professional</v>
      </c>
      <c r="S1567" s="14" t="str">
        <f t="shared" ref="S1567:U1567" si="3137">trim(B1567)</f>
        <v>ord_71545</v>
      </c>
      <c r="T1567" s="14" t="str">
        <f t="shared" si="3137"/>
        <v>Sakshi Tandon</v>
      </c>
      <c r="U1567" s="14" t="str">
        <f t="shared" si="3137"/>
        <v>Colaba</v>
      </c>
      <c r="V1567" s="14" t="str">
        <f t="shared" si="4"/>
        <v>Rasmalai</v>
      </c>
      <c r="W1567" s="14">
        <f t="shared" si="5"/>
        <v>3</v>
      </c>
      <c r="X1567" s="14" t="str">
        <f t="shared" si="6"/>
        <v>Nikhil Deshmukh</v>
      </c>
      <c r="Y1567" s="15">
        <f t="shared" si="7"/>
        <v>45272</v>
      </c>
      <c r="Z1567" s="14" t="str">
        <f t="shared" si="8"/>
        <v>Online Payment</v>
      </c>
      <c r="AA1567" s="14" t="str">
        <f t="shared" si="9"/>
        <v>Delivered</v>
      </c>
      <c r="AB1567" s="14" t="str">
        <f t="shared" ref="AB1567:AC1567" si="3138">trim(Q1567)</f>
        <v>Delivery Experience</v>
      </c>
      <c r="AC1567" s="14" t="str">
        <f t="shared" si="3138"/>
        <v>Quick and professional</v>
      </c>
      <c r="AD1567" s="8"/>
    </row>
    <row r="1568">
      <c r="A1568" s="14" t="str">
        <f>IFERROR(__xludf.DUMMYFUNCTION("""COMPUTED_VALUE"""),"//ord_71546//Aarav Mehta//Andheri//Guava+1*Rohan Yadav/12/11/2023//UPI//Delivered*Convenience: Easy tracking")</f>
        <v>//ord_71546//Aarav Mehta//Andheri//Guava+1*Rohan Yadav/12/11/2023//UPI//Delivered*Convenience: Easy tracking</v>
      </c>
      <c r="B1568" s="14" t="str">
        <f>IFERROR(__xludf.DUMMYFUNCTION("split(A1568,""//"")"),"ord_71546")</f>
        <v>ord_71546</v>
      </c>
      <c r="C1568" s="14" t="str">
        <f>IFERROR(__xludf.DUMMYFUNCTION("""COMPUTED_VALUE"""),"Aarav Mehta")</f>
        <v>Aarav Mehta</v>
      </c>
      <c r="D1568" s="14" t="str">
        <f>IFERROR(__xludf.DUMMYFUNCTION("""COMPUTED_VALUE"""),"Andheri")</f>
        <v>Andheri</v>
      </c>
      <c r="E1568" s="14" t="str">
        <f>IFERROR(__xludf.DUMMYFUNCTION("""COMPUTED_VALUE"""),"Guava+1*Rohan Yadav")</f>
        <v>Guava+1*Rohan Yadav</v>
      </c>
      <c r="F1568" s="14">
        <f>IFERROR(__xludf.DUMMYFUNCTION("""COMPUTED_VALUE"""),12.0)</f>
        <v>12</v>
      </c>
      <c r="G1568" s="14">
        <f>IFERROR(__xludf.DUMMYFUNCTION("""COMPUTED_VALUE"""),11.0)</f>
        <v>11</v>
      </c>
      <c r="H1568" s="14">
        <f>IFERROR(__xludf.DUMMYFUNCTION("""COMPUTED_VALUE"""),2023.0)</f>
        <v>2023</v>
      </c>
      <c r="I1568" s="14" t="str">
        <f>IFERROR(__xludf.DUMMYFUNCTION("""COMPUTED_VALUE"""),"UPI")</f>
        <v>UPI</v>
      </c>
      <c r="J1568" s="14" t="str">
        <f>IFERROR(__xludf.DUMMYFUNCTION("""COMPUTED_VALUE"""),"Delivered*Convenience: Easy tracking")</f>
        <v>Delivered*Convenience: Easy tracking</v>
      </c>
      <c r="K1568" s="14" t="str">
        <f>IFERROR(__xludf.DUMMYFUNCTION("split(E1568,""+"")"),"Guava")</f>
        <v>Guava</v>
      </c>
      <c r="L1568" s="14" t="str">
        <f>IFERROR(__xludf.DUMMYFUNCTION("""COMPUTED_VALUE"""),"1*Rohan Yadav")</f>
        <v>1*Rohan Yadav</v>
      </c>
      <c r="M1568" s="14">
        <f>IFERROR(__xludf.DUMMYFUNCTION("SPLIT(L1568,""*"")"),1.0)</f>
        <v>1</v>
      </c>
      <c r="N1568" s="14" t="str">
        <f>IFERROR(__xludf.DUMMYFUNCTION("""COMPUTED_VALUE"""),"Rohan Yadav")</f>
        <v>Rohan Yadav</v>
      </c>
      <c r="O1568" s="14" t="str">
        <f>IFERROR(__xludf.DUMMYFUNCTION("split(J1568,""*"")"),"Delivered")</f>
        <v>Delivered</v>
      </c>
      <c r="P1568" s="14" t="str">
        <f>IFERROR(__xludf.DUMMYFUNCTION("""COMPUTED_VALUE"""),"Convenience: Easy tracking")</f>
        <v>Convenience: Easy tracking</v>
      </c>
      <c r="Q1568" s="14" t="str">
        <f>IFERROR(__xludf.DUMMYFUNCTION("split(P1568,"":"")"),"Convenience")</f>
        <v>Convenience</v>
      </c>
      <c r="R1568" s="14" t="str">
        <f>IFERROR(__xludf.DUMMYFUNCTION("""COMPUTED_VALUE""")," Easy tracking")</f>
        <v> Easy tracking</v>
      </c>
      <c r="S1568" s="14" t="str">
        <f t="shared" ref="S1568:U1568" si="3139">trim(B1568)</f>
        <v>ord_71546</v>
      </c>
      <c r="T1568" s="14" t="str">
        <f t="shared" si="3139"/>
        <v>Aarav Mehta</v>
      </c>
      <c r="U1568" s="14" t="str">
        <f t="shared" si="3139"/>
        <v>Andheri</v>
      </c>
      <c r="V1568" s="14" t="str">
        <f t="shared" si="4"/>
        <v>Guava</v>
      </c>
      <c r="W1568" s="14">
        <f t="shared" si="5"/>
        <v>1</v>
      </c>
      <c r="X1568" s="14" t="str">
        <f t="shared" si="6"/>
        <v>Rohan Yadav</v>
      </c>
      <c r="Y1568" s="15">
        <f t="shared" si="7"/>
        <v>45271</v>
      </c>
      <c r="Z1568" s="14" t="str">
        <f t="shared" si="8"/>
        <v>UPI</v>
      </c>
      <c r="AA1568" s="14" t="str">
        <f t="shared" si="9"/>
        <v>Delivered</v>
      </c>
      <c r="AB1568" s="14" t="str">
        <f t="shared" ref="AB1568:AC1568" si="3140">trim(Q1568)</f>
        <v>Convenience</v>
      </c>
      <c r="AC1568" s="14" t="str">
        <f t="shared" si="3140"/>
        <v>Easy tracking</v>
      </c>
      <c r="AD1568" s="8"/>
    </row>
    <row r="1569">
      <c r="A1569" s="14" t="str">
        <f>IFERROR(__xludf.DUMMYFUNCTION("""COMPUTED_VALUE"""),"//ord_71547//Sanjay Nair//Dadar//Sweet Corn+2*Aman Kumar/12/26/2023//Online Payment//Delivered*Overall Satisfaction: Great service will order again")</f>
        <v>//ord_71547//Sanjay Nair//Dadar//Sweet Corn+2*Aman Kumar/12/26/2023//Online Payment//Delivered*Overall Satisfaction: Great service will order again</v>
      </c>
      <c r="B1569" s="14" t="str">
        <f>IFERROR(__xludf.DUMMYFUNCTION("split(A1569,""//"")"),"ord_71547")</f>
        <v>ord_71547</v>
      </c>
      <c r="C1569" s="14" t="str">
        <f>IFERROR(__xludf.DUMMYFUNCTION("""COMPUTED_VALUE"""),"Sanjay Nair")</f>
        <v>Sanjay Nair</v>
      </c>
      <c r="D1569" s="14" t="str">
        <f>IFERROR(__xludf.DUMMYFUNCTION("""COMPUTED_VALUE"""),"Dadar")</f>
        <v>Dadar</v>
      </c>
      <c r="E1569" s="14" t="str">
        <f>IFERROR(__xludf.DUMMYFUNCTION("""COMPUTED_VALUE"""),"Sweet Corn+2*Aman Kumar")</f>
        <v>Sweet Corn+2*Aman Kumar</v>
      </c>
      <c r="F1569" s="14">
        <f>IFERROR(__xludf.DUMMYFUNCTION("""COMPUTED_VALUE"""),12.0)</f>
        <v>12</v>
      </c>
      <c r="G1569" s="14">
        <f>IFERROR(__xludf.DUMMYFUNCTION("""COMPUTED_VALUE"""),26.0)</f>
        <v>26</v>
      </c>
      <c r="H1569" s="14">
        <f>IFERROR(__xludf.DUMMYFUNCTION("""COMPUTED_VALUE"""),2023.0)</f>
        <v>2023</v>
      </c>
      <c r="I1569" s="14" t="str">
        <f>IFERROR(__xludf.DUMMYFUNCTION("""COMPUTED_VALUE"""),"Online Payment")</f>
        <v>Online Payment</v>
      </c>
      <c r="J1569" s="14" t="str">
        <f>IFERROR(__xludf.DUMMYFUNCTION("""COMPUTED_VALUE"""),"Delivered*Overall Satisfaction: Great service will order again")</f>
        <v>Delivered*Overall Satisfaction: Great service will order again</v>
      </c>
      <c r="K1569" s="14" t="str">
        <f>IFERROR(__xludf.DUMMYFUNCTION("split(E1569,""+"")"),"Sweet Corn")</f>
        <v>Sweet Corn</v>
      </c>
      <c r="L1569" s="14" t="str">
        <f>IFERROR(__xludf.DUMMYFUNCTION("""COMPUTED_VALUE"""),"2*Aman Kumar")</f>
        <v>2*Aman Kumar</v>
      </c>
      <c r="M1569" s="14">
        <f>IFERROR(__xludf.DUMMYFUNCTION("SPLIT(L1569,""*"")"),2.0)</f>
        <v>2</v>
      </c>
      <c r="N1569" s="14" t="str">
        <f>IFERROR(__xludf.DUMMYFUNCTION("""COMPUTED_VALUE"""),"Aman Kumar")</f>
        <v>Aman Kumar</v>
      </c>
      <c r="O1569" s="14" t="str">
        <f>IFERROR(__xludf.DUMMYFUNCTION("split(J1569,""*"")"),"Delivered")</f>
        <v>Delivered</v>
      </c>
      <c r="P1569" s="14" t="str">
        <f>IFERROR(__xludf.DUMMYFUNCTION("""COMPUTED_VALUE"""),"Overall Satisfaction: Great service will order again")</f>
        <v>Overall Satisfaction: Great service will order again</v>
      </c>
      <c r="Q1569" s="14" t="str">
        <f>IFERROR(__xludf.DUMMYFUNCTION("split(P1569,"":"")"),"Overall Satisfaction")</f>
        <v>Overall Satisfaction</v>
      </c>
      <c r="R1569" s="14" t="str">
        <f>IFERROR(__xludf.DUMMYFUNCTION("""COMPUTED_VALUE""")," Great service will order again")</f>
        <v> Great service will order again</v>
      </c>
      <c r="S1569" s="14" t="str">
        <f t="shared" ref="S1569:U1569" si="3141">trim(B1569)</f>
        <v>ord_71547</v>
      </c>
      <c r="T1569" s="14" t="str">
        <f t="shared" si="3141"/>
        <v>Sanjay Nair</v>
      </c>
      <c r="U1569" s="14" t="str">
        <f t="shared" si="3141"/>
        <v>Dadar</v>
      </c>
      <c r="V1569" s="14" t="str">
        <f t="shared" si="4"/>
        <v>Sweet Corn</v>
      </c>
      <c r="W1569" s="14">
        <f t="shared" si="5"/>
        <v>2</v>
      </c>
      <c r="X1569" s="14" t="str">
        <f t="shared" si="6"/>
        <v>Aman Kumar</v>
      </c>
      <c r="Y1569" s="15">
        <f t="shared" si="7"/>
        <v>45286</v>
      </c>
      <c r="Z1569" s="14" t="str">
        <f t="shared" si="8"/>
        <v>Online Payment</v>
      </c>
      <c r="AA1569" s="14" t="str">
        <f t="shared" si="9"/>
        <v>Delivered</v>
      </c>
      <c r="AB1569" s="14" t="str">
        <f t="shared" ref="AB1569:AC1569" si="3142">trim(Q1569)</f>
        <v>Overall Satisfaction</v>
      </c>
      <c r="AC1569" s="14" t="str">
        <f t="shared" si="3142"/>
        <v>Great service will order again</v>
      </c>
      <c r="AD1569" s="8"/>
    </row>
    <row r="1570">
      <c r="A1570" s="14" t="str">
        <f>IFERROR(__xludf.DUMMYFUNCTION("""COMPUTED_VALUE"""),"//ord_71548//Ishaan Chaturvedi//Bandra//Cucumber+1*Priya Joshi/5/20/2023//Credit Card//Delivered*On-time Delivery: Delivered on time")</f>
        <v>//ord_71548//Ishaan Chaturvedi//Bandra//Cucumber+1*Priya Joshi/5/20/2023//Credit Card//Delivered*On-time Delivery: Delivered on time</v>
      </c>
      <c r="B1570" s="14" t="str">
        <f>IFERROR(__xludf.DUMMYFUNCTION("split(A1570,""//"")"),"ord_71548")</f>
        <v>ord_71548</v>
      </c>
      <c r="C1570" s="14" t="str">
        <f>IFERROR(__xludf.DUMMYFUNCTION("""COMPUTED_VALUE"""),"Ishaan Chaturvedi")</f>
        <v>Ishaan Chaturvedi</v>
      </c>
      <c r="D1570" s="14" t="str">
        <f>IFERROR(__xludf.DUMMYFUNCTION("""COMPUTED_VALUE"""),"Bandra")</f>
        <v>Bandra</v>
      </c>
      <c r="E1570" s="14" t="str">
        <f>IFERROR(__xludf.DUMMYFUNCTION("""COMPUTED_VALUE"""),"Cucumber+1*Priya Joshi")</f>
        <v>Cucumber+1*Priya Joshi</v>
      </c>
      <c r="F1570" s="14">
        <f>IFERROR(__xludf.DUMMYFUNCTION("""COMPUTED_VALUE"""),5.0)</f>
        <v>5</v>
      </c>
      <c r="G1570" s="14">
        <f>IFERROR(__xludf.DUMMYFUNCTION("""COMPUTED_VALUE"""),20.0)</f>
        <v>20</v>
      </c>
      <c r="H1570" s="14">
        <f>IFERROR(__xludf.DUMMYFUNCTION("""COMPUTED_VALUE"""),2023.0)</f>
        <v>2023</v>
      </c>
      <c r="I1570" s="14" t="str">
        <f>IFERROR(__xludf.DUMMYFUNCTION("""COMPUTED_VALUE"""),"Credit Card")</f>
        <v>Credit Card</v>
      </c>
      <c r="J1570" s="14" t="str">
        <f>IFERROR(__xludf.DUMMYFUNCTION("""COMPUTED_VALUE"""),"Delivered*On-time Delivery: Delivered on time")</f>
        <v>Delivered*On-time Delivery: Delivered on time</v>
      </c>
      <c r="K1570" s="14" t="str">
        <f>IFERROR(__xludf.DUMMYFUNCTION("split(E1570,""+"")"),"Cucumber")</f>
        <v>Cucumber</v>
      </c>
      <c r="L1570" s="14" t="str">
        <f>IFERROR(__xludf.DUMMYFUNCTION("""COMPUTED_VALUE"""),"1*Priya Joshi")</f>
        <v>1*Priya Joshi</v>
      </c>
      <c r="M1570" s="14">
        <f>IFERROR(__xludf.DUMMYFUNCTION("SPLIT(L1570,""*"")"),1.0)</f>
        <v>1</v>
      </c>
      <c r="N1570" s="14" t="str">
        <f>IFERROR(__xludf.DUMMYFUNCTION("""COMPUTED_VALUE"""),"Priya Joshi")</f>
        <v>Priya Joshi</v>
      </c>
      <c r="O1570" s="14" t="str">
        <f>IFERROR(__xludf.DUMMYFUNCTION("split(J1570,""*"")"),"Delivered")</f>
        <v>Delivered</v>
      </c>
      <c r="P1570" s="14" t="str">
        <f>IFERROR(__xludf.DUMMYFUNCTION("""COMPUTED_VALUE"""),"On-time Delivery: Delivered on time")</f>
        <v>On-time Delivery: Delivered on time</v>
      </c>
      <c r="Q1570" s="14" t="str">
        <f>IFERROR(__xludf.DUMMYFUNCTION("split(P1570,"":"")"),"On-time Delivery")</f>
        <v>On-time Delivery</v>
      </c>
      <c r="R1570" s="14" t="str">
        <f>IFERROR(__xludf.DUMMYFUNCTION("""COMPUTED_VALUE""")," Delivered on time")</f>
        <v> Delivered on time</v>
      </c>
      <c r="S1570" s="14" t="str">
        <f t="shared" ref="S1570:U1570" si="3143">trim(B1570)</f>
        <v>ord_71548</v>
      </c>
      <c r="T1570" s="14" t="str">
        <f t="shared" si="3143"/>
        <v>Ishaan Chaturvedi</v>
      </c>
      <c r="U1570" s="14" t="str">
        <f t="shared" si="3143"/>
        <v>Bandra</v>
      </c>
      <c r="V1570" s="14" t="str">
        <f t="shared" si="4"/>
        <v>Cucumber</v>
      </c>
      <c r="W1570" s="14">
        <f t="shared" si="5"/>
        <v>1</v>
      </c>
      <c r="X1570" s="14" t="str">
        <f t="shared" si="6"/>
        <v>Priya Joshi</v>
      </c>
      <c r="Y1570" s="15">
        <f t="shared" si="7"/>
        <v>45066</v>
      </c>
      <c r="Z1570" s="14" t="str">
        <f t="shared" si="8"/>
        <v>Credit Card</v>
      </c>
      <c r="AA1570" s="14" t="str">
        <f t="shared" si="9"/>
        <v>Delivered</v>
      </c>
      <c r="AB1570" s="14" t="str">
        <f t="shared" ref="AB1570:AC1570" si="3144">trim(Q1570)</f>
        <v>On-time Delivery</v>
      </c>
      <c r="AC1570" s="14" t="str">
        <f t="shared" si="3144"/>
        <v>Delivered on time</v>
      </c>
      <c r="AD1570" s="8"/>
    </row>
    <row r="1571">
      <c r="A1571" s="14" t="str">
        <f>IFERROR(__xludf.DUMMYFUNCTION("""COMPUTED_VALUE"""),"//ord_71549//Aditi Iyer//Dadar//Sweet Corn+1*Aman Kumar/3/5/2023//Online Payment//Delivered*Quality of Items: Perfect condition")</f>
        <v>//ord_71549//Aditi Iyer//Dadar//Sweet Corn+1*Aman Kumar/3/5/2023//Online Payment//Delivered*Quality of Items: Perfect condition</v>
      </c>
      <c r="B1571" s="14" t="str">
        <f>IFERROR(__xludf.DUMMYFUNCTION("split(A1571,""//"")"),"ord_71549")</f>
        <v>ord_71549</v>
      </c>
      <c r="C1571" s="14" t="str">
        <f>IFERROR(__xludf.DUMMYFUNCTION("""COMPUTED_VALUE"""),"Aditi Iyer")</f>
        <v>Aditi Iyer</v>
      </c>
      <c r="D1571" s="14" t="str">
        <f>IFERROR(__xludf.DUMMYFUNCTION("""COMPUTED_VALUE"""),"Dadar")</f>
        <v>Dadar</v>
      </c>
      <c r="E1571" s="14" t="str">
        <f>IFERROR(__xludf.DUMMYFUNCTION("""COMPUTED_VALUE"""),"Sweet Corn+1*Aman Kumar")</f>
        <v>Sweet Corn+1*Aman Kumar</v>
      </c>
      <c r="F1571" s="14">
        <f>IFERROR(__xludf.DUMMYFUNCTION("""COMPUTED_VALUE"""),3.0)</f>
        <v>3</v>
      </c>
      <c r="G1571" s="14">
        <f>IFERROR(__xludf.DUMMYFUNCTION("""COMPUTED_VALUE"""),5.0)</f>
        <v>5</v>
      </c>
      <c r="H1571" s="14">
        <f>IFERROR(__xludf.DUMMYFUNCTION("""COMPUTED_VALUE"""),2023.0)</f>
        <v>2023</v>
      </c>
      <c r="I1571" s="14" t="str">
        <f>IFERROR(__xludf.DUMMYFUNCTION("""COMPUTED_VALUE"""),"Online Payment")</f>
        <v>Online Payment</v>
      </c>
      <c r="J1571" s="14" t="str">
        <f>IFERROR(__xludf.DUMMYFUNCTION("""COMPUTED_VALUE"""),"Delivered*Quality of Items: Perfect condition")</f>
        <v>Delivered*Quality of Items: Perfect condition</v>
      </c>
      <c r="K1571" s="14" t="str">
        <f>IFERROR(__xludf.DUMMYFUNCTION("split(E1571,""+"")"),"Sweet Corn")</f>
        <v>Sweet Corn</v>
      </c>
      <c r="L1571" s="14" t="str">
        <f>IFERROR(__xludf.DUMMYFUNCTION("""COMPUTED_VALUE"""),"1*Aman Kumar")</f>
        <v>1*Aman Kumar</v>
      </c>
      <c r="M1571" s="14">
        <f>IFERROR(__xludf.DUMMYFUNCTION("SPLIT(L1571,""*"")"),1.0)</f>
        <v>1</v>
      </c>
      <c r="N1571" s="14" t="str">
        <f>IFERROR(__xludf.DUMMYFUNCTION("""COMPUTED_VALUE"""),"Aman Kumar")</f>
        <v>Aman Kumar</v>
      </c>
      <c r="O1571" s="14" t="str">
        <f>IFERROR(__xludf.DUMMYFUNCTION("split(J1571,""*"")"),"Delivered")</f>
        <v>Delivered</v>
      </c>
      <c r="P1571" s="14" t="str">
        <f>IFERROR(__xludf.DUMMYFUNCTION("""COMPUTED_VALUE"""),"Quality of Items: Perfect condition")</f>
        <v>Quality of Items: Perfect condition</v>
      </c>
      <c r="Q1571" s="14" t="str">
        <f>IFERROR(__xludf.DUMMYFUNCTION("split(P1571,"":"")"),"Quality of Items")</f>
        <v>Quality of Items</v>
      </c>
      <c r="R1571" s="14" t="str">
        <f>IFERROR(__xludf.DUMMYFUNCTION("""COMPUTED_VALUE""")," Perfect condition")</f>
        <v> Perfect condition</v>
      </c>
      <c r="S1571" s="14" t="str">
        <f t="shared" ref="S1571:U1571" si="3145">trim(B1571)</f>
        <v>ord_71549</v>
      </c>
      <c r="T1571" s="14" t="str">
        <f t="shared" si="3145"/>
        <v>Aditi Iyer</v>
      </c>
      <c r="U1571" s="14" t="str">
        <f t="shared" si="3145"/>
        <v>Dadar</v>
      </c>
      <c r="V1571" s="14" t="str">
        <f t="shared" si="4"/>
        <v>Sweet Corn</v>
      </c>
      <c r="W1571" s="14">
        <f t="shared" si="5"/>
        <v>1</v>
      </c>
      <c r="X1571" s="14" t="str">
        <f t="shared" si="6"/>
        <v>Aman Kumar</v>
      </c>
      <c r="Y1571" s="15">
        <f t="shared" si="7"/>
        <v>44990</v>
      </c>
      <c r="Z1571" s="14" t="str">
        <f t="shared" si="8"/>
        <v>Online Payment</v>
      </c>
      <c r="AA1571" s="14" t="str">
        <f t="shared" si="9"/>
        <v>Delivered</v>
      </c>
      <c r="AB1571" s="14" t="str">
        <f t="shared" ref="AB1571:AC1571" si="3146">trim(Q1571)</f>
        <v>Quality of Items</v>
      </c>
      <c r="AC1571" s="14" t="str">
        <f t="shared" si="3146"/>
        <v>Perfect condition</v>
      </c>
      <c r="AD1571" s="8"/>
    </row>
    <row r="1572">
      <c r="A1572" s="14" t="str">
        <f>IFERROR(__xludf.DUMMYFUNCTION("""COMPUTED_VALUE"""),"//ord_71550//Anaya Rao//Colaba//Juice+3*Nikhil Deshmukh/5/15/2023//UPI//Delivered*On-time Delivery: Delivered on time")</f>
        <v>//ord_71550//Anaya Rao//Colaba//Juice+3*Nikhil Deshmukh/5/15/2023//UPI//Delivered*On-time Delivery: Delivered on time</v>
      </c>
      <c r="B1572" s="14" t="str">
        <f>IFERROR(__xludf.DUMMYFUNCTION("split(A1572,""//"")"),"ord_71550")</f>
        <v>ord_71550</v>
      </c>
      <c r="C1572" s="14" t="str">
        <f>IFERROR(__xludf.DUMMYFUNCTION("""COMPUTED_VALUE"""),"Anaya Rao")</f>
        <v>Anaya Rao</v>
      </c>
      <c r="D1572" s="14" t="str">
        <f>IFERROR(__xludf.DUMMYFUNCTION("""COMPUTED_VALUE"""),"Colaba")</f>
        <v>Colaba</v>
      </c>
      <c r="E1572" s="14" t="str">
        <f>IFERROR(__xludf.DUMMYFUNCTION("""COMPUTED_VALUE"""),"Juice+3*Nikhil Deshmukh")</f>
        <v>Juice+3*Nikhil Deshmukh</v>
      </c>
      <c r="F1572" s="14">
        <f>IFERROR(__xludf.DUMMYFUNCTION("""COMPUTED_VALUE"""),5.0)</f>
        <v>5</v>
      </c>
      <c r="G1572" s="14">
        <f>IFERROR(__xludf.DUMMYFUNCTION("""COMPUTED_VALUE"""),15.0)</f>
        <v>15</v>
      </c>
      <c r="H1572" s="14">
        <f>IFERROR(__xludf.DUMMYFUNCTION("""COMPUTED_VALUE"""),2023.0)</f>
        <v>2023</v>
      </c>
      <c r="I1572" s="14" t="str">
        <f>IFERROR(__xludf.DUMMYFUNCTION("""COMPUTED_VALUE"""),"UPI")</f>
        <v>UPI</v>
      </c>
      <c r="J1572" s="14" t="str">
        <f>IFERROR(__xludf.DUMMYFUNCTION("""COMPUTED_VALUE"""),"Delivered*On-time Delivery: Delivered on time")</f>
        <v>Delivered*On-time Delivery: Delivered on time</v>
      </c>
      <c r="K1572" s="14" t="str">
        <f>IFERROR(__xludf.DUMMYFUNCTION("split(E1572,""+"")"),"Juice")</f>
        <v>Juice</v>
      </c>
      <c r="L1572" s="14" t="str">
        <f>IFERROR(__xludf.DUMMYFUNCTION("""COMPUTED_VALUE"""),"3*Nikhil Deshmukh")</f>
        <v>3*Nikhil Deshmukh</v>
      </c>
      <c r="M1572" s="14">
        <f>IFERROR(__xludf.DUMMYFUNCTION("SPLIT(L1572,""*"")"),3.0)</f>
        <v>3</v>
      </c>
      <c r="N1572" s="14" t="str">
        <f>IFERROR(__xludf.DUMMYFUNCTION("""COMPUTED_VALUE"""),"Nikhil Deshmukh")</f>
        <v>Nikhil Deshmukh</v>
      </c>
      <c r="O1572" s="14" t="str">
        <f>IFERROR(__xludf.DUMMYFUNCTION("split(J1572,""*"")"),"Delivered")</f>
        <v>Delivered</v>
      </c>
      <c r="P1572" s="14" t="str">
        <f>IFERROR(__xludf.DUMMYFUNCTION("""COMPUTED_VALUE"""),"On-time Delivery: Delivered on time")</f>
        <v>On-time Delivery: Delivered on time</v>
      </c>
      <c r="Q1572" s="14" t="str">
        <f>IFERROR(__xludf.DUMMYFUNCTION("split(P1572,"":"")"),"On-time Delivery")</f>
        <v>On-time Delivery</v>
      </c>
      <c r="R1572" s="14" t="str">
        <f>IFERROR(__xludf.DUMMYFUNCTION("""COMPUTED_VALUE""")," Delivered on time")</f>
        <v> Delivered on time</v>
      </c>
      <c r="S1572" s="14" t="str">
        <f t="shared" ref="S1572:U1572" si="3147">trim(B1572)</f>
        <v>ord_71550</v>
      </c>
      <c r="T1572" s="14" t="str">
        <f t="shared" si="3147"/>
        <v>Anaya Rao</v>
      </c>
      <c r="U1572" s="14" t="str">
        <f t="shared" si="3147"/>
        <v>Colaba</v>
      </c>
      <c r="V1572" s="14" t="str">
        <f t="shared" si="4"/>
        <v>Juice</v>
      </c>
      <c r="W1572" s="14">
        <f t="shared" si="5"/>
        <v>3</v>
      </c>
      <c r="X1572" s="14" t="str">
        <f t="shared" si="6"/>
        <v>Nikhil Deshmukh</v>
      </c>
      <c r="Y1572" s="15">
        <f t="shared" si="7"/>
        <v>45061</v>
      </c>
      <c r="Z1572" s="14" t="str">
        <f t="shared" si="8"/>
        <v>UPI</v>
      </c>
      <c r="AA1572" s="14" t="str">
        <f t="shared" si="9"/>
        <v>Delivered</v>
      </c>
      <c r="AB1572" s="14" t="str">
        <f t="shared" ref="AB1572:AC1572" si="3148">trim(Q1572)</f>
        <v>On-time Delivery</v>
      </c>
      <c r="AC1572" s="14" t="str">
        <f t="shared" si="3148"/>
        <v>Delivered on time</v>
      </c>
      <c r="AD1572" s="8"/>
    </row>
    <row r="1573">
      <c r="A1573" s="14" t="str">
        <f>IFERROR(__xludf.DUMMYFUNCTION("""COMPUTED_VALUE"""),"//ord_71551//Ishaan Chaturvedi//Bandra//Papaya+2*Priya Joshi/8/12/2023//UPI//Delivered*Quality of Items: Perfect condition")</f>
        <v>//ord_71551//Ishaan Chaturvedi//Bandra//Papaya+2*Priya Joshi/8/12/2023//UPI//Delivered*Quality of Items: Perfect condition</v>
      </c>
      <c r="B1573" s="14" t="str">
        <f>IFERROR(__xludf.DUMMYFUNCTION("split(A1573,""//"")"),"ord_71551")</f>
        <v>ord_71551</v>
      </c>
      <c r="C1573" s="14" t="str">
        <f>IFERROR(__xludf.DUMMYFUNCTION("""COMPUTED_VALUE"""),"Ishaan Chaturvedi")</f>
        <v>Ishaan Chaturvedi</v>
      </c>
      <c r="D1573" s="14" t="str">
        <f>IFERROR(__xludf.DUMMYFUNCTION("""COMPUTED_VALUE"""),"Bandra")</f>
        <v>Bandra</v>
      </c>
      <c r="E1573" s="14" t="str">
        <f>IFERROR(__xludf.DUMMYFUNCTION("""COMPUTED_VALUE"""),"Papaya+2*Priya Joshi")</f>
        <v>Papaya+2*Priya Joshi</v>
      </c>
      <c r="F1573" s="14">
        <f>IFERROR(__xludf.DUMMYFUNCTION("""COMPUTED_VALUE"""),8.0)</f>
        <v>8</v>
      </c>
      <c r="G1573" s="14">
        <f>IFERROR(__xludf.DUMMYFUNCTION("""COMPUTED_VALUE"""),12.0)</f>
        <v>12</v>
      </c>
      <c r="H1573" s="14">
        <f>IFERROR(__xludf.DUMMYFUNCTION("""COMPUTED_VALUE"""),2023.0)</f>
        <v>2023</v>
      </c>
      <c r="I1573" s="14" t="str">
        <f>IFERROR(__xludf.DUMMYFUNCTION("""COMPUTED_VALUE"""),"UPI")</f>
        <v>UPI</v>
      </c>
      <c r="J1573" s="14" t="str">
        <f>IFERROR(__xludf.DUMMYFUNCTION("""COMPUTED_VALUE"""),"Delivered*Quality of Items: Perfect condition")</f>
        <v>Delivered*Quality of Items: Perfect condition</v>
      </c>
      <c r="K1573" s="14" t="str">
        <f>IFERROR(__xludf.DUMMYFUNCTION("split(E1573,""+"")"),"Papaya")</f>
        <v>Papaya</v>
      </c>
      <c r="L1573" s="14" t="str">
        <f>IFERROR(__xludf.DUMMYFUNCTION("""COMPUTED_VALUE"""),"2*Priya Joshi")</f>
        <v>2*Priya Joshi</v>
      </c>
      <c r="M1573" s="14">
        <f>IFERROR(__xludf.DUMMYFUNCTION("SPLIT(L1573,""*"")"),2.0)</f>
        <v>2</v>
      </c>
      <c r="N1573" s="14" t="str">
        <f>IFERROR(__xludf.DUMMYFUNCTION("""COMPUTED_VALUE"""),"Priya Joshi")</f>
        <v>Priya Joshi</v>
      </c>
      <c r="O1573" s="14" t="str">
        <f>IFERROR(__xludf.DUMMYFUNCTION("split(J1573,""*"")"),"Delivered")</f>
        <v>Delivered</v>
      </c>
      <c r="P1573" s="14" t="str">
        <f>IFERROR(__xludf.DUMMYFUNCTION("""COMPUTED_VALUE"""),"Quality of Items: Perfect condition")</f>
        <v>Quality of Items: Perfect condition</v>
      </c>
      <c r="Q1573" s="14" t="str">
        <f>IFERROR(__xludf.DUMMYFUNCTION("split(P1573,"":"")"),"Quality of Items")</f>
        <v>Quality of Items</v>
      </c>
      <c r="R1573" s="14" t="str">
        <f>IFERROR(__xludf.DUMMYFUNCTION("""COMPUTED_VALUE""")," Perfect condition")</f>
        <v> Perfect condition</v>
      </c>
      <c r="S1573" s="14" t="str">
        <f t="shared" ref="S1573:U1573" si="3149">trim(B1573)</f>
        <v>ord_71551</v>
      </c>
      <c r="T1573" s="14" t="str">
        <f t="shared" si="3149"/>
        <v>Ishaan Chaturvedi</v>
      </c>
      <c r="U1573" s="14" t="str">
        <f t="shared" si="3149"/>
        <v>Bandra</v>
      </c>
      <c r="V1573" s="14" t="str">
        <f t="shared" si="4"/>
        <v>Papaya</v>
      </c>
      <c r="W1573" s="14">
        <f t="shared" si="5"/>
        <v>2</v>
      </c>
      <c r="X1573" s="14" t="str">
        <f t="shared" si="6"/>
        <v>Priya Joshi</v>
      </c>
      <c r="Y1573" s="15">
        <f t="shared" si="7"/>
        <v>45150</v>
      </c>
      <c r="Z1573" s="14" t="str">
        <f t="shared" si="8"/>
        <v>UPI</v>
      </c>
      <c r="AA1573" s="14" t="str">
        <f t="shared" si="9"/>
        <v>Delivered</v>
      </c>
      <c r="AB1573" s="14" t="str">
        <f t="shared" ref="AB1573:AC1573" si="3150">trim(Q1573)</f>
        <v>Quality of Items</v>
      </c>
      <c r="AC1573" s="14" t="str">
        <f t="shared" si="3150"/>
        <v>Perfect condition</v>
      </c>
      <c r="AD1573" s="8"/>
    </row>
    <row r="1574">
      <c r="A1574" s="14" t="str">
        <f>IFERROR(__xludf.DUMMYFUNCTION("""COMPUTED_VALUE"""),"//ord_71552//Diya Arora//Lower Parel//Sweet Corn+1*Kiran Mehta/3/17/2023//UPI//Delivered*Packaging: Secure and intact")</f>
        <v>//ord_71552//Diya Arora//Lower Parel//Sweet Corn+1*Kiran Mehta/3/17/2023//UPI//Delivered*Packaging: Secure and intact</v>
      </c>
      <c r="B1574" s="14" t="str">
        <f>IFERROR(__xludf.DUMMYFUNCTION("split(A1574,""//"")"),"ord_71552")</f>
        <v>ord_71552</v>
      </c>
      <c r="C1574" s="14" t="str">
        <f>IFERROR(__xludf.DUMMYFUNCTION("""COMPUTED_VALUE"""),"Diya Arora")</f>
        <v>Diya Arora</v>
      </c>
      <c r="D1574" s="14" t="str">
        <f>IFERROR(__xludf.DUMMYFUNCTION("""COMPUTED_VALUE"""),"Lower Parel")</f>
        <v>Lower Parel</v>
      </c>
      <c r="E1574" s="14" t="str">
        <f>IFERROR(__xludf.DUMMYFUNCTION("""COMPUTED_VALUE"""),"Sweet Corn+1*Kiran Mehta")</f>
        <v>Sweet Corn+1*Kiran Mehta</v>
      </c>
      <c r="F1574" s="14">
        <f>IFERROR(__xludf.DUMMYFUNCTION("""COMPUTED_VALUE"""),3.0)</f>
        <v>3</v>
      </c>
      <c r="G1574" s="14">
        <f>IFERROR(__xludf.DUMMYFUNCTION("""COMPUTED_VALUE"""),17.0)</f>
        <v>17</v>
      </c>
      <c r="H1574" s="14">
        <f>IFERROR(__xludf.DUMMYFUNCTION("""COMPUTED_VALUE"""),2023.0)</f>
        <v>2023</v>
      </c>
      <c r="I1574" s="14" t="str">
        <f>IFERROR(__xludf.DUMMYFUNCTION("""COMPUTED_VALUE"""),"UPI")</f>
        <v>UPI</v>
      </c>
      <c r="J1574" s="14" t="str">
        <f>IFERROR(__xludf.DUMMYFUNCTION("""COMPUTED_VALUE"""),"Delivered*Packaging: Secure and intact")</f>
        <v>Delivered*Packaging: Secure and intact</v>
      </c>
      <c r="K1574" s="14" t="str">
        <f>IFERROR(__xludf.DUMMYFUNCTION("split(E1574,""+"")"),"Sweet Corn")</f>
        <v>Sweet Corn</v>
      </c>
      <c r="L1574" s="14" t="str">
        <f>IFERROR(__xludf.DUMMYFUNCTION("""COMPUTED_VALUE"""),"1*Kiran Mehta")</f>
        <v>1*Kiran Mehta</v>
      </c>
      <c r="M1574" s="14">
        <f>IFERROR(__xludf.DUMMYFUNCTION("SPLIT(L1574,""*"")"),1.0)</f>
        <v>1</v>
      </c>
      <c r="N1574" s="14" t="str">
        <f>IFERROR(__xludf.DUMMYFUNCTION("""COMPUTED_VALUE"""),"Kiran Mehta")</f>
        <v>Kiran Mehta</v>
      </c>
      <c r="O1574" s="14" t="str">
        <f>IFERROR(__xludf.DUMMYFUNCTION("split(J1574,""*"")"),"Delivered")</f>
        <v>Delivered</v>
      </c>
      <c r="P1574" s="14" t="str">
        <f>IFERROR(__xludf.DUMMYFUNCTION("""COMPUTED_VALUE"""),"Packaging: Secure and intact")</f>
        <v>Packaging: Secure and intact</v>
      </c>
      <c r="Q1574" s="14" t="str">
        <f>IFERROR(__xludf.DUMMYFUNCTION("split(P1574,"":"")"),"Packaging")</f>
        <v>Packaging</v>
      </c>
      <c r="R1574" s="14" t="str">
        <f>IFERROR(__xludf.DUMMYFUNCTION("""COMPUTED_VALUE""")," Secure and intact")</f>
        <v> Secure and intact</v>
      </c>
      <c r="S1574" s="14" t="str">
        <f t="shared" ref="S1574:U1574" si="3151">trim(B1574)</f>
        <v>ord_71552</v>
      </c>
      <c r="T1574" s="14" t="str">
        <f t="shared" si="3151"/>
        <v>Diya Arora</v>
      </c>
      <c r="U1574" s="14" t="str">
        <f t="shared" si="3151"/>
        <v>Lower Parel</v>
      </c>
      <c r="V1574" s="14" t="str">
        <f t="shared" si="4"/>
        <v>Sweet Corn</v>
      </c>
      <c r="W1574" s="14">
        <f t="shared" si="5"/>
        <v>1</v>
      </c>
      <c r="X1574" s="14" t="str">
        <f t="shared" si="6"/>
        <v>Kiran Mehta</v>
      </c>
      <c r="Y1574" s="15">
        <f t="shared" si="7"/>
        <v>45002</v>
      </c>
      <c r="Z1574" s="14" t="str">
        <f t="shared" si="8"/>
        <v>UPI</v>
      </c>
      <c r="AA1574" s="14" t="str">
        <f t="shared" si="9"/>
        <v>Delivered</v>
      </c>
      <c r="AB1574" s="14" t="str">
        <f t="shared" ref="AB1574:AC1574" si="3152">trim(Q1574)</f>
        <v>Packaging</v>
      </c>
      <c r="AC1574" s="14" t="str">
        <f t="shared" si="3152"/>
        <v>Secure and intact</v>
      </c>
      <c r="AD1574" s="8"/>
    </row>
    <row r="1575">
      <c r="A1575" s="14" t="str">
        <f>IFERROR(__xludf.DUMMYFUNCTION("""COMPUTED_VALUE"""),"//ord_71553//Arvind Kulkarni//Juhu//Onion+2*Not Assigned/8/17/2023//Credit Card//Cancelled*App Glitches:Missing Content")</f>
        <v>//ord_71553//Arvind Kulkarni//Juhu//Onion+2*Not Assigned/8/17/2023//Credit Card//Cancelled*App Glitches:Missing Content</v>
      </c>
      <c r="B1575" s="14" t="str">
        <f>IFERROR(__xludf.DUMMYFUNCTION("split(A1575,""//"")"),"ord_71553")</f>
        <v>ord_71553</v>
      </c>
      <c r="C1575" s="14" t="str">
        <f>IFERROR(__xludf.DUMMYFUNCTION("""COMPUTED_VALUE"""),"Arvind Kulkarni")</f>
        <v>Arvind Kulkarni</v>
      </c>
      <c r="D1575" s="14" t="str">
        <f>IFERROR(__xludf.DUMMYFUNCTION("""COMPUTED_VALUE"""),"Juhu")</f>
        <v>Juhu</v>
      </c>
      <c r="E1575" s="14" t="str">
        <f>IFERROR(__xludf.DUMMYFUNCTION("""COMPUTED_VALUE"""),"Onion+2*Not Assigned")</f>
        <v>Onion+2*Not Assigned</v>
      </c>
      <c r="F1575" s="14">
        <f>IFERROR(__xludf.DUMMYFUNCTION("""COMPUTED_VALUE"""),8.0)</f>
        <v>8</v>
      </c>
      <c r="G1575" s="14">
        <f>IFERROR(__xludf.DUMMYFUNCTION("""COMPUTED_VALUE"""),17.0)</f>
        <v>17</v>
      </c>
      <c r="H1575" s="14">
        <f>IFERROR(__xludf.DUMMYFUNCTION("""COMPUTED_VALUE"""),2023.0)</f>
        <v>2023</v>
      </c>
      <c r="I1575" s="14" t="str">
        <f>IFERROR(__xludf.DUMMYFUNCTION("""COMPUTED_VALUE"""),"Credit Card")</f>
        <v>Credit Card</v>
      </c>
      <c r="J1575" s="14" t="str">
        <f>IFERROR(__xludf.DUMMYFUNCTION("""COMPUTED_VALUE"""),"Cancelled*App Glitches:Missing Content")</f>
        <v>Cancelled*App Glitches:Missing Content</v>
      </c>
      <c r="K1575" s="14" t="str">
        <f>IFERROR(__xludf.DUMMYFUNCTION("split(E1575,""+"")"),"Onion")</f>
        <v>Onion</v>
      </c>
      <c r="L1575" s="14" t="str">
        <f>IFERROR(__xludf.DUMMYFUNCTION("""COMPUTED_VALUE"""),"2*Not Assigned")</f>
        <v>2*Not Assigned</v>
      </c>
      <c r="M1575" s="14">
        <f>IFERROR(__xludf.DUMMYFUNCTION("SPLIT(L1575,""*"")"),2.0)</f>
        <v>2</v>
      </c>
      <c r="N1575" s="14" t="str">
        <f>IFERROR(__xludf.DUMMYFUNCTION("""COMPUTED_VALUE"""),"Not Assigned")</f>
        <v>Not Assigned</v>
      </c>
      <c r="O1575" s="14" t="str">
        <f>IFERROR(__xludf.DUMMYFUNCTION("split(J1575,""*"")"),"Cancelled")</f>
        <v>Cancelled</v>
      </c>
      <c r="P1575" s="14" t="str">
        <f>IFERROR(__xludf.DUMMYFUNCTION("""COMPUTED_VALUE"""),"App Glitches:Missing Content")</f>
        <v>App Glitches:Missing Content</v>
      </c>
      <c r="Q1575" s="14" t="str">
        <f>IFERROR(__xludf.DUMMYFUNCTION("split(P1575,"":"")"),"App Glitches")</f>
        <v>App Glitches</v>
      </c>
      <c r="R1575" s="14" t="str">
        <f>IFERROR(__xludf.DUMMYFUNCTION("""COMPUTED_VALUE"""),"Missing Content")</f>
        <v>Missing Content</v>
      </c>
      <c r="S1575" s="14" t="str">
        <f t="shared" ref="S1575:U1575" si="3153">trim(B1575)</f>
        <v>ord_71553</v>
      </c>
      <c r="T1575" s="14" t="str">
        <f t="shared" si="3153"/>
        <v>Arvind Kulkarni</v>
      </c>
      <c r="U1575" s="14" t="str">
        <f t="shared" si="3153"/>
        <v>Juhu</v>
      </c>
      <c r="V1575" s="14" t="str">
        <f t="shared" si="4"/>
        <v>Onion</v>
      </c>
      <c r="W1575" s="14">
        <f t="shared" si="5"/>
        <v>2</v>
      </c>
      <c r="X1575" s="14" t="str">
        <f t="shared" si="6"/>
        <v>Not Assigned</v>
      </c>
      <c r="Y1575" s="15">
        <f t="shared" si="7"/>
        <v>45155</v>
      </c>
      <c r="Z1575" s="14" t="str">
        <f t="shared" si="8"/>
        <v>Credit Card</v>
      </c>
      <c r="AA1575" s="14" t="str">
        <f t="shared" si="9"/>
        <v>Cancelled</v>
      </c>
      <c r="AB1575" s="14" t="str">
        <f t="shared" ref="AB1575:AC1575" si="3154">trim(Q1575)</f>
        <v>App Glitches</v>
      </c>
      <c r="AC1575" s="14" t="str">
        <f t="shared" si="3154"/>
        <v>Missing Content</v>
      </c>
      <c r="AD1575" s="8"/>
    </row>
    <row r="1576">
      <c r="A1576" s="14" t="str">
        <f>IFERROR(__xludf.DUMMYFUNCTION("""COMPUTED_VALUE"""),"//ord_71554//Pallavi Ghosh//Bandra//Cucumber+2*Priya Joshi/2/1/2023//UPI//Delivered*Satisfied with the Delivery: Timely and quality")</f>
        <v>//ord_71554//Pallavi Ghosh//Bandra//Cucumber+2*Priya Joshi/2/1/2023//UPI//Delivered*Satisfied with the Delivery: Timely and quality</v>
      </c>
      <c r="B1576" s="14" t="str">
        <f>IFERROR(__xludf.DUMMYFUNCTION("split(A1576,""//"")"),"ord_71554")</f>
        <v>ord_71554</v>
      </c>
      <c r="C1576" s="14" t="str">
        <f>IFERROR(__xludf.DUMMYFUNCTION("""COMPUTED_VALUE"""),"Pallavi Ghosh")</f>
        <v>Pallavi Ghosh</v>
      </c>
      <c r="D1576" s="14" t="str">
        <f>IFERROR(__xludf.DUMMYFUNCTION("""COMPUTED_VALUE"""),"Bandra")</f>
        <v>Bandra</v>
      </c>
      <c r="E1576" s="14" t="str">
        <f>IFERROR(__xludf.DUMMYFUNCTION("""COMPUTED_VALUE"""),"Cucumber+2*Priya Joshi")</f>
        <v>Cucumber+2*Priya Joshi</v>
      </c>
      <c r="F1576" s="14">
        <f>IFERROR(__xludf.DUMMYFUNCTION("""COMPUTED_VALUE"""),2.0)</f>
        <v>2</v>
      </c>
      <c r="G1576" s="14">
        <f>IFERROR(__xludf.DUMMYFUNCTION("""COMPUTED_VALUE"""),1.0)</f>
        <v>1</v>
      </c>
      <c r="H1576" s="14">
        <f>IFERROR(__xludf.DUMMYFUNCTION("""COMPUTED_VALUE"""),2023.0)</f>
        <v>2023</v>
      </c>
      <c r="I1576" s="14" t="str">
        <f>IFERROR(__xludf.DUMMYFUNCTION("""COMPUTED_VALUE"""),"UPI")</f>
        <v>UPI</v>
      </c>
      <c r="J1576" s="14" t="str">
        <f>IFERROR(__xludf.DUMMYFUNCTION("""COMPUTED_VALUE"""),"Delivered*Satisfied with the Delivery: Timely and quality")</f>
        <v>Delivered*Satisfied with the Delivery: Timely and quality</v>
      </c>
      <c r="K1576" s="14" t="str">
        <f>IFERROR(__xludf.DUMMYFUNCTION("split(E1576,""+"")"),"Cucumber")</f>
        <v>Cucumber</v>
      </c>
      <c r="L1576" s="14" t="str">
        <f>IFERROR(__xludf.DUMMYFUNCTION("""COMPUTED_VALUE"""),"2*Priya Joshi")</f>
        <v>2*Priya Joshi</v>
      </c>
      <c r="M1576" s="14">
        <f>IFERROR(__xludf.DUMMYFUNCTION("SPLIT(L1576,""*"")"),2.0)</f>
        <v>2</v>
      </c>
      <c r="N1576" s="14" t="str">
        <f>IFERROR(__xludf.DUMMYFUNCTION("""COMPUTED_VALUE"""),"Priya Joshi")</f>
        <v>Priya Joshi</v>
      </c>
      <c r="O1576" s="14" t="str">
        <f>IFERROR(__xludf.DUMMYFUNCTION("split(J1576,""*"")"),"Delivered")</f>
        <v>Delivered</v>
      </c>
      <c r="P1576" s="14" t="str">
        <f>IFERROR(__xludf.DUMMYFUNCTION("""COMPUTED_VALUE"""),"Satisfied with the Delivery: Timely and quality")</f>
        <v>Satisfied with the Delivery: Timely and quality</v>
      </c>
      <c r="Q1576" s="14" t="str">
        <f>IFERROR(__xludf.DUMMYFUNCTION("split(P1576,"":"")"),"Satisfied with the Delivery")</f>
        <v>Satisfied with the Delivery</v>
      </c>
      <c r="R1576" s="14" t="str">
        <f>IFERROR(__xludf.DUMMYFUNCTION("""COMPUTED_VALUE""")," Timely and quality")</f>
        <v> Timely and quality</v>
      </c>
      <c r="S1576" s="14" t="str">
        <f t="shared" ref="S1576:U1576" si="3155">trim(B1576)</f>
        <v>ord_71554</v>
      </c>
      <c r="T1576" s="14" t="str">
        <f t="shared" si="3155"/>
        <v>Pallavi Ghosh</v>
      </c>
      <c r="U1576" s="14" t="str">
        <f t="shared" si="3155"/>
        <v>Bandra</v>
      </c>
      <c r="V1576" s="14" t="str">
        <f t="shared" si="4"/>
        <v>Cucumber</v>
      </c>
      <c r="W1576" s="14">
        <f t="shared" si="5"/>
        <v>2</v>
      </c>
      <c r="X1576" s="14" t="str">
        <f t="shared" si="6"/>
        <v>Priya Joshi</v>
      </c>
      <c r="Y1576" s="15">
        <f t="shared" si="7"/>
        <v>44958</v>
      </c>
      <c r="Z1576" s="14" t="str">
        <f t="shared" si="8"/>
        <v>UPI</v>
      </c>
      <c r="AA1576" s="14" t="str">
        <f t="shared" si="9"/>
        <v>Delivered</v>
      </c>
      <c r="AB1576" s="14" t="str">
        <f t="shared" ref="AB1576:AC1576" si="3156">trim(Q1576)</f>
        <v>Satisfied with the Delivery</v>
      </c>
      <c r="AC1576" s="14" t="str">
        <f t="shared" si="3156"/>
        <v>Timely and quality</v>
      </c>
      <c r="AD1576" s="8"/>
    </row>
    <row r="1577">
      <c r="A1577" s="14" t="str">
        <f>IFERROR(__xludf.DUMMYFUNCTION("""COMPUTED_VALUE"""),"//ord_71555//Diya Arora//Lower Parel//Chicken Puff+2*Kiran Mehta/10/6/2023//UPI//Delivered*Customer Service: Seamless and easy")</f>
        <v>//ord_71555//Diya Arora//Lower Parel//Chicken Puff+2*Kiran Mehta/10/6/2023//UPI//Delivered*Customer Service: Seamless and easy</v>
      </c>
      <c r="B1577" s="14" t="str">
        <f>IFERROR(__xludf.DUMMYFUNCTION("split(A1577,""//"")"),"ord_71555")</f>
        <v>ord_71555</v>
      </c>
      <c r="C1577" s="14" t="str">
        <f>IFERROR(__xludf.DUMMYFUNCTION("""COMPUTED_VALUE"""),"Diya Arora")</f>
        <v>Diya Arora</v>
      </c>
      <c r="D1577" s="14" t="str">
        <f>IFERROR(__xludf.DUMMYFUNCTION("""COMPUTED_VALUE"""),"Lower Parel")</f>
        <v>Lower Parel</v>
      </c>
      <c r="E1577" s="14" t="str">
        <f>IFERROR(__xludf.DUMMYFUNCTION("""COMPUTED_VALUE"""),"Chicken Puff+2*Kiran Mehta")</f>
        <v>Chicken Puff+2*Kiran Mehta</v>
      </c>
      <c r="F1577" s="14">
        <f>IFERROR(__xludf.DUMMYFUNCTION("""COMPUTED_VALUE"""),10.0)</f>
        <v>10</v>
      </c>
      <c r="G1577" s="14">
        <f>IFERROR(__xludf.DUMMYFUNCTION("""COMPUTED_VALUE"""),6.0)</f>
        <v>6</v>
      </c>
      <c r="H1577" s="14">
        <f>IFERROR(__xludf.DUMMYFUNCTION("""COMPUTED_VALUE"""),2023.0)</f>
        <v>2023</v>
      </c>
      <c r="I1577" s="14" t="str">
        <f>IFERROR(__xludf.DUMMYFUNCTION("""COMPUTED_VALUE"""),"UPI")</f>
        <v>UPI</v>
      </c>
      <c r="J1577" s="14" t="str">
        <f>IFERROR(__xludf.DUMMYFUNCTION("""COMPUTED_VALUE"""),"Delivered*Customer Service: Seamless and easy")</f>
        <v>Delivered*Customer Service: Seamless and easy</v>
      </c>
      <c r="K1577" s="14" t="str">
        <f>IFERROR(__xludf.DUMMYFUNCTION("split(E1577,""+"")"),"Chicken Puff")</f>
        <v>Chicken Puff</v>
      </c>
      <c r="L1577" s="14" t="str">
        <f>IFERROR(__xludf.DUMMYFUNCTION("""COMPUTED_VALUE"""),"2*Kiran Mehta")</f>
        <v>2*Kiran Mehta</v>
      </c>
      <c r="M1577" s="14">
        <f>IFERROR(__xludf.DUMMYFUNCTION("SPLIT(L1577,""*"")"),2.0)</f>
        <v>2</v>
      </c>
      <c r="N1577" s="14" t="str">
        <f>IFERROR(__xludf.DUMMYFUNCTION("""COMPUTED_VALUE"""),"Kiran Mehta")</f>
        <v>Kiran Mehta</v>
      </c>
      <c r="O1577" s="14" t="str">
        <f>IFERROR(__xludf.DUMMYFUNCTION("split(J1577,""*"")"),"Delivered")</f>
        <v>Delivered</v>
      </c>
      <c r="P1577" s="14" t="str">
        <f>IFERROR(__xludf.DUMMYFUNCTION("""COMPUTED_VALUE"""),"Customer Service: Seamless and easy")</f>
        <v>Customer Service: Seamless and easy</v>
      </c>
      <c r="Q1577" s="14" t="str">
        <f>IFERROR(__xludf.DUMMYFUNCTION("split(P1577,"":"")"),"Customer Service")</f>
        <v>Customer Service</v>
      </c>
      <c r="R1577" s="14" t="str">
        <f>IFERROR(__xludf.DUMMYFUNCTION("""COMPUTED_VALUE""")," Seamless and easy")</f>
        <v> Seamless and easy</v>
      </c>
      <c r="S1577" s="14" t="str">
        <f t="shared" ref="S1577:U1577" si="3157">trim(B1577)</f>
        <v>ord_71555</v>
      </c>
      <c r="T1577" s="14" t="str">
        <f t="shared" si="3157"/>
        <v>Diya Arora</v>
      </c>
      <c r="U1577" s="14" t="str">
        <f t="shared" si="3157"/>
        <v>Lower Parel</v>
      </c>
      <c r="V1577" s="14" t="str">
        <f t="shared" si="4"/>
        <v>Chicken Puff</v>
      </c>
      <c r="W1577" s="14">
        <f t="shared" si="5"/>
        <v>2</v>
      </c>
      <c r="X1577" s="14" t="str">
        <f t="shared" si="6"/>
        <v>Kiran Mehta</v>
      </c>
      <c r="Y1577" s="15">
        <f t="shared" si="7"/>
        <v>45205</v>
      </c>
      <c r="Z1577" s="14" t="str">
        <f t="shared" si="8"/>
        <v>UPI</v>
      </c>
      <c r="AA1577" s="14" t="str">
        <f t="shared" si="9"/>
        <v>Delivered</v>
      </c>
      <c r="AB1577" s="14" t="str">
        <f t="shared" ref="AB1577:AC1577" si="3158">trim(Q1577)</f>
        <v>Customer Service</v>
      </c>
      <c r="AC1577" s="14" t="str">
        <f t="shared" si="3158"/>
        <v>Seamless and easy</v>
      </c>
      <c r="AD1577" s="8"/>
    </row>
    <row r="1578">
      <c r="A1578" s="14" t="str">
        <f>IFERROR(__xludf.DUMMYFUNCTION("""COMPUTED_VALUE"""),"//ord_71556//Mehul Thakkar//Malad//Papaya+2*Neha Shah/6/29/2023//UPI//Delivered*Delivery Experience: Quick and professional")</f>
        <v>//ord_71556//Mehul Thakkar//Malad//Papaya+2*Neha Shah/6/29/2023//UPI//Delivered*Delivery Experience: Quick and professional</v>
      </c>
      <c r="B1578" s="14" t="str">
        <f>IFERROR(__xludf.DUMMYFUNCTION("split(A1578,""//"")"),"ord_71556")</f>
        <v>ord_71556</v>
      </c>
      <c r="C1578" s="14" t="str">
        <f>IFERROR(__xludf.DUMMYFUNCTION("""COMPUTED_VALUE"""),"Mehul Thakkar")</f>
        <v>Mehul Thakkar</v>
      </c>
      <c r="D1578" s="14" t="str">
        <f>IFERROR(__xludf.DUMMYFUNCTION("""COMPUTED_VALUE"""),"Malad")</f>
        <v>Malad</v>
      </c>
      <c r="E1578" s="14" t="str">
        <f>IFERROR(__xludf.DUMMYFUNCTION("""COMPUTED_VALUE"""),"Papaya+2*Neha Shah")</f>
        <v>Papaya+2*Neha Shah</v>
      </c>
      <c r="F1578" s="14">
        <f>IFERROR(__xludf.DUMMYFUNCTION("""COMPUTED_VALUE"""),6.0)</f>
        <v>6</v>
      </c>
      <c r="G1578" s="14">
        <f>IFERROR(__xludf.DUMMYFUNCTION("""COMPUTED_VALUE"""),29.0)</f>
        <v>29</v>
      </c>
      <c r="H1578" s="14">
        <f>IFERROR(__xludf.DUMMYFUNCTION("""COMPUTED_VALUE"""),2023.0)</f>
        <v>2023</v>
      </c>
      <c r="I1578" s="14" t="str">
        <f>IFERROR(__xludf.DUMMYFUNCTION("""COMPUTED_VALUE"""),"UPI")</f>
        <v>UPI</v>
      </c>
      <c r="J1578" s="14" t="str">
        <f>IFERROR(__xludf.DUMMYFUNCTION("""COMPUTED_VALUE"""),"Delivered*Delivery Experience: Quick and professional")</f>
        <v>Delivered*Delivery Experience: Quick and professional</v>
      </c>
      <c r="K1578" s="14" t="str">
        <f>IFERROR(__xludf.DUMMYFUNCTION("split(E1578,""+"")"),"Papaya")</f>
        <v>Papaya</v>
      </c>
      <c r="L1578" s="14" t="str">
        <f>IFERROR(__xludf.DUMMYFUNCTION("""COMPUTED_VALUE"""),"2*Neha Shah")</f>
        <v>2*Neha Shah</v>
      </c>
      <c r="M1578" s="14">
        <f>IFERROR(__xludf.DUMMYFUNCTION("SPLIT(L1578,""*"")"),2.0)</f>
        <v>2</v>
      </c>
      <c r="N1578" s="14" t="str">
        <f>IFERROR(__xludf.DUMMYFUNCTION("""COMPUTED_VALUE"""),"Neha Shah")</f>
        <v>Neha Shah</v>
      </c>
      <c r="O1578" s="14" t="str">
        <f>IFERROR(__xludf.DUMMYFUNCTION("split(J1578,""*"")"),"Delivered")</f>
        <v>Delivered</v>
      </c>
      <c r="P1578" s="14" t="str">
        <f>IFERROR(__xludf.DUMMYFUNCTION("""COMPUTED_VALUE"""),"Delivery Experience: Quick and professional")</f>
        <v>Delivery Experience: Quick and professional</v>
      </c>
      <c r="Q1578" s="14" t="str">
        <f>IFERROR(__xludf.DUMMYFUNCTION("split(P1578,"":"")"),"Delivery Experience")</f>
        <v>Delivery Experience</v>
      </c>
      <c r="R1578" s="14" t="str">
        <f>IFERROR(__xludf.DUMMYFUNCTION("""COMPUTED_VALUE""")," Quick and professional")</f>
        <v> Quick and professional</v>
      </c>
      <c r="S1578" s="14" t="str">
        <f t="shared" ref="S1578:U1578" si="3159">trim(B1578)</f>
        <v>ord_71556</v>
      </c>
      <c r="T1578" s="14" t="str">
        <f t="shared" si="3159"/>
        <v>Mehul Thakkar</v>
      </c>
      <c r="U1578" s="14" t="str">
        <f t="shared" si="3159"/>
        <v>Malad</v>
      </c>
      <c r="V1578" s="14" t="str">
        <f t="shared" si="4"/>
        <v>Papaya</v>
      </c>
      <c r="W1578" s="14">
        <f t="shared" si="5"/>
        <v>2</v>
      </c>
      <c r="X1578" s="14" t="str">
        <f t="shared" si="6"/>
        <v>Neha Shah</v>
      </c>
      <c r="Y1578" s="15">
        <f t="shared" si="7"/>
        <v>45106</v>
      </c>
      <c r="Z1578" s="14" t="str">
        <f t="shared" si="8"/>
        <v>UPI</v>
      </c>
      <c r="AA1578" s="14" t="str">
        <f t="shared" si="9"/>
        <v>Delivered</v>
      </c>
      <c r="AB1578" s="14" t="str">
        <f t="shared" ref="AB1578:AC1578" si="3160">trim(Q1578)</f>
        <v>Delivery Experience</v>
      </c>
      <c r="AC1578" s="14" t="str">
        <f t="shared" si="3160"/>
        <v>Quick and professional</v>
      </c>
      <c r="AD1578" s="8"/>
    </row>
    <row r="1579">
      <c r="A1579" s="14" t="str">
        <f>IFERROR(__xludf.DUMMYFUNCTION("""COMPUTED_VALUE"""),"//ord_71557//Ishaan Chaturvedi//Bandra//Veg Puff+2*Priya Joshi/12/19/2023//UPI//Delivered*Convenience: Easy tracking")</f>
        <v>//ord_71557//Ishaan Chaturvedi//Bandra//Veg Puff+2*Priya Joshi/12/19/2023//UPI//Delivered*Convenience: Easy tracking</v>
      </c>
      <c r="B1579" s="14" t="str">
        <f>IFERROR(__xludf.DUMMYFUNCTION("split(A1579,""//"")"),"ord_71557")</f>
        <v>ord_71557</v>
      </c>
      <c r="C1579" s="14" t="str">
        <f>IFERROR(__xludf.DUMMYFUNCTION("""COMPUTED_VALUE"""),"Ishaan Chaturvedi")</f>
        <v>Ishaan Chaturvedi</v>
      </c>
      <c r="D1579" s="14" t="str">
        <f>IFERROR(__xludf.DUMMYFUNCTION("""COMPUTED_VALUE"""),"Bandra")</f>
        <v>Bandra</v>
      </c>
      <c r="E1579" s="14" t="str">
        <f>IFERROR(__xludf.DUMMYFUNCTION("""COMPUTED_VALUE"""),"Veg Puff+2*Priya Joshi")</f>
        <v>Veg Puff+2*Priya Joshi</v>
      </c>
      <c r="F1579" s="14">
        <f>IFERROR(__xludf.DUMMYFUNCTION("""COMPUTED_VALUE"""),12.0)</f>
        <v>12</v>
      </c>
      <c r="G1579" s="14">
        <f>IFERROR(__xludf.DUMMYFUNCTION("""COMPUTED_VALUE"""),19.0)</f>
        <v>19</v>
      </c>
      <c r="H1579" s="14">
        <f>IFERROR(__xludf.DUMMYFUNCTION("""COMPUTED_VALUE"""),2023.0)</f>
        <v>2023</v>
      </c>
      <c r="I1579" s="14" t="str">
        <f>IFERROR(__xludf.DUMMYFUNCTION("""COMPUTED_VALUE"""),"UPI")</f>
        <v>UPI</v>
      </c>
      <c r="J1579" s="14" t="str">
        <f>IFERROR(__xludf.DUMMYFUNCTION("""COMPUTED_VALUE"""),"Delivered*Convenience: Easy tracking")</f>
        <v>Delivered*Convenience: Easy tracking</v>
      </c>
      <c r="K1579" s="14" t="str">
        <f>IFERROR(__xludf.DUMMYFUNCTION("split(E1579,""+"")"),"Veg Puff")</f>
        <v>Veg Puff</v>
      </c>
      <c r="L1579" s="14" t="str">
        <f>IFERROR(__xludf.DUMMYFUNCTION("""COMPUTED_VALUE"""),"2*Priya Joshi")</f>
        <v>2*Priya Joshi</v>
      </c>
      <c r="M1579" s="14">
        <f>IFERROR(__xludf.DUMMYFUNCTION("SPLIT(L1579,""*"")"),2.0)</f>
        <v>2</v>
      </c>
      <c r="N1579" s="14" t="str">
        <f>IFERROR(__xludf.DUMMYFUNCTION("""COMPUTED_VALUE"""),"Priya Joshi")</f>
        <v>Priya Joshi</v>
      </c>
      <c r="O1579" s="14" t="str">
        <f>IFERROR(__xludf.DUMMYFUNCTION("split(J1579,""*"")"),"Delivered")</f>
        <v>Delivered</v>
      </c>
      <c r="P1579" s="14" t="str">
        <f>IFERROR(__xludf.DUMMYFUNCTION("""COMPUTED_VALUE"""),"Convenience: Easy tracking")</f>
        <v>Convenience: Easy tracking</v>
      </c>
      <c r="Q1579" s="14" t="str">
        <f>IFERROR(__xludf.DUMMYFUNCTION("split(P1579,"":"")"),"Convenience")</f>
        <v>Convenience</v>
      </c>
      <c r="R1579" s="14" t="str">
        <f>IFERROR(__xludf.DUMMYFUNCTION("""COMPUTED_VALUE""")," Easy tracking")</f>
        <v> Easy tracking</v>
      </c>
      <c r="S1579" s="14" t="str">
        <f t="shared" ref="S1579:U1579" si="3161">trim(B1579)</f>
        <v>ord_71557</v>
      </c>
      <c r="T1579" s="14" t="str">
        <f t="shared" si="3161"/>
        <v>Ishaan Chaturvedi</v>
      </c>
      <c r="U1579" s="14" t="str">
        <f t="shared" si="3161"/>
        <v>Bandra</v>
      </c>
      <c r="V1579" s="14" t="str">
        <f t="shared" si="4"/>
        <v>Veg Puff</v>
      </c>
      <c r="W1579" s="14">
        <f t="shared" si="5"/>
        <v>2</v>
      </c>
      <c r="X1579" s="14" t="str">
        <f t="shared" si="6"/>
        <v>Priya Joshi</v>
      </c>
      <c r="Y1579" s="15">
        <f t="shared" si="7"/>
        <v>45279</v>
      </c>
      <c r="Z1579" s="14" t="str">
        <f t="shared" si="8"/>
        <v>UPI</v>
      </c>
      <c r="AA1579" s="14" t="str">
        <f t="shared" si="9"/>
        <v>Delivered</v>
      </c>
      <c r="AB1579" s="14" t="str">
        <f t="shared" ref="AB1579:AC1579" si="3162">trim(Q1579)</f>
        <v>Convenience</v>
      </c>
      <c r="AC1579" s="14" t="str">
        <f t="shared" si="3162"/>
        <v>Easy tracking</v>
      </c>
      <c r="AD1579" s="8"/>
    </row>
    <row r="1580">
      <c r="A1580" s="14" t="str">
        <f>IFERROR(__xludf.DUMMYFUNCTION("""COMPUTED_VALUE"""),"//ord_71558//Omkar Mishra//Powai//Tomato+1*Sandeep Kumar/7/13/2023//Online Payment//Delivered*Overall Satisfaction: Great service will order again")</f>
        <v>//ord_71558//Omkar Mishra//Powai//Tomato+1*Sandeep Kumar/7/13/2023//Online Payment//Delivered*Overall Satisfaction: Great service will order again</v>
      </c>
      <c r="B1580" s="14" t="str">
        <f>IFERROR(__xludf.DUMMYFUNCTION("split(A1580,""//"")"),"ord_71558")</f>
        <v>ord_71558</v>
      </c>
      <c r="C1580" s="14" t="str">
        <f>IFERROR(__xludf.DUMMYFUNCTION("""COMPUTED_VALUE"""),"Omkar Mishra")</f>
        <v>Omkar Mishra</v>
      </c>
      <c r="D1580" s="14" t="str">
        <f>IFERROR(__xludf.DUMMYFUNCTION("""COMPUTED_VALUE"""),"Powai")</f>
        <v>Powai</v>
      </c>
      <c r="E1580" s="14" t="str">
        <f>IFERROR(__xludf.DUMMYFUNCTION("""COMPUTED_VALUE"""),"Tomato+1*Sandeep Kumar")</f>
        <v>Tomato+1*Sandeep Kumar</v>
      </c>
      <c r="F1580" s="14">
        <f>IFERROR(__xludf.DUMMYFUNCTION("""COMPUTED_VALUE"""),7.0)</f>
        <v>7</v>
      </c>
      <c r="G1580" s="14">
        <f>IFERROR(__xludf.DUMMYFUNCTION("""COMPUTED_VALUE"""),13.0)</f>
        <v>13</v>
      </c>
      <c r="H1580" s="14">
        <f>IFERROR(__xludf.DUMMYFUNCTION("""COMPUTED_VALUE"""),2023.0)</f>
        <v>2023</v>
      </c>
      <c r="I1580" s="14" t="str">
        <f>IFERROR(__xludf.DUMMYFUNCTION("""COMPUTED_VALUE"""),"Online Payment")</f>
        <v>Online Payment</v>
      </c>
      <c r="J1580" s="14" t="str">
        <f>IFERROR(__xludf.DUMMYFUNCTION("""COMPUTED_VALUE"""),"Delivered*Overall Satisfaction: Great service will order again")</f>
        <v>Delivered*Overall Satisfaction: Great service will order again</v>
      </c>
      <c r="K1580" s="14" t="str">
        <f>IFERROR(__xludf.DUMMYFUNCTION("split(E1580,""+"")"),"Tomato")</f>
        <v>Tomato</v>
      </c>
      <c r="L1580" s="14" t="str">
        <f>IFERROR(__xludf.DUMMYFUNCTION("""COMPUTED_VALUE"""),"1*Sandeep Kumar")</f>
        <v>1*Sandeep Kumar</v>
      </c>
      <c r="M1580" s="14">
        <f>IFERROR(__xludf.DUMMYFUNCTION("SPLIT(L1580,""*"")"),1.0)</f>
        <v>1</v>
      </c>
      <c r="N1580" s="14" t="str">
        <f>IFERROR(__xludf.DUMMYFUNCTION("""COMPUTED_VALUE"""),"Sandeep Kumar")</f>
        <v>Sandeep Kumar</v>
      </c>
      <c r="O1580" s="14" t="str">
        <f>IFERROR(__xludf.DUMMYFUNCTION("split(J1580,""*"")"),"Delivered")</f>
        <v>Delivered</v>
      </c>
      <c r="P1580" s="14" t="str">
        <f>IFERROR(__xludf.DUMMYFUNCTION("""COMPUTED_VALUE"""),"Overall Satisfaction: Great service will order again")</f>
        <v>Overall Satisfaction: Great service will order again</v>
      </c>
      <c r="Q1580" s="14" t="str">
        <f>IFERROR(__xludf.DUMMYFUNCTION("split(P1580,"":"")"),"Overall Satisfaction")</f>
        <v>Overall Satisfaction</v>
      </c>
      <c r="R1580" s="14" t="str">
        <f>IFERROR(__xludf.DUMMYFUNCTION("""COMPUTED_VALUE""")," Great service will order again")</f>
        <v> Great service will order again</v>
      </c>
      <c r="S1580" s="14" t="str">
        <f t="shared" ref="S1580:U1580" si="3163">trim(B1580)</f>
        <v>ord_71558</v>
      </c>
      <c r="T1580" s="14" t="str">
        <f t="shared" si="3163"/>
        <v>Omkar Mishra</v>
      </c>
      <c r="U1580" s="14" t="str">
        <f t="shared" si="3163"/>
        <v>Powai</v>
      </c>
      <c r="V1580" s="14" t="str">
        <f t="shared" si="4"/>
        <v>Tomato</v>
      </c>
      <c r="W1580" s="14">
        <f t="shared" si="5"/>
        <v>1</v>
      </c>
      <c r="X1580" s="14" t="str">
        <f t="shared" si="6"/>
        <v>Sandeep Kumar</v>
      </c>
      <c r="Y1580" s="15">
        <f t="shared" si="7"/>
        <v>45120</v>
      </c>
      <c r="Z1580" s="14" t="str">
        <f t="shared" si="8"/>
        <v>Online Payment</v>
      </c>
      <c r="AA1580" s="14" t="str">
        <f t="shared" si="9"/>
        <v>Delivered</v>
      </c>
      <c r="AB1580" s="14" t="str">
        <f t="shared" ref="AB1580:AC1580" si="3164">trim(Q1580)</f>
        <v>Overall Satisfaction</v>
      </c>
      <c r="AC1580" s="14" t="str">
        <f t="shared" si="3164"/>
        <v>Great service will order again</v>
      </c>
      <c r="AD1580" s="8"/>
    </row>
    <row r="1581">
      <c r="A1581" s="14" t="str">
        <f>IFERROR(__xludf.DUMMYFUNCTION("""COMPUTED_VALUE"""),"//ord_71559//Omkar Mishra//Powai//Icecream+1*Sandeep Kumar/10/29/2023//UPI//Delivered*On-time Delivery: Delivered on time")</f>
        <v>//ord_71559//Omkar Mishra//Powai//Icecream+1*Sandeep Kumar/10/29/2023//UPI//Delivered*On-time Delivery: Delivered on time</v>
      </c>
      <c r="B1581" s="14" t="str">
        <f>IFERROR(__xludf.DUMMYFUNCTION("split(A1581,""//"")"),"ord_71559")</f>
        <v>ord_71559</v>
      </c>
      <c r="C1581" s="14" t="str">
        <f>IFERROR(__xludf.DUMMYFUNCTION("""COMPUTED_VALUE"""),"Omkar Mishra")</f>
        <v>Omkar Mishra</v>
      </c>
      <c r="D1581" s="14" t="str">
        <f>IFERROR(__xludf.DUMMYFUNCTION("""COMPUTED_VALUE"""),"Powai")</f>
        <v>Powai</v>
      </c>
      <c r="E1581" s="14" t="str">
        <f>IFERROR(__xludf.DUMMYFUNCTION("""COMPUTED_VALUE"""),"Icecream+1*Sandeep Kumar")</f>
        <v>Icecream+1*Sandeep Kumar</v>
      </c>
      <c r="F1581" s="14">
        <f>IFERROR(__xludf.DUMMYFUNCTION("""COMPUTED_VALUE"""),10.0)</f>
        <v>10</v>
      </c>
      <c r="G1581" s="14">
        <f>IFERROR(__xludf.DUMMYFUNCTION("""COMPUTED_VALUE"""),29.0)</f>
        <v>29</v>
      </c>
      <c r="H1581" s="14">
        <f>IFERROR(__xludf.DUMMYFUNCTION("""COMPUTED_VALUE"""),2023.0)</f>
        <v>2023</v>
      </c>
      <c r="I1581" s="14" t="str">
        <f>IFERROR(__xludf.DUMMYFUNCTION("""COMPUTED_VALUE"""),"UPI")</f>
        <v>UPI</v>
      </c>
      <c r="J1581" s="14" t="str">
        <f>IFERROR(__xludf.DUMMYFUNCTION("""COMPUTED_VALUE"""),"Delivered*On-time Delivery: Delivered on time")</f>
        <v>Delivered*On-time Delivery: Delivered on time</v>
      </c>
      <c r="K1581" s="14" t="str">
        <f>IFERROR(__xludf.DUMMYFUNCTION("split(E1581,""+"")"),"Icecream")</f>
        <v>Icecream</v>
      </c>
      <c r="L1581" s="14" t="str">
        <f>IFERROR(__xludf.DUMMYFUNCTION("""COMPUTED_VALUE"""),"1*Sandeep Kumar")</f>
        <v>1*Sandeep Kumar</v>
      </c>
      <c r="M1581" s="14">
        <f>IFERROR(__xludf.DUMMYFUNCTION("SPLIT(L1581,""*"")"),1.0)</f>
        <v>1</v>
      </c>
      <c r="N1581" s="14" t="str">
        <f>IFERROR(__xludf.DUMMYFUNCTION("""COMPUTED_VALUE"""),"Sandeep Kumar")</f>
        <v>Sandeep Kumar</v>
      </c>
      <c r="O1581" s="14" t="str">
        <f>IFERROR(__xludf.DUMMYFUNCTION("split(J1581,""*"")"),"Delivered")</f>
        <v>Delivered</v>
      </c>
      <c r="P1581" s="14" t="str">
        <f>IFERROR(__xludf.DUMMYFUNCTION("""COMPUTED_VALUE"""),"On-time Delivery: Delivered on time")</f>
        <v>On-time Delivery: Delivered on time</v>
      </c>
      <c r="Q1581" s="14" t="str">
        <f>IFERROR(__xludf.DUMMYFUNCTION("split(P1581,"":"")"),"On-time Delivery")</f>
        <v>On-time Delivery</v>
      </c>
      <c r="R1581" s="14" t="str">
        <f>IFERROR(__xludf.DUMMYFUNCTION("""COMPUTED_VALUE""")," Delivered on time")</f>
        <v> Delivered on time</v>
      </c>
      <c r="S1581" s="14" t="str">
        <f t="shared" ref="S1581:U1581" si="3165">trim(B1581)</f>
        <v>ord_71559</v>
      </c>
      <c r="T1581" s="14" t="str">
        <f t="shared" si="3165"/>
        <v>Omkar Mishra</v>
      </c>
      <c r="U1581" s="14" t="str">
        <f t="shared" si="3165"/>
        <v>Powai</v>
      </c>
      <c r="V1581" s="14" t="str">
        <f t="shared" si="4"/>
        <v>Icecream</v>
      </c>
      <c r="W1581" s="14">
        <f t="shared" si="5"/>
        <v>1</v>
      </c>
      <c r="X1581" s="14" t="str">
        <f t="shared" si="6"/>
        <v>Sandeep Kumar</v>
      </c>
      <c r="Y1581" s="15">
        <f t="shared" si="7"/>
        <v>45228</v>
      </c>
      <c r="Z1581" s="14" t="str">
        <f t="shared" si="8"/>
        <v>UPI</v>
      </c>
      <c r="AA1581" s="14" t="str">
        <f t="shared" si="9"/>
        <v>Delivered</v>
      </c>
      <c r="AB1581" s="14" t="str">
        <f t="shared" ref="AB1581:AC1581" si="3166">trim(Q1581)</f>
        <v>On-time Delivery</v>
      </c>
      <c r="AC1581" s="14" t="str">
        <f t="shared" si="3166"/>
        <v>Delivered on time</v>
      </c>
      <c r="AD1581" s="8"/>
    </row>
    <row r="1582">
      <c r="A1582" s="14" t="str">
        <f>IFERROR(__xludf.DUMMYFUNCTION("""COMPUTED_VALUE"""),"//ord_71560//Diya Arora//Lower Parel//Banana+1*Kiran Mehta/8/12/2023//Online Payment//Delivered*Quality of Items: Perfect condition")</f>
        <v>//ord_71560//Diya Arora//Lower Parel//Banana+1*Kiran Mehta/8/12/2023//Online Payment//Delivered*Quality of Items: Perfect condition</v>
      </c>
      <c r="B1582" s="14" t="str">
        <f>IFERROR(__xludf.DUMMYFUNCTION("split(A1582,""//"")"),"ord_71560")</f>
        <v>ord_71560</v>
      </c>
      <c r="C1582" s="14" t="str">
        <f>IFERROR(__xludf.DUMMYFUNCTION("""COMPUTED_VALUE"""),"Diya Arora")</f>
        <v>Diya Arora</v>
      </c>
      <c r="D1582" s="14" t="str">
        <f>IFERROR(__xludf.DUMMYFUNCTION("""COMPUTED_VALUE"""),"Lower Parel")</f>
        <v>Lower Parel</v>
      </c>
      <c r="E1582" s="14" t="str">
        <f>IFERROR(__xludf.DUMMYFUNCTION("""COMPUTED_VALUE"""),"Banana+1*Kiran Mehta")</f>
        <v>Banana+1*Kiran Mehta</v>
      </c>
      <c r="F1582" s="14">
        <f>IFERROR(__xludf.DUMMYFUNCTION("""COMPUTED_VALUE"""),8.0)</f>
        <v>8</v>
      </c>
      <c r="G1582" s="14">
        <f>IFERROR(__xludf.DUMMYFUNCTION("""COMPUTED_VALUE"""),12.0)</f>
        <v>12</v>
      </c>
      <c r="H1582" s="14">
        <f>IFERROR(__xludf.DUMMYFUNCTION("""COMPUTED_VALUE"""),2023.0)</f>
        <v>2023</v>
      </c>
      <c r="I1582" s="14" t="str">
        <f>IFERROR(__xludf.DUMMYFUNCTION("""COMPUTED_VALUE"""),"Online Payment")</f>
        <v>Online Payment</v>
      </c>
      <c r="J1582" s="14" t="str">
        <f>IFERROR(__xludf.DUMMYFUNCTION("""COMPUTED_VALUE"""),"Delivered*Quality of Items: Perfect condition")</f>
        <v>Delivered*Quality of Items: Perfect condition</v>
      </c>
      <c r="K1582" s="14" t="str">
        <f>IFERROR(__xludf.DUMMYFUNCTION("split(E1582,""+"")"),"Banana")</f>
        <v>Banana</v>
      </c>
      <c r="L1582" s="14" t="str">
        <f>IFERROR(__xludf.DUMMYFUNCTION("""COMPUTED_VALUE"""),"1*Kiran Mehta")</f>
        <v>1*Kiran Mehta</v>
      </c>
      <c r="M1582" s="14">
        <f>IFERROR(__xludf.DUMMYFUNCTION("SPLIT(L1582,""*"")"),1.0)</f>
        <v>1</v>
      </c>
      <c r="N1582" s="14" t="str">
        <f>IFERROR(__xludf.DUMMYFUNCTION("""COMPUTED_VALUE"""),"Kiran Mehta")</f>
        <v>Kiran Mehta</v>
      </c>
      <c r="O1582" s="14" t="str">
        <f>IFERROR(__xludf.DUMMYFUNCTION("split(J1582,""*"")"),"Delivered")</f>
        <v>Delivered</v>
      </c>
      <c r="P1582" s="14" t="str">
        <f>IFERROR(__xludf.DUMMYFUNCTION("""COMPUTED_VALUE"""),"Quality of Items: Perfect condition")</f>
        <v>Quality of Items: Perfect condition</v>
      </c>
      <c r="Q1582" s="14" t="str">
        <f>IFERROR(__xludf.DUMMYFUNCTION("split(P1582,"":"")"),"Quality of Items")</f>
        <v>Quality of Items</v>
      </c>
      <c r="R1582" s="14" t="str">
        <f>IFERROR(__xludf.DUMMYFUNCTION("""COMPUTED_VALUE""")," Perfect condition")</f>
        <v> Perfect condition</v>
      </c>
      <c r="S1582" s="14" t="str">
        <f t="shared" ref="S1582:U1582" si="3167">trim(B1582)</f>
        <v>ord_71560</v>
      </c>
      <c r="T1582" s="14" t="str">
        <f t="shared" si="3167"/>
        <v>Diya Arora</v>
      </c>
      <c r="U1582" s="14" t="str">
        <f t="shared" si="3167"/>
        <v>Lower Parel</v>
      </c>
      <c r="V1582" s="14" t="str">
        <f t="shared" si="4"/>
        <v>Banana</v>
      </c>
      <c r="W1582" s="14">
        <f t="shared" si="5"/>
        <v>1</v>
      </c>
      <c r="X1582" s="14" t="str">
        <f t="shared" si="6"/>
        <v>Kiran Mehta</v>
      </c>
      <c r="Y1582" s="15">
        <f t="shared" si="7"/>
        <v>45150</v>
      </c>
      <c r="Z1582" s="14" t="str">
        <f t="shared" si="8"/>
        <v>Online Payment</v>
      </c>
      <c r="AA1582" s="14" t="str">
        <f t="shared" si="9"/>
        <v>Delivered</v>
      </c>
      <c r="AB1582" s="14" t="str">
        <f t="shared" ref="AB1582:AC1582" si="3168">trim(Q1582)</f>
        <v>Quality of Items</v>
      </c>
      <c r="AC1582" s="14" t="str">
        <f t="shared" si="3168"/>
        <v>Perfect condition</v>
      </c>
      <c r="AD1582" s="8"/>
    </row>
    <row r="1583">
      <c r="A1583" s="14" t="str">
        <f>IFERROR(__xludf.DUMMYFUNCTION("""COMPUTED_VALUE"""),"//ord_71561//Dev Chauhan//Bandra//Cold Coffee+5*Priya Joshi/7/5/2023//UPI//Delivered*On-time Delivery: Delivered on time")</f>
        <v>//ord_71561//Dev Chauhan//Bandra//Cold Coffee+5*Priya Joshi/7/5/2023//UPI//Delivered*On-time Delivery: Delivered on time</v>
      </c>
      <c r="B1583" s="14" t="str">
        <f>IFERROR(__xludf.DUMMYFUNCTION("split(A1583,""//"")"),"ord_71561")</f>
        <v>ord_71561</v>
      </c>
      <c r="C1583" s="14" t="str">
        <f>IFERROR(__xludf.DUMMYFUNCTION("""COMPUTED_VALUE"""),"Dev Chauhan")</f>
        <v>Dev Chauhan</v>
      </c>
      <c r="D1583" s="14" t="str">
        <f>IFERROR(__xludf.DUMMYFUNCTION("""COMPUTED_VALUE"""),"Bandra")</f>
        <v>Bandra</v>
      </c>
      <c r="E1583" s="14" t="str">
        <f>IFERROR(__xludf.DUMMYFUNCTION("""COMPUTED_VALUE"""),"Cold Coffee+5*Priya Joshi")</f>
        <v>Cold Coffee+5*Priya Joshi</v>
      </c>
      <c r="F1583" s="14">
        <f>IFERROR(__xludf.DUMMYFUNCTION("""COMPUTED_VALUE"""),7.0)</f>
        <v>7</v>
      </c>
      <c r="G1583" s="14">
        <f>IFERROR(__xludf.DUMMYFUNCTION("""COMPUTED_VALUE"""),5.0)</f>
        <v>5</v>
      </c>
      <c r="H1583" s="14">
        <f>IFERROR(__xludf.DUMMYFUNCTION("""COMPUTED_VALUE"""),2023.0)</f>
        <v>2023</v>
      </c>
      <c r="I1583" s="14" t="str">
        <f>IFERROR(__xludf.DUMMYFUNCTION("""COMPUTED_VALUE"""),"UPI")</f>
        <v>UPI</v>
      </c>
      <c r="J1583" s="14" t="str">
        <f>IFERROR(__xludf.DUMMYFUNCTION("""COMPUTED_VALUE"""),"Delivered*On-time Delivery: Delivered on time")</f>
        <v>Delivered*On-time Delivery: Delivered on time</v>
      </c>
      <c r="K1583" s="14" t="str">
        <f>IFERROR(__xludf.DUMMYFUNCTION("split(E1583,""+"")"),"Cold Coffee")</f>
        <v>Cold Coffee</v>
      </c>
      <c r="L1583" s="14" t="str">
        <f>IFERROR(__xludf.DUMMYFUNCTION("""COMPUTED_VALUE"""),"5*Priya Joshi")</f>
        <v>5*Priya Joshi</v>
      </c>
      <c r="M1583" s="14">
        <f>IFERROR(__xludf.DUMMYFUNCTION("SPLIT(L1583,""*"")"),5.0)</f>
        <v>5</v>
      </c>
      <c r="N1583" s="14" t="str">
        <f>IFERROR(__xludf.DUMMYFUNCTION("""COMPUTED_VALUE"""),"Priya Joshi")</f>
        <v>Priya Joshi</v>
      </c>
      <c r="O1583" s="14" t="str">
        <f>IFERROR(__xludf.DUMMYFUNCTION("split(J1583,""*"")"),"Delivered")</f>
        <v>Delivered</v>
      </c>
      <c r="P1583" s="14" t="str">
        <f>IFERROR(__xludf.DUMMYFUNCTION("""COMPUTED_VALUE"""),"On-time Delivery: Delivered on time")</f>
        <v>On-time Delivery: Delivered on time</v>
      </c>
      <c r="Q1583" s="14" t="str">
        <f>IFERROR(__xludf.DUMMYFUNCTION("split(P1583,"":"")"),"On-time Delivery")</f>
        <v>On-time Delivery</v>
      </c>
      <c r="R1583" s="14" t="str">
        <f>IFERROR(__xludf.DUMMYFUNCTION("""COMPUTED_VALUE""")," Delivered on time")</f>
        <v> Delivered on time</v>
      </c>
      <c r="S1583" s="14" t="str">
        <f t="shared" ref="S1583:U1583" si="3169">trim(B1583)</f>
        <v>ord_71561</v>
      </c>
      <c r="T1583" s="14" t="str">
        <f t="shared" si="3169"/>
        <v>Dev Chauhan</v>
      </c>
      <c r="U1583" s="14" t="str">
        <f t="shared" si="3169"/>
        <v>Bandra</v>
      </c>
      <c r="V1583" s="14" t="str">
        <f t="shared" si="4"/>
        <v>Cold Coffee</v>
      </c>
      <c r="W1583" s="14">
        <f t="shared" si="5"/>
        <v>5</v>
      </c>
      <c r="X1583" s="14" t="str">
        <f t="shared" si="6"/>
        <v>Priya Joshi</v>
      </c>
      <c r="Y1583" s="15">
        <f t="shared" si="7"/>
        <v>45112</v>
      </c>
      <c r="Z1583" s="14" t="str">
        <f t="shared" si="8"/>
        <v>UPI</v>
      </c>
      <c r="AA1583" s="14" t="str">
        <f t="shared" si="9"/>
        <v>Delivered</v>
      </c>
      <c r="AB1583" s="14" t="str">
        <f t="shared" ref="AB1583:AC1583" si="3170">trim(Q1583)</f>
        <v>On-time Delivery</v>
      </c>
      <c r="AC1583" s="14" t="str">
        <f t="shared" si="3170"/>
        <v>Delivered on time</v>
      </c>
      <c r="AD1583" s="8"/>
    </row>
    <row r="1584">
      <c r="A1584" s="14" t="str">
        <f>IFERROR(__xludf.DUMMYFUNCTION("""COMPUTED_VALUE"""),"//ord_71562//Dev Chauhan//Bandra//Veg Puff+2*Priya Joshi/11/24/2023//Online Payment//Delivered*Quality of Items: Perfect condition")</f>
        <v>//ord_71562//Dev Chauhan//Bandra//Veg Puff+2*Priya Joshi/11/24/2023//Online Payment//Delivered*Quality of Items: Perfect condition</v>
      </c>
      <c r="B1584" s="14" t="str">
        <f>IFERROR(__xludf.DUMMYFUNCTION("split(A1584,""//"")"),"ord_71562")</f>
        <v>ord_71562</v>
      </c>
      <c r="C1584" s="14" t="str">
        <f>IFERROR(__xludf.DUMMYFUNCTION("""COMPUTED_VALUE"""),"Dev Chauhan")</f>
        <v>Dev Chauhan</v>
      </c>
      <c r="D1584" s="14" t="str">
        <f>IFERROR(__xludf.DUMMYFUNCTION("""COMPUTED_VALUE"""),"Bandra")</f>
        <v>Bandra</v>
      </c>
      <c r="E1584" s="14" t="str">
        <f>IFERROR(__xludf.DUMMYFUNCTION("""COMPUTED_VALUE"""),"Veg Puff+2*Priya Joshi")</f>
        <v>Veg Puff+2*Priya Joshi</v>
      </c>
      <c r="F1584" s="14">
        <f>IFERROR(__xludf.DUMMYFUNCTION("""COMPUTED_VALUE"""),11.0)</f>
        <v>11</v>
      </c>
      <c r="G1584" s="14">
        <f>IFERROR(__xludf.DUMMYFUNCTION("""COMPUTED_VALUE"""),24.0)</f>
        <v>24</v>
      </c>
      <c r="H1584" s="14">
        <f>IFERROR(__xludf.DUMMYFUNCTION("""COMPUTED_VALUE"""),2023.0)</f>
        <v>2023</v>
      </c>
      <c r="I1584" s="14" t="str">
        <f>IFERROR(__xludf.DUMMYFUNCTION("""COMPUTED_VALUE"""),"Online Payment")</f>
        <v>Online Payment</v>
      </c>
      <c r="J1584" s="14" t="str">
        <f>IFERROR(__xludf.DUMMYFUNCTION("""COMPUTED_VALUE"""),"Delivered*Quality of Items: Perfect condition")</f>
        <v>Delivered*Quality of Items: Perfect condition</v>
      </c>
      <c r="K1584" s="14" t="str">
        <f>IFERROR(__xludf.DUMMYFUNCTION("split(E1584,""+"")"),"Veg Puff")</f>
        <v>Veg Puff</v>
      </c>
      <c r="L1584" s="14" t="str">
        <f>IFERROR(__xludf.DUMMYFUNCTION("""COMPUTED_VALUE"""),"2*Priya Joshi")</f>
        <v>2*Priya Joshi</v>
      </c>
      <c r="M1584" s="14">
        <f>IFERROR(__xludf.DUMMYFUNCTION("SPLIT(L1584,""*"")"),2.0)</f>
        <v>2</v>
      </c>
      <c r="N1584" s="14" t="str">
        <f>IFERROR(__xludf.DUMMYFUNCTION("""COMPUTED_VALUE"""),"Priya Joshi")</f>
        <v>Priya Joshi</v>
      </c>
      <c r="O1584" s="14" t="str">
        <f>IFERROR(__xludf.DUMMYFUNCTION("split(J1584,""*"")"),"Delivered")</f>
        <v>Delivered</v>
      </c>
      <c r="P1584" s="14" t="str">
        <f>IFERROR(__xludf.DUMMYFUNCTION("""COMPUTED_VALUE"""),"Quality of Items: Perfect condition")</f>
        <v>Quality of Items: Perfect condition</v>
      </c>
      <c r="Q1584" s="14" t="str">
        <f>IFERROR(__xludf.DUMMYFUNCTION("split(P1584,"":"")"),"Quality of Items")</f>
        <v>Quality of Items</v>
      </c>
      <c r="R1584" s="14" t="str">
        <f>IFERROR(__xludf.DUMMYFUNCTION("""COMPUTED_VALUE""")," Perfect condition")</f>
        <v> Perfect condition</v>
      </c>
      <c r="S1584" s="14" t="str">
        <f t="shared" ref="S1584:U1584" si="3171">trim(B1584)</f>
        <v>ord_71562</v>
      </c>
      <c r="T1584" s="14" t="str">
        <f t="shared" si="3171"/>
        <v>Dev Chauhan</v>
      </c>
      <c r="U1584" s="14" t="str">
        <f t="shared" si="3171"/>
        <v>Bandra</v>
      </c>
      <c r="V1584" s="14" t="str">
        <f t="shared" si="4"/>
        <v>Veg Puff</v>
      </c>
      <c r="W1584" s="14">
        <f t="shared" si="5"/>
        <v>2</v>
      </c>
      <c r="X1584" s="14" t="str">
        <f t="shared" si="6"/>
        <v>Priya Joshi</v>
      </c>
      <c r="Y1584" s="15">
        <f t="shared" si="7"/>
        <v>45254</v>
      </c>
      <c r="Z1584" s="14" t="str">
        <f t="shared" si="8"/>
        <v>Online Payment</v>
      </c>
      <c r="AA1584" s="14" t="str">
        <f t="shared" si="9"/>
        <v>Delivered</v>
      </c>
      <c r="AB1584" s="14" t="str">
        <f t="shared" ref="AB1584:AC1584" si="3172">trim(Q1584)</f>
        <v>Quality of Items</v>
      </c>
      <c r="AC1584" s="14" t="str">
        <f t="shared" si="3172"/>
        <v>Perfect condition</v>
      </c>
      <c r="AD1584" s="8"/>
    </row>
    <row r="1585">
      <c r="A1585" s="14" t="str">
        <f>IFERROR(__xludf.DUMMYFUNCTION("""COMPUTED_VALUE"""),"//ord_71563//Aditi Iyer//Dadar//Rasmalai+2*Aman Kumar/9/3/2023//UPI//Delivered*Packaging: Secure and intact")</f>
        <v>//ord_71563//Aditi Iyer//Dadar//Rasmalai+2*Aman Kumar/9/3/2023//UPI//Delivered*Packaging: Secure and intact</v>
      </c>
      <c r="B1585" s="14" t="str">
        <f>IFERROR(__xludf.DUMMYFUNCTION("split(A1585,""//"")"),"ord_71563")</f>
        <v>ord_71563</v>
      </c>
      <c r="C1585" s="14" t="str">
        <f>IFERROR(__xludf.DUMMYFUNCTION("""COMPUTED_VALUE"""),"Aditi Iyer")</f>
        <v>Aditi Iyer</v>
      </c>
      <c r="D1585" s="14" t="str">
        <f>IFERROR(__xludf.DUMMYFUNCTION("""COMPUTED_VALUE"""),"Dadar")</f>
        <v>Dadar</v>
      </c>
      <c r="E1585" s="14" t="str">
        <f>IFERROR(__xludf.DUMMYFUNCTION("""COMPUTED_VALUE"""),"Rasmalai+2*Aman Kumar")</f>
        <v>Rasmalai+2*Aman Kumar</v>
      </c>
      <c r="F1585" s="14">
        <f>IFERROR(__xludf.DUMMYFUNCTION("""COMPUTED_VALUE"""),9.0)</f>
        <v>9</v>
      </c>
      <c r="G1585" s="14">
        <f>IFERROR(__xludf.DUMMYFUNCTION("""COMPUTED_VALUE"""),3.0)</f>
        <v>3</v>
      </c>
      <c r="H1585" s="14">
        <f>IFERROR(__xludf.DUMMYFUNCTION("""COMPUTED_VALUE"""),2023.0)</f>
        <v>2023</v>
      </c>
      <c r="I1585" s="14" t="str">
        <f>IFERROR(__xludf.DUMMYFUNCTION("""COMPUTED_VALUE"""),"UPI")</f>
        <v>UPI</v>
      </c>
      <c r="J1585" s="14" t="str">
        <f>IFERROR(__xludf.DUMMYFUNCTION("""COMPUTED_VALUE"""),"Delivered*Packaging: Secure and intact")</f>
        <v>Delivered*Packaging: Secure and intact</v>
      </c>
      <c r="K1585" s="14" t="str">
        <f>IFERROR(__xludf.DUMMYFUNCTION("split(E1585,""+"")"),"Rasmalai")</f>
        <v>Rasmalai</v>
      </c>
      <c r="L1585" s="14" t="str">
        <f>IFERROR(__xludf.DUMMYFUNCTION("""COMPUTED_VALUE"""),"2*Aman Kumar")</f>
        <v>2*Aman Kumar</v>
      </c>
      <c r="M1585" s="14">
        <f>IFERROR(__xludf.DUMMYFUNCTION("SPLIT(L1585,""*"")"),2.0)</f>
        <v>2</v>
      </c>
      <c r="N1585" s="14" t="str">
        <f>IFERROR(__xludf.DUMMYFUNCTION("""COMPUTED_VALUE"""),"Aman Kumar")</f>
        <v>Aman Kumar</v>
      </c>
      <c r="O1585" s="14" t="str">
        <f>IFERROR(__xludf.DUMMYFUNCTION("split(J1585,""*"")"),"Delivered")</f>
        <v>Delivered</v>
      </c>
      <c r="P1585" s="14" t="str">
        <f>IFERROR(__xludf.DUMMYFUNCTION("""COMPUTED_VALUE"""),"Packaging: Secure and intact")</f>
        <v>Packaging: Secure and intact</v>
      </c>
      <c r="Q1585" s="14" t="str">
        <f>IFERROR(__xludf.DUMMYFUNCTION("split(P1585,"":"")"),"Packaging")</f>
        <v>Packaging</v>
      </c>
      <c r="R1585" s="14" t="str">
        <f>IFERROR(__xludf.DUMMYFUNCTION("""COMPUTED_VALUE""")," Secure and intact")</f>
        <v> Secure and intact</v>
      </c>
      <c r="S1585" s="14" t="str">
        <f t="shared" ref="S1585:U1585" si="3173">trim(B1585)</f>
        <v>ord_71563</v>
      </c>
      <c r="T1585" s="14" t="str">
        <f t="shared" si="3173"/>
        <v>Aditi Iyer</v>
      </c>
      <c r="U1585" s="14" t="str">
        <f t="shared" si="3173"/>
        <v>Dadar</v>
      </c>
      <c r="V1585" s="14" t="str">
        <f t="shared" si="4"/>
        <v>Rasmalai</v>
      </c>
      <c r="W1585" s="14">
        <f t="shared" si="5"/>
        <v>2</v>
      </c>
      <c r="X1585" s="14" t="str">
        <f t="shared" si="6"/>
        <v>Aman Kumar</v>
      </c>
      <c r="Y1585" s="15">
        <f t="shared" si="7"/>
        <v>45172</v>
      </c>
      <c r="Z1585" s="14" t="str">
        <f t="shared" si="8"/>
        <v>UPI</v>
      </c>
      <c r="AA1585" s="14" t="str">
        <f t="shared" si="9"/>
        <v>Delivered</v>
      </c>
      <c r="AB1585" s="14" t="str">
        <f t="shared" ref="AB1585:AC1585" si="3174">trim(Q1585)</f>
        <v>Packaging</v>
      </c>
      <c r="AC1585" s="14" t="str">
        <f t="shared" si="3174"/>
        <v>Secure and intact</v>
      </c>
      <c r="AD1585" s="8"/>
    </row>
    <row r="1586">
      <c r="A1586" s="14" t="str">
        <f>IFERROR(__xludf.DUMMYFUNCTION("""COMPUTED_VALUE"""),"//ord_71564//Tanishq Bansal//Powai//Veg Puff+5*Sandeep Kumar/1/9/2023//Online Payment//Delivered*Satisfied with the Delivery: Timely and quality")</f>
        <v>//ord_71564//Tanishq Bansal//Powai//Veg Puff+5*Sandeep Kumar/1/9/2023//Online Payment//Delivered*Satisfied with the Delivery: Timely and quality</v>
      </c>
      <c r="B1586" s="14" t="str">
        <f>IFERROR(__xludf.DUMMYFUNCTION("split(A1586,""//"")"),"ord_71564")</f>
        <v>ord_71564</v>
      </c>
      <c r="C1586" s="14" t="str">
        <f>IFERROR(__xludf.DUMMYFUNCTION("""COMPUTED_VALUE"""),"Tanishq Bansal")</f>
        <v>Tanishq Bansal</v>
      </c>
      <c r="D1586" s="14" t="str">
        <f>IFERROR(__xludf.DUMMYFUNCTION("""COMPUTED_VALUE"""),"Powai")</f>
        <v>Powai</v>
      </c>
      <c r="E1586" s="14" t="str">
        <f>IFERROR(__xludf.DUMMYFUNCTION("""COMPUTED_VALUE"""),"Veg Puff+5*Sandeep Kumar")</f>
        <v>Veg Puff+5*Sandeep Kumar</v>
      </c>
      <c r="F1586" s="14">
        <f>IFERROR(__xludf.DUMMYFUNCTION("""COMPUTED_VALUE"""),1.0)</f>
        <v>1</v>
      </c>
      <c r="G1586" s="14">
        <f>IFERROR(__xludf.DUMMYFUNCTION("""COMPUTED_VALUE"""),9.0)</f>
        <v>9</v>
      </c>
      <c r="H1586" s="14">
        <f>IFERROR(__xludf.DUMMYFUNCTION("""COMPUTED_VALUE"""),2023.0)</f>
        <v>2023</v>
      </c>
      <c r="I1586" s="14" t="str">
        <f>IFERROR(__xludf.DUMMYFUNCTION("""COMPUTED_VALUE"""),"Online Payment")</f>
        <v>Online Payment</v>
      </c>
      <c r="J1586" s="14" t="str">
        <f>IFERROR(__xludf.DUMMYFUNCTION("""COMPUTED_VALUE"""),"Delivered*Satisfied with the Delivery: Timely and quality")</f>
        <v>Delivered*Satisfied with the Delivery: Timely and quality</v>
      </c>
      <c r="K1586" s="14" t="str">
        <f>IFERROR(__xludf.DUMMYFUNCTION("split(E1586,""+"")"),"Veg Puff")</f>
        <v>Veg Puff</v>
      </c>
      <c r="L1586" s="14" t="str">
        <f>IFERROR(__xludf.DUMMYFUNCTION("""COMPUTED_VALUE"""),"5*Sandeep Kumar")</f>
        <v>5*Sandeep Kumar</v>
      </c>
      <c r="M1586" s="14">
        <f>IFERROR(__xludf.DUMMYFUNCTION("SPLIT(L1586,""*"")"),5.0)</f>
        <v>5</v>
      </c>
      <c r="N1586" s="14" t="str">
        <f>IFERROR(__xludf.DUMMYFUNCTION("""COMPUTED_VALUE"""),"Sandeep Kumar")</f>
        <v>Sandeep Kumar</v>
      </c>
      <c r="O1586" s="14" t="str">
        <f>IFERROR(__xludf.DUMMYFUNCTION("split(J1586,""*"")"),"Delivered")</f>
        <v>Delivered</v>
      </c>
      <c r="P1586" s="14" t="str">
        <f>IFERROR(__xludf.DUMMYFUNCTION("""COMPUTED_VALUE"""),"Satisfied with the Delivery: Timely and quality")</f>
        <v>Satisfied with the Delivery: Timely and quality</v>
      </c>
      <c r="Q1586" s="14" t="str">
        <f>IFERROR(__xludf.DUMMYFUNCTION("split(P1586,"":"")"),"Satisfied with the Delivery")</f>
        <v>Satisfied with the Delivery</v>
      </c>
      <c r="R1586" s="14" t="str">
        <f>IFERROR(__xludf.DUMMYFUNCTION("""COMPUTED_VALUE""")," Timely and quality")</f>
        <v> Timely and quality</v>
      </c>
      <c r="S1586" s="14" t="str">
        <f t="shared" ref="S1586:U1586" si="3175">trim(B1586)</f>
        <v>ord_71564</v>
      </c>
      <c r="T1586" s="14" t="str">
        <f t="shared" si="3175"/>
        <v>Tanishq Bansal</v>
      </c>
      <c r="U1586" s="14" t="str">
        <f t="shared" si="3175"/>
        <v>Powai</v>
      </c>
      <c r="V1586" s="14" t="str">
        <f t="shared" si="4"/>
        <v>Veg Puff</v>
      </c>
      <c r="W1586" s="14">
        <f t="shared" si="5"/>
        <v>5</v>
      </c>
      <c r="X1586" s="14" t="str">
        <f t="shared" si="6"/>
        <v>Sandeep Kumar</v>
      </c>
      <c r="Y1586" s="15">
        <f t="shared" si="7"/>
        <v>44935</v>
      </c>
      <c r="Z1586" s="14" t="str">
        <f t="shared" si="8"/>
        <v>Online Payment</v>
      </c>
      <c r="AA1586" s="14" t="str">
        <f t="shared" si="9"/>
        <v>Delivered</v>
      </c>
      <c r="AB1586" s="14" t="str">
        <f t="shared" ref="AB1586:AC1586" si="3176">trim(Q1586)</f>
        <v>Satisfied with the Delivery</v>
      </c>
      <c r="AC1586" s="14" t="str">
        <f t="shared" si="3176"/>
        <v>Timely and quality</v>
      </c>
      <c r="AD1586" s="8"/>
    </row>
    <row r="1587">
      <c r="A1587" s="14" t="str">
        <f>IFERROR(__xludf.DUMMYFUNCTION("""COMPUTED_VALUE"""),"//ord_71565//Tanishq Bansal//Powai//Orange+2*Venu R/7/28/2023//UPI//Delivered*Customer Service: Seamless and easy")</f>
        <v>//ord_71565//Tanishq Bansal//Powai//Orange+2*Venu R/7/28/2023//UPI//Delivered*Customer Service: Seamless and easy</v>
      </c>
      <c r="B1587" s="14" t="str">
        <f>IFERROR(__xludf.DUMMYFUNCTION("split(A1587,""//"")"),"ord_71565")</f>
        <v>ord_71565</v>
      </c>
      <c r="C1587" s="14" t="str">
        <f>IFERROR(__xludf.DUMMYFUNCTION("""COMPUTED_VALUE"""),"Tanishq Bansal")</f>
        <v>Tanishq Bansal</v>
      </c>
      <c r="D1587" s="14" t="str">
        <f>IFERROR(__xludf.DUMMYFUNCTION("""COMPUTED_VALUE"""),"Powai")</f>
        <v>Powai</v>
      </c>
      <c r="E1587" s="14" t="str">
        <f>IFERROR(__xludf.DUMMYFUNCTION("""COMPUTED_VALUE"""),"Orange+2*Venu R")</f>
        <v>Orange+2*Venu R</v>
      </c>
      <c r="F1587" s="14">
        <f>IFERROR(__xludf.DUMMYFUNCTION("""COMPUTED_VALUE"""),7.0)</f>
        <v>7</v>
      </c>
      <c r="G1587" s="14">
        <f>IFERROR(__xludf.DUMMYFUNCTION("""COMPUTED_VALUE"""),28.0)</f>
        <v>28</v>
      </c>
      <c r="H1587" s="14">
        <f>IFERROR(__xludf.DUMMYFUNCTION("""COMPUTED_VALUE"""),2023.0)</f>
        <v>2023</v>
      </c>
      <c r="I1587" s="14" t="str">
        <f>IFERROR(__xludf.DUMMYFUNCTION("""COMPUTED_VALUE"""),"UPI")</f>
        <v>UPI</v>
      </c>
      <c r="J1587" s="14" t="str">
        <f>IFERROR(__xludf.DUMMYFUNCTION("""COMPUTED_VALUE"""),"Delivered*Customer Service: Seamless and easy")</f>
        <v>Delivered*Customer Service: Seamless and easy</v>
      </c>
      <c r="K1587" s="14" t="str">
        <f>IFERROR(__xludf.DUMMYFUNCTION("split(E1587,""+"")"),"Orange")</f>
        <v>Orange</v>
      </c>
      <c r="L1587" s="14" t="str">
        <f>IFERROR(__xludf.DUMMYFUNCTION("""COMPUTED_VALUE"""),"2*Venu R")</f>
        <v>2*Venu R</v>
      </c>
      <c r="M1587" s="14">
        <f>IFERROR(__xludf.DUMMYFUNCTION("SPLIT(L1587,""*"")"),2.0)</f>
        <v>2</v>
      </c>
      <c r="N1587" s="14" t="str">
        <f>IFERROR(__xludf.DUMMYFUNCTION("""COMPUTED_VALUE"""),"Venu R")</f>
        <v>Venu R</v>
      </c>
      <c r="O1587" s="14" t="str">
        <f>IFERROR(__xludf.DUMMYFUNCTION("split(J1587,""*"")"),"Delivered")</f>
        <v>Delivered</v>
      </c>
      <c r="P1587" s="14" t="str">
        <f>IFERROR(__xludf.DUMMYFUNCTION("""COMPUTED_VALUE"""),"Customer Service: Seamless and easy")</f>
        <v>Customer Service: Seamless and easy</v>
      </c>
      <c r="Q1587" s="14" t="str">
        <f>IFERROR(__xludf.DUMMYFUNCTION("split(P1587,"":"")"),"Customer Service")</f>
        <v>Customer Service</v>
      </c>
      <c r="R1587" s="14" t="str">
        <f>IFERROR(__xludf.DUMMYFUNCTION("""COMPUTED_VALUE""")," Seamless and easy")</f>
        <v> Seamless and easy</v>
      </c>
      <c r="S1587" s="14" t="str">
        <f t="shared" ref="S1587:U1587" si="3177">trim(B1587)</f>
        <v>ord_71565</v>
      </c>
      <c r="T1587" s="14" t="str">
        <f t="shared" si="3177"/>
        <v>Tanishq Bansal</v>
      </c>
      <c r="U1587" s="14" t="str">
        <f t="shared" si="3177"/>
        <v>Powai</v>
      </c>
      <c r="V1587" s="14" t="str">
        <f t="shared" si="4"/>
        <v>Orange</v>
      </c>
      <c r="W1587" s="14">
        <f t="shared" si="5"/>
        <v>2</v>
      </c>
      <c r="X1587" s="14" t="str">
        <f t="shared" si="6"/>
        <v>Venu R</v>
      </c>
      <c r="Y1587" s="15">
        <f t="shared" si="7"/>
        <v>45135</v>
      </c>
      <c r="Z1587" s="14" t="str">
        <f t="shared" si="8"/>
        <v>UPI</v>
      </c>
      <c r="AA1587" s="14" t="str">
        <f t="shared" si="9"/>
        <v>Delivered</v>
      </c>
      <c r="AB1587" s="14" t="str">
        <f t="shared" ref="AB1587:AC1587" si="3178">trim(Q1587)</f>
        <v>Customer Service</v>
      </c>
      <c r="AC1587" s="14" t="str">
        <f t="shared" si="3178"/>
        <v>Seamless and easy</v>
      </c>
      <c r="AD1587" s="8"/>
    </row>
    <row r="1588">
      <c r="A1588" s="14" t="str">
        <f>IFERROR(__xludf.DUMMYFUNCTION("""COMPUTED_VALUE"""),"//ord_71566//Dev Chauhan//Bandra//Icecream+1*Venu R/9/28/2023//Online Payment//Delivered*Delivery Experience: Quick and professional")</f>
        <v>//ord_71566//Dev Chauhan//Bandra//Icecream+1*Venu R/9/28/2023//Online Payment//Delivered*Delivery Experience: Quick and professional</v>
      </c>
      <c r="B1588" s="14" t="str">
        <f>IFERROR(__xludf.DUMMYFUNCTION("split(A1588,""//"")"),"ord_71566")</f>
        <v>ord_71566</v>
      </c>
      <c r="C1588" s="14" t="str">
        <f>IFERROR(__xludf.DUMMYFUNCTION("""COMPUTED_VALUE"""),"Dev Chauhan")</f>
        <v>Dev Chauhan</v>
      </c>
      <c r="D1588" s="14" t="str">
        <f>IFERROR(__xludf.DUMMYFUNCTION("""COMPUTED_VALUE"""),"Bandra")</f>
        <v>Bandra</v>
      </c>
      <c r="E1588" s="14" t="str">
        <f>IFERROR(__xludf.DUMMYFUNCTION("""COMPUTED_VALUE"""),"Icecream+1*Venu R")</f>
        <v>Icecream+1*Venu R</v>
      </c>
      <c r="F1588" s="14">
        <f>IFERROR(__xludf.DUMMYFUNCTION("""COMPUTED_VALUE"""),9.0)</f>
        <v>9</v>
      </c>
      <c r="G1588" s="14">
        <f>IFERROR(__xludf.DUMMYFUNCTION("""COMPUTED_VALUE"""),28.0)</f>
        <v>28</v>
      </c>
      <c r="H1588" s="14">
        <f>IFERROR(__xludf.DUMMYFUNCTION("""COMPUTED_VALUE"""),2023.0)</f>
        <v>2023</v>
      </c>
      <c r="I1588" s="14" t="str">
        <f>IFERROR(__xludf.DUMMYFUNCTION("""COMPUTED_VALUE"""),"Online Payment")</f>
        <v>Online Payment</v>
      </c>
      <c r="J1588" s="14" t="str">
        <f>IFERROR(__xludf.DUMMYFUNCTION("""COMPUTED_VALUE"""),"Delivered*Delivery Experience: Quick and professional")</f>
        <v>Delivered*Delivery Experience: Quick and professional</v>
      </c>
      <c r="K1588" s="14" t="str">
        <f>IFERROR(__xludf.DUMMYFUNCTION("split(E1588,""+"")"),"Icecream")</f>
        <v>Icecream</v>
      </c>
      <c r="L1588" s="14" t="str">
        <f>IFERROR(__xludf.DUMMYFUNCTION("""COMPUTED_VALUE"""),"1*Venu R")</f>
        <v>1*Venu R</v>
      </c>
      <c r="M1588" s="14">
        <f>IFERROR(__xludf.DUMMYFUNCTION("SPLIT(L1588,""*"")"),1.0)</f>
        <v>1</v>
      </c>
      <c r="N1588" s="14" t="str">
        <f>IFERROR(__xludf.DUMMYFUNCTION("""COMPUTED_VALUE"""),"Venu R")</f>
        <v>Venu R</v>
      </c>
      <c r="O1588" s="14" t="str">
        <f>IFERROR(__xludf.DUMMYFUNCTION("split(J1588,""*"")"),"Delivered")</f>
        <v>Delivered</v>
      </c>
      <c r="P1588" s="14" t="str">
        <f>IFERROR(__xludf.DUMMYFUNCTION("""COMPUTED_VALUE"""),"Delivery Experience: Quick and professional")</f>
        <v>Delivery Experience: Quick and professional</v>
      </c>
      <c r="Q1588" s="14" t="str">
        <f>IFERROR(__xludf.DUMMYFUNCTION("split(P1588,"":"")"),"Delivery Experience")</f>
        <v>Delivery Experience</v>
      </c>
      <c r="R1588" s="14" t="str">
        <f>IFERROR(__xludf.DUMMYFUNCTION("""COMPUTED_VALUE""")," Quick and professional")</f>
        <v> Quick and professional</v>
      </c>
      <c r="S1588" s="14" t="str">
        <f t="shared" ref="S1588:U1588" si="3179">trim(B1588)</f>
        <v>ord_71566</v>
      </c>
      <c r="T1588" s="14" t="str">
        <f t="shared" si="3179"/>
        <v>Dev Chauhan</v>
      </c>
      <c r="U1588" s="14" t="str">
        <f t="shared" si="3179"/>
        <v>Bandra</v>
      </c>
      <c r="V1588" s="14" t="str">
        <f t="shared" si="4"/>
        <v>Icecream</v>
      </c>
      <c r="W1588" s="14">
        <f t="shared" si="5"/>
        <v>1</v>
      </c>
      <c r="X1588" s="14" t="str">
        <f t="shared" si="6"/>
        <v>Venu R</v>
      </c>
      <c r="Y1588" s="15">
        <f t="shared" si="7"/>
        <v>45197</v>
      </c>
      <c r="Z1588" s="14" t="str">
        <f t="shared" si="8"/>
        <v>Online Payment</v>
      </c>
      <c r="AA1588" s="14" t="str">
        <f t="shared" si="9"/>
        <v>Delivered</v>
      </c>
      <c r="AB1588" s="14" t="str">
        <f t="shared" ref="AB1588:AC1588" si="3180">trim(Q1588)</f>
        <v>Delivery Experience</v>
      </c>
      <c r="AC1588" s="14" t="str">
        <f t="shared" si="3180"/>
        <v>Quick and professional</v>
      </c>
      <c r="AD1588" s="8"/>
    </row>
    <row r="1589">
      <c r="A1589" s="14" t="str">
        <f>IFERROR(__xludf.DUMMYFUNCTION("""COMPUTED_VALUE"""),"//ord_71567//Pranav Joshi//Andheri//Tomato+1*Vivek Kumar/5/20/2023//Credit Card//Delivered*Convenience: Easy tracking")</f>
        <v>//ord_71567//Pranav Joshi//Andheri//Tomato+1*Vivek Kumar/5/20/2023//Credit Card//Delivered*Convenience: Easy tracking</v>
      </c>
      <c r="B1589" s="14" t="str">
        <f>IFERROR(__xludf.DUMMYFUNCTION("split(A1589,""//"")"),"ord_71567")</f>
        <v>ord_71567</v>
      </c>
      <c r="C1589" s="14" t="str">
        <f>IFERROR(__xludf.DUMMYFUNCTION("""COMPUTED_VALUE"""),"Pranav Joshi")</f>
        <v>Pranav Joshi</v>
      </c>
      <c r="D1589" s="14" t="str">
        <f>IFERROR(__xludf.DUMMYFUNCTION("""COMPUTED_VALUE"""),"Andheri")</f>
        <v>Andheri</v>
      </c>
      <c r="E1589" s="14" t="str">
        <f>IFERROR(__xludf.DUMMYFUNCTION("""COMPUTED_VALUE"""),"Tomato+1*Vivek Kumar")</f>
        <v>Tomato+1*Vivek Kumar</v>
      </c>
      <c r="F1589" s="14">
        <f>IFERROR(__xludf.DUMMYFUNCTION("""COMPUTED_VALUE"""),5.0)</f>
        <v>5</v>
      </c>
      <c r="G1589" s="14">
        <f>IFERROR(__xludf.DUMMYFUNCTION("""COMPUTED_VALUE"""),20.0)</f>
        <v>20</v>
      </c>
      <c r="H1589" s="14">
        <f>IFERROR(__xludf.DUMMYFUNCTION("""COMPUTED_VALUE"""),2023.0)</f>
        <v>2023</v>
      </c>
      <c r="I1589" s="14" t="str">
        <f>IFERROR(__xludf.DUMMYFUNCTION("""COMPUTED_VALUE"""),"Credit Card")</f>
        <v>Credit Card</v>
      </c>
      <c r="J1589" s="14" t="str">
        <f>IFERROR(__xludf.DUMMYFUNCTION("""COMPUTED_VALUE"""),"Delivered*Convenience: Easy tracking")</f>
        <v>Delivered*Convenience: Easy tracking</v>
      </c>
      <c r="K1589" s="14" t="str">
        <f>IFERROR(__xludf.DUMMYFUNCTION("split(E1589,""+"")"),"Tomato")</f>
        <v>Tomato</v>
      </c>
      <c r="L1589" s="14" t="str">
        <f>IFERROR(__xludf.DUMMYFUNCTION("""COMPUTED_VALUE"""),"1*Vivek Kumar")</f>
        <v>1*Vivek Kumar</v>
      </c>
      <c r="M1589" s="14">
        <f>IFERROR(__xludf.DUMMYFUNCTION("SPLIT(L1589,""*"")"),1.0)</f>
        <v>1</v>
      </c>
      <c r="N1589" s="14" t="str">
        <f>IFERROR(__xludf.DUMMYFUNCTION("""COMPUTED_VALUE"""),"Vivek Kumar")</f>
        <v>Vivek Kumar</v>
      </c>
      <c r="O1589" s="14" t="str">
        <f>IFERROR(__xludf.DUMMYFUNCTION("split(J1589,""*"")"),"Delivered")</f>
        <v>Delivered</v>
      </c>
      <c r="P1589" s="14" t="str">
        <f>IFERROR(__xludf.DUMMYFUNCTION("""COMPUTED_VALUE"""),"Convenience: Easy tracking")</f>
        <v>Convenience: Easy tracking</v>
      </c>
      <c r="Q1589" s="14" t="str">
        <f>IFERROR(__xludf.DUMMYFUNCTION("split(P1589,"":"")"),"Convenience")</f>
        <v>Convenience</v>
      </c>
      <c r="R1589" s="14" t="str">
        <f>IFERROR(__xludf.DUMMYFUNCTION("""COMPUTED_VALUE""")," Easy tracking")</f>
        <v> Easy tracking</v>
      </c>
      <c r="S1589" s="14" t="str">
        <f t="shared" ref="S1589:U1589" si="3181">trim(B1589)</f>
        <v>ord_71567</v>
      </c>
      <c r="T1589" s="14" t="str">
        <f t="shared" si="3181"/>
        <v>Pranav Joshi</v>
      </c>
      <c r="U1589" s="14" t="str">
        <f t="shared" si="3181"/>
        <v>Andheri</v>
      </c>
      <c r="V1589" s="14" t="str">
        <f t="shared" si="4"/>
        <v>Tomato</v>
      </c>
      <c r="W1589" s="14">
        <f t="shared" si="5"/>
        <v>1</v>
      </c>
      <c r="X1589" s="14" t="str">
        <f t="shared" si="6"/>
        <v>Vivek Kumar</v>
      </c>
      <c r="Y1589" s="15">
        <f t="shared" si="7"/>
        <v>45066</v>
      </c>
      <c r="Z1589" s="14" t="str">
        <f t="shared" si="8"/>
        <v>Credit Card</v>
      </c>
      <c r="AA1589" s="14" t="str">
        <f t="shared" si="9"/>
        <v>Delivered</v>
      </c>
      <c r="AB1589" s="14" t="str">
        <f t="shared" ref="AB1589:AC1589" si="3182">trim(Q1589)</f>
        <v>Convenience</v>
      </c>
      <c r="AC1589" s="14" t="str">
        <f t="shared" si="3182"/>
        <v>Easy tracking</v>
      </c>
      <c r="AD1589" s="8"/>
    </row>
    <row r="1590">
      <c r="A1590" s="14" t="str">
        <f>IFERROR(__xludf.DUMMYFUNCTION("""COMPUTED_VALUE"""),"//ord_71568//Ishaan Chaturvedi//Bandra//Banana+2*Sita T/10/21/2023//UPI//Delivered*Overall Satisfaction: Great service will order again")</f>
        <v>//ord_71568//Ishaan Chaturvedi//Bandra//Banana+2*Sita T/10/21/2023//UPI//Delivered*Overall Satisfaction: Great service will order again</v>
      </c>
      <c r="B1590" s="14" t="str">
        <f>IFERROR(__xludf.DUMMYFUNCTION("split(A1590,""//"")"),"ord_71568")</f>
        <v>ord_71568</v>
      </c>
      <c r="C1590" s="14" t="str">
        <f>IFERROR(__xludf.DUMMYFUNCTION("""COMPUTED_VALUE"""),"Ishaan Chaturvedi")</f>
        <v>Ishaan Chaturvedi</v>
      </c>
      <c r="D1590" s="14" t="str">
        <f>IFERROR(__xludf.DUMMYFUNCTION("""COMPUTED_VALUE"""),"Bandra")</f>
        <v>Bandra</v>
      </c>
      <c r="E1590" s="14" t="str">
        <f>IFERROR(__xludf.DUMMYFUNCTION("""COMPUTED_VALUE"""),"Banana+2*Sita T")</f>
        <v>Banana+2*Sita T</v>
      </c>
      <c r="F1590" s="14">
        <f>IFERROR(__xludf.DUMMYFUNCTION("""COMPUTED_VALUE"""),10.0)</f>
        <v>10</v>
      </c>
      <c r="G1590" s="14">
        <f>IFERROR(__xludf.DUMMYFUNCTION("""COMPUTED_VALUE"""),21.0)</f>
        <v>21</v>
      </c>
      <c r="H1590" s="14">
        <f>IFERROR(__xludf.DUMMYFUNCTION("""COMPUTED_VALUE"""),2023.0)</f>
        <v>2023</v>
      </c>
      <c r="I1590" s="14" t="str">
        <f>IFERROR(__xludf.DUMMYFUNCTION("""COMPUTED_VALUE"""),"UPI")</f>
        <v>UPI</v>
      </c>
      <c r="J1590" s="14" t="str">
        <f>IFERROR(__xludf.DUMMYFUNCTION("""COMPUTED_VALUE"""),"Delivered*Overall Satisfaction: Great service will order again")</f>
        <v>Delivered*Overall Satisfaction: Great service will order again</v>
      </c>
      <c r="K1590" s="14" t="str">
        <f>IFERROR(__xludf.DUMMYFUNCTION("split(E1590,""+"")"),"Banana")</f>
        <v>Banana</v>
      </c>
      <c r="L1590" s="14" t="str">
        <f>IFERROR(__xludf.DUMMYFUNCTION("""COMPUTED_VALUE"""),"2*Sita T")</f>
        <v>2*Sita T</v>
      </c>
      <c r="M1590" s="14">
        <f>IFERROR(__xludf.DUMMYFUNCTION("SPLIT(L1590,""*"")"),2.0)</f>
        <v>2</v>
      </c>
      <c r="N1590" s="14" t="str">
        <f>IFERROR(__xludf.DUMMYFUNCTION("""COMPUTED_VALUE"""),"Sita T")</f>
        <v>Sita T</v>
      </c>
      <c r="O1590" s="14" t="str">
        <f>IFERROR(__xludf.DUMMYFUNCTION("split(J1590,""*"")"),"Delivered")</f>
        <v>Delivered</v>
      </c>
      <c r="P1590" s="14" t="str">
        <f>IFERROR(__xludf.DUMMYFUNCTION("""COMPUTED_VALUE"""),"Overall Satisfaction: Great service will order again")</f>
        <v>Overall Satisfaction: Great service will order again</v>
      </c>
      <c r="Q1590" s="14" t="str">
        <f>IFERROR(__xludf.DUMMYFUNCTION("split(P1590,"":"")"),"Overall Satisfaction")</f>
        <v>Overall Satisfaction</v>
      </c>
      <c r="R1590" s="14" t="str">
        <f>IFERROR(__xludf.DUMMYFUNCTION("""COMPUTED_VALUE""")," Great service will order again")</f>
        <v> Great service will order again</v>
      </c>
      <c r="S1590" s="14" t="str">
        <f t="shared" ref="S1590:U1590" si="3183">trim(B1590)</f>
        <v>ord_71568</v>
      </c>
      <c r="T1590" s="14" t="str">
        <f t="shared" si="3183"/>
        <v>Ishaan Chaturvedi</v>
      </c>
      <c r="U1590" s="14" t="str">
        <f t="shared" si="3183"/>
        <v>Bandra</v>
      </c>
      <c r="V1590" s="14" t="str">
        <f t="shared" si="4"/>
        <v>Banana</v>
      </c>
      <c r="W1590" s="14">
        <f t="shared" si="5"/>
        <v>2</v>
      </c>
      <c r="X1590" s="14" t="str">
        <f t="shared" si="6"/>
        <v>Sita T</v>
      </c>
      <c r="Y1590" s="15">
        <f t="shared" si="7"/>
        <v>45220</v>
      </c>
      <c r="Z1590" s="14" t="str">
        <f t="shared" si="8"/>
        <v>UPI</v>
      </c>
      <c r="AA1590" s="14" t="str">
        <f t="shared" si="9"/>
        <v>Delivered</v>
      </c>
      <c r="AB1590" s="14" t="str">
        <f t="shared" ref="AB1590:AC1590" si="3184">trim(Q1590)</f>
        <v>Overall Satisfaction</v>
      </c>
      <c r="AC1590" s="14" t="str">
        <f t="shared" si="3184"/>
        <v>Great service will order again</v>
      </c>
      <c r="AD1590" s="8"/>
    </row>
    <row r="1591">
      <c r="A1591" s="14" t="str">
        <f>IFERROR(__xludf.DUMMYFUNCTION("""COMPUTED_VALUE"""),"//ord_71569//Ishita Banerjee//Juhu//Tomato+2*Not Assigned/12/4/2023//Credit Card//Cancelled*App Glitches: Payment Button Malfunction")</f>
        <v>//ord_71569//Ishita Banerjee//Juhu//Tomato+2*Not Assigned/12/4/2023//Credit Card//Cancelled*App Glitches: Payment Button Malfunction</v>
      </c>
      <c r="B1591" s="14" t="str">
        <f>IFERROR(__xludf.DUMMYFUNCTION("split(A1591,""//"")"),"ord_71569")</f>
        <v>ord_71569</v>
      </c>
      <c r="C1591" s="14" t="str">
        <f>IFERROR(__xludf.DUMMYFUNCTION("""COMPUTED_VALUE"""),"Ishita Banerjee")</f>
        <v>Ishita Banerjee</v>
      </c>
      <c r="D1591" s="14" t="str">
        <f>IFERROR(__xludf.DUMMYFUNCTION("""COMPUTED_VALUE"""),"Juhu")</f>
        <v>Juhu</v>
      </c>
      <c r="E1591" s="14" t="str">
        <f>IFERROR(__xludf.DUMMYFUNCTION("""COMPUTED_VALUE"""),"Tomato+2*Not Assigned")</f>
        <v>Tomato+2*Not Assigned</v>
      </c>
      <c r="F1591" s="14">
        <f>IFERROR(__xludf.DUMMYFUNCTION("""COMPUTED_VALUE"""),12.0)</f>
        <v>12</v>
      </c>
      <c r="G1591" s="14">
        <f>IFERROR(__xludf.DUMMYFUNCTION("""COMPUTED_VALUE"""),4.0)</f>
        <v>4</v>
      </c>
      <c r="H1591" s="14">
        <f>IFERROR(__xludf.DUMMYFUNCTION("""COMPUTED_VALUE"""),2023.0)</f>
        <v>2023</v>
      </c>
      <c r="I1591" s="14" t="str">
        <f>IFERROR(__xludf.DUMMYFUNCTION("""COMPUTED_VALUE"""),"Credit Card")</f>
        <v>Credit Card</v>
      </c>
      <c r="J1591" s="14" t="str">
        <f>IFERROR(__xludf.DUMMYFUNCTION("""COMPUTED_VALUE"""),"Cancelled*App Glitches: Payment Button Malfunction")</f>
        <v>Cancelled*App Glitches: Payment Button Malfunction</v>
      </c>
      <c r="K1591" s="14" t="str">
        <f>IFERROR(__xludf.DUMMYFUNCTION("split(E1591,""+"")"),"Tomato")</f>
        <v>Tomato</v>
      </c>
      <c r="L1591" s="14" t="str">
        <f>IFERROR(__xludf.DUMMYFUNCTION("""COMPUTED_VALUE"""),"2*Not Assigned")</f>
        <v>2*Not Assigned</v>
      </c>
      <c r="M1591" s="14">
        <f>IFERROR(__xludf.DUMMYFUNCTION("SPLIT(L1591,""*"")"),2.0)</f>
        <v>2</v>
      </c>
      <c r="N1591" s="14" t="str">
        <f>IFERROR(__xludf.DUMMYFUNCTION("""COMPUTED_VALUE"""),"Not Assigned")</f>
        <v>Not Assigned</v>
      </c>
      <c r="O1591" s="14" t="str">
        <f>IFERROR(__xludf.DUMMYFUNCTION("split(J1591,""*"")"),"Cancelled")</f>
        <v>Cancelled</v>
      </c>
      <c r="P1591" s="14" t="str">
        <f>IFERROR(__xludf.DUMMYFUNCTION("""COMPUTED_VALUE"""),"App Glitches: Payment Button Malfunction")</f>
        <v>App Glitches: Payment Button Malfunction</v>
      </c>
      <c r="Q1591" s="14" t="str">
        <f>IFERROR(__xludf.DUMMYFUNCTION("split(P1591,"":"")"),"App Glitches")</f>
        <v>App Glitches</v>
      </c>
      <c r="R1591" s="14" t="str">
        <f>IFERROR(__xludf.DUMMYFUNCTION("""COMPUTED_VALUE""")," Payment Button Malfunction")</f>
        <v> Payment Button Malfunction</v>
      </c>
      <c r="S1591" s="14" t="str">
        <f t="shared" ref="S1591:U1591" si="3185">trim(B1591)</f>
        <v>ord_71569</v>
      </c>
      <c r="T1591" s="14" t="str">
        <f t="shared" si="3185"/>
        <v>Ishita Banerjee</v>
      </c>
      <c r="U1591" s="14" t="str">
        <f t="shared" si="3185"/>
        <v>Juhu</v>
      </c>
      <c r="V1591" s="14" t="str">
        <f t="shared" si="4"/>
        <v>Tomato</v>
      </c>
      <c r="W1591" s="14">
        <f t="shared" si="5"/>
        <v>2</v>
      </c>
      <c r="X1591" s="14" t="str">
        <f t="shared" si="6"/>
        <v>Not Assigned</v>
      </c>
      <c r="Y1591" s="15">
        <f t="shared" si="7"/>
        <v>45264</v>
      </c>
      <c r="Z1591" s="14" t="str">
        <f t="shared" si="8"/>
        <v>Credit Card</v>
      </c>
      <c r="AA1591" s="14" t="str">
        <f t="shared" si="9"/>
        <v>Cancelled</v>
      </c>
      <c r="AB1591" s="14" t="str">
        <f t="shared" ref="AB1591:AC1591" si="3186">trim(Q1591)</f>
        <v>App Glitches</v>
      </c>
      <c r="AC1591" s="14" t="str">
        <f t="shared" si="3186"/>
        <v>Payment Button Malfunction</v>
      </c>
      <c r="AD1591" s="8"/>
    </row>
    <row r="1592">
      <c r="A1592" s="14" t="str">
        <f>IFERROR(__xludf.DUMMYFUNCTION("""COMPUTED_VALUE"""),"//ord_71570//Aarav Mehta//Andheri//Chicken Puff+1*Ramesh S/11/18/2023//UPI//Delivered*On-time Delivery: Delivered on time")</f>
        <v>//ord_71570//Aarav Mehta//Andheri//Chicken Puff+1*Ramesh S/11/18/2023//UPI//Delivered*On-time Delivery: Delivered on time</v>
      </c>
      <c r="B1592" s="14" t="str">
        <f>IFERROR(__xludf.DUMMYFUNCTION("split(A1592,""//"")"),"ord_71570")</f>
        <v>ord_71570</v>
      </c>
      <c r="C1592" s="14" t="str">
        <f>IFERROR(__xludf.DUMMYFUNCTION("""COMPUTED_VALUE"""),"Aarav Mehta")</f>
        <v>Aarav Mehta</v>
      </c>
      <c r="D1592" s="14" t="str">
        <f>IFERROR(__xludf.DUMMYFUNCTION("""COMPUTED_VALUE"""),"Andheri")</f>
        <v>Andheri</v>
      </c>
      <c r="E1592" s="14" t="str">
        <f>IFERROR(__xludf.DUMMYFUNCTION("""COMPUTED_VALUE"""),"Chicken Puff+1*Ramesh S")</f>
        <v>Chicken Puff+1*Ramesh S</v>
      </c>
      <c r="F1592" s="14">
        <f>IFERROR(__xludf.DUMMYFUNCTION("""COMPUTED_VALUE"""),11.0)</f>
        <v>11</v>
      </c>
      <c r="G1592" s="14">
        <f>IFERROR(__xludf.DUMMYFUNCTION("""COMPUTED_VALUE"""),18.0)</f>
        <v>18</v>
      </c>
      <c r="H1592" s="14">
        <f>IFERROR(__xludf.DUMMYFUNCTION("""COMPUTED_VALUE"""),2023.0)</f>
        <v>2023</v>
      </c>
      <c r="I1592" s="14" t="str">
        <f>IFERROR(__xludf.DUMMYFUNCTION("""COMPUTED_VALUE"""),"UPI")</f>
        <v>UPI</v>
      </c>
      <c r="J1592" s="14" t="str">
        <f>IFERROR(__xludf.DUMMYFUNCTION("""COMPUTED_VALUE"""),"Delivered*On-time Delivery: Delivered on time")</f>
        <v>Delivered*On-time Delivery: Delivered on time</v>
      </c>
      <c r="K1592" s="14" t="str">
        <f>IFERROR(__xludf.DUMMYFUNCTION("split(E1592,""+"")"),"Chicken Puff")</f>
        <v>Chicken Puff</v>
      </c>
      <c r="L1592" s="14" t="str">
        <f>IFERROR(__xludf.DUMMYFUNCTION("""COMPUTED_VALUE"""),"1*Ramesh S")</f>
        <v>1*Ramesh S</v>
      </c>
      <c r="M1592" s="14">
        <f>IFERROR(__xludf.DUMMYFUNCTION("SPLIT(L1592,""*"")"),1.0)</f>
        <v>1</v>
      </c>
      <c r="N1592" s="14" t="str">
        <f>IFERROR(__xludf.DUMMYFUNCTION("""COMPUTED_VALUE"""),"Ramesh S")</f>
        <v>Ramesh S</v>
      </c>
      <c r="O1592" s="14" t="str">
        <f>IFERROR(__xludf.DUMMYFUNCTION("split(J1592,""*"")"),"Delivered")</f>
        <v>Delivered</v>
      </c>
      <c r="P1592" s="14" t="str">
        <f>IFERROR(__xludf.DUMMYFUNCTION("""COMPUTED_VALUE"""),"On-time Delivery: Delivered on time")</f>
        <v>On-time Delivery: Delivered on time</v>
      </c>
      <c r="Q1592" s="14" t="str">
        <f>IFERROR(__xludf.DUMMYFUNCTION("split(P1592,"":"")"),"On-time Delivery")</f>
        <v>On-time Delivery</v>
      </c>
      <c r="R1592" s="14" t="str">
        <f>IFERROR(__xludf.DUMMYFUNCTION("""COMPUTED_VALUE""")," Delivered on time")</f>
        <v> Delivered on time</v>
      </c>
      <c r="S1592" s="14" t="str">
        <f t="shared" ref="S1592:U1592" si="3187">trim(B1592)</f>
        <v>ord_71570</v>
      </c>
      <c r="T1592" s="14" t="str">
        <f t="shared" si="3187"/>
        <v>Aarav Mehta</v>
      </c>
      <c r="U1592" s="14" t="str">
        <f t="shared" si="3187"/>
        <v>Andheri</v>
      </c>
      <c r="V1592" s="14" t="str">
        <f t="shared" si="4"/>
        <v>Chicken Puff</v>
      </c>
      <c r="W1592" s="14">
        <f t="shared" si="5"/>
        <v>1</v>
      </c>
      <c r="X1592" s="14" t="str">
        <f t="shared" si="6"/>
        <v>Ramesh S</v>
      </c>
      <c r="Y1592" s="15">
        <f t="shared" si="7"/>
        <v>45248</v>
      </c>
      <c r="Z1592" s="14" t="str">
        <f t="shared" si="8"/>
        <v>UPI</v>
      </c>
      <c r="AA1592" s="14" t="str">
        <f t="shared" si="9"/>
        <v>Delivered</v>
      </c>
      <c r="AB1592" s="14" t="str">
        <f t="shared" ref="AB1592:AC1592" si="3188">trim(Q1592)</f>
        <v>On-time Delivery</v>
      </c>
      <c r="AC1592" s="14" t="str">
        <f t="shared" si="3188"/>
        <v>Delivered on time</v>
      </c>
      <c r="AD1592" s="8"/>
    </row>
    <row r="1593">
      <c r="A1593" s="14" t="str">
        <f>IFERROR(__xludf.DUMMYFUNCTION("""COMPUTED_VALUE"""),"//ord_71571//Arvind Kulkarni//Juhu//Chilli Cheese Toast+5*Sita T/8/4/2023//UPI//Delivered*Quality of Items: Perfect condition")</f>
        <v>//ord_71571//Arvind Kulkarni//Juhu//Chilli Cheese Toast+5*Sita T/8/4/2023//UPI//Delivered*Quality of Items: Perfect condition</v>
      </c>
      <c r="B1593" s="14" t="str">
        <f>IFERROR(__xludf.DUMMYFUNCTION("split(A1593,""//"")"),"ord_71571")</f>
        <v>ord_71571</v>
      </c>
      <c r="C1593" s="14" t="str">
        <f>IFERROR(__xludf.DUMMYFUNCTION("""COMPUTED_VALUE"""),"Arvind Kulkarni")</f>
        <v>Arvind Kulkarni</v>
      </c>
      <c r="D1593" s="14" t="str">
        <f>IFERROR(__xludf.DUMMYFUNCTION("""COMPUTED_VALUE"""),"Juhu")</f>
        <v>Juhu</v>
      </c>
      <c r="E1593" s="14" t="str">
        <f>IFERROR(__xludf.DUMMYFUNCTION("""COMPUTED_VALUE"""),"Chilli Cheese Toast+5*Sita T")</f>
        <v>Chilli Cheese Toast+5*Sita T</v>
      </c>
      <c r="F1593" s="14">
        <f>IFERROR(__xludf.DUMMYFUNCTION("""COMPUTED_VALUE"""),8.0)</f>
        <v>8</v>
      </c>
      <c r="G1593" s="14">
        <f>IFERROR(__xludf.DUMMYFUNCTION("""COMPUTED_VALUE"""),4.0)</f>
        <v>4</v>
      </c>
      <c r="H1593" s="14">
        <f>IFERROR(__xludf.DUMMYFUNCTION("""COMPUTED_VALUE"""),2023.0)</f>
        <v>2023</v>
      </c>
      <c r="I1593" s="14" t="str">
        <f>IFERROR(__xludf.DUMMYFUNCTION("""COMPUTED_VALUE"""),"UPI")</f>
        <v>UPI</v>
      </c>
      <c r="J1593" s="14" t="str">
        <f>IFERROR(__xludf.DUMMYFUNCTION("""COMPUTED_VALUE"""),"Delivered*Quality of Items: Perfect condition")</f>
        <v>Delivered*Quality of Items: Perfect condition</v>
      </c>
      <c r="K1593" s="14" t="str">
        <f>IFERROR(__xludf.DUMMYFUNCTION("split(E1593,""+"")"),"Chilli Cheese Toast")</f>
        <v>Chilli Cheese Toast</v>
      </c>
      <c r="L1593" s="14" t="str">
        <f>IFERROR(__xludf.DUMMYFUNCTION("""COMPUTED_VALUE"""),"5*Sita T")</f>
        <v>5*Sita T</v>
      </c>
      <c r="M1593" s="14">
        <f>IFERROR(__xludf.DUMMYFUNCTION("SPLIT(L1593,""*"")"),5.0)</f>
        <v>5</v>
      </c>
      <c r="N1593" s="14" t="str">
        <f>IFERROR(__xludf.DUMMYFUNCTION("""COMPUTED_VALUE"""),"Sita T")</f>
        <v>Sita T</v>
      </c>
      <c r="O1593" s="14" t="str">
        <f>IFERROR(__xludf.DUMMYFUNCTION("split(J1593,""*"")"),"Delivered")</f>
        <v>Delivered</v>
      </c>
      <c r="P1593" s="14" t="str">
        <f>IFERROR(__xludf.DUMMYFUNCTION("""COMPUTED_VALUE"""),"Quality of Items: Perfect condition")</f>
        <v>Quality of Items: Perfect condition</v>
      </c>
      <c r="Q1593" s="14" t="str">
        <f>IFERROR(__xludf.DUMMYFUNCTION("split(P1593,"":"")"),"Quality of Items")</f>
        <v>Quality of Items</v>
      </c>
      <c r="R1593" s="14" t="str">
        <f>IFERROR(__xludf.DUMMYFUNCTION("""COMPUTED_VALUE""")," Perfect condition")</f>
        <v> Perfect condition</v>
      </c>
      <c r="S1593" s="14" t="str">
        <f t="shared" ref="S1593:U1593" si="3189">trim(B1593)</f>
        <v>ord_71571</v>
      </c>
      <c r="T1593" s="14" t="str">
        <f t="shared" si="3189"/>
        <v>Arvind Kulkarni</v>
      </c>
      <c r="U1593" s="14" t="str">
        <f t="shared" si="3189"/>
        <v>Juhu</v>
      </c>
      <c r="V1593" s="14" t="str">
        <f t="shared" si="4"/>
        <v>Chilli Cheese Toast</v>
      </c>
      <c r="W1593" s="14">
        <f t="shared" si="5"/>
        <v>5</v>
      </c>
      <c r="X1593" s="14" t="str">
        <f t="shared" si="6"/>
        <v>Sita T</v>
      </c>
      <c r="Y1593" s="15">
        <f t="shared" si="7"/>
        <v>45142</v>
      </c>
      <c r="Z1593" s="14" t="str">
        <f t="shared" si="8"/>
        <v>UPI</v>
      </c>
      <c r="AA1593" s="14" t="str">
        <f t="shared" si="9"/>
        <v>Delivered</v>
      </c>
      <c r="AB1593" s="14" t="str">
        <f t="shared" ref="AB1593:AC1593" si="3190">trim(Q1593)</f>
        <v>Quality of Items</v>
      </c>
      <c r="AC1593" s="14" t="str">
        <f t="shared" si="3190"/>
        <v>Perfect condition</v>
      </c>
      <c r="AD1593" s="8"/>
    </row>
    <row r="1594">
      <c r="A1594" s="14" t="str">
        <f>IFERROR(__xludf.DUMMYFUNCTION("""COMPUTED_VALUE"""),"//ord_71572//Aarav Mehta//Andheri//Chicken Puff+3*Ramesh S/12/13/2023//Online Payment//Delivered*On-time Delivery: Delivered on time")</f>
        <v>//ord_71572//Aarav Mehta//Andheri//Chicken Puff+3*Ramesh S/12/13/2023//Online Payment//Delivered*On-time Delivery: Delivered on time</v>
      </c>
      <c r="B1594" s="14" t="str">
        <f>IFERROR(__xludf.DUMMYFUNCTION("split(A1594,""//"")"),"ord_71572")</f>
        <v>ord_71572</v>
      </c>
      <c r="C1594" s="14" t="str">
        <f>IFERROR(__xludf.DUMMYFUNCTION("""COMPUTED_VALUE"""),"Aarav Mehta")</f>
        <v>Aarav Mehta</v>
      </c>
      <c r="D1594" s="14" t="str">
        <f>IFERROR(__xludf.DUMMYFUNCTION("""COMPUTED_VALUE"""),"Andheri")</f>
        <v>Andheri</v>
      </c>
      <c r="E1594" s="14" t="str">
        <f>IFERROR(__xludf.DUMMYFUNCTION("""COMPUTED_VALUE"""),"Chicken Puff+3*Ramesh S")</f>
        <v>Chicken Puff+3*Ramesh S</v>
      </c>
      <c r="F1594" s="14">
        <f>IFERROR(__xludf.DUMMYFUNCTION("""COMPUTED_VALUE"""),12.0)</f>
        <v>12</v>
      </c>
      <c r="G1594" s="14">
        <f>IFERROR(__xludf.DUMMYFUNCTION("""COMPUTED_VALUE"""),13.0)</f>
        <v>13</v>
      </c>
      <c r="H1594" s="14">
        <f>IFERROR(__xludf.DUMMYFUNCTION("""COMPUTED_VALUE"""),2023.0)</f>
        <v>2023</v>
      </c>
      <c r="I1594" s="14" t="str">
        <f>IFERROR(__xludf.DUMMYFUNCTION("""COMPUTED_VALUE"""),"Online Payment")</f>
        <v>Online Payment</v>
      </c>
      <c r="J1594" s="14" t="str">
        <f>IFERROR(__xludf.DUMMYFUNCTION("""COMPUTED_VALUE"""),"Delivered*On-time Delivery: Delivered on time")</f>
        <v>Delivered*On-time Delivery: Delivered on time</v>
      </c>
      <c r="K1594" s="14" t="str">
        <f>IFERROR(__xludf.DUMMYFUNCTION("split(E1594,""+"")"),"Chicken Puff")</f>
        <v>Chicken Puff</v>
      </c>
      <c r="L1594" s="14" t="str">
        <f>IFERROR(__xludf.DUMMYFUNCTION("""COMPUTED_VALUE"""),"3*Ramesh S")</f>
        <v>3*Ramesh S</v>
      </c>
      <c r="M1594" s="14">
        <f>IFERROR(__xludf.DUMMYFUNCTION("SPLIT(L1594,""*"")"),3.0)</f>
        <v>3</v>
      </c>
      <c r="N1594" s="14" t="str">
        <f>IFERROR(__xludf.DUMMYFUNCTION("""COMPUTED_VALUE"""),"Ramesh S")</f>
        <v>Ramesh S</v>
      </c>
      <c r="O1594" s="14" t="str">
        <f>IFERROR(__xludf.DUMMYFUNCTION("split(J1594,""*"")"),"Delivered")</f>
        <v>Delivered</v>
      </c>
      <c r="P1594" s="14" t="str">
        <f>IFERROR(__xludf.DUMMYFUNCTION("""COMPUTED_VALUE"""),"On-time Delivery: Delivered on time")</f>
        <v>On-time Delivery: Delivered on time</v>
      </c>
      <c r="Q1594" s="14" t="str">
        <f>IFERROR(__xludf.DUMMYFUNCTION("split(P1594,"":"")"),"On-time Delivery")</f>
        <v>On-time Delivery</v>
      </c>
      <c r="R1594" s="14" t="str">
        <f>IFERROR(__xludf.DUMMYFUNCTION("""COMPUTED_VALUE""")," Delivered on time")</f>
        <v> Delivered on time</v>
      </c>
      <c r="S1594" s="14" t="str">
        <f t="shared" ref="S1594:U1594" si="3191">trim(B1594)</f>
        <v>ord_71572</v>
      </c>
      <c r="T1594" s="14" t="str">
        <f t="shared" si="3191"/>
        <v>Aarav Mehta</v>
      </c>
      <c r="U1594" s="14" t="str">
        <f t="shared" si="3191"/>
        <v>Andheri</v>
      </c>
      <c r="V1594" s="14" t="str">
        <f t="shared" si="4"/>
        <v>Chicken Puff</v>
      </c>
      <c r="W1594" s="14">
        <f t="shared" si="5"/>
        <v>3</v>
      </c>
      <c r="X1594" s="14" t="str">
        <f t="shared" si="6"/>
        <v>Ramesh S</v>
      </c>
      <c r="Y1594" s="15">
        <f t="shared" si="7"/>
        <v>45273</v>
      </c>
      <c r="Z1594" s="14" t="str">
        <f t="shared" si="8"/>
        <v>Online Payment</v>
      </c>
      <c r="AA1594" s="14" t="str">
        <f t="shared" si="9"/>
        <v>Delivered</v>
      </c>
      <c r="AB1594" s="14" t="str">
        <f t="shared" ref="AB1594:AC1594" si="3192">trim(Q1594)</f>
        <v>On-time Delivery</v>
      </c>
      <c r="AC1594" s="14" t="str">
        <f t="shared" si="3192"/>
        <v>Delivered on time</v>
      </c>
      <c r="AD1594" s="8"/>
    </row>
    <row r="1595">
      <c r="A1595" s="14" t="str">
        <f>IFERROR(__xludf.DUMMYFUNCTION("""COMPUTED_VALUE"""),"//ord_71573//Sakshi Tandon//Colaba//Guava+2*Sita T/2/2/2023//UPI//Delivered*Quality of Items: Perfect condition")</f>
        <v>//ord_71573//Sakshi Tandon//Colaba//Guava+2*Sita T/2/2/2023//UPI//Delivered*Quality of Items: Perfect condition</v>
      </c>
      <c r="B1595" s="14" t="str">
        <f>IFERROR(__xludf.DUMMYFUNCTION("split(A1595,""//"")"),"ord_71573")</f>
        <v>ord_71573</v>
      </c>
      <c r="C1595" s="14" t="str">
        <f>IFERROR(__xludf.DUMMYFUNCTION("""COMPUTED_VALUE"""),"Sakshi Tandon")</f>
        <v>Sakshi Tandon</v>
      </c>
      <c r="D1595" s="14" t="str">
        <f>IFERROR(__xludf.DUMMYFUNCTION("""COMPUTED_VALUE"""),"Colaba")</f>
        <v>Colaba</v>
      </c>
      <c r="E1595" s="14" t="str">
        <f>IFERROR(__xludf.DUMMYFUNCTION("""COMPUTED_VALUE"""),"Guava+2*Sita T")</f>
        <v>Guava+2*Sita T</v>
      </c>
      <c r="F1595" s="14">
        <f>IFERROR(__xludf.DUMMYFUNCTION("""COMPUTED_VALUE"""),2.0)</f>
        <v>2</v>
      </c>
      <c r="G1595" s="14">
        <f>IFERROR(__xludf.DUMMYFUNCTION("""COMPUTED_VALUE"""),2.0)</f>
        <v>2</v>
      </c>
      <c r="H1595" s="14">
        <f>IFERROR(__xludf.DUMMYFUNCTION("""COMPUTED_VALUE"""),2023.0)</f>
        <v>2023</v>
      </c>
      <c r="I1595" s="14" t="str">
        <f>IFERROR(__xludf.DUMMYFUNCTION("""COMPUTED_VALUE"""),"UPI")</f>
        <v>UPI</v>
      </c>
      <c r="J1595" s="14" t="str">
        <f>IFERROR(__xludf.DUMMYFUNCTION("""COMPUTED_VALUE"""),"Delivered*Quality of Items: Perfect condition")</f>
        <v>Delivered*Quality of Items: Perfect condition</v>
      </c>
      <c r="K1595" s="14" t="str">
        <f>IFERROR(__xludf.DUMMYFUNCTION("split(E1595,""+"")"),"Guava")</f>
        <v>Guava</v>
      </c>
      <c r="L1595" s="14" t="str">
        <f>IFERROR(__xludf.DUMMYFUNCTION("""COMPUTED_VALUE"""),"2*Sita T")</f>
        <v>2*Sita T</v>
      </c>
      <c r="M1595" s="14">
        <f>IFERROR(__xludf.DUMMYFUNCTION("SPLIT(L1595,""*"")"),2.0)</f>
        <v>2</v>
      </c>
      <c r="N1595" s="14" t="str">
        <f>IFERROR(__xludf.DUMMYFUNCTION("""COMPUTED_VALUE"""),"Sita T")</f>
        <v>Sita T</v>
      </c>
      <c r="O1595" s="14" t="str">
        <f>IFERROR(__xludf.DUMMYFUNCTION("split(J1595,""*"")"),"Delivered")</f>
        <v>Delivered</v>
      </c>
      <c r="P1595" s="14" t="str">
        <f>IFERROR(__xludf.DUMMYFUNCTION("""COMPUTED_VALUE"""),"Quality of Items: Perfect condition")</f>
        <v>Quality of Items: Perfect condition</v>
      </c>
      <c r="Q1595" s="14" t="str">
        <f>IFERROR(__xludf.DUMMYFUNCTION("split(P1595,"":"")"),"Quality of Items")</f>
        <v>Quality of Items</v>
      </c>
      <c r="R1595" s="14" t="str">
        <f>IFERROR(__xludf.DUMMYFUNCTION("""COMPUTED_VALUE""")," Perfect condition")</f>
        <v> Perfect condition</v>
      </c>
      <c r="S1595" s="14" t="str">
        <f t="shared" ref="S1595:U1595" si="3193">trim(B1595)</f>
        <v>ord_71573</v>
      </c>
      <c r="T1595" s="14" t="str">
        <f t="shared" si="3193"/>
        <v>Sakshi Tandon</v>
      </c>
      <c r="U1595" s="14" t="str">
        <f t="shared" si="3193"/>
        <v>Colaba</v>
      </c>
      <c r="V1595" s="14" t="str">
        <f t="shared" si="4"/>
        <v>Guava</v>
      </c>
      <c r="W1595" s="14">
        <f t="shared" si="5"/>
        <v>2</v>
      </c>
      <c r="X1595" s="14" t="str">
        <f t="shared" si="6"/>
        <v>Sita T</v>
      </c>
      <c r="Y1595" s="15">
        <f t="shared" si="7"/>
        <v>44959</v>
      </c>
      <c r="Z1595" s="14" t="str">
        <f t="shared" si="8"/>
        <v>UPI</v>
      </c>
      <c r="AA1595" s="14" t="str">
        <f t="shared" si="9"/>
        <v>Delivered</v>
      </c>
      <c r="AB1595" s="14" t="str">
        <f t="shared" ref="AB1595:AC1595" si="3194">trim(Q1595)</f>
        <v>Quality of Items</v>
      </c>
      <c r="AC1595" s="14" t="str">
        <f t="shared" si="3194"/>
        <v>Perfect condition</v>
      </c>
      <c r="AD1595" s="8"/>
    </row>
    <row r="1596">
      <c r="A1596" s="14" t="str">
        <f>IFERROR(__xludf.DUMMYFUNCTION("""COMPUTED_VALUE"""),"//ord_71574//Aditi Iyer//Dadar//Popcorn+2*Nithin Lal/3/30/2023//Credit Card//Delivered*Packaging: Secure and intact")</f>
        <v>//ord_71574//Aditi Iyer//Dadar//Popcorn+2*Nithin Lal/3/30/2023//Credit Card//Delivered*Packaging: Secure and intact</v>
      </c>
      <c r="B1596" s="14" t="str">
        <f>IFERROR(__xludf.DUMMYFUNCTION("split(A1596,""//"")"),"ord_71574")</f>
        <v>ord_71574</v>
      </c>
      <c r="C1596" s="14" t="str">
        <f>IFERROR(__xludf.DUMMYFUNCTION("""COMPUTED_VALUE"""),"Aditi Iyer")</f>
        <v>Aditi Iyer</v>
      </c>
      <c r="D1596" s="14" t="str">
        <f>IFERROR(__xludf.DUMMYFUNCTION("""COMPUTED_VALUE"""),"Dadar")</f>
        <v>Dadar</v>
      </c>
      <c r="E1596" s="14" t="str">
        <f>IFERROR(__xludf.DUMMYFUNCTION("""COMPUTED_VALUE"""),"Popcorn+2*Nithin Lal")</f>
        <v>Popcorn+2*Nithin Lal</v>
      </c>
      <c r="F1596" s="14">
        <f>IFERROR(__xludf.DUMMYFUNCTION("""COMPUTED_VALUE"""),3.0)</f>
        <v>3</v>
      </c>
      <c r="G1596" s="14">
        <f>IFERROR(__xludf.DUMMYFUNCTION("""COMPUTED_VALUE"""),30.0)</f>
        <v>30</v>
      </c>
      <c r="H1596" s="14">
        <f>IFERROR(__xludf.DUMMYFUNCTION("""COMPUTED_VALUE"""),2023.0)</f>
        <v>2023</v>
      </c>
      <c r="I1596" s="14" t="str">
        <f>IFERROR(__xludf.DUMMYFUNCTION("""COMPUTED_VALUE"""),"Credit Card")</f>
        <v>Credit Card</v>
      </c>
      <c r="J1596" s="14" t="str">
        <f>IFERROR(__xludf.DUMMYFUNCTION("""COMPUTED_VALUE"""),"Delivered*Packaging: Secure and intact")</f>
        <v>Delivered*Packaging: Secure and intact</v>
      </c>
      <c r="K1596" s="14" t="str">
        <f>IFERROR(__xludf.DUMMYFUNCTION("split(E1596,""+"")"),"Popcorn")</f>
        <v>Popcorn</v>
      </c>
      <c r="L1596" s="14" t="str">
        <f>IFERROR(__xludf.DUMMYFUNCTION("""COMPUTED_VALUE"""),"2*Nithin Lal")</f>
        <v>2*Nithin Lal</v>
      </c>
      <c r="M1596" s="14">
        <f>IFERROR(__xludf.DUMMYFUNCTION("SPLIT(L1596,""*"")"),2.0)</f>
        <v>2</v>
      </c>
      <c r="N1596" s="14" t="str">
        <f>IFERROR(__xludf.DUMMYFUNCTION("""COMPUTED_VALUE"""),"Nithin Lal")</f>
        <v>Nithin Lal</v>
      </c>
      <c r="O1596" s="14" t="str">
        <f>IFERROR(__xludf.DUMMYFUNCTION("split(J1596,""*"")"),"Delivered")</f>
        <v>Delivered</v>
      </c>
      <c r="P1596" s="14" t="str">
        <f>IFERROR(__xludf.DUMMYFUNCTION("""COMPUTED_VALUE"""),"Packaging: Secure and intact")</f>
        <v>Packaging: Secure and intact</v>
      </c>
      <c r="Q1596" s="14" t="str">
        <f>IFERROR(__xludf.DUMMYFUNCTION("split(P1596,"":"")"),"Packaging")</f>
        <v>Packaging</v>
      </c>
      <c r="R1596" s="14" t="str">
        <f>IFERROR(__xludf.DUMMYFUNCTION("""COMPUTED_VALUE""")," Secure and intact")</f>
        <v> Secure and intact</v>
      </c>
      <c r="S1596" s="14" t="str">
        <f t="shared" ref="S1596:U1596" si="3195">trim(B1596)</f>
        <v>ord_71574</v>
      </c>
      <c r="T1596" s="14" t="str">
        <f t="shared" si="3195"/>
        <v>Aditi Iyer</v>
      </c>
      <c r="U1596" s="14" t="str">
        <f t="shared" si="3195"/>
        <v>Dadar</v>
      </c>
      <c r="V1596" s="14" t="str">
        <f t="shared" si="4"/>
        <v>Popcorn</v>
      </c>
      <c r="W1596" s="14">
        <f t="shared" si="5"/>
        <v>2</v>
      </c>
      <c r="X1596" s="14" t="str">
        <f t="shared" si="6"/>
        <v>Nithin Lal</v>
      </c>
      <c r="Y1596" s="15">
        <f t="shared" si="7"/>
        <v>45015</v>
      </c>
      <c r="Z1596" s="14" t="str">
        <f t="shared" si="8"/>
        <v>Credit Card</v>
      </c>
      <c r="AA1596" s="14" t="str">
        <f t="shared" si="9"/>
        <v>Delivered</v>
      </c>
      <c r="AB1596" s="14" t="str">
        <f t="shared" ref="AB1596:AC1596" si="3196">trim(Q1596)</f>
        <v>Packaging</v>
      </c>
      <c r="AC1596" s="14" t="str">
        <f t="shared" si="3196"/>
        <v>Secure and intact</v>
      </c>
      <c r="AD1596" s="8"/>
    </row>
    <row r="1597">
      <c r="A1597" s="14" t="str">
        <f>IFERROR(__xludf.DUMMYFUNCTION("""COMPUTED_VALUE"""),"//ord_71575//Arvind Kulkarni//Juhu//Chicken Puff+1*Not Assigned/9/9/2023//UPI//Cancelled*App Glitches:App Freezes")</f>
        <v>//ord_71575//Arvind Kulkarni//Juhu//Chicken Puff+1*Not Assigned/9/9/2023//UPI//Cancelled*App Glitches:App Freezes</v>
      </c>
      <c r="B1597" s="14" t="str">
        <f>IFERROR(__xludf.DUMMYFUNCTION("split(A1597,""//"")"),"ord_71575")</f>
        <v>ord_71575</v>
      </c>
      <c r="C1597" s="14" t="str">
        <f>IFERROR(__xludf.DUMMYFUNCTION("""COMPUTED_VALUE"""),"Arvind Kulkarni")</f>
        <v>Arvind Kulkarni</v>
      </c>
      <c r="D1597" s="14" t="str">
        <f>IFERROR(__xludf.DUMMYFUNCTION("""COMPUTED_VALUE"""),"Juhu")</f>
        <v>Juhu</v>
      </c>
      <c r="E1597" s="14" t="str">
        <f>IFERROR(__xludf.DUMMYFUNCTION("""COMPUTED_VALUE"""),"Chicken Puff+1*Not Assigned")</f>
        <v>Chicken Puff+1*Not Assigned</v>
      </c>
      <c r="F1597" s="14">
        <f>IFERROR(__xludf.DUMMYFUNCTION("""COMPUTED_VALUE"""),9.0)</f>
        <v>9</v>
      </c>
      <c r="G1597" s="14">
        <f>IFERROR(__xludf.DUMMYFUNCTION("""COMPUTED_VALUE"""),9.0)</f>
        <v>9</v>
      </c>
      <c r="H1597" s="14">
        <f>IFERROR(__xludf.DUMMYFUNCTION("""COMPUTED_VALUE"""),2023.0)</f>
        <v>2023</v>
      </c>
      <c r="I1597" s="14" t="str">
        <f>IFERROR(__xludf.DUMMYFUNCTION("""COMPUTED_VALUE"""),"UPI")</f>
        <v>UPI</v>
      </c>
      <c r="J1597" s="14" t="str">
        <f>IFERROR(__xludf.DUMMYFUNCTION("""COMPUTED_VALUE"""),"Cancelled*App Glitches:App Freezes")</f>
        <v>Cancelled*App Glitches:App Freezes</v>
      </c>
      <c r="K1597" s="14" t="str">
        <f>IFERROR(__xludf.DUMMYFUNCTION("split(E1597,""+"")"),"Chicken Puff")</f>
        <v>Chicken Puff</v>
      </c>
      <c r="L1597" s="14" t="str">
        <f>IFERROR(__xludf.DUMMYFUNCTION("""COMPUTED_VALUE"""),"1*Not Assigned")</f>
        <v>1*Not Assigned</v>
      </c>
      <c r="M1597" s="14">
        <f>IFERROR(__xludf.DUMMYFUNCTION("SPLIT(L1597,""*"")"),1.0)</f>
        <v>1</v>
      </c>
      <c r="N1597" s="14" t="str">
        <f>IFERROR(__xludf.DUMMYFUNCTION("""COMPUTED_VALUE"""),"Not Assigned")</f>
        <v>Not Assigned</v>
      </c>
      <c r="O1597" s="14" t="str">
        <f>IFERROR(__xludf.DUMMYFUNCTION("split(J1597,""*"")"),"Cancelled")</f>
        <v>Cancelled</v>
      </c>
      <c r="P1597" s="14" t="str">
        <f>IFERROR(__xludf.DUMMYFUNCTION("""COMPUTED_VALUE"""),"App Glitches:App Freezes")</f>
        <v>App Glitches:App Freezes</v>
      </c>
      <c r="Q1597" s="14" t="str">
        <f>IFERROR(__xludf.DUMMYFUNCTION("split(P1597,"":"")"),"App Glitches")</f>
        <v>App Glitches</v>
      </c>
      <c r="R1597" s="14" t="str">
        <f>IFERROR(__xludf.DUMMYFUNCTION("""COMPUTED_VALUE"""),"App Freezes")</f>
        <v>App Freezes</v>
      </c>
      <c r="S1597" s="14" t="str">
        <f t="shared" ref="S1597:U1597" si="3197">trim(B1597)</f>
        <v>ord_71575</v>
      </c>
      <c r="T1597" s="14" t="str">
        <f t="shared" si="3197"/>
        <v>Arvind Kulkarni</v>
      </c>
      <c r="U1597" s="14" t="str">
        <f t="shared" si="3197"/>
        <v>Juhu</v>
      </c>
      <c r="V1597" s="14" t="str">
        <f t="shared" si="4"/>
        <v>Chicken Puff</v>
      </c>
      <c r="W1597" s="14">
        <f t="shared" si="5"/>
        <v>1</v>
      </c>
      <c r="X1597" s="14" t="str">
        <f t="shared" si="6"/>
        <v>Not Assigned</v>
      </c>
      <c r="Y1597" s="15">
        <f t="shared" si="7"/>
        <v>45178</v>
      </c>
      <c r="Z1597" s="14" t="str">
        <f t="shared" si="8"/>
        <v>UPI</v>
      </c>
      <c r="AA1597" s="14" t="str">
        <f t="shared" si="9"/>
        <v>Cancelled</v>
      </c>
      <c r="AB1597" s="14" t="str">
        <f t="shared" ref="AB1597:AC1597" si="3198">trim(Q1597)</f>
        <v>App Glitches</v>
      </c>
      <c r="AC1597" s="14" t="str">
        <f t="shared" si="3198"/>
        <v>App Freezes</v>
      </c>
      <c r="AD1597" s="8"/>
    </row>
    <row r="1598">
      <c r="A1598" s="14" t="str">
        <f>IFERROR(__xludf.DUMMYFUNCTION("""COMPUTED_VALUE"""),"//ord_71576//Parth Goel//Juhu//Chocolate Mousse+2*Ramesh S/7/17/2023//UPI//Delivered*Satisfied with the Delivery: Timely and quality")</f>
        <v>//ord_71576//Parth Goel//Juhu//Chocolate Mousse+2*Ramesh S/7/17/2023//UPI//Delivered*Satisfied with the Delivery: Timely and quality</v>
      </c>
      <c r="B1598" s="14" t="str">
        <f>IFERROR(__xludf.DUMMYFUNCTION("split(A1598,""//"")"),"ord_71576")</f>
        <v>ord_71576</v>
      </c>
      <c r="C1598" s="14" t="str">
        <f>IFERROR(__xludf.DUMMYFUNCTION("""COMPUTED_VALUE"""),"Parth Goel")</f>
        <v>Parth Goel</v>
      </c>
      <c r="D1598" s="14" t="str">
        <f>IFERROR(__xludf.DUMMYFUNCTION("""COMPUTED_VALUE"""),"Juhu")</f>
        <v>Juhu</v>
      </c>
      <c r="E1598" s="14" t="str">
        <f>IFERROR(__xludf.DUMMYFUNCTION("""COMPUTED_VALUE"""),"Chocolate Mousse+2*Ramesh S")</f>
        <v>Chocolate Mousse+2*Ramesh S</v>
      </c>
      <c r="F1598" s="14">
        <f>IFERROR(__xludf.DUMMYFUNCTION("""COMPUTED_VALUE"""),7.0)</f>
        <v>7</v>
      </c>
      <c r="G1598" s="14">
        <f>IFERROR(__xludf.DUMMYFUNCTION("""COMPUTED_VALUE"""),17.0)</f>
        <v>17</v>
      </c>
      <c r="H1598" s="14">
        <f>IFERROR(__xludf.DUMMYFUNCTION("""COMPUTED_VALUE"""),2023.0)</f>
        <v>2023</v>
      </c>
      <c r="I1598" s="14" t="str">
        <f>IFERROR(__xludf.DUMMYFUNCTION("""COMPUTED_VALUE"""),"UPI")</f>
        <v>UPI</v>
      </c>
      <c r="J1598" s="14" t="str">
        <f>IFERROR(__xludf.DUMMYFUNCTION("""COMPUTED_VALUE"""),"Delivered*Satisfied with the Delivery: Timely and quality")</f>
        <v>Delivered*Satisfied with the Delivery: Timely and quality</v>
      </c>
      <c r="K1598" s="14" t="str">
        <f>IFERROR(__xludf.DUMMYFUNCTION("split(E1598,""+"")"),"Chocolate Mousse")</f>
        <v>Chocolate Mousse</v>
      </c>
      <c r="L1598" s="14" t="str">
        <f>IFERROR(__xludf.DUMMYFUNCTION("""COMPUTED_VALUE"""),"2*Ramesh S")</f>
        <v>2*Ramesh S</v>
      </c>
      <c r="M1598" s="14">
        <f>IFERROR(__xludf.DUMMYFUNCTION("SPLIT(L1598,""*"")"),2.0)</f>
        <v>2</v>
      </c>
      <c r="N1598" s="14" t="str">
        <f>IFERROR(__xludf.DUMMYFUNCTION("""COMPUTED_VALUE"""),"Ramesh S")</f>
        <v>Ramesh S</v>
      </c>
      <c r="O1598" s="14" t="str">
        <f>IFERROR(__xludf.DUMMYFUNCTION("split(J1598,""*"")"),"Delivered")</f>
        <v>Delivered</v>
      </c>
      <c r="P1598" s="14" t="str">
        <f>IFERROR(__xludf.DUMMYFUNCTION("""COMPUTED_VALUE"""),"Satisfied with the Delivery: Timely and quality")</f>
        <v>Satisfied with the Delivery: Timely and quality</v>
      </c>
      <c r="Q1598" s="14" t="str">
        <f>IFERROR(__xludf.DUMMYFUNCTION("split(P1598,"":"")"),"Satisfied with the Delivery")</f>
        <v>Satisfied with the Delivery</v>
      </c>
      <c r="R1598" s="14" t="str">
        <f>IFERROR(__xludf.DUMMYFUNCTION("""COMPUTED_VALUE""")," Timely and quality")</f>
        <v> Timely and quality</v>
      </c>
      <c r="S1598" s="14" t="str">
        <f t="shared" ref="S1598:U1598" si="3199">trim(B1598)</f>
        <v>ord_71576</v>
      </c>
      <c r="T1598" s="14" t="str">
        <f t="shared" si="3199"/>
        <v>Parth Goel</v>
      </c>
      <c r="U1598" s="14" t="str">
        <f t="shared" si="3199"/>
        <v>Juhu</v>
      </c>
      <c r="V1598" s="14" t="str">
        <f t="shared" si="4"/>
        <v>Chocolate Mousse</v>
      </c>
      <c r="W1598" s="14">
        <f t="shared" si="5"/>
        <v>2</v>
      </c>
      <c r="X1598" s="14" t="str">
        <f t="shared" si="6"/>
        <v>Ramesh S</v>
      </c>
      <c r="Y1598" s="15">
        <f t="shared" si="7"/>
        <v>45124</v>
      </c>
      <c r="Z1598" s="14" t="str">
        <f t="shared" si="8"/>
        <v>UPI</v>
      </c>
      <c r="AA1598" s="14" t="str">
        <f t="shared" si="9"/>
        <v>Delivered</v>
      </c>
      <c r="AB1598" s="14" t="str">
        <f t="shared" ref="AB1598:AC1598" si="3200">trim(Q1598)</f>
        <v>Satisfied with the Delivery</v>
      </c>
      <c r="AC1598" s="14" t="str">
        <f t="shared" si="3200"/>
        <v>Timely and quality</v>
      </c>
      <c r="AD1598" s="8"/>
    </row>
    <row r="1599">
      <c r="A1599" s="14" t="str">
        <f>IFERROR(__xludf.DUMMYFUNCTION("""COMPUTED_VALUE"""),"//ord_71577//Dev Chauhan//Bandra//Cucumber+1*Ramesh S/11/10/2023//Credit Card//Delivered*Customer Service: Seamless and easy")</f>
        <v>//ord_71577//Dev Chauhan//Bandra//Cucumber+1*Ramesh S/11/10/2023//Credit Card//Delivered*Customer Service: Seamless and easy</v>
      </c>
      <c r="B1599" s="14" t="str">
        <f>IFERROR(__xludf.DUMMYFUNCTION("split(A1599,""//"")"),"ord_71577")</f>
        <v>ord_71577</v>
      </c>
      <c r="C1599" s="14" t="str">
        <f>IFERROR(__xludf.DUMMYFUNCTION("""COMPUTED_VALUE"""),"Dev Chauhan")</f>
        <v>Dev Chauhan</v>
      </c>
      <c r="D1599" s="14" t="str">
        <f>IFERROR(__xludf.DUMMYFUNCTION("""COMPUTED_VALUE"""),"Bandra")</f>
        <v>Bandra</v>
      </c>
      <c r="E1599" s="14" t="str">
        <f>IFERROR(__xludf.DUMMYFUNCTION("""COMPUTED_VALUE"""),"Cucumber+1*Ramesh S")</f>
        <v>Cucumber+1*Ramesh S</v>
      </c>
      <c r="F1599" s="14">
        <f>IFERROR(__xludf.DUMMYFUNCTION("""COMPUTED_VALUE"""),11.0)</f>
        <v>11</v>
      </c>
      <c r="G1599" s="14">
        <f>IFERROR(__xludf.DUMMYFUNCTION("""COMPUTED_VALUE"""),10.0)</f>
        <v>10</v>
      </c>
      <c r="H1599" s="14">
        <f>IFERROR(__xludf.DUMMYFUNCTION("""COMPUTED_VALUE"""),2023.0)</f>
        <v>2023</v>
      </c>
      <c r="I1599" s="14" t="str">
        <f>IFERROR(__xludf.DUMMYFUNCTION("""COMPUTED_VALUE"""),"Credit Card")</f>
        <v>Credit Card</v>
      </c>
      <c r="J1599" s="14" t="str">
        <f>IFERROR(__xludf.DUMMYFUNCTION("""COMPUTED_VALUE"""),"Delivered*Customer Service: Seamless and easy")</f>
        <v>Delivered*Customer Service: Seamless and easy</v>
      </c>
      <c r="K1599" s="14" t="str">
        <f>IFERROR(__xludf.DUMMYFUNCTION("split(E1599,""+"")"),"Cucumber")</f>
        <v>Cucumber</v>
      </c>
      <c r="L1599" s="14" t="str">
        <f>IFERROR(__xludf.DUMMYFUNCTION("""COMPUTED_VALUE"""),"1*Ramesh S")</f>
        <v>1*Ramesh S</v>
      </c>
      <c r="M1599" s="14">
        <f>IFERROR(__xludf.DUMMYFUNCTION("SPLIT(L1599,""*"")"),1.0)</f>
        <v>1</v>
      </c>
      <c r="N1599" s="14" t="str">
        <f>IFERROR(__xludf.DUMMYFUNCTION("""COMPUTED_VALUE"""),"Ramesh S")</f>
        <v>Ramesh S</v>
      </c>
      <c r="O1599" s="14" t="str">
        <f>IFERROR(__xludf.DUMMYFUNCTION("split(J1599,""*"")"),"Delivered")</f>
        <v>Delivered</v>
      </c>
      <c r="P1599" s="14" t="str">
        <f>IFERROR(__xludf.DUMMYFUNCTION("""COMPUTED_VALUE"""),"Customer Service: Seamless and easy")</f>
        <v>Customer Service: Seamless and easy</v>
      </c>
      <c r="Q1599" s="14" t="str">
        <f>IFERROR(__xludf.DUMMYFUNCTION("split(P1599,"":"")"),"Customer Service")</f>
        <v>Customer Service</v>
      </c>
      <c r="R1599" s="14" t="str">
        <f>IFERROR(__xludf.DUMMYFUNCTION("""COMPUTED_VALUE""")," Seamless and easy")</f>
        <v> Seamless and easy</v>
      </c>
      <c r="S1599" s="14" t="str">
        <f t="shared" ref="S1599:U1599" si="3201">trim(B1599)</f>
        <v>ord_71577</v>
      </c>
      <c r="T1599" s="14" t="str">
        <f t="shared" si="3201"/>
        <v>Dev Chauhan</v>
      </c>
      <c r="U1599" s="14" t="str">
        <f t="shared" si="3201"/>
        <v>Bandra</v>
      </c>
      <c r="V1599" s="14" t="str">
        <f t="shared" si="4"/>
        <v>Cucumber</v>
      </c>
      <c r="W1599" s="14">
        <f t="shared" si="5"/>
        <v>1</v>
      </c>
      <c r="X1599" s="14" t="str">
        <f t="shared" si="6"/>
        <v>Ramesh S</v>
      </c>
      <c r="Y1599" s="15">
        <f t="shared" si="7"/>
        <v>45240</v>
      </c>
      <c r="Z1599" s="14" t="str">
        <f t="shared" si="8"/>
        <v>Credit Card</v>
      </c>
      <c r="AA1599" s="14" t="str">
        <f t="shared" si="9"/>
        <v>Delivered</v>
      </c>
      <c r="AB1599" s="14" t="str">
        <f t="shared" ref="AB1599:AC1599" si="3202">trim(Q1599)</f>
        <v>Customer Service</v>
      </c>
      <c r="AC1599" s="14" t="str">
        <f t="shared" si="3202"/>
        <v>Seamless and easy</v>
      </c>
      <c r="AD1599" s="8"/>
    </row>
    <row r="1600">
      <c r="A1600" s="14" t="str">
        <f>IFERROR(__xludf.DUMMYFUNCTION("""COMPUTED_VALUE"""),"//ord_71578//Tanishq Bansal//Powai//Popcorn+4*Vivek Kumar/2/23/2023//Credit Card//Delivered*Delivery Experience: Quick and professional")</f>
        <v>//ord_71578//Tanishq Bansal//Powai//Popcorn+4*Vivek Kumar/2/23/2023//Credit Card//Delivered*Delivery Experience: Quick and professional</v>
      </c>
      <c r="B1600" s="14" t="str">
        <f>IFERROR(__xludf.DUMMYFUNCTION("split(A1600,""//"")"),"ord_71578")</f>
        <v>ord_71578</v>
      </c>
      <c r="C1600" s="14" t="str">
        <f>IFERROR(__xludf.DUMMYFUNCTION("""COMPUTED_VALUE"""),"Tanishq Bansal")</f>
        <v>Tanishq Bansal</v>
      </c>
      <c r="D1600" s="14" t="str">
        <f>IFERROR(__xludf.DUMMYFUNCTION("""COMPUTED_VALUE"""),"Powai")</f>
        <v>Powai</v>
      </c>
      <c r="E1600" s="14" t="str">
        <f>IFERROR(__xludf.DUMMYFUNCTION("""COMPUTED_VALUE"""),"Popcorn+4*Vivek Kumar")</f>
        <v>Popcorn+4*Vivek Kumar</v>
      </c>
      <c r="F1600" s="14">
        <f>IFERROR(__xludf.DUMMYFUNCTION("""COMPUTED_VALUE"""),2.0)</f>
        <v>2</v>
      </c>
      <c r="G1600" s="14">
        <f>IFERROR(__xludf.DUMMYFUNCTION("""COMPUTED_VALUE"""),23.0)</f>
        <v>23</v>
      </c>
      <c r="H1600" s="14">
        <f>IFERROR(__xludf.DUMMYFUNCTION("""COMPUTED_VALUE"""),2023.0)</f>
        <v>2023</v>
      </c>
      <c r="I1600" s="14" t="str">
        <f>IFERROR(__xludf.DUMMYFUNCTION("""COMPUTED_VALUE"""),"Credit Card")</f>
        <v>Credit Card</v>
      </c>
      <c r="J1600" s="14" t="str">
        <f>IFERROR(__xludf.DUMMYFUNCTION("""COMPUTED_VALUE"""),"Delivered*Delivery Experience: Quick and professional")</f>
        <v>Delivered*Delivery Experience: Quick and professional</v>
      </c>
      <c r="K1600" s="14" t="str">
        <f>IFERROR(__xludf.DUMMYFUNCTION("split(E1600,""+"")"),"Popcorn")</f>
        <v>Popcorn</v>
      </c>
      <c r="L1600" s="14" t="str">
        <f>IFERROR(__xludf.DUMMYFUNCTION("""COMPUTED_VALUE"""),"4*Vivek Kumar")</f>
        <v>4*Vivek Kumar</v>
      </c>
      <c r="M1600" s="14">
        <f>IFERROR(__xludf.DUMMYFUNCTION("SPLIT(L1600,""*"")"),4.0)</f>
        <v>4</v>
      </c>
      <c r="N1600" s="14" t="str">
        <f>IFERROR(__xludf.DUMMYFUNCTION("""COMPUTED_VALUE"""),"Vivek Kumar")</f>
        <v>Vivek Kumar</v>
      </c>
      <c r="O1600" s="14" t="str">
        <f>IFERROR(__xludf.DUMMYFUNCTION("split(J1600,""*"")"),"Delivered")</f>
        <v>Delivered</v>
      </c>
      <c r="P1600" s="14" t="str">
        <f>IFERROR(__xludf.DUMMYFUNCTION("""COMPUTED_VALUE"""),"Delivery Experience: Quick and professional")</f>
        <v>Delivery Experience: Quick and professional</v>
      </c>
      <c r="Q1600" s="14" t="str">
        <f>IFERROR(__xludf.DUMMYFUNCTION("split(P1600,"":"")"),"Delivery Experience")</f>
        <v>Delivery Experience</v>
      </c>
      <c r="R1600" s="14" t="str">
        <f>IFERROR(__xludf.DUMMYFUNCTION("""COMPUTED_VALUE""")," Quick and professional")</f>
        <v> Quick and professional</v>
      </c>
      <c r="S1600" s="14" t="str">
        <f t="shared" ref="S1600:U1600" si="3203">trim(B1600)</f>
        <v>ord_71578</v>
      </c>
      <c r="T1600" s="14" t="str">
        <f t="shared" si="3203"/>
        <v>Tanishq Bansal</v>
      </c>
      <c r="U1600" s="14" t="str">
        <f t="shared" si="3203"/>
        <v>Powai</v>
      </c>
      <c r="V1600" s="14" t="str">
        <f t="shared" si="4"/>
        <v>Popcorn</v>
      </c>
      <c r="W1600" s="14">
        <f t="shared" si="5"/>
        <v>4</v>
      </c>
      <c r="X1600" s="14" t="str">
        <f t="shared" si="6"/>
        <v>Vivek Kumar</v>
      </c>
      <c r="Y1600" s="15">
        <f t="shared" si="7"/>
        <v>44980</v>
      </c>
      <c r="Z1600" s="14" t="str">
        <f t="shared" si="8"/>
        <v>Credit Card</v>
      </c>
      <c r="AA1600" s="14" t="str">
        <f t="shared" si="9"/>
        <v>Delivered</v>
      </c>
      <c r="AB1600" s="14" t="str">
        <f t="shared" ref="AB1600:AC1600" si="3204">trim(Q1600)</f>
        <v>Delivery Experience</v>
      </c>
      <c r="AC1600" s="14" t="str">
        <f t="shared" si="3204"/>
        <v>Quick and professional</v>
      </c>
      <c r="AD1600" s="8"/>
    </row>
    <row r="1601">
      <c r="A1601" s="14" t="str">
        <f>IFERROR(__xludf.DUMMYFUNCTION("""COMPUTED_VALUE"""),"//ord_71579//Aditi Iyer//Dadar//Tomato+2*Rohan Yadav/11/14/2023//UPI//Cancelled*Delayed Delivery:Vehicle Breakdown")</f>
        <v>//ord_71579//Aditi Iyer//Dadar//Tomato+2*Rohan Yadav/11/14/2023//UPI//Cancelled*Delayed Delivery:Vehicle Breakdown</v>
      </c>
      <c r="B1601" s="14" t="str">
        <f>IFERROR(__xludf.DUMMYFUNCTION("split(A1601,""//"")"),"ord_71579")</f>
        <v>ord_71579</v>
      </c>
      <c r="C1601" s="14" t="str">
        <f>IFERROR(__xludf.DUMMYFUNCTION("""COMPUTED_VALUE"""),"Aditi Iyer")</f>
        <v>Aditi Iyer</v>
      </c>
      <c r="D1601" s="14" t="str">
        <f>IFERROR(__xludf.DUMMYFUNCTION("""COMPUTED_VALUE"""),"Dadar")</f>
        <v>Dadar</v>
      </c>
      <c r="E1601" s="14" t="str">
        <f>IFERROR(__xludf.DUMMYFUNCTION("""COMPUTED_VALUE"""),"Tomato+2*Rohan Yadav")</f>
        <v>Tomato+2*Rohan Yadav</v>
      </c>
      <c r="F1601" s="14">
        <f>IFERROR(__xludf.DUMMYFUNCTION("""COMPUTED_VALUE"""),11.0)</f>
        <v>11</v>
      </c>
      <c r="G1601" s="14">
        <f>IFERROR(__xludf.DUMMYFUNCTION("""COMPUTED_VALUE"""),14.0)</f>
        <v>14</v>
      </c>
      <c r="H1601" s="14">
        <f>IFERROR(__xludf.DUMMYFUNCTION("""COMPUTED_VALUE"""),2023.0)</f>
        <v>2023</v>
      </c>
      <c r="I1601" s="14" t="str">
        <f>IFERROR(__xludf.DUMMYFUNCTION("""COMPUTED_VALUE"""),"UPI")</f>
        <v>UPI</v>
      </c>
      <c r="J1601" s="14" t="str">
        <f>IFERROR(__xludf.DUMMYFUNCTION("""COMPUTED_VALUE"""),"Cancelled*Delayed Delivery:Vehicle Breakdown")</f>
        <v>Cancelled*Delayed Delivery:Vehicle Breakdown</v>
      </c>
      <c r="K1601" s="14" t="str">
        <f>IFERROR(__xludf.DUMMYFUNCTION("split(E1601,""+"")"),"Tomato")</f>
        <v>Tomato</v>
      </c>
      <c r="L1601" s="14" t="str">
        <f>IFERROR(__xludf.DUMMYFUNCTION("""COMPUTED_VALUE"""),"2*Rohan Yadav")</f>
        <v>2*Rohan Yadav</v>
      </c>
      <c r="M1601" s="14">
        <f>IFERROR(__xludf.DUMMYFUNCTION("SPLIT(L1601,""*"")"),2.0)</f>
        <v>2</v>
      </c>
      <c r="N1601" s="14" t="str">
        <f>IFERROR(__xludf.DUMMYFUNCTION("""COMPUTED_VALUE"""),"Rohan Yadav")</f>
        <v>Rohan Yadav</v>
      </c>
      <c r="O1601" s="14" t="str">
        <f>IFERROR(__xludf.DUMMYFUNCTION("split(J1601,""*"")"),"Cancelled")</f>
        <v>Cancelled</v>
      </c>
      <c r="P1601" s="14" t="str">
        <f>IFERROR(__xludf.DUMMYFUNCTION("""COMPUTED_VALUE"""),"Delayed Delivery:Vehicle Breakdown")</f>
        <v>Delayed Delivery:Vehicle Breakdown</v>
      </c>
      <c r="Q1601" s="14" t="str">
        <f>IFERROR(__xludf.DUMMYFUNCTION("split(P1601,"":"")"),"Delayed Delivery")</f>
        <v>Delayed Delivery</v>
      </c>
      <c r="R1601" s="14" t="str">
        <f>IFERROR(__xludf.DUMMYFUNCTION("""COMPUTED_VALUE"""),"Vehicle Breakdown")</f>
        <v>Vehicle Breakdown</v>
      </c>
      <c r="S1601" s="14" t="str">
        <f t="shared" ref="S1601:U1601" si="3205">trim(B1601)</f>
        <v>ord_71579</v>
      </c>
      <c r="T1601" s="14" t="str">
        <f t="shared" si="3205"/>
        <v>Aditi Iyer</v>
      </c>
      <c r="U1601" s="14" t="str">
        <f t="shared" si="3205"/>
        <v>Dadar</v>
      </c>
      <c r="V1601" s="14" t="str">
        <f t="shared" si="4"/>
        <v>Tomato</v>
      </c>
      <c r="W1601" s="14">
        <f t="shared" si="5"/>
        <v>2</v>
      </c>
      <c r="X1601" s="14" t="str">
        <f t="shared" si="6"/>
        <v>Rohan Yadav</v>
      </c>
      <c r="Y1601" s="15">
        <f t="shared" si="7"/>
        <v>45244</v>
      </c>
      <c r="Z1601" s="14" t="str">
        <f t="shared" si="8"/>
        <v>UPI</v>
      </c>
      <c r="AA1601" s="14" t="str">
        <f t="shared" si="9"/>
        <v>Cancelled</v>
      </c>
      <c r="AB1601" s="14" t="str">
        <f t="shared" ref="AB1601:AC1601" si="3206">trim(Q1601)</f>
        <v>Delayed Delivery</v>
      </c>
      <c r="AC1601" s="14" t="str">
        <f t="shared" si="3206"/>
        <v>Vehicle Breakdown</v>
      </c>
      <c r="AD1601" s="8"/>
    </row>
    <row r="1602">
      <c r="A1602" s="14" t="str">
        <f>IFERROR(__xludf.DUMMYFUNCTION("""COMPUTED_VALUE"""),"//ord_71580//Kritika Shetty//Malad//Potato+2*Manju Ajay/11/28/2023//Credit Card//Cancelled*Delayed Delivery:Heavy Traffic")</f>
        <v>//ord_71580//Kritika Shetty//Malad//Potato+2*Manju Ajay/11/28/2023//Credit Card//Cancelled*Delayed Delivery:Heavy Traffic</v>
      </c>
      <c r="B1602" s="14" t="str">
        <f>IFERROR(__xludf.DUMMYFUNCTION("split(A1602,""//"")"),"ord_71580")</f>
        <v>ord_71580</v>
      </c>
      <c r="C1602" s="14" t="str">
        <f>IFERROR(__xludf.DUMMYFUNCTION("""COMPUTED_VALUE"""),"Kritika Shetty")</f>
        <v>Kritika Shetty</v>
      </c>
      <c r="D1602" s="14" t="str">
        <f>IFERROR(__xludf.DUMMYFUNCTION("""COMPUTED_VALUE"""),"Malad")</f>
        <v>Malad</v>
      </c>
      <c r="E1602" s="14" t="str">
        <f>IFERROR(__xludf.DUMMYFUNCTION("""COMPUTED_VALUE"""),"Potato+2*Manju Ajay")</f>
        <v>Potato+2*Manju Ajay</v>
      </c>
      <c r="F1602" s="14">
        <f>IFERROR(__xludf.DUMMYFUNCTION("""COMPUTED_VALUE"""),11.0)</f>
        <v>11</v>
      </c>
      <c r="G1602" s="14">
        <f>IFERROR(__xludf.DUMMYFUNCTION("""COMPUTED_VALUE"""),28.0)</f>
        <v>28</v>
      </c>
      <c r="H1602" s="14">
        <f>IFERROR(__xludf.DUMMYFUNCTION("""COMPUTED_VALUE"""),2023.0)</f>
        <v>2023</v>
      </c>
      <c r="I1602" s="14" t="str">
        <f>IFERROR(__xludf.DUMMYFUNCTION("""COMPUTED_VALUE"""),"Credit Card")</f>
        <v>Credit Card</v>
      </c>
      <c r="J1602" s="14" t="str">
        <f>IFERROR(__xludf.DUMMYFUNCTION("""COMPUTED_VALUE"""),"Cancelled*Delayed Delivery:Heavy Traffic")</f>
        <v>Cancelled*Delayed Delivery:Heavy Traffic</v>
      </c>
      <c r="K1602" s="14" t="str">
        <f>IFERROR(__xludf.DUMMYFUNCTION("split(E1602,""+"")"),"Potato")</f>
        <v>Potato</v>
      </c>
      <c r="L1602" s="14" t="str">
        <f>IFERROR(__xludf.DUMMYFUNCTION("""COMPUTED_VALUE"""),"2*Manju Ajay")</f>
        <v>2*Manju Ajay</v>
      </c>
      <c r="M1602" s="14">
        <f>IFERROR(__xludf.DUMMYFUNCTION("SPLIT(L1602,""*"")"),2.0)</f>
        <v>2</v>
      </c>
      <c r="N1602" s="14" t="str">
        <f>IFERROR(__xludf.DUMMYFUNCTION("""COMPUTED_VALUE"""),"Manju Ajay")</f>
        <v>Manju Ajay</v>
      </c>
      <c r="O1602" s="14" t="str">
        <f>IFERROR(__xludf.DUMMYFUNCTION("split(J1602,""*"")"),"Cancelled")</f>
        <v>Cancelled</v>
      </c>
      <c r="P1602" s="14" t="str">
        <f>IFERROR(__xludf.DUMMYFUNCTION("""COMPUTED_VALUE"""),"Delayed Delivery:Heavy Traffic")</f>
        <v>Delayed Delivery:Heavy Traffic</v>
      </c>
      <c r="Q1602" s="14" t="str">
        <f>IFERROR(__xludf.DUMMYFUNCTION("split(P1602,"":"")"),"Delayed Delivery")</f>
        <v>Delayed Delivery</v>
      </c>
      <c r="R1602" s="14" t="str">
        <f>IFERROR(__xludf.DUMMYFUNCTION("""COMPUTED_VALUE"""),"Heavy Traffic")</f>
        <v>Heavy Traffic</v>
      </c>
      <c r="S1602" s="14" t="str">
        <f t="shared" ref="S1602:U1602" si="3207">trim(B1602)</f>
        <v>ord_71580</v>
      </c>
      <c r="T1602" s="14" t="str">
        <f t="shared" si="3207"/>
        <v>Kritika Shetty</v>
      </c>
      <c r="U1602" s="14" t="str">
        <f t="shared" si="3207"/>
        <v>Malad</v>
      </c>
      <c r="V1602" s="14" t="str">
        <f t="shared" si="4"/>
        <v>Potato</v>
      </c>
      <c r="W1602" s="14">
        <f t="shared" si="5"/>
        <v>2</v>
      </c>
      <c r="X1602" s="14" t="str">
        <f t="shared" si="6"/>
        <v>Manju Ajay</v>
      </c>
      <c r="Y1602" s="15">
        <f t="shared" si="7"/>
        <v>45258</v>
      </c>
      <c r="Z1602" s="14" t="str">
        <f t="shared" si="8"/>
        <v>Credit Card</v>
      </c>
      <c r="AA1602" s="14" t="str">
        <f t="shared" si="9"/>
        <v>Cancelled</v>
      </c>
      <c r="AB1602" s="14" t="str">
        <f t="shared" ref="AB1602:AC1602" si="3208">trim(Q1602)</f>
        <v>Delayed Delivery</v>
      </c>
      <c r="AC1602" s="14" t="str">
        <f t="shared" si="3208"/>
        <v>Heavy Traffic</v>
      </c>
      <c r="AD1602" s="8"/>
    </row>
    <row r="1603">
      <c r="A1603" s="14" t="str">
        <f>IFERROR(__xludf.DUMMYFUNCTION("""COMPUTED_VALUE"""),"//ord_71581//Dev Chauhan//Bandra//Rasmalai+2*Shine Thomas/5/12/2023//UPI//Delivered*Convenience: Easy tracking")</f>
        <v>//ord_71581//Dev Chauhan//Bandra//Rasmalai+2*Shine Thomas/5/12/2023//UPI//Delivered*Convenience: Easy tracking</v>
      </c>
      <c r="B1603" s="14" t="str">
        <f>IFERROR(__xludf.DUMMYFUNCTION("split(A1603,""//"")"),"ord_71581")</f>
        <v>ord_71581</v>
      </c>
      <c r="C1603" s="14" t="str">
        <f>IFERROR(__xludf.DUMMYFUNCTION("""COMPUTED_VALUE"""),"Dev Chauhan")</f>
        <v>Dev Chauhan</v>
      </c>
      <c r="D1603" s="14" t="str">
        <f>IFERROR(__xludf.DUMMYFUNCTION("""COMPUTED_VALUE"""),"Bandra")</f>
        <v>Bandra</v>
      </c>
      <c r="E1603" s="14" t="str">
        <f>IFERROR(__xludf.DUMMYFUNCTION("""COMPUTED_VALUE"""),"Rasmalai+2*Shine Thomas")</f>
        <v>Rasmalai+2*Shine Thomas</v>
      </c>
      <c r="F1603" s="14">
        <f>IFERROR(__xludf.DUMMYFUNCTION("""COMPUTED_VALUE"""),5.0)</f>
        <v>5</v>
      </c>
      <c r="G1603" s="14">
        <f>IFERROR(__xludf.DUMMYFUNCTION("""COMPUTED_VALUE"""),12.0)</f>
        <v>12</v>
      </c>
      <c r="H1603" s="14">
        <f>IFERROR(__xludf.DUMMYFUNCTION("""COMPUTED_VALUE"""),2023.0)</f>
        <v>2023</v>
      </c>
      <c r="I1603" s="14" t="str">
        <f>IFERROR(__xludf.DUMMYFUNCTION("""COMPUTED_VALUE"""),"UPI")</f>
        <v>UPI</v>
      </c>
      <c r="J1603" s="14" t="str">
        <f>IFERROR(__xludf.DUMMYFUNCTION("""COMPUTED_VALUE"""),"Delivered*Convenience: Easy tracking")</f>
        <v>Delivered*Convenience: Easy tracking</v>
      </c>
      <c r="K1603" s="14" t="str">
        <f>IFERROR(__xludf.DUMMYFUNCTION("split(E1603,""+"")"),"Rasmalai")</f>
        <v>Rasmalai</v>
      </c>
      <c r="L1603" s="14" t="str">
        <f>IFERROR(__xludf.DUMMYFUNCTION("""COMPUTED_VALUE"""),"2*Shine Thomas")</f>
        <v>2*Shine Thomas</v>
      </c>
      <c r="M1603" s="14">
        <f>IFERROR(__xludf.DUMMYFUNCTION("SPLIT(L1603,""*"")"),2.0)</f>
        <v>2</v>
      </c>
      <c r="N1603" s="14" t="str">
        <f>IFERROR(__xludf.DUMMYFUNCTION("""COMPUTED_VALUE"""),"Shine Thomas")</f>
        <v>Shine Thomas</v>
      </c>
      <c r="O1603" s="14" t="str">
        <f>IFERROR(__xludf.DUMMYFUNCTION("split(J1603,""*"")"),"Delivered")</f>
        <v>Delivered</v>
      </c>
      <c r="P1603" s="14" t="str">
        <f>IFERROR(__xludf.DUMMYFUNCTION("""COMPUTED_VALUE"""),"Convenience: Easy tracking")</f>
        <v>Convenience: Easy tracking</v>
      </c>
      <c r="Q1603" s="14" t="str">
        <f>IFERROR(__xludf.DUMMYFUNCTION("split(P1603,"":"")"),"Convenience")</f>
        <v>Convenience</v>
      </c>
      <c r="R1603" s="14" t="str">
        <f>IFERROR(__xludf.DUMMYFUNCTION("""COMPUTED_VALUE""")," Easy tracking")</f>
        <v> Easy tracking</v>
      </c>
      <c r="S1603" s="14" t="str">
        <f t="shared" ref="S1603:U1603" si="3209">trim(B1603)</f>
        <v>ord_71581</v>
      </c>
      <c r="T1603" s="14" t="str">
        <f t="shared" si="3209"/>
        <v>Dev Chauhan</v>
      </c>
      <c r="U1603" s="14" t="str">
        <f t="shared" si="3209"/>
        <v>Bandra</v>
      </c>
      <c r="V1603" s="14" t="str">
        <f t="shared" si="4"/>
        <v>Rasmalai</v>
      </c>
      <c r="W1603" s="14">
        <f t="shared" si="5"/>
        <v>2</v>
      </c>
      <c r="X1603" s="14" t="str">
        <f t="shared" si="6"/>
        <v>Shine Thomas</v>
      </c>
      <c r="Y1603" s="15">
        <f t="shared" si="7"/>
        <v>45058</v>
      </c>
      <c r="Z1603" s="14" t="str">
        <f t="shared" si="8"/>
        <v>UPI</v>
      </c>
      <c r="AA1603" s="14" t="str">
        <f t="shared" si="9"/>
        <v>Delivered</v>
      </c>
      <c r="AB1603" s="14" t="str">
        <f t="shared" ref="AB1603:AC1603" si="3210">trim(Q1603)</f>
        <v>Convenience</v>
      </c>
      <c r="AC1603" s="14" t="str">
        <f t="shared" si="3210"/>
        <v>Easy tracking</v>
      </c>
      <c r="AD1603" s="8"/>
    </row>
    <row r="1604">
      <c r="A1604" s="14" t="str">
        <f>IFERROR(__xludf.DUMMYFUNCTION("""COMPUTED_VALUE"""),"//ord_71582//Mohit Malhotra//Lower Parel//Cold Coffee+3*Vivek Kumar/5/21/2023//Online Payment//Delivered*Overall Satisfaction: Great service will order again")</f>
        <v>//ord_71582//Mohit Malhotra//Lower Parel//Cold Coffee+3*Vivek Kumar/5/21/2023//Online Payment//Delivered*Overall Satisfaction: Great service will order again</v>
      </c>
      <c r="B1604" s="14" t="str">
        <f>IFERROR(__xludf.DUMMYFUNCTION("split(A1604,""//"")"),"ord_71582")</f>
        <v>ord_71582</v>
      </c>
      <c r="C1604" s="14" t="str">
        <f>IFERROR(__xludf.DUMMYFUNCTION("""COMPUTED_VALUE"""),"Mohit Malhotra")</f>
        <v>Mohit Malhotra</v>
      </c>
      <c r="D1604" s="14" t="str">
        <f>IFERROR(__xludf.DUMMYFUNCTION("""COMPUTED_VALUE"""),"Lower Parel")</f>
        <v>Lower Parel</v>
      </c>
      <c r="E1604" s="14" t="str">
        <f>IFERROR(__xludf.DUMMYFUNCTION("""COMPUTED_VALUE"""),"Cold Coffee+3*Vivek Kumar")</f>
        <v>Cold Coffee+3*Vivek Kumar</v>
      </c>
      <c r="F1604" s="14">
        <f>IFERROR(__xludf.DUMMYFUNCTION("""COMPUTED_VALUE"""),5.0)</f>
        <v>5</v>
      </c>
      <c r="G1604" s="14">
        <f>IFERROR(__xludf.DUMMYFUNCTION("""COMPUTED_VALUE"""),21.0)</f>
        <v>21</v>
      </c>
      <c r="H1604" s="14">
        <f>IFERROR(__xludf.DUMMYFUNCTION("""COMPUTED_VALUE"""),2023.0)</f>
        <v>2023</v>
      </c>
      <c r="I1604" s="14" t="str">
        <f>IFERROR(__xludf.DUMMYFUNCTION("""COMPUTED_VALUE"""),"Online Payment")</f>
        <v>Online Payment</v>
      </c>
      <c r="J1604" s="14" t="str">
        <f>IFERROR(__xludf.DUMMYFUNCTION("""COMPUTED_VALUE"""),"Delivered*Overall Satisfaction: Great service will order again")</f>
        <v>Delivered*Overall Satisfaction: Great service will order again</v>
      </c>
      <c r="K1604" s="14" t="str">
        <f>IFERROR(__xludf.DUMMYFUNCTION("split(E1604,""+"")"),"Cold Coffee")</f>
        <v>Cold Coffee</v>
      </c>
      <c r="L1604" s="14" t="str">
        <f>IFERROR(__xludf.DUMMYFUNCTION("""COMPUTED_VALUE"""),"3*Vivek Kumar")</f>
        <v>3*Vivek Kumar</v>
      </c>
      <c r="M1604" s="14">
        <f>IFERROR(__xludf.DUMMYFUNCTION("SPLIT(L1604,""*"")"),3.0)</f>
        <v>3</v>
      </c>
      <c r="N1604" s="14" t="str">
        <f>IFERROR(__xludf.DUMMYFUNCTION("""COMPUTED_VALUE"""),"Vivek Kumar")</f>
        <v>Vivek Kumar</v>
      </c>
      <c r="O1604" s="14" t="str">
        <f>IFERROR(__xludf.DUMMYFUNCTION("split(J1604,""*"")"),"Delivered")</f>
        <v>Delivered</v>
      </c>
      <c r="P1604" s="14" t="str">
        <f>IFERROR(__xludf.DUMMYFUNCTION("""COMPUTED_VALUE"""),"Overall Satisfaction: Great service will order again")</f>
        <v>Overall Satisfaction: Great service will order again</v>
      </c>
      <c r="Q1604" s="14" t="str">
        <f>IFERROR(__xludf.DUMMYFUNCTION("split(P1604,"":"")"),"Overall Satisfaction")</f>
        <v>Overall Satisfaction</v>
      </c>
      <c r="R1604" s="14" t="str">
        <f>IFERROR(__xludf.DUMMYFUNCTION("""COMPUTED_VALUE""")," Great service will order again")</f>
        <v> Great service will order again</v>
      </c>
      <c r="S1604" s="14" t="str">
        <f t="shared" ref="S1604:U1604" si="3211">trim(B1604)</f>
        <v>ord_71582</v>
      </c>
      <c r="T1604" s="14" t="str">
        <f t="shared" si="3211"/>
        <v>Mohit Malhotra</v>
      </c>
      <c r="U1604" s="14" t="str">
        <f t="shared" si="3211"/>
        <v>Lower Parel</v>
      </c>
      <c r="V1604" s="14" t="str">
        <f t="shared" si="4"/>
        <v>Cold Coffee</v>
      </c>
      <c r="W1604" s="14">
        <f t="shared" si="5"/>
        <v>3</v>
      </c>
      <c r="X1604" s="14" t="str">
        <f t="shared" si="6"/>
        <v>Vivek Kumar</v>
      </c>
      <c r="Y1604" s="15">
        <f t="shared" si="7"/>
        <v>45067</v>
      </c>
      <c r="Z1604" s="14" t="str">
        <f t="shared" si="8"/>
        <v>Online Payment</v>
      </c>
      <c r="AA1604" s="14" t="str">
        <f t="shared" si="9"/>
        <v>Delivered</v>
      </c>
      <c r="AB1604" s="14" t="str">
        <f t="shared" ref="AB1604:AC1604" si="3212">trim(Q1604)</f>
        <v>Overall Satisfaction</v>
      </c>
      <c r="AC1604" s="14" t="str">
        <f t="shared" si="3212"/>
        <v>Great service will order again</v>
      </c>
      <c r="AD1604" s="8"/>
    </row>
    <row r="1605">
      <c r="A1605" s="14" t="str">
        <f>IFERROR(__xludf.DUMMYFUNCTION("""COMPUTED_VALUE"""),"//ord_71583//Diya Arora//Lower Parel//Apple+1*Ram Gopal/3/17/2023//UPI//Delivered*On-time Delivery: Delivered on time")</f>
        <v>//ord_71583//Diya Arora//Lower Parel//Apple+1*Ram Gopal/3/17/2023//UPI//Delivered*On-time Delivery: Delivered on time</v>
      </c>
      <c r="B1605" s="14" t="str">
        <f>IFERROR(__xludf.DUMMYFUNCTION("split(A1605,""//"")"),"ord_71583")</f>
        <v>ord_71583</v>
      </c>
      <c r="C1605" s="14" t="str">
        <f>IFERROR(__xludf.DUMMYFUNCTION("""COMPUTED_VALUE"""),"Diya Arora")</f>
        <v>Diya Arora</v>
      </c>
      <c r="D1605" s="14" t="str">
        <f>IFERROR(__xludf.DUMMYFUNCTION("""COMPUTED_VALUE"""),"Lower Parel")</f>
        <v>Lower Parel</v>
      </c>
      <c r="E1605" s="14" t="str">
        <f>IFERROR(__xludf.DUMMYFUNCTION("""COMPUTED_VALUE"""),"Apple+1*Ram Gopal")</f>
        <v>Apple+1*Ram Gopal</v>
      </c>
      <c r="F1605" s="14">
        <f>IFERROR(__xludf.DUMMYFUNCTION("""COMPUTED_VALUE"""),3.0)</f>
        <v>3</v>
      </c>
      <c r="G1605" s="14">
        <f>IFERROR(__xludf.DUMMYFUNCTION("""COMPUTED_VALUE"""),17.0)</f>
        <v>17</v>
      </c>
      <c r="H1605" s="14">
        <f>IFERROR(__xludf.DUMMYFUNCTION("""COMPUTED_VALUE"""),2023.0)</f>
        <v>2023</v>
      </c>
      <c r="I1605" s="14" t="str">
        <f>IFERROR(__xludf.DUMMYFUNCTION("""COMPUTED_VALUE"""),"UPI")</f>
        <v>UPI</v>
      </c>
      <c r="J1605" s="14" t="str">
        <f>IFERROR(__xludf.DUMMYFUNCTION("""COMPUTED_VALUE"""),"Delivered*On-time Delivery: Delivered on time")</f>
        <v>Delivered*On-time Delivery: Delivered on time</v>
      </c>
      <c r="K1605" s="14" t="str">
        <f>IFERROR(__xludf.DUMMYFUNCTION("split(E1605,""+"")"),"Apple")</f>
        <v>Apple</v>
      </c>
      <c r="L1605" s="14" t="str">
        <f>IFERROR(__xludf.DUMMYFUNCTION("""COMPUTED_VALUE"""),"1*Ram Gopal")</f>
        <v>1*Ram Gopal</v>
      </c>
      <c r="M1605" s="14">
        <f>IFERROR(__xludf.DUMMYFUNCTION("SPLIT(L1605,""*"")"),1.0)</f>
        <v>1</v>
      </c>
      <c r="N1605" s="14" t="str">
        <f>IFERROR(__xludf.DUMMYFUNCTION("""COMPUTED_VALUE"""),"Ram Gopal")</f>
        <v>Ram Gopal</v>
      </c>
      <c r="O1605" s="14" t="str">
        <f>IFERROR(__xludf.DUMMYFUNCTION("split(J1605,""*"")"),"Delivered")</f>
        <v>Delivered</v>
      </c>
      <c r="P1605" s="14" t="str">
        <f>IFERROR(__xludf.DUMMYFUNCTION("""COMPUTED_VALUE"""),"On-time Delivery: Delivered on time")</f>
        <v>On-time Delivery: Delivered on time</v>
      </c>
      <c r="Q1605" s="14" t="str">
        <f>IFERROR(__xludf.DUMMYFUNCTION("split(P1605,"":"")"),"On-time Delivery")</f>
        <v>On-time Delivery</v>
      </c>
      <c r="R1605" s="14" t="str">
        <f>IFERROR(__xludf.DUMMYFUNCTION("""COMPUTED_VALUE""")," Delivered on time")</f>
        <v> Delivered on time</v>
      </c>
      <c r="S1605" s="14" t="str">
        <f t="shared" ref="S1605:U1605" si="3213">trim(B1605)</f>
        <v>ord_71583</v>
      </c>
      <c r="T1605" s="14" t="str">
        <f t="shared" si="3213"/>
        <v>Diya Arora</v>
      </c>
      <c r="U1605" s="14" t="str">
        <f t="shared" si="3213"/>
        <v>Lower Parel</v>
      </c>
      <c r="V1605" s="14" t="str">
        <f t="shared" si="4"/>
        <v>Apple</v>
      </c>
      <c r="W1605" s="14">
        <f t="shared" si="5"/>
        <v>1</v>
      </c>
      <c r="X1605" s="14" t="str">
        <f t="shared" si="6"/>
        <v>Ram Gopal</v>
      </c>
      <c r="Y1605" s="15">
        <f t="shared" si="7"/>
        <v>45002</v>
      </c>
      <c r="Z1605" s="14" t="str">
        <f t="shared" si="8"/>
        <v>UPI</v>
      </c>
      <c r="AA1605" s="14" t="str">
        <f t="shared" si="9"/>
        <v>Delivered</v>
      </c>
      <c r="AB1605" s="14" t="str">
        <f t="shared" ref="AB1605:AC1605" si="3214">trim(Q1605)</f>
        <v>On-time Delivery</v>
      </c>
      <c r="AC1605" s="14" t="str">
        <f t="shared" si="3214"/>
        <v>Delivered on time</v>
      </c>
      <c r="AD1605" s="8"/>
    </row>
    <row r="1606">
      <c r="A1606" s="14" t="str">
        <f>IFERROR(__xludf.DUMMYFUNCTION("""COMPUTED_VALUE"""),"//ord_71584//Pranav Joshi//Andheri//Chocolate Mousse+3*Not Assigned/7/26/2023//Credit Card//Cancelled*App Glitches: Payment Button Malfunction")</f>
        <v>//ord_71584//Pranav Joshi//Andheri//Chocolate Mousse+3*Not Assigned/7/26/2023//Credit Card//Cancelled*App Glitches: Payment Button Malfunction</v>
      </c>
      <c r="B1606" s="14" t="str">
        <f>IFERROR(__xludf.DUMMYFUNCTION("split(A1606,""//"")"),"ord_71584")</f>
        <v>ord_71584</v>
      </c>
      <c r="C1606" s="14" t="str">
        <f>IFERROR(__xludf.DUMMYFUNCTION("""COMPUTED_VALUE"""),"Pranav Joshi")</f>
        <v>Pranav Joshi</v>
      </c>
      <c r="D1606" s="14" t="str">
        <f>IFERROR(__xludf.DUMMYFUNCTION("""COMPUTED_VALUE"""),"Andheri")</f>
        <v>Andheri</v>
      </c>
      <c r="E1606" s="14" t="str">
        <f>IFERROR(__xludf.DUMMYFUNCTION("""COMPUTED_VALUE"""),"Chocolate Mousse+3*Not Assigned")</f>
        <v>Chocolate Mousse+3*Not Assigned</v>
      </c>
      <c r="F1606" s="14">
        <f>IFERROR(__xludf.DUMMYFUNCTION("""COMPUTED_VALUE"""),7.0)</f>
        <v>7</v>
      </c>
      <c r="G1606" s="14">
        <f>IFERROR(__xludf.DUMMYFUNCTION("""COMPUTED_VALUE"""),26.0)</f>
        <v>26</v>
      </c>
      <c r="H1606" s="14">
        <f>IFERROR(__xludf.DUMMYFUNCTION("""COMPUTED_VALUE"""),2023.0)</f>
        <v>2023</v>
      </c>
      <c r="I1606" s="14" t="str">
        <f>IFERROR(__xludf.DUMMYFUNCTION("""COMPUTED_VALUE"""),"Credit Card")</f>
        <v>Credit Card</v>
      </c>
      <c r="J1606" s="14" t="str">
        <f>IFERROR(__xludf.DUMMYFUNCTION("""COMPUTED_VALUE"""),"Cancelled*App Glitches: Payment Button Malfunction")</f>
        <v>Cancelled*App Glitches: Payment Button Malfunction</v>
      </c>
      <c r="K1606" s="14" t="str">
        <f>IFERROR(__xludf.DUMMYFUNCTION("split(E1606,""+"")"),"Chocolate Mousse")</f>
        <v>Chocolate Mousse</v>
      </c>
      <c r="L1606" s="14" t="str">
        <f>IFERROR(__xludf.DUMMYFUNCTION("""COMPUTED_VALUE"""),"3*Not Assigned")</f>
        <v>3*Not Assigned</v>
      </c>
      <c r="M1606" s="14">
        <f>IFERROR(__xludf.DUMMYFUNCTION("SPLIT(L1606,""*"")"),3.0)</f>
        <v>3</v>
      </c>
      <c r="N1606" s="14" t="str">
        <f>IFERROR(__xludf.DUMMYFUNCTION("""COMPUTED_VALUE"""),"Not Assigned")</f>
        <v>Not Assigned</v>
      </c>
      <c r="O1606" s="14" t="str">
        <f>IFERROR(__xludf.DUMMYFUNCTION("split(J1606,""*"")"),"Cancelled")</f>
        <v>Cancelled</v>
      </c>
      <c r="P1606" s="14" t="str">
        <f>IFERROR(__xludf.DUMMYFUNCTION("""COMPUTED_VALUE"""),"App Glitches: Payment Button Malfunction")</f>
        <v>App Glitches: Payment Button Malfunction</v>
      </c>
      <c r="Q1606" s="14" t="str">
        <f>IFERROR(__xludf.DUMMYFUNCTION("split(P1606,"":"")"),"App Glitches")</f>
        <v>App Glitches</v>
      </c>
      <c r="R1606" s="14" t="str">
        <f>IFERROR(__xludf.DUMMYFUNCTION("""COMPUTED_VALUE""")," Payment Button Malfunction")</f>
        <v> Payment Button Malfunction</v>
      </c>
      <c r="S1606" s="14" t="str">
        <f t="shared" ref="S1606:U1606" si="3215">trim(B1606)</f>
        <v>ord_71584</v>
      </c>
      <c r="T1606" s="14" t="str">
        <f t="shared" si="3215"/>
        <v>Pranav Joshi</v>
      </c>
      <c r="U1606" s="14" t="str">
        <f t="shared" si="3215"/>
        <v>Andheri</v>
      </c>
      <c r="V1606" s="14" t="str">
        <f t="shared" si="4"/>
        <v>Chocolate Mousse</v>
      </c>
      <c r="W1606" s="14">
        <f t="shared" si="5"/>
        <v>3</v>
      </c>
      <c r="X1606" s="14" t="str">
        <f t="shared" si="6"/>
        <v>Not Assigned</v>
      </c>
      <c r="Y1606" s="15">
        <f t="shared" si="7"/>
        <v>45133</v>
      </c>
      <c r="Z1606" s="14" t="str">
        <f t="shared" si="8"/>
        <v>Credit Card</v>
      </c>
      <c r="AA1606" s="14" t="str">
        <f t="shared" si="9"/>
        <v>Cancelled</v>
      </c>
      <c r="AB1606" s="14" t="str">
        <f t="shared" ref="AB1606:AC1606" si="3216">trim(Q1606)</f>
        <v>App Glitches</v>
      </c>
      <c r="AC1606" s="14" t="str">
        <f t="shared" si="3216"/>
        <v>Payment Button Malfunction</v>
      </c>
      <c r="AD1606" s="8"/>
    </row>
    <row r="1607">
      <c r="A1607" s="14" t="str">
        <f>IFERROR(__xludf.DUMMYFUNCTION("""COMPUTED_VALUE"""),"//ord_71585//Parth Goel//Juhu//Icecream+2*Sita T/5/9/2023//UPI//Delivered*Quality of Items: Perfect condition")</f>
        <v>//ord_71585//Parth Goel//Juhu//Icecream+2*Sita T/5/9/2023//UPI//Delivered*Quality of Items: Perfect condition</v>
      </c>
      <c r="B1607" s="14" t="str">
        <f>IFERROR(__xludf.DUMMYFUNCTION("split(A1607,""//"")"),"ord_71585")</f>
        <v>ord_71585</v>
      </c>
      <c r="C1607" s="14" t="str">
        <f>IFERROR(__xludf.DUMMYFUNCTION("""COMPUTED_VALUE"""),"Parth Goel")</f>
        <v>Parth Goel</v>
      </c>
      <c r="D1607" s="14" t="str">
        <f>IFERROR(__xludf.DUMMYFUNCTION("""COMPUTED_VALUE"""),"Juhu")</f>
        <v>Juhu</v>
      </c>
      <c r="E1607" s="14" t="str">
        <f>IFERROR(__xludf.DUMMYFUNCTION("""COMPUTED_VALUE"""),"Icecream+2*Sita T")</f>
        <v>Icecream+2*Sita T</v>
      </c>
      <c r="F1607" s="14">
        <f>IFERROR(__xludf.DUMMYFUNCTION("""COMPUTED_VALUE"""),5.0)</f>
        <v>5</v>
      </c>
      <c r="G1607" s="14">
        <f>IFERROR(__xludf.DUMMYFUNCTION("""COMPUTED_VALUE"""),9.0)</f>
        <v>9</v>
      </c>
      <c r="H1607" s="14">
        <f>IFERROR(__xludf.DUMMYFUNCTION("""COMPUTED_VALUE"""),2023.0)</f>
        <v>2023</v>
      </c>
      <c r="I1607" s="14" t="str">
        <f>IFERROR(__xludf.DUMMYFUNCTION("""COMPUTED_VALUE"""),"UPI")</f>
        <v>UPI</v>
      </c>
      <c r="J1607" s="14" t="str">
        <f>IFERROR(__xludf.DUMMYFUNCTION("""COMPUTED_VALUE"""),"Delivered*Quality of Items: Perfect condition")</f>
        <v>Delivered*Quality of Items: Perfect condition</v>
      </c>
      <c r="K1607" s="14" t="str">
        <f>IFERROR(__xludf.DUMMYFUNCTION("split(E1607,""+"")"),"Icecream")</f>
        <v>Icecream</v>
      </c>
      <c r="L1607" s="14" t="str">
        <f>IFERROR(__xludf.DUMMYFUNCTION("""COMPUTED_VALUE"""),"2*Sita T")</f>
        <v>2*Sita T</v>
      </c>
      <c r="M1607" s="14">
        <f>IFERROR(__xludf.DUMMYFUNCTION("SPLIT(L1607,""*"")"),2.0)</f>
        <v>2</v>
      </c>
      <c r="N1607" s="14" t="str">
        <f>IFERROR(__xludf.DUMMYFUNCTION("""COMPUTED_VALUE"""),"Sita T")</f>
        <v>Sita T</v>
      </c>
      <c r="O1607" s="14" t="str">
        <f>IFERROR(__xludf.DUMMYFUNCTION("split(J1607,""*"")"),"Delivered")</f>
        <v>Delivered</v>
      </c>
      <c r="P1607" s="14" t="str">
        <f>IFERROR(__xludf.DUMMYFUNCTION("""COMPUTED_VALUE"""),"Quality of Items: Perfect condition")</f>
        <v>Quality of Items: Perfect condition</v>
      </c>
      <c r="Q1607" s="14" t="str">
        <f>IFERROR(__xludf.DUMMYFUNCTION("split(P1607,"":"")"),"Quality of Items")</f>
        <v>Quality of Items</v>
      </c>
      <c r="R1607" s="14" t="str">
        <f>IFERROR(__xludf.DUMMYFUNCTION("""COMPUTED_VALUE""")," Perfect condition")</f>
        <v> Perfect condition</v>
      </c>
      <c r="S1607" s="14" t="str">
        <f t="shared" ref="S1607:U1607" si="3217">trim(B1607)</f>
        <v>ord_71585</v>
      </c>
      <c r="T1607" s="14" t="str">
        <f t="shared" si="3217"/>
        <v>Parth Goel</v>
      </c>
      <c r="U1607" s="14" t="str">
        <f t="shared" si="3217"/>
        <v>Juhu</v>
      </c>
      <c r="V1607" s="14" t="str">
        <f t="shared" si="4"/>
        <v>Icecream</v>
      </c>
      <c r="W1607" s="14">
        <f t="shared" si="5"/>
        <v>2</v>
      </c>
      <c r="X1607" s="14" t="str">
        <f t="shared" si="6"/>
        <v>Sita T</v>
      </c>
      <c r="Y1607" s="15">
        <f t="shared" si="7"/>
        <v>45055</v>
      </c>
      <c r="Z1607" s="14" t="str">
        <f t="shared" si="8"/>
        <v>UPI</v>
      </c>
      <c r="AA1607" s="14" t="str">
        <f t="shared" si="9"/>
        <v>Delivered</v>
      </c>
      <c r="AB1607" s="14" t="str">
        <f t="shared" ref="AB1607:AC1607" si="3218">trim(Q1607)</f>
        <v>Quality of Items</v>
      </c>
      <c r="AC1607" s="14" t="str">
        <f t="shared" si="3218"/>
        <v>Perfect condition</v>
      </c>
      <c r="AD1607" s="8"/>
    </row>
    <row r="1608">
      <c r="A1608" s="14" t="str">
        <f>IFERROR(__xludf.DUMMYFUNCTION("""COMPUTED_VALUE"""),"//ord_71586//Dev Chauhan//Bandra//Papaya+1*Sandeep Kumar/3/11/2023//UPI//Cancelled*Delayed Delivery:Bad Weather Conditions ")</f>
        <v>//ord_71586//Dev Chauhan//Bandra//Papaya+1*Sandeep Kumar/3/11/2023//UPI//Cancelled*Delayed Delivery:Bad Weather Conditions </v>
      </c>
      <c r="B1608" s="14" t="str">
        <f>IFERROR(__xludf.DUMMYFUNCTION("split(A1608,""//"")"),"ord_71586")</f>
        <v>ord_71586</v>
      </c>
      <c r="C1608" s="14" t="str">
        <f>IFERROR(__xludf.DUMMYFUNCTION("""COMPUTED_VALUE"""),"Dev Chauhan")</f>
        <v>Dev Chauhan</v>
      </c>
      <c r="D1608" s="14" t="str">
        <f>IFERROR(__xludf.DUMMYFUNCTION("""COMPUTED_VALUE"""),"Bandra")</f>
        <v>Bandra</v>
      </c>
      <c r="E1608" s="14" t="str">
        <f>IFERROR(__xludf.DUMMYFUNCTION("""COMPUTED_VALUE"""),"Papaya+1*Sandeep Kumar")</f>
        <v>Papaya+1*Sandeep Kumar</v>
      </c>
      <c r="F1608" s="14">
        <f>IFERROR(__xludf.DUMMYFUNCTION("""COMPUTED_VALUE"""),3.0)</f>
        <v>3</v>
      </c>
      <c r="G1608" s="14">
        <f>IFERROR(__xludf.DUMMYFUNCTION("""COMPUTED_VALUE"""),11.0)</f>
        <v>11</v>
      </c>
      <c r="H1608" s="14">
        <f>IFERROR(__xludf.DUMMYFUNCTION("""COMPUTED_VALUE"""),2023.0)</f>
        <v>2023</v>
      </c>
      <c r="I1608" s="14" t="str">
        <f>IFERROR(__xludf.DUMMYFUNCTION("""COMPUTED_VALUE"""),"UPI")</f>
        <v>UPI</v>
      </c>
      <c r="J1608" s="14" t="str">
        <f>IFERROR(__xludf.DUMMYFUNCTION("""COMPUTED_VALUE"""),"Cancelled*Delayed Delivery:Bad Weather Conditions ")</f>
        <v>Cancelled*Delayed Delivery:Bad Weather Conditions </v>
      </c>
      <c r="K1608" s="14" t="str">
        <f>IFERROR(__xludf.DUMMYFUNCTION("split(E1608,""+"")"),"Papaya")</f>
        <v>Papaya</v>
      </c>
      <c r="L1608" s="14" t="str">
        <f>IFERROR(__xludf.DUMMYFUNCTION("""COMPUTED_VALUE"""),"1*Sandeep Kumar")</f>
        <v>1*Sandeep Kumar</v>
      </c>
      <c r="M1608" s="14">
        <f>IFERROR(__xludf.DUMMYFUNCTION("SPLIT(L1608,""*"")"),1.0)</f>
        <v>1</v>
      </c>
      <c r="N1608" s="14" t="str">
        <f>IFERROR(__xludf.DUMMYFUNCTION("""COMPUTED_VALUE"""),"Sandeep Kumar")</f>
        <v>Sandeep Kumar</v>
      </c>
      <c r="O1608" s="14" t="str">
        <f>IFERROR(__xludf.DUMMYFUNCTION("split(J1608,""*"")"),"Cancelled")</f>
        <v>Cancelled</v>
      </c>
      <c r="P1608" s="14" t="str">
        <f>IFERROR(__xludf.DUMMYFUNCTION("""COMPUTED_VALUE"""),"Delayed Delivery:Bad Weather Conditions ")</f>
        <v>Delayed Delivery:Bad Weather Conditions </v>
      </c>
      <c r="Q1608" s="14" t="str">
        <f>IFERROR(__xludf.DUMMYFUNCTION("split(P1608,"":"")"),"Delayed Delivery")</f>
        <v>Delayed Delivery</v>
      </c>
      <c r="R1608" s="14" t="str">
        <f>IFERROR(__xludf.DUMMYFUNCTION("""COMPUTED_VALUE"""),"Bad Weather Conditions ")</f>
        <v>Bad Weather Conditions </v>
      </c>
      <c r="S1608" s="14" t="str">
        <f t="shared" ref="S1608:U1608" si="3219">trim(B1608)</f>
        <v>ord_71586</v>
      </c>
      <c r="T1608" s="14" t="str">
        <f t="shared" si="3219"/>
        <v>Dev Chauhan</v>
      </c>
      <c r="U1608" s="14" t="str">
        <f t="shared" si="3219"/>
        <v>Bandra</v>
      </c>
      <c r="V1608" s="14" t="str">
        <f t="shared" si="4"/>
        <v>Papaya</v>
      </c>
      <c r="W1608" s="14">
        <f t="shared" si="5"/>
        <v>1</v>
      </c>
      <c r="X1608" s="14" t="str">
        <f t="shared" si="6"/>
        <v>Sandeep Kumar</v>
      </c>
      <c r="Y1608" s="15">
        <f t="shared" si="7"/>
        <v>44996</v>
      </c>
      <c r="Z1608" s="14" t="str">
        <f t="shared" si="8"/>
        <v>UPI</v>
      </c>
      <c r="AA1608" s="14" t="str">
        <f t="shared" si="9"/>
        <v>Cancelled</v>
      </c>
      <c r="AB1608" s="14" t="str">
        <f t="shared" ref="AB1608:AC1608" si="3220">trim(Q1608)</f>
        <v>Delayed Delivery</v>
      </c>
      <c r="AC1608" s="14" t="str">
        <f t="shared" si="3220"/>
        <v>Bad Weather Conditions</v>
      </c>
      <c r="AD1608" s="8"/>
    </row>
    <row r="1609">
      <c r="A1609" s="14" t="str">
        <f>IFERROR(__xludf.DUMMYFUNCTION("""COMPUTED_VALUE"""),"//ord_71587//Tanishq Bansal//Powai//Chilli Cheese Toast+3*Vivek Kumar/10/2/2023//UPI//Cancelled*Delayed Delivery:Incorrect Address or Location")</f>
        <v>//ord_71587//Tanishq Bansal//Powai//Chilli Cheese Toast+3*Vivek Kumar/10/2/2023//UPI//Cancelled*Delayed Delivery:Incorrect Address or Location</v>
      </c>
      <c r="B1609" s="14" t="str">
        <f>IFERROR(__xludf.DUMMYFUNCTION("split(A1609,""//"")"),"ord_71587")</f>
        <v>ord_71587</v>
      </c>
      <c r="C1609" s="14" t="str">
        <f>IFERROR(__xludf.DUMMYFUNCTION("""COMPUTED_VALUE"""),"Tanishq Bansal")</f>
        <v>Tanishq Bansal</v>
      </c>
      <c r="D1609" s="14" t="str">
        <f>IFERROR(__xludf.DUMMYFUNCTION("""COMPUTED_VALUE"""),"Powai")</f>
        <v>Powai</v>
      </c>
      <c r="E1609" s="14" t="str">
        <f>IFERROR(__xludf.DUMMYFUNCTION("""COMPUTED_VALUE"""),"Chilli Cheese Toast+3*Vivek Kumar")</f>
        <v>Chilli Cheese Toast+3*Vivek Kumar</v>
      </c>
      <c r="F1609" s="14">
        <f>IFERROR(__xludf.DUMMYFUNCTION("""COMPUTED_VALUE"""),10.0)</f>
        <v>10</v>
      </c>
      <c r="G1609" s="14">
        <f>IFERROR(__xludf.DUMMYFUNCTION("""COMPUTED_VALUE"""),2.0)</f>
        <v>2</v>
      </c>
      <c r="H1609" s="14">
        <f>IFERROR(__xludf.DUMMYFUNCTION("""COMPUTED_VALUE"""),2023.0)</f>
        <v>2023</v>
      </c>
      <c r="I1609" s="14" t="str">
        <f>IFERROR(__xludf.DUMMYFUNCTION("""COMPUTED_VALUE"""),"UPI")</f>
        <v>UPI</v>
      </c>
      <c r="J1609" s="14" t="str">
        <f>IFERROR(__xludf.DUMMYFUNCTION("""COMPUTED_VALUE"""),"Cancelled*Delayed Delivery:Incorrect Address or Location")</f>
        <v>Cancelled*Delayed Delivery:Incorrect Address or Location</v>
      </c>
      <c r="K1609" s="14" t="str">
        <f>IFERROR(__xludf.DUMMYFUNCTION("split(E1609,""+"")"),"Chilli Cheese Toast")</f>
        <v>Chilli Cheese Toast</v>
      </c>
      <c r="L1609" s="14" t="str">
        <f>IFERROR(__xludf.DUMMYFUNCTION("""COMPUTED_VALUE"""),"3*Vivek Kumar")</f>
        <v>3*Vivek Kumar</v>
      </c>
      <c r="M1609" s="14">
        <f>IFERROR(__xludf.DUMMYFUNCTION("SPLIT(L1609,""*"")"),3.0)</f>
        <v>3</v>
      </c>
      <c r="N1609" s="14" t="str">
        <f>IFERROR(__xludf.DUMMYFUNCTION("""COMPUTED_VALUE"""),"Vivek Kumar")</f>
        <v>Vivek Kumar</v>
      </c>
      <c r="O1609" s="14" t="str">
        <f>IFERROR(__xludf.DUMMYFUNCTION("split(J1609,""*"")"),"Cancelled")</f>
        <v>Cancelled</v>
      </c>
      <c r="P1609" s="14" t="str">
        <f>IFERROR(__xludf.DUMMYFUNCTION("""COMPUTED_VALUE"""),"Delayed Delivery:Incorrect Address or Location")</f>
        <v>Delayed Delivery:Incorrect Address or Location</v>
      </c>
      <c r="Q1609" s="14" t="str">
        <f>IFERROR(__xludf.DUMMYFUNCTION("split(P1609,"":"")"),"Delayed Delivery")</f>
        <v>Delayed Delivery</v>
      </c>
      <c r="R1609" s="14" t="str">
        <f>IFERROR(__xludf.DUMMYFUNCTION("""COMPUTED_VALUE"""),"Incorrect Address or Location")</f>
        <v>Incorrect Address or Location</v>
      </c>
      <c r="S1609" s="14" t="str">
        <f t="shared" ref="S1609:U1609" si="3221">trim(B1609)</f>
        <v>ord_71587</v>
      </c>
      <c r="T1609" s="14" t="str">
        <f t="shared" si="3221"/>
        <v>Tanishq Bansal</v>
      </c>
      <c r="U1609" s="14" t="str">
        <f t="shared" si="3221"/>
        <v>Powai</v>
      </c>
      <c r="V1609" s="14" t="str">
        <f t="shared" si="4"/>
        <v>Chilli Cheese Toast</v>
      </c>
      <c r="W1609" s="14">
        <f t="shared" si="5"/>
        <v>3</v>
      </c>
      <c r="X1609" s="14" t="str">
        <f t="shared" si="6"/>
        <v>Vivek Kumar</v>
      </c>
      <c r="Y1609" s="15">
        <f t="shared" si="7"/>
        <v>45201</v>
      </c>
      <c r="Z1609" s="14" t="str">
        <f t="shared" si="8"/>
        <v>UPI</v>
      </c>
      <c r="AA1609" s="14" t="str">
        <f t="shared" si="9"/>
        <v>Cancelled</v>
      </c>
      <c r="AB1609" s="14" t="str">
        <f t="shared" ref="AB1609:AC1609" si="3222">trim(Q1609)</f>
        <v>Delayed Delivery</v>
      </c>
      <c r="AC1609" s="14" t="str">
        <f t="shared" si="3222"/>
        <v>Incorrect Address or Location</v>
      </c>
      <c r="AD1609" s="8"/>
    </row>
    <row r="1610">
      <c r="A1610" s="14" t="str">
        <f>IFERROR(__xludf.DUMMYFUNCTION("""COMPUTED_VALUE"""),"//ord_71588//Sakshi Tandon//Colaba//Onion+2*Venu R/10/23/2023//Credit Card//Delivered*On-time Delivery: Delivered on time")</f>
        <v>//ord_71588//Sakshi Tandon//Colaba//Onion+2*Venu R/10/23/2023//Credit Card//Delivered*On-time Delivery: Delivered on time</v>
      </c>
      <c r="B1610" s="14" t="str">
        <f>IFERROR(__xludf.DUMMYFUNCTION("split(A1610,""//"")"),"ord_71588")</f>
        <v>ord_71588</v>
      </c>
      <c r="C1610" s="14" t="str">
        <f>IFERROR(__xludf.DUMMYFUNCTION("""COMPUTED_VALUE"""),"Sakshi Tandon")</f>
        <v>Sakshi Tandon</v>
      </c>
      <c r="D1610" s="14" t="str">
        <f>IFERROR(__xludf.DUMMYFUNCTION("""COMPUTED_VALUE"""),"Colaba")</f>
        <v>Colaba</v>
      </c>
      <c r="E1610" s="14" t="str">
        <f>IFERROR(__xludf.DUMMYFUNCTION("""COMPUTED_VALUE"""),"Onion+2*Venu R")</f>
        <v>Onion+2*Venu R</v>
      </c>
      <c r="F1610" s="14">
        <f>IFERROR(__xludf.DUMMYFUNCTION("""COMPUTED_VALUE"""),10.0)</f>
        <v>10</v>
      </c>
      <c r="G1610" s="14">
        <f>IFERROR(__xludf.DUMMYFUNCTION("""COMPUTED_VALUE"""),23.0)</f>
        <v>23</v>
      </c>
      <c r="H1610" s="14">
        <f>IFERROR(__xludf.DUMMYFUNCTION("""COMPUTED_VALUE"""),2023.0)</f>
        <v>2023</v>
      </c>
      <c r="I1610" s="14" t="str">
        <f>IFERROR(__xludf.DUMMYFUNCTION("""COMPUTED_VALUE"""),"Credit Card")</f>
        <v>Credit Card</v>
      </c>
      <c r="J1610" s="14" t="str">
        <f>IFERROR(__xludf.DUMMYFUNCTION("""COMPUTED_VALUE"""),"Delivered*On-time Delivery: Delivered on time")</f>
        <v>Delivered*On-time Delivery: Delivered on time</v>
      </c>
      <c r="K1610" s="14" t="str">
        <f>IFERROR(__xludf.DUMMYFUNCTION("split(E1610,""+"")"),"Onion")</f>
        <v>Onion</v>
      </c>
      <c r="L1610" s="14" t="str">
        <f>IFERROR(__xludf.DUMMYFUNCTION("""COMPUTED_VALUE"""),"2*Venu R")</f>
        <v>2*Venu R</v>
      </c>
      <c r="M1610" s="14">
        <f>IFERROR(__xludf.DUMMYFUNCTION("SPLIT(L1610,""*"")"),2.0)</f>
        <v>2</v>
      </c>
      <c r="N1610" s="14" t="str">
        <f>IFERROR(__xludf.DUMMYFUNCTION("""COMPUTED_VALUE"""),"Venu R")</f>
        <v>Venu R</v>
      </c>
      <c r="O1610" s="14" t="str">
        <f>IFERROR(__xludf.DUMMYFUNCTION("split(J1610,""*"")"),"Delivered")</f>
        <v>Delivered</v>
      </c>
      <c r="P1610" s="14" t="str">
        <f>IFERROR(__xludf.DUMMYFUNCTION("""COMPUTED_VALUE"""),"On-time Delivery: Delivered on time")</f>
        <v>On-time Delivery: Delivered on time</v>
      </c>
      <c r="Q1610" s="14" t="str">
        <f>IFERROR(__xludf.DUMMYFUNCTION("split(P1610,"":"")"),"On-time Delivery")</f>
        <v>On-time Delivery</v>
      </c>
      <c r="R1610" s="14" t="str">
        <f>IFERROR(__xludf.DUMMYFUNCTION("""COMPUTED_VALUE""")," Delivered on time")</f>
        <v> Delivered on time</v>
      </c>
      <c r="S1610" s="14" t="str">
        <f t="shared" ref="S1610:U1610" si="3223">trim(B1610)</f>
        <v>ord_71588</v>
      </c>
      <c r="T1610" s="14" t="str">
        <f t="shared" si="3223"/>
        <v>Sakshi Tandon</v>
      </c>
      <c r="U1610" s="14" t="str">
        <f t="shared" si="3223"/>
        <v>Colaba</v>
      </c>
      <c r="V1610" s="14" t="str">
        <f t="shared" si="4"/>
        <v>Onion</v>
      </c>
      <c r="W1610" s="14">
        <f t="shared" si="5"/>
        <v>2</v>
      </c>
      <c r="X1610" s="14" t="str">
        <f t="shared" si="6"/>
        <v>Venu R</v>
      </c>
      <c r="Y1610" s="15">
        <f t="shared" si="7"/>
        <v>45222</v>
      </c>
      <c r="Z1610" s="14" t="str">
        <f t="shared" si="8"/>
        <v>Credit Card</v>
      </c>
      <c r="AA1610" s="14" t="str">
        <f t="shared" si="9"/>
        <v>Delivered</v>
      </c>
      <c r="AB1610" s="14" t="str">
        <f t="shared" ref="AB1610:AC1610" si="3224">trim(Q1610)</f>
        <v>On-time Delivery</v>
      </c>
      <c r="AC1610" s="14" t="str">
        <f t="shared" si="3224"/>
        <v>Delivered on time</v>
      </c>
      <c r="AD1610" s="8"/>
    </row>
    <row r="1611">
      <c r="A1611" s="14" t="str">
        <f>IFERROR(__xludf.DUMMYFUNCTION("""COMPUTED_VALUE"""),"//ord_71589//Ishita Banerjee//Juhu//Icecream+1*Nithin Lal/2/2/2023//Online Payment//Delivered*Quality of Items: Perfect condition")</f>
        <v>//ord_71589//Ishita Banerjee//Juhu//Icecream+1*Nithin Lal/2/2/2023//Online Payment//Delivered*Quality of Items: Perfect condition</v>
      </c>
      <c r="B1611" s="14" t="str">
        <f>IFERROR(__xludf.DUMMYFUNCTION("split(A1611,""//"")"),"ord_71589")</f>
        <v>ord_71589</v>
      </c>
      <c r="C1611" s="14" t="str">
        <f>IFERROR(__xludf.DUMMYFUNCTION("""COMPUTED_VALUE"""),"Ishita Banerjee")</f>
        <v>Ishita Banerjee</v>
      </c>
      <c r="D1611" s="14" t="str">
        <f>IFERROR(__xludf.DUMMYFUNCTION("""COMPUTED_VALUE"""),"Juhu")</f>
        <v>Juhu</v>
      </c>
      <c r="E1611" s="14" t="str">
        <f>IFERROR(__xludf.DUMMYFUNCTION("""COMPUTED_VALUE"""),"Icecream+1*Nithin Lal")</f>
        <v>Icecream+1*Nithin Lal</v>
      </c>
      <c r="F1611" s="14">
        <f>IFERROR(__xludf.DUMMYFUNCTION("""COMPUTED_VALUE"""),2.0)</f>
        <v>2</v>
      </c>
      <c r="G1611" s="14">
        <f>IFERROR(__xludf.DUMMYFUNCTION("""COMPUTED_VALUE"""),2.0)</f>
        <v>2</v>
      </c>
      <c r="H1611" s="14">
        <f>IFERROR(__xludf.DUMMYFUNCTION("""COMPUTED_VALUE"""),2023.0)</f>
        <v>2023</v>
      </c>
      <c r="I1611" s="14" t="str">
        <f>IFERROR(__xludf.DUMMYFUNCTION("""COMPUTED_VALUE"""),"Online Payment")</f>
        <v>Online Payment</v>
      </c>
      <c r="J1611" s="14" t="str">
        <f>IFERROR(__xludf.DUMMYFUNCTION("""COMPUTED_VALUE"""),"Delivered*Quality of Items: Perfect condition")</f>
        <v>Delivered*Quality of Items: Perfect condition</v>
      </c>
      <c r="K1611" s="14" t="str">
        <f>IFERROR(__xludf.DUMMYFUNCTION("split(E1611,""+"")"),"Icecream")</f>
        <v>Icecream</v>
      </c>
      <c r="L1611" s="14" t="str">
        <f>IFERROR(__xludf.DUMMYFUNCTION("""COMPUTED_VALUE"""),"1*Nithin Lal")</f>
        <v>1*Nithin Lal</v>
      </c>
      <c r="M1611" s="14">
        <f>IFERROR(__xludf.DUMMYFUNCTION("SPLIT(L1611,""*"")"),1.0)</f>
        <v>1</v>
      </c>
      <c r="N1611" s="14" t="str">
        <f>IFERROR(__xludf.DUMMYFUNCTION("""COMPUTED_VALUE"""),"Nithin Lal")</f>
        <v>Nithin Lal</v>
      </c>
      <c r="O1611" s="14" t="str">
        <f>IFERROR(__xludf.DUMMYFUNCTION("split(J1611,""*"")"),"Delivered")</f>
        <v>Delivered</v>
      </c>
      <c r="P1611" s="14" t="str">
        <f>IFERROR(__xludf.DUMMYFUNCTION("""COMPUTED_VALUE"""),"Quality of Items: Perfect condition")</f>
        <v>Quality of Items: Perfect condition</v>
      </c>
      <c r="Q1611" s="14" t="str">
        <f>IFERROR(__xludf.DUMMYFUNCTION("split(P1611,"":"")"),"Quality of Items")</f>
        <v>Quality of Items</v>
      </c>
      <c r="R1611" s="14" t="str">
        <f>IFERROR(__xludf.DUMMYFUNCTION("""COMPUTED_VALUE""")," Perfect condition")</f>
        <v> Perfect condition</v>
      </c>
      <c r="S1611" s="14" t="str">
        <f t="shared" ref="S1611:U1611" si="3225">trim(B1611)</f>
        <v>ord_71589</v>
      </c>
      <c r="T1611" s="14" t="str">
        <f t="shared" si="3225"/>
        <v>Ishita Banerjee</v>
      </c>
      <c r="U1611" s="14" t="str">
        <f t="shared" si="3225"/>
        <v>Juhu</v>
      </c>
      <c r="V1611" s="14" t="str">
        <f t="shared" si="4"/>
        <v>Icecream</v>
      </c>
      <c r="W1611" s="14">
        <f t="shared" si="5"/>
        <v>1</v>
      </c>
      <c r="X1611" s="14" t="str">
        <f t="shared" si="6"/>
        <v>Nithin Lal</v>
      </c>
      <c r="Y1611" s="15">
        <f t="shared" si="7"/>
        <v>44959</v>
      </c>
      <c r="Z1611" s="14" t="str">
        <f t="shared" si="8"/>
        <v>Online Payment</v>
      </c>
      <c r="AA1611" s="14" t="str">
        <f t="shared" si="9"/>
        <v>Delivered</v>
      </c>
      <c r="AB1611" s="14" t="str">
        <f t="shared" ref="AB1611:AC1611" si="3226">trim(Q1611)</f>
        <v>Quality of Items</v>
      </c>
      <c r="AC1611" s="14" t="str">
        <f t="shared" si="3226"/>
        <v>Perfect condition</v>
      </c>
      <c r="AD1611" s="8"/>
    </row>
    <row r="1612">
      <c r="A1612" s="14" t="str">
        <f>IFERROR(__xludf.DUMMYFUNCTION("""COMPUTED_VALUE"""),"//ord_71590//Omkar Mishra//Powai//Sweet Corn+1*Tanvi Jain/12/9/2023//Credit Card//Cancelled*Delayed Delivery:Heavy Traffic")</f>
        <v>//ord_71590//Omkar Mishra//Powai//Sweet Corn+1*Tanvi Jain/12/9/2023//Credit Card//Cancelled*Delayed Delivery:Heavy Traffic</v>
      </c>
      <c r="B1612" s="14" t="str">
        <f>IFERROR(__xludf.DUMMYFUNCTION("split(A1612,""//"")"),"ord_71590")</f>
        <v>ord_71590</v>
      </c>
      <c r="C1612" s="14" t="str">
        <f>IFERROR(__xludf.DUMMYFUNCTION("""COMPUTED_VALUE"""),"Omkar Mishra")</f>
        <v>Omkar Mishra</v>
      </c>
      <c r="D1612" s="14" t="str">
        <f>IFERROR(__xludf.DUMMYFUNCTION("""COMPUTED_VALUE"""),"Powai")</f>
        <v>Powai</v>
      </c>
      <c r="E1612" s="14" t="str">
        <f>IFERROR(__xludf.DUMMYFUNCTION("""COMPUTED_VALUE"""),"Sweet Corn+1*Tanvi Jain")</f>
        <v>Sweet Corn+1*Tanvi Jain</v>
      </c>
      <c r="F1612" s="14">
        <f>IFERROR(__xludf.DUMMYFUNCTION("""COMPUTED_VALUE"""),12.0)</f>
        <v>12</v>
      </c>
      <c r="G1612" s="14">
        <f>IFERROR(__xludf.DUMMYFUNCTION("""COMPUTED_VALUE"""),9.0)</f>
        <v>9</v>
      </c>
      <c r="H1612" s="14">
        <f>IFERROR(__xludf.DUMMYFUNCTION("""COMPUTED_VALUE"""),2023.0)</f>
        <v>2023</v>
      </c>
      <c r="I1612" s="14" t="str">
        <f>IFERROR(__xludf.DUMMYFUNCTION("""COMPUTED_VALUE"""),"Credit Card")</f>
        <v>Credit Card</v>
      </c>
      <c r="J1612" s="14" t="str">
        <f>IFERROR(__xludf.DUMMYFUNCTION("""COMPUTED_VALUE"""),"Cancelled*Delayed Delivery:Heavy Traffic")</f>
        <v>Cancelled*Delayed Delivery:Heavy Traffic</v>
      </c>
      <c r="K1612" s="14" t="str">
        <f>IFERROR(__xludf.DUMMYFUNCTION("split(E1612,""+"")"),"Sweet Corn")</f>
        <v>Sweet Corn</v>
      </c>
      <c r="L1612" s="14" t="str">
        <f>IFERROR(__xludf.DUMMYFUNCTION("""COMPUTED_VALUE"""),"1*Tanvi Jain")</f>
        <v>1*Tanvi Jain</v>
      </c>
      <c r="M1612" s="14">
        <f>IFERROR(__xludf.DUMMYFUNCTION("SPLIT(L1612,""*"")"),1.0)</f>
        <v>1</v>
      </c>
      <c r="N1612" s="14" t="str">
        <f>IFERROR(__xludf.DUMMYFUNCTION("""COMPUTED_VALUE"""),"Tanvi Jain")</f>
        <v>Tanvi Jain</v>
      </c>
      <c r="O1612" s="14" t="str">
        <f>IFERROR(__xludf.DUMMYFUNCTION("split(J1612,""*"")"),"Cancelled")</f>
        <v>Cancelled</v>
      </c>
      <c r="P1612" s="14" t="str">
        <f>IFERROR(__xludf.DUMMYFUNCTION("""COMPUTED_VALUE"""),"Delayed Delivery:Heavy Traffic")</f>
        <v>Delayed Delivery:Heavy Traffic</v>
      </c>
      <c r="Q1612" s="14" t="str">
        <f>IFERROR(__xludf.DUMMYFUNCTION("split(P1612,"":"")"),"Delayed Delivery")</f>
        <v>Delayed Delivery</v>
      </c>
      <c r="R1612" s="14" t="str">
        <f>IFERROR(__xludf.DUMMYFUNCTION("""COMPUTED_VALUE"""),"Heavy Traffic")</f>
        <v>Heavy Traffic</v>
      </c>
      <c r="S1612" s="14" t="str">
        <f t="shared" ref="S1612:U1612" si="3227">trim(B1612)</f>
        <v>ord_71590</v>
      </c>
      <c r="T1612" s="14" t="str">
        <f t="shared" si="3227"/>
        <v>Omkar Mishra</v>
      </c>
      <c r="U1612" s="14" t="str">
        <f t="shared" si="3227"/>
        <v>Powai</v>
      </c>
      <c r="V1612" s="14" t="str">
        <f t="shared" si="4"/>
        <v>Sweet Corn</v>
      </c>
      <c r="W1612" s="14">
        <f t="shared" si="5"/>
        <v>1</v>
      </c>
      <c r="X1612" s="14" t="str">
        <f t="shared" si="6"/>
        <v>Tanvi Jain</v>
      </c>
      <c r="Y1612" s="15">
        <f t="shared" si="7"/>
        <v>45269</v>
      </c>
      <c r="Z1612" s="14" t="str">
        <f t="shared" si="8"/>
        <v>Credit Card</v>
      </c>
      <c r="AA1612" s="14" t="str">
        <f t="shared" si="9"/>
        <v>Cancelled</v>
      </c>
      <c r="AB1612" s="14" t="str">
        <f t="shared" ref="AB1612:AC1612" si="3228">trim(Q1612)</f>
        <v>Delayed Delivery</v>
      </c>
      <c r="AC1612" s="14" t="str">
        <f t="shared" si="3228"/>
        <v>Heavy Traffic</v>
      </c>
      <c r="AD1612" s="8"/>
    </row>
    <row r="1613">
      <c r="A1613" s="14" t="str">
        <f>IFERROR(__xludf.DUMMYFUNCTION("""COMPUTED_VALUE"""),"//ord_71591//Tanishq Bansal//Powai//Cucumber+1*Venu R/7/13/2023//Online Payment//Delivered*Packaging: Secure and intact")</f>
        <v>//ord_71591//Tanishq Bansal//Powai//Cucumber+1*Venu R/7/13/2023//Online Payment//Delivered*Packaging: Secure and intact</v>
      </c>
      <c r="B1613" s="14" t="str">
        <f>IFERROR(__xludf.DUMMYFUNCTION("split(A1613,""//"")"),"ord_71591")</f>
        <v>ord_71591</v>
      </c>
      <c r="C1613" s="14" t="str">
        <f>IFERROR(__xludf.DUMMYFUNCTION("""COMPUTED_VALUE"""),"Tanishq Bansal")</f>
        <v>Tanishq Bansal</v>
      </c>
      <c r="D1613" s="14" t="str">
        <f>IFERROR(__xludf.DUMMYFUNCTION("""COMPUTED_VALUE"""),"Powai")</f>
        <v>Powai</v>
      </c>
      <c r="E1613" s="14" t="str">
        <f>IFERROR(__xludf.DUMMYFUNCTION("""COMPUTED_VALUE"""),"Cucumber+1*Venu R")</f>
        <v>Cucumber+1*Venu R</v>
      </c>
      <c r="F1613" s="14">
        <f>IFERROR(__xludf.DUMMYFUNCTION("""COMPUTED_VALUE"""),7.0)</f>
        <v>7</v>
      </c>
      <c r="G1613" s="14">
        <f>IFERROR(__xludf.DUMMYFUNCTION("""COMPUTED_VALUE"""),13.0)</f>
        <v>13</v>
      </c>
      <c r="H1613" s="14">
        <f>IFERROR(__xludf.DUMMYFUNCTION("""COMPUTED_VALUE"""),2023.0)</f>
        <v>2023</v>
      </c>
      <c r="I1613" s="14" t="str">
        <f>IFERROR(__xludf.DUMMYFUNCTION("""COMPUTED_VALUE"""),"Online Payment")</f>
        <v>Online Payment</v>
      </c>
      <c r="J1613" s="14" t="str">
        <f>IFERROR(__xludf.DUMMYFUNCTION("""COMPUTED_VALUE"""),"Delivered*Packaging: Secure and intact")</f>
        <v>Delivered*Packaging: Secure and intact</v>
      </c>
      <c r="K1613" s="14" t="str">
        <f>IFERROR(__xludf.DUMMYFUNCTION("split(E1613,""+"")"),"Cucumber")</f>
        <v>Cucumber</v>
      </c>
      <c r="L1613" s="14" t="str">
        <f>IFERROR(__xludf.DUMMYFUNCTION("""COMPUTED_VALUE"""),"1*Venu R")</f>
        <v>1*Venu R</v>
      </c>
      <c r="M1613" s="14">
        <f>IFERROR(__xludf.DUMMYFUNCTION("SPLIT(L1613,""*"")"),1.0)</f>
        <v>1</v>
      </c>
      <c r="N1613" s="14" t="str">
        <f>IFERROR(__xludf.DUMMYFUNCTION("""COMPUTED_VALUE"""),"Venu R")</f>
        <v>Venu R</v>
      </c>
      <c r="O1613" s="14" t="str">
        <f>IFERROR(__xludf.DUMMYFUNCTION("split(J1613,""*"")"),"Delivered")</f>
        <v>Delivered</v>
      </c>
      <c r="P1613" s="14" t="str">
        <f>IFERROR(__xludf.DUMMYFUNCTION("""COMPUTED_VALUE"""),"Packaging: Secure and intact")</f>
        <v>Packaging: Secure and intact</v>
      </c>
      <c r="Q1613" s="14" t="str">
        <f>IFERROR(__xludf.DUMMYFUNCTION("split(P1613,"":"")"),"Packaging")</f>
        <v>Packaging</v>
      </c>
      <c r="R1613" s="14" t="str">
        <f>IFERROR(__xludf.DUMMYFUNCTION("""COMPUTED_VALUE""")," Secure and intact")</f>
        <v> Secure and intact</v>
      </c>
      <c r="S1613" s="14" t="str">
        <f t="shared" ref="S1613:U1613" si="3229">trim(B1613)</f>
        <v>ord_71591</v>
      </c>
      <c r="T1613" s="14" t="str">
        <f t="shared" si="3229"/>
        <v>Tanishq Bansal</v>
      </c>
      <c r="U1613" s="14" t="str">
        <f t="shared" si="3229"/>
        <v>Powai</v>
      </c>
      <c r="V1613" s="14" t="str">
        <f t="shared" si="4"/>
        <v>Cucumber</v>
      </c>
      <c r="W1613" s="14">
        <f t="shared" si="5"/>
        <v>1</v>
      </c>
      <c r="X1613" s="14" t="str">
        <f t="shared" si="6"/>
        <v>Venu R</v>
      </c>
      <c r="Y1613" s="15">
        <f t="shared" si="7"/>
        <v>45120</v>
      </c>
      <c r="Z1613" s="14" t="str">
        <f t="shared" si="8"/>
        <v>Online Payment</v>
      </c>
      <c r="AA1613" s="14" t="str">
        <f t="shared" si="9"/>
        <v>Delivered</v>
      </c>
      <c r="AB1613" s="14" t="str">
        <f t="shared" ref="AB1613:AC1613" si="3230">trim(Q1613)</f>
        <v>Packaging</v>
      </c>
      <c r="AC1613" s="14" t="str">
        <f t="shared" si="3230"/>
        <v>Secure and intact</v>
      </c>
      <c r="AD1613" s="8"/>
    </row>
    <row r="1614">
      <c r="A1614" s="14" t="str">
        <f>IFERROR(__xludf.DUMMYFUNCTION("""COMPUTED_VALUE"""),"//ord_71592//Kritika Shetty//Malad//Chilli Cheese Toast+4*Venu R/12/14/2023//Credit Card//Cancelled*Delayed Delivery:Bad Weather Conditions ")</f>
        <v>//ord_71592//Kritika Shetty//Malad//Chilli Cheese Toast+4*Venu R/12/14/2023//Credit Card//Cancelled*Delayed Delivery:Bad Weather Conditions </v>
      </c>
      <c r="B1614" s="14" t="str">
        <f>IFERROR(__xludf.DUMMYFUNCTION("split(A1614,""//"")"),"ord_71592")</f>
        <v>ord_71592</v>
      </c>
      <c r="C1614" s="14" t="str">
        <f>IFERROR(__xludf.DUMMYFUNCTION("""COMPUTED_VALUE"""),"Kritika Shetty")</f>
        <v>Kritika Shetty</v>
      </c>
      <c r="D1614" s="14" t="str">
        <f>IFERROR(__xludf.DUMMYFUNCTION("""COMPUTED_VALUE"""),"Malad")</f>
        <v>Malad</v>
      </c>
      <c r="E1614" s="14" t="str">
        <f>IFERROR(__xludf.DUMMYFUNCTION("""COMPUTED_VALUE"""),"Chilli Cheese Toast+4*Venu R")</f>
        <v>Chilli Cheese Toast+4*Venu R</v>
      </c>
      <c r="F1614" s="14">
        <f>IFERROR(__xludf.DUMMYFUNCTION("""COMPUTED_VALUE"""),12.0)</f>
        <v>12</v>
      </c>
      <c r="G1614" s="14">
        <f>IFERROR(__xludf.DUMMYFUNCTION("""COMPUTED_VALUE"""),14.0)</f>
        <v>14</v>
      </c>
      <c r="H1614" s="14">
        <f>IFERROR(__xludf.DUMMYFUNCTION("""COMPUTED_VALUE"""),2023.0)</f>
        <v>2023</v>
      </c>
      <c r="I1614" s="14" t="str">
        <f>IFERROR(__xludf.DUMMYFUNCTION("""COMPUTED_VALUE"""),"Credit Card")</f>
        <v>Credit Card</v>
      </c>
      <c r="J1614" s="14" t="str">
        <f>IFERROR(__xludf.DUMMYFUNCTION("""COMPUTED_VALUE"""),"Cancelled*Delayed Delivery:Bad Weather Conditions ")</f>
        <v>Cancelled*Delayed Delivery:Bad Weather Conditions </v>
      </c>
      <c r="K1614" s="14" t="str">
        <f>IFERROR(__xludf.DUMMYFUNCTION("split(E1614,""+"")"),"Chilli Cheese Toast")</f>
        <v>Chilli Cheese Toast</v>
      </c>
      <c r="L1614" s="14" t="str">
        <f>IFERROR(__xludf.DUMMYFUNCTION("""COMPUTED_VALUE"""),"4*Venu R")</f>
        <v>4*Venu R</v>
      </c>
      <c r="M1614" s="14">
        <f>IFERROR(__xludf.DUMMYFUNCTION("SPLIT(L1614,""*"")"),4.0)</f>
        <v>4</v>
      </c>
      <c r="N1614" s="14" t="str">
        <f>IFERROR(__xludf.DUMMYFUNCTION("""COMPUTED_VALUE"""),"Venu R")</f>
        <v>Venu R</v>
      </c>
      <c r="O1614" s="14" t="str">
        <f>IFERROR(__xludf.DUMMYFUNCTION("split(J1614,""*"")"),"Cancelled")</f>
        <v>Cancelled</v>
      </c>
      <c r="P1614" s="14" t="str">
        <f>IFERROR(__xludf.DUMMYFUNCTION("""COMPUTED_VALUE"""),"Delayed Delivery:Bad Weather Conditions ")</f>
        <v>Delayed Delivery:Bad Weather Conditions </v>
      </c>
      <c r="Q1614" s="14" t="str">
        <f>IFERROR(__xludf.DUMMYFUNCTION("split(P1614,"":"")"),"Delayed Delivery")</f>
        <v>Delayed Delivery</v>
      </c>
      <c r="R1614" s="14" t="str">
        <f>IFERROR(__xludf.DUMMYFUNCTION("""COMPUTED_VALUE"""),"Bad Weather Conditions ")</f>
        <v>Bad Weather Conditions </v>
      </c>
      <c r="S1614" s="14" t="str">
        <f t="shared" ref="S1614:U1614" si="3231">trim(B1614)</f>
        <v>ord_71592</v>
      </c>
      <c r="T1614" s="14" t="str">
        <f t="shared" si="3231"/>
        <v>Kritika Shetty</v>
      </c>
      <c r="U1614" s="14" t="str">
        <f t="shared" si="3231"/>
        <v>Malad</v>
      </c>
      <c r="V1614" s="14" t="str">
        <f t="shared" si="4"/>
        <v>Chilli Cheese Toast</v>
      </c>
      <c r="W1614" s="14">
        <f t="shared" si="5"/>
        <v>4</v>
      </c>
      <c r="X1614" s="14" t="str">
        <f t="shared" si="6"/>
        <v>Venu R</v>
      </c>
      <c r="Y1614" s="15">
        <f t="shared" si="7"/>
        <v>45274</v>
      </c>
      <c r="Z1614" s="14" t="str">
        <f t="shared" si="8"/>
        <v>Credit Card</v>
      </c>
      <c r="AA1614" s="14" t="str">
        <f t="shared" si="9"/>
        <v>Cancelled</v>
      </c>
      <c r="AB1614" s="14" t="str">
        <f t="shared" ref="AB1614:AC1614" si="3232">trim(Q1614)</f>
        <v>Delayed Delivery</v>
      </c>
      <c r="AC1614" s="14" t="str">
        <f t="shared" si="3232"/>
        <v>Bad Weather Conditions</v>
      </c>
      <c r="AD1614" s="8"/>
    </row>
    <row r="1615">
      <c r="A1615" s="14" t="str">
        <f>IFERROR(__xludf.DUMMYFUNCTION("""COMPUTED_VALUE"""),"//ord_71593//Diya Arora//Lower Parel//Veg Puff+4*Shine Thomas/8/22/2023//Credit Card//Delivered*Satisfied with the Delivery: Timely and quality")</f>
        <v>//ord_71593//Diya Arora//Lower Parel//Veg Puff+4*Shine Thomas/8/22/2023//Credit Card//Delivered*Satisfied with the Delivery: Timely and quality</v>
      </c>
      <c r="B1615" s="14" t="str">
        <f>IFERROR(__xludf.DUMMYFUNCTION("split(A1615,""//"")"),"ord_71593")</f>
        <v>ord_71593</v>
      </c>
      <c r="C1615" s="14" t="str">
        <f>IFERROR(__xludf.DUMMYFUNCTION("""COMPUTED_VALUE"""),"Diya Arora")</f>
        <v>Diya Arora</v>
      </c>
      <c r="D1615" s="14" t="str">
        <f>IFERROR(__xludf.DUMMYFUNCTION("""COMPUTED_VALUE"""),"Lower Parel")</f>
        <v>Lower Parel</v>
      </c>
      <c r="E1615" s="14" t="str">
        <f>IFERROR(__xludf.DUMMYFUNCTION("""COMPUTED_VALUE"""),"Veg Puff+4*Shine Thomas")</f>
        <v>Veg Puff+4*Shine Thomas</v>
      </c>
      <c r="F1615" s="14">
        <f>IFERROR(__xludf.DUMMYFUNCTION("""COMPUTED_VALUE"""),8.0)</f>
        <v>8</v>
      </c>
      <c r="G1615" s="14">
        <f>IFERROR(__xludf.DUMMYFUNCTION("""COMPUTED_VALUE"""),22.0)</f>
        <v>22</v>
      </c>
      <c r="H1615" s="14">
        <f>IFERROR(__xludf.DUMMYFUNCTION("""COMPUTED_VALUE"""),2023.0)</f>
        <v>2023</v>
      </c>
      <c r="I1615" s="14" t="str">
        <f>IFERROR(__xludf.DUMMYFUNCTION("""COMPUTED_VALUE"""),"Credit Card")</f>
        <v>Credit Card</v>
      </c>
      <c r="J1615" s="14" t="str">
        <f>IFERROR(__xludf.DUMMYFUNCTION("""COMPUTED_VALUE"""),"Delivered*Satisfied with the Delivery: Timely and quality")</f>
        <v>Delivered*Satisfied with the Delivery: Timely and quality</v>
      </c>
      <c r="K1615" s="14" t="str">
        <f>IFERROR(__xludf.DUMMYFUNCTION("split(E1615,""+"")"),"Veg Puff")</f>
        <v>Veg Puff</v>
      </c>
      <c r="L1615" s="14" t="str">
        <f>IFERROR(__xludf.DUMMYFUNCTION("""COMPUTED_VALUE"""),"4*Shine Thomas")</f>
        <v>4*Shine Thomas</v>
      </c>
      <c r="M1615" s="14">
        <f>IFERROR(__xludf.DUMMYFUNCTION("SPLIT(L1615,""*"")"),4.0)</f>
        <v>4</v>
      </c>
      <c r="N1615" s="14" t="str">
        <f>IFERROR(__xludf.DUMMYFUNCTION("""COMPUTED_VALUE"""),"Shine Thomas")</f>
        <v>Shine Thomas</v>
      </c>
      <c r="O1615" s="14" t="str">
        <f>IFERROR(__xludf.DUMMYFUNCTION("split(J1615,""*"")"),"Delivered")</f>
        <v>Delivered</v>
      </c>
      <c r="P1615" s="14" t="str">
        <f>IFERROR(__xludf.DUMMYFUNCTION("""COMPUTED_VALUE"""),"Satisfied with the Delivery: Timely and quality")</f>
        <v>Satisfied with the Delivery: Timely and quality</v>
      </c>
      <c r="Q1615" s="14" t="str">
        <f>IFERROR(__xludf.DUMMYFUNCTION("split(P1615,"":"")"),"Satisfied with the Delivery")</f>
        <v>Satisfied with the Delivery</v>
      </c>
      <c r="R1615" s="14" t="str">
        <f>IFERROR(__xludf.DUMMYFUNCTION("""COMPUTED_VALUE""")," Timely and quality")</f>
        <v> Timely and quality</v>
      </c>
      <c r="S1615" s="14" t="str">
        <f t="shared" ref="S1615:U1615" si="3233">trim(B1615)</f>
        <v>ord_71593</v>
      </c>
      <c r="T1615" s="14" t="str">
        <f t="shared" si="3233"/>
        <v>Diya Arora</v>
      </c>
      <c r="U1615" s="14" t="str">
        <f t="shared" si="3233"/>
        <v>Lower Parel</v>
      </c>
      <c r="V1615" s="14" t="str">
        <f t="shared" si="4"/>
        <v>Veg Puff</v>
      </c>
      <c r="W1615" s="14">
        <f t="shared" si="5"/>
        <v>4</v>
      </c>
      <c r="X1615" s="14" t="str">
        <f t="shared" si="6"/>
        <v>Shine Thomas</v>
      </c>
      <c r="Y1615" s="15">
        <f t="shared" si="7"/>
        <v>45160</v>
      </c>
      <c r="Z1615" s="14" t="str">
        <f t="shared" si="8"/>
        <v>Credit Card</v>
      </c>
      <c r="AA1615" s="14" t="str">
        <f t="shared" si="9"/>
        <v>Delivered</v>
      </c>
      <c r="AB1615" s="14" t="str">
        <f t="shared" ref="AB1615:AC1615" si="3234">trim(Q1615)</f>
        <v>Satisfied with the Delivery</v>
      </c>
      <c r="AC1615" s="14" t="str">
        <f t="shared" si="3234"/>
        <v>Timely and quality</v>
      </c>
      <c r="AD1615" s="8"/>
    </row>
    <row r="1616">
      <c r="A1616" s="14" t="str">
        <f>IFERROR(__xludf.DUMMYFUNCTION("""COMPUTED_VALUE"""),"//ord_71594//Aarohi Kapoor//Bandra//Icecream+3*Ram Gopal/5/18/2023//Credit Card//Delivered*Customer Service: Seamless and easy")</f>
        <v>//ord_71594//Aarohi Kapoor//Bandra//Icecream+3*Ram Gopal/5/18/2023//Credit Card//Delivered*Customer Service: Seamless and easy</v>
      </c>
      <c r="B1616" s="14" t="str">
        <f>IFERROR(__xludf.DUMMYFUNCTION("split(A1616,""//"")"),"ord_71594")</f>
        <v>ord_71594</v>
      </c>
      <c r="C1616" s="14" t="str">
        <f>IFERROR(__xludf.DUMMYFUNCTION("""COMPUTED_VALUE"""),"Aarohi Kapoor")</f>
        <v>Aarohi Kapoor</v>
      </c>
      <c r="D1616" s="14" t="str">
        <f>IFERROR(__xludf.DUMMYFUNCTION("""COMPUTED_VALUE"""),"Bandra")</f>
        <v>Bandra</v>
      </c>
      <c r="E1616" s="14" t="str">
        <f>IFERROR(__xludf.DUMMYFUNCTION("""COMPUTED_VALUE"""),"Icecream+3*Ram Gopal")</f>
        <v>Icecream+3*Ram Gopal</v>
      </c>
      <c r="F1616" s="14">
        <f>IFERROR(__xludf.DUMMYFUNCTION("""COMPUTED_VALUE"""),5.0)</f>
        <v>5</v>
      </c>
      <c r="G1616" s="14">
        <f>IFERROR(__xludf.DUMMYFUNCTION("""COMPUTED_VALUE"""),18.0)</f>
        <v>18</v>
      </c>
      <c r="H1616" s="14">
        <f>IFERROR(__xludf.DUMMYFUNCTION("""COMPUTED_VALUE"""),2023.0)</f>
        <v>2023</v>
      </c>
      <c r="I1616" s="14" t="str">
        <f>IFERROR(__xludf.DUMMYFUNCTION("""COMPUTED_VALUE"""),"Credit Card")</f>
        <v>Credit Card</v>
      </c>
      <c r="J1616" s="14" t="str">
        <f>IFERROR(__xludf.DUMMYFUNCTION("""COMPUTED_VALUE"""),"Delivered*Customer Service: Seamless and easy")</f>
        <v>Delivered*Customer Service: Seamless and easy</v>
      </c>
      <c r="K1616" s="14" t="str">
        <f>IFERROR(__xludf.DUMMYFUNCTION("split(E1616,""+"")"),"Icecream")</f>
        <v>Icecream</v>
      </c>
      <c r="L1616" s="14" t="str">
        <f>IFERROR(__xludf.DUMMYFUNCTION("""COMPUTED_VALUE"""),"3*Ram Gopal")</f>
        <v>3*Ram Gopal</v>
      </c>
      <c r="M1616" s="14">
        <f>IFERROR(__xludf.DUMMYFUNCTION("SPLIT(L1616,""*"")"),3.0)</f>
        <v>3</v>
      </c>
      <c r="N1616" s="14" t="str">
        <f>IFERROR(__xludf.DUMMYFUNCTION("""COMPUTED_VALUE"""),"Ram Gopal")</f>
        <v>Ram Gopal</v>
      </c>
      <c r="O1616" s="14" t="str">
        <f>IFERROR(__xludf.DUMMYFUNCTION("split(J1616,""*"")"),"Delivered")</f>
        <v>Delivered</v>
      </c>
      <c r="P1616" s="14" t="str">
        <f>IFERROR(__xludf.DUMMYFUNCTION("""COMPUTED_VALUE"""),"Customer Service: Seamless and easy")</f>
        <v>Customer Service: Seamless and easy</v>
      </c>
      <c r="Q1616" s="14" t="str">
        <f>IFERROR(__xludf.DUMMYFUNCTION("split(P1616,"":"")"),"Customer Service")</f>
        <v>Customer Service</v>
      </c>
      <c r="R1616" s="14" t="str">
        <f>IFERROR(__xludf.DUMMYFUNCTION("""COMPUTED_VALUE""")," Seamless and easy")</f>
        <v> Seamless and easy</v>
      </c>
      <c r="S1616" s="14" t="str">
        <f t="shared" ref="S1616:U1616" si="3235">trim(B1616)</f>
        <v>ord_71594</v>
      </c>
      <c r="T1616" s="14" t="str">
        <f t="shared" si="3235"/>
        <v>Aarohi Kapoor</v>
      </c>
      <c r="U1616" s="14" t="str">
        <f t="shared" si="3235"/>
        <v>Bandra</v>
      </c>
      <c r="V1616" s="14" t="str">
        <f t="shared" si="4"/>
        <v>Icecream</v>
      </c>
      <c r="W1616" s="14">
        <f t="shared" si="5"/>
        <v>3</v>
      </c>
      <c r="X1616" s="14" t="str">
        <f t="shared" si="6"/>
        <v>Ram Gopal</v>
      </c>
      <c r="Y1616" s="15">
        <f t="shared" si="7"/>
        <v>45064</v>
      </c>
      <c r="Z1616" s="14" t="str">
        <f t="shared" si="8"/>
        <v>Credit Card</v>
      </c>
      <c r="AA1616" s="14" t="str">
        <f t="shared" si="9"/>
        <v>Delivered</v>
      </c>
      <c r="AB1616" s="14" t="str">
        <f t="shared" ref="AB1616:AC1616" si="3236">trim(Q1616)</f>
        <v>Customer Service</v>
      </c>
      <c r="AC1616" s="14" t="str">
        <f t="shared" si="3236"/>
        <v>Seamless and easy</v>
      </c>
      <c r="AD1616" s="8"/>
    </row>
    <row r="1617">
      <c r="A1617" s="14" t="str">
        <f>IFERROR(__xludf.DUMMYFUNCTION("""COMPUTED_VALUE"""),"//ord_71595//Parth Goel//Juhu//Banana+1*Not Assigned/6/23/2023//Credit Card//Cancelled*App Glitches:Slow Loading Time")</f>
        <v>//ord_71595//Parth Goel//Juhu//Banana+1*Not Assigned/6/23/2023//Credit Card//Cancelled*App Glitches:Slow Loading Time</v>
      </c>
      <c r="B1617" s="14" t="str">
        <f>IFERROR(__xludf.DUMMYFUNCTION("split(A1617,""//"")"),"ord_71595")</f>
        <v>ord_71595</v>
      </c>
      <c r="C1617" s="14" t="str">
        <f>IFERROR(__xludf.DUMMYFUNCTION("""COMPUTED_VALUE"""),"Parth Goel")</f>
        <v>Parth Goel</v>
      </c>
      <c r="D1617" s="14" t="str">
        <f>IFERROR(__xludf.DUMMYFUNCTION("""COMPUTED_VALUE"""),"Juhu")</f>
        <v>Juhu</v>
      </c>
      <c r="E1617" s="14" t="str">
        <f>IFERROR(__xludf.DUMMYFUNCTION("""COMPUTED_VALUE"""),"Banana+1*Not Assigned")</f>
        <v>Banana+1*Not Assigned</v>
      </c>
      <c r="F1617" s="14">
        <f>IFERROR(__xludf.DUMMYFUNCTION("""COMPUTED_VALUE"""),6.0)</f>
        <v>6</v>
      </c>
      <c r="G1617" s="14">
        <f>IFERROR(__xludf.DUMMYFUNCTION("""COMPUTED_VALUE"""),23.0)</f>
        <v>23</v>
      </c>
      <c r="H1617" s="14">
        <f>IFERROR(__xludf.DUMMYFUNCTION("""COMPUTED_VALUE"""),2023.0)</f>
        <v>2023</v>
      </c>
      <c r="I1617" s="14" t="str">
        <f>IFERROR(__xludf.DUMMYFUNCTION("""COMPUTED_VALUE"""),"Credit Card")</f>
        <v>Credit Card</v>
      </c>
      <c r="J1617" s="14" t="str">
        <f>IFERROR(__xludf.DUMMYFUNCTION("""COMPUTED_VALUE"""),"Cancelled*App Glitches:Slow Loading Time")</f>
        <v>Cancelled*App Glitches:Slow Loading Time</v>
      </c>
      <c r="K1617" s="14" t="str">
        <f>IFERROR(__xludf.DUMMYFUNCTION("split(E1617,""+"")"),"Banana")</f>
        <v>Banana</v>
      </c>
      <c r="L1617" s="14" t="str">
        <f>IFERROR(__xludf.DUMMYFUNCTION("""COMPUTED_VALUE"""),"1*Not Assigned")</f>
        <v>1*Not Assigned</v>
      </c>
      <c r="M1617" s="14">
        <f>IFERROR(__xludf.DUMMYFUNCTION("SPLIT(L1617,""*"")"),1.0)</f>
        <v>1</v>
      </c>
      <c r="N1617" s="14" t="str">
        <f>IFERROR(__xludf.DUMMYFUNCTION("""COMPUTED_VALUE"""),"Not Assigned")</f>
        <v>Not Assigned</v>
      </c>
      <c r="O1617" s="14" t="str">
        <f>IFERROR(__xludf.DUMMYFUNCTION("split(J1617,""*"")"),"Cancelled")</f>
        <v>Cancelled</v>
      </c>
      <c r="P1617" s="14" t="str">
        <f>IFERROR(__xludf.DUMMYFUNCTION("""COMPUTED_VALUE"""),"App Glitches:Slow Loading Time")</f>
        <v>App Glitches:Slow Loading Time</v>
      </c>
      <c r="Q1617" s="14" t="str">
        <f>IFERROR(__xludf.DUMMYFUNCTION("split(P1617,"":"")"),"App Glitches")</f>
        <v>App Glitches</v>
      </c>
      <c r="R1617" s="14" t="str">
        <f>IFERROR(__xludf.DUMMYFUNCTION("""COMPUTED_VALUE"""),"Slow Loading Time")</f>
        <v>Slow Loading Time</v>
      </c>
      <c r="S1617" s="14" t="str">
        <f t="shared" ref="S1617:U1617" si="3237">trim(B1617)</f>
        <v>ord_71595</v>
      </c>
      <c r="T1617" s="14" t="str">
        <f t="shared" si="3237"/>
        <v>Parth Goel</v>
      </c>
      <c r="U1617" s="14" t="str">
        <f t="shared" si="3237"/>
        <v>Juhu</v>
      </c>
      <c r="V1617" s="14" t="str">
        <f t="shared" si="4"/>
        <v>Banana</v>
      </c>
      <c r="W1617" s="14">
        <f t="shared" si="5"/>
        <v>1</v>
      </c>
      <c r="X1617" s="14" t="str">
        <f t="shared" si="6"/>
        <v>Not Assigned</v>
      </c>
      <c r="Y1617" s="15">
        <f t="shared" si="7"/>
        <v>45100</v>
      </c>
      <c r="Z1617" s="14" t="str">
        <f t="shared" si="8"/>
        <v>Credit Card</v>
      </c>
      <c r="AA1617" s="14" t="str">
        <f t="shared" si="9"/>
        <v>Cancelled</v>
      </c>
      <c r="AB1617" s="14" t="str">
        <f t="shared" ref="AB1617:AC1617" si="3238">trim(Q1617)</f>
        <v>App Glitches</v>
      </c>
      <c r="AC1617" s="14" t="str">
        <f t="shared" si="3238"/>
        <v>Slow Loading Time</v>
      </c>
      <c r="AD1617" s="8"/>
    </row>
    <row r="1618">
      <c r="A1618" s="14" t="str">
        <f>IFERROR(__xludf.DUMMYFUNCTION("""COMPUTED_VALUE"""),"//ord_71596//Parth Goel//Juhu//Chocolate Mousse+3*Not Assigned/7/19/2023//Credit Card//Cancelled*Payment Issues")</f>
        <v>//ord_71596//Parth Goel//Juhu//Chocolate Mousse+3*Not Assigned/7/19/2023//Credit Card//Cancelled*Payment Issues</v>
      </c>
      <c r="B1618" s="14" t="str">
        <f>IFERROR(__xludf.DUMMYFUNCTION("split(A1618,""//"")"),"ord_71596")</f>
        <v>ord_71596</v>
      </c>
      <c r="C1618" s="14" t="str">
        <f>IFERROR(__xludf.DUMMYFUNCTION("""COMPUTED_VALUE"""),"Parth Goel")</f>
        <v>Parth Goel</v>
      </c>
      <c r="D1618" s="14" t="str">
        <f>IFERROR(__xludf.DUMMYFUNCTION("""COMPUTED_VALUE"""),"Juhu")</f>
        <v>Juhu</v>
      </c>
      <c r="E1618" s="14" t="str">
        <f>IFERROR(__xludf.DUMMYFUNCTION("""COMPUTED_VALUE"""),"Chocolate Mousse+3*Not Assigned")</f>
        <v>Chocolate Mousse+3*Not Assigned</v>
      </c>
      <c r="F1618" s="14">
        <f>IFERROR(__xludf.DUMMYFUNCTION("""COMPUTED_VALUE"""),7.0)</f>
        <v>7</v>
      </c>
      <c r="G1618" s="14">
        <f>IFERROR(__xludf.DUMMYFUNCTION("""COMPUTED_VALUE"""),19.0)</f>
        <v>19</v>
      </c>
      <c r="H1618" s="14">
        <f>IFERROR(__xludf.DUMMYFUNCTION("""COMPUTED_VALUE"""),2023.0)</f>
        <v>2023</v>
      </c>
      <c r="I1618" s="14" t="str">
        <f>IFERROR(__xludf.DUMMYFUNCTION("""COMPUTED_VALUE"""),"Credit Card")</f>
        <v>Credit Card</v>
      </c>
      <c r="J1618" s="14" t="str">
        <f>IFERROR(__xludf.DUMMYFUNCTION("""COMPUTED_VALUE"""),"Cancelled*Payment Issues")</f>
        <v>Cancelled*Payment Issues</v>
      </c>
      <c r="K1618" s="14" t="str">
        <f>IFERROR(__xludf.DUMMYFUNCTION("split(E1618,""+"")"),"Chocolate Mousse")</f>
        <v>Chocolate Mousse</v>
      </c>
      <c r="L1618" s="14" t="str">
        <f>IFERROR(__xludf.DUMMYFUNCTION("""COMPUTED_VALUE"""),"3*Not Assigned")</f>
        <v>3*Not Assigned</v>
      </c>
      <c r="M1618" s="14">
        <f>IFERROR(__xludf.DUMMYFUNCTION("SPLIT(L1618,""*"")"),3.0)</f>
        <v>3</v>
      </c>
      <c r="N1618" s="14" t="str">
        <f>IFERROR(__xludf.DUMMYFUNCTION("""COMPUTED_VALUE"""),"Not Assigned")</f>
        <v>Not Assigned</v>
      </c>
      <c r="O1618" s="14" t="str">
        <f>IFERROR(__xludf.DUMMYFUNCTION("split(J1618,""*"")"),"Cancelled")</f>
        <v>Cancelled</v>
      </c>
      <c r="P1618" s="14" t="str">
        <f>IFERROR(__xludf.DUMMYFUNCTION("""COMPUTED_VALUE"""),"Payment Issues")</f>
        <v>Payment Issues</v>
      </c>
      <c r="Q1618" s="14" t="str">
        <f>IFERROR(__xludf.DUMMYFUNCTION("split(P1618,"":"")"),"Payment Issues")</f>
        <v>Payment Issues</v>
      </c>
      <c r="R1618" s="14"/>
      <c r="S1618" s="14" t="str">
        <f t="shared" ref="S1618:U1618" si="3239">trim(B1618)</f>
        <v>ord_71596</v>
      </c>
      <c r="T1618" s="14" t="str">
        <f t="shared" si="3239"/>
        <v>Parth Goel</v>
      </c>
      <c r="U1618" s="14" t="str">
        <f t="shared" si="3239"/>
        <v>Juhu</v>
      </c>
      <c r="V1618" s="14" t="str">
        <f t="shared" si="4"/>
        <v>Chocolate Mousse</v>
      </c>
      <c r="W1618" s="14">
        <f t="shared" si="5"/>
        <v>3</v>
      </c>
      <c r="X1618" s="14" t="str">
        <f t="shared" si="6"/>
        <v>Not Assigned</v>
      </c>
      <c r="Y1618" s="15">
        <f t="shared" si="7"/>
        <v>45126</v>
      </c>
      <c r="Z1618" s="14" t="str">
        <f t="shared" si="8"/>
        <v>Credit Card</v>
      </c>
      <c r="AA1618" s="14" t="str">
        <f t="shared" si="9"/>
        <v>Cancelled</v>
      </c>
      <c r="AB1618" s="14" t="str">
        <f t="shared" ref="AB1618:AC1618" si="3240">trim(Q1618)</f>
        <v>Payment Issues</v>
      </c>
      <c r="AC1618" s="14" t="str">
        <f t="shared" si="3240"/>
        <v/>
      </c>
      <c r="AD1618" s="8"/>
    </row>
    <row r="1619">
      <c r="A1619" s="14" t="str">
        <f>IFERROR(__xludf.DUMMYFUNCTION("""COMPUTED_VALUE"""),"//ord_71597//Arvind Kulkarni//Juhu//Sweet Corn+2*Ramesh S/10/8/2023//UPI//Delivered*Delivery Experience: Quick and professional")</f>
        <v>//ord_71597//Arvind Kulkarni//Juhu//Sweet Corn+2*Ramesh S/10/8/2023//UPI//Delivered*Delivery Experience: Quick and professional</v>
      </c>
      <c r="B1619" s="14" t="str">
        <f>IFERROR(__xludf.DUMMYFUNCTION("split(A1619,""//"")"),"ord_71597")</f>
        <v>ord_71597</v>
      </c>
      <c r="C1619" s="14" t="str">
        <f>IFERROR(__xludf.DUMMYFUNCTION("""COMPUTED_VALUE"""),"Arvind Kulkarni")</f>
        <v>Arvind Kulkarni</v>
      </c>
      <c r="D1619" s="14" t="str">
        <f>IFERROR(__xludf.DUMMYFUNCTION("""COMPUTED_VALUE"""),"Juhu")</f>
        <v>Juhu</v>
      </c>
      <c r="E1619" s="14" t="str">
        <f>IFERROR(__xludf.DUMMYFUNCTION("""COMPUTED_VALUE"""),"Sweet Corn+2*Ramesh S")</f>
        <v>Sweet Corn+2*Ramesh S</v>
      </c>
      <c r="F1619" s="14">
        <f>IFERROR(__xludf.DUMMYFUNCTION("""COMPUTED_VALUE"""),10.0)</f>
        <v>10</v>
      </c>
      <c r="G1619" s="14">
        <f>IFERROR(__xludf.DUMMYFUNCTION("""COMPUTED_VALUE"""),8.0)</f>
        <v>8</v>
      </c>
      <c r="H1619" s="14">
        <f>IFERROR(__xludf.DUMMYFUNCTION("""COMPUTED_VALUE"""),2023.0)</f>
        <v>2023</v>
      </c>
      <c r="I1619" s="14" t="str">
        <f>IFERROR(__xludf.DUMMYFUNCTION("""COMPUTED_VALUE"""),"UPI")</f>
        <v>UPI</v>
      </c>
      <c r="J1619" s="14" t="str">
        <f>IFERROR(__xludf.DUMMYFUNCTION("""COMPUTED_VALUE"""),"Delivered*Delivery Experience: Quick and professional")</f>
        <v>Delivered*Delivery Experience: Quick and professional</v>
      </c>
      <c r="K1619" s="14" t="str">
        <f>IFERROR(__xludf.DUMMYFUNCTION("split(E1619,""+"")"),"Sweet Corn")</f>
        <v>Sweet Corn</v>
      </c>
      <c r="L1619" s="14" t="str">
        <f>IFERROR(__xludf.DUMMYFUNCTION("""COMPUTED_VALUE"""),"2*Ramesh S")</f>
        <v>2*Ramesh S</v>
      </c>
      <c r="M1619" s="14">
        <f>IFERROR(__xludf.DUMMYFUNCTION("SPLIT(L1619,""*"")"),2.0)</f>
        <v>2</v>
      </c>
      <c r="N1619" s="14" t="str">
        <f>IFERROR(__xludf.DUMMYFUNCTION("""COMPUTED_VALUE"""),"Ramesh S")</f>
        <v>Ramesh S</v>
      </c>
      <c r="O1619" s="14" t="str">
        <f>IFERROR(__xludf.DUMMYFUNCTION("split(J1619,""*"")"),"Delivered")</f>
        <v>Delivered</v>
      </c>
      <c r="P1619" s="14" t="str">
        <f>IFERROR(__xludf.DUMMYFUNCTION("""COMPUTED_VALUE"""),"Delivery Experience: Quick and professional")</f>
        <v>Delivery Experience: Quick and professional</v>
      </c>
      <c r="Q1619" s="14" t="str">
        <f>IFERROR(__xludf.DUMMYFUNCTION("split(P1619,"":"")"),"Delivery Experience")</f>
        <v>Delivery Experience</v>
      </c>
      <c r="R1619" s="14" t="str">
        <f>IFERROR(__xludf.DUMMYFUNCTION("""COMPUTED_VALUE""")," Quick and professional")</f>
        <v> Quick and professional</v>
      </c>
      <c r="S1619" s="14" t="str">
        <f t="shared" ref="S1619:U1619" si="3241">trim(B1619)</f>
        <v>ord_71597</v>
      </c>
      <c r="T1619" s="14" t="str">
        <f t="shared" si="3241"/>
        <v>Arvind Kulkarni</v>
      </c>
      <c r="U1619" s="14" t="str">
        <f t="shared" si="3241"/>
        <v>Juhu</v>
      </c>
      <c r="V1619" s="14" t="str">
        <f t="shared" si="4"/>
        <v>Sweet Corn</v>
      </c>
      <c r="W1619" s="14">
        <f t="shared" si="5"/>
        <v>2</v>
      </c>
      <c r="X1619" s="14" t="str">
        <f t="shared" si="6"/>
        <v>Ramesh S</v>
      </c>
      <c r="Y1619" s="15">
        <f t="shared" si="7"/>
        <v>45207</v>
      </c>
      <c r="Z1619" s="14" t="str">
        <f t="shared" si="8"/>
        <v>UPI</v>
      </c>
      <c r="AA1619" s="14" t="str">
        <f t="shared" si="9"/>
        <v>Delivered</v>
      </c>
      <c r="AB1619" s="14" t="str">
        <f t="shared" ref="AB1619:AC1619" si="3242">trim(Q1619)</f>
        <v>Delivery Experience</v>
      </c>
      <c r="AC1619" s="14" t="str">
        <f t="shared" si="3242"/>
        <v>Quick and professional</v>
      </c>
      <c r="AD1619" s="8"/>
    </row>
    <row r="1620">
      <c r="A1620" s="14" t="str">
        <f>IFERROR(__xludf.DUMMYFUNCTION("""COMPUTED_VALUE"""),"//ord_71598//Anaya Rao//Colaba//Cold Coffee+3*Not Assigned/11/11/2023//Credit Card//Cancelled*High Delivery Fees")</f>
        <v>//ord_71598//Anaya Rao//Colaba//Cold Coffee+3*Not Assigned/11/11/2023//Credit Card//Cancelled*High Delivery Fees</v>
      </c>
      <c r="B1620" s="14" t="str">
        <f>IFERROR(__xludf.DUMMYFUNCTION("split(A1620,""//"")"),"ord_71598")</f>
        <v>ord_71598</v>
      </c>
      <c r="C1620" s="14" t="str">
        <f>IFERROR(__xludf.DUMMYFUNCTION("""COMPUTED_VALUE"""),"Anaya Rao")</f>
        <v>Anaya Rao</v>
      </c>
      <c r="D1620" s="14" t="str">
        <f>IFERROR(__xludf.DUMMYFUNCTION("""COMPUTED_VALUE"""),"Colaba")</f>
        <v>Colaba</v>
      </c>
      <c r="E1620" s="14" t="str">
        <f>IFERROR(__xludf.DUMMYFUNCTION("""COMPUTED_VALUE"""),"Cold Coffee+3*Not Assigned")</f>
        <v>Cold Coffee+3*Not Assigned</v>
      </c>
      <c r="F1620" s="14">
        <f>IFERROR(__xludf.DUMMYFUNCTION("""COMPUTED_VALUE"""),11.0)</f>
        <v>11</v>
      </c>
      <c r="G1620" s="14">
        <f>IFERROR(__xludf.DUMMYFUNCTION("""COMPUTED_VALUE"""),11.0)</f>
        <v>11</v>
      </c>
      <c r="H1620" s="14">
        <f>IFERROR(__xludf.DUMMYFUNCTION("""COMPUTED_VALUE"""),2023.0)</f>
        <v>2023</v>
      </c>
      <c r="I1620" s="14" t="str">
        <f>IFERROR(__xludf.DUMMYFUNCTION("""COMPUTED_VALUE"""),"Credit Card")</f>
        <v>Credit Card</v>
      </c>
      <c r="J1620" s="14" t="str">
        <f>IFERROR(__xludf.DUMMYFUNCTION("""COMPUTED_VALUE"""),"Cancelled*High Delivery Fees")</f>
        <v>Cancelled*High Delivery Fees</v>
      </c>
      <c r="K1620" s="14" t="str">
        <f>IFERROR(__xludf.DUMMYFUNCTION("split(E1620,""+"")"),"Cold Coffee")</f>
        <v>Cold Coffee</v>
      </c>
      <c r="L1620" s="14" t="str">
        <f>IFERROR(__xludf.DUMMYFUNCTION("""COMPUTED_VALUE"""),"3*Not Assigned")</f>
        <v>3*Not Assigned</v>
      </c>
      <c r="M1620" s="14">
        <f>IFERROR(__xludf.DUMMYFUNCTION("SPLIT(L1620,""*"")"),3.0)</f>
        <v>3</v>
      </c>
      <c r="N1620" s="14" t="str">
        <f>IFERROR(__xludf.DUMMYFUNCTION("""COMPUTED_VALUE"""),"Not Assigned")</f>
        <v>Not Assigned</v>
      </c>
      <c r="O1620" s="14" t="str">
        <f>IFERROR(__xludf.DUMMYFUNCTION("split(J1620,""*"")"),"Cancelled")</f>
        <v>Cancelled</v>
      </c>
      <c r="P1620" s="14" t="str">
        <f>IFERROR(__xludf.DUMMYFUNCTION("""COMPUTED_VALUE"""),"High Delivery Fees")</f>
        <v>High Delivery Fees</v>
      </c>
      <c r="Q1620" s="14" t="str">
        <f>IFERROR(__xludf.DUMMYFUNCTION("split(P1620,"":"")"),"High Delivery Fees")</f>
        <v>High Delivery Fees</v>
      </c>
      <c r="R1620" s="14"/>
      <c r="S1620" s="14" t="str">
        <f t="shared" ref="S1620:U1620" si="3243">trim(B1620)</f>
        <v>ord_71598</v>
      </c>
      <c r="T1620" s="14" t="str">
        <f t="shared" si="3243"/>
        <v>Anaya Rao</v>
      </c>
      <c r="U1620" s="14" t="str">
        <f t="shared" si="3243"/>
        <v>Colaba</v>
      </c>
      <c r="V1620" s="14" t="str">
        <f t="shared" si="4"/>
        <v>Cold Coffee</v>
      </c>
      <c r="W1620" s="14">
        <f t="shared" si="5"/>
        <v>3</v>
      </c>
      <c r="X1620" s="14" t="str">
        <f t="shared" si="6"/>
        <v>Not Assigned</v>
      </c>
      <c r="Y1620" s="15">
        <f t="shared" si="7"/>
        <v>45241</v>
      </c>
      <c r="Z1620" s="14" t="str">
        <f t="shared" si="8"/>
        <v>Credit Card</v>
      </c>
      <c r="AA1620" s="14" t="str">
        <f t="shared" si="9"/>
        <v>Cancelled</v>
      </c>
      <c r="AB1620" s="14" t="str">
        <f t="shared" ref="AB1620:AC1620" si="3244">trim(Q1620)</f>
        <v>High Delivery Fees</v>
      </c>
      <c r="AC1620" s="14" t="str">
        <f t="shared" si="3244"/>
        <v/>
      </c>
      <c r="AD1620" s="8"/>
    </row>
    <row r="1621">
      <c r="A1621" s="14" t="str">
        <f>IFERROR(__xludf.DUMMYFUNCTION("""COMPUTED_VALUE"""),"//ord_71599//Siya Reddy//Juhu//Popcorn+5*Not Assigned/9/13/2023//UPI//Cancelled*App Glitches:Slow Loading Time")</f>
        <v>//ord_71599//Siya Reddy//Juhu//Popcorn+5*Not Assigned/9/13/2023//UPI//Cancelled*App Glitches:Slow Loading Time</v>
      </c>
      <c r="B1621" s="14" t="str">
        <f>IFERROR(__xludf.DUMMYFUNCTION("split(A1621,""//"")"),"ord_71599")</f>
        <v>ord_71599</v>
      </c>
      <c r="C1621" s="14" t="str">
        <f>IFERROR(__xludf.DUMMYFUNCTION("""COMPUTED_VALUE"""),"Siya Reddy")</f>
        <v>Siya Reddy</v>
      </c>
      <c r="D1621" s="14" t="str">
        <f>IFERROR(__xludf.DUMMYFUNCTION("""COMPUTED_VALUE"""),"Juhu")</f>
        <v>Juhu</v>
      </c>
      <c r="E1621" s="14" t="str">
        <f>IFERROR(__xludf.DUMMYFUNCTION("""COMPUTED_VALUE"""),"Popcorn+5*Not Assigned")</f>
        <v>Popcorn+5*Not Assigned</v>
      </c>
      <c r="F1621" s="14">
        <f>IFERROR(__xludf.DUMMYFUNCTION("""COMPUTED_VALUE"""),9.0)</f>
        <v>9</v>
      </c>
      <c r="G1621" s="14">
        <f>IFERROR(__xludf.DUMMYFUNCTION("""COMPUTED_VALUE"""),13.0)</f>
        <v>13</v>
      </c>
      <c r="H1621" s="14">
        <f>IFERROR(__xludf.DUMMYFUNCTION("""COMPUTED_VALUE"""),2023.0)</f>
        <v>2023</v>
      </c>
      <c r="I1621" s="14" t="str">
        <f>IFERROR(__xludf.DUMMYFUNCTION("""COMPUTED_VALUE"""),"UPI")</f>
        <v>UPI</v>
      </c>
      <c r="J1621" s="14" t="str">
        <f>IFERROR(__xludf.DUMMYFUNCTION("""COMPUTED_VALUE"""),"Cancelled*App Glitches:Slow Loading Time")</f>
        <v>Cancelled*App Glitches:Slow Loading Time</v>
      </c>
      <c r="K1621" s="14" t="str">
        <f>IFERROR(__xludf.DUMMYFUNCTION("split(E1621,""+"")"),"Popcorn")</f>
        <v>Popcorn</v>
      </c>
      <c r="L1621" s="14" t="str">
        <f>IFERROR(__xludf.DUMMYFUNCTION("""COMPUTED_VALUE"""),"5*Not Assigned")</f>
        <v>5*Not Assigned</v>
      </c>
      <c r="M1621" s="14">
        <f>IFERROR(__xludf.DUMMYFUNCTION("SPLIT(L1621,""*"")"),5.0)</f>
        <v>5</v>
      </c>
      <c r="N1621" s="14" t="str">
        <f>IFERROR(__xludf.DUMMYFUNCTION("""COMPUTED_VALUE"""),"Not Assigned")</f>
        <v>Not Assigned</v>
      </c>
      <c r="O1621" s="14" t="str">
        <f>IFERROR(__xludf.DUMMYFUNCTION("split(J1621,""*"")"),"Cancelled")</f>
        <v>Cancelled</v>
      </c>
      <c r="P1621" s="14" t="str">
        <f>IFERROR(__xludf.DUMMYFUNCTION("""COMPUTED_VALUE"""),"App Glitches:Slow Loading Time")</f>
        <v>App Glitches:Slow Loading Time</v>
      </c>
      <c r="Q1621" s="14" t="str">
        <f>IFERROR(__xludf.DUMMYFUNCTION("split(P1621,"":"")"),"App Glitches")</f>
        <v>App Glitches</v>
      </c>
      <c r="R1621" s="14" t="str">
        <f>IFERROR(__xludf.DUMMYFUNCTION("""COMPUTED_VALUE"""),"Slow Loading Time")</f>
        <v>Slow Loading Time</v>
      </c>
      <c r="S1621" s="14" t="str">
        <f t="shared" ref="S1621:U1621" si="3245">trim(B1621)</f>
        <v>ord_71599</v>
      </c>
      <c r="T1621" s="14" t="str">
        <f t="shared" si="3245"/>
        <v>Siya Reddy</v>
      </c>
      <c r="U1621" s="14" t="str">
        <f t="shared" si="3245"/>
        <v>Juhu</v>
      </c>
      <c r="V1621" s="14" t="str">
        <f t="shared" si="4"/>
        <v>Popcorn</v>
      </c>
      <c r="W1621" s="14">
        <f t="shared" si="5"/>
        <v>5</v>
      </c>
      <c r="X1621" s="14" t="str">
        <f t="shared" si="6"/>
        <v>Not Assigned</v>
      </c>
      <c r="Y1621" s="15">
        <f t="shared" si="7"/>
        <v>45182</v>
      </c>
      <c r="Z1621" s="14" t="str">
        <f t="shared" si="8"/>
        <v>UPI</v>
      </c>
      <c r="AA1621" s="14" t="str">
        <f t="shared" si="9"/>
        <v>Cancelled</v>
      </c>
      <c r="AB1621" s="14" t="str">
        <f t="shared" ref="AB1621:AC1621" si="3246">trim(Q1621)</f>
        <v>App Glitches</v>
      </c>
      <c r="AC1621" s="14" t="str">
        <f t="shared" si="3246"/>
        <v>Slow Loading Time</v>
      </c>
      <c r="AD1621" s="8"/>
    </row>
    <row r="1622">
      <c r="A1622" s="14" t="str">
        <f>IFERROR(__xludf.DUMMYFUNCTION("""COMPUTED_VALUE"""),"//ord_71600//Pallavi Ghosh//Bandra//Papaya+1*Not Assigned/12/26/2023//Online Payment//Cancelled*Out of Stock")</f>
        <v>//ord_71600//Pallavi Ghosh//Bandra//Papaya+1*Not Assigned/12/26/2023//Online Payment//Cancelled*Out of Stock</v>
      </c>
      <c r="B1622" s="14" t="str">
        <f>IFERROR(__xludf.DUMMYFUNCTION("split(A1622,""//"")"),"ord_71600")</f>
        <v>ord_71600</v>
      </c>
      <c r="C1622" s="14" t="str">
        <f>IFERROR(__xludf.DUMMYFUNCTION("""COMPUTED_VALUE"""),"Pallavi Ghosh")</f>
        <v>Pallavi Ghosh</v>
      </c>
      <c r="D1622" s="14" t="str">
        <f>IFERROR(__xludf.DUMMYFUNCTION("""COMPUTED_VALUE"""),"Bandra")</f>
        <v>Bandra</v>
      </c>
      <c r="E1622" s="14" t="str">
        <f>IFERROR(__xludf.DUMMYFUNCTION("""COMPUTED_VALUE"""),"Papaya+1*Not Assigned")</f>
        <v>Papaya+1*Not Assigned</v>
      </c>
      <c r="F1622" s="14">
        <f>IFERROR(__xludf.DUMMYFUNCTION("""COMPUTED_VALUE"""),12.0)</f>
        <v>12</v>
      </c>
      <c r="G1622" s="14">
        <f>IFERROR(__xludf.DUMMYFUNCTION("""COMPUTED_VALUE"""),26.0)</f>
        <v>26</v>
      </c>
      <c r="H1622" s="14">
        <f>IFERROR(__xludf.DUMMYFUNCTION("""COMPUTED_VALUE"""),2023.0)</f>
        <v>2023</v>
      </c>
      <c r="I1622" s="14" t="str">
        <f>IFERROR(__xludf.DUMMYFUNCTION("""COMPUTED_VALUE"""),"Online Payment")</f>
        <v>Online Payment</v>
      </c>
      <c r="J1622" s="14" t="str">
        <f>IFERROR(__xludf.DUMMYFUNCTION("""COMPUTED_VALUE"""),"Cancelled*Out of Stock")</f>
        <v>Cancelled*Out of Stock</v>
      </c>
      <c r="K1622" s="14" t="str">
        <f>IFERROR(__xludf.DUMMYFUNCTION("split(E1622,""+"")"),"Papaya")</f>
        <v>Papaya</v>
      </c>
      <c r="L1622" s="14" t="str">
        <f>IFERROR(__xludf.DUMMYFUNCTION("""COMPUTED_VALUE"""),"1*Not Assigned")</f>
        <v>1*Not Assigned</v>
      </c>
      <c r="M1622" s="14">
        <f>IFERROR(__xludf.DUMMYFUNCTION("SPLIT(L1622,""*"")"),1.0)</f>
        <v>1</v>
      </c>
      <c r="N1622" s="14" t="str">
        <f>IFERROR(__xludf.DUMMYFUNCTION("""COMPUTED_VALUE"""),"Not Assigned")</f>
        <v>Not Assigned</v>
      </c>
      <c r="O1622" s="14" t="str">
        <f>IFERROR(__xludf.DUMMYFUNCTION("split(J1622,""*"")"),"Cancelled")</f>
        <v>Cancelled</v>
      </c>
      <c r="P1622" s="14" t="str">
        <f>IFERROR(__xludf.DUMMYFUNCTION("""COMPUTED_VALUE"""),"Out of Stock")</f>
        <v>Out of Stock</v>
      </c>
      <c r="Q1622" s="14" t="str">
        <f>IFERROR(__xludf.DUMMYFUNCTION("split(P1622,"":"")"),"Out of Stock")</f>
        <v>Out of Stock</v>
      </c>
      <c r="R1622" s="14"/>
      <c r="S1622" s="14" t="str">
        <f t="shared" ref="S1622:U1622" si="3247">trim(B1622)</f>
        <v>ord_71600</v>
      </c>
      <c r="T1622" s="14" t="str">
        <f t="shared" si="3247"/>
        <v>Pallavi Ghosh</v>
      </c>
      <c r="U1622" s="14" t="str">
        <f t="shared" si="3247"/>
        <v>Bandra</v>
      </c>
      <c r="V1622" s="14" t="str">
        <f t="shared" si="4"/>
        <v>Papaya</v>
      </c>
      <c r="W1622" s="14">
        <f t="shared" si="5"/>
        <v>1</v>
      </c>
      <c r="X1622" s="14" t="str">
        <f t="shared" si="6"/>
        <v>Not Assigned</v>
      </c>
      <c r="Y1622" s="15">
        <f t="shared" si="7"/>
        <v>45286</v>
      </c>
      <c r="Z1622" s="14" t="str">
        <f t="shared" si="8"/>
        <v>Online Payment</v>
      </c>
      <c r="AA1622" s="14" t="str">
        <f t="shared" si="9"/>
        <v>Cancelled</v>
      </c>
      <c r="AB1622" s="14" t="str">
        <f t="shared" ref="AB1622:AC1622" si="3248">trim(Q1622)</f>
        <v>Out of Stock</v>
      </c>
      <c r="AC1622" s="14" t="str">
        <f t="shared" si="3248"/>
        <v/>
      </c>
      <c r="AD1622" s="8"/>
    </row>
    <row r="1623">
      <c r="A1623" s="14" t="str">
        <f>IFERROR(__xludf.DUMMYFUNCTION("""COMPUTED_VALUE"""),"//ord_71601//Aarav Mehta//Andheri//Sweet Corn+1*Not Assigned/1/8/2023//Credit Card//Cancelled*Payment Issues")</f>
        <v>//ord_71601//Aarav Mehta//Andheri//Sweet Corn+1*Not Assigned/1/8/2023//Credit Card//Cancelled*Payment Issues</v>
      </c>
      <c r="B1623" s="14" t="str">
        <f>IFERROR(__xludf.DUMMYFUNCTION("split(A1623,""//"")"),"ord_71601")</f>
        <v>ord_71601</v>
      </c>
      <c r="C1623" s="14" t="str">
        <f>IFERROR(__xludf.DUMMYFUNCTION("""COMPUTED_VALUE"""),"Aarav Mehta")</f>
        <v>Aarav Mehta</v>
      </c>
      <c r="D1623" s="14" t="str">
        <f>IFERROR(__xludf.DUMMYFUNCTION("""COMPUTED_VALUE"""),"Andheri")</f>
        <v>Andheri</v>
      </c>
      <c r="E1623" s="14" t="str">
        <f>IFERROR(__xludf.DUMMYFUNCTION("""COMPUTED_VALUE"""),"Sweet Corn+1*Not Assigned")</f>
        <v>Sweet Corn+1*Not Assigned</v>
      </c>
      <c r="F1623" s="14">
        <f>IFERROR(__xludf.DUMMYFUNCTION("""COMPUTED_VALUE"""),1.0)</f>
        <v>1</v>
      </c>
      <c r="G1623" s="14">
        <f>IFERROR(__xludf.DUMMYFUNCTION("""COMPUTED_VALUE"""),8.0)</f>
        <v>8</v>
      </c>
      <c r="H1623" s="14">
        <f>IFERROR(__xludf.DUMMYFUNCTION("""COMPUTED_VALUE"""),2023.0)</f>
        <v>2023</v>
      </c>
      <c r="I1623" s="14" t="str">
        <f>IFERROR(__xludf.DUMMYFUNCTION("""COMPUTED_VALUE"""),"Credit Card")</f>
        <v>Credit Card</v>
      </c>
      <c r="J1623" s="14" t="str">
        <f>IFERROR(__xludf.DUMMYFUNCTION("""COMPUTED_VALUE"""),"Cancelled*Payment Issues")</f>
        <v>Cancelled*Payment Issues</v>
      </c>
      <c r="K1623" s="14" t="str">
        <f>IFERROR(__xludf.DUMMYFUNCTION("split(E1623,""+"")"),"Sweet Corn")</f>
        <v>Sweet Corn</v>
      </c>
      <c r="L1623" s="14" t="str">
        <f>IFERROR(__xludf.DUMMYFUNCTION("""COMPUTED_VALUE"""),"1*Not Assigned")</f>
        <v>1*Not Assigned</v>
      </c>
      <c r="M1623" s="14">
        <f>IFERROR(__xludf.DUMMYFUNCTION("SPLIT(L1623,""*"")"),1.0)</f>
        <v>1</v>
      </c>
      <c r="N1623" s="14" t="str">
        <f>IFERROR(__xludf.DUMMYFUNCTION("""COMPUTED_VALUE"""),"Not Assigned")</f>
        <v>Not Assigned</v>
      </c>
      <c r="O1623" s="14" t="str">
        <f>IFERROR(__xludf.DUMMYFUNCTION("split(J1623,""*"")"),"Cancelled")</f>
        <v>Cancelled</v>
      </c>
      <c r="P1623" s="14" t="str">
        <f>IFERROR(__xludf.DUMMYFUNCTION("""COMPUTED_VALUE"""),"Payment Issues")</f>
        <v>Payment Issues</v>
      </c>
      <c r="Q1623" s="14" t="str">
        <f>IFERROR(__xludf.DUMMYFUNCTION("split(P1623,"":"")"),"Payment Issues")</f>
        <v>Payment Issues</v>
      </c>
      <c r="R1623" s="14"/>
      <c r="S1623" s="14" t="str">
        <f t="shared" ref="S1623:U1623" si="3249">trim(B1623)</f>
        <v>ord_71601</v>
      </c>
      <c r="T1623" s="14" t="str">
        <f t="shared" si="3249"/>
        <v>Aarav Mehta</v>
      </c>
      <c r="U1623" s="14" t="str">
        <f t="shared" si="3249"/>
        <v>Andheri</v>
      </c>
      <c r="V1623" s="14" t="str">
        <f t="shared" si="4"/>
        <v>Sweet Corn</v>
      </c>
      <c r="W1623" s="14">
        <f t="shared" si="5"/>
        <v>1</v>
      </c>
      <c r="X1623" s="14" t="str">
        <f t="shared" si="6"/>
        <v>Not Assigned</v>
      </c>
      <c r="Y1623" s="15">
        <f t="shared" si="7"/>
        <v>44934</v>
      </c>
      <c r="Z1623" s="14" t="str">
        <f t="shared" si="8"/>
        <v>Credit Card</v>
      </c>
      <c r="AA1623" s="14" t="str">
        <f t="shared" si="9"/>
        <v>Cancelled</v>
      </c>
      <c r="AB1623" s="14" t="str">
        <f t="shared" ref="AB1623:AC1623" si="3250">trim(Q1623)</f>
        <v>Payment Issues</v>
      </c>
      <c r="AC1623" s="14" t="str">
        <f t="shared" si="3250"/>
        <v/>
      </c>
      <c r="AD1623" s="8"/>
    </row>
    <row r="1624">
      <c r="A1624" s="14" t="str">
        <f>IFERROR(__xludf.DUMMYFUNCTION("""COMPUTED_VALUE"""),"//ord_71602//Ishita Banerjee//Juhu//Banana+2*Sita T/5/2/2023//Credit Card//Delivered*Convenience: Easy tracking")</f>
        <v>//ord_71602//Ishita Banerjee//Juhu//Banana+2*Sita T/5/2/2023//Credit Card//Delivered*Convenience: Easy tracking</v>
      </c>
      <c r="B1624" s="14" t="str">
        <f>IFERROR(__xludf.DUMMYFUNCTION("split(A1624,""//"")"),"ord_71602")</f>
        <v>ord_71602</v>
      </c>
      <c r="C1624" s="14" t="str">
        <f>IFERROR(__xludf.DUMMYFUNCTION("""COMPUTED_VALUE"""),"Ishita Banerjee")</f>
        <v>Ishita Banerjee</v>
      </c>
      <c r="D1624" s="14" t="str">
        <f>IFERROR(__xludf.DUMMYFUNCTION("""COMPUTED_VALUE"""),"Juhu")</f>
        <v>Juhu</v>
      </c>
      <c r="E1624" s="14" t="str">
        <f>IFERROR(__xludf.DUMMYFUNCTION("""COMPUTED_VALUE"""),"Banana+2*Sita T")</f>
        <v>Banana+2*Sita T</v>
      </c>
      <c r="F1624" s="14">
        <f>IFERROR(__xludf.DUMMYFUNCTION("""COMPUTED_VALUE"""),5.0)</f>
        <v>5</v>
      </c>
      <c r="G1624" s="14">
        <f>IFERROR(__xludf.DUMMYFUNCTION("""COMPUTED_VALUE"""),2.0)</f>
        <v>2</v>
      </c>
      <c r="H1624" s="14">
        <f>IFERROR(__xludf.DUMMYFUNCTION("""COMPUTED_VALUE"""),2023.0)</f>
        <v>2023</v>
      </c>
      <c r="I1624" s="14" t="str">
        <f>IFERROR(__xludf.DUMMYFUNCTION("""COMPUTED_VALUE"""),"Credit Card")</f>
        <v>Credit Card</v>
      </c>
      <c r="J1624" s="14" t="str">
        <f>IFERROR(__xludf.DUMMYFUNCTION("""COMPUTED_VALUE"""),"Delivered*Convenience: Easy tracking")</f>
        <v>Delivered*Convenience: Easy tracking</v>
      </c>
      <c r="K1624" s="14" t="str">
        <f>IFERROR(__xludf.DUMMYFUNCTION("split(E1624,""+"")"),"Banana")</f>
        <v>Banana</v>
      </c>
      <c r="L1624" s="14" t="str">
        <f>IFERROR(__xludf.DUMMYFUNCTION("""COMPUTED_VALUE"""),"2*Sita T")</f>
        <v>2*Sita T</v>
      </c>
      <c r="M1624" s="14">
        <f>IFERROR(__xludf.DUMMYFUNCTION("SPLIT(L1624,""*"")"),2.0)</f>
        <v>2</v>
      </c>
      <c r="N1624" s="14" t="str">
        <f>IFERROR(__xludf.DUMMYFUNCTION("""COMPUTED_VALUE"""),"Sita T")</f>
        <v>Sita T</v>
      </c>
      <c r="O1624" s="14" t="str">
        <f>IFERROR(__xludf.DUMMYFUNCTION("split(J1624,""*"")"),"Delivered")</f>
        <v>Delivered</v>
      </c>
      <c r="P1624" s="14" t="str">
        <f>IFERROR(__xludf.DUMMYFUNCTION("""COMPUTED_VALUE"""),"Convenience: Easy tracking")</f>
        <v>Convenience: Easy tracking</v>
      </c>
      <c r="Q1624" s="14" t="str">
        <f>IFERROR(__xludf.DUMMYFUNCTION("split(P1624,"":"")"),"Convenience")</f>
        <v>Convenience</v>
      </c>
      <c r="R1624" s="14" t="str">
        <f>IFERROR(__xludf.DUMMYFUNCTION("""COMPUTED_VALUE""")," Easy tracking")</f>
        <v> Easy tracking</v>
      </c>
      <c r="S1624" s="14" t="str">
        <f t="shared" ref="S1624:U1624" si="3251">trim(B1624)</f>
        <v>ord_71602</v>
      </c>
      <c r="T1624" s="14" t="str">
        <f t="shared" si="3251"/>
        <v>Ishita Banerjee</v>
      </c>
      <c r="U1624" s="14" t="str">
        <f t="shared" si="3251"/>
        <v>Juhu</v>
      </c>
      <c r="V1624" s="14" t="str">
        <f t="shared" si="4"/>
        <v>Banana</v>
      </c>
      <c r="W1624" s="14">
        <f t="shared" si="5"/>
        <v>2</v>
      </c>
      <c r="X1624" s="14" t="str">
        <f t="shared" si="6"/>
        <v>Sita T</v>
      </c>
      <c r="Y1624" s="15">
        <f t="shared" si="7"/>
        <v>45048</v>
      </c>
      <c r="Z1624" s="14" t="str">
        <f t="shared" si="8"/>
        <v>Credit Card</v>
      </c>
      <c r="AA1624" s="14" t="str">
        <f t="shared" si="9"/>
        <v>Delivered</v>
      </c>
      <c r="AB1624" s="14" t="str">
        <f t="shared" ref="AB1624:AC1624" si="3252">trim(Q1624)</f>
        <v>Convenience</v>
      </c>
      <c r="AC1624" s="14" t="str">
        <f t="shared" si="3252"/>
        <v>Easy tracking</v>
      </c>
      <c r="AD1624" s="8"/>
    </row>
    <row r="1625">
      <c r="A1625" s="14" t="str">
        <f>IFERROR(__xludf.DUMMYFUNCTION("""COMPUTED_VALUE"""),"//ord_71603//Omkar Mishra//Powai//Chilli Cheese Toast+1*Not Assigned/1/19/2023//Credit Card//Cancelled*Out of Stock")</f>
        <v>//ord_71603//Omkar Mishra//Powai//Chilli Cheese Toast+1*Not Assigned/1/19/2023//Credit Card//Cancelled*Out of Stock</v>
      </c>
      <c r="B1625" s="14" t="str">
        <f>IFERROR(__xludf.DUMMYFUNCTION("split(A1625,""//"")"),"ord_71603")</f>
        <v>ord_71603</v>
      </c>
      <c r="C1625" s="14" t="str">
        <f>IFERROR(__xludf.DUMMYFUNCTION("""COMPUTED_VALUE"""),"Omkar Mishra")</f>
        <v>Omkar Mishra</v>
      </c>
      <c r="D1625" s="14" t="str">
        <f>IFERROR(__xludf.DUMMYFUNCTION("""COMPUTED_VALUE"""),"Powai")</f>
        <v>Powai</v>
      </c>
      <c r="E1625" s="14" t="str">
        <f>IFERROR(__xludf.DUMMYFUNCTION("""COMPUTED_VALUE"""),"Chilli Cheese Toast+1*Not Assigned")</f>
        <v>Chilli Cheese Toast+1*Not Assigned</v>
      </c>
      <c r="F1625" s="14">
        <f>IFERROR(__xludf.DUMMYFUNCTION("""COMPUTED_VALUE"""),1.0)</f>
        <v>1</v>
      </c>
      <c r="G1625" s="14">
        <f>IFERROR(__xludf.DUMMYFUNCTION("""COMPUTED_VALUE"""),19.0)</f>
        <v>19</v>
      </c>
      <c r="H1625" s="14">
        <f>IFERROR(__xludf.DUMMYFUNCTION("""COMPUTED_VALUE"""),2023.0)</f>
        <v>2023</v>
      </c>
      <c r="I1625" s="14" t="str">
        <f>IFERROR(__xludf.DUMMYFUNCTION("""COMPUTED_VALUE"""),"Credit Card")</f>
        <v>Credit Card</v>
      </c>
      <c r="J1625" s="14" t="str">
        <f>IFERROR(__xludf.DUMMYFUNCTION("""COMPUTED_VALUE"""),"Cancelled*Out of Stock")</f>
        <v>Cancelled*Out of Stock</v>
      </c>
      <c r="K1625" s="14" t="str">
        <f>IFERROR(__xludf.DUMMYFUNCTION("split(E1625,""+"")"),"Chilli Cheese Toast")</f>
        <v>Chilli Cheese Toast</v>
      </c>
      <c r="L1625" s="14" t="str">
        <f>IFERROR(__xludf.DUMMYFUNCTION("""COMPUTED_VALUE"""),"1*Not Assigned")</f>
        <v>1*Not Assigned</v>
      </c>
      <c r="M1625" s="14">
        <f>IFERROR(__xludf.DUMMYFUNCTION("SPLIT(L1625,""*"")"),1.0)</f>
        <v>1</v>
      </c>
      <c r="N1625" s="14" t="str">
        <f>IFERROR(__xludf.DUMMYFUNCTION("""COMPUTED_VALUE"""),"Not Assigned")</f>
        <v>Not Assigned</v>
      </c>
      <c r="O1625" s="14" t="str">
        <f>IFERROR(__xludf.DUMMYFUNCTION("split(J1625,""*"")"),"Cancelled")</f>
        <v>Cancelled</v>
      </c>
      <c r="P1625" s="14" t="str">
        <f>IFERROR(__xludf.DUMMYFUNCTION("""COMPUTED_VALUE"""),"Out of Stock")</f>
        <v>Out of Stock</v>
      </c>
      <c r="Q1625" s="14" t="str">
        <f>IFERROR(__xludf.DUMMYFUNCTION("split(P1625,"":"")"),"Out of Stock")</f>
        <v>Out of Stock</v>
      </c>
      <c r="R1625" s="14"/>
      <c r="S1625" s="14" t="str">
        <f t="shared" ref="S1625:U1625" si="3253">trim(B1625)</f>
        <v>ord_71603</v>
      </c>
      <c r="T1625" s="14" t="str">
        <f t="shared" si="3253"/>
        <v>Omkar Mishra</v>
      </c>
      <c r="U1625" s="14" t="str">
        <f t="shared" si="3253"/>
        <v>Powai</v>
      </c>
      <c r="V1625" s="14" t="str">
        <f t="shared" si="4"/>
        <v>Chilli Cheese Toast</v>
      </c>
      <c r="W1625" s="14">
        <f t="shared" si="5"/>
        <v>1</v>
      </c>
      <c r="X1625" s="14" t="str">
        <f t="shared" si="6"/>
        <v>Not Assigned</v>
      </c>
      <c r="Y1625" s="15">
        <f t="shared" si="7"/>
        <v>44945</v>
      </c>
      <c r="Z1625" s="14" t="str">
        <f t="shared" si="8"/>
        <v>Credit Card</v>
      </c>
      <c r="AA1625" s="14" t="str">
        <f t="shared" si="9"/>
        <v>Cancelled</v>
      </c>
      <c r="AB1625" s="14" t="str">
        <f t="shared" ref="AB1625:AC1625" si="3254">trim(Q1625)</f>
        <v>Out of Stock</v>
      </c>
      <c r="AC1625" s="14" t="str">
        <f t="shared" si="3254"/>
        <v/>
      </c>
      <c r="AD1625" s="8"/>
    </row>
    <row r="1626">
      <c r="A1626" s="14" t="str">
        <f>IFERROR(__xludf.DUMMYFUNCTION("""COMPUTED_VALUE"""),"//ord_71604//Aditi Iyer//Dadar//Tomato+2*Venu R/11/3/2023//Online Payment//Delivered*Overall Satisfaction: Great service will order again")</f>
        <v>//ord_71604//Aditi Iyer//Dadar//Tomato+2*Venu R/11/3/2023//Online Payment//Delivered*Overall Satisfaction: Great service will order again</v>
      </c>
      <c r="B1626" s="14" t="str">
        <f>IFERROR(__xludf.DUMMYFUNCTION("split(A1626,""//"")"),"ord_71604")</f>
        <v>ord_71604</v>
      </c>
      <c r="C1626" s="14" t="str">
        <f>IFERROR(__xludf.DUMMYFUNCTION("""COMPUTED_VALUE"""),"Aditi Iyer")</f>
        <v>Aditi Iyer</v>
      </c>
      <c r="D1626" s="14" t="str">
        <f>IFERROR(__xludf.DUMMYFUNCTION("""COMPUTED_VALUE"""),"Dadar")</f>
        <v>Dadar</v>
      </c>
      <c r="E1626" s="14" t="str">
        <f>IFERROR(__xludf.DUMMYFUNCTION("""COMPUTED_VALUE"""),"Tomato+2*Venu R")</f>
        <v>Tomato+2*Venu R</v>
      </c>
      <c r="F1626" s="14">
        <f>IFERROR(__xludf.DUMMYFUNCTION("""COMPUTED_VALUE"""),11.0)</f>
        <v>11</v>
      </c>
      <c r="G1626" s="14">
        <f>IFERROR(__xludf.DUMMYFUNCTION("""COMPUTED_VALUE"""),3.0)</f>
        <v>3</v>
      </c>
      <c r="H1626" s="14">
        <f>IFERROR(__xludf.DUMMYFUNCTION("""COMPUTED_VALUE"""),2023.0)</f>
        <v>2023</v>
      </c>
      <c r="I1626" s="14" t="str">
        <f>IFERROR(__xludf.DUMMYFUNCTION("""COMPUTED_VALUE"""),"Online Payment")</f>
        <v>Online Payment</v>
      </c>
      <c r="J1626" s="14" t="str">
        <f>IFERROR(__xludf.DUMMYFUNCTION("""COMPUTED_VALUE"""),"Delivered*Overall Satisfaction: Great service will order again")</f>
        <v>Delivered*Overall Satisfaction: Great service will order again</v>
      </c>
      <c r="K1626" s="14" t="str">
        <f>IFERROR(__xludf.DUMMYFUNCTION("split(E1626,""+"")"),"Tomato")</f>
        <v>Tomato</v>
      </c>
      <c r="L1626" s="14" t="str">
        <f>IFERROR(__xludf.DUMMYFUNCTION("""COMPUTED_VALUE"""),"2*Venu R")</f>
        <v>2*Venu R</v>
      </c>
      <c r="M1626" s="14">
        <f>IFERROR(__xludf.DUMMYFUNCTION("SPLIT(L1626,""*"")"),2.0)</f>
        <v>2</v>
      </c>
      <c r="N1626" s="14" t="str">
        <f>IFERROR(__xludf.DUMMYFUNCTION("""COMPUTED_VALUE"""),"Venu R")</f>
        <v>Venu R</v>
      </c>
      <c r="O1626" s="14" t="str">
        <f>IFERROR(__xludf.DUMMYFUNCTION("split(J1626,""*"")"),"Delivered")</f>
        <v>Delivered</v>
      </c>
      <c r="P1626" s="14" t="str">
        <f>IFERROR(__xludf.DUMMYFUNCTION("""COMPUTED_VALUE"""),"Overall Satisfaction: Great service will order again")</f>
        <v>Overall Satisfaction: Great service will order again</v>
      </c>
      <c r="Q1626" s="14" t="str">
        <f>IFERROR(__xludf.DUMMYFUNCTION("split(P1626,"":"")"),"Overall Satisfaction")</f>
        <v>Overall Satisfaction</v>
      </c>
      <c r="R1626" s="14" t="str">
        <f>IFERROR(__xludf.DUMMYFUNCTION("""COMPUTED_VALUE""")," Great service will order again")</f>
        <v> Great service will order again</v>
      </c>
      <c r="S1626" s="14" t="str">
        <f t="shared" ref="S1626:U1626" si="3255">trim(B1626)</f>
        <v>ord_71604</v>
      </c>
      <c r="T1626" s="14" t="str">
        <f t="shared" si="3255"/>
        <v>Aditi Iyer</v>
      </c>
      <c r="U1626" s="14" t="str">
        <f t="shared" si="3255"/>
        <v>Dadar</v>
      </c>
      <c r="V1626" s="14" t="str">
        <f t="shared" si="4"/>
        <v>Tomato</v>
      </c>
      <c r="W1626" s="14">
        <f t="shared" si="5"/>
        <v>2</v>
      </c>
      <c r="X1626" s="14" t="str">
        <f t="shared" si="6"/>
        <v>Venu R</v>
      </c>
      <c r="Y1626" s="15">
        <f t="shared" si="7"/>
        <v>45233</v>
      </c>
      <c r="Z1626" s="14" t="str">
        <f t="shared" si="8"/>
        <v>Online Payment</v>
      </c>
      <c r="AA1626" s="14" t="str">
        <f t="shared" si="9"/>
        <v>Delivered</v>
      </c>
      <c r="AB1626" s="14" t="str">
        <f t="shared" ref="AB1626:AC1626" si="3256">trim(Q1626)</f>
        <v>Overall Satisfaction</v>
      </c>
      <c r="AC1626" s="14" t="str">
        <f t="shared" si="3256"/>
        <v>Great service will order again</v>
      </c>
      <c r="AD1626" s="8"/>
    </row>
    <row r="1627">
      <c r="A1627" s="14" t="str">
        <f>IFERROR(__xludf.DUMMYFUNCTION("""COMPUTED_VALUE"""),"//ord_71605//Kavya Menon//Andheri//Icecream+6*Manju Ajay/5/29/2023//UPI//Delivered*On-time Delivery: Delivered on time")</f>
        <v>//ord_71605//Kavya Menon//Andheri//Icecream+6*Manju Ajay/5/29/2023//UPI//Delivered*On-time Delivery: Delivered on time</v>
      </c>
      <c r="B1627" s="14" t="str">
        <f>IFERROR(__xludf.DUMMYFUNCTION("split(A1627,""//"")"),"ord_71605")</f>
        <v>ord_71605</v>
      </c>
      <c r="C1627" s="14" t="str">
        <f>IFERROR(__xludf.DUMMYFUNCTION("""COMPUTED_VALUE"""),"Kavya Menon")</f>
        <v>Kavya Menon</v>
      </c>
      <c r="D1627" s="14" t="str">
        <f>IFERROR(__xludf.DUMMYFUNCTION("""COMPUTED_VALUE"""),"Andheri")</f>
        <v>Andheri</v>
      </c>
      <c r="E1627" s="14" t="str">
        <f>IFERROR(__xludf.DUMMYFUNCTION("""COMPUTED_VALUE"""),"Icecream+6*Manju Ajay")</f>
        <v>Icecream+6*Manju Ajay</v>
      </c>
      <c r="F1627" s="14">
        <f>IFERROR(__xludf.DUMMYFUNCTION("""COMPUTED_VALUE"""),5.0)</f>
        <v>5</v>
      </c>
      <c r="G1627" s="14">
        <f>IFERROR(__xludf.DUMMYFUNCTION("""COMPUTED_VALUE"""),29.0)</f>
        <v>29</v>
      </c>
      <c r="H1627" s="14">
        <f>IFERROR(__xludf.DUMMYFUNCTION("""COMPUTED_VALUE"""),2023.0)</f>
        <v>2023</v>
      </c>
      <c r="I1627" s="14" t="str">
        <f>IFERROR(__xludf.DUMMYFUNCTION("""COMPUTED_VALUE"""),"UPI")</f>
        <v>UPI</v>
      </c>
      <c r="J1627" s="14" t="str">
        <f>IFERROR(__xludf.DUMMYFUNCTION("""COMPUTED_VALUE"""),"Delivered*On-time Delivery: Delivered on time")</f>
        <v>Delivered*On-time Delivery: Delivered on time</v>
      </c>
      <c r="K1627" s="14" t="str">
        <f>IFERROR(__xludf.DUMMYFUNCTION("split(E1627,""+"")"),"Icecream")</f>
        <v>Icecream</v>
      </c>
      <c r="L1627" s="14" t="str">
        <f>IFERROR(__xludf.DUMMYFUNCTION("""COMPUTED_VALUE"""),"6*Manju Ajay")</f>
        <v>6*Manju Ajay</v>
      </c>
      <c r="M1627" s="14">
        <f>IFERROR(__xludf.DUMMYFUNCTION("SPLIT(L1627,""*"")"),6.0)</f>
        <v>6</v>
      </c>
      <c r="N1627" s="14" t="str">
        <f>IFERROR(__xludf.DUMMYFUNCTION("""COMPUTED_VALUE"""),"Manju Ajay")</f>
        <v>Manju Ajay</v>
      </c>
      <c r="O1627" s="14" t="str">
        <f>IFERROR(__xludf.DUMMYFUNCTION("split(J1627,""*"")"),"Delivered")</f>
        <v>Delivered</v>
      </c>
      <c r="P1627" s="14" t="str">
        <f>IFERROR(__xludf.DUMMYFUNCTION("""COMPUTED_VALUE"""),"On-time Delivery: Delivered on time")</f>
        <v>On-time Delivery: Delivered on time</v>
      </c>
      <c r="Q1627" s="14" t="str">
        <f>IFERROR(__xludf.DUMMYFUNCTION("split(P1627,"":"")"),"On-time Delivery")</f>
        <v>On-time Delivery</v>
      </c>
      <c r="R1627" s="14" t="str">
        <f>IFERROR(__xludf.DUMMYFUNCTION("""COMPUTED_VALUE""")," Delivered on time")</f>
        <v> Delivered on time</v>
      </c>
      <c r="S1627" s="14" t="str">
        <f t="shared" ref="S1627:U1627" si="3257">trim(B1627)</f>
        <v>ord_71605</v>
      </c>
      <c r="T1627" s="14" t="str">
        <f t="shared" si="3257"/>
        <v>Kavya Menon</v>
      </c>
      <c r="U1627" s="14" t="str">
        <f t="shared" si="3257"/>
        <v>Andheri</v>
      </c>
      <c r="V1627" s="14" t="str">
        <f t="shared" si="4"/>
        <v>Icecream</v>
      </c>
      <c r="W1627" s="14">
        <f t="shared" si="5"/>
        <v>6</v>
      </c>
      <c r="X1627" s="14" t="str">
        <f t="shared" si="6"/>
        <v>Manju Ajay</v>
      </c>
      <c r="Y1627" s="15">
        <f t="shared" si="7"/>
        <v>45075</v>
      </c>
      <c r="Z1627" s="14" t="str">
        <f t="shared" si="8"/>
        <v>UPI</v>
      </c>
      <c r="AA1627" s="14" t="str">
        <f t="shared" si="9"/>
        <v>Delivered</v>
      </c>
      <c r="AB1627" s="14" t="str">
        <f t="shared" ref="AB1627:AC1627" si="3258">trim(Q1627)</f>
        <v>On-time Delivery</v>
      </c>
      <c r="AC1627" s="14" t="str">
        <f t="shared" si="3258"/>
        <v>Delivered on time</v>
      </c>
      <c r="AD1627" s="8"/>
    </row>
    <row r="1628">
      <c r="A1628" s="14" t="str">
        <f>IFERROR(__xludf.DUMMYFUNCTION("""COMPUTED_VALUE"""),"//ord_71606//Kavya Menon//Andheri//Onion+3*Sita T/11/22/2023//Credit Card//Delivered*Quality of Items: Perfect condition")</f>
        <v>//ord_71606//Kavya Menon//Andheri//Onion+3*Sita T/11/22/2023//Credit Card//Delivered*Quality of Items: Perfect condition</v>
      </c>
      <c r="B1628" s="14" t="str">
        <f>IFERROR(__xludf.DUMMYFUNCTION("split(A1628,""//"")"),"ord_71606")</f>
        <v>ord_71606</v>
      </c>
      <c r="C1628" s="14" t="str">
        <f>IFERROR(__xludf.DUMMYFUNCTION("""COMPUTED_VALUE"""),"Kavya Menon")</f>
        <v>Kavya Menon</v>
      </c>
      <c r="D1628" s="14" t="str">
        <f>IFERROR(__xludf.DUMMYFUNCTION("""COMPUTED_VALUE"""),"Andheri")</f>
        <v>Andheri</v>
      </c>
      <c r="E1628" s="14" t="str">
        <f>IFERROR(__xludf.DUMMYFUNCTION("""COMPUTED_VALUE"""),"Onion+3*Sita T")</f>
        <v>Onion+3*Sita T</v>
      </c>
      <c r="F1628" s="14">
        <f>IFERROR(__xludf.DUMMYFUNCTION("""COMPUTED_VALUE"""),11.0)</f>
        <v>11</v>
      </c>
      <c r="G1628" s="14">
        <f>IFERROR(__xludf.DUMMYFUNCTION("""COMPUTED_VALUE"""),22.0)</f>
        <v>22</v>
      </c>
      <c r="H1628" s="14">
        <f>IFERROR(__xludf.DUMMYFUNCTION("""COMPUTED_VALUE"""),2023.0)</f>
        <v>2023</v>
      </c>
      <c r="I1628" s="14" t="str">
        <f>IFERROR(__xludf.DUMMYFUNCTION("""COMPUTED_VALUE"""),"Credit Card")</f>
        <v>Credit Card</v>
      </c>
      <c r="J1628" s="14" t="str">
        <f>IFERROR(__xludf.DUMMYFUNCTION("""COMPUTED_VALUE"""),"Delivered*Quality of Items: Perfect condition")</f>
        <v>Delivered*Quality of Items: Perfect condition</v>
      </c>
      <c r="K1628" s="14" t="str">
        <f>IFERROR(__xludf.DUMMYFUNCTION("split(E1628,""+"")"),"Onion")</f>
        <v>Onion</v>
      </c>
      <c r="L1628" s="14" t="str">
        <f>IFERROR(__xludf.DUMMYFUNCTION("""COMPUTED_VALUE"""),"3*Sita T")</f>
        <v>3*Sita T</v>
      </c>
      <c r="M1628" s="14">
        <f>IFERROR(__xludf.DUMMYFUNCTION("SPLIT(L1628,""*"")"),3.0)</f>
        <v>3</v>
      </c>
      <c r="N1628" s="14" t="str">
        <f>IFERROR(__xludf.DUMMYFUNCTION("""COMPUTED_VALUE"""),"Sita T")</f>
        <v>Sita T</v>
      </c>
      <c r="O1628" s="14" t="str">
        <f>IFERROR(__xludf.DUMMYFUNCTION("split(J1628,""*"")"),"Delivered")</f>
        <v>Delivered</v>
      </c>
      <c r="P1628" s="14" t="str">
        <f>IFERROR(__xludf.DUMMYFUNCTION("""COMPUTED_VALUE"""),"Quality of Items: Perfect condition")</f>
        <v>Quality of Items: Perfect condition</v>
      </c>
      <c r="Q1628" s="14" t="str">
        <f>IFERROR(__xludf.DUMMYFUNCTION("split(P1628,"":"")"),"Quality of Items")</f>
        <v>Quality of Items</v>
      </c>
      <c r="R1628" s="14" t="str">
        <f>IFERROR(__xludf.DUMMYFUNCTION("""COMPUTED_VALUE""")," Perfect condition")</f>
        <v> Perfect condition</v>
      </c>
      <c r="S1628" s="14" t="str">
        <f t="shared" ref="S1628:U1628" si="3259">trim(B1628)</f>
        <v>ord_71606</v>
      </c>
      <c r="T1628" s="14" t="str">
        <f t="shared" si="3259"/>
        <v>Kavya Menon</v>
      </c>
      <c r="U1628" s="14" t="str">
        <f t="shared" si="3259"/>
        <v>Andheri</v>
      </c>
      <c r="V1628" s="14" t="str">
        <f t="shared" si="4"/>
        <v>Onion</v>
      </c>
      <c r="W1628" s="14">
        <f t="shared" si="5"/>
        <v>3</v>
      </c>
      <c r="X1628" s="14" t="str">
        <f t="shared" si="6"/>
        <v>Sita T</v>
      </c>
      <c r="Y1628" s="15">
        <f t="shared" si="7"/>
        <v>45252</v>
      </c>
      <c r="Z1628" s="14" t="str">
        <f t="shared" si="8"/>
        <v>Credit Card</v>
      </c>
      <c r="AA1628" s="14" t="str">
        <f t="shared" si="9"/>
        <v>Delivered</v>
      </c>
      <c r="AB1628" s="14" t="str">
        <f t="shared" ref="AB1628:AC1628" si="3260">trim(Q1628)</f>
        <v>Quality of Items</v>
      </c>
      <c r="AC1628" s="14" t="str">
        <f t="shared" si="3260"/>
        <v>Perfect condition</v>
      </c>
      <c r="AD1628" s="8"/>
    </row>
    <row r="1629">
      <c r="A1629" s="14" t="str">
        <f>IFERROR(__xludf.DUMMYFUNCTION("""COMPUTED_VALUE"""),"//ord_71607//Anaya Rao//Colaba//Papaya+1*Sita T/8/20/2023//Credit Card//Delivered*On-time Delivery: Delivered on time")</f>
        <v>//ord_71607//Anaya Rao//Colaba//Papaya+1*Sita T/8/20/2023//Credit Card//Delivered*On-time Delivery: Delivered on time</v>
      </c>
      <c r="B1629" s="14" t="str">
        <f>IFERROR(__xludf.DUMMYFUNCTION("split(A1629,""//"")"),"ord_71607")</f>
        <v>ord_71607</v>
      </c>
      <c r="C1629" s="14" t="str">
        <f>IFERROR(__xludf.DUMMYFUNCTION("""COMPUTED_VALUE"""),"Anaya Rao")</f>
        <v>Anaya Rao</v>
      </c>
      <c r="D1629" s="14" t="str">
        <f>IFERROR(__xludf.DUMMYFUNCTION("""COMPUTED_VALUE"""),"Colaba")</f>
        <v>Colaba</v>
      </c>
      <c r="E1629" s="14" t="str">
        <f>IFERROR(__xludf.DUMMYFUNCTION("""COMPUTED_VALUE"""),"Papaya+1*Sita T")</f>
        <v>Papaya+1*Sita T</v>
      </c>
      <c r="F1629" s="14">
        <f>IFERROR(__xludf.DUMMYFUNCTION("""COMPUTED_VALUE"""),8.0)</f>
        <v>8</v>
      </c>
      <c r="G1629" s="14">
        <f>IFERROR(__xludf.DUMMYFUNCTION("""COMPUTED_VALUE"""),20.0)</f>
        <v>20</v>
      </c>
      <c r="H1629" s="14">
        <f>IFERROR(__xludf.DUMMYFUNCTION("""COMPUTED_VALUE"""),2023.0)</f>
        <v>2023</v>
      </c>
      <c r="I1629" s="14" t="str">
        <f>IFERROR(__xludf.DUMMYFUNCTION("""COMPUTED_VALUE"""),"Credit Card")</f>
        <v>Credit Card</v>
      </c>
      <c r="J1629" s="14" t="str">
        <f>IFERROR(__xludf.DUMMYFUNCTION("""COMPUTED_VALUE"""),"Delivered*On-time Delivery: Delivered on time")</f>
        <v>Delivered*On-time Delivery: Delivered on time</v>
      </c>
      <c r="K1629" s="14" t="str">
        <f>IFERROR(__xludf.DUMMYFUNCTION("split(E1629,""+"")"),"Papaya")</f>
        <v>Papaya</v>
      </c>
      <c r="L1629" s="14" t="str">
        <f>IFERROR(__xludf.DUMMYFUNCTION("""COMPUTED_VALUE"""),"1*Sita T")</f>
        <v>1*Sita T</v>
      </c>
      <c r="M1629" s="14">
        <f>IFERROR(__xludf.DUMMYFUNCTION("SPLIT(L1629,""*"")"),1.0)</f>
        <v>1</v>
      </c>
      <c r="N1629" s="14" t="str">
        <f>IFERROR(__xludf.DUMMYFUNCTION("""COMPUTED_VALUE"""),"Sita T")</f>
        <v>Sita T</v>
      </c>
      <c r="O1629" s="14" t="str">
        <f>IFERROR(__xludf.DUMMYFUNCTION("split(J1629,""*"")"),"Delivered")</f>
        <v>Delivered</v>
      </c>
      <c r="P1629" s="14" t="str">
        <f>IFERROR(__xludf.DUMMYFUNCTION("""COMPUTED_VALUE"""),"On-time Delivery: Delivered on time")</f>
        <v>On-time Delivery: Delivered on time</v>
      </c>
      <c r="Q1629" s="14" t="str">
        <f>IFERROR(__xludf.DUMMYFUNCTION("split(P1629,"":"")"),"On-time Delivery")</f>
        <v>On-time Delivery</v>
      </c>
      <c r="R1629" s="14" t="str">
        <f>IFERROR(__xludf.DUMMYFUNCTION("""COMPUTED_VALUE""")," Delivered on time")</f>
        <v> Delivered on time</v>
      </c>
      <c r="S1629" s="14" t="str">
        <f t="shared" ref="S1629:U1629" si="3261">trim(B1629)</f>
        <v>ord_71607</v>
      </c>
      <c r="T1629" s="14" t="str">
        <f t="shared" si="3261"/>
        <v>Anaya Rao</v>
      </c>
      <c r="U1629" s="14" t="str">
        <f t="shared" si="3261"/>
        <v>Colaba</v>
      </c>
      <c r="V1629" s="14" t="str">
        <f t="shared" si="4"/>
        <v>Papaya</v>
      </c>
      <c r="W1629" s="14">
        <f t="shared" si="5"/>
        <v>1</v>
      </c>
      <c r="X1629" s="14" t="str">
        <f t="shared" si="6"/>
        <v>Sita T</v>
      </c>
      <c r="Y1629" s="15">
        <f t="shared" si="7"/>
        <v>45158</v>
      </c>
      <c r="Z1629" s="14" t="str">
        <f t="shared" si="8"/>
        <v>Credit Card</v>
      </c>
      <c r="AA1629" s="14" t="str">
        <f t="shared" si="9"/>
        <v>Delivered</v>
      </c>
      <c r="AB1629" s="14" t="str">
        <f t="shared" ref="AB1629:AC1629" si="3262">trim(Q1629)</f>
        <v>On-time Delivery</v>
      </c>
      <c r="AC1629" s="14" t="str">
        <f t="shared" si="3262"/>
        <v>Delivered on time</v>
      </c>
      <c r="AD1629" s="8"/>
    </row>
    <row r="1630">
      <c r="A1630" s="14" t="str">
        <f>IFERROR(__xludf.DUMMYFUNCTION("""COMPUTED_VALUE"""),"//ord_71608//Aditya Rao//Lower Parel//Tiramisu+5*Nithin Lal/2/3/2023//Online Payment//Delivered*Quality of Items: Perfect condition")</f>
        <v>//ord_71608//Aditya Rao//Lower Parel//Tiramisu+5*Nithin Lal/2/3/2023//Online Payment//Delivered*Quality of Items: Perfect condition</v>
      </c>
      <c r="B1630" s="14" t="str">
        <f>IFERROR(__xludf.DUMMYFUNCTION("split(A1630,""//"")"),"ord_71608")</f>
        <v>ord_71608</v>
      </c>
      <c r="C1630" s="14" t="str">
        <f>IFERROR(__xludf.DUMMYFUNCTION("""COMPUTED_VALUE"""),"Aditya Rao")</f>
        <v>Aditya Rao</v>
      </c>
      <c r="D1630" s="14" t="str">
        <f>IFERROR(__xludf.DUMMYFUNCTION("""COMPUTED_VALUE"""),"Lower Parel")</f>
        <v>Lower Parel</v>
      </c>
      <c r="E1630" s="14" t="str">
        <f>IFERROR(__xludf.DUMMYFUNCTION("""COMPUTED_VALUE"""),"Tiramisu+5*Nithin Lal")</f>
        <v>Tiramisu+5*Nithin Lal</v>
      </c>
      <c r="F1630" s="14">
        <f>IFERROR(__xludf.DUMMYFUNCTION("""COMPUTED_VALUE"""),2.0)</f>
        <v>2</v>
      </c>
      <c r="G1630" s="14">
        <f>IFERROR(__xludf.DUMMYFUNCTION("""COMPUTED_VALUE"""),3.0)</f>
        <v>3</v>
      </c>
      <c r="H1630" s="14">
        <f>IFERROR(__xludf.DUMMYFUNCTION("""COMPUTED_VALUE"""),2023.0)</f>
        <v>2023</v>
      </c>
      <c r="I1630" s="14" t="str">
        <f>IFERROR(__xludf.DUMMYFUNCTION("""COMPUTED_VALUE"""),"Online Payment")</f>
        <v>Online Payment</v>
      </c>
      <c r="J1630" s="14" t="str">
        <f>IFERROR(__xludf.DUMMYFUNCTION("""COMPUTED_VALUE"""),"Delivered*Quality of Items: Perfect condition")</f>
        <v>Delivered*Quality of Items: Perfect condition</v>
      </c>
      <c r="K1630" s="14" t="str">
        <f>IFERROR(__xludf.DUMMYFUNCTION("split(E1630,""+"")"),"Tiramisu")</f>
        <v>Tiramisu</v>
      </c>
      <c r="L1630" s="14" t="str">
        <f>IFERROR(__xludf.DUMMYFUNCTION("""COMPUTED_VALUE"""),"5*Nithin Lal")</f>
        <v>5*Nithin Lal</v>
      </c>
      <c r="M1630" s="14">
        <f>IFERROR(__xludf.DUMMYFUNCTION("SPLIT(L1630,""*"")"),5.0)</f>
        <v>5</v>
      </c>
      <c r="N1630" s="14" t="str">
        <f>IFERROR(__xludf.DUMMYFUNCTION("""COMPUTED_VALUE"""),"Nithin Lal")</f>
        <v>Nithin Lal</v>
      </c>
      <c r="O1630" s="14" t="str">
        <f>IFERROR(__xludf.DUMMYFUNCTION("split(J1630,""*"")"),"Delivered")</f>
        <v>Delivered</v>
      </c>
      <c r="P1630" s="14" t="str">
        <f>IFERROR(__xludf.DUMMYFUNCTION("""COMPUTED_VALUE"""),"Quality of Items: Perfect condition")</f>
        <v>Quality of Items: Perfect condition</v>
      </c>
      <c r="Q1630" s="14" t="str">
        <f>IFERROR(__xludf.DUMMYFUNCTION("split(P1630,"":"")"),"Quality of Items")</f>
        <v>Quality of Items</v>
      </c>
      <c r="R1630" s="14" t="str">
        <f>IFERROR(__xludf.DUMMYFUNCTION("""COMPUTED_VALUE""")," Perfect condition")</f>
        <v> Perfect condition</v>
      </c>
      <c r="S1630" s="14" t="str">
        <f t="shared" ref="S1630:U1630" si="3263">trim(B1630)</f>
        <v>ord_71608</v>
      </c>
      <c r="T1630" s="14" t="str">
        <f t="shared" si="3263"/>
        <v>Aditya Rao</v>
      </c>
      <c r="U1630" s="14" t="str">
        <f t="shared" si="3263"/>
        <v>Lower Parel</v>
      </c>
      <c r="V1630" s="14" t="str">
        <f t="shared" si="4"/>
        <v>Tiramisu</v>
      </c>
      <c r="W1630" s="14">
        <f t="shared" si="5"/>
        <v>5</v>
      </c>
      <c r="X1630" s="14" t="str">
        <f t="shared" si="6"/>
        <v>Nithin Lal</v>
      </c>
      <c r="Y1630" s="15">
        <f t="shared" si="7"/>
        <v>44960</v>
      </c>
      <c r="Z1630" s="14" t="str">
        <f t="shared" si="8"/>
        <v>Online Payment</v>
      </c>
      <c r="AA1630" s="14" t="str">
        <f t="shared" si="9"/>
        <v>Delivered</v>
      </c>
      <c r="AB1630" s="14" t="str">
        <f t="shared" ref="AB1630:AC1630" si="3264">trim(Q1630)</f>
        <v>Quality of Items</v>
      </c>
      <c r="AC1630" s="14" t="str">
        <f t="shared" si="3264"/>
        <v>Perfect condition</v>
      </c>
      <c r="AD1630" s="8"/>
    </row>
    <row r="1631">
      <c r="A1631" s="14" t="str">
        <f>IFERROR(__xludf.DUMMYFUNCTION("""COMPUTED_VALUE"""),"//ord_71609//Aditya Rao//Lower Parel//Orange+2*Ram Gopal/8/28/2023//Online Payment//Delivered*Packaging: Secure and intact")</f>
        <v>//ord_71609//Aditya Rao//Lower Parel//Orange+2*Ram Gopal/8/28/2023//Online Payment//Delivered*Packaging: Secure and intact</v>
      </c>
      <c r="B1631" s="14" t="str">
        <f>IFERROR(__xludf.DUMMYFUNCTION("split(A1631,""//"")"),"ord_71609")</f>
        <v>ord_71609</v>
      </c>
      <c r="C1631" s="14" t="str">
        <f>IFERROR(__xludf.DUMMYFUNCTION("""COMPUTED_VALUE"""),"Aditya Rao")</f>
        <v>Aditya Rao</v>
      </c>
      <c r="D1631" s="14" t="str">
        <f>IFERROR(__xludf.DUMMYFUNCTION("""COMPUTED_VALUE"""),"Lower Parel")</f>
        <v>Lower Parel</v>
      </c>
      <c r="E1631" s="14" t="str">
        <f>IFERROR(__xludf.DUMMYFUNCTION("""COMPUTED_VALUE"""),"Orange+2*Ram Gopal")</f>
        <v>Orange+2*Ram Gopal</v>
      </c>
      <c r="F1631" s="14">
        <f>IFERROR(__xludf.DUMMYFUNCTION("""COMPUTED_VALUE"""),8.0)</f>
        <v>8</v>
      </c>
      <c r="G1631" s="14">
        <f>IFERROR(__xludf.DUMMYFUNCTION("""COMPUTED_VALUE"""),28.0)</f>
        <v>28</v>
      </c>
      <c r="H1631" s="14">
        <f>IFERROR(__xludf.DUMMYFUNCTION("""COMPUTED_VALUE"""),2023.0)</f>
        <v>2023</v>
      </c>
      <c r="I1631" s="14" t="str">
        <f>IFERROR(__xludf.DUMMYFUNCTION("""COMPUTED_VALUE"""),"Online Payment")</f>
        <v>Online Payment</v>
      </c>
      <c r="J1631" s="14" t="str">
        <f>IFERROR(__xludf.DUMMYFUNCTION("""COMPUTED_VALUE"""),"Delivered*Packaging: Secure and intact")</f>
        <v>Delivered*Packaging: Secure and intact</v>
      </c>
      <c r="K1631" s="14" t="str">
        <f>IFERROR(__xludf.DUMMYFUNCTION("split(E1631,""+"")"),"Orange")</f>
        <v>Orange</v>
      </c>
      <c r="L1631" s="14" t="str">
        <f>IFERROR(__xludf.DUMMYFUNCTION("""COMPUTED_VALUE"""),"2*Ram Gopal")</f>
        <v>2*Ram Gopal</v>
      </c>
      <c r="M1631" s="14">
        <f>IFERROR(__xludf.DUMMYFUNCTION("SPLIT(L1631,""*"")"),2.0)</f>
        <v>2</v>
      </c>
      <c r="N1631" s="14" t="str">
        <f>IFERROR(__xludf.DUMMYFUNCTION("""COMPUTED_VALUE"""),"Ram Gopal")</f>
        <v>Ram Gopal</v>
      </c>
      <c r="O1631" s="14" t="str">
        <f>IFERROR(__xludf.DUMMYFUNCTION("split(J1631,""*"")"),"Delivered")</f>
        <v>Delivered</v>
      </c>
      <c r="P1631" s="14" t="str">
        <f>IFERROR(__xludf.DUMMYFUNCTION("""COMPUTED_VALUE"""),"Packaging: Secure and intact")</f>
        <v>Packaging: Secure and intact</v>
      </c>
      <c r="Q1631" s="14" t="str">
        <f>IFERROR(__xludf.DUMMYFUNCTION("split(P1631,"":"")"),"Packaging")</f>
        <v>Packaging</v>
      </c>
      <c r="R1631" s="14" t="str">
        <f>IFERROR(__xludf.DUMMYFUNCTION("""COMPUTED_VALUE""")," Secure and intact")</f>
        <v> Secure and intact</v>
      </c>
      <c r="S1631" s="14" t="str">
        <f t="shared" ref="S1631:U1631" si="3265">trim(B1631)</f>
        <v>ord_71609</v>
      </c>
      <c r="T1631" s="14" t="str">
        <f t="shared" si="3265"/>
        <v>Aditya Rao</v>
      </c>
      <c r="U1631" s="14" t="str">
        <f t="shared" si="3265"/>
        <v>Lower Parel</v>
      </c>
      <c r="V1631" s="14" t="str">
        <f t="shared" si="4"/>
        <v>Orange</v>
      </c>
      <c r="W1631" s="14">
        <f t="shared" si="5"/>
        <v>2</v>
      </c>
      <c r="X1631" s="14" t="str">
        <f t="shared" si="6"/>
        <v>Ram Gopal</v>
      </c>
      <c r="Y1631" s="15">
        <f t="shared" si="7"/>
        <v>45166</v>
      </c>
      <c r="Z1631" s="14" t="str">
        <f t="shared" si="8"/>
        <v>Online Payment</v>
      </c>
      <c r="AA1631" s="14" t="str">
        <f t="shared" si="9"/>
        <v>Delivered</v>
      </c>
      <c r="AB1631" s="14" t="str">
        <f t="shared" ref="AB1631:AC1631" si="3266">trim(Q1631)</f>
        <v>Packaging</v>
      </c>
      <c r="AC1631" s="14" t="str">
        <f t="shared" si="3266"/>
        <v>Secure and intact</v>
      </c>
      <c r="AD1631" s="8"/>
    </row>
    <row r="1632">
      <c r="A1632" s="14" t="str">
        <f>IFERROR(__xludf.DUMMYFUNCTION("""COMPUTED_VALUE"""),"//ord_71610//Arvind Kulkarni//Juhu//Chocolate Mousse+2*Not Assigned/1/14/2023//UPI//Cancelled*App Glitches: Payment Button Malfunction")</f>
        <v>//ord_71610//Arvind Kulkarni//Juhu//Chocolate Mousse+2*Not Assigned/1/14/2023//UPI//Cancelled*App Glitches: Payment Button Malfunction</v>
      </c>
      <c r="B1632" s="14" t="str">
        <f>IFERROR(__xludf.DUMMYFUNCTION("split(A1632,""//"")"),"ord_71610")</f>
        <v>ord_71610</v>
      </c>
      <c r="C1632" s="14" t="str">
        <f>IFERROR(__xludf.DUMMYFUNCTION("""COMPUTED_VALUE"""),"Arvind Kulkarni")</f>
        <v>Arvind Kulkarni</v>
      </c>
      <c r="D1632" s="14" t="str">
        <f>IFERROR(__xludf.DUMMYFUNCTION("""COMPUTED_VALUE"""),"Juhu")</f>
        <v>Juhu</v>
      </c>
      <c r="E1632" s="14" t="str">
        <f>IFERROR(__xludf.DUMMYFUNCTION("""COMPUTED_VALUE"""),"Chocolate Mousse+2*Not Assigned")</f>
        <v>Chocolate Mousse+2*Not Assigned</v>
      </c>
      <c r="F1632" s="14">
        <f>IFERROR(__xludf.DUMMYFUNCTION("""COMPUTED_VALUE"""),1.0)</f>
        <v>1</v>
      </c>
      <c r="G1632" s="14">
        <f>IFERROR(__xludf.DUMMYFUNCTION("""COMPUTED_VALUE"""),14.0)</f>
        <v>14</v>
      </c>
      <c r="H1632" s="14">
        <f>IFERROR(__xludf.DUMMYFUNCTION("""COMPUTED_VALUE"""),2023.0)</f>
        <v>2023</v>
      </c>
      <c r="I1632" s="14" t="str">
        <f>IFERROR(__xludf.DUMMYFUNCTION("""COMPUTED_VALUE"""),"UPI")</f>
        <v>UPI</v>
      </c>
      <c r="J1632" s="14" t="str">
        <f>IFERROR(__xludf.DUMMYFUNCTION("""COMPUTED_VALUE"""),"Cancelled*App Glitches: Payment Button Malfunction")</f>
        <v>Cancelled*App Glitches: Payment Button Malfunction</v>
      </c>
      <c r="K1632" s="14" t="str">
        <f>IFERROR(__xludf.DUMMYFUNCTION("split(E1632,""+"")"),"Chocolate Mousse")</f>
        <v>Chocolate Mousse</v>
      </c>
      <c r="L1632" s="14" t="str">
        <f>IFERROR(__xludf.DUMMYFUNCTION("""COMPUTED_VALUE"""),"2*Not Assigned")</f>
        <v>2*Not Assigned</v>
      </c>
      <c r="M1632" s="14">
        <f>IFERROR(__xludf.DUMMYFUNCTION("SPLIT(L1632,""*"")"),2.0)</f>
        <v>2</v>
      </c>
      <c r="N1632" s="14" t="str">
        <f>IFERROR(__xludf.DUMMYFUNCTION("""COMPUTED_VALUE"""),"Not Assigned")</f>
        <v>Not Assigned</v>
      </c>
      <c r="O1632" s="14" t="str">
        <f>IFERROR(__xludf.DUMMYFUNCTION("split(J1632,""*"")"),"Cancelled")</f>
        <v>Cancelled</v>
      </c>
      <c r="P1632" s="14" t="str">
        <f>IFERROR(__xludf.DUMMYFUNCTION("""COMPUTED_VALUE"""),"App Glitches: Payment Button Malfunction")</f>
        <v>App Glitches: Payment Button Malfunction</v>
      </c>
      <c r="Q1632" s="14" t="str">
        <f>IFERROR(__xludf.DUMMYFUNCTION("split(P1632,"":"")"),"App Glitches")</f>
        <v>App Glitches</v>
      </c>
      <c r="R1632" s="14" t="str">
        <f>IFERROR(__xludf.DUMMYFUNCTION("""COMPUTED_VALUE""")," Payment Button Malfunction")</f>
        <v> Payment Button Malfunction</v>
      </c>
      <c r="S1632" s="14" t="str">
        <f t="shared" ref="S1632:U1632" si="3267">trim(B1632)</f>
        <v>ord_71610</v>
      </c>
      <c r="T1632" s="14" t="str">
        <f t="shared" si="3267"/>
        <v>Arvind Kulkarni</v>
      </c>
      <c r="U1632" s="14" t="str">
        <f t="shared" si="3267"/>
        <v>Juhu</v>
      </c>
      <c r="V1632" s="14" t="str">
        <f t="shared" si="4"/>
        <v>Chocolate Mousse</v>
      </c>
      <c r="W1632" s="14">
        <f t="shared" si="5"/>
        <v>2</v>
      </c>
      <c r="X1632" s="14" t="str">
        <f t="shared" si="6"/>
        <v>Not Assigned</v>
      </c>
      <c r="Y1632" s="15">
        <f t="shared" si="7"/>
        <v>44940</v>
      </c>
      <c r="Z1632" s="14" t="str">
        <f t="shared" si="8"/>
        <v>UPI</v>
      </c>
      <c r="AA1632" s="14" t="str">
        <f t="shared" si="9"/>
        <v>Cancelled</v>
      </c>
      <c r="AB1632" s="14" t="str">
        <f t="shared" ref="AB1632:AC1632" si="3268">trim(Q1632)</f>
        <v>App Glitches</v>
      </c>
      <c r="AC1632" s="14" t="str">
        <f t="shared" si="3268"/>
        <v>Payment Button Malfunction</v>
      </c>
      <c r="AD1632" s="8"/>
    </row>
    <row r="1633">
      <c r="A1633" s="14" t="str">
        <f>IFERROR(__xludf.DUMMYFUNCTION("""COMPUTED_VALUE"""),"//ord_71611//Mohit Malhotra//Lower Parel//Apple+2*Not Assigned/6/11/2023//Credit Card//Cancelled*High Delivery Fees")</f>
        <v>//ord_71611//Mohit Malhotra//Lower Parel//Apple+2*Not Assigned/6/11/2023//Credit Card//Cancelled*High Delivery Fees</v>
      </c>
      <c r="B1633" s="14" t="str">
        <f>IFERROR(__xludf.DUMMYFUNCTION("split(A1633,""//"")"),"ord_71611")</f>
        <v>ord_71611</v>
      </c>
      <c r="C1633" s="14" t="str">
        <f>IFERROR(__xludf.DUMMYFUNCTION("""COMPUTED_VALUE"""),"Mohit Malhotra")</f>
        <v>Mohit Malhotra</v>
      </c>
      <c r="D1633" s="14" t="str">
        <f>IFERROR(__xludf.DUMMYFUNCTION("""COMPUTED_VALUE"""),"Lower Parel")</f>
        <v>Lower Parel</v>
      </c>
      <c r="E1633" s="14" t="str">
        <f>IFERROR(__xludf.DUMMYFUNCTION("""COMPUTED_VALUE"""),"Apple+2*Not Assigned")</f>
        <v>Apple+2*Not Assigned</v>
      </c>
      <c r="F1633" s="14">
        <f>IFERROR(__xludf.DUMMYFUNCTION("""COMPUTED_VALUE"""),6.0)</f>
        <v>6</v>
      </c>
      <c r="G1633" s="14">
        <f>IFERROR(__xludf.DUMMYFUNCTION("""COMPUTED_VALUE"""),11.0)</f>
        <v>11</v>
      </c>
      <c r="H1633" s="14">
        <f>IFERROR(__xludf.DUMMYFUNCTION("""COMPUTED_VALUE"""),2023.0)</f>
        <v>2023</v>
      </c>
      <c r="I1633" s="14" t="str">
        <f>IFERROR(__xludf.DUMMYFUNCTION("""COMPUTED_VALUE"""),"Credit Card")</f>
        <v>Credit Card</v>
      </c>
      <c r="J1633" s="14" t="str">
        <f>IFERROR(__xludf.DUMMYFUNCTION("""COMPUTED_VALUE"""),"Cancelled*High Delivery Fees")</f>
        <v>Cancelled*High Delivery Fees</v>
      </c>
      <c r="K1633" s="14" t="str">
        <f>IFERROR(__xludf.DUMMYFUNCTION("split(E1633,""+"")"),"Apple")</f>
        <v>Apple</v>
      </c>
      <c r="L1633" s="14" t="str">
        <f>IFERROR(__xludf.DUMMYFUNCTION("""COMPUTED_VALUE"""),"2*Not Assigned")</f>
        <v>2*Not Assigned</v>
      </c>
      <c r="M1633" s="14">
        <f>IFERROR(__xludf.DUMMYFUNCTION("SPLIT(L1633,""*"")"),2.0)</f>
        <v>2</v>
      </c>
      <c r="N1633" s="14" t="str">
        <f>IFERROR(__xludf.DUMMYFUNCTION("""COMPUTED_VALUE"""),"Not Assigned")</f>
        <v>Not Assigned</v>
      </c>
      <c r="O1633" s="14" t="str">
        <f>IFERROR(__xludf.DUMMYFUNCTION("split(J1633,""*"")"),"Cancelled")</f>
        <v>Cancelled</v>
      </c>
      <c r="P1633" s="14" t="str">
        <f>IFERROR(__xludf.DUMMYFUNCTION("""COMPUTED_VALUE"""),"High Delivery Fees")</f>
        <v>High Delivery Fees</v>
      </c>
      <c r="Q1633" s="14" t="str">
        <f>IFERROR(__xludf.DUMMYFUNCTION("split(P1633,"":"")"),"High Delivery Fees")</f>
        <v>High Delivery Fees</v>
      </c>
      <c r="R1633" s="14"/>
      <c r="S1633" s="14" t="str">
        <f t="shared" ref="S1633:U1633" si="3269">trim(B1633)</f>
        <v>ord_71611</v>
      </c>
      <c r="T1633" s="14" t="str">
        <f t="shared" si="3269"/>
        <v>Mohit Malhotra</v>
      </c>
      <c r="U1633" s="14" t="str">
        <f t="shared" si="3269"/>
        <v>Lower Parel</v>
      </c>
      <c r="V1633" s="14" t="str">
        <f t="shared" si="4"/>
        <v>Apple</v>
      </c>
      <c r="W1633" s="14">
        <f t="shared" si="5"/>
        <v>2</v>
      </c>
      <c r="X1633" s="14" t="str">
        <f t="shared" si="6"/>
        <v>Not Assigned</v>
      </c>
      <c r="Y1633" s="15">
        <f t="shared" si="7"/>
        <v>45088</v>
      </c>
      <c r="Z1633" s="14" t="str">
        <f t="shared" si="8"/>
        <v>Credit Card</v>
      </c>
      <c r="AA1633" s="14" t="str">
        <f t="shared" si="9"/>
        <v>Cancelled</v>
      </c>
      <c r="AB1633" s="14" t="str">
        <f t="shared" ref="AB1633:AC1633" si="3270">trim(Q1633)</f>
        <v>High Delivery Fees</v>
      </c>
      <c r="AC1633" s="14" t="str">
        <f t="shared" si="3270"/>
        <v/>
      </c>
      <c r="AD1633" s="8"/>
    </row>
    <row r="1634">
      <c r="A1634" s="14" t="str">
        <f>IFERROR(__xludf.DUMMYFUNCTION("""COMPUTED_VALUE"""),"//ord_71612//Mehul Thakkar//Malad//Papaya+2*Ram Gopal/11/6/2023//Online Payment//Delivered*Satisfied with the Delivery: Timely and quality")</f>
        <v>//ord_71612//Mehul Thakkar//Malad//Papaya+2*Ram Gopal/11/6/2023//Online Payment//Delivered*Satisfied with the Delivery: Timely and quality</v>
      </c>
      <c r="B1634" s="14" t="str">
        <f>IFERROR(__xludf.DUMMYFUNCTION("split(A1634,""//"")"),"ord_71612")</f>
        <v>ord_71612</v>
      </c>
      <c r="C1634" s="14" t="str">
        <f>IFERROR(__xludf.DUMMYFUNCTION("""COMPUTED_VALUE"""),"Mehul Thakkar")</f>
        <v>Mehul Thakkar</v>
      </c>
      <c r="D1634" s="14" t="str">
        <f>IFERROR(__xludf.DUMMYFUNCTION("""COMPUTED_VALUE"""),"Malad")</f>
        <v>Malad</v>
      </c>
      <c r="E1634" s="14" t="str">
        <f>IFERROR(__xludf.DUMMYFUNCTION("""COMPUTED_VALUE"""),"Papaya+2*Ram Gopal")</f>
        <v>Papaya+2*Ram Gopal</v>
      </c>
      <c r="F1634" s="14">
        <f>IFERROR(__xludf.DUMMYFUNCTION("""COMPUTED_VALUE"""),11.0)</f>
        <v>11</v>
      </c>
      <c r="G1634" s="14">
        <f>IFERROR(__xludf.DUMMYFUNCTION("""COMPUTED_VALUE"""),6.0)</f>
        <v>6</v>
      </c>
      <c r="H1634" s="14">
        <f>IFERROR(__xludf.DUMMYFUNCTION("""COMPUTED_VALUE"""),2023.0)</f>
        <v>2023</v>
      </c>
      <c r="I1634" s="14" t="str">
        <f>IFERROR(__xludf.DUMMYFUNCTION("""COMPUTED_VALUE"""),"Online Payment")</f>
        <v>Online Payment</v>
      </c>
      <c r="J1634" s="14" t="str">
        <f>IFERROR(__xludf.DUMMYFUNCTION("""COMPUTED_VALUE"""),"Delivered*Satisfied with the Delivery: Timely and quality")</f>
        <v>Delivered*Satisfied with the Delivery: Timely and quality</v>
      </c>
      <c r="K1634" s="14" t="str">
        <f>IFERROR(__xludf.DUMMYFUNCTION("split(E1634,""+"")"),"Papaya")</f>
        <v>Papaya</v>
      </c>
      <c r="L1634" s="14" t="str">
        <f>IFERROR(__xludf.DUMMYFUNCTION("""COMPUTED_VALUE"""),"2*Ram Gopal")</f>
        <v>2*Ram Gopal</v>
      </c>
      <c r="M1634" s="14">
        <f>IFERROR(__xludf.DUMMYFUNCTION("SPLIT(L1634,""*"")"),2.0)</f>
        <v>2</v>
      </c>
      <c r="N1634" s="14" t="str">
        <f>IFERROR(__xludf.DUMMYFUNCTION("""COMPUTED_VALUE"""),"Ram Gopal")</f>
        <v>Ram Gopal</v>
      </c>
      <c r="O1634" s="14" t="str">
        <f>IFERROR(__xludf.DUMMYFUNCTION("split(J1634,""*"")"),"Delivered")</f>
        <v>Delivered</v>
      </c>
      <c r="P1634" s="14" t="str">
        <f>IFERROR(__xludf.DUMMYFUNCTION("""COMPUTED_VALUE"""),"Satisfied with the Delivery: Timely and quality")</f>
        <v>Satisfied with the Delivery: Timely and quality</v>
      </c>
      <c r="Q1634" s="14" t="str">
        <f>IFERROR(__xludf.DUMMYFUNCTION("split(P1634,"":"")"),"Satisfied with the Delivery")</f>
        <v>Satisfied with the Delivery</v>
      </c>
      <c r="R1634" s="14" t="str">
        <f>IFERROR(__xludf.DUMMYFUNCTION("""COMPUTED_VALUE""")," Timely and quality")</f>
        <v> Timely and quality</v>
      </c>
      <c r="S1634" s="14" t="str">
        <f t="shared" ref="S1634:U1634" si="3271">trim(B1634)</f>
        <v>ord_71612</v>
      </c>
      <c r="T1634" s="14" t="str">
        <f t="shared" si="3271"/>
        <v>Mehul Thakkar</v>
      </c>
      <c r="U1634" s="14" t="str">
        <f t="shared" si="3271"/>
        <v>Malad</v>
      </c>
      <c r="V1634" s="14" t="str">
        <f t="shared" si="4"/>
        <v>Papaya</v>
      </c>
      <c r="W1634" s="14">
        <f t="shared" si="5"/>
        <v>2</v>
      </c>
      <c r="X1634" s="14" t="str">
        <f t="shared" si="6"/>
        <v>Ram Gopal</v>
      </c>
      <c r="Y1634" s="15">
        <f t="shared" si="7"/>
        <v>45236</v>
      </c>
      <c r="Z1634" s="14" t="str">
        <f t="shared" si="8"/>
        <v>Online Payment</v>
      </c>
      <c r="AA1634" s="14" t="str">
        <f t="shared" si="9"/>
        <v>Delivered</v>
      </c>
      <c r="AB1634" s="14" t="str">
        <f t="shared" ref="AB1634:AC1634" si="3272">trim(Q1634)</f>
        <v>Satisfied with the Delivery</v>
      </c>
      <c r="AC1634" s="14" t="str">
        <f t="shared" si="3272"/>
        <v>Timely and quality</v>
      </c>
      <c r="AD1634" s="8"/>
    </row>
    <row r="1635">
      <c r="A1635" s="14" t="str">
        <f>IFERROR(__xludf.DUMMYFUNCTION("""COMPUTED_VALUE"""),"//ord_71613//Aditi Iyer//Dadar//Icecream+4*Not Assigned/8/12/2023//Online Payment//Cancelled*App Glitches: Payment Button Malfunction")</f>
        <v>//ord_71613//Aditi Iyer//Dadar//Icecream+4*Not Assigned/8/12/2023//Online Payment//Cancelled*App Glitches: Payment Button Malfunction</v>
      </c>
      <c r="B1635" s="14" t="str">
        <f>IFERROR(__xludf.DUMMYFUNCTION("split(A1635,""//"")"),"ord_71613")</f>
        <v>ord_71613</v>
      </c>
      <c r="C1635" s="14" t="str">
        <f>IFERROR(__xludf.DUMMYFUNCTION("""COMPUTED_VALUE"""),"Aditi Iyer")</f>
        <v>Aditi Iyer</v>
      </c>
      <c r="D1635" s="14" t="str">
        <f>IFERROR(__xludf.DUMMYFUNCTION("""COMPUTED_VALUE"""),"Dadar")</f>
        <v>Dadar</v>
      </c>
      <c r="E1635" s="14" t="str">
        <f>IFERROR(__xludf.DUMMYFUNCTION("""COMPUTED_VALUE"""),"Icecream+4*Not Assigned")</f>
        <v>Icecream+4*Not Assigned</v>
      </c>
      <c r="F1635" s="14">
        <f>IFERROR(__xludf.DUMMYFUNCTION("""COMPUTED_VALUE"""),8.0)</f>
        <v>8</v>
      </c>
      <c r="G1635" s="14">
        <f>IFERROR(__xludf.DUMMYFUNCTION("""COMPUTED_VALUE"""),12.0)</f>
        <v>12</v>
      </c>
      <c r="H1635" s="14">
        <f>IFERROR(__xludf.DUMMYFUNCTION("""COMPUTED_VALUE"""),2023.0)</f>
        <v>2023</v>
      </c>
      <c r="I1635" s="14" t="str">
        <f>IFERROR(__xludf.DUMMYFUNCTION("""COMPUTED_VALUE"""),"Online Payment")</f>
        <v>Online Payment</v>
      </c>
      <c r="J1635" s="14" t="str">
        <f>IFERROR(__xludf.DUMMYFUNCTION("""COMPUTED_VALUE"""),"Cancelled*App Glitches: Payment Button Malfunction")</f>
        <v>Cancelled*App Glitches: Payment Button Malfunction</v>
      </c>
      <c r="K1635" s="14" t="str">
        <f>IFERROR(__xludf.DUMMYFUNCTION("split(E1635,""+"")"),"Icecream")</f>
        <v>Icecream</v>
      </c>
      <c r="L1635" s="14" t="str">
        <f>IFERROR(__xludf.DUMMYFUNCTION("""COMPUTED_VALUE"""),"4*Not Assigned")</f>
        <v>4*Not Assigned</v>
      </c>
      <c r="M1635" s="14">
        <f>IFERROR(__xludf.DUMMYFUNCTION("SPLIT(L1635,""*"")"),4.0)</f>
        <v>4</v>
      </c>
      <c r="N1635" s="14" t="str">
        <f>IFERROR(__xludf.DUMMYFUNCTION("""COMPUTED_VALUE"""),"Not Assigned")</f>
        <v>Not Assigned</v>
      </c>
      <c r="O1635" s="14" t="str">
        <f>IFERROR(__xludf.DUMMYFUNCTION("split(J1635,""*"")"),"Cancelled")</f>
        <v>Cancelled</v>
      </c>
      <c r="P1635" s="14" t="str">
        <f>IFERROR(__xludf.DUMMYFUNCTION("""COMPUTED_VALUE"""),"App Glitches: Payment Button Malfunction")</f>
        <v>App Glitches: Payment Button Malfunction</v>
      </c>
      <c r="Q1635" s="14" t="str">
        <f>IFERROR(__xludf.DUMMYFUNCTION("split(P1635,"":"")"),"App Glitches")</f>
        <v>App Glitches</v>
      </c>
      <c r="R1635" s="14" t="str">
        <f>IFERROR(__xludf.DUMMYFUNCTION("""COMPUTED_VALUE""")," Payment Button Malfunction")</f>
        <v> Payment Button Malfunction</v>
      </c>
      <c r="S1635" s="14" t="str">
        <f t="shared" ref="S1635:U1635" si="3273">trim(B1635)</f>
        <v>ord_71613</v>
      </c>
      <c r="T1635" s="14" t="str">
        <f t="shared" si="3273"/>
        <v>Aditi Iyer</v>
      </c>
      <c r="U1635" s="14" t="str">
        <f t="shared" si="3273"/>
        <v>Dadar</v>
      </c>
      <c r="V1635" s="14" t="str">
        <f t="shared" si="4"/>
        <v>Icecream</v>
      </c>
      <c r="W1635" s="14">
        <f t="shared" si="5"/>
        <v>4</v>
      </c>
      <c r="X1635" s="14" t="str">
        <f t="shared" si="6"/>
        <v>Not Assigned</v>
      </c>
      <c r="Y1635" s="15">
        <f t="shared" si="7"/>
        <v>45150</v>
      </c>
      <c r="Z1635" s="14" t="str">
        <f t="shared" si="8"/>
        <v>Online Payment</v>
      </c>
      <c r="AA1635" s="14" t="str">
        <f t="shared" si="9"/>
        <v>Cancelled</v>
      </c>
      <c r="AB1635" s="14" t="str">
        <f t="shared" ref="AB1635:AC1635" si="3274">trim(Q1635)</f>
        <v>App Glitches</v>
      </c>
      <c r="AC1635" s="14" t="str">
        <f t="shared" si="3274"/>
        <v>Payment Button Malfunction</v>
      </c>
      <c r="AD1635" s="8"/>
    </row>
    <row r="1636">
      <c r="A1636" s="14" t="str">
        <f>IFERROR(__xludf.DUMMYFUNCTION("""COMPUTED_VALUE"""),"//ord_71614//Mohit Malhotra//Lower Parel//Chicken Puff+5*Manju Ajay/11/2/2023//UPI//Delivered*Customer Service: Seamless and easy")</f>
        <v>//ord_71614//Mohit Malhotra//Lower Parel//Chicken Puff+5*Manju Ajay/11/2/2023//UPI//Delivered*Customer Service: Seamless and easy</v>
      </c>
      <c r="B1636" s="14" t="str">
        <f>IFERROR(__xludf.DUMMYFUNCTION("split(A1636,""//"")"),"ord_71614")</f>
        <v>ord_71614</v>
      </c>
      <c r="C1636" s="14" t="str">
        <f>IFERROR(__xludf.DUMMYFUNCTION("""COMPUTED_VALUE"""),"Mohit Malhotra")</f>
        <v>Mohit Malhotra</v>
      </c>
      <c r="D1636" s="14" t="str">
        <f>IFERROR(__xludf.DUMMYFUNCTION("""COMPUTED_VALUE"""),"Lower Parel")</f>
        <v>Lower Parel</v>
      </c>
      <c r="E1636" s="14" t="str">
        <f>IFERROR(__xludf.DUMMYFUNCTION("""COMPUTED_VALUE"""),"Chicken Puff+5*Manju Ajay")</f>
        <v>Chicken Puff+5*Manju Ajay</v>
      </c>
      <c r="F1636" s="14">
        <f>IFERROR(__xludf.DUMMYFUNCTION("""COMPUTED_VALUE"""),11.0)</f>
        <v>11</v>
      </c>
      <c r="G1636" s="14">
        <f>IFERROR(__xludf.DUMMYFUNCTION("""COMPUTED_VALUE"""),2.0)</f>
        <v>2</v>
      </c>
      <c r="H1636" s="14">
        <f>IFERROR(__xludf.DUMMYFUNCTION("""COMPUTED_VALUE"""),2023.0)</f>
        <v>2023</v>
      </c>
      <c r="I1636" s="14" t="str">
        <f>IFERROR(__xludf.DUMMYFUNCTION("""COMPUTED_VALUE"""),"UPI")</f>
        <v>UPI</v>
      </c>
      <c r="J1636" s="14" t="str">
        <f>IFERROR(__xludf.DUMMYFUNCTION("""COMPUTED_VALUE"""),"Delivered*Customer Service: Seamless and easy")</f>
        <v>Delivered*Customer Service: Seamless and easy</v>
      </c>
      <c r="K1636" s="14" t="str">
        <f>IFERROR(__xludf.DUMMYFUNCTION("split(E1636,""+"")"),"Chicken Puff")</f>
        <v>Chicken Puff</v>
      </c>
      <c r="L1636" s="14" t="str">
        <f>IFERROR(__xludf.DUMMYFUNCTION("""COMPUTED_VALUE"""),"5*Manju Ajay")</f>
        <v>5*Manju Ajay</v>
      </c>
      <c r="M1636" s="14">
        <f>IFERROR(__xludf.DUMMYFUNCTION("SPLIT(L1636,""*"")"),5.0)</f>
        <v>5</v>
      </c>
      <c r="N1636" s="14" t="str">
        <f>IFERROR(__xludf.DUMMYFUNCTION("""COMPUTED_VALUE"""),"Manju Ajay")</f>
        <v>Manju Ajay</v>
      </c>
      <c r="O1636" s="14" t="str">
        <f>IFERROR(__xludf.DUMMYFUNCTION("split(J1636,""*"")"),"Delivered")</f>
        <v>Delivered</v>
      </c>
      <c r="P1636" s="14" t="str">
        <f>IFERROR(__xludf.DUMMYFUNCTION("""COMPUTED_VALUE"""),"Customer Service: Seamless and easy")</f>
        <v>Customer Service: Seamless and easy</v>
      </c>
      <c r="Q1636" s="14" t="str">
        <f>IFERROR(__xludf.DUMMYFUNCTION("split(P1636,"":"")"),"Customer Service")</f>
        <v>Customer Service</v>
      </c>
      <c r="R1636" s="14" t="str">
        <f>IFERROR(__xludf.DUMMYFUNCTION("""COMPUTED_VALUE""")," Seamless and easy")</f>
        <v> Seamless and easy</v>
      </c>
      <c r="S1636" s="14" t="str">
        <f t="shared" ref="S1636:U1636" si="3275">trim(B1636)</f>
        <v>ord_71614</v>
      </c>
      <c r="T1636" s="14" t="str">
        <f t="shared" si="3275"/>
        <v>Mohit Malhotra</v>
      </c>
      <c r="U1636" s="14" t="str">
        <f t="shared" si="3275"/>
        <v>Lower Parel</v>
      </c>
      <c r="V1636" s="14" t="str">
        <f t="shared" si="4"/>
        <v>Chicken Puff</v>
      </c>
      <c r="W1636" s="14">
        <f t="shared" si="5"/>
        <v>5</v>
      </c>
      <c r="X1636" s="14" t="str">
        <f t="shared" si="6"/>
        <v>Manju Ajay</v>
      </c>
      <c r="Y1636" s="15">
        <f t="shared" si="7"/>
        <v>45232</v>
      </c>
      <c r="Z1636" s="14" t="str">
        <f t="shared" si="8"/>
        <v>UPI</v>
      </c>
      <c r="AA1636" s="14" t="str">
        <f t="shared" si="9"/>
        <v>Delivered</v>
      </c>
      <c r="AB1636" s="14" t="str">
        <f t="shared" ref="AB1636:AC1636" si="3276">trim(Q1636)</f>
        <v>Customer Service</v>
      </c>
      <c r="AC1636" s="14" t="str">
        <f t="shared" si="3276"/>
        <v>Seamless and easy</v>
      </c>
      <c r="AD1636" s="8"/>
    </row>
    <row r="1637">
      <c r="A1637" s="14" t="str">
        <f>IFERROR(__xludf.DUMMYFUNCTION("""COMPUTED_VALUE"""),"//ord_71615//Tanishq Bansal//Powai//Guava+2*Not Assigned/9/5/2023//UPI//Cancelled*Out of Stock")</f>
        <v>//ord_71615//Tanishq Bansal//Powai//Guava+2*Not Assigned/9/5/2023//UPI//Cancelled*Out of Stock</v>
      </c>
      <c r="B1637" s="14" t="str">
        <f>IFERROR(__xludf.DUMMYFUNCTION("split(A1637,""//"")"),"ord_71615")</f>
        <v>ord_71615</v>
      </c>
      <c r="C1637" s="14" t="str">
        <f>IFERROR(__xludf.DUMMYFUNCTION("""COMPUTED_VALUE"""),"Tanishq Bansal")</f>
        <v>Tanishq Bansal</v>
      </c>
      <c r="D1637" s="14" t="str">
        <f>IFERROR(__xludf.DUMMYFUNCTION("""COMPUTED_VALUE"""),"Powai")</f>
        <v>Powai</v>
      </c>
      <c r="E1637" s="14" t="str">
        <f>IFERROR(__xludf.DUMMYFUNCTION("""COMPUTED_VALUE"""),"Guava+2*Not Assigned")</f>
        <v>Guava+2*Not Assigned</v>
      </c>
      <c r="F1637" s="14">
        <f>IFERROR(__xludf.DUMMYFUNCTION("""COMPUTED_VALUE"""),9.0)</f>
        <v>9</v>
      </c>
      <c r="G1637" s="14">
        <f>IFERROR(__xludf.DUMMYFUNCTION("""COMPUTED_VALUE"""),5.0)</f>
        <v>5</v>
      </c>
      <c r="H1637" s="14">
        <f>IFERROR(__xludf.DUMMYFUNCTION("""COMPUTED_VALUE"""),2023.0)</f>
        <v>2023</v>
      </c>
      <c r="I1637" s="14" t="str">
        <f>IFERROR(__xludf.DUMMYFUNCTION("""COMPUTED_VALUE"""),"UPI")</f>
        <v>UPI</v>
      </c>
      <c r="J1637" s="14" t="str">
        <f>IFERROR(__xludf.DUMMYFUNCTION("""COMPUTED_VALUE"""),"Cancelled*Out of Stock")</f>
        <v>Cancelled*Out of Stock</v>
      </c>
      <c r="K1637" s="14" t="str">
        <f>IFERROR(__xludf.DUMMYFUNCTION("split(E1637,""+"")"),"Guava")</f>
        <v>Guava</v>
      </c>
      <c r="L1637" s="14" t="str">
        <f>IFERROR(__xludf.DUMMYFUNCTION("""COMPUTED_VALUE"""),"2*Not Assigned")</f>
        <v>2*Not Assigned</v>
      </c>
      <c r="M1637" s="14">
        <f>IFERROR(__xludf.DUMMYFUNCTION("SPLIT(L1637,""*"")"),2.0)</f>
        <v>2</v>
      </c>
      <c r="N1637" s="14" t="str">
        <f>IFERROR(__xludf.DUMMYFUNCTION("""COMPUTED_VALUE"""),"Not Assigned")</f>
        <v>Not Assigned</v>
      </c>
      <c r="O1637" s="14" t="str">
        <f>IFERROR(__xludf.DUMMYFUNCTION("split(J1637,""*"")"),"Cancelled")</f>
        <v>Cancelled</v>
      </c>
      <c r="P1637" s="14" t="str">
        <f>IFERROR(__xludf.DUMMYFUNCTION("""COMPUTED_VALUE"""),"Out of Stock")</f>
        <v>Out of Stock</v>
      </c>
      <c r="Q1637" s="14" t="str">
        <f>IFERROR(__xludf.DUMMYFUNCTION("split(P1637,"":"")"),"Out of Stock")</f>
        <v>Out of Stock</v>
      </c>
      <c r="R1637" s="14"/>
      <c r="S1637" s="14" t="str">
        <f t="shared" ref="S1637:U1637" si="3277">trim(B1637)</f>
        <v>ord_71615</v>
      </c>
      <c r="T1637" s="14" t="str">
        <f t="shared" si="3277"/>
        <v>Tanishq Bansal</v>
      </c>
      <c r="U1637" s="14" t="str">
        <f t="shared" si="3277"/>
        <v>Powai</v>
      </c>
      <c r="V1637" s="14" t="str">
        <f t="shared" si="4"/>
        <v>Guava</v>
      </c>
      <c r="W1637" s="14">
        <f t="shared" si="5"/>
        <v>2</v>
      </c>
      <c r="X1637" s="14" t="str">
        <f t="shared" si="6"/>
        <v>Not Assigned</v>
      </c>
      <c r="Y1637" s="15">
        <f t="shared" si="7"/>
        <v>45174</v>
      </c>
      <c r="Z1637" s="14" t="str">
        <f t="shared" si="8"/>
        <v>UPI</v>
      </c>
      <c r="AA1637" s="14" t="str">
        <f t="shared" si="9"/>
        <v>Cancelled</v>
      </c>
      <c r="AB1637" s="14" t="str">
        <f t="shared" ref="AB1637:AC1637" si="3278">trim(Q1637)</f>
        <v>Out of Stock</v>
      </c>
      <c r="AC1637" s="14" t="str">
        <f t="shared" si="3278"/>
        <v/>
      </c>
      <c r="AD1637" s="8"/>
    </row>
    <row r="1638">
      <c r="A1638" s="14" t="str">
        <f>IFERROR(__xludf.DUMMYFUNCTION("""COMPUTED_VALUE"""),"//ord_71616//Aditi Iyer//Dadar//Orange+1*Venu R/12/25/2023//Online Payment//Delivered*Delivery Experience: Quick and professional")</f>
        <v>//ord_71616//Aditi Iyer//Dadar//Orange+1*Venu R/12/25/2023//Online Payment//Delivered*Delivery Experience: Quick and professional</v>
      </c>
      <c r="B1638" s="14" t="str">
        <f>IFERROR(__xludf.DUMMYFUNCTION("split(A1638,""//"")"),"ord_71616")</f>
        <v>ord_71616</v>
      </c>
      <c r="C1638" s="14" t="str">
        <f>IFERROR(__xludf.DUMMYFUNCTION("""COMPUTED_VALUE"""),"Aditi Iyer")</f>
        <v>Aditi Iyer</v>
      </c>
      <c r="D1638" s="14" t="str">
        <f>IFERROR(__xludf.DUMMYFUNCTION("""COMPUTED_VALUE"""),"Dadar")</f>
        <v>Dadar</v>
      </c>
      <c r="E1638" s="14" t="str">
        <f>IFERROR(__xludf.DUMMYFUNCTION("""COMPUTED_VALUE"""),"Orange+1*Venu R")</f>
        <v>Orange+1*Venu R</v>
      </c>
      <c r="F1638" s="14">
        <f>IFERROR(__xludf.DUMMYFUNCTION("""COMPUTED_VALUE"""),12.0)</f>
        <v>12</v>
      </c>
      <c r="G1638" s="14">
        <f>IFERROR(__xludf.DUMMYFUNCTION("""COMPUTED_VALUE"""),25.0)</f>
        <v>25</v>
      </c>
      <c r="H1638" s="14">
        <f>IFERROR(__xludf.DUMMYFUNCTION("""COMPUTED_VALUE"""),2023.0)</f>
        <v>2023</v>
      </c>
      <c r="I1638" s="14" t="str">
        <f>IFERROR(__xludf.DUMMYFUNCTION("""COMPUTED_VALUE"""),"Online Payment")</f>
        <v>Online Payment</v>
      </c>
      <c r="J1638" s="14" t="str">
        <f>IFERROR(__xludf.DUMMYFUNCTION("""COMPUTED_VALUE"""),"Delivered*Delivery Experience: Quick and professional")</f>
        <v>Delivered*Delivery Experience: Quick and professional</v>
      </c>
      <c r="K1638" s="14" t="str">
        <f>IFERROR(__xludf.DUMMYFUNCTION("split(E1638,""+"")"),"Orange")</f>
        <v>Orange</v>
      </c>
      <c r="L1638" s="14" t="str">
        <f>IFERROR(__xludf.DUMMYFUNCTION("""COMPUTED_VALUE"""),"1*Venu R")</f>
        <v>1*Venu R</v>
      </c>
      <c r="M1638" s="14">
        <f>IFERROR(__xludf.DUMMYFUNCTION("SPLIT(L1638,""*"")"),1.0)</f>
        <v>1</v>
      </c>
      <c r="N1638" s="14" t="str">
        <f>IFERROR(__xludf.DUMMYFUNCTION("""COMPUTED_VALUE"""),"Venu R")</f>
        <v>Venu R</v>
      </c>
      <c r="O1638" s="14" t="str">
        <f>IFERROR(__xludf.DUMMYFUNCTION("split(J1638,""*"")"),"Delivered")</f>
        <v>Delivered</v>
      </c>
      <c r="P1638" s="14" t="str">
        <f>IFERROR(__xludf.DUMMYFUNCTION("""COMPUTED_VALUE"""),"Delivery Experience: Quick and professional")</f>
        <v>Delivery Experience: Quick and professional</v>
      </c>
      <c r="Q1638" s="14" t="str">
        <f>IFERROR(__xludf.DUMMYFUNCTION("split(P1638,"":"")"),"Delivery Experience")</f>
        <v>Delivery Experience</v>
      </c>
      <c r="R1638" s="14" t="str">
        <f>IFERROR(__xludf.DUMMYFUNCTION("""COMPUTED_VALUE""")," Quick and professional")</f>
        <v> Quick and professional</v>
      </c>
      <c r="S1638" s="14" t="str">
        <f t="shared" ref="S1638:U1638" si="3279">trim(B1638)</f>
        <v>ord_71616</v>
      </c>
      <c r="T1638" s="14" t="str">
        <f t="shared" si="3279"/>
        <v>Aditi Iyer</v>
      </c>
      <c r="U1638" s="14" t="str">
        <f t="shared" si="3279"/>
        <v>Dadar</v>
      </c>
      <c r="V1638" s="14" t="str">
        <f t="shared" si="4"/>
        <v>Orange</v>
      </c>
      <c r="W1638" s="14">
        <f t="shared" si="5"/>
        <v>1</v>
      </c>
      <c r="X1638" s="14" t="str">
        <f t="shared" si="6"/>
        <v>Venu R</v>
      </c>
      <c r="Y1638" s="15">
        <f t="shared" si="7"/>
        <v>45285</v>
      </c>
      <c r="Z1638" s="14" t="str">
        <f t="shared" si="8"/>
        <v>Online Payment</v>
      </c>
      <c r="AA1638" s="14" t="str">
        <f t="shared" si="9"/>
        <v>Delivered</v>
      </c>
      <c r="AB1638" s="14" t="str">
        <f t="shared" ref="AB1638:AC1638" si="3280">trim(Q1638)</f>
        <v>Delivery Experience</v>
      </c>
      <c r="AC1638" s="14" t="str">
        <f t="shared" si="3280"/>
        <v>Quick and professional</v>
      </c>
      <c r="AD1638" s="8"/>
    </row>
    <row r="1639">
      <c r="A1639" s="14" t="str">
        <f>IFERROR(__xludf.DUMMYFUNCTION("""COMPUTED_VALUE"""),"//ord_71617//Aarohi Kapoor//Bandra//Apple+2*Manju Ajay/9/27/2023//Online Payment//Delivered*Convenience: Easy tracking")</f>
        <v>//ord_71617//Aarohi Kapoor//Bandra//Apple+2*Manju Ajay/9/27/2023//Online Payment//Delivered*Convenience: Easy tracking</v>
      </c>
      <c r="B1639" s="14" t="str">
        <f>IFERROR(__xludf.DUMMYFUNCTION("split(A1639,""//"")"),"ord_71617")</f>
        <v>ord_71617</v>
      </c>
      <c r="C1639" s="14" t="str">
        <f>IFERROR(__xludf.DUMMYFUNCTION("""COMPUTED_VALUE"""),"Aarohi Kapoor")</f>
        <v>Aarohi Kapoor</v>
      </c>
      <c r="D1639" s="14" t="str">
        <f>IFERROR(__xludf.DUMMYFUNCTION("""COMPUTED_VALUE"""),"Bandra")</f>
        <v>Bandra</v>
      </c>
      <c r="E1639" s="14" t="str">
        <f>IFERROR(__xludf.DUMMYFUNCTION("""COMPUTED_VALUE"""),"Apple+2*Manju Ajay")</f>
        <v>Apple+2*Manju Ajay</v>
      </c>
      <c r="F1639" s="14">
        <f>IFERROR(__xludf.DUMMYFUNCTION("""COMPUTED_VALUE"""),9.0)</f>
        <v>9</v>
      </c>
      <c r="G1639" s="14">
        <f>IFERROR(__xludf.DUMMYFUNCTION("""COMPUTED_VALUE"""),27.0)</f>
        <v>27</v>
      </c>
      <c r="H1639" s="14">
        <f>IFERROR(__xludf.DUMMYFUNCTION("""COMPUTED_VALUE"""),2023.0)</f>
        <v>2023</v>
      </c>
      <c r="I1639" s="14" t="str">
        <f>IFERROR(__xludf.DUMMYFUNCTION("""COMPUTED_VALUE"""),"Online Payment")</f>
        <v>Online Payment</v>
      </c>
      <c r="J1639" s="14" t="str">
        <f>IFERROR(__xludf.DUMMYFUNCTION("""COMPUTED_VALUE"""),"Delivered*Convenience: Easy tracking")</f>
        <v>Delivered*Convenience: Easy tracking</v>
      </c>
      <c r="K1639" s="14" t="str">
        <f>IFERROR(__xludf.DUMMYFUNCTION("split(E1639,""+"")"),"Apple")</f>
        <v>Apple</v>
      </c>
      <c r="L1639" s="14" t="str">
        <f>IFERROR(__xludf.DUMMYFUNCTION("""COMPUTED_VALUE"""),"2*Manju Ajay")</f>
        <v>2*Manju Ajay</v>
      </c>
      <c r="M1639" s="14">
        <f>IFERROR(__xludf.DUMMYFUNCTION("SPLIT(L1639,""*"")"),2.0)</f>
        <v>2</v>
      </c>
      <c r="N1639" s="14" t="str">
        <f>IFERROR(__xludf.DUMMYFUNCTION("""COMPUTED_VALUE"""),"Manju Ajay")</f>
        <v>Manju Ajay</v>
      </c>
      <c r="O1639" s="14" t="str">
        <f>IFERROR(__xludf.DUMMYFUNCTION("split(J1639,""*"")"),"Delivered")</f>
        <v>Delivered</v>
      </c>
      <c r="P1639" s="14" t="str">
        <f>IFERROR(__xludf.DUMMYFUNCTION("""COMPUTED_VALUE"""),"Convenience: Easy tracking")</f>
        <v>Convenience: Easy tracking</v>
      </c>
      <c r="Q1639" s="14" t="str">
        <f>IFERROR(__xludf.DUMMYFUNCTION("split(P1639,"":"")"),"Convenience")</f>
        <v>Convenience</v>
      </c>
      <c r="R1639" s="14" t="str">
        <f>IFERROR(__xludf.DUMMYFUNCTION("""COMPUTED_VALUE""")," Easy tracking")</f>
        <v> Easy tracking</v>
      </c>
      <c r="S1639" s="14" t="str">
        <f t="shared" ref="S1639:U1639" si="3281">trim(B1639)</f>
        <v>ord_71617</v>
      </c>
      <c r="T1639" s="14" t="str">
        <f t="shared" si="3281"/>
        <v>Aarohi Kapoor</v>
      </c>
      <c r="U1639" s="14" t="str">
        <f t="shared" si="3281"/>
        <v>Bandra</v>
      </c>
      <c r="V1639" s="14" t="str">
        <f t="shared" si="4"/>
        <v>Apple</v>
      </c>
      <c r="W1639" s="14">
        <f t="shared" si="5"/>
        <v>2</v>
      </c>
      <c r="X1639" s="14" t="str">
        <f t="shared" si="6"/>
        <v>Manju Ajay</v>
      </c>
      <c r="Y1639" s="15">
        <f t="shared" si="7"/>
        <v>45196</v>
      </c>
      <c r="Z1639" s="14" t="str">
        <f t="shared" si="8"/>
        <v>Online Payment</v>
      </c>
      <c r="AA1639" s="14" t="str">
        <f t="shared" si="9"/>
        <v>Delivered</v>
      </c>
      <c r="AB1639" s="14" t="str">
        <f t="shared" ref="AB1639:AC1639" si="3282">trim(Q1639)</f>
        <v>Convenience</v>
      </c>
      <c r="AC1639" s="14" t="str">
        <f t="shared" si="3282"/>
        <v>Easy tracking</v>
      </c>
      <c r="AD1639" s="8"/>
    </row>
    <row r="1640">
      <c r="A1640" s="14" t="str">
        <f>IFERROR(__xludf.DUMMYFUNCTION("""COMPUTED_VALUE"""),"//ord_71618//Kritika Shetty//Malad//Rasmalai+3*Not Assigned/2/10/2023//UPI//Cancelled*App Glitches:App Freezes")</f>
        <v>//ord_71618//Kritika Shetty//Malad//Rasmalai+3*Not Assigned/2/10/2023//UPI//Cancelled*App Glitches:App Freezes</v>
      </c>
      <c r="B1640" s="14" t="str">
        <f>IFERROR(__xludf.DUMMYFUNCTION("split(A1640,""//"")"),"ord_71618")</f>
        <v>ord_71618</v>
      </c>
      <c r="C1640" s="14" t="str">
        <f>IFERROR(__xludf.DUMMYFUNCTION("""COMPUTED_VALUE"""),"Kritika Shetty")</f>
        <v>Kritika Shetty</v>
      </c>
      <c r="D1640" s="14" t="str">
        <f>IFERROR(__xludf.DUMMYFUNCTION("""COMPUTED_VALUE"""),"Malad")</f>
        <v>Malad</v>
      </c>
      <c r="E1640" s="14" t="str">
        <f>IFERROR(__xludf.DUMMYFUNCTION("""COMPUTED_VALUE"""),"Rasmalai+3*Not Assigned")</f>
        <v>Rasmalai+3*Not Assigned</v>
      </c>
      <c r="F1640" s="14">
        <f>IFERROR(__xludf.DUMMYFUNCTION("""COMPUTED_VALUE"""),2.0)</f>
        <v>2</v>
      </c>
      <c r="G1640" s="14">
        <f>IFERROR(__xludf.DUMMYFUNCTION("""COMPUTED_VALUE"""),10.0)</f>
        <v>10</v>
      </c>
      <c r="H1640" s="14">
        <f>IFERROR(__xludf.DUMMYFUNCTION("""COMPUTED_VALUE"""),2023.0)</f>
        <v>2023</v>
      </c>
      <c r="I1640" s="14" t="str">
        <f>IFERROR(__xludf.DUMMYFUNCTION("""COMPUTED_VALUE"""),"UPI")</f>
        <v>UPI</v>
      </c>
      <c r="J1640" s="14" t="str">
        <f>IFERROR(__xludf.DUMMYFUNCTION("""COMPUTED_VALUE"""),"Cancelled*App Glitches:App Freezes")</f>
        <v>Cancelled*App Glitches:App Freezes</v>
      </c>
      <c r="K1640" s="14" t="str">
        <f>IFERROR(__xludf.DUMMYFUNCTION("split(E1640,""+"")"),"Rasmalai")</f>
        <v>Rasmalai</v>
      </c>
      <c r="L1640" s="14" t="str">
        <f>IFERROR(__xludf.DUMMYFUNCTION("""COMPUTED_VALUE"""),"3*Not Assigned")</f>
        <v>3*Not Assigned</v>
      </c>
      <c r="M1640" s="14">
        <f>IFERROR(__xludf.DUMMYFUNCTION("SPLIT(L1640,""*"")"),3.0)</f>
        <v>3</v>
      </c>
      <c r="N1640" s="14" t="str">
        <f>IFERROR(__xludf.DUMMYFUNCTION("""COMPUTED_VALUE"""),"Not Assigned")</f>
        <v>Not Assigned</v>
      </c>
      <c r="O1640" s="14" t="str">
        <f>IFERROR(__xludf.DUMMYFUNCTION("split(J1640,""*"")"),"Cancelled")</f>
        <v>Cancelled</v>
      </c>
      <c r="P1640" s="14" t="str">
        <f>IFERROR(__xludf.DUMMYFUNCTION("""COMPUTED_VALUE"""),"App Glitches:App Freezes")</f>
        <v>App Glitches:App Freezes</v>
      </c>
      <c r="Q1640" s="14" t="str">
        <f>IFERROR(__xludf.DUMMYFUNCTION("split(P1640,"":"")"),"App Glitches")</f>
        <v>App Glitches</v>
      </c>
      <c r="R1640" s="14" t="str">
        <f>IFERROR(__xludf.DUMMYFUNCTION("""COMPUTED_VALUE"""),"App Freezes")</f>
        <v>App Freezes</v>
      </c>
      <c r="S1640" s="14" t="str">
        <f t="shared" ref="S1640:U1640" si="3283">trim(B1640)</f>
        <v>ord_71618</v>
      </c>
      <c r="T1640" s="14" t="str">
        <f t="shared" si="3283"/>
        <v>Kritika Shetty</v>
      </c>
      <c r="U1640" s="14" t="str">
        <f t="shared" si="3283"/>
        <v>Malad</v>
      </c>
      <c r="V1640" s="14" t="str">
        <f t="shared" si="4"/>
        <v>Rasmalai</v>
      </c>
      <c r="W1640" s="14">
        <f t="shared" si="5"/>
        <v>3</v>
      </c>
      <c r="X1640" s="14" t="str">
        <f t="shared" si="6"/>
        <v>Not Assigned</v>
      </c>
      <c r="Y1640" s="15">
        <f t="shared" si="7"/>
        <v>44967</v>
      </c>
      <c r="Z1640" s="14" t="str">
        <f t="shared" si="8"/>
        <v>UPI</v>
      </c>
      <c r="AA1640" s="14" t="str">
        <f t="shared" si="9"/>
        <v>Cancelled</v>
      </c>
      <c r="AB1640" s="14" t="str">
        <f t="shared" ref="AB1640:AC1640" si="3284">trim(Q1640)</f>
        <v>App Glitches</v>
      </c>
      <c r="AC1640" s="14" t="str">
        <f t="shared" si="3284"/>
        <v>App Freezes</v>
      </c>
      <c r="AD1640" s="8"/>
    </row>
    <row r="1641">
      <c r="A1641" s="14" t="str">
        <f>IFERROR(__xludf.DUMMYFUNCTION("""COMPUTED_VALUE"""),"//ord_71619//Pallavi Ghosh//Bandra//Banana+2*Shine Thomas/11/25/2023//UPI//Delivered*Overall Satisfaction: Great service will order again")</f>
        <v>//ord_71619//Pallavi Ghosh//Bandra//Banana+2*Shine Thomas/11/25/2023//UPI//Delivered*Overall Satisfaction: Great service will order again</v>
      </c>
      <c r="B1641" s="14" t="str">
        <f>IFERROR(__xludf.DUMMYFUNCTION("split(A1641,""//"")"),"ord_71619")</f>
        <v>ord_71619</v>
      </c>
      <c r="C1641" s="14" t="str">
        <f>IFERROR(__xludf.DUMMYFUNCTION("""COMPUTED_VALUE"""),"Pallavi Ghosh")</f>
        <v>Pallavi Ghosh</v>
      </c>
      <c r="D1641" s="14" t="str">
        <f>IFERROR(__xludf.DUMMYFUNCTION("""COMPUTED_VALUE"""),"Bandra")</f>
        <v>Bandra</v>
      </c>
      <c r="E1641" s="14" t="str">
        <f>IFERROR(__xludf.DUMMYFUNCTION("""COMPUTED_VALUE"""),"Banana+2*Shine Thomas")</f>
        <v>Banana+2*Shine Thomas</v>
      </c>
      <c r="F1641" s="14">
        <f>IFERROR(__xludf.DUMMYFUNCTION("""COMPUTED_VALUE"""),11.0)</f>
        <v>11</v>
      </c>
      <c r="G1641" s="14">
        <f>IFERROR(__xludf.DUMMYFUNCTION("""COMPUTED_VALUE"""),25.0)</f>
        <v>25</v>
      </c>
      <c r="H1641" s="14">
        <f>IFERROR(__xludf.DUMMYFUNCTION("""COMPUTED_VALUE"""),2023.0)</f>
        <v>2023</v>
      </c>
      <c r="I1641" s="14" t="str">
        <f>IFERROR(__xludf.DUMMYFUNCTION("""COMPUTED_VALUE"""),"UPI")</f>
        <v>UPI</v>
      </c>
      <c r="J1641" s="14" t="str">
        <f>IFERROR(__xludf.DUMMYFUNCTION("""COMPUTED_VALUE"""),"Delivered*Overall Satisfaction: Great service will order again")</f>
        <v>Delivered*Overall Satisfaction: Great service will order again</v>
      </c>
      <c r="K1641" s="14" t="str">
        <f>IFERROR(__xludf.DUMMYFUNCTION("split(E1641,""+"")"),"Banana")</f>
        <v>Banana</v>
      </c>
      <c r="L1641" s="14" t="str">
        <f>IFERROR(__xludf.DUMMYFUNCTION("""COMPUTED_VALUE"""),"2*Shine Thomas")</f>
        <v>2*Shine Thomas</v>
      </c>
      <c r="M1641" s="14">
        <f>IFERROR(__xludf.DUMMYFUNCTION("SPLIT(L1641,""*"")"),2.0)</f>
        <v>2</v>
      </c>
      <c r="N1641" s="14" t="str">
        <f>IFERROR(__xludf.DUMMYFUNCTION("""COMPUTED_VALUE"""),"Shine Thomas")</f>
        <v>Shine Thomas</v>
      </c>
      <c r="O1641" s="14" t="str">
        <f>IFERROR(__xludf.DUMMYFUNCTION("split(J1641,""*"")"),"Delivered")</f>
        <v>Delivered</v>
      </c>
      <c r="P1641" s="14" t="str">
        <f>IFERROR(__xludf.DUMMYFUNCTION("""COMPUTED_VALUE"""),"Overall Satisfaction: Great service will order again")</f>
        <v>Overall Satisfaction: Great service will order again</v>
      </c>
      <c r="Q1641" s="14" t="str">
        <f>IFERROR(__xludf.DUMMYFUNCTION("split(P1641,"":"")"),"Overall Satisfaction")</f>
        <v>Overall Satisfaction</v>
      </c>
      <c r="R1641" s="14" t="str">
        <f>IFERROR(__xludf.DUMMYFUNCTION("""COMPUTED_VALUE""")," Great service will order again")</f>
        <v> Great service will order again</v>
      </c>
      <c r="S1641" s="14" t="str">
        <f t="shared" ref="S1641:U1641" si="3285">trim(B1641)</f>
        <v>ord_71619</v>
      </c>
      <c r="T1641" s="14" t="str">
        <f t="shared" si="3285"/>
        <v>Pallavi Ghosh</v>
      </c>
      <c r="U1641" s="14" t="str">
        <f t="shared" si="3285"/>
        <v>Bandra</v>
      </c>
      <c r="V1641" s="14" t="str">
        <f t="shared" si="4"/>
        <v>Banana</v>
      </c>
      <c r="W1641" s="14">
        <f t="shared" si="5"/>
        <v>2</v>
      </c>
      <c r="X1641" s="14" t="str">
        <f t="shared" si="6"/>
        <v>Shine Thomas</v>
      </c>
      <c r="Y1641" s="15">
        <f t="shared" si="7"/>
        <v>45255</v>
      </c>
      <c r="Z1641" s="14" t="str">
        <f t="shared" si="8"/>
        <v>UPI</v>
      </c>
      <c r="AA1641" s="14" t="str">
        <f t="shared" si="9"/>
        <v>Delivered</v>
      </c>
      <c r="AB1641" s="14" t="str">
        <f t="shared" ref="AB1641:AC1641" si="3286">trim(Q1641)</f>
        <v>Overall Satisfaction</v>
      </c>
      <c r="AC1641" s="14" t="str">
        <f t="shared" si="3286"/>
        <v>Great service will order again</v>
      </c>
      <c r="AD1641" s="8"/>
    </row>
    <row r="1642">
      <c r="A1642" s="14" t="str">
        <f>IFERROR(__xludf.DUMMYFUNCTION("""COMPUTED_VALUE"""),"//ord_71620//Pallavi Ghosh//Bandra//Guava+2*Not Assigned/10/19/2023//Online Payment//Cancelled*Payment Issues")</f>
        <v>//ord_71620//Pallavi Ghosh//Bandra//Guava+2*Not Assigned/10/19/2023//Online Payment//Cancelled*Payment Issues</v>
      </c>
      <c r="B1642" s="14" t="str">
        <f>IFERROR(__xludf.DUMMYFUNCTION("split(A1642,""//"")"),"ord_71620")</f>
        <v>ord_71620</v>
      </c>
      <c r="C1642" s="14" t="str">
        <f>IFERROR(__xludf.DUMMYFUNCTION("""COMPUTED_VALUE"""),"Pallavi Ghosh")</f>
        <v>Pallavi Ghosh</v>
      </c>
      <c r="D1642" s="14" t="str">
        <f>IFERROR(__xludf.DUMMYFUNCTION("""COMPUTED_VALUE"""),"Bandra")</f>
        <v>Bandra</v>
      </c>
      <c r="E1642" s="14" t="str">
        <f>IFERROR(__xludf.DUMMYFUNCTION("""COMPUTED_VALUE"""),"Guava+2*Not Assigned")</f>
        <v>Guava+2*Not Assigned</v>
      </c>
      <c r="F1642" s="14">
        <f>IFERROR(__xludf.DUMMYFUNCTION("""COMPUTED_VALUE"""),10.0)</f>
        <v>10</v>
      </c>
      <c r="G1642" s="14">
        <f>IFERROR(__xludf.DUMMYFUNCTION("""COMPUTED_VALUE"""),19.0)</f>
        <v>19</v>
      </c>
      <c r="H1642" s="14">
        <f>IFERROR(__xludf.DUMMYFUNCTION("""COMPUTED_VALUE"""),2023.0)</f>
        <v>2023</v>
      </c>
      <c r="I1642" s="14" t="str">
        <f>IFERROR(__xludf.DUMMYFUNCTION("""COMPUTED_VALUE"""),"Online Payment")</f>
        <v>Online Payment</v>
      </c>
      <c r="J1642" s="14" t="str">
        <f>IFERROR(__xludf.DUMMYFUNCTION("""COMPUTED_VALUE"""),"Cancelled*Payment Issues")</f>
        <v>Cancelled*Payment Issues</v>
      </c>
      <c r="K1642" s="14" t="str">
        <f>IFERROR(__xludf.DUMMYFUNCTION("split(E1642,""+"")"),"Guava")</f>
        <v>Guava</v>
      </c>
      <c r="L1642" s="14" t="str">
        <f>IFERROR(__xludf.DUMMYFUNCTION("""COMPUTED_VALUE"""),"2*Not Assigned")</f>
        <v>2*Not Assigned</v>
      </c>
      <c r="M1642" s="14">
        <f>IFERROR(__xludf.DUMMYFUNCTION("SPLIT(L1642,""*"")"),2.0)</f>
        <v>2</v>
      </c>
      <c r="N1642" s="14" t="str">
        <f>IFERROR(__xludf.DUMMYFUNCTION("""COMPUTED_VALUE"""),"Not Assigned")</f>
        <v>Not Assigned</v>
      </c>
      <c r="O1642" s="14" t="str">
        <f>IFERROR(__xludf.DUMMYFUNCTION("split(J1642,""*"")"),"Cancelled")</f>
        <v>Cancelled</v>
      </c>
      <c r="P1642" s="14" t="str">
        <f>IFERROR(__xludf.DUMMYFUNCTION("""COMPUTED_VALUE"""),"Payment Issues")</f>
        <v>Payment Issues</v>
      </c>
      <c r="Q1642" s="14" t="str">
        <f>IFERROR(__xludf.DUMMYFUNCTION("split(P1642,"":"")"),"Payment Issues")</f>
        <v>Payment Issues</v>
      </c>
      <c r="R1642" s="14"/>
      <c r="S1642" s="14" t="str">
        <f t="shared" ref="S1642:U1642" si="3287">trim(B1642)</f>
        <v>ord_71620</v>
      </c>
      <c r="T1642" s="14" t="str">
        <f t="shared" si="3287"/>
        <v>Pallavi Ghosh</v>
      </c>
      <c r="U1642" s="14" t="str">
        <f t="shared" si="3287"/>
        <v>Bandra</v>
      </c>
      <c r="V1642" s="14" t="str">
        <f t="shared" si="4"/>
        <v>Guava</v>
      </c>
      <c r="W1642" s="14">
        <f t="shared" si="5"/>
        <v>2</v>
      </c>
      <c r="X1642" s="14" t="str">
        <f t="shared" si="6"/>
        <v>Not Assigned</v>
      </c>
      <c r="Y1642" s="15">
        <f t="shared" si="7"/>
        <v>45218</v>
      </c>
      <c r="Z1642" s="14" t="str">
        <f t="shared" si="8"/>
        <v>Online Payment</v>
      </c>
      <c r="AA1642" s="14" t="str">
        <f t="shared" si="9"/>
        <v>Cancelled</v>
      </c>
      <c r="AB1642" s="14" t="str">
        <f t="shared" ref="AB1642:AC1642" si="3288">trim(Q1642)</f>
        <v>Payment Issues</v>
      </c>
      <c r="AC1642" s="14" t="str">
        <f t="shared" si="3288"/>
        <v/>
      </c>
      <c r="AD1642" s="8"/>
    </row>
    <row r="1643">
      <c r="A1643" s="14" t="str">
        <f>IFERROR(__xludf.DUMMYFUNCTION("""COMPUTED_VALUE"""),"//ord_71621//Pallavi Ghosh//Bandra//Tomato+2*Vivek Kumar/5/17/2023//UPI//Delivered*On-time Delivery: Delivered on time")</f>
        <v>//ord_71621//Pallavi Ghosh//Bandra//Tomato+2*Vivek Kumar/5/17/2023//UPI//Delivered*On-time Delivery: Delivered on time</v>
      </c>
      <c r="B1643" s="14" t="str">
        <f>IFERROR(__xludf.DUMMYFUNCTION("split(A1643,""//"")"),"ord_71621")</f>
        <v>ord_71621</v>
      </c>
      <c r="C1643" s="14" t="str">
        <f>IFERROR(__xludf.DUMMYFUNCTION("""COMPUTED_VALUE"""),"Pallavi Ghosh")</f>
        <v>Pallavi Ghosh</v>
      </c>
      <c r="D1643" s="14" t="str">
        <f>IFERROR(__xludf.DUMMYFUNCTION("""COMPUTED_VALUE"""),"Bandra")</f>
        <v>Bandra</v>
      </c>
      <c r="E1643" s="14" t="str">
        <f>IFERROR(__xludf.DUMMYFUNCTION("""COMPUTED_VALUE"""),"Tomato+2*Vivek Kumar")</f>
        <v>Tomato+2*Vivek Kumar</v>
      </c>
      <c r="F1643" s="14">
        <f>IFERROR(__xludf.DUMMYFUNCTION("""COMPUTED_VALUE"""),5.0)</f>
        <v>5</v>
      </c>
      <c r="G1643" s="14">
        <f>IFERROR(__xludf.DUMMYFUNCTION("""COMPUTED_VALUE"""),17.0)</f>
        <v>17</v>
      </c>
      <c r="H1643" s="14">
        <f>IFERROR(__xludf.DUMMYFUNCTION("""COMPUTED_VALUE"""),2023.0)</f>
        <v>2023</v>
      </c>
      <c r="I1643" s="14" t="str">
        <f>IFERROR(__xludf.DUMMYFUNCTION("""COMPUTED_VALUE"""),"UPI")</f>
        <v>UPI</v>
      </c>
      <c r="J1643" s="14" t="str">
        <f>IFERROR(__xludf.DUMMYFUNCTION("""COMPUTED_VALUE"""),"Delivered*On-time Delivery: Delivered on time")</f>
        <v>Delivered*On-time Delivery: Delivered on time</v>
      </c>
      <c r="K1643" s="14" t="str">
        <f>IFERROR(__xludf.DUMMYFUNCTION("split(E1643,""+"")"),"Tomato")</f>
        <v>Tomato</v>
      </c>
      <c r="L1643" s="14" t="str">
        <f>IFERROR(__xludf.DUMMYFUNCTION("""COMPUTED_VALUE"""),"2*Vivek Kumar")</f>
        <v>2*Vivek Kumar</v>
      </c>
      <c r="M1643" s="14">
        <f>IFERROR(__xludf.DUMMYFUNCTION("SPLIT(L1643,""*"")"),2.0)</f>
        <v>2</v>
      </c>
      <c r="N1643" s="14" t="str">
        <f>IFERROR(__xludf.DUMMYFUNCTION("""COMPUTED_VALUE"""),"Vivek Kumar")</f>
        <v>Vivek Kumar</v>
      </c>
      <c r="O1643" s="14" t="str">
        <f>IFERROR(__xludf.DUMMYFUNCTION("split(J1643,""*"")"),"Delivered")</f>
        <v>Delivered</v>
      </c>
      <c r="P1643" s="14" t="str">
        <f>IFERROR(__xludf.DUMMYFUNCTION("""COMPUTED_VALUE"""),"On-time Delivery: Delivered on time")</f>
        <v>On-time Delivery: Delivered on time</v>
      </c>
      <c r="Q1643" s="14" t="str">
        <f>IFERROR(__xludf.DUMMYFUNCTION("split(P1643,"":"")"),"On-time Delivery")</f>
        <v>On-time Delivery</v>
      </c>
      <c r="R1643" s="14" t="str">
        <f>IFERROR(__xludf.DUMMYFUNCTION("""COMPUTED_VALUE""")," Delivered on time")</f>
        <v> Delivered on time</v>
      </c>
      <c r="S1643" s="14" t="str">
        <f t="shared" ref="S1643:U1643" si="3289">trim(B1643)</f>
        <v>ord_71621</v>
      </c>
      <c r="T1643" s="14" t="str">
        <f t="shared" si="3289"/>
        <v>Pallavi Ghosh</v>
      </c>
      <c r="U1643" s="14" t="str">
        <f t="shared" si="3289"/>
        <v>Bandra</v>
      </c>
      <c r="V1643" s="14" t="str">
        <f t="shared" si="4"/>
        <v>Tomato</v>
      </c>
      <c r="W1643" s="14">
        <f t="shared" si="5"/>
        <v>2</v>
      </c>
      <c r="X1643" s="14" t="str">
        <f t="shared" si="6"/>
        <v>Vivek Kumar</v>
      </c>
      <c r="Y1643" s="15">
        <f t="shared" si="7"/>
        <v>45063</v>
      </c>
      <c r="Z1643" s="14" t="str">
        <f t="shared" si="8"/>
        <v>UPI</v>
      </c>
      <c r="AA1643" s="14" t="str">
        <f t="shared" si="9"/>
        <v>Delivered</v>
      </c>
      <c r="AB1643" s="14" t="str">
        <f t="shared" ref="AB1643:AC1643" si="3290">trim(Q1643)</f>
        <v>On-time Delivery</v>
      </c>
      <c r="AC1643" s="14" t="str">
        <f t="shared" si="3290"/>
        <v>Delivered on time</v>
      </c>
      <c r="AD1643" s="8"/>
    </row>
    <row r="1644">
      <c r="A1644" s="14" t="str">
        <f>IFERROR(__xludf.DUMMYFUNCTION("""COMPUTED_VALUE"""),"//ord_71622//Ishita Banerjee//Juhu//Juice+5*Not Assigned/7/9/2023//UPI//Cancelled*App Glitches:Slow Loading Time")</f>
        <v>//ord_71622//Ishita Banerjee//Juhu//Juice+5*Not Assigned/7/9/2023//UPI//Cancelled*App Glitches:Slow Loading Time</v>
      </c>
      <c r="B1644" s="14" t="str">
        <f>IFERROR(__xludf.DUMMYFUNCTION("split(A1644,""//"")"),"ord_71622")</f>
        <v>ord_71622</v>
      </c>
      <c r="C1644" s="14" t="str">
        <f>IFERROR(__xludf.DUMMYFUNCTION("""COMPUTED_VALUE"""),"Ishita Banerjee")</f>
        <v>Ishita Banerjee</v>
      </c>
      <c r="D1644" s="14" t="str">
        <f>IFERROR(__xludf.DUMMYFUNCTION("""COMPUTED_VALUE"""),"Juhu")</f>
        <v>Juhu</v>
      </c>
      <c r="E1644" s="14" t="str">
        <f>IFERROR(__xludf.DUMMYFUNCTION("""COMPUTED_VALUE"""),"Juice+5*Not Assigned")</f>
        <v>Juice+5*Not Assigned</v>
      </c>
      <c r="F1644" s="14">
        <f>IFERROR(__xludf.DUMMYFUNCTION("""COMPUTED_VALUE"""),7.0)</f>
        <v>7</v>
      </c>
      <c r="G1644" s="14">
        <f>IFERROR(__xludf.DUMMYFUNCTION("""COMPUTED_VALUE"""),9.0)</f>
        <v>9</v>
      </c>
      <c r="H1644" s="14">
        <f>IFERROR(__xludf.DUMMYFUNCTION("""COMPUTED_VALUE"""),2023.0)</f>
        <v>2023</v>
      </c>
      <c r="I1644" s="14" t="str">
        <f>IFERROR(__xludf.DUMMYFUNCTION("""COMPUTED_VALUE"""),"UPI")</f>
        <v>UPI</v>
      </c>
      <c r="J1644" s="14" t="str">
        <f>IFERROR(__xludf.DUMMYFUNCTION("""COMPUTED_VALUE"""),"Cancelled*App Glitches:Slow Loading Time")</f>
        <v>Cancelled*App Glitches:Slow Loading Time</v>
      </c>
      <c r="K1644" s="14" t="str">
        <f>IFERROR(__xludf.DUMMYFUNCTION("split(E1644,""+"")"),"Juice")</f>
        <v>Juice</v>
      </c>
      <c r="L1644" s="14" t="str">
        <f>IFERROR(__xludf.DUMMYFUNCTION("""COMPUTED_VALUE"""),"5*Not Assigned")</f>
        <v>5*Not Assigned</v>
      </c>
      <c r="M1644" s="14">
        <f>IFERROR(__xludf.DUMMYFUNCTION("SPLIT(L1644,""*"")"),5.0)</f>
        <v>5</v>
      </c>
      <c r="N1644" s="14" t="str">
        <f>IFERROR(__xludf.DUMMYFUNCTION("""COMPUTED_VALUE"""),"Not Assigned")</f>
        <v>Not Assigned</v>
      </c>
      <c r="O1644" s="14" t="str">
        <f>IFERROR(__xludf.DUMMYFUNCTION("split(J1644,""*"")"),"Cancelled")</f>
        <v>Cancelled</v>
      </c>
      <c r="P1644" s="14" t="str">
        <f>IFERROR(__xludf.DUMMYFUNCTION("""COMPUTED_VALUE"""),"App Glitches:Slow Loading Time")</f>
        <v>App Glitches:Slow Loading Time</v>
      </c>
      <c r="Q1644" s="14" t="str">
        <f>IFERROR(__xludf.DUMMYFUNCTION("split(P1644,"":"")"),"App Glitches")</f>
        <v>App Glitches</v>
      </c>
      <c r="R1644" s="14" t="str">
        <f>IFERROR(__xludf.DUMMYFUNCTION("""COMPUTED_VALUE"""),"Slow Loading Time")</f>
        <v>Slow Loading Time</v>
      </c>
      <c r="S1644" s="14" t="str">
        <f t="shared" ref="S1644:U1644" si="3291">trim(B1644)</f>
        <v>ord_71622</v>
      </c>
      <c r="T1644" s="14" t="str">
        <f t="shared" si="3291"/>
        <v>Ishita Banerjee</v>
      </c>
      <c r="U1644" s="14" t="str">
        <f t="shared" si="3291"/>
        <v>Juhu</v>
      </c>
      <c r="V1644" s="14" t="str">
        <f t="shared" si="4"/>
        <v>Juice</v>
      </c>
      <c r="W1644" s="14">
        <f t="shared" si="5"/>
        <v>5</v>
      </c>
      <c r="X1644" s="14" t="str">
        <f t="shared" si="6"/>
        <v>Not Assigned</v>
      </c>
      <c r="Y1644" s="15">
        <f t="shared" si="7"/>
        <v>45116</v>
      </c>
      <c r="Z1644" s="14" t="str">
        <f t="shared" si="8"/>
        <v>UPI</v>
      </c>
      <c r="AA1644" s="14" t="str">
        <f t="shared" si="9"/>
        <v>Cancelled</v>
      </c>
      <c r="AB1644" s="14" t="str">
        <f t="shared" ref="AB1644:AC1644" si="3292">trim(Q1644)</f>
        <v>App Glitches</v>
      </c>
      <c r="AC1644" s="14" t="str">
        <f t="shared" si="3292"/>
        <v>Slow Loading Time</v>
      </c>
      <c r="AD1644" s="8"/>
    </row>
    <row r="1645">
      <c r="A1645" s="14" t="str">
        <f>IFERROR(__xludf.DUMMYFUNCTION("""COMPUTED_VALUE"""),"//ord_71623//Omkar Mishra//Powai//Juice+4*Ramesh S/6/25/2023//Credit Card//Delivered*Quality of Items: Perfect condition")</f>
        <v>//ord_71623//Omkar Mishra//Powai//Juice+4*Ramesh S/6/25/2023//Credit Card//Delivered*Quality of Items: Perfect condition</v>
      </c>
      <c r="B1645" s="14" t="str">
        <f>IFERROR(__xludf.DUMMYFUNCTION("split(A1645,""//"")"),"ord_71623")</f>
        <v>ord_71623</v>
      </c>
      <c r="C1645" s="14" t="str">
        <f>IFERROR(__xludf.DUMMYFUNCTION("""COMPUTED_VALUE"""),"Omkar Mishra")</f>
        <v>Omkar Mishra</v>
      </c>
      <c r="D1645" s="14" t="str">
        <f>IFERROR(__xludf.DUMMYFUNCTION("""COMPUTED_VALUE"""),"Powai")</f>
        <v>Powai</v>
      </c>
      <c r="E1645" s="14" t="str">
        <f>IFERROR(__xludf.DUMMYFUNCTION("""COMPUTED_VALUE"""),"Juice+4*Ramesh S")</f>
        <v>Juice+4*Ramesh S</v>
      </c>
      <c r="F1645" s="14">
        <f>IFERROR(__xludf.DUMMYFUNCTION("""COMPUTED_VALUE"""),6.0)</f>
        <v>6</v>
      </c>
      <c r="G1645" s="14">
        <f>IFERROR(__xludf.DUMMYFUNCTION("""COMPUTED_VALUE"""),25.0)</f>
        <v>25</v>
      </c>
      <c r="H1645" s="14">
        <f>IFERROR(__xludf.DUMMYFUNCTION("""COMPUTED_VALUE"""),2023.0)</f>
        <v>2023</v>
      </c>
      <c r="I1645" s="14" t="str">
        <f>IFERROR(__xludf.DUMMYFUNCTION("""COMPUTED_VALUE"""),"Credit Card")</f>
        <v>Credit Card</v>
      </c>
      <c r="J1645" s="14" t="str">
        <f>IFERROR(__xludf.DUMMYFUNCTION("""COMPUTED_VALUE"""),"Delivered*Quality of Items: Perfect condition")</f>
        <v>Delivered*Quality of Items: Perfect condition</v>
      </c>
      <c r="K1645" s="14" t="str">
        <f>IFERROR(__xludf.DUMMYFUNCTION("split(E1645,""+"")"),"Juice")</f>
        <v>Juice</v>
      </c>
      <c r="L1645" s="14" t="str">
        <f>IFERROR(__xludf.DUMMYFUNCTION("""COMPUTED_VALUE"""),"4*Ramesh S")</f>
        <v>4*Ramesh S</v>
      </c>
      <c r="M1645" s="14">
        <f>IFERROR(__xludf.DUMMYFUNCTION("SPLIT(L1645,""*"")"),4.0)</f>
        <v>4</v>
      </c>
      <c r="N1645" s="14" t="str">
        <f>IFERROR(__xludf.DUMMYFUNCTION("""COMPUTED_VALUE"""),"Ramesh S")</f>
        <v>Ramesh S</v>
      </c>
      <c r="O1645" s="14" t="str">
        <f>IFERROR(__xludf.DUMMYFUNCTION("split(J1645,""*"")"),"Delivered")</f>
        <v>Delivered</v>
      </c>
      <c r="P1645" s="14" t="str">
        <f>IFERROR(__xludf.DUMMYFUNCTION("""COMPUTED_VALUE"""),"Quality of Items: Perfect condition")</f>
        <v>Quality of Items: Perfect condition</v>
      </c>
      <c r="Q1645" s="14" t="str">
        <f>IFERROR(__xludf.DUMMYFUNCTION("split(P1645,"":"")"),"Quality of Items")</f>
        <v>Quality of Items</v>
      </c>
      <c r="R1645" s="14" t="str">
        <f>IFERROR(__xludf.DUMMYFUNCTION("""COMPUTED_VALUE""")," Perfect condition")</f>
        <v> Perfect condition</v>
      </c>
      <c r="S1645" s="14" t="str">
        <f t="shared" ref="S1645:U1645" si="3293">trim(B1645)</f>
        <v>ord_71623</v>
      </c>
      <c r="T1645" s="14" t="str">
        <f t="shared" si="3293"/>
        <v>Omkar Mishra</v>
      </c>
      <c r="U1645" s="14" t="str">
        <f t="shared" si="3293"/>
        <v>Powai</v>
      </c>
      <c r="V1645" s="14" t="str">
        <f t="shared" si="4"/>
        <v>Juice</v>
      </c>
      <c r="W1645" s="14">
        <f t="shared" si="5"/>
        <v>4</v>
      </c>
      <c r="X1645" s="14" t="str">
        <f t="shared" si="6"/>
        <v>Ramesh S</v>
      </c>
      <c r="Y1645" s="15">
        <f t="shared" si="7"/>
        <v>45102</v>
      </c>
      <c r="Z1645" s="14" t="str">
        <f t="shared" si="8"/>
        <v>Credit Card</v>
      </c>
      <c r="AA1645" s="14" t="str">
        <f t="shared" si="9"/>
        <v>Delivered</v>
      </c>
      <c r="AB1645" s="14" t="str">
        <f t="shared" ref="AB1645:AC1645" si="3294">trim(Q1645)</f>
        <v>Quality of Items</v>
      </c>
      <c r="AC1645" s="14" t="str">
        <f t="shared" si="3294"/>
        <v>Perfect condition</v>
      </c>
      <c r="AD1645" s="8"/>
    </row>
    <row r="1646">
      <c r="A1646" s="14" t="str">
        <f>IFERROR(__xludf.DUMMYFUNCTION("""COMPUTED_VALUE"""),"//ord_71624//Sakshi Tandon//Colaba//Onion+2*Venu R/10/18/2023//Credit Card//Delivered*On-time Delivery: Delivered on time")</f>
        <v>//ord_71624//Sakshi Tandon//Colaba//Onion+2*Venu R/10/18/2023//Credit Card//Delivered*On-time Delivery: Delivered on time</v>
      </c>
      <c r="B1646" s="14" t="str">
        <f>IFERROR(__xludf.DUMMYFUNCTION("split(A1646,""//"")"),"ord_71624")</f>
        <v>ord_71624</v>
      </c>
      <c r="C1646" s="14" t="str">
        <f>IFERROR(__xludf.DUMMYFUNCTION("""COMPUTED_VALUE"""),"Sakshi Tandon")</f>
        <v>Sakshi Tandon</v>
      </c>
      <c r="D1646" s="14" t="str">
        <f>IFERROR(__xludf.DUMMYFUNCTION("""COMPUTED_VALUE"""),"Colaba")</f>
        <v>Colaba</v>
      </c>
      <c r="E1646" s="14" t="str">
        <f>IFERROR(__xludf.DUMMYFUNCTION("""COMPUTED_VALUE"""),"Onion+2*Venu R")</f>
        <v>Onion+2*Venu R</v>
      </c>
      <c r="F1646" s="14">
        <f>IFERROR(__xludf.DUMMYFUNCTION("""COMPUTED_VALUE"""),10.0)</f>
        <v>10</v>
      </c>
      <c r="G1646" s="14">
        <f>IFERROR(__xludf.DUMMYFUNCTION("""COMPUTED_VALUE"""),18.0)</f>
        <v>18</v>
      </c>
      <c r="H1646" s="14">
        <f>IFERROR(__xludf.DUMMYFUNCTION("""COMPUTED_VALUE"""),2023.0)</f>
        <v>2023</v>
      </c>
      <c r="I1646" s="14" t="str">
        <f>IFERROR(__xludf.DUMMYFUNCTION("""COMPUTED_VALUE"""),"Credit Card")</f>
        <v>Credit Card</v>
      </c>
      <c r="J1646" s="14" t="str">
        <f>IFERROR(__xludf.DUMMYFUNCTION("""COMPUTED_VALUE"""),"Delivered*On-time Delivery: Delivered on time")</f>
        <v>Delivered*On-time Delivery: Delivered on time</v>
      </c>
      <c r="K1646" s="14" t="str">
        <f>IFERROR(__xludf.DUMMYFUNCTION("split(E1646,""+"")"),"Onion")</f>
        <v>Onion</v>
      </c>
      <c r="L1646" s="14" t="str">
        <f>IFERROR(__xludf.DUMMYFUNCTION("""COMPUTED_VALUE"""),"2*Venu R")</f>
        <v>2*Venu R</v>
      </c>
      <c r="M1646" s="14">
        <f>IFERROR(__xludf.DUMMYFUNCTION("SPLIT(L1646,""*"")"),2.0)</f>
        <v>2</v>
      </c>
      <c r="N1646" s="14" t="str">
        <f>IFERROR(__xludf.DUMMYFUNCTION("""COMPUTED_VALUE"""),"Venu R")</f>
        <v>Venu R</v>
      </c>
      <c r="O1646" s="14" t="str">
        <f>IFERROR(__xludf.DUMMYFUNCTION("split(J1646,""*"")"),"Delivered")</f>
        <v>Delivered</v>
      </c>
      <c r="P1646" s="14" t="str">
        <f>IFERROR(__xludf.DUMMYFUNCTION("""COMPUTED_VALUE"""),"On-time Delivery: Delivered on time")</f>
        <v>On-time Delivery: Delivered on time</v>
      </c>
      <c r="Q1646" s="14" t="str">
        <f>IFERROR(__xludf.DUMMYFUNCTION("split(P1646,"":"")"),"On-time Delivery")</f>
        <v>On-time Delivery</v>
      </c>
      <c r="R1646" s="14" t="str">
        <f>IFERROR(__xludf.DUMMYFUNCTION("""COMPUTED_VALUE""")," Delivered on time")</f>
        <v> Delivered on time</v>
      </c>
      <c r="S1646" s="14" t="str">
        <f t="shared" ref="S1646:U1646" si="3295">trim(B1646)</f>
        <v>ord_71624</v>
      </c>
      <c r="T1646" s="14" t="str">
        <f t="shared" si="3295"/>
        <v>Sakshi Tandon</v>
      </c>
      <c r="U1646" s="14" t="str">
        <f t="shared" si="3295"/>
        <v>Colaba</v>
      </c>
      <c r="V1646" s="14" t="str">
        <f t="shared" si="4"/>
        <v>Onion</v>
      </c>
      <c r="W1646" s="14">
        <f t="shared" si="5"/>
        <v>2</v>
      </c>
      <c r="X1646" s="14" t="str">
        <f t="shared" si="6"/>
        <v>Venu R</v>
      </c>
      <c r="Y1646" s="15">
        <f t="shared" si="7"/>
        <v>45217</v>
      </c>
      <c r="Z1646" s="14" t="str">
        <f t="shared" si="8"/>
        <v>Credit Card</v>
      </c>
      <c r="AA1646" s="14" t="str">
        <f t="shared" si="9"/>
        <v>Delivered</v>
      </c>
      <c r="AB1646" s="14" t="str">
        <f t="shared" ref="AB1646:AC1646" si="3296">trim(Q1646)</f>
        <v>On-time Delivery</v>
      </c>
      <c r="AC1646" s="14" t="str">
        <f t="shared" si="3296"/>
        <v>Delivered on time</v>
      </c>
      <c r="AD1646" s="8"/>
    </row>
    <row r="1647">
      <c r="A1647" s="14" t="str">
        <f>IFERROR(__xludf.DUMMYFUNCTION("""COMPUTED_VALUE"""),"//ord_71625//Sakshi Tandon//Colaba//Rasmalai+3*Nithin Lal/5/18/2023//UPI//Delivered*Quality of Items: Perfect condition")</f>
        <v>//ord_71625//Sakshi Tandon//Colaba//Rasmalai+3*Nithin Lal/5/18/2023//UPI//Delivered*Quality of Items: Perfect condition</v>
      </c>
      <c r="B1647" s="14" t="str">
        <f>IFERROR(__xludf.DUMMYFUNCTION("split(A1647,""//"")"),"ord_71625")</f>
        <v>ord_71625</v>
      </c>
      <c r="C1647" s="14" t="str">
        <f>IFERROR(__xludf.DUMMYFUNCTION("""COMPUTED_VALUE"""),"Sakshi Tandon")</f>
        <v>Sakshi Tandon</v>
      </c>
      <c r="D1647" s="14" t="str">
        <f>IFERROR(__xludf.DUMMYFUNCTION("""COMPUTED_VALUE"""),"Colaba")</f>
        <v>Colaba</v>
      </c>
      <c r="E1647" s="14" t="str">
        <f>IFERROR(__xludf.DUMMYFUNCTION("""COMPUTED_VALUE"""),"Rasmalai+3*Nithin Lal")</f>
        <v>Rasmalai+3*Nithin Lal</v>
      </c>
      <c r="F1647" s="14">
        <f>IFERROR(__xludf.DUMMYFUNCTION("""COMPUTED_VALUE"""),5.0)</f>
        <v>5</v>
      </c>
      <c r="G1647" s="14">
        <f>IFERROR(__xludf.DUMMYFUNCTION("""COMPUTED_VALUE"""),18.0)</f>
        <v>18</v>
      </c>
      <c r="H1647" s="14">
        <f>IFERROR(__xludf.DUMMYFUNCTION("""COMPUTED_VALUE"""),2023.0)</f>
        <v>2023</v>
      </c>
      <c r="I1647" s="14" t="str">
        <f>IFERROR(__xludf.DUMMYFUNCTION("""COMPUTED_VALUE"""),"UPI")</f>
        <v>UPI</v>
      </c>
      <c r="J1647" s="14" t="str">
        <f>IFERROR(__xludf.DUMMYFUNCTION("""COMPUTED_VALUE"""),"Delivered*Quality of Items: Perfect condition")</f>
        <v>Delivered*Quality of Items: Perfect condition</v>
      </c>
      <c r="K1647" s="14" t="str">
        <f>IFERROR(__xludf.DUMMYFUNCTION("split(E1647,""+"")"),"Rasmalai")</f>
        <v>Rasmalai</v>
      </c>
      <c r="L1647" s="14" t="str">
        <f>IFERROR(__xludf.DUMMYFUNCTION("""COMPUTED_VALUE"""),"3*Nithin Lal")</f>
        <v>3*Nithin Lal</v>
      </c>
      <c r="M1647" s="14">
        <f>IFERROR(__xludf.DUMMYFUNCTION("SPLIT(L1647,""*"")"),3.0)</f>
        <v>3</v>
      </c>
      <c r="N1647" s="14" t="str">
        <f>IFERROR(__xludf.DUMMYFUNCTION("""COMPUTED_VALUE"""),"Nithin Lal")</f>
        <v>Nithin Lal</v>
      </c>
      <c r="O1647" s="14" t="str">
        <f>IFERROR(__xludf.DUMMYFUNCTION("split(J1647,""*"")"),"Delivered")</f>
        <v>Delivered</v>
      </c>
      <c r="P1647" s="14" t="str">
        <f>IFERROR(__xludf.DUMMYFUNCTION("""COMPUTED_VALUE"""),"Quality of Items: Perfect condition")</f>
        <v>Quality of Items: Perfect condition</v>
      </c>
      <c r="Q1647" s="14" t="str">
        <f>IFERROR(__xludf.DUMMYFUNCTION("split(P1647,"":"")"),"Quality of Items")</f>
        <v>Quality of Items</v>
      </c>
      <c r="R1647" s="14" t="str">
        <f>IFERROR(__xludf.DUMMYFUNCTION("""COMPUTED_VALUE""")," Perfect condition")</f>
        <v> Perfect condition</v>
      </c>
      <c r="S1647" s="14" t="str">
        <f t="shared" ref="S1647:U1647" si="3297">trim(B1647)</f>
        <v>ord_71625</v>
      </c>
      <c r="T1647" s="14" t="str">
        <f t="shared" si="3297"/>
        <v>Sakshi Tandon</v>
      </c>
      <c r="U1647" s="14" t="str">
        <f t="shared" si="3297"/>
        <v>Colaba</v>
      </c>
      <c r="V1647" s="14" t="str">
        <f t="shared" si="4"/>
        <v>Rasmalai</v>
      </c>
      <c r="W1647" s="14">
        <f t="shared" si="5"/>
        <v>3</v>
      </c>
      <c r="X1647" s="14" t="str">
        <f t="shared" si="6"/>
        <v>Nithin Lal</v>
      </c>
      <c r="Y1647" s="15">
        <f t="shared" si="7"/>
        <v>45064</v>
      </c>
      <c r="Z1647" s="14" t="str">
        <f t="shared" si="8"/>
        <v>UPI</v>
      </c>
      <c r="AA1647" s="14" t="str">
        <f t="shared" si="9"/>
        <v>Delivered</v>
      </c>
      <c r="AB1647" s="14" t="str">
        <f t="shared" ref="AB1647:AC1647" si="3298">trim(Q1647)</f>
        <v>Quality of Items</v>
      </c>
      <c r="AC1647" s="14" t="str">
        <f t="shared" si="3298"/>
        <v>Perfect condition</v>
      </c>
      <c r="AD1647" s="8"/>
    </row>
    <row r="1648">
      <c r="A1648" s="14" t="str">
        <f>IFERROR(__xludf.DUMMYFUNCTION("""COMPUTED_VALUE"""),"//ord_71626//Mehul Thakkar//Malad//Popcorn+3*Nithin Lal/3/27/2023//Online Payment//Delivered*Packaging: Secure and intact")</f>
        <v>//ord_71626//Mehul Thakkar//Malad//Popcorn+3*Nithin Lal/3/27/2023//Online Payment//Delivered*Packaging: Secure and intact</v>
      </c>
      <c r="B1648" s="14" t="str">
        <f>IFERROR(__xludf.DUMMYFUNCTION("split(A1648,""//"")"),"ord_71626")</f>
        <v>ord_71626</v>
      </c>
      <c r="C1648" s="14" t="str">
        <f>IFERROR(__xludf.DUMMYFUNCTION("""COMPUTED_VALUE"""),"Mehul Thakkar")</f>
        <v>Mehul Thakkar</v>
      </c>
      <c r="D1648" s="14" t="str">
        <f>IFERROR(__xludf.DUMMYFUNCTION("""COMPUTED_VALUE"""),"Malad")</f>
        <v>Malad</v>
      </c>
      <c r="E1648" s="14" t="str">
        <f>IFERROR(__xludf.DUMMYFUNCTION("""COMPUTED_VALUE"""),"Popcorn+3*Nithin Lal")</f>
        <v>Popcorn+3*Nithin Lal</v>
      </c>
      <c r="F1648" s="14">
        <f>IFERROR(__xludf.DUMMYFUNCTION("""COMPUTED_VALUE"""),3.0)</f>
        <v>3</v>
      </c>
      <c r="G1648" s="14">
        <f>IFERROR(__xludf.DUMMYFUNCTION("""COMPUTED_VALUE"""),27.0)</f>
        <v>27</v>
      </c>
      <c r="H1648" s="14">
        <f>IFERROR(__xludf.DUMMYFUNCTION("""COMPUTED_VALUE"""),2023.0)</f>
        <v>2023</v>
      </c>
      <c r="I1648" s="14" t="str">
        <f>IFERROR(__xludf.DUMMYFUNCTION("""COMPUTED_VALUE"""),"Online Payment")</f>
        <v>Online Payment</v>
      </c>
      <c r="J1648" s="14" t="str">
        <f>IFERROR(__xludf.DUMMYFUNCTION("""COMPUTED_VALUE"""),"Delivered*Packaging: Secure and intact")</f>
        <v>Delivered*Packaging: Secure and intact</v>
      </c>
      <c r="K1648" s="14" t="str">
        <f>IFERROR(__xludf.DUMMYFUNCTION("split(E1648,""+"")"),"Popcorn")</f>
        <v>Popcorn</v>
      </c>
      <c r="L1648" s="14" t="str">
        <f>IFERROR(__xludf.DUMMYFUNCTION("""COMPUTED_VALUE"""),"3*Nithin Lal")</f>
        <v>3*Nithin Lal</v>
      </c>
      <c r="M1648" s="14">
        <f>IFERROR(__xludf.DUMMYFUNCTION("SPLIT(L1648,""*"")"),3.0)</f>
        <v>3</v>
      </c>
      <c r="N1648" s="14" t="str">
        <f>IFERROR(__xludf.DUMMYFUNCTION("""COMPUTED_VALUE"""),"Nithin Lal")</f>
        <v>Nithin Lal</v>
      </c>
      <c r="O1648" s="14" t="str">
        <f>IFERROR(__xludf.DUMMYFUNCTION("split(J1648,""*"")"),"Delivered")</f>
        <v>Delivered</v>
      </c>
      <c r="P1648" s="14" t="str">
        <f>IFERROR(__xludf.DUMMYFUNCTION("""COMPUTED_VALUE"""),"Packaging: Secure and intact")</f>
        <v>Packaging: Secure and intact</v>
      </c>
      <c r="Q1648" s="14" t="str">
        <f>IFERROR(__xludf.DUMMYFUNCTION("split(P1648,"":"")"),"Packaging")</f>
        <v>Packaging</v>
      </c>
      <c r="R1648" s="14" t="str">
        <f>IFERROR(__xludf.DUMMYFUNCTION("""COMPUTED_VALUE""")," Secure and intact")</f>
        <v> Secure and intact</v>
      </c>
      <c r="S1648" s="14" t="str">
        <f t="shared" ref="S1648:U1648" si="3299">trim(B1648)</f>
        <v>ord_71626</v>
      </c>
      <c r="T1648" s="14" t="str">
        <f t="shared" si="3299"/>
        <v>Mehul Thakkar</v>
      </c>
      <c r="U1648" s="14" t="str">
        <f t="shared" si="3299"/>
        <v>Malad</v>
      </c>
      <c r="V1648" s="14" t="str">
        <f t="shared" si="4"/>
        <v>Popcorn</v>
      </c>
      <c r="W1648" s="14">
        <f t="shared" si="5"/>
        <v>3</v>
      </c>
      <c r="X1648" s="14" t="str">
        <f t="shared" si="6"/>
        <v>Nithin Lal</v>
      </c>
      <c r="Y1648" s="15">
        <f t="shared" si="7"/>
        <v>45012</v>
      </c>
      <c r="Z1648" s="14" t="str">
        <f t="shared" si="8"/>
        <v>Online Payment</v>
      </c>
      <c r="AA1648" s="14" t="str">
        <f t="shared" si="9"/>
        <v>Delivered</v>
      </c>
      <c r="AB1648" s="14" t="str">
        <f t="shared" ref="AB1648:AC1648" si="3300">trim(Q1648)</f>
        <v>Packaging</v>
      </c>
      <c r="AC1648" s="14" t="str">
        <f t="shared" si="3300"/>
        <v>Secure and intact</v>
      </c>
      <c r="AD1648" s="8"/>
    </row>
    <row r="1649">
      <c r="A1649" s="14" t="str">
        <f>IFERROR(__xludf.DUMMYFUNCTION("""COMPUTED_VALUE"""),"//ord_71627//Sakshi Tandon//Colaba//Guava+1*Not Assigned/2/10/2023//Credit Card//Cancelled*Payment Issues")</f>
        <v>//ord_71627//Sakshi Tandon//Colaba//Guava+1*Not Assigned/2/10/2023//Credit Card//Cancelled*Payment Issues</v>
      </c>
      <c r="B1649" s="14" t="str">
        <f>IFERROR(__xludf.DUMMYFUNCTION("split(A1649,""//"")"),"ord_71627")</f>
        <v>ord_71627</v>
      </c>
      <c r="C1649" s="14" t="str">
        <f>IFERROR(__xludf.DUMMYFUNCTION("""COMPUTED_VALUE"""),"Sakshi Tandon")</f>
        <v>Sakshi Tandon</v>
      </c>
      <c r="D1649" s="14" t="str">
        <f>IFERROR(__xludf.DUMMYFUNCTION("""COMPUTED_VALUE"""),"Colaba")</f>
        <v>Colaba</v>
      </c>
      <c r="E1649" s="14" t="str">
        <f>IFERROR(__xludf.DUMMYFUNCTION("""COMPUTED_VALUE"""),"Guava+1*Not Assigned")</f>
        <v>Guava+1*Not Assigned</v>
      </c>
      <c r="F1649" s="14">
        <f>IFERROR(__xludf.DUMMYFUNCTION("""COMPUTED_VALUE"""),2.0)</f>
        <v>2</v>
      </c>
      <c r="G1649" s="14">
        <f>IFERROR(__xludf.DUMMYFUNCTION("""COMPUTED_VALUE"""),10.0)</f>
        <v>10</v>
      </c>
      <c r="H1649" s="14">
        <f>IFERROR(__xludf.DUMMYFUNCTION("""COMPUTED_VALUE"""),2023.0)</f>
        <v>2023</v>
      </c>
      <c r="I1649" s="14" t="str">
        <f>IFERROR(__xludf.DUMMYFUNCTION("""COMPUTED_VALUE"""),"Credit Card")</f>
        <v>Credit Card</v>
      </c>
      <c r="J1649" s="14" t="str">
        <f>IFERROR(__xludf.DUMMYFUNCTION("""COMPUTED_VALUE"""),"Cancelled*Payment Issues")</f>
        <v>Cancelled*Payment Issues</v>
      </c>
      <c r="K1649" s="14" t="str">
        <f>IFERROR(__xludf.DUMMYFUNCTION("split(E1649,""+"")"),"Guava")</f>
        <v>Guava</v>
      </c>
      <c r="L1649" s="14" t="str">
        <f>IFERROR(__xludf.DUMMYFUNCTION("""COMPUTED_VALUE"""),"1*Not Assigned")</f>
        <v>1*Not Assigned</v>
      </c>
      <c r="M1649" s="14">
        <f>IFERROR(__xludf.DUMMYFUNCTION("SPLIT(L1649,""*"")"),1.0)</f>
        <v>1</v>
      </c>
      <c r="N1649" s="14" t="str">
        <f>IFERROR(__xludf.DUMMYFUNCTION("""COMPUTED_VALUE"""),"Not Assigned")</f>
        <v>Not Assigned</v>
      </c>
      <c r="O1649" s="14" t="str">
        <f>IFERROR(__xludf.DUMMYFUNCTION("split(J1649,""*"")"),"Cancelled")</f>
        <v>Cancelled</v>
      </c>
      <c r="P1649" s="14" t="str">
        <f>IFERROR(__xludf.DUMMYFUNCTION("""COMPUTED_VALUE"""),"Payment Issues")</f>
        <v>Payment Issues</v>
      </c>
      <c r="Q1649" s="14" t="str">
        <f>IFERROR(__xludf.DUMMYFUNCTION("split(P1649,"":"")"),"Payment Issues")</f>
        <v>Payment Issues</v>
      </c>
      <c r="R1649" s="14"/>
      <c r="S1649" s="14" t="str">
        <f t="shared" ref="S1649:U1649" si="3301">trim(B1649)</f>
        <v>ord_71627</v>
      </c>
      <c r="T1649" s="14" t="str">
        <f t="shared" si="3301"/>
        <v>Sakshi Tandon</v>
      </c>
      <c r="U1649" s="14" t="str">
        <f t="shared" si="3301"/>
        <v>Colaba</v>
      </c>
      <c r="V1649" s="14" t="str">
        <f t="shared" si="4"/>
        <v>Guava</v>
      </c>
      <c r="W1649" s="14">
        <f t="shared" si="5"/>
        <v>1</v>
      </c>
      <c r="X1649" s="14" t="str">
        <f t="shared" si="6"/>
        <v>Not Assigned</v>
      </c>
      <c r="Y1649" s="15">
        <f t="shared" si="7"/>
        <v>44967</v>
      </c>
      <c r="Z1649" s="14" t="str">
        <f t="shared" si="8"/>
        <v>Credit Card</v>
      </c>
      <c r="AA1649" s="14" t="str">
        <f t="shared" si="9"/>
        <v>Cancelled</v>
      </c>
      <c r="AB1649" s="14" t="str">
        <f t="shared" ref="AB1649:AC1649" si="3302">trim(Q1649)</f>
        <v>Payment Issues</v>
      </c>
      <c r="AC1649" s="14" t="str">
        <f t="shared" si="3302"/>
        <v/>
      </c>
      <c r="AD1649" s="8"/>
    </row>
    <row r="1650">
      <c r="A1650" s="14" t="str">
        <f>IFERROR(__xludf.DUMMYFUNCTION("""COMPUTED_VALUE"""),"//ord_71628//Anaya Rao//Colaba//Guava+1*Not Assigned/12/5/2023//Credit Card//Cancelled*App Glitches: Inconsistent Data Display")</f>
        <v>//ord_71628//Anaya Rao//Colaba//Guava+1*Not Assigned/12/5/2023//Credit Card//Cancelled*App Glitches: Inconsistent Data Display</v>
      </c>
      <c r="B1650" s="14" t="str">
        <f>IFERROR(__xludf.DUMMYFUNCTION("split(A1650,""//"")"),"ord_71628")</f>
        <v>ord_71628</v>
      </c>
      <c r="C1650" s="14" t="str">
        <f>IFERROR(__xludf.DUMMYFUNCTION("""COMPUTED_VALUE"""),"Anaya Rao")</f>
        <v>Anaya Rao</v>
      </c>
      <c r="D1650" s="14" t="str">
        <f>IFERROR(__xludf.DUMMYFUNCTION("""COMPUTED_VALUE"""),"Colaba")</f>
        <v>Colaba</v>
      </c>
      <c r="E1650" s="14" t="str">
        <f>IFERROR(__xludf.DUMMYFUNCTION("""COMPUTED_VALUE"""),"Guava+1*Not Assigned")</f>
        <v>Guava+1*Not Assigned</v>
      </c>
      <c r="F1650" s="14">
        <f>IFERROR(__xludf.DUMMYFUNCTION("""COMPUTED_VALUE"""),12.0)</f>
        <v>12</v>
      </c>
      <c r="G1650" s="14">
        <f>IFERROR(__xludf.DUMMYFUNCTION("""COMPUTED_VALUE"""),5.0)</f>
        <v>5</v>
      </c>
      <c r="H1650" s="14">
        <f>IFERROR(__xludf.DUMMYFUNCTION("""COMPUTED_VALUE"""),2023.0)</f>
        <v>2023</v>
      </c>
      <c r="I1650" s="14" t="str">
        <f>IFERROR(__xludf.DUMMYFUNCTION("""COMPUTED_VALUE"""),"Credit Card")</f>
        <v>Credit Card</v>
      </c>
      <c r="J1650" s="14" t="str">
        <f>IFERROR(__xludf.DUMMYFUNCTION("""COMPUTED_VALUE"""),"Cancelled*App Glitches: Inconsistent Data Display")</f>
        <v>Cancelled*App Glitches: Inconsistent Data Display</v>
      </c>
      <c r="K1650" s="14" t="str">
        <f>IFERROR(__xludf.DUMMYFUNCTION("split(E1650,""+"")"),"Guava")</f>
        <v>Guava</v>
      </c>
      <c r="L1650" s="14" t="str">
        <f>IFERROR(__xludf.DUMMYFUNCTION("""COMPUTED_VALUE"""),"1*Not Assigned")</f>
        <v>1*Not Assigned</v>
      </c>
      <c r="M1650" s="14">
        <f>IFERROR(__xludf.DUMMYFUNCTION("SPLIT(L1650,""*"")"),1.0)</f>
        <v>1</v>
      </c>
      <c r="N1650" s="14" t="str">
        <f>IFERROR(__xludf.DUMMYFUNCTION("""COMPUTED_VALUE"""),"Not Assigned")</f>
        <v>Not Assigned</v>
      </c>
      <c r="O1650" s="14" t="str">
        <f>IFERROR(__xludf.DUMMYFUNCTION("split(J1650,""*"")"),"Cancelled")</f>
        <v>Cancelled</v>
      </c>
      <c r="P1650" s="14" t="str">
        <f>IFERROR(__xludf.DUMMYFUNCTION("""COMPUTED_VALUE"""),"App Glitches: Inconsistent Data Display")</f>
        <v>App Glitches: Inconsistent Data Display</v>
      </c>
      <c r="Q1650" s="14" t="str">
        <f>IFERROR(__xludf.DUMMYFUNCTION("split(P1650,"":"")"),"App Glitches")</f>
        <v>App Glitches</v>
      </c>
      <c r="R1650" s="14" t="str">
        <f>IFERROR(__xludf.DUMMYFUNCTION("""COMPUTED_VALUE""")," Inconsistent Data Display")</f>
        <v> Inconsistent Data Display</v>
      </c>
      <c r="S1650" s="14" t="str">
        <f t="shared" ref="S1650:U1650" si="3303">trim(B1650)</f>
        <v>ord_71628</v>
      </c>
      <c r="T1650" s="14" t="str">
        <f t="shared" si="3303"/>
        <v>Anaya Rao</v>
      </c>
      <c r="U1650" s="14" t="str">
        <f t="shared" si="3303"/>
        <v>Colaba</v>
      </c>
      <c r="V1650" s="14" t="str">
        <f t="shared" si="4"/>
        <v>Guava</v>
      </c>
      <c r="W1650" s="14">
        <f t="shared" si="5"/>
        <v>1</v>
      </c>
      <c r="X1650" s="14" t="str">
        <f t="shared" si="6"/>
        <v>Not Assigned</v>
      </c>
      <c r="Y1650" s="15">
        <f t="shared" si="7"/>
        <v>45265</v>
      </c>
      <c r="Z1650" s="14" t="str">
        <f t="shared" si="8"/>
        <v>Credit Card</v>
      </c>
      <c r="AA1650" s="14" t="str">
        <f t="shared" si="9"/>
        <v>Cancelled</v>
      </c>
      <c r="AB1650" s="14" t="str">
        <f t="shared" ref="AB1650:AC1650" si="3304">trim(Q1650)</f>
        <v>App Glitches</v>
      </c>
      <c r="AC1650" s="14" t="str">
        <f t="shared" si="3304"/>
        <v>Inconsistent Data Display</v>
      </c>
      <c r="AD1650" s="8"/>
    </row>
    <row r="1651">
      <c r="A1651" s="14" t="str">
        <f>IFERROR(__xludf.DUMMYFUNCTION("""COMPUTED_VALUE"""),"//ord_71629//Parth Goel//Juhu//Chocolate Mousse+4*Nithin Lal/5/13/2023//Credit Card//Delivered*Satisfied with the Delivery: Timely and quality")</f>
        <v>//ord_71629//Parth Goel//Juhu//Chocolate Mousse+4*Nithin Lal/5/13/2023//Credit Card//Delivered*Satisfied with the Delivery: Timely and quality</v>
      </c>
      <c r="B1651" s="14" t="str">
        <f>IFERROR(__xludf.DUMMYFUNCTION("split(A1651,""//"")"),"ord_71629")</f>
        <v>ord_71629</v>
      </c>
      <c r="C1651" s="14" t="str">
        <f>IFERROR(__xludf.DUMMYFUNCTION("""COMPUTED_VALUE"""),"Parth Goel")</f>
        <v>Parth Goel</v>
      </c>
      <c r="D1651" s="14" t="str">
        <f>IFERROR(__xludf.DUMMYFUNCTION("""COMPUTED_VALUE"""),"Juhu")</f>
        <v>Juhu</v>
      </c>
      <c r="E1651" s="14" t="str">
        <f>IFERROR(__xludf.DUMMYFUNCTION("""COMPUTED_VALUE"""),"Chocolate Mousse+4*Nithin Lal")</f>
        <v>Chocolate Mousse+4*Nithin Lal</v>
      </c>
      <c r="F1651" s="14">
        <f>IFERROR(__xludf.DUMMYFUNCTION("""COMPUTED_VALUE"""),5.0)</f>
        <v>5</v>
      </c>
      <c r="G1651" s="14">
        <f>IFERROR(__xludf.DUMMYFUNCTION("""COMPUTED_VALUE"""),13.0)</f>
        <v>13</v>
      </c>
      <c r="H1651" s="14">
        <f>IFERROR(__xludf.DUMMYFUNCTION("""COMPUTED_VALUE"""),2023.0)</f>
        <v>2023</v>
      </c>
      <c r="I1651" s="14" t="str">
        <f>IFERROR(__xludf.DUMMYFUNCTION("""COMPUTED_VALUE"""),"Credit Card")</f>
        <v>Credit Card</v>
      </c>
      <c r="J1651" s="14" t="str">
        <f>IFERROR(__xludf.DUMMYFUNCTION("""COMPUTED_VALUE"""),"Delivered*Satisfied with the Delivery: Timely and quality")</f>
        <v>Delivered*Satisfied with the Delivery: Timely and quality</v>
      </c>
      <c r="K1651" s="14" t="str">
        <f>IFERROR(__xludf.DUMMYFUNCTION("split(E1651,""+"")"),"Chocolate Mousse")</f>
        <v>Chocolate Mousse</v>
      </c>
      <c r="L1651" s="14" t="str">
        <f>IFERROR(__xludf.DUMMYFUNCTION("""COMPUTED_VALUE"""),"4*Nithin Lal")</f>
        <v>4*Nithin Lal</v>
      </c>
      <c r="M1651" s="14">
        <f>IFERROR(__xludf.DUMMYFUNCTION("SPLIT(L1651,""*"")"),4.0)</f>
        <v>4</v>
      </c>
      <c r="N1651" s="14" t="str">
        <f>IFERROR(__xludf.DUMMYFUNCTION("""COMPUTED_VALUE"""),"Nithin Lal")</f>
        <v>Nithin Lal</v>
      </c>
      <c r="O1651" s="14" t="str">
        <f>IFERROR(__xludf.DUMMYFUNCTION("split(J1651,""*"")"),"Delivered")</f>
        <v>Delivered</v>
      </c>
      <c r="P1651" s="14" t="str">
        <f>IFERROR(__xludf.DUMMYFUNCTION("""COMPUTED_VALUE"""),"Satisfied with the Delivery: Timely and quality")</f>
        <v>Satisfied with the Delivery: Timely and quality</v>
      </c>
      <c r="Q1651" s="14" t="str">
        <f>IFERROR(__xludf.DUMMYFUNCTION("split(P1651,"":"")"),"Satisfied with the Delivery")</f>
        <v>Satisfied with the Delivery</v>
      </c>
      <c r="R1651" s="14" t="str">
        <f>IFERROR(__xludf.DUMMYFUNCTION("""COMPUTED_VALUE""")," Timely and quality")</f>
        <v> Timely and quality</v>
      </c>
      <c r="S1651" s="14" t="str">
        <f t="shared" ref="S1651:U1651" si="3305">trim(B1651)</f>
        <v>ord_71629</v>
      </c>
      <c r="T1651" s="14" t="str">
        <f t="shared" si="3305"/>
        <v>Parth Goel</v>
      </c>
      <c r="U1651" s="14" t="str">
        <f t="shared" si="3305"/>
        <v>Juhu</v>
      </c>
      <c r="V1651" s="14" t="str">
        <f t="shared" si="4"/>
        <v>Chocolate Mousse</v>
      </c>
      <c r="W1651" s="14">
        <f t="shared" si="5"/>
        <v>4</v>
      </c>
      <c r="X1651" s="14" t="str">
        <f t="shared" si="6"/>
        <v>Nithin Lal</v>
      </c>
      <c r="Y1651" s="15">
        <f t="shared" si="7"/>
        <v>45059</v>
      </c>
      <c r="Z1651" s="14" t="str">
        <f t="shared" si="8"/>
        <v>Credit Card</v>
      </c>
      <c r="AA1651" s="14" t="str">
        <f t="shared" si="9"/>
        <v>Delivered</v>
      </c>
      <c r="AB1651" s="14" t="str">
        <f t="shared" ref="AB1651:AC1651" si="3306">trim(Q1651)</f>
        <v>Satisfied with the Delivery</v>
      </c>
      <c r="AC1651" s="14" t="str">
        <f t="shared" si="3306"/>
        <v>Timely and quality</v>
      </c>
      <c r="AD1651" s="8"/>
    </row>
    <row r="1652">
      <c r="A1652" s="14" t="str">
        <f>IFERROR(__xludf.DUMMYFUNCTION("""COMPUTED_VALUE"""),"//ord_71630//Sakshi Tandon//Colaba//Juice+3*Not Assigned/9/9/2023//Online Payment//Cancelled*Payment Issues")</f>
        <v>//ord_71630//Sakshi Tandon//Colaba//Juice+3*Not Assigned/9/9/2023//Online Payment//Cancelled*Payment Issues</v>
      </c>
      <c r="B1652" s="14" t="str">
        <f>IFERROR(__xludf.DUMMYFUNCTION("split(A1652,""//"")"),"ord_71630")</f>
        <v>ord_71630</v>
      </c>
      <c r="C1652" s="14" t="str">
        <f>IFERROR(__xludf.DUMMYFUNCTION("""COMPUTED_VALUE"""),"Sakshi Tandon")</f>
        <v>Sakshi Tandon</v>
      </c>
      <c r="D1652" s="14" t="str">
        <f>IFERROR(__xludf.DUMMYFUNCTION("""COMPUTED_VALUE"""),"Colaba")</f>
        <v>Colaba</v>
      </c>
      <c r="E1652" s="14" t="str">
        <f>IFERROR(__xludf.DUMMYFUNCTION("""COMPUTED_VALUE"""),"Juice+3*Not Assigned")</f>
        <v>Juice+3*Not Assigned</v>
      </c>
      <c r="F1652" s="14">
        <f>IFERROR(__xludf.DUMMYFUNCTION("""COMPUTED_VALUE"""),9.0)</f>
        <v>9</v>
      </c>
      <c r="G1652" s="14">
        <f>IFERROR(__xludf.DUMMYFUNCTION("""COMPUTED_VALUE"""),9.0)</f>
        <v>9</v>
      </c>
      <c r="H1652" s="14">
        <f>IFERROR(__xludf.DUMMYFUNCTION("""COMPUTED_VALUE"""),2023.0)</f>
        <v>2023</v>
      </c>
      <c r="I1652" s="14" t="str">
        <f>IFERROR(__xludf.DUMMYFUNCTION("""COMPUTED_VALUE"""),"Online Payment")</f>
        <v>Online Payment</v>
      </c>
      <c r="J1652" s="14" t="str">
        <f>IFERROR(__xludf.DUMMYFUNCTION("""COMPUTED_VALUE"""),"Cancelled*Payment Issues")</f>
        <v>Cancelled*Payment Issues</v>
      </c>
      <c r="K1652" s="14" t="str">
        <f>IFERROR(__xludf.DUMMYFUNCTION("split(E1652,""+"")"),"Juice")</f>
        <v>Juice</v>
      </c>
      <c r="L1652" s="14" t="str">
        <f>IFERROR(__xludf.DUMMYFUNCTION("""COMPUTED_VALUE"""),"3*Not Assigned")</f>
        <v>3*Not Assigned</v>
      </c>
      <c r="M1652" s="14">
        <f>IFERROR(__xludf.DUMMYFUNCTION("SPLIT(L1652,""*"")"),3.0)</f>
        <v>3</v>
      </c>
      <c r="N1652" s="14" t="str">
        <f>IFERROR(__xludf.DUMMYFUNCTION("""COMPUTED_VALUE"""),"Not Assigned")</f>
        <v>Not Assigned</v>
      </c>
      <c r="O1652" s="14" t="str">
        <f>IFERROR(__xludf.DUMMYFUNCTION("split(J1652,""*"")"),"Cancelled")</f>
        <v>Cancelled</v>
      </c>
      <c r="P1652" s="14" t="str">
        <f>IFERROR(__xludf.DUMMYFUNCTION("""COMPUTED_VALUE"""),"Payment Issues")</f>
        <v>Payment Issues</v>
      </c>
      <c r="Q1652" s="14" t="str">
        <f>IFERROR(__xludf.DUMMYFUNCTION("split(P1652,"":"")"),"Payment Issues")</f>
        <v>Payment Issues</v>
      </c>
      <c r="R1652" s="14"/>
      <c r="S1652" s="14" t="str">
        <f t="shared" ref="S1652:U1652" si="3307">trim(B1652)</f>
        <v>ord_71630</v>
      </c>
      <c r="T1652" s="14" t="str">
        <f t="shared" si="3307"/>
        <v>Sakshi Tandon</v>
      </c>
      <c r="U1652" s="14" t="str">
        <f t="shared" si="3307"/>
        <v>Colaba</v>
      </c>
      <c r="V1652" s="14" t="str">
        <f t="shared" si="4"/>
        <v>Juice</v>
      </c>
      <c r="W1652" s="14">
        <f t="shared" si="5"/>
        <v>3</v>
      </c>
      <c r="X1652" s="14" t="str">
        <f t="shared" si="6"/>
        <v>Not Assigned</v>
      </c>
      <c r="Y1652" s="15">
        <f t="shared" si="7"/>
        <v>45178</v>
      </c>
      <c r="Z1652" s="14" t="str">
        <f t="shared" si="8"/>
        <v>Online Payment</v>
      </c>
      <c r="AA1652" s="14" t="str">
        <f t="shared" si="9"/>
        <v>Cancelled</v>
      </c>
      <c r="AB1652" s="14" t="str">
        <f t="shared" ref="AB1652:AC1652" si="3308">trim(Q1652)</f>
        <v>Payment Issues</v>
      </c>
      <c r="AC1652" s="14" t="str">
        <f t="shared" si="3308"/>
        <v/>
      </c>
      <c r="AD1652" s="8"/>
    </row>
    <row r="1653">
      <c r="A1653" s="14" t="str">
        <f>IFERROR(__xludf.DUMMYFUNCTION("""COMPUTED_VALUE"""),"//ord_71631//Kritika Shetty//Malad//Icecream+3*Aman Kumar/3/18/2023//Credit Card//Cancelled*Delayed Delivery:Traffic Accidents or Road Closures")</f>
        <v>//ord_71631//Kritika Shetty//Malad//Icecream+3*Aman Kumar/3/18/2023//Credit Card//Cancelled*Delayed Delivery:Traffic Accidents or Road Closures</v>
      </c>
      <c r="B1653" s="14" t="str">
        <f>IFERROR(__xludf.DUMMYFUNCTION("split(A1653,""//"")"),"ord_71631")</f>
        <v>ord_71631</v>
      </c>
      <c r="C1653" s="14" t="str">
        <f>IFERROR(__xludf.DUMMYFUNCTION("""COMPUTED_VALUE"""),"Kritika Shetty")</f>
        <v>Kritika Shetty</v>
      </c>
      <c r="D1653" s="14" t="str">
        <f>IFERROR(__xludf.DUMMYFUNCTION("""COMPUTED_VALUE"""),"Malad")</f>
        <v>Malad</v>
      </c>
      <c r="E1653" s="14" t="str">
        <f>IFERROR(__xludf.DUMMYFUNCTION("""COMPUTED_VALUE"""),"Icecream+3*Aman Kumar")</f>
        <v>Icecream+3*Aman Kumar</v>
      </c>
      <c r="F1653" s="14">
        <f>IFERROR(__xludf.DUMMYFUNCTION("""COMPUTED_VALUE"""),3.0)</f>
        <v>3</v>
      </c>
      <c r="G1653" s="14">
        <f>IFERROR(__xludf.DUMMYFUNCTION("""COMPUTED_VALUE"""),18.0)</f>
        <v>18</v>
      </c>
      <c r="H1653" s="14">
        <f>IFERROR(__xludf.DUMMYFUNCTION("""COMPUTED_VALUE"""),2023.0)</f>
        <v>2023</v>
      </c>
      <c r="I1653" s="14" t="str">
        <f>IFERROR(__xludf.DUMMYFUNCTION("""COMPUTED_VALUE"""),"Credit Card")</f>
        <v>Credit Card</v>
      </c>
      <c r="J1653" s="14" t="str">
        <f>IFERROR(__xludf.DUMMYFUNCTION("""COMPUTED_VALUE"""),"Cancelled*Delayed Delivery:Traffic Accidents or Road Closures")</f>
        <v>Cancelled*Delayed Delivery:Traffic Accidents or Road Closures</v>
      </c>
      <c r="K1653" s="14" t="str">
        <f>IFERROR(__xludf.DUMMYFUNCTION("split(E1653,""+"")"),"Icecream")</f>
        <v>Icecream</v>
      </c>
      <c r="L1653" s="14" t="str">
        <f>IFERROR(__xludf.DUMMYFUNCTION("""COMPUTED_VALUE"""),"3*Aman Kumar")</f>
        <v>3*Aman Kumar</v>
      </c>
      <c r="M1653" s="14">
        <f>IFERROR(__xludf.DUMMYFUNCTION("SPLIT(L1653,""*"")"),3.0)</f>
        <v>3</v>
      </c>
      <c r="N1653" s="14" t="str">
        <f>IFERROR(__xludf.DUMMYFUNCTION("""COMPUTED_VALUE"""),"Aman Kumar")</f>
        <v>Aman Kumar</v>
      </c>
      <c r="O1653" s="14" t="str">
        <f>IFERROR(__xludf.DUMMYFUNCTION("split(J1653,""*"")"),"Cancelled")</f>
        <v>Cancelled</v>
      </c>
      <c r="P1653" s="14" t="str">
        <f>IFERROR(__xludf.DUMMYFUNCTION("""COMPUTED_VALUE"""),"Delayed Delivery:Traffic Accidents or Road Closures")</f>
        <v>Delayed Delivery:Traffic Accidents or Road Closures</v>
      </c>
      <c r="Q1653" s="14" t="str">
        <f>IFERROR(__xludf.DUMMYFUNCTION("split(P1653,"":"")"),"Delayed Delivery")</f>
        <v>Delayed Delivery</v>
      </c>
      <c r="R1653" s="14" t="str">
        <f>IFERROR(__xludf.DUMMYFUNCTION("""COMPUTED_VALUE"""),"Traffic Accidents or Road Closures")</f>
        <v>Traffic Accidents or Road Closures</v>
      </c>
      <c r="S1653" s="14" t="str">
        <f t="shared" ref="S1653:U1653" si="3309">trim(B1653)</f>
        <v>ord_71631</v>
      </c>
      <c r="T1653" s="14" t="str">
        <f t="shared" si="3309"/>
        <v>Kritika Shetty</v>
      </c>
      <c r="U1653" s="14" t="str">
        <f t="shared" si="3309"/>
        <v>Malad</v>
      </c>
      <c r="V1653" s="14" t="str">
        <f t="shared" si="4"/>
        <v>Icecream</v>
      </c>
      <c r="W1653" s="14">
        <f t="shared" si="5"/>
        <v>3</v>
      </c>
      <c r="X1653" s="14" t="str">
        <f t="shared" si="6"/>
        <v>Aman Kumar</v>
      </c>
      <c r="Y1653" s="15">
        <f t="shared" si="7"/>
        <v>45003</v>
      </c>
      <c r="Z1653" s="14" t="str">
        <f t="shared" si="8"/>
        <v>Credit Card</v>
      </c>
      <c r="AA1653" s="14" t="str">
        <f t="shared" si="9"/>
        <v>Cancelled</v>
      </c>
      <c r="AB1653" s="14" t="str">
        <f t="shared" ref="AB1653:AC1653" si="3310">trim(Q1653)</f>
        <v>Delayed Delivery</v>
      </c>
      <c r="AC1653" s="14" t="str">
        <f t="shared" si="3310"/>
        <v>Traffic Accidents or Road Closures</v>
      </c>
      <c r="AD1653" s="8"/>
    </row>
    <row r="1654">
      <c r="A1654" s="14" t="str">
        <f>IFERROR(__xludf.DUMMYFUNCTION("""COMPUTED_VALUE"""),"//ord_71632//Siya Reddy//Juhu//Tomato+1*Tanvi Jain/2/6/2023//UPI//Delivered*Customer Service: Seamless and easy")</f>
        <v>//ord_71632//Siya Reddy//Juhu//Tomato+1*Tanvi Jain/2/6/2023//UPI//Delivered*Customer Service: Seamless and easy</v>
      </c>
      <c r="B1654" s="14" t="str">
        <f>IFERROR(__xludf.DUMMYFUNCTION("split(A1654,""//"")"),"ord_71632")</f>
        <v>ord_71632</v>
      </c>
      <c r="C1654" s="14" t="str">
        <f>IFERROR(__xludf.DUMMYFUNCTION("""COMPUTED_VALUE"""),"Siya Reddy")</f>
        <v>Siya Reddy</v>
      </c>
      <c r="D1654" s="14" t="str">
        <f>IFERROR(__xludf.DUMMYFUNCTION("""COMPUTED_VALUE"""),"Juhu")</f>
        <v>Juhu</v>
      </c>
      <c r="E1654" s="14" t="str">
        <f>IFERROR(__xludf.DUMMYFUNCTION("""COMPUTED_VALUE"""),"Tomato+1*Tanvi Jain")</f>
        <v>Tomato+1*Tanvi Jain</v>
      </c>
      <c r="F1654" s="14">
        <f>IFERROR(__xludf.DUMMYFUNCTION("""COMPUTED_VALUE"""),2.0)</f>
        <v>2</v>
      </c>
      <c r="G1654" s="14">
        <f>IFERROR(__xludf.DUMMYFUNCTION("""COMPUTED_VALUE"""),6.0)</f>
        <v>6</v>
      </c>
      <c r="H1654" s="14">
        <f>IFERROR(__xludf.DUMMYFUNCTION("""COMPUTED_VALUE"""),2023.0)</f>
        <v>2023</v>
      </c>
      <c r="I1654" s="14" t="str">
        <f>IFERROR(__xludf.DUMMYFUNCTION("""COMPUTED_VALUE"""),"UPI")</f>
        <v>UPI</v>
      </c>
      <c r="J1654" s="14" t="str">
        <f>IFERROR(__xludf.DUMMYFUNCTION("""COMPUTED_VALUE"""),"Delivered*Customer Service: Seamless and easy")</f>
        <v>Delivered*Customer Service: Seamless and easy</v>
      </c>
      <c r="K1654" s="14" t="str">
        <f>IFERROR(__xludf.DUMMYFUNCTION("split(E1654,""+"")"),"Tomato")</f>
        <v>Tomato</v>
      </c>
      <c r="L1654" s="14" t="str">
        <f>IFERROR(__xludf.DUMMYFUNCTION("""COMPUTED_VALUE"""),"1*Tanvi Jain")</f>
        <v>1*Tanvi Jain</v>
      </c>
      <c r="M1654" s="14">
        <f>IFERROR(__xludf.DUMMYFUNCTION("SPLIT(L1654,""*"")"),1.0)</f>
        <v>1</v>
      </c>
      <c r="N1654" s="14" t="str">
        <f>IFERROR(__xludf.DUMMYFUNCTION("""COMPUTED_VALUE"""),"Tanvi Jain")</f>
        <v>Tanvi Jain</v>
      </c>
      <c r="O1654" s="14" t="str">
        <f>IFERROR(__xludf.DUMMYFUNCTION("split(J1654,""*"")"),"Delivered")</f>
        <v>Delivered</v>
      </c>
      <c r="P1654" s="14" t="str">
        <f>IFERROR(__xludf.DUMMYFUNCTION("""COMPUTED_VALUE"""),"Customer Service: Seamless and easy")</f>
        <v>Customer Service: Seamless and easy</v>
      </c>
      <c r="Q1654" s="14" t="str">
        <f>IFERROR(__xludf.DUMMYFUNCTION("split(P1654,"":"")"),"Customer Service")</f>
        <v>Customer Service</v>
      </c>
      <c r="R1654" s="14" t="str">
        <f>IFERROR(__xludf.DUMMYFUNCTION("""COMPUTED_VALUE""")," Seamless and easy")</f>
        <v> Seamless and easy</v>
      </c>
      <c r="S1654" s="14" t="str">
        <f t="shared" ref="S1654:U1654" si="3311">trim(B1654)</f>
        <v>ord_71632</v>
      </c>
      <c r="T1654" s="14" t="str">
        <f t="shared" si="3311"/>
        <v>Siya Reddy</v>
      </c>
      <c r="U1654" s="14" t="str">
        <f t="shared" si="3311"/>
        <v>Juhu</v>
      </c>
      <c r="V1654" s="14" t="str">
        <f t="shared" si="4"/>
        <v>Tomato</v>
      </c>
      <c r="W1654" s="14">
        <f t="shared" si="5"/>
        <v>1</v>
      </c>
      <c r="X1654" s="14" t="str">
        <f t="shared" si="6"/>
        <v>Tanvi Jain</v>
      </c>
      <c r="Y1654" s="15">
        <f t="shared" si="7"/>
        <v>44963</v>
      </c>
      <c r="Z1654" s="14" t="str">
        <f t="shared" si="8"/>
        <v>UPI</v>
      </c>
      <c r="AA1654" s="14" t="str">
        <f t="shared" si="9"/>
        <v>Delivered</v>
      </c>
      <c r="AB1654" s="14" t="str">
        <f t="shared" ref="AB1654:AC1654" si="3312">trim(Q1654)</f>
        <v>Customer Service</v>
      </c>
      <c r="AC1654" s="14" t="str">
        <f t="shared" si="3312"/>
        <v>Seamless and easy</v>
      </c>
      <c r="AD1654" s="8"/>
    </row>
    <row r="1655">
      <c r="A1655" s="14" t="str">
        <f>IFERROR(__xludf.DUMMYFUNCTION("""COMPUTED_VALUE"""),"//ord_71633//Aarohi Kapoor//Bandra//Potato+1*Not Assigned/5/22/2023//Online Payment//Cancelled*App Glitches: Payment Button Malfunction")</f>
        <v>//ord_71633//Aarohi Kapoor//Bandra//Potato+1*Not Assigned/5/22/2023//Online Payment//Cancelled*App Glitches: Payment Button Malfunction</v>
      </c>
      <c r="B1655" s="14" t="str">
        <f>IFERROR(__xludf.DUMMYFUNCTION("split(A1655,""//"")"),"ord_71633")</f>
        <v>ord_71633</v>
      </c>
      <c r="C1655" s="14" t="str">
        <f>IFERROR(__xludf.DUMMYFUNCTION("""COMPUTED_VALUE"""),"Aarohi Kapoor")</f>
        <v>Aarohi Kapoor</v>
      </c>
      <c r="D1655" s="14" t="str">
        <f>IFERROR(__xludf.DUMMYFUNCTION("""COMPUTED_VALUE"""),"Bandra")</f>
        <v>Bandra</v>
      </c>
      <c r="E1655" s="14" t="str">
        <f>IFERROR(__xludf.DUMMYFUNCTION("""COMPUTED_VALUE"""),"Potato+1*Not Assigned")</f>
        <v>Potato+1*Not Assigned</v>
      </c>
      <c r="F1655" s="14">
        <f>IFERROR(__xludf.DUMMYFUNCTION("""COMPUTED_VALUE"""),5.0)</f>
        <v>5</v>
      </c>
      <c r="G1655" s="14">
        <f>IFERROR(__xludf.DUMMYFUNCTION("""COMPUTED_VALUE"""),22.0)</f>
        <v>22</v>
      </c>
      <c r="H1655" s="14">
        <f>IFERROR(__xludf.DUMMYFUNCTION("""COMPUTED_VALUE"""),2023.0)</f>
        <v>2023</v>
      </c>
      <c r="I1655" s="14" t="str">
        <f>IFERROR(__xludf.DUMMYFUNCTION("""COMPUTED_VALUE"""),"Online Payment")</f>
        <v>Online Payment</v>
      </c>
      <c r="J1655" s="14" t="str">
        <f>IFERROR(__xludf.DUMMYFUNCTION("""COMPUTED_VALUE"""),"Cancelled*App Glitches: Payment Button Malfunction")</f>
        <v>Cancelled*App Glitches: Payment Button Malfunction</v>
      </c>
      <c r="K1655" s="14" t="str">
        <f>IFERROR(__xludf.DUMMYFUNCTION("split(E1655,""+"")"),"Potato")</f>
        <v>Potato</v>
      </c>
      <c r="L1655" s="14" t="str">
        <f>IFERROR(__xludf.DUMMYFUNCTION("""COMPUTED_VALUE"""),"1*Not Assigned")</f>
        <v>1*Not Assigned</v>
      </c>
      <c r="M1655" s="14">
        <f>IFERROR(__xludf.DUMMYFUNCTION("SPLIT(L1655,""*"")"),1.0)</f>
        <v>1</v>
      </c>
      <c r="N1655" s="14" t="str">
        <f>IFERROR(__xludf.DUMMYFUNCTION("""COMPUTED_VALUE"""),"Not Assigned")</f>
        <v>Not Assigned</v>
      </c>
      <c r="O1655" s="14" t="str">
        <f>IFERROR(__xludf.DUMMYFUNCTION("split(J1655,""*"")"),"Cancelled")</f>
        <v>Cancelled</v>
      </c>
      <c r="P1655" s="14" t="str">
        <f>IFERROR(__xludf.DUMMYFUNCTION("""COMPUTED_VALUE"""),"App Glitches: Payment Button Malfunction")</f>
        <v>App Glitches: Payment Button Malfunction</v>
      </c>
      <c r="Q1655" s="14" t="str">
        <f>IFERROR(__xludf.DUMMYFUNCTION("split(P1655,"":"")"),"App Glitches")</f>
        <v>App Glitches</v>
      </c>
      <c r="R1655" s="14" t="str">
        <f>IFERROR(__xludf.DUMMYFUNCTION("""COMPUTED_VALUE""")," Payment Button Malfunction")</f>
        <v> Payment Button Malfunction</v>
      </c>
      <c r="S1655" s="14" t="str">
        <f t="shared" ref="S1655:U1655" si="3313">trim(B1655)</f>
        <v>ord_71633</v>
      </c>
      <c r="T1655" s="14" t="str">
        <f t="shared" si="3313"/>
        <v>Aarohi Kapoor</v>
      </c>
      <c r="U1655" s="14" t="str">
        <f t="shared" si="3313"/>
        <v>Bandra</v>
      </c>
      <c r="V1655" s="14" t="str">
        <f t="shared" si="4"/>
        <v>Potato</v>
      </c>
      <c r="W1655" s="14">
        <f t="shared" si="5"/>
        <v>1</v>
      </c>
      <c r="X1655" s="14" t="str">
        <f t="shared" si="6"/>
        <v>Not Assigned</v>
      </c>
      <c r="Y1655" s="15">
        <f t="shared" si="7"/>
        <v>45068</v>
      </c>
      <c r="Z1655" s="14" t="str">
        <f t="shared" si="8"/>
        <v>Online Payment</v>
      </c>
      <c r="AA1655" s="14" t="str">
        <f t="shared" si="9"/>
        <v>Cancelled</v>
      </c>
      <c r="AB1655" s="14" t="str">
        <f t="shared" ref="AB1655:AC1655" si="3314">trim(Q1655)</f>
        <v>App Glitches</v>
      </c>
      <c r="AC1655" s="14" t="str">
        <f t="shared" si="3314"/>
        <v>Payment Button Malfunction</v>
      </c>
      <c r="AD1655" s="8"/>
    </row>
    <row r="1656">
      <c r="A1656" s="14" t="str">
        <f>IFERROR(__xludf.DUMMYFUNCTION("""COMPUTED_VALUE"""),"//ord_71634//Pranav Joshi//Andheri//Guava+1*Vivek Kumar/5/5/2023//UPI//Cancelled*Delayed Delivery:High Order Volume")</f>
        <v>//ord_71634//Pranav Joshi//Andheri//Guava+1*Vivek Kumar/5/5/2023//UPI//Cancelled*Delayed Delivery:High Order Volume</v>
      </c>
      <c r="B1656" s="14" t="str">
        <f>IFERROR(__xludf.DUMMYFUNCTION("split(A1656,""//"")"),"ord_71634")</f>
        <v>ord_71634</v>
      </c>
      <c r="C1656" s="14" t="str">
        <f>IFERROR(__xludf.DUMMYFUNCTION("""COMPUTED_VALUE"""),"Pranav Joshi")</f>
        <v>Pranav Joshi</v>
      </c>
      <c r="D1656" s="14" t="str">
        <f>IFERROR(__xludf.DUMMYFUNCTION("""COMPUTED_VALUE"""),"Andheri")</f>
        <v>Andheri</v>
      </c>
      <c r="E1656" s="14" t="str">
        <f>IFERROR(__xludf.DUMMYFUNCTION("""COMPUTED_VALUE"""),"Guava+1*Vivek Kumar")</f>
        <v>Guava+1*Vivek Kumar</v>
      </c>
      <c r="F1656" s="14">
        <f>IFERROR(__xludf.DUMMYFUNCTION("""COMPUTED_VALUE"""),5.0)</f>
        <v>5</v>
      </c>
      <c r="G1656" s="14">
        <f>IFERROR(__xludf.DUMMYFUNCTION("""COMPUTED_VALUE"""),5.0)</f>
        <v>5</v>
      </c>
      <c r="H1656" s="14">
        <f>IFERROR(__xludf.DUMMYFUNCTION("""COMPUTED_VALUE"""),2023.0)</f>
        <v>2023</v>
      </c>
      <c r="I1656" s="14" t="str">
        <f>IFERROR(__xludf.DUMMYFUNCTION("""COMPUTED_VALUE"""),"UPI")</f>
        <v>UPI</v>
      </c>
      <c r="J1656" s="14" t="str">
        <f>IFERROR(__xludf.DUMMYFUNCTION("""COMPUTED_VALUE"""),"Cancelled*Delayed Delivery:High Order Volume")</f>
        <v>Cancelled*Delayed Delivery:High Order Volume</v>
      </c>
      <c r="K1656" s="14" t="str">
        <f>IFERROR(__xludf.DUMMYFUNCTION("split(E1656,""+"")"),"Guava")</f>
        <v>Guava</v>
      </c>
      <c r="L1656" s="14" t="str">
        <f>IFERROR(__xludf.DUMMYFUNCTION("""COMPUTED_VALUE"""),"1*Vivek Kumar")</f>
        <v>1*Vivek Kumar</v>
      </c>
      <c r="M1656" s="14">
        <f>IFERROR(__xludf.DUMMYFUNCTION("SPLIT(L1656,""*"")"),1.0)</f>
        <v>1</v>
      </c>
      <c r="N1656" s="14" t="str">
        <f>IFERROR(__xludf.DUMMYFUNCTION("""COMPUTED_VALUE"""),"Vivek Kumar")</f>
        <v>Vivek Kumar</v>
      </c>
      <c r="O1656" s="14" t="str">
        <f>IFERROR(__xludf.DUMMYFUNCTION("split(J1656,""*"")"),"Cancelled")</f>
        <v>Cancelled</v>
      </c>
      <c r="P1656" s="14" t="str">
        <f>IFERROR(__xludf.DUMMYFUNCTION("""COMPUTED_VALUE"""),"Delayed Delivery:High Order Volume")</f>
        <v>Delayed Delivery:High Order Volume</v>
      </c>
      <c r="Q1656" s="14" t="str">
        <f>IFERROR(__xludf.DUMMYFUNCTION("split(P1656,"":"")"),"Delayed Delivery")</f>
        <v>Delayed Delivery</v>
      </c>
      <c r="R1656" s="14" t="str">
        <f>IFERROR(__xludf.DUMMYFUNCTION("""COMPUTED_VALUE"""),"High Order Volume")</f>
        <v>High Order Volume</v>
      </c>
      <c r="S1656" s="14" t="str">
        <f t="shared" ref="S1656:U1656" si="3315">trim(B1656)</f>
        <v>ord_71634</v>
      </c>
      <c r="T1656" s="14" t="str">
        <f t="shared" si="3315"/>
        <v>Pranav Joshi</v>
      </c>
      <c r="U1656" s="14" t="str">
        <f t="shared" si="3315"/>
        <v>Andheri</v>
      </c>
      <c r="V1656" s="14" t="str">
        <f t="shared" si="4"/>
        <v>Guava</v>
      </c>
      <c r="W1656" s="14">
        <f t="shared" si="5"/>
        <v>1</v>
      </c>
      <c r="X1656" s="14" t="str">
        <f t="shared" si="6"/>
        <v>Vivek Kumar</v>
      </c>
      <c r="Y1656" s="15">
        <f t="shared" si="7"/>
        <v>45051</v>
      </c>
      <c r="Z1656" s="14" t="str">
        <f t="shared" si="8"/>
        <v>UPI</v>
      </c>
      <c r="AA1656" s="14" t="str">
        <f t="shared" si="9"/>
        <v>Cancelled</v>
      </c>
      <c r="AB1656" s="14" t="str">
        <f t="shared" ref="AB1656:AC1656" si="3316">trim(Q1656)</f>
        <v>Delayed Delivery</v>
      </c>
      <c r="AC1656" s="14" t="str">
        <f t="shared" si="3316"/>
        <v>High Order Volume</v>
      </c>
      <c r="AD1656" s="8"/>
    </row>
    <row r="1657">
      <c r="A1657" s="14" t="str">
        <f>IFERROR(__xludf.DUMMYFUNCTION("""COMPUTED_VALUE"""),"//ord_71635//Aditi Iyer//Dadar//Cucumber+2*Aman Kumar/2/10/2023//UPI//Delivered*Delivery Experience: Quick and professional")</f>
        <v>//ord_71635//Aditi Iyer//Dadar//Cucumber+2*Aman Kumar/2/10/2023//UPI//Delivered*Delivery Experience: Quick and professional</v>
      </c>
      <c r="B1657" s="14" t="str">
        <f>IFERROR(__xludf.DUMMYFUNCTION("split(A1657,""//"")"),"ord_71635")</f>
        <v>ord_71635</v>
      </c>
      <c r="C1657" s="14" t="str">
        <f>IFERROR(__xludf.DUMMYFUNCTION("""COMPUTED_VALUE"""),"Aditi Iyer")</f>
        <v>Aditi Iyer</v>
      </c>
      <c r="D1657" s="14" t="str">
        <f>IFERROR(__xludf.DUMMYFUNCTION("""COMPUTED_VALUE"""),"Dadar")</f>
        <v>Dadar</v>
      </c>
      <c r="E1657" s="14" t="str">
        <f>IFERROR(__xludf.DUMMYFUNCTION("""COMPUTED_VALUE"""),"Cucumber+2*Aman Kumar")</f>
        <v>Cucumber+2*Aman Kumar</v>
      </c>
      <c r="F1657" s="14">
        <f>IFERROR(__xludf.DUMMYFUNCTION("""COMPUTED_VALUE"""),2.0)</f>
        <v>2</v>
      </c>
      <c r="G1657" s="14">
        <f>IFERROR(__xludf.DUMMYFUNCTION("""COMPUTED_VALUE"""),10.0)</f>
        <v>10</v>
      </c>
      <c r="H1657" s="14">
        <f>IFERROR(__xludf.DUMMYFUNCTION("""COMPUTED_VALUE"""),2023.0)</f>
        <v>2023</v>
      </c>
      <c r="I1657" s="14" t="str">
        <f>IFERROR(__xludf.DUMMYFUNCTION("""COMPUTED_VALUE"""),"UPI")</f>
        <v>UPI</v>
      </c>
      <c r="J1657" s="14" t="str">
        <f>IFERROR(__xludf.DUMMYFUNCTION("""COMPUTED_VALUE"""),"Delivered*Delivery Experience: Quick and professional")</f>
        <v>Delivered*Delivery Experience: Quick and professional</v>
      </c>
      <c r="K1657" s="14" t="str">
        <f>IFERROR(__xludf.DUMMYFUNCTION("split(E1657,""+"")"),"Cucumber")</f>
        <v>Cucumber</v>
      </c>
      <c r="L1657" s="14" t="str">
        <f>IFERROR(__xludf.DUMMYFUNCTION("""COMPUTED_VALUE"""),"2*Aman Kumar")</f>
        <v>2*Aman Kumar</v>
      </c>
      <c r="M1657" s="14">
        <f>IFERROR(__xludf.DUMMYFUNCTION("SPLIT(L1657,""*"")"),2.0)</f>
        <v>2</v>
      </c>
      <c r="N1657" s="14" t="str">
        <f>IFERROR(__xludf.DUMMYFUNCTION("""COMPUTED_VALUE"""),"Aman Kumar")</f>
        <v>Aman Kumar</v>
      </c>
      <c r="O1657" s="14" t="str">
        <f>IFERROR(__xludf.DUMMYFUNCTION("split(J1657,""*"")"),"Delivered")</f>
        <v>Delivered</v>
      </c>
      <c r="P1657" s="14" t="str">
        <f>IFERROR(__xludf.DUMMYFUNCTION("""COMPUTED_VALUE"""),"Delivery Experience: Quick and professional")</f>
        <v>Delivery Experience: Quick and professional</v>
      </c>
      <c r="Q1657" s="14" t="str">
        <f>IFERROR(__xludf.DUMMYFUNCTION("split(P1657,"":"")"),"Delivery Experience")</f>
        <v>Delivery Experience</v>
      </c>
      <c r="R1657" s="14" t="str">
        <f>IFERROR(__xludf.DUMMYFUNCTION("""COMPUTED_VALUE""")," Quick and professional")</f>
        <v> Quick and professional</v>
      </c>
      <c r="S1657" s="14" t="str">
        <f t="shared" ref="S1657:U1657" si="3317">trim(B1657)</f>
        <v>ord_71635</v>
      </c>
      <c r="T1657" s="14" t="str">
        <f t="shared" si="3317"/>
        <v>Aditi Iyer</v>
      </c>
      <c r="U1657" s="14" t="str">
        <f t="shared" si="3317"/>
        <v>Dadar</v>
      </c>
      <c r="V1657" s="14" t="str">
        <f t="shared" si="4"/>
        <v>Cucumber</v>
      </c>
      <c r="W1657" s="14">
        <f t="shared" si="5"/>
        <v>2</v>
      </c>
      <c r="X1657" s="14" t="str">
        <f t="shared" si="6"/>
        <v>Aman Kumar</v>
      </c>
      <c r="Y1657" s="15">
        <f t="shared" si="7"/>
        <v>44967</v>
      </c>
      <c r="Z1657" s="14" t="str">
        <f t="shared" si="8"/>
        <v>UPI</v>
      </c>
      <c r="AA1657" s="14" t="str">
        <f t="shared" si="9"/>
        <v>Delivered</v>
      </c>
      <c r="AB1657" s="14" t="str">
        <f t="shared" ref="AB1657:AC1657" si="3318">trim(Q1657)</f>
        <v>Delivery Experience</v>
      </c>
      <c r="AC1657" s="14" t="str">
        <f t="shared" si="3318"/>
        <v>Quick and professional</v>
      </c>
      <c r="AD1657" s="8"/>
    </row>
    <row r="1658">
      <c r="A1658" s="14" t="str">
        <f>IFERROR(__xludf.DUMMYFUNCTION("""COMPUTED_VALUE"""),"//ord_71636//Sanjay Nair//Dadar//Sweet Corn+1*Aman Kumar/6/28/2023//UPI//Delivered*Convenience: Easy tracking")</f>
        <v>//ord_71636//Sanjay Nair//Dadar//Sweet Corn+1*Aman Kumar/6/28/2023//UPI//Delivered*Convenience: Easy tracking</v>
      </c>
      <c r="B1658" s="14" t="str">
        <f>IFERROR(__xludf.DUMMYFUNCTION("split(A1658,""//"")"),"ord_71636")</f>
        <v>ord_71636</v>
      </c>
      <c r="C1658" s="14" t="str">
        <f>IFERROR(__xludf.DUMMYFUNCTION("""COMPUTED_VALUE"""),"Sanjay Nair")</f>
        <v>Sanjay Nair</v>
      </c>
      <c r="D1658" s="14" t="str">
        <f>IFERROR(__xludf.DUMMYFUNCTION("""COMPUTED_VALUE"""),"Dadar")</f>
        <v>Dadar</v>
      </c>
      <c r="E1658" s="14" t="str">
        <f>IFERROR(__xludf.DUMMYFUNCTION("""COMPUTED_VALUE"""),"Sweet Corn+1*Aman Kumar")</f>
        <v>Sweet Corn+1*Aman Kumar</v>
      </c>
      <c r="F1658" s="14">
        <f>IFERROR(__xludf.DUMMYFUNCTION("""COMPUTED_VALUE"""),6.0)</f>
        <v>6</v>
      </c>
      <c r="G1658" s="14">
        <f>IFERROR(__xludf.DUMMYFUNCTION("""COMPUTED_VALUE"""),28.0)</f>
        <v>28</v>
      </c>
      <c r="H1658" s="14">
        <f>IFERROR(__xludf.DUMMYFUNCTION("""COMPUTED_VALUE"""),2023.0)</f>
        <v>2023</v>
      </c>
      <c r="I1658" s="14" t="str">
        <f>IFERROR(__xludf.DUMMYFUNCTION("""COMPUTED_VALUE"""),"UPI")</f>
        <v>UPI</v>
      </c>
      <c r="J1658" s="14" t="str">
        <f>IFERROR(__xludf.DUMMYFUNCTION("""COMPUTED_VALUE"""),"Delivered*Convenience: Easy tracking")</f>
        <v>Delivered*Convenience: Easy tracking</v>
      </c>
      <c r="K1658" s="14" t="str">
        <f>IFERROR(__xludf.DUMMYFUNCTION("split(E1658,""+"")"),"Sweet Corn")</f>
        <v>Sweet Corn</v>
      </c>
      <c r="L1658" s="14" t="str">
        <f>IFERROR(__xludf.DUMMYFUNCTION("""COMPUTED_VALUE"""),"1*Aman Kumar")</f>
        <v>1*Aman Kumar</v>
      </c>
      <c r="M1658" s="14">
        <f>IFERROR(__xludf.DUMMYFUNCTION("SPLIT(L1658,""*"")"),1.0)</f>
        <v>1</v>
      </c>
      <c r="N1658" s="14" t="str">
        <f>IFERROR(__xludf.DUMMYFUNCTION("""COMPUTED_VALUE"""),"Aman Kumar")</f>
        <v>Aman Kumar</v>
      </c>
      <c r="O1658" s="14" t="str">
        <f>IFERROR(__xludf.DUMMYFUNCTION("split(J1658,""*"")"),"Delivered")</f>
        <v>Delivered</v>
      </c>
      <c r="P1658" s="14" t="str">
        <f>IFERROR(__xludf.DUMMYFUNCTION("""COMPUTED_VALUE"""),"Convenience: Easy tracking")</f>
        <v>Convenience: Easy tracking</v>
      </c>
      <c r="Q1658" s="14" t="str">
        <f>IFERROR(__xludf.DUMMYFUNCTION("split(P1658,"":"")"),"Convenience")</f>
        <v>Convenience</v>
      </c>
      <c r="R1658" s="14" t="str">
        <f>IFERROR(__xludf.DUMMYFUNCTION("""COMPUTED_VALUE""")," Easy tracking")</f>
        <v> Easy tracking</v>
      </c>
      <c r="S1658" s="14" t="str">
        <f t="shared" ref="S1658:U1658" si="3319">trim(B1658)</f>
        <v>ord_71636</v>
      </c>
      <c r="T1658" s="14" t="str">
        <f t="shared" si="3319"/>
        <v>Sanjay Nair</v>
      </c>
      <c r="U1658" s="14" t="str">
        <f t="shared" si="3319"/>
        <v>Dadar</v>
      </c>
      <c r="V1658" s="14" t="str">
        <f t="shared" si="4"/>
        <v>Sweet Corn</v>
      </c>
      <c r="W1658" s="14">
        <f t="shared" si="5"/>
        <v>1</v>
      </c>
      <c r="X1658" s="14" t="str">
        <f t="shared" si="6"/>
        <v>Aman Kumar</v>
      </c>
      <c r="Y1658" s="15">
        <f t="shared" si="7"/>
        <v>45105</v>
      </c>
      <c r="Z1658" s="14" t="str">
        <f t="shared" si="8"/>
        <v>UPI</v>
      </c>
      <c r="AA1658" s="14" t="str">
        <f t="shared" si="9"/>
        <v>Delivered</v>
      </c>
      <c r="AB1658" s="14" t="str">
        <f t="shared" ref="AB1658:AC1658" si="3320">trim(Q1658)</f>
        <v>Convenience</v>
      </c>
      <c r="AC1658" s="14" t="str">
        <f t="shared" si="3320"/>
        <v>Easy tracking</v>
      </c>
      <c r="AD1658" s="8"/>
    </row>
    <row r="1659">
      <c r="A1659" s="14" t="str">
        <f>IFERROR(__xludf.DUMMYFUNCTION("""COMPUTED_VALUE"""),"//ord_71637//Sana Malik//Powai//Banana+3*Sandeep Kumar/8/22/2023//UPI//Delivered*Overall Satisfaction: Great service will order again")</f>
        <v>//ord_71637//Sana Malik//Powai//Banana+3*Sandeep Kumar/8/22/2023//UPI//Delivered*Overall Satisfaction: Great service will order again</v>
      </c>
      <c r="B1659" s="14" t="str">
        <f>IFERROR(__xludf.DUMMYFUNCTION("split(A1659,""//"")"),"ord_71637")</f>
        <v>ord_71637</v>
      </c>
      <c r="C1659" s="14" t="str">
        <f>IFERROR(__xludf.DUMMYFUNCTION("""COMPUTED_VALUE"""),"Sana Malik")</f>
        <v>Sana Malik</v>
      </c>
      <c r="D1659" s="14" t="str">
        <f>IFERROR(__xludf.DUMMYFUNCTION("""COMPUTED_VALUE"""),"Powai")</f>
        <v>Powai</v>
      </c>
      <c r="E1659" s="14" t="str">
        <f>IFERROR(__xludf.DUMMYFUNCTION("""COMPUTED_VALUE"""),"Banana+3*Sandeep Kumar")</f>
        <v>Banana+3*Sandeep Kumar</v>
      </c>
      <c r="F1659" s="14">
        <f>IFERROR(__xludf.DUMMYFUNCTION("""COMPUTED_VALUE"""),8.0)</f>
        <v>8</v>
      </c>
      <c r="G1659" s="14">
        <f>IFERROR(__xludf.DUMMYFUNCTION("""COMPUTED_VALUE"""),22.0)</f>
        <v>22</v>
      </c>
      <c r="H1659" s="14">
        <f>IFERROR(__xludf.DUMMYFUNCTION("""COMPUTED_VALUE"""),2023.0)</f>
        <v>2023</v>
      </c>
      <c r="I1659" s="14" t="str">
        <f>IFERROR(__xludf.DUMMYFUNCTION("""COMPUTED_VALUE"""),"UPI")</f>
        <v>UPI</v>
      </c>
      <c r="J1659" s="14" t="str">
        <f>IFERROR(__xludf.DUMMYFUNCTION("""COMPUTED_VALUE"""),"Delivered*Overall Satisfaction: Great service will order again")</f>
        <v>Delivered*Overall Satisfaction: Great service will order again</v>
      </c>
      <c r="K1659" s="14" t="str">
        <f>IFERROR(__xludf.DUMMYFUNCTION("split(E1659,""+"")"),"Banana")</f>
        <v>Banana</v>
      </c>
      <c r="L1659" s="14" t="str">
        <f>IFERROR(__xludf.DUMMYFUNCTION("""COMPUTED_VALUE"""),"3*Sandeep Kumar")</f>
        <v>3*Sandeep Kumar</v>
      </c>
      <c r="M1659" s="14">
        <f>IFERROR(__xludf.DUMMYFUNCTION("SPLIT(L1659,""*"")"),3.0)</f>
        <v>3</v>
      </c>
      <c r="N1659" s="14" t="str">
        <f>IFERROR(__xludf.DUMMYFUNCTION("""COMPUTED_VALUE"""),"Sandeep Kumar")</f>
        <v>Sandeep Kumar</v>
      </c>
      <c r="O1659" s="14" t="str">
        <f>IFERROR(__xludf.DUMMYFUNCTION("split(J1659,""*"")"),"Delivered")</f>
        <v>Delivered</v>
      </c>
      <c r="P1659" s="14" t="str">
        <f>IFERROR(__xludf.DUMMYFUNCTION("""COMPUTED_VALUE"""),"Overall Satisfaction: Great service will order again")</f>
        <v>Overall Satisfaction: Great service will order again</v>
      </c>
      <c r="Q1659" s="14" t="str">
        <f>IFERROR(__xludf.DUMMYFUNCTION("split(P1659,"":"")"),"Overall Satisfaction")</f>
        <v>Overall Satisfaction</v>
      </c>
      <c r="R1659" s="14" t="str">
        <f>IFERROR(__xludf.DUMMYFUNCTION("""COMPUTED_VALUE""")," Great service will order again")</f>
        <v> Great service will order again</v>
      </c>
      <c r="S1659" s="14" t="str">
        <f t="shared" ref="S1659:U1659" si="3321">trim(B1659)</f>
        <v>ord_71637</v>
      </c>
      <c r="T1659" s="14" t="str">
        <f t="shared" si="3321"/>
        <v>Sana Malik</v>
      </c>
      <c r="U1659" s="14" t="str">
        <f t="shared" si="3321"/>
        <v>Powai</v>
      </c>
      <c r="V1659" s="14" t="str">
        <f t="shared" si="4"/>
        <v>Banana</v>
      </c>
      <c r="W1659" s="14">
        <f t="shared" si="5"/>
        <v>3</v>
      </c>
      <c r="X1659" s="14" t="str">
        <f t="shared" si="6"/>
        <v>Sandeep Kumar</v>
      </c>
      <c r="Y1659" s="15">
        <f t="shared" si="7"/>
        <v>45160</v>
      </c>
      <c r="Z1659" s="14" t="str">
        <f t="shared" si="8"/>
        <v>UPI</v>
      </c>
      <c r="AA1659" s="14" t="str">
        <f t="shared" si="9"/>
        <v>Delivered</v>
      </c>
      <c r="AB1659" s="14" t="str">
        <f t="shared" ref="AB1659:AC1659" si="3322">trim(Q1659)</f>
        <v>Overall Satisfaction</v>
      </c>
      <c r="AC1659" s="14" t="str">
        <f t="shared" si="3322"/>
        <v>Great service will order again</v>
      </c>
      <c r="AD1659" s="8"/>
    </row>
    <row r="1660">
      <c r="A1660" s="14" t="str">
        <f>IFERROR(__xludf.DUMMYFUNCTION("""COMPUTED_VALUE"""),"//ord_71638//Yash Verma//Lower Parel//Cucumber+3*Kiran Mehta/8/10/2023//UPI//Delivered*On-time Delivery: Delivered on time")</f>
        <v>//ord_71638//Yash Verma//Lower Parel//Cucumber+3*Kiran Mehta/8/10/2023//UPI//Delivered*On-time Delivery: Delivered on time</v>
      </c>
      <c r="B1660" s="14" t="str">
        <f>IFERROR(__xludf.DUMMYFUNCTION("split(A1660,""//"")"),"ord_71638")</f>
        <v>ord_71638</v>
      </c>
      <c r="C1660" s="14" t="str">
        <f>IFERROR(__xludf.DUMMYFUNCTION("""COMPUTED_VALUE"""),"Yash Verma")</f>
        <v>Yash Verma</v>
      </c>
      <c r="D1660" s="14" t="str">
        <f>IFERROR(__xludf.DUMMYFUNCTION("""COMPUTED_VALUE"""),"Lower Parel")</f>
        <v>Lower Parel</v>
      </c>
      <c r="E1660" s="14" t="str">
        <f>IFERROR(__xludf.DUMMYFUNCTION("""COMPUTED_VALUE"""),"Cucumber+3*Kiran Mehta")</f>
        <v>Cucumber+3*Kiran Mehta</v>
      </c>
      <c r="F1660" s="14">
        <f>IFERROR(__xludf.DUMMYFUNCTION("""COMPUTED_VALUE"""),8.0)</f>
        <v>8</v>
      </c>
      <c r="G1660" s="14">
        <f>IFERROR(__xludf.DUMMYFUNCTION("""COMPUTED_VALUE"""),10.0)</f>
        <v>10</v>
      </c>
      <c r="H1660" s="14">
        <f>IFERROR(__xludf.DUMMYFUNCTION("""COMPUTED_VALUE"""),2023.0)</f>
        <v>2023</v>
      </c>
      <c r="I1660" s="14" t="str">
        <f>IFERROR(__xludf.DUMMYFUNCTION("""COMPUTED_VALUE"""),"UPI")</f>
        <v>UPI</v>
      </c>
      <c r="J1660" s="14" t="str">
        <f>IFERROR(__xludf.DUMMYFUNCTION("""COMPUTED_VALUE"""),"Delivered*On-time Delivery: Delivered on time")</f>
        <v>Delivered*On-time Delivery: Delivered on time</v>
      </c>
      <c r="K1660" s="14" t="str">
        <f>IFERROR(__xludf.DUMMYFUNCTION("split(E1660,""+"")"),"Cucumber")</f>
        <v>Cucumber</v>
      </c>
      <c r="L1660" s="14" t="str">
        <f>IFERROR(__xludf.DUMMYFUNCTION("""COMPUTED_VALUE"""),"3*Kiran Mehta")</f>
        <v>3*Kiran Mehta</v>
      </c>
      <c r="M1660" s="14">
        <f>IFERROR(__xludf.DUMMYFUNCTION("SPLIT(L1660,""*"")"),3.0)</f>
        <v>3</v>
      </c>
      <c r="N1660" s="14" t="str">
        <f>IFERROR(__xludf.DUMMYFUNCTION("""COMPUTED_VALUE"""),"Kiran Mehta")</f>
        <v>Kiran Mehta</v>
      </c>
      <c r="O1660" s="14" t="str">
        <f>IFERROR(__xludf.DUMMYFUNCTION("split(J1660,""*"")"),"Delivered")</f>
        <v>Delivered</v>
      </c>
      <c r="P1660" s="14" t="str">
        <f>IFERROR(__xludf.DUMMYFUNCTION("""COMPUTED_VALUE"""),"On-time Delivery: Delivered on time")</f>
        <v>On-time Delivery: Delivered on time</v>
      </c>
      <c r="Q1660" s="14" t="str">
        <f>IFERROR(__xludf.DUMMYFUNCTION("split(P1660,"":"")"),"On-time Delivery")</f>
        <v>On-time Delivery</v>
      </c>
      <c r="R1660" s="14" t="str">
        <f>IFERROR(__xludf.DUMMYFUNCTION("""COMPUTED_VALUE""")," Delivered on time")</f>
        <v> Delivered on time</v>
      </c>
      <c r="S1660" s="14" t="str">
        <f t="shared" ref="S1660:U1660" si="3323">trim(B1660)</f>
        <v>ord_71638</v>
      </c>
      <c r="T1660" s="14" t="str">
        <f t="shared" si="3323"/>
        <v>Yash Verma</v>
      </c>
      <c r="U1660" s="14" t="str">
        <f t="shared" si="3323"/>
        <v>Lower Parel</v>
      </c>
      <c r="V1660" s="14" t="str">
        <f t="shared" si="4"/>
        <v>Cucumber</v>
      </c>
      <c r="W1660" s="14">
        <f t="shared" si="5"/>
        <v>3</v>
      </c>
      <c r="X1660" s="14" t="str">
        <f t="shared" si="6"/>
        <v>Kiran Mehta</v>
      </c>
      <c r="Y1660" s="15">
        <f t="shared" si="7"/>
        <v>45148</v>
      </c>
      <c r="Z1660" s="14" t="str">
        <f t="shared" si="8"/>
        <v>UPI</v>
      </c>
      <c r="AA1660" s="14" t="str">
        <f t="shared" si="9"/>
        <v>Delivered</v>
      </c>
      <c r="AB1660" s="14" t="str">
        <f t="shared" ref="AB1660:AC1660" si="3324">trim(Q1660)</f>
        <v>On-time Delivery</v>
      </c>
      <c r="AC1660" s="14" t="str">
        <f t="shared" si="3324"/>
        <v>Delivered on time</v>
      </c>
      <c r="AD1660" s="8"/>
    </row>
    <row r="1661">
      <c r="A1661" s="14" t="str">
        <f>IFERROR(__xludf.DUMMYFUNCTION("""COMPUTED_VALUE"""),"//ord_71639//Sana Malik//Juhu//Tiramisu+6*Tanvi Jain/2/8/2023//Credit Card//Delivered*Quality of Items: Perfect condition")</f>
        <v>//ord_71639//Sana Malik//Juhu//Tiramisu+6*Tanvi Jain/2/8/2023//Credit Card//Delivered*Quality of Items: Perfect condition</v>
      </c>
      <c r="B1661" s="14" t="str">
        <f>IFERROR(__xludf.DUMMYFUNCTION("split(A1661,""//"")"),"ord_71639")</f>
        <v>ord_71639</v>
      </c>
      <c r="C1661" s="14" t="str">
        <f>IFERROR(__xludf.DUMMYFUNCTION("""COMPUTED_VALUE"""),"Sana Malik")</f>
        <v>Sana Malik</v>
      </c>
      <c r="D1661" s="14" t="str">
        <f>IFERROR(__xludf.DUMMYFUNCTION("""COMPUTED_VALUE"""),"Juhu")</f>
        <v>Juhu</v>
      </c>
      <c r="E1661" s="14" t="str">
        <f>IFERROR(__xludf.DUMMYFUNCTION("""COMPUTED_VALUE"""),"Tiramisu+6*Tanvi Jain")</f>
        <v>Tiramisu+6*Tanvi Jain</v>
      </c>
      <c r="F1661" s="14">
        <f>IFERROR(__xludf.DUMMYFUNCTION("""COMPUTED_VALUE"""),2.0)</f>
        <v>2</v>
      </c>
      <c r="G1661" s="14">
        <f>IFERROR(__xludf.DUMMYFUNCTION("""COMPUTED_VALUE"""),8.0)</f>
        <v>8</v>
      </c>
      <c r="H1661" s="14">
        <f>IFERROR(__xludf.DUMMYFUNCTION("""COMPUTED_VALUE"""),2023.0)</f>
        <v>2023</v>
      </c>
      <c r="I1661" s="14" t="str">
        <f>IFERROR(__xludf.DUMMYFUNCTION("""COMPUTED_VALUE"""),"Credit Card")</f>
        <v>Credit Card</v>
      </c>
      <c r="J1661" s="14" t="str">
        <f>IFERROR(__xludf.DUMMYFUNCTION("""COMPUTED_VALUE"""),"Delivered*Quality of Items: Perfect condition")</f>
        <v>Delivered*Quality of Items: Perfect condition</v>
      </c>
      <c r="K1661" s="14" t="str">
        <f>IFERROR(__xludf.DUMMYFUNCTION("split(E1661,""+"")"),"Tiramisu")</f>
        <v>Tiramisu</v>
      </c>
      <c r="L1661" s="14" t="str">
        <f>IFERROR(__xludf.DUMMYFUNCTION("""COMPUTED_VALUE"""),"6*Tanvi Jain")</f>
        <v>6*Tanvi Jain</v>
      </c>
      <c r="M1661" s="14">
        <f>IFERROR(__xludf.DUMMYFUNCTION("SPLIT(L1661,""*"")"),6.0)</f>
        <v>6</v>
      </c>
      <c r="N1661" s="14" t="str">
        <f>IFERROR(__xludf.DUMMYFUNCTION("""COMPUTED_VALUE"""),"Tanvi Jain")</f>
        <v>Tanvi Jain</v>
      </c>
      <c r="O1661" s="14" t="str">
        <f>IFERROR(__xludf.DUMMYFUNCTION("split(J1661,""*"")"),"Delivered")</f>
        <v>Delivered</v>
      </c>
      <c r="P1661" s="14" t="str">
        <f>IFERROR(__xludf.DUMMYFUNCTION("""COMPUTED_VALUE"""),"Quality of Items: Perfect condition")</f>
        <v>Quality of Items: Perfect condition</v>
      </c>
      <c r="Q1661" s="14" t="str">
        <f>IFERROR(__xludf.DUMMYFUNCTION("split(P1661,"":"")"),"Quality of Items")</f>
        <v>Quality of Items</v>
      </c>
      <c r="R1661" s="14" t="str">
        <f>IFERROR(__xludf.DUMMYFUNCTION("""COMPUTED_VALUE""")," Perfect condition")</f>
        <v> Perfect condition</v>
      </c>
      <c r="S1661" s="14" t="str">
        <f t="shared" ref="S1661:U1661" si="3325">trim(B1661)</f>
        <v>ord_71639</v>
      </c>
      <c r="T1661" s="14" t="str">
        <f t="shared" si="3325"/>
        <v>Sana Malik</v>
      </c>
      <c r="U1661" s="14" t="str">
        <f t="shared" si="3325"/>
        <v>Juhu</v>
      </c>
      <c r="V1661" s="14" t="str">
        <f t="shared" si="4"/>
        <v>Tiramisu</v>
      </c>
      <c r="W1661" s="14">
        <f t="shared" si="5"/>
        <v>6</v>
      </c>
      <c r="X1661" s="14" t="str">
        <f t="shared" si="6"/>
        <v>Tanvi Jain</v>
      </c>
      <c r="Y1661" s="15">
        <f t="shared" si="7"/>
        <v>44965</v>
      </c>
      <c r="Z1661" s="14" t="str">
        <f t="shared" si="8"/>
        <v>Credit Card</v>
      </c>
      <c r="AA1661" s="14" t="str">
        <f t="shared" si="9"/>
        <v>Delivered</v>
      </c>
      <c r="AB1661" s="14" t="str">
        <f t="shared" ref="AB1661:AC1661" si="3326">trim(Q1661)</f>
        <v>Quality of Items</v>
      </c>
      <c r="AC1661" s="14" t="str">
        <f t="shared" si="3326"/>
        <v>Perfect condition</v>
      </c>
      <c r="AD1661" s="8"/>
    </row>
    <row r="1662">
      <c r="A1662" s="14" t="str">
        <f>IFERROR(__xludf.DUMMYFUNCTION("""COMPUTED_VALUE"""),"//ord_71640//Yash Verma//Colaba//Orange+2*Nikhil Deshmukh/6/19/2023//Credit Card//Delivered*On-time Delivery: Delivered on time")</f>
        <v>//ord_71640//Yash Verma//Colaba//Orange+2*Nikhil Deshmukh/6/19/2023//Credit Card//Delivered*On-time Delivery: Delivered on time</v>
      </c>
      <c r="B1662" s="14" t="str">
        <f>IFERROR(__xludf.DUMMYFUNCTION("split(A1662,""//"")"),"ord_71640")</f>
        <v>ord_71640</v>
      </c>
      <c r="C1662" s="14" t="str">
        <f>IFERROR(__xludf.DUMMYFUNCTION("""COMPUTED_VALUE"""),"Yash Verma")</f>
        <v>Yash Verma</v>
      </c>
      <c r="D1662" s="14" t="str">
        <f>IFERROR(__xludf.DUMMYFUNCTION("""COMPUTED_VALUE"""),"Colaba")</f>
        <v>Colaba</v>
      </c>
      <c r="E1662" s="14" t="str">
        <f>IFERROR(__xludf.DUMMYFUNCTION("""COMPUTED_VALUE"""),"Orange+2*Nikhil Deshmukh")</f>
        <v>Orange+2*Nikhil Deshmukh</v>
      </c>
      <c r="F1662" s="14">
        <f>IFERROR(__xludf.DUMMYFUNCTION("""COMPUTED_VALUE"""),6.0)</f>
        <v>6</v>
      </c>
      <c r="G1662" s="14">
        <f>IFERROR(__xludf.DUMMYFUNCTION("""COMPUTED_VALUE"""),19.0)</f>
        <v>19</v>
      </c>
      <c r="H1662" s="14">
        <f>IFERROR(__xludf.DUMMYFUNCTION("""COMPUTED_VALUE"""),2023.0)</f>
        <v>2023</v>
      </c>
      <c r="I1662" s="14" t="str">
        <f>IFERROR(__xludf.DUMMYFUNCTION("""COMPUTED_VALUE"""),"Credit Card")</f>
        <v>Credit Card</v>
      </c>
      <c r="J1662" s="14" t="str">
        <f>IFERROR(__xludf.DUMMYFUNCTION("""COMPUTED_VALUE"""),"Delivered*On-time Delivery: Delivered on time")</f>
        <v>Delivered*On-time Delivery: Delivered on time</v>
      </c>
      <c r="K1662" s="14" t="str">
        <f>IFERROR(__xludf.DUMMYFUNCTION("split(E1662,""+"")"),"Orange")</f>
        <v>Orange</v>
      </c>
      <c r="L1662" s="14" t="str">
        <f>IFERROR(__xludf.DUMMYFUNCTION("""COMPUTED_VALUE"""),"2*Nikhil Deshmukh")</f>
        <v>2*Nikhil Deshmukh</v>
      </c>
      <c r="M1662" s="14">
        <f>IFERROR(__xludf.DUMMYFUNCTION("SPLIT(L1662,""*"")"),2.0)</f>
        <v>2</v>
      </c>
      <c r="N1662" s="14" t="str">
        <f>IFERROR(__xludf.DUMMYFUNCTION("""COMPUTED_VALUE"""),"Nikhil Deshmukh")</f>
        <v>Nikhil Deshmukh</v>
      </c>
      <c r="O1662" s="14" t="str">
        <f>IFERROR(__xludf.DUMMYFUNCTION("split(J1662,""*"")"),"Delivered")</f>
        <v>Delivered</v>
      </c>
      <c r="P1662" s="14" t="str">
        <f>IFERROR(__xludf.DUMMYFUNCTION("""COMPUTED_VALUE"""),"On-time Delivery: Delivered on time")</f>
        <v>On-time Delivery: Delivered on time</v>
      </c>
      <c r="Q1662" s="14" t="str">
        <f>IFERROR(__xludf.DUMMYFUNCTION("split(P1662,"":"")"),"On-time Delivery")</f>
        <v>On-time Delivery</v>
      </c>
      <c r="R1662" s="14" t="str">
        <f>IFERROR(__xludf.DUMMYFUNCTION("""COMPUTED_VALUE""")," Delivered on time")</f>
        <v> Delivered on time</v>
      </c>
      <c r="S1662" s="14" t="str">
        <f t="shared" ref="S1662:U1662" si="3327">trim(B1662)</f>
        <v>ord_71640</v>
      </c>
      <c r="T1662" s="14" t="str">
        <f t="shared" si="3327"/>
        <v>Yash Verma</v>
      </c>
      <c r="U1662" s="14" t="str">
        <f t="shared" si="3327"/>
        <v>Colaba</v>
      </c>
      <c r="V1662" s="14" t="str">
        <f t="shared" si="4"/>
        <v>Orange</v>
      </c>
      <c r="W1662" s="14">
        <f t="shared" si="5"/>
        <v>2</v>
      </c>
      <c r="X1662" s="14" t="str">
        <f t="shared" si="6"/>
        <v>Nikhil Deshmukh</v>
      </c>
      <c r="Y1662" s="15">
        <f t="shared" si="7"/>
        <v>45096</v>
      </c>
      <c r="Z1662" s="14" t="str">
        <f t="shared" si="8"/>
        <v>Credit Card</v>
      </c>
      <c r="AA1662" s="14" t="str">
        <f t="shared" si="9"/>
        <v>Delivered</v>
      </c>
      <c r="AB1662" s="14" t="str">
        <f t="shared" ref="AB1662:AC1662" si="3328">trim(Q1662)</f>
        <v>On-time Delivery</v>
      </c>
      <c r="AC1662" s="14" t="str">
        <f t="shared" si="3328"/>
        <v>Delivered on time</v>
      </c>
      <c r="AD1662" s="8"/>
    </row>
    <row r="1663">
      <c r="A1663" s="14" t="str">
        <f>IFERROR(__xludf.DUMMYFUNCTION("""COMPUTED_VALUE"""),"//ord_71641//Omkar Mishra//Powai//Cold Coffee+3*Sandeep Kumar/7/29/2023//UPI//Delivered*Quality of Items: Perfect condition")</f>
        <v>//ord_71641//Omkar Mishra//Powai//Cold Coffee+3*Sandeep Kumar/7/29/2023//UPI//Delivered*Quality of Items: Perfect condition</v>
      </c>
      <c r="B1663" s="14" t="str">
        <f>IFERROR(__xludf.DUMMYFUNCTION("split(A1663,""//"")"),"ord_71641")</f>
        <v>ord_71641</v>
      </c>
      <c r="C1663" s="14" t="str">
        <f>IFERROR(__xludf.DUMMYFUNCTION("""COMPUTED_VALUE"""),"Omkar Mishra")</f>
        <v>Omkar Mishra</v>
      </c>
      <c r="D1663" s="14" t="str">
        <f>IFERROR(__xludf.DUMMYFUNCTION("""COMPUTED_VALUE"""),"Powai")</f>
        <v>Powai</v>
      </c>
      <c r="E1663" s="14" t="str">
        <f>IFERROR(__xludf.DUMMYFUNCTION("""COMPUTED_VALUE"""),"Cold Coffee+3*Sandeep Kumar")</f>
        <v>Cold Coffee+3*Sandeep Kumar</v>
      </c>
      <c r="F1663" s="14">
        <f>IFERROR(__xludf.DUMMYFUNCTION("""COMPUTED_VALUE"""),7.0)</f>
        <v>7</v>
      </c>
      <c r="G1663" s="14">
        <f>IFERROR(__xludf.DUMMYFUNCTION("""COMPUTED_VALUE"""),29.0)</f>
        <v>29</v>
      </c>
      <c r="H1663" s="14">
        <f>IFERROR(__xludf.DUMMYFUNCTION("""COMPUTED_VALUE"""),2023.0)</f>
        <v>2023</v>
      </c>
      <c r="I1663" s="14" t="str">
        <f>IFERROR(__xludf.DUMMYFUNCTION("""COMPUTED_VALUE"""),"UPI")</f>
        <v>UPI</v>
      </c>
      <c r="J1663" s="14" t="str">
        <f>IFERROR(__xludf.DUMMYFUNCTION("""COMPUTED_VALUE"""),"Delivered*Quality of Items: Perfect condition")</f>
        <v>Delivered*Quality of Items: Perfect condition</v>
      </c>
      <c r="K1663" s="14" t="str">
        <f>IFERROR(__xludf.DUMMYFUNCTION("split(E1663,""+"")"),"Cold Coffee")</f>
        <v>Cold Coffee</v>
      </c>
      <c r="L1663" s="14" t="str">
        <f>IFERROR(__xludf.DUMMYFUNCTION("""COMPUTED_VALUE"""),"3*Sandeep Kumar")</f>
        <v>3*Sandeep Kumar</v>
      </c>
      <c r="M1663" s="14">
        <f>IFERROR(__xludf.DUMMYFUNCTION("SPLIT(L1663,""*"")"),3.0)</f>
        <v>3</v>
      </c>
      <c r="N1663" s="14" t="str">
        <f>IFERROR(__xludf.DUMMYFUNCTION("""COMPUTED_VALUE"""),"Sandeep Kumar")</f>
        <v>Sandeep Kumar</v>
      </c>
      <c r="O1663" s="14" t="str">
        <f>IFERROR(__xludf.DUMMYFUNCTION("split(J1663,""*"")"),"Delivered")</f>
        <v>Delivered</v>
      </c>
      <c r="P1663" s="14" t="str">
        <f>IFERROR(__xludf.DUMMYFUNCTION("""COMPUTED_VALUE"""),"Quality of Items: Perfect condition")</f>
        <v>Quality of Items: Perfect condition</v>
      </c>
      <c r="Q1663" s="14" t="str">
        <f>IFERROR(__xludf.DUMMYFUNCTION("split(P1663,"":"")"),"Quality of Items")</f>
        <v>Quality of Items</v>
      </c>
      <c r="R1663" s="14" t="str">
        <f>IFERROR(__xludf.DUMMYFUNCTION("""COMPUTED_VALUE""")," Perfect condition")</f>
        <v> Perfect condition</v>
      </c>
      <c r="S1663" s="14" t="str">
        <f t="shared" ref="S1663:U1663" si="3329">trim(B1663)</f>
        <v>ord_71641</v>
      </c>
      <c r="T1663" s="14" t="str">
        <f t="shared" si="3329"/>
        <v>Omkar Mishra</v>
      </c>
      <c r="U1663" s="14" t="str">
        <f t="shared" si="3329"/>
        <v>Powai</v>
      </c>
      <c r="V1663" s="14" t="str">
        <f t="shared" si="4"/>
        <v>Cold Coffee</v>
      </c>
      <c r="W1663" s="14">
        <f t="shared" si="5"/>
        <v>3</v>
      </c>
      <c r="X1663" s="14" t="str">
        <f t="shared" si="6"/>
        <v>Sandeep Kumar</v>
      </c>
      <c r="Y1663" s="15">
        <f t="shared" si="7"/>
        <v>45136</v>
      </c>
      <c r="Z1663" s="14" t="str">
        <f t="shared" si="8"/>
        <v>UPI</v>
      </c>
      <c r="AA1663" s="14" t="str">
        <f t="shared" si="9"/>
        <v>Delivered</v>
      </c>
      <c r="AB1663" s="14" t="str">
        <f t="shared" ref="AB1663:AC1663" si="3330">trim(Q1663)</f>
        <v>Quality of Items</v>
      </c>
      <c r="AC1663" s="14" t="str">
        <f t="shared" si="3330"/>
        <v>Perfect condition</v>
      </c>
      <c r="AD1663" s="8"/>
    </row>
    <row r="1664">
      <c r="A1664" s="14" t="str">
        <f>IFERROR(__xludf.DUMMYFUNCTION("""COMPUTED_VALUE"""),"//ord_71642//Omkar Mishra//Powai//Rasmalai+2*Sandeep Kumar/11/12/2023//UPI//Delivered*Packaging: Secure and intact")</f>
        <v>//ord_71642//Omkar Mishra//Powai//Rasmalai+2*Sandeep Kumar/11/12/2023//UPI//Delivered*Packaging: Secure and intact</v>
      </c>
      <c r="B1664" s="14" t="str">
        <f>IFERROR(__xludf.DUMMYFUNCTION("split(A1664,""//"")"),"ord_71642")</f>
        <v>ord_71642</v>
      </c>
      <c r="C1664" s="14" t="str">
        <f>IFERROR(__xludf.DUMMYFUNCTION("""COMPUTED_VALUE"""),"Omkar Mishra")</f>
        <v>Omkar Mishra</v>
      </c>
      <c r="D1664" s="14" t="str">
        <f>IFERROR(__xludf.DUMMYFUNCTION("""COMPUTED_VALUE"""),"Powai")</f>
        <v>Powai</v>
      </c>
      <c r="E1664" s="14" t="str">
        <f>IFERROR(__xludf.DUMMYFUNCTION("""COMPUTED_VALUE"""),"Rasmalai+2*Sandeep Kumar")</f>
        <v>Rasmalai+2*Sandeep Kumar</v>
      </c>
      <c r="F1664" s="14">
        <f>IFERROR(__xludf.DUMMYFUNCTION("""COMPUTED_VALUE"""),11.0)</f>
        <v>11</v>
      </c>
      <c r="G1664" s="14">
        <f>IFERROR(__xludf.DUMMYFUNCTION("""COMPUTED_VALUE"""),12.0)</f>
        <v>12</v>
      </c>
      <c r="H1664" s="14">
        <f>IFERROR(__xludf.DUMMYFUNCTION("""COMPUTED_VALUE"""),2023.0)</f>
        <v>2023</v>
      </c>
      <c r="I1664" s="14" t="str">
        <f>IFERROR(__xludf.DUMMYFUNCTION("""COMPUTED_VALUE"""),"UPI")</f>
        <v>UPI</v>
      </c>
      <c r="J1664" s="14" t="str">
        <f>IFERROR(__xludf.DUMMYFUNCTION("""COMPUTED_VALUE"""),"Delivered*Packaging: Secure and intact")</f>
        <v>Delivered*Packaging: Secure and intact</v>
      </c>
      <c r="K1664" s="14" t="str">
        <f>IFERROR(__xludf.DUMMYFUNCTION("split(E1664,""+"")"),"Rasmalai")</f>
        <v>Rasmalai</v>
      </c>
      <c r="L1664" s="14" t="str">
        <f>IFERROR(__xludf.DUMMYFUNCTION("""COMPUTED_VALUE"""),"2*Sandeep Kumar")</f>
        <v>2*Sandeep Kumar</v>
      </c>
      <c r="M1664" s="14">
        <f>IFERROR(__xludf.DUMMYFUNCTION("SPLIT(L1664,""*"")"),2.0)</f>
        <v>2</v>
      </c>
      <c r="N1664" s="14" t="str">
        <f>IFERROR(__xludf.DUMMYFUNCTION("""COMPUTED_VALUE"""),"Sandeep Kumar")</f>
        <v>Sandeep Kumar</v>
      </c>
      <c r="O1664" s="14" t="str">
        <f>IFERROR(__xludf.DUMMYFUNCTION("split(J1664,""*"")"),"Delivered")</f>
        <v>Delivered</v>
      </c>
      <c r="P1664" s="14" t="str">
        <f>IFERROR(__xludf.DUMMYFUNCTION("""COMPUTED_VALUE"""),"Packaging: Secure and intact")</f>
        <v>Packaging: Secure and intact</v>
      </c>
      <c r="Q1664" s="14" t="str">
        <f>IFERROR(__xludf.DUMMYFUNCTION("split(P1664,"":"")"),"Packaging")</f>
        <v>Packaging</v>
      </c>
      <c r="R1664" s="14" t="str">
        <f>IFERROR(__xludf.DUMMYFUNCTION("""COMPUTED_VALUE""")," Secure and intact")</f>
        <v> Secure and intact</v>
      </c>
      <c r="S1664" s="14" t="str">
        <f t="shared" ref="S1664:U1664" si="3331">trim(B1664)</f>
        <v>ord_71642</v>
      </c>
      <c r="T1664" s="14" t="str">
        <f t="shared" si="3331"/>
        <v>Omkar Mishra</v>
      </c>
      <c r="U1664" s="14" t="str">
        <f t="shared" si="3331"/>
        <v>Powai</v>
      </c>
      <c r="V1664" s="14" t="str">
        <f t="shared" si="4"/>
        <v>Rasmalai</v>
      </c>
      <c r="W1664" s="14">
        <f t="shared" si="5"/>
        <v>2</v>
      </c>
      <c r="X1664" s="14" t="str">
        <f t="shared" si="6"/>
        <v>Sandeep Kumar</v>
      </c>
      <c r="Y1664" s="15">
        <f t="shared" si="7"/>
        <v>45242</v>
      </c>
      <c r="Z1664" s="14" t="str">
        <f t="shared" si="8"/>
        <v>UPI</v>
      </c>
      <c r="AA1664" s="14" t="str">
        <f t="shared" si="9"/>
        <v>Delivered</v>
      </c>
      <c r="AB1664" s="14" t="str">
        <f t="shared" ref="AB1664:AC1664" si="3332">trim(Q1664)</f>
        <v>Packaging</v>
      </c>
      <c r="AC1664" s="14" t="str">
        <f t="shared" si="3332"/>
        <v>Secure and intact</v>
      </c>
      <c r="AD1664" s="8"/>
    </row>
    <row r="1665">
      <c r="A1665" s="14" t="str">
        <f>IFERROR(__xludf.DUMMYFUNCTION("""COMPUTED_VALUE"""),"//ord_71643//Ishita Banerjee//Juhu//Potato+2*Tanvi Jain/10/18/2023//Credit Card//Delivered*Satisfied with the Delivery: Timely and quality")</f>
        <v>//ord_71643//Ishita Banerjee//Juhu//Potato+2*Tanvi Jain/10/18/2023//Credit Card//Delivered*Satisfied with the Delivery: Timely and quality</v>
      </c>
      <c r="B1665" s="14" t="str">
        <f>IFERROR(__xludf.DUMMYFUNCTION("split(A1665,""//"")"),"ord_71643")</f>
        <v>ord_71643</v>
      </c>
      <c r="C1665" s="14" t="str">
        <f>IFERROR(__xludf.DUMMYFUNCTION("""COMPUTED_VALUE"""),"Ishita Banerjee")</f>
        <v>Ishita Banerjee</v>
      </c>
      <c r="D1665" s="14" t="str">
        <f>IFERROR(__xludf.DUMMYFUNCTION("""COMPUTED_VALUE"""),"Juhu")</f>
        <v>Juhu</v>
      </c>
      <c r="E1665" s="14" t="str">
        <f>IFERROR(__xludf.DUMMYFUNCTION("""COMPUTED_VALUE"""),"Potato+2*Tanvi Jain")</f>
        <v>Potato+2*Tanvi Jain</v>
      </c>
      <c r="F1665" s="14">
        <f>IFERROR(__xludf.DUMMYFUNCTION("""COMPUTED_VALUE"""),10.0)</f>
        <v>10</v>
      </c>
      <c r="G1665" s="14">
        <f>IFERROR(__xludf.DUMMYFUNCTION("""COMPUTED_VALUE"""),18.0)</f>
        <v>18</v>
      </c>
      <c r="H1665" s="14">
        <f>IFERROR(__xludf.DUMMYFUNCTION("""COMPUTED_VALUE"""),2023.0)</f>
        <v>2023</v>
      </c>
      <c r="I1665" s="14" t="str">
        <f>IFERROR(__xludf.DUMMYFUNCTION("""COMPUTED_VALUE"""),"Credit Card")</f>
        <v>Credit Card</v>
      </c>
      <c r="J1665" s="14" t="str">
        <f>IFERROR(__xludf.DUMMYFUNCTION("""COMPUTED_VALUE"""),"Delivered*Satisfied with the Delivery: Timely and quality")</f>
        <v>Delivered*Satisfied with the Delivery: Timely and quality</v>
      </c>
      <c r="K1665" s="14" t="str">
        <f>IFERROR(__xludf.DUMMYFUNCTION("split(E1665,""+"")"),"Potato")</f>
        <v>Potato</v>
      </c>
      <c r="L1665" s="14" t="str">
        <f>IFERROR(__xludf.DUMMYFUNCTION("""COMPUTED_VALUE"""),"2*Tanvi Jain")</f>
        <v>2*Tanvi Jain</v>
      </c>
      <c r="M1665" s="14">
        <f>IFERROR(__xludf.DUMMYFUNCTION("SPLIT(L1665,""*"")"),2.0)</f>
        <v>2</v>
      </c>
      <c r="N1665" s="14" t="str">
        <f>IFERROR(__xludf.DUMMYFUNCTION("""COMPUTED_VALUE"""),"Tanvi Jain")</f>
        <v>Tanvi Jain</v>
      </c>
      <c r="O1665" s="14" t="str">
        <f>IFERROR(__xludf.DUMMYFUNCTION("split(J1665,""*"")"),"Delivered")</f>
        <v>Delivered</v>
      </c>
      <c r="P1665" s="14" t="str">
        <f>IFERROR(__xludf.DUMMYFUNCTION("""COMPUTED_VALUE"""),"Satisfied with the Delivery: Timely and quality")</f>
        <v>Satisfied with the Delivery: Timely and quality</v>
      </c>
      <c r="Q1665" s="14" t="str">
        <f>IFERROR(__xludf.DUMMYFUNCTION("split(P1665,"":"")"),"Satisfied with the Delivery")</f>
        <v>Satisfied with the Delivery</v>
      </c>
      <c r="R1665" s="14" t="str">
        <f>IFERROR(__xludf.DUMMYFUNCTION("""COMPUTED_VALUE""")," Timely and quality")</f>
        <v> Timely and quality</v>
      </c>
      <c r="S1665" s="14" t="str">
        <f t="shared" ref="S1665:U1665" si="3333">trim(B1665)</f>
        <v>ord_71643</v>
      </c>
      <c r="T1665" s="14" t="str">
        <f t="shared" si="3333"/>
        <v>Ishita Banerjee</v>
      </c>
      <c r="U1665" s="14" t="str">
        <f t="shared" si="3333"/>
        <v>Juhu</v>
      </c>
      <c r="V1665" s="14" t="str">
        <f t="shared" si="4"/>
        <v>Potato</v>
      </c>
      <c r="W1665" s="14">
        <f t="shared" si="5"/>
        <v>2</v>
      </c>
      <c r="X1665" s="14" t="str">
        <f t="shared" si="6"/>
        <v>Tanvi Jain</v>
      </c>
      <c r="Y1665" s="15">
        <f t="shared" si="7"/>
        <v>45217</v>
      </c>
      <c r="Z1665" s="14" t="str">
        <f t="shared" si="8"/>
        <v>Credit Card</v>
      </c>
      <c r="AA1665" s="14" t="str">
        <f t="shared" si="9"/>
        <v>Delivered</v>
      </c>
      <c r="AB1665" s="14" t="str">
        <f t="shared" ref="AB1665:AC1665" si="3334">trim(Q1665)</f>
        <v>Satisfied with the Delivery</v>
      </c>
      <c r="AC1665" s="14" t="str">
        <f t="shared" si="3334"/>
        <v>Timely and quality</v>
      </c>
      <c r="AD1665" s="8"/>
    </row>
    <row r="1666">
      <c r="A1666" s="14" t="str">
        <f>IFERROR(__xludf.DUMMYFUNCTION("""COMPUTED_VALUE"""),"//ord_71644//Tanishq Bansal//Powai//Guava+1*Sandeep Kumar/12/1/2023//UPI//Delivered*Customer Service: Seamless and easy")</f>
        <v>//ord_71644//Tanishq Bansal//Powai//Guava+1*Sandeep Kumar/12/1/2023//UPI//Delivered*Customer Service: Seamless and easy</v>
      </c>
      <c r="B1666" s="14" t="str">
        <f>IFERROR(__xludf.DUMMYFUNCTION("split(A1666,""//"")"),"ord_71644")</f>
        <v>ord_71644</v>
      </c>
      <c r="C1666" s="14" t="str">
        <f>IFERROR(__xludf.DUMMYFUNCTION("""COMPUTED_VALUE"""),"Tanishq Bansal")</f>
        <v>Tanishq Bansal</v>
      </c>
      <c r="D1666" s="14" t="str">
        <f>IFERROR(__xludf.DUMMYFUNCTION("""COMPUTED_VALUE"""),"Powai")</f>
        <v>Powai</v>
      </c>
      <c r="E1666" s="14" t="str">
        <f>IFERROR(__xludf.DUMMYFUNCTION("""COMPUTED_VALUE"""),"Guava+1*Sandeep Kumar")</f>
        <v>Guava+1*Sandeep Kumar</v>
      </c>
      <c r="F1666" s="14">
        <f>IFERROR(__xludf.DUMMYFUNCTION("""COMPUTED_VALUE"""),12.0)</f>
        <v>12</v>
      </c>
      <c r="G1666" s="14">
        <f>IFERROR(__xludf.DUMMYFUNCTION("""COMPUTED_VALUE"""),1.0)</f>
        <v>1</v>
      </c>
      <c r="H1666" s="14">
        <f>IFERROR(__xludf.DUMMYFUNCTION("""COMPUTED_VALUE"""),2023.0)</f>
        <v>2023</v>
      </c>
      <c r="I1666" s="14" t="str">
        <f>IFERROR(__xludf.DUMMYFUNCTION("""COMPUTED_VALUE"""),"UPI")</f>
        <v>UPI</v>
      </c>
      <c r="J1666" s="14" t="str">
        <f>IFERROR(__xludf.DUMMYFUNCTION("""COMPUTED_VALUE"""),"Delivered*Customer Service: Seamless and easy")</f>
        <v>Delivered*Customer Service: Seamless and easy</v>
      </c>
      <c r="K1666" s="14" t="str">
        <f>IFERROR(__xludf.DUMMYFUNCTION("split(E1666,""+"")"),"Guava")</f>
        <v>Guava</v>
      </c>
      <c r="L1666" s="14" t="str">
        <f>IFERROR(__xludf.DUMMYFUNCTION("""COMPUTED_VALUE"""),"1*Sandeep Kumar")</f>
        <v>1*Sandeep Kumar</v>
      </c>
      <c r="M1666" s="14">
        <f>IFERROR(__xludf.DUMMYFUNCTION("SPLIT(L1666,""*"")"),1.0)</f>
        <v>1</v>
      </c>
      <c r="N1666" s="14" t="str">
        <f>IFERROR(__xludf.DUMMYFUNCTION("""COMPUTED_VALUE"""),"Sandeep Kumar")</f>
        <v>Sandeep Kumar</v>
      </c>
      <c r="O1666" s="14" t="str">
        <f>IFERROR(__xludf.DUMMYFUNCTION("split(J1666,""*"")"),"Delivered")</f>
        <v>Delivered</v>
      </c>
      <c r="P1666" s="14" t="str">
        <f>IFERROR(__xludf.DUMMYFUNCTION("""COMPUTED_VALUE"""),"Customer Service: Seamless and easy")</f>
        <v>Customer Service: Seamless and easy</v>
      </c>
      <c r="Q1666" s="14" t="str">
        <f>IFERROR(__xludf.DUMMYFUNCTION("split(P1666,"":"")"),"Customer Service")</f>
        <v>Customer Service</v>
      </c>
      <c r="R1666" s="14" t="str">
        <f>IFERROR(__xludf.DUMMYFUNCTION("""COMPUTED_VALUE""")," Seamless and easy")</f>
        <v> Seamless and easy</v>
      </c>
      <c r="S1666" s="14" t="str">
        <f t="shared" ref="S1666:U1666" si="3335">trim(B1666)</f>
        <v>ord_71644</v>
      </c>
      <c r="T1666" s="14" t="str">
        <f t="shared" si="3335"/>
        <v>Tanishq Bansal</v>
      </c>
      <c r="U1666" s="14" t="str">
        <f t="shared" si="3335"/>
        <v>Powai</v>
      </c>
      <c r="V1666" s="14" t="str">
        <f t="shared" si="4"/>
        <v>Guava</v>
      </c>
      <c r="W1666" s="14">
        <f t="shared" si="5"/>
        <v>1</v>
      </c>
      <c r="X1666" s="14" t="str">
        <f t="shared" si="6"/>
        <v>Sandeep Kumar</v>
      </c>
      <c r="Y1666" s="15">
        <f t="shared" si="7"/>
        <v>45261</v>
      </c>
      <c r="Z1666" s="14" t="str">
        <f t="shared" si="8"/>
        <v>UPI</v>
      </c>
      <c r="AA1666" s="14" t="str">
        <f t="shared" si="9"/>
        <v>Delivered</v>
      </c>
      <c r="AB1666" s="14" t="str">
        <f t="shared" ref="AB1666:AC1666" si="3336">trim(Q1666)</f>
        <v>Customer Service</v>
      </c>
      <c r="AC1666" s="14" t="str">
        <f t="shared" si="3336"/>
        <v>Seamless and easy</v>
      </c>
      <c r="AD1666" s="8"/>
    </row>
    <row r="1667">
      <c r="A1667" s="14" t="str">
        <f>IFERROR(__xludf.DUMMYFUNCTION("""COMPUTED_VALUE"""),"//ord_71645//Mohit Malhotra//Lower Parel//Chocolate Mousse+1*Kiran Mehta/10/17/2023//Online Payment//Delivered*Delivery Experience: Quick and professional")</f>
        <v>//ord_71645//Mohit Malhotra//Lower Parel//Chocolate Mousse+1*Kiran Mehta/10/17/2023//Online Payment//Delivered*Delivery Experience: Quick and professional</v>
      </c>
      <c r="B1667" s="14" t="str">
        <f>IFERROR(__xludf.DUMMYFUNCTION("split(A1667,""//"")"),"ord_71645")</f>
        <v>ord_71645</v>
      </c>
      <c r="C1667" s="14" t="str">
        <f>IFERROR(__xludf.DUMMYFUNCTION("""COMPUTED_VALUE"""),"Mohit Malhotra")</f>
        <v>Mohit Malhotra</v>
      </c>
      <c r="D1667" s="14" t="str">
        <f>IFERROR(__xludf.DUMMYFUNCTION("""COMPUTED_VALUE"""),"Lower Parel")</f>
        <v>Lower Parel</v>
      </c>
      <c r="E1667" s="14" t="str">
        <f>IFERROR(__xludf.DUMMYFUNCTION("""COMPUTED_VALUE"""),"Chocolate Mousse+1*Kiran Mehta")</f>
        <v>Chocolate Mousse+1*Kiran Mehta</v>
      </c>
      <c r="F1667" s="14">
        <f>IFERROR(__xludf.DUMMYFUNCTION("""COMPUTED_VALUE"""),10.0)</f>
        <v>10</v>
      </c>
      <c r="G1667" s="14">
        <f>IFERROR(__xludf.DUMMYFUNCTION("""COMPUTED_VALUE"""),17.0)</f>
        <v>17</v>
      </c>
      <c r="H1667" s="14">
        <f>IFERROR(__xludf.DUMMYFUNCTION("""COMPUTED_VALUE"""),2023.0)</f>
        <v>2023</v>
      </c>
      <c r="I1667" s="14" t="str">
        <f>IFERROR(__xludf.DUMMYFUNCTION("""COMPUTED_VALUE"""),"Online Payment")</f>
        <v>Online Payment</v>
      </c>
      <c r="J1667" s="14" t="str">
        <f>IFERROR(__xludf.DUMMYFUNCTION("""COMPUTED_VALUE"""),"Delivered*Delivery Experience: Quick and professional")</f>
        <v>Delivered*Delivery Experience: Quick and professional</v>
      </c>
      <c r="K1667" s="14" t="str">
        <f>IFERROR(__xludf.DUMMYFUNCTION("split(E1667,""+"")"),"Chocolate Mousse")</f>
        <v>Chocolate Mousse</v>
      </c>
      <c r="L1667" s="14" t="str">
        <f>IFERROR(__xludf.DUMMYFUNCTION("""COMPUTED_VALUE"""),"1*Kiran Mehta")</f>
        <v>1*Kiran Mehta</v>
      </c>
      <c r="M1667" s="14">
        <f>IFERROR(__xludf.DUMMYFUNCTION("SPLIT(L1667,""*"")"),1.0)</f>
        <v>1</v>
      </c>
      <c r="N1667" s="14" t="str">
        <f>IFERROR(__xludf.DUMMYFUNCTION("""COMPUTED_VALUE"""),"Kiran Mehta")</f>
        <v>Kiran Mehta</v>
      </c>
      <c r="O1667" s="14" t="str">
        <f>IFERROR(__xludf.DUMMYFUNCTION("split(J1667,""*"")"),"Delivered")</f>
        <v>Delivered</v>
      </c>
      <c r="P1667" s="14" t="str">
        <f>IFERROR(__xludf.DUMMYFUNCTION("""COMPUTED_VALUE"""),"Delivery Experience: Quick and professional")</f>
        <v>Delivery Experience: Quick and professional</v>
      </c>
      <c r="Q1667" s="14" t="str">
        <f>IFERROR(__xludf.DUMMYFUNCTION("split(P1667,"":"")"),"Delivery Experience")</f>
        <v>Delivery Experience</v>
      </c>
      <c r="R1667" s="14" t="str">
        <f>IFERROR(__xludf.DUMMYFUNCTION("""COMPUTED_VALUE""")," Quick and professional")</f>
        <v> Quick and professional</v>
      </c>
      <c r="S1667" s="14" t="str">
        <f t="shared" ref="S1667:U1667" si="3337">trim(B1667)</f>
        <v>ord_71645</v>
      </c>
      <c r="T1667" s="14" t="str">
        <f t="shared" si="3337"/>
        <v>Mohit Malhotra</v>
      </c>
      <c r="U1667" s="14" t="str">
        <f t="shared" si="3337"/>
        <v>Lower Parel</v>
      </c>
      <c r="V1667" s="14" t="str">
        <f t="shared" si="4"/>
        <v>Chocolate Mousse</v>
      </c>
      <c r="W1667" s="14">
        <f t="shared" si="5"/>
        <v>1</v>
      </c>
      <c r="X1667" s="14" t="str">
        <f t="shared" si="6"/>
        <v>Kiran Mehta</v>
      </c>
      <c r="Y1667" s="15">
        <f t="shared" si="7"/>
        <v>45216</v>
      </c>
      <c r="Z1667" s="14" t="str">
        <f t="shared" si="8"/>
        <v>Online Payment</v>
      </c>
      <c r="AA1667" s="14" t="str">
        <f t="shared" si="9"/>
        <v>Delivered</v>
      </c>
      <c r="AB1667" s="14" t="str">
        <f t="shared" ref="AB1667:AC1667" si="3338">trim(Q1667)</f>
        <v>Delivery Experience</v>
      </c>
      <c r="AC1667" s="14" t="str">
        <f t="shared" si="3338"/>
        <v>Quick and professional</v>
      </c>
      <c r="AD1667" s="8"/>
    </row>
    <row r="1668">
      <c r="A1668" s="14" t="str">
        <f>IFERROR(__xludf.DUMMYFUNCTION("""COMPUTED_VALUE"""),"//ord_71646//Kunal Sharma//Powai//Rasmalai+8*Sandeep Kumar/7/9/2023//UPI//Delivered*Convenience: Easy tracking")</f>
        <v>//ord_71646//Kunal Sharma//Powai//Rasmalai+8*Sandeep Kumar/7/9/2023//UPI//Delivered*Convenience: Easy tracking</v>
      </c>
      <c r="B1668" s="14" t="str">
        <f>IFERROR(__xludf.DUMMYFUNCTION("split(A1668,""//"")"),"ord_71646")</f>
        <v>ord_71646</v>
      </c>
      <c r="C1668" s="14" t="str">
        <f>IFERROR(__xludf.DUMMYFUNCTION("""COMPUTED_VALUE"""),"Kunal Sharma")</f>
        <v>Kunal Sharma</v>
      </c>
      <c r="D1668" s="14" t="str">
        <f>IFERROR(__xludf.DUMMYFUNCTION("""COMPUTED_VALUE"""),"Powai")</f>
        <v>Powai</v>
      </c>
      <c r="E1668" s="14" t="str">
        <f>IFERROR(__xludf.DUMMYFUNCTION("""COMPUTED_VALUE"""),"Rasmalai+8*Sandeep Kumar")</f>
        <v>Rasmalai+8*Sandeep Kumar</v>
      </c>
      <c r="F1668" s="14">
        <f>IFERROR(__xludf.DUMMYFUNCTION("""COMPUTED_VALUE"""),7.0)</f>
        <v>7</v>
      </c>
      <c r="G1668" s="14">
        <f>IFERROR(__xludf.DUMMYFUNCTION("""COMPUTED_VALUE"""),9.0)</f>
        <v>9</v>
      </c>
      <c r="H1668" s="14">
        <f>IFERROR(__xludf.DUMMYFUNCTION("""COMPUTED_VALUE"""),2023.0)</f>
        <v>2023</v>
      </c>
      <c r="I1668" s="14" t="str">
        <f>IFERROR(__xludf.DUMMYFUNCTION("""COMPUTED_VALUE"""),"UPI")</f>
        <v>UPI</v>
      </c>
      <c r="J1668" s="14" t="str">
        <f>IFERROR(__xludf.DUMMYFUNCTION("""COMPUTED_VALUE"""),"Delivered*Convenience: Easy tracking")</f>
        <v>Delivered*Convenience: Easy tracking</v>
      </c>
      <c r="K1668" s="14" t="str">
        <f>IFERROR(__xludf.DUMMYFUNCTION("split(E1668,""+"")"),"Rasmalai")</f>
        <v>Rasmalai</v>
      </c>
      <c r="L1668" s="14" t="str">
        <f>IFERROR(__xludf.DUMMYFUNCTION("""COMPUTED_VALUE"""),"8*Sandeep Kumar")</f>
        <v>8*Sandeep Kumar</v>
      </c>
      <c r="M1668" s="14">
        <f>IFERROR(__xludf.DUMMYFUNCTION("SPLIT(L1668,""*"")"),8.0)</f>
        <v>8</v>
      </c>
      <c r="N1668" s="14" t="str">
        <f>IFERROR(__xludf.DUMMYFUNCTION("""COMPUTED_VALUE"""),"Sandeep Kumar")</f>
        <v>Sandeep Kumar</v>
      </c>
      <c r="O1668" s="14" t="str">
        <f>IFERROR(__xludf.DUMMYFUNCTION("split(J1668,""*"")"),"Delivered")</f>
        <v>Delivered</v>
      </c>
      <c r="P1668" s="14" t="str">
        <f>IFERROR(__xludf.DUMMYFUNCTION("""COMPUTED_VALUE"""),"Convenience: Easy tracking")</f>
        <v>Convenience: Easy tracking</v>
      </c>
      <c r="Q1668" s="14" t="str">
        <f>IFERROR(__xludf.DUMMYFUNCTION("split(P1668,"":"")"),"Convenience")</f>
        <v>Convenience</v>
      </c>
      <c r="R1668" s="14" t="str">
        <f>IFERROR(__xludf.DUMMYFUNCTION("""COMPUTED_VALUE""")," Easy tracking")</f>
        <v> Easy tracking</v>
      </c>
      <c r="S1668" s="14" t="str">
        <f t="shared" ref="S1668:U1668" si="3339">trim(B1668)</f>
        <v>ord_71646</v>
      </c>
      <c r="T1668" s="14" t="str">
        <f t="shared" si="3339"/>
        <v>Kunal Sharma</v>
      </c>
      <c r="U1668" s="14" t="str">
        <f t="shared" si="3339"/>
        <v>Powai</v>
      </c>
      <c r="V1668" s="14" t="str">
        <f t="shared" si="4"/>
        <v>Rasmalai</v>
      </c>
      <c r="W1668" s="14">
        <f t="shared" si="5"/>
        <v>8</v>
      </c>
      <c r="X1668" s="14" t="str">
        <f t="shared" si="6"/>
        <v>Sandeep Kumar</v>
      </c>
      <c r="Y1668" s="15">
        <f t="shared" si="7"/>
        <v>45116</v>
      </c>
      <c r="Z1668" s="14" t="str">
        <f t="shared" si="8"/>
        <v>UPI</v>
      </c>
      <c r="AA1668" s="14" t="str">
        <f t="shared" si="9"/>
        <v>Delivered</v>
      </c>
      <c r="AB1668" s="14" t="str">
        <f t="shared" ref="AB1668:AC1668" si="3340">trim(Q1668)</f>
        <v>Convenience</v>
      </c>
      <c r="AC1668" s="14" t="str">
        <f t="shared" si="3340"/>
        <v>Easy tracking</v>
      </c>
      <c r="AD1668" s="8"/>
    </row>
    <row r="1669">
      <c r="A1669" s="14" t="str">
        <f>IFERROR(__xludf.DUMMYFUNCTION("""COMPUTED_VALUE"""),"//ord_71647//Kunal Sharma//Powai//Potato+5*Sandeep Kumar/2/27/2023//Credit Card//Delivered*Overall Satisfaction: Great service will order again")</f>
        <v>//ord_71647//Kunal Sharma//Powai//Potato+5*Sandeep Kumar/2/27/2023//Credit Card//Delivered*Overall Satisfaction: Great service will order again</v>
      </c>
      <c r="B1669" s="14" t="str">
        <f>IFERROR(__xludf.DUMMYFUNCTION("split(A1669,""//"")"),"ord_71647")</f>
        <v>ord_71647</v>
      </c>
      <c r="C1669" s="14" t="str">
        <f>IFERROR(__xludf.DUMMYFUNCTION("""COMPUTED_VALUE"""),"Kunal Sharma")</f>
        <v>Kunal Sharma</v>
      </c>
      <c r="D1669" s="14" t="str">
        <f>IFERROR(__xludf.DUMMYFUNCTION("""COMPUTED_VALUE"""),"Powai")</f>
        <v>Powai</v>
      </c>
      <c r="E1669" s="14" t="str">
        <f>IFERROR(__xludf.DUMMYFUNCTION("""COMPUTED_VALUE"""),"Potato+5*Sandeep Kumar")</f>
        <v>Potato+5*Sandeep Kumar</v>
      </c>
      <c r="F1669" s="14">
        <f>IFERROR(__xludf.DUMMYFUNCTION("""COMPUTED_VALUE"""),2.0)</f>
        <v>2</v>
      </c>
      <c r="G1669" s="14">
        <f>IFERROR(__xludf.DUMMYFUNCTION("""COMPUTED_VALUE"""),27.0)</f>
        <v>27</v>
      </c>
      <c r="H1669" s="14">
        <f>IFERROR(__xludf.DUMMYFUNCTION("""COMPUTED_VALUE"""),2023.0)</f>
        <v>2023</v>
      </c>
      <c r="I1669" s="14" t="str">
        <f>IFERROR(__xludf.DUMMYFUNCTION("""COMPUTED_VALUE"""),"Credit Card")</f>
        <v>Credit Card</v>
      </c>
      <c r="J1669" s="14" t="str">
        <f>IFERROR(__xludf.DUMMYFUNCTION("""COMPUTED_VALUE"""),"Delivered*Overall Satisfaction: Great service will order again")</f>
        <v>Delivered*Overall Satisfaction: Great service will order again</v>
      </c>
      <c r="K1669" s="14" t="str">
        <f>IFERROR(__xludf.DUMMYFUNCTION("split(E1669,""+"")"),"Potato")</f>
        <v>Potato</v>
      </c>
      <c r="L1669" s="14" t="str">
        <f>IFERROR(__xludf.DUMMYFUNCTION("""COMPUTED_VALUE"""),"5*Sandeep Kumar")</f>
        <v>5*Sandeep Kumar</v>
      </c>
      <c r="M1669" s="14">
        <f>IFERROR(__xludf.DUMMYFUNCTION("SPLIT(L1669,""*"")"),5.0)</f>
        <v>5</v>
      </c>
      <c r="N1669" s="14" t="str">
        <f>IFERROR(__xludf.DUMMYFUNCTION("""COMPUTED_VALUE"""),"Sandeep Kumar")</f>
        <v>Sandeep Kumar</v>
      </c>
      <c r="O1669" s="14" t="str">
        <f>IFERROR(__xludf.DUMMYFUNCTION("split(J1669,""*"")"),"Delivered")</f>
        <v>Delivered</v>
      </c>
      <c r="P1669" s="14" t="str">
        <f>IFERROR(__xludf.DUMMYFUNCTION("""COMPUTED_VALUE"""),"Overall Satisfaction: Great service will order again")</f>
        <v>Overall Satisfaction: Great service will order again</v>
      </c>
      <c r="Q1669" s="14" t="str">
        <f>IFERROR(__xludf.DUMMYFUNCTION("split(P1669,"":"")"),"Overall Satisfaction")</f>
        <v>Overall Satisfaction</v>
      </c>
      <c r="R1669" s="14" t="str">
        <f>IFERROR(__xludf.DUMMYFUNCTION("""COMPUTED_VALUE""")," Great service will order again")</f>
        <v> Great service will order again</v>
      </c>
      <c r="S1669" s="14" t="str">
        <f t="shared" ref="S1669:U1669" si="3341">trim(B1669)</f>
        <v>ord_71647</v>
      </c>
      <c r="T1669" s="14" t="str">
        <f t="shared" si="3341"/>
        <v>Kunal Sharma</v>
      </c>
      <c r="U1669" s="14" t="str">
        <f t="shared" si="3341"/>
        <v>Powai</v>
      </c>
      <c r="V1669" s="14" t="str">
        <f t="shared" si="4"/>
        <v>Potato</v>
      </c>
      <c r="W1669" s="14">
        <f t="shared" si="5"/>
        <v>5</v>
      </c>
      <c r="X1669" s="14" t="str">
        <f t="shared" si="6"/>
        <v>Sandeep Kumar</v>
      </c>
      <c r="Y1669" s="15">
        <f t="shared" si="7"/>
        <v>44984</v>
      </c>
      <c r="Z1669" s="14" t="str">
        <f t="shared" si="8"/>
        <v>Credit Card</v>
      </c>
      <c r="AA1669" s="14" t="str">
        <f t="shared" si="9"/>
        <v>Delivered</v>
      </c>
      <c r="AB1669" s="14" t="str">
        <f t="shared" ref="AB1669:AC1669" si="3342">trim(Q1669)</f>
        <v>Overall Satisfaction</v>
      </c>
      <c r="AC1669" s="14" t="str">
        <f t="shared" si="3342"/>
        <v>Great service will order again</v>
      </c>
      <c r="AD1669" s="8"/>
    </row>
    <row r="1670">
      <c r="A1670" s="14" t="str">
        <f>IFERROR(__xludf.DUMMYFUNCTION("""COMPUTED_VALUE"""),"//ord_71648//Sanjay Nair//Dadar//Chicken Puff+3*Aman Kumar/8/2/2023//Credit Card//Delivered*On-time Delivery: Delivered on time")</f>
        <v>//ord_71648//Sanjay Nair//Dadar//Chicken Puff+3*Aman Kumar/8/2/2023//Credit Card//Delivered*On-time Delivery: Delivered on time</v>
      </c>
      <c r="B1670" s="14" t="str">
        <f>IFERROR(__xludf.DUMMYFUNCTION("split(A1670,""//"")"),"ord_71648")</f>
        <v>ord_71648</v>
      </c>
      <c r="C1670" s="14" t="str">
        <f>IFERROR(__xludf.DUMMYFUNCTION("""COMPUTED_VALUE"""),"Sanjay Nair")</f>
        <v>Sanjay Nair</v>
      </c>
      <c r="D1670" s="14" t="str">
        <f>IFERROR(__xludf.DUMMYFUNCTION("""COMPUTED_VALUE"""),"Dadar")</f>
        <v>Dadar</v>
      </c>
      <c r="E1670" s="14" t="str">
        <f>IFERROR(__xludf.DUMMYFUNCTION("""COMPUTED_VALUE"""),"Chicken Puff+3*Aman Kumar")</f>
        <v>Chicken Puff+3*Aman Kumar</v>
      </c>
      <c r="F1670" s="14">
        <f>IFERROR(__xludf.DUMMYFUNCTION("""COMPUTED_VALUE"""),8.0)</f>
        <v>8</v>
      </c>
      <c r="G1670" s="14">
        <f>IFERROR(__xludf.DUMMYFUNCTION("""COMPUTED_VALUE"""),2.0)</f>
        <v>2</v>
      </c>
      <c r="H1670" s="14">
        <f>IFERROR(__xludf.DUMMYFUNCTION("""COMPUTED_VALUE"""),2023.0)</f>
        <v>2023</v>
      </c>
      <c r="I1670" s="14" t="str">
        <f>IFERROR(__xludf.DUMMYFUNCTION("""COMPUTED_VALUE"""),"Credit Card")</f>
        <v>Credit Card</v>
      </c>
      <c r="J1670" s="14" t="str">
        <f>IFERROR(__xludf.DUMMYFUNCTION("""COMPUTED_VALUE"""),"Delivered*On-time Delivery: Delivered on time")</f>
        <v>Delivered*On-time Delivery: Delivered on time</v>
      </c>
      <c r="K1670" s="14" t="str">
        <f>IFERROR(__xludf.DUMMYFUNCTION("split(E1670,""+"")"),"Chicken Puff")</f>
        <v>Chicken Puff</v>
      </c>
      <c r="L1670" s="14" t="str">
        <f>IFERROR(__xludf.DUMMYFUNCTION("""COMPUTED_VALUE"""),"3*Aman Kumar")</f>
        <v>3*Aman Kumar</v>
      </c>
      <c r="M1670" s="14">
        <f>IFERROR(__xludf.DUMMYFUNCTION("SPLIT(L1670,""*"")"),3.0)</f>
        <v>3</v>
      </c>
      <c r="N1670" s="14" t="str">
        <f>IFERROR(__xludf.DUMMYFUNCTION("""COMPUTED_VALUE"""),"Aman Kumar")</f>
        <v>Aman Kumar</v>
      </c>
      <c r="O1670" s="14" t="str">
        <f>IFERROR(__xludf.DUMMYFUNCTION("split(J1670,""*"")"),"Delivered")</f>
        <v>Delivered</v>
      </c>
      <c r="P1670" s="14" t="str">
        <f>IFERROR(__xludf.DUMMYFUNCTION("""COMPUTED_VALUE"""),"On-time Delivery: Delivered on time")</f>
        <v>On-time Delivery: Delivered on time</v>
      </c>
      <c r="Q1670" s="14" t="str">
        <f>IFERROR(__xludf.DUMMYFUNCTION("split(P1670,"":"")"),"On-time Delivery")</f>
        <v>On-time Delivery</v>
      </c>
      <c r="R1670" s="14" t="str">
        <f>IFERROR(__xludf.DUMMYFUNCTION("""COMPUTED_VALUE""")," Delivered on time")</f>
        <v> Delivered on time</v>
      </c>
      <c r="S1670" s="14" t="str">
        <f t="shared" ref="S1670:U1670" si="3343">trim(B1670)</f>
        <v>ord_71648</v>
      </c>
      <c r="T1670" s="14" t="str">
        <f t="shared" si="3343"/>
        <v>Sanjay Nair</v>
      </c>
      <c r="U1670" s="14" t="str">
        <f t="shared" si="3343"/>
        <v>Dadar</v>
      </c>
      <c r="V1670" s="14" t="str">
        <f t="shared" si="4"/>
        <v>Chicken Puff</v>
      </c>
      <c r="W1670" s="14">
        <f t="shared" si="5"/>
        <v>3</v>
      </c>
      <c r="X1670" s="14" t="str">
        <f t="shared" si="6"/>
        <v>Aman Kumar</v>
      </c>
      <c r="Y1670" s="15">
        <f t="shared" si="7"/>
        <v>45140</v>
      </c>
      <c r="Z1670" s="14" t="str">
        <f t="shared" si="8"/>
        <v>Credit Card</v>
      </c>
      <c r="AA1670" s="14" t="str">
        <f t="shared" si="9"/>
        <v>Delivered</v>
      </c>
      <c r="AB1670" s="14" t="str">
        <f t="shared" ref="AB1670:AC1670" si="3344">trim(Q1670)</f>
        <v>On-time Delivery</v>
      </c>
      <c r="AC1670" s="14" t="str">
        <f t="shared" si="3344"/>
        <v>Delivered on time</v>
      </c>
      <c r="AD1670" s="8"/>
    </row>
    <row r="1671">
      <c r="A1671" s="14" t="str">
        <f>IFERROR(__xludf.DUMMYFUNCTION("""COMPUTED_VALUE"""),"//ord_71649//Siya Reddy//Juhu//Tiramisu+1*Tanvi Jain/1/24/2023//Credit Card//Delivered*Quality of Items: Perfect condition")</f>
        <v>//ord_71649//Siya Reddy//Juhu//Tiramisu+1*Tanvi Jain/1/24/2023//Credit Card//Delivered*Quality of Items: Perfect condition</v>
      </c>
      <c r="B1671" s="14" t="str">
        <f>IFERROR(__xludf.DUMMYFUNCTION("split(A1671,""//"")"),"ord_71649")</f>
        <v>ord_71649</v>
      </c>
      <c r="C1671" s="14" t="str">
        <f>IFERROR(__xludf.DUMMYFUNCTION("""COMPUTED_VALUE"""),"Siya Reddy")</f>
        <v>Siya Reddy</v>
      </c>
      <c r="D1671" s="14" t="str">
        <f>IFERROR(__xludf.DUMMYFUNCTION("""COMPUTED_VALUE"""),"Juhu")</f>
        <v>Juhu</v>
      </c>
      <c r="E1671" s="14" t="str">
        <f>IFERROR(__xludf.DUMMYFUNCTION("""COMPUTED_VALUE"""),"Tiramisu+1*Tanvi Jain")</f>
        <v>Tiramisu+1*Tanvi Jain</v>
      </c>
      <c r="F1671" s="14">
        <f>IFERROR(__xludf.DUMMYFUNCTION("""COMPUTED_VALUE"""),1.0)</f>
        <v>1</v>
      </c>
      <c r="G1671" s="14">
        <f>IFERROR(__xludf.DUMMYFUNCTION("""COMPUTED_VALUE"""),24.0)</f>
        <v>24</v>
      </c>
      <c r="H1671" s="14">
        <f>IFERROR(__xludf.DUMMYFUNCTION("""COMPUTED_VALUE"""),2023.0)</f>
        <v>2023</v>
      </c>
      <c r="I1671" s="14" t="str">
        <f>IFERROR(__xludf.DUMMYFUNCTION("""COMPUTED_VALUE"""),"Credit Card")</f>
        <v>Credit Card</v>
      </c>
      <c r="J1671" s="14" t="str">
        <f>IFERROR(__xludf.DUMMYFUNCTION("""COMPUTED_VALUE"""),"Delivered*Quality of Items: Perfect condition")</f>
        <v>Delivered*Quality of Items: Perfect condition</v>
      </c>
      <c r="K1671" s="14" t="str">
        <f>IFERROR(__xludf.DUMMYFUNCTION("split(E1671,""+"")"),"Tiramisu")</f>
        <v>Tiramisu</v>
      </c>
      <c r="L1671" s="14" t="str">
        <f>IFERROR(__xludf.DUMMYFUNCTION("""COMPUTED_VALUE"""),"1*Tanvi Jain")</f>
        <v>1*Tanvi Jain</v>
      </c>
      <c r="M1671" s="14">
        <f>IFERROR(__xludf.DUMMYFUNCTION("SPLIT(L1671,""*"")"),1.0)</f>
        <v>1</v>
      </c>
      <c r="N1671" s="14" t="str">
        <f>IFERROR(__xludf.DUMMYFUNCTION("""COMPUTED_VALUE"""),"Tanvi Jain")</f>
        <v>Tanvi Jain</v>
      </c>
      <c r="O1671" s="14" t="str">
        <f>IFERROR(__xludf.DUMMYFUNCTION("split(J1671,""*"")"),"Delivered")</f>
        <v>Delivered</v>
      </c>
      <c r="P1671" s="14" t="str">
        <f>IFERROR(__xludf.DUMMYFUNCTION("""COMPUTED_VALUE"""),"Quality of Items: Perfect condition")</f>
        <v>Quality of Items: Perfect condition</v>
      </c>
      <c r="Q1671" s="14" t="str">
        <f>IFERROR(__xludf.DUMMYFUNCTION("split(P1671,"":"")"),"Quality of Items")</f>
        <v>Quality of Items</v>
      </c>
      <c r="R1671" s="14" t="str">
        <f>IFERROR(__xludf.DUMMYFUNCTION("""COMPUTED_VALUE""")," Perfect condition")</f>
        <v> Perfect condition</v>
      </c>
      <c r="S1671" s="14" t="str">
        <f t="shared" ref="S1671:U1671" si="3345">trim(B1671)</f>
        <v>ord_71649</v>
      </c>
      <c r="T1671" s="14" t="str">
        <f t="shared" si="3345"/>
        <v>Siya Reddy</v>
      </c>
      <c r="U1671" s="14" t="str">
        <f t="shared" si="3345"/>
        <v>Juhu</v>
      </c>
      <c r="V1671" s="14" t="str">
        <f t="shared" si="4"/>
        <v>Tiramisu</v>
      </c>
      <c r="W1671" s="14">
        <f t="shared" si="5"/>
        <v>1</v>
      </c>
      <c r="X1671" s="14" t="str">
        <f t="shared" si="6"/>
        <v>Tanvi Jain</v>
      </c>
      <c r="Y1671" s="15">
        <f t="shared" si="7"/>
        <v>44950</v>
      </c>
      <c r="Z1671" s="14" t="str">
        <f t="shared" si="8"/>
        <v>Credit Card</v>
      </c>
      <c r="AA1671" s="14" t="str">
        <f t="shared" si="9"/>
        <v>Delivered</v>
      </c>
      <c r="AB1671" s="14" t="str">
        <f t="shared" ref="AB1671:AC1671" si="3346">trim(Q1671)</f>
        <v>Quality of Items</v>
      </c>
      <c r="AC1671" s="14" t="str">
        <f t="shared" si="3346"/>
        <v>Perfect condition</v>
      </c>
      <c r="AD1671" s="8"/>
    </row>
    <row r="1672">
      <c r="A1672" s="14" t="str">
        <f>IFERROR(__xludf.DUMMYFUNCTION("""COMPUTED_VALUE"""),"//ord_71650//Kritika Shetty//Malad//Rasmalai+4*Priya Joshi/3/10/2023//UPI//Cancelled*Delayed Delivery:Vehicle Breakdown")</f>
        <v>//ord_71650//Kritika Shetty//Malad//Rasmalai+4*Priya Joshi/3/10/2023//UPI//Cancelled*Delayed Delivery:Vehicle Breakdown</v>
      </c>
      <c r="B1672" s="14" t="str">
        <f>IFERROR(__xludf.DUMMYFUNCTION("split(A1672,""//"")"),"ord_71650")</f>
        <v>ord_71650</v>
      </c>
      <c r="C1672" s="14" t="str">
        <f>IFERROR(__xludf.DUMMYFUNCTION("""COMPUTED_VALUE"""),"Kritika Shetty")</f>
        <v>Kritika Shetty</v>
      </c>
      <c r="D1672" s="14" t="str">
        <f>IFERROR(__xludf.DUMMYFUNCTION("""COMPUTED_VALUE"""),"Malad")</f>
        <v>Malad</v>
      </c>
      <c r="E1672" s="14" t="str">
        <f>IFERROR(__xludf.DUMMYFUNCTION("""COMPUTED_VALUE"""),"Rasmalai+4*Priya Joshi")</f>
        <v>Rasmalai+4*Priya Joshi</v>
      </c>
      <c r="F1672" s="14">
        <f>IFERROR(__xludf.DUMMYFUNCTION("""COMPUTED_VALUE"""),3.0)</f>
        <v>3</v>
      </c>
      <c r="G1672" s="14">
        <f>IFERROR(__xludf.DUMMYFUNCTION("""COMPUTED_VALUE"""),10.0)</f>
        <v>10</v>
      </c>
      <c r="H1672" s="14">
        <f>IFERROR(__xludf.DUMMYFUNCTION("""COMPUTED_VALUE"""),2023.0)</f>
        <v>2023</v>
      </c>
      <c r="I1672" s="14" t="str">
        <f>IFERROR(__xludf.DUMMYFUNCTION("""COMPUTED_VALUE"""),"UPI")</f>
        <v>UPI</v>
      </c>
      <c r="J1672" s="14" t="str">
        <f>IFERROR(__xludf.DUMMYFUNCTION("""COMPUTED_VALUE"""),"Cancelled*Delayed Delivery:Vehicle Breakdown")</f>
        <v>Cancelled*Delayed Delivery:Vehicle Breakdown</v>
      </c>
      <c r="K1672" s="14" t="str">
        <f>IFERROR(__xludf.DUMMYFUNCTION("split(E1672,""+"")"),"Rasmalai")</f>
        <v>Rasmalai</v>
      </c>
      <c r="L1672" s="14" t="str">
        <f>IFERROR(__xludf.DUMMYFUNCTION("""COMPUTED_VALUE"""),"4*Priya Joshi")</f>
        <v>4*Priya Joshi</v>
      </c>
      <c r="M1672" s="14">
        <f>IFERROR(__xludf.DUMMYFUNCTION("SPLIT(L1672,""*"")"),4.0)</f>
        <v>4</v>
      </c>
      <c r="N1672" s="14" t="str">
        <f>IFERROR(__xludf.DUMMYFUNCTION("""COMPUTED_VALUE"""),"Priya Joshi")</f>
        <v>Priya Joshi</v>
      </c>
      <c r="O1672" s="14" t="str">
        <f>IFERROR(__xludf.DUMMYFUNCTION("split(J1672,""*"")"),"Cancelled")</f>
        <v>Cancelled</v>
      </c>
      <c r="P1672" s="14" t="str">
        <f>IFERROR(__xludf.DUMMYFUNCTION("""COMPUTED_VALUE"""),"Delayed Delivery:Vehicle Breakdown")</f>
        <v>Delayed Delivery:Vehicle Breakdown</v>
      </c>
      <c r="Q1672" s="14" t="str">
        <f>IFERROR(__xludf.DUMMYFUNCTION("split(P1672,"":"")"),"Delayed Delivery")</f>
        <v>Delayed Delivery</v>
      </c>
      <c r="R1672" s="14" t="str">
        <f>IFERROR(__xludf.DUMMYFUNCTION("""COMPUTED_VALUE"""),"Vehicle Breakdown")</f>
        <v>Vehicle Breakdown</v>
      </c>
      <c r="S1672" s="14" t="str">
        <f t="shared" ref="S1672:U1672" si="3347">trim(B1672)</f>
        <v>ord_71650</v>
      </c>
      <c r="T1672" s="14" t="str">
        <f t="shared" si="3347"/>
        <v>Kritika Shetty</v>
      </c>
      <c r="U1672" s="14" t="str">
        <f t="shared" si="3347"/>
        <v>Malad</v>
      </c>
      <c r="V1672" s="14" t="str">
        <f t="shared" si="4"/>
        <v>Rasmalai</v>
      </c>
      <c r="W1672" s="14">
        <f t="shared" si="5"/>
        <v>4</v>
      </c>
      <c r="X1672" s="14" t="str">
        <f t="shared" si="6"/>
        <v>Priya Joshi</v>
      </c>
      <c r="Y1672" s="15">
        <f t="shared" si="7"/>
        <v>44995</v>
      </c>
      <c r="Z1672" s="14" t="str">
        <f t="shared" si="8"/>
        <v>UPI</v>
      </c>
      <c r="AA1672" s="14" t="str">
        <f t="shared" si="9"/>
        <v>Cancelled</v>
      </c>
      <c r="AB1672" s="14" t="str">
        <f t="shared" ref="AB1672:AC1672" si="3348">trim(Q1672)</f>
        <v>Delayed Delivery</v>
      </c>
      <c r="AC1672" s="14" t="str">
        <f t="shared" si="3348"/>
        <v>Vehicle Breakdown</v>
      </c>
      <c r="AD1672" s="8"/>
    </row>
    <row r="1673">
      <c r="A1673" s="14" t="str">
        <f>IFERROR(__xludf.DUMMYFUNCTION("""COMPUTED_VALUE"""),"//ord_71651//Siya Reddy//Juhu//Cucumber+2*Shine Thomas/10/20/2023//Credit Card//Cancelled*Delayed Delivery:Heavy Traffic")</f>
        <v>//ord_71651//Siya Reddy//Juhu//Cucumber+2*Shine Thomas/10/20/2023//Credit Card//Cancelled*Delayed Delivery:Heavy Traffic</v>
      </c>
      <c r="B1673" s="14" t="str">
        <f>IFERROR(__xludf.DUMMYFUNCTION("split(A1673,""//"")"),"ord_71651")</f>
        <v>ord_71651</v>
      </c>
      <c r="C1673" s="14" t="str">
        <f>IFERROR(__xludf.DUMMYFUNCTION("""COMPUTED_VALUE"""),"Siya Reddy")</f>
        <v>Siya Reddy</v>
      </c>
      <c r="D1673" s="14" t="str">
        <f>IFERROR(__xludf.DUMMYFUNCTION("""COMPUTED_VALUE"""),"Juhu")</f>
        <v>Juhu</v>
      </c>
      <c r="E1673" s="14" t="str">
        <f>IFERROR(__xludf.DUMMYFUNCTION("""COMPUTED_VALUE"""),"Cucumber+2*Shine Thomas")</f>
        <v>Cucumber+2*Shine Thomas</v>
      </c>
      <c r="F1673" s="14">
        <f>IFERROR(__xludf.DUMMYFUNCTION("""COMPUTED_VALUE"""),10.0)</f>
        <v>10</v>
      </c>
      <c r="G1673" s="14">
        <f>IFERROR(__xludf.DUMMYFUNCTION("""COMPUTED_VALUE"""),20.0)</f>
        <v>20</v>
      </c>
      <c r="H1673" s="14">
        <f>IFERROR(__xludf.DUMMYFUNCTION("""COMPUTED_VALUE"""),2023.0)</f>
        <v>2023</v>
      </c>
      <c r="I1673" s="14" t="str">
        <f>IFERROR(__xludf.DUMMYFUNCTION("""COMPUTED_VALUE"""),"Credit Card")</f>
        <v>Credit Card</v>
      </c>
      <c r="J1673" s="14" t="str">
        <f>IFERROR(__xludf.DUMMYFUNCTION("""COMPUTED_VALUE"""),"Cancelled*Delayed Delivery:Heavy Traffic")</f>
        <v>Cancelled*Delayed Delivery:Heavy Traffic</v>
      </c>
      <c r="K1673" s="14" t="str">
        <f>IFERROR(__xludf.DUMMYFUNCTION("split(E1673,""+"")"),"Cucumber")</f>
        <v>Cucumber</v>
      </c>
      <c r="L1673" s="14" t="str">
        <f>IFERROR(__xludf.DUMMYFUNCTION("""COMPUTED_VALUE"""),"2*Shine Thomas")</f>
        <v>2*Shine Thomas</v>
      </c>
      <c r="M1673" s="14">
        <f>IFERROR(__xludf.DUMMYFUNCTION("SPLIT(L1673,""*"")"),2.0)</f>
        <v>2</v>
      </c>
      <c r="N1673" s="14" t="str">
        <f>IFERROR(__xludf.DUMMYFUNCTION("""COMPUTED_VALUE"""),"Shine Thomas")</f>
        <v>Shine Thomas</v>
      </c>
      <c r="O1673" s="14" t="str">
        <f>IFERROR(__xludf.DUMMYFUNCTION("split(J1673,""*"")"),"Cancelled")</f>
        <v>Cancelled</v>
      </c>
      <c r="P1673" s="14" t="str">
        <f>IFERROR(__xludf.DUMMYFUNCTION("""COMPUTED_VALUE"""),"Delayed Delivery:Heavy Traffic")</f>
        <v>Delayed Delivery:Heavy Traffic</v>
      </c>
      <c r="Q1673" s="14" t="str">
        <f>IFERROR(__xludf.DUMMYFUNCTION("split(P1673,"":"")"),"Delayed Delivery")</f>
        <v>Delayed Delivery</v>
      </c>
      <c r="R1673" s="14" t="str">
        <f>IFERROR(__xludf.DUMMYFUNCTION("""COMPUTED_VALUE"""),"Heavy Traffic")</f>
        <v>Heavy Traffic</v>
      </c>
      <c r="S1673" s="14" t="str">
        <f t="shared" ref="S1673:U1673" si="3349">trim(B1673)</f>
        <v>ord_71651</v>
      </c>
      <c r="T1673" s="14" t="str">
        <f t="shared" si="3349"/>
        <v>Siya Reddy</v>
      </c>
      <c r="U1673" s="14" t="str">
        <f t="shared" si="3349"/>
        <v>Juhu</v>
      </c>
      <c r="V1673" s="14" t="str">
        <f t="shared" si="4"/>
        <v>Cucumber</v>
      </c>
      <c r="W1673" s="14">
        <f t="shared" si="5"/>
        <v>2</v>
      </c>
      <c r="X1673" s="14" t="str">
        <f t="shared" si="6"/>
        <v>Shine Thomas</v>
      </c>
      <c r="Y1673" s="15">
        <f t="shared" si="7"/>
        <v>45219</v>
      </c>
      <c r="Z1673" s="14" t="str">
        <f t="shared" si="8"/>
        <v>Credit Card</v>
      </c>
      <c r="AA1673" s="14" t="str">
        <f t="shared" si="9"/>
        <v>Cancelled</v>
      </c>
      <c r="AB1673" s="14" t="str">
        <f t="shared" ref="AB1673:AC1673" si="3350">trim(Q1673)</f>
        <v>Delayed Delivery</v>
      </c>
      <c r="AC1673" s="14" t="str">
        <f t="shared" si="3350"/>
        <v>Heavy Traffic</v>
      </c>
      <c r="AD1673" s="8"/>
    </row>
    <row r="1674">
      <c r="A1674" s="14" t="str">
        <f>IFERROR(__xludf.DUMMYFUNCTION("""COMPUTED_VALUE"""),"//ord_71652//Anaya Rao//Colaba//Tiramisu+4*Nikhil Deshmukh/6/10/2023//Credit Card//Delivered*On-time Delivery: Delivered on time")</f>
        <v>//ord_71652//Anaya Rao//Colaba//Tiramisu+4*Nikhil Deshmukh/6/10/2023//Credit Card//Delivered*On-time Delivery: Delivered on time</v>
      </c>
      <c r="B1674" s="14" t="str">
        <f>IFERROR(__xludf.DUMMYFUNCTION("split(A1674,""//"")"),"ord_71652")</f>
        <v>ord_71652</v>
      </c>
      <c r="C1674" s="14" t="str">
        <f>IFERROR(__xludf.DUMMYFUNCTION("""COMPUTED_VALUE"""),"Anaya Rao")</f>
        <v>Anaya Rao</v>
      </c>
      <c r="D1674" s="14" t="str">
        <f>IFERROR(__xludf.DUMMYFUNCTION("""COMPUTED_VALUE"""),"Colaba")</f>
        <v>Colaba</v>
      </c>
      <c r="E1674" s="14" t="str">
        <f>IFERROR(__xludf.DUMMYFUNCTION("""COMPUTED_VALUE"""),"Tiramisu+4*Nikhil Deshmukh")</f>
        <v>Tiramisu+4*Nikhil Deshmukh</v>
      </c>
      <c r="F1674" s="14">
        <f>IFERROR(__xludf.DUMMYFUNCTION("""COMPUTED_VALUE"""),6.0)</f>
        <v>6</v>
      </c>
      <c r="G1674" s="14">
        <f>IFERROR(__xludf.DUMMYFUNCTION("""COMPUTED_VALUE"""),10.0)</f>
        <v>10</v>
      </c>
      <c r="H1674" s="14">
        <f>IFERROR(__xludf.DUMMYFUNCTION("""COMPUTED_VALUE"""),2023.0)</f>
        <v>2023</v>
      </c>
      <c r="I1674" s="14" t="str">
        <f>IFERROR(__xludf.DUMMYFUNCTION("""COMPUTED_VALUE"""),"Credit Card")</f>
        <v>Credit Card</v>
      </c>
      <c r="J1674" s="14" t="str">
        <f>IFERROR(__xludf.DUMMYFUNCTION("""COMPUTED_VALUE"""),"Delivered*On-time Delivery: Delivered on time")</f>
        <v>Delivered*On-time Delivery: Delivered on time</v>
      </c>
      <c r="K1674" s="14" t="str">
        <f>IFERROR(__xludf.DUMMYFUNCTION("split(E1674,""+"")"),"Tiramisu")</f>
        <v>Tiramisu</v>
      </c>
      <c r="L1674" s="14" t="str">
        <f>IFERROR(__xludf.DUMMYFUNCTION("""COMPUTED_VALUE"""),"4*Nikhil Deshmukh")</f>
        <v>4*Nikhil Deshmukh</v>
      </c>
      <c r="M1674" s="14">
        <f>IFERROR(__xludf.DUMMYFUNCTION("SPLIT(L1674,""*"")"),4.0)</f>
        <v>4</v>
      </c>
      <c r="N1674" s="14" t="str">
        <f>IFERROR(__xludf.DUMMYFUNCTION("""COMPUTED_VALUE"""),"Nikhil Deshmukh")</f>
        <v>Nikhil Deshmukh</v>
      </c>
      <c r="O1674" s="14" t="str">
        <f>IFERROR(__xludf.DUMMYFUNCTION("split(J1674,""*"")"),"Delivered")</f>
        <v>Delivered</v>
      </c>
      <c r="P1674" s="14" t="str">
        <f>IFERROR(__xludf.DUMMYFUNCTION("""COMPUTED_VALUE"""),"On-time Delivery: Delivered on time")</f>
        <v>On-time Delivery: Delivered on time</v>
      </c>
      <c r="Q1674" s="14" t="str">
        <f>IFERROR(__xludf.DUMMYFUNCTION("split(P1674,"":"")"),"On-time Delivery")</f>
        <v>On-time Delivery</v>
      </c>
      <c r="R1674" s="14" t="str">
        <f>IFERROR(__xludf.DUMMYFUNCTION("""COMPUTED_VALUE""")," Delivered on time")</f>
        <v> Delivered on time</v>
      </c>
      <c r="S1674" s="14" t="str">
        <f t="shared" ref="S1674:U1674" si="3351">trim(B1674)</f>
        <v>ord_71652</v>
      </c>
      <c r="T1674" s="14" t="str">
        <f t="shared" si="3351"/>
        <v>Anaya Rao</v>
      </c>
      <c r="U1674" s="14" t="str">
        <f t="shared" si="3351"/>
        <v>Colaba</v>
      </c>
      <c r="V1674" s="14" t="str">
        <f t="shared" si="4"/>
        <v>Tiramisu</v>
      </c>
      <c r="W1674" s="14">
        <f t="shared" si="5"/>
        <v>4</v>
      </c>
      <c r="X1674" s="14" t="str">
        <f t="shared" si="6"/>
        <v>Nikhil Deshmukh</v>
      </c>
      <c r="Y1674" s="15">
        <f t="shared" si="7"/>
        <v>45087</v>
      </c>
      <c r="Z1674" s="14" t="str">
        <f t="shared" si="8"/>
        <v>Credit Card</v>
      </c>
      <c r="AA1674" s="14" t="str">
        <f t="shared" si="9"/>
        <v>Delivered</v>
      </c>
      <c r="AB1674" s="14" t="str">
        <f t="shared" ref="AB1674:AC1674" si="3352">trim(Q1674)</f>
        <v>On-time Delivery</v>
      </c>
      <c r="AC1674" s="14" t="str">
        <f t="shared" si="3352"/>
        <v>Delivered on time</v>
      </c>
      <c r="AD1674" s="8"/>
    </row>
    <row r="1675">
      <c r="A1675" s="14" t="str">
        <f>IFERROR(__xludf.DUMMYFUNCTION("""COMPUTED_VALUE"""),"//ord_71653//Aditi Iyer//Dadar//Veg Puff+1*Aman Kumar/9/12/2023//UPI//Delivered*Quality of Items: Perfect condition")</f>
        <v>//ord_71653//Aditi Iyer//Dadar//Veg Puff+1*Aman Kumar/9/12/2023//UPI//Delivered*Quality of Items: Perfect condition</v>
      </c>
      <c r="B1675" s="14" t="str">
        <f>IFERROR(__xludf.DUMMYFUNCTION("split(A1675,""//"")"),"ord_71653")</f>
        <v>ord_71653</v>
      </c>
      <c r="C1675" s="14" t="str">
        <f>IFERROR(__xludf.DUMMYFUNCTION("""COMPUTED_VALUE"""),"Aditi Iyer")</f>
        <v>Aditi Iyer</v>
      </c>
      <c r="D1675" s="14" t="str">
        <f>IFERROR(__xludf.DUMMYFUNCTION("""COMPUTED_VALUE"""),"Dadar")</f>
        <v>Dadar</v>
      </c>
      <c r="E1675" s="14" t="str">
        <f>IFERROR(__xludf.DUMMYFUNCTION("""COMPUTED_VALUE"""),"Veg Puff+1*Aman Kumar")</f>
        <v>Veg Puff+1*Aman Kumar</v>
      </c>
      <c r="F1675" s="14">
        <f>IFERROR(__xludf.DUMMYFUNCTION("""COMPUTED_VALUE"""),9.0)</f>
        <v>9</v>
      </c>
      <c r="G1675" s="14">
        <f>IFERROR(__xludf.DUMMYFUNCTION("""COMPUTED_VALUE"""),12.0)</f>
        <v>12</v>
      </c>
      <c r="H1675" s="14">
        <f>IFERROR(__xludf.DUMMYFUNCTION("""COMPUTED_VALUE"""),2023.0)</f>
        <v>2023</v>
      </c>
      <c r="I1675" s="14" t="str">
        <f>IFERROR(__xludf.DUMMYFUNCTION("""COMPUTED_VALUE"""),"UPI")</f>
        <v>UPI</v>
      </c>
      <c r="J1675" s="14" t="str">
        <f>IFERROR(__xludf.DUMMYFUNCTION("""COMPUTED_VALUE"""),"Delivered*Quality of Items: Perfect condition")</f>
        <v>Delivered*Quality of Items: Perfect condition</v>
      </c>
      <c r="K1675" s="14" t="str">
        <f>IFERROR(__xludf.DUMMYFUNCTION("split(E1675,""+"")"),"Veg Puff")</f>
        <v>Veg Puff</v>
      </c>
      <c r="L1675" s="14" t="str">
        <f>IFERROR(__xludf.DUMMYFUNCTION("""COMPUTED_VALUE"""),"1*Aman Kumar")</f>
        <v>1*Aman Kumar</v>
      </c>
      <c r="M1675" s="14">
        <f>IFERROR(__xludf.DUMMYFUNCTION("SPLIT(L1675,""*"")"),1.0)</f>
        <v>1</v>
      </c>
      <c r="N1675" s="14" t="str">
        <f>IFERROR(__xludf.DUMMYFUNCTION("""COMPUTED_VALUE"""),"Aman Kumar")</f>
        <v>Aman Kumar</v>
      </c>
      <c r="O1675" s="14" t="str">
        <f>IFERROR(__xludf.DUMMYFUNCTION("split(J1675,""*"")"),"Delivered")</f>
        <v>Delivered</v>
      </c>
      <c r="P1675" s="14" t="str">
        <f>IFERROR(__xludf.DUMMYFUNCTION("""COMPUTED_VALUE"""),"Quality of Items: Perfect condition")</f>
        <v>Quality of Items: Perfect condition</v>
      </c>
      <c r="Q1675" s="14" t="str">
        <f>IFERROR(__xludf.DUMMYFUNCTION("split(P1675,"":"")"),"Quality of Items")</f>
        <v>Quality of Items</v>
      </c>
      <c r="R1675" s="14" t="str">
        <f>IFERROR(__xludf.DUMMYFUNCTION("""COMPUTED_VALUE""")," Perfect condition")</f>
        <v> Perfect condition</v>
      </c>
      <c r="S1675" s="14" t="str">
        <f t="shared" ref="S1675:U1675" si="3353">trim(B1675)</f>
        <v>ord_71653</v>
      </c>
      <c r="T1675" s="14" t="str">
        <f t="shared" si="3353"/>
        <v>Aditi Iyer</v>
      </c>
      <c r="U1675" s="14" t="str">
        <f t="shared" si="3353"/>
        <v>Dadar</v>
      </c>
      <c r="V1675" s="14" t="str">
        <f t="shared" si="4"/>
        <v>Veg Puff</v>
      </c>
      <c r="W1675" s="14">
        <f t="shared" si="5"/>
        <v>1</v>
      </c>
      <c r="X1675" s="14" t="str">
        <f t="shared" si="6"/>
        <v>Aman Kumar</v>
      </c>
      <c r="Y1675" s="15">
        <f t="shared" si="7"/>
        <v>45181</v>
      </c>
      <c r="Z1675" s="14" t="str">
        <f t="shared" si="8"/>
        <v>UPI</v>
      </c>
      <c r="AA1675" s="14" t="str">
        <f t="shared" si="9"/>
        <v>Delivered</v>
      </c>
      <c r="AB1675" s="14" t="str">
        <f t="shared" ref="AB1675:AC1675" si="3354">trim(Q1675)</f>
        <v>Quality of Items</v>
      </c>
      <c r="AC1675" s="14" t="str">
        <f t="shared" si="3354"/>
        <v>Perfect condition</v>
      </c>
      <c r="AD1675" s="8"/>
    </row>
    <row r="1676">
      <c r="A1676" s="14" t="str">
        <f>IFERROR(__xludf.DUMMYFUNCTION("""COMPUTED_VALUE"""),"//ord_71654//Ritika Dutta//Lower Parel//Tomato+3*Kiran Mehta/2/2/2023//Credit Card//Delivered*Packaging: Secure and intact")</f>
        <v>//ord_71654//Ritika Dutta//Lower Parel//Tomato+3*Kiran Mehta/2/2/2023//Credit Card//Delivered*Packaging: Secure and intact</v>
      </c>
      <c r="B1676" s="14" t="str">
        <f>IFERROR(__xludf.DUMMYFUNCTION("split(A1676,""//"")"),"ord_71654")</f>
        <v>ord_71654</v>
      </c>
      <c r="C1676" s="14" t="str">
        <f>IFERROR(__xludf.DUMMYFUNCTION("""COMPUTED_VALUE"""),"Ritika Dutta")</f>
        <v>Ritika Dutta</v>
      </c>
      <c r="D1676" s="14" t="str">
        <f>IFERROR(__xludf.DUMMYFUNCTION("""COMPUTED_VALUE"""),"Lower Parel")</f>
        <v>Lower Parel</v>
      </c>
      <c r="E1676" s="14" t="str">
        <f>IFERROR(__xludf.DUMMYFUNCTION("""COMPUTED_VALUE"""),"Tomato+3*Kiran Mehta")</f>
        <v>Tomato+3*Kiran Mehta</v>
      </c>
      <c r="F1676" s="14">
        <f>IFERROR(__xludf.DUMMYFUNCTION("""COMPUTED_VALUE"""),2.0)</f>
        <v>2</v>
      </c>
      <c r="G1676" s="14">
        <f>IFERROR(__xludf.DUMMYFUNCTION("""COMPUTED_VALUE"""),2.0)</f>
        <v>2</v>
      </c>
      <c r="H1676" s="14">
        <f>IFERROR(__xludf.DUMMYFUNCTION("""COMPUTED_VALUE"""),2023.0)</f>
        <v>2023</v>
      </c>
      <c r="I1676" s="14" t="str">
        <f>IFERROR(__xludf.DUMMYFUNCTION("""COMPUTED_VALUE"""),"Credit Card")</f>
        <v>Credit Card</v>
      </c>
      <c r="J1676" s="14" t="str">
        <f>IFERROR(__xludf.DUMMYFUNCTION("""COMPUTED_VALUE"""),"Delivered*Packaging: Secure and intact")</f>
        <v>Delivered*Packaging: Secure and intact</v>
      </c>
      <c r="K1676" s="14" t="str">
        <f>IFERROR(__xludf.DUMMYFUNCTION("split(E1676,""+"")"),"Tomato")</f>
        <v>Tomato</v>
      </c>
      <c r="L1676" s="14" t="str">
        <f>IFERROR(__xludf.DUMMYFUNCTION("""COMPUTED_VALUE"""),"3*Kiran Mehta")</f>
        <v>3*Kiran Mehta</v>
      </c>
      <c r="M1676" s="14">
        <f>IFERROR(__xludf.DUMMYFUNCTION("SPLIT(L1676,""*"")"),3.0)</f>
        <v>3</v>
      </c>
      <c r="N1676" s="14" t="str">
        <f>IFERROR(__xludf.DUMMYFUNCTION("""COMPUTED_VALUE"""),"Kiran Mehta")</f>
        <v>Kiran Mehta</v>
      </c>
      <c r="O1676" s="14" t="str">
        <f>IFERROR(__xludf.DUMMYFUNCTION("split(J1676,""*"")"),"Delivered")</f>
        <v>Delivered</v>
      </c>
      <c r="P1676" s="14" t="str">
        <f>IFERROR(__xludf.DUMMYFUNCTION("""COMPUTED_VALUE"""),"Packaging: Secure and intact")</f>
        <v>Packaging: Secure and intact</v>
      </c>
      <c r="Q1676" s="14" t="str">
        <f>IFERROR(__xludf.DUMMYFUNCTION("split(P1676,"":"")"),"Packaging")</f>
        <v>Packaging</v>
      </c>
      <c r="R1676" s="14" t="str">
        <f>IFERROR(__xludf.DUMMYFUNCTION("""COMPUTED_VALUE""")," Secure and intact")</f>
        <v> Secure and intact</v>
      </c>
      <c r="S1676" s="14" t="str">
        <f t="shared" ref="S1676:U1676" si="3355">trim(B1676)</f>
        <v>ord_71654</v>
      </c>
      <c r="T1676" s="14" t="str">
        <f t="shared" si="3355"/>
        <v>Ritika Dutta</v>
      </c>
      <c r="U1676" s="14" t="str">
        <f t="shared" si="3355"/>
        <v>Lower Parel</v>
      </c>
      <c r="V1676" s="14" t="str">
        <f t="shared" si="4"/>
        <v>Tomato</v>
      </c>
      <c r="W1676" s="14">
        <f t="shared" si="5"/>
        <v>3</v>
      </c>
      <c r="X1676" s="14" t="str">
        <f t="shared" si="6"/>
        <v>Kiran Mehta</v>
      </c>
      <c r="Y1676" s="15">
        <f t="shared" si="7"/>
        <v>44959</v>
      </c>
      <c r="Z1676" s="14" t="str">
        <f t="shared" si="8"/>
        <v>Credit Card</v>
      </c>
      <c r="AA1676" s="14" t="str">
        <f t="shared" si="9"/>
        <v>Delivered</v>
      </c>
      <c r="AB1676" s="14" t="str">
        <f t="shared" ref="AB1676:AC1676" si="3356">trim(Q1676)</f>
        <v>Packaging</v>
      </c>
      <c r="AC1676" s="14" t="str">
        <f t="shared" si="3356"/>
        <v>Secure and intact</v>
      </c>
      <c r="AD1676" s="8"/>
    </row>
    <row r="1677">
      <c r="A1677" s="14" t="str">
        <f>IFERROR(__xludf.DUMMYFUNCTION("""COMPUTED_VALUE"""),"//ord_71655//Ishaan Chaturvedi//Bandra//Veg Puff+1*Priya Joshi/12/7/2023//UPI//Delivered*Satisfied with the Delivery: Timely and quality")</f>
        <v>//ord_71655//Ishaan Chaturvedi//Bandra//Veg Puff+1*Priya Joshi/12/7/2023//UPI//Delivered*Satisfied with the Delivery: Timely and quality</v>
      </c>
      <c r="B1677" s="14" t="str">
        <f>IFERROR(__xludf.DUMMYFUNCTION("split(A1677,""//"")"),"ord_71655")</f>
        <v>ord_71655</v>
      </c>
      <c r="C1677" s="14" t="str">
        <f>IFERROR(__xludf.DUMMYFUNCTION("""COMPUTED_VALUE"""),"Ishaan Chaturvedi")</f>
        <v>Ishaan Chaturvedi</v>
      </c>
      <c r="D1677" s="14" t="str">
        <f>IFERROR(__xludf.DUMMYFUNCTION("""COMPUTED_VALUE"""),"Bandra")</f>
        <v>Bandra</v>
      </c>
      <c r="E1677" s="14" t="str">
        <f>IFERROR(__xludf.DUMMYFUNCTION("""COMPUTED_VALUE"""),"Veg Puff+1*Priya Joshi")</f>
        <v>Veg Puff+1*Priya Joshi</v>
      </c>
      <c r="F1677" s="14">
        <f>IFERROR(__xludf.DUMMYFUNCTION("""COMPUTED_VALUE"""),12.0)</f>
        <v>12</v>
      </c>
      <c r="G1677" s="14">
        <f>IFERROR(__xludf.DUMMYFUNCTION("""COMPUTED_VALUE"""),7.0)</f>
        <v>7</v>
      </c>
      <c r="H1677" s="14">
        <f>IFERROR(__xludf.DUMMYFUNCTION("""COMPUTED_VALUE"""),2023.0)</f>
        <v>2023</v>
      </c>
      <c r="I1677" s="14" t="str">
        <f>IFERROR(__xludf.DUMMYFUNCTION("""COMPUTED_VALUE"""),"UPI")</f>
        <v>UPI</v>
      </c>
      <c r="J1677" s="14" t="str">
        <f>IFERROR(__xludf.DUMMYFUNCTION("""COMPUTED_VALUE"""),"Delivered*Satisfied with the Delivery: Timely and quality")</f>
        <v>Delivered*Satisfied with the Delivery: Timely and quality</v>
      </c>
      <c r="K1677" s="14" t="str">
        <f>IFERROR(__xludf.DUMMYFUNCTION("split(E1677,""+"")"),"Veg Puff")</f>
        <v>Veg Puff</v>
      </c>
      <c r="L1677" s="14" t="str">
        <f>IFERROR(__xludf.DUMMYFUNCTION("""COMPUTED_VALUE"""),"1*Priya Joshi")</f>
        <v>1*Priya Joshi</v>
      </c>
      <c r="M1677" s="14">
        <f>IFERROR(__xludf.DUMMYFUNCTION("SPLIT(L1677,""*"")"),1.0)</f>
        <v>1</v>
      </c>
      <c r="N1677" s="14" t="str">
        <f>IFERROR(__xludf.DUMMYFUNCTION("""COMPUTED_VALUE"""),"Priya Joshi")</f>
        <v>Priya Joshi</v>
      </c>
      <c r="O1677" s="14" t="str">
        <f>IFERROR(__xludf.DUMMYFUNCTION("split(J1677,""*"")"),"Delivered")</f>
        <v>Delivered</v>
      </c>
      <c r="P1677" s="14" t="str">
        <f>IFERROR(__xludf.DUMMYFUNCTION("""COMPUTED_VALUE"""),"Satisfied with the Delivery: Timely and quality")</f>
        <v>Satisfied with the Delivery: Timely and quality</v>
      </c>
      <c r="Q1677" s="14" t="str">
        <f>IFERROR(__xludf.DUMMYFUNCTION("split(P1677,"":"")"),"Satisfied with the Delivery")</f>
        <v>Satisfied with the Delivery</v>
      </c>
      <c r="R1677" s="14" t="str">
        <f>IFERROR(__xludf.DUMMYFUNCTION("""COMPUTED_VALUE""")," Timely and quality")</f>
        <v> Timely and quality</v>
      </c>
      <c r="S1677" s="14" t="str">
        <f t="shared" ref="S1677:U1677" si="3357">trim(B1677)</f>
        <v>ord_71655</v>
      </c>
      <c r="T1677" s="14" t="str">
        <f t="shared" si="3357"/>
        <v>Ishaan Chaturvedi</v>
      </c>
      <c r="U1677" s="14" t="str">
        <f t="shared" si="3357"/>
        <v>Bandra</v>
      </c>
      <c r="V1677" s="14" t="str">
        <f t="shared" si="4"/>
        <v>Veg Puff</v>
      </c>
      <c r="W1677" s="14">
        <f t="shared" si="5"/>
        <v>1</v>
      </c>
      <c r="X1677" s="14" t="str">
        <f t="shared" si="6"/>
        <v>Priya Joshi</v>
      </c>
      <c r="Y1677" s="15">
        <f t="shared" si="7"/>
        <v>45267</v>
      </c>
      <c r="Z1677" s="14" t="str">
        <f t="shared" si="8"/>
        <v>UPI</v>
      </c>
      <c r="AA1677" s="14" t="str">
        <f t="shared" si="9"/>
        <v>Delivered</v>
      </c>
      <c r="AB1677" s="14" t="str">
        <f t="shared" ref="AB1677:AC1677" si="3358">trim(Q1677)</f>
        <v>Satisfied with the Delivery</v>
      </c>
      <c r="AC1677" s="14" t="str">
        <f t="shared" si="3358"/>
        <v>Timely and quality</v>
      </c>
      <c r="AD1677" s="8"/>
    </row>
    <row r="1678">
      <c r="A1678" s="14" t="str">
        <f>IFERROR(__xludf.DUMMYFUNCTION("""COMPUTED_VALUE"""),"//ord_71656//Arvind Kulkarni//Juhu//Guava+1*Tanvi Jain/3/9/2023//Online Payment//Delivered*Customer Service: Seamless and easy")</f>
        <v>//ord_71656//Arvind Kulkarni//Juhu//Guava+1*Tanvi Jain/3/9/2023//Online Payment//Delivered*Customer Service: Seamless and easy</v>
      </c>
      <c r="B1678" s="14" t="str">
        <f>IFERROR(__xludf.DUMMYFUNCTION("split(A1678,""//"")"),"ord_71656")</f>
        <v>ord_71656</v>
      </c>
      <c r="C1678" s="14" t="str">
        <f>IFERROR(__xludf.DUMMYFUNCTION("""COMPUTED_VALUE"""),"Arvind Kulkarni")</f>
        <v>Arvind Kulkarni</v>
      </c>
      <c r="D1678" s="14" t="str">
        <f>IFERROR(__xludf.DUMMYFUNCTION("""COMPUTED_VALUE"""),"Juhu")</f>
        <v>Juhu</v>
      </c>
      <c r="E1678" s="14" t="str">
        <f>IFERROR(__xludf.DUMMYFUNCTION("""COMPUTED_VALUE"""),"Guava+1*Tanvi Jain")</f>
        <v>Guava+1*Tanvi Jain</v>
      </c>
      <c r="F1678" s="14">
        <f>IFERROR(__xludf.DUMMYFUNCTION("""COMPUTED_VALUE"""),3.0)</f>
        <v>3</v>
      </c>
      <c r="G1678" s="14">
        <f>IFERROR(__xludf.DUMMYFUNCTION("""COMPUTED_VALUE"""),9.0)</f>
        <v>9</v>
      </c>
      <c r="H1678" s="14">
        <f>IFERROR(__xludf.DUMMYFUNCTION("""COMPUTED_VALUE"""),2023.0)</f>
        <v>2023</v>
      </c>
      <c r="I1678" s="14" t="str">
        <f>IFERROR(__xludf.DUMMYFUNCTION("""COMPUTED_VALUE"""),"Online Payment")</f>
        <v>Online Payment</v>
      </c>
      <c r="J1678" s="14" t="str">
        <f>IFERROR(__xludf.DUMMYFUNCTION("""COMPUTED_VALUE"""),"Delivered*Customer Service: Seamless and easy")</f>
        <v>Delivered*Customer Service: Seamless and easy</v>
      </c>
      <c r="K1678" s="14" t="str">
        <f>IFERROR(__xludf.DUMMYFUNCTION("split(E1678,""+"")"),"Guava")</f>
        <v>Guava</v>
      </c>
      <c r="L1678" s="14" t="str">
        <f>IFERROR(__xludf.DUMMYFUNCTION("""COMPUTED_VALUE"""),"1*Tanvi Jain")</f>
        <v>1*Tanvi Jain</v>
      </c>
      <c r="M1678" s="14">
        <f>IFERROR(__xludf.DUMMYFUNCTION("SPLIT(L1678,""*"")"),1.0)</f>
        <v>1</v>
      </c>
      <c r="N1678" s="14" t="str">
        <f>IFERROR(__xludf.DUMMYFUNCTION("""COMPUTED_VALUE"""),"Tanvi Jain")</f>
        <v>Tanvi Jain</v>
      </c>
      <c r="O1678" s="14" t="str">
        <f>IFERROR(__xludf.DUMMYFUNCTION("split(J1678,""*"")"),"Delivered")</f>
        <v>Delivered</v>
      </c>
      <c r="P1678" s="14" t="str">
        <f>IFERROR(__xludf.DUMMYFUNCTION("""COMPUTED_VALUE"""),"Customer Service: Seamless and easy")</f>
        <v>Customer Service: Seamless and easy</v>
      </c>
      <c r="Q1678" s="14" t="str">
        <f>IFERROR(__xludf.DUMMYFUNCTION("split(P1678,"":"")"),"Customer Service")</f>
        <v>Customer Service</v>
      </c>
      <c r="R1678" s="14" t="str">
        <f>IFERROR(__xludf.DUMMYFUNCTION("""COMPUTED_VALUE""")," Seamless and easy")</f>
        <v> Seamless and easy</v>
      </c>
      <c r="S1678" s="14" t="str">
        <f t="shared" ref="S1678:U1678" si="3359">trim(B1678)</f>
        <v>ord_71656</v>
      </c>
      <c r="T1678" s="14" t="str">
        <f t="shared" si="3359"/>
        <v>Arvind Kulkarni</v>
      </c>
      <c r="U1678" s="14" t="str">
        <f t="shared" si="3359"/>
        <v>Juhu</v>
      </c>
      <c r="V1678" s="14" t="str">
        <f t="shared" si="4"/>
        <v>Guava</v>
      </c>
      <c r="W1678" s="14">
        <f t="shared" si="5"/>
        <v>1</v>
      </c>
      <c r="X1678" s="14" t="str">
        <f t="shared" si="6"/>
        <v>Tanvi Jain</v>
      </c>
      <c r="Y1678" s="15">
        <f t="shared" si="7"/>
        <v>44994</v>
      </c>
      <c r="Z1678" s="14" t="str">
        <f t="shared" si="8"/>
        <v>Online Payment</v>
      </c>
      <c r="AA1678" s="14" t="str">
        <f t="shared" si="9"/>
        <v>Delivered</v>
      </c>
      <c r="AB1678" s="14" t="str">
        <f t="shared" ref="AB1678:AC1678" si="3360">trim(Q1678)</f>
        <v>Customer Service</v>
      </c>
      <c r="AC1678" s="14" t="str">
        <f t="shared" si="3360"/>
        <v>Seamless and easy</v>
      </c>
      <c r="AD1678" s="8"/>
    </row>
    <row r="1679">
      <c r="A1679" s="14" t="str">
        <f>IFERROR(__xludf.DUMMYFUNCTION("""COMPUTED_VALUE"""),"//ord_71657//Pranav Joshi//Andheri//Potato+2*Rohan Yadav/7/8/2023//UPI//Delivered*Delivery Experience: Quick and professional")</f>
        <v>//ord_71657//Pranav Joshi//Andheri//Potato+2*Rohan Yadav/7/8/2023//UPI//Delivered*Delivery Experience: Quick and professional</v>
      </c>
      <c r="B1679" s="14" t="str">
        <f>IFERROR(__xludf.DUMMYFUNCTION("split(A1679,""//"")"),"ord_71657")</f>
        <v>ord_71657</v>
      </c>
      <c r="C1679" s="14" t="str">
        <f>IFERROR(__xludf.DUMMYFUNCTION("""COMPUTED_VALUE"""),"Pranav Joshi")</f>
        <v>Pranav Joshi</v>
      </c>
      <c r="D1679" s="14" t="str">
        <f>IFERROR(__xludf.DUMMYFUNCTION("""COMPUTED_VALUE"""),"Andheri")</f>
        <v>Andheri</v>
      </c>
      <c r="E1679" s="14" t="str">
        <f>IFERROR(__xludf.DUMMYFUNCTION("""COMPUTED_VALUE"""),"Potato+2*Rohan Yadav")</f>
        <v>Potato+2*Rohan Yadav</v>
      </c>
      <c r="F1679" s="14">
        <f>IFERROR(__xludf.DUMMYFUNCTION("""COMPUTED_VALUE"""),7.0)</f>
        <v>7</v>
      </c>
      <c r="G1679" s="14">
        <f>IFERROR(__xludf.DUMMYFUNCTION("""COMPUTED_VALUE"""),8.0)</f>
        <v>8</v>
      </c>
      <c r="H1679" s="14">
        <f>IFERROR(__xludf.DUMMYFUNCTION("""COMPUTED_VALUE"""),2023.0)</f>
        <v>2023</v>
      </c>
      <c r="I1679" s="14" t="str">
        <f>IFERROR(__xludf.DUMMYFUNCTION("""COMPUTED_VALUE"""),"UPI")</f>
        <v>UPI</v>
      </c>
      <c r="J1679" s="14" t="str">
        <f>IFERROR(__xludf.DUMMYFUNCTION("""COMPUTED_VALUE"""),"Delivered*Delivery Experience: Quick and professional")</f>
        <v>Delivered*Delivery Experience: Quick and professional</v>
      </c>
      <c r="K1679" s="14" t="str">
        <f>IFERROR(__xludf.DUMMYFUNCTION("split(E1679,""+"")"),"Potato")</f>
        <v>Potato</v>
      </c>
      <c r="L1679" s="14" t="str">
        <f>IFERROR(__xludf.DUMMYFUNCTION("""COMPUTED_VALUE"""),"2*Rohan Yadav")</f>
        <v>2*Rohan Yadav</v>
      </c>
      <c r="M1679" s="14">
        <f>IFERROR(__xludf.DUMMYFUNCTION("SPLIT(L1679,""*"")"),2.0)</f>
        <v>2</v>
      </c>
      <c r="N1679" s="14" t="str">
        <f>IFERROR(__xludf.DUMMYFUNCTION("""COMPUTED_VALUE"""),"Rohan Yadav")</f>
        <v>Rohan Yadav</v>
      </c>
      <c r="O1679" s="14" t="str">
        <f>IFERROR(__xludf.DUMMYFUNCTION("split(J1679,""*"")"),"Delivered")</f>
        <v>Delivered</v>
      </c>
      <c r="P1679" s="14" t="str">
        <f>IFERROR(__xludf.DUMMYFUNCTION("""COMPUTED_VALUE"""),"Delivery Experience: Quick and professional")</f>
        <v>Delivery Experience: Quick and professional</v>
      </c>
      <c r="Q1679" s="14" t="str">
        <f>IFERROR(__xludf.DUMMYFUNCTION("split(P1679,"":"")"),"Delivery Experience")</f>
        <v>Delivery Experience</v>
      </c>
      <c r="R1679" s="14" t="str">
        <f>IFERROR(__xludf.DUMMYFUNCTION("""COMPUTED_VALUE""")," Quick and professional")</f>
        <v> Quick and professional</v>
      </c>
      <c r="S1679" s="14" t="str">
        <f t="shared" ref="S1679:U1679" si="3361">trim(B1679)</f>
        <v>ord_71657</v>
      </c>
      <c r="T1679" s="14" t="str">
        <f t="shared" si="3361"/>
        <v>Pranav Joshi</v>
      </c>
      <c r="U1679" s="14" t="str">
        <f t="shared" si="3361"/>
        <v>Andheri</v>
      </c>
      <c r="V1679" s="14" t="str">
        <f t="shared" si="4"/>
        <v>Potato</v>
      </c>
      <c r="W1679" s="14">
        <f t="shared" si="5"/>
        <v>2</v>
      </c>
      <c r="X1679" s="14" t="str">
        <f t="shared" si="6"/>
        <v>Rohan Yadav</v>
      </c>
      <c r="Y1679" s="15">
        <f t="shared" si="7"/>
        <v>45115</v>
      </c>
      <c r="Z1679" s="14" t="str">
        <f t="shared" si="8"/>
        <v>UPI</v>
      </c>
      <c r="AA1679" s="14" t="str">
        <f t="shared" si="9"/>
        <v>Delivered</v>
      </c>
      <c r="AB1679" s="14" t="str">
        <f t="shared" ref="AB1679:AC1679" si="3362">trim(Q1679)</f>
        <v>Delivery Experience</v>
      </c>
      <c r="AC1679" s="14" t="str">
        <f t="shared" si="3362"/>
        <v>Quick and professional</v>
      </c>
      <c r="AD1679" s="8"/>
    </row>
    <row r="1680">
      <c r="A1680" s="14" t="str">
        <f>IFERROR(__xludf.DUMMYFUNCTION("""COMPUTED_VALUE"""),"//ord_71658//Dev Chauhan//Bandra//Chocolate Mousse+3*Priya Joshi/6/13/2023//Online Payment//Delivered*Convenience: Easy tracking")</f>
        <v>//ord_71658//Dev Chauhan//Bandra//Chocolate Mousse+3*Priya Joshi/6/13/2023//Online Payment//Delivered*Convenience: Easy tracking</v>
      </c>
      <c r="B1680" s="14" t="str">
        <f>IFERROR(__xludf.DUMMYFUNCTION("split(A1680,""//"")"),"ord_71658")</f>
        <v>ord_71658</v>
      </c>
      <c r="C1680" s="14" t="str">
        <f>IFERROR(__xludf.DUMMYFUNCTION("""COMPUTED_VALUE"""),"Dev Chauhan")</f>
        <v>Dev Chauhan</v>
      </c>
      <c r="D1680" s="14" t="str">
        <f>IFERROR(__xludf.DUMMYFUNCTION("""COMPUTED_VALUE"""),"Bandra")</f>
        <v>Bandra</v>
      </c>
      <c r="E1680" s="14" t="str">
        <f>IFERROR(__xludf.DUMMYFUNCTION("""COMPUTED_VALUE"""),"Chocolate Mousse+3*Priya Joshi")</f>
        <v>Chocolate Mousse+3*Priya Joshi</v>
      </c>
      <c r="F1680" s="14">
        <f>IFERROR(__xludf.DUMMYFUNCTION("""COMPUTED_VALUE"""),6.0)</f>
        <v>6</v>
      </c>
      <c r="G1680" s="14">
        <f>IFERROR(__xludf.DUMMYFUNCTION("""COMPUTED_VALUE"""),13.0)</f>
        <v>13</v>
      </c>
      <c r="H1680" s="14">
        <f>IFERROR(__xludf.DUMMYFUNCTION("""COMPUTED_VALUE"""),2023.0)</f>
        <v>2023</v>
      </c>
      <c r="I1680" s="14" t="str">
        <f>IFERROR(__xludf.DUMMYFUNCTION("""COMPUTED_VALUE"""),"Online Payment")</f>
        <v>Online Payment</v>
      </c>
      <c r="J1680" s="14" t="str">
        <f>IFERROR(__xludf.DUMMYFUNCTION("""COMPUTED_VALUE"""),"Delivered*Convenience: Easy tracking")</f>
        <v>Delivered*Convenience: Easy tracking</v>
      </c>
      <c r="K1680" s="14" t="str">
        <f>IFERROR(__xludf.DUMMYFUNCTION("split(E1680,""+"")"),"Chocolate Mousse")</f>
        <v>Chocolate Mousse</v>
      </c>
      <c r="L1680" s="14" t="str">
        <f>IFERROR(__xludf.DUMMYFUNCTION("""COMPUTED_VALUE"""),"3*Priya Joshi")</f>
        <v>3*Priya Joshi</v>
      </c>
      <c r="M1680" s="14">
        <f>IFERROR(__xludf.DUMMYFUNCTION("SPLIT(L1680,""*"")"),3.0)</f>
        <v>3</v>
      </c>
      <c r="N1680" s="14" t="str">
        <f>IFERROR(__xludf.DUMMYFUNCTION("""COMPUTED_VALUE"""),"Priya Joshi")</f>
        <v>Priya Joshi</v>
      </c>
      <c r="O1680" s="14" t="str">
        <f>IFERROR(__xludf.DUMMYFUNCTION("split(J1680,""*"")"),"Delivered")</f>
        <v>Delivered</v>
      </c>
      <c r="P1680" s="14" t="str">
        <f>IFERROR(__xludf.DUMMYFUNCTION("""COMPUTED_VALUE"""),"Convenience: Easy tracking")</f>
        <v>Convenience: Easy tracking</v>
      </c>
      <c r="Q1680" s="14" t="str">
        <f>IFERROR(__xludf.DUMMYFUNCTION("split(P1680,"":"")"),"Convenience")</f>
        <v>Convenience</v>
      </c>
      <c r="R1680" s="14" t="str">
        <f>IFERROR(__xludf.DUMMYFUNCTION("""COMPUTED_VALUE""")," Easy tracking")</f>
        <v> Easy tracking</v>
      </c>
      <c r="S1680" s="14" t="str">
        <f t="shared" ref="S1680:U1680" si="3363">trim(B1680)</f>
        <v>ord_71658</v>
      </c>
      <c r="T1680" s="14" t="str">
        <f t="shared" si="3363"/>
        <v>Dev Chauhan</v>
      </c>
      <c r="U1680" s="14" t="str">
        <f t="shared" si="3363"/>
        <v>Bandra</v>
      </c>
      <c r="V1680" s="14" t="str">
        <f t="shared" si="4"/>
        <v>Chocolate Mousse</v>
      </c>
      <c r="W1680" s="14">
        <f t="shared" si="5"/>
        <v>3</v>
      </c>
      <c r="X1680" s="14" t="str">
        <f t="shared" si="6"/>
        <v>Priya Joshi</v>
      </c>
      <c r="Y1680" s="15">
        <f t="shared" si="7"/>
        <v>45090</v>
      </c>
      <c r="Z1680" s="14" t="str">
        <f t="shared" si="8"/>
        <v>Online Payment</v>
      </c>
      <c r="AA1680" s="14" t="str">
        <f t="shared" si="9"/>
        <v>Delivered</v>
      </c>
      <c r="AB1680" s="14" t="str">
        <f t="shared" ref="AB1680:AC1680" si="3364">trim(Q1680)</f>
        <v>Convenience</v>
      </c>
      <c r="AC1680" s="14" t="str">
        <f t="shared" si="3364"/>
        <v>Easy tracking</v>
      </c>
      <c r="AD1680" s="8"/>
    </row>
    <row r="1681">
      <c r="A1681" s="14" t="str">
        <f>IFERROR(__xludf.DUMMYFUNCTION("""COMPUTED_VALUE"""),"//ord_71659//Mehul Thakkar//Malad//Apple+2*Not Assigned/2/27/2023//Credit Card//Cancelled*App Glitches:Slow Loading Time")</f>
        <v>//ord_71659//Mehul Thakkar//Malad//Apple+2*Not Assigned/2/27/2023//Credit Card//Cancelled*App Glitches:Slow Loading Time</v>
      </c>
      <c r="B1681" s="14" t="str">
        <f>IFERROR(__xludf.DUMMYFUNCTION("split(A1681,""//"")"),"ord_71659")</f>
        <v>ord_71659</v>
      </c>
      <c r="C1681" s="14" t="str">
        <f>IFERROR(__xludf.DUMMYFUNCTION("""COMPUTED_VALUE"""),"Mehul Thakkar")</f>
        <v>Mehul Thakkar</v>
      </c>
      <c r="D1681" s="14" t="str">
        <f>IFERROR(__xludf.DUMMYFUNCTION("""COMPUTED_VALUE"""),"Malad")</f>
        <v>Malad</v>
      </c>
      <c r="E1681" s="14" t="str">
        <f>IFERROR(__xludf.DUMMYFUNCTION("""COMPUTED_VALUE"""),"Apple+2*Not Assigned")</f>
        <v>Apple+2*Not Assigned</v>
      </c>
      <c r="F1681" s="14">
        <f>IFERROR(__xludf.DUMMYFUNCTION("""COMPUTED_VALUE"""),2.0)</f>
        <v>2</v>
      </c>
      <c r="G1681" s="14">
        <f>IFERROR(__xludf.DUMMYFUNCTION("""COMPUTED_VALUE"""),27.0)</f>
        <v>27</v>
      </c>
      <c r="H1681" s="14">
        <f>IFERROR(__xludf.DUMMYFUNCTION("""COMPUTED_VALUE"""),2023.0)</f>
        <v>2023</v>
      </c>
      <c r="I1681" s="14" t="str">
        <f>IFERROR(__xludf.DUMMYFUNCTION("""COMPUTED_VALUE"""),"Credit Card")</f>
        <v>Credit Card</v>
      </c>
      <c r="J1681" s="14" t="str">
        <f>IFERROR(__xludf.DUMMYFUNCTION("""COMPUTED_VALUE"""),"Cancelled*App Glitches:Slow Loading Time")</f>
        <v>Cancelled*App Glitches:Slow Loading Time</v>
      </c>
      <c r="K1681" s="14" t="str">
        <f>IFERROR(__xludf.DUMMYFUNCTION("split(E1681,""+"")"),"Apple")</f>
        <v>Apple</v>
      </c>
      <c r="L1681" s="14" t="str">
        <f>IFERROR(__xludf.DUMMYFUNCTION("""COMPUTED_VALUE"""),"2*Not Assigned")</f>
        <v>2*Not Assigned</v>
      </c>
      <c r="M1681" s="14">
        <f>IFERROR(__xludf.DUMMYFUNCTION("SPLIT(L1681,""*"")"),2.0)</f>
        <v>2</v>
      </c>
      <c r="N1681" s="14" t="str">
        <f>IFERROR(__xludf.DUMMYFUNCTION("""COMPUTED_VALUE"""),"Not Assigned")</f>
        <v>Not Assigned</v>
      </c>
      <c r="O1681" s="14" t="str">
        <f>IFERROR(__xludf.DUMMYFUNCTION("split(J1681,""*"")"),"Cancelled")</f>
        <v>Cancelled</v>
      </c>
      <c r="P1681" s="14" t="str">
        <f>IFERROR(__xludf.DUMMYFUNCTION("""COMPUTED_VALUE"""),"App Glitches:Slow Loading Time")</f>
        <v>App Glitches:Slow Loading Time</v>
      </c>
      <c r="Q1681" s="14" t="str">
        <f>IFERROR(__xludf.DUMMYFUNCTION("split(P1681,"":"")"),"App Glitches")</f>
        <v>App Glitches</v>
      </c>
      <c r="R1681" s="14" t="str">
        <f>IFERROR(__xludf.DUMMYFUNCTION("""COMPUTED_VALUE"""),"Slow Loading Time")</f>
        <v>Slow Loading Time</v>
      </c>
      <c r="S1681" s="14" t="str">
        <f t="shared" ref="S1681:U1681" si="3365">trim(B1681)</f>
        <v>ord_71659</v>
      </c>
      <c r="T1681" s="14" t="str">
        <f t="shared" si="3365"/>
        <v>Mehul Thakkar</v>
      </c>
      <c r="U1681" s="14" t="str">
        <f t="shared" si="3365"/>
        <v>Malad</v>
      </c>
      <c r="V1681" s="14" t="str">
        <f t="shared" si="4"/>
        <v>Apple</v>
      </c>
      <c r="W1681" s="14">
        <f t="shared" si="5"/>
        <v>2</v>
      </c>
      <c r="X1681" s="14" t="str">
        <f t="shared" si="6"/>
        <v>Not Assigned</v>
      </c>
      <c r="Y1681" s="15">
        <f t="shared" si="7"/>
        <v>44984</v>
      </c>
      <c r="Z1681" s="14" t="str">
        <f t="shared" si="8"/>
        <v>Credit Card</v>
      </c>
      <c r="AA1681" s="14" t="str">
        <f t="shared" si="9"/>
        <v>Cancelled</v>
      </c>
      <c r="AB1681" s="14" t="str">
        <f t="shared" ref="AB1681:AC1681" si="3366">trim(Q1681)</f>
        <v>App Glitches</v>
      </c>
      <c r="AC1681" s="14" t="str">
        <f t="shared" si="3366"/>
        <v>Slow Loading Time</v>
      </c>
      <c r="AD1681" s="8"/>
    </row>
    <row r="1682">
      <c r="A1682" s="14" t="str">
        <f>IFERROR(__xludf.DUMMYFUNCTION("""COMPUTED_VALUE"""),"//ord_71660//Kritika Shetty//Malad//Chilli Cheese Toast+3*Neha Shah/10/15/2023//Online Payment//Delivered*Overall Satisfaction: Great service will order again")</f>
        <v>//ord_71660//Kritika Shetty//Malad//Chilli Cheese Toast+3*Neha Shah/10/15/2023//Online Payment//Delivered*Overall Satisfaction: Great service will order again</v>
      </c>
      <c r="B1682" s="14" t="str">
        <f>IFERROR(__xludf.DUMMYFUNCTION("split(A1682,""//"")"),"ord_71660")</f>
        <v>ord_71660</v>
      </c>
      <c r="C1682" s="14" t="str">
        <f>IFERROR(__xludf.DUMMYFUNCTION("""COMPUTED_VALUE"""),"Kritika Shetty")</f>
        <v>Kritika Shetty</v>
      </c>
      <c r="D1682" s="14" t="str">
        <f>IFERROR(__xludf.DUMMYFUNCTION("""COMPUTED_VALUE"""),"Malad")</f>
        <v>Malad</v>
      </c>
      <c r="E1682" s="14" t="str">
        <f>IFERROR(__xludf.DUMMYFUNCTION("""COMPUTED_VALUE"""),"Chilli Cheese Toast+3*Neha Shah")</f>
        <v>Chilli Cheese Toast+3*Neha Shah</v>
      </c>
      <c r="F1682" s="14">
        <f>IFERROR(__xludf.DUMMYFUNCTION("""COMPUTED_VALUE"""),10.0)</f>
        <v>10</v>
      </c>
      <c r="G1682" s="14">
        <f>IFERROR(__xludf.DUMMYFUNCTION("""COMPUTED_VALUE"""),15.0)</f>
        <v>15</v>
      </c>
      <c r="H1682" s="14">
        <f>IFERROR(__xludf.DUMMYFUNCTION("""COMPUTED_VALUE"""),2023.0)</f>
        <v>2023</v>
      </c>
      <c r="I1682" s="14" t="str">
        <f>IFERROR(__xludf.DUMMYFUNCTION("""COMPUTED_VALUE"""),"Online Payment")</f>
        <v>Online Payment</v>
      </c>
      <c r="J1682" s="14" t="str">
        <f>IFERROR(__xludf.DUMMYFUNCTION("""COMPUTED_VALUE"""),"Delivered*Overall Satisfaction: Great service will order again")</f>
        <v>Delivered*Overall Satisfaction: Great service will order again</v>
      </c>
      <c r="K1682" s="14" t="str">
        <f>IFERROR(__xludf.DUMMYFUNCTION("split(E1682,""+"")"),"Chilli Cheese Toast")</f>
        <v>Chilli Cheese Toast</v>
      </c>
      <c r="L1682" s="14" t="str">
        <f>IFERROR(__xludf.DUMMYFUNCTION("""COMPUTED_VALUE"""),"3*Neha Shah")</f>
        <v>3*Neha Shah</v>
      </c>
      <c r="M1682" s="14">
        <f>IFERROR(__xludf.DUMMYFUNCTION("SPLIT(L1682,""*"")"),3.0)</f>
        <v>3</v>
      </c>
      <c r="N1682" s="14" t="str">
        <f>IFERROR(__xludf.DUMMYFUNCTION("""COMPUTED_VALUE"""),"Neha Shah")</f>
        <v>Neha Shah</v>
      </c>
      <c r="O1682" s="14" t="str">
        <f>IFERROR(__xludf.DUMMYFUNCTION("split(J1682,""*"")"),"Delivered")</f>
        <v>Delivered</v>
      </c>
      <c r="P1682" s="14" t="str">
        <f>IFERROR(__xludf.DUMMYFUNCTION("""COMPUTED_VALUE"""),"Overall Satisfaction: Great service will order again")</f>
        <v>Overall Satisfaction: Great service will order again</v>
      </c>
      <c r="Q1682" s="14" t="str">
        <f>IFERROR(__xludf.DUMMYFUNCTION("split(P1682,"":"")"),"Overall Satisfaction")</f>
        <v>Overall Satisfaction</v>
      </c>
      <c r="R1682" s="14" t="str">
        <f>IFERROR(__xludf.DUMMYFUNCTION("""COMPUTED_VALUE""")," Great service will order again")</f>
        <v> Great service will order again</v>
      </c>
      <c r="S1682" s="14" t="str">
        <f t="shared" ref="S1682:U1682" si="3367">trim(B1682)</f>
        <v>ord_71660</v>
      </c>
      <c r="T1682" s="14" t="str">
        <f t="shared" si="3367"/>
        <v>Kritika Shetty</v>
      </c>
      <c r="U1682" s="14" t="str">
        <f t="shared" si="3367"/>
        <v>Malad</v>
      </c>
      <c r="V1682" s="14" t="str">
        <f t="shared" si="4"/>
        <v>Chilli Cheese Toast</v>
      </c>
      <c r="W1682" s="14">
        <f t="shared" si="5"/>
        <v>3</v>
      </c>
      <c r="X1682" s="14" t="str">
        <f t="shared" si="6"/>
        <v>Neha Shah</v>
      </c>
      <c r="Y1682" s="15">
        <f t="shared" si="7"/>
        <v>45214</v>
      </c>
      <c r="Z1682" s="14" t="str">
        <f t="shared" si="8"/>
        <v>Online Payment</v>
      </c>
      <c r="AA1682" s="14" t="str">
        <f t="shared" si="9"/>
        <v>Delivered</v>
      </c>
      <c r="AB1682" s="14" t="str">
        <f t="shared" ref="AB1682:AC1682" si="3368">trim(Q1682)</f>
        <v>Overall Satisfaction</v>
      </c>
      <c r="AC1682" s="14" t="str">
        <f t="shared" si="3368"/>
        <v>Great service will order again</v>
      </c>
      <c r="AD1682" s="8"/>
    </row>
    <row r="1683">
      <c r="A1683" s="14" t="str">
        <f>IFERROR(__xludf.DUMMYFUNCTION("""COMPUTED_VALUE"""),"//ord_71661//Siya Reddy//Juhu//Onion+1*Tanvi Jain/12/18/2023//UPI//Delivered*On-time Delivery: Delivered on time")</f>
        <v>//ord_71661//Siya Reddy//Juhu//Onion+1*Tanvi Jain/12/18/2023//UPI//Delivered*On-time Delivery: Delivered on time</v>
      </c>
      <c r="B1683" s="14" t="str">
        <f>IFERROR(__xludf.DUMMYFUNCTION("split(A1683,""//"")"),"ord_71661")</f>
        <v>ord_71661</v>
      </c>
      <c r="C1683" s="14" t="str">
        <f>IFERROR(__xludf.DUMMYFUNCTION("""COMPUTED_VALUE"""),"Siya Reddy")</f>
        <v>Siya Reddy</v>
      </c>
      <c r="D1683" s="14" t="str">
        <f>IFERROR(__xludf.DUMMYFUNCTION("""COMPUTED_VALUE"""),"Juhu")</f>
        <v>Juhu</v>
      </c>
      <c r="E1683" s="14" t="str">
        <f>IFERROR(__xludf.DUMMYFUNCTION("""COMPUTED_VALUE"""),"Onion+1*Tanvi Jain")</f>
        <v>Onion+1*Tanvi Jain</v>
      </c>
      <c r="F1683" s="14">
        <f>IFERROR(__xludf.DUMMYFUNCTION("""COMPUTED_VALUE"""),12.0)</f>
        <v>12</v>
      </c>
      <c r="G1683" s="14">
        <f>IFERROR(__xludf.DUMMYFUNCTION("""COMPUTED_VALUE"""),18.0)</f>
        <v>18</v>
      </c>
      <c r="H1683" s="14">
        <f>IFERROR(__xludf.DUMMYFUNCTION("""COMPUTED_VALUE"""),2023.0)</f>
        <v>2023</v>
      </c>
      <c r="I1683" s="14" t="str">
        <f>IFERROR(__xludf.DUMMYFUNCTION("""COMPUTED_VALUE"""),"UPI")</f>
        <v>UPI</v>
      </c>
      <c r="J1683" s="14" t="str">
        <f>IFERROR(__xludf.DUMMYFUNCTION("""COMPUTED_VALUE"""),"Delivered*On-time Delivery: Delivered on time")</f>
        <v>Delivered*On-time Delivery: Delivered on time</v>
      </c>
      <c r="K1683" s="14" t="str">
        <f>IFERROR(__xludf.DUMMYFUNCTION("split(E1683,""+"")"),"Onion")</f>
        <v>Onion</v>
      </c>
      <c r="L1683" s="14" t="str">
        <f>IFERROR(__xludf.DUMMYFUNCTION("""COMPUTED_VALUE"""),"1*Tanvi Jain")</f>
        <v>1*Tanvi Jain</v>
      </c>
      <c r="M1683" s="14">
        <f>IFERROR(__xludf.DUMMYFUNCTION("SPLIT(L1683,""*"")"),1.0)</f>
        <v>1</v>
      </c>
      <c r="N1683" s="14" t="str">
        <f>IFERROR(__xludf.DUMMYFUNCTION("""COMPUTED_VALUE"""),"Tanvi Jain")</f>
        <v>Tanvi Jain</v>
      </c>
      <c r="O1683" s="14" t="str">
        <f>IFERROR(__xludf.DUMMYFUNCTION("split(J1683,""*"")"),"Delivered")</f>
        <v>Delivered</v>
      </c>
      <c r="P1683" s="14" t="str">
        <f>IFERROR(__xludf.DUMMYFUNCTION("""COMPUTED_VALUE"""),"On-time Delivery: Delivered on time")</f>
        <v>On-time Delivery: Delivered on time</v>
      </c>
      <c r="Q1683" s="14" t="str">
        <f>IFERROR(__xludf.DUMMYFUNCTION("split(P1683,"":"")"),"On-time Delivery")</f>
        <v>On-time Delivery</v>
      </c>
      <c r="R1683" s="14" t="str">
        <f>IFERROR(__xludf.DUMMYFUNCTION("""COMPUTED_VALUE""")," Delivered on time")</f>
        <v> Delivered on time</v>
      </c>
      <c r="S1683" s="14" t="str">
        <f t="shared" ref="S1683:U1683" si="3369">trim(B1683)</f>
        <v>ord_71661</v>
      </c>
      <c r="T1683" s="14" t="str">
        <f t="shared" si="3369"/>
        <v>Siya Reddy</v>
      </c>
      <c r="U1683" s="14" t="str">
        <f t="shared" si="3369"/>
        <v>Juhu</v>
      </c>
      <c r="V1683" s="14" t="str">
        <f t="shared" si="4"/>
        <v>Onion</v>
      </c>
      <c r="W1683" s="14">
        <f t="shared" si="5"/>
        <v>1</v>
      </c>
      <c r="X1683" s="14" t="str">
        <f t="shared" si="6"/>
        <v>Tanvi Jain</v>
      </c>
      <c r="Y1683" s="15">
        <f t="shared" si="7"/>
        <v>45278</v>
      </c>
      <c r="Z1683" s="14" t="str">
        <f t="shared" si="8"/>
        <v>UPI</v>
      </c>
      <c r="AA1683" s="14" t="str">
        <f t="shared" si="9"/>
        <v>Delivered</v>
      </c>
      <c r="AB1683" s="14" t="str">
        <f t="shared" ref="AB1683:AC1683" si="3370">trim(Q1683)</f>
        <v>On-time Delivery</v>
      </c>
      <c r="AC1683" s="14" t="str">
        <f t="shared" si="3370"/>
        <v>Delivered on time</v>
      </c>
      <c r="AD1683" s="8"/>
    </row>
    <row r="1684">
      <c r="A1684" s="14" t="str">
        <f>IFERROR(__xludf.DUMMYFUNCTION("""COMPUTED_VALUE"""),"//ord_71662//Anaya Rao//Colaba//Cucumber+2*Nikhil Deshmukh/3/18/2023//UPI//Delivered*Quality of Items: Perfect condition")</f>
        <v>//ord_71662//Anaya Rao//Colaba//Cucumber+2*Nikhil Deshmukh/3/18/2023//UPI//Delivered*Quality of Items: Perfect condition</v>
      </c>
      <c r="B1684" s="14" t="str">
        <f>IFERROR(__xludf.DUMMYFUNCTION("split(A1684,""//"")"),"ord_71662")</f>
        <v>ord_71662</v>
      </c>
      <c r="C1684" s="14" t="str">
        <f>IFERROR(__xludf.DUMMYFUNCTION("""COMPUTED_VALUE"""),"Anaya Rao")</f>
        <v>Anaya Rao</v>
      </c>
      <c r="D1684" s="14" t="str">
        <f>IFERROR(__xludf.DUMMYFUNCTION("""COMPUTED_VALUE"""),"Colaba")</f>
        <v>Colaba</v>
      </c>
      <c r="E1684" s="14" t="str">
        <f>IFERROR(__xludf.DUMMYFUNCTION("""COMPUTED_VALUE"""),"Cucumber+2*Nikhil Deshmukh")</f>
        <v>Cucumber+2*Nikhil Deshmukh</v>
      </c>
      <c r="F1684" s="14">
        <f>IFERROR(__xludf.DUMMYFUNCTION("""COMPUTED_VALUE"""),3.0)</f>
        <v>3</v>
      </c>
      <c r="G1684" s="14">
        <f>IFERROR(__xludf.DUMMYFUNCTION("""COMPUTED_VALUE"""),18.0)</f>
        <v>18</v>
      </c>
      <c r="H1684" s="14">
        <f>IFERROR(__xludf.DUMMYFUNCTION("""COMPUTED_VALUE"""),2023.0)</f>
        <v>2023</v>
      </c>
      <c r="I1684" s="14" t="str">
        <f>IFERROR(__xludf.DUMMYFUNCTION("""COMPUTED_VALUE"""),"UPI")</f>
        <v>UPI</v>
      </c>
      <c r="J1684" s="14" t="str">
        <f>IFERROR(__xludf.DUMMYFUNCTION("""COMPUTED_VALUE"""),"Delivered*Quality of Items: Perfect condition")</f>
        <v>Delivered*Quality of Items: Perfect condition</v>
      </c>
      <c r="K1684" s="14" t="str">
        <f>IFERROR(__xludf.DUMMYFUNCTION("split(E1684,""+"")"),"Cucumber")</f>
        <v>Cucumber</v>
      </c>
      <c r="L1684" s="14" t="str">
        <f>IFERROR(__xludf.DUMMYFUNCTION("""COMPUTED_VALUE"""),"2*Nikhil Deshmukh")</f>
        <v>2*Nikhil Deshmukh</v>
      </c>
      <c r="M1684" s="14">
        <f>IFERROR(__xludf.DUMMYFUNCTION("SPLIT(L1684,""*"")"),2.0)</f>
        <v>2</v>
      </c>
      <c r="N1684" s="14" t="str">
        <f>IFERROR(__xludf.DUMMYFUNCTION("""COMPUTED_VALUE"""),"Nikhil Deshmukh")</f>
        <v>Nikhil Deshmukh</v>
      </c>
      <c r="O1684" s="14" t="str">
        <f>IFERROR(__xludf.DUMMYFUNCTION("split(J1684,""*"")"),"Delivered")</f>
        <v>Delivered</v>
      </c>
      <c r="P1684" s="14" t="str">
        <f>IFERROR(__xludf.DUMMYFUNCTION("""COMPUTED_VALUE"""),"Quality of Items: Perfect condition")</f>
        <v>Quality of Items: Perfect condition</v>
      </c>
      <c r="Q1684" s="14" t="str">
        <f>IFERROR(__xludf.DUMMYFUNCTION("split(P1684,"":"")"),"Quality of Items")</f>
        <v>Quality of Items</v>
      </c>
      <c r="R1684" s="14" t="str">
        <f>IFERROR(__xludf.DUMMYFUNCTION("""COMPUTED_VALUE""")," Perfect condition")</f>
        <v> Perfect condition</v>
      </c>
      <c r="S1684" s="14" t="str">
        <f t="shared" ref="S1684:U1684" si="3371">trim(B1684)</f>
        <v>ord_71662</v>
      </c>
      <c r="T1684" s="14" t="str">
        <f t="shared" si="3371"/>
        <v>Anaya Rao</v>
      </c>
      <c r="U1684" s="14" t="str">
        <f t="shared" si="3371"/>
        <v>Colaba</v>
      </c>
      <c r="V1684" s="14" t="str">
        <f t="shared" si="4"/>
        <v>Cucumber</v>
      </c>
      <c r="W1684" s="14">
        <f t="shared" si="5"/>
        <v>2</v>
      </c>
      <c r="X1684" s="14" t="str">
        <f t="shared" si="6"/>
        <v>Nikhil Deshmukh</v>
      </c>
      <c r="Y1684" s="15">
        <f t="shared" si="7"/>
        <v>45003</v>
      </c>
      <c r="Z1684" s="14" t="str">
        <f t="shared" si="8"/>
        <v>UPI</v>
      </c>
      <c r="AA1684" s="14" t="str">
        <f t="shared" si="9"/>
        <v>Delivered</v>
      </c>
      <c r="AB1684" s="14" t="str">
        <f t="shared" ref="AB1684:AC1684" si="3372">trim(Q1684)</f>
        <v>Quality of Items</v>
      </c>
      <c r="AC1684" s="14" t="str">
        <f t="shared" si="3372"/>
        <v>Perfect condition</v>
      </c>
      <c r="AD1684" s="8"/>
    </row>
    <row r="1685">
      <c r="A1685" s="14" t="str">
        <f>IFERROR(__xludf.DUMMYFUNCTION("""COMPUTED_VALUE"""),"//ord_71663//Aditya Basu//Juhu//Popcorn+6*Nithin Lal/8/13/2023//UPI//Delivered*On-time Delivery: Delivered on time")</f>
        <v>//ord_71663//Aditya Basu//Juhu//Popcorn+6*Nithin Lal/8/13/2023//UPI//Delivered*On-time Delivery: Delivered on time</v>
      </c>
      <c r="B1685" s="14" t="str">
        <f>IFERROR(__xludf.DUMMYFUNCTION("split(A1685,""//"")"),"ord_71663")</f>
        <v>ord_71663</v>
      </c>
      <c r="C1685" s="14" t="str">
        <f>IFERROR(__xludf.DUMMYFUNCTION("""COMPUTED_VALUE"""),"Aditya Basu")</f>
        <v>Aditya Basu</v>
      </c>
      <c r="D1685" s="14" t="str">
        <f>IFERROR(__xludf.DUMMYFUNCTION("""COMPUTED_VALUE"""),"Juhu")</f>
        <v>Juhu</v>
      </c>
      <c r="E1685" s="14" t="str">
        <f>IFERROR(__xludf.DUMMYFUNCTION("""COMPUTED_VALUE"""),"Popcorn+6*Nithin Lal")</f>
        <v>Popcorn+6*Nithin Lal</v>
      </c>
      <c r="F1685" s="14">
        <f>IFERROR(__xludf.DUMMYFUNCTION("""COMPUTED_VALUE"""),8.0)</f>
        <v>8</v>
      </c>
      <c r="G1685" s="14">
        <f>IFERROR(__xludf.DUMMYFUNCTION("""COMPUTED_VALUE"""),13.0)</f>
        <v>13</v>
      </c>
      <c r="H1685" s="14">
        <f>IFERROR(__xludf.DUMMYFUNCTION("""COMPUTED_VALUE"""),2023.0)</f>
        <v>2023</v>
      </c>
      <c r="I1685" s="14" t="str">
        <f>IFERROR(__xludf.DUMMYFUNCTION("""COMPUTED_VALUE"""),"UPI")</f>
        <v>UPI</v>
      </c>
      <c r="J1685" s="14" t="str">
        <f>IFERROR(__xludf.DUMMYFUNCTION("""COMPUTED_VALUE"""),"Delivered*On-time Delivery: Delivered on time")</f>
        <v>Delivered*On-time Delivery: Delivered on time</v>
      </c>
      <c r="K1685" s="14" t="str">
        <f>IFERROR(__xludf.DUMMYFUNCTION("split(E1685,""+"")"),"Popcorn")</f>
        <v>Popcorn</v>
      </c>
      <c r="L1685" s="14" t="str">
        <f>IFERROR(__xludf.DUMMYFUNCTION("""COMPUTED_VALUE"""),"6*Nithin Lal")</f>
        <v>6*Nithin Lal</v>
      </c>
      <c r="M1685" s="14">
        <f>IFERROR(__xludf.DUMMYFUNCTION("SPLIT(L1685,""*"")"),6.0)</f>
        <v>6</v>
      </c>
      <c r="N1685" s="14" t="str">
        <f>IFERROR(__xludf.DUMMYFUNCTION("""COMPUTED_VALUE"""),"Nithin Lal")</f>
        <v>Nithin Lal</v>
      </c>
      <c r="O1685" s="14" t="str">
        <f>IFERROR(__xludf.DUMMYFUNCTION("split(J1685,""*"")"),"Delivered")</f>
        <v>Delivered</v>
      </c>
      <c r="P1685" s="14" t="str">
        <f>IFERROR(__xludf.DUMMYFUNCTION("""COMPUTED_VALUE"""),"On-time Delivery: Delivered on time")</f>
        <v>On-time Delivery: Delivered on time</v>
      </c>
      <c r="Q1685" s="14" t="str">
        <f>IFERROR(__xludf.DUMMYFUNCTION("split(P1685,"":"")"),"On-time Delivery")</f>
        <v>On-time Delivery</v>
      </c>
      <c r="R1685" s="14" t="str">
        <f>IFERROR(__xludf.DUMMYFUNCTION("""COMPUTED_VALUE""")," Delivered on time")</f>
        <v> Delivered on time</v>
      </c>
      <c r="S1685" s="14" t="str">
        <f t="shared" ref="S1685:U1685" si="3373">trim(B1685)</f>
        <v>ord_71663</v>
      </c>
      <c r="T1685" s="14" t="str">
        <f t="shared" si="3373"/>
        <v>Aditya Basu</v>
      </c>
      <c r="U1685" s="14" t="str">
        <f t="shared" si="3373"/>
        <v>Juhu</v>
      </c>
      <c r="V1685" s="14" t="str">
        <f t="shared" si="4"/>
        <v>Popcorn</v>
      </c>
      <c r="W1685" s="14">
        <f t="shared" si="5"/>
        <v>6</v>
      </c>
      <c r="X1685" s="14" t="str">
        <f t="shared" si="6"/>
        <v>Nithin Lal</v>
      </c>
      <c r="Y1685" s="15">
        <f t="shared" si="7"/>
        <v>45151</v>
      </c>
      <c r="Z1685" s="14" t="str">
        <f t="shared" si="8"/>
        <v>UPI</v>
      </c>
      <c r="AA1685" s="14" t="str">
        <f t="shared" si="9"/>
        <v>Delivered</v>
      </c>
      <c r="AB1685" s="14" t="str">
        <f t="shared" ref="AB1685:AC1685" si="3374">trim(Q1685)</f>
        <v>On-time Delivery</v>
      </c>
      <c r="AC1685" s="14" t="str">
        <f t="shared" si="3374"/>
        <v>Delivered on time</v>
      </c>
      <c r="AD1685" s="8"/>
    </row>
    <row r="1686">
      <c r="A1686" s="14" t="str">
        <f>IFERROR(__xludf.DUMMYFUNCTION("""COMPUTED_VALUE"""),"//ord_71664//Pranav Joshi//Andheri//Chocolate Mousse+1*Ramesh S/10/9/2023//Online Payment//Delivered*Quality of Items: Perfect condition")</f>
        <v>//ord_71664//Pranav Joshi//Andheri//Chocolate Mousse+1*Ramesh S/10/9/2023//Online Payment//Delivered*Quality of Items: Perfect condition</v>
      </c>
      <c r="B1686" s="14" t="str">
        <f>IFERROR(__xludf.DUMMYFUNCTION("split(A1686,""//"")"),"ord_71664")</f>
        <v>ord_71664</v>
      </c>
      <c r="C1686" s="14" t="str">
        <f>IFERROR(__xludf.DUMMYFUNCTION("""COMPUTED_VALUE"""),"Pranav Joshi")</f>
        <v>Pranav Joshi</v>
      </c>
      <c r="D1686" s="14" t="str">
        <f>IFERROR(__xludf.DUMMYFUNCTION("""COMPUTED_VALUE"""),"Andheri")</f>
        <v>Andheri</v>
      </c>
      <c r="E1686" s="14" t="str">
        <f>IFERROR(__xludf.DUMMYFUNCTION("""COMPUTED_VALUE"""),"Chocolate Mousse+1*Ramesh S")</f>
        <v>Chocolate Mousse+1*Ramesh S</v>
      </c>
      <c r="F1686" s="14">
        <f>IFERROR(__xludf.DUMMYFUNCTION("""COMPUTED_VALUE"""),10.0)</f>
        <v>10</v>
      </c>
      <c r="G1686" s="14">
        <f>IFERROR(__xludf.DUMMYFUNCTION("""COMPUTED_VALUE"""),9.0)</f>
        <v>9</v>
      </c>
      <c r="H1686" s="14">
        <f>IFERROR(__xludf.DUMMYFUNCTION("""COMPUTED_VALUE"""),2023.0)</f>
        <v>2023</v>
      </c>
      <c r="I1686" s="14" t="str">
        <f>IFERROR(__xludf.DUMMYFUNCTION("""COMPUTED_VALUE"""),"Online Payment")</f>
        <v>Online Payment</v>
      </c>
      <c r="J1686" s="14" t="str">
        <f>IFERROR(__xludf.DUMMYFUNCTION("""COMPUTED_VALUE"""),"Delivered*Quality of Items: Perfect condition")</f>
        <v>Delivered*Quality of Items: Perfect condition</v>
      </c>
      <c r="K1686" s="14" t="str">
        <f>IFERROR(__xludf.DUMMYFUNCTION("split(E1686,""+"")"),"Chocolate Mousse")</f>
        <v>Chocolate Mousse</v>
      </c>
      <c r="L1686" s="14" t="str">
        <f>IFERROR(__xludf.DUMMYFUNCTION("""COMPUTED_VALUE"""),"1*Ramesh S")</f>
        <v>1*Ramesh S</v>
      </c>
      <c r="M1686" s="14">
        <f>IFERROR(__xludf.DUMMYFUNCTION("SPLIT(L1686,""*"")"),1.0)</f>
        <v>1</v>
      </c>
      <c r="N1686" s="14" t="str">
        <f>IFERROR(__xludf.DUMMYFUNCTION("""COMPUTED_VALUE"""),"Ramesh S")</f>
        <v>Ramesh S</v>
      </c>
      <c r="O1686" s="14" t="str">
        <f>IFERROR(__xludf.DUMMYFUNCTION("split(J1686,""*"")"),"Delivered")</f>
        <v>Delivered</v>
      </c>
      <c r="P1686" s="14" t="str">
        <f>IFERROR(__xludf.DUMMYFUNCTION("""COMPUTED_VALUE"""),"Quality of Items: Perfect condition")</f>
        <v>Quality of Items: Perfect condition</v>
      </c>
      <c r="Q1686" s="14" t="str">
        <f>IFERROR(__xludf.DUMMYFUNCTION("split(P1686,"":"")"),"Quality of Items")</f>
        <v>Quality of Items</v>
      </c>
      <c r="R1686" s="14" t="str">
        <f>IFERROR(__xludf.DUMMYFUNCTION("""COMPUTED_VALUE""")," Perfect condition")</f>
        <v> Perfect condition</v>
      </c>
      <c r="S1686" s="14" t="str">
        <f t="shared" ref="S1686:U1686" si="3375">trim(B1686)</f>
        <v>ord_71664</v>
      </c>
      <c r="T1686" s="14" t="str">
        <f t="shared" si="3375"/>
        <v>Pranav Joshi</v>
      </c>
      <c r="U1686" s="14" t="str">
        <f t="shared" si="3375"/>
        <v>Andheri</v>
      </c>
      <c r="V1686" s="14" t="str">
        <f t="shared" si="4"/>
        <v>Chocolate Mousse</v>
      </c>
      <c r="W1686" s="14">
        <f t="shared" si="5"/>
        <v>1</v>
      </c>
      <c r="X1686" s="14" t="str">
        <f t="shared" si="6"/>
        <v>Ramesh S</v>
      </c>
      <c r="Y1686" s="15">
        <f t="shared" si="7"/>
        <v>45208</v>
      </c>
      <c r="Z1686" s="14" t="str">
        <f t="shared" si="8"/>
        <v>Online Payment</v>
      </c>
      <c r="AA1686" s="14" t="str">
        <f t="shared" si="9"/>
        <v>Delivered</v>
      </c>
      <c r="AB1686" s="14" t="str">
        <f t="shared" ref="AB1686:AC1686" si="3376">trim(Q1686)</f>
        <v>Quality of Items</v>
      </c>
      <c r="AC1686" s="14" t="str">
        <f t="shared" si="3376"/>
        <v>Perfect condition</v>
      </c>
      <c r="AD1686" s="8"/>
    </row>
    <row r="1687">
      <c r="A1687" s="14" t="str">
        <f>IFERROR(__xludf.DUMMYFUNCTION("""COMPUTED_VALUE"""),"//ord_71665//Tanishq Bansal//Powai//Chilli Cheese Toast+3*Sita T/11/11/2023//UPI//Delivered*Packaging: Secure and intact")</f>
        <v>//ord_71665//Tanishq Bansal//Powai//Chilli Cheese Toast+3*Sita T/11/11/2023//UPI//Delivered*Packaging: Secure and intact</v>
      </c>
      <c r="B1687" s="14" t="str">
        <f>IFERROR(__xludf.DUMMYFUNCTION("split(A1687,""//"")"),"ord_71665")</f>
        <v>ord_71665</v>
      </c>
      <c r="C1687" s="14" t="str">
        <f>IFERROR(__xludf.DUMMYFUNCTION("""COMPUTED_VALUE"""),"Tanishq Bansal")</f>
        <v>Tanishq Bansal</v>
      </c>
      <c r="D1687" s="14" t="str">
        <f>IFERROR(__xludf.DUMMYFUNCTION("""COMPUTED_VALUE"""),"Powai")</f>
        <v>Powai</v>
      </c>
      <c r="E1687" s="14" t="str">
        <f>IFERROR(__xludf.DUMMYFUNCTION("""COMPUTED_VALUE"""),"Chilli Cheese Toast+3*Sita T")</f>
        <v>Chilli Cheese Toast+3*Sita T</v>
      </c>
      <c r="F1687" s="14">
        <f>IFERROR(__xludf.DUMMYFUNCTION("""COMPUTED_VALUE"""),11.0)</f>
        <v>11</v>
      </c>
      <c r="G1687" s="14">
        <f>IFERROR(__xludf.DUMMYFUNCTION("""COMPUTED_VALUE"""),11.0)</f>
        <v>11</v>
      </c>
      <c r="H1687" s="14">
        <f>IFERROR(__xludf.DUMMYFUNCTION("""COMPUTED_VALUE"""),2023.0)</f>
        <v>2023</v>
      </c>
      <c r="I1687" s="14" t="str">
        <f>IFERROR(__xludf.DUMMYFUNCTION("""COMPUTED_VALUE"""),"UPI")</f>
        <v>UPI</v>
      </c>
      <c r="J1687" s="14" t="str">
        <f>IFERROR(__xludf.DUMMYFUNCTION("""COMPUTED_VALUE"""),"Delivered*Packaging: Secure and intact")</f>
        <v>Delivered*Packaging: Secure and intact</v>
      </c>
      <c r="K1687" s="14" t="str">
        <f>IFERROR(__xludf.DUMMYFUNCTION("split(E1687,""+"")"),"Chilli Cheese Toast")</f>
        <v>Chilli Cheese Toast</v>
      </c>
      <c r="L1687" s="14" t="str">
        <f>IFERROR(__xludf.DUMMYFUNCTION("""COMPUTED_VALUE"""),"3*Sita T")</f>
        <v>3*Sita T</v>
      </c>
      <c r="M1687" s="14">
        <f>IFERROR(__xludf.DUMMYFUNCTION("SPLIT(L1687,""*"")"),3.0)</f>
        <v>3</v>
      </c>
      <c r="N1687" s="14" t="str">
        <f>IFERROR(__xludf.DUMMYFUNCTION("""COMPUTED_VALUE"""),"Sita T")</f>
        <v>Sita T</v>
      </c>
      <c r="O1687" s="14" t="str">
        <f>IFERROR(__xludf.DUMMYFUNCTION("split(J1687,""*"")"),"Delivered")</f>
        <v>Delivered</v>
      </c>
      <c r="P1687" s="14" t="str">
        <f>IFERROR(__xludf.DUMMYFUNCTION("""COMPUTED_VALUE"""),"Packaging: Secure and intact")</f>
        <v>Packaging: Secure and intact</v>
      </c>
      <c r="Q1687" s="14" t="str">
        <f>IFERROR(__xludf.DUMMYFUNCTION("split(P1687,"":"")"),"Packaging")</f>
        <v>Packaging</v>
      </c>
      <c r="R1687" s="14" t="str">
        <f>IFERROR(__xludf.DUMMYFUNCTION("""COMPUTED_VALUE""")," Secure and intact")</f>
        <v> Secure and intact</v>
      </c>
      <c r="S1687" s="14" t="str">
        <f t="shared" ref="S1687:U1687" si="3377">trim(B1687)</f>
        <v>ord_71665</v>
      </c>
      <c r="T1687" s="14" t="str">
        <f t="shared" si="3377"/>
        <v>Tanishq Bansal</v>
      </c>
      <c r="U1687" s="14" t="str">
        <f t="shared" si="3377"/>
        <v>Powai</v>
      </c>
      <c r="V1687" s="14" t="str">
        <f t="shared" si="4"/>
        <v>Chilli Cheese Toast</v>
      </c>
      <c r="W1687" s="14">
        <f t="shared" si="5"/>
        <v>3</v>
      </c>
      <c r="X1687" s="14" t="str">
        <f t="shared" si="6"/>
        <v>Sita T</v>
      </c>
      <c r="Y1687" s="15">
        <f t="shared" si="7"/>
        <v>45241</v>
      </c>
      <c r="Z1687" s="14" t="str">
        <f t="shared" si="8"/>
        <v>UPI</v>
      </c>
      <c r="AA1687" s="14" t="str">
        <f t="shared" si="9"/>
        <v>Delivered</v>
      </c>
      <c r="AB1687" s="14" t="str">
        <f t="shared" ref="AB1687:AC1687" si="3378">trim(Q1687)</f>
        <v>Packaging</v>
      </c>
      <c r="AC1687" s="14" t="str">
        <f t="shared" si="3378"/>
        <v>Secure and intact</v>
      </c>
      <c r="AD1687" s="8"/>
    </row>
    <row r="1688">
      <c r="A1688" s="14" t="str">
        <f>IFERROR(__xludf.DUMMYFUNCTION("""COMPUTED_VALUE"""),"//ord_71666//Pranav Joshi//Andheri//Rasmalai+3*Venu R/2/11/2023//Credit Card//Delivered*Satisfied with the Delivery: Timely and quality")</f>
        <v>//ord_71666//Pranav Joshi//Andheri//Rasmalai+3*Venu R/2/11/2023//Credit Card//Delivered*Satisfied with the Delivery: Timely and quality</v>
      </c>
      <c r="B1688" s="14" t="str">
        <f>IFERROR(__xludf.DUMMYFUNCTION("split(A1688,""//"")"),"ord_71666")</f>
        <v>ord_71666</v>
      </c>
      <c r="C1688" s="14" t="str">
        <f>IFERROR(__xludf.DUMMYFUNCTION("""COMPUTED_VALUE"""),"Pranav Joshi")</f>
        <v>Pranav Joshi</v>
      </c>
      <c r="D1688" s="14" t="str">
        <f>IFERROR(__xludf.DUMMYFUNCTION("""COMPUTED_VALUE"""),"Andheri")</f>
        <v>Andheri</v>
      </c>
      <c r="E1688" s="14" t="str">
        <f>IFERROR(__xludf.DUMMYFUNCTION("""COMPUTED_VALUE"""),"Rasmalai+3*Venu R")</f>
        <v>Rasmalai+3*Venu R</v>
      </c>
      <c r="F1688" s="14">
        <f>IFERROR(__xludf.DUMMYFUNCTION("""COMPUTED_VALUE"""),2.0)</f>
        <v>2</v>
      </c>
      <c r="G1688" s="14">
        <f>IFERROR(__xludf.DUMMYFUNCTION("""COMPUTED_VALUE"""),11.0)</f>
        <v>11</v>
      </c>
      <c r="H1688" s="14">
        <f>IFERROR(__xludf.DUMMYFUNCTION("""COMPUTED_VALUE"""),2023.0)</f>
        <v>2023</v>
      </c>
      <c r="I1688" s="14" t="str">
        <f>IFERROR(__xludf.DUMMYFUNCTION("""COMPUTED_VALUE"""),"Credit Card")</f>
        <v>Credit Card</v>
      </c>
      <c r="J1688" s="14" t="str">
        <f>IFERROR(__xludf.DUMMYFUNCTION("""COMPUTED_VALUE"""),"Delivered*Satisfied with the Delivery: Timely and quality")</f>
        <v>Delivered*Satisfied with the Delivery: Timely and quality</v>
      </c>
      <c r="K1688" s="14" t="str">
        <f>IFERROR(__xludf.DUMMYFUNCTION("split(E1688,""+"")"),"Rasmalai")</f>
        <v>Rasmalai</v>
      </c>
      <c r="L1688" s="14" t="str">
        <f>IFERROR(__xludf.DUMMYFUNCTION("""COMPUTED_VALUE"""),"3*Venu R")</f>
        <v>3*Venu R</v>
      </c>
      <c r="M1688" s="14">
        <f>IFERROR(__xludf.DUMMYFUNCTION("SPLIT(L1688,""*"")"),3.0)</f>
        <v>3</v>
      </c>
      <c r="N1688" s="14" t="str">
        <f>IFERROR(__xludf.DUMMYFUNCTION("""COMPUTED_VALUE"""),"Venu R")</f>
        <v>Venu R</v>
      </c>
      <c r="O1688" s="14" t="str">
        <f>IFERROR(__xludf.DUMMYFUNCTION("split(J1688,""*"")"),"Delivered")</f>
        <v>Delivered</v>
      </c>
      <c r="P1688" s="14" t="str">
        <f>IFERROR(__xludf.DUMMYFUNCTION("""COMPUTED_VALUE"""),"Satisfied with the Delivery: Timely and quality")</f>
        <v>Satisfied with the Delivery: Timely and quality</v>
      </c>
      <c r="Q1688" s="14" t="str">
        <f>IFERROR(__xludf.DUMMYFUNCTION("split(P1688,"":"")"),"Satisfied with the Delivery")</f>
        <v>Satisfied with the Delivery</v>
      </c>
      <c r="R1688" s="14" t="str">
        <f>IFERROR(__xludf.DUMMYFUNCTION("""COMPUTED_VALUE""")," Timely and quality")</f>
        <v> Timely and quality</v>
      </c>
      <c r="S1688" s="14" t="str">
        <f t="shared" ref="S1688:U1688" si="3379">trim(B1688)</f>
        <v>ord_71666</v>
      </c>
      <c r="T1688" s="14" t="str">
        <f t="shared" si="3379"/>
        <v>Pranav Joshi</v>
      </c>
      <c r="U1688" s="14" t="str">
        <f t="shared" si="3379"/>
        <v>Andheri</v>
      </c>
      <c r="V1688" s="14" t="str">
        <f t="shared" si="4"/>
        <v>Rasmalai</v>
      </c>
      <c r="W1688" s="14">
        <f t="shared" si="5"/>
        <v>3</v>
      </c>
      <c r="X1688" s="14" t="str">
        <f t="shared" si="6"/>
        <v>Venu R</v>
      </c>
      <c r="Y1688" s="15">
        <f t="shared" si="7"/>
        <v>44968</v>
      </c>
      <c r="Z1688" s="14" t="str">
        <f t="shared" si="8"/>
        <v>Credit Card</v>
      </c>
      <c r="AA1688" s="14" t="str">
        <f t="shared" si="9"/>
        <v>Delivered</v>
      </c>
      <c r="AB1688" s="14" t="str">
        <f t="shared" ref="AB1688:AC1688" si="3380">trim(Q1688)</f>
        <v>Satisfied with the Delivery</v>
      </c>
      <c r="AC1688" s="14" t="str">
        <f t="shared" si="3380"/>
        <v>Timely and quality</v>
      </c>
      <c r="AD1688" s="8"/>
    </row>
    <row r="1689">
      <c r="A1689" s="14" t="str">
        <f>IFERROR(__xludf.DUMMYFUNCTION("""COMPUTED_VALUE"""),"//ord_71667//Aarohi Kapoor//Bandra//Chicken Puff+4*Sita T/6/26/2023//Online Payment//Delivered*Customer Service: Seamless and easy")</f>
        <v>//ord_71667//Aarohi Kapoor//Bandra//Chicken Puff+4*Sita T/6/26/2023//Online Payment//Delivered*Customer Service: Seamless and easy</v>
      </c>
      <c r="B1689" s="14" t="str">
        <f>IFERROR(__xludf.DUMMYFUNCTION("split(A1689,""//"")"),"ord_71667")</f>
        <v>ord_71667</v>
      </c>
      <c r="C1689" s="14" t="str">
        <f>IFERROR(__xludf.DUMMYFUNCTION("""COMPUTED_VALUE"""),"Aarohi Kapoor")</f>
        <v>Aarohi Kapoor</v>
      </c>
      <c r="D1689" s="14" t="str">
        <f>IFERROR(__xludf.DUMMYFUNCTION("""COMPUTED_VALUE"""),"Bandra")</f>
        <v>Bandra</v>
      </c>
      <c r="E1689" s="14" t="str">
        <f>IFERROR(__xludf.DUMMYFUNCTION("""COMPUTED_VALUE"""),"Chicken Puff+4*Sita T")</f>
        <v>Chicken Puff+4*Sita T</v>
      </c>
      <c r="F1689" s="14">
        <f>IFERROR(__xludf.DUMMYFUNCTION("""COMPUTED_VALUE"""),6.0)</f>
        <v>6</v>
      </c>
      <c r="G1689" s="14">
        <f>IFERROR(__xludf.DUMMYFUNCTION("""COMPUTED_VALUE"""),26.0)</f>
        <v>26</v>
      </c>
      <c r="H1689" s="14">
        <f>IFERROR(__xludf.DUMMYFUNCTION("""COMPUTED_VALUE"""),2023.0)</f>
        <v>2023</v>
      </c>
      <c r="I1689" s="14" t="str">
        <f>IFERROR(__xludf.DUMMYFUNCTION("""COMPUTED_VALUE"""),"Online Payment")</f>
        <v>Online Payment</v>
      </c>
      <c r="J1689" s="14" t="str">
        <f>IFERROR(__xludf.DUMMYFUNCTION("""COMPUTED_VALUE"""),"Delivered*Customer Service: Seamless and easy")</f>
        <v>Delivered*Customer Service: Seamless and easy</v>
      </c>
      <c r="K1689" s="14" t="str">
        <f>IFERROR(__xludf.DUMMYFUNCTION("split(E1689,""+"")"),"Chicken Puff")</f>
        <v>Chicken Puff</v>
      </c>
      <c r="L1689" s="14" t="str">
        <f>IFERROR(__xludf.DUMMYFUNCTION("""COMPUTED_VALUE"""),"4*Sita T")</f>
        <v>4*Sita T</v>
      </c>
      <c r="M1689" s="14">
        <f>IFERROR(__xludf.DUMMYFUNCTION("SPLIT(L1689,""*"")"),4.0)</f>
        <v>4</v>
      </c>
      <c r="N1689" s="14" t="str">
        <f>IFERROR(__xludf.DUMMYFUNCTION("""COMPUTED_VALUE"""),"Sita T")</f>
        <v>Sita T</v>
      </c>
      <c r="O1689" s="14" t="str">
        <f>IFERROR(__xludf.DUMMYFUNCTION("split(J1689,""*"")"),"Delivered")</f>
        <v>Delivered</v>
      </c>
      <c r="P1689" s="14" t="str">
        <f>IFERROR(__xludf.DUMMYFUNCTION("""COMPUTED_VALUE"""),"Customer Service: Seamless and easy")</f>
        <v>Customer Service: Seamless and easy</v>
      </c>
      <c r="Q1689" s="14" t="str">
        <f>IFERROR(__xludf.DUMMYFUNCTION("split(P1689,"":"")"),"Customer Service")</f>
        <v>Customer Service</v>
      </c>
      <c r="R1689" s="14" t="str">
        <f>IFERROR(__xludf.DUMMYFUNCTION("""COMPUTED_VALUE""")," Seamless and easy")</f>
        <v> Seamless and easy</v>
      </c>
      <c r="S1689" s="14" t="str">
        <f t="shared" ref="S1689:U1689" si="3381">trim(B1689)</f>
        <v>ord_71667</v>
      </c>
      <c r="T1689" s="14" t="str">
        <f t="shared" si="3381"/>
        <v>Aarohi Kapoor</v>
      </c>
      <c r="U1689" s="14" t="str">
        <f t="shared" si="3381"/>
        <v>Bandra</v>
      </c>
      <c r="V1689" s="14" t="str">
        <f t="shared" si="4"/>
        <v>Chicken Puff</v>
      </c>
      <c r="W1689" s="14">
        <f t="shared" si="5"/>
        <v>4</v>
      </c>
      <c r="X1689" s="14" t="str">
        <f t="shared" si="6"/>
        <v>Sita T</v>
      </c>
      <c r="Y1689" s="15">
        <f t="shared" si="7"/>
        <v>45103</v>
      </c>
      <c r="Z1689" s="14" t="str">
        <f t="shared" si="8"/>
        <v>Online Payment</v>
      </c>
      <c r="AA1689" s="14" t="str">
        <f t="shared" si="9"/>
        <v>Delivered</v>
      </c>
      <c r="AB1689" s="14" t="str">
        <f t="shared" ref="AB1689:AC1689" si="3382">trim(Q1689)</f>
        <v>Customer Service</v>
      </c>
      <c r="AC1689" s="14" t="str">
        <f t="shared" si="3382"/>
        <v>Seamless and easy</v>
      </c>
      <c r="AD1689" s="8"/>
    </row>
    <row r="1690">
      <c r="A1690" s="14" t="str">
        <f>IFERROR(__xludf.DUMMYFUNCTION("""COMPUTED_VALUE"""),"//ord_71668//Pallavi Ghosh//Bandra//Tomato+2*Vivek Kumar/1/19/2023//Online Payment//Delivered*Delivery Experience: Quick and professional")</f>
        <v>//ord_71668//Pallavi Ghosh//Bandra//Tomato+2*Vivek Kumar/1/19/2023//Online Payment//Delivered*Delivery Experience: Quick and professional</v>
      </c>
      <c r="B1690" s="14" t="str">
        <f>IFERROR(__xludf.DUMMYFUNCTION("split(A1690,""//"")"),"ord_71668")</f>
        <v>ord_71668</v>
      </c>
      <c r="C1690" s="14" t="str">
        <f>IFERROR(__xludf.DUMMYFUNCTION("""COMPUTED_VALUE"""),"Pallavi Ghosh")</f>
        <v>Pallavi Ghosh</v>
      </c>
      <c r="D1690" s="14" t="str">
        <f>IFERROR(__xludf.DUMMYFUNCTION("""COMPUTED_VALUE"""),"Bandra")</f>
        <v>Bandra</v>
      </c>
      <c r="E1690" s="14" t="str">
        <f>IFERROR(__xludf.DUMMYFUNCTION("""COMPUTED_VALUE"""),"Tomato+2*Vivek Kumar")</f>
        <v>Tomato+2*Vivek Kumar</v>
      </c>
      <c r="F1690" s="14">
        <f>IFERROR(__xludf.DUMMYFUNCTION("""COMPUTED_VALUE"""),1.0)</f>
        <v>1</v>
      </c>
      <c r="G1690" s="14">
        <f>IFERROR(__xludf.DUMMYFUNCTION("""COMPUTED_VALUE"""),19.0)</f>
        <v>19</v>
      </c>
      <c r="H1690" s="14">
        <f>IFERROR(__xludf.DUMMYFUNCTION("""COMPUTED_VALUE"""),2023.0)</f>
        <v>2023</v>
      </c>
      <c r="I1690" s="14" t="str">
        <f>IFERROR(__xludf.DUMMYFUNCTION("""COMPUTED_VALUE"""),"Online Payment")</f>
        <v>Online Payment</v>
      </c>
      <c r="J1690" s="14" t="str">
        <f>IFERROR(__xludf.DUMMYFUNCTION("""COMPUTED_VALUE"""),"Delivered*Delivery Experience: Quick and professional")</f>
        <v>Delivered*Delivery Experience: Quick and professional</v>
      </c>
      <c r="K1690" s="14" t="str">
        <f>IFERROR(__xludf.DUMMYFUNCTION("split(E1690,""+"")"),"Tomato")</f>
        <v>Tomato</v>
      </c>
      <c r="L1690" s="14" t="str">
        <f>IFERROR(__xludf.DUMMYFUNCTION("""COMPUTED_VALUE"""),"2*Vivek Kumar")</f>
        <v>2*Vivek Kumar</v>
      </c>
      <c r="M1690" s="14">
        <f>IFERROR(__xludf.DUMMYFUNCTION("SPLIT(L1690,""*"")"),2.0)</f>
        <v>2</v>
      </c>
      <c r="N1690" s="14" t="str">
        <f>IFERROR(__xludf.DUMMYFUNCTION("""COMPUTED_VALUE"""),"Vivek Kumar")</f>
        <v>Vivek Kumar</v>
      </c>
      <c r="O1690" s="14" t="str">
        <f>IFERROR(__xludf.DUMMYFUNCTION("split(J1690,""*"")"),"Delivered")</f>
        <v>Delivered</v>
      </c>
      <c r="P1690" s="14" t="str">
        <f>IFERROR(__xludf.DUMMYFUNCTION("""COMPUTED_VALUE"""),"Delivery Experience: Quick and professional")</f>
        <v>Delivery Experience: Quick and professional</v>
      </c>
      <c r="Q1690" s="14" t="str">
        <f>IFERROR(__xludf.DUMMYFUNCTION("split(P1690,"":"")"),"Delivery Experience")</f>
        <v>Delivery Experience</v>
      </c>
      <c r="R1690" s="14" t="str">
        <f>IFERROR(__xludf.DUMMYFUNCTION("""COMPUTED_VALUE""")," Quick and professional")</f>
        <v> Quick and professional</v>
      </c>
      <c r="S1690" s="14" t="str">
        <f t="shared" ref="S1690:U1690" si="3383">trim(B1690)</f>
        <v>ord_71668</v>
      </c>
      <c r="T1690" s="14" t="str">
        <f t="shared" si="3383"/>
        <v>Pallavi Ghosh</v>
      </c>
      <c r="U1690" s="14" t="str">
        <f t="shared" si="3383"/>
        <v>Bandra</v>
      </c>
      <c r="V1690" s="14" t="str">
        <f t="shared" si="4"/>
        <v>Tomato</v>
      </c>
      <c r="W1690" s="14">
        <f t="shared" si="5"/>
        <v>2</v>
      </c>
      <c r="X1690" s="14" t="str">
        <f t="shared" si="6"/>
        <v>Vivek Kumar</v>
      </c>
      <c r="Y1690" s="15">
        <f t="shared" si="7"/>
        <v>44945</v>
      </c>
      <c r="Z1690" s="14" t="str">
        <f t="shared" si="8"/>
        <v>Online Payment</v>
      </c>
      <c r="AA1690" s="14" t="str">
        <f t="shared" si="9"/>
        <v>Delivered</v>
      </c>
      <c r="AB1690" s="14" t="str">
        <f t="shared" ref="AB1690:AC1690" si="3384">trim(Q1690)</f>
        <v>Delivery Experience</v>
      </c>
      <c r="AC1690" s="14" t="str">
        <f t="shared" si="3384"/>
        <v>Quick and professional</v>
      </c>
      <c r="AD1690" s="8"/>
    </row>
    <row r="1691">
      <c r="A1691" s="14" t="str">
        <f>IFERROR(__xludf.DUMMYFUNCTION("""COMPUTED_VALUE"""),"//ord_71669//Ishaan Chaturvedi//Bandra//Banana+2*Vivek Kumar/6/24/2023//UPI//Delivered*Convenience: Easy tracking")</f>
        <v>//ord_71669//Ishaan Chaturvedi//Bandra//Banana+2*Vivek Kumar/6/24/2023//UPI//Delivered*Convenience: Easy tracking</v>
      </c>
      <c r="B1691" s="14" t="str">
        <f>IFERROR(__xludf.DUMMYFUNCTION("split(A1691,""//"")"),"ord_71669")</f>
        <v>ord_71669</v>
      </c>
      <c r="C1691" s="14" t="str">
        <f>IFERROR(__xludf.DUMMYFUNCTION("""COMPUTED_VALUE"""),"Ishaan Chaturvedi")</f>
        <v>Ishaan Chaturvedi</v>
      </c>
      <c r="D1691" s="14" t="str">
        <f>IFERROR(__xludf.DUMMYFUNCTION("""COMPUTED_VALUE"""),"Bandra")</f>
        <v>Bandra</v>
      </c>
      <c r="E1691" s="14" t="str">
        <f>IFERROR(__xludf.DUMMYFUNCTION("""COMPUTED_VALUE"""),"Banana+2*Vivek Kumar")</f>
        <v>Banana+2*Vivek Kumar</v>
      </c>
      <c r="F1691" s="14">
        <f>IFERROR(__xludf.DUMMYFUNCTION("""COMPUTED_VALUE"""),6.0)</f>
        <v>6</v>
      </c>
      <c r="G1691" s="14">
        <f>IFERROR(__xludf.DUMMYFUNCTION("""COMPUTED_VALUE"""),24.0)</f>
        <v>24</v>
      </c>
      <c r="H1691" s="14">
        <f>IFERROR(__xludf.DUMMYFUNCTION("""COMPUTED_VALUE"""),2023.0)</f>
        <v>2023</v>
      </c>
      <c r="I1691" s="14" t="str">
        <f>IFERROR(__xludf.DUMMYFUNCTION("""COMPUTED_VALUE"""),"UPI")</f>
        <v>UPI</v>
      </c>
      <c r="J1691" s="14" t="str">
        <f>IFERROR(__xludf.DUMMYFUNCTION("""COMPUTED_VALUE"""),"Delivered*Convenience: Easy tracking")</f>
        <v>Delivered*Convenience: Easy tracking</v>
      </c>
      <c r="K1691" s="14" t="str">
        <f>IFERROR(__xludf.DUMMYFUNCTION("split(E1691,""+"")"),"Banana")</f>
        <v>Banana</v>
      </c>
      <c r="L1691" s="14" t="str">
        <f>IFERROR(__xludf.DUMMYFUNCTION("""COMPUTED_VALUE"""),"2*Vivek Kumar")</f>
        <v>2*Vivek Kumar</v>
      </c>
      <c r="M1691" s="14">
        <f>IFERROR(__xludf.DUMMYFUNCTION("SPLIT(L1691,""*"")"),2.0)</f>
        <v>2</v>
      </c>
      <c r="N1691" s="14" t="str">
        <f>IFERROR(__xludf.DUMMYFUNCTION("""COMPUTED_VALUE"""),"Vivek Kumar")</f>
        <v>Vivek Kumar</v>
      </c>
      <c r="O1691" s="14" t="str">
        <f>IFERROR(__xludf.DUMMYFUNCTION("split(J1691,""*"")"),"Delivered")</f>
        <v>Delivered</v>
      </c>
      <c r="P1691" s="14" t="str">
        <f>IFERROR(__xludf.DUMMYFUNCTION("""COMPUTED_VALUE"""),"Convenience: Easy tracking")</f>
        <v>Convenience: Easy tracking</v>
      </c>
      <c r="Q1691" s="14" t="str">
        <f>IFERROR(__xludf.DUMMYFUNCTION("split(P1691,"":"")"),"Convenience")</f>
        <v>Convenience</v>
      </c>
      <c r="R1691" s="14" t="str">
        <f>IFERROR(__xludf.DUMMYFUNCTION("""COMPUTED_VALUE""")," Easy tracking")</f>
        <v> Easy tracking</v>
      </c>
      <c r="S1691" s="14" t="str">
        <f t="shared" ref="S1691:U1691" si="3385">trim(B1691)</f>
        <v>ord_71669</v>
      </c>
      <c r="T1691" s="14" t="str">
        <f t="shared" si="3385"/>
        <v>Ishaan Chaturvedi</v>
      </c>
      <c r="U1691" s="14" t="str">
        <f t="shared" si="3385"/>
        <v>Bandra</v>
      </c>
      <c r="V1691" s="14" t="str">
        <f t="shared" si="4"/>
        <v>Banana</v>
      </c>
      <c r="W1691" s="14">
        <f t="shared" si="5"/>
        <v>2</v>
      </c>
      <c r="X1691" s="14" t="str">
        <f t="shared" si="6"/>
        <v>Vivek Kumar</v>
      </c>
      <c r="Y1691" s="15">
        <f t="shared" si="7"/>
        <v>45101</v>
      </c>
      <c r="Z1691" s="14" t="str">
        <f t="shared" si="8"/>
        <v>UPI</v>
      </c>
      <c r="AA1691" s="14" t="str">
        <f t="shared" si="9"/>
        <v>Delivered</v>
      </c>
      <c r="AB1691" s="14" t="str">
        <f t="shared" ref="AB1691:AC1691" si="3386">trim(Q1691)</f>
        <v>Convenience</v>
      </c>
      <c r="AC1691" s="14" t="str">
        <f t="shared" si="3386"/>
        <v>Easy tracking</v>
      </c>
      <c r="AD1691" s="8"/>
    </row>
    <row r="1692">
      <c r="A1692" s="14" t="str">
        <f>IFERROR(__xludf.DUMMYFUNCTION("""COMPUTED_VALUE"""),"//ord_71670//Parth Goel//Juhu//Cucumber+2*Vivek Kumar/10/19/2023//UPI//Delivered*Overall Satisfaction: Great service will order again")</f>
        <v>//ord_71670//Parth Goel//Juhu//Cucumber+2*Vivek Kumar/10/19/2023//UPI//Delivered*Overall Satisfaction: Great service will order again</v>
      </c>
      <c r="B1692" s="14" t="str">
        <f>IFERROR(__xludf.DUMMYFUNCTION("split(A1692,""//"")"),"ord_71670")</f>
        <v>ord_71670</v>
      </c>
      <c r="C1692" s="14" t="str">
        <f>IFERROR(__xludf.DUMMYFUNCTION("""COMPUTED_VALUE"""),"Parth Goel")</f>
        <v>Parth Goel</v>
      </c>
      <c r="D1692" s="14" t="str">
        <f>IFERROR(__xludf.DUMMYFUNCTION("""COMPUTED_VALUE"""),"Juhu")</f>
        <v>Juhu</v>
      </c>
      <c r="E1692" s="14" t="str">
        <f>IFERROR(__xludf.DUMMYFUNCTION("""COMPUTED_VALUE"""),"Cucumber+2*Vivek Kumar")</f>
        <v>Cucumber+2*Vivek Kumar</v>
      </c>
      <c r="F1692" s="14">
        <f>IFERROR(__xludf.DUMMYFUNCTION("""COMPUTED_VALUE"""),10.0)</f>
        <v>10</v>
      </c>
      <c r="G1692" s="14">
        <f>IFERROR(__xludf.DUMMYFUNCTION("""COMPUTED_VALUE"""),19.0)</f>
        <v>19</v>
      </c>
      <c r="H1692" s="14">
        <f>IFERROR(__xludf.DUMMYFUNCTION("""COMPUTED_VALUE"""),2023.0)</f>
        <v>2023</v>
      </c>
      <c r="I1692" s="14" t="str">
        <f>IFERROR(__xludf.DUMMYFUNCTION("""COMPUTED_VALUE"""),"UPI")</f>
        <v>UPI</v>
      </c>
      <c r="J1692" s="14" t="str">
        <f>IFERROR(__xludf.DUMMYFUNCTION("""COMPUTED_VALUE"""),"Delivered*Overall Satisfaction: Great service will order again")</f>
        <v>Delivered*Overall Satisfaction: Great service will order again</v>
      </c>
      <c r="K1692" s="14" t="str">
        <f>IFERROR(__xludf.DUMMYFUNCTION("split(E1692,""+"")"),"Cucumber")</f>
        <v>Cucumber</v>
      </c>
      <c r="L1692" s="14" t="str">
        <f>IFERROR(__xludf.DUMMYFUNCTION("""COMPUTED_VALUE"""),"2*Vivek Kumar")</f>
        <v>2*Vivek Kumar</v>
      </c>
      <c r="M1692" s="14">
        <f>IFERROR(__xludf.DUMMYFUNCTION("SPLIT(L1692,""*"")"),2.0)</f>
        <v>2</v>
      </c>
      <c r="N1692" s="14" t="str">
        <f>IFERROR(__xludf.DUMMYFUNCTION("""COMPUTED_VALUE"""),"Vivek Kumar")</f>
        <v>Vivek Kumar</v>
      </c>
      <c r="O1692" s="14" t="str">
        <f>IFERROR(__xludf.DUMMYFUNCTION("split(J1692,""*"")"),"Delivered")</f>
        <v>Delivered</v>
      </c>
      <c r="P1692" s="14" t="str">
        <f>IFERROR(__xludf.DUMMYFUNCTION("""COMPUTED_VALUE"""),"Overall Satisfaction: Great service will order again")</f>
        <v>Overall Satisfaction: Great service will order again</v>
      </c>
      <c r="Q1692" s="14" t="str">
        <f>IFERROR(__xludf.DUMMYFUNCTION("split(P1692,"":"")"),"Overall Satisfaction")</f>
        <v>Overall Satisfaction</v>
      </c>
      <c r="R1692" s="14" t="str">
        <f>IFERROR(__xludf.DUMMYFUNCTION("""COMPUTED_VALUE""")," Great service will order again")</f>
        <v> Great service will order again</v>
      </c>
      <c r="S1692" s="14" t="str">
        <f t="shared" ref="S1692:U1692" si="3387">trim(B1692)</f>
        <v>ord_71670</v>
      </c>
      <c r="T1692" s="14" t="str">
        <f t="shared" si="3387"/>
        <v>Parth Goel</v>
      </c>
      <c r="U1692" s="14" t="str">
        <f t="shared" si="3387"/>
        <v>Juhu</v>
      </c>
      <c r="V1692" s="14" t="str">
        <f t="shared" si="4"/>
        <v>Cucumber</v>
      </c>
      <c r="W1692" s="14">
        <f t="shared" si="5"/>
        <v>2</v>
      </c>
      <c r="X1692" s="14" t="str">
        <f t="shared" si="6"/>
        <v>Vivek Kumar</v>
      </c>
      <c r="Y1692" s="15">
        <f t="shared" si="7"/>
        <v>45218</v>
      </c>
      <c r="Z1692" s="14" t="str">
        <f t="shared" si="8"/>
        <v>UPI</v>
      </c>
      <c r="AA1692" s="14" t="str">
        <f t="shared" si="9"/>
        <v>Delivered</v>
      </c>
      <c r="AB1692" s="14" t="str">
        <f t="shared" ref="AB1692:AC1692" si="3388">trim(Q1692)</f>
        <v>Overall Satisfaction</v>
      </c>
      <c r="AC1692" s="14" t="str">
        <f t="shared" si="3388"/>
        <v>Great service will order again</v>
      </c>
      <c r="AD1692" s="8"/>
    </row>
    <row r="1693">
      <c r="A1693" s="14" t="str">
        <f>IFERROR(__xludf.DUMMYFUNCTION("""COMPUTED_VALUE"""),"//ord_71671//Sanjay Nair//Dadar//Guava+1*Ramesh S/7/12/2023//Credit Card//Delivered*On-time Delivery: Delivered on time")</f>
        <v>//ord_71671//Sanjay Nair//Dadar//Guava+1*Ramesh S/7/12/2023//Credit Card//Delivered*On-time Delivery: Delivered on time</v>
      </c>
      <c r="B1693" s="14" t="str">
        <f>IFERROR(__xludf.DUMMYFUNCTION("split(A1693,""//"")"),"ord_71671")</f>
        <v>ord_71671</v>
      </c>
      <c r="C1693" s="14" t="str">
        <f>IFERROR(__xludf.DUMMYFUNCTION("""COMPUTED_VALUE"""),"Sanjay Nair")</f>
        <v>Sanjay Nair</v>
      </c>
      <c r="D1693" s="14" t="str">
        <f>IFERROR(__xludf.DUMMYFUNCTION("""COMPUTED_VALUE"""),"Dadar")</f>
        <v>Dadar</v>
      </c>
      <c r="E1693" s="14" t="str">
        <f>IFERROR(__xludf.DUMMYFUNCTION("""COMPUTED_VALUE"""),"Guava+1*Ramesh S")</f>
        <v>Guava+1*Ramesh S</v>
      </c>
      <c r="F1693" s="14">
        <f>IFERROR(__xludf.DUMMYFUNCTION("""COMPUTED_VALUE"""),7.0)</f>
        <v>7</v>
      </c>
      <c r="G1693" s="14">
        <f>IFERROR(__xludf.DUMMYFUNCTION("""COMPUTED_VALUE"""),12.0)</f>
        <v>12</v>
      </c>
      <c r="H1693" s="14">
        <f>IFERROR(__xludf.DUMMYFUNCTION("""COMPUTED_VALUE"""),2023.0)</f>
        <v>2023</v>
      </c>
      <c r="I1693" s="14" t="str">
        <f>IFERROR(__xludf.DUMMYFUNCTION("""COMPUTED_VALUE"""),"Credit Card")</f>
        <v>Credit Card</v>
      </c>
      <c r="J1693" s="14" t="str">
        <f>IFERROR(__xludf.DUMMYFUNCTION("""COMPUTED_VALUE"""),"Delivered*On-time Delivery: Delivered on time")</f>
        <v>Delivered*On-time Delivery: Delivered on time</v>
      </c>
      <c r="K1693" s="14" t="str">
        <f>IFERROR(__xludf.DUMMYFUNCTION("split(E1693,""+"")"),"Guava")</f>
        <v>Guava</v>
      </c>
      <c r="L1693" s="14" t="str">
        <f>IFERROR(__xludf.DUMMYFUNCTION("""COMPUTED_VALUE"""),"1*Ramesh S")</f>
        <v>1*Ramesh S</v>
      </c>
      <c r="M1693" s="14">
        <f>IFERROR(__xludf.DUMMYFUNCTION("SPLIT(L1693,""*"")"),1.0)</f>
        <v>1</v>
      </c>
      <c r="N1693" s="14" t="str">
        <f>IFERROR(__xludf.DUMMYFUNCTION("""COMPUTED_VALUE"""),"Ramesh S")</f>
        <v>Ramesh S</v>
      </c>
      <c r="O1693" s="14" t="str">
        <f>IFERROR(__xludf.DUMMYFUNCTION("split(J1693,""*"")"),"Delivered")</f>
        <v>Delivered</v>
      </c>
      <c r="P1693" s="14" t="str">
        <f>IFERROR(__xludf.DUMMYFUNCTION("""COMPUTED_VALUE"""),"On-time Delivery: Delivered on time")</f>
        <v>On-time Delivery: Delivered on time</v>
      </c>
      <c r="Q1693" s="14" t="str">
        <f>IFERROR(__xludf.DUMMYFUNCTION("split(P1693,"":"")"),"On-time Delivery")</f>
        <v>On-time Delivery</v>
      </c>
      <c r="R1693" s="14" t="str">
        <f>IFERROR(__xludf.DUMMYFUNCTION("""COMPUTED_VALUE""")," Delivered on time")</f>
        <v> Delivered on time</v>
      </c>
      <c r="S1693" s="14" t="str">
        <f t="shared" ref="S1693:U1693" si="3389">trim(B1693)</f>
        <v>ord_71671</v>
      </c>
      <c r="T1693" s="14" t="str">
        <f t="shared" si="3389"/>
        <v>Sanjay Nair</v>
      </c>
      <c r="U1693" s="14" t="str">
        <f t="shared" si="3389"/>
        <v>Dadar</v>
      </c>
      <c r="V1693" s="14" t="str">
        <f t="shared" si="4"/>
        <v>Guava</v>
      </c>
      <c r="W1693" s="14">
        <f t="shared" si="5"/>
        <v>1</v>
      </c>
      <c r="X1693" s="14" t="str">
        <f t="shared" si="6"/>
        <v>Ramesh S</v>
      </c>
      <c r="Y1693" s="15">
        <f t="shared" si="7"/>
        <v>45119</v>
      </c>
      <c r="Z1693" s="14" t="str">
        <f t="shared" si="8"/>
        <v>Credit Card</v>
      </c>
      <c r="AA1693" s="14" t="str">
        <f t="shared" si="9"/>
        <v>Delivered</v>
      </c>
      <c r="AB1693" s="14" t="str">
        <f t="shared" ref="AB1693:AC1693" si="3390">trim(Q1693)</f>
        <v>On-time Delivery</v>
      </c>
      <c r="AC1693" s="14" t="str">
        <f t="shared" si="3390"/>
        <v>Delivered on time</v>
      </c>
      <c r="AD1693" s="8"/>
    </row>
    <row r="1694">
      <c r="A1694" s="14" t="str">
        <f>IFERROR(__xludf.DUMMYFUNCTION("""COMPUTED_VALUE"""),"//ord_71672//Mehul Thakkar//Malad//Apple+1*Manju Ajay/9/20/2023//Credit Card//Delivered*Quality of Items: Perfect condition")</f>
        <v>//ord_71672//Mehul Thakkar//Malad//Apple+1*Manju Ajay/9/20/2023//Credit Card//Delivered*Quality of Items: Perfect condition</v>
      </c>
      <c r="B1694" s="14" t="str">
        <f>IFERROR(__xludf.DUMMYFUNCTION("split(A1694,""//"")"),"ord_71672")</f>
        <v>ord_71672</v>
      </c>
      <c r="C1694" s="14" t="str">
        <f>IFERROR(__xludf.DUMMYFUNCTION("""COMPUTED_VALUE"""),"Mehul Thakkar")</f>
        <v>Mehul Thakkar</v>
      </c>
      <c r="D1694" s="14" t="str">
        <f>IFERROR(__xludf.DUMMYFUNCTION("""COMPUTED_VALUE"""),"Malad")</f>
        <v>Malad</v>
      </c>
      <c r="E1694" s="14" t="str">
        <f>IFERROR(__xludf.DUMMYFUNCTION("""COMPUTED_VALUE"""),"Apple+1*Manju Ajay")</f>
        <v>Apple+1*Manju Ajay</v>
      </c>
      <c r="F1694" s="14">
        <f>IFERROR(__xludf.DUMMYFUNCTION("""COMPUTED_VALUE"""),9.0)</f>
        <v>9</v>
      </c>
      <c r="G1694" s="14">
        <f>IFERROR(__xludf.DUMMYFUNCTION("""COMPUTED_VALUE"""),20.0)</f>
        <v>20</v>
      </c>
      <c r="H1694" s="14">
        <f>IFERROR(__xludf.DUMMYFUNCTION("""COMPUTED_VALUE"""),2023.0)</f>
        <v>2023</v>
      </c>
      <c r="I1694" s="14" t="str">
        <f>IFERROR(__xludf.DUMMYFUNCTION("""COMPUTED_VALUE"""),"Credit Card")</f>
        <v>Credit Card</v>
      </c>
      <c r="J1694" s="14" t="str">
        <f>IFERROR(__xludf.DUMMYFUNCTION("""COMPUTED_VALUE"""),"Delivered*Quality of Items: Perfect condition")</f>
        <v>Delivered*Quality of Items: Perfect condition</v>
      </c>
      <c r="K1694" s="14" t="str">
        <f>IFERROR(__xludf.DUMMYFUNCTION("split(E1694,""+"")"),"Apple")</f>
        <v>Apple</v>
      </c>
      <c r="L1694" s="14" t="str">
        <f>IFERROR(__xludf.DUMMYFUNCTION("""COMPUTED_VALUE"""),"1*Manju Ajay")</f>
        <v>1*Manju Ajay</v>
      </c>
      <c r="M1694" s="14">
        <f>IFERROR(__xludf.DUMMYFUNCTION("SPLIT(L1694,""*"")"),1.0)</f>
        <v>1</v>
      </c>
      <c r="N1694" s="14" t="str">
        <f>IFERROR(__xludf.DUMMYFUNCTION("""COMPUTED_VALUE"""),"Manju Ajay")</f>
        <v>Manju Ajay</v>
      </c>
      <c r="O1694" s="14" t="str">
        <f>IFERROR(__xludf.DUMMYFUNCTION("split(J1694,""*"")"),"Delivered")</f>
        <v>Delivered</v>
      </c>
      <c r="P1694" s="14" t="str">
        <f>IFERROR(__xludf.DUMMYFUNCTION("""COMPUTED_VALUE"""),"Quality of Items: Perfect condition")</f>
        <v>Quality of Items: Perfect condition</v>
      </c>
      <c r="Q1694" s="14" t="str">
        <f>IFERROR(__xludf.DUMMYFUNCTION("split(P1694,"":"")"),"Quality of Items")</f>
        <v>Quality of Items</v>
      </c>
      <c r="R1694" s="14" t="str">
        <f>IFERROR(__xludf.DUMMYFUNCTION("""COMPUTED_VALUE""")," Perfect condition")</f>
        <v> Perfect condition</v>
      </c>
      <c r="S1694" s="14" t="str">
        <f t="shared" ref="S1694:U1694" si="3391">trim(B1694)</f>
        <v>ord_71672</v>
      </c>
      <c r="T1694" s="14" t="str">
        <f t="shared" si="3391"/>
        <v>Mehul Thakkar</v>
      </c>
      <c r="U1694" s="14" t="str">
        <f t="shared" si="3391"/>
        <v>Malad</v>
      </c>
      <c r="V1694" s="14" t="str">
        <f t="shared" si="4"/>
        <v>Apple</v>
      </c>
      <c r="W1694" s="14">
        <f t="shared" si="5"/>
        <v>1</v>
      </c>
      <c r="X1694" s="14" t="str">
        <f t="shared" si="6"/>
        <v>Manju Ajay</v>
      </c>
      <c r="Y1694" s="15">
        <f t="shared" si="7"/>
        <v>45189</v>
      </c>
      <c r="Z1694" s="14" t="str">
        <f t="shared" si="8"/>
        <v>Credit Card</v>
      </c>
      <c r="AA1694" s="14" t="str">
        <f t="shared" si="9"/>
        <v>Delivered</v>
      </c>
      <c r="AB1694" s="14" t="str">
        <f t="shared" ref="AB1694:AC1694" si="3392">trim(Q1694)</f>
        <v>Quality of Items</v>
      </c>
      <c r="AC1694" s="14" t="str">
        <f t="shared" si="3392"/>
        <v>Perfect condition</v>
      </c>
      <c r="AD1694" s="8"/>
    </row>
    <row r="1695">
      <c r="A1695" s="14" t="str">
        <f>IFERROR(__xludf.DUMMYFUNCTION("""COMPUTED_VALUE"""),"//ord_71673//Ishita Banerjee//Juhu//Veg Puff+4*Shine Thomas/3/16/2023//Credit Card//Delivered*On-time Delivery: Delivered on time")</f>
        <v>//ord_71673//Ishita Banerjee//Juhu//Veg Puff+4*Shine Thomas/3/16/2023//Credit Card//Delivered*On-time Delivery: Delivered on time</v>
      </c>
      <c r="B1695" s="14" t="str">
        <f>IFERROR(__xludf.DUMMYFUNCTION("split(A1695,""//"")"),"ord_71673")</f>
        <v>ord_71673</v>
      </c>
      <c r="C1695" s="14" t="str">
        <f>IFERROR(__xludf.DUMMYFUNCTION("""COMPUTED_VALUE"""),"Ishita Banerjee")</f>
        <v>Ishita Banerjee</v>
      </c>
      <c r="D1695" s="14" t="str">
        <f>IFERROR(__xludf.DUMMYFUNCTION("""COMPUTED_VALUE"""),"Juhu")</f>
        <v>Juhu</v>
      </c>
      <c r="E1695" s="14" t="str">
        <f>IFERROR(__xludf.DUMMYFUNCTION("""COMPUTED_VALUE"""),"Veg Puff+4*Shine Thomas")</f>
        <v>Veg Puff+4*Shine Thomas</v>
      </c>
      <c r="F1695" s="14">
        <f>IFERROR(__xludf.DUMMYFUNCTION("""COMPUTED_VALUE"""),3.0)</f>
        <v>3</v>
      </c>
      <c r="G1695" s="14">
        <f>IFERROR(__xludf.DUMMYFUNCTION("""COMPUTED_VALUE"""),16.0)</f>
        <v>16</v>
      </c>
      <c r="H1695" s="14">
        <f>IFERROR(__xludf.DUMMYFUNCTION("""COMPUTED_VALUE"""),2023.0)</f>
        <v>2023</v>
      </c>
      <c r="I1695" s="14" t="str">
        <f>IFERROR(__xludf.DUMMYFUNCTION("""COMPUTED_VALUE"""),"Credit Card")</f>
        <v>Credit Card</v>
      </c>
      <c r="J1695" s="14" t="str">
        <f>IFERROR(__xludf.DUMMYFUNCTION("""COMPUTED_VALUE"""),"Delivered*On-time Delivery: Delivered on time")</f>
        <v>Delivered*On-time Delivery: Delivered on time</v>
      </c>
      <c r="K1695" s="14" t="str">
        <f>IFERROR(__xludf.DUMMYFUNCTION("split(E1695,""+"")"),"Veg Puff")</f>
        <v>Veg Puff</v>
      </c>
      <c r="L1695" s="14" t="str">
        <f>IFERROR(__xludf.DUMMYFUNCTION("""COMPUTED_VALUE"""),"4*Shine Thomas")</f>
        <v>4*Shine Thomas</v>
      </c>
      <c r="M1695" s="14">
        <f>IFERROR(__xludf.DUMMYFUNCTION("SPLIT(L1695,""*"")"),4.0)</f>
        <v>4</v>
      </c>
      <c r="N1695" s="14" t="str">
        <f>IFERROR(__xludf.DUMMYFUNCTION("""COMPUTED_VALUE"""),"Shine Thomas")</f>
        <v>Shine Thomas</v>
      </c>
      <c r="O1695" s="14" t="str">
        <f>IFERROR(__xludf.DUMMYFUNCTION("split(J1695,""*"")"),"Delivered")</f>
        <v>Delivered</v>
      </c>
      <c r="P1695" s="14" t="str">
        <f>IFERROR(__xludf.DUMMYFUNCTION("""COMPUTED_VALUE"""),"On-time Delivery: Delivered on time")</f>
        <v>On-time Delivery: Delivered on time</v>
      </c>
      <c r="Q1695" s="14" t="str">
        <f>IFERROR(__xludf.DUMMYFUNCTION("split(P1695,"":"")"),"On-time Delivery")</f>
        <v>On-time Delivery</v>
      </c>
      <c r="R1695" s="14" t="str">
        <f>IFERROR(__xludf.DUMMYFUNCTION("""COMPUTED_VALUE""")," Delivered on time")</f>
        <v> Delivered on time</v>
      </c>
      <c r="S1695" s="14" t="str">
        <f t="shared" ref="S1695:U1695" si="3393">trim(B1695)</f>
        <v>ord_71673</v>
      </c>
      <c r="T1695" s="14" t="str">
        <f t="shared" si="3393"/>
        <v>Ishita Banerjee</v>
      </c>
      <c r="U1695" s="14" t="str">
        <f t="shared" si="3393"/>
        <v>Juhu</v>
      </c>
      <c r="V1695" s="14" t="str">
        <f t="shared" si="4"/>
        <v>Veg Puff</v>
      </c>
      <c r="W1695" s="14">
        <f t="shared" si="5"/>
        <v>4</v>
      </c>
      <c r="X1695" s="14" t="str">
        <f t="shared" si="6"/>
        <v>Shine Thomas</v>
      </c>
      <c r="Y1695" s="15">
        <f t="shared" si="7"/>
        <v>45001</v>
      </c>
      <c r="Z1695" s="14" t="str">
        <f t="shared" si="8"/>
        <v>Credit Card</v>
      </c>
      <c r="AA1695" s="14" t="str">
        <f t="shared" si="9"/>
        <v>Delivered</v>
      </c>
      <c r="AB1695" s="14" t="str">
        <f t="shared" ref="AB1695:AC1695" si="3394">trim(Q1695)</f>
        <v>On-time Delivery</v>
      </c>
      <c r="AC1695" s="14" t="str">
        <f t="shared" si="3394"/>
        <v>Delivered on time</v>
      </c>
      <c r="AD1695" s="8"/>
    </row>
    <row r="1696">
      <c r="A1696" s="14" t="str">
        <f>IFERROR(__xludf.DUMMYFUNCTION("""COMPUTED_VALUE"""),"//ord_71674//Kritika Shetty//Malad//Guava+2*Ramesh S/5/2/2023//Online Payment//Delivered*Quality of Items: Perfect condition")</f>
        <v>//ord_71674//Kritika Shetty//Malad//Guava+2*Ramesh S/5/2/2023//Online Payment//Delivered*Quality of Items: Perfect condition</v>
      </c>
      <c r="B1696" s="14" t="str">
        <f>IFERROR(__xludf.DUMMYFUNCTION("split(A1696,""//"")"),"ord_71674")</f>
        <v>ord_71674</v>
      </c>
      <c r="C1696" s="14" t="str">
        <f>IFERROR(__xludf.DUMMYFUNCTION("""COMPUTED_VALUE"""),"Kritika Shetty")</f>
        <v>Kritika Shetty</v>
      </c>
      <c r="D1696" s="14" t="str">
        <f>IFERROR(__xludf.DUMMYFUNCTION("""COMPUTED_VALUE"""),"Malad")</f>
        <v>Malad</v>
      </c>
      <c r="E1696" s="14" t="str">
        <f>IFERROR(__xludf.DUMMYFUNCTION("""COMPUTED_VALUE"""),"Guava+2*Ramesh S")</f>
        <v>Guava+2*Ramesh S</v>
      </c>
      <c r="F1696" s="14">
        <f>IFERROR(__xludf.DUMMYFUNCTION("""COMPUTED_VALUE"""),5.0)</f>
        <v>5</v>
      </c>
      <c r="G1696" s="14">
        <f>IFERROR(__xludf.DUMMYFUNCTION("""COMPUTED_VALUE"""),2.0)</f>
        <v>2</v>
      </c>
      <c r="H1696" s="14">
        <f>IFERROR(__xludf.DUMMYFUNCTION("""COMPUTED_VALUE"""),2023.0)</f>
        <v>2023</v>
      </c>
      <c r="I1696" s="14" t="str">
        <f>IFERROR(__xludf.DUMMYFUNCTION("""COMPUTED_VALUE"""),"Online Payment")</f>
        <v>Online Payment</v>
      </c>
      <c r="J1696" s="14" t="str">
        <f>IFERROR(__xludf.DUMMYFUNCTION("""COMPUTED_VALUE"""),"Delivered*Quality of Items: Perfect condition")</f>
        <v>Delivered*Quality of Items: Perfect condition</v>
      </c>
      <c r="K1696" s="14" t="str">
        <f>IFERROR(__xludf.DUMMYFUNCTION("split(E1696,""+"")"),"Guava")</f>
        <v>Guava</v>
      </c>
      <c r="L1696" s="14" t="str">
        <f>IFERROR(__xludf.DUMMYFUNCTION("""COMPUTED_VALUE"""),"2*Ramesh S")</f>
        <v>2*Ramesh S</v>
      </c>
      <c r="M1696" s="14">
        <f>IFERROR(__xludf.DUMMYFUNCTION("SPLIT(L1696,""*"")"),2.0)</f>
        <v>2</v>
      </c>
      <c r="N1696" s="14" t="str">
        <f>IFERROR(__xludf.DUMMYFUNCTION("""COMPUTED_VALUE"""),"Ramesh S")</f>
        <v>Ramesh S</v>
      </c>
      <c r="O1696" s="14" t="str">
        <f>IFERROR(__xludf.DUMMYFUNCTION("split(J1696,""*"")"),"Delivered")</f>
        <v>Delivered</v>
      </c>
      <c r="P1696" s="14" t="str">
        <f>IFERROR(__xludf.DUMMYFUNCTION("""COMPUTED_VALUE"""),"Quality of Items: Perfect condition")</f>
        <v>Quality of Items: Perfect condition</v>
      </c>
      <c r="Q1696" s="14" t="str">
        <f>IFERROR(__xludf.DUMMYFUNCTION("split(P1696,"":"")"),"Quality of Items")</f>
        <v>Quality of Items</v>
      </c>
      <c r="R1696" s="14" t="str">
        <f>IFERROR(__xludf.DUMMYFUNCTION("""COMPUTED_VALUE""")," Perfect condition")</f>
        <v> Perfect condition</v>
      </c>
      <c r="S1696" s="14" t="str">
        <f t="shared" ref="S1696:U1696" si="3395">trim(B1696)</f>
        <v>ord_71674</v>
      </c>
      <c r="T1696" s="14" t="str">
        <f t="shared" si="3395"/>
        <v>Kritika Shetty</v>
      </c>
      <c r="U1696" s="14" t="str">
        <f t="shared" si="3395"/>
        <v>Malad</v>
      </c>
      <c r="V1696" s="14" t="str">
        <f t="shared" si="4"/>
        <v>Guava</v>
      </c>
      <c r="W1696" s="14">
        <f t="shared" si="5"/>
        <v>2</v>
      </c>
      <c r="X1696" s="14" t="str">
        <f t="shared" si="6"/>
        <v>Ramesh S</v>
      </c>
      <c r="Y1696" s="15">
        <f t="shared" si="7"/>
        <v>45048</v>
      </c>
      <c r="Z1696" s="14" t="str">
        <f t="shared" si="8"/>
        <v>Online Payment</v>
      </c>
      <c r="AA1696" s="14" t="str">
        <f t="shared" si="9"/>
        <v>Delivered</v>
      </c>
      <c r="AB1696" s="14" t="str">
        <f t="shared" ref="AB1696:AC1696" si="3396">trim(Q1696)</f>
        <v>Quality of Items</v>
      </c>
      <c r="AC1696" s="14" t="str">
        <f t="shared" si="3396"/>
        <v>Perfect condition</v>
      </c>
      <c r="AD1696" s="8"/>
    </row>
    <row r="1697">
      <c r="A1697" s="14" t="str">
        <f>IFERROR(__xludf.DUMMYFUNCTION("""COMPUTED_VALUE"""),"//ord_71675//Pranav Joshi//Andheri//Banana+2*Shine Thomas/6/18/2023//Credit Card//Delivered*Packaging: Secure and intact")</f>
        <v>//ord_71675//Pranav Joshi//Andheri//Banana+2*Shine Thomas/6/18/2023//Credit Card//Delivered*Packaging: Secure and intact</v>
      </c>
      <c r="B1697" s="14" t="str">
        <f>IFERROR(__xludf.DUMMYFUNCTION("split(A1697,""//"")"),"ord_71675")</f>
        <v>ord_71675</v>
      </c>
      <c r="C1697" s="14" t="str">
        <f>IFERROR(__xludf.DUMMYFUNCTION("""COMPUTED_VALUE"""),"Pranav Joshi")</f>
        <v>Pranav Joshi</v>
      </c>
      <c r="D1697" s="14" t="str">
        <f>IFERROR(__xludf.DUMMYFUNCTION("""COMPUTED_VALUE"""),"Andheri")</f>
        <v>Andheri</v>
      </c>
      <c r="E1697" s="14" t="str">
        <f>IFERROR(__xludf.DUMMYFUNCTION("""COMPUTED_VALUE"""),"Banana+2*Shine Thomas")</f>
        <v>Banana+2*Shine Thomas</v>
      </c>
      <c r="F1697" s="14">
        <f>IFERROR(__xludf.DUMMYFUNCTION("""COMPUTED_VALUE"""),6.0)</f>
        <v>6</v>
      </c>
      <c r="G1697" s="14">
        <f>IFERROR(__xludf.DUMMYFUNCTION("""COMPUTED_VALUE"""),18.0)</f>
        <v>18</v>
      </c>
      <c r="H1697" s="14">
        <f>IFERROR(__xludf.DUMMYFUNCTION("""COMPUTED_VALUE"""),2023.0)</f>
        <v>2023</v>
      </c>
      <c r="I1697" s="14" t="str">
        <f>IFERROR(__xludf.DUMMYFUNCTION("""COMPUTED_VALUE"""),"Credit Card")</f>
        <v>Credit Card</v>
      </c>
      <c r="J1697" s="14" t="str">
        <f>IFERROR(__xludf.DUMMYFUNCTION("""COMPUTED_VALUE"""),"Delivered*Packaging: Secure and intact")</f>
        <v>Delivered*Packaging: Secure and intact</v>
      </c>
      <c r="K1697" s="14" t="str">
        <f>IFERROR(__xludf.DUMMYFUNCTION("split(E1697,""+"")"),"Banana")</f>
        <v>Banana</v>
      </c>
      <c r="L1697" s="14" t="str">
        <f>IFERROR(__xludf.DUMMYFUNCTION("""COMPUTED_VALUE"""),"2*Shine Thomas")</f>
        <v>2*Shine Thomas</v>
      </c>
      <c r="M1697" s="14">
        <f>IFERROR(__xludf.DUMMYFUNCTION("SPLIT(L1697,""*"")"),2.0)</f>
        <v>2</v>
      </c>
      <c r="N1697" s="14" t="str">
        <f>IFERROR(__xludf.DUMMYFUNCTION("""COMPUTED_VALUE"""),"Shine Thomas")</f>
        <v>Shine Thomas</v>
      </c>
      <c r="O1697" s="14" t="str">
        <f>IFERROR(__xludf.DUMMYFUNCTION("split(J1697,""*"")"),"Delivered")</f>
        <v>Delivered</v>
      </c>
      <c r="P1697" s="14" t="str">
        <f>IFERROR(__xludf.DUMMYFUNCTION("""COMPUTED_VALUE"""),"Packaging: Secure and intact")</f>
        <v>Packaging: Secure and intact</v>
      </c>
      <c r="Q1697" s="14" t="str">
        <f>IFERROR(__xludf.DUMMYFUNCTION("split(P1697,"":"")"),"Packaging")</f>
        <v>Packaging</v>
      </c>
      <c r="R1697" s="14" t="str">
        <f>IFERROR(__xludf.DUMMYFUNCTION("""COMPUTED_VALUE""")," Secure and intact")</f>
        <v> Secure and intact</v>
      </c>
      <c r="S1697" s="14" t="str">
        <f t="shared" ref="S1697:U1697" si="3397">trim(B1697)</f>
        <v>ord_71675</v>
      </c>
      <c r="T1697" s="14" t="str">
        <f t="shared" si="3397"/>
        <v>Pranav Joshi</v>
      </c>
      <c r="U1697" s="14" t="str">
        <f t="shared" si="3397"/>
        <v>Andheri</v>
      </c>
      <c r="V1697" s="14" t="str">
        <f t="shared" si="4"/>
        <v>Banana</v>
      </c>
      <c r="W1697" s="14">
        <f t="shared" si="5"/>
        <v>2</v>
      </c>
      <c r="X1697" s="14" t="str">
        <f t="shared" si="6"/>
        <v>Shine Thomas</v>
      </c>
      <c r="Y1697" s="15">
        <f t="shared" si="7"/>
        <v>45095</v>
      </c>
      <c r="Z1697" s="14" t="str">
        <f t="shared" si="8"/>
        <v>Credit Card</v>
      </c>
      <c r="AA1697" s="14" t="str">
        <f t="shared" si="9"/>
        <v>Delivered</v>
      </c>
      <c r="AB1697" s="14" t="str">
        <f t="shared" ref="AB1697:AC1697" si="3398">trim(Q1697)</f>
        <v>Packaging</v>
      </c>
      <c r="AC1697" s="14" t="str">
        <f t="shared" si="3398"/>
        <v>Secure and intact</v>
      </c>
      <c r="AD1697" s="8"/>
    </row>
    <row r="1698">
      <c r="A1698" s="14" t="str">
        <f>IFERROR(__xludf.DUMMYFUNCTION("""COMPUTED_VALUE"""),"//ord_71676//Siya Reddy//Juhu//Tomato+1*Not Assigned/7/4/2023//Credit Card//Cancelled*App Glitches:Missing Content")</f>
        <v>//ord_71676//Siya Reddy//Juhu//Tomato+1*Not Assigned/7/4/2023//Credit Card//Cancelled*App Glitches:Missing Content</v>
      </c>
      <c r="B1698" s="14" t="str">
        <f>IFERROR(__xludf.DUMMYFUNCTION("split(A1698,""//"")"),"ord_71676")</f>
        <v>ord_71676</v>
      </c>
      <c r="C1698" s="14" t="str">
        <f>IFERROR(__xludf.DUMMYFUNCTION("""COMPUTED_VALUE"""),"Siya Reddy")</f>
        <v>Siya Reddy</v>
      </c>
      <c r="D1698" s="14" t="str">
        <f>IFERROR(__xludf.DUMMYFUNCTION("""COMPUTED_VALUE"""),"Juhu")</f>
        <v>Juhu</v>
      </c>
      <c r="E1698" s="14" t="str">
        <f>IFERROR(__xludf.DUMMYFUNCTION("""COMPUTED_VALUE"""),"Tomato+1*Not Assigned")</f>
        <v>Tomato+1*Not Assigned</v>
      </c>
      <c r="F1698" s="14">
        <f>IFERROR(__xludf.DUMMYFUNCTION("""COMPUTED_VALUE"""),7.0)</f>
        <v>7</v>
      </c>
      <c r="G1698" s="14">
        <f>IFERROR(__xludf.DUMMYFUNCTION("""COMPUTED_VALUE"""),4.0)</f>
        <v>4</v>
      </c>
      <c r="H1698" s="14">
        <f>IFERROR(__xludf.DUMMYFUNCTION("""COMPUTED_VALUE"""),2023.0)</f>
        <v>2023</v>
      </c>
      <c r="I1698" s="14" t="str">
        <f>IFERROR(__xludf.DUMMYFUNCTION("""COMPUTED_VALUE"""),"Credit Card")</f>
        <v>Credit Card</v>
      </c>
      <c r="J1698" s="14" t="str">
        <f>IFERROR(__xludf.DUMMYFUNCTION("""COMPUTED_VALUE"""),"Cancelled*App Glitches:Missing Content")</f>
        <v>Cancelled*App Glitches:Missing Content</v>
      </c>
      <c r="K1698" s="14" t="str">
        <f>IFERROR(__xludf.DUMMYFUNCTION("split(E1698,""+"")"),"Tomato")</f>
        <v>Tomato</v>
      </c>
      <c r="L1698" s="14" t="str">
        <f>IFERROR(__xludf.DUMMYFUNCTION("""COMPUTED_VALUE"""),"1*Not Assigned")</f>
        <v>1*Not Assigned</v>
      </c>
      <c r="M1698" s="14">
        <f>IFERROR(__xludf.DUMMYFUNCTION("SPLIT(L1698,""*"")"),1.0)</f>
        <v>1</v>
      </c>
      <c r="N1698" s="14" t="str">
        <f>IFERROR(__xludf.DUMMYFUNCTION("""COMPUTED_VALUE"""),"Not Assigned")</f>
        <v>Not Assigned</v>
      </c>
      <c r="O1698" s="14" t="str">
        <f>IFERROR(__xludf.DUMMYFUNCTION("split(J1698,""*"")"),"Cancelled")</f>
        <v>Cancelled</v>
      </c>
      <c r="P1698" s="14" t="str">
        <f>IFERROR(__xludf.DUMMYFUNCTION("""COMPUTED_VALUE"""),"App Glitches:Missing Content")</f>
        <v>App Glitches:Missing Content</v>
      </c>
      <c r="Q1698" s="14" t="str">
        <f>IFERROR(__xludf.DUMMYFUNCTION("split(P1698,"":"")"),"App Glitches")</f>
        <v>App Glitches</v>
      </c>
      <c r="R1698" s="14" t="str">
        <f>IFERROR(__xludf.DUMMYFUNCTION("""COMPUTED_VALUE"""),"Missing Content")</f>
        <v>Missing Content</v>
      </c>
      <c r="S1698" s="14" t="str">
        <f t="shared" ref="S1698:U1698" si="3399">trim(B1698)</f>
        <v>ord_71676</v>
      </c>
      <c r="T1698" s="14" t="str">
        <f t="shared" si="3399"/>
        <v>Siya Reddy</v>
      </c>
      <c r="U1698" s="14" t="str">
        <f t="shared" si="3399"/>
        <v>Juhu</v>
      </c>
      <c r="V1698" s="14" t="str">
        <f t="shared" si="4"/>
        <v>Tomato</v>
      </c>
      <c r="W1698" s="14">
        <f t="shared" si="5"/>
        <v>1</v>
      </c>
      <c r="X1698" s="14" t="str">
        <f t="shared" si="6"/>
        <v>Not Assigned</v>
      </c>
      <c r="Y1698" s="15">
        <f t="shared" si="7"/>
        <v>45111</v>
      </c>
      <c r="Z1698" s="14" t="str">
        <f t="shared" si="8"/>
        <v>Credit Card</v>
      </c>
      <c r="AA1698" s="14" t="str">
        <f t="shared" si="9"/>
        <v>Cancelled</v>
      </c>
      <c r="AB1698" s="14" t="str">
        <f t="shared" ref="AB1698:AC1698" si="3400">trim(Q1698)</f>
        <v>App Glitches</v>
      </c>
      <c r="AC1698" s="14" t="str">
        <f t="shared" si="3400"/>
        <v>Missing Content</v>
      </c>
      <c r="AD1698" s="8"/>
    </row>
    <row r="1699">
      <c r="A1699" s="14" t="str">
        <f>IFERROR(__xludf.DUMMYFUNCTION("""COMPUTED_VALUE"""),"//ord_71677//Aditya Rao//Lower Parel//Chilli Cheese Toast+6*Ramesh S/12/1/2023//Online Payment//Delivered*Satisfied with the Delivery: Timely and quality")</f>
        <v>//ord_71677//Aditya Rao//Lower Parel//Chilli Cheese Toast+6*Ramesh S/12/1/2023//Online Payment//Delivered*Satisfied with the Delivery: Timely and quality</v>
      </c>
      <c r="B1699" s="14" t="str">
        <f>IFERROR(__xludf.DUMMYFUNCTION("split(A1699,""//"")"),"ord_71677")</f>
        <v>ord_71677</v>
      </c>
      <c r="C1699" s="14" t="str">
        <f>IFERROR(__xludf.DUMMYFUNCTION("""COMPUTED_VALUE"""),"Aditya Rao")</f>
        <v>Aditya Rao</v>
      </c>
      <c r="D1699" s="14" t="str">
        <f>IFERROR(__xludf.DUMMYFUNCTION("""COMPUTED_VALUE"""),"Lower Parel")</f>
        <v>Lower Parel</v>
      </c>
      <c r="E1699" s="14" t="str">
        <f>IFERROR(__xludf.DUMMYFUNCTION("""COMPUTED_VALUE"""),"Chilli Cheese Toast+6*Ramesh S")</f>
        <v>Chilli Cheese Toast+6*Ramesh S</v>
      </c>
      <c r="F1699" s="14">
        <f>IFERROR(__xludf.DUMMYFUNCTION("""COMPUTED_VALUE"""),12.0)</f>
        <v>12</v>
      </c>
      <c r="G1699" s="14">
        <f>IFERROR(__xludf.DUMMYFUNCTION("""COMPUTED_VALUE"""),1.0)</f>
        <v>1</v>
      </c>
      <c r="H1699" s="14">
        <f>IFERROR(__xludf.DUMMYFUNCTION("""COMPUTED_VALUE"""),2023.0)</f>
        <v>2023</v>
      </c>
      <c r="I1699" s="14" t="str">
        <f>IFERROR(__xludf.DUMMYFUNCTION("""COMPUTED_VALUE"""),"Online Payment")</f>
        <v>Online Payment</v>
      </c>
      <c r="J1699" s="14" t="str">
        <f>IFERROR(__xludf.DUMMYFUNCTION("""COMPUTED_VALUE"""),"Delivered*Satisfied with the Delivery: Timely and quality")</f>
        <v>Delivered*Satisfied with the Delivery: Timely and quality</v>
      </c>
      <c r="K1699" s="14" t="str">
        <f>IFERROR(__xludf.DUMMYFUNCTION("split(E1699,""+"")"),"Chilli Cheese Toast")</f>
        <v>Chilli Cheese Toast</v>
      </c>
      <c r="L1699" s="14" t="str">
        <f>IFERROR(__xludf.DUMMYFUNCTION("""COMPUTED_VALUE"""),"6*Ramesh S")</f>
        <v>6*Ramesh S</v>
      </c>
      <c r="M1699" s="14">
        <f>IFERROR(__xludf.DUMMYFUNCTION("SPLIT(L1699,""*"")"),6.0)</f>
        <v>6</v>
      </c>
      <c r="N1699" s="14" t="str">
        <f>IFERROR(__xludf.DUMMYFUNCTION("""COMPUTED_VALUE"""),"Ramesh S")</f>
        <v>Ramesh S</v>
      </c>
      <c r="O1699" s="14" t="str">
        <f>IFERROR(__xludf.DUMMYFUNCTION("split(J1699,""*"")"),"Delivered")</f>
        <v>Delivered</v>
      </c>
      <c r="P1699" s="14" t="str">
        <f>IFERROR(__xludf.DUMMYFUNCTION("""COMPUTED_VALUE"""),"Satisfied with the Delivery: Timely and quality")</f>
        <v>Satisfied with the Delivery: Timely and quality</v>
      </c>
      <c r="Q1699" s="14" t="str">
        <f>IFERROR(__xludf.DUMMYFUNCTION("split(P1699,"":"")"),"Satisfied with the Delivery")</f>
        <v>Satisfied with the Delivery</v>
      </c>
      <c r="R1699" s="14" t="str">
        <f>IFERROR(__xludf.DUMMYFUNCTION("""COMPUTED_VALUE""")," Timely and quality")</f>
        <v> Timely and quality</v>
      </c>
      <c r="S1699" s="14" t="str">
        <f t="shared" ref="S1699:U1699" si="3401">trim(B1699)</f>
        <v>ord_71677</v>
      </c>
      <c r="T1699" s="14" t="str">
        <f t="shared" si="3401"/>
        <v>Aditya Rao</v>
      </c>
      <c r="U1699" s="14" t="str">
        <f t="shared" si="3401"/>
        <v>Lower Parel</v>
      </c>
      <c r="V1699" s="14" t="str">
        <f t="shared" si="4"/>
        <v>Chilli Cheese Toast</v>
      </c>
      <c r="W1699" s="14">
        <f t="shared" si="5"/>
        <v>6</v>
      </c>
      <c r="X1699" s="14" t="str">
        <f t="shared" si="6"/>
        <v>Ramesh S</v>
      </c>
      <c r="Y1699" s="15">
        <f t="shared" si="7"/>
        <v>45261</v>
      </c>
      <c r="Z1699" s="14" t="str">
        <f t="shared" si="8"/>
        <v>Online Payment</v>
      </c>
      <c r="AA1699" s="14" t="str">
        <f t="shared" si="9"/>
        <v>Delivered</v>
      </c>
      <c r="AB1699" s="14" t="str">
        <f t="shared" ref="AB1699:AC1699" si="3402">trim(Q1699)</f>
        <v>Satisfied with the Delivery</v>
      </c>
      <c r="AC1699" s="14" t="str">
        <f t="shared" si="3402"/>
        <v>Timely and quality</v>
      </c>
      <c r="AD1699" s="8"/>
    </row>
    <row r="1700">
      <c r="A1700" s="14" t="str">
        <f>IFERROR(__xludf.DUMMYFUNCTION("""COMPUTED_VALUE"""),"//ord_71678//Shruti Aggarwal//Colaba//Onion+4*Ram Gopal/3/22/2023//UPI//Delivered*Customer Service: Seamless and easy")</f>
        <v>//ord_71678//Shruti Aggarwal//Colaba//Onion+4*Ram Gopal/3/22/2023//UPI//Delivered*Customer Service: Seamless and easy</v>
      </c>
      <c r="B1700" s="14" t="str">
        <f>IFERROR(__xludf.DUMMYFUNCTION("split(A1700,""//"")"),"ord_71678")</f>
        <v>ord_71678</v>
      </c>
      <c r="C1700" s="14" t="str">
        <f>IFERROR(__xludf.DUMMYFUNCTION("""COMPUTED_VALUE"""),"Shruti Aggarwal")</f>
        <v>Shruti Aggarwal</v>
      </c>
      <c r="D1700" s="14" t="str">
        <f>IFERROR(__xludf.DUMMYFUNCTION("""COMPUTED_VALUE"""),"Colaba")</f>
        <v>Colaba</v>
      </c>
      <c r="E1700" s="14" t="str">
        <f>IFERROR(__xludf.DUMMYFUNCTION("""COMPUTED_VALUE"""),"Onion+4*Ram Gopal")</f>
        <v>Onion+4*Ram Gopal</v>
      </c>
      <c r="F1700" s="14">
        <f>IFERROR(__xludf.DUMMYFUNCTION("""COMPUTED_VALUE"""),3.0)</f>
        <v>3</v>
      </c>
      <c r="G1700" s="14">
        <f>IFERROR(__xludf.DUMMYFUNCTION("""COMPUTED_VALUE"""),22.0)</f>
        <v>22</v>
      </c>
      <c r="H1700" s="14">
        <f>IFERROR(__xludf.DUMMYFUNCTION("""COMPUTED_VALUE"""),2023.0)</f>
        <v>2023</v>
      </c>
      <c r="I1700" s="14" t="str">
        <f>IFERROR(__xludf.DUMMYFUNCTION("""COMPUTED_VALUE"""),"UPI")</f>
        <v>UPI</v>
      </c>
      <c r="J1700" s="14" t="str">
        <f>IFERROR(__xludf.DUMMYFUNCTION("""COMPUTED_VALUE"""),"Delivered*Customer Service: Seamless and easy")</f>
        <v>Delivered*Customer Service: Seamless and easy</v>
      </c>
      <c r="K1700" s="14" t="str">
        <f>IFERROR(__xludf.DUMMYFUNCTION("split(E1700,""+"")"),"Onion")</f>
        <v>Onion</v>
      </c>
      <c r="L1700" s="14" t="str">
        <f>IFERROR(__xludf.DUMMYFUNCTION("""COMPUTED_VALUE"""),"4*Ram Gopal")</f>
        <v>4*Ram Gopal</v>
      </c>
      <c r="M1700" s="14">
        <f>IFERROR(__xludf.DUMMYFUNCTION("SPLIT(L1700,""*"")"),4.0)</f>
        <v>4</v>
      </c>
      <c r="N1700" s="14" t="str">
        <f>IFERROR(__xludf.DUMMYFUNCTION("""COMPUTED_VALUE"""),"Ram Gopal")</f>
        <v>Ram Gopal</v>
      </c>
      <c r="O1700" s="14" t="str">
        <f>IFERROR(__xludf.DUMMYFUNCTION("split(J1700,""*"")"),"Delivered")</f>
        <v>Delivered</v>
      </c>
      <c r="P1700" s="14" t="str">
        <f>IFERROR(__xludf.DUMMYFUNCTION("""COMPUTED_VALUE"""),"Customer Service: Seamless and easy")</f>
        <v>Customer Service: Seamless and easy</v>
      </c>
      <c r="Q1700" s="14" t="str">
        <f>IFERROR(__xludf.DUMMYFUNCTION("split(P1700,"":"")"),"Customer Service")</f>
        <v>Customer Service</v>
      </c>
      <c r="R1700" s="14" t="str">
        <f>IFERROR(__xludf.DUMMYFUNCTION("""COMPUTED_VALUE""")," Seamless and easy")</f>
        <v> Seamless and easy</v>
      </c>
      <c r="S1700" s="14" t="str">
        <f t="shared" ref="S1700:U1700" si="3403">trim(B1700)</f>
        <v>ord_71678</v>
      </c>
      <c r="T1700" s="14" t="str">
        <f t="shared" si="3403"/>
        <v>Shruti Aggarwal</v>
      </c>
      <c r="U1700" s="14" t="str">
        <f t="shared" si="3403"/>
        <v>Colaba</v>
      </c>
      <c r="V1700" s="14" t="str">
        <f t="shared" si="4"/>
        <v>Onion</v>
      </c>
      <c r="W1700" s="14">
        <f t="shared" si="5"/>
        <v>4</v>
      </c>
      <c r="X1700" s="14" t="str">
        <f t="shared" si="6"/>
        <v>Ram Gopal</v>
      </c>
      <c r="Y1700" s="15">
        <f t="shared" si="7"/>
        <v>45007</v>
      </c>
      <c r="Z1700" s="14" t="str">
        <f t="shared" si="8"/>
        <v>UPI</v>
      </c>
      <c r="AA1700" s="14" t="str">
        <f t="shared" si="9"/>
        <v>Delivered</v>
      </c>
      <c r="AB1700" s="14" t="str">
        <f t="shared" ref="AB1700:AC1700" si="3404">trim(Q1700)</f>
        <v>Customer Service</v>
      </c>
      <c r="AC1700" s="14" t="str">
        <f t="shared" si="3404"/>
        <v>Seamless and easy</v>
      </c>
      <c r="AD1700" s="8"/>
    </row>
    <row r="1701">
      <c r="A1701" s="14" t="str">
        <f>IFERROR(__xludf.DUMMYFUNCTION("""COMPUTED_VALUE"""),"//ord_71679//Sahil Desai//Colaba//Guava+3*Nithin Lal/5/14/2023//UPI//Delivered*Delivery Experience: Quick and professional")</f>
        <v>//ord_71679//Sahil Desai//Colaba//Guava+3*Nithin Lal/5/14/2023//UPI//Delivered*Delivery Experience: Quick and professional</v>
      </c>
      <c r="B1701" s="14" t="str">
        <f>IFERROR(__xludf.DUMMYFUNCTION("split(A1701,""//"")"),"ord_71679")</f>
        <v>ord_71679</v>
      </c>
      <c r="C1701" s="14" t="str">
        <f>IFERROR(__xludf.DUMMYFUNCTION("""COMPUTED_VALUE"""),"Sahil Desai")</f>
        <v>Sahil Desai</v>
      </c>
      <c r="D1701" s="14" t="str">
        <f>IFERROR(__xludf.DUMMYFUNCTION("""COMPUTED_VALUE"""),"Colaba")</f>
        <v>Colaba</v>
      </c>
      <c r="E1701" s="14" t="str">
        <f>IFERROR(__xludf.DUMMYFUNCTION("""COMPUTED_VALUE"""),"Guava+3*Nithin Lal")</f>
        <v>Guava+3*Nithin Lal</v>
      </c>
      <c r="F1701" s="14">
        <f>IFERROR(__xludf.DUMMYFUNCTION("""COMPUTED_VALUE"""),5.0)</f>
        <v>5</v>
      </c>
      <c r="G1701" s="14">
        <f>IFERROR(__xludf.DUMMYFUNCTION("""COMPUTED_VALUE"""),14.0)</f>
        <v>14</v>
      </c>
      <c r="H1701" s="14">
        <f>IFERROR(__xludf.DUMMYFUNCTION("""COMPUTED_VALUE"""),2023.0)</f>
        <v>2023</v>
      </c>
      <c r="I1701" s="14" t="str">
        <f>IFERROR(__xludf.DUMMYFUNCTION("""COMPUTED_VALUE"""),"UPI")</f>
        <v>UPI</v>
      </c>
      <c r="J1701" s="14" t="str">
        <f>IFERROR(__xludf.DUMMYFUNCTION("""COMPUTED_VALUE"""),"Delivered*Delivery Experience: Quick and professional")</f>
        <v>Delivered*Delivery Experience: Quick and professional</v>
      </c>
      <c r="K1701" s="14" t="str">
        <f>IFERROR(__xludf.DUMMYFUNCTION("split(E1701,""+"")"),"Guava")</f>
        <v>Guava</v>
      </c>
      <c r="L1701" s="14" t="str">
        <f>IFERROR(__xludf.DUMMYFUNCTION("""COMPUTED_VALUE"""),"3*Nithin Lal")</f>
        <v>3*Nithin Lal</v>
      </c>
      <c r="M1701" s="14">
        <f>IFERROR(__xludf.DUMMYFUNCTION("SPLIT(L1701,""*"")"),3.0)</f>
        <v>3</v>
      </c>
      <c r="N1701" s="14" t="str">
        <f>IFERROR(__xludf.DUMMYFUNCTION("""COMPUTED_VALUE"""),"Nithin Lal")</f>
        <v>Nithin Lal</v>
      </c>
      <c r="O1701" s="14" t="str">
        <f>IFERROR(__xludf.DUMMYFUNCTION("split(J1701,""*"")"),"Delivered")</f>
        <v>Delivered</v>
      </c>
      <c r="P1701" s="14" t="str">
        <f>IFERROR(__xludf.DUMMYFUNCTION("""COMPUTED_VALUE"""),"Delivery Experience: Quick and professional")</f>
        <v>Delivery Experience: Quick and professional</v>
      </c>
      <c r="Q1701" s="14" t="str">
        <f>IFERROR(__xludf.DUMMYFUNCTION("split(P1701,"":"")"),"Delivery Experience")</f>
        <v>Delivery Experience</v>
      </c>
      <c r="R1701" s="14" t="str">
        <f>IFERROR(__xludf.DUMMYFUNCTION("""COMPUTED_VALUE""")," Quick and professional")</f>
        <v> Quick and professional</v>
      </c>
      <c r="S1701" s="14" t="str">
        <f t="shared" ref="S1701:U1701" si="3405">trim(B1701)</f>
        <v>ord_71679</v>
      </c>
      <c r="T1701" s="14" t="str">
        <f t="shared" si="3405"/>
        <v>Sahil Desai</v>
      </c>
      <c r="U1701" s="14" t="str">
        <f t="shared" si="3405"/>
        <v>Colaba</v>
      </c>
      <c r="V1701" s="14" t="str">
        <f t="shared" si="4"/>
        <v>Guava</v>
      </c>
      <c r="W1701" s="14">
        <f t="shared" si="5"/>
        <v>3</v>
      </c>
      <c r="X1701" s="14" t="str">
        <f t="shared" si="6"/>
        <v>Nithin Lal</v>
      </c>
      <c r="Y1701" s="15">
        <f t="shared" si="7"/>
        <v>45060</v>
      </c>
      <c r="Z1701" s="14" t="str">
        <f t="shared" si="8"/>
        <v>UPI</v>
      </c>
      <c r="AA1701" s="14" t="str">
        <f t="shared" si="9"/>
        <v>Delivered</v>
      </c>
      <c r="AB1701" s="14" t="str">
        <f t="shared" ref="AB1701:AC1701" si="3406">trim(Q1701)</f>
        <v>Delivery Experience</v>
      </c>
      <c r="AC1701" s="14" t="str">
        <f t="shared" si="3406"/>
        <v>Quick and professional</v>
      </c>
      <c r="AD1701" s="8"/>
    </row>
    <row r="1702">
      <c r="A1702" s="14" t="str">
        <f>IFERROR(__xludf.DUMMYFUNCTION("""COMPUTED_VALUE"""),"//ord_71680//Harsh Vardhan//Bandra//Chocolate Mousse+4*Nithin Lal/11/4/2023//UPI//Delivered*Convenience: Easy tracking")</f>
        <v>//ord_71680//Harsh Vardhan//Bandra//Chocolate Mousse+4*Nithin Lal/11/4/2023//UPI//Delivered*Convenience: Easy tracking</v>
      </c>
      <c r="B1702" s="14" t="str">
        <f>IFERROR(__xludf.DUMMYFUNCTION("split(A1702,""//"")"),"ord_71680")</f>
        <v>ord_71680</v>
      </c>
      <c r="C1702" s="14" t="str">
        <f>IFERROR(__xludf.DUMMYFUNCTION("""COMPUTED_VALUE"""),"Harsh Vardhan")</f>
        <v>Harsh Vardhan</v>
      </c>
      <c r="D1702" s="14" t="str">
        <f>IFERROR(__xludf.DUMMYFUNCTION("""COMPUTED_VALUE"""),"Bandra")</f>
        <v>Bandra</v>
      </c>
      <c r="E1702" s="14" t="str">
        <f>IFERROR(__xludf.DUMMYFUNCTION("""COMPUTED_VALUE"""),"Chocolate Mousse+4*Nithin Lal")</f>
        <v>Chocolate Mousse+4*Nithin Lal</v>
      </c>
      <c r="F1702" s="14">
        <f>IFERROR(__xludf.DUMMYFUNCTION("""COMPUTED_VALUE"""),11.0)</f>
        <v>11</v>
      </c>
      <c r="G1702" s="14">
        <f>IFERROR(__xludf.DUMMYFUNCTION("""COMPUTED_VALUE"""),4.0)</f>
        <v>4</v>
      </c>
      <c r="H1702" s="14">
        <f>IFERROR(__xludf.DUMMYFUNCTION("""COMPUTED_VALUE"""),2023.0)</f>
        <v>2023</v>
      </c>
      <c r="I1702" s="14" t="str">
        <f>IFERROR(__xludf.DUMMYFUNCTION("""COMPUTED_VALUE"""),"UPI")</f>
        <v>UPI</v>
      </c>
      <c r="J1702" s="14" t="str">
        <f>IFERROR(__xludf.DUMMYFUNCTION("""COMPUTED_VALUE"""),"Delivered*Convenience: Easy tracking")</f>
        <v>Delivered*Convenience: Easy tracking</v>
      </c>
      <c r="K1702" s="14" t="str">
        <f>IFERROR(__xludf.DUMMYFUNCTION("split(E1702,""+"")"),"Chocolate Mousse")</f>
        <v>Chocolate Mousse</v>
      </c>
      <c r="L1702" s="14" t="str">
        <f>IFERROR(__xludf.DUMMYFUNCTION("""COMPUTED_VALUE"""),"4*Nithin Lal")</f>
        <v>4*Nithin Lal</v>
      </c>
      <c r="M1702" s="14">
        <f>IFERROR(__xludf.DUMMYFUNCTION("SPLIT(L1702,""*"")"),4.0)</f>
        <v>4</v>
      </c>
      <c r="N1702" s="14" t="str">
        <f>IFERROR(__xludf.DUMMYFUNCTION("""COMPUTED_VALUE"""),"Nithin Lal")</f>
        <v>Nithin Lal</v>
      </c>
      <c r="O1702" s="14" t="str">
        <f>IFERROR(__xludf.DUMMYFUNCTION("split(J1702,""*"")"),"Delivered")</f>
        <v>Delivered</v>
      </c>
      <c r="P1702" s="14" t="str">
        <f>IFERROR(__xludf.DUMMYFUNCTION("""COMPUTED_VALUE"""),"Convenience: Easy tracking")</f>
        <v>Convenience: Easy tracking</v>
      </c>
      <c r="Q1702" s="14" t="str">
        <f>IFERROR(__xludf.DUMMYFUNCTION("split(P1702,"":"")"),"Convenience")</f>
        <v>Convenience</v>
      </c>
      <c r="R1702" s="14" t="str">
        <f>IFERROR(__xludf.DUMMYFUNCTION("""COMPUTED_VALUE""")," Easy tracking")</f>
        <v> Easy tracking</v>
      </c>
      <c r="S1702" s="14" t="str">
        <f t="shared" ref="S1702:U1702" si="3407">trim(B1702)</f>
        <v>ord_71680</v>
      </c>
      <c r="T1702" s="14" t="str">
        <f t="shared" si="3407"/>
        <v>Harsh Vardhan</v>
      </c>
      <c r="U1702" s="14" t="str">
        <f t="shared" si="3407"/>
        <v>Bandra</v>
      </c>
      <c r="V1702" s="14" t="str">
        <f t="shared" si="4"/>
        <v>Chocolate Mousse</v>
      </c>
      <c r="W1702" s="14">
        <f t="shared" si="5"/>
        <v>4</v>
      </c>
      <c r="X1702" s="14" t="str">
        <f t="shared" si="6"/>
        <v>Nithin Lal</v>
      </c>
      <c r="Y1702" s="15">
        <f t="shared" si="7"/>
        <v>45234</v>
      </c>
      <c r="Z1702" s="14" t="str">
        <f t="shared" si="8"/>
        <v>UPI</v>
      </c>
      <c r="AA1702" s="14" t="str">
        <f t="shared" si="9"/>
        <v>Delivered</v>
      </c>
      <c r="AB1702" s="14" t="str">
        <f t="shared" ref="AB1702:AC1702" si="3408">trim(Q1702)</f>
        <v>Convenience</v>
      </c>
      <c r="AC1702" s="14" t="str">
        <f t="shared" si="3408"/>
        <v>Easy tracking</v>
      </c>
      <c r="AD1702" s="8"/>
    </row>
    <row r="1703">
      <c r="A1703" s="14" t="str">
        <f>IFERROR(__xludf.DUMMYFUNCTION("""COMPUTED_VALUE"""),"//ord_71681//Leena Das//Andheri//Orange+2*Vivek Kumar/10/4/2023//UPI//Delivered*Overall Satisfaction: Great service will order again")</f>
        <v>//ord_71681//Leena Das//Andheri//Orange+2*Vivek Kumar/10/4/2023//UPI//Delivered*Overall Satisfaction: Great service will order again</v>
      </c>
      <c r="B1703" s="14" t="str">
        <f>IFERROR(__xludf.DUMMYFUNCTION("split(A1703,""//"")"),"ord_71681")</f>
        <v>ord_71681</v>
      </c>
      <c r="C1703" s="14" t="str">
        <f>IFERROR(__xludf.DUMMYFUNCTION("""COMPUTED_VALUE"""),"Leena Das")</f>
        <v>Leena Das</v>
      </c>
      <c r="D1703" s="14" t="str">
        <f>IFERROR(__xludf.DUMMYFUNCTION("""COMPUTED_VALUE"""),"Andheri")</f>
        <v>Andheri</v>
      </c>
      <c r="E1703" s="14" t="str">
        <f>IFERROR(__xludf.DUMMYFUNCTION("""COMPUTED_VALUE"""),"Orange+2*Vivek Kumar")</f>
        <v>Orange+2*Vivek Kumar</v>
      </c>
      <c r="F1703" s="14">
        <f>IFERROR(__xludf.DUMMYFUNCTION("""COMPUTED_VALUE"""),10.0)</f>
        <v>10</v>
      </c>
      <c r="G1703" s="14">
        <f>IFERROR(__xludf.DUMMYFUNCTION("""COMPUTED_VALUE"""),4.0)</f>
        <v>4</v>
      </c>
      <c r="H1703" s="14">
        <f>IFERROR(__xludf.DUMMYFUNCTION("""COMPUTED_VALUE"""),2023.0)</f>
        <v>2023</v>
      </c>
      <c r="I1703" s="14" t="str">
        <f>IFERROR(__xludf.DUMMYFUNCTION("""COMPUTED_VALUE"""),"UPI")</f>
        <v>UPI</v>
      </c>
      <c r="J1703" s="14" t="str">
        <f>IFERROR(__xludf.DUMMYFUNCTION("""COMPUTED_VALUE"""),"Delivered*Overall Satisfaction: Great service will order again")</f>
        <v>Delivered*Overall Satisfaction: Great service will order again</v>
      </c>
      <c r="K1703" s="14" t="str">
        <f>IFERROR(__xludf.DUMMYFUNCTION("split(E1703,""+"")"),"Orange")</f>
        <v>Orange</v>
      </c>
      <c r="L1703" s="14" t="str">
        <f>IFERROR(__xludf.DUMMYFUNCTION("""COMPUTED_VALUE"""),"2*Vivek Kumar")</f>
        <v>2*Vivek Kumar</v>
      </c>
      <c r="M1703" s="14">
        <f>IFERROR(__xludf.DUMMYFUNCTION("SPLIT(L1703,""*"")"),2.0)</f>
        <v>2</v>
      </c>
      <c r="N1703" s="14" t="str">
        <f>IFERROR(__xludf.DUMMYFUNCTION("""COMPUTED_VALUE"""),"Vivek Kumar")</f>
        <v>Vivek Kumar</v>
      </c>
      <c r="O1703" s="14" t="str">
        <f>IFERROR(__xludf.DUMMYFUNCTION("split(J1703,""*"")"),"Delivered")</f>
        <v>Delivered</v>
      </c>
      <c r="P1703" s="14" t="str">
        <f>IFERROR(__xludf.DUMMYFUNCTION("""COMPUTED_VALUE"""),"Overall Satisfaction: Great service will order again")</f>
        <v>Overall Satisfaction: Great service will order again</v>
      </c>
      <c r="Q1703" s="14" t="str">
        <f>IFERROR(__xludf.DUMMYFUNCTION("split(P1703,"":"")"),"Overall Satisfaction")</f>
        <v>Overall Satisfaction</v>
      </c>
      <c r="R1703" s="14" t="str">
        <f>IFERROR(__xludf.DUMMYFUNCTION("""COMPUTED_VALUE""")," Great service will order again")</f>
        <v> Great service will order again</v>
      </c>
      <c r="S1703" s="14" t="str">
        <f t="shared" ref="S1703:U1703" si="3409">trim(B1703)</f>
        <v>ord_71681</v>
      </c>
      <c r="T1703" s="14" t="str">
        <f t="shared" si="3409"/>
        <v>Leena Das</v>
      </c>
      <c r="U1703" s="14" t="str">
        <f t="shared" si="3409"/>
        <v>Andheri</v>
      </c>
      <c r="V1703" s="14" t="str">
        <f t="shared" si="4"/>
        <v>Orange</v>
      </c>
      <c r="W1703" s="14">
        <f t="shared" si="5"/>
        <v>2</v>
      </c>
      <c r="X1703" s="14" t="str">
        <f t="shared" si="6"/>
        <v>Vivek Kumar</v>
      </c>
      <c r="Y1703" s="15">
        <f t="shared" si="7"/>
        <v>45203</v>
      </c>
      <c r="Z1703" s="14" t="str">
        <f t="shared" si="8"/>
        <v>UPI</v>
      </c>
      <c r="AA1703" s="14" t="str">
        <f t="shared" si="9"/>
        <v>Delivered</v>
      </c>
      <c r="AB1703" s="14" t="str">
        <f t="shared" ref="AB1703:AC1703" si="3410">trim(Q1703)</f>
        <v>Overall Satisfaction</v>
      </c>
      <c r="AC1703" s="14" t="str">
        <f t="shared" si="3410"/>
        <v>Great service will order again</v>
      </c>
      <c r="AD1703" s="8"/>
    </row>
    <row r="1704">
      <c r="A1704" s="14" t="str">
        <f>IFERROR(__xludf.DUMMYFUNCTION("""COMPUTED_VALUE"""),"//ord_71682//Mehul Thakkar//Dadar//Sweet Corn+1*Sita T/11/20/2023//Credit Card//Delivered*On-time Delivery: Delivered on time")</f>
        <v>//ord_71682//Mehul Thakkar//Dadar//Sweet Corn+1*Sita T/11/20/2023//Credit Card//Delivered*On-time Delivery: Delivered on time</v>
      </c>
      <c r="B1704" s="14" t="str">
        <f>IFERROR(__xludf.DUMMYFUNCTION("split(A1704,""//"")"),"ord_71682")</f>
        <v>ord_71682</v>
      </c>
      <c r="C1704" s="14" t="str">
        <f>IFERROR(__xludf.DUMMYFUNCTION("""COMPUTED_VALUE"""),"Mehul Thakkar")</f>
        <v>Mehul Thakkar</v>
      </c>
      <c r="D1704" s="14" t="str">
        <f>IFERROR(__xludf.DUMMYFUNCTION("""COMPUTED_VALUE"""),"Dadar")</f>
        <v>Dadar</v>
      </c>
      <c r="E1704" s="14" t="str">
        <f>IFERROR(__xludf.DUMMYFUNCTION("""COMPUTED_VALUE"""),"Sweet Corn+1*Sita T")</f>
        <v>Sweet Corn+1*Sita T</v>
      </c>
      <c r="F1704" s="14">
        <f>IFERROR(__xludf.DUMMYFUNCTION("""COMPUTED_VALUE"""),11.0)</f>
        <v>11</v>
      </c>
      <c r="G1704" s="14">
        <f>IFERROR(__xludf.DUMMYFUNCTION("""COMPUTED_VALUE"""),20.0)</f>
        <v>20</v>
      </c>
      <c r="H1704" s="14">
        <f>IFERROR(__xludf.DUMMYFUNCTION("""COMPUTED_VALUE"""),2023.0)</f>
        <v>2023</v>
      </c>
      <c r="I1704" s="14" t="str">
        <f>IFERROR(__xludf.DUMMYFUNCTION("""COMPUTED_VALUE"""),"Credit Card")</f>
        <v>Credit Card</v>
      </c>
      <c r="J1704" s="14" t="str">
        <f>IFERROR(__xludf.DUMMYFUNCTION("""COMPUTED_VALUE"""),"Delivered*On-time Delivery: Delivered on time")</f>
        <v>Delivered*On-time Delivery: Delivered on time</v>
      </c>
      <c r="K1704" s="14" t="str">
        <f>IFERROR(__xludf.DUMMYFUNCTION("split(E1704,""+"")"),"Sweet Corn")</f>
        <v>Sweet Corn</v>
      </c>
      <c r="L1704" s="14" t="str">
        <f>IFERROR(__xludf.DUMMYFUNCTION("""COMPUTED_VALUE"""),"1*Sita T")</f>
        <v>1*Sita T</v>
      </c>
      <c r="M1704" s="14">
        <f>IFERROR(__xludf.DUMMYFUNCTION("SPLIT(L1704,""*"")"),1.0)</f>
        <v>1</v>
      </c>
      <c r="N1704" s="14" t="str">
        <f>IFERROR(__xludf.DUMMYFUNCTION("""COMPUTED_VALUE"""),"Sita T")</f>
        <v>Sita T</v>
      </c>
      <c r="O1704" s="14" t="str">
        <f>IFERROR(__xludf.DUMMYFUNCTION("split(J1704,""*"")"),"Delivered")</f>
        <v>Delivered</v>
      </c>
      <c r="P1704" s="14" t="str">
        <f>IFERROR(__xludf.DUMMYFUNCTION("""COMPUTED_VALUE"""),"On-time Delivery: Delivered on time")</f>
        <v>On-time Delivery: Delivered on time</v>
      </c>
      <c r="Q1704" s="14" t="str">
        <f>IFERROR(__xludf.DUMMYFUNCTION("split(P1704,"":"")"),"On-time Delivery")</f>
        <v>On-time Delivery</v>
      </c>
      <c r="R1704" s="14" t="str">
        <f>IFERROR(__xludf.DUMMYFUNCTION("""COMPUTED_VALUE""")," Delivered on time")</f>
        <v> Delivered on time</v>
      </c>
      <c r="S1704" s="14" t="str">
        <f t="shared" ref="S1704:U1704" si="3411">trim(B1704)</f>
        <v>ord_71682</v>
      </c>
      <c r="T1704" s="14" t="str">
        <f t="shared" si="3411"/>
        <v>Mehul Thakkar</v>
      </c>
      <c r="U1704" s="14" t="str">
        <f t="shared" si="3411"/>
        <v>Dadar</v>
      </c>
      <c r="V1704" s="14" t="str">
        <f t="shared" si="4"/>
        <v>Sweet Corn</v>
      </c>
      <c r="W1704" s="14">
        <f t="shared" si="5"/>
        <v>1</v>
      </c>
      <c r="X1704" s="14" t="str">
        <f t="shared" si="6"/>
        <v>Sita T</v>
      </c>
      <c r="Y1704" s="15">
        <f t="shared" si="7"/>
        <v>45250</v>
      </c>
      <c r="Z1704" s="14" t="str">
        <f t="shared" si="8"/>
        <v>Credit Card</v>
      </c>
      <c r="AA1704" s="14" t="str">
        <f t="shared" si="9"/>
        <v>Delivered</v>
      </c>
      <c r="AB1704" s="14" t="str">
        <f t="shared" ref="AB1704:AC1704" si="3412">trim(Q1704)</f>
        <v>On-time Delivery</v>
      </c>
      <c r="AC1704" s="14" t="str">
        <f t="shared" si="3412"/>
        <v>Delivered on time</v>
      </c>
      <c r="AD1704" s="8"/>
    </row>
    <row r="1705">
      <c r="A1705" s="14" t="str">
        <f>IFERROR(__xludf.DUMMYFUNCTION("""COMPUTED_VALUE"""),"//ord_71683//Sana Malik//Juhu//Potato+3*Manju Ajay/5/29/2023//Credit Card//Delivered*Quality of Items: Perfect condition")</f>
        <v>//ord_71683//Sana Malik//Juhu//Potato+3*Manju Ajay/5/29/2023//Credit Card//Delivered*Quality of Items: Perfect condition</v>
      </c>
      <c r="B1705" s="14" t="str">
        <f>IFERROR(__xludf.DUMMYFUNCTION("split(A1705,""//"")"),"ord_71683")</f>
        <v>ord_71683</v>
      </c>
      <c r="C1705" s="14" t="str">
        <f>IFERROR(__xludf.DUMMYFUNCTION("""COMPUTED_VALUE"""),"Sana Malik")</f>
        <v>Sana Malik</v>
      </c>
      <c r="D1705" s="14" t="str">
        <f>IFERROR(__xludf.DUMMYFUNCTION("""COMPUTED_VALUE"""),"Juhu")</f>
        <v>Juhu</v>
      </c>
      <c r="E1705" s="14" t="str">
        <f>IFERROR(__xludf.DUMMYFUNCTION("""COMPUTED_VALUE"""),"Potato+3*Manju Ajay")</f>
        <v>Potato+3*Manju Ajay</v>
      </c>
      <c r="F1705" s="14">
        <f>IFERROR(__xludf.DUMMYFUNCTION("""COMPUTED_VALUE"""),5.0)</f>
        <v>5</v>
      </c>
      <c r="G1705" s="14">
        <f>IFERROR(__xludf.DUMMYFUNCTION("""COMPUTED_VALUE"""),29.0)</f>
        <v>29</v>
      </c>
      <c r="H1705" s="14">
        <f>IFERROR(__xludf.DUMMYFUNCTION("""COMPUTED_VALUE"""),2023.0)</f>
        <v>2023</v>
      </c>
      <c r="I1705" s="14" t="str">
        <f>IFERROR(__xludf.DUMMYFUNCTION("""COMPUTED_VALUE"""),"Credit Card")</f>
        <v>Credit Card</v>
      </c>
      <c r="J1705" s="14" t="str">
        <f>IFERROR(__xludf.DUMMYFUNCTION("""COMPUTED_VALUE"""),"Delivered*Quality of Items: Perfect condition")</f>
        <v>Delivered*Quality of Items: Perfect condition</v>
      </c>
      <c r="K1705" s="14" t="str">
        <f>IFERROR(__xludf.DUMMYFUNCTION("split(E1705,""+"")"),"Potato")</f>
        <v>Potato</v>
      </c>
      <c r="L1705" s="14" t="str">
        <f>IFERROR(__xludf.DUMMYFUNCTION("""COMPUTED_VALUE"""),"3*Manju Ajay")</f>
        <v>3*Manju Ajay</v>
      </c>
      <c r="M1705" s="14">
        <f>IFERROR(__xludf.DUMMYFUNCTION("SPLIT(L1705,""*"")"),3.0)</f>
        <v>3</v>
      </c>
      <c r="N1705" s="14" t="str">
        <f>IFERROR(__xludf.DUMMYFUNCTION("""COMPUTED_VALUE"""),"Manju Ajay")</f>
        <v>Manju Ajay</v>
      </c>
      <c r="O1705" s="14" t="str">
        <f>IFERROR(__xludf.DUMMYFUNCTION("split(J1705,""*"")"),"Delivered")</f>
        <v>Delivered</v>
      </c>
      <c r="P1705" s="14" t="str">
        <f>IFERROR(__xludf.DUMMYFUNCTION("""COMPUTED_VALUE"""),"Quality of Items: Perfect condition")</f>
        <v>Quality of Items: Perfect condition</v>
      </c>
      <c r="Q1705" s="14" t="str">
        <f>IFERROR(__xludf.DUMMYFUNCTION("split(P1705,"":"")"),"Quality of Items")</f>
        <v>Quality of Items</v>
      </c>
      <c r="R1705" s="14" t="str">
        <f>IFERROR(__xludf.DUMMYFUNCTION("""COMPUTED_VALUE""")," Perfect condition")</f>
        <v> Perfect condition</v>
      </c>
      <c r="S1705" s="14" t="str">
        <f t="shared" ref="S1705:U1705" si="3413">trim(B1705)</f>
        <v>ord_71683</v>
      </c>
      <c r="T1705" s="14" t="str">
        <f t="shared" si="3413"/>
        <v>Sana Malik</v>
      </c>
      <c r="U1705" s="14" t="str">
        <f t="shared" si="3413"/>
        <v>Juhu</v>
      </c>
      <c r="V1705" s="14" t="str">
        <f t="shared" si="4"/>
        <v>Potato</v>
      </c>
      <c r="W1705" s="14">
        <f t="shared" si="5"/>
        <v>3</v>
      </c>
      <c r="X1705" s="14" t="str">
        <f t="shared" si="6"/>
        <v>Manju Ajay</v>
      </c>
      <c r="Y1705" s="15">
        <f t="shared" si="7"/>
        <v>45075</v>
      </c>
      <c r="Z1705" s="14" t="str">
        <f t="shared" si="8"/>
        <v>Credit Card</v>
      </c>
      <c r="AA1705" s="14" t="str">
        <f t="shared" si="9"/>
        <v>Delivered</v>
      </c>
      <c r="AB1705" s="14" t="str">
        <f t="shared" ref="AB1705:AC1705" si="3414">trim(Q1705)</f>
        <v>Quality of Items</v>
      </c>
      <c r="AC1705" s="14" t="str">
        <f t="shared" si="3414"/>
        <v>Perfect condition</v>
      </c>
      <c r="AD1705" s="8"/>
    </row>
    <row r="1706">
      <c r="A1706" s="14" t="str">
        <f>IFERROR(__xludf.DUMMYFUNCTION("""COMPUTED_VALUE"""),"//ord_71684//Yash Verma//Colaba//Sweet Corn+3*Ramesh S/5/18/2023//Credit Card//Delivered*On-time Delivery: Delivered on time")</f>
        <v>//ord_71684//Yash Verma//Colaba//Sweet Corn+3*Ramesh S/5/18/2023//Credit Card//Delivered*On-time Delivery: Delivered on time</v>
      </c>
      <c r="B1706" s="14" t="str">
        <f>IFERROR(__xludf.DUMMYFUNCTION("split(A1706,""//"")"),"ord_71684")</f>
        <v>ord_71684</v>
      </c>
      <c r="C1706" s="14" t="str">
        <f>IFERROR(__xludf.DUMMYFUNCTION("""COMPUTED_VALUE"""),"Yash Verma")</f>
        <v>Yash Verma</v>
      </c>
      <c r="D1706" s="14" t="str">
        <f>IFERROR(__xludf.DUMMYFUNCTION("""COMPUTED_VALUE"""),"Colaba")</f>
        <v>Colaba</v>
      </c>
      <c r="E1706" s="14" t="str">
        <f>IFERROR(__xludf.DUMMYFUNCTION("""COMPUTED_VALUE"""),"Sweet Corn+3*Ramesh S")</f>
        <v>Sweet Corn+3*Ramesh S</v>
      </c>
      <c r="F1706" s="14">
        <f>IFERROR(__xludf.DUMMYFUNCTION("""COMPUTED_VALUE"""),5.0)</f>
        <v>5</v>
      </c>
      <c r="G1706" s="14">
        <f>IFERROR(__xludf.DUMMYFUNCTION("""COMPUTED_VALUE"""),18.0)</f>
        <v>18</v>
      </c>
      <c r="H1706" s="14">
        <f>IFERROR(__xludf.DUMMYFUNCTION("""COMPUTED_VALUE"""),2023.0)</f>
        <v>2023</v>
      </c>
      <c r="I1706" s="14" t="str">
        <f>IFERROR(__xludf.DUMMYFUNCTION("""COMPUTED_VALUE"""),"Credit Card")</f>
        <v>Credit Card</v>
      </c>
      <c r="J1706" s="14" t="str">
        <f>IFERROR(__xludf.DUMMYFUNCTION("""COMPUTED_VALUE"""),"Delivered*On-time Delivery: Delivered on time")</f>
        <v>Delivered*On-time Delivery: Delivered on time</v>
      </c>
      <c r="K1706" s="14" t="str">
        <f>IFERROR(__xludf.DUMMYFUNCTION("split(E1706,""+"")"),"Sweet Corn")</f>
        <v>Sweet Corn</v>
      </c>
      <c r="L1706" s="14" t="str">
        <f>IFERROR(__xludf.DUMMYFUNCTION("""COMPUTED_VALUE"""),"3*Ramesh S")</f>
        <v>3*Ramesh S</v>
      </c>
      <c r="M1706" s="14">
        <f>IFERROR(__xludf.DUMMYFUNCTION("SPLIT(L1706,""*"")"),3.0)</f>
        <v>3</v>
      </c>
      <c r="N1706" s="14" t="str">
        <f>IFERROR(__xludf.DUMMYFUNCTION("""COMPUTED_VALUE"""),"Ramesh S")</f>
        <v>Ramesh S</v>
      </c>
      <c r="O1706" s="14" t="str">
        <f>IFERROR(__xludf.DUMMYFUNCTION("split(J1706,""*"")"),"Delivered")</f>
        <v>Delivered</v>
      </c>
      <c r="P1706" s="14" t="str">
        <f>IFERROR(__xludf.DUMMYFUNCTION("""COMPUTED_VALUE"""),"On-time Delivery: Delivered on time")</f>
        <v>On-time Delivery: Delivered on time</v>
      </c>
      <c r="Q1706" s="14" t="str">
        <f>IFERROR(__xludf.DUMMYFUNCTION("split(P1706,"":"")"),"On-time Delivery")</f>
        <v>On-time Delivery</v>
      </c>
      <c r="R1706" s="14" t="str">
        <f>IFERROR(__xludf.DUMMYFUNCTION("""COMPUTED_VALUE""")," Delivered on time")</f>
        <v> Delivered on time</v>
      </c>
      <c r="S1706" s="14" t="str">
        <f t="shared" ref="S1706:U1706" si="3415">trim(B1706)</f>
        <v>ord_71684</v>
      </c>
      <c r="T1706" s="14" t="str">
        <f t="shared" si="3415"/>
        <v>Yash Verma</v>
      </c>
      <c r="U1706" s="14" t="str">
        <f t="shared" si="3415"/>
        <v>Colaba</v>
      </c>
      <c r="V1706" s="14" t="str">
        <f t="shared" si="4"/>
        <v>Sweet Corn</v>
      </c>
      <c r="W1706" s="14">
        <f t="shared" si="5"/>
        <v>3</v>
      </c>
      <c r="X1706" s="14" t="str">
        <f t="shared" si="6"/>
        <v>Ramesh S</v>
      </c>
      <c r="Y1706" s="15">
        <f t="shared" si="7"/>
        <v>45064</v>
      </c>
      <c r="Z1706" s="14" t="str">
        <f t="shared" si="8"/>
        <v>Credit Card</v>
      </c>
      <c r="AA1706" s="14" t="str">
        <f t="shared" si="9"/>
        <v>Delivered</v>
      </c>
      <c r="AB1706" s="14" t="str">
        <f t="shared" ref="AB1706:AC1706" si="3416">trim(Q1706)</f>
        <v>On-time Delivery</v>
      </c>
      <c r="AC1706" s="14" t="str">
        <f t="shared" si="3416"/>
        <v>Delivered on time</v>
      </c>
      <c r="AD1706" s="8"/>
    </row>
    <row r="1707">
      <c r="A1707" s="14" t="str">
        <f>IFERROR(__xludf.DUMMYFUNCTION("""COMPUTED_VALUE"""),"//ord_71685//Harsh Vardhan//Bandra//Cold Coffee+5*Nithin Lal/11/29/2023//Credit Card//Delivered*Quality of Items: Perfect condition")</f>
        <v>//ord_71685//Harsh Vardhan//Bandra//Cold Coffee+5*Nithin Lal/11/29/2023//Credit Card//Delivered*Quality of Items: Perfect condition</v>
      </c>
      <c r="B1707" s="14" t="str">
        <f>IFERROR(__xludf.DUMMYFUNCTION("split(A1707,""//"")"),"ord_71685")</f>
        <v>ord_71685</v>
      </c>
      <c r="C1707" s="14" t="str">
        <f>IFERROR(__xludf.DUMMYFUNCTION("""COMPUTED_VALUE"""),"Harsh Vardhan")</f>
        <v>Harsh Vardhan</v>
      </c>
      <c r="D1707" s="14" t="str">
        <f>IFERROR(__xludf.DUMMYFUNCTION("""COMPUTED_VALUE"""),"Bandra")</f>
        <v>Bandra</v>
      </c>
      <c r="E1707" s="14" t="str">
        <f>IFERROR(__xludf.DUMMYFUNCTION("""COMPUTED_VALUE"""),"Cold Coffee+5*Nithin Lal")</f>
        <v>Cold Coffee+5*Nithin Lal</v>
      </c>
      <c r="F1707" s="14">
        <f>IFERROR(__xludf.DUMMYFUNCTION("""COMPUTED_VALUE"""),11.0)</f>
        <v>11</v>
      </c>
      <c r="G1707" s="14">
        <f>IFERROR(__xludf.DUMMYFUNCTION("""COMPUTED_VALUE"""),29.0)</f>
        <v>29</v>
      </c>
      <c r="H1707" s="14">
        <f>IFERROR(__xludf.DUMMYFUNCTION("""COMPUTED_VALUE"""),2023.0)</f>
        <v>2023</v>
      </c>
      <c r="I1707" s="14" t="str">
        <f>IFERROR(__xludf.DUMMYFUNCTION("""COMPUTED_VALUE"""),"Credit Card")</f>
        <v>Credit Card</v>
      </c>
      <c r="J1707" s="14" t="str">
        <f>IFERROR(__xludf.DUMMYFUNCTION("""COMPUTED_VALUE"""),"Delivered*Quality of Items: Perfect condition")</f>
        <v>Delivered*Quality of Items: Perfect condition</v>
      </c>
      <c r="K1707" s="14" t="str">
        <f>IFERROR(__xludf.DUMMYFUNCTION("split(E1707,""+"")"),"Cold Coffee")</f>
        <v>Cold Coffee</v>
      </c>
      <c r="L1707" s="14" t="str">
        <f>IFERROR(__xludf.DUMMYFUNCTION("""COMPUTED_VALUE"""),"5*Nithin Lal")</f>
        <v>5*Nithin Lal</v>
      </c>
      <c r="M1707" s="14">
        <f>IFERROR(__xludf.DUMMYFUNCTION("SPLIT(L1707,""*"")"),5.0)</f>
        <v>5</v>
      </c>
      <c r="N1707" s="14" t="str">
        <f>IFERROR(__xludf.DUMMYFUNCTION("""COMPUTED_VALUE"""),"Nithin Lal")</f>
        <v>Nithin Lal</v>
      </c>
      <c r="O1707" s="14" t="str">
        <f>IFERROR(__xludf.DUMMYFUNCTION("split(J1707,""*"")"),"Delivered")</f>
        <v>Delivered</v>
      </c>
      <c r="P1707" s="14" t="str">
        <f>IFERROR(__xludf.DUMMYFUNCTION("""COMPUTED_VALUE"""),"Quality of Items: Perfect condition")</f>
        <v>Quality of Items: Perfect condition</v>
      </c>
      <c r="Q1707" s="14" t="str">
        <f>IFERROR(__xludf.DUMMYFUNCTION("split(P1707,"":"")"),"Quality of Items")</f>
        <v>Quality of Items</v>
      </c>
      <c r="R1707" s="14" t="str">
        <f>IFERROR(__xludf.DUMMYFUNCTION("""COMPUTED_VALUE""")," Perfect condition")</f>
        <v> Perfect condition</v>
      </c>
      <c r="S1707" s="14" t="str">
        <f t="shared" ref="S1707:U1707" si="3417">trim(B1707)</f>
        <v>ord_71685</v>
      </c>
      <c r="T1707" s="14" t="str">
        <f t="shared" si="3417"/>
        <v>Harsh Vardhan</v>
      </c>
      <c r="U1707" s="14" t="str">
        <f t="shared" si="3417"/>
        <v>Bandra</v>
      </c>
      <c r="V1707" s="14" t="str">
        <f t="shared" si="4"/>
        <v>Cold Coffee</v>
      </c>
      <c r="W1707" s="14">
        <f t="shared" si="5"/>
        <v>5</v>
      </c>
      <c r="X1707" s="14" t="str">
        <f t="shared" si="6"/>
        <v>Nithin Lal</v>
      </c>
      <c r="Y1707" s="15">
        <f t="shared" si="7"/>
        <v>45259</v>
      </c>
      <c r="Z1707" s="14" t="str">
        <f t="shared" si="8"/>
        <v>Credit Card</v>
      </c>
      <c r="AA1707" s="14" t="str">
        <f t="shared" si="9"/>
        <v>Delivered</v>
      </c>
      <c r="AB1707" s="14" t="str">
        <f t="shared" ref="AB1707:AC1707" si="3418">trim(Q1707)</f>
        <v>Quality of Items</v>
      </c>
      <c r="AC1707" s="14" t="str">
        <f t="shared" si="3418"/>
        <v>Perfect condition</v>
      </c>
      <c r="AD1707" s="8"/>
    </row>
    <row r="1708">
      <c r="A1708" s="14" t="str">
        <f>IFERROR(__xludf.DUMMYFUNCTION("""COMPUTED_VALUE"""),"//ord_71686//Sana Malik//Powai//Popcorn+4*Vivek Kumar/2/16/2023//Credit Card//Delivered*Packaging: Secure and intact")</f>
        <v>//ord_71686//Sana Malik//Powai//Popcorn+4*Vivek Kumar/2/16/2023//Credit Card//Delivered*Packaging: Secure and intact</v>
      </c>
      <c r="B1708" s="14" t="str">
        <f>IFERROR(__xludf.DUMMYFUNCTION("split(A1708,""//"")"),"ord_71686")</f>
        <v>ord_71686</v>
      </c>
      <c r="C1708" s="14" t="str">
        <f>IFERROR(__xludf.DUMMYFUNCTION("""COMPUTED_VALUE"""),"Sana Malik")</f>
        <v>Sana Malik</v>
      </c>
      <c r="D1708" s="14" t="str">
        <f>IFERROR(__xludf.DUMMYFUNCTION("""COMPUTED_VALUE"""),"Powai")</f>
        <v>Powai</v>
      </c>
      <c r="E1708" s="14" t="str">
        <f>IFERROR(__xludf.DUMMYFUNCTION("""COMPUTED_VALUE"""),"Popcorn+4*Vivek Kumar")</f>
        <v>Popcorn+4*Vivek Kumar</v>
      </c>
      <c r="F1708" s="14">
        <f>IFERROR(__xludf.DUMMYFUNCTION("""COMPUTED_VALUE"""),2.0)</f>
        <v>2</v>
      </c>
      <c r="G1708" s="14">
        <f>IFERROR(__xludf.DUMMYFUNCTION("""COMPUTED_VALUE"""),16.0)</f>
        <v>16</v>
      </c>
      <c r="H1708" s="14">
        <f>IFERROR(__xludf.DUMMYFUNCTION("""COMPUTED_VALUE"""),2023.0)</f>
        <v>2023</v>
      </c>
      <c r="I1708" s="14" t="str">
        <f>IFERROR(__xludf.DUMMYFUNCTION("""COMPUTED_VALUE"""),"Credit Card")</f>
        <v>Credit Card</v>
      </c>
      <c r="J1708" s="14" t="str">
        <f>IFERROR(__xludf.DUMMYFUNCTION("""COMPUTED_VALUE"""),"Delivered*Packaging: Secure and intact")</f>
        <v>Delivered*Packaging: Secure and intact</v>
      </c>
      <c r="K1708" s="14" t="str">
        <f>IFERROR(__xludf.DUMMYFUNCTION("split(E1708,""+"")"),"Popcorn")</f>
        <v>Popcorn</v>
      </c>
      <c r="L1708" s="14" t="str">
        <f>IFERROR(__xludf.DUMMYFUNCTION("""COMPUTED_VALUE"""),"4*Vivek Kumar")</f>
        <v>4*Vivek Kumar</v>
      </c>
      <c r="M1708" s="14">
        <f>IFERROR(__xludf.DUMMYFUNCTION("SPLIT(L1708,""*"")"),4.0)</f>
        <v>4</v>
      </c>
      <c r="N1708" s="14" t="str">
        <f>IFERROR(__xludf.DUMMYFUNCTION("""COMPUTED_VALUE"""),"Vivek Kumar")</f>
        <v>Vivek Kumar</v>
      </c>
      <c r="O1708" s="14" t="str">
        <f>IFERROR(__xludf.DUMMYFUNCTION("split(J1708,""*"")"),"Delivered")</f>
        <v>Delivered</v>
      </c>
      <c r="P1708" s="14" t="str">
        <f>IFERROR(__xludf.DUMMYFUNCTION("""COMPUTED_VALUE"""),"Packaging: Secure and intact")</f>
        <v>Packaging: Secure and intact</v>
      </c>
      <c r="Q1708" s="14" t="str">
        <f>IFERROR(__xludf.DUMMYFUNCTION("split(P1708,"":"")"),"Packaging")</f>
        <v>Packaging</v>
      </c>
      <c r="R1708" s="14" t="str">
        <f>IFERROR(__xludf.DUMMYFUNCTION("""COMPUTED_VALUE""")," Secure and intact")</f>
        <v> Secure and intact</v>
      </c>
      <c r="S1708" s="14" t="str">
        <f t="shared" ref="S1708:U1708" si="3419">trim(B1708)</f>
        <v>ord_71686</v>
      </c>
      <c r="T1708" s="14" t="str">
        <f t="shared" si="3419"/>
        <v>Sana Malik</v>
      </c>
      <c r="U1708" s="14" t="str">
        <f t="shared" si="3419"/>
        <v>Powai</v>
      </c>
      <c r="V1708" s="14" t="str">
        <f t="shared" si="4"/>
        <v>Popcorn</v>
      </c>
      <c r="W1708" s="14">
        <f t="shared" si="5"/>
        <v>4</v>
      </c>
      <c r="X1708" s="14" t="str">
        <f t="shared" si="6"/>
        <v>Vivek Kumar</v>
      </c>
      <c r="Y1708" s="15">
        <f t="shared" si="7"/>
        <v>44973</v>
      </c>
      <c r="Z1708" s="14" t="str">
        <f t="shared" si="8"/>
        <v>Credit Card</v>
      </c>
      <c r="AA1708" s="14" t="str">
        <f t="shared" si="9"/>
        <v>Delivered</v>
      </c>
      <c r="AB1708" s="14" t="str">
        <f t="shared" ref="AB1708:AC1708" si="3420">trim(Q1708)</f>
        <v>Packaging</v>
      </c>
      <c r="AC1708" s="14" t="str">
        <f t="shared" si="3420"/>
        <v>Secure and intact</v>
      </c>
      <c r="AD1708" s="8"/>
    </row>
    <row r="1709">
      <c r="A1709" s="14" t="str">
        <f>IFERROR(__xludf.DUMMYFUNCTION("""COMPUTED_VALUE"""),"//ord_71687//Yash Verma//Lower Parel//Chilli Cheese Toast+3*Venu R/11/24/2023//Online Payment//Delivered*Satisfied with the Delivery: Timely and quality")</f>
        <v>//ord_71687//Yash Verma//Lower Parel//Chilli Cheese Toast+3*Venu R/11/24/2023//Online Payment//Delivered*Satisfied with the Delivery: Timely and quality</v>
      </c>
      <c r="B1709" s="14" t="str">
        <f>IFERROR(__xludf.DUMMYFUNCTION("split(A1709,""//"")"),"ord_71687")</f>
        <v>ord_71687</v>
      </c>
      <c r="C1709" s="14" t="str">
        <f>IFERROR(__xludf.DUMMYFUNCTION("""COMPUTED_VALUE"""),"Yash Verma")</f>
        <v>Yash Verma</v>
      </c>
      <c r="D1709" s="14" t="str">
        <f>IFERROR(__xludf.DUMMYFUNCTION("""COMPUTED_VALUE"""),"Lower Parel")</f>
        <v>Lower Parel</v>
      </c>
      <c r="E1709" s="14" t="str">
        <f>IFERROR(__xludf.DUMMYFUNCTION("""COMPUTED_VALUE"""),"Chilli Cheese Toast+3*Venu R")</f>
        <v>Chilli Cheese Toast+3*Venu R</v>
      </c>
      <c r="F1709" s="14">
        <f>IFERROR(__xludf.DUMMYFUNCTION("""COMPUTED_VALUE"""),11.0)</f>
        <v>11</v>
      </c>
      <c r="G1709" s="14">
        <f>IFERROR(__xludf.DUMMYFUNCTION("""COMPUTED_VALUE"""),24.0)</f>
        <v>24</v>
      </c>
      <c r="H1709" s="14">
        <f>IFERROR(__xludf.DUMMYFUNCTION("""COMPUTED_VALUE"""),2023.0)</f>
        <v>2023</v>
      </c>
      <c r="I1709" s="14" t="str">
        <f>IFERROR(__xludf.DUMMYFUNCTION("""COMPUTED_VALUE"""),"Online Payment")</f>
        <v>Online Payment</v>
      </c>
      <c r="J1709" s="14" t="str">
        <f>IFERROR(__xludf.DUMMYFUNCTION("""COMPUTED_VALUE"""),"Delivered*Satisfied with the Delivery: Timely and quality")</f>
        <v>Delivered*Satisfied with the Delivery: Timely and quality</v>
      </c>
      <c r="K1709" s="14" t="str">
        <f>IFERROR(__xludf.DUMMYFUNCTION("split(E1709,""+"")"),"Chilli Cheese Toast")</f>
        <v>Chilli Cheese Toast</v>
      </c>
      <c r="L1709" s="14" t="str">
        <f>IFERROR(__xludf.DUMMYFUNCTION("""COMPUTED_VALUE"""),"3*Venu R")</f>
        <v>3*Venu R</v>
      </c>
      <c r="M1709" s="14">
        <f>IFERROR(__xludf.DUMMYFUNCTION("SPLIT(L1709,""*"")"),3.0)</f>
        <v>3</v>
      </c>
      <c r="N1709" s="14" t="str">
        <f>IFERROR(__xludf.DUMMYFUNCTION("""COMPUTED_VALUE"""),"Venu R")</f>
        <v>Venu R</v>
      </c>
      <c r="O1709" s="14" t="str">
        <f>IFERROR(__xludf.DUMMYFUNCTION("split(J1709,""*"")"),"Delivered")</f>
        <v>Delivered</v>
      </c>
      <c r="P1709" s="14" t="str">
        <f>IFERROR(__xludf.DUMMYFUNCTION("""COMPUTED_VALUE"""),"Satisfied with the Delivery: Timely and quality")</f>
        <v>Satisfied with the Delivery: Timely and quality</v>
      </c>
      <c r="Q1709" s="14" t="str">
        <f>IFERROR(__xludf.DUMMYFUNCTION("split(P1709,"":"")"),"Satisfied with the Delivery")</f>
        <v>Satisfied with the Delivery</v>
      </c>
      <c r="R1709" s="14" t="str">
        <f>IFERROR(__xludf.DUMMYFUNCTION("""COMPUTED_VALUE""")," Timely and quality")</f>
        <v> Timely and quality</v>
      </c>
      <c r="S1709" s="14" t="str">
        <f t="shared" ref="S1709:U1709" si="3421">trim(B1709)</f>
        <v>ord_71687</v>
      </c>
      <c r="T1709" s="14" t="str">
        <f t="shared" si="3421"/>
        <v>Yash Verma</v>
      </c>
      <c r="U1709" s="14" t="str">
        <f t="shared" si="3421"/>
        <v>Lower Parel</v>
      </c>
      <c r="V1709" s="14" t="str">
        <f t="shared" si="4"/>
        <v>Chilli Cheese Toast</v>
      </c>
      <c r="W1709" s="14">
        <f t="shared" si="5"/>
        <v>3</v>
      </c>
      <c r="X1709" s="14" t="str">
        <f t="shared" si="6"/>
        <v>Venu R</v>
      </c>
      <c r="Y1709" s="15">
        <f t="shared" si="7"/>
        <v>45254</v>
      </c>
      <c r="Z1709" s="14" t="str">
        <f t="shared" si="8"/>
        <v>Online Payment</v>
      </c>
      <c r="AA1709" s="14" t="str">
        <f t="shared" si="9"/>
        <v>Delivered</v>
      </c>
      <c r="AB1709" s="14" t="str">
        <f t="shared" ref="AB1709:AC1709" si="3422">trim(Q1709)</f>
        <v>Satisfied with the Delivery</v>
      </c>
      <c r="AC1709" s="14" t="str">
        <f t="shared" si="3422"/>
        <v>Timely and quality</v>
      </c>
      <c r="AD1709" s="8"/>
    </row>
    <row r="1710">
      <c r="A1710" s="14" t="str">
        <f>IFERROR(__xludf.DUMMYFUNCTION("""COMPUTED_VALUE"""),"//ord_71688//Leena Das//Andheri//Banana+2*Ram Gopal/1/3/2023//UPI//Delivered*Customer Service: Seamless and easy")</f>
        <v>//ord_71688//Leena Das//Andheri//Banana+2*Ram Gopal/1/3/2023//UPI//Delivered*Customer Service: Seamless and easy</v>
      </c>
      <c r="B1710" s="14" t="str">
        <f>IFERROR(__xludf.DUMMYFUNCTION("split(A1710,""//"")"),"ord_71688")</f>
        <v>ord_71688</v>
      </c>
      <c r="C1710" s="14" t="str">
        <f>IFERROR(__xludf.DUMMYFUNCTION("""COMPUTED_VALUE"""),"Leena Das")</f>
        <v>Leena Das</v>
      </c>
      <c r="D1710" s="14" t="str">
        <f>IFERROR(__xludf.DUMMYFUNCTION("""COMPUTED_VALUE"""),"Andheri")</f>
        <v>Andheri</v>
      </c>
      <c r="E1710" s="14" t="str">
        <f>IFERROR(__xludf.DUMMYFUNCTION("""COMPUTED_VALUE"""),"Banana+2*Ram Gopal")</f>
        <v>Banana+2*Ram Gopal</v>
      </c>
      <c r="F1710" s="14">
        <f>IFERROR(__xludf.DUMMYFUNCTION("""COMPUTED_VALUE"""),1.0)</f>
        <v>1</v>
      </c>
      <c r="G1710" s="14">
        <f>IFERROR(__xludf.DUMMYFUNCTION("""COMPUTED_VALUE"""),3.0)</f>
        <v>3</v>
      </c>
      <c r="H1710" s="14">
        <f>IFERROR(__xludf.DUMMYFUNCTION("""COMPUTED_VALUE"""),2023.0)</f>
        <v>2023</v>
      </c>
      <c r="I1710" s="14" t="str">
        <f>IFERROR(__xludf.DUMMYFUNCTION("""COMPUTED_VALUE"""),"UPI")</f>
        <v>UPI</v>
      </c>
      <c r="J1710" s="14" t="str">
        <f>IFERROR(__xludf.DUMMYFUNCTION("""COMPUTED_VALUE"""),"Delivered*Customer Service: Seamless and easy")</f>
        <v>Delivered*Customer Service: Seamless and easy</v>
      </c>
      <c r="K1710" s="14" t="str">
        <f>IFERROR(__xludf.DUMMYFUNCTION("split(E1710,""+"")"),"Banana")</f>
        <v>Banana</v>
      </c>
      <c r="L1710" s="14" t="str">
        <f>IFERROR(__xludf.DUMMYFUNCTION("""COMPUTED_VALUE"""),"2*Ram Gopal")</f>
        <v>2*Ram Gopal</v>
      </c>
      <c r="M1710" s="14">
        <f>IFERROR(__xludf.DUMMYFUNCTION("SPLIT(L1710,""*"")"),2.0)</f>
        <v>2</v>
      </c>
      <c r="N1710" s="14" t="str">
        <f>IFERROR(__xludf.DUMMYFUNCTION("""COMPUTED_VALUE"""),"Ram Gopal")</f>
        <v>Ram Gopal</v>
      </c>
      <c r="O1710" s="14" t="str">
        <f>IFERROR(__xludf.DUMMYFUNCTION("split(J1710,""*"")"),"Delivered")</f>
        <v>Delivered</v>
      </c>
      <c r="P1710" s="14" t="str">
        <f>IFERROR(__xludf.DUMMYFUNCTION("""COMPUTED_VALUE"""),"Customer Service: Seamless and easy")</f>
        <v>Customer Service: Seamless and easy</v>
      </c>
      <c r="Q1710" s="14" t="str">
        <f>IFERROR(__xludf.DUMMYFUNCTION("split(P1710,"":"")"),"Customer Service")</f>
        <v>Customer Service</v>
      </c>
      <c r="R1710" s="14" t="str">
        <f>IFERROR(__xludf.DUMMYFUNCTION("""COMPUTED_VALUE""")," Seamless and easy")</f>
        <v> Seamless and easy</v>
      </c>
      <c r="S1710" s="14" t="str">
        <f t="shared" ref="S1710:U1710" si="3423">trim(B1710)</f>
        <v>ord_71688</v>
      </c>
      <c r="T1710" s="14" t="str">
        <f t="shared" si="3423"/>
        <v>Leena Das</v>
      </c>
      <c r="U1710" s="14" t="str">
        <f t="shared" si="3423"/>
        <v>Andheri</v>
      </c>
      <c r="V1710" s="14" t="str">
        <f t="shared" si="4"/>
        <v>Banana</v>
      </c>
      <c r="W1710" s="14">
        <f t="shared" si="5"/>
        <v>2</v>
      </c>
      <c r="X1710" s="14" t="str">
        <f t="shared" si="6"/>
        <v>Ram Gopal</v>
      </c>
      <c r="Y1710" s="15">
        <f t="shared" si="7"/>
        <v>44929</v>
      </c>
      <c r="Z1710" s="14" t="str">
        <f t="shared" si="8"/>
        <v>UPI</v>
      </c>
      <c r="AA1710" s="14" t="str">
        <f t="shared" si="9"/>
        <v>Delivered</v>
      </c>
      <c r="AB1710" s="14" t="str">
        <f t="shared" ref="AB1710:AC1710" si="3424">trim(Q1710)</f>
        <v>Customer Service</v>
      </c>
      <c r="AC1710" s="14" t="str">
        <f t="shared" si="3424"/>
        <v>Seamless and easy</v>
      </c>
      <c r="AD1710" s="8"/>
    </row>
    <row r="1711">
      <c r="A1711" s="14" t="str">
        <f>IFERROR(__xludf.DUMMYFUNCTION("""COMPUTED_VALUE"""),"//ord_71689//Aditya Rao//Lower Parel//Icecream+4*Sita T/3/5/2023//Credit Card//Delivered*Delivery Experience: Quick and professional")</f>
        <v>//ord_71689//Aditya Rao//Lower Parel//Icecream+4*Sita T/3/5/2023//Credit Card//Delivered*Delivery Experience: Quick and professional</v>
      </c>
      <c r="B1711" s="14" t="str">
        <f>IFERROR(__xludf.DUMMYFUNCTION("split(A1711,""//"")"),"ord_71689")</f>
        <v>ord_71689</v>
      </c>
      <c r="C1711" s="14" t="str">
        <f>IFERROR(__xludf.DUMMYFUNCTION("""COMPUTED_VALUE"""),"Aditya Rao")</f>
        <v>Aditya Rao</v>
      </c>
      <c r="D1711" s="14" t="str">
        <f>IFERROR(__xludf.DUMMYFUNCTION("""COMPUTED_VALUE"""),"Lower Parel")</f>
        <v>Lower Parel</v>
      </c>
      <c r="E1711" s="14" t="str">
        <f>IFERROR(__xludf.DUMMYFUNCTION("""COMPUTED_VALUE"""),"Icecream+4*Sita T")</f>
        <v>Icecream+4*Sita T</v>
      </c>
      <c r="F1711" s="14">
        <f>IFERROR(__xludf.DUMMYFUNCTION("""COMPUTED_VALUE"""),3.0)</f>
        <v>3</v>
      </c>
      <c r="G1711" s="14">
        <f>IFERROR(__xludf.DUMMYFUNCTION("""COMPUTED_VALUE"""),5.0)</f>
        <v>5</v>
      </c>
      <c r="H1711" s="14">
        <f>IFERROR(__xludf.DUMMYFUNCTION("""COMPUTED_VALUE"""),2023.0)</f>
        <v>2023</v>
      </c>
      <c r="I1711" s="14" t="str">
        <f>IFERROR(__xludf.DUMMYFUNCTION("""COMPUTED_VALUE"""),"Credit Card")</f>
        <v>Credit Card</v>
      </c>
      <c r="J1711" s="14" t="str">
        <f>IFERROR(__xludf.DUMMYFUNCTION("""COMPUTED_VALUE"""),"Delivered*Delivery Experience: Quick and professional")</f>
        <v>Delivered*Delivery Experience: Quick and professional</v>
      </c>
      <c r="K1711" s="14" t="str">
        <f>IFERROR(__xludf.DUMMYFUNCTION("split(E1711,""+"")"),"Icecream")</f>
        <v>Icecream</v>
      </c>
      <c r="L1711" s="14" t="str">
        <f>IFERROR(__xludf.DUMMYFUNCTION("""COMPUTED_VALUE"""),"4*Sita T")</f>
        <v>4*Sita T</v>
      </c>
      <c r="M1711" s="14">
        <f>IFERROR(__xludf.DUMMYFUNCTION("SPLIT(L1711,""*"")"),4.0)</f>
        <v>4</v>
      </c>
      <c r="N1711" s="14" t="str">
        <f>IFERROR(__xludf.DUMMYFUNCTION("""COMPUTED_VALUE"""),"Sita T")</f>
        <v>Sita T</v>
      </c>
      <c r="O1711" s="14" t="str">
        <f>IFERROR(__xludf.DUMMYFUNCTION("split(J1711,""*"")"),"Delivered")</f>
        <v>Delivered</v>
      </c>
      <c r="P1711" s="14" t="str">
        <f>IFERROR(__xludf.DUMMYFUNCTION("""COMPUTED_VALUE"""),"Delivery Experience: Quick and professional")</f>
        <v>Delivery Experience: Quick and professional</v>
      </c>
      <c r="Q1711" s="14" t="str">
        <f>IFERROR(__xludf.DUMMYFUNCTION("split(P1711,"":"")"),"Delivery Experience")</f>
        <v>Delivery Experience</v>
      </c>
      <c r="R1711" s="14" t="str">
        <f>IFERROR(__xludf.DUMMYFUNCTION("""COMPUTED_VALUE""")," Quick and professional")</f>
        <v> Quick and professional</v>
      </c>
      <c r="S1711" s="14" t="str">
        <f t="shared" ref="S1711:U1711" si="3425">trim(B1711)</f>
        <v>ord_71689</v>
      </c>
      <c r="T1711" s="14" t="str">
        <f t="shared" si="3425"/>
        <v>Aditya Rao</v>
      </c>
      <c r="U1711" s="14" t="str">
        <f t="shared" si="3425"/>
        <v>Lower Parel</v>
      </c>
      <c r="V1711" s="14" t="str">
        <f t="shared" si="4"/>
        <v>Icecream</v>
      </c>
      <c r="W1711" s="14">
        <f t="shared" si="5"/>
        <v>4</v>
      </c>
      <c r="X1711" s="14" t="str">
        <f t="shared" si="6"/>
        <v>Sita T</v>
      </c>
      <c r="Y1711" s="15">
        <f t="shared" si="7"/>
        <v>44990</v>
      </c>
      <c r="Z1711" s="14" t="str">
        <f t="shared" si="8"/>
        <v>Credit Card</v>
      </c>
      <c r="AA1711" s="14" t="str">
        <f t="shared" si="9"/>
        <v>Delivered</v>
      </c>
      <c r="AB1711" s="14" t="str">
        <f t="shared" ref="AB1711:AC1711" si="3426">trim(Q1711)</f>
        <v>Delivery Experience</v>
      </c>
      <c r="AC1711" s="14" t="str">
        <f t="shared" si="3426"/>
        <v>Quick and professional</v>
      </c>
      <c r="AD1711" s="8"/>
    </row>
    <row r="1712">
      <c r="A1712" s="14" t="str">
        <f>IFERROR(__xludf.DUMMYFUNCTION("""COMPUTED_VALUE"""),"//ord_71690//Sahil Desai//Colaba//Chicken Puff+5*Ram Gopal/2/8/2023//UPI//Delivered*Convenience: Easy tracking")</f>
        <v>//ord_71690//Sahil Desai//Colaba//Chicken Puff+5*Ram Gopal/2/8/2023//UPI//Delivered*Convenience: Easy tracking</v>
      </c>
      <c r="B1712" s="14" t="str">
        <f>IFERROR(__xludf.DUMMYFUNCTION("split(A1712,""//"")"),"ord_71690")</f>
        <v>ord_71690</v>
      </c>
      <c r="C1712" s="14" t="str">
        <f>IFERROR(__xludf.DUMMYFUNCTION("""COMPUTED_VALUE"""),"Sahil Desai")</f>
        <v>Sahil Desai</v>
      </c>
      <c r="D1712" s="14" t="str">
        <f>IFERROR(__xludf.DUMMYFUNCTION("""COMPUTED_VALUE"""),"Colaba")</f>
        <v>Colaba</v>
      </c>
      <c r="E1712" s="14" t="str">
        <f>IFERROR(__xludf.DUMMYFUNCTION("""COMPUTED_VALUE"""),"Chicken Puff+5*Ram Gopal")</f>
        <v>Chicken Puff+5*Ram Gopal</v>
      </c>
      <c r="F1712" s="14">
        <f>IFERROR(__xludf.DUMMYFUNCTION("""COMPUTED_VALUE"""),2.0)</f>
        <v>2</v>
      </c>
      <c r="G1712" s="14">
        <f>IFERROR(__xludf.DUMMYFUNCTION("""COMPUTED_VALUE"""),8.0)</f>
        <v>8</v>
      </c>
      <c r="H1712" s="14">
        <f>IFERROR(__xludf.DUMMYFUNCTION("""COMPUTED_VALUE"""),2023.0)</f>
        <v>2023</v>
      </c>
      <c r="I1712" s="14" t="str">
        <f>IFERROR(__xludf.DUMMYFUNCTION("""COMPUTED_VALUE"""),"UPI")</f>
        <v>UPI</v>
      </c>
      <c r="J1712" s="14" t="str">
        <f>IFERROR(__xludf.DUMMYFUNCTION("""COMPUTED_VALUE"""),"Delivered*Convenience: Easy tracking")</f>
        <v>Delivered*Convenience: Easy tracking</v>
      </c>
      <c r="K1712" s="14" t="str">
        <f>IFERROR(__xludf.DUMMYFUNCTION("split(E1712,""+"")"),"Chicken Puff")</f>
        <v>Chicken Puff</v>
      </c>
      <c r="L1712" s="14" t="str">
        <f>IFERROR(__xludf.DUMMYFUNCTION("""COMPUTED_VALUE"""),"5*Ram Gopal")</f>
        <v>5*Ram Gopal</v>
      </c>
      <c r="M1712" s="14">
        <f>IFERROR(__xludf.DUMMYFUNCTION("SPLIT(L1712,""*"")"),5.0)</f>
        <v>5</v>
      </c>
      <c r="N1712" s="14" t="str">
        <f>IFERROR(__xludf.DUMMYFUNCTION("""COMPUTED_VALUE"""),"Ram Gopal")</f>
        <v>Ram Gopal</v>
      </c>
      <c r="O1712" s="14" t="str">
        <f>IFERROR(__xludf.DUMMYFUNCTION("split(J1712,""*"")"),"Delivered")</f>
        <v>Delivered</v>
      </c>
      <c r="P1712" s="14" t="str">
        <f>IFERROR(__xludf.DUMMYFUNCTION("""COMPUTED_VALUE"""),"Convenience: Easy tracking")</f>
        <v>Convenience: Easy tracking</v>
      </c>
      <c r="Q1712" s="14" t="str">
        <f>IFERROR(__xludf.DUMMYFUNCTION("split(P1712,"":"")"),"Convenience")</f>
        <v>Convenience</v>
      </c>
      <c r="R1712" s="14" t="str">
        <f>IFERROR(__xludf.DUMMYFUNCTION("""COMPUTED_VALUE""")," Easy tracking")</f>
        <v> Easy tracking</v>
      </c>
      <c r="S1712" s="14" t="str">
        <f t="shared" ref="S1712:U1712" si="3427">trim(B1712)</f>
        <v>ord_71690</v>
      </c>
      <c r="T1712" s="14" t="str">
        <f t="shared" si="3427"/>
        <v>Sahil Desai</v>
      </c>
      <c r="U1712" s="14" t="str">
        <f t="shared" si="3427"/>
        <v>Colaba</v>
      </c>
      <c r="V1712" s="14" t="str">
        <f t="shared" si="4"/>
        <v>Chicken Puff</v>
      </c>
      <c r="W1712" s="14">
        <f t="shared" si="5"/>
        <v>5</v>
      </c>
      <c r="X1712" s="14" t="str">
        <f t="shared" si="6"/>
        <v>Ram Gopal</v>
      </c>
      <c r="Y1712" s="15">
        <f t="shared" si="7"/>
        <v>44965</v>
      </c>
      <c r="Z1712" s="14" t="str">
        <f t="shared" si="8"/>
        <v>UPI</v>
      </c>
      <c r="AA1712" s="14" t="str">
        <f t="shared" si="9"/>
        <v>Delivered</v>
      </c>
      <c r="AB1712" s="14" t="str">
        <f t="shared" ref="AB1712:AC1712" si="3428">trim(Q1712)</f>
        <v>Convenience</v>
      </c>
      <c r="AC1712" s="14" t="str">
        <f t="shared" si="3428"/>
        <v>Easy tracking</v>
      </c>
      <c r="AD1712" s="8"/>
    </row>
    <row r="1713">
      <c r="A1713" s="14" t="str">
        <f>IFERROR(__xludf.DUMMYFUNCTION("""COMPUTED_VALUE"""),"//ord_71691//Shruti Aggarwal//Colaba//Apple+4*Nithin Lal/3/15/2023//UPI//Delivered*Overall Satisfaction: Great service will order again")</f>
        <v>//ord_71691//Shruti Aggarwal//Colaba//Apple+4*Nithin Lal/3/15/2023//UPI//Delivered*Overall Satisfaction: Great service will order again</v>
      </c>
      <c r="B1713" s="14" t="str">
        <f>IFERROR(__xludf.DUMMYFUNCTION("split(A1713,""//"")"),"ord_71691")</f>
        <v>ord_71691</v>
      </c>
      <c r="C1713" s="14" t="str">
        <f>IFERROR(__xludf.DUMMYFUNCTION("""COMPUTED_VALUE"""),"Shruti Aggarwal")</f>
        <v>Shruti Aggarwal</v>
      </c>
      <c r="D1713" s="14" t="str">
        <f>IFERROR(__xludf.DUMMYFUNCTION("""COMPUTED_VALUE"""),"Colaba")</f>
        <v>Colaba</v>
      </c>
      <c r="E1713" s="14" t="str">
        <f>IFERROR(__xludf.DUMMYFUNCTION("""COMPUTED_VALUE"""),"Apple+4*Nithin Lal")</f>
        <v>Apple+4*Nithin Lal</v>
      </c>
      <c r="F1713" s="14">
        <f>IFERROR(__xludf.DUMMYFUNCTION("""COMPUTED_VALUE"""),3.0)</f>
        <v>3</v>
      </c>
      <c r="G1713" s="14">
        <f>IFERROR(__xludf.DUMMYFUNCTION("""COMPUTED_VALUE"""),15.0)</f>
        <v>15</v>
      </c>
      <c r="H1713" s="14">
        <f>IFERROR(__xludf.DUMMYFUNCTION("""COMPUTED_VALUE"""),2023.0)</f>
        <v>2023</v>
      </c>
      <c r="I1713" s="14" t="str">
        <f>IFERROR(__xludf.DUMMYFUNCTION("""COMPUTED_VALUE"""),"UPI")</f>
        <v>UPI</v>
      </c>
      <c r="J1713" s="14" t="str">
        <f>IFERROR(__xludf.DUMMYFUNCTION("""COMPUTED_VALUE"""),"Delivered*Overall Satisfaction: Great service will order again")</f>
        <v>Delivered*Overall Satisfaction: Great service will order again</v>
      </c>
      <c r="K1713" s="14" t="str">
        <f>IFERROR(__xludf.DUMMYFUNCTION("split(E1713,""+"")"),"Apple")</f>
        <v>Apple</v>
      </c>
      <c r="L1713" s="14" t="str">
        <f>IFERROR(__xludf.DUMMYFUNCTION("""COMPUTED_VALUE"""),"4*Nithin Lal")</f>
        <v>4*Nithin Lal</v>
      </c>
      <c r="M1713" s="14">
        <f>IFERROR(__xludf.DUMMYFUNCTION("SPLIT(L1713,""*"")"),4.0)</f>
        <v>4</v>
      </c>
      <c r="N1713" s="14" t="str">
        <f>IFERROR(__xludf.DUMMYFUNCTION("""COMPUTED_VALUE"""),"Nithin Lal")</f>
        <v>Nithin Lal</v>
      </c>
      <c r="O1713" s="14" t="str">
        <f>IFERROR(__xludf.DUMMYFUNCTION("split(J1713,""*"")"),"Delivered")</f>
        <v>Delivered</v>
      </c>
      <c r="P1713" s="14" t="str">
        <f>IFERROR(__xludf.DUMMYFUNCTION("""COMPUTED_VALUE"""),"Overall Satisfaction: Great service will order again")</f>
        <v>Overall Satisfaction: Great service will order again</v>
      </c>
      <c r="Q1713" s="14" t="str">
        <f>IFERROR(__xludf.DUMMYFUNCTION("split(P1713,"":"")"),"Overall Satisfaction")</f>
        <v>Overall Satisfaction</v>
      </c>
      <c r="R1713" s="14" t="str">
        <f>IFERROR(__xludf.DUMMYFUNCTION("""COMPUTED_VALUE""")," Great service will order again")</f>
        <v> Great service will order again</v>
      </c>
      <c r="S1713" s="14" t="str">
        <f t="shared" ref="S1713:U1713" si="3429">trim(B1713)</f>
        <v>ord_71691</v>
      </c>
      <c r="T1713" s="14" t="str">
        <f t="shared" si="3429"/>
        <v>Shruti Aggarwal</v>
      </c>
      <c r="U1713" s="14" t="str">
        <f t="shared" si="3429"/>
        <v>Colaba</v>
      </c>
      <c r="V1713" s="14" t="str">
        <f t="shared" si="4"/>
        <v>Apple</v>
      </c>
      <c r="W1713" s="14">
        <f t="shared" si="5"/>
        <v>4</v>
      </c>
      <c r="X1713" s="14" t="str">
        <f t="shared" si="6"/>
        <v>Nithin Lal</v>
      </c>
      <c r="Y1713" s="15">
        <f t="shared" si="7"/>
        <v>45000</v>
      </c>
      <c r="Z1713" s="14" t="str">
        <f t="shared" si="8"/>
        <v>UPI</v>
      </c>
      <c r="AA1713" s="14" t="str">
        <f t="shared" si="9"/>
        <v>Delivered</v>
      </c>
      <c r="AB1713" s="14" t="str">
        <f t="shared" ref="AB1713:AC1713" si="3430">trim(Q1713)</f>
        <v>Overall Satisfaction</v>
      </c>
      <c r="AC1713" s="14" t="str">
        <f t="shared" si="3430"/>
        <v>Great service will order again</v>
      </c>
      <c r="AD1713" s="8"/>
    </row>
    <row r="1714">
      <c r="A1714" s="14" t="str">
        <f>IFERROR(__xludf.DUMMYFUNCTION("""COMPUTED_VALUE"""),"//ord_71692//Tanishq Bansal//Bandra//Potato+1*Nithin Lal/1/19/2023//Credit Card//Delivered*On-time Delivery: Delivered on time")</f>
        <v>//ord_71692//Tanishq Bansal//Bandra//Potato+1*Nithin Lal/1/19/2023//Credit Card//Delivered*On-time Delivery: Delivered on time</v>
      </c>
      <c r="B1714" s="14" t="str">
        <f>IFERROR(__xludf.DUMMYFUNCTION("split(A1714,""//"")"),"ord_71692")</f>
        <v>ord_71692</v>
      </c>
      <c r="C1714" s="14" t="str">
        <f>IFERROR(__xludf.DUMMYFUNCTION("""COMPUTED_VALUE"""),"Tanishq Bansal")</f>
        <v>Tanishq Bansal</v>
      </c>
      <c r="D1714" s="14" t="str">
        <f>IFERROR(__xludf.DUMMYFUNCTION("""COMPUTED_VALUE"""),"Bandra")</f>
        <v>Bandra</v>
      </c>
      <c r="E1714" s="14" t="str">
        <f>IFERROR(__xludf.DUMMYFUNCTION("""COMPUTED_VALUE"""),"Potato+1*Nithin Lal")</f>
        <v>Potato+1*Nithin Lal</v>
      </c>
      <c r="F1714" s="14">
        <f>IFERROR(__xludf.DUMMYFUNCTION("""COMPUTED_VALUE"""),1.0)</f>
        <v>1</v>
      </c>
      <c r="G1714" s="14">
        <f>IFERROR(__xludf.DUMMYFUNCTION("""COMPUTED_VALUE"""),19.0)</f>
        <v>19</v>
      </c>
      <c r="H1714" s="14">
        <f>IFERROR(__xludf.DUMMYFUNCTION("""COMPUTED_VALUE"""),2023.0)</f>
        <v>2023</v>
      </c>
      <c r="I1714" s="14" t="str">
        <f>IFERROR(__xludf.DUMMYFUNCTION("""COMPUTED_VALUE"""),"Credit Card")</f>
        <v>Credit Card</v>
      </c>
      <c r="J1714" s="14" t="str">
        <f>IFERROR(__xludf.DUMMYFUNCTION("""COMPUTED_VALUE"""),"Delivered*On-time Delivery: Delivered on time")</f>
        <v>Delivered*On-time Delivery: Delivered on time</v>
      </c>
      <c r="K1714" s="14" t="str">
        <f>IFERROR(__xludf.DUMMYFUNCTION("split(E1714,""+"")"),"Potato")</f>
        <v>Potato</v>
      </c>
      <c r="L1714" s="14" t="str">
        <f>IFERROR(__xludf.DUMMYFUNCTION("""COMPUTED_VALUE"""),"1*Nithin Lal")</f>
        <v>1*Nithin Lal</v>
      </c>
      <c r="M1714" s="14">
        <f>IFERROR(__xludf.DUMMYFUNCTION("SPLIT(L1714,""*"")"),1.0)</f>
        <v>1</v>
      </c>
      <c r="N1714" s="14" t="str">
        <f>IFERROR(__xludf.DUMMYFUNCTION("""COMPUTED_VALUE"""),"Nithin Lal")</f>
        <v>Nithin Lal</v>
      </c>
      <c r="O1714" s="14" t="str">
        <f>IFERROR(__xludf.DUMMYFUNCTION("split(J1714,""*"")"),"Delivered")</f>
        <v>Delivered</v>
      </c>
      <c r="P1714" s="14" t="str">
        <f>IFERROR(__xludf.DUMMYFUNCTION("""COMPUTED_VALUE"""),"On-time Delivery: Delivered on time")</f>
        <v>On-time Delivery: Delivered on time</v>
      </c>
      <c r="Q1714" s="14" t="str">
        <f>IFERROR(__xludf.DUMMYFUNCTION("split(P1714,"":"")"),"On-time Delivery")</f>
        <v>On-time Delivery</v>
      </c>
      <c r="R1714" s="14" t="str">
        <f>IFERROR(__xludf.DUMMYFUNCTION("""COMPUTED_VALUE""")," Delivered on time")</f>
        <v> Delivered on time</v>
      </c>
      <c r="S1714" s="14" t="str">
        <f t="shared" ref="S1714:U1714" si="3431">trim(B1714)</f>
        <v>ord_71692</v>
      </c>
      <c r="T1714" s="14" t="str">
        <f t="shared" si="3431"/>
        <v>Tanishq Bansal</v>
      </c>
      <c r="U1714" s="14" t="str">
        <f t="shared" si="3431"/>
        <v>Bandra</v>
      </c>
      <c r="V1714" s="14" t="str">
        <f t="shared" si="4"/>
        <v>Potato</v>
      </c>
      <c r="W1714" s="14">
        <f t="shared" si="5"/>
        <v>1</v>
      </c>
      <c r="X1714" s="14" t="str">
        <f t="shared" si="6"/>
        <v>Nithin Lal</v>
      </c>
      <c r="Y1714" s="15">
        <f t="shared" si="7"/>
        <v>44945</v>
      </c>
      <c r="Z1714" s="14" t="str">
        <f t="shared" si="8"/>
        <v>Credit Card</v>
      </c>
      <c r="AA1714" s="14" t="str">
        <f t="shared" si="9"/>
        <v>Delivered</v>
      </c>
      <c r="AB1714" s="14" t="str">
        <f t="shared" ref="AB1714:AC1714" si="3432">trim(Q1714)</f>
        <v>On-time Delivery</v>
      </c>
      <c r="AC1714" s="14" t="str">
        <f t="shared" si="3432"/>
        <v>Delivered on time</v>
      </c>
      <c r="AD1714" s="8"/>
    </row>
    <row r="1715">
      <c r="A1715" s="14" t="str">
        <f>IFERROR(__xludf.DUMMYFUNCTION("""COMPUTED_VALUE"""),"//ord_71693//Aditya Basu//Juhu//Juice+8*Vivek Kumar/8/22/2023//Credit Card//Delivered*Quality of Items: Perfect condition")</f>
        <v>//ord_71693//Aditya Basu//Juhu//Juice+8*Vivek Kumar/8/22/2023//Credit Card//Delivered*Quality of Items: Perfect condition</v>
      </c>
      <c r="B1715" s="14" t="str">
        <f>IFERROR(__xludf.DUMMYFUNCTION("split(A1715,""//"")"),"ord_71693")</f>
        <v>ord_71693</v>
      </c>
      <c r="C1715" s="14" t="str">
        <f>IFERROR(__xludf.DUMMYFUNCTION("""COMPUTED_VALUE"""),"Aditya Basu")</f>
        <v>Aditya Basu</v>
      </c>
      <c r="D1715" s="14" t="str">
        <f>IFERROR(__xludf.DUMMYFUNCTION("""COMPUTED_VALUE"""),"Juhu")</f>
        <v>Juhu</v>
      </c>
      <c r="E1715" s="14" t="str">
        <f>IFERROR(__xludf.DUMMYFUNCTION("""COMPUTED_VALUE"""),"Juice+8*Vivek Kumar")</f>
        <v>Juice+8*Vivek Kumar</v>
      </c>
      <c r="F1715" s="14">
        <f>IFERROR(__xludf.DUMMYFUNCTION("""COMPUTED_VALUE"""),8.0)</f>
        <v>8</v>
      </c>
      <c r="G1715" s="14">
        <f>IFERROR(__xludf.DUMMYFUNCTION("""COMPUTED_VALUE"""),22.0)</f>
        <v>22</v>
      </c>
      <c r="H1715" s="14">
        <f>IFERROR(__xludf.DUMMYFUNCTION("""COMPUTED_VALUE"""),2023.0)</f>
        <v>2023</v>
      </c>
      <c r="I1715" s="14" t="str">
        <f>IFERROR(__xludf.DUMMYFUNCTION("""COMPUTED_VALUE"""),"Credit Card")</f>
        <v>Credit Card</v>
      </c>
      <c r="J1715" s="14" t="str">
        <f>IFERROR(__xludf.DUMMYFUNCTION("""COMPUTED_VALUE"""),"Delivered*Quality of Items: Perfect condition")</f>
        <v>Delivered*Quality of Items: Perfect condition</v>
      </c>
      <c r="K1715" s="14" t="str">
        <f>IFERROR(__xludf.DUMMYFUNCTION("split(E1715,""+"")"),"Juice")</f>
        <v>Juice</v>
      </c>
      <c r="L1715" s="14" t="str">
        <f>IFERROR(__xludf.DUMMYFUNCTION("""COMPUTED_VALUE"""),"8*Vivek Kumar")</f>
        <v>8*Vivek Kumar</v>
      </c>
      <c r="M1715" s="14">
        <f>IFERROR(__xludf.DUMMYFUNCTION("SPLIT(L1715,""*"")"),8.0)</f>
        <v>8</v>
      </c>
      <c r="N1715" s="14" t="str">
        <f>IFERROR(__xludf.DUMMYFUNCTION("""COMPUTED_VALUE"""),"Vivek Kumar")</f>
        <v>Vivek Kumar</v>
      </c>
      <c r="O1715" s="14" t="str">
        <f>IFERROR(__xludf.DUMMYFUNCTION("split(J1715,""*"")"),"Delivered")</f>
        <v>Delivered</v>
      </c>
      <c r="P1715" s="14" t="str">
        <f>IFERROR(__xludf.DUMMYFUNCTION("""COMPUTED_VALUE"""),"Quality of Items: Perfect condition")</f>
        <v>Quality of Items: Perfect condition</v>
      </c>
      <c r="Q1715" s="14" t="str">
        <f>IFERROR(__xludf.DUMMYFUNCTION("split(P1715,"":"")"),"Quality of Items")</f>
        <v>Quality of Items</v>
      </c>
      <c r="R1715" s="14" t="str">
        <f>IFERROR(__xludf.DUMMYFUNCTION("""COMPUTED_VALUE""")," Perfect condition")</f>
        <v> Perfect condition</v>
      </c>
      <c r="S1715" s="14" t="str">
        <f t="shared" ref="S1715:U1715" si="3433">trim(B1715)</f>
        <v>ord_71693</v>
      </c>
      <c r="T1715" s="14" t="str">
        <f t="shared" si="3433"/>
        <v>Aditya Basu</v>
      </c>
      <c r="U1715" s="14" t="str">
        <f t="shared" si="3433"/>
        <v>Juhu</v>
      </c>
      <c r="V1715" s="14" t="str">
        <f t="shared" si="4"/>
        <v>Juice</v>
      </c>
      <c r="W1715" s="14">
        <f t="shared" si="5"/>
        <v>8</v>
      </c>
      <c r="X1715" s="14" t="str">
        <f t="shared" si="6"/>
        <v>Vivek Kumar</v>
      </c>
      <c r="Y1715" s="15">
        <f t="shared" si="7"/>
        <v>45160</v>
      </c>
      <c r="Z1715" s="14" t="str">
        <f t="shared" si="8"/>
        <v>Credit Card</v>
      </c>
      <c r="AA1715" s="14" t="str">
        <f t="shared" si="9"/>
        <v>Delivered</v>
      </c>
      <c r="AB1715" s="14" t="str">
        <f t="shared" ref="AB1715:AC1715" si="3434">trim(Q1715)</f>
        <v>Quality of Items</v>
      </c>
      <c r="AC1715" s="14" t="str">
        <f t="shared" si="3434"/>
        <v>Perfect condition</v>
      </c>
      <c r="AD1715" s="8"/>
    </row>
    <row r="1716">
      <c r="A1716" s="14" t="str">
        <f>IFERROR(__xludf.DUMMYFUNCTION("""COMPUTED_VALUE"""),"//ord_71694//Omkar Mishra//Powai//Tomato+2*Ramesh S/6/8/2023//Credit Card//Delivered*On-time Delivery: Delivered on time")</f>
        <v>//ord_71694//Omkar Mishra//Powai//Tomato+2*Ramesh S/6/8/2023//Credit Card//Delivered*On-time Delivery: Delivered on time</v>
      </c>
      <c r="B1716" s="14" t="str">
        <f>IFERROR(__xludf.DUMMYFUNCTION("split(A1716,""//"")"),"ord_71694")</f>
        <v>ord_71694</v>
      </c>
      <c r="C1716" s="14" t="str">
        <f>IFERROR(__xludf.DUMMYFUNCTION("""COMPUTED_VALUE"""),"Omkar Mishra")</f>
        <v>Omkar Mishra</v>
      </c>
      <c r="D1716" s="14" t="str">
        <f>IFERROR(__xludf.DUMMYFUNCTION("""COMPUTED_VALUE"""),"Powai")</f>
        <v>Powai</v>
      </c>
      <c r="E1716" s="14" t="str">
        <f>IFERROR(__xludf.DUMMYFUNCTION("""COMPUTED_VALUE"""),"Tomato+2*Ramesh S")</f>
        <v>Tomato+2*Ramesh S</v>
      </c>
      <c r="F1716" s="14">
        <f>IFERROR(__xludf.DUMMYFUNCTION("""COMPUTED_VALUE"""),6.0)</f>
        <v>6</v>
      </c>
      <c r="G1716" s="14">
        <f>IFERROR(__xludf.DUMMYFUNCTION("""COMPUTED_VALUE"""),8.0)</f>
        <v>8</v>
      </c>
      <c r="H1716" s="14">
        <f>IFERROR(__xludf.DUMMYFUNCTION("""COMPUTED_VALUE"""),2023.0)</f>
        <v>2023</v>
      </c>
      <c r="I1716" s="14" t="str">
        <f>IFERROR(__xludf.DUMMYFUNCTION("""COMPUTED_VALUE"""),"Credit Card")</f>
        <v>Credit Card</v>
      </c>
      <c r="J1716" s="14" t="str">
        <f>IFERROR(__xludf.DUMMYFUNCTION("""COMPUTED_VALUE"""),"Delivered*On-time Delivery: Delivered on time")</f>
        <v>Delivered*On-time Delivery: Delivered on time</v>
      </c>
      <c r="K1716" s="14" t="str">
        <f>IFERROR(__xludf.DUMMYFUNCTION("split(E1716,""+"")"),"Tomato")</f>
        <v>Tomato</v>
      </c>
      <c r="L1716" s="14" t="str">
        <f>IFERROR(__xludf.DUMMYFUNCTION("""COMPUTED_VALUE"""),"2*Ramesh S")</f>
        <v>2*Ramesh S</v>
      </c>
      <c r="M1716" s="14">
        <f>IFERROR(__xludf.DUMMYFUNCTION("SPLIT(L1716,""*"")"),2.0)</f>
        <v>2</v>
      </c>
      <c r="N1716" s="14" t="str">
        <f>IFERROR(__xludf.DUMMYFUNCTION("""COMPUTED_VALUE"""),"Ramesh S")</f>
        <v>Ramesh S</v>
      </c>
      <c r="O1716" s="14" t="str">
        <f>IFERROR(__xludf.DUMMYFUNCTION("split(J1716,""*"")"),"Delivered")</f>
        <v>Delivered</v>
      </c>
      <c r="P1716" s="14" t="str">
        <f>IFERROR(__xludf.DUMMYFUNCTION("""COMPUTED_VALUE"""),"On-time Delivery: Delivered on time")</f>
        <v>On-time Delivery: Delivered on time</v>
      </c>
      <c r="Q1716" s="14" t="str">
        <f>IFERROR(__xludf.DUMMYFUNCTION("split(P1716,"":"")"),"On-time Delivery")</f>
        <v>On-time Delivery</v>
      </c>
      <c r="R1716" s="14" t="str">
        <f>IFERROR(__xludf.DUMMYFUNCTION("""COMPUTED_VALUE""")," Delivered on time")</f>
        <v> Delivered on time</v>
      </c>
      <c r="S1716" s="14" t="str">
        <f t="shared" ref="S1716:U1716" si="3435">trim(B1716)</f>
        <v>ord_71694</v>
      </c>
      <c r="T1716" s="14" t="str">
        <f t="shared" si="3435"/>
        <v>Omkar Mishra</v>
      </c>
      <c r="U1716" s="14" t="str">
        <f t="shared" si="3435"/>
        <v>Powai</v>
      </c>
      <c r="V1716" s="14" t="str">
        <f t="shared" si="4"/>
        <v>Tomato</v>
      </c>
      <c r="W1716" s="14">
        <f t="shared" si="5"/>
        <v>2</v>
      </c>
      <c r="X1716" s="14" t="str">
        <f t="shared" si="6"/>
        <v>Ramesh S</v>
      </c>
      <c r="Y1716" s="15">
        <f t="shared" si="7"/>
        <v>45085</v>
      </c>
      <c r="Z1716" s="14" t="str">
        <f t="shared" si="8"/>
        <v>Credit Card</v>
      </c>
      <c r="AA1716" s="14" t="str">
        <f t="shared" si="9"/>
        <v>Delivered</v>
      </c>
      <c r="AB1716" s="14" t="str">
        <f t="shared" ref="AB1716:AC1716" si="3436">trim(Q1716)</f>
        <v>On-time Delivery</v>
      </c>
      <c r="AC1716" s="14" t="str">
        <f t="shared" si="3436"/>
        <v>Delivered on time</v>
      </c>
      <c r="AD1716" s="8"/>
    </row>
    <row r="1717">
      <c r="A1717" s="14" t="str">
        <f>IFERROR(__xludf.DUMMYFUNCTION("""COMPUTED_VALUE"""),"//ord_71695//Aarav Mehta//Andheri//Tiramisu+5*Venu R/1/9/2023//UPI//Delivered*Quality of Items: Perfect condition")</f>
        <v>//ord_71695//Aarav Mehta//Andheri//Tiramisu+5*Venu R/1/9/2023//UPI//Delivered*Quality of Items: Perfect condition</v>
      </c>
      <c r="B1717" s="14" t="str">
        <f>IFERROR(__xludf.DUMMYFUNCTION("split(A1717,""//"")"),"ord_71695")</f>
        <v>ord_71695</v>
      </c>
      <c r="C1717" s="14" t="str">
        <f>IFERROR(__xludf.DUMMYFUNCTION("""COMPUTED_VALUE"""),"Aarav Mehta")</f>
        <v>Aarav Mehta</v>
      </c>
      <c r="D1717" s="14" t="str">
        <f>IFERROR(__xludf.DUMMYFUNCTION("""COMPUTED_VALUE"""),"Andheri")</f>
        <v>Andheri</v>
      </c>
      <c r="E1717" s="14" t="str">
        <f>IFERROR(__xludf.DUMMYFUNCTION("""COMPUTED_VALUE"""),"Tiramisu+5*Venu R")</f>
        <v>Tiramisu+5*Venu R</v>
      </c>
      <c r="F1717" s="14">
        <f>IFERROR(__xludf.DUMMYFUNCTION("""COMPUTED_VALUE"""),1.0)</f>
        <v>1</v>
      </c>
      <c r="G1717" s="14">
        <f>IFERROR(__xludf.DUMMYFUNCTION("""COMPUTED_VALUE"""),9.0)</f>
        <v>9</v>
      </c>
      <c r="H1717" s="14">
        <f>IFERROR(__xludf.DUMMYFUNCTION("""COMPUTED_VALUE"""),2023.0)</f>
        <v>2023</v>
      </c>
      <c r="I1717" s="14" t="str">
        <f>IFERROR(__xludf.DUMMYFUNCTION("""COMPUTED_VALUE"""),"UPI")</f>
        <v>UPI</v>
      </c>
      <c r="J1717" s="14" t="str">
        <f>IFERROR(__xludf.DUMMYFUNCTION("""COMPUTED_VALUE"""),"Delivered*Quality of Items: Perfect condition")</f>
        <v>Delivered*Quality of Items: Perfect condition</v>
      </c>
      <c r="K1717" s="14" t="str">
        <f>IFERROR(__xludf.DUMMYFUNCTION("split(E1717,""+"")"),"Tiramisu")</f>
        <v>Tiramisu</v>
      </c>
      <c r="L1717" s="14" t="str">
        <f>IFERROR(__xludf.DUMMYFUNCTION("""COMPUTED_VALUE"""),"5*Venu R")</f>
        <v>5*Venu R</v>
      </c>
      <c r="M1717" s="14">
        <f>IFERROR(__xludf.DUMMYFUNCTION("SPLIT(L1717,""*"")"),5.0)</f>
        <v>5</v>
      </c>
      <c r="N1717" s="14" t="str">
        <f>IFERROR(__xludf.DUMMYFUNCTION("""COMPUTED_VALUE"""),"Venu R")</f>
        <v>Venu R</v>
      </c>
      <c r="O1717" s="14" t="str">
        <f>IFERROR(__xludf.DUMMYFUNCTION("split(J1717,""*"")"),"Delivered")</f>
        <v>Delivered</v>
      </c>
      <c r="P1717" s="14" t="str">
        <f>IFERROR(__xludf.DUMMYFUNCTION("""COMPUTED_VALUE"""),"Quality of Items: Perfect condition")</f>
        <v>Quality of Items: Perfect condition</v>
      </c>
      <c r="Q1717" s="14" t="str">
        <f>IFERROR(__xludf.DUMMYFUNCTION("split(P1717,"":"")"),"Quality of Items")</f>
        <v>Quality of Items</v>
      </c>
      <c r="R1717" s="14" t="str">
        <f>IFERROR(__xludf.DUMMYFUNCTION("""COMPUTED_VALUE""")," Perfect condition")</f>
        <v> Perfect condition</v>
      </c>
      <c r="S1717" s="14" t="str">
        <f t="shared" ref="S1717:U1717" si="3437">trim(B1717)</f>
        <v>ord_71695</v>
      </c>
      <c r="T1717" s="14" t="str">
        <f t="shared" si="3437"/>
        <v>Aarav Mehta</v>
      </c>
      <c r="U1717" s="14" t="str">
        <f t="shared" si="3437"/>
        <v>Andheri</v>
      </c>
      <c r="V1717" s="14" t="str">
        <f t="shared" si="4"/>
        <v>Tiramisu</v>
      </c>
      <c r="W1717" s="14">
        <f t="shared" si="5"/>
        <v>5</v>
      </c>
      <c r="X1717" s="14" t="str">
        <f t="shared" si="6"/>
        <v>Venu R</v>
      </c>
      <c r="Y1717" s="15">
        <f t="shared" si="7"/>
        <v>44935</v>
      </c>
      <c r="Z1717" s="14" t="str">
        <f t="shared" si="8"/>
        <v>UPI</v>
      </c>
      <c r="AA1717" s="14" t="str">
        <f t="shared" si="9"/>
        <v>Delivered</v>
      </c>
      <c r="AB1717" s="14" t="str">
        <f t="shared" ref="AB1717:AC1717" si="3438">trim(Q1717)</f>
        <v>Quality of Items</v>
      </c>
      <c r="AC1717" s="14" t="str">
        <f t="shared" si="3438"/>
        <v>Perfect condition</v>
      </c>
      <c r="AD1717" s="8"/>
    </row>
    <row r="1718">
      <c r="A1718" s="14" t="str">
        <f>IFERROR(__xludf.DUMMYFUNCTION("""COMPUTED_VALUE"""),"//ord_71696//Aarav Mehta//Andheri//Apple+1*Sita T/6/4/2023//Online Payment//Delivered*Packaging: Secure and intact")</f>
        <v>//ord_71696//Aarav Mehta//Andheri//Apple+1*Sita T/6/4/2023//Online Payment//Delivered*Packaging: Secure and intact</v>
      </c>
      <c r="B1718" s="14" t="str">
        <f>IFERROR(__xludf.DUMMYFUNCTION("split(A1718,""//"")"),"ord_71696")</f>
        <v>ord_71696</v>
      </c>
      <c r="C1718" s="14" t="str">
        <f>IFERROR(__xludf.DUMMYFUNCTION("""COMPUTED_VALUE"""),"Aarav Mehta")</f>
        <v>Aarav Mehta</v>
      </c>
      <c r="D1718" s="14" t="str">
        <f>IFERROR(__xludf.DUMMYFUNCTION("""COMPUTED_VALUE"""),"Andheri")</f>
        <v>Andheri</v>
      </c>
      <c r="E1718" s="14" t="str">
        <f>IFERROR(__xludf.DUMMYFUNCTION("""COMPUTED_VALUE"""),"Apple+1*Sita T")</f>
        <v>Apple+1*Sita T</v>
      </c>
      <c r="F1718" s="14">
        <f>IFERROR(__xludf.DUMMYFUNCTION("""COMPUTED_VALUE"""),6.0)</f>
        <v>6</v>
      </c>
      <c r="G1718" s="14">
        <f>IFERROR(__xludf.DUMMYFUNCTION("""COMPUTED_VALUE"""),4.0)</f>
        <v>4</v>
      </c>
      <c r="H1718" s="14">
        <f>IFERROR(__xludf.DUMMYFUNCTION("""COMPUTED_VALUE"""),2023.0)</f>
        <v>2023</v>
      </c>
      <c r="I1718" s="14" t="str">
        <f>IFERROR(__xludf.DUMMYFUNCTION("""COMPUTED_VALUE"""),"Online Payment")</f>
        <v>Online Payment</v>
      </c>
      <c r="J1718" s="14" t="str">
        <f>IFERROR(__xludf.DUMMYFUNCTION("""COMPUTED_VALUE"""),"Delivered*Packaging: Secure and intact")</f>
        <v>Delivered*Packaging: Secure and intact</v>
      </c>
      <c r="K1718" s="14" t="str">
        <f>IFERROR(__xludf.DUMMYFUNCTION("split(E1718,""+"")"),"Apple")</f>
        <v>Apple</v>
      </c>
      <c r="L1718" s="14" t="str">
        <f>IFERROR(__xludf.DUMMYFUNCTION("""COMPUTED_VALUE"""),"1*Sita T")</f>
        <v>1*Sita T</v>
      </c>
      <c r="M1718" s="14">
        <f>IFERROR(__xludf.DUMMYFUNCTION("SPLIT(L1718,""*"")"),1.0)</f>
        <v>1</v>
      </c>
      <c r="N1718" s="14" t="str">
        <f>IFERROR(__xludf.DUMMYFUNCTION("""COMPUTED_VALUE"""),"Sita T")</f>
        <v>Sita T</v>
      </c>
      <c r="O1718" s="14" t="str">
        <f>IFERROR(__xludf.DUMMYFUNCTION("split(J1718,""*"")"),"Delivered")</f>
        <v>Delivered</v>
      </c>
      <c r="P1718" s="14" t="str">
        <f>IFERROR(__xludf.DUMMYFUNCTION("""COMPUTED_VALUE"""),"Packaging: Secure and intact")</f>
        <v>Packaging: Secure and intact</v>
      </c>
      <c r="Q1718" s="14" t="str">
        <f>IFERROR(__xludf.DUMMYFUNCTION("split(P1718,"":"")"),"Packaging")</f>
        <v>Packaging</v>
      </c>
      <c r="R1718" s="14" t="str">
        <f>IFERROR(__xludf.DUMMYFUNCTION("""COMPUTED_VALUE""")," Secure and intact")</f>
        <v> Secure and intact</v>
      </c>
      <c r="S1718" s="14" t="str">
        <f t="shared" ref="S1718:U1718" si="3439">trim(B1718)</f>
        <v>ord_71696</v>
      </c>
      <c r="T1718" s="14" t="str">
        <f t="shared" si="3439"/>
        <v>Aarav Mehta</v>
      </c>
      <c r="U1718" s="14" t="str">
        <f t="shared" si="3439"/>
        <v>Andheri</v>
      </c>
      <c r="V1718" s="14" t="str">
        <f t="shared" si="4"/>
        <v>Apple</v>
      </c>
      <c r="W1718" s="14">
        <f t="shared" si="5"/>
        <v>1</v>
      </c>
      <c r="X1718" s="14" t="str">
        <f t="shared" si="6"/>
        <v>Sita T</v>
      </c>
      <c r="Y1718" s="15">
        <f t="shared" si="7"/>
        <v>45081</v>
      </c>
      <c r="Z1718" s="14" t="str">
        <f t="shared" si="8"/>
        <v>Online Payment</v>
      </c>
      <c r="AA1718" s="14" t="str">
        <f t="shared" si="9"/>
        <v>Delivered</v>
      </c>
      <c r="AB1718" s="14" t="str">
        <f t="shared" ref="AB1718:AC1718" si="3440">trim(Q1718)</f>
        <v>Packaging</v>
      </c>
      <c r="AC1718" s="14" t="str">
        <f t="shared" si="3440"/>
        <v>Secure and intact</v>
      </c>
      <c r="AD1718" s="8"/>
    </row>
    <row r="1719">
      <c r="A1719" s="14" t="str">
        <f>IFERROR(__xludf.DUMMYFUNCTION("""COMPUTED_VALUE"""),"//ord_71697//Sahil Desai//Lower Parel//Sweet Corn+3*Sita T/12/24/2023//UPI//Delivered*Satisfied with the Delivery: Timely and quality")</f>
        <v>//ord_71697//Sahil Desai//Lower Parel//Sweet Corn+3*Sita T/12/24/2023//UPI//Delivered*Satisfied with the Delivery: Timely and quality</v>
      </c>
      <c r="B1719" s="14" t="str">
        <f>IFERROR(__xludf.DUMMYFUNCTION("split(A1719,""//"")"),"ord_71697")</f>
        <v>ord_71697</v>
      </c>
      <c r="C1719" s="14" t="str">
        <f>IFERROR(__xludf.DUMMYFUNCTION("""COMPUTED_VALUE"""),"Sahil Desai")</f>
        <v>Sahil Desai</v>
      </c>
      <c r="D1719" s="14" t="str">
        <f>IFERROR(__xludf.DUMMYFUNCTION("""COMPUTED_VALUE"""),"Lower Parel")</f>
        <v>Lower Parel</v>
      </c>
      <c r="E1719" s="14" t="str">
        <f>IFERROR(__xludf.DUMMYFUNCTION("""COMPUTED_VALUE"""),"Sweet Corn+3*Sita T")</f>
        <v>Sweet Corn+3*Sita T</v>
      </c>
      <c r="F1719" s="14">
        <f>IFERROR(__xludf.DUMMYFUNCTION("""COMPUTED_VALUE"""),12.0)</f>
        <v>12</v>
      </c>
      <c r="G1719" s="14">
        <f>IFERROR(__xludf.DUMMYFUNCTION("""COMPUTED_VALUE"""),24.0)</f>
        <v>24</v>
      </c>
      <c r="H1719" s="14">
        <f>IFERROR(__xludf.DUMMYFUNCTION("""COMPUTED_VALUE"""),2023.0)</f>
        <v>2023</v>
      </c>
      <c r="I1719" s="14" t="str">
        <f>IFERROR(__xludf.DUMMYFUNCTION("""COMPUTED_VALUE"""),"UPI")</f>
        <v>UPI</v>
      </c>
      <c r="J1719" s="14" t="str">
        <f>IFERROR(__xludf.DUMMYFUNCTION("""COMPUTED_VALUE"""),"Delivered*Satisfied with the Delivery: Timely and quality")</f>
        <v>Delivered*Satisfied with the Delivery: Timely and quality</v>
      </c>
      <c r="K1719" s="14" t="str">
        <f>IFERROR(__xludf.DUMMYFUNCTION("split(E1719,""+"")"),"Sweet Corn")</f>
        <v>Sweet Corn</v>
      </c>
      <c r="L1719" s="14" t="str">
        <f>IFERROR(__xludf.DUMMYFUNCTION("""COMPUTED_VALUE"""),"3*Sita T")</f>
        <v>3*Sita T</v>
      </c>
      <c r="M1719" s="14">
        <f>IFERROR(__xludf.DUMMYFUNCTION("SPLIT(L1719,""*"")"),3.0)</f>
        <v>3</v>
      </c>
      <c r="N1719" s="14" t="str">
        <f>IFERROR(__xludf.DUMMYFUNCTION("""COMPUTED_VALUE"""),"Sita T")</f>
        <v>Sita T</v>
      </c>
      <c r="O1719" s="14" t="str">
        <f>IFERROR(__xludf.DUMMYFUNCTION("split(J1719,""*"")"),"Delivered")</f>
        <v>Delivered</v>
      </c>
      <c r="P1719" s="14" t="str">
        <f>IFERROR(__xludf.DUMMYFUNCTION("""COMPUTED_VALUE"""),"Satisfied with the Delivery: Timely and quality")</f>
        <v>Satisfied with the Delivery: Timely and quality</v>
      </c>
      <c r="Q1719" s="14" t="str">
        <f>IFERROR(__xludf.DUMMYFUNCTION("split(P1719,"":"")"),"Satisfied with the Delivery")</f>
        <v>Satisfied with the Delivery</v>
      </c>
      <c r="R1719" s="14" t="str">
        <f>IFERROR(__xludf.DUMMYFUNCTION("""COMPUTED_VALUE""")," Timely and quality")</f>
        <v> Timely and quality</v>
      </c>
      <c r="S1719" s="14" t="str">
        <f t="shared" ref="S1719:U1719" si="3441">trim(B1719)</f>
        <v>ord_71697</v>
      </c>
      <c r="T1719" s="14" t="str">
        <f t="shared" si="3441"/>
        <v>Sahil Desai</v>
      </c>
      <c r="U1719" s="14" t="str">
        <f t="shared" si="3441"/>
        <v>Lower Parel</v>
      </c>
      <c r="V1719" s="14" t="str">
        <f t="shared" si="4"/>
        <v>Sweet Corn</v>
      </c>
      <c r="W1719" s="14">
        <f t="shared" si="5"/>
        <v>3</v>
      </c>
      <c r="X1719" s="14" t="str">
        <f t="shared" si="6"/>
        <v>Sita T</v>
      </c>
      <c r="Y1719" s="15">
        <f t="shared" si="7"/>
        <v>45284</v>
      </c>
      <c r="Z1719" s="14" t="str">
        <f t="shared" si="8"/>
        <v>UPI</v>
      </c>
      <c r="AA1719" s="14" t="str">
        <f t="shared" si="9"/>
        <v>Delivered</v>
      </c>
      <c r="AB1719" s="14" t="str">
        <f t="shared" ref="AB1719:AC1719" si="3442">trim(Q1719)</f>
        <v>Satisfied with the Delivery</v>
      </c>
      <c r="AC1719" s="14" t="str">
        <f t="shared" si="3442"/>
        <v>Timely and quality</v>
      </c>
      <c r="AD1719" s="8"/>
    </row>
    <row r="1720">
      <c r="A1720" s="14" t="str">
        <f>IFERROR(__xludf.DUMMYFUNCTION("""COMPUTED_VALUE"""),"//ord_71698//Mehul Thakkar//Malad//Guava+1*Neha Shah/11/12/2023//Credit Card//Cancelled*Delayed Delivery:Bad Weather Conditions ")</f>
        <v>//ord_71698//Mehul Thakkar//Malad//Guava+1*Neha Shah/11/12/2023//Credit Card//Cancelled*Delayed Delivery:Bad Weather Conditions </v>
      </c>
      <c r="B1720" s="14" t="str">
        <f>IFERROR(__xludf.DUMMYFUNCTION("split(A1720,""//"")"),"ord_71698")</f>
        <v>ord_71698</v>
      </c>
      <c r="C1720" s="14" t="str">
        <f>IFERROR(__xludf.DUMMYFUNCTION("""COMPUTED_VALUE"""),"Mehul Thakkar")</f>
        <v>Mehul Thakkar</v>
      </c>
      <c r="D1720" s="14" t="str">
        <f>IFERROR(__xludf.DUMMYFUNCTION("""COMPUTED_VALUE"""),"Malad")</f>
        <v>Malad</v>
      </c>
      <c r="E1720" s="14" t="str">
        <f>IFERROR(__xludf.DUMMYFUNCTION("""COMPUTED_VALUE"""),"Guava+1*Neha Shah")</f>
        <v>Guava+1*Neha Shah</v>
      </c>
      <c r="F1720" s="14">
        <f>IFERROR(__xludf.DUMMYFUNCTION("""COMPUTED_VALUE"""),11.0)</f>
        <v>11</v>
      </c>
      <c r="G1720" s="14">
        <f>IFERROR(__xludf.DUMMYFUNCTION("""COMPUTED_VALUE"""),12.0)</f>
        <v>12</v>
      </c>
      <c r="H1720" s="14">
        <f>IFERROR(__xludf.DUMMYFUNCTION("""COMPUTED_VALUE"""),2023.0)</f>
        <v>2023</v>
      </c>
      <c r="I1720" s="14" t="str">
        <f>IFERROR(__xludf.DUMMYFUNCTION("""COMPUTED_VALUE"""),"Credit Card")</f>
        <v>Credit Card</v>
      </c>
      <c r="J1720" s="14" t="str">
        <f>IFERROR(__xludf.DUMMYFUNCTION("""COMPUTED_VALUE"""),"Cancelled*Delayed Delivery:Bad Weather Conditions ")</f>
        <v>Cancelled*Delayed Delivery:Bad Weather Conditions </v>
      </c>
      <c r="K1720" s="14" t="str">
        <f>IFERROR(__xludf.DUMMYFUNCTION("split(E1720,""+"")"),"Guava")</f>
        <v>Guava</v>
      </c>
      <c r="L1720" s="14" t="str">
        <f>IFERROR(__xludf.DUMMYFUNCTION("""COMPUTED_VALUE"""),"1*Neha Shah")</f>
        <v>1*Neha Shah</v>
      </c>
      <c r="M1720" s="14">
        <f>IFERROR(__xludf.DUMMYFUNCTION("SPLIT(L1720,""*"")"),1.0)</f>
        <v>1</v>
      </c>
      <c r="N1720" s="14" t="str">
        <f>IFERROR(__xludf.DUMMYFUNCTION("""COMPUTED_VALUE"""),"Neha Shah")</f>
        <v>Neha Shah</v>
      </c>
      <c r="O1720" s="14" t="str">
        <f>IFERROR(__xludf.DUMMYFUNCTION("split(J1720,""*"")"),"Cancelled")</f>
        <v>Cancelled</v>
      </c>
      <c r="P1720" s="14" t="str">
        <f>IFERROR(__xludf.DUMMYFUNCTION("""COMPUTED_VALUE"""),"Delayed Delivery:Bad Weather Conditions ")</f>
        <v>Delayed Delivery:Bad Weather Conditions </v>
      </c>
      <c r="Q1720" s="14" t="str">
        <f>IFERROR(__xludf.DUMMYFUNCTION("split(P1720,"":"")"),"Delayed Delivery")</f>
        <v>Delayed Delivery</v>
      </c>
      <c r="R1720" s="14" t="str">
        <f>IFERROR(__xludf.DUMMYFUNCTION("""COMPUTED_VALUE"""),"Bad Weather Conditions ")</f>
        <v>Bad Weather Conditions </v>
      </c>
      <c r="S1720" s="14" t="str">
        <f t="shared" ref="S1720:U1720" si="3443">trim(B1720)</f>
        <v>ord_71698</v>
      </c>
      <c r="T1720" s="14" t="str">
        <f t="shared" si="3443"/>
        <v>Mehul Thakkar</v>
      </c>
      <c r="U1720" s="14" t="str">
        <f t="shared" si="3443"/>
        <v>Malad</v>
      </c>
      <c r="V1720" s="14" t="str">
        <f t="shared" si="4"/>
        <v>Guava</v>
      </c>
      <c r="W1720" s="14">
        <f t="shared" si="5"/>
        <v>1</v>
      </c>
      <c r="X1720" s="14" t="str">
        <f t="shared" si="6"/>
        <v>Neha Shah</v>
      </c>
      <c r="Y1720" s="15">
        <f t="shared" si="7"/>
        <v>45242</v>
      </c>
      <c r="Z1720" s="14" t="str">
        <f t="shared" si="8"/>
        <v>Credit Card</v>
      </c>
      <c r="AA1720" s="14" t="str">
        <f t="shared" si="9"/>
        <v>Cancelled</v>
      </c>
      <c r="AB1720" s="14" t="str">
        <f t="shared" ref="AB1720:AC1720" si="3444">trim(Q1720)</f>
        <v>Delayed Delivery</v>
      </c>
      <c r="AC1720" s="14" t="str">
        <f t="shared" si="3444"/>
        <v>Bad Weather Conditions</v>
      </c>
      <c r="AD1720" s="8"/>
    </row>
    <row r="1721">
      <c r="A1721" s="14" t="str">
        <f>IFERROR(__xludf.DUMMYFUNCTION("""COMPUTED_VALUE"""),"//ord_71699//Arvind Kulkarni//Juhu//Tiramisu+5*Shine Thomas/11/27/2023//UPI//Delivered*Customer Service: Seamless and easy")</f>
        <v>//ord_71699//Arvind Kulkarni//Juhu//Tiramisu+5*Shine Thomas/11/27/2023//UPI//Delivered*Customer Service: Seamless and easy</v>
      </c>
      <c r="B1721" s="14" t="str">
        <f>IFERROR(__xludf.DUMMYFUNCTION("split(A1721,""//"")"),"ord_71699")</f>
        <v>ord_71699</v>
      </c>
      <c r="C1721" s="14" t="str">
        <f>IFERROR(__xludf.DUMMYFUNCTION("""COMPUTED_VALUE"""),"Arvind Kulkarni")</f>
        <v>Arvind Kulkarni</v>
      </c>
      <c r="D1721" s="14" t="str">
        <f>IFERROR(__xludf.DUMMYFUNCTION("""COMPUTED_VALUE"""),"Juhu")</f>
        <v>Juhu</v>
      </c>
      <c r="E1721" s="14" t="str">
        <f>IFERROR(__xludf.DUMMYFUNCTION("""COMPUTED_VALUE"""),"Tiramisu+5*Shine Thomas")</f>
        <v>Tiramisu+5*Shine Thomas</v>
      </c>
      <c r="F1721" s="14">
        <f>IFERROR(__xludf.DUMMYFUNCTION("""COMPUTED_VALUE"""),11.0)</f>
        <v>11</v>
      </c>
      <c r="G1721" s="14">
        <f>IFERROR(__xludf.DUMMYFUNCTION("""COMPUTED_VALUE"""),27.0)</f>
        <v>27</v>
      </c>
      <c r="H1721" s="14">
        <f>IFERROR(__xludf.DUMMYFUNCTION("""COMPUTED_VALUE"""),2023.0)</f>
        <v>2023</v>
      </c>
      <c r="I1721" s="14" t="str">
        <f>IFERROR(__xludf.DUMMYFUNCTION("""COMPUTED_VALUE"""),"UPI")</f>
        <v>UPI</v>
      </c>
      <c r="J1721" s="14" t="str">
        <f>IFERROR(__xludf.DUMMYFUNCTION("""COMPUTED_VALUE"""),"Delivered*Customer Service: Seamless and easy")</f>
        <v>Delivered*Customer Service: Seamless and easy</v>
      </c>
      <c r="K1721" s="14" t="str">
        <f>IFERROR(__xludf.DUMMYFUNCTION("split(E1721,""+"")"),"Tiramisu")</f>
        <v>Tiramisu</v>
      </c>
      <c r="L1721" s="14" t="str">
        <f>IFERROR(__xludf.DUMMYFUNCTION("""COMPUTED_VALUE"""),"5*Shine Thomas")</f>
        <v>5*Shine Thomas</v>
      </c>
      <c r="M1721" s="14">
        <f>IFERROR(__xludf.DUMMYFUNCTION("SPLIT(L1721,""*"")"),5.0)</f>
        <v>5</v>
      </c>
      <c r="N1721" s="14" t="str">
        <f>IFERROR(__xludf.DUMMYFUNCTION("""COMPUTED_VALUE"""),"Shine Thomas")</f>
        <v>Shine Thomas</v>
      </c>
      <c r="O1721" s="14" t="str">
        <f>IFERROR(__xludf.DUMMYFUNCTION("split(J1721,""*"")"),"Delivered")</f>
        <v>Delivered</v>
      </c>
      <c r="P1721" s="14" t="str">
        <f>IFERROR(__xludf.DUMMYFUNCTION("""COMPUTED_VALUE"""),"Customer Service: Seamless and easy")</f>
        <v>Customer Service: Seamless and easy</v>
      </c>
      <c r="Q1721" s="14" t="str">
        <f>IFERROR(__xludf.DUMMYFUNCTION("split(P1721,"":"")"),"Customer Service")</f>
        <v>Customer Service</v>
      </c>
      <c r="R1721" s="14" t="str">
        <f>IFERROR(__xludf.DUMMYFUNCTION("""COMPUTED_VALUE""")," Seamless and easy")</f>
        <v> Seamless and easy</v>
      </c>
      <c r="S1721" s="14" t="str">
        <f t="shared" ref="S1721:U1721" si="3445">trim(B1721)</f>
        <v>ord_71699</v>
      </c>
      <c r="T1721" s="14" t="str">
        <f t="shared" si="3445"/>
        <v>Arvind Kulkarni</v>
      </c>
      <c r="U1721" s="14" t="str">
        <f t="shared" si="3445"/>
        <v>Juhu</v>
      </c>
      <c r="V1721" s="14" t="str">
        <f t="shared" si="4"/>
        <v>Tiramisu</v>
      </c>
      <c r="W1721" s="14">
        <f t="shared" si="5"/>
        <v>5</v>
      </c>
      <c r="X1721" s="14" t="str">
        <f t="shared" si="6"/>
        <v>Shine Thomas</v>
      </c>
      <c r="Y1721" s="15">
        <f t="shared" si="7"/>
        <v>45257</v>
      </c>
      <c r="Z1721" s="14" t="str">
        <f t="shared" si="8"/>
        <v>UPI</v>
      </c>
      <c r="AA1721" s="14" t="str">
        <f t="shared" si="9"/>
        <v>Delivered</v>
      </c>
      <c r="AB1721" s="14" t="str">
        <f t="shared" ref="AB1721:AC1721" si="3446">trim(Q1721)</f>
        <v>Customer Service</v>
      </c>
      <c r="AC1721" s="14" t="str">
        <f t="shared" si="3446"/>
        <v>Seamless and easy</v>
      </c>
      <c r="AD1721" s="8"/>
    </row>
    <row r="1722">
      <c r="A1722" s="14" t="str">
        <f>IFERROR(__xludf.DUMMYFUNCTION("""COMPUTED_VALUE"""),"//ord_71700//Sakshi Tandon//Colaba//Chocolate Mousse+3*Ramesh S/1/9/2023//UPI//Delivered*Delivery Experience: Quick and professional")</f>
        <v>//ord_71700//Sakshi Tandon//Colaba//Chocolate Mousse+3*Ramesh S/1/9/2023//UPI//Delivered*Delivery Experience: Quick and professional</v>
      </c>
      <c r="B1722" s="14" t="str">
        <f>IFERROR(__xludf.DUMMYFUNCTION("split(A1722,""//"")"),"ord_71700")</f>
        <v>ord_71700</v>
      </c>
      <c r="C1722" s="14" t="str">
        <f>IFERROR(__xludf.DUMMYFUNCTION("""COMPUTED_VALUE"""),"Sakshi Tandon")</f>
        <v>Sakshi Tandon</v>
      </c>
      <c r="D1722" s="14" t="str">
        <f>IFERROR(__xludf.DUMMYFUNCTION("""COMPUTED_VALUE"""),"Colaba")</f>
        <v>Colaba</v>
      </c>
      <c r="E1722" s="14" t="str">
        <f>IFERROR(__xludf.DUMMYFUNCTION("""COMPUTED_VALUE"""),"Chocolate Mousse+3*Ramesh S")</f>
        <v>Chocolate Mousse+3*Ramesh S</v>
      </c>
      <c r="F1722" s="14">
        <f>IFERROR(__xludf.DUMMYFUNCTION("""COMPUTED_VALUE"""),1.0)</f>
        <v>1</v>
      </c>
      <c r="G1722" s="14">
        <f>IFERROR(__xludf.DUMMYFUNCTION("""COMPUTED_VALUE"""),9.0)</f>
        <v>9</v>
      </c>
      <c r="H1722" s="14">
        <f>IFERROR(__xludf.DUMMYFUNCTION("""COMPUTED_VALUE"""),2023.0)</f>
        <v>2023</v>
      </c>
      <c r="I1722" s="14" t="str">
        <f>IFERROR(__xludf.DUMMYFUNCTION("""COMPUTED_VALUE"""),"UPI")</f>
        <v>UPI</v>
      </c>
      <c r="J1722" s="14" t="str">
        <f>IFERROR(__xludf.DUMMYFUNCTION("""COMPUTED_VALUE"""),"Delivered*Delivery Experience: Quick and professional")</f>
        <v>Delivered*Delivery Experience: Quick and professional</v>
      </c>
      <c r="K1722" s="14" t="str">
        <f>IFERROR(__xludf.DUMMYFUNCTION("split(E1722,""+"")"),"Chocolate Mousse")</f>
        <v>Chocolate Mousse</v>
      </c>
      <c r="L1722" s="14" t="str">
        <f>IFERROR(__xludf.DUMMYFUNCTION("""COMPUTED_VALUE"""),"3*Ramesh S")</f>
        <v>3*Ramesh S</v>
      </c>
      <c r="M1722" s="14">
        <f>IFERROR(__xludf.DUMMYFUNCTION("SPLIT(L1722,""*"")"),3.0)</f>
        <v>3</v>
      </c>
      <c r="N1722" s="14" t="str">
        <f>IFERROR(__xludf.DUMMYFUNCTION("""COMPUTED_VALUE"""),"Ramesh S")</f>
        <v>Ramesh S</v>
      </c>
      <c r="O1722" s="14" t="str">
        <f>IFERROR(__xludf.DUMMYFUNCTION("split(J1722,""*"")"),"Delivered")</f>
        <v>Delivered</v>
      </c>
      <c r="P1722" s="14" t="str">
        <f>IFERROR(__xludf.DUMMYFUNCTION("""COMPUTED_VALUE"""),"Delivery Experience: Quick and professional")</f>
        <v>Delivery Experience: Quick and professional</v>
      </c>
      <c r="Q1722" s="14" t="str">
        <f>IFERROR(__xludf.DUMMYFUNCTION("split(P1722,"":"")"),"Delivery Experience")</f>
        <v>Delivery Experience</v>
      </c>
      <c r="R1722" s="14" t="str">
        <f>IFERROR(__xludf.DUMMYFUNCTION("""COMPUTED_VALUE""")," Quick and professional")</f>
        <v> Quick and professional</v>
      </c>
      <c r="S1722" s="14" t="str">
        <f t="shared" ref="S1722:U1722" si="3447">trim(B1722)</f>
        <v>ord_71700</v>
      </c>
      <c r="T1722" s="14" t="str">
        <f t="shared" si="3447"/>
        <v>Sakshi Tandon</v>
      </c>
      <c r="U1722" s="14" t="str">
        <f t="shared" si="3447"/>
        <v>Colaba</v>
      </c>
      <c r="V1722" s="14" t="str">
        <f t="shared" si="4"/>
        <v>Chocolate Mousse</v>
      </c>
      <c r="W1722" s="14">
        <f t="shared" si="5"/>
        <v>3</v>
      </c>
      <c r="X1722" s="14" t="str">
        <f t="shared" si="6"/>
        <v>Ramesh S</v>
      </c>
      <c r="Y1722" s="15">
        <f t="shared" si="7"/>
        <v>44935</v>
      </c>
      <c r="Z1722" s="14" t="str">
        <f t="shared" si="8"/>
        <v>UPI</v>
      </c>
      <c r="AA1722" s="14" t="str">
        <f t="shared" si="9"/>
        <v>Delivered</v>
      </c>
      <c r="AB1722" s="14" t="str">
        <f t="shared" ref="AB1722:AC1722" si="3448">trim(Q1722)</f>
        <v>Delivery Experience</v>
      </c>
      <c r="AC1722" s="14" t="str">
        <f t="shared" si="3448"/>
        <v>Quick and professional</v>
      </c>
      <c r="AD1722" s="8"/>
    </row>
    <row r="1723">
      <c r="A1723" s="14" t="str">
        <f>IFERROR(__xludf.DUMMYFUNCTION("""COMPUTED_VALUE"""),"//ord_71701//Ishaan Chaturvedi//Bandra//Chicken Puff+2*Nithin Lal/11/26/2023//UPI//Delivered*Convenience: Easy tracking")</f>
        <v>//ord_71701//Ishaan Chaturvedi//Bandra//Chicken Puff+2*Nithin Lal/11/26/2023//UPI//Delivered*Convenience: Easy tracking</v>
      </c>
      <c r="B1723" s="14" t="str">
        <f>IFERROR(__xludf.DUMMYFUNCTION("split(A1723,""//"")"),"ord_71701")</f>
        <v>ord_71701</v>
      </c>
      <c r="C1723" s="14" t="str">
        <f>IFERROR(__xludf.DUMMYFUNCTION("""COMPUTED_VALUE"""),"Ishaan Chaturvedi")</f>
        <v>Ishaan Chaturvedi</v>
      </c>
      <c r="D1723" s="14" t="str">
        <f>IFERROR(__xludf.DUMMYFUNCTION("""COMPUTED_VALUE"""),"Bandra")</f>
        <v>Bandra</v>
      </c>
      <c r="E1723" s="14" t="str">
        <f>IFERROR(__xludf.DUMMYFUNCTION("""COMPUTED_VALUE"""),"Chicken Puff+2*Nithin Lal")</f>
        <v>Chicken Puff+2*Nithin Lal</v>
      </c>
      <c r="F1723" s="14">
        <f>IFERROR(__xludf.DUMMYFUNCTION("""COMPUTED_VALUE"""),11.0)</f>
        <v>11</v>
      </c>
      <c r="G1723" s="14">
        <f>IFERROR(__xludf.DUMMYFUNCTION("""COMPUTED_VALUE"""),26.0)</f>
        <v>26</v>
      </c>
      <c r="H1723" s="14">
        <f>IFERROR(__xludf.DUMMYFUNCTION("""COMPUTED_VALUE"""),2023.0)</f>
        <v>2023</v>
      </c>
      <c r="I1723" s="14" t="str">
        <f>IFERROR(__xludf.DUMMYFUNCTION("""COMPUTED_VALUE"""),"UPI")</f>
        <v>UPI</v>
      </c>
      <c r="J1723" s="14" t="str">
        <f>IFERROR(__xludf.DUMMYFUNCTION("""COMPUTED_VALUE"""),"Delivered*Convenience: Easy tracking")</f>
        <v>Delivered*Convenience: Easy tracking</v>
      </c>
      <c r="K1723" s="14" t="str">
        <f>IFERROR(__xludf.DUMMYFUNCTION("split(E1723,""+"")"),"Chicken Puff")</f>
        <v>Chicken Puff</v>
      </c>
      <c r="L1723" s="14" t="str">
        <f>IFERROR(__xludf.DUMMYFUNCTION("""COMPUTED_VALUE"""),"2*Nithin Lal")</f>
        <v>2*Nithin Lal</v>
      </c>
      <c r="M1723" s="14">
        <f>IFERROR(__xludf.DUMMYFUNCTION("SPLIT(L1723,""*"")"),2.0)</f>
        <v>2</v>
      </c>
      <c r="N1723" s="14" t="str">
        <f>IFERROR(__xludf.DUMMYFUNCTION("""COMPUTED_VALUE"""),"Nithin Lal")</f>
        <v>Nithin Lal</v>
      </c>
      <c r="O1723" s="14" t="str">
        <f>IFERROR(__xludf.DUMMYFUNCTION("split(J1723,""*"")"),"Delivered")</f>
        <v>Delivered</v>
      </c>
      <c r="P1723" s="14" t="str">
        <f>IFERROR(__xludf.DUMMYFUNCTION("""COMPUTED_VALUE"""),"Convenience: Easy tracking")</f>
        <v>Convenience: Easy tracking</v>
      </c>
      <c r="Q1723" s="14" t="str">
        <f>IFERROR(__xludf.DUMMYFUNCTION("split(P1723,"":"")"),"Convenience")</f>
        <v>Convenience</v>
      </c>
      <c r="R1723" s="14" t="str">
        <f>IFERROR(__xludf.DUMMYFUNCTION("""COMPUTED_VALUE""")," Easy tracking")</f>
        <v> Easy tracking</v>
      </c>
      <c r="S1723" s="14" t="str">
        <f t="shared" ref="S1723:U1723" si="3449">trim(B1723)</f>
        <v>ord_71701</v>
      </c>
      <c r="T1723" s="14" t="str">
        <f t="shared" si="3449"/>
        <v>Ishaan Chaturvedi</v>
      </c>
      <c r="U1723" s="14" t="str">
        <f t="shared" si="3449"/>
        <v>Bandra</v>
      </c>
      <c r="V1723" s="14" t="str">
        <f t="shared" si="4"/>
        <v>Chicken Puff</v>
      </c>
      <c r="W1723" s="14">
        <f t="shared" si="5"/>
        <v>2</v>
      </c>
      <c r="X1723" s="14" t="str">
        <f t="shared" si="6"/>
        <v>Nithin Lal</v>
      </c>
      <c r="Y1723" s="15">
        <f t="shared" si="7"/>
        <v>45256</v>
      </c>
      <c r="Z1723" s="14" t="str">
        <f t="shared" si="8"/>
        <v>UPI</v>
      </c>
      <c r="AA1723" s="14" t="str">
        <f t="shared" si="9"/>
        <v>Delivered</v>
      </c>
      <c r="AB1723" s="14" t="str">
        <f t="shared" ref="AB1723:AC1723" si="3450">trim(Q1723)</f>
        <v>Convenience</v>
      </c>
      <c r="AC1723" s="14" t="str">
        <f t="shared" si="3450"/>
        <v>Easy tracking</v>
      </c>
      <c r="AD1723" s="8"/>
    </row>
    <row r="1724">
      <c r="A1724" s="14" t="str">
        <f>IFERROR(__xludf.DUMMYFUNCTION("""COMPUTED_VALUE"""),"//ord_71702//Anaya Rao//Colaba//Orange+2*Vivek Kumar/12/12/2023//UPI//Delivered*Overall Satisfaction: Great service will order again")</f>
        <v>//ord_71702//Anaya Rao//Colaba//Orange+2*Vivek Kumar/12/12/2023//UPI//Delivered*Overall Satisfaction: Great service will order again</v>
      </c>
      <c r="B1724" s="14" t="str">
        <f>IFERROR(__xludf.DUMMYFUNCTION("split(A1724,""//"")"),"ord_71702")</f>
        <v>ord_71702</v>
      </c>
      <c r="C1724" s="14" t="str">
        <f>IFERROR(__xludf.DUMMYFUNCTION("""COMPUTED_VALUE"""),"Anaya Rao")</f>
        <v>Anaya Rao</v>
      </c>
      <c r="D1724" s="14" t="str">
        <f>IFERROR(__xludf.DUMMYFUNCTION("""COMPUTED_VALUE"""),"Colaba")</f>
        <v>Colaba</v>
      </c>
      <c r="E1724" s="14" t="str">
        <f>IFERROR(__xludf.DUMMYFUNCTION("""COMPUTED_VALUE"""),"Orange+2*Vivek Kumar")</f>
        <v>Orange+2*Vivek Kumar</v>
      </c>
      <c r="F1724" s="14">
        <f>IFERROR(__xludf.DUMMYFUNCTION("""COMPUTED_VALUE"""),12.0)</f>
        <v>12</v>
      </c>
      <c r="G1724" s="14">
        <f>IFERROR(__xludf.DUMMYFUNCTION("""COMPUTED_VALUE"""),12.0)</f>
        <v>12</v>
      </c>
      <c r="H1724" s="14">
        <f>IFERROR(__xludf.DUMMYFUNCTION("""COMPUTED_VALUE"""),2023.0)</f>
        <v>2023</v>
      </c>
      <c r="I1724" s="14" t="str">
        <f>IFERROR(__xludf.DUMMYFUNCTION("""COMPUTED_VALUE"""),"UPI")</f>
        <v>UPI</v>
      </c>
      <c r="J1724" s="14" t="str">
        <f>IFERROR(__xludf.DUMMYFUNCTION("""COMPUTED_VALUE"""),"Delivered*Overall Satisfaction: Great service will order again")</f>
        <v>Delivered*Overall Satisfaction: Great service will order again</v>
      </c>
      <c r="K1724" s="14" t="str">
        <f>IFERROR(__xludf.DUMMYFUNCTION("split(E1724,""+"")"),"Orange")</f>
        <v>Orange</v>
      </c>
      <c r="L1724" s="14" t="str">
        <f>IFERROR(__xludf.DUMMYFUNCTION("""COMPUTED_VALUE"""),"2*Vivek Kumar")</f>
        <v>2*Vivek Kumar</v>
      </c>
      <c r="M1724" s="14">
        <f>IFERROR(__xludf.DUMMYFUNCTION("SPLIT(L1724,""*"")"),2.0)</f>
        <v>2</v>
      </c>
      <c r="N1724" s="14" t="str">
        <f>IFERROR(__xludf.DUMMYFUNCTION("""COMPUTED_VALUE"""),"Vivek Kumar")</f>
        <v>Vivek Kumar</v>
      </c>
      <c r="O1724" s="14" t="str">
        <f>IFERROR(__xludf.DUMMYFUNCTION("split(J1724,""*"")"),"Delivered")</f>
        <v>Delivered</v>
      </c>
      <c r="P1724" s="14" t="str">
        <f>IFERROR(__xludf.DUMMYFUNCTION("""COMPUTED_VALUE"""),"Overall Satisfaction: Great service will order again")</f>
        <v>Overall Satisfaction: Great service will order again</v>
      </c>
      <c r="Q1724" s="14" t="str">
        <f>IFERROR(__xludf.DUMMYFUNCTION("split(P1724,"":"")"),"Overall Satisfaction")</f>
        <v>Overall Satisfaction</v>
      </c>
      <c r="R1724" s="14" t="str">
        <f>IFERROR(__xludf.DUMMYFUNCTION("""COMPUTED_VALUE""")," Great service will order again")</f>
        <v> Great service will order again</v>
      </c>
      <c r="S1724" s="14" t="str">
        <f t="shared" ref="S1724:U1724" si="3451">trim(B1724)</f>
        <v>ord_71702</v>
      </c>
      <c r="T1724" s="14" t="str">
        <f t="shared" si="3451"/>
        <v>Anaya Rao</v>
      </c>
      <c r="U1724" s="14" t="str">
        <f t="shared" si="3451"/>
        <v>Colaba</v>
      </c>
      <c r="V1724" s="14" t="str">
        <f t="shared" si="4"/>
        <v>Orange</v>
      </c>
      <c r="W1724" s="14">
        <f t="shared" si="5"/>
        <v>2</v>
      </c>
      <c r="X1724" s="14" t="str">
        <f t="shared" si="6"/>
        <v>Vivek Kumar</v>
      </c>
      <c r="Y1724" s="15">
        <f t="shared" si="7"/>
        <v>45272</v>
      </c>
      <c r="Z1724" s="14" t="str">
        <f t="shared" si="8"/>
        <v>UPI</v>
      </c>
      <c r="AA1724" s="14" t="str">
        <f t="shared" si="9"/>
        <v>Delivered</v>
      </c>
      <c r="AB1724" s="14" t="str">
        <f t="shared" ref="AB1724:AC1724" si="3452">trim(Q1724)</f>
        <v>Overall Satisfaction</v>
      </c>
      <c r="AC1724" s="14" t="str">
        <f t="shared" si="3452"/>
        <v>Great service will order again</v>
      </c>
      <c r="AD1724" s="8"/>
    </row>
    <row r="1725">
      <c r="A1725" s="14" t="str">
        <f>IFERROR(__xludf.DUMMYFUNCTION("""COMPUTED_VALUE"""),"//ord_71703//Anaya Rao//Malad//Juice+5*Nithin Lal/6/27/2023//Online Payment//Delivered*On-time Delivery: Delivered on time")</f>
        <v>//ord_71703//Anaya Rao//Malad//Juice+5*Nithin Lal/6/27/2023//Online Payment//Delivered*On-time Delivery: Delivered on time</v>
      </c>
      <c r="B1725" s="14" t="str">
        <f>IFERROR(__xludf.DUMMYFUNCTION("split(A1725,""//"")"),"ord_71703")</f>
        <v>ord_71703</v>
      </c>
      <c r="C1725" s="14" t="str">
        <f>IFERROR(__xludf.DUMMYFUNCTION("""COMPUTED_VALUE"""),"Anaya Rao")</f>
        <v>Anaya Rao</v>
      </c>
      <c r="D1725" s="14" t="str">
        <f>IFERROR(__xludf.DUMMYFUNCTION("""COMPUTED_VALUE"""),"Malad")</f>
        <v>Malad</v>
      </c>
      <c r="E1725" s="14" t="str">
        <f>IFERROR(__xludf.DUMMYFUNCTION("""COMPUTED_VALUE"""),"Juice+5*Nithin Lal")</f>
        <v>Juice+5*Nithin Lal</v>
      </c>
      <c r="F1725" s="14">
        <f>IFERROR(__xludf.DUMMYFUNCTION("""COMPUTED_VALUE"""),6.0)</f>
        <v>6</v>
      </c>
      <c r="G1725" s="14">
        <f>IFERROR(__xludf.DUMMYFUNCTION("""COMPUTED_VALUE"""),27.0)</f>
        <v>27</v>
      </c>
      <c r="H1725" s="14">
        <f>IFERROR(__xludf.DUMMYFUNCTION("""COMPUTED_VALUE"""),2023.0)</f>
        <v>2023</v>
      </c>
      <c r="I1725" s="14" t="str">
        <f>IFERROR(__xludf.DUMMYFUNCTION("""COMPUTED_VALUE"""),"Online Payment")</f>
        <v>Online Payment</v>
      </c>
      <c r="J1725" s="14" t="str">
        <f>IFERROR(__xludf.DUMMYFUNCTION("""COMPUTED_VALUE"""),"Delivered*On-time Delivery: Delivered on time")</f>
        <v>Delivered*On-time Delivery: Delivered on time</v>
      </c>
      <c r="K1725" s="14" t="str">
        <f>IFERROR(__xludf.DUMMYFUNCTION("split(E1725,""+"")"),"Juice")</f>
        <v>Juice</v>
      </c>
      <c r="L1725" s="14" t="str">
        <f>IFERROR(__xludf.DUMMYFUNCTION("""COMPUTED_VALUE"""),"5*Nithin Lal")</f>
        <v>5*Nithin Lal</v>
      </c>
      <c r="M1725" s="14">
        <f>IFERROR(__xludf.DUMMYFUNCTION("SPLIT(L1725,""*"")"),5.0)</f>
        <v>5</v>
      </c>
      <c r="N1725" s="14" t="str">
        <f>IFERROR(__xludf.DUMMYFUNCTION("""COMPUTED_VALUE"""),"Nithin Lal")</f>
        <v>Nithin Lal</v>
      </c>
      <c r="O1725" s="14" t="str">
        <f>IFERROR(__xludf.DUMMYFUNCTION("split(J1725,""*"")"),"Delivered")</f>
        <v>Delivered</v>
      </c>
      <c r="P1725" s="14" t="str">
        <f>IFERROR(__xludf.DUMMYFUNCTION("""COMPUTED_VALUE"""),"On-time Delivery: Delivered on time")</f>
        <v>On-time Delivery: Delivered on time</v>
      </c>
      <c r="Q1725" s="14" t="str">
        <f>IFERROR(__xludf.DUMMYFUNCTION("split(P1725,"":"")"),"On-time Delivery")</f>
        <v>On-time Delivery</v>
      </c>
      <c r="R1725" s="14" t="str">
        <f>IFERROR(__xludf.DUMMYFUNCTION("""COMPUTED_VALUE""")," Delivered on time")</f>
        <v> Delivered on time</v>
      </c>
      <c r="S1725" s="14" t="str">
        <f t="shared" ref="S1725:U1725" si="3453">trim(B1725)</f>
        <v>ord_71703</v>
      </c>
      <c r="T1725" s="14" t="str">
        <f t="shared" si="3453"/>
        <v>Anaya Rao</v>
      </c>
      <c r="U1725" s="14" t="str">
        <f t="shared" si="3453"/>
        <v>Malad</v>
      </c>
      <c r="V1725" s="14" t="str">
        <f t="shared" si="4"/>
        <v>Juice</v>
      </c>
      <c r="W1725" s="14">
        <f t="shared" si="5"/>
        <v>5</v>
      </c>
      <c r="X1725" s="14" t="str">
        <f t="shared" si="6"/>
        <v>Nithin Lal</v>
      </c>
      <c r="Y1725" s="15">
        <f t="shared" si="7"/>
        <v>45104</v>
      </c>
      <c r="Z1725" s="14" t="str">
        <f t="shared" si="8"/>
        <v>Online Payment</v>
      </c>
      <c r="AA1725" s="14" t="str">
        <f t="shared" si="9"/>
        <v>Delivered</v>
      </c>
      <c r="AB1725" s="14" t="str">
        <f t="shared" ref="AB1725:AC1725" si="3454">trim(Q1725)</f>
        <v>On-time Delivery</v>
      </c>
      <c r="AC1725" s="14" t="str">
        <f t="shared" si="3454"/>
        <v>Delivered on time</v>
      </c>
      <c r="AD1725" s="8"/>
    </row>
    <row r="1726">
      <c r="A1726" s="14" t="str">
        <f>IFERROR(__xludf.DUMMYFUNCTION("""COMPUTED_VALUE"""),"//ord_71704//Anaya Rao//Malad//Cold Coffee+5*Shine Thomas/12/29/2023//UPI//Delivered*Quality of Items: Perfect condition")</f>
        <v>//ord_71704//Anaya Rao//Malad//Cold Coffee+5*Shine Thomas/12/29/2023//UPI//Delivered*Quality of Items: Perfect condition</v>
      </c>
      <c r="B1726" s="14" t="str">
        <f>IFERROR(__xludf.DUMMYFUNCTION("split(A1726,""//"")"),"ord_71704")</f>
        <v>ord_71704</v>
      </c>
      <c r="C1726" s="14" t="str">
        <f>IFERROR(__xludf.DUMMYFUNCTION("""COMPUTED_VALUE"""),"Anaya Rao")</f>
        <v>Anaya Rao</v>
      </c>
      <c r="D1726" s="14" t="str">
        <f>IFERROR(__xludf.DUMMYFUNCTION("""COMPUTED_VALUE"""),"Malad")</f>
        <v>Malad</v>
      </c>
      <c r="E1726" s="14" t="str">
        <f>IFERROR(__xludf.DUMMYFUNCTION("""COMPUTED_VALUE"""),"Cold Coffee+5*Shine Thomas")</f>
        <v>Cold Coffee+5*Shine Thomas</v>
      </c>
      <c r="F1726" s="14">
        <f>IFERROR(__xludf.DUMMYFUNCTION("""COMPUTED_VALUE"""),12.0)</f>
        <v>12</v>
      </c>
      <c r="G1726" s="14">
        <f>IFERROR(__xludf.DUMMYFUNCTION("""COMPUTED_VALUE"""),29.0)</f>
        <v>29</v>
      </c>
      <c r="H1726" s="14">
        <f>IFERROR(__xludf.DUMMYFUNCTION("""COMPUTED_VALUE"""),2023.0)</f>
        <v>2023</v>
      </c>
      <c r="I1726" s="14" t="str">
        <f>IFERROR(__xludf.DUMMYFUNCTION("""COMPUTED_VALUE"""),"UPI")</f>
        <v>UPI</v>
      </c>
      <c r="J1726" s="14" t="str">
        <f>IFERROR(__xludf.DUMMYFUNCTION("""COMPUTED_VALUE"""),"Delivered*Quality of Items: Perfect condition")</f>
        <v>Delivered*Quality of Items: Perfect condition</v>
      </c>
      <c r="K1726" s="14" t="str">
        <f>IFERROR(__xludf.DUMMYFUNCTION("split(E1726,""+"")"),"Cold Coffee")</f>
        <v>Cold Coffee</v>
      </c>
      <c r="L1726" s="14" t="str">
        <f>IFERROR(__xludf.DUMMYFUNCTION("""COMPUTED_VALUE"""),"5*Shine Thomas")</f>
        <v>5*Shine Thomas</v>
      </c>
      <c r="M1726" s="14">
        <f>IFERROR(__xludf.DUMMYFUNCTION("SPLIT(L1726,""*"")"),5.0)</f>
        <v>5</v>
      </c>
      <c r="N1726" s="14" t="str">
        <f>IFERROR(__xludf.DUMMYFUNCTION("""COMPUTED_VALUE"""),"Shine Thomas")</f>
        <v>Shine Thomas</v>
      </c>
      <c r="O1726" s="14" t="str">
        <f>IFERROR(__xludf.DUMMYFUNCTION("split(J1726,""*"")"),"Delivered")</f>
        <v>Delivered</v>
      </c>
      <c r="P1726" s="14" t="str">
        <f>IFERROR(__xludf.DUMMYFUNCTION("""COMPUTED_VALUE"""),"Quality of Items: Perfect condition")</f>
        <v>Quality of Items: Perfect condition</v>
      </c>
      <c r="Q1726" s="14" t="str">
        <f>IFERROR(__xludf.DUMMYFUNCTION("split(P1726,"":"")"),"Quality of Items")</f>
        <v>Quality of Items</v>
      </c>
      <c r="R1726" s="14" t="str">
        <f>IFERROR(__xludf.DUMMYFUNCTION("""COMPUTED_VALUE""")," Perfect condition")</f>
        <v> Perfect condition</v>
      </c>
      <c r="S1726" s="14" t="str">
        <f t="shared" ref="S1726:U1726" si="3455">trim(B1726)</f>
        <v>ord_71704</v>
      </c>
      <c r="T1726" s="14" t="str">
        <f t="shared" si="3455"/>
        <v>Anaya Rao</v>
      </c>
      <c r="U1726" s="14" t="str">
        <f t="shared" si="3455"/>
        <v>Malad</v>
      </c>
      <c r="V1726" s="14" t="str">
        <f t="shared" si="4"/>
        <v>Cold Coffee</v>
      </c>
      <c r="W1726" s="14">
        <f t="shared" si="5"/>
        <v>5</v>
      </c>
      <c r="X1726" s="14" t="str">
        <f t="shared" si="6"/>
        <v>Shine Thomas</v>
      </c>
      <c r="Y1726" s="15">
        <f t="shared" si="7"/>
        <v>45289</v>
      </c>
      <c r="Z1726" s="14" t="str">
        <f t="shared" si="8"/>
        <v>UPI</v>
      </c>
      <c r="AA1726" s="14" t="str">
        <f t="shared" si="9"/>
        <v>Delivered</v>
      </c>
      <c r="AB1726" s="14" t="str">
        <f t="shared" ref="AB1726:AC1726" si="3456">trim(Q1726)</f>
        <v>Quality of Items</v>
      </c>
      <c r="AC1726" s="14" t="str">
        <f t="shared" si="3456"/>
        <v>Perfect condition</v>
      </c>
      <c r="AD1726" s="8"/>
    </row>
    <row r="1727">
      <c r="A1727" s="14" t="str">
        <f>IFERROR(__xludf.DUMMYFUNCTION("""COMPUTED_VALUE"""),"//ord_71705//Tanishq Bansal//Powai//Onion+1*Not Assigned/10/21/2023//Credit Card//Cancelled*Payment Issues")</f>
        <v>//ord_71705//Tanishq Bansal//Powai//Onion+1*Not Assigned/10/21/2023//Credit Card//Cancelled*Payment Issues</v>
      </c>
      <c r="B1727" s="14" t="str">
        <f>IFERROR(__xludf.DUMMYFUNCTION("split(A1727,""//"")"),"ord_71705")</f>
        <v>ord_71705</v>
      </c>
      <c r="C1727" s="14" t="str">
        <f>IFERROR(__xludf.DUMMYFUNCTION("""COMPUTED_VALUE"""),"Tanishq Bansal")</f>
        <v>Tanishq Bansal</v>
      </c>
      <c r="D1727" s="14" t="str">
        <f>IFERROR(__xludf.DUMMYFUNCTION("""COMPUTED_VALUE"""),"Powai")</f>
        <v>Powai</v>
      </c>
      <c r="E1727" s="14" t="str">
        <f>IFERROR(__xludf.DUMMYFUNCTION("""COMPUTED_VALUE"""),"Onion+1*Not Assigned")</f>
        <v>Onion+1*Not Assigned</v>
      </c>
      <c r="F1727" s="14">
        <f>IFERROR(__xludf.DUMMYFUNCTION("""COMPUTED_VALUE"""),10.0)</f>
        <v>10</v>
      </c>
      <c r="G1727" s="14">
        <f>IFERROR(__xludf.DUMMYFUNCTION("""COMPUTED_VALUE"""),21.0)</f>
        <v>21</v>
      </c>
      <c r="H1727" s="14">
        <f>IFERROR(__xludf.DUMMYFUNCTION("""COMPUTED_VALUE"""),2023.0)</f>
        <v>2023</v>
      </c>
      <c r="I1727" s="14" t="str">
        <f>IFERROR(__xludf.DUMMYFUNCTION("""COMPUTED_VALUE"""),"Credit Card")</f>
        <v>Credit Card</v>
      </c>
      <c r="J1727" s="14" t="str">
        <f>IFERROR(__xludf.DUMMYFUNCTION("""COMPUTED_VALUE"""),"Cancelled*Payment Issues")</f>
        <v>Cancelled*Payment Issues</v>
      </c>
      <c r="K1727" s="14" t="str">
        <f>IFERROR(__xludf.DUMMYFUNCTION("split(E1727,""+"")"),"Onion")</f>
        <v>Onion</v>
      </c>
      <c r="L1727" s="14" t="str">
        <f>IFERROR(__xludf.DUMMYFUNCTION("""COMPUTED_VALUE"""),"1*Not Assigned")</f>
        <v>1*Not Assigned</v>
      </c>
      <c r="M1727" s="14">
        <f>IFERROR(__xludf.DUMMYFUNCTION("SPLIT(L1727,""*"")"),1.0)</f>
        <v>1</v>
      </c>
      <c r="N1727" s="14" t="str">
        <f>IFERROR(__xludf.DUMMYFUNCTION("""COMPUTED_VALUE"""),"Not Assigned")</f>
        <v>Not Assigned</v>
      </c>
      <c r="O1727" s="14" t="str">
        <f>IFERROR(__xludf.DUMMYFUNCTION("split(J1727,""*"")"),"Cancelled")</f>
        <v>Cancelled</v>
      </c>
      <c r="P1727" s="14" t="str">
        <f>IFERROR(__xludf.DUMMYFUNCTION("""COMPUTED_VALUE"""),"Payment Issues")</f>
        <v>Payment Issues</v>
      </c>
      <c r="Q1727" s="14" t="str">
        <f>IFERROR(__xludf.DUMMYFUNCTION("split(P1727,"":"")"),"Payment Issues")</f>
        <v>Payment Issues</v>
      </c>
      <c r="R1727" s="14"/>
      <c r="S1727" s="14" t="str">
        <f t="shared" ref="S1727:U1727" si="3457">trim(B1727)</f>
        <v>ord_71705</v>
      </c>
      <c r="T1727" s="14" t="str">
        <f t="shared" si="3457"/>
        <v>Tanishq Bansal</v>
      </c>
      <c r="U1727" s="14" t="str">
        <f t="shared" si="3457"/>
        <v>Powai</v>
      </c>
      <c r="V1727" s="14" t="str">
        <f t="shared" si="4"/>
        <v>Onion</v>
      </c>
      <c r="W1727" s="14">
        <f t="shared" si="5"/>
        <v>1</v>
      </c>
      <c r="X1727" s="14" t="str">
        <f t="shared" si="6"/>
        <v>Not Assigned</v>
      </c>
      <c r="Y1727" s="15">
        <f t="shared" si="7"/>
        <v>45220</v>
      </c>
      <c r="Z1727" s="14" t="str">
        <f t="shared" si="8"/>
        <v>Credit Card</v>
      </c>
      <c r="AA1727" s="14" t="str">
        <f t="shared" si="9"/>
        <v>Cancelled</v>
      </c>
      <c r="AB1727" s="14" t="str">
        <f t="shared" ref="AB1727:AC1727" si="3458">trim(Q1727)</f>
        <v>Payment Issues</v>
      </c>
      <c r="AC1727" s="14" t="str">
        <f t="shared" si="3458"/>
        <v/>
      </c>
      <c r="AD1727" s="8"/>
    </row>
    <row r="1728">
      <c r="A1728" s="14" t="str">
        <f>IFERROR(__xludf.DUMMYFUNCTION("""COMPUTED_VALUE"""),"//ord_71706//Pallavi Ghosh//Bandra//Guava+2*Not Assigned/1/24/2023//Credit Card//Cancelled*Out of Stock")</f>
        <v>//ord_71706//Pallavi Ghosh//Bandra//Guava+2*Not Assigned/1/24/2023//Credit Card//Cancelled*Out of Stock</v>
      </c>
      <c r="B1728" s="14" t="str">
        <f>IFERROR(__xludf.DUMMYFUNCTION("split(A1728,""//"")"),"ord_71706")</f>
        <v>ord_71706</v>
      </c>
      <c r="C1728" s="14" t="str">
        <f>IFERROR(__xludf.DUMMYFUNCTION("""COMPUTED_VALUE"""),"Pallavi Ghosh")</f>
        <v>Pallavi Ghosh</v>
      </c>
      <c r="D1728" s="14" t="str">
        <f>IFERROR(__xludf.DUMMYFUNCTION("""COMPUTED_VALUE"""),"Bandra")</f>
        <v>Bandra</v>
      </c>
      <c r="E1728" s="14" t="str">
        <f>IFERROR(__xludf.DUMMYFUNCTION("""COMPUTED_VALUE"""),"Guava+2*Not Assigned")</f>
        <v>Guava+2*Not Assigned</v>
      </c>
      <c r="F1728" s="14">
        <f>IFERROR(__xludf.DUMMYFUNCTION("""COMPUTED_VALUE"""),1.0)</f>
        <v>1</v>
      </c>
      <c r="G1728" s="14">
        <f>IFERROR(__xludf.DUMMYFUNCTION("""COMPUTED_VALUE"""),24.0)</f>
        <v>24</v>
      </c>
      <c r="H1728" s="14">
        <f>IFERROR(__xludf.DUMMYFUNCTION("""COMPUTED_VALUE"""),2023.0)</f>
        <v>2023</v>
      </c>
      <c r="I1728" s="14" t="str">
        <f>IFERROR(__xludf.DUMMYFUNCTION("""COMPUTED_VALUE"""),"Credit Card")</f>
        <v>Credit Card</v>
      </c>
      <c r="J1728" s="14" t="str">
        <f>IFERROR(__xludf.DUMMYFUNCTION("""COMPUTED_VALUE"""),"Cancelled*Out of Stock")</f>
        <v>Cancelled*Out of Stock</v>
      </c>
      <c r="K1728" s="14" t="str">
        <f>IFERROR(__xludf.DUMMYFUNCTION("split(E1728,""+"")"),"Guava")</f>
        <v>Guava</v>
      </c>
      <c r="L1728" s="14" t="str">
        <f>IFERROR(__xludf.DUMMYFUNCTION("""COMPUTED_VALUE"""),"2*Not Assigned")</f>
        <v>2*Not Assigned</v>
      </c>
      <c r="M1728" s="14">
        <f>IFERROR(__xludf.DUMMYFUNCTION("SPLIT(L1728,""*"")"),2.0)</f>
        <v>2</v>
      </c>
      <c r="N1728" s="14" t="str">
        <f>IFERROR(__xludf.DUMMYFUNCTION("""COMPUTED_VALUE"""),"Not Assigned")</f>
        <v>Not Assigned</v>
      </c>
      <c r="O1728" s="14" t="str">
        <f>IFERROR(__xludf.DUMMYFUNCTION("split(J1728,""*"")"),"Cancelled")</f>
        <v>Cancelled</v>
      </c>
      <c r="P1728" s="14" t="str">
        <f>IFERROR(__xludf.DUMMYFUNCTION("""COMPUTED_VALUE"""),"Out of Stock")</f>
        <v>Out of Stock</v>
      </c>
      <c r="Q1728" s="14" t="str">
        <f>IFERROR(__xludf.DUMMYFUNCTION("split(P1728,"":"")"),"Out of Stock")</f>
        <v>Out of Stock</v>
      </c>
      <c r="R1728" s="14"/>
      <c r="S1728" s="14" t="str">
        <f t="shared" ref="S1728:U1728" si="3459">trim(B1728)</f>
        <v>ord_71706</v>
      </c>
      <c r="T1728" s="14" t="str">
        <f t="shared" si="3459"/>
        <v>Pallavi Ghosh</v>
      </c>
      <c r="U1728" s="14" t="str">
        <f t="shared" si="3459"/>
        <v>Bandra</v>
      </c>
      <c r="V1728" s="14" t="str">
        <f t="shared" si="4"/>
        <v>Guava</v>
      </c>
      <c r="W1728" s="14">
        <f t="shared" si="5"/>
        <v>2</v>
      </c>
      <c r="X1728" s="14" t="str">
        <f t="shared" si="6"/>
        <v>Not Assigned</v>
      </c>
      <c r="Y1728" s="15">
        <f t="shared" si="7"/>
        <v>44950</v>
      </c>
      <c r="Z1728" s="14" t="str">
        <f t="shared" si="8"/>
        <v>Credit Card</v>
      </c>
      <c r="AA1728" s="14" t="str">
        <f t="shared" si="9"/>
        <v>Cancelled</v>
      </c>
      <c r="AB1728" s="14" t="str">
        <f t="shared" ref="AB1728:AC1728" si="3460">trim(Q1728)</f>
        <v>Out of Stock</v>
      </c>
      <c r="AC1728" s="14" t="str">
        <f t="shared" si="3460"/>
        <v/>
      </c>
      <c r="AD1728" s="8"/>
    </row>
    <row r="1729">
      <c r="A1729" s="14" t="str">
        <f>IFERROR(__xludf.DUMMYFUNCTION("""COMPUTED_VALUE"""),"//ord_71707//Kavya Menon//Andheri//Chocolate Mousse+6*Vivek Kumar/5/13/2023//Online Payment//Delivered*On-time Delivery: Delivered on time")</f>
        <v>//ord_71707//Kavya Menon//Andheri//Chocolate Mousse+6*Vivek Kumar/5/13/2023//Online Payment//Delivered*On-time Delivery: Delivered on time</v>
      </c>
      <c r="B1729" s="14" t="str">
        <f>IFERROR(__xludf.DUMMYFUNCTION("split(A1729,""//"")"),"ord_71707")</f>
        <v>ord_71707</v>
      </c>
      <c r="C1729" s="14" t="str">
        <f>IFERROR(__xludf.DUMMYFUNCTION("""COMPUTED_VALUE"""),"Kavya Menon")</f>
        <v>Kavya Menon</v>
      </c>
      <c r="D1729" s="14" t="str">
        <f>IFERROR(__xludf.DUMMYFUNCTION("""COMPUTED_VALUE"""),"Andheri")</f>
        <v>Andheri</v>
      </c>
      <c r="E1729" s="14" t="str">
        <f>IFERROR(__xludf.DUMMYFUNCTION("""COMPUTED_VALUE"""),"Chocolate Mousse+6*Vivek Kumar")</f>
        <v>Chocolate Mousse+6*Vivek Kumar</v>
      </c>
      <c r="F1729" s="14">
        <f>IFERROR(__xludf.DUMMYFUNCTION("""COMPUTED_VALUE"""),5.0)</f>
        <v>5</v>
      </c>
      <c r="G1729" s="14">
        <f>IFERROR(__xludf.DUMMYFUNCTION("""COMPUTED_VALUE"""),13.0)</f>
        <v>13</v>
      </c>
      <c r="H1729" s="14">
        <f>IFERROR(__xludf.DUMMYFUNCTION("""COMPUTED_VALUE"""),2023.0)</f>
        <v>2023</v>
      </c>
      <c r="I1729" s="14" t="str">
        <f>IFERROR(__xludf.DUMMYFUNCTION("""COMPUTED_VALUE"""),"Online Payment")</f>
        <v>Online Payment</v>
      </c>
      <c r="J1729" s="14" t="str">
        <f>IFERROR(__xludf.DUMMYFUNCTION("""COMPUTED_VALUE"""),"Delivered*On-time Delivery: Delivered on time")</f>
        <v>Delivered*On-time Delivery: Delivered on time</v>
      </c>
      <c r="K1729" s="14" t="str">
        <f>IFERROR(__xludf.DUMMYFUNCTION("split(E1729,""+"")"),"Chocolate Mousse")</f>
        <v>Chocolate Mousse</v>
      </c>
      <c r="L1729" s="14" t="str">
        <f>IFERROR(__xludf.DUMMYFUNCTION("""COMPUTED_VALUE"""),"6*Vivek Kumar")</f>
        <v>6*Vivek Kumar</v>
      </c>
      <c r="M1729" s="14">
        <f>IFERROR(__xludf.DUMMYFUNCTION("SPLIT(L1729,""*"")"),6.0)</f>
        <v>6</v>
      </c>
      <c r="N1729" s="14" t="str">
        <f>IFERROR(__xludf.DUMMYFUNCTION("""COMPUTED_VALUE"""),"Vivek Kumar")</f>
        <v>Vivek Kumar</v>
      </c>
      <c r="O1729" s="14" t="str">
        <f>IFERROR(__xludf.DUMMYFUNCTION("split(J1729,""*"")"),"Delivered")</f>
        <v>Delivered</v>
      </c>
      <c r="P1729" s="14" t="str">
        <f>IFERROR(__xludf.DUMMYFUNCTION("""COMPUTED_VALUE"""),"On-time Delivery: Delivered on time")</f>
        <v>On-time Delivery: Delivered on time</v>
      </c>
      <c r="Q1729" s="14" t="str">
        <f>IFERROR(__xludf.DUMMYFUNCTION("split(P1729,"":"")"),"On-time Delivery")</f>
        <v>On-time Delivery</v>
      </c>
      <c r="R1729" s="14" t="str">
        <f>IFERROR(__xludf.DUMMYFUNCTION("""COMPUTED_VALUE""")," Delivered on time")</f>
        <v> Delivered on time</v>
      </c>
      <c r="S1729" s="14" t="str">
        <f t="shared" ref="S1729:U1729" si="3461">trim(B1729)</f>
        <v>ord_71707</v>
      </c>
      <c r="T1729" s="14" t="str">
        <f t="shared" si="3461"/>
        <v>Kavya Menon</v>
      </c>
      <c r="U1729" s="14" t="str">
        <f t="shared" si="3461"/>
        <v>Andheri</v>
      </c>
      <c r="V1729" s="14" t="str">
        <f t="shared" si="4"/>
        <v>Chocolate Mousse</v>
      </c>
      <c r="W1729" s="14">
        <f t="shared" si="5"/>
        <v>6</v>
      </c>
      <c r="X1729" s="14" t="str">
        <f t="shared" si="6"/>
        <v>Vivek Kumar</v>
      </c>
      <c r="Y1729" s="15">
        <f t="shared" si="7"/>
        <v>45059</v>
      </c>
      <c r="Z1729" s="14" t="str">
        <f t="shared" si="8"/>
        <v>Online Payment</v>
      </c>
      <c r="AA1729" s="14" t="str">
        <f t="shared" si="9"/>
        <v>Delivered</v>
      </c>
      <c r="AB1729" s="14" t="str">
        <f t="shared" ref="AB1729:AC1729" si="3462">trim(Q1729)</f>
        <v>On-time Delivery</v>
      </c>
      <c r="AC1729" s="14" t="str">
        <f t="shared" si="3462"/>
        <v>Delivered on time</v>
      </c>
      <c r="AD1729" s="8"/>
    </row>
    <row r="1730">
      <c r="A1730" s="14" t="str">
        <f>IFERROR(__xludf.DUMMYFUNCTION("""COMPUTED_VALUE"""),"//ord_71708//Kavya Menon//Andheri//Guava+3*Sita T/12/14/2023//Online Payment//Delivered*Quality of Items: Perfect condition")</f>
        <v>//ord_71708//Kavya Menon//Andheri//Guava+3*Sita T/12/14/2023//Online Payment//Delivered*Quality of Items: Perfect condition</v>
      </c>
      <c r="B1730" s="14" t="str">
        <f>IFERROR(__xludf.DUMMYFUNCTION("split(A1730,""//"")"),"ord_71708")</f>
        <v>ord_71708</v>
      </c>
      <c r="C1730" s="14" t="str">
        <f>IFERROR(__xludf.DUMMYFUNCTION("""COMPUTED_VALUE"""),"Kavya Menon")</f>
        <v>Kavya Menon</v>
      </c>
      <c r="D1730" s="14" t="str">
        <f>IFERROR(__xludf.DUMMYFUNCTION("""COMPUTED_VALUE"""),"Andheri")</f>
        <v>Andheri</v>
      </c>
      <c r="E1730" s="14" t="str">
        <f>IFERROR(__xludf.DUMMYFUNCTION("""COMPUTED_VALUE"""),"Guava+3*Sita T")</f>
        <v>Guava+3*Sita T</v>
      </c>
      <c r="F1730" s="14">
        <f>IFERROR(__xludf.DUMMYFUNCTION("""COMPUTED_VALUE"""),12.0)</f>
        <v>12</v>
      </c>
      <c r="G1730" s="14">
        <f>IFERROR(__xludf.DUMMYFUNCTION("""COMPUTED_VALUE"""),14.0)</f>
        <v>14</v>
      </c>
      <c r="H1730" s="14">
        <f>IFERROR(__xludf.DUMMYFUNCTION("""COMPUTED_VALUE"""),2023.0)</f>
        <v>2023</v>
      </c>
      <c r="I1730" s="14" t="str">
        <f>IFERROR(__xludf.DUMMYFUNCTION("""COMPUTED_VALUE"""),"Online Payment")</f>
        <v>Online Payment</v>
      </c>
      <c r="J1730" s="14" t="str">
        <f>IFERROR(__xludf.DUMMYFUNCTION("""COMPUTED_VALUE"""),"Delivered*Quality of Items: Perfect condition")</f>
        <v>Delivered*Quality of Items: Perfect condition</v>
      </c>
      <c r="K1730" s="14" t="str">
        <f>IFERROR(__xludf.DUMMYFUNCTION("split(E1730,""+"")"),"Guava")</f>
        <v>Guava</v>
      </c>
      <c r="L1730" s="14" t="str">
        <f>IFERROR(__xludf.DUMMYFUNCTION("""COMPUTED_VALUE"""),"3*Sita T")</f>
        <v>3*Sita T</v>
      </c>
      <c r="M1730" s="14">
        <f>IFERROR(__xludf.DUMMYFUNCTION("SPLIT(L1730,""*"")"),3.0)</f>
        <v>3</v>
      </c>
      <c r="N1730" s="14" t="str">
        <f>IFERROR(__xludf.DUMMYFUNCTION("""COMPUTED_VALUE"""),"Sita T")</f>
        <v>Sita T</v>
      </c>
      <c r="O1730" s="14" t="str">
        <f>IFERROR(__xludf.DUMMYFUNCTION("split(J1730,""*"")"),"Delivered")</f>
        <v>Delivered</v>
      </c>
      <c r="P1730" s="14" t="str">
        <f>IFERROR(__xludf.DUMMYFUNCTION("""COMPUTED_VALUE"""),"Quality of Items: Perfect condition")</f>
        <v>Quality of Items: Perfect condition</v>
      </c>
      <c r="Q1730" s="14" t="str">
        <f>IFERROR(__xludf.DUMMYFUNCTION("split(P1730,"":"")"),"Quality of Items")</f>
        <v>Quality of Items</v>
      </c>
      <c r="R1730" s="14" t="str">
        <f>IFERROR(__xludf.DUMMYFUNCTION("""COMPUTED_VALUE""")," Perfect condition")</f>
        <v> Perfect condition</v>
      </c>
      <c r="S1730" s="14" t="str">
        <f t="shared" ref="S1730:U1730" si="3463">trim(B1730)</f>
        <v>ord_71708</v>
      </c>
      <c r="T1730" s="14" t="str">
        <f t="shared" si="3463"/>
        <v>Kavya Menon</v>
      </c>
      <c r="U1730" s="14" t="str">
        <f t="shared" si="3463"/>
        <v>Andheri</v>
      </c>
      <c r="V1730" s="14" t="str">
        <f t="shared" si="4"/>
        <v>Guava</v>
      </c>
      <c r="W1730" s="14">
        <f t="shared" si="5"/>
        <v>3</v>
      </c>
      <c r="X1730" s="14" t="str">
        <f t="shared" si="6"/>
        <v>Sita T</v>
      </c>
      <c r="Y1730" s="15">
        <f t="shared" si="7"/>
        <v>45274</v>
      </c>
      <c r="Z1730" s="14" t="str">
        <f t="shared" si="8"/>
        <v>Online Payment</v>
      </c>
      <c r="AA1730" s="14" t="str">
        <f t="shared" si="9"/>
        <v>Delivered</v>
      </c>
      <c r="AB1730" s="14" t="str">
        <f t="shared" ref="AB1730:AC1730" si="3464">trim(Q1730)</f>
        <v>Quality of Items</v>
      </c>
      <c r="AC1730" s="14" t="str">
        <f t="shared" si="3464"/>
        <v>Perfect condition</v>
      </c>
      <c r="AD1730" s="8"/>
    </row>
    <row r="1731">
      <c r="A1731" s="14" t="str">
        <f>IFERROR(__xludf.DUMMYFUNCTION("""COMPUTED_VALUE"""),"//ord_71709//Siya Reddy//Juhu//Guava+1*Sita T/3/8/2023//UPI//Delivered*Packaging: Secure and intact")</f>
        <v>//ord_71709//Siya Reddy//Juhu//Guava+1*Sita T/3/8/2023//UPI//Delivered*Packaging: Secure and intact</v>
      </c>
      <c r="B1731" s="14" t="str">
        <f>IFERROR(__xludf.DUMMYFUNCTION("split(A1731,""//"")"),"ord_71709")</f>
        <v>ord_71709</v>
      </c>
      <c r="C1731" s="14" t="str">
        <f>IFERROR(__xludf.DUMMYFUNCTION("""COMPUTED_VALUE"""),"Siya Reddy")</f>
        <v>Siya Reddy</v>
      </c>
      <c r="D1731" s="14" t="str">
        <f>IFERROR(__xludf.DUMMYFUNCTION("""COMPUTED_VALUE"""),"Juhu")</f>
        <v>Juhu</v>
      </c>
      <c r="E1731" s="14" t="str">
        <f>IFERROR(__xludf.DUMMYFUNCTION("""COMPUTED_VALUE"""),"Guava+1*Sita T")</f>
        <v>Guava+1*Sita T</v>
      </c>
      <c r="F1731" s="14">
        <f>IFERROR(__xludf.DUMMYFUNCTION("""COMPUTED_VALUE"""),3.0)</f>
        <v>3</v>
      </c>
      <c r="G1731" s="14">
        <f>IFERROR(__xludf.DUMMYFUNCTION("""COMPUTED_VALUE"""),8.0)</f>
        <v>8</v>
      </c>
      <c r="H1731" s="14">
        <f>IFERROR(__xludf.DUMMYFUNCTION("""COMPUTED_VALUE"""),2023.0)</f>
        <v>2023</v>
      </c>
      <c r="I1731" s="14" t="str">
        <f>IFERROR(__xludf.DUMMYFUNCTION("""COMPUTED_VALUE"""),"UPI")</f>
        <v>UPI</v>
      </c>
      <c r="J1731" s="14" t="str">
        <f>IFERROR(__xludf.DUMMYFUNCTION("""COMPUTED_VALUE"""),"Delivered*Packaging: Secure and intact")</f>
        <v>Delivered*Packaging: Secure and intact</v>
      </c>
      <c r="K1731" s="14" t="str">
        <f>IFERROR(__xludf.DUMMYFUNCTION("split(E1731,""+"")"),"Guava")</f>
        <v>Guava</v>
      </c>
      <c r="L1731" s="14" t="str">
        <f>IFERROR(__xludf.DUMMYFUNCTION("""COMPUTED_VALUE"""),"1*Sita T")</f>
        <v>1*Sita T</v>
      </c>
      <c r="M1731" s="14">
        <f>IFERROR(__xludf.DUMMYFUNCTION("SPLIT(L1731,""*"")"),1.0)</f>
        <v>1</v>
      </c>
      <c r="N1731" s="14" t="str">
        <f>IFERROR(__xludf.DUMMYFUNCTION("""COMPUTED_VALUE"""),"Sita T")</f>
        <v>Sita T</v>
      </c>
      <c r="O1731" s="14" t="str">
        <f>IFERROR(__xludf.DUMMYFUNCTION("split(J1731,""*"")"),"Delivered")</f>
        <v>Delivered</v>
      </c>
      <c r="P1731" s="14" t="str">
        <f>IFERROR(__xludf.DUMMYFUNCTION("""COMPUTED_VALUE"""),"Packaging: Secure and intact")</f>
        <v>Packaging: Secure and intact</v>
      </c>
      <c r="Q1731" s="14" t="str">
        <f>IFERROR(__xludf.DUMMYFUNCTION("split(P1731,"":"")"),"Packaging")</f>
        <v>Packaging</v>
      </c>
      <c r="R1731" s="14" t="str">
        <f>IFERROR(__xludf.DUMMYFUNCTION("""COMPUTED_VALUE""")," Secure and intact")</f>
        <v> Secure and intact</v>
      </c>
      <c r="S1731" s="14" t="str">
        <f t="shared" ref="S1731:U1731" si="3465">trim(B1731)</f>
        <v>ord_71709</v>
      </c>
      <c r="T1731" s="14" t="str">
        <f t="shared" si="3465"/>
        <v>Siya Reddy</v>
      </c>
      <c r="U1731" s="14" t="str">
        <f t="shared" si="3465"/>
        <v>Juhu</v>
      </c>
      <c r="V1731" s="14" t="str">
        <f t="shared" si="4"/>
        <v>Guava</v>
      </c>
      <c r="W1731" s="14">
        <f t="shared" si="5"/>
        <v>1</v>
      </c>
      <c r="X1731" s="14" t="str">
        <f t="shared" si="6"/>
        <v>Sita T</v>
      </c>
      <c r="Y1731" s="15">
        <f t="shared" si="7"/>
        <v>44993</v>
      </c>
      <c r="Z1731" s="14" t="str">
        <f t="shared" si="8"/>
        <v>UPI</v>
      </c>
      <c r="AA1731" s="14" t="str">
        <f t="shared" si="9"/>
        <v>Delivered</v>
      </c>
      <c r="AB1731" s="14" t="str">
        <f t="shared" ref="AB1731:AC1731" si="3466">trim(Q1731)</f>
        <v>Packaging</v>
      </c>
      <c r="AC1731" s="14" t="str">
        <f t="shared" si="3466"/>
        <v>Secure and intact</v>
      </c>
      <c r="AD1731" s="8"/>
    </row>
    <row r="1732">
      <c r="A1732" s="14" t="str">
        <f>IFERROR(__xludf.DUMMYFUNCTION("""COMPUTED_VALUE"""),"//ord_71710//Dev Chauhan//Bandra//Tiramisu+4*Not Assigned/7/2/2023//Credit Card//Cancelled*App Glitches: Payment Button Malfunction")</f>
        <v>//ord_71710//Dev Chauhan//Bandra//Tiramisu+4*Not Assigned/7/2/2023//Credit Card//Cancelled*App Glitches: Payment Button Malfunction</v>
      </c>
      <c r="B1732" s="14" t="str">
        <f>IFERROR(__xludf.DUMMYFUNCTION("split(A1732,""//"")"),"ord_71710")</f>
        <v>ord_71710</v>
      </c>
      <c r="C1732" s="14" t="str">
        <f>IFERROR(__xludf.DUMMYFUNCTION("""COMPUTED_VALUE"""),"Dev Chauhan")</f>
        <v>Dev Chauhan</v>
      </c>
      <c r="D1732" s="14" t="str">
        <f>IFERROR(__xludf.DUMMYFUNCTION("""COMPUTED_VALUE"""),"Bandra")</f>
        <v>Bandra</v>
      </c>
      <c r="E1732" s="14" t="str">
        <f>IFERROR(__xludf.DUMMYFUNCTION("""COMPUTED_VALUE"""),"Tiramisu+4*Not Assigned")</f>
        <v>Tiramisu+4*Not Assigned</v>
      </c>
      <c r="F1732" s="14">
        <f>IFERROR(__xludf.DUMMYFUNCTION("""COMPUTED_VALUE"""),7.0)</f>
        <v>7</v>
      </c>
      <c r="G1732" s="14">
        <f>IFERROR(__xludf.DUMMYFUNCTION("""COMPUTED_VALUE"""),2.0)</f>
        <v>2</v>
      </c>
      <c r="H1732" s="14">
        <f>IFERROR(__xludf.DUMMYFUNCTION("""COMPUTED_VALUE"""),2023.0)</f>
        <v>2023</v>
      </c>
      <c r="I1732" s="14" t="str">
        <f>IFERROR(__xludf.DUMMYFUNCTION("""COMPUTED_VALUE"""),"Credit Card")</f>
        <v>Credit Card</v>
      </c>
      <c r="J1732" s="14" t="str">
        <f>IFERROR(__xludf.DUMMYFUNCTION("""COMPUTED_VALUE"""),"Cancelled*App Glitches: Payment Button Malfunction")</f>
        <v>Cancelled*App Glitches: Payment Button Malfunction</v>
      </c>
      <c r="K1732" s="14" t="str">
        <f>IFERROR(__xludf.DUMMYFUNCTION("split(E1732,""+"")"),"Tiramisu")</f>
        <v>Tiramisu</v>
      </c>
      <c r="L1732" s="14" t="str">
        <f>IFERROR(__xludf.DUMMYFUNCTION("""COMPUTED_VALUE"""),"4*Not Assigned")</f>
        <v>4*Not Assigned</v>
      </c>
      <c r="M1732" s="14">
        <f>IFERROR(__xludf.DUMMYFUNCTION("SPLIT(L1732,""*"")"),4.0)</f>
        <v>4</v>
      </c>
      <c r="N1732" s="14" t="str">
        <f>IFERROR(__xludf.DUMMYFUNCTION("""COMPUTED_VALUE"""),"Not Assigned")</f>
        <v>Not Assigned</v>
      </c>
      <c r="O1732" s="14" t="str">
        <f>IFERROR(__xludf.DUMMYFUNCTION("split(J1732,""*"")"),"Cancelled")</f>
        <v>Cancelled</v>
      </c>
      <c r="P1732" s="14" t="str">
        <f>IFERROR(__xludf.DUMMYFUNCTION("""COMPUTED_VALUE"""),"App Glitches: Payment Button Malfunction")</f>
        <v>App Glitches: Payment Button Malfunction</v>
      </c>
      <c r="Q1732" s="14" t="str">
        <f>IFERROR(__xludf.DUMMYFUNCTION("split(P1732,"":"")"),"App Glitches")</f>
        <v>App Glitches</v>
      </c>
      <c r="R1732" s="14" t="str">
        <f>IFERROR(__xludf.DUMMYFUNCTION("""COMPUTED_VALUE""")," Payment Button Malfunction")</f>
        <v> Payment Button Malfunction</v>
      </c>
      <c r="S1732" s="14" t="str">
        <f t="shared" ref="S1732:U1732" si="3467">trim(B1732)</f>
        <v>ord_71710</v>
      </c>
      <c r="T1732" s="14" t="str">
        <f t="shared" si="3467"/>
        <v>Dev Chauhan</v>
      </c>
      <c r="U1732" s="14" t="str">
        <f t="shared" si="3467"/>
        <v>Bandra</v>
      </c>
      <c r="V1732" s="14" t="str">
        <f t="shared" si="4"/>
        <v>Tiramisu</v>
      </c>
      <c r="W1732" s="14">
        <f t="shared" si="5"/>
        <v>4</v>
      </c>
      <c r="X1732" s="14" t="str">
        <f t="shared" si="6"/>
        <v>Not Assigned</v>
      </c>
      <c r="Y1732" s="15">
        <f t="shared" si="7"/>
        <v>45109</v>
      </c>
      <c r="Z1732" s="14" t="str">
        <f t="shared" si="8"/>
        <v>Credit Card</v>
      </c>
      <c r="AA1732" s="14" t="str">
        <f t="shared" si="9"/>
        <v>Cancelled</v>
      </c>
      <c r="AB1732" s="14" t="str">
        <f t="shared" ref="AB1732:AC1732" si="3468">trim(Q1732)</f>
        <v>App Glitches</v>
      </c>
      <c r="AC1732" s="14" t="str">
        <f t="shared" si="3468"/>
        <v>Payment Button Malfunction</v>
      </c>
      <c r="AD1732" s="8"/>
    </row>
    <row r="1733">
      <c r="A1733" s="14" t="str">
        <f>IFERROR(__xludf.DUMMYFUNCTION("""COMPUTED_VALUE"""),"//ord_71711//Diya Arora//Lower Parel//Cold Coffee+5*Not Assigned/5/18/2023//Credit Card//Cancelled*App Glitches:App Freezes")</f>
        <v>//ord_71711//Diya Arora//Lower Parel//Cold Coffee+5*Not Assigned/5/18/2023//Credit Card//Cancelled*App Glitches:App Freezes</v>
      </c>
      <c r="B1733" s="14" t="str">
        <f>IFERROR(__xludf.DUMMYFUNCTION("split(A1733,""//"")"),"ord_71711")</f>
        <v>ord_71711</v>
      </c>
      <c r="C1733" s="14" t="str">
        <f>IFERROR(__xludf.DUMMYFUNCTION("""COMPUTED_VALUE"""),"Diya Arora")</f>
        <v>Diya Arora</v>
      </c>
      <c r="D1733" s="14" t="str">
        <f>IFERROR(__xludf.DUMMYFUNCTION("""COMPUTED_VALUE"""),"Lower Parel")</f>
        <v>Lower Parel</v>
      </c>
      <c r="E1733" s="14" t="str">
        <f>IFERROR(__xludf.DUMMYFUNCTION("""COMPUTED_VALUE"""),"Cold Coffee+5*Not Assigned")</f>
        <v>Cold Coffee+5*Not Assigned</v>
      </c>
      <c r="F1733" s="14">
        <f>IFERROR(__xludf.DUMMYFUNCTION("""COMPUTED_VALUE"""),5.0)</f>
        <v>5</v>
      </c>
      <c r="G1733" s="14">
        <f>IFERROR(__xludf.DUMMYFUNCTION("""COMPUTED_VALUE"""),18.0)</f>
        <v>18</v>
      </c>
      <c r="H1733" s="14">
        <f>IFERROR(__xludf.DUMMYFUNCTION("""COMPUTED_VALUE"""),2023.0)</f>
        <v>2023</v>
      </c>
      <c r="I1733" s="14" t="str">
        <f>IFERROR(__xludf.DUMMYFUNCTION("""COMPUTED_VALUE"""),"Credit Card")</f>
        <v>Credit Card</v>
      </c>
      <c r="J1733" s="14" t="str">
        <f>IFERROR(__xludf.DUMMYFUNCTION("""COMPUTED_VALUE"""),"Cancelled*App Glitches:App Freezes")</f>
        <v>Cancelled*App Glitches:App Freezes</v>
      </c>
      <c r="K1733" s="14" t="str">
        <f>IFERROR(__xludf.DUMMYFUNCTION("split(E1733,""+"")"),"Cold Coffee")</f>
        <v>Cold Coffee</v>
      </c>
      <c r="L1733" s="14" t="str">
        <f>IFERROR(__xludf.DUMMYFUNCTION("""COMPUTED_VALUE"""),"5*Not Assigned")</f>
        <v>5*Not Assigned</v>
      </c>
      <c r="M1733" s="14">
        <f>IFERROR(__xludf.DUMMYFUNCTION("SPLIT(L1733,""*"")"),5.0)</f>
        <v>5</v>
      </c>
      <c r="N1733" s="14" t="str">
        <f>IFERROR(__xludf.DUMMYFUNCTION("""COMPUTED_VALUE"""),"Not Assigned")</f>
        <v>Not Assigned</v>
      </c>
      <c r="O1733" s="14" t="str">
        <f>IFERROR(__xludf.DUMMYFUNCTION("split(J1733,""*"")"),"Cancelled")</f>
        <v>Cancelled</v>
      </c>
      <c r="P1733" s="14" t="str">
        <f>IFERROR(__xludf.DUMMYFUNCTION("""COMPUTED_VALUE"""),"App Glitches:App Freezes")</f>
        <v>App Glitches:App Freezes</v>
      </c>
      <c r="Q1733" s="14" t="str">
        <f>IFERROR(__xludf.DUMMYFUNCTION("split(P1733,"":"")"),"App Glitches")</f>
        <v>App Glitches</v>
      </c>
      <c r="R1733" s="14" t="str">
        <f>IFERROR(__xludf.DUMMYFUNCTION("""COMPUTED_VALUE"""),"App Freezes")</f>
        <v>App Freezes</v>
      </c>
      <c r="S1733" s="14" t="str">
        <f t="shared" ref="S1733:U1733" si="3469">trim(B1733)</f>
        <v>ord_71711</v>
      </c>
      <c r="T1733" s="14" t="str">
        <f t="shared" si="3469"/>
        <v>Diya Arora</v>
      </c>
      <c r="U1733" s="14" t="str">
        <f t="shared" si="3469"/>
        <v>Lower Parel</v>
      </c>
      <c r="V1733" s="14" t="str">
        <f t="shared" si="4"/>
        <v>Cold Coffee</v>
      </c>
      <c r="W1733" s="14">
        <f t="shared" si="5"/>
        <v>5</v>
      </c>
      <c r="X1733" s="14" t="str">
        <f t="shared" si="6"/>
        <v>Not Assigned</v>
      </c>
      <c r="Y1733" s="15">
        <f t="shared" si="7"/>
        <v>45064</v>
      </c>
      <c r="Z1733" s="14" t="str">
        <f t="shared" si="8"/>
        <v>Credit Card</v>
      </c>
      <c r="AA1733" s="14" t="str">
        <f t="shared" si="9"/>
        <v>Cancelled</v>
      </c>
      <c r="AB1733" s="14" t="str">
        <f t="shared" ref="AB1733:AC1733" si="3470">trim(Q1733)</f>
        <v>App Glitches</v>
      </c>
      <c r="AC1733" s="14" t="str">
        <f t="shared" si="3470"/>
        <v>App Freezes</v>
      </c>
      <c r="AD1733" s="8"/>
    </row>
    <row r="1734">
      <c r="A1734" s="14" t="str">
        <f>IFERROR(__xludf.DUMMYFUNCTION("""COMPUTED_VALUE"""),"//ord_71712//Diya Arora//Lower Parel//Cold Coffee+5*Kiran Mehta/12/28/2023//UPI//Delivered*Satisfied with the Delivery: Timely and quality")</f>
        <v>//ord_71712//Diya Arora//Lower Parel//Cold Coffee+5*Kiran Mehta/12/28/2023//UPI//Delivered*Satisfied with the Delivery: Timely and quality</v>
      </c>
      <c r="B1734" s="14" t="str">
        <f>IFERROR(__xludf.DUMMYFUNCTION("split(A1734,""//"")"),"ord_71712")</f>
        <v>ord_71712</v>
      </c>
      <c r="C1734" s="14" t="str">
        <f>IFERROR(__xludf.DUMMYFUNCTION("""COMPUTED_VALUE"""),"Diya Arora")</f>
        <v>Diya Arora</v>
      </c>
      <c r="D1734" s="14" t="str">
        <f>IFERROR(__xludf.DUMMYFUNCTION("""COMPUTED_VALUE"""),"Lower Parel")</f>
        <v>Lower Parel</v>
      </c>
      <c r="E1734" s="14" t="str">
        <f>IFERROR(__xludf.DUMMYFUNCTION("""COMPUTED_VALUE"""),"Cold Coffee+5*Kiran Mehta")</f>
        <v>Cold Coffee+5*Kiran Mehta</v>
      </c>
      <c r="F1734" s="14">
        <f>IFERROR(__xludf.DUMMYFUNCTION("""COMPUTED_VALUE"""),12.0)</f>
        <v>12</v>
      </c>
      <c r="G1734" s="14">
        <f>IFERROR(__xludf.DUMMYFUNCTION("""COMPUTED_VALUE"""),28.0)</f>
        <v>28</v>
      </c>
      <c r="H1734" s="14">
        <f>IFERROR(__xludf.DUMMYFUNCTION("""COMPUTED_VALUE"""),2023.0)</f>
        <v>2023</v>
      </c>
      <c r="I1734" s="14" t="str">
        <f>IFERROR(__xludf.DUMMYFUNCTION("""COMPUTED_VALUE"""),"UPI")</f>
        <v>UPI</v>
      </c>
      <c r="J1734" s="14" t="str">
        <f>IFERROR(__xludf.DUMMYFUNCTION("""COMPUTED_VALUE"""),"Delivered*Satisfied with the Delivery: Timely and quality")</f>
        <v>Delivered*Satisfied with the Delivery: Timely and quality</v>
      </c>
      <c r="K1734" s="14" t="str">
        <f>IFERROR(__xludf.DUMMYFUNCTION("split(E1734,""+"")"),"Cold Coffee")</f>
        <v>Cold Coffee</v>
      </c>
      <c r="L1734" s="14" t="str">
        <f>IFERROR(__xludf.DUMMYFUNCTION("""COMPUTED_VALUE"""),"5*Kiran Mehta")</f>
        <v>5*Kiran Mehta</v>
      </c>
      <c r="M1734" s="14">
        <f>IFERROR(__xludf.DUMMYFUNCTION("SPLIT(L1734,""*"")"),5.0)</f>
        <v>5</v>
      </c>
      <c r="N1734" s="14" t="str">
        <f>IFERROR(__xludf.DUMMYFUNCTION("""COMPUTED_VALUE"""),"Kiran Mehta")</f>
        <v>Kiran Mehta</v>
      </c>
      <c r="O1734" s="14" t="str">
        <f>IFERROR(__xludf.DUMMYFUNCTION("split(J1734,""*"")"),"Delivered")</f>
        <v>Delivered</v>
      </c>
      <c r="P1734" s="14" t="str">
        <f>IFERROR(__xludf.DUMMYFUNCTION("""COMPUTED_VALUE"""),"Satisfied with the Delivery: Timely and quality")</f>
        <v>Satisfied with the Delivery: Timely and quality</v>
      </c>
      <c r="Q1734" s="14" t="str">
        <f>IFERROR(__xludf.DUMMYFUNCTION("split(P1734,"":"")"),"Satisfied with the Delivery")</f>
        <v>Satisfied with the Delivery</v>
      </c>
      <c r="R1734" s="14" t="str">
        <f>IFERROR(__xludf.DUMMYFUNCTION("""COMPUTED_VALUE""")," Timely and quality")</f>
        <v> Timely and quality</v>
      </c>
      <c r="S1734" s="14" t="str">
        <f t="shared" ref="S1734:U1734" si="3471">trim(B1734)</f>
        <v>ord_71712</v>
      </c>
      <c r="T1734" s="14" t="str">
        <f t="shared" si="3471"/>
        <v>Diya Arora</v>
      </c>
      <c r="U1734" s="14" t="str">
        <f t="shared" si="3471"/>
        <v>Lower Parel</v>
      </c>
      <c r="V1734" s="14" t="str">
        <f t="shared" si="4"/>
        <v>Cold Coffee</v>
      </c>
      <c r="W1734" s="14">
        <f t="shared" si="5"/>
        <v>5</v>
      </c>
      <c r="X1734" s="14" t="str">
        <f t="shared" si="6"/>
        <v>Kiran Mehta</v>
      </c>
      <c r="Y1734" s="15">
        <f t="shared" si="7"/>
        <v>45288</v>
      </c>
      <c r="Z1734" s="14" t="str">
        <f t="shared" si="8"/>
        <v>UPI</v>
      </c>
      <c r="AA1734" s="14" t="str">
        <f t="shared" si="9"/>
        <v>Delivered</v>
      </c>
      <c r="AB1734" s="14" t="str">
        <f t="shared" ref="AB1734:AC1734" si="3472">trim(Q1734)</f>
        <v>Satisfied with the Delivery</v>
      </c>
      <c r="AC1734" s="14" t="str">
        <f t="shared" si="3472"/>
        <v>Timely and quality</v>
      </c>
      <c r="AD1734" s="8"/>
    </row>
    <row r="1735">
      <c r="A1735" s="14" t="str">
        <f>IFERROR(__xludf.DUMMYFUNCTION("""COMPUTED_VALUE"""),"//ord_71713//Diya Arora//Lower Parel//Icecream+3*Kiran Mehta/8/3/2023//UPI//Delivered*Customer Service: Seamless and easy")</f>
        <v>//ord_71713//Diya Arora//Lower Parel//Icecream+3*Kiran Mehta/8/3/2023//UPI//Delivered*Customer Service: Seamless and easy</v>
      </c>
      <c r="B1735" s="14" t="str">
        <f>IFERROR(__xludf.DUMMYFUNCTION("split(A1735,""//"")"),"ord_71713")</f>
        <v>ord_71713</v>
      </c>
      <c r="C1735" s="14" t="str">
        <f>IFERROR(__xludf.DUMMYFUNCTION("""COMPUTED_VALUE"""),"Diya Arora")</f>
        <v>Diya Arora</v>
      </c>
      <c r="D1735" s="14" t="str">
        <f>IFERROR(__xludf.DUMMYFUNCTION("""COMPUTED_VALUE"""),"Lower Parel")</f>
        <v>Lower Parel</v>
      </c>
      <c r="E1735" s="14" t="str">
        <f>IFERROR(__xludf.DUMMYFUNCTION("""COMPUTED_VALUE"""),"Icecream+3*Kiran Mehta")</f>
        <v>Icecream+3*Kiran Mehta</v>
      </c>
      <c r="F1735" s="14">
        <f>IFERROR(__xludf.DUMMYFUNCTION("""COMPUTED_VALUE"""),8.0)</f>
        <v>8</v>
      </c>
      <c r="G1735" s="14">
        <f>IFERROR(__xludf.DUMMYFUNCTION("""COMPUTED_VALUE"""),3.0)</f>
        <v>3</v>
      </c>
      <c r="H1735" s="14">
        <f>IFERROR(__xludf.DUMMYFUNCTION("""COMPUTED_VALUE"""),2023.0)</f>
        <v>2023</v>
      </c>
      <c r="I1735" s="14" t="str">
        <f>IFERROR(__xludf.DUMMYFUNCTION("""COMPUTED_VALUE"""),"UPI")</f>
        <v>UPI</v>
      </c>
      <c r="J1735" s="14" t="str">
        <f>IFERROR(__xludf.DUMMYFUNCTION("""COMPUTED_VALUE"""),"Delivered*Customer Service: Seamless and easy")</f>
        <v>Delivered*Customer Service: Seamless and easy</v>
      </c>
      <c r="K1735" s="14" t="str">
        <f>IFERROR(__xludf.DUMMYFUNCTION("split(E1735,""+"")"),"Icecream")</f>
        <v>Icecream</v>
      </c>
      <c r="L1735" s="14" t="str">
        <f>IFERROR(__xludf.DUMMYFUNCTION("""COMPUTED_VALUE"""),"3*Kiran Mehta")</f>
        <v>3*Kiran Mehta</v>
      </c>
      <c r="M1735" s="14">
        <f>IFERROR(__xludf.DUMMYFUNCTION("SPLIT(L1735,""*"")"),3.0)</f>
        <v>3</v>
      </c>
      <c r="N1735" s="14" t="str">
        <f>IFERROR(__xludf.DUMMYFUNCTION("""COMPUTED_VALUE"""),"Kiran Mehta")</f>
        <v>Kiran Mehta</v>
      </c>
      <c r="O1735" s="14" t="str">
        <f>IFERROR(__xludf.DUMMYFUNCTION("split(J1735,""*"")"),"Delivered")</f>
        <v>Delivered</v>
      </c>
      <c r="P1735" s="14" t="str">
        <f>IFERROR(__xludf.DUMMYFUNCTION("""COMPUTED_VALUE"""),"Customer Service: Seamless and easy")</f>
        <v>Customer Service: Seamless and easy</v>
      </c>
      <c r="Q1735" s="14" t="str">
        <f>IFERROR(__xludf.DUMMYFUNCTION("split(P1735,"":"")"),"Customer Service")</f>
        <v>Customer Service</v>
      </c>
      <c r="R1735" s="14" t="str">
        <f>IFERROR(__xludf.DUMMYFUNCTION("""COMPUTED_VALUE""")," Seamless and easy")</f>
        <v> Seamless and easy</v>
      </c>
      <c r="S1735" s="14" t="str">
        <f t="shared" ref="S1735:U1735" si="3473">trim(B1735)</f>
        <v>ord_71713</v>
      </c>
      <c r="T1735" s="14" t="str">
        <f t="shared" si="3473"/>
        <v>Diya Arora</v>
      </c>
      <c r="U1735" s="14" t="str">
        <f t="shared" si="3473"/>
        <v>Lower Parel</v>
      </c>
      <c r="V1735" s="14" t="str">
        <f t="shared" si="4"/>
        <v>Icecream</v>
      </c>
      <c r="W1735" s="14">
        <f t="shared" si="5"/>
        <v>3</v>
      </c>
      <c r="X1735" s="14" t="str">
        <f t="shared" si="6"/>
        <v>Kiran Mehta</v>
      </c>
      <c r="Y1735" s="15">
        <f t="shared" si="7"/>
        <v>45141</v>
      </c>
      <c r="Z1735" s="14" t="str">
        <f t="shared" si="8"/>
        <v>UPI</v>
      </c>
      <c r="AA1735" s="14" t="str">
        <f t="shared" si="9"/>
        <v>Delivered</v>
      </c>
      <c r="AB1735" s="14" t="str">
        <f t="shared" ref="AB1735:AC1735" si="3474">trim(Q1735)</f>
        <v>Customer Service</v>
      </c>
      <c r="AC1735" s="14" t="str">
        <f t="shared" si="3474"/>
        <v>Seamless and easy</v>
      </c>
      <c r="AD1735" s="8"/>
    </row>
    <row r="1736">
      <c r="A1736" s="14" t="str">
        <f>IFERROR(__xludf.DUMMYFUNCTION("""COMPUTED_VALUE"""),"//ord_71714//Parth Goel//Juhu//Chocolate Mousse+4*Not Assigned/12/10/2023//UPI//Cancelled*App Glitches:Slow Loading Time")</f>
        <v>//ord_71714//Parth Goel//Juhu//Chocolate Mousse+4*Not Assigned/12/10/2023//UPI//Cancelled*App Glitches:Slow Loading Time</v>
      </c>
      <c r="B1736" s="14" t="str">
        <f>IFERROR(__xludf.DUMMYFUNCTION("split(A1736,""//"")"),"ord_71714")</f>
        <v>ord_71714</v>
      </c>
      <c r="C1736" s="14" t="str">
        <f>IFERROR(__xludf.DUMMYFUNCTION("""COMPUTED_VALUE"""),"Parth Goel")</f>
        <v>Parth Goel</v>
      </c>
      <c r="D1736" s="14" t="str">
        <f>IFERROR(__xludf.DUMMYFUNCTION("""COMPUTED_VALUE"""),"Juhu")</f>
        <v>Juhu</v>
      </c>
      <c r="E1736" s="14" t="str">
        <f>IFERROR(__xludf.DUMMYFUNCTION("""COMPUTED_VALUE"""),"Chocolate Mousse+4*Not Assigned")</f>
        <v>Chocolate Mousse+4*Not Assigned</v>
      </c>
      <c r="F1736" s="14">
        <f>IFERROR(__xludf.DUMMYFUNCTION("""COMPUTED_VALUE"""),12.0)</f>
        <v>12</v>
      </c>
      <c r="G1736" s="14">
        <f>IFERROR(__xludf.DUMMYFUNCTION("""COMPUTED_VALUE"""),10.0)</f>
        <v>10</v>
      </c>
      <c r="H1736" s="14">
        <f>IFERROR(__xludf.DUMMYFUNCTION("""COMPUTED_VALUE"""),2023.0)</f>
        <v>2023</v>
      </c>
      <c r="I1736" s="14" t="str">
        <f>IFERROR(__xludf.DUMMYFUNCTION("""COMPUTED_VALUE"""),"UPI")</f>
        <v>UPI</v>
      </c>
      <c r="J1736" s="14" t="str">
        <f>IFERROR(__xludf.DUMMYFUNCTION("""COMPUTED_VALUE"""),"Cancelled*App Glitches:Slow Loading Time")</f>
        <v>Cancelled*App Glitches:Slow Loading Time</v>
      </c>
      <c r="K1736" s="14" t="str">
        <f>IFERROR(__xludf.DUMMYFUNCTION("split(E1736,""+"")"),"Chocolate Mousse")</f>
        <v>Chocolate Mousse</v>
      </c>
      <c r="L1736" s="14" t="str">
        <f>IFERROR(__xludf.DUMMYFUNCTION("""COMPUTED_VALUE"""),"4*Not Assigned")</f>
        <v>4*Not Assigned</v>
      </c>
      <c r="M1736" s="14">
        <f>IFERROR(__xludf.DUMMYFUNCTION("SPLIT(L1736,""*"")"),4.0)</f>
        <v>4</v>
      </c>
      <c r="N1736" s="14" t="str">
        <f>IFERROR(__xludf.DUMMYFUNCTION("""COMPUTED_VALUE"""),"Not Assigned")</f>
        <v>Not Assigned</v>
      </c>
      <c r="O1736" s="14" t="str">
        <f>IFERROR(__xludf.DUMMYFUNCTION("split(J1736,""*"")"),"Cancelled")</f>
        <v>Cancelled</v>
      </c>
      <c r="P1736" s="14" t="str">
        <f>IFERROR(__xludf.DUMMYFUNCTION("""COMPUTED_VALUE"""),"App Glitches:Slow Loading Time")</f>
        <v>App Glitches:Slow Loading Time</v>
      </c>
      <c r="Q1736" s="14" t="str">
        <f>IFERROR(__xludf.DUMMYFUNCTION("split(P1736,"":"")"),"App Glitches")</f>
        <v>App Glitches</v>
      </c>
      <c r="R1736" s="14" t="str">
        <f>IFERROR(__xludf.DUMMYFUNCTION("""COMPUTED_VALUE"""),"Slow Loading Time")</f>
        <v>Slow Loading Time</v>
      </c>
      <c r="S1736" s="14" t="str">
        <f t="shared" ref="S1736:U1736" si="3475">trim(B1736)</f>
        <v>ord_71714</v>
      </c>
      <c r="T1736" s="14" t="str">
        <f t="shared" si="3475"/>
        <v>Parth Goel</v>
      </c>
      <c r="U1736" s="14" t="str">
        <f t="shared" si="3475"/>
        <v>Juhu</v>
      </c>
      <c r="V1736" s="14" t="str">
        <f t="shared" si="4"/>
        <v>Chocolate Mousse</v>
      </c>
      <c r="W1736" s="14">
        <f t="shared" si="5"/>
        <v>4</v>
      </c>
      <c r="X1736" s="14" t="str">
        <f t="shared" si="6"/>
        <v>Not Assigned</v>
      </c>
      <c r="Y1736" s="15">
        <f t="shared" si="7"/>
        <v>45270</v>
      </c>
      <c r="Z1736" s="14" t="str">
        <f t="shared" si="8"/>
        <v>UPI</v>
      </c>
      <c r="AA1736" s="14" t="str">
        <f t="shared" si="9"/>
        <v>Cancelled</v>
      </c>
      <c r="AB1736" s="14" t="str">
        <f t="shared" ref="AB1736:AC1736" si="3476">trim(Q1736)</f>
        <v>App Glitches</v>
      </c>
      <c r="AC1736" s="14" t="str">
        <f t="shared" si="3476"/>
        <v>Slow Loading Time</v>
      </c>
      <c r="AD1736" s="8"/>
    </row>
    <row r="1737">
      <c r="A1737" s="14" t="str">
        <f>IFERROR(__xludf.DUMMYFUNCTION("""COMPUTED_VALUE"""),"//ord_71715//Pallavi Ghosh//Bandra//Guava+2*Priya Joshi/1/6/2023//Credit Card//Delivered*Delivery Experience: Quick and professional")</f>
        <v>//ord_71715//Pallavi Ghosh//Bandra//Guava+2*Priya Joshi/1/6/2023//Credit Card//Delivered*Delivery Experience: Quick and professional</v>
      </c>
      <c r="B1737" s="14" t="str">
        <f>IFERROR(__xludf.DUMMYFUNCTION("split(A1737,""//"")"),"ord_71715")</f>
        <v>ord_71715</v>
      </c>
      <c r="C1737" s="14" t="str">
        <f>IFERROR(__xludf.DUMMYFUNCTION("""COMPUTED_VALUE"""),"Pallavi Ghosh")</f>
        <v>Pallavi Ghosh</v>
      </c>
      <c r="D1737" s="14" t="str">
        <f>IFERROR(__xludf.DUMMYFUNCTION("""COMPUTED_VALUE"""),"Bandra")</f>
        <v>Bandra</v>
      </c>
      <c r="E1737" s="14" t="str">
        <f>IFERROR(__xludf.DUMMYFUNCTION("""COMPUTED_VALUE"""),"Guava+2*Priya Joshi")</f>
        <v>Guava+2*Priya Joshi</v>
      </c>
      <c r="F1737" s="14">
        <f>IFERROR(__xludf.DUMMYFUNCTION("""COMPUTED_VALUE"""),1.0)</f>
        <v>1</v>
      </c>
      <c r="G1737" s="14">
        <f>IFERROR(__xludf.DUMMYFUNCTION("""COMPUTED_VALUE"""),6.0)</f>
        <v>6</v>
      </c>
      <c r="H1737" s="14">
        <f>IFERROR(__xludf.DUMMYFUNCTION("""COMPUTED_VALUE"""),2023.0)</f>
        <v>2023</v>
      </c>
      <c r="I1737" s="14" t="str">
        <f>IFERROR(__xludf.DUMMYFUNCTION("""COMPUTED_VALUE"""),"Credit Card")</f>
        <v>Credit Card</v>
      </c>
      <c r="J1737" s="14" t="str">
        <f>IFERROR(__xludf.DUMMYFUNCTION("""COMPUTED_VALUE"""),"Delivered*Delivery Experience: Quick and professional")</f>
        <v>Delivered*Delivery Experience: Quick and professional</v>
      </c>
      <c r="K1737" s="14" t="str">
        <f>IFERROR(__xludf.DUMMYFUNCTION("split(E1737,""+"")"),"Guava")</f>
        <v>Guava</v>
      </c>
      <c r="L1737" s="14" t="str">
        <f>IFERROR(__xludf.DUMMYFUNCTION("""COMPUTED_VALUE"""),"2*Priya Joshi")</f>
        <v>2*Priya Joshi</v>
      </c>
      <c r="M1737" s="14">
        <f>IFERROR(__xludf.DUMMYFUNCTION("SPLIT(L1737,""*"")"),2.0)</f>
        <v>2</v>
      </c>
      <c r="N1737" s="14" t="str">
        <f>IFERROR(__xludf.DUMMYFUNCTION("""COMPUTED_VALUE"""),"Priya Joshi")</f>
        <v>Priya Joshi</v>
      </c>
      <c r="O1737" s="14" t="str">
        <f>IFERROR(__xludf.DUMMYFUNCTION("split(J1737,""*"")"),"Delivered")</f>
        <v>Delivered</v>
      </c>
      <c r="P1737" s="14" t="str">
        <f>IFERROR(__xludf.DUMMYFUNCTION("""COMPUTED_VALUE"""),"Delivery Experience: Quick and professional")</f>
        <v>Delivery Experience: Quick and professional</v>
      </c>
      <c r="Q1737" s="14" t="str">
        <f>IFERROR(__xludf.DUMMYFUNCTION("split(P1737,"":"")"),"Delivery Experience")</f>
        <v>Delivery Experience</v>
      </c>
      <c r="R1737" s="14" t="str">
        <f>IFERROR(__xludf.DUMMYFUNCTION("""COMPUTED_VALUE""")," Quick and professional")</f>
        <v> Quick and professional</v>
      </c>
      <c r="S1737" s="14" t="str">
        <f t="shared" ref="S1737:U1737" si="3477">trim(B1737)</f>
        <v>ord_71715</v>
      </c>
      <c r="T1737" s="14" t="str">
        <f t="shared" si="3477"/>
        <v>Pallavi Ghosh</v>
      </c>
      <c r="U1737" s="14" t="str">
        <f t="shared" si="3477"/>
        <v>Bandra</v>
      </c>
      <c r="V1737" s="14" t="str">
        <f t="shared" si="4"/>
        <v>Guava</v>
      </c>
      <c r="W1737" s="14">
        <f t="shared" si="5"/>
        <v>2</v>
      </c>
      <c r="X1737" s="14" t="str">
        <f t="shared" si="6"/>
        <v>Priya Joshi</v>
      </c>
      <c r="Y1737" s="15">
        <f t="shared" si="7"/>
        <v>44932</v>
      </c>
      <c r="Z1737" s="14" t="str">
        <f t="shared" si="8"/>
        <v>Credit Card</v>
      </c>
      <c r="AA1737" s="14" t="str">
        <f t="shared" si="9"/>
        <v>Delivered</v>
      </c>
      <c r="AB1737" s="14" t="str">
        <f t="shared" ref="AB1737:AC1737" si="3478">trim(Q1737)</f>
        <v>Delivery Experience</v>
      </c>
      <c r="AC1737" s="14" t="str">
        <f t="shared" si="3478"/>
        <v>Quick and professional</v>
      </c>
      <c r="AD1737" s="8"/>
    </row>
    <row r="1738">
      <c r="A1738" s="14" t="str">
        <f>IFERROR(__xludf.DUMMYFUNCTION("""COMPUTED_VALUE"""),"//ord_71716//Parth Goel//Juhu//Papaya+1*Tanvi Jain/5/29/2023//Online Payment//Delivered*Convenience: Easy tracking")</f>
        <v>//ord_71716//Parth Goel//Juhu//Papaya+1*Tanvi Jain/5/29/2023//Online Payment//Delivered*Convenience: Easy tracking</v>
      </c>
      <c r="B1738" s="14" t="str">
        <f>IFERROR(__xludf.DUMMYFUNCTION("split(A1738,""//"")"),"ord_71716")</f>
        <v>ord_71716</v>
      </c>
      <c r="C1738" s="14" t="str">
        <f>IFERROR(__xludf.DUMMYFUNCTION("""COMPUTED_VALUE"""),"Parth Goel")</f>
        <v>Parth Goel</v>
      </c>
      <c r="D1738" s="14" t="str">
        <f>IFERROR(__xludf.DUMMYFUNCTION("""COMPUTED_VALUE"""),"Juhu")</f>
        <v>Juhu</v>
      </c>
      <c r="E1738" s="14" t="str">
        <f>IFERROR(__xludf.DUMMYFUNCTION("""COMPUTED_VALUE"""),"Papaya+1*Tanvi Jain")</f>
        <v>Papaya+1*Tanvi Jain</v>
      </c>
      <c r="F1738" s="14">
        <f>IFERROR(__xludf.DUMMYFUNCTION("""COMPUTED_VALUE"""),5.0)</f>
        <v>5</v>
      </c>
      <c r="G1738" s="14">
        <f>IFERROR(__xludf.DUMMYFUNCTION("""COMPUTED_VALUE"""),29.0)</f>
        <v>29</v>
      </c>
      <c r="H1738" s="14">
        <f>IFERROR(__xludf.DUMMYFUNCTION("""COMPUTED_VALUE"""),2023.0)</f>
        <v>2023</v>
      </c>
      <c r="I1738" s="14" t="str">
        <f>IFERROR(__xludf.DUMMYFUNCTION("""COMPUTED_VALUE"""),"Online Payment")</f>
        <v>Online Payment</v>
      </c>
      <c r="J1738" s="14" t="str">
        <f>IFERROR(__xludf.DUMMYFUNCTION("""COMPUTED_VALUE"""),"Delivered*Convenience: Easy tracking")</f>
        <v>Delivered*Convenience: Easy tracking</v>
      </c>
      <c r="K1738" s="14" t="str">
        <f>IFERROR(__xludf.DUMMYFUNCTION("split(E1738,""+"")"),"Papaya")</f>
        <v>Papaya</v>
      </c>
      <c r="L1738" s="14" t="str">
        <f>IFERROR(__xludf.DUMMYFUNCTION("""COMPUTED_VALUE"""),"1*Tanvi Jain")</f>
        <v>1*Tanvi Jain</v>
      </c>
      <c r="M1738" s="14">
        <f>IFERROR(__xludf.DUMMYFUNCTION("SPLIT(L1738,""*"")"),1.0)</f>
        <v>1</v>
      </c>
      <c r="N1738" s="14" t="str">
        <f>IFERROR(__xludf.DUMMYFUNCTION("""COMPUTED_VALUE"""),"Tanvi Jain")</f>
        <v>Tanvi Jain</v>
      </c>
      <c r="O1738" s="14" t="str">
        <f>IFERROR(__xludf.DUMMYFUNCTION("split(J1738,""*"")"),"Delivered")</f>
        <v>Delivered</v>
      </c>
      <c r="P1738" s="14" t="str">
        <f>IFERROR(__xludf.DUMMYFUNCTION("""COMPUTED_VALUE"""),"Convenience: Easy tracking")</f>
        <v>Convenience: Easy tracking</v>
      </c>
      <c r="Q1738" s="14" t="str">
        <f>IFERROR(__xludf.DUMMYFUNCTION("split(P1738,"":"")"),"Convenience")</f>
        <v>Convenience</v>
      </c>
      <c r="R1738" s="14" t="str">
        <f>IFERROR(__xludf.DUMMYFUNCTION("""COMPUTED_VALUE""")," Easy tracking")</f>
        <v> Easy tracking</v>
      </c>
      <c r="S1738" s="14" t="str">
        <f t="shared" ref="S1738:U1738" si="3479">trim(B1738)</f>
        <v>ord_71716</v>
      </c>
      <c r="T1738" s="14" t="str">
        <f t="shared" si="3479"/>
        <v>Parth Goel</v>
      </c>
      <c r="U1738" s="14" t="str">
        <f t="shared" si="3479"/>
        <v>Juhu</v>
      </c>
      <c r="V1738" s="14" t="str">
        <f t="shared" si="4"/>
        <v>Papaya</v>
      </c>
      <c r="W1738" s="14">
        <f t="shared" si="5"/>
        <v>1</v>
      </c>
      <c r="X1738" s="14" t="str">
        <f t="shared" si="6"/>
        <v>Tanvi Jain</v>
      </c>
      <c r="Y1738" s="15">
        <f t="shared" si="7"/>
        <v>45075</v>
      </c>
      <c r="Z1738" s="14" t="str">
        <f t="shared" si="8"/>
        <v>Online Payment</v>
      </c>
      <c r="AA1738" s="14" t="str">
        <f t="shared" si="9"/>
        <v>Delivered</v>
      </c>
      <c r="AB1738" s="14" t="str">
        <f t="shared" ref="AB1738:AC1738" si="3480">trim(Q1738)</f>
        <v>Convenience</v>
      </c>
      <c r="AC1738" s="14" t="str">
        <f t="shared" si="3480"/>
        <v>Easy tracking</v>
      </c>
      <c r="AD1738" s="8"/>
    </row>
    <row r="1739">
      <c r="A1739" s="14" t="str">
        <f>IFERROR(__xludf.DUMMYFUNCTION("""COMPUTED_VALUE"""),"//ord_71717//Sakshi Tandon//Colaba//Rasmalai+1*Not Assigned/12/29/2023//UPI//Cancelled*App Glitches:Slow Loading Time")</f>
        <v>//ord_71717//Sakshi Tandon//Colaba//Rasmalai+1*Not Assigned/12/29/2023//UPI//Cancelled*App Glitches:Slow Loading Time</v>
      </c>
      <c r="B1739" s="14" t="str">
        <f>IFERROR(__xludf.DUMMYFUNCTION("split(A1739,""//"")"),"ord_71717")</f>
        <v>ord_71717</v>
      </c>
      <c r="C1739" s="14" t="str">
        <f>IFERROR(__xludf.DUMMYFUNCTION("""COMPUTED_VALUE"""),"Sakshi Tandon")</f>
        <v>Sakshi Tandon</v>
      </c>
      <c r="D1739" s="14" t="str">
        <f>IFERROR(__xludf.DUMMYFUNCTION("""COMPUTED_VALUE"""),"Colaba")</f>
        <v>Colaba</v>
      </c>
      <c r="E1739" s="14" t="str">
        <f>IFERROR(__xludf.DUMMYFUNCTION("""COMPUTED_VALUE"""),"Rasmalai+1*Not Assigned")</f>
        <v>Rasmalai+1*Not Assigned</v>
      </c>
      <c r="F1739" s="14">
        <f>IFERROR(__xludf.DUMMYFUNCTION("""COMPUTED_VALUE"""),12.0)</f>
        <v>12</v>
      </c>
      <c r="G1739" s="14">
        <f>IFERROR(__xludf.DUMMYFUNCTION("""COMPUTED_VALUE"""),29.0)</f>
        <v>29</v>
      </c>
      <c r="H1739" s="14">
        <f>IFERROR(__xludf.DUMMYFUNCTION("""COMPUTED_VALUE"""),2023.0)</f>
        <v>2023</v>
      </c>
      <c r="I1739" s="14" t="str">
        <f>IFERROR(__xludf.DUMMYFUNCTION("""COMPUTED_VALUE"""),"UPI")</f>
        <v>UPI</v>
      </c>
      <c r="J1739" s="14" t="str">
        <f>IFERROR(__xludf.DUMMYFUNCTION("""COMPUTED_VALUE"""),"Cancelled*App Glitches:Slow Loading Time")</f>
        <v>Cancelled*App Glitches:Slow Loading Time</v>
      </c>
      <c r="K1739" s="14" t="str">
        <f>IFERROR(__xludf.DUMMYFUNCTION("split(E1739,""+"")"),"Rasmalai")</f>
        <v>Rasmalai</v>
      </c>
      <c r="L1739" s="14" t="str">
        <f>IFERROR(__xludf.DUMMYFUNCTION("""COMPUTED_VALUE"""),"1*Not Assigned")</f>
        <v>1*Not Assigned</v>
      </c>
      <c r="M1739" s="14">
        <f>IFERROR(__xludf.DUMMYFUNCTION("SPLIT(L1739,""*"")"),1.0)</f>
        <v>1</v>
      </c>
      <c r="N1739" s="14" t="str">
        <f>IFERROR(__xludf.DUMMYFUNCTION("""COMPUTED_VALUE"""),"Not Assigned")</f>
        <v>Not Assigned</v>
      </c>
      <c r="O1739" s="14" t="str">
        <f>IFERROR(__xludf.DUMMYFUNCTION("split(J1739,""*"")"),"Cancelled")</f>
        <v>Cancelled</v>
      </c>
      <c r="P1739" s="14" t="str">
        <f>IFERROR(__xludf.DUMMYFUNCTION("""COMPUTED_VALUE"""),"App Glitches:Slow Loading Time")</f>
        <v>App Glitches:Slow Loading Time</v>
      </c>
      <c r="Q1739" s="14" t="str">
        <f>IFERROR(__xludf.DUMMYFUNCTION("split(P1739,"":"")"),"App Glitches")</f>
        <v>App Glitches</v>
      </c>
      <c r="R1739" s="14" t="str">
        <f>IFERROR(__xludf.DUMMYFUNCTION("""COMPUTED_VALUE"""),"Slow Loading Time")</f>
        <v>Slow Loading Time</v>
      </c>
      <c r="S1739" s="14" t="str">
        <f t="shared" ref="S1739:U1739" si="3481">trim(B1739)</f>
        <v>ord_71717</v>
      </c>
      <c r="T1739" s="14" t="str">
        <f t="shared" si="3481"/>
        <v>Sakshi Tandon</v>
      </c>
      <c r="U1739" s="14" t="str">
        <f t="shared" si="3481"/>
        <v>Colaba</v>
      </c>
      <c r="V1739" s="14" t="str">
        <f t="shared" si="4"/>
        <v>Rasmalai</v>
      </c>
      <c r="W1739" s="14">
        <f t="shared" si="5"/>
        <v>1</v>
      </c>
      <c r="X1739" s="14" t="str">
        <f t="shared" si="6"/>
        <v>Not Assigned</v>
      </c>
      <c r="Y1739" s="15">
        <f t="shared" si="7"/>
        <v>45289</v>
      </c>
      <c r="Z1739" s="14" t="str">
        <f t="shared" si="8"/>
        <v>UPI</v>
      </c>
      <c r="AA1739" s="14" t="str">
        <f t="shared" si="9"/>
        <v>Cancelled</v>
      </c>
      <c r="AB1739" s="14" t="str">
        <f t="shared" ref="AB1739:AC1739" si="3482">trim(Q1739)</f>
        <v>App Glitches</v>
      </c>
      <c r="AC1739" s="14" t="str">
        <f t="shared" si="3482"/>
        <v>Slow Loading Time</v>
      </c>
      <c r="AD1739" s="8"/>
    </row>
    <row r="1740">
      <c r="A1740" s="14" t="str">
        <f>IFERROR(__xludf.DUMMYFUNCTION("""COMPUTED_VALUE"""),"//ord_71718//Omkar Mishra//Powai//Banana+1*Not Assigned/3/19/2023//Credit Card//Cancelled*Payment Issues")</f>
        <v>//ord_71718//Omkar Mishra//Powai//Banana+1*Not Assigned/3/19/2023//Credit Card//Cancelled*Payment Issues</v>
      </c>
      <c r="B1740" s="14" t="str">
        <f>IFERROR(__xludf.DUMMYFUNCTION("split(A1740,""//"")"),"ord_71718")</f>
        <v>ord_71718</v>
      </c>
      <c r="C1740" s="14" t="str">
        <f>IFERROR(__xludf.DUMMYFUNCTION("""COMPUTED_VALUE"""),"Omkar Mishra")</f>
        <v>Omkar Mishra</v>
      </c>
      <c r="D1740" s="14" t="str">
        <f>IFERROR(__xludf.DUMMYFUNCTION("""COMPUTED_VALUE"""),"Powai")</f>
        <v>Powai</v>
      </c>
      <c r="E1740" s="14" t="str">
        <f>IFERROR(__xludf.DUMMYFUNCTION("""COMPUTED_VALUE"""),"Banana+1*Not Assigned")</f>
        <v>Banana+1*Not Assigned</v>
      </c>
      <c r="F1740" s="14">
        <f>IFERROR(__xludf.DUMMYFUNCTION("""COMPUTED_VALUE"""),3.0)</f>
        <v>3</v>
      </c>
      <c r="G1740" s="14">
        <f>IFERROR(__xludf.DUMMYFUNCTION("""COMPUTED_VALUE"""),19.0)</f>
        <v>19</v>
      </c>
      <c r="H1740" s="14">
        <f>IFERROR(__xludf.DUMMYFUNCTION("""COMPUTED_VALUE"""),2023.0)</f>
        <v>2023</v>
      </c>
      <c r="I1740" s="14" t="str">
        <f>IFERROR(__xludf.DUMMYFUNCTION("""COMPUTED_VALUE"""),"Credit Card")</f>
        <v>Credit Card</v>
      </c>
      <c r="J1740" s="14" t="str">
        <f>IFERROR(__xludf.DUMMYFUNCTION("""COMPUTED_VALUE"""),"Cancelled*Payment Issues")</f>
        <v>Cancelled*Payment Issues</v>
      </c>
      <c r="K1740" s="14" t="str">
        <f>IFERROR(__xludf.DUMMYFUNCTION("split(E1740,""+"")"),"Banana")</f>
        <v>Banana</v>
      </c>
      <c r="L1740" s="14" t="str">
        <f>IFERROR(__xludf.DUMMYFUNCTION("""COMPUTED_VALUE"""),"1*Not Assigned")</f>
        <v>1*Not Assigned</v>
      </c>
      <c r="M1740" s="14">
        <f>IFERROR(__xludf.DUMMYFUNCTION("SPLIT(L1740,""*"")"),1.0)</f>
        <v>1</v>
      </c>
      <c r="N1740" s="14" t="str">
        <f>IFERROR(__xludf.DUMMYFUNCTION("""COMPUTED_VALUE"""),"Not Assigned")</f>
        <v>Not Assigned</v>
      </c>
      <c r="O1740" s="14" t="str">
        <f>IFERROR(__xludf.DUMMYFUNCTION("split(J1740,""*"")"),"Cancelled")</f>
        <v>Cancelled</v>
      </c>
      <c r="P1740" s="14" t="str">
        <f>IFERROR(__xludf.DUMMYFUNCTION("""COMPUTED_VALUE"""),"Payment Issues")</f>
        <v>Payment Issues</v>
      </c>
      <c r="Q1740" s="14" t="str">
        <f>IFERROR(__xludf.DUMMYFUNCTION("split(P1740,"":"")"),"Payment Issues")</f>
        <v>Payment Issues</v>
      </c>
      <c r="R1740" s="14"/>
      <c r="S1740" s="14" t="str">
        <f t="shared" ref="S1740:U1740" si="3483">trim(B1740)</f>
        <v>ord_71718</v>
      </c>
      <c r="T1740" s="14" t="str">
        <f t="shared" si="3483"/>
        <v>Omkar Mishra</v>
      </c>
      <c r="U1740" s="14" t="str">
        <f t="shared" si="3483"/>
        <v>Powai</v>
      </c>
      <c r="V1740" s="14" t="str">
        <f t="shared" si="4"/>
        <v>Banana</v>
      </c>
      <c r="W1740" s="14">
        <f t="shared" si="5"/>
        <v>1</v>
      </c>
      <c r="X1740" s="14" t="str">
        <f t="shared" si="6"/>
        <v>Not Assigned</v>
      </c>
      <c r="Y1740" s="15">
        <f t="shared" si="7"/>
        <v>45004</v>
      </c>
      <c r="Z1740" s="14" t="str">
        <f t="shared" si="8"/>
        <v>Credit Card</v>
      </c>
      <c r="AA1740" s="14" t="str">
        <f t="shared" si="9"/>
        <v>Cancelled</v>
      </c>
      <c r="AB1740" s="14" t="str">
        <f t="shared" ref="AB1740:AC1740" si="3484">trim(Q1740)</f>
        <v>Payment Issues</v>
      </c>
      <c r="AC1740" s="14" t="str">
        <f t="shared" si="3484"/>
        <v/>
      </c>
      <c r="AD1740" s="8"/>
    </row>
    <row r="1741">
      <c r="A1741" s="14" t="str">
        <f>IFERROR(__xludf.DUMMYFUNCTION("""COMPUTED_VALUE"""),"//ord_71719//Sakshi Tandon//Colaba//Apple+2*Nikhil Deshmukh/7/1/2023//Credit Card//Delivered*Overall Satisfaction: Great service will order again")</f>
        <v>//ord_71719//Sakshi Tandon//Colaba//Apple+2*Nikhil Deshmukh/7/1/2023//Credit Card//Delivered*Overall Satisfaction: Great service will order again</v>
      </c>
      <c r="B1741" s="14" t="str">
        <f>IFERROR(__xludf.DUMMYFUNCTION("split(A1741,""//"")"),"ord_71719")</f>
        <v>ord_71719</v>
      </c>
      <c r="C1741" s="14" t="str">
        <f>IFERROR(__xludf.DUMMYFUNCTION("""COMPUTED_VALUE"""),"Sakshi Tandon")</f>
        <v>Sakshi Tandon</v>
      </c>
      <c r="D1741" s="14" t="str">
        <f>IFERROR(__xludf.DUMMYFUNCTION("""COMPUTED_VALUE"""),"Colaba")</f>
        <v>Colaba</v>
      </c>
      <c r="E1741" s="14" t="str">
        <f>IFERROR(__xludf.DUMMYFUNCTION("""COMPUTED_VALUE"""),"Apple+2*Nikhil Deshmukh")</f>
        <v>Apple+2*Nikhil Deshmukh</v>
      </c>
      <c r="F1741" s="14">
        <f>IFERROR(__xludf.DUMMYFUNCTION("""COMPUTED_VALUE"""),7.0)</f>
        <v>7</v>
      </c>
      <c r="G1741" s="14">
        <f>IFERROR(__xludf.DUMMYFUNCTION("""COMPUTED_VALUE"""),1.0)</f>
        <v>1</v>
      </c>
      <c r="H1741" s="14">
        <f>IFERROR(__xludf.DUMMYFUNCTION("""COMPUTED_VALUE"""),2023.0)</f>
        <v>2023</v>
      </c>
      <c r="I1741" s="14" t="str">
        <f>IFERROR(__xludf.DUMMYFUNCTION("""COMPUTED_VALUE"""),"Credit Card")</f>
        <v>Credit Card</v>
      </c>
      <c r="J1741" s="14" t="str">
        <f>IFERROR(__xludf.DUMMYFUNCTION("""COMPUTED_VALUE"""),"Delivered*Overall Satisfaction: Great service will order again")</f>
        <v>Delivered*Overall Satisfaction: Great service will order again</v>
      </c>
      <c r="K1741" s="14" t="str">
        <f>IFERROR(__xludf.DUMMYFUNCTION("split(E1741,""+"")"),"Apple")</f>
        <v>Apple</v>
      </c>
      <c r="L1741" s="14" t="str">
        <f>IFERROR(__xludf.DUMMYFUNCTION("""COMPUTED_VALUE"""),"2*Nikhil Deshmukh")</f>
        <v>2*Nikhil Deshmukh</v>
      </c>
      <c r="M1741" s="14">
        <f>IFERROR(__xludf.DUMMYFUNCTION("SPLIT(L1741,""*"")"),2.0)</f>
        <v>2</v>
      </c>
      <c r="N1741" s="14" t="str">
        <f>IFERROR(__xludf.DUMMYFUNCTION("""COMPUTED_VALUE"""),"Nikhil Deshmukh")</f>
        <v>Nikhil Deshmukh</v>
      </c>
      <c r="O1741" s="14" t="str">
        <f>IFERROR(__xludf.DUMMYFUNCTION("split(J1741,""*"")"),"Delivered")</f>
        <v>Delivered</v>
      </c>
      <c r="P1741" s="14" t="str">
        <f>IFERROR(__xludf.DUMMYFUNCTION("""COMPUTED_VALUE"""),"Overall Satisfaction: Great service will order again")</f>
        <v>Overall Satisfaction: Great service will order again</v>
      </c>
      <c r="Q1741" s="14" t="str">
        <f>IFERROR(__xludf.DUMMYFUNCTION("split(P1741,"":"")"),"Overall Satisfaction")</f>
        <v>Overall Satisfaction</v>
      </c>
      <c r="R1741" s="14" t="str">
        <f>IFERROR(__xludf.DUMMYFUNCTION("""COMPUTED_VALUE""")," Great service will order again")</f>
        <v> Great service will order again</v>
      </c>
      <c r="S1741" s="14" t="str">
        <f t="shared" ref="S1741:U1741" si="3485">trim(B1741)</f>
        <v>ord_71719</v>
      </c>
      <c r="T1741" s="14" t="str">
        <f t="shared" si="3485"/>
        <v>Sakshi Tandon</v>
      </c>
      <c r="U1741" s="14" t="str">
        <f t="shared" si="3485"/>
        <v>Colaba</v>
      </c>
      <c r="V1741" s="14" t="str">
        <f t="shared" si="4"/>
        <v>Apple</v>
      </c>
      <c r="W1741" s="14">
        <f t="shared" si="5"/>
        <v>2</v>
      </c>
      <c r="X1741" s="14" t="str">
        <f t="shared" si="6"/>
        <v>Nikhil Deshmukh</v>
      </c>
      <c r="Y1741" s="15">
        <f t="shared" si="7"/>
        <v>45108</v>
      </c>
      <c r="Z1741" s="14" t="str">
        <f t="shared" si="8"/>
        <v>Credit Card</v>
      </c>
      <c r="AA1741" s="14" t="str">
        <f t="shared" si="9"/>
        <v>Delivered</v>
      </c>
      <c r="AB1741" s="14" t="str">
        <f t="shared" ref="AB1741:AC1741" si="3486">trim(Q1741)</f>
        <v>Overall Satisfaction</v>
      </c>
      <c r="AC1741" s="14" t="str">
        <f t="shared" si="3486"/>
        <v>Great service will order again</v>
      </c>
      <c r="AD1741" s="8"/>
    </row>
    <row r="1742">
      <c r="A1742" s="14" t="str">
        <f>IFERROR(__xludf.DUMMYFUNCTION("""COMPUTED_VALUE"""),"//ord_71720//Tanishq Bansal//Powai//Orange+1*Not Assigned/11/18/2023//Credit Card//Cancelled*App Glitches:Slow Loading Time")</f>
        <v>//ord_71720//Tanishq Bansal//Powai//Orange+1*Not Assigned/11/18/2023//Credit Card//Cancelled*App Glitches:Slow Loading Time</v>
      </c>
      <c r="B1742" s="14" t="str">
        <f>IFERROR(__xludf.DUMMYFUNCTION("split(A1742,""//"")"),"ord_71720")</f>
        <v>ord_71720</v>
      </c>
      <c r="C1742" s="14" t="str">
        <f>IFERROR(__xludf.DUMMYFUNCTION("""COMPUTED_VALUE"""),"Tanishq Bansal")</f>
        <v>Tanishq Bansal</v>
      </c>
      <c r="D1742" s="14" t="str">
        <f>IFERROR(__xludf.DUMMYFUNCTION("""COMPUTED_VALUE"""),"Powai")</f>
        <v>Powai</v>
      </c>
      <c r="E1742" s="14" t="str">
        <f>IFERROR(__xludf.DUMMYFUNCTION("""COMPUTED_VALUE"""),"Orange+1*Not Assigned")</f>
        <v>Orange+1*Not Assigned</v>
      </c>
      <c r="F1742" s="14">
        <f>IFERROR(__xludf.DUMMYFUNCTION("""COMPUTED_VALUE"""),11.0)</f>
        <v>11</v>
      </c>
      <c r="G1742" s="14">
        <f>IFERROR(__xludf.DUMMYFUNCTION("""COMPUTED_VALUE"""),18.0)</f>
        <v>18</v>
      </c>
      <c r="H1742" s="14">
        <f>IFERROR(__xludf.DUMMYFUNCTION("""COMPUTED_VALUE"""),2023.0)</f>
        <v>2023</v>
      </c>
      <c r="I1742" s="14" t="str">
        <f>IFERROR(__xludf.DUMMYFUNCTION("""COMPUTED_VALUE"""),"Credit Card")</f>
        <v>Credit Card</v>
      </c>
      <c r="J1742" s="14" t="str">
        <f>IFERROR(__xludf.DUMMYFUNCTION("""COMPUTED_VALUE"""),"Cancelled*App Glitches:Slow Loading Time")</f>
        <v>Cancelled*App Glitches:Slow Loading Time</v>
      </c>
      <c r="K1742" s="14" t="str">
        <f>IFERROR(__xludf.DUMMYFUNCTION("split(E1742,""+"")"),"Orange")</f>
        <v>Orange</v>
      </c>
      <c r="L1742" s="14" t="str">
        <f>IFERROR(__xludf.DUMMYFUNCTION("""COMPUTED_VALUE"""),"1*Not Assigned")</f>
        <v>1*Not Assigned</v>
      </c>
      <c r="M1742" s="14">
        <f>IFERROR(__xludf.DUMMYFUNCTION("SPLIT(L1742,""*"")"),1.0)</f>
        <v>1</v>
      </c>
      <c r="N1742" s="14" t="str">
        <f>IFERROR(__xludf.DUMMYFUNCTION("""COMPUTED_VALUE"""),"Not Assigned")</f>
        <v>Not Assigned</v>
      </c>
      <c r="O1742" s="14" t="str">
        <f>IFERROR(__xludf.DUMMYFUNCTION("split(J1742,""*"")"),"Cancelled")</f>
        <v>Cancelled</v>
      </c>
      <c r="P1742" s="14" t="str">
        <f>IFERROR(__xludf.DUMMYFUNCTION("""COMPUTED_VALUE"""),"App Glitches:Slow Loading Time")</f>
        <v>App Glitches:Slow Loading Time</v>
      </c>
      <c r="Q1742" s="14" t="str">
        <f>IFERROR(__xludf.DUMMYFUNCTION("split(P1742,"":"")"),"App Glitches")</f>
        <v>App Glitches</v>
      </c>
      <c r="R1742" s="14" t="str">
        <f>IFERROR(__xludf.DUMMYFUNCTION("""COMPUTED_VALUE"""),"Slow Loading Time")</f>
        <v>Slow Loading Time</v>
      </c>
      <c r="S1742" s="14" t="str">
        <f t="shared" ref="S1742:U1742" si="3487">trim(B1742)</f>
        <v>ord_71720</v>
      </c>
      <c r="T1742" s="14" t="str">
        <f t="shared" si="3487"/>
        <v>Tanishq Bansal</v>
      </c>
      <c r="U1742" s="14" t="str">
        <f t="shared" si="3487"/>
        <v>Powai</v>
      </c>
      <c r="V1742" s="14" t="str">
        <f t="shared" si="4"/>
        <v>Orange</v>
      </c>
      <c r="W1742" s="14">
        <f t="shared" si="5"/>
        <v>1</v>
      </c>
      <c r="X1742" s="14" t="str">
        <f t="shared" si="6"/>
        <v>Not Assigned</v>
      </c>
      <c r="Y1742" s="15">
        <f t="shared" si="7"/>
        <v>45248</v>
      </c>
      <c r="Z1742" s="14" t="str">
        <f t="shared" si="8"/>
        <v>Credit Card</v>
      </c>
      <c r="AA1742" s="14" t="str">
        <f t="shared" si="9"/>
        <v>Cancelled</v>
      </c>
      <c r="AB1742" s="14" t="str">
        <f t="shared" ref="AB1742:AC1742" si="3488">trim(Q1742)</f>
        <v>App Glitches</v>
      </c>
      <c r="AC1742" s="14" t="str">
        <f t="shared" si="3488"/>
        <v>Slow Loading Time</v>
      </c>
      <c r="AD1742" s="8"/>
    </row>
    <row r="1743">
      <c r="A1743" s="14" t="str">
        <f>IFERROR(__xludf.DUMMYFUNCTION("""COMPUTED_VALUE"""),"//ord_71721//Ishaan Chaturvedi//Bandra//Rasmalai+3*Priya Joshi/6/22/2023//Online Payment//Delivered*On-time Delivery: Delivered on time")</f>
        <v>//ord_71721//Ishaan Chaturvedi//Bandra//Rasmalai+3*Priya Joshi/6/22/2023//Online Payment//Delivered*On-time Delivery: Delivered on time</v>
      </c>
      <c r="B1743" s="14" t="str">
        <f>IFERROR(__xludf.DUMMYFUNCTION("split(A1743,""//"")"),"ord_71721")</f>
        <v>ord_71721</v>
      </c>
      <c r="C1743" s="14" t="str">
        <f>IFERROR(__xludf.DUMMYFUNCTION("""COMPUTED_VALUE"""),"Ishaan Chaturvedi")</f>
        <v>Ishaan Chaturvedi</v>
      </c>
      <c r="D1743" s="14" t="str">
        <f>IFERROR(__xludf.DUMMYFUNCTION("""COMPUTED_VALUE"""),"Bandra")</f>
        <v>Bandra</v>
      </c>
      <c r="E1743" s="14" t="str">
        <f>IFERROR(__xludf.DUMMYFUNCTION("""COMPUTED_VALUE"""),"Rasmalai+3*Priya Joshi")</f>
        <v>Rasmalai+3*Priya Joshi</v>
      </c>
      <c r="F1743" s="14">
        <f>IFERROR(__xludf.DUMMYFUNCTION("""COMPUTED_VALUE"""),6.0)</f>
        <v>6</v>
      </c>
      <c r="G1743" s="14">
        <f>IFERROR(__xludf.DUMMYFUNCTION("""COMPUTED_VALUE"""),22.0)</f>
        <v>22</v>
      </c>
      <c r="H1743" s="14">
        <f>IFERROR(__xludf.DUMMYFUNCTION("""COMPUTED_VALUE"""),2023.0)</f>
        <v>2023</v>
      </c>
      <c r="I1743" s="14" t="str">
        <f>IFERROR(__xludf.DUMMYFUNCTION("""COMPUTED_VALUE"""),"Online Payment")</f>
        <v>Online Payment</v>
      </c>
      <c r="J1743" s="14" t="str">
        <f>IFERROR(__xludf.DUMMYFUNCTION("""COMPUTED_VALUE"""),"Delivered*On-time Delivery: Delivered on time")</f>
        <v>Delivered*On-time Delivery: Delivered on time</v>
      </c>
      <c r="K1743" s="14" t="str">
        <f>IFERROR(__xludf.DUMMYFUNCTION("split(E1743,""+"")"),"Rasmalai")</f>
        <v>Rasmalai</v>
      </c>
      <c r="L1743" s="14" t="str">
        <f>IFERROR(__xludf.DUMMYFUNCTION("""COMPUTED_VALUE"""),"3*Priya Joshi")</f>
        <v>3*Priya Joshi</v>
      </c>
      <c r="M1743" s="14">
        <f>IFERROR(__xludf.DUMMYFUNCTION("SPLIT(L1743,""*"")"),3.0)</f>
        <v>3</v>
      </c>
      <c r="N1743" s="14" t="str">
        <f>IFERROR(__xludf.DUMMYFUNCTION("""COMPUTED_VALUE"""),"Priya Joshi")</f>
        <v>Priya Joshi</v>
      </c>
      <c r="O1743" s="14" t="str">
        <f>IFERROR(__xludf.DUMMYFUNCTION("split(J1743,""*"")"),"Delivered")</f>
        <v>Delivered</v>
      </c>
      <c r="P1743" s="14" t="str">
        <f>IFERROR(__xludf.DUMMYFUNCTION("""COMPUTED_VALUE"""),"On-time Delivery: Delivered on time")</f>
        <v>On-time Delivery: Delivered on time</v>
      </c>
      <c r="Q1743" s="14" t="str">
        <f>IFERROR(__xludf.DUMMYFUNCTION("split(P1743,"":"")"),"On-time Delivery")</f>
        <v>On-time Delivery</v>
      </c>
      <c r="R1743" s="14" t="str">
        <f>IFERROR(__xludf.DUMMYFUNCTION("""COMPUTED_VALUE""")," Delivered on time")</f>
        <v> Delivered on time</v>
      </c>
      <c r="S1743" s="14" t="str">
        <f t="shared" ref="S1743:U1743" si="3489">trim(B1743)</f>
        <v>ord_71721</v>
      </c>
      <c r="T1743" s="14" t="str">
        <f t="shared" si="3489"/>
        <v>Ishaan Chaturvedi</v>
      </c>
      <c r="U1743" s="14" t="str">
        <f t="shared" si="3489"/>
        <v>Bandra</v>
      </c>
      <c r="V1743" s="14" t="str">
        <f t="shared" si="4"/>
        <v>Rasmalai</v>
      </c>
      <c r="W1743" s="14">
        <f t="shared" si="5"/>
        <v>3</v>
      </c>
      <c r="X1743" s="14" t="str">
        <f t="shared" si="6"/>
        <v>Priya Joshi</v>
      </c>
      <c r="Y1743" s="15">
        <f t="shared" si="7"/>
        <v>45099</v>
      </c>
      <c r="Z1743" s="14" t="str">
        <f t="shared" si="8"/>
        <v>Online Payment</v>
      </c>
      <c r="AA1743" s="14" t="str">
        <f t="shared" si="9"/>
        <v>Delivered</v>
      </c>
      <c r="AB1743" s="14" t="str">
        <f t="shared" ref="AB1743:AC1743" si="3490">trim(Q1743)</f>
        <v>On-time Delivery</v>
      </c>
      <c r="AC1743" s="14" t="str">
        <f t="shared" si="3490"/>
        <v>Delivered on time</v>
      </c>
      <c r="AD1743" s="8"/>
    </row>
    <row r="1744">
      <c r="A1744" s="14" t="str">
        <f>IFERROR(__xludf.DUMMYFUNCTION("""COMPUTED_VALUE"""),"//ord_71722//Mehul Thakkar//Malad//Veg Puff+5*Neha Shah/3/20/2023//Credit Card//Delivered*Quality of Items: Perfect condition")</f>
        <v>//ord_71722//Mehul Thakkar//Malad//Veg Puff+5*Neha Shah/3/20/2023//Credit Card//Delivered*Quality of Items: Perfect condition</v>
      </c>
      <c r="B1744" s="14" t="str">
        <f>IFERROR(__xludf.DUMMYFUNCTION("split(A1744,""//"")"),"ord_71722")</f>
        <v>ord_71722</v>
      </c>
      <c r="C1744" s="14" t="str">
        <f>IFERROR(__xludf.DUMMYFUNCTION("""COMPUTED_VALUE"""),"Mehul Thakkar")</f>
        <v>Mehul Thakkar</v>
      </c>
      <c r="D1744" s="14" t="str">
        <f>IFERROR(__xludf.DUMMYFUNCTION("""COMPUTED_VALUE"""),"Malad")</f>
        <v>Malad</v>
      </c>
      <c r="E1744" s="14" t="str">
        <f>IFERROR(__xludf.DUMMYFUNCTION("""COMPUTED_VALUE"""),"Veg Puff+5*Neha Shah")</f>
        <v>Veg Puff+5*Neha Shah</v>
      </c>
      <c r="F1744" s="14">
        <f>IFERROR(__xludf.DUMMYFUNCTION("""COMPUTED_VALUE"""),3.0)</f>
        <v>3</v>
      </c>
      <c r="G1744" s="14">
        <f>IFERROR(__xludf.DUMMYFUNCTION("""COMPUTED_VALUE"""),20.0)</f>
        <v>20</v>
      </c>
      <c r="H1744" s="14">
        <f>IFERROR(__xludf.DUMMYFUNCTION("""COMPUTED_VALUE"""),2023.0)</f>
        <v>2023</v>
      </c>
      <c r="I1744" s="14" t="str">
        <f>IFERROR(__xludf.DUMMYFUNCTION("""COMPUTED_VALUE"""),"Credit Card")</f>
        <v>Credit Card</v>
      </c>
      <c r="J1744" s="14" t="str">
        <f>IFERROR(__xludf.DUMMYFUNCTION("""COMPUTED_VALUE"""),"Delivered*Quality of Items: Perfect condition")</f>
        <v>Delivered*Quality of Items: Perfect condition</v>
      </c>
      <c r="K1744" s="14" t="str">
        <f>IFERROR(__xludf.DUMMYFUNCTION("split(E1744,""+"")"),"Veg Puff")</f>
        <v>Veg Puff</v>
      </c>
      <c r="L1744" s="14" t="str">
        <f>IFERROR(__xludf.DUMMYFUNCTION("""COMPUTED_VALUE"""),"5*Neha Shah")</f>
        <v>5*Neha Shah</v>
      </c>
      <c r="M1744" s="14">
        <f>IFERROR(__xludf.DUMMYFUNCTION("SPLIT(L1744,""*"")"),5.0)</f>
        <v>5</v>
      </c>
      <c r="N1744" s="14" t="str">
        <f>IFERROR(__xludf.DUMMYFUNCTION("""COMPUTED_VALUE"""),"Neha Shah")</f>
        <v>Neha Shah</v>
      </c>
      <c r="O1744" s="14" t="str">
        <f>IFERROR(__xludf.DUMMYFUNCTION("split(J1744,""*"")"),"Delivered")</f>
        <v>Delivered</v>
      </c>
      <c r="P1744" s="14" t="str">
        <f>IFERROR(__xludf.DUMMYFUNCTION("""COMPUTED_VALUE"""),"Quality of Items: Perfect condition")</f>
        <v>Quality of Items: Perfect condition</v>
      </c>
      <c r="Q1744" s="14" t="str">
        <f>IFERROR(__xludf.DUMMYFUNCTION("split(P1744,"":"")"),"Quality of Items")</f>
        <v>Quality of Items</v>
      </c>
      <c r="R1744" s="14" t="str">
        <f>IFERROR(__xludf.DUMMYFUNCTION("""COMPUTED_VALUE""")," Perfect condition")</f>
        <v> Perfect condition</v>
      </c>
      <c r="S1744" s="14" t="str">
        <f t="shared" ref="S1744:U1744" si="3491">trim(B1744)</f>
        <v>ord_71722</v>
      </c>
      <c r="T1744" s="14" t="str">
        <f t="shared" si="3491"/>
        <v>Mehul Thakkar</v>
      </c>
      <c r="U1744" s="14" t="str">
        <f t="shared" si="3491"/>
        <v>Malad</v>
      </c>
      <c r="V1744" s="14" t="str">
        <f t="shared" si="4"/>
        <v>Veg Puff</v>
      </c>
      <c r="W1744" s="14">
        <f t="shared" si="5"/>
        <v>5</v>
      </c>
      <c r="X1744" s="14" t="str">
        <f t="shared" si="6"/>
        <v>Neha Shah</v>
      </c>
      <c r="Y1744" s="15">
        <f t="shared" si="7"/>
        <v>45005</v>
      </c>
      <c r="Z1744" s="14" t="str">
        <f t="shared" si="8"/>
        <v>Credit Card</v>
      </c>
      <c r="AA1744" s="14" t="str">
        <f t="shared" si="9"/>
        <v>Delivered</v>
      </c>
      <c r="AB1744" s="14" t="str">
        <f t="shared" ref="AB1744:AC1744" si="3492">trim(Q1744)</f>
        <v>Quality of Items</v>
      </c>
      <c r="AC1744" s="14" t="str">
        <f t="shared" si="3492"/>
        <v>Perfect condition</v>
      </c>
      <c r="AD1744" s="8"/>
    </row>
    <row r="1745">
      <c r="A1745" s="14" t="str">
        <f>IFERROR(__xludf.DUMMYFUNCTION("""COMPUTED_VALUE"""),"//ord_71723//Arvind Kulkarni//Juhu//Cold Coffee+1*Not Assigned/12/29/2023//UPI//Cancelled*High Delivery Fees")</f>
        <v>//ord_71723//Arvind Kulkarni//Juhu//Cold Coffee+1*Not Assigned/12/29/2023//UPI//Cancelled*High Delivery Fees</v>
      </c>
      <c r="B1745" s="14" t="str">
        <f>IFERROR(__xludf.DUMMYFUNCTION("split(A1745,""//"")"),"ord_71723")</f>
        <v>ord_71723</v>
      </c>
      <c r="C1745" s="14" t="str">
        <f>IFERROR(__xludf.DUMMYFUNCTION("""COMPUTED_VALUE"""),"Arvind Kulkarni")</f>
        <v>Arvind Kulkarni</v>
      </c>
      <c r="D1745" s="14" t="str">
        <f>IFERROR(__xludf.DUMMYFUNCTION("""COMPUTED_VALUE"""),"Juhu")</f>
        <v>Juhu</v>
      </c>
      <c r="E1745" s="14" t="str">
        <f>IFERROR(__xludf.DUMMYFUNCTION("""COMPUTED_VALUE"""),"Cold Coffee+1*Not Assigned")</f>
        <v>Cold Coffee+1*Not Assigned</v>
      </c>
      <c r="F1745" s="14">
        <f>IFERROR(__xludf.DUMMYFUNCTION("""COMPUTED_VALUE"""),12.0)</f>
        <v>12</v>
      </c>
      <c r="G1745" s="14">
        <f>IFERROR(__xludf.DUMMYFUNCTION("""COMPUTED_VALUE"""),29.0)</f>
        <v>29</v>
      </c>
      <c r="H1745" s="14">
        <f>IFERROR(__xludf.DUMMYFUNCTION("""COMPUTED_VALUE"""),2023.0)</f>
        <v>2023</v>
      </c>
      <c r="I1745" s="14" t="str">
        <f>IFERROR(__xludf.DUMMYFUNCTION("""COMPUTED_VALUE"""),"UPI")</f>
        <v>UPI</v>
      </c>
      <c r="J1745" s="14" t="str">
        <f>IFERROR(__xludf.DUMMYFUNCTION("""COMPUTED_VALUE"""),"Cancelled*High Delivery Fees")</f>
        <v>Cancelled*High Delivery Fees</v>
      </c>
      <c r="K1745" s="14" t="str">
        <f>IFERROR(__xludf.DUMMYFUNCTION("split(E1745,""+"")"),"Cold Coffee")</f>
        <v>Cold Coffee</v>
      </c>
      <c r="L1745" s="14" t="str">
        <f>IFERROR(__xludf.DUMMYFUNCTION("""COMPUTED_VALUE"""),"1*Not Assigned")</f>
        <v>1*Not Assigned</v>
      </c>
      <c r="M1745" s="14">
        <f>IFERROR(__xludf.DUMMYFUNCTION("SPLIT(L1745,""*"")"),1.0)</f>
        <v>1</v>
      </c>
      <c r="N1745" s="14" t="str">
        <f>IFERROR(__xludf.DUMMYFUNCTION("""COMPUTED_VALUE"""),"Not Assigned")</f>
        <v>Not Assigned</v>
      </c>
      <c r="O1745" s="14" t="str">
        <f>IFERROR(__xludf.DUMMYFUNCTION("split(J1745,""*"")"),"Cancelled")</f>
        <v>Cancelled</v>
      </c>
      <c r="P1745" s="14" t="str">
        <f>IFERROR(__xludf.DUMMYFUNCTION("""COMPUTED_VALUE"""),"High Delivery Fees")</f>
        <v>High Delivery Fees</v>
      </c>
      <c r="Q1745" s="14" t="str">
        <f>IFERROR(__xludf.DUMMYFUNCTION("split(P1745,"":"")"),"High Delivery Fees")</f>
        <v>High Delivery Fees</v>
      </c>
      <c r="R1745" s="14"/>
      <c r="S1745" s="14" t="str">
        <f t="shared" ref="S1745:U1745" si="3493">trim(B1745)</f>
        <v>ord_71723</v>
      </c>
      <c r="T1745" s="14" t="str">
        <f t="shared" si="3493"/>
        <v>Arvind Kulkarni</v>
      </c>
      <c r="U1745" s="14" t="str">
        <f t="shared" si="3493"/>
        <v>Juhu</v>
      </c>
      <c r="V1745" s="14" t="str">
        <f t="shared" si="4"/>
        <v>Cold Coffee</v>
      </c>
      <c r="W1745" s="14">
        <f t="shared" si="5"/>
        <v>1</v>
      </c>
      <c r="X1745" s="14" t="str">
        <f t="shared" si="6"/>
        <v>Not Assigned</v>
      </c>
      <c r="Y1745" s="15">
        <f t="shared" si="7"/>
        <v>45289</v>
      </c>
      <c r="Z1745" s="14" t="str">
        <f t="shared" si="8"/>
        <v>UPI</v>
      </c>
      <c r="AA1745" s="14" t="str">
        <f t="shared" si="9"/>
        <v>Cancelled</v>
      </c>
      <c r="AB1745" s="14" t="str">
        <f t="shared" ref="AB1745:AC1745" si="3494">trim(Q1745)</f>
        <v>High Delivery Fees</v>
      </c>
      <c r="AC1745" s="14" t="str">
        <f t="shared" si="3494"/>
        <v/>
      </c>
      <c r="AD1745" s="8"/>
    </row>
    <row r="1746">
      <c r="A1746" s="14" t="str">
        <f>IFERROR(__xludf.DUMMYFUNCTION("""COMPUTED_VALUE"""),"//ord_71724//Shruti Aggarwal//Colaba//Chilli Cheese Toast+8*Nikhil Deshmukh/1/23/2023//Online Payment//Delivered*On-time Delivery: Delivered on time")</f>
        <v>//ord_71724//Shruti Aggarwal//Colaba//Chilli Cheese Toast+8*Nikhil Deshmukh/1/23/2023//Online Payment//Delivered*On-time Delivery: Delivered on time</v>
      </c>
      <c r="B1746" s="14" t="str">
        <f>IFERROR(__xludf.DUMMYFUNCTION("split(A1746,""//"")"),"ord_71724")</f>
        <v>ord_71724</v>
      </c>
      <c r="C1746" s="14" t="str">
        <f>IFERROR(__xludf.DUMMYFUNCTION("""COMPUTED_VALUE"""),"Shruti Aggarwal")</f>
        <v>Shruti Aggarwal</v>
      </c>
      <c r="D1746" s="14" t="str">
        <f>IFERROR(__xludf.DUMMYFUNCTION("""COMPUTED_VALUE"""),"Colaba")</f>
        <v>Colaba</v>
      </c>
      <c r="E1746" s="14" t="str">
        <f>IFERROR(__xludf.DUMMYFUNCTION("""COMPUTED_VALUE"""),"Chilli Cheese Toast+8*Nikhil Deshmukh")</f>
        <v>Chilli Cheese Toast+8*Nikhil Deshmukh</v>
      </c>
      <c r="F1746" s="14">
        <f>IFERROR(__xludf.DUMMYFUNCTION("""COMPUTED_VALUE"""),1.0)</f>
        <v>1</v>
      </c>
      <c r="G1746" s="14">
        <f>IFERROR(__xludf.DUMMYFUNCTION("""COMPUTED_VALUE"""),23.0)</f>
        <v>23</v>
      </c>
      <c r="H1746" s="14">
        <f>IFERROR(__xludf.DUMMYFUNCTION("""COMPUTED_VALUE"""),2023.0)</f>
        <v>2023</v>
      </c>
      <c r="I1746" s="14" t="str">
        <f>IFERROR(__xludf.DUMMYFUNCTION("""COMPUTED_VALUE"""),"Online Payment")</f>
        <v>Online Payment</v>
      </c>
      <c r="J1746" s="14" t="str">
        <f>IFERROR(__xludf.DUMMYFUNCTION("""COMPUTED_VALUE"""),"Delivered*On-time Delivery: Delivered on time")</f>
        <v>Delivered*On-time Delivery: Delivered on time</v>
      </c>
      <c r="K1746" s="14" t="str">
        <f>IFERROR(__xludf.DUMMYFUNCTION("split(E1746,""+"")"),"Chilli Cheese Toast")</f>
        <v>Chilli Cheese Toast</v>
      </c>
      <c r="L1746" s="14" t="str">
        <f>IFERROR(__xludf.DUMMYFUNCTION("""COMPUTED_VALUE"""),"8*Nikhil Deshmukh")</f>
        <v>8*Nikhil Deshmukh</v>
      </c>
      <c r="M1746" s="14">
        <f>IFERROR(__xludf.DUMMYFUNCTION("SPLIT(L1746,""*"")"),8.0)</f>
        <v>8</v>
      </c>
      <c r="N1746" s="14" t="str">
        <f>IFERROR(__xludf.DUMMYFUNCTION("""COMPUTED_VALUE"""),"Nikhil Deshmukh")</f>
        <v>Nikhil Deshmukh</v>
      </c>
      <c r="O1746" s="14" t="str">
        <f>IFERROR(__xludf.DUMMYFUNCTION("split(J1746,""*"")"),"Delivered")</f>
        <v>Delivered</v>
      </c>
      <c r="P1746" s="14" t="str">
        <f>IFERROR(__xludf.DUMMYFUNCTION("""COMPUTED_VALUE"""),"On-time Delivery: Delivered on time")</f>
        <v>On-time Delivery: Delivered on time</v>
      </c>
      <c r="Q1746" s="14" t="str">
        <f>IFERROR(__xludf.DUMMYFUNCTION("split(P1746,"":"")"),"On-time Delivery")</f>
        <v>On-time Delivery</v>
      </c>
      <c r="R1746" s="14" t="str">
        <f>IFERROR(__xludf.DUMMYFUNCTION("""COMPUTED_VALUE""")," Delivered on time")</f>
        <v> Delivered on time</v>
      </c>
      <c r="S1746" s="14" t="str">
        <f t="shared" ref="S1746:U1746" si="3495">trim(B1746)</f>
        <v>ord_71724</v>
      </c>
      <c r="T1746" s="14" t="str">
        <f t="shared" si="3495"/>
        <v>Shruti Aggarwal</v>
      </c>
      <c r="U1746" s="14" t="str">
        <f t="shared" si="3495"/>
        <v>Colaba</v>
      </c>
      <c r="V1746" s="14" t="str">
        <f t="shared" si="4"/>
        <v>Chilli Cheese Toast</v>
      </c>
      <c r="W1746" s="14">
        <f t="shared" si="5"/>
        <v>8</v>
      </c>
      <c r="X1746" s="14" t="str">
        <f t="shared" si="6"/>
        <v>Nikhil Deshmukh</v>
      </c>
      <c r="Y1746" s="15">
        <f t="shared" si="7"/>
        <v>44949</v>
      </c>
      <c r="Z1746" s="14" t="str">
        <f t="shared" si="8"/>
        <v>Online Payment</v>
      </c>
      <c r="AA1746" s="14" t="str">
        <f t="shared" si="9"/>
        <v>Delivered</v>
      </c>
      <c r="AB1746" s="14" t="str">
        <f t="shared" ref="AB1746:AC1746" si="3496">trim(Q1746)</f>
        <v>On-time Delivery</v>
      </c>
      <c r="AC1746" s="14" t="str">
        <f t="shared" si="3496"/>
        <v>Delivered on time</v>
      </c>
      <c r="AD1746" s="8"/>
    </row>
    <row r="1747">
      <c r="A1747" s="14" t="str">
        <f>IFERROR(__xludf.DUMMYFUNCTION("""COMPUTED_VALUE"""),"//ord_71725//Sahil Desai//Colaba//Tiramisu+3*Nikhil Deshmukh/5/29/2023//UPI//Delivered*Quality of Items: Perfect condition")</f>
        <v>//ord_71725//Sahil Desai//Colaba//Tiramisu+3*Nikhil Deshmukh/5/29/2023//UPI//Delivered*Quality of Items: Perfect condition</v>
      </c>
      <c r="B1747" s="14" t="str">
        <f>IFERROR(__xludf.DUMMYFUNCTION("split(A1747,""//"")"),"ord_71725")</f>
        <v>ord_71725</v>
      </c>
      <c r="C1747" s="14" t="str">
        <f>IFERROR(__xludf.DUMMYFUNCTION("""COMPUTED_VALUE"""),"Sahil Desai")</f>
        <v>Sahil Desai</v>
      </c>
      <c r="D1747" s="14" t="str">
        <f>IFERROR(__xludf.DUMMYFUNCTION("""COMPUTED_VALUE"""),"Colaba")</f>
        <v>Colaba</v>
      </c>
      <c r="E1747" s="14" t="str">
        <f>IFERROR(__xludf.DUMMYFUNCTION("""COMPUTED_VALUE"""),"Tiramisu+3*Nikhil Deshmukh")</f>
        <v>Tiramisu+3*Nikhil Deshmukh</v>
      </c>
      <c r="F1747" s="14">
        <f>IFERROR(__xludf.DUMMYFUNCTION("""COMPUTED_VALUE"""),5.0)</f>
        <v>5</v>
      </c>
      <c r="G1747" s="14">
        <f>IFERROR(__xludf.DUMMYFUNCTION("""COMPUTED_VALUE"""),29.0)</f>
        <v>29</v>
      </c>
      <c r="H1747" s="14">
        <f>IFERROR(__xludf.DUMMYFUNCTION("""COMPUTED_VALUE"""),2023.0)</f>
        <v>2023</v>
      </c>
      <c r="I1747" s="14" t="str">
        <f>IFERROR(__xludf.DUMMYFUNCTION("""COMPUTED_VALUE"""),"UPI")</f>
        <v>UPI</v>
      </c>
      <c r="J1747" s="14" t="str">
        <f>IFERROR(__xludf.DUMMYFUNCTION("""COMPUTED_VALUE"""),"Delivered*Quality of Items: Perfect condition")</f>
        <v>Delivered*Quality of Items: Perfect condition</v>
      </c>
      <c r="K1747" s="14" t="str">
        <f>IFERROR(__xludf.DUMMYFUNCTION("split(E1747,""+"")"),"Tiramisu")</f>
        <v>Tiramisu</v>
      </c>
      <c r="L1747" s="14" t="str">
        <f>IFERROR(__xludf.DUMMYFUNCTION("""COMPUTED_VALUE"""),"3*Nikhil Deshmukh")</f>
        <v>3*Nikhil Deshmukh</v>
      </c>
      <c r="M1747" s="14">
        <f>IFERROR(__xludf.DUMMYFUNCTION("SPLIT(L1747,""*"")"),3.0)</f>
        <v>3</v>
      </c>
      <c r="N1747" s="14" t="str">
        <f>IFERROR(__xludf.DUMMYFUNCTION("""COMPUTED_VALUE"""),"Nikhil Deshmukh")</f>
        <v>Nikhil Deshmukh</v>
      </c>
      <c r="O1747" s="14" t="str">
        <f>IFERROR(__xludf.DUMMYFUNCTION("split(J1747,""*"")"),"Delivered")</f>
        <v>Delivered</v>
      </c>
      <c r="P1747" s="14" t="str">
        <f>IFERROR(__xludf.DUMMYFUNCTION("""COMPUTED_VALUE"""),"Quality of Items: Perfect condition")</f>
        <v>Quality of Items: Perfect condition</v>
      </c>
      <c r="Q1747" s="14" t="str">
        <f>IFERROR(__xludf.DUMMYFUNCTION("split(P1747,"":"")"),"Quality of Items")</f>
        <v>Quality of Items</v>
      </c>
      <c r="R1747" s="14" t="str">
        <f>IFERROR(__xludf.DUMMYFUNCTION("""COMPUTED_VALUE""")," Perfect condition")</f>
        <v> Perfect condition</v>
      </c>
      <c r="S1747" s="14" t="str">
        <f t="shared" ref="S1747:U1747" si="3497">trim(B1747)</f>
        <v>ord_71725</v>
      </c>
      <c r="T1747" s="14" t="str">
        <f t="shared" si="3497"/>
        <v>Sahil Desai</v>
      </c>
      <c r="U1747" s="14" t="str">
        <f t="shared" si="3497"/>
        <v>Colaba</v>
      </c>
      <c r="V1747" s="14" t="str">
        <f t="shared" si="4"/>
        <v>Tiramisu</v>
      </c>
      <c r="W1747" s="14">
        <f t="shared" si="5"/>
        <v>3</v>
      </c>
      <c r="X1747" s="14" t="str">
        <f t="shared" si="6"/>
        <v>Nikhil Deshmukh</v>
      </c>
      <c r="Y1747" s="15">
        <f t="shared" si="7"/>
        <v>45075</v>
      </c>
      <c r="Z1747" s="14" t="str">
        <f t="shared" si="8"/>
        <v>UPI</v>
      </c>
      <c r="AA1747" s="14" t="str">
        <f t="shared" si="9"/>
        <v>Delivered</v>
      </c>
      <c r="AB1747" s="14" t="str">
        <f t="shared" ref="AB1747:AC1747" si="3498">trim(Q1747)</f>
        <v>Quality of Items</v>
      </c>
      <c r="AC1747" s="14" t="str">
        <f t="shared" si="3498"/>
        <v>Perfect condition</v>
      </c>
      <c r="AD1747" s="8"/>
    </row>
    <row r="1748">
      <c r="A1748" s="14" t="str">
        <f>IFERROR(__xludf.DUMMYFUNCTION("""COMPUTED_VALUE"""),"//ord_71726//Sana Malik//Powai//Guava+3*Sandeep Kumar/7/20/2023//UPI//Delivered*Packaging: Secure and intact")</f>
        <v>//ord_71726//Sana Malik//Powai//Guava+3*Sandeep Kumar/7/20/2023//UPI//Delivered*Packaging: Secure and intact</v>
      </c>
      <c r="B1748" s="14" t="str">
        <f>IFERROR(__xludf.DUMMYFUNCTION("split(A1748,""//"")"),"ord_71726")</f>
        <v>ord_71726</v>
      </c>
      <c r="C1748" s="14" t="str">
        <f>IFERROR(__xludf.DUMMYFUNCTION("""COMPUTED_VALUE"""),"Sana Malik")</f>
        <v>Sana Malik</v>
      </c>
      <c r="D1748" s="14" t="str">
        <f>IFERROR(__xludf.DUMMYFUNCTION("""COMPUTED_VALUE"""),"Powai")</f>
        <v>Powai</v>
      </c>
      <c r="E1748" s="14" t="str">
        <f>IFERROR(__xludf.DUMMYFUNCTION("""COMPUTED_VALUE"""),"Guava+3*Sandeep Kumar")</f>
        <v>Guava+3*Sandeep Kumar</v>
      </c>
      <c r="F1748" s="14">
        <f>IFERROR(__xludf.DUMMYFUNCTION("""COMPUTED_VALUE"""),7.0)</f>
        <v>7</v>
      </c>
      <c r="G1748" s="14">
        <f>IFERROR(__xludf.DUMMYFUNCTION("""COMPUTED_VALUE"""),20.0)</f>
        <v>20</v>
      </c>
      <c r="H1748" s="14">
        <f>IFERROR(__xludf.DUMMYFUNCTION("""COMPUTED_VALUE"""),2023.0)</f>
        <v>2023</v>
      </c>
      <c r="I1748" s="14" t="str">
        <f>IFERROR(__xludf.DUMMYFUNCTION("""COMPUTED_VALUE"""),"UPI")</f>
        <v>UPI</v>
      </c>
      <c r="J1748" s="14" t="str">
        <f>IFERROR(__xludf.DUMMYFUNCTION("""COMPUTED_VALUE"""),"Delivered*Packaging: Secure and intact")</f>
        <v>Delivered*Packaging: Secure and intact</v>
      </c>
      <c r="K1748" s="14" t="str">
        <f>IFERROR(__xludf.DUMMYFUNCTION("split(E1748,""+"")"),"Guava")</f>
        <v>Guava</v>
      </c>
      <c r="L1748" s="14" t="str">
        <f>IFERROR(__xludf.DUMMYFUNCTION("""COMPUTED_VALUE"""),"3*Sandeep Kumar")</f>
        <v>3*Sandeep Kumar</v>
      </c>
      <c r="M1748" s="14">
        <f>IFERROR(__xludf.DUMMYFUNCTION("SPLIT(L1748,""*"")"),3.0)</f>
        <v>3</v>
      </c>
      <c r="N1748" s="14" t="str">
        <f>IFERROR(__xludf.DUMMYFUNCTION("""COMPUTED_VALUE"""),"Sandeep Kumar")</f>
        <v>Sandeep Kumar</v>
      </c>
      <c r="O1748" s="14" t="str">
        <f>IFERROR(__xludf.DUMMYFUNCTION("split(J1748,""*"")"),"Delivered")</f>
        <v>Delivered</v>
      </c>
      <c r="P1748" s="14" t="str">
        <f>IFERROR(__xludf.DUMMYFUNCTION("""COMPUTED_VALUE"""),"Packaging: Secure and intact")</f>
        <v>Packaging: Secure and intact</v>
      </c>
      <c r="Q1748" s="14" t="str">
        <f>IFERROR(__xludf.DUMMYFUNCTION("split(P1748,"":"")"),"Packaging")</f>
        <v>Packaging</v>
      </c>
      <c r="R1748" s="14" t="str">
        <f>IFERROR(__xludf.DUMMYFUNCTION("""COMPUTED_VALUE""")," Secure and intact")</f>
        <v> Secure and intact</v>
      </c>
      <c r="S1748" s="14" t="str">
        <f t="shared" ref="S1748:U1748" si="3499">trim(B1748)</f>
        <v>ord_71726</v>
      </c>
      <c r="T1748" s="14" t="str">
        <f t="shared" si="3499"/>
        <v>Sana Malik</v>
      </c>
      <c r="U1748" s="14" t="str">
        <f t="shared" si="3499"/>
        <v>Powai</v>
      </c>
      <c r="V1748" s="14" t="str">
        <f t="shared" si="4"/>
        <v>Guava</v>
      </c>
      <c r="W1748" s="14">
        <f t="shared" si="5"/>
        <v>3</v>
      </c>
      <c r="X1748" s="14" t="str">
        <f t="shared" si="6"/>
        <v>Sandeep Kumar</v>
      </c>
      <c r="Y1748" s="15">
        <f t="shared" si="7"/>
        <v>45127</v>
      </c>
      <c r="Z1748" s="14" t="str">
        <f t="shared" si="8"/>
        <v>UPI</v>
      </c>
      <c r="AA1748" s="14" t="str">
        <f t="shared" si="9"/>
        <v>Delivered</v>
      </c>
      <c r="AB1748" s="14" t="str">
        <f t="shared" ref="AB1748:AC1748" si="3500">trim(Q1748)</f>
        <v>Packaging</v>
      </c>
      <c r="AC1748" s="14" t="str">
        <f t="shared" si="3500"/>
        <v>Secure and intact</v>
      </c>
      <c r="AD1748" s="8"/>
    </row>
    <row r="1749">
      <c r="A1749" s="14" t="str">
        <f>IFERROR(__xludf.DUMMYFUNCTION("""COMPUTED_VALUE"""),"//ord_71727//Yash Verma//Lower Parel//Rasmalai+6*Kiran Mehta/8/20/2023//Online Payment//Delivered*Satisfied with the Delivery: Timely and quality")</f>
        <v>//ord_71727//Yash Verma//Lower Parel//Rasmalai+6*Kiran Mehta/8/20/2023//Online Payment//Delivered*Satisfied with the Delivery: Timely and quality</v>
      </c>
      <c r="B1749" s="14" t="str">
        <f>IFERROR(__xludf.DUMMYFUNCTION("split(A1749,""//"")"),"ord_71727")</f>
        <v>ord_71727</v>
      </c>
      <c r="C1749" s="14" t="str">
        <f>IFERROR(__xludf.DUMMYFUNCTION("""COMPUTED_VALUE"""),"Yash Verma")</f>
        <v>Yash Verma</v>
      </c>
      <c r="D1749" s="14" t="str">
        <f>IFERROR(__xludf.DUMMYFUNCTION("""COMPUTED_VALUE"""),"Lower Parel")</f>
        <v>Lower Parel</v>
      </c>
      <c r="E1749" s="14" t="str">
        <f>IFERROR(__xludf.DUMMYFUNCTION("""COMPUTED_VALUE"""),"Rasmalai+6*Kiran Mehta")</f>
        <v>Rasmalai+6*Kiran Mehta</v>
      </c>
      <c r="F1749" s="14">
        <f>IFERROR(__xludf.DUMMYFUNCTION("""COMPUTED_VALUE"""),8.0)</f>
        <v>8</v>
      </c>
      <c r="G1749" s="14">
        <f>IFERROR(__xludf.DUMMYFUNCTION("""COMPUTED_VALUE"""),20.0)</f>
        <v>20</v>
      </c>
      <c r="H1749" s="14">
        <f>IFERROR(__xludf.DUMMYFUNCTION("""COMPUTED_VALUE"""),2023.0)</f>
        <v>2023</v>
      </c>
      <c r="I1749" s="14" t="str">
        <f>IFERROR(__xludf.DUMMYFUNCTION("""COMPUTED_VALUE"""),"Online Payment")</f>
        <v>Online Payment</v>
      </c>
      <c r="J1749" s="14" t="str">
        <f>IFERROR(__xludf.DUMMYFUNCTION("""COMPUTED_VALUE"""),"Delivered*Satisfied with the Delivery: Timely and quality")</f>
        <v>Delivered*Satisfied with the Delivery: Timely and quality</v>
      </c>
      <c r="K1749" s="14" t="str">
        <f>IFERROR(__xludf.DUMMYFUNCTION("split(E1749,""+"")"),"Rasmalai")</f>
        <v>Rasmalai</v>
      </c>
      <c r="L1749" s="14" t="str">
        <f>IFERROR(__xludf.DUMMYFUNCTION("""COMPUTED_VALUE"""),"6*Kiran Mehta")</f>
        <v>6*Kiran Mehta</v>
      </c>
      <c r="M1749" s="14">
        <f>IFERROR(__xludf.DUMMYFUNCTION("SPLIT(L1749,""*"")"),6.0)</f>
        <v>6</v>
      </c>
      <c r="N1749" s="14" t="str">
        <f>IFERROR(__xludf.DUMMYFUNCTION("""COMPUTED_VALUE"""),"Kiran Mehta")</f>
        <v>Kiran Mehta</v>
      </c>
      <c r="O1749" s="14" t="str">
        <f>IFERROR(__xludf.DUMMYFUNCTION("split(J1749,""*"")"),"Delivered")</f>
        <v>Delivered</v>
      </c>
      <c r="P1749" s="14" t="str">
        <f>IFERROR(__xludf.DUMMYFUNCTION("""COMPUTED_VALUE"""),"Satisfied with the Delivery: Timely and quality")</f>
        <v>Satisfied with the Delivery: Timely and quality</v>
      </c>
      <c r="Q1749" s="14" t="str">
        <f>IFERROR(__xludf.DUMMYFUNCTION("split(P1749,"":"")"),"Satisfied with the Delivery")</f>
        <v>Satisfied with the Delivery</v>
      </c>
      <c r="R1749" s="14" t="str">
        <f>IFERROR(__xludf.DUMMYFUNCTION("""COMPUTED_VALUE""")," Timely and quality")</f>
        <v> Timely and quality</v>
      </c>
      <c r="S1749" s="14" t="str">
        <f t="shared" ref="S1749:U1749" si="3501">trim(B1749)</f>
        <v>ord_71727</v>
      </c>
      <c r="T1749" s="14" t="str">
        <f t="shared" si="3501"/>
        <v>Yash Verma</v>
      </c>
      <c r="U1749" s="14" t="str">
        <f t="shared" si="3501"/>
        <v>Lower Parel</v>
      </c>
      <c r="V1749" s="14" t="str">
        <f t="shared" si="4"/>
        <v>Rasmalai</v>
      </c>
      <c r="W1749" s="14">
        <f t="shared" si="5"/>
        <v>6</v>
      </c>
      <c r="X1749" s="14" t="str">
        <f t="shared" si="6"/>
        <v>Kiran Mehta</v>
      </c>
      <c r="Y1749" s="15">
        <f t="shared" si="7"/>
        <v>45158</v>
      </c>
      <c r="Z1749" s="14" t="str">
        <f t="shared" si="8"/>
        <v>Online Payment</v>
      </c>
      <c r="AA1749" s="14" t="str">
        <f t="shared" si="9"/>
        <v>Delivered</v>
      </c>
      <c r="AB1749" s="14" t="str">
        <f t="shared" ref="AB1749:AC1749" si="3502">trim(Q1749)</f>
        <v>Satisfied with the Delivery</v>
      </c>
      <c r="AC1749" s="14" t="str">
        <f t="shared" si="3502"/>
        <v>Timely and quality</v>
      </c>
      <c r="AD1749" s="8"/>
    </row>
    <row r="1750">
      <c r="A1750" s="14" t="str">
        <f>IFERROR(__xludf.DUMMYFUNCTION("""COMPUTED_VALUE"""),"//ord_71728//Harsh Vardhan//Bandra//Tomato+2*Priya Joshi/12/23/2023//Online Payment//Delivered*Customer Service: Seamless and easy")</f>
        <v>//ord_71728//Harsh Vardhan//Bandra//Tomato+2*Priya Joshi/12/23/2023//Online Payment//Delivered*Customer Service: Seamless and easy</v>
      </c>
      <c r="B1750" s="14" t="str">
        <f>IFERROR(__xludf.DUMMYFUNCTION("split(A1750,""//"")"),"ord_71728")</f>
        <v>ord_71728</v>
      </c>
      <c r="C1750" s="14" t="str">
        <f>IFERROR(__xludf.DUMMYFUNCTION("""COMPUTED_VALUE"""),"Harsh Vardhan")</f>
        <v>Harsh Vardhan</v>
      </c>
      <c r="D1750" s="14" t="str">
        <f>IFERROR(__xludf.DUMMYFUNCTION("""COMPUTED_VALUE"""),"Bandra")</f>
        <v>Bandra</v>
      </c>
      <c r="E1750" s="14" t="str">
        <f>IFERROR(__xludf.DUMMYFUNCTION("""COMPUTED_VALUE"""),"Tomato+2*Priya Joshi")</f>
        <v>Tomato+2*Priya Joshi</v>
      </c>
      <c r="F1750" s="14">
        <f>IFERROR(__xludf.DUMMYFUNCTION("""COMPUTED_VALUE"""),12.0)</f>
        <v>12</v>
      </c>
      <c r="G1750" s="14">
        <f>IFERROR(__xludf.DUMMYFUNCTION("""COMPUTED_VALUE"""),23.0)</f>
        <v>23</v>
      </c>
      <c r="H1750" s="14">
        <f>IFERROR(__xludf.DUMMYFUNCTION("""COMPUTED_VALUE"""),2023.0)</f>
        <v>2023</v>
      </c>
      <c r="I1750" s="14" t="str">
        <f>IFERROR(__xludf.DUMMYFUNCTION("""COMPUTED_VALUE"""),"Online Payment")</f>
        <v>Online Payment</v>
      </c>
      <c r="J1750" s="14" t="str">
        <f>IFERROR(__xludf.DUMMYFUNCTION("""COMPUTED_VALUE"""),"Delivered*Customer Service: Seamless and easy")</f>
        <v>Delivered*Customer Service: Seamless and easy</v>
      </c>
      <c r="K1750" s="14" t="str">
        <f>IFERROR(__xludf.DUMMYFUNCTION("split(E1750,""+"")"),"Tomato")</f>
        <v>Tomato</v>
      </c>
      <c r="L1750" s="14" t="str">
        <f>IFERROR(__xludf.DUMMYFUNCTION("""COMPUTED_VALUE"""),"2*Priya Joshi")</f>
        <v>2*Priya Joshi</v>
      </c>
      <c r="M1750" s="14">
        <f>IFERROR(__xludf.DUMMYFUNCTION("SPLIT(L1750,""*"")"),2.0)</f>
        <v>2</v>
      </c>
      <c r="N1750" s="14" t="str">
        <f>IFERROR(__xludf.DUMMYFUNCTION("""COMPUTED_VALUE"""),"Priya Joshi")</f>
        <v>Priya Joshi</v>
      </c>
      <c r="O1750" s="14" t="str">
        <f>IFERROR(__xludf.DUMMYFUNCTION("split(J1750,""*"")"),"Delivered")</f>
        <v>Delivered</v>
      </c>
      <c r="P1750" s="14" t="str">
        <f>IFERROR(__xludf.DUMMYFUNCTION("""COMPUTED_VALUE"""),"Customer Service: Seamless and easy")</f>
        <v>Customer Service: Seamless and easy</v>
      </c>
      <c r="Q1750" s="14" t="str">
        <f>IFERROR(__xludf.DUMMYFUNCTION("split(P1750,"":"")"),"Customer Service")</f>
        <v>Customer Service</v>
      </c>
      <c r="R1750" s="14" t="str">
        <f>IFERROR(__xludf.DUMMYFUNCTION("""COMPUTED_VALUE""")," Seamless and easy")</f>
        <v> Seamless and easy</v>
      </c>
      <c r="S1750" s="14" t="str">
        <f t="shared" ref="S1750:U1750" si="3503">trim(B1750)</f>
        <v>ord_71728</v>
      </c>
      <c r="T1750" s="14" t="str">
        <f t="shared" si="3503"/>
        <v>Harsh Vardhan</v>
      </c>
      <c r="U1750" s="14" t="str">
        <f t="shared" si="3503"/>
        <v>Bandra</v>
      </c>
      <c r="V1750" s="14" t="str">
        <f t="shared" si="4"/>
        <v>Tomato</v>
      </c>
      <c r="W1750" s="14">
        <f t="shared" si="5"/>
        <v>2</v>
      </c>
      <c r="X1750" s="14" t="str">
        <f t="shared" si="6"/>
        <v>Priya Joshi</v>
      </c>
      <c r="Y1750" s="15">
        <f t="shared" si="7"/>
        <v>45283</v>
      </c>
      <c r="Z1750" s="14" t="str">
        <f t="shared" si="8"/>
        <v>Online Payment</v>
      </c>
      <c r="AA1750" s="14" t="str">
        <f t="shared" si="9"/>
        <v>Delivered</v>
      </c>
      <c r="AB1750" s="14" t="str">
        <f t="shared" ref="AB1750:AC1750" si="3504">trim(Q1750)</f>
        <v>Customer Service</v>
      </c>
      <c r="AC1750" s="14" t="str">
        <f t="shared" si="3504"/>
        <v>Seamless and easy</v>
      </c>
      <c r="AD1750" s="8"/>
    </row>
    <row r="1751">
      <c r="A1751" s="14" t="str">
        <f>IFERROR(__xludf.DUMMYFUNCTION("""COMPUTED_VALUE"""),"//ord_71729//Leena Das//Andheri//Onion+4*Rohan Yadav/9/22/2023//UPI//Delivered*Delivery Experience: Quick and professional")</f>
        <v>//ord_71729//Leena Das//Andheri//Onion+4*Rohan Yadav/9/22/2023//UPI//Delivered*Delivery Experience: Quick and professional</v>
      </c>
      <c r="B1751" s="14" t="str">
        <f>IFERROR(__xludf.DUMMYFUNCTION("split(A1751,""//"")"),"ord_71729")</f>
        <v>ord_71729</v>
      </c>
      <c r="C1751" s="14" t="str">
        <f>IFERROR(__xludf.DUMMYFUNCTION("""COMPUTED_VALUE"""),"Leena Das")</f>
        <v>Leena Das</v>
      </c>
      <c r="D1751" s="14" t="str">
        <f>IFERROR(__xludf.DUMMYFUNCTION("""COMPUTED_VALUE"""),"Andheri")</f>
        <v>Andheri</v>
      </c>
      <c r="E1751" s="14" t="str">
        <f>IFERROR(__xludf.DUMMYFUNCTION("""COMPUTED_VALUE"""),"Onion+4*Rohan Yadav")</f>
        <v>Onion+4*Rohan Yadav</v>
      </c>
      <c r="F1751" s="14">
        <f>IFERROR(__xludf.DUMMYFUNCTION("""COMPUTED_VALUE"""),9.0)</f>
        <v>9</v>
      </c>
      <c r="G1751" s="14">
        <f>IFERROR(__xludf.DUMMYFUNCTION("""COMPUTED_VALUE"""),22.0)</f>
        <v>22</v>
      </c>
      <c r="H1751" s="14">
        <f>IFERROR(__xludf.DUMMYFUNCTION("""COMPUTED_VALUE"""),2023.0)</f>
        <v>2023</v>
      </c>
      <c r="I1751" s="14" t="str">
        <f>IFERROR(__xludf.DUMMYFUNCTION("""COMPUTED_VALUE"""),"UPI")</f>
        <v>UPI</v>
      </c>
      <c r="J1751" s="14" t="str">
        <f>IFERROR(__xludf.DUMMYFUNCTION("""COMPUTED_VALUE"""),"Delivered*Delivery Experience: Quick and professional")</f>
        <v>Delivered*Delivery Experience: Quick and professional</v>
      </c>
      <c r="K1751" s="14" t="str">
        <f>IFERROR(__xludf.DUMMYFUNCTION("split(E1751,""+"")"),"Onion")</f>
        <v>Onion</v>
      </c>
      <c r="L1751" s="14" t="str">
        <f>IFERROR(__xludf.DUMMYFUNCTION("""COMPUTED_VALUE"""),"4*Rohan Yadav")</f>
        <v>4*Rohan Yadav</v>
      </c>
      <c r="M1751" s="14">
        <f>IFERROR(__xludf.DUMMYFUNCTION("SPLIT(L1751,""*"")"),4.0)</f>
        <v>4</v>
      </c>
      <c r="N1751" s="14" t="str">
        <f>IFERROR(__xludf.DUMMYFUNCTION("""COMPUTED_VALUE"""),"Rohan Yadav")</f>
        <v>Rohan Yadav</v>
      </c>
      <c r="O1751" s="14" t="str">
        <f>IFERROR(__xludf.DUMMYFUNCTION("split(J1751,""*"")"),"Delivered")</f>
        <v>Delivered</v>
      </c>
      <c r="P1751" s="14" t="str">
        <f>IFERROR(__xludf.DUMMYFUNCTION("""COMPUTED_VALUE"""),"Delivery Experience: Quick and professional")</f>
        <v>Delivery Experience: Quick and professional</v>
      </c>
      <c r="Q1751" s="14" t="str">
        <f>IFERROR(__xludf.DUMMYFUNCTION("split(P1751,"":"")"),"Delivery Experience")</f>
        <v>Delivery Experience</v>
      </c>
      <c r="R1751" s="14" t="str">
        <f>IFERROR(__xludf.DUMMYFUNCTION("""COMPUTED_VALUE""")," Quick and professional")</f>
        <v> Quick and professional</v>
      </c>
      <c r="S1751" s="14" t="str">
        <f t="shared" ref="S1751:U1751" si="3505">trim(B1751)</f>
        <v>ord_71729</v>
      </c>
      <c r="T1751" s="14" t="str">
        <f t="shared" si="3505"/>
        <v>Leena Das</v>
      </c>
      <c r="U1751" s="14" t="str">
        <f t="shared" si="3505"/>
        <v>Andheri</v>
      </c>
      <c r="V1751" s="14" t="str">
        <f t="shared" si="4"/>
        <v>Onion</v>
      </c>
      <c r="W1751" s="14">
        <f t="shared" si="5"/>
        <v>4</v>
      </c>
      <c r="X1751" s="14" t="str">
        <f t="shared" si="6"/>
        <v>Rohan Yadav</v>
      </c>
      <c r="Y1751" s="15">
        <f t="shared" si="7"/>
        <v>45191</v>
      </c>
      <c r="Z1751" s="14" t="str">
        <f t="shared" si="8"/>
        <v>UPI</v>
      </c>
      <c r="AA1751" s="14" t="str">
        <f t="shared" si="9"/>
        <v>Delivered</v>
      </c>
      <c r="AB1751" s="14" t="str">
        <f t="shared" ref="AB1751:AC1751" si="3506">trim(Q1751)</f>
        <v>Delivery Experience</v>
      </c>
      <c r="AC1751" s="14" t="str">
        <f t="shared" si="3506"/>
        <v>Quick and professional</v>
      </c>
      <c r="AD1751" s="8"/>
    </row>
    <row r="1752">
      <c r="A1752" s="14" t="str">
        <f>IFERROR(__xludf.DUMMYFUNCTION("""COMPUTED_VALUE"""),"//ord_71730//Mehul Thakkar//Dadar//Guava+1*Aman Kumar/12/6/2023//Online Payment//Delivered*Convenience: Easy tracking")</f>
        <v>//ord_71730//Mehul Thakkar//Dadar//Guava+1*Aman Kumar/12/6/2023//Online Payment//Delivered*Convenience: Easy tracking</v>
      </c>
      <c r="B1752" s="14" t="str">
        <f>IFERROR(__xludf.DUMMYFUNCTION("split(A1752,""//"")"),"ord_71730")</f>
        <v>ord_71730</v>
      </c>
      <c r="C1752" s="14" t="str">
        <f>IFERROR(__xludf.DUMMYFUNCTION("""COMPUTED_VALUE"""),"Mehul Thakkar")</f>
        <v>Mehul Thakkar</v>
      </c>
      <c r="D1752" s="14" t="str">
        <f>IFERROR(__xludf.DUMMYFUNCTION("""COMPUTED_VALUE"""),"Dadar")</f>
        <v>Dadar</v>
      </c>
      <c r="E1752" s="14" t="str">
        <f>IFERROR(__xludf.DUMMYFUNCTION("""COMPUTED_VALUE"""),"Guava+1*Aman Kumar")</f>
        <v>Guava+1*Aman Kumar</v>
      </c>
      <c r="F1752" s="14">
        <f>IFERROR(__xludf.DUMMYFUNCTION("""COMPUTED_VALUE"""),12.0)</f>
        <v>12</v>
      </c>
      <c r="G1752" s="14">
        <f>IFERROR(__xludf.DUMMYFUNCTION("""COMPUTED_VALUE"""),6.0)</f>
        <v>6</v>
      </c>
      <c r="H1752" s="14">
        <f>IFERROR(__xludf.DUMMYFUNCTION("""COMPUTED_VALUE"""),2023.0)</f>
        <v>2023</v>
      </c>
      <c r="I1752" s="14" t="str">
        <f>IFERROR(__xludf.DUMMYFUNCTION("""COMPUTED_VALUE"""),"Online Payment")</f>
        <v>Online Payment</v>
      </c>
      <c r="J1752" s="14" t="str">
        <f>IFERROR(__xludf.DUMMYFUNCTION("""COMPUTED_VALUE"""),"Delivered*Convenience: Easy tracking")</f>
        <v>Delivered*Convenience: Easy tracking</v>
      </c>
      <c r="K1752" s="14" t="str">
        <f>IFERROR(__xludf.DUMMYFUNCTION("split(E1752,""+"")"),"Guava")</f>
        <v>Guava</v>
      </c>
      <c r="L1752" s="14" t="str">
        <f>IFERROR(__xludf.DUMMYFUNCTION("""COMPUTED_VALUE"""),"1*Aman Kumar")</f>
        <v>1*Aman Kumar</v>
      </c>
      <c r="M1752" s="14">
        <f>IFERROR(__xludf.DUMMYFUNCTION("SPLIT(L1752,""*"")"),1.0)</f>
        <v>1</v>
      </c>
      <c r="N1752" s="14" t="str">
        <f>IFERROR(__xludf.DUMMYFUNCTION("""COMPUTED_VALUE"""),"Aman Kumar")</f>
        <v>Aman Kumar</v>
      </c>
      <c r="O1752" s="14" t="str">
        <f>IFERROR(__xludf.DUMMYFUNCTION("split(J1752,""*"")"),"Delivered")</f>
        <v>Delivered</v>
      </c>
      <c r="P1752" s="14" t="str">
        <f>IFERROR(__xludf.DUMMYFUNCTION("""COMPUTED_VALUE"""),"Convenience: Easy tracking")</f>
        <v>Convenience: Easy tracking</v>
      </c>
      <c r="Q1752" s="14" t="str">
        <f>IFERROR(__xludf.DUMMYFUNCTION("split(P1752,"":"")"),"Convenience")</f>
        <v>Convenience</v>
      </c>
      <c r="R1752" s="14" t="str">
        <f>IFERROR(__xludf.DUMMYFUNCTION("""COMPUTED_VALUE""")," Easy tracking")</f>
        <v> Easy tracking</v>
      </c>
      <c r="S1752" s="14" t="str">
        <f t="shared" ref="S1752:U1752" si="3507">trim(B1752)</f>
        <v>ord_71730</v>
      </c>
      <c r="T1752" s="14" t="str">
        <f t="shared" si="3507"/>
        <v>Mehul Thakkar</v>
      </c>
      <c r="U1752" s="14" t="str">
        <f t="shared" si="3507"/>
        <v>Dadar</v>
      </c>
      <c r="V1752" s="14" t="str">
        <f t="shared" si="4"/>
        <v>Guava</v>
      </c>
      <c r="W1752" s="14">
        <f t="shared" si="5"/>
        <v>1</v>
      </c>
      <c r="X1752" s="14" t="str">
        <f t="shared" si="6"/>
        <v>Aman Kumar</v>
      </c>
      <c r="Y1752" s="15">
        <f t="shared" si="7"/>
        <v>45266</v>
      </c>
      <c r="Z1752" s="14" t="str">
        <f t="shared" si="8"/>
        <v>Online Payment</v>
      </c>
      <c r="AA1752" s="14" t="str">
        <f t="shared" si="9"/>
        <v>Delivered</v>
      </c>
      <c r="AB1752" s="14" t="str">
        <f t="shared" ref="AB1752:AC1752" si="3508">trim(Q1752)</f>
        <v>Convenience</v>
      </c>
      <c r="AC1752" s="14" t="str">
        <f t="shared" si="3508"/>
        <v>Easy tracking</v>
      </c>
      <c r="AD1752" s="8"/>
    </row>
    <row r="1753">
      <c r="A1753" s="14" t="str">
        <f>IFERROR(__xludf.DUMMYFUNCTION("""COMPUTED_VALUE"""),"//ord_71731//Sana Malik//Juhu//Rasmalai+6*Tanvi Jain/2/9/2023//Credit Card//Delivered*Overall Satisfaction: Great service will order again")</f>
        <v>//ord_71731//Sana Malik//Juhu//Rasmalai+6*Tanvi Jain/2/9/2023//Credit Card//Delivered*Overall Satisfaction: Great service will order again</v>
      </c>
      <c r="B1753" s="14" t="str">
        <f>IFERROR(__xludf.DUMMYFUNCTION("split(A1753,""//"")"),"ord_71731")</f>
        <v>ord_71731</v>
      </c>
      <c r="C1753" s="14" t="str">
        <f>IFERROR(__xludf.DUMMYFUNCTION("""COMPUTED_VALUE"""),"Sana Malik")</f>
        <v>Sana Malik</v>
      </c>
      <c r="D1753" s="14" t="str">
        <f>IFERROR(__xludf.DUMMYFUNCTION("""COMPUTED_VALUE"""),"Juhu")</f>
        <v>Juhu</v>
      </c>
      <c r="E1753" s="14" t="str">
        <f>IFERROR(__xludf.DUMMYFUNCTION("""COMPUTED_VALUE"""),"Rasmalai+6*Tanvi Jain")</f>
        <v>Rasmalai+6*Tanvi Jain</v>
      </c>
      <c r="F1753" s="14">
        <f>IFERROR(__xludf.DUMMYFUNCTION("""COMPUTED_VALUE"""),2.0)</f>
        <v>2</v>
      </c>
      <c r="G1753" s="14">
        <f>IFERROR(__xludf.DUMMYFUNCTION("""COMPUTED_VALUE"""),9.0)</f>
        <v>9</v>
      </c>
      <c r="H1753" s="14">
        <f>IFERROR(__xludf.DUMMYFUNCTION("""COMPUTED_VALUE"""),2023.0)</f>
        <v>2023</v>
      </c>
      <c r="I1753" s="14" t="str">
        <f>IFERROR(__xludf.DUMMYFUNCTION("""COMPUTED_VALUE"""),"Credit Card")</f>
        <v>Credit Card</v>
      </c>
      <c r="J1753" s="14" t="str">
        <f>IFERROR(__xludf.DUMMYFUNCTION("""COMPUTED_VALUE"""),"Delivered*Overall Satisfaction: Great service will order again")</f>
        <v>Delivered*Overall Satisfaction: Great service will order again</v>
      </c>
      <c r="K1753" s="14" t="str">
        <f>IFERROR(__xludf.DUMMYFUNCTION("split(E1753,""+"")"),"Rasmalai")</f>
        <v>Rasmalai</v>
      </c>
      <c r="L1753" s="14" t="str">
        <f>IFERROR(__xludf.DUMMYFUNCTION("""COMPUTED_VALUE"""),"6*Tanvi Jain")</f>
        <v>6*Tanvi Jain</v>
      </c>
      <c r="M1753" s="14">
        <f>IFERROR(__xludf.DUMMYFUNCTION("SPLIT(L1753,""*"")"),6.0)</f>
        <v>6</v>
      </c>
      <c r="N1753" s="14" t="str">
        <f>IFERROR(__xludf.DUMMYFUNCTION("""COMPUTED_VALUE"""),"Tanvi Jain")</f>
        <v>Tanvi Jain</v>
      </c>
      <c r="O1753" s="14" t="str">
        <f>IFERROR(__xludf.DUMMYFUNCTION("split(J1753,""*"")"),"Delivered")</f>
        <v>Delivered</v>
      </c>
      <c r="P1753" s="14" t="str">
        <f>IFERROR(__xludf.DUMMYFUNCTION("""COMPUTED_VALUE"""),"Overall Satisfaction: Great service will order again")</f>
        <v>Overall Satisfaction: Great service will order again</v>
      </c>
      <c r="Q1753" s="14" t="str">
        <f>IFERROR(__xludf.DUMMYFUNCTION("split(P1753,"":"")"),"Overall Satisfaction")</f>
        <v>Overall Satisfaction</v>
      </c>
      <c r="R1753" s="14" t="str">
        <f>IFERROR(__xludf.DUMMYFUNCTION("""COMPUTED_VALUE""")," Great service will order again")</f>
        <v> Great service will order again</v>
      </c>
      <c r="S1753" s="14" t="str">
        <f t="shared" ref="S1753:U1753" si="3509">trim(B1753)</f>
        <v>ord_71731</v>
      </c>
      <c r="T1753" s="14" t="str">
        <f t="shared" si="3509"/>
        <v>Sana Malik</v>
      </c>
      <c r="U1753" s="14" t="str">
        <f t="shared" si="3509"/>
        <v>Juhu</v>
      </c>
      <c r="V1753" s="14" t="str">
        <f t="shared" si="4"/>
        <v>Rasmalai</v>
      </c>
      <c r="W1753" s="14">
        <f t="shared" si="5"/>
        <v>6</v>
      </c>
      <c r="X1753" s="14" t="str">
        <f t="shared" si="6"/>
        <v>Tanvi Jain</v>
      </c>
      <c r="Y1753" s="15">
        <f t="shared" si="7"/>
        <v>44966</v>
      </c>
      <c r="Z1753" s="14" t="str">
        <f t="shared" si="8"/>
        <v>Credit Card</v>
      </c>
      <c r="AA1753" s="14" t="str">
        <f t="shared" si="9"/>
        <v>Delivered</v>
      </c>
      <c r="AB1753" s="14" t="str">
        <f t="shared" ref="AB1753:AC1753" si="3510">trim(Q1753)</f>
        <v>Overall Satisfaction</v>
      </c>
      <c r="AC1753" s="14" t="str">
        <f t="shared" si="3510"/>
        <v>Great service will order again</v>
      </c>
      <c r="AD1753" s="8"/>
    </row>
    <row r="1754">
      <c r="A1754" s="14" t="str">
        <f>IFERROR(__xludf.DUMMYFUNCTION("""COMPUTED_VALUE"""),"//ord_71732//Harsh Vardhan//Bandra//Veg Puff+6*Priya Joshi/9/11/2023//UPI//Delivered*On-time Delivery: Delivered on time")</f>
        <v>//ord_71732//Harsh Vardhan//Bandra//Veg Puff+6*Priya Joshi/9/11/2023//UPI//Delivered*On-time Delivery: Delivered on time</v>
      </c>
      <c r="B1754" s="14" t="str">
        <f>IFERROR(__xludf.DUMMYFUNCTION("split(A1754,""//"")"),"ord_71732")</f>
        <v>ord_71732</v>
      </c>
      <c r="C1754" s="14" t="str">
        <f>IFERROR(__xludf.DUMMYFUNCTION("""COMPUTED_VALUE"""),"Harsh Vardhan")</f>
        <v>Harsh Vardhan</v>
      </c>
      <c r="D1754" s="14" t="str">
        <f>IFERROR(__xludf.DUMMYFUNCTION("""COMPUTED_VALUE"""),"Bandra")</f>
        <v>Bandra</v>
      </c>
      <c r="E1754" s="14" t="str">
        <f>IFERROR(__xludf.DUMMYFUNCTION("""COMPUTED_VALUE"""),"Veg Puff+6*Priya Joshi")</f>
        <v>Veg Puff+6*Priya Joshi</v>
      </c>
      <c r="F1754" s="14">
        <f>IFERROR(__xludf.DUMMYFUNCTION("""COMPUTED_VALUE"""),9.0)</f>
        <v>9</v>
      </c>
      <c r="G1754" s="14">
        <f>IFERROR(__xludf.DUMMYFUNCTION("""COMPUTED_VALUE"""),11.0)</f>
        <v>11</v>
      </c>
      <c r="H1754" s="14">
        <f>IFERROR(__xludf.DUMMYFUNCTION("""COMPUTED_VALUE"""),2023.0)</f>
        <v>2023</v>
      </c>
      <c r="I1754" s="14" t="str">
        <f>IFERROR(__xludf.DUMMYFUNCTION("""COMPUTED_VALUE"""),"UPI")</f>
        <v>UPI</v>
      </c>
      <c r="J1754" s="14" t="str">
        <f>IFERROR(__xludf.DUMMYFUNCTION("""COMPUTED_VALUE"""),"Delivered*On-time Delivery: Delivered on time")</f>
        <v>Delivered*On-time Delivery: Delivered on time</v>
      </c>
      <c r="K1754" s="14" t="str">
        <f>IFERROR(__xludf.DUMMYFUNCTION("split(E1754,""+"")"),"Veg Puff")</f>
        <v>Veg Puff</v>
      </c>
      <c r="L1754" s="14" t="str">
        <f>IFERROR(__xludf.DUMMYFUNCTION("""COMPUTED_VALUE"""),"6*Priya Joshi")</f>
        <v>6*Priya Joshi</v>
      </c>
      <c r="M1754" s="14">
        <f>IFERROR(__xludf.DUMMYFUNCTION("SPLIT(L1754,""*"")"),6.0)</f>
        <v>6</v>
      </c>
      <c r="N1754" s="14" t="str">
        <f>IFERROR(__xludf.DUMMYFUNCTION("""COMPUTED_VALUE"""),"Priya Joshi")</f>
        <v>Priya Joshi</v>
      </c>
      <c r="O1754" s="14" t="str">
        <f>IFERROR(__xludf.DUMMYFUNCTION("split(J1754,""*"")"),"Delivered")</f>
        <v>Delivered</v>
      </c>
      <c r="P1754" s="14" t="str">
        <f>IFERROR(__xludf.DUMMYFUNCTION("""COMPUTED_VALUE"""),"On-time Delivery: Delivered on time")</f>
        <v>On-time Delivery: Delivered on time</v>
      </c>
      <c r="Q1754" s="14" t="str">
        <f>IFERROR(__xludf.DUMMYFUNCTION("split(P1754,"":"")"),"On-time Delivery")</f>
        <v>On-time Delivery</v>
      </c>
      <c r="R1754" s="14" t="str">
        <f>IFERROR(__xludf.DUMMYFUNCTION("""COMPUTED_VALUE""")," Delivered on time")</f>
        <v> Delivered on time</v>
      </c>
      <c r="S1754" s="14" t="str">
        <f t="shared" ref="S1754:U1754" si="3511">trim(B1754)</f>
        <v>ord_71732</v>
      </c>
      <c r="T1754" s="14" t="str">
        <f t="shared" si="3511"/>
        <v>Harsh Vardhan</v>
      </c>
      <c r="U1754" s="14" t="str">
        <f t="shared" si="3511"/>
        <v>Bandra</v>
      </c>
      <c r="V1754" s="14" t="str">
        <f t="shared" si="4"/>
        <v>Veg Puff</v>
      </c>
      <c r="W1754" s="14">
        <f t="shared" si="5"/>
        <v>6</v>
      </c>
      <c r="X1754" s="14" t="str">
        <f t="shared" si="6"/>
        <v>Priya Joshi</v>
      </c>
      <c r="Y1754" s="15">
        <f t="shared" si="7"/>
        <v>45180</v>
      </c>
      <c r="Z1754" s="14" t="str">
        <f t="shared" si="8"/>
        <v>UPI</v>
      </c>
      <c r="AA1754" s="14" t="str">
        <f t="shared" si="9"/>
        <v>Delivered</v>
      </c>
      <c r="AB1754" s="14" t="str">
        <f t="shared" ref="AB1754:AC1754" si="3512">trim(Q1754)</f>
        <v>On-time Delivery</v>
      </c>
      <c r="AC1754" s="14" t="str">
        <f t="shared" si="3512"/>
        <v>Delivered on time</v>
      </c>
      <c r="AD1754" s="8"/>
    </row>
    <row r="1755">
      <c r="A1755" s="14" t="str">
        <f>IFERROR(__xludf.DUMMYFUNCTION("""COMPUTED_VALUE"""),"//ord_71733//Leena Das//Andheri//Potato+3*Rohan Yadav/12/25/2023//UPI//Delivered*Quality of Items: Perfect condition")</f>
        <v>//ord_71733//Leena Das//Andheri//Potato+3*Rohan Yadav/12/25/2023//UPI//Delivered*Quality of Items: Perfect condition</v>
      </c>
      <c r="B1755" s="14" t="str">
        <f>IFERROR(__xludf.DUMMYFUNCTION("split(A1755,""//"")"),"ord_71733")</f>
        <v>ord_71733</v>
      </c>
      <c r="C1755" s="14" t="str">
        <f>IFERROR(__xludf.DUMMYFUNCTION("""COMPUTED_VALUE"""),"Leena Das")</f>
        <v>Leena Das</v>
      </c>
      <c r="D1755" s="14" t="str">
        <f>IFERROR(__xludf.DUMMYFUNCTION("""COMPUTED_VALUE"""),"Andheri")</f>
        <v>Andheri</v>
      </c>
      <c r="E1755" s="14" t="str">
        <f>IFERROR(__xludf.DUMMYFUNCTION("""COMPUTED_VALUE"""),"Potato+3*Rohan Yadav")</f>
        <v>Potato+3*Rohan Yadav</v>
      </c>
      <c r="F1755" s="14">
        <f>IFERROR(__xludf.DUMMYFUNCTION("""COMPUTED_VALUE"""),12.0)</f>
        <v>12</v>
      </c>
      <c r="G1755" s="14">
        <f>IFERROR(__xludf.DUMMYFUNCTION("""COMPUTED_VALUE"""),25.0)</f>
        <v>25</v>
      </c>
      <c r="H1755" s="14">
        <f>IFERROR(__xludf.DUMMYFUNCTION("""COMPUTED_VALUE"""),2023.0)</f>
        <v>2023</v>
      </c>
      <c r="I1755" s="14" t="str">
        <f>IFERROR(__xludf.DUMMYFUNCTION("""COMPUTED_VALUE"""),"UPI")</f>
        <v>UPI</v>
      </c>
      <c r="J1755" s="14" t="str">
        <f>IFERROR(__xludf.DUMMYFUNCTION("""COMPUTED_VALUE"""),"Delivered*Quality of Items: Perfect condition")</f>
        <v>Delivered*Quality of Items: Perfect condition</v>
      </c>
      <c r="K1755" s="14" t="str">
        <f>IFERROR(__xludf.DUMMYFUNCTION("split(E1755,""+"")"),"Potato")</f>
        <v>Potato</v>
      </c>
      <c r="L1755" s="14" t="str">
        <f>IFERROR(__xludf.DUMMYFUNCTION("""COMPUTED_VALUE"""),"3*Rohan Yadav")</f>
        <v>3*Rohan Yadav</v>
      </c>
      <c r="M1755" s="14">
        <f>IFERROR(__xludf.DUMMYFUNCTION("SPLIT(L1755,""*"")"),3.0)</f>
        <v>3</v>
      </c>
      <c r="N1755" s="14" t="str">
        <f>IFERROR(__xludf.DUMMYFUNCTION("""COMPUTED_VALUE"""),"Rohan Yadav")</f>
        <v>Rohan Yadav</v>
      </c>
      <c r="O1755" s="14" t="str">
        <f>IFERROR(__xludf.DUMMYFUNCTION("split(J1755,""*"")"),"Delivered")</f>
        <v>Delivered</v>
      </c>
      <c r="P1755" s="14" t="str">
        <f>IFERROR(__xludf.DUMMYFUNCTION("""COMPUTED_VALUE"""),"Quality of Items: Perfect condition")</f>
        <v>Quality of Items: Perfect condition</v>
      </c>
      <c r="Q1755" s="14" t="str">
        <f>IFERROR(__xludf.DUMMYFUNCTION("split(P1755,"":"")"),"Quality of Items")</f>
        <v>Quality of Items</v>
      </c>
      <c r="R1755" s="14" t="str">
        <f>IFERROR(__xludf.DUMMYFUNCTION("""COMPUTED_VALUE""")," Perfect condition")</f>
        <v> Perfect condition</v>
      </c>
      <c r="S1755" s="14" t="str">
        <f t="shared" ref="S1755:U1755" si="3513">trim(B1755)</f>
        <v>ord_71733</v>
      </c>
      <c r="T1755" s="14" t="str">
        <f t="shared" si="3513"/>
        <v>Leena Das</v>
      </c>
      <c r="U1755" s="14" t="str">
        <f t="shared" si="3513"/>
        <v>Andheri</v>
      </c>
      <c r="V1755" s="14" t="str">
        <f t="shared" si="4"/>
        <v>Potato</v>
      </c>
      <c r="W1755" s="14">
        <f t="shared" si="5"/>
        <v>3</v>
      </c>
      <c r="X1755" s="14" t="str">
        <f t="shared" si="6"/>
        <v>Rohan Yadav</v>
      </c>
      <c r="Y1755" s="15">
        <f t="shared" si="7"/>
        <v>45285</v>
      </c>
      <c r="Z1755" s="14" t="str">
        <f t="shared" si="8"/>
        <v>UPI</v>
      </c>
      <c r="AA1755" s="14" t="str">
        <f t="shared" si="9"/>
        <v>Delivered</v>
      </c>
      <c r="AB1755" s="14" t="str">
        <f t="shared" ref="AB1755:AC1755" si="3514">trim(Q1755)</f>
        <v>Quality of Items</v>
      </c>
      <c r="AC1755" s="14" t="str">
        <f t="shared" si="3514"/>
        <v>Perfect condition</v>
      </c>
      <c r="AD1755" s="8"/>
    </row>
    <row r="1756">
      <c r="A1756" s="14" t="str">
        <f>IFERROR(__xludf.DUMMYFUNCTION("""COMPUTED_VALUE"""),"//ord_71734//Yash Verma//Colaba//Tomato+3*Nikhil Deshmukh/2/3/2023//Credit Card//Delivered*On-time Delivery: Delivered on time")</f>
        <v>//ord_71734//Yash Verma//Colaba//Tomato+3*Nikhil Deshmukh/2/3/2023//Credit Card//Delivered*On-time Delivery: Delivered on time</v>
      </c>
      <c r="B1756" s="14" t="str">
        <f>IFERROR(__xludf.DUMMYFUNCTION("split(A1756,""//"")"),"ord_71734")</f>
        <v>ord_71734</v>
      </c>
      <c r="C1756" s="14" t="str">
        <f>IFERROR(__xludf.DUMMYFUNCTION("""COMPUTED_VALUE"""),"Yash Verma")</f>
        <v>Yash Verma</v>
      </c>
      <c r="D1756" s="14" t="str">
        <f>IFERROR(__xludf.DUMMYFUNCTION("""COMPUTED_VALUE"""),"Colaba")</f>
        <v>Colaba</v>
      </c>
      <c r="E1756" s="14" t="str">
        <f>IFERROR(__xludf.DUMMYFUNCTION("""COMPUTED_VALUE"""),"Tomato+3*Nikhil Deshmukh")</f>
        <v>Tomato+3*Nikhil Deshmukh</v>
      </c>
      <c r="F1756" s="14">
        <f>IFERROR(__xludf.DUMMYFUNCTION("""COMPUTED_VALUE"""),2.0)</f>
        <v>2</v>
      </c>
      <c r="G1756" s="14">
        <f>IFERROR(__xludf.DUMMYFUNCTION("""COMPUTED_VALUE"""),3.0)</f>
        <v>3</v>
      </c>
      <c r="H1756" s="14">
        <f>IFERROR(__xludf.DUMMYFUNCTION("""COMPUTED_VALUE"""),2023.0)</f>
        <v>2023</v>
      </c>
      <c r="I1756" s="14" t="str">
        <f>IFERROR(__xludf.DUMMYFUNCTION("""COMPUTED_VALUE"""),"Credit Card")</f>
        <v>Credit Card</v>
      </c>
      <c r="J1756" s="14" t="str">
        <f>IFERROR(__xludf.DUMMYFUNCTION("""COMPUTED_VALUE"""),"Delivered*On-time Delivery: Delivered on time")</f>
        <v>Delivered*On-time Delivery: Delivered on time</v>
      </c>
      <c r="K1756" s="14" t="str">
        <f>IFERROR(__xludf.DUMMYFUNCTION("split(E1756,""+"")"),"Tomato")</f>
        <v>Tomato</v>
      </c>
      <c r="L1756" s="14" t="str">
        <f>IFERROR(__xludf.DUMMYFUNCTION("""COMPUTED_VALUE"""),"3*Nikhil Deshmukh")</f>
        <v>3*Nikhil Deshmukh</v>
      </c>
      <c r="M1756" s="14">
        <f>IFERROR(__xludf.DUMMYFUNCTION("SPLIT(L1756,""*"")"),3.0)</f>
        <v>3</v>
      </c>
      <c r="N1756" s="14" t="str">
        <f>IFERROR(__xludf.DUMMYFUNCTION("""COMPUTED_VALUE"""),"Nikhil Deshmukh")</f>
        <v>Nikhil Deshmukh</v>
      </c>
      <c r="O1756" s="14" t="str">
        <f>IFERROR(__xludf.DUMMYFUNCTION("split(J1756,""*"")"),"Delivered")</f>
        <v>Delivered</v>
      </c>
      <c r="P1756" s="14" t="str">
        <f>IFERROR(__xludf.DUMMYFUNCTION("""COMPUTED_VALUE"""),"On-time Delivery: Delivered on time")</f>
        <v>On-time Delivery: Delivered on time</v>
      </c>
      <c r="Q1756" s="14" t="str">
        <f>IFERROR(__xludf.DUMMYFUNCTION("split(P1756,"":"")"),"On-time Delivery")</f>
        <v>On-time Delivery</v>
      </c>
      <c r="R1756" s="14" t="str">
        <f>IFERROR(__xludf.DUMMYFUNCTION("""COMPUTED_VALUE""")," Delivered on time")</f>
        <v> Delivered on time</v>
      </c>
      <c r="S1756" s="14" t="str">
        <f t="shared" ref="S1756:U1756" si="3515">trim(B1756)</f>
        <v>ord_71734</v>
      </c>
      <c r="T1756" s="14" t="str">
        <f t="shared" si="3515"/>
        <v>Yash Verma</v>
      </c>
      <c r="U1756" s="14" t="str">
        <f t="shared" si="3515"/>
        <v>Colaba</v>
      </c>
      <c r="V1756" s="14" t="str">
        <f t="shared" si="4"/>
        <v>Tomato</v>
      </c>
      <c r="W1756" s="14">
        <f t="shared" si="5"/>
        <v>3</v>
      </c>
      <c r="X1756" s="14" t="str">
        <f t="shared" si="6"/>
        <v>Nikhil Deshmukh</v>
      </c>
      <c r="Y1756" s="15">
        <f t="shared" si="7"/>
        <v>44960</v>
      </c>
      <c r="Z1756" s="14" t="str">
        <f t="shared" si="8"/>
        <v>Credit Card</v>
      </c>
      <c r="AA1756" s="14" t="str">
        <f t="shared" si="9"/>
        <v>Delivered</v>
      </c>
      <c r="AB1756" s="14" t="str">
        <f t="shared" ref="AB1756:AC1756" si="3516">trim(Q1756)</f>
        <v>On-time Delivery</v>
      </c>
      <c r="AC1756" s="14" t="str">
        <f t="shared" si="3516"/>
        <v>Delivered on time</v>
      </c>
      <c r="AD1756" s="8"/>
    </row>
    <row r="1757">
      <c r="A1757" s="14" t="str">
        <f>IFERROR(__xludf.DUMMYFUNCTION("""COMPUTED_VALUE"""),"//ord_71735//Aditi Iyer//Bandra//Tomato+1*Priya Joshi/11/3/2023//Credit Card//Delivered*Quality of Items: Perfect condition")</f>
        <v>//ord_71735//Aditi Iyer//Bandra//Tomato+1*Priya Joshi/11/3/2023//Credit Card//Delivered*Quality of Items: Perfect condition</v>
      </c>
      <c r="B1757" s="14" t="str">
        <f>IFERROR(__xludf.DUMMYFUNCTION("split(A1757,""//"")"),"ord_71735")</f>
        <v>ord_71735</v>
      </c>
      <c r="C1757" s="14" t="str">
        <f>IFERROR(__xludf.DUMMYFUNCTION("""COMPUTED_VALUE"""),"Aditi Iyer")</f>
        <v>Aditi Iyer</v>
      </c>
      <c r="D1757" s="14" t="str">
        <f>IFERROR(__xludf.DUMMYFUNCTION("""COMPUTED_VALUE"""),"Bandra")</f>
        <v>Bandra</v>
      </c>
      <c r="E1757" s="14" t="str">
        <f>IFERROR(__xludf.DUMMYFUNCTION("""COMPUTED_VALUE"""),"Tomato+1*Priya Joshi")</f>
        <v>Tomato+1*Priya Joshi</v>
      </c>
      <c r="F1757" s="14">
        <f>IFERROR(__xludf.DUMMYFUNCTION("""COMPUTED_VALUE"""),11.0)</f>
        <v>11</v>
      </c>
      <c r="G1757" s="14">
        <f>IFERROR(__xludf.DUMMYFUNCTION("""COMPUTED_VALUE"""),3.0)</f>
        <v>3</v>
      </c>
      <c r="H1757" s="14">
        <f>IFERROR(__xludf.DUMMYFUNCTION("""COMPUTED_VALUE"""),2023.0)</f>
        <v>2023</v>
      </c>
      <c r="I1757" s="14" t="str">
        <f>IFERROR(__xludf.DUMMYFUNCTION("""COMPUTED_VALUE"""),"Credit Card")</f>
        <v>Credit Card</v>
      </c>
      <c r="J1757" s="14" t="str">
        <f>IFERROR(__xludf.DUMMYFUNCTION("""COMPUTED_VALUE"""),"Delivered*Quality of Items: Perfect condition")</f>
        <v>Delivered*Quality of Items: Perfect condition</v>
      </c>
      <c r="K1757" s="14" t="str">
        <f>IFERROR(__xludf.DUMMYFUNCTION("split(E1757,""+"")"),"Tomato")</f>
        <v>Tomato</v>
      </c>
      <c r="L1757" s="14" t="str">
        <f>IFERROR(__xludf.DUMMYFUNCTION("""COMPUTED_VALUE"""),"1*Priya Joshi")</f>
        <v>1*Priya Joshi</v>
      </c>
      <c r="M1757" s="14">
        <f>IFERROR(__xludf.DUMMYFUNCTION("SPLIT(L1757,""*"")"),1.0)</f>
        <v>1</v>
      </c>
      <c r="N1757" s="14" t="str">
        <f>IFERROR(__xludf.DUMMYFUNCTION("""COMPUTED_VALUE"""),"Priya Joshi")</f>
        <v>Priya Joshi</v>
      </c>
      <c r="O1757" s="14" t="str">
        <f>IFERROR(__xludf.DUMMYFUNCTION("split(J1757,""*"")"),"Delivered")</f>
        <v>Delivered</v>
      </c>
      <c r="P1757" s="14" t="str">
        <f>IFERROR(__xludf.DUMMYFUNCTION("""COMPUTED_VALUE"""),"Quality of Items: Perfect condition")</f>
        <v>Quality of Items: Perfect condition</v>
      </c>
      <c r="Q1757" s="14" t="str">
        <f>IFERROR(__xludf.DUMMYFUNCTION("split(P1757,"":"")"),"Quality of Items")</f>
        <v>Quality of Items</v>
      </c>
      <c r="R1757" s="14" t="str">
        <f>IFERROR(__xludf.DUMMYFUNCTION("""COMPUTED_VALUE""")," Perfect condition")</f>
        <v> Perfect condition</v>
      </c>
      <c r="S1757" s="14" t="str">
        <f t="shared" ref="S1757:U1757" si="3517">trim(B1757)</f>
        <v>ord_71735</v>
      </c>
      <c r="T1757" s="14" t="str">
        <f t="shared" si="3517"/>
        <v>Aditi Iyer</v>
      </c>
      <c r="U1757" s="14" t="str">
        <f t="shared" si="3517"/>
        <v>Bandra</v>
      </c>
      <c r="V1757" s="14" t="str">
        <f t="shared" si="4"/>
        <v>Tomato</v>
      </c>
      <c r="W1757" s="14">
        <f t="shared" si="5"/>
        <v>1</v>
      </c>
      <c r="X1757" s="14" t="str">
        <f t="shared" si="6"/>
        <v>Priya Joshi</v>
      </c>
      <c r="Y1757" s="15">
        <f t="shared" si="7"/>
        <v>45233</v>
      </c>
      <c r="Z1757" s="14" t="str">
        <f t="shared" si="8"/>
        <v>Credit Card</v>
      </c>
      <c r="AA1757" s="14" t="str">
        <f t="shared" si="9"/>
        <v>Delivered</v>
      </c>
      <c r="AB1757" s="14" t="str">
        <f t="shared" ref="AB1757:AC1757" si="3518">trim(Q1757)</f>
        <v>Quality of Items</v>
      </c>
      <c r="AC1757" s="14" t="str">
        <f t="shared" si="3518"/>
        <v>Perfect condition</v>
      </c>
      <c r="AD1757" s="8"/>
    </row>
    <row r="1758">
      <c r="A1758" s="14" t="str">
        <f>IFERROR(__xludf.DUMMYFUNCTION("""COMPUTED_VALUE"""),"//ord_71736//Sahil Desai//Colaba//Rasmalai+3*Nikhil Deshmukh/11/20/2023//Credit Card//Delivered*Packaging: Secure and intact")</f>
        <v>//ord_71736//Sahil Desai//Colaba//Rasmalai+3*Nikhil Deshmukh/11/20/2023//Credit Card//Delivered*Packaging: Secure and intact</v>
      </c>
      <c r="B1758" s="14" t="str">
        <f>IFERROR(__xludf.DUMMYFUNCTION("split(A1758,""//"")"),"ord_71736")</f>
        <v>ord_71736</v>
      </c>
      <c r="C1758" s="14" t="str">
        <f>IFERROR(__xludf.DUMMYFUNCTION("""COMPUTED_VALUE"""),"Sahil Desai")</f>
        <v>Sahil Desai</v>
      </c>
      <c r="D1758" s="14" t="str">
        <f>IFERROR(__xludf.DUMMYFUNCTION("""COMPUTED_VALUE"""),"Colaba")</f>
        <v>Colaba</v>
      </c>
      <c r="E1758" s="14" t="str">
        <f>IFERROR(__xludf.DUMMYFUNCTION("""COMPUTED_VALUE"""),"Rasmalai+3*Nikhil Deshmukh")</f>
        <v>Rasmalai+3*Nikhil Deshmukh</v>
      </c>
      <c r="F1758" s="14">
        <f>IFERROR(__xludf.DUMMYFUNCTION("""COMPUTED_VALUE"""),11.0)</f>
        <v>11</v>
      </c>
      <c r="G1758" s="14">
        <f>IFERROR(__xludf.DUMMYFUNCTION("""COMPUTED_VALUE"""),20.0)</f>
        <v>20</v>
      </c>
      <c r="H1758" s="14">
        <f>IFERROR(__xludf.DUMMYFUNCTION("""COMPUTED_VALUE"""),2023.0)</f>
        <v>2023</v>
      </c>
      <c r="I1758" s="14" t="str">
        <f>IFERROR(__xludf.DUMMYFUNCTION("""COMPUTED_VALUE"""),"Credit Card")</f>
        <v>Credit Card</v>
      </c>
      <c r="J1758" s="14" t="str">
        <f>IFERROR(__xludf.DUMMYFUNCTION("""COMPUTED_VALUE"""),"Delivered*Packaging: Secure and intact")</f>
        <v>Delivered*Packaging: Secure and intact</v>
      </c>
      <c r="K1758" s="14" t="str">
        <f>IFERROR(__xludf.DUMMYFUNCTION("split(E1758,""+"")"),"Rasmalai")</f>
        <v>Rasmalai</v>
      </c>
      <c r="L1758" s="14" t="str">
        <f>IFERROR(__xludf.DUMMYFUNCTION("""COMPUTED_VALUE"""),"3*Nikhil Deshmukh")</f>
        <v>3*Nikhil Deshmukh</v>
      </c>
      <c r="M1758" s="14">
        <f>IFERROR(__xludf.DUMMYFUNCTION("SPLIT(L1758,""*"")"),3.0)</f>
        <v>3</v>
      </c>
      <c r="N1758" s="14" t="str">
        <f>IFERROR(__xludf.DUMMYFUNCTION("""COMPUTED_VALUE"""),"Nikhil Deshmukh")</f>
        <v>Nikhil Deshmukh</v>
      </c>
      <c r="O1758" s="14" t="str">
        <f>IFERROR(__xludf.DUMMYFUNCTION("split(J1758,""*"")"),"Delivered")</f>
        <v>Delivered</v>
      </c>
      <c r="P1758" s="14" t="str">
        <f>IFERROR(__xludf.DUMMYFUNCTION("""COMPUTED_VALUE"""),"Packaging: Secure and intact")</f>
        <v>Packaging: Secure and intact</v>
      </c>
      <c r="Q1758" s="14" t="str">
        <f>IFERROR(__xludf.DUMMYFUNCTION("split(P1758,"":"")"),"Packaging")</f>
        <v>Packaging</v>
      </c>
      <c r="R1758" s="14" t="str">
        <f>IFERROR(__xludf.DUMMYFUNCTION("""COMPUTED_VALUE""")," Secure and intact")</f>
        <v> Secure and intact</v>
      </c>
      <c r="S1758" s="14" t="str">
        <f t="shared" ref="S1758:U1758" si="3519">trim(B1758)</f>
        <v>ord_71736</v>
      </c>
      <c r="T1758" s="14" t="str">
        <f t="shared" si="3519"/>
        <v>Sahil Desai</v>
      </c>
      <c r="U1758" s="14" t="str">
        <f t="shared" si="3519"/>
        <v>Colaba</v>
      </c>
      <c r="V1758" s="14" t="str">
        <f t="shared" si="4"/>
        <v>Rasmalai</v>
      </c>
      <c r="W1758" s="14">
        <f t="shared" si="5"/>
        <v>3</v>
      </c>
      <c r="X1758" s="14" t="str">
        <f t="shared" si="6"/>
        <v>Nikhil Deshmukh</v>
      </c>
      <c r="Y1758" s="15">
        <f t="shared" si="7"/>
        <v>45250</v>
      </c>
      <c r="Z1758" s="14" t="str">
        <f t="shared" si="8"/>
        <v>Credit Card</v>
      </c>
      <c r="AA1758" s="14" t="str">
        <f t="shared" si="9"/>
        <v>Delivered</v>
      </c>
      <c r="AB1758" s="14" t="str">
        <f t="shared" ref="AB1758:AC1758" si="3520">trim(Q1758)</f>
        <v>Packaging</v>
      </c>
      <c r="AC1758" s="14" t="str">
        <f t="shared" si="3520"/>
        <v>Secure and intact</v>
      </c>
      <c r="AD1758" s="8"/>
    </row>
    <row r="1759">
      <c r="A1759" s="14" t="str">
        <f>IFERROR(__xludf.DUMMYFUNCTION("""COMPUTED_VALUE"""),"//ord_71737//Shruti Aggarwal//Colaba//Cold Coffee+8*Nikhil Deshmukh/6/26/2023//COD//Delivered*Satisfied with the Delivery: Timely and quality")</f>
        <v>//ord_71737//Shruti Aggarwal//Colaba//Cold Coffee+8*Nikhil Deshmukh/6/26/2023//COD//Delivered*Satisfied with the Delivery: Timely and quality</v>
      </c>
      <c r="B1759" s="14" t="str">
        <f>IFERROR(__xludf.DUMMYFUNCTION("split(A1759,""//"")"),"ord_71737")</f>
        <v>ord_71737</v>
      </c>
      <c r="C1759" s="14" t="str">
        <f>IFERROR(__xludf.DUMMYFUNCTION("""COMPUTED_VALUE"""),"Shruti Aggarwal")</f>
        <v>Shruti Aggarwal</v>
      </c>
      <c r="D1759" s="14" t="str">
        <f>IFERROR(__xludf.DUMMYFUNCTION("""COMPUTED_VALUE"""),"Colaba")</f>
        <v>Colaba</v>
      </c>
      <c r="E1759" s="14" t="str">
        <f>IFERROR(__xludf.DUMMYFUNCTION("""COMPUTED_VALUE"""),"Cold Coffee+8*Nikhil Deshmukh")</f>
        <v>Cold Coffee+8*Nikhil Deshmukh</v>
      </c>
      <c r="F1759" s="14">
        <f>IFERROR(__xludf.DUMMYFUNCTION("""COMPUTED_VALUE"""),6.0)</f>
        <v>6</v>
      </c>
      <c r="G1759" s="14">
        <f>IFERROR(__xludf.DUMMYFUNCTION("""COMPUTED_VALUE"""),26.0)</f>
        <v>26</v>
      </c>
      <c r="H1759" s="14">
        <f>IFERROR(__xludf.DUMMYFUNCTION("""COMPUTED_VALUE"""),2023.0)</f>
        <v>2023</v>
      </c>
      <c r="I1759" s="14" t="str">
        <f>IFERROR(__xludf.DUMMYFUNCTION("""COMPUTED_VALUE"""),"COD")</f>
        <v>COD</v>
      </c>
      <c r="J1759" s="14" t="str">
        <f>IFERROR(__xludf.DUMMYFUNCTION("""COMPUTED_VALUE"""),"Delivered*Satisfied with the Delivery: Timely and quality")</f>
        <v>Delivered*Satisfied with the Delivery: Timely and quality</v>
      </c>
      <c r="K1759" s="14" t="str">
        <f>IFERROR(__xludf.DUMMYFUNCTION("split(E1759,""+"")"),"Cold Coffee")</f>
        <v>Cold Coffee</v>
      </c>
      <c r="L1759" s="14" t="str">
        <f>IFERROR(__xludf.DUMMYFUNCTION("""COMPUTED_VALUE"""),"8*Nikhil Deshmukh")</f>
        <v>8*Nikhil Deshmukh</v>
      </c>
      <c r="M1759" s="14">
        <f>IFERROR(__xludf.DUMMYFUNCTION("SPLIT(L1759,""*"")"),8.0)</f>
        <v>8</v>
      </c>
      <c r="N1759" s="14" t="str">
        <f>IFERROR(__xludf.DUMMYFUNCTION("""COMPUTED_VALUE"""),"Nikhil Deshmukh")</f>
        <v>Nikhil Deshmukh</v>
      </c>
      <c r="O1759" s="14" t="str">
        <f>IFERROR(__xludf.DUMMYFUNCTION("split(J1759,""*"")"),"Delivered")</f>
        <v>Delivered</v>
      </c>
      <c r="P1759" s="14" t="str">
        <f>IFERROR(__xludf.DUMMYFUNCTION("""COMPUTED_VALUE"""),"Satisfied with the Delivery: Timely and quality")</f>
        <v>Satisfied with the Delivery: Timely and quality</v>
      </c>
      <c r="Q1759" s="14" t="str">
        <f>IFERROR(__xludf.DUMMYFUNCTION("split(P1759,"":"")"),"Satisfied with the Delivery")</f>
        <v>Satisfied with the Delivery</v>
      </c>
      <c r="R1759" s="14" t="str">
        <f>IFERROR(__xludf.DUMMYFUNCTION("""COMPUTED_VALUE""")," Timely and quality")</f>
        <v> Timely and quality</v>
      </c>
      <c r="S1759" s="14" t="str">
        <f t="shared" ref="S1759:U1759" si="3521">trim(B1759)</f>
        <v>ord_71737</v>
      </c>
      <c r="T1759" s="14" t="str">
        <f t="shared" si="3521"/>
        <v>Shruti Aggarwal</v>
      </c>
      <c r="U1759" s="14" t="str">
        <f t="shared" si="3521"/>
        <v>Colaba</v>
      </c>
      <c r="V1759" s="14" t="str">
        <f t="shared" si="4"/>
        <v>Cold Coffee</v>
      </c>
      <c r="W1759" s="14">
        <f t="shared" si="5"/>
        <v>8</v>
      </c>
      <c r="X1759" s="14" t="str">
        <f t="shared" si="6"/>
        <v>Nikhil Deshmukh</v>
      </c>
      <c r="Y1759" s="15">
        <f t="shared" si="7"/>
        <v>45103</v>
      </c>
      <c r="Z1759" s="14" t="str">
        <f t="shared" si="8"/>
        <v>COD</v>
      </c>
      <c r="AA1759" s="14" t="str">
        <f t="shared" si="9"/>
        <v>Delivered</v>
      </c>
      <c r="AB1759" s="14" t="str">
        <f t="shared" ref="AB1759:AC1759" si="3522">trim(Q1759)</f>
        <v>Satisfied with the Delivery</v>
      </c>
      <c r="AC1759" s="14" t="str">
        <f t="shared" si="3522"/>
        <v>Timely and quality</v>
      </c>
      <c r="AD1759" s="8"/>
    </row>
    <row r="1760">
      <c r="A1760" s="14" t="str">
        <f>IFERROR(__xludf.DUMMYFUNCTION("""COMPUTED_VALUE"""),"//ord_71738//Omkar Mishra//Powai//Cold Coffee+1*Nithin Lal/12/31/2023//Credit Card//Cancelled*Delayed Delivery:Heavy Traffic")</f>
        <v>//ord_71738//Omkar Mishra//Powai//Cold Coffee+1*Nithin Lal/12/31/2023//Credit Card//Cancelled*Delayed Delivery:Heavy Traffic</v>
      </c>
      <c r="B1760" s="14" t="str">
        <f>IFERROR(__xludf.DUMMYFUNCTION("split(A1760,""//"")"),"ord_71738")</f>
        <v>ord_71738</v>
      </c>
      <c r="C1760" s="14" t="str">
        <f>IFERROR(__xludf.DUMMYFUNCTION("""COMPUTED_VALUE"""),"Omkar Mishra")</f>
        <v>Omkar Mishra</v>
      </c>
      <c r="D1760" s="14" t="str">
        <f>IFERROR(__xludf.DUMMYFUNCTION("""COMPUTED_VALUE"""),"Powai")</f>
        <v>Powai</v>
      </c>
      <c r="E1760" s="14" t="str">
        <f>IFERROR(__xludf.DUMMYFUNCTION("""COMPUTED_VALUE"""),"Cold Coffee+1*Nithin Lal")</f>
        <v>Cold Coffee+1*Nithin Lal</v>
      </c>
      <c r="F1760" s="14">
        <f>IFERROR(__xludf.DUMMYFUNCTION("""COMPUTED_VALUE"""),12.0)</f>
        <v>12</v>
      </c>
      <c r="G1760" s="14">
        <f>IFERROR(__xludf.DUMMYFUNCTION("""COMPUTED_VALUE"""),31.0)</f>
        <v>31</v>
      </c>
      <c r="H1760" s="14">
        <f>IFERROR(__xludf.DUMMYFUNCTION("""COMPUTED_VALUE"""),2023.0)</f>
        <v>2023</v>
      </c>
      <c r="I1760" s="14" t="str">
        <f>IFERROR(__xludf.DUMMYFUNCTION("""COMPUTED_VALUE"""),"Credit Card")</f>
        <v>Credit Card</v>
      </c>
      <c r="J1760" s="14" t="str">
        <f>IFERROR(__xludf.DUMMYFUNCTION("""COMPUTED_VALUE"""),"Cancelled*Delayed Delivery:Heavy Traffic")</f>
        <v>Cancelled*Delayed Delivery:Heavy Traffic</v>
      </c>
      <c r="K1760" s="14" t="str">
        <f>IFERROR(__xludf.DUMMYFUNCTION("split(E1760,""+"")"),"Cold Coffee")</f>
        <v>Cold Coffee</v>
      </c>
      <c r="L1760" s="14" t="str">
        <f>IFERROR(__xludf.DUMMYFUNCTION("""COMPUTED_VALUE"""),"1*Nithin Lal")</f>
        <v>1*Nithin Lal</v>
      </c>
      <c r="M1760" s="14">
        <f>IFERROR(__xludf.DUMMYFUNCTION("SPLIT(L1760,""*"")"),1.0)</f>
        <v>1</v>
      </c>
      <c r="N1760" s="14" t="str">
        <f>IFERROR(__xludf.DUMMYFUNCTION("""COMPUTED_VALUE"""),"Nithin Lal")</f>
        <v>Nithin Lal</v>
      </c>
      <c r="O1760" s="14" t="str">
        <f>IFERROR(__xludf.DUMMYFUNCTION("split(J1760,""*"")"),"Cancelled")</f>
        <v>Cancelled</v>
      </c>
      <c r="P1760" s="14" t="str">
        <f>IFERROR(__xludf.DUMMYFUNCTION("""COMPUTED_VALUE"""),"Delayed Delivery:Heavy Traffic")</f>
        <v>Delayed Delivery:Heavy Traffic</v>
      </c>
      <c r="Q1760" s="14" t="str">
        <f>IFERROR(__xludf.DUMMYFUNCTION("split(P1760,"":"")"),"Delayed Delivery")</f>
        <v>Delayed Delivery</v>
      </c>
      <c r="R1760" s="14" t="str">
        <f>IFERROR(__xludf.DUMMYFUNCTION("""COMPUTED_VALUE"""),"Heavy Traffic")</f>
        <v>Heavy Traffic</v>
      </c>
      <c r="S1760" s="14" t="str">
        <f t="shared" ref="S1760:U1760" si="3523">trim(B1760)</f>
        <v>ord_71738</v>
      </c>
      <c r="T1760" s="14" t="str">
        <f t="shared" si="3523"/>
        <v>Omkar Mishra</v>
      </c>
      <c r="U1760" s="14" t="str">
        <f t="shared" si="3523"/>
        <v>Powai</v>
      </c>
      <c r="V1760" s="14" t="str">
        <f t="shared" si="4"/>
        <v>Cold Coffee</v>
      </c>
      <c r="W1760" s="14">
        <f t="shared" si="5"/>
        <v>1</v>
      </c>
      <c r="X1760" s="14" t="str">
        <f t="shared" si="6"/>
        <v>Nithin Lal</v>
      </c>
      <c r="Y1760" s="15">
        <f t="shared" si="7"/>
        <v>45291</v>
      </c>
      <c r="Z1760" s="14" t="str">
        <f t="shared" si="8"/>
        <v>Credit Card</v>
      </c>
      <c r="AA1760" s="14" t="str">
        <f t="shared" si="9"/>
        <v>Cancelled</v>
      </c>
      <c r="AB1760" s="14" t="str">
        <f t="shared" ref="AB1760:AC1760" si="3524">trim(Q1760)</f>
        <v>Delayed Delivery</v>
      </c>
      <c r="AC1760" s="14" t="str">
        <f t="shared" si="3524"/>
        <v>Heavy Traffic</v>
      </c>
      <c r="AD1760" s="8"/>
    </row>
    <row r="1761">
      <c r="A1761" s="14" t="str">
        <f>IFERROR(__xludf.DUMMYFUNCTION("""COMPUTED_VALUE"""),"//ord_71739//Arvind Kulkarni//Juhu//Papaya+2*Not Assigned/1/17/2023//Credit Card//Cancelled*App Glitches: Payment Button Malfunction")</f>
        <v>//ord_71739//Arvind Kulkarni//Juhu//Papaya+2*Not Assigned/1/17/2023//Credit Card//Cancelled*App Glitches: Payment Button Malfunction</v>
      </c>
      <c r="B1761" s="14" t="str">
        <f>IFERROR(__xludf.DUMMYFUNCTION("split(A1761,""//"")"),"ord_71739")</f>
        <v>ord_71739</v>
      </c>
      <c r="C1761" s="14" t="str">
        <f>IFERROR(__xludf.DUMMYFUNCTION("""COMPUTED_VALUE"""),"Arvind Kulkarni")</f>
        <v>Arvind Kulkarni</v>
      </c>
      <c r="D1761" s="14" t="str">
        <f>IFERROR(__xludf.DUMMYFUNCTION("""COMPUTED_VALUE"""),"Juhu")</f>
        <v>Juhu</v>
      </c>
      <c r="E1761" s="14" t="str">
        <f>IFERROR(__xludf.DUMMYFUNCTION("""COMPUTED_VALUE"""),"Papaya+2*Not Assigned")</f>
        <v>Papaya+2*Not Assigned</v>
      </c>
      <c r="F1761" s="14">
        <f>IFERROR(__xludf.DUMMYFUNCTION("""COMPUTED_VALUE"""),1.0)</f>
        <v>1</v>
      </c>
      <c r="G1761" s="14">
        <f>IFERROR(__xludf.DUMMYFUNCTION("""COMPUTED_VALUE"""),17.0)</f>
        <v>17</v>
      </c>
      <c r="H1761" s="14">
        <f>IFERROR(__xludf.DUMMYFUNCTION("""COMPUTED_VALUE"""),2023.0)</f>
        <v>2023</v>
      </c>
      <c r="I1761" s="14" t="str">
        <f>IFERROR(__xludf.DUMMYFUNCTION("""COMPUTED_VALUE"""),"Credit Card")</f>
        <v>Credit Card</v>
      </c>
      <c r="J1761" s="14" t="str">
        <f>IFERROR(__xludf.DUMMYFUNCTION("""COMPUTED_VALUE"""),"Cancelled*App Glitches: Payment Button Malfunction")</f>
        <v>Cancelled*App Glitches: Payment Button Malfunction</v>
      </c>
      <c r="K1761" s="14" t="str">
        <f>IFERROR(__xludf.DUMMYFUNCTION("split(E1761,""+"")"),"Papaya")</f>
        <v>Papaya</v>
      </c>
      <c r="L1761" s="14" t="str">
        <f>IFERROR(__xludf.DUMMYFUNCTION("""COMPUTED_VALUE"""),"2*Not Assigned")</f>
        <v>2*Not Assigned</v>
      </c>
      <c r="M1761" s="14">
        <f>IFERROR(__xludf.DUMMYFUNCTION("SPLIT(L1761,""*"")"),2.0)</f>
        <v>2</v>
      </c>
      <c r="N1761" s="14" t="str">
        <f>IFERROR(__xludf.DUMMYFUNCTION("""COMPUTED_VALUE"""),"Not Assigned")</f>
        <v>Not Assigned</v>
      </c>
      <c r="O1761" s="14" t="str">
        <f>IFERROR(__xludf.DUMMYFUNCTION("split(J1761,""*"")"),"Cancelled")</f>
        <v>Cancelled</v>
      </c>
      <c r="P1761" s="14" t="str">
        <f>IFERROR(__xludf.DUMMYFUNCTION("""COMPUTED_VALUE"""),"App Glitches: Payment Button Malfunction")</f>
        <v>App Glitches: Payment Button Malfunction</v>
      </c>
      <c r="Q1761" s="14" t="str">
        <f>IFERROR(__xludf.DUMMYFUNCTION("split(P1761,"":"")"),"App Glitches")</f>
        <v>App Glitches</v>
      </c>
      <c r="R1761" s="14" t="str">
        <f>IFERROR(__xludf.DUMMYFUNCTION("""COMPUTED_VALUE""")," Payment Button Malfunction")</f>
        <v> Payment Button Malfunction</v>
      </c>
      <c r="S1761" s="14" t="str">
        <f t="shared" ref="S1761:U1761" si="3525">trim(B1761)</f>
        <v>ord_71739</v>
      </c>
      <c r="T1761" s="14" t="str">
        <f t="shared" si="3525"/>
        <v>Arvind Kulkarni</v>
      </c>
      <c r="U1761" s="14" t="str">
        <f t="shared" si="3525"/>
        <v>Juhu</v>
      </c>
      <c r="V1761" s="14" t="str">
        <f t="shared" si="4"/>
        <v>Papaya</v>
      </c>
      <c r="W1761" s="14">
        <f t="shared" si="5"/>
        <v>2</v>
      </c>
      <c r="X1761" s="14" t="str">
        <f t="shared" si="6"/>
        <v>Not Assigned</v>
      </c>
      <c r="Y1761" s="15">
        <f t="shared" si="7"/>
        <v>44943</v>
      </c>
      <c r="Z1761" s="14" t="str">
        <f t="shared" si="8"/>
        <v>Credit Card</v>
      </c>
      <c r="AA1761" s="14" t="str">
        <f t="shared" si="9"/>
        <v>Cancelled</v>
      </c>
      <c r="AB1761" s="14" t="str">
        <f t="shared" ref="AB1761:AC1761" si="3526">trim(Q1761)</f>
        <v>App Glitches</v>
      </c>
      <c r="AC1761" s="14" t="str">
        <f t="shared" si="3526"/>
        <v>Payment Button Malfunction</v>
      </c>
      <c r="AD1761" s="8"/>
    </row>
    <row r="1762">
      <c r="A1762" s="14" t="str">
        <f>IFERROR(__xludf.DUMMYFUNCTION("""COMPUTED_VALUE"""),"//ord_71740//Mohit Malhotra//Lower Parel//Apple+2*Kiran Mehta/11/29/2023//Credit Card//Delivered*Customer Service: Seamless and easy")</f>
        <v>//ord_71740//Mohit Malhotra//Lower Parel//Apple+2*Kiran Mehta/11/29/2023//Credit Card//Delivered*Customer Service: Seamless and easy</v>
      </c>
      <c r="B1762" s="14" t="str">
        <f>IFERROR(__xludf.DUMMYFUNCTION("split(A1762,""//"")"),"ord_71740")</f>
        <v>ord_71740</v>
      </c>
      <c r="C1762" s="14" t="str">
        <f>IFERROR(__xludf.DUMMYFUNCTION("""COMPUTED_VALUE"""),"Mohit Malhotra")</f>
        <v>Mohit Malhotra</v>
      </c>
      <c r="D1762" s="14" t="str">
        <f>IFERROR(__xludf.DUMMYFUNCTION("""COMPUTED_VALUE"""),"Lower Parel")</f>
        <v>Lower Parel</v>
      </c>
      <c r="E1762" s="14" t="str">
        <f>IFERROR(__xludf.DUMMYFUNCTION("""COMPUTED_VALUE"""),"Apple+2*Kiran Mehta")</f>
        <v>Apple+2*Kiran Mehta</v>
      </c>
      <c r="F1762" s="14">
        <f>IFERROR(__xludf.DUMMYFUNCTION("""COMPUTED_VALUE"""),11.0)</f>
        <v>11</v>
      </c>
      <c r="G1762" s="14">
        <f>IFERROR(__xludf.DUMMYFUNCTION("""COMPUTED_VALUE"""),29.0)</f>
        <v>29</v>
      </c>
      <c r="H1762" s="14">
        <f>IFERROR(__xludf.DUMMYFUNCTION("""COMPUTED_VALUE"""),2023.0)</f>
        <v>2023</v>
      </c>
      <c r="I1762" s="14" t="str">
        <f>IFERROR(__xludf.DUMMYFUNCTION("""COMPUTED_VALUE"""),"Credit Card")</f>
        <v>Credit Card</v>
      </c>
      <c r="J1762" s="14" t="str">
        <f>IFERROR(__xludf.DUMMYFUNCTION("""COMPUTED_VALUE"""),"Delivered*Customer Service: Seamless and easy")</f>
        <v>Delivered*Customer Service: Seamless and easy</v>
      </c>
      <c r="K1762" s="14" t="str">
        <f>IFERROR(__xludf.DUMMYFUNCTION("split(E1762,""+"")"),"Apple")</f>
        <v>Apple</v>
      </c>
      <c r="L1762" s="14" t="str">
        <f>IFERROR(__xludf.DUMMYFUNCTION("""COMPUTED_VALUE"""),"2*Kiran Mehta")</f>
        <v>2*Kiran Mehta</v>
      </c>
      <c r="M1762" s="14">
        <f>IFERROR(__xludf.DUMMYFUNCTION("SPLIT(L1762,""*"")"),2.0)</f>
        <v>2</v>
      </c>
      <c r="N1762" s="14" t="str">
        <f>IFERROR(__xludf.DUMMYFUNCTION("""COMPUTED_VALUE"""),"Kiran Mehta")</f>
        <v>Kiran Mehta</v>
      </c>
      <c r="O1762" s="14" t="str">
        <f>IFERROR(__xludf.DUMMYFUNCTION("split(J1762,""*"")"),"Delivered")</f>
        <v>Delivered</v>
      </c>
      <c r="P1762" s="14" t="str">
        <f>IFERROR(__xludf.DUMMYFUNCTION("""COMPUTED_VALUE"""),"Customer Service: Seamless and easy")</f>
        <v>Customer Service: Seamless and easy</v>
      </c>
      <c r="Q1762" s="14" t="str">
        <f>IFERROR(__xludf.DUMMYFUNCTION("split(P1762,"":"")"),"Customer Service")</f>
        <v>Customer Service</v>
      </c>
      <c r="R1762" s="14" t="str">
        <f>IFERROR(__xludf.DUMMYFUNCTION("""COMPUTED_VALUE""")," Seamless and easy")</f>
        <v> Seamless and easy</v>
      </c>
      <c r="S1762" s="14" t="str">
        <f t="shared" ref="S1762:U1762" si="3527">trim(B1762)</f>
        <v>ord_71740</v>
      </c>
      <c r="T1762" s="14" t="str">
        <f t="shared" si="3527"/>
        <v>Mohit Malhotra</v>
      </c>
      <c r="U1762" s="14" t="str">
        <f t="shared" si="3527"/>
        <v>Lower Parel</v>
      </c>
      <c r="V1762" s="14" t="str">
        <f t="shared" si="4"/>
        <v>Apple</v>
      </c>
      <c r="W1762" s="14">
        <f t="shared" si="5"/>
        <v>2</v>
      </c>
      <c r="X1762" s="14" t="str">
        <f t="shared" si="6"/>
        <v>Kiran Mehta</v>
      </c>
      <c r="Y1762" s="15">
        <f t="shared" si="7"/>
        <v>45259</v>
      </c>
      <c r="Z1762" s="14" t="str">
        <f t="shared" si="8"/>
        <v>Credit Card</v>
      </c>
      <c r="AA1762" s="14" t="str">
        <f t="shared" si="9"/>
        <v>Delivered</v>
      </c>
      <c r="AB1762" s="14" t="str">
        <f t="shared" ref="AB1762:AC1762" si="3528">trim(Q1762)</f>
        <v>Customer Service</v>
      </c>
      <c r="AC1762" s="14" t="str">
        <f t="shared" si="3528"/>
        <v>Seamless and easy</v>
      </c>
      <c r="AD1762" s="8"/>
    </row>
    <row r="1763">
      <c r="A1763" s="14" t="str">
        <f>IFERROR(__xludf.DUMMYFUNCTION("""COMPUTED_VALUE"""),"//ord_71741//Omkar Mishra//Powai//Cucumber+1*Not Assigned/5/24/2023//Online Payment//Cancelled*App Glitches:Slow Loading Time")</f>
        <v>//ord_71741//Omkar Mishra//Powai//Cucumber+1*Not Assigned/5/24/2023//Online Payment//Cancelled*App Glitches:Slow Loading Time</v>
      </c>
      <c r="B1763" s="14" t="str">
        <f>IFERROR(__xludf.DUMMYFUNCTION("split(A1763,""//"")"),"ord_71741")</f>
        <v>ord_71741</v>
      </c>
      <c r="C1763" s="14" t="str">
        <f>IFERROR(__xludf.DUMMYFUNCTION("""COMPUTED_VALUE"""),"Omkar Mishra")</f>
        <v>Omkar Mishra</v>
      </c>
      <c r="D1763" s="14" t="str">
        <f>IFERROR(__xludf.DUMMYFUNCTION("""COMPUTED_VALUE"""),"Powai")</f>
        <v>Powai</v>
      </c>
      <c r="E1763" s="14" t="str">
        <f>IFERROR(__xludf.DUMMYFUNCTION("""COMPUTED_VALUE"""),"Cucumber+1*Not Assigned")</f>
        <v>Cucumber+1*Not Assigned</v>
      </c>
      <c r="F1763" s="14">
        <f>IFERROR(__xludf.DUMMYFUNCTION("""COMPUTED_VALUE"""),5.0)</f>
        <v>5</v>
      </c>
      <c r="G1763" s="14">
        <f>IFERROR(__xludf.DUMMYFUNCTION("""COMPUTED_VALUE"""),24.0)</f>
        <v>24</v>
      </c>
      <c r="H1763" s="14">
        <f>IFERROR(__xludf.DUMMYFUNCTION("""COMPUTED_VALUE"""),2023.0)</f>
        <v>2023</v>
      </c>
      <c r="I1763" s="14" t="str">
        <f>IFERROR(__xludf.DUMMYFUNCTION("""COMPUTED_VALUE"""),"Online Payment")</f>
        <v>Online Payment</v>
      </c>
      <c r="J1763" s="14" t="str">
        <f>IFERROR(__xludf.DUMMYFUNCTION("""COMPUTED_VALUE"""),"Cancelled*App Glitches:Slow Loading Time")</f>
        <v>Cancelled*App Glitches:Slow Loading Time</v>
      </c>
      <c r="K1763" s="14" t="str">
        <f>IFERROR(__xludf.DUMMYFUNCTION("split(E1763,""+"")"),"Cucumber")</f>
        <v>Cucumber</v>
      </c>
      <c r="L1763" s="14" t="str">
        <f>IFERROR(__xludf.DUMMYFUNCTION("""COMPUTED_VALUE"""),"1*Not Assigned")</f>
        <v>1*Not Assigned</v>
      </c>
      <c r="M1763" s="14">
        <f>IFERROR(__xludf.DUMMYFUNCTION("SPLIT(L1763,""*"")"),1.0)</f>
        <v>1</v>
      </c>
      <c r="N1763" s="14" t="str">
        <f>IFERROR(__xludf.DUMMYFUNCTION("""COMPUTED_VALUE"""),"Not Assigned")</f>
        <v>Not Assigned</v>
      </c>
      <c r="O1763" s="14" t="str">
        <f>IFERROR(__xludf.DUMMYFUNCTION("split(J1763,""*"")"),"Cancelled")</f>
        <v>Cancelled</v>
      </c>
      <c r="P1763" s="14" t="str">
        <f>IFERROR(__xludf.DUMMYFUNCTION("""COMPUTED_VALUE"""),"App Glitches:Slow Loading Time")</f>
        <v>App Glitches:Slow Loading Time</v>
      </c>
      <c r="Q1763" s="14" t="str">
        <f>IFERROR(__xludf.DUMMYFUNCTION("split(P1763,"":"")"),"App Glitches")</f>
        <v>App Glitches</v>
      </c>
      <c r="R1763" s="14" t="str">
        <f>IFERROR(__xludf.DUMMYFUNCTION("""COMPUTED_VALUE"""),"Slow Loading Time")</f>
        <v>Slow Loading Time</v>
      </c>
      <c r="S1763" s="14" t="str">
        <f t="shared" ref="S1763:U1763" si="3529">trim(B1763)</f>
        <v>ord_71741</v>
      </c>
      <c r="T1763" s="14" t="str">
        <f t="shared" si="3529"/>
        <v>Omkar Mishra</v>
      </c>
      <c r="U1763" s="14" t="str">
        <f t="shared" si="3529"/>
        <v>Powai</v>
      </c>
      <c r="V1763" s="14" t="str">
        <f t="shared" si="4"/>
        <v>Cucumber</v>
      </c>
      <c r="W1763" s="14">
        <f t="shared" si="5"/>
        <v>1</v>
      </c>
      <c r="X1763" s="14" t="str">
        <f t="shared" si="6"/>
        <v>Not Assigned</v>
      </c>
      <c r="Y1763" s="15">
        <f t="shared" si="7"/>
        <v>45070</v>
      </c>
      <c r="Z1763" s="14" t="str">
        <f t="shared" si="8"/>
        <v>Online Payment</v>
      </c>
      <c r="AA1763" s="14" t="str">
        <f t="shared" si="9"/>
        <v>Cancelled</v>
      </c>
      <c r="AB1763" s="14" t="str">
        <f t="shared" ref="AB1763:AC1763" si="3530">trim(Q1763)</f>
        <v>App Glitches</v>
      </c>
      <c r="AC1763" s="14" t="str">
        <f t="shared" si="3530"/>
        <v>Slow Loading Time</v>
      </c>
      <c r="AD1763" s="8"/>
    </row>
    <row r="1764">
      <c r="A1764" s="14" t="str">
        <f>IFERROR(__xludf.DUMMYFUNCTION("""COMPUTED_VALUE"""),"//ord_71742//Arvind Kulkarni//Juhu//Guava+2*Kiran Mehta/8/6/2023//UPI//Cancelled*Delayed Delivery:Bad Weather Conditions ")</f>
        <v>//ord_71742//Arvind Kulkarni//Juhu//Guava+2*Kiran Mehta/8/6/2023//UPI//Cancelled*Delayed Delivery:Bad Weather Conditions </v>
      </c>
      <c r="B1764" s="14" t="str">
        <f>IFERROR(__xludf.DUMMYFUNCTION("split(A1764,""//"")"),"ord_71742")</f>
        <v>ord_71742</v>
      </c>
      <c r="C1764" s="14" t="str">
        <f>IFERROR(__xludf.DUMMYFUNCTION("""COMPUTED_VALUE"""),"Arvind Kulkarni")</f>
        <v>Arvind Kulkarni</v>
      </c>
      <c r="D1764" s="14" t="str">
        <f>IFERROR(__xludf.DUMMYFUNCTION("""COMPUTED_VALUE"""),"Juhu")</f>
        <v>Juhu</v>
      </c>
      <c r="E1764" s="14" t="str">
        <f>IFERROR(__xludf.DUMMYFUNCTION("""COMPUTED_VALUE"""),"Guava+2*Kiran Mehta")</f>
        <v>Guava+2*Kiran Mehta</v>
      </c>
      <c r="F1764" s="14">
        <f>IFERROR(__xludf.DUMMYFUNCTION("""COMPUTED_VALUE"""),8.0)</f>
        <v>8</v>
      </c>
      <c r="G1764" s="14">
        <f>IFERROR(__xludf.DUMMYFUNCTION("""COMPUTED_VALUE"""),6.0)</f>
        <v>6</v>
      </c>
      <c r="H1764" s="14">
        <f>IFERROR(__xludf.DUMMYFUNCTION("""COMPUTED_VALUE"""),2023.0)</f>
        <v>2023</v>
      </c>
      <c r="I1764" s="14" t="str">
        <f>IFERROR(__xludf.DUMMYFUNCTION("""COMPUTED_VALUE"""),"UPI")</f>
        <v>UPI</v>
      </c>
      <c r="J1764" s="14" t="str">
        <f>IFERROR(__xludf.DUMMYFUNCTION("""COMPUTED_VALUE"""),"Cancelled*Delayed Delivery:Bad Weather Conditions ")</f>
        <v>Cancelled*Delayed Delivery:Bad Weather Conditions </v>
      </c>
      <c r="K1764" s="14" t="str">
        <f>IFERROR(__xludf.DUMMYFUNCTION("split(E1764,""+"")"),"Guava")</f>
        <v>Guava</v>
      </c>
      <c r="L1764" s="14" t="str">
        <f>IFERROR(__xludf.DUMMYFUNCTION("""COMPUTED_VALUE"""),"2*Kiran Mehta")</f>
        <v>2*Kiran Mehta</v>
      </c>
      <c r="M1764" s="14">
        <f>IFERROR(__xludf.DUMMYFUNCTION("SPLIT(L1764,""*"")"),2.0)</f>
        <v>2</v>
      </c>
      <c r="N1764" s="14" t="str">
        <f>IFERROR(__xludf.DUMMYFUNCTION("""COMPUTED_VALUE"""),"Kiran Mehta")</f>
        <v>Kiran Mehta</v>
      </c>
      <c r="O1764" s="14" t="str">
        <f>IFERROR(__xludf.DUMMYFUNCTION("split(J1764,""*"")"),"Cancelled")</f>
        <v>Cancelled</v>
      </c>
      <c r="P1764" s="14" t="str">
        <f>IFERROR(__xludf.DUMMYFUNCTION("""COMPUTED_VALUE"""),"Delayed Delivery:Bad Weather Conditions ")</f>
        <v>Delayed Delivery:Bad Weather Conditions </v>
      </c>
      <c r="Q1764" s="14" t="str">
        <f>IFERROR(__xludf.DUMMYFUNCTION("split(P1764,"":"")"),"Delayed Delivery")</f>
        <v>Delayed Delivery</v>
      </c>
      <c r="R1764" s="14" t="str">
        <f>IFERROR(__xludf.DUMMYFUNCTION("""COMPUTED_VALUE"""),"Bad Weather Conditions ")</f>
        <v>Bad Weather Conditions </v>
      </c>
      <c r="S1764" s="14" t="str">
        <f t="shared" ref="S1764:U1764" si="3531">trim(B1764)</f>
        <v>ord_71742</v>
      </c>
      <c r="T1764" s="14" t="str">
        <f t="shared" si="3531"/>
        <v>Arvind Kulkarni</v>
      </c>
      <c r="U1764" s="14" t="str">
        <f t="shared" si="3531"/>
        <v>Juhu</v>
      </c>
      <c r="V1764" s="14" t="str">
        <f t="shared" si="4"/>
        <v>Guava</v>
      </c>
      <c r="W1764" s="14">
        <f t="shared" si="5"/>
        <v>2</v>
      </c>
      <c r="X1764" s="14" t="str">
        <f t="shared" si="6"/>
        <v>Kiran Mehta</v>
      </c>
      <c r="Y1764" s="15">
        <f t="shared" si="7"/>
        <v>45144</v>
      </c>
      <c r="Z1764" s="14" t="str">
        <f t="shared" si="8"/>
        <v>UPI</v>
      </c>
      <c r="AA1764" s="14" t="str">
        <f t="shared" si="9"/>
        <v>Cancelled</v>
      </c>
      <c r="AB1764" s="14" t="str">
        <f t="shared" ref="AB1764:AC1764" si="3532">trim(Q1764)</f>
        <v>Delayed Delivery</v>
      </c>
      <c r="AC1764" s="14" t="str">
        <f t="shared" si="3532"/>
        <v>Bad Weather Conditions</v>
      </c>
      <c r="AD1764" s="8"/>
    </row>
    <row r="1765">
      <c r="A1765" s="14" t="str">
        <f>IFERROR(__xludf.DUMMYFUNCTION("""COMPUTED_VALUE"""),"//ord_71743//Anaya Rao//Colaba//Apple+1*Nikhil Deshmukh/7/2/2023//Online Payment//Delivered*Delivery Experience: Quick and professional")</f>
        <v>//ord_71743//Anaya Rao//Colaba//Apple+1*Nikhil Deshmukh/7/2/2023//Online Payment//Delivered*Delivery Experience: Quick and professional</v>
      </c>
      <c r="B1765" s="14" t="str">
        <f>IFERROR(__xludf.DUMMYFUNCTION("split(A1765,""//"")"),"ord_71743")</f>
        <v>ord_71743</v>
      </c>
      <c r="C1765" s="14" t="str">
        <f>IFERROR(__xludf.DUMMYFUNCTION("""COMPUTED_VALUE"""),"Anaya Rao")</f>
        <v>Anaya Rao</v>
      </c>
      <c r="D1765" s="14" t="str">
        <f>IFERROR(__xludf.DUMMYFUNCTION("""COMPUTED_VALUE"""),"Colaba")</f>
        <v>Colaba</v>
      </c>
      <c r="E1765" s="14" t="str">
        <f>IFERROR(__xludf.DUMMYFUNCTION("""COMPUTED_VALUE"""),"Apple+1*Nikhil Deshmukh")</f>
        <v>Apple+1*Nikhil Deshmukh</v>
      </c>
      <c r="F1765" s="14">
        <f>IFERROR(__xludf.DUMMYFUNCTION("""COMPUTED_VALUE"""),7.0)</f>
        <v>7</v>
      </c>
      <c r="G1765" s="14">
        <f>IFERROR(__xludf.DUMMYFUNCTION("""COMPUTED_VALUE"""),2.0)</f>
        <v>2</v>
      </c>
      <c r="H1765" s="14">
        <f>IFERROR(__xludf.DUMMYFUNCTION("""COMPUTED_VALUE"""),2023.0)</f>
        <v>2023</v>
      </c>
      <c r="I1765" s="14" t="str">
        <f>IFERROR(__xludf.DUMMYFUNCTION("""COMPUTED_VALUE"""),"Online Payment")</f>
        <v>Online Payment</v>
      </c>
      <c r="J1765" s="14" t="str">
        <f>IFERROR(__xludf.DUMMYFUNCTION("""COMPUTED_VALUE"""),"Delivered*Delivery Experience: Quick and professional")</f>
        <v>Delivered*Delivery Experience: Quick and professional</v>
      </c>
      <c r="K1765" s="14" t="str">
        <f>IFERROR(__xludf.DUMMYFUNCTION("split(E1765,""+"")"),"Apple")</f>
        <v>Apple</v>
      </c>
      <c r="L1765" s="14" t="str">
        <f>IFERROR(__xludf.DUMMYFUNCTION("""COMPUTED_VALUE"""),"1*Nikhil Deshmukh")</f>
        <v>1*Nikhil Deshmukh</v>
      </c>
      <c r="M1765" s="14">
        <f>IFERROR(__xludf.DUMMYFUNCTION("SPLIT(L1765,""*"")"),1.0)</f>
        <v>1</v>
      </c>
      <c r="N1765" s="14" t="str">
        <f>IFERROR(__xludf.DUMMYFUNCTION("""COMPUTED_VALUE"""),"Nikhil Deshmukh")</f>
        <v>Nikhil Deshmukh</v>
      </c>
      <c r="O1765" s="14" t="str">
        <f>IFERROR(__xludf.DUMMYFUNCTION("split(J1765,""*"")"),"Delivered")</f>
        <v>Delivered</v>
      </c>
      <c r="P1765" s="14" t="str">
        <f>IFERROR(__xludf.DUMMYFUNCTION("""COMPUTED_VALUE"""),"Delivery Experience: Quick and professional")</f>
        <v>Delivery Experience: Quick and professional</v>
      </c>
      <c r="Q1765" s="14" t="str">
        <f>IFERROR(__xludf.DUMMYFUNCTION("split(P1765,"":"")"),"Delivery Experience")</f>
        <v>Delivery Experience</v>
      </c>
      <c r="R1765" s="14" t="str">
        <f>IFERROR(__xludf.DUMMYFUNCTION("""COMPUTED_VALUE""")," Quick and professional")</f>
        <v> Quick and professional</v>
      </c>
      <c r="S1765" s="14" t="str">
        <f t="shared" ref="S1765:U1765" si="3533">trim(B1765)</f>
        <v>ord_71743</v>
      </c>
      <c r="T1765" s="14" t="str">
        <f t="shared" si="3533"/>
        <v>Anaya Rao</v>
      </c>
      <c r="U1765" s="14" t="str">
        <f t="shared" si="3533"/>
        <v>Colaba</v>
      </c>
      <c r="V1765" s="14" t="str">
        <f t="shared" si="4"/>
        <v>Apple</v>
      </c>
      <c r="W1765" s="14">
        <f t="shared" si="5"/>
        <v>1</v>
      </c>
      <c r="X1765" s="14" t="str">
        <f t="shared" si="6"/>
        <v>Nikhil Deshmukh</v>
      </c>
      <c r="Y1765" s="15">
        <f t="shared" si="7"/>
        <v>45109</v>
      </c>
      <c r="Z1765" s="14" t="str">
        <f t="shared" si="8"/>
        <v>Online Payment</v>
      </c>
      <c r="AA1765" s="14" t="str">
        <f t="shared" si="9"/>
        <v>Delivered</v>
      </c>
      <c r="AB1765" s="14" t="str">
        <f t="shared" ref="AB1765:AC1765" si="3534">trim(Q1765)</f>
        <v>Delivery Experience</v>
      </c>
      <c r="AC1765" s="14" t="str">
        <f t="shared" si="3534"/>
        <v>Quick and professional</v>
      </c>
      <c r="AD1765" s="8"/>
    </row>
    <row r="1766">
      <c r="A1766" s="14" t="str">
        <f>IFERROR(__xludf.DUMMYFUNCTION("""COMPUTED_VALUE"""),"//ord_71744//Ishita Banerjee//Juhu//Papaya+1*Tanvi Jain/7/2/2023//UPI//Delivered*Convenience: Easy tracking")</f>
        <v>//ord_71744//Ishita Banerjee//Juhu//Papaya+1*Tanvi Jain/7/2/2023//UPI//Delivered*Convenience: Easy tracking</v>
      </c>
      <c r="B1766" s="14" t="str">
        <f>IFERROR(__xludf.DUMMYFUNCTION("split(A1766,""//"")"),"ord_71744")</f>
        <v>ord_71744</v>
      </c>
      <c r="C1766" s="14" t="str">
        <f>IFERROR(__xludf.DUMMYFUNCTION("""COMPUTED_VALUE"""),"Ishita Banerjee")</f>
        <v>Ishita Banerjee</v>
      </c>
      <c r="D1766" s="14" t="str">
        <f>IFERROR(__xludf.DUMMYFUNCTION("""COMPUTED_VALUE"""),"Juhu")</f>
        <v>Juhu</v>
      </c>
      <c r="E1766" s="14" t="str">
        <f>IFERROR(__xludf.DUMMYFUNCTION("""COMPUTED_VALUE"""),"Papaya+1*Tanvi Jain")</f>
        <v>Papaya+1*Tanvi Jain</v>
      </c>
      <c r="F1766" s="14">
        <f>IFERROR(__xludf.DUMMYFUNCTION("""COMPUTED_VALUE"""),7.0)</f>
        <v>7</v>
      </c>
      <c r="G1766" s="14">
        <f>IFERROR(__xludf.DUMMYFUNCTION("""COMPUTED_VALUE"""),2.0)</f>
        <v>2</v>
      </c>
      <c r="H1766" s="14">
        <f>IFERROR(__xludf.DUMMYFUNCTION("""COMPUTED_VALUE"""),2023.0)</f>
        <v>2023</v>
      </c>
      <c r="I1766" s="14" t="str">
        <f>IFERROR(__xludf.DUMMYFUNCTION("""COMPUTED_VALUE"""),"UPI")</f>
        <v>UPI</v>
      </c>
      <c r="J1766" s="14" t="str">
        <f>IFERROR(__xludf.DUMMYFUNCTION("""COMPUTED_VALUE"""),"Delivered*Convenience: Easy tracking")</f>
        <v>Delivered*Convenience: Easy tracking</v>
      </c>
      <c r="K1766" s="14" t="str">
        <f>IFERROR(__xludf.DUMMYFUNCTION("split(E1766,""+"")"),"Papaya")</f>
        <v>Papaya</v>
      </c>
      <c r="L1766" s="14" t="str">
        <f>IFERROR(__xludf.DUMMYFUNCTION("""COMPUTED_VALUE"""),"1*Tanvi Jain")</f>
        <v>1*Tanvi Jain</v>
      </c>
      <c r="M1766" s="14">
        <f>IFERROR(__xludf.DUMMYFUNCTION("SPLIT(L1766,""*"")"),1.0)</f>
        <v>1</v>
      </c>
      <c r="N1766" s="14" t="str">
        <f>IFERROR(__xludf.DUMMYFUNCTION("""COMPUTED_VALUE"""),"Tanvi Jain")</f>
        <v>Tanvi Jain</v>
      </c>
      <c r="O1766" s="14" t="str">
        <f>IFERROR(__xludf.DUMMYFUNCTION("split(J1766,""*"")"),"Delivered")</f>
        <v>Delivered</v>
      </c>
      <c r="P1766" s="14" t="str">
        <f>IFERROR(__xludf.DUMMYFUNCTION("""COMPUTED_VALUE"""),"Convenience: Easy tracking")</f>
        <v>Convenience: Easy tracking</v>
      </c>
      <c r="Q1766" s="14" t="str">
        <f>IFERROR(__xludf.DUMMYFUNCTION("split(P1766,"":"")"),"Convenience")</f>
        <v>Convenience</v>
      </c>
      <c r="R1766" s="14" t="str">
        <f>IFERROR(__xludf.DUMMYFUNCTION("""COMPUTED_VALUE""")," Easy tracking")</f>
        <v> Easy tracking</v>
      </c>
      <c r="S1766" s="14" t="str">
        <f t="shared" ref="S1766:U1766" si="3535">trim(B1766)</f>
        <v>ord_71744</v>
      </c>
      <c r="T1766" s="14" t="str">
        <f t="shared" si="3535"/>
        <v>Ishita Banerjee</v>
      </c>
      <c r="U1766" s="14" t="str">
        <f t="shared" si="3535"/>
        <v>Juhu</v>
      </c>
      <c r="V1766" s="14" t="str">
        <f t="shared" si="4"/>
        <v>Papaya</v>
      </c>
      <c r="W1766" s="14">
        <f t="shared" si="5"/>
        <v>1</v>
      </c>
      <c r="X1766" s="14" t="str">
        <f t="shared" si="6"/>
        <v>Tanvi Jain</v>
      </c>
      <c r="Y1766" s="15">
        <f t="shared" si="7"/>
        <v>45109</v>
      </c>
      <c r="Z1766" s="14" t="str">
        <f t="shared" si="8"/>
        <v>UPI</v>
      </c>
      <c r="AA1766" s="14" t="str">
        <f t="shared" si="9"/>
        <v>Delivered</v>
      </c>
      <c r="AB1766" s="14" t="str">
        <f t="shared" ref="AB1766:AC1766" si="3536">trim(Q1766)</f>
        <v>Convenience</v>
      </c>
      <c r="AC1766" s="14" t="str">
        <f t="shared" si="3536"/>
        <v>Easy tracking</v>
      </c>
      <c r="AD1766" s="8"/>
    </row>
    <row r="1767">
      <c r="A1767" s="14" t="str">
        <f>IFERROR(__xludf.DUMMYFUNCTION("""COMPUTED_VALUE"""),"//ord_71745//Sakshi Tandon//Colaba//Chicken Puff+1*Nikhil Deshmukh/12/5/2023//UPI//Delivered*Overall Satisfaction: Great service will order again")</f>
        <v>//ord_71745//Sakshi Tandon//Colaba//Chicken Puff+1*Nikhil Deshmukh/12/5/2023//UPI//Delivered*Overall Satisfaction: Great service will order again</v>
      </c>
      <c r="B1767" s="14" t="str">
        <f>IFERROR(__xludf.DUMMYFUNCTION("split(A1767,""//"")"),"ord_71745")</f>
        <v>ord_71745</v>
      </c>
      <c r="C1767" s="14" t="str">
        <f>IFERROR(__xludf.DUMMYFUNCTION("""COMPUTED_VALUE"""),"Sakshi Tandon")</f>
        <v>Sakshi Tandon</v>
      </c>
      <c r="D1767" s="14" t="str">
        <f>IFERROR(__xludf.DUMMYFUNCTION("""COMPUTED_VALUE"""),"Colaba")</f>
        <v>Colaba</v>
      </c>
      <c r="E1767" s="14" t="str">
        <f>IFERROR(__xludf.DUMMYFUNCTION("""COMPUTED_VALUE"""),"Chicken Puff+1*Nikhil Deshmukh")</f>
        <v>Chicken Puff+1*Nikhil Deshmukh</v>
      </c>
      <c r="F1767" s="14">
        <f>IFERROR(__xludf.DUMMYFUNCTION("""COMPUTED_VALUE"""),12.0)</f>
        <v>12</v>
      </c>
      <c r="G1767" s="14">
        <f>IFERROR(__xludf.DUMMYFUNCTION("""COMPUTED_VALUE"""),5.0)</f>
        <v>5</v>
      </c>
      <c r="H1767" s="14">
        <f>IFERROR(__xludf.DUMMYFUNCTION("""COMPUTED_VALUE"""),2023.0)</f>
        <v>2023</v>
      </c>
      <c r="I1767" s="14" t="str">
        <f>IFERROR(__xludf.DUMMYFUNCTION("""COMPUTED_VALUE"""),"UPI")</f>
        <v>UPI</v>
      </c>
      <c r="J1767" s="14" t="str">
        <f>IFERROR(__xludf.DUMMYFUNCTION("""COMPUTED_VALUE"""),"Delivered*Overall Satisfaction: Great service will order again")</f>
        <v>Delivered*Overall Satisfaction: Great service will order again</v>
      </c>
      <c r="K1767" s="14" t="str">
        <f>IFERROR(__xludf.DUMMYFUNCTION("split(E1767,""+"")"),"Chicken Puff")</f>
        <v>Chicken Puff</v>
      </c>
      <c r="L1767" s="14" t="str">
        <f>IFERROR(__xludf.DUMMYFUNCTION("""COMPUTED_VALUE"""),"1*Nikhil Deshmukh")</f>
        <v>1*Nikhil Deshmukh</v>
      </c>
      <c r="M1767" s="14">
        <f>IFERROR(__xludf.DUMMYFUNCTION("SPLIT(L1767,""*"")"),1.0)</f>
        <v>1</v>
      </c>
      <c r="N1767" s="14" t="str">
        <f>IFERROR(__xludf.DUMMYFUNCTION("""COMPUTED_VALUE"""),"Nikhil Deshmukh")</f>
        <v>Nikhil Deshmukh</v>
      </c>
      <c r="O1767" s="14" t="str">
        <f>IFERROR(__xludf.DUMMYFUNCTION("split(J1767,""*"")"),"Delivered")</f>
        <v>Delivered</v>
      </c>
      <c r="P1767" s="14" t="str">
        <f>IFERROR(__xludf.DUMMYFUNCTION("""COMPUTED_VALUE"""),"Overall Satisfaction: Great service will order again")</f>
        <v>Overall Satisfaction: Great service will order again</v>
      </c>
      <c r="Q1767" s="14" t="str">
        <f>IFERROR(__xludf.DUMMYFUNCTION("split(P1767,"":"")"),"Overall Satisfaction")</f>
        <v>Overall Satisfaction</v>
      </c>
      <c r="R1767" s="14" t="str">
        <f>IFERROR(__xludf.DUMMYFUNCTION("""COMPUTED_VALUE""")," Great service will order again")</f>
        <v> Great service will order again</v>
      </c>
      <c r="S1767" s="14" t="str">
        <f t="shared" ref="S1767:U1767" si="3537">trim(B1767)</f>
        <v>ord_71745</v>
      </c>
      <c r="T1767" s="14" t="str">
        <f t="shared" si="3537"/>
        <v>Sakshi Tandon</v>
      </c>
      <c r="U1767" s="14" t="str">
        <f t="shared" si="3537"/>
        <v>Colaba</v>
      </c>
      <c r="V1767" s="14" t="str">
        <f t="shared" si="4"/>
        <v>Chicken Puff</v>
      </c>
      <c r="W1767" s="14">
        <f t="shared" si="5"/>
        <v>1</v>
      </c>
      <c r="X1767" s="14" t="str">
        <f t="shared" si="6"/>
        <v>Nikhil Deshmukh</v>
      </c>
      <c r="Y1767" s="15">
        <f t="shared" si="7"/>
        <v>45265</v>
      </c>
      <c r="Z1767" s="14" t="str">
        <f t="shared" si="8"/>
        <v>UPI</v>
      </c>
      <c r="AA1767" s="14" t="str">
        <f t="shared" si="9"/>
        <v>Delivered</v>
      </c>
      <c r="AB1767" s="14" t="str">
        <f t="shared" ref="AB1767:AC1767" si="3538">trim(Q1767)</f>
        <v>Overall Satisfaction</v>
      </c>
      <c r="AC1767" s="14" t="str">
        <f t="shared" si="3538"/>
        <v>Great service will order again</v>
      </c>
      <c r="AD1767" s="8"/>
    </row>
    <row r="1768">
      <c r="A1768" s="14" t="str">
        <f>IFERROR(__xludf.DUMMYFUNCTION("""COMPUTED_VALUE"""),"//ord_71746//Siya Reddy//Juhu//Onion+1*Nithin Lal/11/14/2023//Credit Card//Cancelled*Delayed Delivery:Heavy Traffic")</f>
        <v>//ord_71746//Siya Reddy//Juhu//Onion+1*Nithin Lal/11/14/2023//Credit Card//Cancelled*Delayed Delivery:Heavy Traffic</v>
      </c>
      <c r="B1768" s="14" t="str">
        <f>IFERROR(__xludf.DUMMYFUNCTION("split(A1768,""//"")"),"ord_71746")</f>
        <v>ord_71746</v>
      </c>
      <c r="C1768" s="14" t="str">
        <f>IFERROR(__xludf.DUMMYFUNCTION("""COMPUTED_VALUE"""),"Siya Reddy")</f>
        <v>Siya Reddy</v>
      </c>
      <c r="D1768" s="14" t="str">
        <f>IFERROR(__xludf.DUMMYFUNCTION("""COMPUTED_VALUE"""),"Juhu")</f>
        <v>Juhu</v>
      </c>
      <c r="E1768" s="14" t="str">
        <f>IFERROR(__xludf.DUMMYFUNCTION("""COMPUTED_VALUE"""),"Onion+1*Nithin Lal")</f>
        <v>Onion+1*Nithin Lal</v>
      </c>
      <c r="F1768" s="14">
        <f>IFERROR(__xludf.DUMMYFUNCTION("""COMPUTED_VALUE"""),11.0)</f>
        <v>11</v>
      </c>
      <c r="G1768" s="14">
        <f>IFERROR(__xludf.DUMMYFUNCTION("""COMPUTED_VALUE"""),14.0)</f>
        <v>14</v>
      </c>
      <c r="H1768" s="14">
        <f>IFERROR(__xludf.DUMMYFUNCTION("""COMPUTED_VALUE"""),2023.0)</f>
        <v>2023</v>
      </c>
      <c r="I1768" s="14" t="str">
        <f>IFERROR(__xludf.DUMMYFUNCTION("""COMPUTED_VALUE"""),"Credit Card")</f>
        <v>Credit Card</v>
      </c>
      <c r="J1768" s="14" t="str">
        <f>IFERROR(__xludf.DUMMYFUNCTION("""COMPUTED_VALUE"""),"Cancelled*Delayed Delivery:Heavy Traffic")</f>
        <v>Cancelled*Delayed Delivery:Heavy Traffic</v>
      </c>
      <c r="K1768" s="14" t="str">
        <f>IFERROR(__xludf.DUMMYFUNCTION("split(E1768,""+"")"),"Onion")</f>
        <v>Onion</v>
      </c>
      <c r="L1768" s="14" t="str">
        <f>IFERROR(__xludf.DUMMYFUNCTION("""COMPUTED_VALUE"""),"1*Nithin Lal")</f>
        <v>1*Nithin Lal</v>
      </c>
      <c r="M1768" s="14">
        <f>IFERROR(__xludf.DUMMYFUNCTION("SPLIT(L1768,""*"")"),1.0)</f>
        <v>1</v>
      </c>
      <c r="N1768" s="14" t="str">
        <f>IFERROR(__xludf.DUMMYFUNCTION("""COMPUTED_VALUE"""),"Nithin Lal")</f>
        <v>Nithin Lal</v>
      </c>
      <c r="O1768" s="14" t="str">
        <f>IFERROR(__xludf.DUMMYFUNCTION("split(J1768,""*"")"),"Cancelled")</f>
        <v>Cancelled</v>
      </c>
      <c r="P1768" s="14" t="str">
        <f>IFERROR(__xludf.DUMMYFUNCTION("""COMPUTED_VALUE"""),"Delayed Delivery:Heavy Traffic")</f>
        <v>Delayed Delivery:Heavy Traffic</v>
      </c>
      <c r="Q1768" s="14" t="str">
        <f>IFERROR(__xludf.DUMMYFUNCTION("split(P1768,"":"")"),"Delayed Delivery")</f>
        <v>Delayed Delivery</v>
      </c>
      <c r="R1768" s="14" t="str">
        <f>IFERROR(__xludf.DUMMYFUNCTION("""COMPUTED_VALUE"""),"Heavy Traffic")</f>
        <v>Heavy Traffic</v>
      </c>
      <c r="S1768" s="14" t="str">
        <f t="shared" ref="S1768:U1768" si="3539">trim(B1768)</f>
        <v>ord_71746</v>
      </c>
      <c r="T1768" s="14" t="str">
        <f t="shared" si="3539"/>
        <v>Siya Reddy</v>
      </c>
      <c r="U1768" s="14" t="str">
        <f t="shared" si="3539"/>
        <v>Juhu</v>
      </c>
      <c r="V1768" s="14" t="str">
        <f t="shared" si="4"/>
        <v>Onion</v>
      </c>
      <c r="W1768" s="14">
        <f t="shared" si="5"/>
        <v>1</v>
      </c>
      <c r="X1768" s="14" t="str">
        <f t="shared" si="6"/>
        <v>Nithin Lal</v>
      </c>
      <c r="Y1768" s="15">
        <f t="shared" si="7"/>
        <v>45244</v>
      </c>
      <c r="Z1768" s="14" t="str">
        <f t="shared" si="8"/>
        <v>Credit Card</v>
      </c>
      <c r="AA1768" s="14" t="str">
        <f t="shared" si="9"/>
        <v>Cancelled</v>
      </c>
      <c r="AB1768" s="14" t="str">
        <f t="shared" ref="AB1768:AC1768" si="3540">trim(Q1768)</f>
        <v>Delayed Delivery</v>
      </c>
      <c r="AC1768" s="14" t="str">
        <f t="shared" si="3540"/>
        <v>Heavy Traffic</v>
      </c>
      <c r="AD1768" s="8"/>
    </row>
    <row r="1769">
      <c r="A1769" s="14" t="str">
        <f>IFERROR(__xludf.DUMMYFUNCTION("""COMPUTED_VALUE"""),"//ord_71747//Diya Arora//Lower Parel//Orange+1*Ramesh S/12/18/2023//Online Payment//Delivered*On-time Delivery: Delivered on time")</f>
        <v>//ord_71747//Diya Arora//Lower Parel//Orange+1*Ramesh S/12/18/2023//Online Payment//Delivered*On-time Delivery: Delivered on time</v>
      </c>
      <c r="B1769" s="14" t="str">
        <f>IFERROR(__xludf.DUMMYFUNCTION("split(A1769,""//"")"),"ord_71747")</f>
        <v>ord_71747</v>
      </c>
      <c r="C1769" s="14" t="str">
        <f>IFERROR(__xludf.DUMMYFUNCTION("""COMPUTED_VALUE"""),"Diya Arora")</f>
        <v>Diya Arora</v>
      </c>
      <c r="D1769" s="14" t="str">
        <f>IFERROR(__xludf.DUMMYFUNCTION("""COMPUTED_VALUE"""),"Lower Parel")</f>
        <v>Lower Parel</v>
      </c>
      <c r="E1769" s="14" t="str">
        <f>IFERROR(__xludf.DUMMYFUNCTION("""COMPUTED_VALUE"""),"Orange+1*Ramesh S")</f>
        <v>Orange+1*Ramesh S</v>
      </c>
      <c r="F1769" s="14">
        <f>IFERROR(__xludf.DUMMYFUNCTION("""COMPUTED_VALUE"""),12.0)</f>
        <v>12</v>
      </c>
      <c r="G1769" s="14">
        <f>IFERROR(__xludf.DUMMYFUNCTION("""COMPUTED_VALUE"""),18.0)</f>
        <v>18</v>
      </c>
      <c r="H1769" s="14">
        <f>IFERROR(__xludf.DUMMYFUNCTION("""COMPUTED_VALUE"""),2023.0)</f>
        <v>2023</v>
      </c>
      <c r="I1769" s="14" t="str">
        <f>IFERROR(__xludf.DUMMYFUNCTION("""COMPUTED_VALUE"""),"Online Payment")</f>
        <v>Online Payment</v>
      </c>
      <c r="J1769" s="14" t="str">
        <f>IFERROR(__xludf.DUMMYFUNCTION("""COMPUTED_VALUE"""),"Delivered*On-time Delivery: Delivered on time")</f>
        <v>Delivered*On-time Delivery: Delivered on time</v>
      </c>
      <c r="K1769" s="14" t="str">
        <f>IFERROR(__xludf.DUMMYFUNCTION("split(E1769,""+"")"),"Orange")</f>
        <v>Orange</v>
      </c>
      <c r="L1769" s="14" t="str">
        <f>IFERROR(__xludf.DUMMYFUNCTION("""COMPUTED_VALUE"""),"1*Ramesh S")</f>
        <v>1*Ramesh S</v>
      </c>
      <c r="M1769" s="14">
        <f>IFERROR(__xludf.DUMMYFUNCTION("SPLIT(L1769,""*"")"),1.0)</f>
        <v>1</v>
      </c>
      <c r="N1769" s="14" t="str">
        <f>IFERROR(__xludf.DUMMYFUNCTION("""COMPUTED_VALUE"""),"Ramesh S")</f>
        <v>Ramesh S</v>
      </c>
      <c r="O1769" s="14" t="str">
        <f>IFERROR(__xludf.DUMMYFUNCTION("split(J1769,""*"")"),"Delivered")</f>
        <v>Delivered</v>
      </c>
      <c r="P1769" s="14" t="str">
        <f>IFERROR(__xludf.DUMMYFUNCTION("""COMPUTED_VALUE"""),"On-time Delivery: Delivered on time")</f>
        <v>On-time Delivery: Delivered on time</v>
      </c>
      <c r="Q1769" s="14" t="str">
        <f>IFERROR(__xludf.DUMMYFUNCTION("split(P1769,"":"")"),"On-time Delivery")</f>
        <v>On-time Delivery</v>
      </c>
      <c r="R1769" s="14" t="str">
        <f>IFERROR(__xludf.DUMMYFUNCTION("""COMPUTED_VALUE""")," Delivered on time")</f>
        <v> Delivered on time</v>
      </c>
      <c r="S1769" s="14" t="str">
        <f t="shared" ref="S1769:U1769" si="3541">trim(B1769)</f>
        <v>ord_71747</v>
      </c>
      <c r="T1769" s="14" t="str">
        <f t="shared" si="3541"/>
        <v>Diya Arora</v>
      </c>
      <c r="U1769" s="14" t="str">
        <f t="shared" si="3541"/>
        <v>Lower Parel</v>
      </c>
      <c r="V1769" s="14" t="str">
        <f t="shared" si="4"/>
        <v>Orange</v>
      </c>
      <c r="W1769" s="14">
        <f t="shared" si="5"/>
        <v>1</v>
      </c>
      <c r="X1769" s="14" t="str">
        <f t="shared" si="6"/>
        <v>Ramesh S</v>
      </c>
      <c r="Y1769" s="15">
        <f t="shared" si="7"/>
        <v>45278</v>
      </c>
      <c r="Z1769" s="14" t="str">
        <f t="shared" si="8"/>
        <v>Online Payment</v>
      </c>
      <c r="AA1769" s="14" t="str">
        <f t="shared" si="9"/>
        <v>Delivered</v>
      </c>
      <c r="AB1769" s="14" t="str">
        <f t="shared" ref="AB1769:AC1769" si="3542">trim(Q1769)</f>
        <v>On-time Delivery</v>
      </c>
      <c r="AC1769" s="14" t="str">
        <f t="shared" si="3542"/>
        <v>Delivered on time</v>
      </c>
      <c r="AD1769" s="8"/>
    </row>
    <row r="1770">
      <c r="A1770" s="14" t="str">
        <f>IFERROR(__xludf.DUMMYFUNCTION("""COMPUTED_VALUE"""),"//ord_71748//Ishita Banerjee//Juhu//Icecream+4*Ram Gopal/12/10/2023//COD//Delivered*Quality of Items: Perfect condition")</f>
        <v>//ord_71748//Ishita Banerjee//Juhu//Icecream+4*Ram Gopal/12/10/2023//COD//Delivered*Quality of Items: Perfect condition</v>
      </c>
      <c r="B1770" s="14" t="str">
        <f>IFERROR(__xludf.DUMMYFUNCTION("split(A1770,""//"")"),"ord_71748")</f>
        <v>ord_71748</v>
      </c>
      <c r="C1770" s="14" t="str">
        <f>IFERROR(__xludf.DUMMYFUNCTION("""COMPUTED_VALUE"""),"Ishita Banerjee")</f>
        <v>Ishita Banerjee</v>
      </c>
      <c r="D1770" s="14" t="str">
        <f>IFERROR(__xludf.DUMMYFUNCTION("""COMPUTED_VALUE"""),"Juhu")</f>
        <v>Juhu</v>
      </c>
      <c r="E1770" s="14" t="str">
        <f>IFERROR(__xludf.DUMMYFUNCTION("""COMPUTED_VALUE"""),"Icecream+4*Ram Gopal")</f>
        <v>Icecream+4*Ram Gopal</v>
      </c>
      <c r="F1770" s="14">
        <f>IFERROR(__xludf.DUMMYFUNCTION("""COMPUTED_VALUE"""),12.0)</f>
        <v>12</v>
      </c>
      <c r="G1770" s="14">
        <f>IFERROR(__xludf.DUMMYFUNCTION("""COMPUTED_VALUE"""),10.0)</f>
        <v>10</v>
      </c>
      <c r="H1770" s="14">
        <f>IFERROR(__xludf.DUMMYFUNCTION("""COMPUTED_VALUE"""),2023.0)</f>
        <v>2023</v>
      </c>
      <c r="I1770" s="14" t="str">
        <f>IFERROR(__xludf.DUMMYFUNCTION("""COMPUTED_VALUE"""),"COD")</f>
        <v>COD</v>
      </c>
      <c r="J1770" s="14" t="str">
        <f>IFERROR(__xludf.DUMMYFUNCTION("""COMPUTED_VALUE"""),"Delivered*Quality of Items: Perfect condition")</f>
        <v>Delivered*Quality of Items: Perfect condition</v>
      </c>
      <c r="K1770" s="14" t="str">
        <f>IFERROR(__xludf.DUMMYFUNCTION("split(E1770,""+"")"),"Icecream")</f>
        <v>Icecream</v>
      </c>
      <c r="L1770" s="14" t="str">
        <f>IFERROR(__xludf.DUMMYFUNCTION("""COMPUTED_VALUE"""),"4*Ram Gopal")</f>
        <v>4*Ram Gopal</v>
      </c>
      <c r="M1770" s="14">
        <f>IFERROR(__xludf.DUMMYFUNCTION("SPLIT(L1770,""*"")"),4.0)</f>
        <v>4</v>
      </c>
      <c r="N1770" s="14" t="str">
        <f>IFERROR(__xludf.DUMMYFUNCTION("""COMPUTED_VALUE"""),"Ram Gopal")</f>
        <v>Ram Gopal</v>
      </c>
      <c r="O1770" s="14" t="str">
        <f>IFERROR(__xludf.DUMMYFUNCTION("split(J1770,""*"")"),"Delivered")</f>
        <v>Delivered</v>
      </c>
      <c r="P1770" s="14" t="str">
        <f>IFERROR(__xludf.DUMMYFUNCTION("""COMPUTED_VALUE"""),"Quality of Items: Perfect condition")</f>
        <v>Quality of Items: Perfect condition</v>
      </c>
      <c r="Q1770" s="14" t="str">
        <f>IFERROR(__xludf.DUMMYFUNCTION("split(P1770,"":"")"),"Quality of Items")</f>
        <v>Quality of Items</v>
      </c>
      <c r="R1770" s="14" t="str">
        <f>IFERROR(__xludf.DUMMYFUNCTION("""COMPUTED_VALUE""")," Perfect condition")</f>
        <v> Perfect condition</v>
      </c>
      <c r="S1770" s="14" t="str">
        <f t="shared" ref="S1770:U1770" si="3543">trim(B1770)</f>
        <v>ord_71748</v>
      </c>
      <c r="T1770" s="14" t="str">
        <f t="shared" si="3543"/>
        <v>Ishita Banerjee</v>
      </c>
      <c r="U1770" s="14" t="str">
        <f t="shared" si="3543"/>
        <v>Juhu</v>
      </c>
      <c r="V1770" s="14" t="str">
        <f t="shared" si="4"/>
        <v>Icecream</v>
      </c>
      <c r="W1770" s="14">
        <f t="shared" si="5"/>
        <v>4</v>
      </c>
      <c r="X1770" s="14" t="str">
        <f t="shared" si="6"/>
        <v>Ram Gopal</v>
      </c>
      <c r="Y1770" s="15">
        <f t="shared" si="7"/>
        <v>45270</v>
      </c>
      <c r="Z1770" s="14" t="str">
        <f t="shared" si="8"/>
        <v>COD</v>
      </c>
      <c r="AA1770" s="14" t="str">
        <f t="shared" si="9"/>
        <v>Delivered</v>
      </c>
      <c r="AB1770" s="14" t="str">
        <f t="shared" ref="AB1770:AC1770" si="3544">trim(Q1770)</f>
        <v>Quality of Items</v>
      </c>
      <c r="AC1770" s="14" t="str">
        <f t="shared" si="3544"/>
        <v>Perfect condition</v>
      </c>
      <c r="AD1770" s="8"/>
    </row>
    <row r="1771">
      <c r="A1771" s="14" t="str">
        <f>IFERROR(__xludf.DUMMYFUNCTION("""COMPUTED_VALUE"""),"//ord_71749//Omkar Mishra//Powai//Icecream+5*Kiran Mehta/3/14/2023//Credit Card//Cancelled*Delayed Delivery:Heavy Traffic")</f>
        <v>//ord_71749//Omkar Mishra//Powai//Icecream+5*Kiran Mehta/3/14/2023//Credit Card//Cancelled*Delayed Delivery:Heavy Traffic</v>
      </c>
      <c r="B1771" s="14" t="str">
        <f>IFERROR(__xludf.DUMMYFUNCTION("split(A1771,""//"")"),"ord_71749")</f>
        <v>ord_71749</v>
      </c>
      <c r="C1771" s="14" t="str">
        <f>IFERROR(__xludf.DUMMYFUNCTION("""COMPUTED_VALUE"""),"Omkar Mishra")</f>
        <v>Omkar Mishra</v>
      </c>
      <c r="D1771" s="14" t="str">
        <f>IFERROR(__xludf.DUMMYFUNCTION("""COMPUTED_VALUE"""),"Powai")</f>
        <v>Powai</v>
      </c>
      <c r="E1771" s="14" t="str">
        <f>IFERROR(__xludf.DUMMYFUNCTION("""COMPUTED_VALUE"""),"Icecream+5*Kiran Mehta")</f>
        <v>Icecream+5*Kiran Mehta</v>
      </c>
      <c r="F1771" s="14">
        <f>IFERROR(__xludf.DUMMYFUNCTION("""COMPUTED_VALUE"""),3.0)</f>
        <v>3</v>
      </c>
      <c r="G1771" s="14">
        <f>IFERROR(__xludf.DUMMYFUNCTION("""COMPUTED_VALUE"""),14.0)</f>
        <v>14</v>
      </c>
      <c r="H1771" s="14">
        <f>IFERROR(__xludf.DUMMYFUNCTION("""COMPUTED_VALUE"""),2023.0)</f>
        <v>2023</v>
      </c>
      <c r="I1771" s="14" t="str">
        <f>IFERROR(__xludf.DUMMYFUNCTION("""COMPUTED_VALUE"""),"Credit Card")</f>
        <v>Credit Card</v>
      </c>
      <c r="J1771" s="14" t="str">
        <f>IFERROR(__xludf.DUMMYFUNCTION("""COMPUTED_VALUE"""),"Cancelled*Delayed Delivery:Heavy Traffic")</f>
        <v>Cancelled*Delayed Delivery:Heavy Traffic</v>
      </c>
      <c r="K1771" s="14" t="str">
        <f>IFERROR(__xludf.DUMMYFUNCTION("split(E1771,""+"")"),"Icecream")</f>
        <v>Icecream</v>
      </c>
      <c r="L1771" s="14" t="str">
        <f>IFERROR(__xludf.DUMMYFUNCTION("""COMPUTED_VALUE"""),"5*Kiran Mehta")</f>
        <v>5*Kiran Mehta</v>
      </c>
      <c r="M1771" s="14">
        <f>IFERROR(__xludf.DUMMYFUNCTION("SPLIT(L1771,""*"")"),5.0)</f>
        <v>5</v>
      </c>
      <c r="N1771" s="14" t="str">
        <f>IFERROR(__xludf.DUMMYFUNCTION("""COMPUTED_VALUE"""),"Kiran Mehta")</f>
        <v>Kiran Mehta</v>
      </c>
      <c r="O1771" s="14" t="str">
        <f>IFERROR(__xludf.DUMMYFUNCTION("split(J1771,""*"")"),"Cancelled")</f>
        <v>Cancelled</v>
      </c>
      <c r="P1771" s="14" t="str">
        <f>IFERROR(__xludf.DUMMYFUNCTION("""COMPUTED_VALUE"""),"Delayed Delivery:Heavy Traffic")</f>
        <v>Delayed Delivery:Heavy Traffic</v>
      </c>
      <c r="Q1771" s="14" t="str">
        <f>IFERROR(__xludf.DUMMYFUNCTION("split(P1771,"":"")"),"Delayed Delivery")</f>
        <v>Delayed Delivery</v>
      </c>
      <c r="R1771" s="14" t="str">
        <f>IFERROR(__xludf.DUMMYFUNCTION("""COMPUTED_VALUE"""),"Heavy Traffic")</f>
        <v>Heavy Traffic</v>
      </c>
      <c r="S1771" s="14" t="str">
        <f t="shared" ref="S1771:U1771" si="3545">trim(B1771)</f>
        <v>ord_71749</v>
      </c>
      <c r="T1771" s="14" t="str">
        <f t="shared" si="3545"/>
        <v>Omkar Mishra</v>
      </c>
      <c r="U1771" s="14" t="str">
        <f t="shared" si="3545"/>
        <v>Powai</v>
      </c>
      <c r="V1771" s="14" t="str">
        <f t="shared" si="4"/>
        <v>Icecream</v>
      </c>
      <c r="W1771" s="14">
        <f t="shared" si="5"/>
        <v>5</v>
      </c>
      <c r="X1771" s="14" t="str">
        <f t="shared" si="6"/>
        <v>Kiran Mehta</v>
      </c>
      <c r="Y1771" s="15">
        <f t="shared" si="7"/>
        <v>44999</v>
      </c>
      <c r="Z1771" s="14" t="str">
        <f t="shared" si="8"/>
        <v>Credit Card</v>
      </c>
      <c r="AA1771" s="14" t="str">
        <f t="shared" si="9"/>
        <v>Cancelled</v>
      </c>
      <c r="AB1771" s="14" t="str">
        <f t="shared" ref="AB1771:AC1771" si="3546">trim(Q1771)</f>
        <v>Delayed Delivery</v>
      </c>
      <c r="AC1771" s="14" t="str">
        <f t="shared" si="3546"/>
        <v>Heavy Traffic</v>
      </c>
      <c r="AD1771" s="8"/>
    </row>
    <row r="1772">
      <c r="A1772" s="14" t="str">
        <f>IFERROR(__xludf.DUMMYFUNCTION("""COMPUTED_VALUE"""),"//ord_71750//Parth Goel//Juhu//Chicken Puff+5*Not Assigned/2/24/2023//Credit Card//Cancelled*App Glitches: Payment Button Malfunction")</f>
        <v>//ord_71750//Parth Goel//Juhu//Chicken Puff+5*Not Assigned/2/24/2023//Credit Card//Cancelled*App Glitches: Payment Button Malfunction</v>
      </c>
      <c r="B1772" s="14" t="str">
        <f>IFERROR(__xludf.DUMMYFUNCTION("split(A1772,""//"")"),"ord_71750")</f>
        <v>ord_71750</v>
      </c>
      <c r="C1772" s="14" t="str">
        <f>IFERROR(__xludf.DUMMYFUNCTION("""COMPUTED_VALUE"""),"Parth Goel")</f>
        <v>Parth Goel</v>
      </c>
      <c r="D1772" s="14" t="str">
        <f>IFERROR(__xludf.DUMMYFUNCTION("""COMPUTED_VALUE"""),"Juhu")</f>
        <v>Juhu</v>
      </c>
      <c r="E1772" s="14" t="str">
        <f>IFERROR(__xludf.DUMMYFUNCTION("""COMPUTED_VALUE"""),"Chicken Puff+5*Not Assigned")</f>
        <v>Chicken Puff+5*Not Assigned</v>
      </c>
      <c r="F1772" s="14">
        <f>IFERROR(__xludf.DUMMYFUNCTION("""COMPUTED_VALUE"""),2.0)</f>
        <v>2</v>
      </c>
      <c r="G1772" s="14">
        <f>IFERROR(__xludf.DUMMYFUNCTION("""COMPUTED_VALUE"""),24.0)</f>
        <v>24</v>
      </c>
      <c r="H1772" s="14">
        <f>IFERROR(__xludf.DUMMYFUNCTION("""COMPUTED_VALUE"""),2023.0)</f>
        <v>2023</v>
      </c>
      <c r="I1772" s="14" t="str">
        <f>IFERROR(__xludf.DUMMYFUNCTION("""COMPUTED_VALUE"""),"Credit Card")</f>
        <v>Credit Card</v>
      </c>
      <c r="J1772" s="14" t="str">
        <f>IFERROR(__xludf.DUMMYFUNCTION("""COMPUTED_VALUE"""),"Cancelled*App Glitches: Payment Button Malfunction")</f>
        <v>Cancelled*App Glitches: Payment Button Malfunction</v>
      </c>
      <c r="K1772" s="14" t="str">
        <f>IFERROR(__xludf.DUMMYFUNCTION("split(E1772,""+"")"),"Chicken Puff")</f>
        <v>Chicken Puff</v>
      </c>
      <c r="L1772" s="14" t="str">
        <f>IFERROR(__xludf.DUMMYFUNCTION("""COMPUTED_VALUE"""),"5*Not Assigned")</f>
        <v>5*Not Assigned</v>
      </c>
      <c r="M1772" s="14">
        <f>IFERROR(__xludf.DUMMYFUNCTION("SPLIT(L1772,""*"")"),5.0)</f>
        <v>5</v>
      </c>
      <c r="N1772" s="14" t="str">
        <f>IFERROR(__xludf.DUMMYFUNCTION("""COMPUTED_VALUE"""),"Not Assigned")</f>
        <v>Not Assigned</v>
      </c>
      <c r="O1772" s="14" t="str">
        <f>IFERROR(__xludf.DUMMYFUNCTION("split(J1772,""*"")"),"Cancelled")</f>
        <v>Cancelled</v>
      </c>
      <c r="P1772" s="14" t="str">
        <f>IFERROR(__xludf.DUMMYFUNCTION("""COMPUTED_VALUE"""),"App Glitches: Payment Button Malfunction")</f>
        <v>App Glitches: Payment Button Malfunction</v>
      </c>
      <c r="Q1772" s="14" t="str">
        <f>IFERROR(__xludf.DUMMYFUNCTION("split(P1772,"":"")"),"App Glitches")</f>
        <v>App Glitches</v>
      </c>
      <c r="R1772" s="14" t="str">
        <f>IFERROR(__xludf.DUMMYFUNCTION("""COMPUTED_VALUE""")," Payment Button Malfunction")</f>
        <v> Payment Button Malfunction</v>
      </c>
      <c r="S1772" s="14" t="str">
        <f t="shared" ref="S1772:U1772" si="3547">trim(B1772)</f>
        <v>ord_71750</v>
      </c>
      <c r="T1772" s="14" t="str">
        <f t="shared" si="3547"/>
        <v>Parth Goel</v>
      </c>
      <c r="U1772" s="14" t="str">
        <f t="shared" si="3547"/>
        <v>Juhu</v>
      </c>
      <c r="V1772" s="14" t="str">
        <f t="shared" si="4"/>
        <v>Chicken Puff</v>
      </c>
      <c r="W1772" s="14">
        <f t="shared" si="5"/>
        <v>5</v>
      </c>
      <c r="X1772" s="14" t="str">
        <f t="shared" si="6"/>
        <v>Not Assigned</v>
      </c>
      <c r="Y1772" s="15">
        <f t="shared" si="7"/>
        <v>44981</v>
      </c>
      <c r="Z1772" s="14" t="str">
        <f t="shared" si="8"/>
        <v>Credit Card</v>
      </c>
      <c r="AA1772" s="14" t="str">
        <f t="shared" si="9"/>
        <v>Cancelled</v>
      </c>
      <c r="AB1772" s="14" t="str">
        <f t="shared" ref="AB1772:AC1772" si="3548">trim(Q1772)</f>
        <v>App Glitches</v>
      </c>
      <c r="AC1772" s="14" t="str">
        <f t="shared" si="3548"/>
        <v>Payment Button Malfunction</v>
      </c>
      <c r="AD1772" s="8"/>
    </row>
    <row r="1773">
      <c r="A1773" s="14" t="str">
        <f>IFERROR(__xludf.DUMMYFUNCTION("""COMPUTED_VALUE"""),"//ord_71751//Sakshi Tandon//Colaba//Sweet Corn+2*Ramesh S/8/14/2023//Online Payment//Delivered*On-time Delivery: Delivered on time")</f>
        <v>//ord_71751//Sakshi Tandon//Colaba//Sweet Corn+2*Ramesh S/8/14/2023//Online Payment//Delivered*On-time Delivery: Delivered on time</v>
      </c>
      <c r="B1773" s="14" t="str">
        <f>IFERROR(__xludf.DUMMYFUNCTION("split(A1773,""//"")"),"ord_71751")</f>
        <v>ord_71751</v>
      </c>
      <c r="C1773" s="14" t="str">
        <f>IFERROR(__xludf.DUMMYFUNCTION("""COMPUTED_VALUE"""),"Sakshi Tandon")</f>
        <v>Sakshi Tandon</v>
      </c>
      <c r="D1773" s="14" t="str">
        <f>IFERROR(__xludf.DUMMYFUNCTION("""COMPUTED_VALUE"""),"Colaba")</f>
        <v>Colaba</v>
      </c>
      <c r="E1773" s="14" t="str">
        <f>IFERROR(__xludf.DUMMYFUNCTION("""COMPUTED_VALUE"""),"Sweet Corn+2*Ramesh S")</f>
        <v>Sweet Corn+2*Ramesh S</v>
      </c>
      <c r="F1773" s="14">
        <f>IFERROR(__xludf.DUMMYFUNCTION("""COMPUTED_VALUE"""),8.0)</f>
        <v>8</v>
      </c>
      <c r="G1773" s="14">
        <f>IFERROR(__xludf.DUMMYFUNCTION("""COMPUTED_VALUE"""),14.0)</f>
        <v>14</v>
      </c>
      <c r="H1773" s="14">
        <f>IFERROR(__xludf.DUMMYFUNCTION("""COMPUTED_VALUE"""),2023.0)</f>
        <v>2023</v>
      </c>
      <c r="I1773" s="14" t="str">
        <f>IFERROR(__xludf.DUMMYFUNCTION("""COMPUTED_VALUE"""),"Online Payment")</f>
        <v>Online Payment</v>
      </c>
      <c r="J1773" s="14" t="str">
        <f>IFERROR(__xludf.DUMMYFUNCTION("""COMPUTED_VALUE"""),"Delivered*On-time Delivery: Delivered on time")</f>
        <v>Delivered*On-time Delivery: Delivered on time</v>
      </c>
      <c r="K1773" s="14" t="str">
        <f>IFERROR(__xludf.DUMMYFUNCTION("split(E1773,""+"")"),"Sweet Corn")</f>
        <v>Sweet Corn</v>
      </c>
      <c r="L1773" s="14" t="str">
        <f>IFERROR(__xludf.DUMMYFUNCTION("""COMPUTED_VALUE"""),"2*Ramesh S")</f>
        <v>2*Ramesh S</v>
      </c>
      <c r="M1773" s="14">
        <f>IFERROR(__xludf.DUMMYFUNCTION("SPLIT(L1773,""*"")"),2.0)</f>
        <v>2</v>
      </c>
      <c r="N1773" s="14" t="str">
        <f>IFERROR(__xludf.DUMMYFUNCTION("""COMPUTED_VALUE"""),"Ramesh S")</f>
        <v>Ramesh S</v>
      </c>
      <c r="O1773" s="14" t="str">
        <f>IFERROR(__xludf.DUMMYFUNCTION("split(J1773,""*"")"),"Delivered")</f>
        <v>Delivered</v>
      </c>
      <c r="P1773" s="14" t="str">
        <f>IFERROR(__xludf.DUMMYFUNCTION("""COMPUTED_VALUE"""),"On-time Delivery: Delivered on time")</f>
        <v>On-time Delivery: Delivered on time</v>
      </c>
      <c r="Q1773" s="14" t="str">
        <f>IFERROR(__xludf.DUMMYFUNCTION("split(P1773,"":"")"),"On-time Delivery")</f>
        <v>On-time Delivery</v>
      </c>
      <c r="R1773" s="14" t="str">
        <f>IFERROR(__xludf.DUMMYFUNCTION("""COMPUTED_VALUE""")," Delivered on time")</f>
        <v> Delivered on time</v>
      </c>
      <c r="S1773" s="14" t="str">
        <f t="shared" ref="S1773:U1773" si="3549">trim(B1773)</f>
        <v>ord_71751</v>
      </c>
      <c r="T1773" s="14" t="str">
        <f t="shared" si="3549"/>
        <v>Sakshi Tandon</v>
      </c>
      <c r="U1773" s="14" t="str">
        <f t="shared" si="3549"/>
        <v>Colaba</v>
      </c>
      <c r="V1773" s="14" t="str">
        <f t="shared" si="4"/>
        <v>Sweet Corn</v>
      </c>
      <c r="W1773" s="14">
        <f t="shared" si="5"/>
        <v>2</v>
      </c>
      <c r="X1773" s="14" t="str">
        <f t="shared" si="6"/>
        <v>Ramesh S</v>
      </c>
      <c r="Y1773" s="15">
        <f t="shared" si="7"/>
        <v>45152</v>
      </c>
      <c r="Z1773" s="14" t="str">
        <f t="shared" si="8"/>
        <v>Online Payment</v>
      </c>
      <c r="AA1773" s="14" t="str">
        <f t="shared" si="9"/>
        <v>Delivered</v>
      </c>
      <c r="AB1773" s="14" t="str">
        <f t="shared" ref="AB1773:AC1773" si="3550">trim(Q1773)</f>
        <v>On-time Delivery</v>
      </c>
      <c r="AC1773" s="14" t="str">
        <f t="shared" si="3550"/>
        <v>Delivered on time</v>
      </c>
      <c r="AD1773" s="8"/>
    </row>
    <row r="1774">
      <c r="A1774" s="14" t="str">
        <f>IFERROR(__xludf.DUMMYFUNCTION("""COMPUTED_VALUE"""),"//ord_71752//Mohit Malhotra//Lower Parel//Banana+1*Nithin Lal/6/21/2023//Online Payment//Delivered*Quality of Items: Perfect condition")</f>
        <v>//ord_71752//Mohit Malhotra//Lower Parel//Banana+1*Nithin Lal/6/21/2023//Online Payment//Delivered*Quality of Items: Perfect condition</v>
      </c>
      <c r="B1774" s="14" t="str">
        <f>IFERROR(__xludf.DUMMYFUNCTION("split(A1774,""//"")"),"ord_71752")</f>
        <v>ord_71752</v>
      </c>
      <c r="C1774" s="14" t="str">
        <f>IFERROR(__xludf.DUMMYFUNCTION("""COMPUTED_VALUE"""),"Mohit Malhotra")</f>
        <v>Mohit Malhotra</v>
      </c>
      <c r="D1774" s="14" t="str">
        <f>IFERROR(__xludf.DUMMYFUNCTION("""COMPUTED_VALUE"""),"Lower Parel")</f>
        <v>Lower Parel</v>
      </c>
      <c r="E1774" s="14" t="str">
        <f>IFERROR(__xludf.DUMMYFUNCTION("""COMPUTED_VALUE"""),"Banana+1*Nithin Lal")</f>
        <v>Banana+1*Nithin Lal</v>
      </c>
      <c r="F1774" s="14">
        <f>IFERROR(__xludf.DUMMYFUNCTION("""COMPUTED_VALUE"""),6.0)</f>
        <v>6</v>
      </c>
      <c r="G1774" s="14">
        <f>IFERROR(__xludf.DUMMYFUNCTION("""COMPUTED_VALUE"""),21.0)</f>
        <v>21</v>
      </c>
      <c r="H1774" s="14">
        <f>IFERROR(__xludf.DUMMYFUNCTION("""COMPUTED_VALUE"""),2023.0)</f>
        <v>2023</v>
      </c>
      <c r="I1774" s="14" t="str">
        <f>IFERROR(__xludf.DUMMYFUNCTION("""COMPUTED_VALUE"""),"Online Payment")</f>
        <v>Online Payment</v>
      </c>
      <c r="J1774" s="14" t="str">
        <f>IFERROR(__xludf.DUMMYFUNCTION("""COMPUTED_VALUE"""),"Delivered*Quality of Items: Perfect condition")</f>
        <v>Delivered*Quality of Items: Perfect condition</v>
      </c>
      <c r="K1774" s="14" t="str">
        <f>IFERROR(__xludf.DUMMYFUNCTION("split(E1774,""+"")"),"Banana")</f>
        <v>Banana</v>
      </c>
      <c r="L1774" s="14" t="str">
        <f>IFERROR(__xludf.DUMMYFUNCTION("""COMPUTED_VALUE"""),"1*Nithin Lal")</f>
        <v>1*Nithin Lal</v>
      </c>
      <c r="M1774" s="14">
        <f>IFERROR(__xludf.DUMMYFUNCTION("SPLIT(L1774,""*"")"),1.0)</f>
        <v>1</v>
      </c>
      <c r="N1774" s="14" t="str">
        <f>IFERROR(__xludf.DUMMYFUNCTION("""COMPUTED_VALUE"""),"Nithin Lal")</f>
        <v>Nithin Lal</v>
      </c>
      <c r="O1774" s="14" t="str">
        <f>IFERROR(__xludf.DUMMYFUNCTION("split(J1774,""*"")"),"Delivered")</f>
        <v>Delivered</v>
      </c>
      <c r="P1774" s="14" t="str">
        <f>IFERROR(__xludf.DUMMYFUNCTION("""COMPUTED_VALUE"""),"Quality of Items: Perfect condition")</f>
        <v>Quality of Items: Perfect condition</v>
      </c>
      <c r="Q1774" s="14" t="str">
        <f>IFERROR(__xludf.DUMMYFUNCTION("split(P1774,"":"")"),"Quality of Items")</f>
        <v>Quality of Items</v>
      </c>
      <c r="R1774" s="14" t="str">
        <f>IFERROR(__xludf.DUMMYFUNCTION("""COMPUTED_VALUE""")," Perfect condition")</f>
        <v> Perfect condition</v>
      </c>
      <c r="S1774" s="14" t="str">
        <f t="shared" ref="S1774:U1774" si="3551">trim(B1774)</f>
        <v>ord_71752</v>
      </c>
      <c r="T1774" s="14" t="str">
        <f t="shared" si="3551"/>
        <v>Mohit Malhotra</v>
      </c>
      <c r="U1774" s="14" t="str">
        <f t="shared" si="3551"/>
        <v>Lower Parel</v>
      </c>
      <c r="V1774" s="14" t="str">
        <f t="shared" si="4"/>
        <v>Banana</v>
      </c>
      <c r="W1774" s="14">
        <f t="shared" si="5"/>
        <v>1</v>
      </c>
      <c r="X1774" s="14" t="str">
        <f t="shared" si="6"/>
        <v>Nithin Lal</v>
      </c>
      <c r="Y1774" s="15">
        <f t="shared" si="7"/>
        <v>45098</v>
      </c>
      <c r="Z1774" s="14" t="str">
        <f t="shared" si="8"/>
        <v>Online Payment</v>
      </c>
      <c r="AA1774" s="14" t="str">
        <f t="shared" si="9"/>
        <v>Delivered</v>
      </c>
      <c r="AB1774" s="14" t="str">
        <f t="shared" ref="AB1774:AC1774" si="3552">trim(Q1774)</f>
        <v>Quality of Items</v>
      </c>
      <c r="AC1774" s="14" t="str">
        <f t="shared" si="3552"/>
        <v>Perfect condition</v>
      </c>
      <c r="AD1774" s="8"/>
    </row>
    <row r="1775">
      <c r="A1775" s="14" t="str">
        <f>IFERROR(__xludf.DUMMYFUNCTION("""COMPUTED_VALUE"""),"//ord_71753//Ishaan Chaturvedi//Bandra//Potato+1*Not Assigned/6/20/2023//Online Payment//Cancelled*Payment Issues")</f>
        <v>//ord_71753//Ishaan Chaturvedi//Bandra//Potato+1*Not Assigned/6/20/2023//Online Payment//Cancelled*Payment Issues</v>
      </c>
      <c r="B1775" s="14" t="str">
        <f>IFERROR(__xludf.DUMMYFUNCTION("split(A1775,""//"")"),"ord_71753")</f>
        <v>ord_71753</v>
      </c>
      <c r="C1775" s="14" t="str">
        <f>IFERROR(__xludf.DUMMYFUNCTION("""COMPUTED_VALUE"""),"Ishaan Chaturvedi")</f>
        <v>Ishaan Chaturvedi</v>
      </c>
      <c r="D1775" s="14" t="str">
        <f>IFERROR(__xludf.DUMMYFUNCTION("""COMPUTED_VALUE"""),"Bandra")</f>
        <v>Bandra</v>
      </c>
      <c r="E1775" s="14" t="str">
        <f>IFERROR(__xludf.DUMMYFUNCTION("""COMPUTED_VALUE"""),"Potato+1*Not Assigned")</f>
        <v>Potato+1*Not Assigned</v>
      </c>
      <c r="F1775" s="14">
        <f>IFERROR(__xludf.DUMMYFUNCTION("""COMPUTED_VALUE"""),6.0)</f>
        <v>6</v>
      </c>
      <c r="G1775" s="14">
        <f>IFERROR(__xludf.DUMMYFUNCTION("""COMPUTED_VALUE"""),20.0)</f>
        <v>20</v>
      </c>
      <c r="H1775" s="14">
        <f>IFERROR(__xludf.DUMMYFUNCTION("""COMPUTED_VALUE"""),2023.0)</f>
        <v>2023</v>
      </c>
      <c r="I1775" s="14" t="str">
        <f>IFERROR(__xludf.DUMMYFUNCTION("""COMPUTED_VALUE"""),"Online Payment")</f>
        <v>Online Payment</v>
      </c>
      <c r="J1775" s="14" t="str">
        <f>IFERROR(__xludf.DUMMYFUNCTION("""COMPUTED_VALUE"""),"Cancelled*Payment Issues")</f>
        <v>Cancelled*Payment Issues</v>
      </c>
      <c r="K1775" s="14" t="str">
        <f>IFERROR(__xludf.DUMMYFUNCTION("split(E1775,""+"")"),"Potato")</f>
        <v>Potato</v>
      </c>
      <c r="L1775" s="14" t="str">
        <f>IFERROR(__xludf.DUMMYFUNCTION("""COMPUTED_VALUE"""),"1*Not Assigned")</f>
        <v>1*Not Assigned</v>
      </c>
      <c r="M1775" s="14">
        <f>IFERROR(__xludf.DUMMYFUNCTION("SPLIT(L1775,""*"")"),1.0)</f>
        <v>1</v>
      </c>
      <c r="N1775" s="14" t="str">
        <f>IFERROR(__xludf.DUMMYFUNCTION("""COMPUTED_VALUE"""),"Not Assigned")</f>
        <v>Not Assigned</v>
      </c>
      <c r="O1775" s="14" t="str">
        <f>IFERROR(__xludf.DUMMYFUNCTION("split(J1775,""*"")"),"Cancelled")</f>
        <v>Cancelled</v>
      </c>
      <c r="P1775" s="14" t="str">
        <f>IFERROR(__xludf.DUMMYFUNCTION("""COMPUTED_VALUE"""),"Payment Issues")</f>
        <v>Payment Issues</v>
      </c>
      <c r="Q1775" s="14" t="str">
        <f>IFERROR(__xludf.DUMMYFUNCTION("split(P1775,"":"")"),"Payment Issues")</f>
        <v>Payment Issues</v>
      </c>
      <c r="R1775" s="14"/>
      <c r="S1775" s="14" t="str">
        <f t="shared" ref="S1775:U1775" si="3553">trim(B1775)</f>
        <v>ord_71753</v>
      </c>
      <c r="T1775" s="14" t="str">
        <f t="shared" si="3553"/>
        <v>Ishaan Chaturvedi</v>
      </c>
      <c r="U1775" s="14" t="str">
        <f t="shared" si="3553"/>
        <v>Bandra</v>
      </c>
      <c r="V1775" s="14" t="str">
        <f t="shared" si="4"/>
        <v>Potato</v>
      </c>
      <c r="W1775" s="14">
        <f t="shared" si="5"/>
        <v>1</v>
      </c>
      <c r="X1775" s="14" t="str">
        <f t="shared" si="6"/>
        <v>Not Assigned</v>
      </c>
      <c r="Y1775" s="15">
        <f t="shared" si="7"/>
        <v>45097</v>
      </c>
      <c r="Z1775" s="14" t="str">
        <f t="shared" si="8"/>
        <v>Online Payment</v>
      </c>
      <c r="AA1775" s="14" t="str">
        <f t="shared" si="9"/>
        <v>Cancelled</v>
      </c>
      <c r="AB1775" s="14" t="str">
        <f t="shared" ref="AB1775:AC1775" si="3554">trim(Q1775)</f>
        <v>Payment Issues</v>
      </c>
      <c r="AC1775" s="14" t="str">
        <f t="shared" si="3554"/>
        <v/>
      </c>
      <c r="AD1775" s="8"/>
    </row>
    <row r="1776">
      <c r="A1776" s="14" t="str">
        <f>IFERROR(__xludf.DUMMYFUNCTION("""COMPUTED_VALUE"""),"//ord_71754//Diya Arora//Lower Parel//Chocolate Mousse+5*Vivek Kumar/8/8/2023//Online Payment//Cancelled*Delayed Delivery:Bad Weather Conditions ")</f>
        <v>//ord_71754//Diya Arora//Lower Parel//Chocolate Mousse+5*Vivek Kumar/8/8/2023//Online Payment//Cancelled*Delayed Delivery:Bad Weather Conditions </v>
      </c>
      <c r="B1776" s="14" t="str">
        <f>IFERROR(__xludf.DUMMYFUNCTION("split(A1776,""//"")"),"ord_71754")</f>
        <v>ord_71754</v>
      </c>
      <c r="C1776" s="14" t="str">
        <f>IFERROR(__xludf.DUMMYFUNCTION("""COMPUTED_VALUE"""),"Diya Arora")</f>
        <v>Diya Arora</v>
      </c>
      <c r="D1776" s="14" t="str">
        <f>IFERROR(__xludf.DUMMYFUNCTION("""COMPUTED_VALUE"""),"Lower Parel")</f>
        <v>Lower Parel</v>
      </c>
      <c r="E1776" s="14" t="str">
        <f>IFERROR(__xludf.DUMMYFUNCTION("""COMPUTED_VALUE"""),"Chocolate Mousse+5*Vivek Kumar")</f>
        <v>Chocolate Mousse+5*Vivek Kumar</v>
      </c>
      <c r="F1776" s="14">
        <f>IFERROR(__xludf.DUMMYFUNCTION("""COMPUTED_VALUE"""),8.0)</f>
        <v>8</v>
      </c>
      <c r="G1776" s="14">
        <f>IFERROR(__xludf.DUMMYFUNCTION("""COMPUTED_VALUE"""),8.0)</f>
        <v>8</v>
      </c>
      <c r="H1776" s="14">
        <f>IFERROR(__xludf.DUMMYFUNCTION("""COMPUTED_VALUE"""),2023.0)</f>
        <v>2023</v>
      </c>
      <c r="I1776" s="14" t="str">
        <f>IFERROR(__xludf.DUMMYFUNCTION("""COMPUTED_VALUE"""),"Online Payment")</f>
        <v>Online Payment</v>
      </c>
      <c r="J1776" s="14" t="str">
        <f>IFERROR(__xludf.DUMMYFUNCTION("""COMPUTED_VALUE"""),"Cancelled*Delayed Delivery:Bad Weather Conditions ")</f>
        <v>Cancelled*Delayed Delivery:Bad Weather Conditions </v>
      </c>
      <c r="K1776" s="14" t="str">
        <f>IFERROR(__xludf.DUMMYFUNCTION("split(E1776,""+"")"),"Chocolate Mousse")</f>
        <v>Chocolate Mousse</v>
      </c>
      <c r="L1776" s="14" t="str">
        <f>IFERROR(__xludf.DUMMYFUNCTION("""COMPUTED_VALUE"""),"5*Vivek Kumar")</f>
        <v>5*Vivek Kumar</v>
      </c>
      <c r="M1776" s="14">
        <f>IFERROR(__xludf.DUMMYFUNCTION("SPLIT(L1776,""*"")"),5.0)</f>
        <v>5</v>
      </c>
      <c r="N1776" s="14" t="str">
        <f>IFERROR(__xludf.DUMMYFUNCTION("""COMPUTED_VALUE"""),"Vivek Kumar")</f>
        <v>Vivek Kumar</v>
      </c>
      <c r="O1776" s="14" t="str">
        <f>IFERROR(__xludf.DUMMYFUNCTION("split(J1776,""*"")"),"Cancelled")</f>
        <v>Cancelled</v>
      </c>
      <c r="P1776" s="14" t="str">
        <f>IFERROR(__xludf.DUMMYFUNCTION("""COMPUTED_VALUE"""),"Delayed Delivery:Bad Weather Conditions ")</f>
        <v>Delayed Delivery:Bad Weather Conditions </v>
      </c>
      <c r="Q1776" s="14" t="str">
        <f>IFERROR(__xludf.DUMMYFUNCTION("split(P1776,"":"")"),"Delayed Delivery")</f>
        <v>Delayed Delivery</v>
      </c>
      <c r="R1776" s="14" t="str">
        <f>IFERROR(__xludf.DUMMYFUNCTION("""COMPUTED_VALUE"""),"Bad Weather Conditions ")</f>
        <v>Bad Weather Conditions </v>
      </c>
      <c r="S1776" s="14" t="str">
        <f t="shared" ref="S1776:U1776" si="3555">trim(B1776)</f>
        <v>ord_71754</v>
      </c>
      <c r="T1776" s="14" t="str">
        <f t="shared" si="3555"/>
        <v>Diya Arora</v>
      </c>
      <c r="U1776" s="14" t="str">
        <f t="shared" si="3555"/>
        <v>Lower Parel</v>
      </c>
      <c r="V1776" s="14" t="str">
        <f t="shared" si="4"/>
        <v>Chocolate Mousse</v>
      </c>
      <c r="W1776" s="14">
        <f t="shared" si="5"/>
        <v>5</v>
      </c>
      <c r="X1776" s="14" t="str">
        <f t="shared" si="6"/>
        <v>Vivek Kumar</v>
      </c>
      <c r="Y1776" s="15">
        <f t="shared" si="7"/>
        <v>45146</v>
      </c>
      <c r="Z1776" s="14" t="str">
        <f t="shared" si="8"/>
        <v>Online Payment</v>
      </c>
      <c r="AA1776" s="14" t="str">
        <f t="shared" si="9"/>
        <v>Cancelled</v>
      </c>
      <c r="AB1776" s="14" t="str">
        <f t="shared" ref="AB1776:AC1776" si="3556">trim(Q1776)</f>
        <v>Delayed Delivery</v>
      </c>
      <c r="AC1776" s="14" t="str">
        <f t="shared" si="3556"/>
        <v>Bad Weather Conditions</v>
      </c>
      <c r="AD1776" s="8"/>
    </row>
    <row r="1777">
      <c r="A1777" s="14" t="str">
        <f>IFERROR(__xludf.DUMMYFUNCTION("""COMPUTED_VALUE"""),"//ord_71755//Mehul Thakkar//Malad//Chicken Puff+1*Not Assigned/7/6/2023//Credit Card//Cancelled*App Glitches: Payment Button Malfunction")</f>
        <v>//ord_71755//Mehul Thakkar//Malad//Chicken Puff+1*Not Assigned/7/6/2023//Credit Card//Cancelled*App Glitches: Payment Button Malfunction</v>
      </c>
      <c r="B1777" s="14" t="str">
        <f>IFERROR(__xludf.DUMMYFUNCTION("split(A1777,""//"")"),"ord_71755")</f>
        <v>ord_71755</v>
      </c>
      <c r="C1777" s="14" t="str">
        <f>IFERROR(__xludf.DUMMYFUNCTION("""COMPUTED_VALUE"""),"Mehul Thakkar")</f>
        <v>Mehul Thakkar</v>
      </c>
      <c r="D1777" s="14" t="str">
        <f>IFERROR(__xludf.DUMMYFUNCTION("""COMPUTED_VALUE"""),"Malad")</f>
        <v>Malad</v>
      </c>
      <c r="E1777" s="14" t="str">
        <f>IFERROR(__xludf.DUMMYFUNCTION("""COMPUTED_VALUE"""),"Chicken Puff+1*Not Assigned")</f>
        <v>Chicken Puff+1*Not Assigned</v>
      </c>
      <c r="F1777" s="14">
        <f>IFERROR(__xludf.DUMMYFUNCTION("""COMPUTED_VALUE"""),7.0)</f>
        <v>7</v>
      </c>
      <c r="G1777" s="14">
        <f>IFERROR(__xludf.DUMMYFUNCTION("""COMPUTED_VALUE"""),6.0)</f>
        <v>6</v>
      </c>
      <c r="H1777" s="14">
        <f>IFERROR(__xludf.DUMMYFUNCTION("""COMPUTED_VALUE"""),2023.0)</f>
        <v>2023</v>
      </c>
      <c r="I1777" s="14" t="str">
        <f>IFERROR(__xludf.DUMMYFUNCTION("""COMPUTED_VALUE"""),"Credit Card")</f>
        <v>Credit Card</v>
      </c>
      <c r="J1777" s="14" t="str">
        <f>IFERROR(__xludf.DUMMYFUNCTION("""COMPUTED_VALUE"""),"Cancelled*App Glitches: Payment Button Malfunction")</f>
        <v>Cancelled*App Glitches: Payment Button Malfunction</v>
      </c>
      <c r="K1777" s="14" t="str">
        <f>IFERROR(__xludf.DUMMYFUNCTION("split(E1777,""+"")"),"Chicken Puff")</f>
        <v>Chicken Puff</v>
      </c>
      <c r="L1777" s="14" t="str">
        <f>IFERROR(__xludf.DUMMYFUNCTION("""COMPUTED_VALUE"""),"1*Not Assigned")</f>
        <v>1*Not Assigned</v>
      </c>
      <c r="M1777" s="14">
        <f>IFERROR(__xludf.DUMMYFUNCTION("SPLIT(L1777,""*"")"),1.0)</f>
        <v>1</v>
      </c>
      <c r="N1777" s="14" t="str">
        <f>IFERROR(__xludf.DUMMYFUNCTION("""COMPUTED_VALUE"""),"Not Assigned")</f>
        <v>Not Assigned</v>
      </c>
      <c r="O1777" s="14" t="str">
        <f>IFERROR(__xludf.DUMMYFUNCTION("split(J1777,""*"")"),"Cancelled")</f>
        <v>Cancelled</v>
      </c>
      <c r="P1777" s="14" t="str">
        <f>IFERROR(__xludf.DUMMYFUNCTION("""COMPUTED_VALUE"""),"App Glitches: Payment Button Malfunction")</f>
        <v>App Glitches: Payment Button Malfunction</v>
      </c>
      <c r="Q1777" s="14" t="str">
        <f>IFERROR(__xludf.DUMMYFUNCTION("split(P1777,"":"")"),"App Glitches")</f>
        <v>App Glitches</v>
      </c>
      <c r="R1777" s="14" t="str">
        <f>IFERROR(__xludf.DUMMYFUNCTION("""COMPUTED_VALUE""")," Payment Button Malfunction")</f>
        <v> Payment Button Malfunction</v>
      </c>
      <c r="S1777" s="14" t="str">
        <f t="shared" ref="S1777:U1777" si="3557">trim(B1777)</f>
        <v>ord_71755</v>
      </c>
      <c r="T1777" s="14" t="str">
        <f t="shared" si="3557"/>
        <v>Mehul Thakkar</v>
      </c>
      <c r="U1777" s="14" t="str">
        <f t="shared" si="3557"/>
        <v>Malad</v>
      </c>
      <c r="V1777" s="14" t="str">
        <f t="shared" si="4"/>
        <v>Chicken Puff</v>
      </c>
      <c r="W1777" s="14">
        <f t="shared" si="5"/>
        <v>1</v>
      </c>
      <c r="X1777" s="14" t="str">
        <f t="shared" si="6"/>
        <v>Not Assigned</v>
      </c>
      <c r="Y1777" s="15">
        <f t="shared" si="7"/>
        <v>45113</v>
      </c>
      <c r="Z1777" s="14" t="str">
        <f t="shared" si="8"/>
        <v>Credit Card</v>
      </c>
      <c r="AA1777" s="14" t="str">
        <f t="shared" si="9"/>
        <v>Cancelled</v>
      </c>
      <c r="AB1777" s="14" t="str">
        <f t="shared" ref="AB1777:AC1777" si="3558">trim(Q1777)</f>
        <v>App Glitches</v>
      </c>
      <c r="AC1777" s="14" t="str">
        <f t="shared" si="3558"/>
        <v>Payment Button Malfunction</v>
      </c>
      <c r="AD1777" s="8"/>
    </row>
    <row r="1778">
      <c r="A1778" s="14" t="str">
        <f>IFERROR(__xludf.DUMMYFUNCTION("""COMPUTED_VALUE"""),"//ord_71756//Parth Goel//Juhu//Popcorn+4*Not Assigned/3/14/2023//UPI//Cancelled*Payment Issues")</f>
        <v>//ord_71756//Parth Goel//Juhu//Popcorn+4*Not Assigned/3/14/2023//UPI//Cancelled*Payment Issues</v>
      </c>
      <c r="B1778" s="14" t="str">
        <f>IFERROR(__xludf.DUMMYFUNCTION("split(A1778,""//"")"),"ord_71756")</f>
        <v>ord_71756</v>
      </c>
      <c r="C1778" s="14" t="str">
        <f>IFERROR(__xludf.DUMMYFUNCTION("""COMPUTED_VALUE"""),"Parth Goel")</f>
        <v>Parth Goel</v>
      </c>
      <c r="D1778" s="14" t="str">
        <f>IFERROR(__xludf.DUMMYFUNCTION("""COMPUTED_VALUE"""),"Juhu")</f>
        <v>Juhu</v>
      </c>
      <c r="E1778" s="14" t="str">
        <f>IFERROR(__xludf.DUMMYFUNCTION("""COMPUTED_VALUE"""),"Popcorn+4*Not Assigned")</f>
        <v>Popcorn+4*Not Assigned</v>
      </c>
      <c r="F1778" s="14">
        <f>IFERROR(__xludf.DUMMYFUNCTION("""COMPUTED_VALUE"""),3.0)</f>
        <v>3</v>
      </c>
      <c r="G1778" s="14">
        <f>IFERROR(__xludf.DUMMYFUNCTION("""COMPUTED_VALUE"""),14.0)</f>
        <v>14</v>
      </c>
      <c r="H1778" s="14">
        <f>IFERROR(__xludf.DUMMYFUNCTION("""COMPUTED_VALUE"""),2023.0)</f>
        <v>2023</v>
      </c>
      <c r="I1778" s="14" t="str">
        <f>IFERROR(__xludf.DUMMYFUNCTION("""COMPUTED_VALUE"""),"UPI")</f>
        <v>UPI</v>
      </c>
      <c r="J1778" s="14" t="str">
        <f>IFERROR(__xludf.DUMMYFUNCTION("""COMPUTED_VALUE"""),"Cancelled*Payment Issues")</f>
        <v>Cancelled*Payment Issues</v>
      </c>
      <c r="K1778" s="14" t="str">
        <f>IFERROR(__xludf.DUMMYFUNCTION("split(E1778,""+"")"),"Popcorn")</f>
        <v>Popcorn</v>
      </c>
      <c r="L1778" s="14" t="str">
        <f>IFERROR(__xludf.DUMMYFUNCTION("""COMPUTED_VALUE"""),"4*Not Assigned")</f>
        <v>4*Not Assigned</v>
      </c>
      <c r="M1778" s="14">
        <f>IFERROR(__xludf.DUMMYFUNCTION("SPLIT(L1778,""*"")"),4.0)</f>
        <v>4</v>
      </c>
      <c r="N1778" s="14" t="str">
        <f>IFERROR(__xludf.DUMMYFUNCTION("""COMPUTED_VALUE"""),"Not Assigned")</f>
        <v>Not Assigned</v>
      </c>
      <c r="O1778" s="14" t="str">
        <f>IFERROR(__xludf.DUMMYFUNCTION("split(J1778,""*"")"),"Cancelled")</f>
        <v>Cancelled</v>
      </c>
      <c r="P1778" s="14" t="str">
        <f>IFERROR(__xludf.DUMMYFUNCTION("""COMPUTED_VALUE"""),"Payment Issues")</f>
        <v>Payment Issues</v>
      </c>
      <c r="Q1778" s="14" t="str">
        <f>IFERROR(__xludf.DUMMYFUNCTION("split(P1778,"":"")"),"Payment Issues")</f>
        <v>Payment Issues</v>
      </c>
      <c r="R1778" s="14"/>
      <c r="S1778" s="14" t="str">
        <f t="shared" ref="S1778:U1778" si="3559">trim(B1778)</f>
        <v>ord_71756</v>
      </c>
      <c r="T1778" s="14" t="str">
        <f t="shared" si="3559"/>
        <v>Parth Goel</v>
      </c>
      <c r="U1778" s="14" t="str">
        <f t="shared" si="3559"/>
        <v>Juhu</v>
      </c>
      <c r="V1778" s="14" t="str">
        <f t="shared" si="4"/>
        <v>Popcorn</v>
      </c>
      <c r="W1778" s="14">
        <f t="shared" si="5"/>
        <v>4</v>
      </c>
      <c r="X1778" s="14" t="str">
        <f t="shared" si="6"/>
        <v>Not Assigned</v>
      </c>
      <c r="Y1778" s="15">
        <f t="shared" si="7"/>
        <v>44999</v>
      </c>
      <c r="Z1778" s="14" t="str">
        <f t="shared" si="8"/>
        <v>UPI</v>
      </c>
      <c r="AA1778" s="14" t="str">
        <f t="shared" si="9"/>
        <v>Cancelled</v>
      </c>
      <c r="AB1778" s="14" t="str">
        <f t="shared" ref="AB1778:AC1778" si="3560">trim(Q1778)</f>
        <v>Payment Issues</v>
      </c>
      <c r="AC1778" s="14" t="str">
        <f t="shared" si="3560"/>
        <v/>
      </c>
      <c r="AD1778" s="8"/>
    </row>
    <row r="1779">
      <c r="A1779" s="14" t="str">
        <f>IFERROR(__xludf.DUMMYFUNCTION("""COMPUTED_VALUE"""),"//ord_71757//Arvind Kulkarni//Juhu//Papaya+2*Not Assigned/12/23/2023//Online Payment//Cancelled*App Glitches: Payment Button Malfunction")</f>
        <v>//ord_71757//Arvind Kulkarni//Juhu//Papaya+2*Not Assigned/12/23/2023//Online Payment//Cancelled*App Glitches: Payment Button Malfunction</v>
      </c>
      <c r="B1779" s="14" t="str">
        <f>IFERROR(__xludf.DUMMYFUNCTION("split(A1779,""//"")"),"ord_71757")</f>
        <v>ord_71757</v>
      </c>
      <c r="C1779" s="14" t="str">
        <f>IFERROR(__xludf.DUMMYFUNCTION("""COMPUTED_VALUE"""),"Arvind Kulkarni")</f>
        <v>Arvind Kulkarni</v>
      </c>
      <c r="D1779" s="14" t="str">
        <f>IFERROR(__xludf.DUMMYFUNCTION("""COMPUTED_VALUE"""),"Juhu")</f>
        <v>Juhu</v>
      </c>
      <c r="E1779" s="14" t="str">
        <f>IFERROR(__xludf.DUMMYFUNCTION("""COMPUTED_VALUE"""),"Papaya+2*Not Assigned")</f>
        <v>Papaya+2*Not Assigned</v>
      </c>
      <c r="F1779" s="14">
        <f>IFERROR(__xludf.DUMMYFUNCTION("""COMPUTED_VALUE"""),12.0)</f>
        <v>12</v>
      </c>
      <c r="G1779" s="14">
        <f>IFERROR(__xludf.DUMMYFUNCTION("""COMPUTED_VALUE"""),23.0)</f>
        <v>23</v>
      </c>
      <c r="H1779" s="14">
        <f>IFERROR(__xludf.DUMMYFUNCTION("""COMPUTED_VALUE"""),2023.0)</f>
        <v>2023</v>
      </c>
      <c r="I1779" s="14" t="str">
        <f>IFERROR(__xludf.DUMMYFUNCTION("""COMPUTED_VALUE"""),"Online Payment")</f>
        <v>Online Payment</v>
      </c>
      <c r="J1779" s="14" t="str">
        <f>IFERROR(__xludf.DUMMYFUNCTION("""COMPUTED_VALUE"""),"Cancelled*App Glitches: Payment Button Malfunction")</f>
        <v>Cancelled*App Glitches: Payment Button Malfunction</v>
      </c>
      <c r="K1779" s="14" t="str">
        <f>IFERROR(__xludf.DUMMYFUNCTION("split(E1779,""+"")"),"Papaya")</f>
        <v>Papaya</v>
      </c>
      <c r="L1779" s="14" t="str">
        <f>IFERROR(__xludf.DUMMYFUNCTION("""COMPUTED_VALUE"""),"2*Not Assigned")</f>
        <v>2*Not Assigned</v>
      </c>
      <c r="M1779" s="14">
        <f>IFERROR(__xludf.DUMMYFUNCTION("SPLIT(L1779,""*"")"),2.0)</f>
        <v>2</v>
      </c>
      <c r="N1779" s="14" t="str">
        <f>IFERROR(__xludf.DUMMYFUNCTION("""COMPUTED_VALUE"""),"Not Assigned")</f>
        <v>Not Assigned</v>
      </c>
      <c r="O1779" s="14" t="str">
        <f>IFERROR(__xludf.DUMMYFUNCTION("split(J1779,""*"")"),"Cancelled")</f>
        <v>Cancelled</v>
      </c>
      <c r="P1779" s="14" t="str">
        <f>IFERROR(__xludf.DUMMYFUNCTION("""COMPUTED_VALUE"""),"App Glitches: Payment Button Malfunction")</f>
        <v>App Glitches: Payment Button Malfunction</v>
      </c>
      <c r="Q1779" s="14" t="str">
        <f>IFERROR(__xludf.DUMMYFUNCTION("split(P1779,"":"")"),"App Glitches")</f>
        <v>App Glitches</v>
      </c>
      <c r="R1779" s="14" t="str">
        <f>IFERROR(__xludf.DUMMYFUNCTION("""COMPUTED_VALUE""")," Payment Button Malfunction")</f>
        <v> Payment Button Malfunction</v>
      </c>
      <c r="S1779" s="14" t="str">
        <f t="shared" ref="S1779:U1779" si="3561">trim(B1779)</f>
        <v>ord_71757</v>
      </c>
      <c r="T1779" s="14" t="str">
        <f t="shared" si="3561"/>
        <v>Arvind Kulkarni</v>
      </c>
      <c r="U1779" s="14" t="str">
        <f t="shared" si="3561"/>
        <v>Juhu</v>
      </c>
      <c r="V1779" s="14" t="str">
        <f t="shared" si="4"/>
        <v>Papaya</v>
      </c>
      <c r="W1779" s="14">
        <f t="shared" si="5"/>
        <v>2</v>
      </c>
      <c r="X1779" s="14" t="str">
        <f t="shared" si="6"/>
        <v>Not Assigned</v>
      </c>
      <c r="Y1779" s="15">
        <f t="shared" si="7"/>
        <v>45283</v>
      </c>
      <c r="Z1779" s="14" t="str">
        <f t="shared" si="8"/>
        <v>Online Payment</v>
      </c>
      <c r="AA1779" s="14" t="str">
        <f t="shared" si="9"/>
        <v>Cancelled</v>
      </c>
      <c r="AB1779" s="14" t="str">
        <f t="shared" ref="AB1779:AC1779" si="3562">trim(Q1779)</f>
        <v>App Glitches</v>
      </c>
      <c r="AC1779" s="14" t="str">
        <f t="shared" si="3562"/>
        <v>Payment Button Malfunction</v>
      </c>
      <c r="AD1779" s="8"/>
    </row>
    <row r="1780">
      <c r="A1780" s="14" t="str">
        <f>IFERROR(__xludf.DUMMYFUNCTION("""COMPUTED_VALUE"""),"//ord_71758//Pallavi Ghosh//Bandra//Popcorn+3*Not Assigned/9/2/2023//Online Payment//Cancelled*App Glitches:Slow Loading Time")</f>
        <v>//ord_71758//Pallavi Ghosh//Bandra//Popcorn+3*Not Assigned/9/2/2023//Online Payment//Cancelled*App Glitches:Slow Loading Time</v>
      </c>
      <c r="B1780" s="14" t="str">
        <f>IFERROR(__xludf.DUMMYFUNCTION("split(A1780,""//"")"),"ord_71758")</f>
        <v>ord_71758</v>
      </c>
      <c r="C1780" s="14" t="str">
        <f>IFERROR(__xludf.DUMMYFUNCTION("""COMPUTED_VALUE"""),"Pallavi Ghosh")</f>
        <v>Pallavi Ghosh</v>
      </c>
      <c r="D1780" s="14" t="str">
        <f>IFERROR(__xludf.DUMMYFUNCTION("""COMPUTED_VALUE"""),"Bandra")</f>
        <v>Bandra</v>
      </c>
      <c r="E1780" s="14" t="str">
        <f>IFERROR(__xludf.DUMMYFUNCTION("""COMPUTED_VALUE"""),"Popcorn+3*Not Assigned")</f>
        <v>Popcorn+3*Not Assigned</v>
      </c>
      <c r="F1780" s="14">
        <f>IFERROR(__xludf.DUMMYFUNCTION("""COMPUTED_VALUE"""),9.0)</f>
        <v>9</v>
      </c>
      <c r="G1780" s="14">
        <f>IFERROR(__xludf.DUMMYFUNCTION("""COMPUTED_VALUE"""),2.0)</f>
        <v>2</v>
      </c>
      <c r="H1780" s="14">
        <f>IFERROR(__xludf.DUMMYFUNCTION("""COMPUTED_VALUE"""),2023.0)</f>
        <v>2023</v>
      </c>
      <c r="I1780" s="14" t="str">
        <f>IFERROR(__xludf.DUMMYFUNCTION("""COMPUTED_VALUE"""),"Online Payment")</f>
        <v>Online Payment</v>
      </c>
      <c r="J1780" s="14" t="str">
        <f>IFERROR(__xludf.DUMMYFUNCTION("""COMPUTED_VALUE"""),"Cancelled*App Glitches:Slow Loading Time")</f>
        <v>Cancelled*App Glitches:Slow Loading Time</v>
      </c>
      <c r="K1780" s="14" t="str">
        <f>IFERROR(__xludf.DUMMYFUNCTION("split(E1780,""+"")"),"Popcorn")</f>
        <v>Popcorn</v>
      </c>
      <c r="L1780" s="14" t="str">
        <f>IFERROR(__xludf.DUMMYFUNCTION("""COMPUTED_VALUE"""),"3*Not Assigned")</f>
        <v>3*Not Assigned</v>
      </c>
      <c r="M1780" s="14">
        <f>IFERROR(__xludf.DUMMYFUNCTION("SPLIT(L1780,""*"")"),3.0)</f>
        <v>3</v>
      </c>
      <c r="N1780" s="14" t="str">
        <f>IFERROR(__xludf.DUMMYFUNCTION("""COMPUTED_VALUE"""),"Not Assigned")</f>
        <v>Not Assigned</v>
      </c>
      <c r="O1780" s="14" t="str">
        <f>IFERROR(__xludf.DUMMYFUNCTION("split(J1780,""*"")"),"Cancelled")</f>
        <v>Cancelled</v>
      </c>
      <c r="P1780" s="14" t="str">
        <f>IFERROR(__xludf.DUMMYFUNCTION("""COMPUTED_VALUE"""),"App Glitches:Slow Loading Time")</f>
        <v>App Glitches:Slow Loading Time</v>
      </c>
      <c r="Q1780" s="14" t="str">
        <f>IFERROR(__xludf.DUMMYFUNCTION("split(P1780,"":"")"),"App Glitches")</f>
        <v>App Glitches</v>
      </c>
      <c r="R1780" s="14" t="str">
        <f>IFERROR(__xludf.DUMMYFUNCTION("""COMPUTED_VALUE"""),"Slow Loading Time")</f>
        <v>Slow Loading Time</v>
      </c>
      <c r="S1780" s="14" t="str">
        <f t="shared" ref="S1780:U1780" si="3563">trim(B1780)</f>
        <v>ord_71758</v>
      </c>
      <c r="T1780" s="14" t="str">
        <f t="shared" si="3563"/>
        <v>Pallavi Ghosh</v>
      </c>
      <c r="U1780" s="14" t="str">
        <f t="shared" si="3563"/>
        <v>Bandra</v>
      </c>
      <c r="V1780" s="14" t="str">
        <f t="shared" si="4"/>
        <v>Popcorn</v>
      </c>
      <c r="W1780" s="14">
        <f t="shared" si="5"/>
        <v>3</v>
      </c>
      <c r="X1780" s="14" t="str">
        <f t="shared" si="6"/>
        <v>Not Assigned</v>
      </c>
      <c r="Y1780" s="15">
        <f t="shared" si="7"/>
        <v>45171</v>
      </c>
      <c r="Z1780" s="14" t="str">
        <f t="shared" si="8"/>
        <v>Online Payment</v>
      </c>
      <c r="AA1780" s="14" t="str">
        <f t="shared" si="9"/>
        <v>Cancelled</v>
      </c>
      <c r="AB1780" s="14" t="str">
        <f t="shared" ref="AB1780:AC1780" si="3564">trim(Q1780)</f>
        <v>App Glitches</v>
      </c>
      <c r="AC1780" s="14" t="str">
        <f t="shared" si="3564"/>
        <v>Slow Loading Time</v>
      </c>
      <c r="AD1780" s="8"/>
    </row>
    <row r="1781">
      <c r="A1781" s="14" t="str">
        <f>IFERROR(__xludf.DUMMYFUNCTION("""COMPUTED_VALUE"""),"//ord_71759//Arvind Kulkarni//Juhu//Apple+2*Not Assigned/7/20/2023//Credit Card//Cancelled*App Glitches:Error Messages")</f>
        <v>//ord_71759//Arvind Kulkarni//Juhu//Apple+2*Not Assigned/7/20/2023//Credit Card//Cancelled*App Glitches:Error Messages</v>
      </c>
      <c r="B1781" s="14" t="str">
        <f>IFERROR(__xludf.DUMMYFUNCTION("split(A1781,""//"")"),"ord_71759")</f>
        <v>ord_71759</v>
      </c>
      <c r="C1781" s="14" t="str">
        <f>IFERROR(__xludf.DUMMYFUNCTION("""COMPUTED_VALUE"""),"Arvind Kulkarni")</f>
        <v>Arvind Kulkarni</v>
      </c>
      <c r="D1781" s="14" t="str">
        <f>IFERROR(__xludf.DUMMYFUNCTION("""COMPUTED_VALUE"""),"Juhu")</f>
        <v>Juhu</v>
      </c>
      <c r="E1781" s="14" t="str">
        <f>IFERROR(__xludf.DUMMYFUNCTION("""COMPUTED_VALUE"""),"Apple+2*Not Assigned")</f>
        <v>Apple+2*Not Assigned</v>
      </c>
      <c r="F1781" s="14">
        <f>IFERROR(__xludf.DUMMYFUNCTION("""COMPUTED_VALUE"""),7.0)</f>
        <v>7</v>
      </c>
      <c r="G1781" s="14">
        <f>IFERROR(__xludf.DUMMYFUNCTION("""COMPUTED_VALUE"""),20.0)</f>
        <v>20</v>
      </c>
      <c r="H1781" s="14">
        <f>IFERROR(__xludf.DUMMYFUNCTION("""COMPUTED_VALUE"""),2023.0)</f>
        <v>2023</v>
      </c>
      <c r="I1781" s="14" t="str">
        <f>IFERROR(__xludf.DUMMYFUNCTION("""COMPUTED_VALUE"""),"Credit Card")</f>
        <v>Credit Card</v>
      </c>
      <c r="J1781" s="14" t="str">
        <f>IFERROR(__xludf.DUMMYFUNCTION("""COMPUTED_VALUE"""),"Cancelled*App Glitches:Error Messages")</f>
        <v>Cancelled*App Glitches:Error Messages</v>
      </c>
      <c r="K1781" s="14" t="str">
        <f>IFERROR(__xludf.DUMMYFUNCTION("split(E1781,""+"")"),"Apple")</f>
        <v>Apple</v>
      </c>
      <c r="L1781" s="14" t="str">
        <f>IFERROR(__xludf.DUMMYFUNCTION("""COMPUTED_VALUE"""),"2*Not Assigned")</f>
        <v>2*Not Assigned</v>
      </c>
      <c r="M1781" s="14">
        <f>IFERROR(__xludf.DUMMYFUNCTION("SPLIT(L1781,""*"")"),2.0)</f>
        <v>2</v>
      </c>
      <c r="N1781" s="14" t="str">
        <f>IFERROR(__xludf.DUMMYFUNCTION("""COMPUTED_VALUE"""),"Not Assigned")</f>
        <v>Not Assigned</v>
      </c>
      <c r="O1781" s="14" t="str">
        <f>IFERROR(__xludf.DUMMYFUNCTION("split(J1781,""*"")"),"Cancelled")</f>
        <v>Cancelled</v>
      </c>
      <c r="P1781" s="14" t="str">
        <f>IFERROR(__xludf.DUMMYFUNCTION("""COMPUTED_VALUE"""),"App Glitches:Error Messages")</f>
        <v>App Glitches:Error Messages</v>
      </c>
      <c r="Q1781" s="14" t="str">
        <f>IFERROR(__xludf.DUMMYFUNCTION("split(P1781,"":"")"),"App Glitches")</f>
        <v>App Glitches</v>
      </c>
      <c r="R1781" s="14" t="str">
        <f>IFERROR(__xludf.DUMMYFUNCTION("""COMPUTED_VALUE"""),"Error Messages")</f>
        <v>Error Messages</v>
      </c>
      <c r="S1781" s="14" t="str">
        <f t="shared" ref="S1781:U1781" si="3565">trim(B1781)</f>
        <v>ord_71759</v>
      </c>
      <c r="T1781" s="14" t="str">
        <f t="shared" si="3565"/>
        <v>Arvind Kulkarni</v>
      </c>
      <c r="U1781" s="14" t="str">
        <f t="shared" si="3565"/>
        <v>Juhu</v>
      </c>
      <c r="V1781" s="14" t="str">
        <f t="shared" si="4"/>
        <v>Apple</v>
      </c>
      <c r="W1781" s="14">
        <f t="shared" si="5"/>
        <v>2</v>
      </c>
      <c r="X1781" s="14" t="str">
        <f t="shared" si="6"/>
        <v>Not Assigned</v>
      </c>
      <c r="Y1781" s="15">
        <f t="shared" si="7"/>
        <v>45127</v>
      </c>
      <c r="Z1781" s="14" t="str">
        <f t="shared" si="8"/>
        <v>Credit Card</v>
      </c>
      <c r="AA1781" s="14" t="str">
        <f t="shared" si="9"/>
        <v>Cancelled</v>
      </c>
      <c r="AB1781" s="14" t="str">
        <f t="shared" ref="AB1781:AC1781" si="3566">trim(Q1781)</f>
        <v>App Glitches</v>
      </c>
      <c r="AC1781" s="14" t="str">
        <f t="shared" si="3566"/>
        <v>Error Messages</v>
      </c>
      <c r="AD1781" s="8"/>
    </row>
    <row r="1782">
      <c r="A1782" s="14" t="str">
        <f>IFERROR(__xludf.DUMMYFUNCTION("""COMPUTED_VALUE"""),"//ord_71760//Sakshi Tandon//Colaba//Chocolate Mousse+5*Ramesh S/9/25/2023//COD//Delivered*Packaging: Secure and intact")</f>
        <v>//ord_71760//Sakshi Tandon//Colaba//Chocolate Mousse+5*Ramesh S/9/25/2023//COD//Delivered*Packaging: Secure and intact</v>
      </c>
      <c r="B1782" s="14" t="str">
        <f>IFERROR(__xludf.DUMMYFUNCTION("split(A1782,""//"")"),"ord_71760")</f>
        <v>ord_71760</v>
      </c>
      <c r="C1782" s="14" t="str">
        <f>IFERROR(__xludf.DUMMYFUNCTION("""COMPUTED_VALUE"""),"Sakshi Tandon")</f>
        <v>Sakshi Tandon</v>
      </c>
      <c r="D1782" s="14" t="str">
        <f>IFERROR(__xludf.DUMMYFUNCTION("""COMPUTED_VALUE"""),"Colaba")</f>
        <v>Colaba</v>
      </c>
      <c r="E1782" s="14" t="str">
        <f>IFERROR(__xludf.DUMMYFUNCTION("""COMPUTED_VALUE"""),"Chocolate Mousse+5*Ramesh S")</f>
        <v>Chocolate Mousse+5*Ramesh S</v>
      </c>
      <c r="F1782" s="14">
        <f>IFERROR(__xludf.DUMMYFUNCTION("""COMPUTED_VALUE"""),9.0)</f>
        <v>9</v>
      </c>
      <c r="G1782" s="14">
        <f>IFERROR(__xludf.DUMMYFUNCTION("""COMPUTED_VALUE"""),25.0)</f>
        <v>25</v>
      </c>
      <c r="H1782" s="14">
        <f>IFERROR(__xludf.DUMMYFUNCTION("""COMPUTED_VALUE"""),2023.0)</f>
        <v>2023</v>
      </c>
      <c r="I1782" s="14" t="str">
        <f>IFERROR(__xludf.DUMMYFUNCTION("""COMPUTED_VALUE"""),"COD")</f>
        <v>COD</v>
      </c>
      <c r="J1782" s="14" t="str">
        <f>IFERROR(__xludf.DUMMYFUNCTION("""COMPUTED_VALUE"""),"Delivered*Packaging: Secure and intact")</f>
        <v>Delivered*Packaging: Secure and intact</v>
      </c>
      <c r="K1782" s="14" t="str">
        <f>IFERROR(__xludf.DUMMYFUNCTION("split(E1782,""+"")"),"Chocolate Mousse")</f>
        <v>Chocolate Mousse</v>
      </c>
      <c r="L1782" s="14" t="str">
        <f>IFERROR(__xludf.DUMMYFUNCTION("""COMPUTED_VALUE"""),"5*Ramesh S")</f>
        <v>5*Ramesh S</v>
      </c>
      <c r="M1782" s="14">
        <f>IFERROR(__xludf.DUMMYFUNCTION("SPLIT(L1782,""*"")"),5.0)</f>
        <v>5</v>
      </c>
      <c r="N1782" s="14" t="str">
        <f>IFERROR(__xludf.DUMMYFUNCTION("""COMPUTED_VALUE"""),"Ramesh S")</f>
        <v>Ramesh S</v>
      </c>
      <c r="O1782" s="14" t="str">
        <f>IFERROR(__xludf.DUMMYFUNCTION("split(J1782,""*"")"),"Delivered")</f>
        <v>Delivered</v>
      </c>
      <c r="P1782" s="14" t="str">
        <f>IFERROR(__xludf.DUMMYFUNCTION("""COMPUTED_VALUE"""),"Packaging: Secure and intact")</f>
        <v>Packaging: Secure and intact</v>
      </c>
      <c r="Q1782" s="14" t="str">
        <f>IFERROR(__xludf.DUMMYFUNCTION("split(P1782,"":"")"),"Packaging")</f>
        <v>Packaging</v>
      </c>
      <c r="R1782" s="14" t="str">
        <f>IFERROR(__xludf.DUMMYFUNCTION("""COMPUTED_VALUE""")," Secure and intact")</f>
        <v> Secure and intact</v>
      </c>
      <c r="S1782" s="14" t="str">
        <f t="shared" ref="S1782:U1782" si="3567">trim(B1782)</f>
        <v>ord_71760</v>
      </c>
      <c r="T1782" s="14" t="str">
        <f t="shared" si="3567"/>
        <v>Sakshi Tandon</v>
      </c>
      <c r="U1782" s="14" t="str">
        <f t="shared" si="3567"/>
        <v>Colaba</v>
      </c>
      <c r="V1782" s="14" t="str">
        <f t="shared" si="4"/>
        <v>Chocolate Mousse</v>
      </c>
      <c r="W1782" s="14">
        <f t="shared" si="5"/>
        <v>5</v>
      </c>
      <c r="X1782" s="14" t="str">
        <f t="shared" si="6"/>
        <v>Ramesh S</v>
      </c>
      <c r="Y1782" s="15">
        <f t="shared" si="7"/>
        <v>45194</v>
      </c>
      <c r="Z1782" s="14" t="str">
        <f t="shared" si="8"/>
        <v>COD</v>
      </c>
      <c r="AA1782" s="14" t="str">
        <f t="shared" si="9"/>
        <v>Delivered</v>
      </c>
      <c r="AB1782" s="14" t="str">
        <f t="shared" ref="AB1782:AC1782" si="3568">trim(Q1782)</f>
        <v>Packaging</v>
      </c>
      <c r="AC1782" s="14" t="str">
        <f t="shared" si="3568"/>
        <v>Secure and intact</v>
      </c>
      <c r="AD1782" s="8"/>
    </row>
    <row r="1783">
      <c r="A1783" s="14" t="str">
        <f>IFERROR(__xludf.DUMMYFUNCTION("""COMPUTED_VALUE"""),"//ord_71761//Aarohi Kapoor//Bandra//Veg Puff+5*Nithin Lal/10/13/2023//Online Payment//Delivered*Satisfied with the Delivery: Timely and quality")</f>
        <v>//ord_71761//Aarohi Kapoor//Bandra//Veg Puff+5*Nithin Lal/10/13/2023//Online Payment//Delivered*Satisfied with the Delivery: Timely and quality</v>
      </c>
      <c r="B1783" s="14" t="str">
        <f>IFERROR(__xludf.DUMMYFUNCTION("split(A1783,""//"")"),"ord_71761")</f>
        <v>ord_71761</v>
      </c>
      <c r="C1783" s="14" t="str">
        <f>IFERROR(__xludf.DUMMYFUNCTION("""COMPUTED_VALUE"""),"Aarohi Kapoor")</f>
        <v>Aarohi Kapoor</v>
      </c>
      <c r="D1783" s="14" t="str">
        <f>IFERROR(__xludf.DUMMYFUNCTION("""COMPUTED_VALUE"""),"Bandra")</f>
        <v>Bandra</v>
      </c>
      <c r="E1783" s="14" t="str">
        <f>IFERROR(__xludf.DUMMYFUNCTION("""COMPUTED_VALUE"""),"Veg Puff+5*Nithin Lal")</f>
        <v>Veg Puff+5*Nithin Lal</v>
      </c>
      <c r="F1783" s="14">
        <f>IFERROR(__xludf.DUMMYFUNCTION("""COMPUTED_VALUE"""),10.0)</f>
        <v>10</v>
      </c>
      <c r="G1783" s="14">
        <f>IFERROR(__xludf.DUMMYFUNCTION("""COMPUTED_VALUE"""),13.0)</f>
        <v>13</v>
      </c>
      <c r="H1783" s="14">
        <f>IFERROR(__xludf.DUMMYFUNCTION("""COMPUTED_VALUE"""),2023.0)</f>
        <v>2023</v>
      </c>
      <c r="I1783" s="14" t="str">
        <f>IFERROR(__xludf.DUMMYFUNCTION("""COMPUTED_VALUE"""),"Online Payment")</f>
        <v>Online Payment</v>
      </c>
      <c r="J1783" s="14" t="str">
        <f>IFERROR(__xludf.DUMMYFUNCTION("""COMPUTED_VALUE"""),"Delivered*Satisfied with the Delivery: Timely and quality")</f>
        <v>Delivered*Satisfied with the Delivery: Timely and quality</v>
      </c>
      <c r="K1783" s="14" t="str">
        <f>IFERROR(__xludf.DUMMYFUNCTION("split(E1783,""+"")"),"Veg Puff")</f>
        <v>Veg Puff</v>
      </c>
      <c r="L1783" s="14" t="str">
        <f>IFERROR(__xludf.DUMMYFUNCTION("""COMPUTED_VALUE"""),"5*Nithin Lal")</f>
        <v>5*Nithin Lal</v>
      </c>
      <c r="M1783" s="14">
        <f>IFERROR(__xludf.DUMMYFUNCTION("SPLIT(L1783,""*"")"),5.0)</f>
        <v>5</v>
      </c>
      <c r="N1783" s="14" t="str">
        <f>IFERROR(__xludf.DUMMYFUNCTION("""COMPUTED_VALUE"""),"Nithin Lal")</f>
        <v>Nithin Lal</v>
      </c>
      <c r="O1783" s="14" t="str">
        <f>IFERROR(__xludf.DUMMYFUNCTION("split(J1783,""*"")"),"Delivered")</f>
        <v>Delivered</v>
      </c>
      <c r="P1783" s="14" t="str">
        <f>IFERROR(__xludf.DUMMYFUNCTION("""COMPUTED_VALUE"""),"Satisfied with the Delivery: Timely and quality")</f>
        <v>Satisfied with the Delivery: Timely and quality</v>
      </c>
      <c r="Q1783" s="14" t="str">
        <f>IFERROR(__xludf.DUMMYFUNCTION("split(P1783,"":"")"),"Satisfied with the Delivery")</f>
        <v>Satisfied with the Delivery</v>
      </c>
      <c r="R1783" s="14" t="str">
        <f>IFERROR(__xludf.DUMMYFUNCTION("""COMPUTED_VALUE""")," Timely and quality")</f>
        <v> Timely and quality</v>
      </c>
      <c r="S1783" s="14" t="str">
        <f t="shared" ref="S1783:U1783" si="3569">trim(B1783)</f>
        <v>ord_71761</v>
      </c>
      <c r="T1783" s="14" t="str">
        <f t="shared" si="3569"/>
        <v>Aarohi Kapoor</v>
      </c>
      <c r="U1783" s="14" t="str">
        <f t="shared" si="3569"/>
        <v>Bandra</v>
      </c>
      <c r="V1783" s="14" t="str">
        <f t="shared" si="4"/>
        <v>Veg Puff</v>
      </c>
      <c r="W1783" s="14">
        <f t="shared" si="5"/>
        <v>5</v>
      </c>
      <c r="X1783" s="14" t="str">
        <f t="shared" si="6"/>
        <v>Nithin Lal</v>
      </c>
      <c r="Y1783" s="15">
        <f t="shared" si="7"/>
        <v>45212</v>
      </c>
      <c r="Z1783" s="14" t="str">
        <f t="shared" si="8"/>
        <v>Online Payment</v>
      </c>
      <c r="AA1783" s="14" t="str">
        <f t="shared" si="9"/>
        <v>Delivered</v>
      </c>
      <c r="AB1783" s="14" t="str">
        <f t="shared" ref="AB1783:AC1783" si="3570">trim(Q1783)</f>
        <v>Satisfied with the Delivery</v>
      </c>
      <c r="AC1783" s="14" t="str">
        <f t="shared" si="3570"/>
        <v>Timely and quality</v>
      </c>
      <c r="AD1783" s="8"/>
    </row>
    <row r="1784">
      <c r="A1784" s="14" t="str">
        <f>IFERROR(__xludf.DUMMYFUNCTION("""COMPUTED_VALUE"""),"//ord_71762//Nitin Sehgal//Bandra//Banana+1*Vivek Kumar/10/14/2023//UPI//Delivered*Customer Service: Seamless and easy")</f>
        <v>//ord_71762//Nitin Sehgal//Bandra//Banana+1*Vivek Kumar/10/14/2023//UPI//Delivered*Customer Service: Seamless and easy</v>
      </c>
      <c r="B1784" s="14" t="str">
        <f>IFERROR(__xludf.DUMMYFUNCTION("split(A1784,""//"")"),"ord_71762")</f>
        <v>ord_71762</v>
      </c>
      <c r="C1784" s="14" t="str">
        <f>IFERROR(__xludf.DUMMYFUNCTION("""COMPUTED_VALUE"""),"Nitin Sehgal")</f>
        <v>Nitin Sehgal</v>
      </c>
      <c r="D1784" s="14" t="str">
        <f>IFERROR(__xludf.DUMMYFUNCTION("""COMPUTED_VALUE"""),"Bandra")</f>
        <v>Bandra</v>
      </c>
      <c r="E1784" s="14" t="str">
        <f>IFERROR(__xludf.DUMMYFUNCTION("""COMPUTED_VALUE"""),"Banana+1*Vivek Kumar")</f>
        <v>Banana+1*Vivek Kumar</v>
      </c>
      <c r="F1784" s="14">
        <f>IFERROR(__xludf.DUMMYFUNCTION("""COMPUTED_VALUE"""),10.0)</f>
        <v>10</v>
      </c>
      <c r="G1784" s="14">
        <f>IFERROR(__xludf.DUMMYFUNCTION("""COMPUTED_VALUE"""),14.0)</f>
        <v>14</v>
      </c>
      <c r="H1784" s="14">
        <f>IFERROR(__xludf.DUMMYFUNCTION("""COMPUTED_VALUE"""),2023.0)</f>
        <v>2023</v>
      </c>
      <c r="I1784" s="14" t="str">
        <f>IFERROR(__xludf.DUMMYFUNCTION("""COMPUTED_VALUE"""),"UPI")</f>
        <v>UPI</v>
      </c>
      <c r="J1784" s="14" t="str">
        <f>IFERROR(__xludf.DUMMYFUNCTION("""COMPUTED_VALUE"""),"Delivered*Customer Service: Seamless and easy")</f>
        <v>Delivered*Customer Service: Seamless and easy</v>
      </c>
      <c r="K1784" s="14" t="str">
        <f>IFERROR(__xludf.DUMMYFUNCTION("split(E1784,""+"")"),"Banana")</f>
        <v>Banana</v>
      </c>
      <c r="L1784" s="14" t="str">
        <f>IFERROR(__xludf.DUMMYFUNCTION("""COMPUTED_VALUE"""),"1*Vivek Kumar")</f>
        <v>1*Vivek Kumar</v>
      </c>
      <c r="M1784" s="14">
        <f>IFERROR(__xludf.DUMMYFUNCTION("SPLIT(L1784,""*"")"),1.0)</f>
        <v>1</v>
      </c>
      <c r="N1784" s="14" t="str">
        <f>IFERROR(__xludf.DUMMYFUNCTION("""COMPUTED_VALUE"""),"Vivek Kumar")</f>
        <v>Vivek Kumar</v>
      </c>
      <c r="O1784" s="14" t="str">
        <f>IFERROR(__xludf.DUMMYFUNCTION("split(J1784,""*"")"),"Delivered")</f>
        <v>Delivered</v>
      </c>
      <c r="P1784" s="14" t="str">
        <f>IFERROR(__xludf.DUMMYFUNCTION("""COMPUTED_VALUE"""),"Customer Service: Seamless and easy")</f>
        <v>Customer Service: Seamless and easy</v>
      </c>
      <c r="Q1784" s="14" t="str">
        <f>IFERROR(__xludf.DUMMYFUNCTION("split(P1784,"":"")"),"Customer Service")</f>
        <v>Customer Service</v>
      </c>
      <c r="R1784" s="14" t="str">
        <f>IFERROR(__xludf.DUMMYFUNCTION("""COMPUTED_VALUE""")," Seamless and easy")</f>
        <v> Seamless and easy</v>
      </c>
      <c r="S1784" s="14" t="str">
        <f t="shared" ref="S1784:U1784" si="3571">trim(B1784)</f>
        <v>ord_71762</v>
      </c>
      <c r="T1784" s="14" t="str">
        <f t="shared" si="3571"/>
        <v>Nitin Sehgal</v>
      </c>
      <c r="U1784" s="14" t="str">
        <f t="shared" si="3571"/>
        <v>Bandra</v>
      </c>
      <c r="V1784" s="14" t="str">
        <f t="shared" si="4"/>
        <v>Banana</v>
      </c>
      <c r="W1784" s="14">
        <f t="shared" si="5"/>
        <v>1</v>
      </c>
      <c r="X1784" s="14" t="str">
        <f t="shared" si="6"/>
        <v>Vivek Kumar</v>
      </c>
      <c r="Y1784" s="15">
        <f t="shared" si="7"/>
        <v>45213</v>
      </c>
      <c r="Z1784" s="14" t="str">
        <f t="shared" si="8"/>
        <v>UPI</v>
      </c>
      <c r="AA1784" s="14" t="str">
        <f t="shared" si="9"/>
        <v>Delivered</v>
      </c>
      <c r="AB1784" s="14" t="str">
        <f t="shared" ref="AB1784:AC1784" si="3572">trim(Q1784)</f>
        <v>Customer Service</v>
      </c>
      <c r="AC1784" s="14" t="str">
        <f t="shared" si="3572"/>
        <v>Seamless and easy</v>
      </c>
      <c r="AD1784" s="8"/>
    </row>
    <row r="1785">
      <c r="A1785" s="14" t="str">
        <f>IFERROR(__xludf.DUMMYFUNCTION("""COMPUTED_VALUE"""),"//ord_71763//Diya Arora//Lower Parel//Tiramisu+3*Vivek Kumar/12/30/2023//Online Payment//Delivered*Delivery Experience: Quick and professional")</f>
        <v>//ord_71763//Diya Arora//Lower Parel//Tiramisu+3*Vivek Kumar/12/30/2023//Online Payment//Delivered*Delivery Experience: Quick and professional</v>
      </c>
      <c r="B1785" s="14" t="str">
        <f>IFERROR(__xludf.DUMMYFUNCTION("split(A1785,""//"")"),"ord_71763")</f>
        <v>ord_71763</v>
      </c>
      <c r="C1785" s="14" t="str">
        <f>IFERROR(__xludf.DUMMYFUNCTION("""COMPUTED_VALUE"""),"Diya Arora")</f>
        <v>Diya Arora</v>
      </c>
      <c r="D1785" s="14" t="str">
        <f>IFERROR(__xludf.DUMMYFUNCTION("""COMPUTED_VALUE"""),"Lower Parel")</f>
        <v>Lower Parel</v>
      </c>
      <c r="E1785" s="14" t="str">
        <f>IFERROR(__xludf.DUMMYFUNCTION("""COMPUTED_VALUE"""),"Tiramisu+3*Vivek Kumar")</f>
        <v>Tiramisu+3*Vivek Kumar</v>
      </c>
      <c r="F1785" s="14">
        <f>IFERROR(__xludf.DUMMYFUNCTION("""COMPUTED_VALUE"""),12.0)</f>
        <v>12</v>
      </c>
      <c r="G1785" s="14">
        <f>IFERROR(__xludf.DUMMYFUNCTION("""COMPUTED_VALUE"""),30.0)</f>
        <v>30</v>
      </c>
      <c r="H1785" s="14">
        <f>IFERROR(__xludf.DUMMYFUNCTION("""COMPUTED_VALUE"""),2023.0)</f>
        <v>2023</v>
      </c>
      <c r="I1785" s="14" t="str">
        <f>IFERROR(__xludf.DUMMYFUNCTION("""COMPUTED_VALUE"""),"Online Payment")</f>
        <v>Online Payment</v>
      </c>
      <c r="J1785" s="14" t="str">
        <f>IFERROR(__xludf.DUMMYFUNCTION("""COMPUTED_VALUE"""),"Delivered*Delivery Experience: Quick and professional")</f>
        <v>Delivered*Delivery Experience: Quick and professional</v>
      </c>
      <c r="K1785" s="14" t="str">
        <f>IFERROR(__xludf.DUMMYFUNCTION("split(E1785,""+"")"),"Tiramisu")</f>
        <v>Tiramisu</v>
      </c>
      <c r="L1785" s="14" t="str">
        <f>IFERROR(__xludf.DUMMYFUNCTION("""COMPUTED_VALUE"""),"3*Vivek Kumar")</f>
        <v>3*Vivek Kumar</v>
      </c>
      <c r="M1785" s="14">
        <f>IFERROR(__xludf.DUMMYFUNCTION("SPLIT(L1785,""*"")"),3.0)</f>
        <v>3</v>
      </c>
      <c r="N1785" s="14" t="str">
        <f>IFERROR(__xludf.DUMMYFUNCTION("""COMPUTED_VALUE"""),"Vivek Kumar")</f>
        <v>Vivek Kumar</v>
      </c>
      <c r="O1785" s="14" t="str">
        <f>IFERROR(__xludf.DUMMYFUNCTION("split(J1785,""*"")"),"Delivered")</f>
        <v>Delivered</v>
      </c>
      <c r="P1785" s="14" t="str">
        <f>IFERROR(__xludf.DUMMYFUNCTION("""COMPUTED_VALUE"""),"Delivery Experience: Quick and professional")</f>
        <v>Delivery Experience: Quick and professional</v>
      </c>
      <c r="Q1785" s="14" t="str">
        <f>IFERROR(__xludf.DUMMYFUNCTION("split(P1785,"":"")"),"Delivery Experience")</f>
        <v>Delivery Experience</v>
      </c>
      <c r="R1785" s="14" t="str">
        <f>IFERROR(__xludf.DUMMYFUNCTION("""COMPUTED_VALUE""")," Quick and professional")</f>
        <v> Quick and professional</v>
      </c>
      <c r="S1785" s="14" t="str">
        <f t="shared" ref="S1785:U1785" si="3573">trim(B1785)</f>
        <v>ord_71763</v>
      </c>
      <c r="T1785" s="14" t="str">
        <f t="shared" si="3573"/>
        <v>Diya Arora</v>
      </c>
      <c r="U1785" s="14" t="str">
        <f t="shared" si="3573"/>
        <v>Lower Parel</v>
      </c>
      <c r="V1785" s="14" t="str">
        <f t="shared" si="4"/>
        <v>Tiramisu</v>
      </c>
      <c r="W1785" s="14">
        <f t="shared" si="5"/>
        <v>3</v>
      </c>
      <c r="X1785" s="14" t="str">
        <f t="shared" si="6"/>
        <v>Vivek Kumar</v>
      </c>
      <c r="Y1785" s="15">
        <f t="shared" si="7"/>
        <v>45290</v>
      </c>
      <c r="Z1785" s="14" t="str">
        <f t="shared" si="8"/>
        <v>Online Payment</v>
      </c>
      <c r="AA1785" s="14" t="str">
        <f t="shared" si="9"/>
        <v>Delivered</v>
      </c>
      <c r="AB1785" s="14" t="str">
        <f t="shared" ref="AB1785:AC1785" si="3574">trim(Q1785)</f>
        <v>Delivery Experience</v>
      </c>
      <c r="AC1785" s="14" t="str">
        <f t="shared" si="3574"/>
        <v>Quick and professional</v>
      </c>
      <c r="AD1785" s="8"/>
    </row>
    <row r="1786">
      <c r="A1786" s="14" t="str">
        <f>IFERROR(__xludf.DUMMYFUNCTION("""COMPUTED_VALUE"""),"//ord_71764//Anaya Rao//Colaba//Popcorn+5*Ram Gopal/6/11/2023//Credit Card//Delivered*Convenience: Easy tracking")</f>
        <v>//ord_71764//Anaya Rao//Colaba//Popcorn+5*Ram Gopal/6/11/2023//Credit Card//Delivered*Convenience: Easy tracking</v>
      </c>
      <c r="B1786" s="14" t="str">
        <f>IFERROR(__xludf.DUMMYFUNCTION("split(A1786,""//"")"),"ord_71764")</f>
        <v>ord_71764</v>
      </c>
      <c r="C1786" s="14" t="str">
        <f>IFERROR(__xludf.DUMMYFUNCTION("""COMPUTED_VALUE"""),"Anaya Rao")</f>
        <v>Anaya Rao</v>
      </c>
      <c r="D1786" s="14" t="str">
        <f>IFERROR(__xludf.DUMMYFUNCTION("""COMPUTED_VALUE"""),"Colaba")</f>
        <v>Colaba</v>
      </c>
      <c r="E1786" s="14" t="str">
        <f>IFERROR(__xludf.DUMMYFUNCTION("""COMPUTED_VALUE"""),"Popcorn+5*Ram Gopal")</f>
        <v>Popcorn+5*Ram Gopal</v>
      </c>
      <c r="F1786" s="14">
        <f>IFERROR(__xludf.DUMMYFUNCTION("""COMPUTED_VALUE"""),6.0)</f>
        <v>6</v>
      </c>
      <c r="G1786" s="14">
        <f>IFERROR(__xludf.DUMMYFUNCTION("""COMPUTED_VALUE"""),11.0)</f>
        <v>11</v>
      </c>
      <c r="H1786" s="14">
        <f>IFERROR(__xludf.DUMMYFUNCTION("""COMPUTED_VALUE"""),2023.0)</f>
        <v>2023</v>
      </c>
      <c r="I1786" s="14" t="str">
        <f>IFERROR(__xludf.DUMMYFUNCTION("""COMPUTED_VALUE"""),"Credit Card")</f>
        <v>Credit Card</v>
      </c>
      <c r="J1786" s="14" t="str">
        <f>IFERROR(__xludf.DUMMYFUNCTION("""COMPUTED_VALUE"""),"Delivered*Convenience: Easy tracking")</f>
        <v>Delivered*Convenience: Easy tracking</v>
      </c>
      <c r="K1786" s="14" t="str">
        <f>IFERROR(__xludf.DUMMYFUNCTION("split(E1786,""+"")"),"Popcorn")</f>
        <v>Popcorn</v>
      </c>
      <c r="L1786" s="14" t="str">
        <f>IFERROR(__xludf.DUMMYFUNCTION("""COMPUTED_VALUE"""),"5*Ram Gopal")</f>
        <v>5*Ram Gopal</v>
      </c>
      <c r="M1786" s="14">
        <f>IFERROR(__xludf.DUMMYFUNCTION("SPLIT(L1786,""*"")"),5.0)</f>
        <v>5</v>
      </c>
      <c r="N1786" s="14" t="str">
        <f>IFERROR(__xludf.DUMMYFUNCTION("""COMPUTED_VALUE"""),"Ram Gopal")</f>
        <v>Ram Gopal</v>
      </c>
      <c r="O1786" s="14" t="str">
        <f>IFERROR(__xludf.DUMMYFUNCTION("split(J1786,""*"")"),"Delivered")</f>
        <v>Delivered</v>
      </c>
      <c r="P1786" s="14" t="str">
        <f>IFERROR(__xludf.DUMMYFUNCTION("""COMPUTED_VALUE"""),"Convenience: Easy tracking")</f>
        <v>Convenience: Easy tracking</v>
      </c>
      <c r="Q1786" s="14" t="str">
        <f>IFERROR(__xludf.DUMMYFUNCTION("split(P1786,"":"")"),"Convenience")</f>
        <v>Convenience</v>
      </c>
      <c r="R1786" s="14" t="str">
        <f>IFERROR(__xludf.DUMMYFUNCTION("""COMPUTED_VALUE""")," Easy tracking")</f>
        <v> Easy tracking</v>
      </c>
      <c r="S1786" s="14" t="str">
        <f t="shared" ref="S1786:U1786" si="3575">trim(B1786)</f>
        <v>ord_71764</v>
      </c>
      <c r="T1786" s="14" t="str">
        <f t="shared" si="3575"/>
        <v>Anaya Rao</v>
      </c>
      <c r="U1786" s="14" t="str">
        <f t="shared" si="3575"/>
        <v>Colaba</v>
      </c>
      <c r="V1786" s="14" t="str">
        <f t="shared" si="4"/>
        <v>Popcorn</v>
      </c>
      <c r="W1786" s="14">
        <f t="shared" si="5"/>
        <v>5</v>
      </c>
      <c r="X1786" s="14" t="str">
        <f t="shared" si="6"/>
        <v>Ram Gopal</v>
      </c>
      <c r="Y1786" s="15">
        <f t="shared" si="7"/>
        <v>45088</v>
      </c>
      <c r="Z1786" s="14" t="str">
        <f t="shared" si="8"/>
        <v>Credit Card</v>
      </c>
      <c r="AA1786" s="14" t="str">
        <f t="shared" si="9"/>
        <v>Delivered</v>
      </c>
      <c r="AB1786" s="14" t="str">
        <f t="shared" ref="AB1786:AC1786" si="3576">trim(Q1786)</f>
        <v>Convenience</v>
      </c>
      <c r="AC1786" s="14" t="str">
        <f t="shared" si="3576"/>
        <v>Easy tracking</v>
      </c>
      <c r="AD1786" s="8"/>
    </row>
    <row r="1787">
      <c r="A1787" s="14" t="str">
        <f>IFERROR(__xludf.DUMMYFUNCTION("""COMPUTED_VALUE"""),"//ord_71765//Sanjay Nair//Dadar//Tiramisu+4*Not Assigned/7/16/2023//Credit Card//Cancelled*App Glitches:Slow Loading Time")</f>
        <v>//ord_71765//Sanjay Nair//Dadar//Tiramisu+4*Not Assigned/7/16/2023//Credit Card//Cancelled*App Glitches:Slow Loading Time</v>
      </c>
      <c r="B1787" s="14" t="str">
        <f>IFERROR(__xludf.DUMMYFUNCTION("split(A1787,""//"")"),"ord_71765")</f>
        <v>ord_71765</v>
      </c>
      <c r="C1787" s="14" t="str">
        <f>IFERROR(__xludf.DUMMYFUNCTION("""COMPUTED_VALUE"""),"Sanjay Nair")</f>
        <v>Sanjay Nair</v>
      </c>
      <c r="D1787" s="14" t="str">
        <f>IFERROR(__xludf.DUMMYFUNCTION("""COMPUTED_VALUE"""),"Dadar")</f>
        <v>Dadar</v>
      </c>
      <c r="E1787" s="14" t="str">
        <f>IFERROR(__xludf.DUMMYFUNCTION("""COMPUTED_VALUE"""),"Tiramisu+4*Not Assigned")</f>
        <v>Tiramisu+4*Not Assigned</v>
      </c>
      <c r="F1787" s="14">
        <f>IFERROR(__xludf.DUMMYFUNCTION("""COMPUTED_VALUE"""),7.0)</f>
        <v>7</v>
      </c>
      <c r="G1787" s="14">
        <f>IFERROR(__xludf.DUMMYFUNCTION("""COMPUTED_VALUE"""),16.0)</f>
        <v>16</v>
      </c>
      <c r="H1787" s="14">
        <f>IFERROR(__xludf.DUMMYFUNCTION("""COMPUTED_VALUE"""),2023.0)</f>
        <v>2023</v>
      </c>
      <c r="I1787" s="14" t="str">
        <f>IFERROR(__xludf.DUMMYFUNCTION("""COMPUTED_VALUE"""),"Credit Card")</f>
        <v>Credit Card</v>
      </c>
      <c r="J1787" s="14" t="str">
        <f>IFERROR(__xludf.DUMMYFUNCTION("""COMPUTED_VALUE"""),"Cancelled*App Glitches:Slow Loading Time")</f>
        <v>Cancelled*App Glitches:Slow Loading Time</v>
      </c>
      <c r="K1787" s="14" t="str">
        <f>IFERROR(__xludf.DUMMYFUNCTION("split(E1787,""+"")"),"Tiramisu")</f>
        <v>Tiramisu</v>
      </c>
      <c r="L1787" s="14" t="str">
        <f>IFERROR(__xludf.DUMMYFUNCTION("""COMPUTED_VALUE"""),"4*Not Assigned")</f>
        <v>4*Not Assigned</v>
      </c>
      <c r="M1787" s="14">
        <f>IFERROR(__xludf.DUMMYFUNCTION("SPLIT(L1787,""*"")"),4.0)</f>
        <v>4</v>
      </c>
      <c r="N1787" s="14" t="str">
        <f>IFERROR(__xludf.DUMMYFUNCTION("""COMPUTED_VALUE"""),"Not Assigned")</f>
        <v>Not Assigned</v>
      </c>
      <c r="O1787" s="14" t="str">
        <f>IFERROR(__xludf.DUMMYFUNCTION("split(J1787,""*"")"),"Cancelled")</f>
        <v>Cancelled</v>
      </c>
      <c r="P1787" s="14" t="str">
        <f>IFERROR(__xludf.DUMMYFUNCTION("""COMPUTED_VALUE"""),"App Glitches:Slow Loading Time")</f>
        <v>App Glitches:Slow Loading Time</v>
      </c>
      <c r="Q1787" s="14" t="str">
        <f>IFERROR(__xludf.DUMMYFUNCTION("split(P1787,"":"")"),"App Glitches")</f>
        <v>App Glitches</v>
      </c>
      <c r="R1787" s="14" t="str">
        <f>IFERROR(__xludf.DUMMYFUNCTION("""COMPUTED_VALUE"""),"Slow Loading Time")</f>
        <v>Slow Loading Time</v>
      </c>
      <c r="S1787" s="14" t="str">
        <f t="shared" ref="S1787:U1787" si="3577">trim(B1787)</f>
        <v>ord_71765</v>
      </c>
      <c r="T1787" s="14" t="str">
        <f t="shared" si="3577"/>
        <v>Sanjay Nair</v>
      </c>
      <c r="U1787" s="14" t="str">
        <f t="shared" si="3577"/>
        <v>Dadar</v>
      </c>
      <c r="V1787" s="14" t="str">
        <f t="shared" si="4"/>
        <v>Tiramisu</v>
      </c>
      <c r="W1787" s="14">
        <f t="shared" si="5"/>
        <v>4</v>
      </c>
      <c r="X1787" s="14" t="str">
        <f t="shared" si="6"/>
        <v>Not Assigned</v>
      </c>
      <c r="Y1787" s="15">
        <f t="shared" si="7"/>
        <v>45123</v>
      </c>
      <c r="Z1787" s="14" t="str">
        <f t="shared" si="8"/>
        <v>Credit Card</v>
      </c>
      <c r="AA1787" s="14" t="str">
        <f t="shared" si="9"/>
        <v>Cancelled</v>
      </c>
      <c r="AB1787" s="14" t="str">
        <f t="shared" ref="AB1787:AC1787" si="3578">trim(Q1787)</f>
        <v>App Glitches</v>
      </c>
      <c r="AC1787" s="14" t="str">
        <f t="shared" si="3578"/>
        <v>Slow Loading Time</v>
      </c>
      <c r="AD1787" s="8"/>
    </row>
    <row r="1788">
      <c r="A1788" s="14" t="str">
        <f>IFERROR(__xludf.DUMMYFUNCTION("""COMPUTED_VALUE"""),"//ord_71766//Dev Chauhan//Bandra//Tiramisu+4*Not Assigned/6/12/2023//Credit Card//Cancelled*App Glitches: Payment Button Malfunction")</f>
        <v>//ord_71766//Dev Chauhan//Bandra//Tiramisu+4*Not Assigned/6/12/2023//Credit Card//Cancelled*App Glitches: Payment Button Malfunction</v>
      </c>
      <c r="B1788" s="14" t="str">
        <f>IFERROR(__xludf.DUMMYFUNCTION("split(A1788,""//"")"),"ord_71766")</f>
        <v>ord_71766</v>
      </c>
      <c r="C1788" s="14" t="str">
        <f>IFERROR(__xludf.DUMMYFUNCTION("""COMPUTED_VALUE"""),"Dev Chauhan")</f>
        <v>Dev Chauhan</v>
      </c>
      <c r="D1788" s="14" t="str">
        <f>IFERROR(__xludf.DUMMYFUNCTION("""COMPUTED_VALUE"""),"Bandra")</f>
        <v>Bandra</v>
      </c>
      <c r="E1788" s="14" t="str">
        <f>IFERROR(__xludf.DUMMYFUNCTION("""COMPUTED_VALUE"""),"Tiramisu+4*Not Assigned")</f>
        <v>Tiramisu+4*Not Assigned</v>
      </c>
      <c r="F1788" s="14">
        <f>IFERROR(__xludf.DUMMYFUNCTION("""COMPUTED_VALUE"""),6.0)</f>
        <v>6</v>
      </c>
      <c r="G1788" s="14">
        <f>IFERROR(__xludf.DUMMYFUNCTION("""COMPUTED_VALUE"""),12.0)</f>
        <v>12</v>
      </c>
      <c r="H1788" s="14">
        <f>IFERROR(__xludf.DUMMYFUNCTION("""COMPUTED_VALUE"""),2023.0)</f>
        <v>2023</v>
      </c>
      <c r="I1788" s="14" t="str">
        <f>IFERROR(__xludf.DUMMYFUNCTION("""COMPUTED_VALUE"""),"Credit Card")</f>
        <v>Credit Card</v>
      </c>
      <c r="J1788" s="14" t="str">
        <f>IFERROR(__xludf.DUMMYFUNCTION("""COMPUTED_VALUE"""),"Cancelled*App Glitches: Payment Button Malfunction")</f>
        <v>Cancelled*App Glitches: Payment Button Malfunction</v>
      </c>
      <c r="K1788" s="14" t="str">
        <f>IFERROR(__xludf.DUMMYFUNCTION("split(E1788,""+"")"),"Tiramisu")</f>
        <v>Tiramisu</v>
      </c>
      <c r="L1788" s="14" t="str">
        <f>IFERROR(__xludf.DUMMYFUNCTION("""COMPUTED_VALUE"""),"4*Not Assigned")</f>
        <v>4*Not Assigned</v>
      </c>
      <c r="M1788" s="14">
        <f>IFERROR(__xludf.DUMMYFUNCTION("SPLIT(L1788,""*"")"),4.0)</f>
        <v>4</v>
      </c>
      <c r="N1788" s="14" t="str">
        <f>IFERROR(__xludf.DUMMYFUNCTION("""COMPUTED_VALUE"""),"Not Assigned")</f>
        <v>Not Assigned</v>
      </c>
      <c r="O1788" s="14" t="str">
        <f>IFERROR(__xludf.DUMMYFUNCTION("split(J1788,""*"")"),"Cancelled")</f>
        <v>Cancelled</v>
      </c>
      <c r="P1788" s="14" t="str">
        <f>IFERROR(__xludf.DUMMYFUNCTION("""COMPUTED_VALUE"""),"App Glitches: Payment Button Malfunction")</f>
        <v>App Glitches: Payment Button Malfunction</v>
      </c>
      <c r="Q1788" s="14" t="str">
        <f>IFERROR(__xludf.DUMMYFUNCTION("split(P1788,"":"")"),"App Glitches")</f>
        <v>App Glitches</v>
      </c>
      <c r="R1788" s="14" t="str">
        <f>IFERROR(__xludf.DUMMYFUNCTION("""COMPUTED_VALUE""")," Payment Button Malfunction")</f>
        <v> Payment Button Malfunction</v>
      </c>
      <c r="S1788" s="14" t="str">
        <f t="shared" ref="S1788:U1788" si="3579">trim(B1788)</f>
        <v>ord_71766</v>
      </c>
      <c r="T1788" s="14" t="str">
        <f t="shared" si="3579"/>
        <v>Dev Chauhan</v>
      </c>
      <c r="U1788" s="14" t="str">
        <f t="shared" si="3579"/>
        <v>Bandra</v>
      </c>
      <c r="V1788" s="14" t="str">
        <f t="shared" si="4"/>
        <v>Tiramisu</v>
      </c>
      <c r="W1788" s="14">
        <f t="shared" si="5"/>
        <v>4</v>
      </c>
      <c r="X1788" s="14" t="str">
        <f t="shared" si="6"/>
        <v>Not Assigned</v>
      </c>
      <c r="Y1788" s="15">
        <f t="shared" si="7"/>
        <v>45089</v>
      </c>
      <c r="Z1788" s="14" t="str">
        <f t="shared" si="8"/>
        <v>Credit Card</v>
      </c>
      <c r="AA1788" s="14" t="str">
        <f t="shared" si="9"/>
        <v>Cancelled</v>
      </c>
      <c r="AB1788" s="14" t="str">
        <f t="shared" ref="AB1788:AC1788" si="3580">trim(Q1788)</f>
        <v>App Glitches</v>
      </c>
      <c r="AC1788" s="14" t="str">
        <f t="shared" si="3580"/>
        <v>Payment Button Malfunction</v>
      </c>
      <c r="AD1788" s="8"/>
    </row>
    <row r="1789">
      <c r="A1789" s="14" t="str">
        <f>IFERROR(__xludf.DUMMYFUNCTION("""COMPUTED_VALUE"""),"//ord_71767//Sakshi Tandon//Colaba//Icecream+3*Vivek Kumar/11/3/2023//Online Payment//Delivered*Overall Satisfaction: Great service will order again")</f>
        <v>//ord_71767//Sakshi Tandon//Colaba//Icecream+3*Vivek Kumar/11/3/2023//Online Payment//Delivered*Overall Satisfaction: Great service will order again</v>
      </c>
      <c r="B1789" s="14" t="str">
        <f>IFERROR(__xludf.DUMMYFUNCTION("split(A1789,""//"")"),"ord_71767")</f>
        <v>ord_71767</v>
      </c>
      <c r="C1789" s="14" t="str">
        <f>IFERROR(__xludf.DUMMYFUNCTION("""COMPUTED_VALUE"""),"Sakshi Tandon")</f>
        <v>Sakshi Tandon</v>
      </c>
      <c r="D1789" s="14" t="str">
        <f>IFERROR(__xludf.DUMMYFUNCTION("""COMPUTED_VALUE"""),"Colaba")</f>
        <v>Colaba</v>
      </c>
      <c r="E1789" s="14" t="str">
        <f>IFERROR(__xludf.DUMMYFUNCTION("""COMPUTED_VALUE"""),"Icecream+3*Vivek Kumar")</f>
        <v>Icecream+3*Vivek Kumar</v>
      </c>
      <c r="F1789" s="14">
        <f>IFERROR(__xludf.DUMMYFUNCTION("""COMPUTED_VALUE"""),11.0)</f>
        <v>11</v>
      </c>
      <c r="G1789" s="14">
        <f>IFERROR(__xludf.DUMMYFUNCTION("""COMPUTED_VALUE"""),3.0)</f>
        <v>3</v>
      </c>
      <c r="H1789" s="14">
        <f>IFERROR(__xludf.DUMMYFUNCTION("""COMPUTED_VALUE"""),2023.0)</f>
        <v>2023</v>
      </c>
      <c r="I1789" s="14" t="str">
        <f>IFERROR(__xludf.DUMMYFUNCTION("""COMPUTED_VALUE"""),"Online Payment")</f>
        <v>Online Payment</v>
      </c>
      <c r="J1789" s="14" t="str">
        <f>IFERROR(__xludf.DUMMYFUNCTION("""COMPUTED_VALUE"""),"Delivered*Overall Satisfaction: Great service will order again")</f>
        <v>Delivered*Overall Satisfaction: Great service will order again</v>
      </c>
      <c r="K1789" s="14" t="str">
        <f>IFERROR(__xludf.DUMMYFUNCTION("split(E1789,""+"")"),"Icecream")</f>
        <v>Icecream</v>
      </c>
      <c r="L1789" s="14" t="str">
        <f>IFERROR(__xludf.DUMMYFUNCTION("""COMPUTED_VALUE"""),"3*Vivek Kumar")</f>
        <v>3*Vivek Kumar</v>
      </c>
      <c r="M1789" s="14">
        <f>IFERROR(__xludf.DUMMYFUNCTION("SPLIT(L1789,""*"")"),3.0)</f>
        <v>3</v>
      </c>
      <c r="N1789" s="14" t="str">
        <f>IFERROR(__xludf.DUMMYFUNCTION("""COMPUTED_VALUE"""),"Vivek Kumar")</f>
        <v>Vivek Kumar</v>
      </c>
      <c r="O1789" s="14" t="str">
        <f>IFERROR(__xludf.DUMMYFUNCTION("split(J1789,""*"")"),"Delivered")</f>
        <v>Delivered</v>
      </c>
      <c r="P1789" s="14" t="str">
        <f>IFERROR(__xludf.DUMMYFUNCTION("""COMPUTED_VALUE"""),"Overall Satisfaction: Great service will order again")</f>
        <v>Overall Satisfaction: Great service will order again</v>
      </c>
      <c r="Q1789" s="14" t="str">
        <f>IFERROR(__xludf.DUMMYFUNCTION("split(P1789,"":"")"),"Overall Satisfaction")</f>
        <v>Overall Satisfaction</v>
      </c>
      <c r="R1789" s="14" t="str">
        <f>IFERROR(__xludf.DUMMYFUNCTION("""COMPUTED_VALUE""")," Great service will order again")</f>
        <v> Great service will order again</v>
      </c>
      <c r="S1789" s="14" t="str">
        <f t="shared" ref="S1789:U1789" si="3581">trim(B1789)</f>
        <v>ord_71767</v>
      </c>
      <c r="T1789" s="14" t="str">
        <f t="shared" si="3581"/>
        <v>Sakshi Tandon</v>
      </c>
      <c r="U1789" s="14" t="str">
        <f t="shared" si="3581"/>
        <v>Colaba</v>
      </c>
      <c r="V1789" s="14" t="str">
        <f t="shared" si="4"/>
        <v>Icecream</v>
      </c>
      <c r="W1789" s="14">
        <f t="shared" si="5"/>
        <v>3</v>
      </c>
      <c r="X1789" s="14" t="str">
        <f t="shared" si="6"/>
        <v>Vivek Kumar</v>
      </c>
      <c r="Y1789" s="15">
        <f t="shared" si="7"/>
        <v>45233</v>
      </c>
      <c r="Z1789" s="14" t="str">
        <f t="shared" si="8"/>
        <v>Online Payment</v>
      </c>
      <c r="AA1789" s="14" t="str">
        <f t="shared" si="9"/>
        <v>Delivered</v>
      </c>
      <c r="AB1789" s="14" t="str">
        <f t="shared" ref="AB1789:AC1789" si="3582">trim(Q1789)</f>
        <v>Overall Satisfaction</v>
      </c>
      <c r="AC1789" s="14" t="str">
        <f t="shared" si="3582"/>
        <v>Great service will order again</v>
      </c>
      <c r="AD1789" s="8"/>
    </row>
    <row r="1790">
      <c r="A1790" s="14" t="str">
        <f>IFERROR(__xludf.DUMMYFUNCTION("""COMPUTED_VALUE"""),"//ord_71768//Kritika Shetty//Malad//Papaya+2*Nithin Lal/4/3/2023//COD//Delivered*On-time Delivery: Delivered on time")</f>
        <v>//ord_71768//Kritika Shetty//Malad//Papaya+2*Nithin Lal/4/3/2023//COD//Delivered*On-time Delivery: Delivered on time</v>
      </c>
      <c r="B1790" s="14" t="str">
        <f>IFERROR(__xludf.DUMMYFUNCTION("split(A1790,""//"")"),"ord_71768")</f>
        <v>ord_71768</v>
      </c>
      <c r="C1790" s="14" t="str">
        <f>IFERROR(__xludf.DUMMYFUNCTION("""COMPUTED_VALUE"""),"Kritika Shetty")</f>
        <v>Kritika Shetty</v>
      </c>
      <c r="D1790" s="14" t="str">
        <f>IFERROR(__xludf.DUMMYFUNCTION("""COMPUTED_VALUE"""),"Malad")</f>
        <v>Malad</v>
      </c>
      <c r="E1790" s="14" t="str">
        <f>IFERROR(__xludf.DUMMYFUNCTION("""COMPUTED_VALUE"""),"Papaya+2*Nithin Lal")</f>
        <v>Papaya+2*Nithin Lal</v>
      </c>
      <c r="F1790" s="14">
        <f>IFERROR(__xludf.DUMMYFUNCTION("""COMPUTED_VALUE"""),4.0)</f>
        <v>4</v>
      </c>
      <c r="G1790" s="14">
        <f>IFERROR(__xludf.DUMMYFUNCTION("""COMPUTED_VALUE"""),3.0)</f>
        <v>3</v>
      </c>
      <c r="H1790" s="14">
        <f>IFERROR(__xludf.DUMMYFUNCTION("""COMPUTED_VALUE"""),2023.0)</f>
        <v>2023</v>
      </c>
      <c r="I1790" s="14" t="str">
        <f>IFERROR(__xludf.DUMMYFUNCTION("""COMPUTED_VALUE"""),"COD")</f>
        <v>COD</v>
      </c>
      <c r="J1790" s="14" t="str">
        <f>IFERROR(__xludf.DUMMYFUNCTION("""COMPUTED_VALUE"""),"Delivered*On-time Delivery: Delivered on time")</f>
        <v>Delivered*On-time Delivery: Delivered on time</v>
      </c>
      <c r="K1790" s="14" t="str">
        <f>IFERROR(__xludf.DUMMYFUNCTION("split(E1790,""+"")"),"Papaya")</f>
        <v>Papaya</v>
      </c>
      <c r="L1790" s="14" t="str">
        <f>IFERROR(__xludf.DUMMYFUNCTION("""COMPUTED_VALUE"""),"2*Nithin Lal")</f>
        <v>2*Nithin Lal</v>
      </c>
      <c r="M1790" s="14">
        <f>IFERROR(__xludf.DUMMYFUNCTION("SPLIT(L1790,""*"")"),2.0)</f>
        <v>2</v>
      </c>
      <c r="N1790" s="14" t="str">
        <f>IFERROR(__xludf.DUMMYFUNCTION("""COMPUTED_VALUE"""),"Nithin Lal")</f>
        <v>Nithin Lal</v>
      </c>
      <c r="O1790" s="14" t="str">
        <f>IFERROR(__xludf.DUMMYFUNCTION("split(J1790,""*"")"),"Delivered")</f>
        <v>Delivered</v>
      </c>
      <c r="P1790" s="14" t="str">
        <f>IFERROR(__xludf.DUMMYFUNCTION("""COMPUTED_VALUE"""),"On-time Delivery: Delivered on time")</f>
        <v>On-time Delivery: Delivered on time</v>
      </c>
      <c r="Q1790" s="14" t="str">
        <f>IFERROR(__xludf.DUMMYFUNCTION("split(P1790,"":"")"),"On-time Delivery")</f>
        <v>On-time Delivery</v>
      </c>
      <c r="R1790" s="14" t="str">
        <f>IFERROR(__xludf.DUMMYFUNCTION("""COMPUTED_VALUE""")," Delivered on time")</f>
        <v> Delivered on time</v>
      </c>
      <c r="S1790" s="14" t="str">
        <f t="shared" ref="S1790:U1790" si="3583">trim(B1790)</f>
        <v>ord_71768</v>
      </c>
      <c r="T1790" s="14" t="str">
        <f t="shared" si="3583"/>
        <v>Kritika Shetty</v>
      </c>
      <c r="U1790" s="14" t="str">
        <f t="shared" si="3583"/>
        <v>Malad</v>
      </c>
      <c r="V1790" s="14" t="str">
        <f t="shared" si="4"/>
        <v>Papaya</v>
      </c>
      <c r="W1790" s="14">
        <f t="shared" si="5"/>
        <v>2</v>
      </c>
      <c r="X1790" s="14" t="str">
        <f t="shared" si="6"/>
        <v>Nithin Lal</v>
      </c>
      <c r="Y1790" s="15">
        <f t="shared" si="7"/>
        <v>45019</v>
      </c>
      <c r="Z1790" s="14" t="str">
        <f t="shared" si="8"/>
        <v>COD</v>
      </c>
      <c r="AA1790" s="14" t="str">
        <f t="shared" si="9"/>
        <v>Delivered</v>
      </c>
      <c r="AB1790" s="14" t="str">
        <f t="shared" ref="AB1790:AC1790" si="3584">trim(Q1790)</f>
        <v>On-time Delivery</v>
      </c>
      <c r="AC1790" s="14" t="str">
        <f t="shared" si="3584"/>
        <v>Delivered on time</v>
      </c>
      <c r="AD1790" s="8"/>
    </row>
    <row r="1791">
      <c r="A1791" s="14" t="str">
        <f>IFERROR(__xludf.DUMMYFUNCTION("""COMPUTED_VALUE"""),"//ord_71769//Tanishq Bansal//Powai//Sweet Corn+1*Shine Thomas/6/25/2023//COD//Delivered*Quality of Items: Perfect condition")</f>
        <v>//ord_71769//Tanishq Bansal//Powai//Sweet Corn+1*Shine Thomas/6/25/2023//COD//Delivered*Quality of Items: Perfect condition</v>
      </c>
      <c r="B1791" s="14" t="str">
        <f>IFERROR(__xludf.DUMMYFUNCTION("split(A1791,""//"")"),"ord_71769")</f>
        <v>ord_71769</v>
      </c>
      <c r="C1791" s="14" t="str">
        <f>IFERROR(__xludf.DUMMYFUNCTION("""COMPUTED_VALUE"""),"Tanishq Bansal")</f>
        <v>Tanishq Bansal</v>
      </c>
      <c r="D1791" s="14" t="str">
        <f>IFERROR(__xludf.DUMMYFUNCTION("""COMPUTED_VALUE"""),"Powai")</f>
        <v>Powai</v>
      </c>
      <c r="E1791" s="14" t="str">
        <f>IFERROR(__xludf.DUMMYFUNCTION("""COMPUTED_VALUE"""),"Sweet Corn+1*Shine Thomas")</f>
        <v>Sweet Corn+1*Shine Thomas</v>
      </c>
      <c r="F1791" s="14">
        <f>IFERROR(__xludf.DUMMYFUNCTION("""COMPUTED_VALUE"""),6.0)</f>
        <v>6</v>
      </c>
      <c r="G1791" s="14">
        <f>IFERROR(__xludf.DUMMYFUNCTION("""COMPUTED_VALUE"""),25.0)</f>
        <v>25</v>
      </c>
      <c r="H1791" s="14">
        <f>IFERROR(__xludf.DUMMYFUNCTION("""COMPUTED_VALUE"""),2023.0)</f>
        <v>2023</v>
      </c>
      <c r="I1791" s="14" t="str">
        <f>IFERROR(__xludf.DUMMYFUNCTION("""COMPUTED_VALUE"""),"COD")</f>
        <v>COD</v>
      </c>
      <c r="J1791" s="14" t="str">
        <f>IFERROR(__xludf.DUMMYFUNCTION("""COMPUTED_VALUE"""),"Delivered*Quality of Items: Perfect condition")</f>
        <v>Delivered*Quality of Items: Perfect condition</v>
      </c>
      <c r="K1791" s="14" t="str">
        <f>IFERROR(__xludf.DUMMYFUNCTION("split(E1791,""+"")"),"Sweet Corn")</f>
        <v>Sweet Corn</v>
      </c>
      <c r="L1791" s="14" t="str">
        <f>IFERROR(__xludf.DUMMYFUNCTION("""COMPUTED_VALUE"""),"1*Shine Thomas")</f>
        <v>1*Shine Thomas</v>
      </c>
      <c r="M1791" s="14">
        <f>IFERROR(__xludf.DUMMYFUNCTION("SPLIT(L1791,""*"")"),1.0)</f>
        <v>1</v>
      </c>
      <c r="N1791" s="14" t="str">
        <f>IFERROR(__xludf.DUMMYFUNCTION("""COMPUTED_VALUE"""),"Shine Thomas")</f>
        <v>Shine Thomas</v>
      </c>
      <c r="O1791" s="14" t="str">
        <f>IFERROR(__xludf.DUMMYFUNCTION("split(J1791,""*"")"),"Delivered")</f>
        <v>Delivered</v>
      </c>
      <c r="P1791" s="14" t="str">
        <f>IFERROR(__xludf.DUMMYFUNCTION("""COMPUTED_VALUE"""),"Quality of Items: Perfect condition")</f>
        <v>Quality of Items: Perfect condition</v>
      </c>
      <c r="Q1791" s="14" t="str">
        <f>IFERROR(__xludf.DUMMYFUNCTION("split(P1791,"":"")"),"Quality of Items")</f>
        <v>Quality of Items</v>
      </c>
      <c r="R1791" s="14" t="str">
        <f>IFERROR(__xludf.DUMMYFUNCTION("""COMPUTED_VALUE""")," Perfect condition")</f>
        <v> Perfect condition</v>
      </c>
      <c r="S1791" s="14" t="str">
        <f t="shared" ref="S1791:U1791" si="3585">trim(B1791)</f>
        <v>ord_71769</v>
      </c>
      <c r="T1791" s="14" t="str">
        <f t="shared" si="3585"/>
        <v>Tanishq Bansal</v>
      </c>
      <c r="U1791" s="14" t="str">
        <f t="shared" si="3585"/>
        <v>Powai</v>
      </c>
      <c r="V1791" s="14" t="str">
        <f t="shared" si="4"/>
        <v>Sweet Corn</v>
      </c>
      <c r="W1791" s="14">
        <f t="shared" si="5"/>
        <v>1</v>
      </c>
      <c r="X1791" s="14" t="str">
        <f t="shared" si="6"/>
        <v>Shine Thomas</v>
      </c>
      <c r="Y1791" s="15">
        <f t="shared" si="7"/>
        <v>45102</v>
      </c>
      <c r="Z1791" s="14" t="str">
        <f t="shared" si="8"/>
        <v>COD</v>
      </c>
      <c r="AA1791" s="14" t="str">
        <f t="shared" si="9"/>
        <v>Delivered</v>
      </c>
      <c r="AB1791" s="14" t="str">
        <f t="shared" ref="AB1791:AC1791" si="3586">trim(Q1791)</f>
        <v>Quality of Items</v>
      </c>
      <c r="AC1791" s="14" t="str">
        <f t="shared" si="3586"/>
        <v>Perfect condition</v>
      </c>
      <c r="AD1791" s="8"/>
    </row>
    <row r="1792">
      <c r="A1792" s="14" t="str">
        <f>IFERROR(__xludf.DUMMYFUNCTION("""COMPUTED_VALUE"""),"//ord_71770//Dev Chauhan//Bandra//Papaya+1*Not Assigned/6/14/2023//Credit Card//Cancelled*App Glitches:Slow Loading Time")</f>
        <v>//ord_71770//Dev Chauhan//Bandra//Papaya+1*Not Assigned/6/14/2023//Credit Card//Cancelled*App Glitches:Slow Loading Time</v>
      </c>
      <c r="B1792" s="14" t="str">
        <f>IFERROR(__xludf.DUMMYFUNCTION("split(A1792,""//"")"),"ord_71770")</f>
        <v>ord_71770</v>
      </c>
      <c r="C1792" s="14" t="str">
        <f>IFERROR(__xludf.DUMMYFUNCTION("""COMPUTED_VALUE"""),"Dev Chauhan")</f>
        <v>Dev Chauhan</v>
      </c>
      <c r="D1792" s="14" t="str">
        <f>IFERROR(__xludf.DUMMYFUNCTION("""COMPUTED_VALUE"""),"Bandra")</f>
        <v>Bandra</v>
      </c>
      <c r="E1792" s="14" t="str">
        <f>IFERROR(__xludf.DUMMYFUNCTION("""COMPUTED_VALUE"""),"Papaya+1*Not Assigned")</f>
        <v>Papaya+1*Not Assigned</v>
      </c>
      <c r="F1792" s="14">
        <f>IFERROR(__xludf.DUMMYFUNCTION("""COMPUTED_VALUE"""),6.0)</f>
        <v>6</v>
      </c>
      <c r="G1792" s="14">
        <f>IFERROR(__xludf.DUMMYFUNCTION("""COMPUTED_VALUE"""),14.0)</f>
        <v>14</v>
      </c>
      <c r="H1792" s="14">
        <f>IFERROR(__xludf.DUMMYFUNCTION("""COMPUTED_VALUE"""),2023.0)</f>
        <v>2023</v>
      </c>
      <c r="I1792" s="14" t="str">
        <f>IFERROR(__xludf.DUMMYFUNCTION("""COMPUTED_VALUE"""),"Credit Card")</f>
        <v>Credit Card</v>
      </c>
      <c r="J1792" s="14" t="str">
        <f>IFERROR(__xludf.DUMMYFUNCTION("""COMPUTED_VALUE"""),"Cancelled*App Glitches:Slow Loading Time")</f>
        <v>Cancelled*App Glitches:Slow Loading Time</v>
      </c>
      <c r="K1792" s="14" t="str">
        <f>IFERROR(__xludf.DUMMYFUNCTION("split(E1792,""+"")"),"Papaya")</f>
        <v>Papaya</v>
      </c>
      <c r="L1792" s="14" t="str">
        <f>IFERROR(__xludf.DUMMYFUNCTION("""COMPUTED_VALUE"""),"1*Not Assigned")</f>
        <v>1*Not Assigned</v>
      </c>
      <c r="M1792" s="14">
        <f>IFERROR(__xludf.DUMMYFUNCTION("SPLIT(L1792,""*"")"),1.0)</f>
        <v>1</v>
      </c>
      <c r="N1792" s="14" t="str">
        <f>IFERROR(__xludf.DUMMYFUNCTION("""COMPUTED_VALUE"""),"Not Assigned")</f>
        <v>Not Assigned</v>
      </c>
      <c r="O1792" s="14" t="str">
        <f>IFERROR(__xludf.DUMMYFUNCTION("split(J1792,""*"")"),"Cancelled")</f>
        <v>Cancelled</v>
      </c>
      <c r="P1792" s="14" t="str">
        <f>IFERROR(__xludf.DUMMYFUNCTION("""COMPUTED_VALUE"""),"App Glitches:Slow Loading Time")</f>
        <v>App Glitches:Slow Loading Time</v>
      </c>
      <c r="Q1792" s="14" t="str">
        <f>IFERROR(__xludf.DUMMYFUNCTION("split(P1792,"":"")"),"App Glitches")</f>
        <v>App Glitches</v>
      </c>
      <c r="R1792" s="14" t="str">
        <f>IFERROR(__xludf.DUMMYFUNCTION("""COMPUTED_VALUE"""),"Slow Loading Time")</f>
        <v>Slow Loading Time</v>
      </c>
      <c r="S1792" s="14" t="str">
        <f t="shared" ref="S1792:U1792" si="3587">trim(B1792)</f>
        <v>ord_71770</v>
      </c>
      <c r="T1792" s="14" t="str">
        <f t="shared" si="3587"/>
        <v>Dev Chauhan</v>
      </c>
      <c r="U1792" s="14" t="str">
        <f t="shared" si="3587"/>
        <v>Bandra</v>
      </c>
      <c r="V1792" s="14" t="str">
        <f t="shared" si="4"/>
        <v>Papaya</v>
      </c>
      <c r="W1792" s="14">
        <f t="shared" si="5"/>
        <v>1</v>
      </c>
      <c r="X1792" s="14" t="str">
        <f t="shared" si="6"/>
        <v>Not Assigned</v>
      </c>
      <c r="Y1792" s="15">
        <f t="shared" si="7"/>
        <v>45091</v>
      </c>
      <c r="Z1792" s="14" t="str">
        <f t="shared" si="8"/>
        <v>Credit Card</v>
      </c>
      <c r="AA1792" s="14" t="str">
        <f t="shared" si="9"/>
        <v>Cancelled</v>
      </c>
      <c r="AB1792" s="14" t="str">
        <f t="shared" ref="AB1792:AC1792" si="3588">trim(Q1792)</f>
        <v>App Glitches</v>
      </c>
      <c r="AC1792" s="14" t="str">
        <f t="shared" si="3588"/>
        <v>Slow Loading Time</v>
      </c>
      <c r="AD1792" s="8"/>
    </row>
    <row r="1793">
      <c r="A1793" s="14" t="str">
        <f>IFERROR(__xludf.DUMMYFUNCTION("""COMPUTED_VALUE"""),"//ord_71771//Sana Malik//Powai//Papaya+3*Vivek Kumar/7/13/2023//COD//Delivered*On-time Delivery: Delivered on time")</f>
        <v>//ord_71771//Sana Malik//Powai//Papaya+3*Vivek Kumar/7/13/2023//COD//Delivered*On-time Delivery: Delivered on time</v>
      </c>
      <c r="B1793" s="14" t="str">
        <f>IFERROR(__xludf.DUMMYFUNCTION("split(A1793,""//"")"),"ord_71771")</f>
        <v>ord_71771</v>
      </c>
      <c r="C1793" s="14" t="str">
        <f>IFERROR(__xludf.DUMMYFUNCTION("""COMPUTED_VALUE"""),"Sana Malik")</f>
        <v>Sana Malik</v>
      </c>
      <c r="D1793" s="14" t="str">
        <f>IFERROR(__xludf.DUMMYFUNCTION("""COMPUTED_VALUE"""),"Powai")</f>
        <v>Powai</v>
      </c>
      <c r="E1793" s="14" t="str">
        <f>IFERROR(__xludf.DUMMYFUNCTION("""COMPUTED_VALUE"""),"Papaya+3*Vivek Kumar")</f>
        <v>Papaya+3*Vivek Kumar</v>
      </c>
      <c r="F1793" s="14">
        <f>IFERROR(__xludf.DUMMYFUNCTION("""COMPUTED_VALUE"""),7.0)</f>
        <v>7</v>
      </c>
      <c r="G1793" s="14">
        <f>IFERROR(__xludf.DUMMYFUNCTION("""COMPUTED_VALUE"""),13.0)</f>
        <v>13</v>
      </c>
      <c r="H1793" s="14">
        <f>IFERROR(__xludf.DUMMYFUNCTION("""COMPUTED_VALUE"""),2023.0)</f>
        <v>2023</v>
      </c>
      <c r="I1793" s="14" t="str">
        <f>IFERROR(__xludf.DUMMYFUNCTION("""COMPUTED_VALUE"""),"COD")</f>
        <v>COD</v>
      </c>
      <c r="J1793" s="14" t="str">
        <f>IFERROR(__xludf.DUMMYFUNCTION("""COMPUTED_VALUE"""),"Delivered*On-time Delivery: Delivered on time")</f>
        <v>Delivered*On-time Delivery: Delivered on time</v>
      </c>
      <c r="K1793" s="14" t="str">
        <f>IFERROR(__xludf.DUMMYFUNCTION("split(E1793,""+"")"),"Papaya")</f>
        <v>Papaya</v>
      </c>
      <c r="L1793" s="14" t="str">
        <f>IFERROR(__xludf.DUMMYFUNCTION("""COMPUTED_VALUE"""),"3*Vivek Kumar")</f>
        <v>3*Vivek Kumar</v>
      </c>
      <c r="M1793" s="14">
        <f>IFERROR(__xludf.DUMMYFUNCTION("SPLIT(L1793,""*"")"),3.0)</f>
        <v>3</v>
      </c>
      <c r="N1793" s="14" t="str">
        <f>IFERROR(__xludf.DUMMYFUNCTION("""COMPUTED_VALUE"""),"Vivek Kumar")</f>
        <v>Vivek Kumar</v>
      </c>
      <c r="O1793" s="14" t="str">
        <f>IFERROR(__xludf.DUMMYFUNCTION("split(J1793,""*"")"),"Delivered")</f>
        <v>Delivered</v>
      </c>
      <c r="P1793" s="14" t="str">
        <f>IFERROR(__xludf.DUMMYFUNCTION("""COMPUTED_VALUE"""),"On-time Delivery: Delivered on time")</f>
        <v>On-time Delivery: Delivered on time</v>
      </c>
      <c r="Q1793" s="14" t="str">
        <f>IFERROR(__xludf.DUMMYFUNCTION("split(P1793,"":"")"),"On-time Delivery")</f>
        <v>On-time Delivery</v>
      </c>
      <c r="R1793" s="14" t="str">
        <f>IFERROR(__xludf.DUMMYFUNCTION("""COMPUTED_VALUE""")," Delivered on time")</f>
        <v> Delivered on time</v>
      </c>
      <c r="S1793" s="14" t="str">
        <f t="shared" ref="S1793:U1793" si="3589">trim(B1793)</f>
        <v>ord_71771</v>
      </c>
      <c r="T1793" s="14" t="str">
        <f t="shared" si="3589"/>
        <v>Sana Malik</v>
      </c>
      <c r="U1793" s="14" t="str">
        <f t="shared" si="3589"/>
        <v>Powai</v>
      </c>
      <c r="V1793" s="14" t="str">
        <f t="shared" si="4"/>
        <v>Papaya</v>
      </c>
      <c r="W1793" s="14">
        <f t="shared" si="5"/>
        <v>3</v>
      </c>
      <c r="X1793" s="14" t="str">
        <f t="shared" si="6"/>
        <v>Vivek Kumar</v>
      </c>
      <c r="Y1793" s="15">
        <f t="shared" si="7"/>
        <v>45120</v>
      </c>
      <c r="Z1793" s="14" t="str">
        <f t="shared" si="8"/>
        <v>COD</v>
      </c>
      <c r="AA1793" s="14" t="str">
        <f t="shared" si="9"/>
        <v>Delivered</v>
      </c>
      <c r="AB1793" s="14" t="str">
        <f t="shared" ref="AB1793:AC1793" si="3590">trim(Q1793)</f>
        <v>On-time Delivery</v>
      </c>
      <c r="AC1793" s="14" t="str">
        <f t="shared" si="3590"/>
        <v>Delivered on time</v>
      </c>
      <c r="AD1793" s="8"/>
    </row>
    <row r="1794">
      <c r="A1794" s="14" t="str">
        <f>IFERROR(__xludf.DUMMYFUNCTION("""COMPUTED_VALUE"""),"//ord_71772//Yash Verma//Lower Parel//Tomato+3*Venu R/1/7/2023//Credit Card//Delivered*Quality of Items: Perfect condition")</f>
        <v>//ord_71772//Yash Verma//Lower Parel//Tomato+3*Venu R/1/7/2023//Credit Card//Delivered*Quality of Items: Perfect condition</v>
      </c>
      <c r="B1794" s="14" t="str">
        <f>IFERROR(__xludf.DUMMYFUNCTION("split(A1794,""//"")"),"ord_71772")</f>
        <v>ord_71772</v>
      </c>
      <c r="C1794" s="14" t="str">
        <f>IFERROR(__xludf.DUMMYFUNCTION("""COMPUTED_VALUE"""),"Yash Verma")</f>
        <v>Yash Verma</v>
      </c>
      <c r="D1794" s="14" t="str">
        <f>IFERROR(__xludf.DUMMYFUNCTION("""COMPUTED_VALUE"""),"Lower Parel")</f>
        <v>Lower Parel</v>
      </c>
      <c r="E1794" s="14" t="str">
        <f>IFERROR(__xludf.DUMMYFUNCTION("""COMPUTED_VALUE"""),"Tomato+3*Venu R")</f>
        <v>Tomato+3*Venu R</v>
      </c>
      <c r="F1794" s="14">
        <f>IFERROR(__xludf.DUMMYFUNCTION("""COMPUTED_VALUE"""),1.0)</f>
        <v>1</v>
      </c>
      <c r="G1794" s="14">
        <f>IFERROR(__xludf.DUMMYFUNCTION("""COMPUTED_VALUE"""),7.0)</f>
        <v>7</v>
      </c>
      <c r="H1794" s="14">
        <f>IFERROR(__xludf.DUMMYFUNCTION("""COMPUTED_VALUE"""),2023.0)</f>
        <v>2023</v>
      </c>
      <c r="I1794" s="14" t="str">
        <f>IFERROR(__xludf.DUMMYFUNCTION("""COMPUTED_VALUE"""),"Credit Card")</f>
        <v>Credit Card</v>
      </c>
      <c r="J1794" s="14" t="str">
        <f>IFERROR(__xludf.DUMMYFUNCTION("""COMPUTED_VALUE"""),"Delivered*Quality of Items: Perfect condition")</f>
        <v>Delivered*Quality of Items: Perfect condition</v>
      </c>
      <c r="K1794" s="14" t="str">
        <f>IFERROR(__xludf.DUMMYFUNCTION("split(E1794,""+"")"),"Tomato")</f>
        <v>Tomato</v>
      </c>
      <c r="L1794" s="14" t="str">
        <f>IFERROR(__xludf.DUMMYFUNCTION("""COMPUTED_VALUE"""),"3*Venu R")</f>
        <v>3*Venu R</v>
      </c>
      <c r="M1794" s="14">
        <f>IFERROR(__xludf.DUMMYFUNCTION("SPLIT(L1794,""*"")"),3.0)</f>
        <v>3</v>
      </c>
      <c r="N1794" s="14" t="str">
        <f>IFERROR(__xludf.DUMMYFUNCTION("""COMPUTED_VALUE"""),"Venu R")</f>
        <v>Venu R</v>
      </c>
      <c r="O1794" s="14" t="str">
        <f>IFERROR(__xludf.DUMMYFUNCTION("split(J1794,""*"")"),"Delivered")</f>
        <v>Delivered</v>
      </c>
      <c r="P1794" s="14" t="str">
        <f>IFERROR(__xludf.DUMMYFUNCTION("""COMPUTED_VALUE"""),"Quality of Items: Perfect condition")</f>
        <v>Quality of Items: Perfect condition</v>
      </c>
      <c r="Q1794" s="14" t="str">
        <f>IFERROR(__xludf.DUMMYFUNCTION("split(P1794,"":"")"),"Quality of Items")</f>
        <v>Quality of Items</v>
      </c>
      <c r="R1794" s="14" t="str">
        <f>IFERROR(__xludf.DUMMYFUNCTION("""COMPUTED_VALUE""")," Perfect condition")</f>
        <v> Perfect condition</v>
      </c>
      <c r="S1794" s="14" t="str">
        <f t="shared" ref="S1794:U1794" si="3591">trim(B1794)</f>
        <v>ord_71772</v>
      </c>
      <c r="T1794" s="14" t="str">
        <f t="shared" si="3591"/>
        <v>Yash Verma</v>
      </c>
      <c r="U1794" s="14" t="str">
        <f t="shared" si="3591"/>
        <v>Lower Parel</v>
      </c>
      <c r="V1794" s="14" t="str">
        <f t="shared" si="4"/>
        <v>Tomato</v>
      </c>
      <c r="W1794" s="14">
        <f t="shared" si="5"/>
        <v>3</v>
      </c>
      <c r="X1794" s="14" t="str">
        <f t="shared" si="6"/>
        <v>Venu R</v>
      </c>
      <c r="Y1794" s="15">
        <f t="shared" si="7"/>
        <v>44933</v>
      </c>
      <c r="Z1794" s="14" t="str">
        <f t="shared" si="8"/>
        <v>Credit Card</v>
      </c>
      <c r="AA1794" s="14" t="str">
        <f t="shared" si="9"/>
        <v>Delivered</v>
      </c>
      <c r="AB1794" s="14" t="str">
        <f t="shared" ref="AB1794:AC1794" si="3592">trim(Q1794)</f>
        <v>Quality of Items</v>
      </c>
      <c r="AC1794" s="14" t="str">
        <f t="shared" si="3592"/>
        <v>Perfect condition</v>
      </c>
      <c r="AD1794" s="8"/>
    </row>
    <row r="1795">
      <c r="A1795" s="14" t="str">
        <f>IFERROR(__xludf.DUMMYFUNCTION("""COMPUTED_VALUE"""),"//ord_71773//Sanjay Nair//Dadar//Rasmalai+2*Ram Gopal/7/8/2023//COD//Delivered*Packaging: Secure and intact")</f>
        <v>//ord_71773//Sanjay Nair//Dadar//Rasmalai+2*Ram Gopal/7/8/2023//COD//Delivered*Packaging: Secure and intact</v>
      </c>
      <c r="B1795" s="14" t="str">
        <f>IFERROR(__xludf.DUMMYFUNCTION("split(A1795,""//"")"),"ord_71773")</f>
        <v>ord_71773</v>
      </c>
      <c r="C1795" s="14" t="str">
        <f>IFERROR(__xludf.DUMMYFUNCTION("""COMPUTED_VALUE"""),"Sanjay Nair")</f>
        <v>Sanjay Nair</v>
      </c>
      <c r="D1795" s="14" t="str">
        <f>IFERROR(__xludf.DUMMYFUNCTION("""COMPUTED_VALUE"""),"Dadar")</f>
        <v>Dadar</v>
      </c>
      <c r="E1795" s="14" t="str">
        <f>IFERROR(__xludf.DUMMYFUNCTION("""COMPUTED_VALUE"""),"Rasmalai+2*Ram Gopal")</f>
        <v>Rasmalai+2*Ram Gopal</v>
      </c>
      <c r="F1795" s="14">
        <f>IFERROR(__xludf.DUMMYFUNCTION("""COMPUTED_VALUE"""),7.0)</f>
        <v>7</v>
      </c>
      <c r="G1795" s="14">
        <f>IFERROR(__xludf.DUMMYFUNCTION("""COMPUTED_VALUE"""),8.0)</f>
        <v>8</v>
      </c>
      <c r="H1795" s="14">
        <f>IFERROR(__xludf.DUMMYFUNCTION("""COMPUTED_VALUE"""),2023.0)</f>
        <v>2023</v>
      </c>
      <c r="I1795" s="14" t="str">
        <f>IFERROR(__xludf.DUMMYFUNCTION("""COMPUTED_VALUE"""),"COD")</f>
        <v>COD</v>
      </c>
      <c r="J1795" s="14" t="str">
        <f>IFERROR(__xludf.DUMMYFUNCTION("""COMPUTED_VALUE"""),"Delivered*Packaging: Secure and intact")</f>
        <v>Delivered*Packaging: Secure and intact</v>
      </c>
      <c r="K1795" s="14" t="str">
        <f>IFERROR(__xludf.DUMMYFUNCTION("split(E1795,""+"")"),"Rasmalai")</f>
        <v>Rasmalai</v>
      </c>
      <c r="L1795" s="14" t="str">
        <f>IFERROR(__xludf.DUMMYFUNCTION("""COMPUTED_VALUE"""),"2*Ram Gopal")</f>
        <v>2*Ram Gopal</v>
      </c>
      <c r="M1795" s="14">
        <f>IFERROR(__xludf.DUMMYFUNCTION("SPLIT(L1795,""*"")"),2.0)</f>
        <v>2</v>
      </c>
      <c r="N1795" s="14" t="str">
        <f>IFERROR(__xludf.DUMMYFUNCTION("""COMPUTED_VALUE"""),"Ram Gopal")</f>
        <v>Ram Gopal</v>
      </c>
      <c r="O1795" s="14" t="str">
        <f>IFERROR(__xludf.DUMMYFUNCTION("split(J1795,""*"")"),"Delivered")</f>
        <v>Delivered</v>
      </c>
      <c r="P1795" s="14" t="str">
        <f>IFERROR(__xludf.DUMMYFUNCTION("""COMPUTED_VALUE"""),"Packaging: Secure and intact")</f>
        <v>Packaging: Secure and intact</v>
      </c>
      <c r="Q1795" s="14" t="str">
        <f>IFERROR(__xludf.DUMMYFUNCTION("split(P1795,"":"")"),"Packaging")</f>
        <v>Packaging</v>
      </c>
      <c r="R1795" s="14" t="str">
        <f>IFERROR(__xludf.DUMMYFUNCTION("""COMPUTED_VALUE""")," Secure and intact")</f>
        <v> Secure and intact</v>
      </c>
      <c r="S1795" s="14" t="str">
        <f t="shared" ref="S1795:U1795" si="3593">trim(B1795)</f>
        <v>ord_71773</v>
      </c>
      <c r="T1795" s="14" t="str">
        <f t="shared" si="3593"/>
        <v>Sanjay Nair</v>
      </c>
      <c r="U1795" s="14" t="str">
        <f t="shared" si="3593"/>
        <v>Dadar</v>
      </c>
      <c r="V1795" s="14" t="str">
        <f t="shared" si="4"/>
        <v>Rasmalai</v>
      </c>
      <c r="W1795" s="14">
        <f t="shared" si="5"/>
        <v>2</v>
      </c>
      <c r="X1795" s="14" t="str">
        <f t="shared" si="6"/>
        <v>Ram Gopal</v>
      </c>
      <c r="Y1795" s="15">
        <f t="shared" si="7"/>
        <v>45115</v>
      </c>
      <c r="Z1795" s="14" t="str">
        <f t="shared" si="8"/>
        <v>COD</v>
      </c>
      <c r="AA1795" s="14" t="str">
        <f t="shared" si="9"/>
        <v>Delivered</v>
      </c>
      <c r="AB1795" s="14" t="str">
        <f t="shared" ref="AB1795:AC1795" si="3594">trim(Q1795)</f>
        <v>Packaging</v>
      </c>
      <c r="AC1795" s="14" t="str">
        <f t="shared" si="3594"/>
        <v>Secure and intact</v>
      </c>
      <c r="AD1795" s="8"/>
    </row>
    <row r="1796">
      <c r="A1796" s="14" t="str">
        <f>IFERROR(__xludf.DUMMYFUNCTION("""COMPUTED_VALUE"""),"//ord_71774//Mehul Thakkar//Malad//Cucumber+2*Sandeep Kumar/11/11/2023//UPI//Cancelled*Delayed Delivery:Heavy Traffic")</f>
        <v>//ord_71774//Mehul Thakkar//Malad//Cucumber+2*Sandeep Kumar/11/11/2023//UPI//Cancelled*Delayed Delivery:Heavy Traffic</v>
      </c>
      <c r="B1796" s="14" t="str">
        <f>IFERROR(__xludf.DUMMYFUNCTION("split(A1796,""//"")"),"ord_71774")</f>
        <v>ord_71774</v>
      </c>
      <c r="C1796" s="14" t="str">
        <f>IFERROR(__xludf.DUMMYFUNCTION("""COMPUTED_VALUE"""),"Mehul Thakkar")</f>
        <v>Mehul Thakkar</v>
      </c>
      <c r="D1796" s="14" t="str">
        <f>IFERROR(__xludf.DUMMYFUNCTION("""COMPUTED_VALUE"""),"Malad")</f>
        <v>Malad</v>
      </c>
      <c r="E1796" s="14" t="str">
        <f>IFERROR(__xludf.DUMMYFUNCTION("""COMPUTED_VALUE"""),"Cucumber+2*Sandeep Kumar")</f>
        <v>Cucumber+2*Sandeep Kumar</v>
      </c>
      <c r="F1796" s="14">
        <f>IFERROR(__xludf.DUMMYFUNCTION("""COMPUTED_VALUE"""),11.0)</f>
        <v>11</v>
      </c>
      <c r="G1796" s="14">
        <f>IFERROR(__xludf.DUMMYFUNCTION("""COMPUTED_VALUE"""),11.0)</f>
        <v>11</v>
      </c>
      <c r="H1796" s="14">
        <f>IFERROR(__xludf.DUMMYFUNCTION("""COMPUTED_VALUE"""),2023.0)</f>
        <v>2023</v>
      </c>
      <c r="I1796" s="14" t="str">
        <f>IFERROR(__xludf.DUMMYFUNCTION("""COMPUTED_VALUE"""),"UPI")</f>
        <v>UPI</v>
      </c>
      <c r="J1796" s="14" t="str">
        <f>IFERROR(__xludf.DUMMYFUNCTION("""COMPUTED_VALUE"""),"Cancelled*Delayed Delivery:Heavy Traffic")</f>
        <v>Cancelled*Delayed Delivery:Heavy Traffic</v>
      </c>
      <c r="K1796" s="14" t="str">
        <f>IFERROR(__xludf.DUMMYFUNCTION("split(E1796,""+"")"),"Cucumber")</f>
        <v>Cucumber</v>
      </c>
      <c r="L1796" s="14" t="str">
        <f>IFERROR(__xludf.DUMMYFUNCTION("""COMPUTED_VALUE"""),"2*Sandeep Kumar")</f>
        <v>2*Sandeep Kumar</v>
      </c>
      <c r="M1796" s="14">
        <f>IFERROR(__xludf.DUMMYFUNCTION("SPLIT(L1796,""*"")"),2.0)</f>
        <v>2</v>
      </c>
      <c r="N1796" s="14" t="str">
        <f>IFERROR(__xludf.DUMMYFUNCTION("""COMPUTED_VALUE"""),"Sandeep Kumar")</f>
        <v>Sandeep Kumar</v>
      </c>
      <c r="O1796" s="14" t="str">
        <f>IFERROR(__xludf.DUMMYFUNCTION("split(J1796,""*"")"),"Cancelled")</f>
        <v>Cancelled</v>
      </c>
      <c r="P1796" s="14" t="str">
        <f>IFERROR(__xludf.DUMMYFUNCTION("""COMPUTED_VALUE"""),"Delayed Delivery:Heavy Traffic")</f>
        <v>Delayed Delivery:Heavy Traffic</v>
      </c>
      <c r="Q1796" s="14" t="str">
        <f>IFERROR(__xludf.DUMMYFUNCTION("split(P1796,"":"")"),"Delayed Delivery")</f>
        <v>Delayed Delivery</v>
      </c>
      <c r="R1796" s="14" t="str">
        <f>IFERROR(__xludf.DUMMYFUNCTION("""COMPUTED_VALUE"""),"Heavy Traffic")</f>
        <v>Heavy Traffic</v>
      </c>
      <c r="S1796" s="14" t="str">
        <f t="shared" ref="S1796:U1796" si="3595">trim(B1796)</f>
        <v>ord_71774</v>
      </c>
      <c r="T1796" s="14" t="str">
        <f t="shared" si="3595"/>
        <v>Mehul Thakkar</v>
      </c>
      <c r="U1796" s="14" t="str">
        <f t="shared" si="3595"/>
        <v>Malad</v>
      </c>
      <c r="V1796" s="14" t="str">
        <f t="shared" si="4"/>
        <v>Cucumber</v>
      </c>
      <c r="W1796" s="14">
        <f t="shared" si="5"/>
        <v>2</v>
      </c>
      <c r="X1796" s="14" t="str">
        <f t="shared" si="6"/>
        <v>Sandeep Kumar</v>
      </c>
      <c r="Y1796" s="15">
        <f t="shared" si="7"/>
        <v>45241</v>
      </c>
      <c r="Z1796" s="14" t="str">
        <f t="shared" si="8"/>
        <v>UPI</v>
      </c>
      <c r="AA1796" s="14" t="str">
        <f t="shared" si="9"/>
        <v>Cancelled</v>
      </c>
      <c r="AB1796" s="14" t="str">
        <f t="shared" ref="AB1796:AC1796" si="3596">trim(Q1796)</f>
        <v>Delayed Delivery</v>
      </c>
      <c r="AC1796" s="14" t="str">
        <f t="shared" si="3596"/>
        <v>Heavy Traffic</v>
      </c>
      <c r="AD1796" s="8"/>
    </row>
    <row r="1797">
      <c r="A1797" s="14" t="str">
        <f>IFERROR(__xludf.DUMMYFUNCTION("""COMPUTED_VALUE"""),"//ord_71775//Mohit Malhotra//Lower Parel//Orange+2*Shine Thomas/12/13/2023//Online Payment//Cancelled*Delayed Delivery:Bad Weather Conditions ")</f>
        <v>//ord_71775//Mohit Malhotra//Lower Parel//Orange+2*Shine Thomas/12/13/2023//Online Payment//Cancelled*Delayed Delivery:Bad Weather Conditions </v>
      </c>
      <c r="B1797" s="14" t="str">
        <f>IFERROR(__xludf.DUMMYFUNCTION("split(A1797,""//"")"),"ord_71775")</f>
        <v>ord_71775</v>
      </c>
      <c r="C1797" s="14" t="str">
        <f>IFERROR(__xludf.DUMMYFUNCTION("""COMPUTED_VALUE"""),"Mohit Malhotra")</f>
        <v>Mohit Malhotra</v>
      </c>
      <c r="D1797" s="14" t="str">
        <f>IFERROR(__xludf.DUMMYFUNCTION("""COMPUTED_VALUE"""),"Lower Parel")</f>
        <v>Lower Parel</v>
      </c>
      <c r="E1797" s="14" t="str">
        <f>IFERROR(__xludf.DUMMYFUNCTION("""COMPUTED_VALUE"""),"Orange+2*Shine Thomas")</f>
        <v>Orange+2*Shine Thomas</v>
      </c>
      <c r="F1797" s="14">
        <f>IFERROR(__xludf.DUMMYFUNCTION("""COMPUTED_VALUE"""),12.0)</f>
        <v>12</v>
      </c>
      <c r="G1797" s="14">
        <f>IFERROR(__xludf.DUMMYFUNCTION("""COMPUTED_VALUE"""),13.0)</f>
        <v>13</v>
      </c>
      <c r="H1797" s="14">
        <f>IFERROR(__xludf.DUMMYFUNCTION("""COMPUTED_VALUE"""),2023.0)</f>
        <v>2023</v>
      </c>
      <c r="I1797" s="14" t="str">
        <f>IFERROR(__xludf.DUMMYFUNCTION("""COMPUTED_VALUE"""),"Online Payment")</f>
        <v>Online Payment</v>
      </c>
      <c r="J1797" s="14" t="str">
        <f>IFERROR(__xludf.DUMMYFUNCTION("""COMPUTED_VALUE"""),"Cancelled*Delayed Delivery:Bad Weather Conditions ")</f>
        <v>Cancelled*Delayed Delivery:Bad Weather Conditions </v>
      </c>
      <c r="K1797" s="14" t="str">
        <f>IFERROR(__xludf.DUMMYFUNCTION("split(E1797,""+"")"),"Orange")</f>
        <v>Orange</v>
      </c>
      <c r="L1797" s="14" t="str">
        <f>IFERROR(__xludf.DUMMYFUNCTION("""COMPUTED_VALUE"""),"2*Shine Thomas")</f>
        <v>2*Shine Thomas</v>
      </c>
      <c r="M1797" s="14">
        <f>IFERROR(__xludf.DUMMYFUNCTION("SPLIT(L1797,""*"")"),2.0)</f>
        <v>2</v>
      </c>
      <c r="N1797" s="14" t="str">
        <f>IFERROR(__xludf.DUMMYFUNCTION("""COMPUTED_VALUE"""),"Shine Thomas")</f>
        <v>Shine Thomas</v>
      </c>
      <c r="O1797" s="14" t="str">
        <f>IFERROR(__xludf.DUMMYFUNCTION("split(J1797,""*"")"),"Cancelled")</f>
        <v>Cancelled</v>
      </c>
      <c r="P1797" s="14" t="str">
        <f>IFERROR(__xludf.DUMMYFUNCTION("""COMPUTED_VALUE"""),"Delayed Delivery:Bad Weather Conditions ")</f>
        <v>Delayed Delivery:Bad Weather Conditions </v>
      </c>
      <c r="Q1797" s="14" t="str">
        <f>IFERROR(__xludf.DUMMYFUNCTION("split(P1797,"":"")"),"Delayed Delivery")</f>
        <v>Delayed Delivery</v>
      </c>
      <c r="R1797" s="14" t="str">
        <f>IFERROR(__xludf.DUMMYFUNCTION("""COMPUTED_VALUE"""),"Bad Weather Conditions ")</f>
        <v>Bad Weather Conditions </v>
      </c>
      <c r="S1797" s="14" t="str">
        <f t="shared" ref="S1797:U1797" si="3597">trim(B1797)</f>
        <v>ord_71775</v>
      </c>
      <c r="T1797" s="14" t="str">
        <f t="shared" si="3597"/>
        <v>Mohit Malhotra</v>
      </c>
      <c r="U1797" s="14" t="str">
        <f t="shared" si="3597"/>
        <v>Lower Parel</v>
      </c>
      <c r="V1797" s="14" t="str">
        <f t="shared" si="4"/>
        <v>Orange</v>
      </c>
      <c r="W1797" s="14">
        <f t="shared" si="5"/>
        <v>2</v>
      </c>
      <c r="X1797" s="14" t="str">
        <f t="shared" si="6"/>
        <v>Shine Thomas</v>
      </c>
      <c r="Y1797" s="15">
        <f t="shared" si="7"/>
        <v>45273</v>
      </c>
      <c r="Z1797" s="14" t="str">
        <f t="shared" si="8"/>
        <v>Online Payment</v>
      </c>
      <c r="AA1797" s="14" t="str">
        <f t="shared" si="9"/>
        <v>Cancelled</v>
      </c>
      <c r="AB1797" s="14" t="str">
        <f t="shared" ref="AB1797:AC1797" si="3598">trim(Q1797)</f>
        <v>Delayed Delivery</v>
      </c>
      <c r="AC1797" s="14" t="str">
        <f t="shared" si="3598"/>
        <v>Bad Weather Conditions</v>
      </c>
      <c r="AD1797" s="8"/>
    </row>
    <row r="1798">
      <c r="A1798" s="14" t="str">
        <f>IFERROR(__xludf.DUMMYFUNCTION("""COMPUTED_VALUE"""),"//ord_71776//Ishaan Chaturvedi//Bandra//Icecream+1*Kiran Mehta/4/14/2023//UPI//Cancelled*Delayed Delivery:Heavy Traffic")</f>
        <v>//ord_71776//Ishaan Chaturvedi//Bandra//Icecream+1*Kiran Mehta/4/14/2023//UPI//Cancelled*Delayed Delivery:Heavy Traffic</v>
      </c>
      <c r="B1798" s="14" t="str">
        <f>IFERROR(__xludf.DUMMYFUNCTION("split(A1798,""//"")"),"ord_71776")</f>
        <v>ord_71776</v>
      </c>
      <c r="C1798" s="14" t="str">
        <f>IFERROR(__xludf.DUMMYFUNCTION("""COMPUTED_VALUE"""),"Ishaan Chaturvedi")</f>
        <v>Ishaan Chaturvedi</v>
      </c>
      <c r="D1798" s="14" t="str">
        <f>IFERROR(__xludf.DUMMYFUNCTION("""COMPUTED_VALUE"""),"Bandra")</f>
        <v>Bandra</v>
      </c>
      <c r="E1798" s="14" t="str">
        <f>IFERROR(__xludf.DUMMYFUNCTION("""COMPUTED_VALUE"""),"Icecream+1*Kiran Mehta")</f>
        <v>Icecream+1*Kiran Mehta</v>
      </c>
      <c r="F1798" s="14">
        <f>IFERROR(__xludf.DUMMYFUNCTION("""COMPUTED_VALUE"""),4.0)</f>
        <v>4</v>
      </c>
      <c r="G1798" s="14">
        <f>IFERROR(__xludf.DUMMYFUNCTION("""COMPUTED_VALUE"""),14.0)</f>
        <v>14</v>
      </c>
      <c r="H1798" s="14">
        <f>IFERROR(__xludf.DUMMYFUNCTION("""COMPUTED_VALUE"""),2023.0)</f>
        <v>2023</v>
      </c>
      <c r="I1798" s="14" t="str">
        <f>IFERROR(__xludf.DUMMYFUNCTION("""COMPUTED_VALUE"""),"UPI")</f>
        <v>UPI</v>
      </c>
      <c r="J1798" s="14" t="str">
        <f>IFERROR(__xludf.DUMMYFUNCTION("""COMPUTED_VALUE"""),"Cancelled*Delayed Delivery:Heavy Traffic")</f>
        <v>Cancelled*Delayed Delivery:Heavy Traffic</v>
      </c>
      <c r="K1798" s="14" t="str">
        <f>IFERROR(__xludf.DUMMYFUNCTION("split(E1798,""+"")"),"Icecream")</f>
        <v>Icecream</v>
      </c>
      <c r="L1798" s="14" t="str">
        <f>IFERROR(__xludf.DUMMYFUNCTION("""COMPUTED_VALUE"""),"1*Kiran Mehta")</f>
        <v>1*Kiran Mehta</v>
      </c>
      <c r="M1798" s="14">
        <f>IFERROR(__xludf.DUMMYFUNCTION("SPLIT(L1798,""*"")"),1.0)</f>
        <v>1</v>
      </c>
      <c r="N1798" s="14" t="str">
        <f>IFERROR(__xludf.DUMMYFUNCTION("""COMPUTED_VALUE"""),"Kiran Mehta")</f>
        <v>Kiran Mehta</v>
      </c>
      <c r="O1798" s="14" t="str">
        <f>IFERROR(__xludf.DUMMYFUNCTION("split(J1798,""*"")"),"Cancelled")</f>
        <v>Cancelled</v>
      </c>
      <c r="P1798" s="14" t="str">
        <f>IFERROR(__xludf.DUMMYFUNCTION("""COMPUTED_VALUE"""),"Delayed Delivery:Heavy Traffic")</f>
        <v>Delayed Delivery:Heavy Traffic</v>
      </c>
      <c r="Q1798" s="14" t="str">
        <f>IFERROR(__xludf.DUMMYFUNCTION("split(P1798,"":"")"),"Delayed Delivery")</f>
        <v>Delayed Delivery</v>
      </c>
      <c r="R1798" s="14" t="str">
        <f>IFERROR(__xludf.DUMMYFUNCTION("""COMPUTED_VALUE"""),"Heavy Traffic")</f>
        <v>Heavy Traffic</v>
      </c>
      <c r="S1798" s="14" t="str">
        <f t="shared" ref="S1798:U1798" si="3599">trim(B1798)</f>
        <v>ord_71776</v>
      </c>
      <c r="T1798" s="14" t="str">
        <f t="shared" si="3599"/>
        <v>Ishaan Chaturvedi</v>
      </c>
      <c r="U1798" s="14" t="str">
        <f t="shared" si="3599"/>
        <v>Bandra</v>
      </c>
      <c r="V1798" s="14" t="str">
        <f t="shared" si="4"/>
        <v>Icecream</v>
      </c>
      <c r="W1798" s="14">
        <f t="shared" si="5"/>
        <v>1</v>
      </c>
      <c r="X1798" s="14" t="str">
        <f t="shared" si="6"/>
        <v>Kiran Mehta</v>
      </c>
      <c r="Y1798" s="15">
        <f t="shared" si="7"/>
        <v>45030</v>
      </c>
      <c r="Z1798" s="14" t="str">
        <f t="shared" si="8"/>
        <v>UPI</v>
      </c>
      <c r="AA1798" s="14" t="str">
        <f t="shared" si="9"/>
        <v>Cancelled</v>
      </c>
      <c r="AB1798" s="14" t="str">
        <f t="shared" ref="AB1798:AC1798" si="3600">trim(Q1798)</f>
        <v>Delayed Delivery</v>
      </c>
      <c r="AC1798" s="14" t="str">
        <f t="shared" si="3600"/>
        <v>Heavy Traffic</v>
      </c>
      <c r="AD1798" s="8"/>
    </row>
    <row r="1799">
      <c r="A1799" s="14" t="str">
        <f>IFERROR(__xludf.DUMMYFUNCTION("""COMPUTED_VALUE"""),"//ord_71777//Ritika Dutta//Lower Parel//Banana+2*Vivek Kumar/3/7/2023//UPI//Delivered*Satisfied with the Delivery: Timely and quality")</f>
        <v>//ord_71777//Ritika Dutta//Lower Parel//Banana+2*Vivek Kumar/3/7/2023//UPI//Delivered*Satisfied with the Delivery: Timely and quality</v>
      </c>
      <c r="B1799" s="14" t="str">
        <f>IFERROR(__xludf.DUMMYFUNCTION("split(A1799,""//"")"),"ord_71777")</f>
        <v>ord_71777</v>
      </c>
      <c r="C1799" s="14" t="str">
        <f>IFERROR(__xludf.DUMMYFUNCTION("""COMPUTED_VALUE"""),"Ritika Dutta")</f>
        <v>Ritika Dutta</v>
      </c>
      <c r="D1799" s="14" t="str">
        <f>IFERROR(__xludf.DUMMYFUNCTION("""COMPUTED_VALUE"""),"Lower Parel")</f>
        <v>Lower Parel</v>
      </c>
      <c r="E1799" s="14" t="str">
        <f>IFERROR(__xludf.DUMMYFUNCTION("""COMPUTED_VALUE"""),"Banana+2*Vivek Kumar")</f>
        <v>Banana+2*Vivek Kumar</v>
      </c>
      <c r="F1799" s="14">
        <f>IFERROR(__xludf.DUMMYFUNCTION("""COMPUTED_VALUE"""),3.0)</f>
        <v>3</v>
      </c>
      <c r="G1799" s="14">
        <f>IFERROR(__xludf.DUMMYFUNCTION("""COMPUTED_VALUE"""),7.0)</f>
        <v>7</v>
      </c>
      <c r="H1799" s="14">
        <f>IFERROR(__xludf.DUMMYFUNCTION("""COMPUTED_VALUE"""),2023.0)</f>
        <v>2023</v>
      </c>
      <c r="I1799" s="14" t="str">
        <f>IFERROR(__xludf.DUMMYFUNCTION("""COMPUTED_VALUE"""),"UPI")</f>
        <v>UPI</v>
      </c>
      <c r="J1799" s="14" t="str">
        <f>IFERROR(__xludf.DUMMYFUNCTION("""COMPUTED_VALUE"""),"Delivered*Satisfied with the Delivery: Timely and quality")</f>
        <v>Delivered*Satisfied with the Delivery: Timely and quality</v>
      </c>
      <c r="K1799" s="14" t="str">
        <f>IFERROR(__xludf.DUMMYFUNCTION("split(E1799,""+"")"),"Banana")</f>
        <v>Banana</v>
      </c>
      <c r="L1799" s="14" t="str">
        <f>IFERROR(__xludf.DUMMYFUNCTION("""COMPUTED_VALUE"""),"2*Vivek Kumar")</f>
        <v>2*Vivek Kumar</v>
      </c>
      <c r="M1799" s="14">
        <f>IFERROR(__xludf.DUMMYFUNCTION("SPLIT(L1799,""*"")"),2.0)</f>
        <v>2</v>
      </c>
      <c r="N1799" s="14" t="str">
        <f>IFERROR(__xludf.DUMMYFUNCTION("""COMPUTED_VALUE"""),"Vivek Kumar")</f>
        <v>Vivek Kumar</v>
      </c>
      <c r="O1799" s="14" t="str">
        <f>IFERROR(__xludf.DUMMYFUNCTION("split(J1799,""*"")"),"Delivered")</f>
        <v>Delivered</v>
      </c>
      <c r="P1799" s="14" t="str">
        <f>IFERROR(__xludf.DUMMYFUNCTION("""COMPUTED_VALUE"""),"Satisfied with the Delivery: Timely and quality")</f>
        <v>Satisfied with the Delivery: Timely and quality</v>
      </c>
      <c r="Q1799" s="14" t="str">
        <f>IFERROR(__xludf.DUMMYFUNCTION("split(P1799,"":"")"),"Satisfied with the Delivery")</f>
        <v>Satisfied with the Delivery</v>
      </c>
      <c r="R1799" s="14" t="str">
        <f>IFERROR(__xludf.DUMMYFUNCTION("""COMPUTED_VALUE""")," Timely and quality")</f>
        <v> Timely and quality</v>
      </c>
      <c r="S1799" s="14" t="str">
        <f t="shared" ref="S1799:U1799" si="3601">trim(B1799)</f>
        <v>ord_71777</v>
      </c>
      <c r="T1799" s="14" t="str">
        <f t="shared" si="3601"/>
        <v>Ritika Dutta</v>
      </c>
      <c r="U1799" s="14" t="str">
        <f t="shared" si="3601"/>
        <v>Lower Parel</v>
      </c>
      <c r="V1799" s="14" t="str">
        <f t="shared" si="4"/>
        <v>Banana</v>
      </c>
      <c r="W1799" s="14">
        <f t="shared" si="5"/>
        <v>2</v>
      </c>
      <c r="X1799" s="14" t="str">
        <f t="shared" si="6"/>
        <v>Vivek Kumar</v>
      </c>
      <c r="Y1799" s="15">
        <f t="shared" si="7"/>
        <v>44992</v>
      </c>
      <c r="Z1799" s="14" t="str">
        <f t="shared" si="8"/>
        <v>UPI</v>
      </c>
      <c r="AA1799" s="14" t="str">
        <f t="shared" si="9"/>
        <v>Delivered</v>
      </c>
      <c r="AB1799" s="14" t="str">
        <f t="shared" ref="AB1799:AC1799" si="3602">trim(Q1799)</f>
        <v>Satisfied with the Delivery</v>
      </c>
      <c r="AC1799" s="14" t="str">
        <f t="shared" si="3602"/>
        <v>Timely and quality</v>
      </c>
      <c r="AD1799" s="8"/>
    </row>
    <row r="1800">
      <c r="A1800" s="14" t="str">
        <f>IFERROR(__xludf.DUMMYFUNCTION("""COMPUTED_VALUE"""),"//ord_71778//Kunal Sharma//Powai//Cold Coffee+5*Ram Gopal/6/23/2023//COD//Delivered*Customer Service: Seamless and easy")</f>
        <v>//ord_71778//Kunal Sharma//Powai//Cold Coffee+5*Ram Gopal/6/23/2023//COD//Delivered*Customer Service: Seamless and easy</v>
      </c>
      <c r="B1800" s="14" t="str">
        <f>IFERROR(__xludf.DUMMYFUNCTION("split(A1800,""//"")"),"ord_71778")</f>
        <v>ord_71778</v>
      </c>
      <c r="C1800" s="14" t="str">
        <f>IFERROR(__xludf.DUMMYFUNCTION("""COMPUTED_VALUE"""),"Kunal Sharma")</f>
        <v>Kunal Sharma</v>
      </c>
      <c r="D1800" s="14" t="str">
        <f>IFERROR(__xludf.DUMMYFUNCTION("""COMPUTED_VALUE"""),"Powai")</f>
        <v>Powai</v>
      </c>
      <c r="E1800" s="14" t="str">
        <f>IFERROR(__xludf.DUMMYFUNCTION("""COMPUTED_VALUE"""),"Cold Coffee+5*Ram Gopal")</f>
        <v>Cold Coffee+5*Ram Gopal</v>
      </c>
      <c r="F1800" s="14">
        <f>IFERROR(__xludf.DUMMYFUNCTION("""COMPUTED_VALUE"""),6.0)</f>
        <v>6</v>
      </c>
      <c r="G1800" s="14">
        <f>IFERROR(__xludf.DUMMYFUNCTION("""COMPUTED_VALUE"""),23.0)</f>
        <v>23</v>
      </c>
      <c r="H1800" s="14">
        <f>IFERROR(__xludf.DUMMYFUNCTION("""COMPUTED_VALUE"""),2023.0)</f>
        <v>2023</v>
      </c>
      <c r="I1800" s="14" t="str">
        <f>IFERROR(__xludf.DUMMYFUNCTION("""COMPUTED_VALUE"""),"COD")</f>
        <v>COD</v>
      </c>
      <c r="J1800" s="14" t="str">
        <f>IFERROR(__xludf.DUMMYFUNCTION("""COMPUTED_VALUE"""),"Delivered*Customer Service: Seamless and easy")</f>
        <v>Delivered*Customer Service: Seamless and easy</v>
      </c>
      <c r="K1800" s="14" t="str">
        <f>IFERROR(__xludf.DUMMYFUNCTION("split(E1800,""+"")"),"Cold Coffee")</f>
        <v>Cold Coffee</v>
      </c>
      <c r="L1800" s="14" t="str">
        <f>IFERROR(__xludf.DUMMYFUNCTION("""COMPUTED_VALUE"""),"5*Ram Gopal")</f>
        <v>5*Ram Gopal</v>
      </c>
      <c r="M1800" s="14">
        <f>IFERROR(__xludf.DUMMYFUNCTION("SPLIT(L1800,""*"")"),5.0)</f>
        <v>5</v>
      </c>
      <c r="N1800" s="14" t="str">
        <f>IFERROR(__xludf.DUMMYFUNCTION("""COMPUTED_VALUE"""),"Ram Gopal")</f>
        <v>Ram Gopal</v>
      </c>
      <c r="O1800" s="14" t="str">
        <f>IFERROR(__xludf.DUMMYFUNCTION("split(J1800,""*"")"),"Delivered")</f>
        <v>Delivered</v>
      </c>
      <c r="P1800" s="14" t="str">
        <f>IFERROR(__xludf.DUMMYFUNCTION("""COMPUTED_VALUE"""),"Customer Service: Seamless and easy")</f>
        <v>Customer Service: Seamless and easy</v>
      </c>
      <c r="Q1800" s="14" t="str">
        <f>IFERROR(__xludf.DUMMYFUNCTION("split(P1800,"":"")"),"Customer Service")</f>
        <v>Customer Service</v>
      </c>
      <c r="R1800" s="14" t="str">
        <f>IFERROR(__xludf.DUMMYFUNCTION("""COMPUTED_VALUE""")," Seamless and easy")</f>
        <v> Seamless and easy</v>
      </c>
      <c r="S1800" s="14" t="str">
        <f t="shared" ref="S1800:U1800" si="3603">trim(B1800)</f>
        <v>ord_71778</v>
      </c>
      <c r="T1800" s="14" t="str">
        <f t="shared" si="3603"/>
        <v>Kunal Sharma</v>
      </c>
      <c r="U1800" s="14" t="str">
        <f t="shared" si="3603"/>
        <v>Powai</v>
      </c>
      <c r="V1800" s="14" t="str">
        <f t="shared" si="4"/>
        <v>Cold Coffee</v>
      </c>
      <c r="W1800" s="14">
        <f t="shared" si="5"/>
        <v>5</v>
      </c>
      <c r="X1800" s="14" t="str">
        <f t="shared" si="6"/>
        <v>Ram Gopal</v>
      </c>
      <c r="Y1800" s="15">
        <f t="shared" si="7"/>
        <v>45100</v>
      </c>
      <c r="Z1800" s="14" t="str">
        <f t="shared" si="8"/>
        <v>COD</v>
      </c>
      <c r="AA1800" s="14" t="str">
        <f t="shared" si="9"/>
        <v>Delivered</v>
      </c>
      <c r="AB1800" s="14" t="str">
        <f t="shared" ref="AB1800:AC1800" si="3604">trim(Q1800)</f>
        <v>Customer Service</v>
      </c>
      <c r="AC1800" s="14" t="str">
        <f t="shared" si="3604"/>
        <v>Seamless and easy</v>
      </c>
      <c r="AD1800" s="8"/>
    </row>
    <row r="1801">
      <c r="A1801" s="14" t="str">
        <f>IFERROR(__xludf.DUMMYFUNCTION("""COMPUTED_VALUE"""),"//ord_71779//Kunal Sharma//Powai//Icecream+9*Venu R/10/16/2023//Online Payment//Delivered*Delivery Experience: Quick and professional")</f>
        <v>//ord_71779//Kunal Sharma//Powai//Icecream+9*Venu R/10/16/2023//Online Payment//Delivered*Delivery Experience: Quick and professional</v>
      </c>
      <c r="B1801" s="14" t="str">
        <f>IFERROR(__xludf.DUMMYFUNCTION("split(A1801,""//"")"),"ord_71779")</f>
        <v>ord_71779</v>
      </c>
      <c r="C1801" s="14" t="str">
        <f>IFERROR(__xludf.DUMMYFUNCTION("""COMPUTED_VALUE"""),"Kunal Sharma")</f>
        <v>Kunal Sharma</v>
      </c>
      <c r="D1801" s="14" t="str">
        <f>IFERROR(__xludf.DUMMYFUNCTION("""COMPUTED_VALUE"""),"Powai")</f>
        <v>Powai</v>
      </c>
      <c r="E1801" s="14" t="str">
        <f>IFERROR(__xludf.DUMMYFUNCTION("""COMPUTED_VALUE"""),"Icecream+9*Venu R")</f>
        <v>Icecream+9*Venu R</v>
      </c>
      <c r="F1801" s="14">
        <f>IFERROR(__xludf.DUMMYFUNCTION("""COMPUTED_VALUE"""),10.0)</f>
        <v>10</v>
      </c>
      <c r="G1801" s="14">
        <f>IFERROR(__xludf.DUMMYFUNCTION("""COMPUTED_VALUE"""),16.0)</f>
        <v>16</v>
      </c>
      <c r="H1801" s="14">
        <f>IFERROR(__xludf.DUMMYFUNCTION("""COMPUTED_VALUE"""),2023.0)</f>
        <v>2023</v>
      </c>
      <c r="I1801" s="14" t="str">
        <f>IFERROR(__xludf.DUMMYFUNCTION("""COMPUTED_VALUE"""),"Online Payment")</f>
        <v>Online Payment</v>
      </c>
      <c r="J1801" s="14" t="str">
        <f>IFERROR(__xludf.DUMMYFUNCTION("""COMPUTED_VALUE"""),"Delivered*Delivery Experience: Quick and professional")</f>
        <v>Delivered*Delivery Experience: Quick and professional</v>
      </c>
      <c r="K1801" s="14" t="str">
        <f>IFERROR(__xludf.DUMMYFUNCTION("split(E1801,""+"")"),"Icecream")</f>
        <v>Icecream</v>
      </c>
      <c r="L1801" s="14" t="str">
        <f>IFERROR(__xludf.DUMMYFUNCTION("""COMPUTED_VALUE"""),"9*Venu R")</f>
        <v>9*Venu R</v>
      </c>
      <c r="M1801" s="14">
        <f>IFERROR(__xludf.DUMMYFUNCTION("SPLIT(L1801,""*"")"),9.0)</f>
        <v>9</v>
      </c>
      <c r="N1801" s="14" t="str">
        <f>IFERROR(__xludf.DUMMYFUNCTION("""COMPUTED_VALUE"""),"Venu R")</f>
        <v>Venu R</v>
      </c>
      <c r="O1801" s="14" t="str">
        <f>IFERROR(__xludf.DUMMYFUNCTION("split(J1801,""*"")"),"Delivered")</f>
        <v>Delivered</v>
      </c>
      <c r="P1801" s="14" t="str">
        <f>IFERROR(__xludf.DUMMYFUNCTION("""COMPUTED_VALUE"""),"Delivery Experience: Quick and professional")</f>
        <v>Delivery Experience: Quick and professional</v>
      </c>
      <c r="Q1801" s="14" t="str">
        <f>IFERROR(__xludf.DUMMYFUNCTION("split(P1801,"":"")"),"Delivery Experience")</f>
        <v>Delivery Experience</v>
      </c>
      <c r="R1801" s="14" t="str">
        <f>IFERROR(__xludf.DUMMYFUNCTION("""COMPUTED_VALUE""")," Quick and professional")</f>
        <v> Quick and professional</v>
      </c>
      <c r="S1801" s="14" t="str">
        <f t="shared" ref="S1801:U1801" si="3605">trim(B1801)</f>
        <v>ord_71779</v>
      </c>
      <c r="T1801" s="14" t="str">
        <f t="shared" si="3605"/>
        <v>Kunal Sharma</v>
      </c>
      <c r="U1801" s="14" t="str">
        <f t="shared" si="3605"/>
        <v>Powai</v>
      </c>
      <c r="V1801" s="14" t="str">
        <f t="shared" si="4"/>
        <v>Icecream</v>
      </c>
      <c r="W1801" s="14">
        <f t="shared" si="5"/>
        <v>9</v>
      </c>
      <c r="X1801" s="14" t="str">
        <f t="shared" si="6"/>
        <v>Venu R</v>
      </c>
      <c r="Y1801" s="15">
        <f t="shared" si="7"/>
        <v>45215</v>
      </c>
      <c r="Z1801" s="14" t="str">
        <f t="shared" si="8"/>
        <v>Online Payment</v>
      </c>
      <c r="AA1801" s="14" t="str">
        <f t="shared" si="9"/>
        <v>Delivered</v>
      </c>
      <c r="AB1801" s="14" t="str">
        <f t="shared" ref="AB1801:AC1801" si="3606">trim(Q1801)</f>
        <v>Delivery Experience</v>
      </c>
      <c r="AC1801" s="14" t="str">
        <f t="shared" si="3606"/>
        <v>Quick and professional</v>
      </c>
      <c r="AD1801" s="8"/>
    </row>
    <row r="1802">
      <c r="A1802" s="14" t="str">
        <f>IFERROR(__xludf.DUMMYFUNCTION("""COMPUTED_VALUE"""),"//ord_71780//Simran Bhatt//Juhu//Onion+1*Venu R/10/14/2023//UPI//Delivered*Convenience: Easy tracking")</f>
        <v>//ord_71780//Simran Bhatt//Juhu//Onion+1*Venu R/10/14/2023//UPI//Delivered*Convenience: Easy tracking</v>
      </c>
      <c r="B1802" s="14" t="str">
        <f>IFERROR(__xludf.DUMMYFUNCTION("split(A1802,""//"")"),"ord_71780")</f>
        <v>ord_71780</v>
      </c>
      <c r="C1802" s="14" t="str">
        <f>IFERROR(__xludf.DUMMYFUNCTION("""COMPUTED_VALUE"""),"Simran Bhatt")</f>
        <v>Simran Bhatt</v>
      </c>
      <c r="D1802" s="14" t="str">
        <f>IFERROR(__xludf.DUMMYFUNCTION("""COMPUTED_VALUE"""),"Juhu")</f>
        <v>Juhu</v>
      </c>
      <c r="E1802" s="14" t="str">
        <f>IFERROR(__xludf.DUMMYFUNCTION("""COMPUTED_VALUE"""),"Onion+1*Venu R")</f>
        <v>Onion+1*Venu R</v>
      </c>
      <c r="F1802" s="14">
        <f>IFERROR(__xludf.DUMMYFUNCTION("""COMPUTED_VALUE"""),10.0)</f>
        <v>10</v>
      </c>
      <c r="G1802" s="14">
        <f>IFERROR(__xludf.DUMMYFUNCTION("""COMPUTED_VALUE"""),14.0)</f>
        <v>14</v>
      </c>
      <c r="H1802" s="14">
        <f>IFERROR(__xludf.DUMMYFUNCTION("""COMPUTED_VALUE"""),2023.0)</f>
        <v>2023</v>
      </c>
      <c r="I1802" s="14" t="str">
        <f>IFERROR(__xludf.DUMMYFUNCTION("""COMPUTED_VALUE"""),"UPI")</f>
        <v>UPI</v>
      </c>
      <c r="J1802" s="14" t="str">
        <f>IFERROR(__xludf.DUMMYFUNCTION("""COMPUTED_VALUE"""),"Delivered*Convenience: Easy tracking")</f>
        <v>Delivered*Convenience: Easy tracking</v>
      </c>
      <c r="K1802" s="14" t="str">
        <f>IFERROR(__xludf.DUMMYFUNCTION("split(E1802,""+"")"),"Onion")</f>
        <v>Onion</v>
      </c>
      <c r="L1802" s="14" t="str">
        <f>IFERROR(__xludf.DUMMYFUNCTION("""COMPUTED_VALUE"""),"1*Venu R")</f>
        <v>1*Venu R</v>
      </c>
      <c r="M1802" s="14">
        <f>IFERROR(__xludf.DUMMYFUNCTION("SPLIT(L1802,""*"")"),1.0)</f>
        <v>1</v>
      </c>
      <c r="N1802" s="14" t="str">
        <f>IFERROR(__xludf.DUMMYFUNCTION("""COMPUTED_VALUE"""),"Venu R")</f>
        <v>Venu R</v>
      </c>
      <c r="O1802" s="14" t="str">
        <f>IFERROR(__xludf.DUMMYFUNCTION("split(J1802,""*"")"),"Delivered")</f>
        <v>Delivered</v>
      </c>
      <c r="P1802" s="14" t="str">
        <f>IFERROR(__xludf.DUMMYFUNCTION("""COMPUTED_VALUE"""),"Convenience: Easy tracking")</f>
        <v>Convenience: Easy tracking</v>
      </c>
      <c r="Q1802" s="14" t="str">
        <f>IFERROR(__xludf.DUMMYFUNCTION("split(P1802,"":"")"),"Convenience")</f>
        <v>Convenience</v>
      </c>
      <c r="R1802" s="14" t="str">
        <f>IFERROR(__xludf.DUMMYFUNCTION("""COMPUTED_VALUE""")," Easy tracking")</f>
        <v> Easy tracking</v>
      </c>
      <c r="S1802" s="14" t="str">
        <f t="shared" ref="S1802:U1802" si="3607">trim(B1802)</f>
        <v>ord_71780</v>
      </c>
      <c r="T1802" s="14" t="str">
        <f t="shared" si="3607"/>
        <v>Simran Bhatt</v>
      </c>
      <c r="U1802" s="14" t="str">
        <f t="shared" si="3607"/>
        <v>Juhu</v>
      </c>
      <c r="V1802" s="14" t="str">
        <f t="shared" si="4"/>
        <v>Onion</v>
      </c>
      <c r="W1802" s="14">
        <f t="shared" si="5"/>
        <v>1</v>
      </c>
      <c r="X1802" s="14" t="str">
        <f t="shared" si="6"/>
        <v>Venu R</v>
      </c>
      <c r="Y1802" s="15">
        <f t="shared" si="7"/>
        <v>45213</v>
      </c>
      <c r="Z1802" s="14" t="str">
        <f t="shared" si="8"/>
        <v>UPI</v>
      </c>
      <c r="AA1802" s="14" t="str">
        <f t="shared" si="9"/>
        <v>Delivered</v>
      </c>
      <c r="AB1802" s="14" t="str">
        <f t="shared" ref="AB1802:AC1802" si="3608">trim(Q1802)</f>
        <v>Convenience</v>
      </c>
      <c r="AC1802" s="14" t="str">
        <f t="shared" si="3608"/>
        <v>Easy tracking</v>
      </c>
      <c r="AD1802" s="8"/>
    </row>
    <row r="1803">
      <c r="A1803" s="14" t="str">
        <f>IFERROR(__xludf.DUMMYFUNCTION("""COMPUTED_VALUE"""),"//ord_71781//Diya Arora//Lower Parel//Chilli Cheese Toast+2*Not Assigned/12/9/2023//Credit Card//Cancelled*Out of Stock")</f>
        <v>//ord_71781//Diya Arora//Lower Parel//Chilli Cheese Toast+2*Not Assigned/12/9/2023//Credit Card//Cancelled*Out of Stock</v>
      </c>
      <c r="B1803" s="14" t="str">
        <f>IFERROR(__xludf.DUMMYFUNCTION("split(A1803,""//"")"),"ord_71781")</f>
        <v>ord_71781</v>
      </c>
      <c r="C1803" s="14" t="str">
        <f>IFERROR(__xludf.DUMMYFUNCTION("""COMPUTED_VALUE"""),"Diya Arora")</f>
        <v>Diya Arora</v>
      </c>
      <c r="D1803" s="14" t="str">
        <f>IFERROR(__xludf.DUMMYFUNCTION("""COMPUTED_VALUE"""),"Lower Parel")</f>
        <v>Lower Parel</v>
      </c>
      <c r="E1803" s="14" t="str">
        <f>IFERROR(__xludf.DUMMYFUNCTION("""COMPUTED_VALUE"""),"Chilli Cheese Toast+2*Not Assigned")</f>
        <v>Chilli Cheese Toast+2*Not Assigned</v>
      </c>
      <c r="F1803" s="14">
        <f>IFERROR(__xludf.DUMMYFUNCTION("""COMPUTED_VALUE"""),12.0)</f>
        <v>12</v>
      </c>
      <c r="G1803" s="14">
        <f>IFERROR(__xludf.DUMMYFUNCTION("""COMPUTED_VALUE"""),9.0)</f>
        <v>9</v>
      </c>
      <c r="H1803" s="14">
        <f>IFERROR(__xludf.DUMMYFUNCTION("""COMPUTED_VALUE"""),2023.0)</f>
        <v>2023</v>
      </c>
      <c r="I1803" s="14" t="str">
        <f>IFERROR(__xludf.DUMMYFUNCTION("""COMPUTED_VALUE"""),"Credit Card")</f>
        <v>Credit Card</v>
      </c>
      <c r="J1803" s="14" t="str">
        <f>IFERROR(__xludf.DUMMYFUNCTION("""COMPUTED_VALUE"""),"Cancelled*Out of Stock")</f>
        <v>Cancelled*Out of Stock</v>
      </c>
      <c r="K1803" s="14" t="str">
        <f>IFERROR(__xludf.DUMMYFUNCTION("split(E1803,""+"")"),"Chilli Cheese Toast")</f>
        <v>Chilli Cheese Toast</v>
      </c>
      <c r="L1803" s="14" t="str">
        <f>IFERROR(__xludf.DUMMYFUNCTION("""COMPUTED_VALUE"""),"2*Not Assigned")</f>
        <v>2*Not Assigned</v>
      </c>
      <c r="M1803" s="14">
        <f>IFERROR(__xludf.DUMMYFUNCTION("SPLIT(L1803,""*"")"),2.0)</f>
        <v>2</v>
      </c>
      <c r="N1803" s="14" t="str">
        <f>IFERROR(__xludf.DUMMYFUNCTION("""COMPUTED_VALUE"""),"Not Assigned")</f>
        <v>Not Assigned</v>
      </c>
      <c r="O1803" s="14" t="str">
        <f>IFERROR(__xludf.DUMMYFUNCTION("split(J1803,""*"")"),"Cancelled")</f>
        <v>Cancelled</v>
      </c>
      <c r="P1803" s="14" t="str">
        <f>IFERROR(__xludf.DUMMYFUNCTION("""COMPUTED_VALUE"""),"Out of Stock")</f>
        <v>Out of Stock</v>
      </c>
      <c r="Q1803" s="14" t="str">
        <f>IFERROR(__xludf.DUMMYFUNCTION("split(P1803,"":"")"),"Out of Stock")</f>
        <v>Out of Stock</v>
      </c>
      <c r="R1803" s="14"/>
      <c r="S1803" s="14" t="str">
        <f t="shared" ref="S1803:U1803" si="3609">trim(B1803)</f>
        <v>ord_71781</v>
      </c>
      <c r="T1803" s="14" t="str">
        <f t="shared" si="3609"/>
        <v>Diya Arora</v>
      </c>
      <c r="U1803" s="14" t="str">
        <f t="shared" si="3609"/>
        <v>Lower Parel</v>
      </c>
      <c r="V1803" s="14" t="str">
        <f t="shared" si="4"/>
        <v>Chilli Cheese Toast</v>
      </c>
      <c r="W1803" s="14">
        <f t="shared" si="5"/>
        <v>2</v>
      </c>
      <c r="X1803" s="14" t="str">
        <f t="shared" si="6"/>
        <v>Not Assigned</v>
      </c>
      <c r="Y1803" s="15">
        <f t="shared" si="7"/>
        <v>45269</v>
      </c>
      <c r="Z1803" s="14" t="str">
        <f t="shared" si="8"/>
        <v>Credit Card</v>
      </c>
      <c r="AA1803" s="14" t="str">
        <f t="shared" si="9"/>
        <v>Cancelled</v>
      </c>
      <c r="AB1803" s="14" t="str">
        <f t="shared" ref="AB1803:AC1803" si="3610">trim(Q1803)</f>
        <v>Out of Stock</v>
      </c>
      <c r="AC1803" s="14" t="str">
        <f t="shared" si="3610"/>
        <v/>
      </c>
      <c r="AD1803" s="8"/>
    </row>
    <row r="1804">
      <c r="A1804" s="14" t="str">
        <f>IFERROR(__xludf.DUMMYFUNCTION("""COMPUTED_VALUE"""),"//ord_71782//Pranav Joshi//Andheri//Rasmalai+3*Not Assigned/8/28/2023//Credit Card//Cancelled*High Delivery Fees")</f>
        <v>//ord_71782//Pranav Joshi//Andheri//Rasmalai+3*Not Assigned/8/28/2023//Credit Card//Cancelled*High Delivery Fees</v>
      </c>
      <c r="B1804" s="14" t="str">
        <f>IFERROR(__xludf.DUMMYFUNCTION("split(A1804,""//"")"),"ord_71782")</f>
        <v>ord_71782</v>
      </c>
      <c r="C1804" s="14" t="str">
        <f>IFERROR(__xludf.DUMMYFUNCTION("""COMPUTED_VALUE"""),"Pranav Joshi")</f>
        <v>Pranav Joshi</v>
      </c>
      <c r="D1804" s="14" t="str">
        <f>IFERROR(__xludf.DUMMYFUNCTION("""COMPUTED_VALUE"""),"Andheri")</f>
        <v>Andheri</v>
      </c>
      <c r="E1804" s="14" t="str">
        <f>IFERROR(__xludf.DUMMYFUNCTION("""COMPUTED_VALUE"""),"Rasmalai+3*Not Assigned")</f>
        <v>Rasmalai+3*Not Assigned</v>
      </c>
      <c r="F1804" s="14">
        <f>IFERROR(__xludf.DUMMYFUNCTION("""COMPUTED_VALUE"""),8.0)</f>
        <v>8</v>
      </c>
      <c r="G1804" s="14">
        <f>IFERROR(__xludf.DUMMYFUNCTION("""COMPUTED_VALUE"""),28.0)</f>
        <v>28</v>
      </c>
      <c r="H1804" s="14">
        <f>IFERROR(__xludf.DUMMYFUNCTION("""COMPUTED_VALUE"""),2023.0)</f>
        <v>2023</v>
      </c>
      <c r="I1804" s="14" t="str">
        <f>IFERROR(__xludf.DUMMYFUNCTION("""COMPUTED_VALUE"""),"Credit Card")</f>
        <v>Credit Card</v>
      </c>
      <c r="J1804" s="14" t="str">
        <f>IFERROR(__xludf.DUMMYFUNCTION("""COMPUTED_VALUE"""),"Cancelled*High Delivery Fees")</f>
        <v>Cancelled*High Delivery Fees</v>
      </c>
      <c r="K1804" s="14" t="str">
        <f>IFERROR(__xludf.DUMMYFUNCTION("split(E1804,""+"")"),"Rasmalai")</f>
        <v>Rasmalai</v>
      </c>
      <c r="L1804" s="14" t="str">
        <f>IFERROR(__xludf.DUMMYFUNCTION("""COMPUTED_VALUE"""),"3*Not Assigned")</f>
        <v>3*Not Assigned</v>
      </c>
      <c r="M1804" s="14">
        <f>IFERROR(__xludf.DUMMYFUNCTION("SPLIT(L1804,""*"")"),3.0)</f>
        <v>3</v>
      </c>
      <c r="N1804" s="14" t="str">
        <f>IFERROR(__xludf.DUMMYFUNCTION("""COMPUTED_VALUE"""),"Not Assigned")</f>
        <v>Not Assigned</v>
      </c>
      <c r="O1804" s="14" t="str">
        <f>IFERROR(__xludf.DUMMYFUNCTION("split(J1804,""*"")"),"Cancelled")</f>
        <v>Cancelled</v>
      </c>
      <c r="P1804" s="14" t="str">
        <f>IFERROR(__xludf.DUMMYFUNCTION("""COMPUTED_VALUE"""),"High Delivery Fees")</f>
        <v>High Delivery Fees</v>
      </c>
      <c r="Q1804" s="14" t="str">
        <f>IFERROR(__xludf.DUMMYFUNCTION("split(P1804,"":"")"),"High Delivery Fees")</f>
        <v>High Delivery Fees</v>
      </c>
      <c r="R1804" s="14"/>
      <c r="S1804" s="14" t="str">
        <f t="shared" ref="S1804:U1804" si="3611">trim(B1804)</f>
        <v>ord_71782</v>
      </c>
      <c r="T1804" s="14" t="str">
        <f t="shared" si="3611"/>
        <v>Pranav Joshi</v>
      </c>
      <c r="U1804" s="14" t="str">
        <f t="shared" si="3611"/>
        <v>Andheri</v>
      </c>
      <c r="V1804" s="14" t="str">
        <f t="shared" si="4"/>
        <v>Rasmalai</v>
      </c>
      <c r="W1804" s="14">
        <f t="shared" si="5"/>
        <v>3</v>
      </c>
      <c r="X1804" s="14" t="str">
        <f t="shared" si="6"/>
        <v>Not Assigned</v>
      </c>
      <c r="Y1804" s="15">
        <f t="shared" si="7"/>
        <v>45166</v>
      </c>
      <c r="Z1804" s="14" t="str">
        <f t="shared" si="8"/>
        <v>Credit Card</v>
      </c>
      <c r="AA1804" s="14" t="str">
        <f t="shared" si="9"/>
        <v>Cancelled</v>
      </c>
      <c r="AB1804" s="14" t="str">
        <f t="shared" ref="AB1804:AC1804" si="3612">trim(Q1804)</f>
        <v>High Delivery Fees</v>
      </c>
      <c r="AC1804" s="14" t="str">
        <f t="shared" si="3612"/>
        <v/>
      </c>
      <c r="AD1804" s="8"/>
    </row>
    <row r="1805">
      <c r="A1805" s="14" t="str">
        <f>IFERROR(__xludf.DUMMYFUNCTION("""COMPUTED_VALUE"""),"//ord_71783//Diya Arora//Lower Parel//Rasmalai+4*Not Assigned/9/9/2023//Credit Card//Cancelled*App Glitches:Missing Content")</f>
        <v>//ord_71783//Diya Arora//Lower Parel//Rasmalai+4*Not Assigned/9/9/2023//Credit Card//Cancelled*App Glitches:Missing Content</v>
      </c>
      <c r="B1805" s="14" t="str">
        <f>IFERROR(__xludf.DUMMYFUNCTION("split(A1805,""//"")"),"ord_71783")</f>
        <v>ord_71783</v>
      </c>
      <c r="C1805" s="14" t="str">
        <f>IFERROR(__xludf.DUMMYFUNCTION("""COMPUTED_VALUE"""),"Diya Arora")</f>
        <v>Diya Arora</v>
      </c>
      <c r="D1805" s="14" t="str">
        <f>IFERROR(__xludf.DUMMYFUNCTION("""COMPUTED_VALUE"""),"Lower Parel")</f>
        <v>Lower Parel</v>
      </c>
      <c r="E1805" s="14" t="str">
        <f>IFERROR(__xludf.DUMMYFUNCTION("""COMPUTED_VALUE"""),"Rasmalai+4*Not Assigned")</f>
        <v>Rasmalai+4*Not Assigned</v>
      </c>
      <c r="F1805" s="14">
        <f>IFERROR(__xludf.DUMMYFUNCTION("""COMPUTED_VALUE"""),9.0)</f>
        <v>9</v>
      </c>
      <c r="G1805" s="14">
        <f>IFERROR(__xludf.DUMMYFUNCTION("""COMPUTED_VALUE"""),9.0)</f>
        <v>9</v>
      </c>
      <c r="H1805" s="14">
        <f>IFERROR(__xludf.DUMMYFUNCTION("""COMPUTED_VALUE"""),2023.0)</f>
        <v>2023</v>
      </c>
      <c r="I1805" s="14" t="str">
        <f>IFERROR(__xludf.DUMMYFUNCTION("""COMPUTED_VALUE"""),"Credit Card")</f>
        <v>Credit Card</v>
      </c>
      <c r="J1805" s="14" t="str">
        <f>IFERROR(__xludf.DUMMYFUNCTION("""COMPUTED_VALUE"""),"Cancelled*App Glitches:Missing Content")</f>
        <v>Cancelled*App Glitches:Missing Content</v>
      </c>
      <c r="K1805" s="14" t="str">
        <f>IFERROR(__xludf.DUMMYFUNCTION("split(E1805,""+"")"),"Rasmalai")</f>
        <v>Rasmalai</v>
      </c>
      <c r="L1805" s="14" t="str">
        <f>IFERROR(__xludf.DUMMYFUNCTION("""COMPUTED_VALUE"""),"4*Not Assigned")</f>
        <v>4*Not Assigned</v>
      </c>
      <c r="M1805" s="14">
        <f>IFERROR(__xludf.DUMMYFUNCTION("SPLIT(L1805,""*"")"),4.0)</f>
        <v>4</v>
      </c>
      <c r="N1805" s="14" t="str">
        <f>IFERROR(__xludf.DUMMYFUNCTION("""COMPUTED_VALUE"""),"Not Assigned")</f>
        <v>Not Assigned</v>
      </c>
      <c r="O1805" s="14" t="str">
        <f>IFERROR(__xludf.DUMMYFUNCTION("split(J1805,""*"")"),"Cancelled")</f>
        <v>Cancelled</v>
      </c>
      <c r="P1805" s="14" t="str">
        <f>IFERROR(__xludf.DUMMYFUNCTION("""COMPUTED_VALUE"""),"App Glitches:Missing Content")</f>
        <v>App Glitches:Missing Content</v>
      </c>
      <c r="Q1805" s="14" t="str">
        <f>IFERROR(__xludf.DUMMYFUNCTION("split(P1805,"":"")"),"App Glitches")</f>
        <v>App Glitches</v>
      </c>
      <c r="R1805" s="14" t="str">
        <f>IFERROR(__xludf.DUMMYFUNCTION("""COMPUTED_VALUE"""),"Missing Content")</f>
        <v>Missing Content</v>
      </c>
      <c r="S1805" s="14" t="str">
        <f t="shared" ref="S1805:U1805" si="3613">trim(B1805)</f>
        <v>ord_71783</v>
      </c>
      <c r="T1805" s="14" t="str">
        <f t="shared" si="3613"/>
        <v>Diya Arora</v>
      </c>
      <c r="U1805" s="14" t="str">
        <f t="shared" si="3613"/>
        <v>Lower Parel</v>
      </c>
      <c r="V1805" s="14" t="str">
        <f t="shared" si="4"/>
        <v>Rasmalai</v>
      </c>
      <c r="W1805" s="14">
        <f t="shared" si="5"/>
        <v>4</v>
      </c>
      <c r="X1805" s="14" t="str">
        <f t="shared" si="6"/>
        <v>Not Assigned</v>
      </c>
      <c r="Y1805" s="15">
        <f t="shared" si="7"/>
        <v>45178</v>
      </c>
      <c r="Z1805" s="14" t="str">
        <f t="shared" si="8"/>
        <v>Credit Card</v>
      </c>
      <c r="AA1805" s="14" t="str">
        <f t="shared" si="9"/>
        <v>Cancelled</v>
      </c>
      <c r="AB1805" s="14" t="str">
        <f t="shared" ref="AB1805:AC1805" si="3614">trim(Q1805)</f>
        <v>App Glitches</v>
      </c>
      <c r="AC1805" s="14" t="str">
        <f t="shared" si="3614"/>
        <v>Missing Content</v>
      </c>
      <c r="AD1805" s="8"/>
    </row>
    <row r="1806">
      <c r="A1806" s="14" t="str">
        <f>IFERROR(__xludf.DUMMYFUNCTION("""COMPUTED_VALUE"""),"//ord_71784//Tanishq Bansal//Bandra//Chocolate Mousse+3*Ram Gopal/1/5/2023//Online Payment//Delivered*Overall Satisfaction: Great service will order again")</f>
        <v>//ord_71784//Tanishq Bansal//Bandra//Chocolate Mousse+3*Ram Gopal/1/5/2023//Online Payment//Delivered*Overall Satisfaction: Great service will order again</v>
      </c>
      <c r="B1806" s="14" t="str">
        <f>IFERROR(__xludf.DUMMYFUNCTION("split(A1806,""//"")"),"ord_71784")</f>
        <v>ord_71784</v>
      </c>
      <c r="C1806" s="14" t="str">
        <f>IFERROR(__xludf.DUMMYFUNCTION("""COMPUTED_VALUE"""),"Tanishq Bansal")</f>
        <v>Tanishq Bansal</v>
      </c>
      <c r="D1806" s="14" t="str">
        <f>IFERROR(__xludf.DUMMYFUNCTION("""COMPUTED_VALUE"""),"Bandra")</f>
        <v>Bandra</v>
      </c>
      <c r="E1806" s="14" t="str">
        <f>IFERROR(__xludf.DUMMYFUNCTION("""COMPUTED_VALUE"""),"Chocolate Mousse+3*Ram Gopal")</f>
        <v>Chocolate Mousse+3*Ram Gopal</v>
      </c>
      <c r="F1806" s="14">
        <f>IFERROR(__xludf.DUMMYFUNCTION("""COMPUTED_VALUE"""),1.0)</f>
        <v>1</v>
      </c>
      <c r="G1806" s="14">
        <f>IFERROR(__xludf.DUMMYFUNCTION("""COMPUTED_VALUE"""),5.0)</f>
        <v>5</v>
      </c>
      <c r="H1806" s="14">
        <f>IFERROR(__xludf.DUMMYFUNCTION("""COMPUTED_VALUE"""),2023.0)</f>
        <v>2023</v>
      </c>
      <c r="I1806" s="14" t="str">
        <f>IFERROR(__xludf.DUMMYFUNCTION("""COMPUTED_VALUE"""),"Online Payment")</f>
        <v>Online Payment</v>
      </c>
      <c r="J1806" s="14" t="str">
        <f>IFERROR(__xludf.DUMMYFUNCTION("""COMPUTED_VALUE"""),"Delivered*Overall Satisfaction: Great service will order again")</f>
        <v>Delivered*Overall Satisfaction: Great service will order again</v>
      </c>
      <c r="K1806" s="14" t="str">
        <f>IFERROR(__xludf.DUMMYFUNCTION("split(E1806,""+"")"),"Chocolate Mousse")</f>
        <v>Chocolate Mousse</v>
      </c>
      <c r="L1806" s="14" t="str">
        <f>IFERROR(__xludf.DUMMYFUNCTION("""COMPUTED_VALUE"""),"3*Ram Gopal")</f>
        <v>3*Ram Gopal</v>
      </c>
      <c r="M1806" s="14">
        <f>IFERROR(__xludf.DUMMYFUNCTION("SPLIT(L1806,""*"")"),3.0)</f>
        <v>3</v>
      </c>
      <c r="N1806" s="14" t="str">
        <f>IFERROR(__xludf.DUMMYFUNCTION("""COMPUTED_VALUE"""),"Ram Gopal")</f>
        <v>Ram Gopal</v>
      </c>
      <c r="O1806" s="14" t="str">
        <f>IFERROR(__xludf.DUMMYFUNCTION("split(J1806,""*"")"),"Delivered")</f>
        <v>Delivered</v>
      </c>
      <c r="P1806" s="14" t="str">
        <f>IFERROR(__xludf.DUMMYFUNCTION("""COMPUTED_VALUE"""),"Overall Satisfaction: Great service will order again")</f>
        <v>Overall Satisfaction: Great service will order again</v>
      </c>
      <c r="Q1806" s="14" t="str">
        <f>IFERROR(__xludf.DUMMYFUNCTION("split(P1806,"":"")"),"Overall Satisfaction")</f>
        <v>Overall Satisfaction</v>
      </c>
      <c r="R1806" s="14" t="str">
        <f>IFERROR(__xludf.DUMMYFUNCTION("""COMPUTED_VALUE""")," Great service will order again")</f>
        <v> Great service will order again</v>
      </c>
      <c r="S1806" s="14" t="str">
        <f t="shared" ref="S1806:U1806" si="3615">trim(B1806)</f>
        <v>ord_71784</v>
      </c>
      <c r="T1806" s="14" t="str">
        <f t="shared" si="3615"/>
        <v>Tanishq Bansal</v>
      </c>
      <c r="U1806" s="14" t="str">
        <f t="shared" si="3615"/>
        <v>Bandra</v>
      </c>
      <c r="V1806" s="14" t="str">
        <f t="shared" si="4"/>
        <v>Chocolate Mousse</v>
      </c>
      <c r="W1806" s="14">
        <f t="shared" si="5"/>
        <v>3</v>
      </c>
      <c r="X1806" s="14" t="str">
        <f t="shared" si="6"/>
        <v>Ram Gopal</v>
      </c>
      <c r="Y1806" s="15">
        <f t="shared" si="7"/>
        <v>44931</v>
      </c>
      <c r="Z1806" s="14" t="str">
        <f t="shared" si="8"/>
        <v>Online Payment</v>
      </c>
      <c r="AA1806" s="14" t="str">
        <f t="shared" si="9"/>
        <v>Delivered</v>
      </c>
      <c r="AB1806" s="14" t="str">
        <f t="shared" ref="AB1806:AC1806" si="3616">trim(Q1806)</f>
        <v>Overall Satisfaction</v>
      </c>
      <c r="AC1806" s="14" t="str">
        <f t="shared" si="3616"/>
        <v>Great service will order again</v>
      </c>
      <c r="AD1806" s="8"/>
    </row>
    <row r="1807">
      <c r="A1807" s="14" t="str">
        <f>IFERROR(__xludf.DUMMYFUNCTION("""COMPUTED_VALUE"""),"//ord_71785//Tanishq Bansal//Bandra//Orange+1*Vivek Kumar/6/11/2023//Online Payment//Delivered*On-time Delivery: Delivered on time")</f>
        <v>//ord_71785//Tanishq Bansal//Bandra//Orange+1*Vivek Kumar/6/11/2023//Online Payment//Delivered*On-time Delivery: Delivered on time</v>
      </c>
      <c r="B1807" s="14" t="str">
        <f>IFERROR(__xludf.DUMMYFUNCTION("split(A1807,""//"")"),"ord_71785")</f>
        <v>ord_71785</v>
      </c>
      <c r="C1807" s="14" t="str">
        <f>IFERROR(__xludf.DUMMYFUNCTION("""COMPUTED_VALUE"""),"Tanishq Bansal")</f>
        <v>Tanishq Bansal</v>
      </c>
      <c r="D1807" s="14" t="str">
        <f>IFERROR(__xludf.DUMMYFUNCTION("""COMPUTED_VALUE"""),"Bandra")</f>
        <v>Bandra</v>
      </c>
      <c r="E1807" s="14" t="str">
        <f>IFERROR(__xludf.DUMMYFUNCTION("""COMPUTED_VALUE"""),"Orange+1*Vivek Kumar")</f>
        <v>Orange+1*Vivek Kumar</v>
      </c>
      <c r="F1807" s="14">
        <f>IFERROR(__xludf.DUMMYFUNCTION("""COMPUTED_VALUE"""),6.0)</f>
        <v>6</v>
      </c>
      <c r="G1807" s="14">
        <f>IFERROR(__xludf.DUMMYFUNCTION("""COMPUTED_VALUE"""),11.0)</f>
        <v>11</v>
      </c>
      <c r="H1807" s="14">
        <f>IFERROR(__xludf.DUMMYFUNCTION("""COMPUTED_VALUE"""),2023.0)</f>
        <v>2023</v>
      </c>
      <c r="I1807" s="14" t="str">
        <f>IFERROR(__xludf.DUMMYFUNCTION("""COMPUTED_VALUE"""),"Online Payment")</f>
        <v>Online Payment</v>
      </c>
      <c r="J1807" s="14" t="str">
        <f>IFERROR(__xludf.DUMMYFUNCTION("""COMPUTED_VALUE"""),"Delivered*On-time Delivery: Delivered on time")</f>
        <v>Delivered*On-time Delivery: Delivered on time</v>
      </c>
      <c r="K1807" s="14" t="str">
        <f>IFERROR(__xludf.DUMMYFUNCTION("split(E1807,""+"")"),"Orange")</f>
        <v>Orange</v>
      </c>
      <c r="L1807" s="14" t="str">
        <f>IFERROR(__xludf.DUMMYFUNCTION("""COMPUTED_VALUE"""),"1*Vivek Kumar")</f>
        <v>1*Vivek Kumar</v>
      </c>
      <c r="M1807" s="14">
        <f>IFERROR(__xludf.DUMMYFUNCTION("SPLIT(L1807,""*"")"),1.0)</f>
        <v>1</v>
      </c>
      <c r="N1807" s="14" t="str">
        <f>IFERROR(__xludf.DUMMYFUNCTION("""COMPUTED_VALUE"""),"Vivek Kumar")</f>
        <v>Vivek Kumar</v>
      </c>
      <c r="O1807" s="14" t="str">
        <f>IFERROR(__xludf.DUMMYFUNCTION("split(J1807,""*"")"),"Delivered")</f>
        <v>Delivered</v>
      </c>
      <c r="P1807" s="14" t="str">
        <f>IFERROR(__xludf.DUMMYFUNCTION("""COMPUTED_VALUE"""),"On-time Delivery: Delivered on time")</f>
        <v>On-time Delivery: Delivered on time</v>
      </c>
      <c r="Q1807" s="14" t="str">
        <f>IFERROR(__xludf.DUMMYFUNCTION("split(P1807,"":"")"),"On-time Delivery")</f>
        <v>On-time Delivery</v>
      </c>
      <c r="R1807" s="14" t="str">
        <f>IFERROR(__xludf.DUMMYFUNCTION("""COMPUTED_VALUE""")," Delivered on time")</f>
        <v> Delivered on time</v>
      </c>
      <c r="S1807" s="14" t="str">
        <f t="shared" ref="S1807:U1807" si="3617">trim(B1807)</f>
        <v>ord_71785</v>
      </c>
      <c r="T1807" s="14" t="str">
        <f t="shared" si="3617"/>
        <v>Tanishq Bansal</v>
      </c>
      <c r="U1807" s="14" t="str">
        <f t="shared" si="3617"/>
        <v>Bandra</v>
      </c>
      <c r="V1807" s="14" t="str">
        <f t="shared" si="4"/>
        <v>Orange</v>
      </c>
      <c r="W1807" s="14">
        <f t="shared" si="5"/>
        <v>1</v>
      </c>
      <c r="X1807" s="14" t="str">
        <f t="shared" si="6"/>
        <v>Vivek Kumar</v>
      </c>
      <c r="Y1807" s="15">
        <f t="shared" si="7"/>
        <v>45088</v>
      </c>
      <c r="Z1807" s="14" t="str">
        <f t="shared" si="8"/>
        <v>Online Payment</v>
      </c>
      <c r="AA1807" s="14" t="str">
        <f t="shared" si="9"/>
        <v>Delivered</v>
      </c>
      <c r="AB1807" s="14" t="str">
        <f t="shared" ref="AB1807:AC1807" si="3618">trim(Q1807)</f>
        <v>On-time Delivery</v>
      </c>
      <c r="AC1807" s="14" t="str">
        <f t="shared" si="3618"/>
        <v>Delivered on time</v>
      </c>
      <c r="AD1807" s="8"/>
    </row>
    <row r="1808">
      <c r="A1808" s="14" t="str">
        <f>IFERROR(__xludf.DUMMYFUNCTION("""COMPUTED_VALUE"""),"//ord_71786//Arvind Kulkarni//Juhu//Tomato+1*Not Assigned/11/6/2023//Credit Card//Cancelled*App Glitches: Payment Button Malfunction")</f>
        <v>//ord_71786//Arvind Kulkarni//Juhu//Tomato+1*Not Assigned/11/6/2023//Credit Card//Cancelled*App Glitches: Payment Button Malfunction</v>
      </c>
      <c r="B1808" s="14" t="str">
        <f>IFERROR(__xludf.DUMMYFUNCTION("split(A1808,""//"")"),"ord_71786")</f>
        <v>ord_71786</v>
      </c>
      <c r="C1808" s="14" t="str">
        <f>IFERROR(__xludf.DUMMYFUNCTION("""COMPUTED_VALUE"""),"Arvind Kulkarni")</f>
        <v>Arvind Kulkarni</v>
      </c>
      <c r="D1808" s="14" t="str">
        <f>IFERROR(__xludf.DUMMYFUNCTION("""COMPUTED_VALUE"""),"Juhu")</f>
        <v>Juhu</v>
      </c>
      <c r="E1808" s="14" t="str">
        <f>IFERROR(__xludf.DUMMYFUNCTION("""COMPUTED_VALUE"""),"Tomato+1*Not Assigned")</f>
        <v>Tomato+1*Not Assigned</v>
      </c>
      <c r="F1808" s="14">
        <f>IFERROR(__xludf.DUMMYFUNCTION("""COMPUTED_VALUE"""),11.0)</f>
        <v>11</v>
      </c>
      <c r="G1808" s="14">
        <f>IFERROR(__xludf.DUMMYFUNCTION("""COMPUTED_VALUE"""),6.0)</f>
        <v>6</v>
      </c>
      <c r="H1808" s="14">
        <f>IFERROR(__xludf.DUMMYFUNCTION("""COMPUTED_VALUE"""),2023.0)</f>
        <v>2023</v>
      </c>
      <c r="I1808" s="14" t="str">
        <f>IFERROR(__xludf.DUMMYFUNCTION("""COMPUTED_VALUE"""),"Credit Card")</f>
        <v>Credit Card</v>
      </c>
      <c r="J1808" s="14" t="str">
        <f>IFERROR(__xludf.DUMMYFUNCTION("""COMPUTED_VALUE"""),"Cancelled*App Glitches: Payment Button Malfunction")</f>
        <v>Cancelled*App Glitches: Payment Button Malfunction</v>
      </c>
      <c r="K1808" s="14" t="str">
        <f>IFERROR(__xludf.DUMMYFUNCTION("split(E1808,""+"")"),"Tomato")</f>
        <v>Tomato</v>
      </c>
      <c r="L1808" s="14" t="str">
        <f>IFERROR(__xludf.DUMMYFUNCTION("""COMPUTED_VALUE"""),"1*Not Assigned")</f>
        <v>1*Not Assigned</v>
      </c>
      <c r="M1808" s="14">
        <f>IFERROR(__xludf.DUMMYFUNCTION("SPLIT(L1808,""*"")"),1.0)</f>
        <v>1</v>
      </c>
      <c r="N1808" s="14" t="str">
        <f>IFERROR(__xludf.DUMMYFUNCTION("""COMPUTED_VALUE"""),"Not Assigned")</f>
        <v>Not Assigned</v>
      </c>
      <c r="O1808" s="14" t="str">
        <f>IFERROR(__xludf.DUMMYFUNCTION("split(J1808,""*"")"),"Cancelled")</f>
        <v>Cancelled</v>
      </c>
      <c r="P1808" s="14" t="str">
        <f>IFERROR(__xludf.DUMMYFUNCTION("""COMPUTED_VALUE"""),"App Glitches: Payment Button Malfunction")</f>
        <v>App Glitches: Payment Button Malfunction</v>
      </c>
      <c r="Q1808" s="14" t="str">
        <f>IFERROR(__xludf.DUMMYFUNCTION("split(P1808,"":"")"),"App Glitches")</f>
        <v>App Glitches</v>
      </c>
      <c r="R1808" s="14" t="str">
        <f>IFERROR(__xludf.DUMMYFUNCTION("""COMPUTED_VALUE""")," Payment Button Malfunction")</f>
        <v> Payment Button Malfunction</v>
      </c>
      <c r="S1808" s="14" t="str">
        <f t="shared" ref="S1808:U1808" si="3619">trim(B1808)</f>
        <v>ord_71786</v>
      </c>
      <c r="T1808" s="14" t="str">
        <f t="shared" si="3619"/>
        <v>Arvind Kulkarni</v>
      </c>
      <c r="U1808" s="14" t="str">
        <f t="shared" si="3619"/>
        <v>Juhu</v>
      </c>
      <c r="V1808" s="14" t="str">
        <f t="shared" si="4"/>
        <v>Tomato</v>
      </c>
      <c r="W1808" s="14">
        <f t="shared" si="5"/>
        <v>1</v>
      </c>
      <c r="X1808" s="14" t="str">
        <f t="shared" si="6"/>
        <v>Not Assigned</v>
      </c>
      <c r="Y1808" s="15">
        <f t="shared" si="7"/>
        <v>45236</v>
      </c>
      <c r="Z1808" s="14" t="str">
        <f t="shared" si="8"/>
        <v>Credit Card</v>
      </c>
      <c r="AA1808" s="14" t="str">
        <f t="shared" si="9"/>
        <v>Cancelled</v>
      </c>
      <c r="AB1808" s="14" t="str">
        <f t="shared" ref="AB1808:AC1808" si="3620">trim(Q1808)</f>
        <v>App Glitches</v>
      </c>
      <c r="AC1808" s="14" t="str">
        <f t="shared" si="3620"/>
        <v>Payment Button Malfunction</v>
      </c>
      <c r="AD1808" s="8"/>
    </row>
    <row r="1809">
      <c r="A1809" s="14" t="str">
        <f>IFERROR(__xludf.DUMMYFUNCTION("""COMPUTED_VALUE"""),"//ord_71787//Ishaan Chaturvedi//Bandra//Icecream+5*Ramesh S/5/19/2023//COD//Delivered*Quality of Items: Perfect condition")</f>
        <v>//ord_71787//Ishaan Chaturvedi//Bandra//Icecream+5*Ramesh S/5/19/2023//COD//Delivered*Quality of Items: Perfect condition</v>
      </c>
      <c r="B1809" s="14" t="str">
        <f>IFERROR(__xludf.DUMMYFUNCTION("split(A1809,""//"")"),"ord_71787")</f>
        <v>ord_71787</v>
      </c>
      <c r="C1809" s="14" t="str">
        <f>IFERROR(__xludf.DUMMYFUNCTION("""COMPUTED_VALUE"""),"Ishaan Chaturvedi")</f>
        <v>Ishaan Chaturvedi</v>
      </c>
      <c r="D1809" s="14" t="str">
        <f>IFERROR(__xludf.DUMMYFUNCTION("""COMPUTED_VALUE"""),"Bandra")</f>
        <v>Bandra</v>
      </c>
      <c r="E1809" s="14" t="str">
        <f>IFERROR(__xludf.DUMMYFUNCTION("""COMPUTED_VALUE"""),"Icecream+5*Ramesh S")</f>
        <v>Icecream+5*Ramesh S</v>
      </c>
      <c r="F1809" s="14">
        <f>IFERROR(__xludf.DUMMYFUNCTION("""COMPUTED_VALUE"""),5.0)</f>
        <v>5</v>
      </c>
      <c r="G1809" s="14">
        <f>IFERROR(__xludf.DUMMYFUNCTION("""COMPUTED_VALUE"""),19.0)</f>
        <v>19</v>
      </c>
      <c r="H1809" s="14">
        <f>IFERROR(__xludf.DUMMYFUNCTION("""COMPUTED_VALUE"""),2023.0)</f>
        <v>2023</v>
      </c>
      <c r="I1809" s="14" t="str">
        <f>IFERROR(__xludf.DUMMYFUNCTION("""COMPUTED_VALUE"""),"COD")</f>
        <v>COD</v>
      </c>
      <c r="J1809" s="14" t="str">
        <f>IFERROR(__xludf.DUMMYFUNCTION("""COMPUTED_VALUE"""),"Delivered*Quality of Items: Perfect condition")</f>
        <v>Delivered*Quality of Items: Perfect condition</v>
      </c>
      <c r="K1809" s="14" t="str">
        <f>IFERROR(__xludf.DUMMYFUNCTION("split(E1809,""+"")"),"Icecream")</f>
        <v>Icecream</v>
      </c>
      <c r="L1809" s="14" t="str">
        <f>IFERROR(__xludf.DUMMYFUNCTION("""COMPUTED_VALUE"""),"5*Ramesh S")</f>
        <v>5*Ramesh S</v>
      </c>
      <c r="M1809" s="14">
        <f>IFERROR(__xludf.DUMMYFUNCTION("SPLIT(L1809,""*"")"),5.0)</f>
        <v>5</v>
      </c>
      <c r="N1809" s="14" t="str">
        <f>IFERROR(__xludf.DUMMYFUNCTION("""COMPUTED_VALUE"""),"Ramesh S")</f>
        <v>Ramesh S</v>
      </c>
      <c r="O1809" s="14" t="str">
        <f>IFERROR(__xludf.DUMMYFUNCTION("split(J1809,""*"")"),"Delivered")</f>
        <v>Delivered</v>
      </c>
      <c r="P1809" s="14" t="str">
        <f>IFERROR(__xludf.DUMMYFUNCTION("""COMPUTED_VALUE"""),"Quality of Items: Perfect condition")</f>
        <v>Quality of Items: Perfect condition</v>
      </c>
      <c r="Q1809" s="14" t="str">
        <f>IFERROR(__xludf.DUMMYFUNCTION("split(P1809,"":"")"),"Quality of Items")</f>
        <v>Quality of Items</v>
      </c>
      <c r="R1809" s="14" t="str">
        <f>IFERROR(__xludf.DUMMYFUNCTION("""COMPUTED_VALUE""")," Perfect condition")</f>
        <v> Perfect condition</v>
      </c>
      <c r="S1809" s="14" t="str">
        <f t="shared" ref="S1809:U1809" si="3621">trim(B1809)</f>
        <v>ord_71787</v>
      </c>
      <c r="T1809" s="14" t="str">
        <f t="shared" si="3621"/>
        <v>Ishaan Chaturvedi</v>
      </c>
      <c r="U1809" s="14" t="str">
        <f t="shared" si="3621"/>
        <v>Bandra</v>
      </c>
      <c r="V1809" s="14" t="str">
        <f t="shared" si="4"/>
        <v>Icecream</v>
      </c>
      <c r="W1809" s="14">
        <f t="shared" si="5"/>
        <v>5</v>
      </c>
      <c r="X1809" s="14" t="str">
        <f t="shared" si="6"/>
        <v>Ramesh S</v>
      </c>
      <c r="Y1809" s="15">
        <f t="shared" si="7"/>
        <v>45065</v>
      </c>
      <c r="Z1809" s="14" t="str">
        <f t="shared" si="8"/>
        <v>COD</v>
      </c>
      <c r="AA1809" s="14" t="str">
        <f t="shared" si="9"/>
        <v>Delivered</v>
      </c>
      <c r="AB1809" s="14" t="str">
        <f t="shared" ref="AB1809:AC1809" si="3622">trim(Q1809)</f>
        <v>Quality of Items</v>
      </c>
      <c r="AC1809" s="14" t="str">
        <f t="shared" si="3622"/>
        <v>Perfect condition</v>
      </c>
      <c r="AD1809" s="8"/>
    </row>
    <row r="1810">
      <c r="A1810" s="14" t="str">
        <f>IFERROR(__xludf.DUMMYFUNCTION("""COMPUTED_VALUE"""),"//ord_71788//Tanishq Bansal//Powai//Juice+2*Not Assigned/10/4/2023//Online Payment//Cancelled*Payment Issues")</f>
        <v>//ord_71788//Tanishq Bansal//Powai//Juice+2*Not Assigned/10/4/2023//Online Payment//Cancelled*Payment Issues</v>
      </c>
      <c r="B1810" s="14" t="str">
        <f>IFERROR(__xludf.DUMMYFUNCTION("split(A1810,""//"")"),"ord_71788")</f>
        <v>ord_71788</v>
      </c>
      <c r="C1810" s="14" t="str">
        <f>IFERROR(__xludf.DUMMYFUNCTION("""COMPUTED_VALUE"""),"Tanishq Bansal")</f>
        <v>Tanishq Bansal</v>
      </c>
      <c r="D1810" s="14" t="str">
        <f>IFERROR(__xludf.DUMMYFUNCTION("""COMPUTED_VALUE"""),"Powai")</f>
        <v>Powai</v>
      </c>
      <c r="E1810" s="14" t="str">
        <f>IFERROR(__xludf.DUMMYFUNCTION("""COMPUTED_VALUE"""),"Juice+2*Not Assigned")</f>
        <v>Juice+2*Not Assigned</v>
      </c>
      <c r="F1810" s="14">
        <f>IFERROR(__xludf.DUMMYFUNCTION("""COMPUTED_VALUE"""),10.0)</f>
        <v>10</v>
      </c>
      <c r="G1810" s="14">
        <f>IFERROR(__xludf.DUMMYFUNCTION("""COMPUTED_VALUE"""),4.0)</f>
        <v>4</v>
      </c>
      <c r="H1810" s="14">
        <f>IFERROR(__xludf.DUMMYFUNCTION("""COMPUTED_VALUE"""),2023.0)</f>
        <v>2023</v>
      </c>
      <c r="I1810" s="14" t="str">
        <f>IFERROR(__xludf.DUMMYFUNCTION("""COMPUTED_VALUE"""),"Online Payment")</f>
        <v>Online Payment</v>
      </c>
      <c r="J1810" s="14" t="str">
        <f>IFERROR(__xludf.DUMMYFUNCTION("""COMPUTED_VALUE"""),"Cancelled*Payment Issues")</f>
        <v>Cancelled*Payment Issues</v>
      </c>
      <c r="K1810" s="14" t="str">
        <f>IFERROR(__xludf.DUMMYFUNCTION("split(E1810,""+"")"),"Juice")</f>
        <v>Juice</v>
      </c>
      <c r="L1810" s="14" t="str">
        <f>IFERROR(__xludf.DUMMYFUNCTION("""COMPUTED_VALUE"""),"2*Not Assigned")</f>
        <v>2*Not Assigned</v>
      </c>
      <c r="M1810" s="14">
        <f>IFERROR(__xludf.DUMMYFUNCTION("SPLIT(L1810,""*"")"),2.0)</f>
        <v>2</v>
      </c>
      <c r="N1810" s="14" t="str">
        <f>IFERROR(__xludf.DUMMYFUNCTION("""COMPUTED_VALUE"""),"Not Assigned")</f>
        <v>Not Assigned</v>
      </c>
      <c r="O1810" s="14" t="str">
        <f>IFERROR(__xludf.DUMMYFUNCTION("split(J1810,""*"")"),"Cancelled")</f>
        <v>Cancelled</v>
      </c>
      <c r="P1810" s="14" t="str">
        <f>IFERROR(__xludf.DUMMYFUNCTION("""COMPUTED_VALUE"""),"Payment Issues")</f>
        <v>Payment Issues</v>
      </c>
      <c r="Q1810" s="14" t="str">
        <f>IFERROR(__xludf.DUMMYFUNCTION("split(P1810,"":"")"),"Payment Issues")</f>
        <v>Payment Issues</v>
      </c>
      <c r="R1810" s="14"/>
      <c r="S1810" s="14" t="str">
        <f t="shared" ref="S1810:U1810" si="3623">trim(B1810)</f>
        <v>ord_71788</v>
      </c>
      <c r="T1810" s="14" t="str">
        <f t="shared" si="3623"/>
        <v>Tanishq Bansal</v>
      </c>
      <c r="U1810" s="14" t="str">
        <f t="shared" si="3623"/>
        <v>Powai</v>
      </c>
      <c r="V1810" s="14" t="str">
        <f t="shared" si="4"/>
        <v>Juice</v>
      </c>
      <c r="W1810" s="14">
        <f t="shared" si="5"/>
        <v>2</v>
      </c>
      <c r="X1810" s="14" t="str">
        <f t="shared" si="6"/>
        <v>Not Assigned</v>
      </c>
      <c r="Y1810" s="15">
        <f t="shared" si="7"/>
        <v>45203</v>
      </c>
      <c r="Z1810" s="14" t="str">
        <f t="shared" si="8"/>
        <v>Online Payment</v>
      </c>
      <c r="AA1810" s="14" t="str">
        <f t="shared" si="9"/>
        <v>Cancelled</v>
      </c>
      <c r="AB1810" s="14" t="str">
        <f t="shared" ref="AB1810:AC1810" si="3624">trim(Q1810)</f>
        <v>Payment Issues</v>
      </c>
      <c r="AC1810" s="14" t="str">
        <f t="shared" si="3624"/>
        <v/>
      </c>
      <c r="AD1810" s="8"/>
    </row>
    <row r="1811">
      <c r="A1811" s="14" t="str">
        <f>IFERROR(__xludf.DUMMYFUNCTION("""COMPUTED_VALUE"""),"//ord_71789//Tanishq Bansal//Powai//Chicken Puff+3*Venu R/2/23/2023//Credit Card//Delivered*On-time Delivery: Delivered on time")</f>
        <v>//ord_71789//Tanishq Bansal//Powai//Chicken Puff+3*Venu R/2/23/2023//Credit Card//Delivered*On-time Delivery: Delivered on time</v>
      </c>
      <c r="B1811" s="14" t="str">
        <f>IFERROR(__xludf.DUMMYFUNCTION("split(A1811,""//"")"),"ord_71789")</f>
        <v>ord_71789</v>
      </c>
      <c r="C1811" s="14" t="str">
        <f>IFERROR(__xludf.DUMMYFUNCTION("""COMPUTED_VALUE"""),"Tanishq Bansal")</f>
        <v>Tanishq Bansal</v>
      </c>
      <c r="D1811" s="14" t="str">
        <f>IFERROR(__xludf.DUMMYFUNCTION("""COMPUTED_VALUE"""),"Powai")</f>
        <v>Powai</v>
      </c>
      <c r="E1811" s="14" t="str">
        <f>IFERROR(__xludf.DUMMYFUNCTION("""COMPUTED_VALUE"""),"Chicken Puff+3*Venu R")</f>
        <v>Chicken Puff+3*Venu R</v>
      </c>
      <c r="F1811" s="14">
        <f>IFERROR(__xludf.DUMMYFUNCTION("""COMPUTED_VALUE"""),2.0)</f>
        <v>2</v>
      </c>
      <c r="G1811" s="14">
        <f>IFERROR(__xludf.DUMMYFUNCTION("""COMPUTED_VALUE"""),23.0)</f>
        <v>23</v>
      </c>
      <c r="H1811" s="14">
        <f>IFERROR(__xludf.DUMMYFUNCTION("""COMPUTED_VALUE"""),2023.0)</f>
        <v>2023</v>
      </c>
      <c r="I1811" s="14" t="str">
        <f>IFERROR(__xludf.DUMMYFUNCTION("""COMPUTED_VALUE"""),"Credit Card")</f>
        <v>Credit Card</v>
      </c>
      <c r="J1811" s="14" t="str">
        <f>IFERROR(__xludf.DUMMYFUNCTION("""COMPUTED_VALUE"""),"Delivered*On-time Delivery: Delivered on time")</f>
        <v>Delivered*On-time Delivery: Delivered on time</v>
      </c>
      <c r="K1811" s="14" t="str">
        <f>IFERROR(__xludf.DUMMYFUNCTION("split(E1811,""+"")"),"Chicken Puff")</f>
        <v>Chicken Puff</v>
      </c>
      <c r="L1811" s="14" t="str">
        <f>IFERROR(__xludf.DUMMYFUNCTION("""COMPUTED_VALUE"""),"3*Venu R")</f>
        <v>3*Venu R</v>
      </c>
      <c r="M1811" s="14">
        <f>IFERROR(__xludf.DUMMYFUNCTION("SPLIT(L1811,""*"")"),3.0)</f>
        <v>3</v>
      </c>
      <c r="N1811" s="14" t="str">
        <f>IFERROR(__xludf.DUMMYFUNCTION("""COMPUTED_VALUE"""),"Venu R")</f>
        <v>Venu R</v>
      </c>
      <c r="O1811" s="14" t="str">
        <f>IFERROR(__xludf.DUMMYFUNCTION("split(J1811,""*"")"),"Delivered")</f>
        <v>Delivered</v>
      </c>
      <c r="P1811" s="14" t="str">
        <f>IFERROR(__xludf.DUMMYFUNCTION("""COMPUTED_VALUE"""),"On-time Delivery: Delivered on time")</f>
        <v>On-time Delivery: Delivered on time</v>
      </c>
      <c r="Q1811" s="14" t="str">
        <f>IFERROR(__xludf.DUMMYFUNCTION("split(P1811,"":"")"),"On-time Delivery")</f>
        <v>On-time Delivery</v>
      </c>
      <c r="R1811" s="14" t="str">
        <f>IFERROR(__xludf.DUMMYFUNCTION("""COMPUTED_VALUE""")," Delivered on time")</f>
        <v> Delivered on time</v>
      </c>
      <c r="S1811" s="14" t="str">
        <f t="shared" ref="S1811:U1811" si="3625">trim(B1811)</f>
        <v>ord_71789</v>
      </c>
      <c r="T1811" s="14" t="str">
        <f t="shared" si="3625"/>
        <v>Tanishq Bansal</v>
      </c>
      <c r="U1811" s="14" t="str">
        <f t="shared" si="3625"/>
        <v>Powai</v>
      </c>
      <c r="V1811" s="14" t="str">
        <f t="shared" si="4"/>
        <v>Chicken Puff</v>
      </c>
      <c r="W1811" s="14">
        <f t="shared" si="5"/>
        <v>3</v>
      </c>
      <c r="X1811" s="14" t="str">
        <f t="shared" si="6"/>
        <v>Venu R</v>
      </c>
      <c r="Y1811" s="15">
        <f t="shared" si="7"/>
        <v>44980</v>
      </c>
      <c r="Z1811" s="14" t="str">
        <f t="shared" si="8"/>
        <v>Credit Card</v>
      </c>
      <c r="AA1811" s="14" t="str">
        <f t="shared" si="9"/>
        <v>Delivered</v>
      </c>
      <c r="AB1811" s="14" t="str">
        <f t="shared" ref="AB1811:AC1811" si="3626">trim(Q1811)</f>
        <v>On-time Delivery</v>
      </c>
      <c r="AC1811" s="14" t="str">
        <f t="shared" si="3626"/>
        <v>Delivered on time</v>
      </c>
      <c r="AD1811" s="8"/>
    </row>
    <row r="1812">
      <c r="A1812" s="14" t="str">
        <f>IFERROR(__xludf.DUMMYFUNCTION("""COMPUTED_VALUE"""),"//ord_71790//Mohit Malhotra//Lower Parel//Veg Puff+1*Venu R/9/7/2023//COD//Delivered*Quality of Items: Perfect condition")</f>
        <v>//ord_71790//Mohit Malhotra//Lower Parel//Veg Puff+1*Venu R/9/7/2023//COD//Delivered*Quality of Items: Perfect condition</v>
      </c>
      <c r="B1812" s="14" t="str">
        <f>IFERROR(__xludf.DUMMYFUNCTION("split(A1812,""//"")"),"ord_71790")</f>
        <v>ord_71790</v>
      </c>
      <c r="C1812" s="14" t="str">
        <f>IFERROR(__xludf.DUMMYFUNCTION("""COMPUTED_VALUE"""),"Mohit Malhotra")</f>
        <v>Mohit Malhotra</v>
      </c>
      <c r="D1812" s="14" t="str">
        <f>IFERROR(__xludf.DUMMYFUNCTION("""COMPUTED_VALUE"""),"Lower Parel")</f>
        <v>Lower Parel</v>
      </c>
      <c r="E1812" s="14" t="str">
        <f>IFERROR(__xludf.DUMMYFUNCTION("""COMPUTED_VALUE"""),"Veg Puff+1*Venu R")</f>
        <v>Veg Puff+1*Venu R</v>
      </c>
      <c r="F1812" s="14">
        <f>IFERROR(__xludf.DUMMYFUNCTION("""COMPUTED_VALUE"""),9.0)</f>
        <v>9</v>
      </c>
      <c r="G1812" s="14">
        <f>IFERROR(__xludf.DUMMYFUNCTION("""COMPUTED_VALUE"""),7.0)</f>
        <v>7</v>
      </c>
      <c r="H1812" s="14">
        <f>IFERROR(__xludf.DUMMYFUNCTION("""COMPUTED_VALUE"""),2023.0)</f>
        <v>2023</v>
      </c>
      <c r="I1812" s="14" t="str">
        <f>IFERROR(__xludf.DUMMYFUNCTION("""COMPUTED_VALUE"""),"COD")</f>
        <v>COD</v>
      </c>
      <c r="J1812" s="14" t="str">
        <f>IFERROR(__xludf.DUMMYFUNCTION("""COMPUTED_VALUE"""),"Delivered*Quality of Items: Perfect condition")</f>
        <v>Delivered*Quality of Items: Perfect condition</v>
      </c>
      <c r="K1812" s="14" t="str">
        <f>IFERROR(__xludf.DUMMYFUNCTION("split(E1812,""+"")"),"Veg Puff")</f>
        <v>Veg Puff</v>
      </c>
      <c r="L1812" s="14" t="str">
        <f>IFERROR(__xludf.DUMMYFUNCTION("""COMPUTED_VALUE"""),"1*Venu R")</f>
        <v>1*Venu R</v>
      </c>
      <c r="M1812" s="14">
        <f>IFERROR(__xludf.DUMMYFUNCTION("SPLIT(L1812,""*"")"),1.0)</f>
        <v>1</v>
      </c>
      <c r="N1812" s="14" t="str">
        <f>IFERROR(__xludf.DUMMYFUNCTION("""COMPUTED_VALUE"""),"Venu R")</f>
        <v>Venu R</v>
      </c>
      <c r="O1812" s="14" t="str">
        <f>IFERROR(__xludf.DUMMYFUNCTION("split(J1812,""*"")"),"Delivered")</f>
        <v>Delivered</v>
      </c>
      <c r="P1812" s="14" t="str">
        <f>IFERROR(__xludf.DUMMYFUNCTION("""COMPUTED_VALUE"""),"Quality of Items: Perfect condition")</f>
        <v>Quality of Items: Perfect condition</v>
      </c>
      <c r="Q1812" s="14" t="str">
        <f>IFERROR(__xludf.DUMMYFUNCTION("split(P1812,"":"")"),"Quality of Items")</f>
        <v>Quality of Items</v>
      </c>
      <c r="R1812" s="14" t="str">
        <f>IFERROR(__xludf.DUMMYFUNCTION("""COMPUTED_VALUE""")," Perfect condition")</f>
        <v> Perfect condition</v>
      </c>
      <c r="S1812" s="14" t="str">
        <f t="shared" ref="S1812:U1812" si="3627">trim(B1812)</f>
        <v>ord_71790</v>
      </c>
      <c r="T1812" s="14" t="str">
        <f t="shared" si="3627"/>
        <v>Mohit Malhotra</v>
      </c>
      <c r="U1812" s="14" t="str">
        <f t="shared" si="3627"/>
        <v>Lower Parel</v>
      </c>
      <c r="V1812" s="14" t="str">
        <f t="shared" si="4"/>
        <v>Veg Puff</v>
      </c>
      <c r="W1812" s="14">
        <f t="shared" si="5"/>
        <v>1</v>
      </c>
      <c r="X1812" s="14" t="str">
        <f t="shared" si="6"/>
        <v>Venu R</v>
      </c>
      <c r="Y1812" s="15">
        <f t="shared" si="7"/>
        <v>45176</v>
      </c>
      <c r="Z1812" s="14" t="str">
        <f t="shared" si="8"/>
        <v>COD</v>
      </c>
      <c r="AA1812" s="14" t="str">
        <f t="shared" si="9"/>
        <v>Delivered</v>
      </c>
      <c r="AB1812" s="14" t="str">
        <f t="shared" ref="AB1812:AC1812" si="3628">trim(Q1812)</f>
        <v>Quality of Items</v>
      </c>
      <c r="AC1812" s="14" t="str">
        <f t="shared" si="3628"/>
        <v>Perfect condition</v>
      </c>
      <c r="AD1812" s="8"/>
    </row>
    <row r="1813">
      <c r="A1813" s="14" t="str">
        <f>IFERROR(__xludf.DUMMYFUNCTION("""COMPUTED_VALUE"""),"//ord_71791//Aarav Mehta//Andheri//Veg Puff+3*Ram Gopal/10/13/2023//COD//Delivered*Packaging: Secure and intact")</f>
        <v>//ord_71791//Aarav Mehta//Andheri//Veg Puff+3*Ram Gopal/10/13/2023//COD//Delivered*Packaging: Secure and intact</v>
      </c>
      <c r="B1813" s="14" t="str">
        <f>IFERROR(__xludf.DUMMYFUNCTION("split(A1813,""//"")"),"ord_71791")</f>
        <v>ord_71791</v>
      </c>
      <c r="C1813" s="14" t="str">
        <f>IFERROR(__xludf.DUMMYFUNCTION("""COMPUTED_VALUE"""),"Aarav Mehta")</f>
        <v>Aarav Mehta</v>
      </c>
      <c r="D1813" s="14" t="str">
        <f>IFERROR(__xludf.DUMMYFUNCTION("""COMPUTED_VALUE"""),"Andheri")</f>
        <v>Andheri</v>
      </c>
      <c r="E1813" s="14" t="str">
        <f>IFERROR(__xludf.DUMMYFUNCTION("""COMPUTED_VALUE"""),"Veg Puff+3*Ram Gopal")</f>
        <v>Veg Puff+3*Ram Gopal</v>
      </c>
      <c r="F1813" s="14">
        <f>IFERROR(__xludf.DUMMYFUNCTION("""COMPUTED_VALUE"""),10.0)</f>
        <v>10</v>
      </c>
      <c r="G1813" s="14">
        <f>IFERROR(__xludf.DUMMYFUNCTION("""COMPUTED_VALUE"""),13.0)</f>
        <v>13</v>
      </c>
      <c r="H1813" s="14">
        <f>IFERROR(__xludf.DUMMYFUNCTION("""COMPUTED_VALUE"""),2023.0)</f>
        <v>2023</v>
      </c>
      <c r="I1813" s="14" t="str">
        <f>IFERROR(__xludf.DUMMYFUNCTION("""COMPUTED_VALUE"""),"COD")</f>
        <v>COD</v>
      </c>
      <c r="J1813" s="14" t="str">
        <f>IFERROR(__xludf.DUMMYFUNCTION("""COMPUTED_VALUE"""),"Delivered*Packaging: Secure and intact")</f>
        <v>Delivered*Packaging: Secure and intact</v>
      </c>
      <c r="K1813" s="14" t="str">
        <f>IFERROR(__xludf.DUMMYFUNCTION("split(E1813,""+"")"),"Veg Puff")</f>
        <v>Veg Puff</v>
      </c>
      <c r="L1813" s="14" t="str">
        <f>IFERROR(__xludf.DUMMYFUNCTION("""COMPUTED_VALUE"""),"3*Ram Gopal")</f>
        <v>3*Ram Gopal</v>
      </c>
      <c r="M1813" s="14">
        <f>IFERROR(__xludf.DUMMYFUNCTION("SPLIT(L1813,""*"")"),3.0)</f>
        <v>3</v>
      </c>
      <c r="N1813" s="14" t="str">
        <f>IFERROR(__xludf.DUMMYFUNCTION("""COMPUTED_VALUE"""),"Ram Gopal")</f>
        <v>Ram Gopal</v>
      </c>
      <c r="O1813" s="14" t="str">
        <f>IFERROR(__xludf.DUMMYFUNCTION("split(J1813,""*"")"),"Delivered")</f>
        <v>Delivered</v>
      </c>
      <c r="P1813" s="14" t="str">
        <f>IFERROR(__xludf.DUMMYFUNCTION("""COMPUTED_VALUE"""),"Packaging: Secure and intact")</f>
        <v>Packaging: Secure and intact</v>
      </c>
      <c r="Q1813" s="14" t="str">
        <f>IFERROR(__xludf.DUMMYFUNCTION("split(P1813,"":"")"),"Packaging")</f>
        <v>Packaging</v>
      </c>
      <c r="R1813" s="14" t="str">
        <f>IFERROR(__xludf.DUMMYFUNCTION("""COMPUTED_VALUE""")," Secure and intact")</f>
        <v> Secure and intact</v>
      </c>
      <c r="S1813" s="14" t="str">
        <f t="shared" ref="S1813:U1813" si="3629">trim(B1813)</f>
        <v>ord_71791</v>
      </c>
      <c r="T1813" s="14" t="str">
        <f t="shared" si="3629"/>
        <v>Aarav Mehta</v>
      </c>
      <c r="U1813" s="14" t="str">
        <f t="shared" si="3629"/>
        <v>Andheri</v>
      </c>
      <c r="V1813" s="14" t="str">
        <f t="shared" si="4"/>
        <v>Veg Puff</v>
      </c>
      <c r="W1813" s="14">
        <f t="shared" si="5"/>
        <v>3</v>
      </c>
      <c r="X1813" s="14" t="str">
        <f t="shared" si="6"/>
        <v>Ram Gopal</v>
      </c>
      <c r="Y1813" s="15">
        <f t="shared" si="7"/>
        <v>45212</v>
      </c>
      <c r="Z1813" s="14" t="str">
        <f t="shared" si="8"/>
        <v>COD</v>
      </c>
      <c r="AA1813" s="14" t="str">
        <f t="shared" si="9"/>
        <v>Delivered</v>
      </c>
      <c r="AB1813" s="14" t="str">
        <f t="shared" ref="AB1813:AC1813" si="3630">trim(Q1813)</f>
        <v>Packaging</v>
      </c>
      <c r="AC1813" s="14" t="str">
        <f t="shared" si="3630"/>
        <v>Secure and intact</v>
      </c>
      <c r="AD1813" s="8"/>
    </row>
    <row r="1814">
      <c r="A1814" s="14" t="str">
        <f>IFERROR(__xludf.DUMMYFUNCTION("""COMPUTED_VALUE"""),"//ord_71792//Tanishq Bansal//Bandra//Cucumber+1*Sita T/11/12/2023//Credit Card//Delivered*Satisfied with the Delivery: Timely and quality")</f>
        <v>//ord_71792//Tanishq Bansal//Bandra//Cucumber+1*Sita T/11/12/2023//Credit Card//Delivered*Satisfied with the Delivery: Timely and quality</v>
      </c>
      <c r="B1814" s="14" t="str">
        <f>IFERROR(__xludf.DUMMYFUNCTION("split(A1814,""//"")"),"ord_71792")</f>
        <v>ord_71792</v>
      </c>
      <c r="C1814" s="14" t="str">
        <f>IFERROR(__xludf.DUMMYFUNCTION("""COMPUTED_VALUE"""),"Tanishq Bansal")</f>
        <v>Tanishq Bansal</v>
      </c>
      <c r="D1814" s="14" t="str">
        <f>IFERROR(__xludf.DUMMYFUNCTION("""COMPUTED_VALUE"""),"Bandra")</f>
        <v>Bandra</v>
      </c>
      <c r="E1814" s="14" t="str">
        <f>IFERROR(__xludf.DUMMYFUNCTION("""COMPUTED_VALUE"""),"Cucumber+1*Sita T")</f>
        <v>Cucumber+1*Sita T</v>
      </c>
      <c r="F1814" s="14">
        <f>IFERROR(__xludf.DUMMYFUNCTION("""COMPUTED_VALUE"""),11.0)</f>
        <v>11</v>
      </c>
      <c r="G1814" s="14">
        <f>IFERROR(__xludf.DUMMYFUNCTION("""COMPUTED_VALUE"""),12.0)</f>
        <v>12</v>
      </c>
      <c r="H1814" s="14">
        <f>IFERROR(__xludf.DUMMYFUNCTION("""COMPUTED_VALUE"""),2023.0)</f>
        <v>2023</v>
      </c>
      <c r="I1814" s="14" t="str">
        <f>IFERROR(__xludf.DUMMYFUNCTION("""COMPUTED_VALUE"""),"Credit Card")</f>
        <v>Credit Card</v>
      </c>
      <c r="J1814" s="14" t="str">
        <f>IFERROR(__xludf.DUMMYFUNCTION("""COMPUTED_VALUE"""),"Delivered*Satisfied with the Delivery: Timely and quality")</f>
        <v>Delivered*Satisfied with the Delivery: Timely and quality</v>
      </c>
      <c r="K1814" s="14" t="str">
        <f>IFERROR(__xludf.DUMMYFUNCTION("split(E1814,""+"")"),"Cucumber")</f>
        <v>Cucumber</v>
      </c>
      <c r="L1814" s="14" t="str">
        <f>IFERROR(__xludf.DUMMYFUNCTION("""COMPUTED_VALUE"""),"1*Sita T")</f>
        <v>1*Sita T</v>
      </c>
      <c r="M1814" s="14">
        <f>IFERROR(__xludf.DUMMYFUNCTION("SPLIT(L1814,""*"")"),1.0)</f>
        <v>1</v>
      </c>
      <c r="N1814" s="14" t="str">
        <f>IFERROR(__xludf.DUMMYFUNCTION("""COMPUTED_VALUE"""),"Sita T")</f>
        <v>Sita T</v>
      </c>
      <c r="O1814" s="14" t="str">
        <f>IFERROR(__xludf.DUMMYFUNCTION("split(J1814,""*"")"),"Delivered")</f>
        <v>Delivered</v>
      </c>
      <c r="P1814" s="14" t="str">
        <f>IFERROR(__xludf.DUMMYFUNCTION("""COMPUTED_VALUE"""),"Satisfied with the Delivery: Timely and quality")</f>
        <v>Satisfied with the Delivery: Timely and quality</v>
      </c>
      <c r="Q1814" s="14" t="str">
        <f>IFERROR(__xludf.DUMMYFUNCTION("split(P1814,"":"")"),"Satisfied with the Delivery")</f>
        <v>Satisfied with the Delivery</v>
      </c>
      <c r="R1814" s="14" t="str">
        <f>IFERROR(__xludf.DUMMYFUNCTION("""COMPUTED_VALUE""")," Timely and quality")</f>
        <v> Timely and quality</v>
      </c>
      <c r="S1814" s="14" t="str">
        <f t="shared" ref="S1814:U1814" si="3631">trim(B1814)</f>
        <v>ord_71792</v>
      </c>
      <c r="T1814" s="14" t="str">
        <f t="shared" si="3631"/>
        <v>Tanishq Bansal</v>
      </c>
      <c r="U1814" s="14" t="str">
        <f t="shared" si="3631"/>
        <v>Bandra</v>
      </c>
      <c r="V1814" s="14" t="str">
        <f t="shared" si="4"/>
        <v>Cucumber</v>
      </c>
      <c r="W1814" s="14">
        <f t="shared" si="5"/>
        <v>1</v>
      </c>
      <c r="X1814" s="14" t="str">
        <f t="shared" si="6"/>
        <v>Sita T</v>
      </c>
      <c r="Y1814" s="15">
        <f t="shared" si="7"/>
        <v>45242</v>
      </c>
      <c r="Z1814" s="14" t="str">
        <f t="shared" si="8"/>
        <v>Credit Card</v>
      </c>
      <c r="AA1814" s="14" t="str">
        <f t="shared" si="9"/>
        <v>Delivered</v>
      </c>
      <c r="AB1814" s="14" t="str">
        <f t="shared" ref="AB1814:AC1814" si="3632">trim(Q1814)</f>
        <v>Satisfied with the Delivery</v>
      </c>
      <c r="AC1814" s="14" t="str">
        <f t="shared" si="3632"/>
        <v>Timely and quality</v>
      </c>
      <c r="AD1814" s="8"/>
    </row>
    <row r="1815">
      <c r="A1815" s="14" t="str">
        <f>IFERROR(__xludf.DUMMYFUNCTION("""COMPUTED_VALUE"""),"//ord_71793//Pranav Joshi//Andheri//Sweet Corn+2*Vivek Kumar/5/19/2023//Online Payment//Delivered*Customer Service: Seamless and easy")</f>
        <v>//ord_71793//Pranav Joshi//Andheri//Sweet Corn+2*Vivek Kumar/5/19/2023//Online Payment//Delivered*Customer Service: Seamless and easy</v>
      </c>
      <c r="B1815" s="14" t="str">
        <f>IFERROR(__xludf.DUMMYFUNCTION("split(A1815,""//"")"),"ord_71793")</f>
        <v>ord_71793</v>
      </c>
      <c r="C1815" s="14" t="str">
        <f>IFERROR(__xludf.DUMMYFUNCTION("""COMPUTED_VALUE"""),"Pranav Joshi")</f>
        <v>Pranav Joshi</v>
      </c>
      <c r="D1815" s="14" t="str">
        <f>IFERROR(__xludf.DUMMYFUNCTION("""COMPUTED_VALUE"""),"Andheri")</f>
        <v>Andheri</v>
      </c>
      <c r="E1815" s="14" t="str">
        <f>IFERROR(__xludf.DUMMYFUNCTION("""COMPUTED_VALUE"""),"Sweet Corn+2*Vivek Kumar")</f>
        <v>Sweet Corn+2*Vivek Kumar</v>
      </c>
      <c r="F1815" s="14">
        <f>IFERROR(__xludf.DUMMYFUNCTION("""COMPUTED_VALUE"""),5.0)</f>
        <v>5</v>
      </c>
      <c r="G1815" s="14">
        <f>IFERROR(__xludf.DUMMYFUNCTION("""COMPUTED_VALUE"""),19.0)</f>
        <v>19</v>
      </c>
      <c r="H1815" s="14">
        <f>IFERROR(__xludf.DUMMYFUNCTION("""COMPUTED_VALUE"""),2023.0)</f>
        <v>2023</v>
      </c>
      <c r="I1815" s="14" t="str">
        <f>IFERROR(__xludf.DUMMYFUNCTION("""COMPUTED_VALUE"""),"Online Payment")</f>
        <v>Online Payment</v>
      </c>
      <c r="J1815" s="14" t="str">
        <f>IFERROR(__xludf.DUMMYFUNCTION("""COMPUTED_VALUE"""),"Delivered*Customer Service: Seamless and easy")</f>
        <v>Delivered*Customer Service: Seamless and easy</v>
      </c>
      <c r="K1815" s="14" t="str">
        <f>IFERROR(__xludf.DUMMYFUNCTION("split(E1815,""+"")"),"Sweet Corn")</f>
        <v>Sweet Corn</v>
      </c>
      <c r="L1815" s="14" t="str">
        <f>IFERROR(__xludf.DUMMYFUNCTION("""COMPUTED_VALUE"""),"2*Vivek Kumar")</f>
        <v>2*Vivek Kumar</v>
      </c>
      <c r="M1815" s="14">
        <f>IFERROR(__xludf.DUMMYFUNCTION("SPLIT(L1815,""*"")"),2.0)</f>
        <v>2</v>
      </c>
      <c r="N1815" s="14" t="str">
        <f>IFERROR(__xludf.DUMMYFUNCTION("""COMPUTED_VALUE"""),"Vivek Kumar")</f>
        <v>Vivek Kumar</v>
      </c>
      <c r="O1815" s="14" t="str">
        <f>IFERROR(__xludf.DUMMYFUNCTION("split(J1815,""*"")"),"Delivered")</f>
        <v>Delivered</v>
      </c>
      <c r="P1815" s="14" t="str">
        <f>IFERROR(__xludf.DUMMYFUNCTION("""COMPUTED_VALUE"""),"Customer Service: Seamless and easy")</f>
        <v>Customer Service: Seamless and easy</v>
      </c>
      <c r="Q1815" s="14" t="str">
        <f>IFERROR(__xludf.DUMMYFUNCTION("split(P1815,"":"")"),"Customer Service")</f>
        <v>Customer Service</v>
      </c>
      <c r="R1815" s="14" t="str">
        <f>IFERROR(__xludf.DUMMYFUNCTION("""COMPUTED_VALUE""")," Seamless and easy")</f>
        <v> Seamless and easy</v>
      </c>
      <c r="S1815" s="14" t="str">
        <f t="shared" ref="S1815:U1815" si="3633">trim(B1815)</f>
        <v>ord_71793</v>
      </c>
      <c r="T1815" s="14" t="str">
        <f t="shared" si="3633"/>
        <v>Pranav Joshi</v>
      </c>
      <c r="U1815" s="14" t="str">
        <f t="shared" si="3633"/>
        <v>Andheri</v>
      </c>
      <c r="V1815" s="14" t="str">
        <f t="shared" si="4"/>
        <v>Sweet Corn</v>
      </c>
      <c r="W1815" s="14">
        <f t="shared" si="5"/>
        <v>2</v>
      </c>
      <c r="X1815" s="14" t="str">
        <f t="shared" si="6"/>
        <v>Vivek Kumar</v>
      </c>
      <c r="Y1815" s="15">
        <f t="shared" si="7"/>
        <v>45065</v>
      </c>
      <c r="Z1815" s="14" t="str">
        <f t="shared" si="8"/>
        <v>Online Payment</v>
      </c>
      <c r="AA1815" s="14" t="str">
        <f t="shared" si="9"/>
        <v>Delivered</v>
      </c>
      <c r="AB1815" s="14" t="str">
        <f t="shared" ref="AB1815:AC1815" si="3634">trim(Q1815)</f>
        <v>Customer Service</v>
      </c>
      <c r="AC1815" s="14" t="str">
        <f t="shared" si="3634"/>
        <v>Seamless and easy</v>
      </c>
      <c r="AD1815" s="8"/>
    </row>
    <row r="1816">
      <c r="A1816" s="14" t="str">
        <f>IFERROR(__xludf.DUMMYFUNCTION("""COMPUTED_VALUE"""),"//ord_71794//Aditi Iyer//Dadar//Chilli Cheese Toast+5*Sita T/7/3/2023//UPI//Delivered*Delivery Experience: Quick and professional")</f>
        <v>//ord_71794//Aditi Iyer//Dadar//Chilli Cheese Toast+5*Sita T/7/3/2023//UPI//Delivered*Delivery Experience: Quick and professional</v>
      </c>
      <c r="B1816" s="14" t="str">
        <f>IFERROR(__xludf.DUMMYFUNCTION("split(A1816,""//"")"),"ord_71794")</f>
        <v>ord_71794</v>
      </c>
      <c r="C1816" s="14" t="str">
        <f>IFERROR(__xludf.DUMMYFUNCTION("""COMPUTED_VALUE"""),"Aditi Iyer")</f>
        <v>Aditi Iyer</v>
      </c>
      <c r="D1816" s="14" t="str">
        <f>IFERROR(__xludf.DUMMYFUNCTION("""COMPUTED_VALUE"""),"Dadar")</f>
        <v>Dadar</v>
      </c>
      <c r="E1816" s="14" t="str">
        <f>IFERROR(__xludf.DUMMYFUNCTION("""COMPUTED_VALUE"""),"Chilli Cheese Toast+5*Sita T")</f>
        <v>Chilli Cheese Toast+5*Sita T</v>
      </c>
      <c r="F1816" s="14">
        <f>IFERROR(__xludf.DUMMYFUNCTION("""COMPUTED_VALUE"""),7.0)</f>
        <v>7</v>
      </c>
      <c r="G1816" s="14">
        <f>IFERROR(__xludf.DUMMYFUNCTION("""COMPUTED_VALUE"""),3.0)</f>
        <v>3</v>
      </c>
      <c r="H1816" s="14">
        <f>IFERROR(__xludf.DUMMYFUNCTION("""COMPUTED_VALUE"""),2023.0)</f>
        <v>2023</v>
      </c>
      <c r="I1816" s="14" t="str">
        <f>IFERROR(__xludf.DUMMYFUNCTION("""COMPUTED_VALUE"""),"UPI")</f>
        <v>UPI</v>
      </c>
      <c r="J1816" s="14" t="str">
        <f>IFERROR(__xludf.DUMMYFUNCTION("""COMPUTED_VALUE"""),"Delivered*Delivery Experience: Quick and professional")</f>
        <v>Delivered*Delivery Experience: Quick and professional</v>
      </c>
      <c r="K1816" s="14" t="str">
        <f>IFERROR(__xludf.DUMMYFUNCTION("split(E1816,""+"")"),"Chilli Cheese Toast")</f>
        <v>Chilli Cheese Toast</v>
      </c>
      <c r="L1816" s="14" t="str">
        <f>IFERROR(__xludf.DUMMYFUNCTION("""COMPUTED_VALUE"""),"5*Sita T")</f>
        <v>5*Sita T</v>
      </c>
      <c r="M1816" s="14">
        <f>IFERROR(__xludf.DUMMYFUNCTION("SPLIT(L1816,""*"")"),5.0)</f>
        <v>5</v>
      </c>
      <c r="N1816" s="14" t="str">
        <f>IFERROR(__xludf.DUMMYFUNCTION("""COMPUTED_VALUE"""),"Sita T")</f>
        <v>Sita T</v>
      </c>
      <c r="O1816" s="14" t="str">
        <f>IFERROR(__xludf.DUMMYFUNCTION("split(J1816,""*"")"),"Delivered")</f>
        <v>Delivered</v>
      </c>
      <c r="P1816" s="14" t="str">
        <f>IFERROR(__xludf.DUMMYFUNCTION("""COMPUTED_VALUE"""),"Delivery Experience: Quick and professional")</f>
        <v>Delivery Experience: Quick and professional</v>
      </c>
      <c r="Q1816" s="14" t="str">
        <f>IFERROR(__xludf.DUMMYFUNCTION("split(P1816,"":"")"),"Delivery Experience")</f>
        <v>Delivery Experience</v>
      </c>
      <c r="R1816" s="14" t="str">
        <f>IFERROR(__xludf.DUMMYFUNCTION("""COMPUTED_VALUE""")," Quick and professional")</f>
        <v> Quick and professional</v>
      </c>
      <c r="S1816" s="14" t="str">
        <f t="shared" ref="S1816:U1816" si="3635">trim(B1816)</f>
        <v>ord_71794</v>
      </c>
      <c r="T1816" s="14" t="str">
        <f t="shared" si="3635"/>
        <v>Aditi Iyer</v>
      </c>
      <c r="U1816" s="14" t="str">
        <f t="shared" si="3635"/>
        <v>Dadar</v>
      </c>
      <c r="V1816" s="14" t="str">
        <f t="shared" si="4"/>
        <v>Chilli Cheese Toast</v>
      </c>
      <c r="W1816" s="14">
        <f t="shared" si="5"/>
        <v>5</v>
      </c>
      <c r="X1816" s="14" t="str">
        <f t="shared" si="6"/>
        <v>Sita T</v>
      </c>
      <c r="Y1816" s="15">
        <f t="shared" si="7"/>
        <v>45110</v>
      </c>
      <c r="Z1816" s="14" t="str">
        <f t="shared" si="8"/>
        <v>UPI</v>
      </c>
      <c r="AA1816" s="14" t="str">
        <f t="shared" si="9"/>
        <v>Delivered</v>
      </c>
      <c r="AB1816" s="14" t="str">
        <f t="shared" ref="AB1816:AC1816" si="3636">trim(Q1816)</f>
        <v>Delivery Experience</v>
      </c>
      <c r="AC1816" s="14" t="str">
        <f t="shared" si="3636"/>
        <v>Quick and professional</v>
      </c>
      <c r="AD1816" s="8"/>
    </row>
    <row r="1817">
      <c r="A1817" s="14" t="str">
        <f>IFERROR(__xludf.DUMMYFUNCTION("""COMPUTED_VALUE"""),"//ord_71795//Ishaan Chaturvedi//Bandra//Sweet Corn+1*Manju Ajay/5/23/2023//UPI//Delivered*Convenience: Easy tracking")</f>
        <v>//ord_71795//Ishaan Chaturvedi//Bandra//Sweet Corn+1*Manju Ajay/5/23/2023//UPI//Delivered*Convenience: Easy tracking</v>
      </c>
      <c r="B1817" s="14" t="str">
        <f>IFERROR(__xludf.DUMMYFUNCTION("split(A1817,""//"")"),"ord_71795")</f>
        <v>ord_71795</v>
      </c>
      <c r="C1817" s="14" t="str">
        <f>IFERROR(__xludf.DUMMYFUNCTION("""COMPUTED_VALUE"""),"Ishaan Chaturvedi")</f>
        <v>Ishaan Chaturvedi</v>
      </c>
      <c r="D1817" s="14" t="str">
        <f>IFERROR(__xludf.DUMMYFUNCTION("""COMPUTED_VALUE"""),"Bandra")</f>
        <v>Bandra</v>
      </c>
      <c r="E1817" s="14" t="str">
        <f>IFERROR(__xludf.DUMMYFUNCTION("""COMPUTED_VALUE"""),"Sweet Corn+1*Manju Ajay")</f>
        <v>Sweet Corn+1*Manju Ajay</v>
      </c>
      <c r="F1817" s="14">
        <f>IFERROR(__xludf.DUMMYFUNCTION("""COMPUTED_VALUE"""),5.0)</f>
        <v>5</v>
      </c>
      <c r="G1817" s="14">
        <f>IFERROR(__xludf.DUMMYFUNCTION("""COMPUTED_VALUE"""),23.0)</f>
        <v>23</v>
      </c>
      <c r="H1817" s="14">
        <f>IFERROR(__xludf.DUMMYFUNCTION("""COMPUTED_VALUE"""),2023.0)</f>
        <v>2023</v>
      </c>
      <c r="I1817" s="14" t="str">
        <f>IFERROR(__xludf.DUMMYFUNCTION("""COMPUTED_VALUE"""),"UPI")</f>
        <v>UPI</v>
      </c>
      <c r="J1817" s="14" t="str">
        <f>IFERROR(__xludf.DUMMYFUNCTION("""COMPUTED_VALUE"""),"Delivered*Convenience: Easy tracking")</f>
        <v>Delivered*Convenience: Easy tracking</v>
      </c>
      <c r="K1817" s="14" t="str">
        <f>IFERROR(__xludf.DUMMYFUNCTION("split(E1817,""+"")"),"Sweet Corn")</f>
        <v>Sweet Corn</v>
      </c>
      <c r="L1817" s="14" t="str">
        <f>IFERROR(__xludf.DUMMYFUNCTION("""COMPUTED_VALUE"""),"1*Manju Ajay")</f>
        <v>1*Manju Ajay</v>
      </c>
      <c r="M1817" s="14">
        <f>IFERROR(__xludf.DUMMYFUNCTION("SPLIT(L1817,""*"")"),1.0)</f>
        <v>1</v>
      </c>
      <c r="N1817" s="14" t="str">
        <f>IFERROR(__xludf.DUMMYFUNCTION("""COMPUTED_VALUE"""),"Manju Ajay")</f>
        <v>Manju Ajay</v>
      </c>
      <c r="O1817" s="14" t="str">
        <f>IFERROR(__xludf.DUMMYFUNCTION("split(J1817,""*"")"),"Delivered")</f>
        <v>Delivered</v>
      </c>
      <c r="P1817" s="14" t="str">
        <f>IFERROR(__xludf.DUMMYFUNCTION("""COMPUTED_VALUE"""),"Convenience: Easy tracking")</f>
        <v>Convenience: Easy tracking</v>
      </c>
      <c r="Q1817" s="14" t="str">
        <f>IFERROR(__xludf.DUMMYFUNCTION("split(P1817,"":"")"),"Convenience")</f>
        <v>Convenience</v>
      </c>
      <c r="R1817" s="14" t="str">
        <f>IFERROR(__xludf.DUMMYFUNCTION("""COMPUTED_VALUE""")," Easy tracking")</f>
        <v> Easy tracking</v>
      </c>
      <c r="S1817" s="14" t="str">
        <f t="shared" ref="S1817:U1817" si="3637">trim(B1817)</f>
        <v>ord_71795</v>
      </c>
      <c r="T1817" s="14" t="str">
        <f t="shared" si="3637"/>
        <v>Ishaan Chaturvedi</v>
      </c>
      <c r="U1817" s="14" t="str">
        <f t="shared" si="3637"/>
        <v>Bandra</v>
      </c>
      <c r="V1817" s="14" t="str">
        <f t="shared" si="4"/>
        <v>Sweet Corn</v>
      </c>
      <c r="W1817" s="14">
        <f t="shared" si="5"/>
        <v>1</v>
      </c>
      <c r="X1817" s="14" t="str">
        <f t="shared" si="6"/>
        <v>Manju Ajay</v>
      </c>
      <c r="Y1817" s="15">
        <f t="shared" si="7"/>
        <v>45069</v>
      </c>
      <c r="Z1817" s="14" t="str">
        <f t="shared" si="8"/>
        <v>UPI</v>
      </c>
      <c r="AA1817" s="14" t="str">
        <f t="shared" si="9"/>
        <v>Delivered</v>
      </c>
      <c r="AB1817" s="14" t="str">
        <f t="shared" ref="AB1817:AC1817" si="3638">trim(Q1817)</f>
        <v>Convenience</v>
      </c>
      <c r="AC1817" s="14" t="str">
        <f t="shared" si="3638"/>
        <v>Easy tracking</v>
      </c>
      <c r="AD1817" s="8"/>
    </row>
    <row r="1818">
      <c r="A1818" s="14" t="str">
        <f>IFERROR(__xludf.DUMMYFUNCTION("""COMPUTED_VALUE"""),"//ord_71796//Aarav Mehta//Andheri//Tiramisu+1*Vivek Kumar/3/7/2023//Online Payment//Delivered*Overall Satisfaction: Great service will order again")</f>
        <v>//ord_71796//Aarav Mehta//Andheri//Tiramisu+1*Vivek Kumar/3/7/2023//Online Payment//Delivered*Overall Satisfaction: Great service will order again</v>
      </c>
      <c r="B1818" s="14" t="str">
        <f>IFERROR(__xludf.DUMMYFUNCTION("split(A1818,""//"")"),"ord_71796")</f>
        <v>ord_71796</v>
      </c>
      <c r="C1818" s="14" t="str">
        <f>IFERROR(__xludf.DUMMYFUNCTION("""COMPUTED_VALUE"""),"Aarav Mehta")</f>
        <v>Aarav Mehta</v>
      </c>
      <c r="D1818" s="14" t="str">
        <f>IFERROR(__xludf.DUMMYFUNCTION("""COMPUTED_VALUE"""),"Andheri")</f>
        <v>Andheri</v>
      </c>
      <c r="E1818" s="14" t="str">
        <f>IFERROR(__xludf.DUMMYFUNCTION("""COMPUTED_VALUE"""),"Tiramisu+1*Vivek Kumar")</f>
        <v>Tiramisu+1*Vivek Kumar</v>
      </c>
      <c r="F1818" s="14">
        <f>IFERROR(__xludf.DUMMYFUNCTION("""COMPUTED_VALUE"""),3.0)</f>
        <v>3</v>
      </c>
      <c r="G1818" s="14">
        <f>IFERROR(__xludf.DUMMYFUNCTION("""COMPUTED_VALUE"""),7.0)</f>
        <v>7</v>
      </c>
      <c r="H1818" s="14">
        <f>IFERROR(__xludf.DUMMYFUNCTION("""COMPUTED_VALUE"""),2023.0)</f>
        <v>2023</v>
      </c>
      <c r="I1818" s="14" t="str">
        <f>IFERROR(__xludf.DUMMYFUNCTION("""COMPUTED_VALUE"""),"Online Payment")</f>
        <v>Online Payment</v>
      </c>
      <c r="J1818" s="14" t="str">
        <f>IFERROR(__xludf.DUMMYFUNCTION("""COMPUTED_VALUE"""),"Delivered*Overall Satisfaction: Great service will order again")</f>
        <v>Delivered*Overall Satisfaction: Great service will order again</v>
      </c>
      <c r="K1818" s="14" t="str">
        <f>IFERROR(__xludf.DUMMYFUNCTION("split(E1818,""+"")"),"Tiramisu")</f>
        <v>Tiramisu</v>
      </c>
      <c r="L1818" s="14" t="str">
        <f>IFERROR(__xludf.DUMMYFUNCTION("""COMPUTED_VALUE"""),"1*Vivek Kumar")</f>
        <v>1*Vivek Kumar</v>
      </c>
      <c r="M1818" s="14">
        <f>IFERROR(__xludf.DUMMYFUNCTION("SPLIT(L1818,""*"")"),1.0)</f>
        <v>1</v>
      </c>
      <c r="N1818" s="14" t="str">
        <f>IFERROR(__xludf.DUMMYFUNCTION("""COMPUTED_VALUE"""),"Vivek Kumar")</f>
        <v>Vivek Kumar</v>
      </c>
      <c r="O1818" s="14" t="str">
        <f>IFERROR(__xludf.DUMMYFUNCTION("split(J1818,""*"")"),"Delivered")</f>
        <v>Delivered</v>
      </c>
      <c r="P1818" s="14" t="str">
        <f>IFERROR(__xludf.DUMMYFUNCTION("""COMPUTED_VALUE"""),"Overall Satisfaction: Great service will order again")</f>
        <v>Overall Satisfaction: Great service will order again</v>
      </c>
      <c r="Q1818" s="14" t="str">
        <f>IFERROR(__xludf.DUMMYFUNCTION("split(P1818,"":"")"),"Overall Satisfaction")</f>
        <v>Overall Satisfaction</v>
      </c>
      <c r="R1818" s="14" t="str">
        <f>IFERROR(__xludf.DUMMYFUNCTION("""COMPUTED_VALUE""")," Great service will order again")</f>
        <v> Great service will order again</v>
      </c>
      <c r="S1818" s="14" t="str">
        <f t="shared" ref="S1818:U1818" si="3639">trim(B1818)</f>
        <v>ord_71796</v>
      </c>
      <c r="T1818" s="14" t="str">
        <f t="shared" si="3639"/>
        <v>Aarav Mehta</v>
      </c>
      <c r="U1818" s="14" t="str">
        <f t="shared" si="3639"/>
        <v>Andheri</v>
      </c>
      <c r="V1818" s="14" t="str">
        <f t="shared" si="4"/>
        <v>Tiramisu</v>
      </c>
      <c r="W1818" s="14">
        <f t="shared" si="5"/>
        <v>1</v>
      </c>
      <c r="X1818" s="14" t="str">
        <f t="shared" si="6"/>
        <v>Vivek Kumar</v>
      </c>
      <c r="Y1818" s="15">
        <f t="shared" si="7"/>
        <v>44992</v>
      </c>
      <c r="Z1818" s="14" t="str">
        <f t="shared" si="8"/>
        <v>Online Payment</v>
      </c>
      <c r="AA1818" s="14" t="str">
        <f t="shared" si="9"/>
        <v>Delivered</v>
      </c>
      <c r="AB1818" s="14" t="str">
        <f t="shared" ref="AB1818:AC1818" si="3640">trim(Q1818)</f>
        <v>Overall Satisfaction</v>
      </c>
      <c r="AC1818" s="14" t="str">
        <f t="shared" si="3640"/>
        <v>Great service will order again</v>
      </c>
      <c r="AD1818" s="8"/>
    </row>
    <row r="1819">
      <c r="A1819" s="14" t="str">
        <f>IFERROR(__xludf.DUMMYFUNCTION("""COMPUTED_VALUE"""),"//ord_71797//Ishaan Chaturvedi//Bandra//Chocolate Mousse+4*Sita T/1/26/2023//UPI//Delivered*On-time Delivery: Delivered on time")</f>
        <v>//ord_71797//Ishaan Chaturvedi//Bandra//Chocolate Mousse+4*Sita T/1/26/2023//UPI//Delivered*On-time Delivery: Delivered on time</v>
      </c>
      <c r="B1819" s="14" t="str">
        <f>IFERROR(__xludf.DUMMYFUNCTION("split(A1819,""//"")"),"ord_71797")</f>
        <v>ord_71797</v>
      </c>
      <c r="C1819" s="14" t="str">
        <f>IFERROR(__xludf.DUMMYFUNCTION("""COMPUTED_VALUE"""),"Ishaan Chaturvedi")</f>
        <v>Ishaan Chaturvedi</v>
      </c>
      <c r="D1819" s="14" t="str">
        <f>IFERROR(__xludf.DUMMYFUNCTION("""COMPUTED_VALUE"""),"Bandra")</f>
        <v>Bandra</v>
      </c>
      <c r="E1819" s="14" t="str">
        <f>IFERROR(__xludf.DUMMYFUNCTION("""COMPUTED_VALUE"""),"Chocolate Mousse+4*Sita T")</f>
        <v>Chocolate Mousse+4*Sita T</v>
      </c>
      <c r="F1819" s="14">
        <f>IFERROR(__xludf.DUMMYFUNCTION("""COMPUTED_VALUE"""),1.0)</f>
        <v>1</v>
      </c>
      <c r="G1819" s="14">
        <f>IFERROR(__xludf.DUMMYFUNCTION("""COMPUTED_VALUE"""),26.0)</f>
        <v>26</v>
      </c>
      <c r="H1819" s="14">
        <f>IFERROR(__xludf.DUMMYFUNCTION("""COMPUTED_VALUE"""),2023.0)</f>
        <v>2023</v>
      </c>
      <c r="I1819" s="14" t="str">
        <f>IFERROR(__xludf.DUMMYFUNCTION("""COMPUTED_VALUE"""),"UPI")</f>
        <v>UPI</v>
      </c>
      <c r="J1819" s="14" t="str">
        <f>IFERROR(__xludf.DUMMYFUNCTION("""COMPUTED_VALUE"""),"Delivered*On-time Delivery: Delivered on time")</f>
        <v>Delivered*On-time Delivery: Delivered on time</v>
      </c>
      <c r="K1819" s="14" t="str">
        <f>IFERROR(__xludf.DUMMYFUNCTION("split(E1819,""+"")"),"Chocolate Mousse")</f>
        <v>Chocolate Mousse</v>
      </c>
      <c r="L1819" s="14" t="str">
        <f>IFERROR(__xludf.DUMMYFUNCTION("""COMPUTED_VALUE"""),"4*Sita T")</f>
        <v>4*Sita T</v>
      </c>
      <c r="M1819" s="14">
        <f>IFERROR(__xludf.DUMMYFUNCTION("SPLIT(L1819,""*"")"),4.0)</f>
        <v>4</v>
      </c>
      <c r="N1819" s="14" t="str">
        <f>IFERROR(__xludf.DUMMYFUNCTION("""COMPUTED_VALUE"""),"Sita T")</f>
        <v>Sita T</v>
      </c>
      <c r="O1819" s="14" t="str">
        <f>IFERROR(__xludf.DUMMYFUNCTION("split(J1819,""*"")"),"Delivered")</f>
        <v>Delivered</v>
      </c>
      <c r="P1819" s="14" t="str">
        <f>IFERROR(__xludf.DUMMYFUNCTION("""COMPUTED_VALUE"""),"On-time Delivery: Delivered on time")</f>
        <v>On-time Delivery: Delivered on time</v>
      </c>
      <c r="Q1819" s="14" t="str">
        <f>IFERROR(__xludf.DUMMYFUNCTION("split(P1819,"":"")"),"On-time Delivery")</f>
        <v>On-time Delivery</v>
      </c>
      <c r="R1819" s="14" t="str">
        <f>IFERROR(__xludf.DUMMYFUNCTION("""COMPUTED_VALUE""")," Delivered on time")</f>
        <v> Delivered on time</v>
      </c>
      <c r="S1819" s="14" t="str">
        <f t="shared" ref="S1819:U1819" si="3641">trim(B1819)</f>
        <v>ord_71797</v>
      </c>
      <c r="T1819" s="14" t="str">
        <f t="shared" si="3641"/>
        <v>Ishaan Chaturvedi</v>
      </c>
      <c r="U1819" s="14" t="str">
        <f t="shared" si="3641"/>
        <v>Bandra</v>
      </c>
      <c r="V1819" s="14" t="str">
        <f t="shared" si="4"/>
        <v>Chocolate Mousse</v>
      </c>
      <c r="W1819" s="14">
        <f t="shared" si="5"/>
        <v>4</v>
      </c>
      <c r="X1819" s="14" t="str">
        <f t="shared" si="6"/>
        <v>Sita T</v>
      </c>
      <c r="Y1819" s="15">
        <f t="shared" si="7"/>
        <v>44952</v>
      </c>
      <c r="Z1819" s="14" t="str">
        <f t="shared" si="8"/>
        <v>UPI</v>
      </c>
      <c r="AA1819" s="14" t="str">
        <f t="shared" si="9"/>
        <v>Delivered</v>
      </c>
      <c r="AB1819" s="14" t="str">
        <f t="shared" ref="AB1819:AC1819" si="3642">trim(Q1819)</f>
        <v>On-time Delivery</v>
      </c>
      <c r="AC1819" s="14" t="str">
        <f t="shared" si="3642"/>
        <v>Delivered on time</v>
      </c>
      <c r="AD1819" s="8"/>
    </row>
    <row r="1820">
      <c r="A1820" s="14" t="str">
        <f>IFERROR(__xludf.DUMMYFUNCTION("""COMPUTED_VALUE"""),"//ord_71798//Pranav Joshi//Andheri//Banana+1*Vivek Kumar/5/16/2023//Credit Card//Delivered*Quality of Items: Perfect condition")</f>
        <v>//ord_71798//Pranav Joshi//Andheri//Banana+1*Vivek Kumar/5/16/2023//Credit Card//Delivered*Quality of Items: Perfect condition</v>
      </c>
      <c r="B1820" s="14" t="str">
        <f>IFERROR(__xludf.DUMMYFUNCTION("split(A1820,""//"")"),"ord_71798")</f>
        <v>ord_71798</v>
      </c>
      <c r="C1820" s="14" t="str">
        <f>IFERROR(__xludf.DUMMYFUNCTION("""COMPUTED_VALUE"""),"Pranav Joshi")</f>
        <v>Pranav Joshi</v>
      </c>
      <c r="D1820" s="14" t="str">
        <f>IFERROR(__xludf.DUMMYFUNCTION("""COMPUTED_VALUE"""),"Andheri")</f>
        <v>Andheri</v>
      </c>
      <c r="E1820" s="14" t="str">
        <f>IFERROR(__xludf.DUMMYFUNCTION("""COMPUTED_VALUE"""),"Banana+1*Vivek Kumar")</f>
        <v>Banana+1*Vivek Kumar</v>
      </c>
      <c r="F1820" s="14">
        <f>IFERROR(__xludf.DUMMYFUNCTION("""COMPUTED_VALUE"""),5.0)</f>
        <v>5</v>
      </c>
      <c r="G1820" s="14">
        <f>IFERROR(__xludf.DUMMYFUNCTION("""COMPUTED_VALUE"""),16.0)</f>
        <v>16</v>
      </c>
      <c r="H1820" s="14">
        <f>IFERROR(__xludf.DUMMYFUNCTION("""COMPUTED_VALUE"""),2023.0)</f>
        <v>2023</v>
      </c>
      <c r="I1820" s="14" t="str">
        <f>IFERROR(__xludf.DUMMYFUNCTION("""COMPUTED_VALUE"""),"Credit Card")</f>
        <v>Credit Card</v>
      </c>
      <c r="J1820" s="14" t="str">
        <f>IFERROR(__xludf.DUMMYFUNCTION("""COMPUTED_VALUE"""),"Delivered*Quality of Items: Perfect condition")</f>
        <v>Delivered*Quality of Items: Perfect condition</v>
      </c>
      <c r="K1820" s="14" t="str">
        <f>IFERROR(__xludf.DUMMYFUNCTION("split(E1820,""+"")"),"Banana")</f>
        <v>Banana</v>
      </c>
      <c r="L1820" s="14" t="str">
        <f>IFERROR(__xludf.DUMMYFUNCTION("""COMPUTED_VALUE"""),"1*Vivek Kumar")</f>
        <v>1*Vivek Kumar</v>
      </c>
      <c r="M1820" s="14">
        <f>IFERROR(__xludf.DUMMYFUNCTION("SPLIT(L1820,""*"")"),1.0)</f>
        <v>1</v>
      </c>
      <c r="N1820" s="14" t="str">
        <f>IFERROR(__xludf.DUMMYFUNCTION("""COMPUTED_VALUE"""),"Vivek Kumar")</f>
        <v>Vivek Kumar</v>
      </c>
      <c r="O1820" s="14" t="str">
        <f>IFERROR(__xludf.DUMMYFUNCTION("split(J1820,""*"")"),"Delivered")</f>
        <v>Delivered</v>
      </c>
      <c r="P1820" s="14" t="str">
        <f>IFERROR(__xludf.DUMMYFUNCTION("""COMPUTED_VALUE"""),"Quality of Items: Perfect condition")</f>
        <v>Quality of Items: Perfect condition</v>
      </c>
      <c r="Q1820" s="14" t="str">
        <f>IFERROR(__xludf.DUMMYFUNCTION("split(P1820,"":"")"),"Quality of Items")</f>
        <v>Quality of Items</v>
      </c>
      <c r="R1820" s="14" t="str">
        <f>IFERROR(__xludf.DUMMYFUNCTION("""COMPUTED_VALUE""")," Perfect condition")</f>
        <v> Perfect condition</v>
      </c>
      <c r="S1820" s="14" t="str">
        <f t="shared" ref="S1820:U1820" si="3643">trim(B1820)</f>
        <v>ord_71798</v>
      </c>
      <c r="T1820" s="14" t="str">
        <f t="shared" si="3643"/>
        <v>Pranav Joshi</v>
      </c>
      <c r="U1820" s="14" t="str">
        <f t="shared" si="3643"/>
        <v>Andheri</v>
      </c>
      <c r="V1820" s="14" t="str">
        <f t="shared" si="4"/>
        <v>Banana</v>
      </c>
      <c r="W1820" s="14">
        <f t="shared" si="5"/>
        <v>1</v>
      </c>
      <c r="X1820" s="14" t="str">
        <f t="shared" si="6"/>
        <v>Vivek Kumar</v>
      </c>
      <c r="Y1820" s="15">
        <f t="shared" si="7"/>
        <v>45062</v>
      </c>
      <c r="Z1820" s="14" t="str">
        <f t="shared" si="8"/>
        <v>Credit Card</v>
      </c>
      <c r="AA1820" s="14" t="str">
        <f t="shared" si="9"/>
        <v>Delivered</v>
      </c>
      <c r="AB1820" s="14" t="str">
        <f t="shared" ref="AB1820:AC1820" si="3644">trim(Q1820)</f>
        <v>Quality of Items</v>
      </c>
      <c r="AC1820" s="14" t="str">
        <f t="shared" si="3644"/>
        <v>Perfect condition</v>
      </c>
      <c r="AD1820" s="8"/>
    </row>
    <row r="1821">
      <c r="A1821" s="14" t="str">
        <f>IFERROR(__xludf.DUMMYFUNCTION("""COMPUTED_VALUE"""),"//ord_71799//Tanishq Bansal//Powai//Guava+1*Sita T/10/4/2023//Online Payment//Delivered*On-time Delivery: Delivered on time")</f>
        <v>//ord_71799//Tanishq Bansal//Powai//Guava+1*Sita T/10/4/2023//Online Payment//Delivered*On-time Delivery: Delivered on time</v>
      </c>
      <c r="B1821" s="14" t="str">
        <f>IFERROR(__xludf.DUMMYFUNCTION("split(A1821,""//"")"),"ord_71799")</f>
        <v>ord_71799</v>
      </c>
      <c r="C1821" s="14" t="str">
        <f>IFERROR(__xludf.DUMMYFUNCTION("""COMPUTED_VALUE"""),"Tanishq Bansal")</f>
        <v>Tanishq Bansal</v>
      </c>
      <c r="D1821" s="14" t="str">
        <f>IFERROR(__xludf.DUMMYFUNCTION("""COMPUTED_VALUE"""),"Powai")</f>
        <v>Powai</v>
      </c>
      <c r="E1821" s="14" t="str">
        <f>IFERROR(__xludf.DUMMYFUNCTION("""COMPUTED_VALUE"""),"Guava+1*Sita T")</f>
        <v>Guava+1*Sita T</v>
      </c>
      <c r="F1821" s="14">
        <f>IFERROR(__xludf.DUMMYFUNCTION("""COMPUTED_VALUE"""),10.0)</f>
        <v>10</v>
      </c>
      <c r="G1821" s="14">
        <f>IFERROR(__xludf.DUMMYFUNCTION("""COMPUTED_VALUE"""),4.0)</f>
        <v>4</v>
      </c>
      <c r="H1821" s="14">
        <f>IFERROR(__xludf.DUMMYFUNCTION("""COMPUTED_VALUE"""),2023.0)</f>
        <v>2023</v>
      </c>
      <c r="I1821" s="14" t="str">
        <f>IFERROR(__xludf.DUMMYFUNCTION("""COMPUTED_VALUE"""),"Online Payment")</f>
        <v>Online Payment</v>
      </c>
      <c r="J1821" s="14" t="str">
        <f>IFERROR(__xludf.DUMMYFUNCTION("""COMPUTED_VALUE"""),"Delivered*On-time Delivery: Delivered on time")</f>
        <v>Delivered*On-time Delivery: Delivered on time</v>
      </c>
      <c r="K1821" s="14" t="str">
        <f>IFERROR(__xludf.DUMMYFUNCTION("split(E1821,""+"")"),"Guava")</f>
        <v>Guava</v>
      </c>
      <c r="L1821" s="14" t="str">
        <f>IFERROR(__xludf.DUMMYFUNCTION("""COMPUTED_VALUE"""),"1*Sita T")</f>
        <v>1*Sita T</v>
      </c>
      <c r="M1821" s="14">
        <f>IFERROR(__xludf.DUMMYFUNCTION("SPLIT(L1821,""*"")"),1.0)</f>
        <v>1</v>
      </c>
      <c r="N1821" s="14" t="str">
        <f>IFERROR(__xludf.DUMMYFUNCTION("""COMPUTED_VALUE"""),"Sita T")</f>
        <v>Sita T</v>
      </c>
      <c r="O1821" s="14" t="str">
        <f>IFERROR(__xludf.DUMMYFUNCTION("split(J1821,""*"")"),"Delivered")</f>
        <v>Delivered</v>
      </c>
      <c r="P1821" s="14" t="str">
        <f>IFERROR(__xludf.DUMMYFUNCTION("""COMPUTED_VALUE"""),"On-time Delivery: Delivered on time")</f>
        <v>On-time Delivery: Delivered on time</v>
      </c>
      <c r="Q1821" s="14" t="str">
        <f>IFERROR(__xludf.DUMMYFUNCTION("split(P1821,"":"")"),"On-time Delivery")</f>
        <v>On-time Delivery</v>
      </c>
      <c r="R1821" s="14" t="str">
        <f>IFERROR(__xludf.DUMMYFUNCTION("""COMPUTED_VALUE""")," Delivered on time")</f>
        <v> Delivered on time</v>
      </c>
      <c r="S1821" s="14" t="str">
        <f t="shared" ref="S1821:U1821" si="3645">trim(B1821)</f>
        <v>ord_71799</v>
      </c>
      <c r="T1821" s="14" t="str">
        <f t="shared" si="3645"/>
        <v>Tanishq Bansal</v>
      </c>
      <c r="U1821" s="14" t="str">
        <f t="shared" si="3645"/>
        <v>Powai</v>
      </c>
      <c r="V1821" s="14" t="str">
        <f t="shared" si="4"/>
        <v>Guava</v>
      </c>
      <c r="W1821" s="14">
        <f t="shared" si="5"/>
        <v>1</v>
      </c>
      <c r="X1821" s="14" t="str">
        <f t="shared" si="6"/>
        <v>Sita T</v>
      </c>
      <c r="Y1821" s="15">
        <f t="shared" si="7"/>
        <v>45203</v>
      </c>
      <c r="Z1821" s="14" t="str">
        <f t="shared" si="8"/>
        <v>Online Payment</v>
      </c>
      <c r="AA1821" s="14" t="str">
        <f t="shared" si="9"/>
        <v>Delivered</v>
      </c>
      <c r="AB1821" s="14" t="str">
        <f t="shared" ref="AB1821:AC1821" si="3646">trim(Q1821)</f>
        <v>On-time Delivery</v>
      </c>
      <c r="AC1821" s="14" t="str">
        <f t="shared" si="3646"/>
        <v>Delivered on time</v>
      </c>
      <c r="AD1821" s="8"/>
    </row>
    <row r="1822">
      <c r="A1822" s="14" t="str">
        <f>IFERROR(__xludf.DUMMYFUNCTION("""COMPUTED_VALUE"""),"//ord_71800//Diya Arora//Lower Parel//Banana+2*Venu R/4/25/2023//Credit Card//Delivered*Quality of Items: Perfect condition")</f>
        <v>//ord_71800//Diya Arora//Lower Parel//Banana+2*Venu R/4/25/2023//Credit Card//Delivered*Quality of Items: Perfect condition</v>
      </c>
      <c r="B1822" s="14" t="str">
        <f>IFERROR(__xludf.DUMMYFUNCTION("split(A1822,""//"")"),"ord_71800")</f>
        <v>ord_71800</v>
      </c>
      <c r="C1822" s="14" t="str">
        <f>IFERROR(__xludf.DUMMYFUNCTION("""COMPUTED_VALUE"""),"Diya Arora")</f>
        <v>Diya Arora</v>
      </c>
      <c r="D1822" s="14" t="str">
        <f>IFERROR(__xludf.DUMMYFUNCTION("""COMPUTED_VALUE"""),"Lower Parel")</f>
        <v>Lower Parel</v>
      </c>
      <c r="E1822" s="14" t="str">
        <f>IFERROR(__xludf.DUMMYFUNCTION("""COMPUTED_VALUE"""),"Banana+2*Venu R")</f>
        <v>Banana+2*Venu R</v>
      </c>
      <c r="F1822" s="14">
        <f>IFERROR(__xludf.DUMMYFUNCTION("""COMPUTED_VALUE"""),4.0)</f>
        <v>4</v>
      </c>
      <c r="G1822" s="14">
        <f>IFERROR(__xludf.DUMMYFUNCTION("""COMPUTED_VALUE"""),25.0)</f>
        <v>25</v>
      </c>
      <c r="H1822" s="14">
        <f>IFERROR(__xludf.DUMMYFUNCTION("""COMPUTED_VALUE"""),2023.0)</f>
        <v>2023</v>
      </c>
      <c r="I1822" s="14" t="str">
        <f>IFERROR(__xludf.DUMMYFUNCTION("""COMPUTED_VALUE"""),"Credit Card")</f>
        <v>Credit Card</v>
      </c>
      <c r="J1822" s="14" t="str">
        <f>IFERROR(__xludf.DUMMYFUNCTION("""COMPUTED_VALUE"""),"Delivered*Quality of Items: Perfect condition")</f>
        <v>Delivered*Quality of Items: Perfect condition</v>
      </c>
      <c r="K1822" s="14" t="str">
        <f>IFERROR(__xludf.DUMMYFUNCTION("split(E1822,""+"")"),"Banana")</f>
        <v>Banana</v>
      </c>
      <c r="L1822" s="14" t="str">
        <f>IFERROR(__xludf.DUMMYFUNCTION("""COMPUTED_VALUE"""),"2*Venu R")</f>
        <v>2*Venu R</v>
      </c>
      <c r="M1822" s="14">
        <f>IFERROR(__xludf.DUMMYFUNCTION("SPLIT(L1822,""*"")"),2.0)</f>
        <v>2</v>
      </c>
      <c r="N1822" s="14" t="str">
        <f>IFERROR(__xludf.DUMMYFUNCTION("""COMPUTED_VALUE"""),"Venu R")</f>
        <v>Venu R</v>
      </c>
      <c r="O1822" s="14" t="str">
        <f>IFERROR(__xludf.DUMMYFUNCTION("split(J1822,""*"")"),"Delivered")</f>
        <v>Delivered</v>
      </c>
      <c r="P1822" s="14" t="str">
        <f>IFERROR(__xludf.DUMMYFUNCTION("""COMPUTED_VALUE"""),"Quality of Items: Perfect condition")</f>
        <v>Quality of Items: Perfect condition</v>
      </c>
      <c r="Q1822" s="14" t="str">
        <f>IFERROR(__xludf.DUMMYFUNCTION("split(P1822,"":"")"),"Quality of Items")</f>
        <v>Quality of Items</v>
      </c>
      <c r="R1822" s="14" t="str">
        <f>IFERROR(__xludf.DUMMYFUNCTION("""COMPUTED_VALUE""")," Perfect condition")</f>
        <v> Perfect condition</v>
      </c>
      <c r="S1822" s="14" t="str">
        <f t="shared" ref="S1822:U1822" si="3647">trim(B1822)</f>
        <v>ord_71800</v>
      </c>
      <c r="T1822" s="14" t="str">
        <f t="shared" si="3647"/>
        <v>Diya Arora</v>
      </c>
      <c r="U1822" s="14" t="str">
        <f t="shared" si="3647"/>
        <v>Lower Parel</v>
      </c>
      <c r="V1822" s="14" t="str">
        <f t="shared" si="4"/>
        <v>Banana</v>
      </c>
      <c r="W1822" s="14">
        <f t="shared" si="5"/>
        <v>2</v>
      </c>
      <c r="X1822" s="14" t="str">
        <f t="shared" si="6"/>
        <v>Venu R</v>
      </c>
      <c r="Y1822" s="15">
        <f t="shared" si="7"/>
        <v>45041</v>
      </c>
      <c r="Z1822" s="14" t="str">
        <f t="shared" si="8"/>
        <v>Credit Card</v>
      </c>
      <c r="AA1822" s="14" t="str">
        <f t="shared" si="9"/>
        <v>Delivered</v>
      </c>
      <c r="AB1822" s="14" t="str">
        <f t="shared" ref="AB1822:AC1822" si="3648">trim(Q1822)</f>
        <v>Quality of Items</v>
      </c>
      <c r="AC1822" s="14" t="str">
        <f t="shared" si="3648"/>
        <v>Perfect condition</v>
      </c>
      <c r="AD1822" s="8"/>
    </row>
    <row r="1823">
      <c r="A1823" s="14" t="str">
        <f>IFERROR(__xludf.DUMMYFUNCTION("""COMPUTED_VALUE"""),"//ord_71801//Pallavi Ghosh//Bandra//Potato+1*Priya Joshi/12/25/2023//Credit Card//Delivered*Packaging: Secure and intact")</f>
        <v>//ord_71801//Pallavi Ghosh//Bandra//Potato+1*Priya Joshi/12/25/2023//Credit Card//Delivered*Packaging: Secure and intact</v>
      </c>
      <c r="B1823" s="14" t="str">
        <f>IFERROR(__xludf.DUMMYFUNCTION("split(A1823,""//"")"),"ord_71801")</f>
        <v>ord_71801</v>
      </c>
      <c r="C1823" s="14" t="str">
        <f>IFERROR(__xludf.DUMMYFUNCTION("""COMPUTED_VALUE"""),"Pallavi Ghosh")</f>
        <v>Pallavi Ghosh</v>
      </c>
      <c r="D1823" s="14" t="str">
        <f>IFERROR(__xludf.DUMMYFUNCTION("""COMPUTED_VALUE"""),"Bandra")</f>
        <v>Bandra</v>
      </c>
      <c r="E1823" s="14" t="str">
        <f>IFERROR(__xludf.DUMMYFUNCTION("""COMPUTED_VALUE"""),"Potato+1*Priya Joshi")</f>
        <v>Potato+1*Priya Joshi</v>
      </c>
      <c r="F1823" s="14">
        <f>IFERROR(__xludf.DUMMYFUNCTION("""COMPUTED_VALUE"""),12.0)</f>
        <v>12</v>
      </c>
      <c r="G1823" s="14">
        <f>IFERROR(__xludf.DUMMYFUNCTION("""COMPUTED_VALUE"""),25.0)</f>
        <v>25</v>
      </c>
      <c r="H1823" s="14">
        <f>IFERROR(__xludf.DUMMYFUNCTION("""COMPUTED_VALUE"""),2023.0)</f>
        <v>2023</v>
      </c>
      <c r="I1823" s="14" t="str">
        <f>IFERROR(__xludf.DUMMYFUNCTION("""COMPUTED_VALUE"""),"Credit Card")</f>
        <v>Credit Card</v>
      </c>
      <c r="J1823" s="14" t="str">
        <f>IFERROR(__xludf.DUMMYFUNCTION("""COMPUTED_VALUE"""),"Delivered*Packaging: Secure and intact")</f>
        <v>Delivered*Packaging: Secure and intact</v>
      </c>
      <c r="K1823" s="14" t="str">
        <f>IFERROR(__xludf.DUMMYFUNCTION("split(E1823,""+"")"),"Potato")</f>
        <v>Potato</v>
      </c>
      <c r="L1823" s="14" t="str">
        <f>IFERROR(__xludf.DUMMYFUNCTION("""COMPUTED_VALUE"""),"1*Priya Joshi")</f>
        <v>1*Priya Joshi</v>
      </c>
      <c r="M1823" s="14">
        <f>IFERROR(__xludf.DUMMYFUNCTION("SPLIT(L1823,""*"")"),1.0)</f>
        <v>1</v>
      </c>
      <c r="N1823" s="14" t="str">
        <f>IFERROR(__xludf.DUMMYFUNCTION("""COMPUTED_VALUE"""),"Priya Joshi")</f>
        <v>Priya Joshi</v>
      </c>
      <c r="O1823" s="14" t="str">
        <f>IFERROR(__xludf.DUMMYFUNCTION("split(J1823,""*"")"),"Delivered")</f>
        <v>Delivered</v>
      </c>
      <c r="P1823" s="14" t="str">
        <f>IFERROR(__xludf.DUMMYFUNCTION("""COMPUTED_VALUE"""),"Packaging: Secure and intact")</f>
        <v>Packaging: Secure and intact</v>
      </c>
      <c r="Q1823" s="14" t="str">
        <f>IFERROR(__xludf.DUMMYFUNCTION("split(P1823,"":"")"),"Packaging")</f>
        <v>Packaging</v>
      </c>
      <c r="R1823" s="14" t="str">
        <f>IFERROR(__xludf.DUMMYFUNCTION("""COMPUTED_VALUE""")," Secure and intact")</f>
        <v> Secure and intact</v>
      </c>
      <c r="S1823" s="14" t="str">
        <f t="shared" ref="S1823:U1823" si="3649">trim(B1823)</f>
        <v>ord_71801</v>
      </c>
      <c r="T1823" s="14" t="str">
        <f t="shared" si="3649"/>
        <v>Pallavi Ghosh</v>
      </c>
      <c r="U1823" s="14" t="str">
        <f t="shared" si="3649"/>
        <v>Bandra</v>
      </c>
      <c r="V1823" s="14" t="str">
        <f t="shared" si="4"/>
        <v>Potato</v>
      </c>
      <c r="W1823" s="14">
        <f t="shared" si="5"/>
        <v>1</v>
      </c>
      <c r="X1823" s="14" t="str">
        <f t="shared" si="6"/>
        <v>Priya Joshi</v>
      </c>
      <c r="Y1823" s="15">
        <f t="shared" si="7"/>
        <v>45285</v>
      </c>
      <c r="Z1823" s="14" t="str">
        <f t="shared" si="8"/>
        <v>Credit Card</v>
      </c>
      <c r="AA1823" s="14" t="str">
        <f t="shared" si="9"/>
        <v>Delivered</v>
      </c>
      <c r="AB1823" s="14" t="str">
        <f t="shared" ref="AB1823:AC1823" si="3650">trim(Q1823)</f>
        <v>Packaging</v>
      </c>
      <c r="AC1823" s="14" t="str">
        <f t="shared" si="3650"/>
        <v>Secure and intact</v>
      </c>
      <c r="AD1823" s="8"/>
    </row>
    <row r="1824">
      <c r="A1824" s="14" t="str">
        <f>IFERROR(__xludf.DUMMYFUNCTION("""COMPUTED_VALUE"""),"//ord_71802//Parth Goel//Juhu//Juice+5*Tanvi Jain/10/25/2023//UPI//Delivered*Satisfied with the Delivery: Timely and quality")</f>
        <v>//ord_71802//Parth Goel//Juhu//Juice+5*Tanvi Jain/10/25/2023//UPI//Delivered*Satisfied with the Delivery: Timely and quality</v>
      </c>
      <c r="B1824" s="14" t="str">
        <f>IFERROR(__xludf.DUMMYFUNCTION("split(A1824,""//"")"),"ord_71802")</f>
        <v>ord_71802</v>
      </c>
      <c r="C1824" s="14" t="str">
        <f>IFERROR(__xludf.DUMMYFUNCTION("""COMPUTED_VALUE"""),"Parth Goel")</f>
        <v>Parth Goel</v>
      </c>
      <c r="D1824" s="14" t="str">
        <f>IFERROR(__xludf.DUMMYFUNCTION("""COMPUTED_VALUE"""),"Juhu")</f>
        <v>Juhu</v>
      </c>
      <c r="E1824" s="14" t="str">
        <f>IFERROR(__xludf.DUMMYFUNCTION("""COMPUTED_VALUE"""),"Juice+5*Tanvi Jain")</f>
        <v>Juice+5*Tanvi Jain</v>
      </c>
      <c r="F1824" s="14">
        <f>IFERROR(__xludf.DUMMYFUNCTION("""COMPUTED_VALUE"""),10.0)</f>
        <v>10</v>
      </c>
      <c r="G1824" s="14">
        <f>IFERROR(__xludf.DUMMYFUNCTION("""COMPUTED_VALUE"""),25.0)</f>
        <v>25</v>
      </c>
      <c r="H1824" s="14">
        <f>IFERROR(__xludf.DUMMYFUNCTION("""COMPUTED_VALUE"""),2023.0)</f>
        <v>2023</v>
      </c>
      <c r="I1824" s="14" t="str">
        <f>IFERROR(__xludf.DUMMYFUNCTION("""COMPUTED_VALUE"""),"UPI")</f>
        <v>UPI</v>
      </c>
      <c r="J1824" s="14" t="str">
        <f>IFERROR(__xludf.DUMMYFUNCTION("""COMPUTED_VALUE"""),"Delivered*Satisfied with the Delivery: Timely and quality")</f>
        <v>Delivered*Satisfied with the Delivery: Timely and quality</v>
      </c>
      <c r="K1824" s="14" t="str">
        <f>IFERROR(__xludf.DUMMYFUNCTION("split(E1824,""+"")"),"Juice")</f>
        <v>Juice</v>
      </c>
      <c r="L1824" s="14" t="str">
        <f>IFERROR(__xludf.DUMMYFUNCTION("""COMPUTED_VALUE"""),"5*Tanvi Jain")</f>
        <v>5*Tanvi Jain</v>
      </c>
      <c r="M1824" s="14">
        <f>IFERROR(__xludf.DUMMYFUNCTION("SPLIT(L1824,""*"")"),5.0)</f>
        <v>5</v>
      </c>
      <c r="N1824" s="14" t="str">
        <f>IFERROR(__xludf.DUMMYFUNCTION("""COMPUTED_VALUE"""),"Tanvi Jain")</f>
        <v>Tanvi Jain</v>
      </c>
      <c r="O1824" s="14" t="str">
        <f>IFERROR(__xludf.DUMMYFUNCTION("split(J1824,""*"")"),"Delivered")</f>
        <v>Delivered</v>
      </c>
      <c r="P1824" s="14" t="str">
        <f>IFERROR(__xludf.DUMMYFUNCTION("""COMPUTED_VALUE"""),"Satisfied with the Delivery: Timely and quality")</f>
        <v>Satisfied with the Delivery: Timely and quality</v>
      </c>
      <c r="Q1824" s="14" t="str">
        <f>IFERROR(__xludf.DUMMYFUNCTION("split(P1824,"":"")"),"Satisfied with the Delivery")</f>
        <v>Satisfied with the Delivery</v>
      </c>
      <c r="R1824" s="14" t="str">
        <f>IFERROR(__xludf.DUMMYFUNCTION("""COMPUTED_VALUE""")," Timely and quality")</f>
        <v> Timely and quality</v>
      </c>
      <c r="S1824" s="14" t="str">
        <f t="shared" ref="S1824:U1824" si="3651">trim(B1824)</f>
        <v>ord_71802</v>
      </c>
      <c r="T1824" s="14" t="str">
        <f t="shared" si="3651"/>
        <v>Parth Goel</v>
      </c>
      <c r="U1824" s="14" t="str">
        <f t="shared" si="3651"/>
        <v>Juhu</v>
      </c>
      <c r="V1824" s="14" t="str">
        <f t="shared" si="4"/>
        <v>Juice</v>
      </c>
      <c r="W1824" s="14">
        <f t="shared" si="5"/>
        <v>5</v>
      </c>
      <c r="X1824" s="14" t="str">
        <f t="shared" si="6"/>
        <v>Tanvi Jain</v>
      </c>
      <c r="Y1824" s="15">
        <f t="shared" si="7"/>
        <v>45224</v>
      </c>
      <c r="Z1824" s="14" t="str">
        <f t="shared" si="8"/>
        <v>UPI</v>
      </c>
      <c r="AA1824" s="14" t="str">
        <f t="shared" si="9"/>
        <v>Delivered</v>
      </c>
      <c r="AB1824" s="14" t="str">
        <f t="shared" ref="AB1824:AC1824" si="3652">trim(Q1824)</f>
        <v>Satisfied with the Delivery</v>
      </c>
      <c r="AC1824" s="14" t="str">
        <f t="shared" si="3652"/>
        <v>Timely and quality</v>
      </c>
      <c r="AD1824" s="8"/>
    </row>
    <row r="1825">
      <c r="A1825" s="14" t="str">
        <f>IFERROR(__xludf.DUMMYFUNCTION("""COMPUTED_VALUE"""),"//ord_71803//Dev Chauhan//Bandra//Popcorn+1*Priya Joshi/7/25/2023//COD//Delivered*Customer Service: Seamless and easy")</f>
        <v>//ord_71803//Dev Chauhan//Bandra//Popcorn+1*Priya Joshi/7/25/2023//COD//Delivered*Customer Service: Seamless and easy</v>
      </c>
      <c r="B1825" s="14" t="str">
        <f>IFERROR(__xludf.DUMMYFUNCTION("split(A1825,""//"")"),"ord_71803")</f>
        <v>ord_71803</v>
      </c>
      <c r="C1825" s="14" t="str">
        <f>IFERROR(__xludf.DUMMYFUNCTION("""COMPUTED_VALUE"""),"Dev Chauhan")</f>
        <v>Dev Chauhan</v>
      </c>
      <c r="D1825" s="14" t="str">
        <f>IFERROR(__xludf.DUMMYFUNCTION("""COMPUTED_VALUE"""),"Bandra")</f>
        <v>Bandra</v>
      </c>
      <c r="E1825" s="14" t="str">
        <f>IFERROR(__xludf.DUMMYFUNCTION("""COMPUTED_VALUE"""),"Popcorn+1*Priya Joshi")</f>
        <v>Popcorn+1*Priya Joshi</v>
      </c>
      <c r="F1825" s="14">
        <f>IFERROR(__xludf.DUMMYFUNCTION("""COMPUTED_VALUE"""),7.0)</f>
        <v>7</v>
      </c>
      <c r="G1825" s="14">
        <f>IFERROR(__xludf.DUMMYFUNCTION("""COMPUTED_VALUE"""),25.0)</f>
        <v>25</v>
      </c>
      <c r="H1825" s="14">
        <f>IFERROR(__xludf.DUMMYFUNCTION("""COMPUTED_VALUE"""),2023.0)</f>
        <v>2023</v>
      </c>
      <c r="I1825" s="14" t="str">
        <f>IFERROR(__xludf.DUMMYFUNCTION("""COMPUTED_VALUE"""),"COD")</f>
        <v>COD</v>
      </c>
      <c r="J1825" s="14" t="str">
        <f>IFERROR(__xludf.DUMMYFUNCTION("""COMPUTED_VALUE"""),"Delivered*Customer Service: Seamless and easy")</f>
        <v>Delivered*Customer Service: Seamless and easy</v>
      </c>
      <c r="K1825" s="14" t="str">
        <f>IFERROR(__xludf.DUMMYFUNCTION("split(E1825,""+"")"),"Popcorn")</f>
        <v>Popcorn</v>
      </c>
      <c r="L1825" s="14" t="str">
        <f>IFERROR(__xludf.DUMMYFUNCTION("""COMPUTED_VALUE"""),"1*Priya Joshi")</f>
        <v>1*Priya Joshi</v>
      </c>
      <c r="M1825" s="14">
        <f>IFERROR(__xludf.DUMMYFUNCTION("SPLIT(L1825,""*"")"),1.0)</f>
        <v>1</v>
      </c>
      <c r="N1825" s="14" t="str">
        <f>IFERROR(__xludf.DUMMYFUNCTION("""COMPUTED_VALUE"""),"Priya Joshi")</f>
        <v>Priya Joshi</v>
      </c>
      <c r="O1825" s="14" t="str">
        <f>IFERROR(__xludf.DUMMYFUNCTION("split(J1825,""*"")"),"Delivered")</f>
        <v>Delivered</v>
      </c>
      <c r="P1825" s="14" t="str">
        <f>IFERROR(__xludf.DUMMYFUNCTION("""COMPUTED_VALUE"""),"Customer Service: Seamless and easy")</f>
        <v>Customer Service: Seamless and easy</v>
      </c>
      <c r="Q1825" s="14" t="str">
        <f>IFERROR(__xludf.DUMMYFUNCTION("split(P1825,"":"")"),"Customer Service")</f>
        <v>Customer Service</v>
      </c>
      <c r="R1825" s="14" t="str">
        <f>IFERROR(__xludf.DUMMYFUNCTION("""COMPUTED_VALUE""")," Seamless and easy")</f>
        <v> Seamless and easy</v>
      </c>
      <c r="S1825" s="14" t="str">
        <f t="shared" ref="S1825:U1825" si="3653">trim(B1825)</f>
        <v>ord_71803</v>
      </c>
      <c r="T1825" s="14" t="str">
        <f t="shared" si="3653"/>
        <v>Dev Chauhan</v>
      </c>
      <c r="U1825" s="14" t="str">
        <f t="shared" si="3653"/>
        <v>Bandra</v>
      </c>
      <c r="V1825" s="14" t="str">
        <f t="shared" si="4"/>
        <v>Popcorn</v>
      </c>
      <c r="W1825" s="14">
        <f t="shared" si="5"/>
        <v>1</v>
      </c>
      <c r="X1825" s="14" t="str">
        <f t="shared" si="6"/>
        <v>Priya Joshi</v>
      </c>
      <c r="Y1825" s="15">
        <f t="shared" si="7"/>
        <v>45132</v>
      </c>
      <c r="Z1825" s="14" t="str">
        <f t="shared" si="8"/>
        <v>COD</v>
      </c>
      <c r="AA1825" s="14" t="str">
        <f t="shared" si="9"/>
        <v>Delivered</v>
      </c>
      <c r="AB1825" s="14" t="str">
        <f t="shared" ref="AB1825:AC1825" si="3654">trim(Q1825)</f>
        <v>Customer Service</v>
      </c>
      <c r="AC1825" s="14" t="str">
        <f t="shared" si="3654"/>
        <v>Seamless and easy</v>
      </c>
      <c r="AD1825" s="8"/>
    </row>
    <row r="1826">
      <c r="A1826" s="14" t="str">
        <f>IFERROR(__xludf.DUMMYFUNCTION("""COMPUTED_VALUE"""),"//ord_71804//Siya Reddy//Juhu//Chocolate Mousse+2*Tanvi Jain/3/17/2023//UPI//Delivered*Delivery Experience: Quick and professional")</f>
        <v>//ord_71804//Siya Reddy//Juhu//Chocolate Mousse+2*Tanvi Jain/3/17/2023//UPI//Delivered*Delivery Experience: Quick and professional</v>
      </c>
      <c r="B1826" s="14" t="str">
        <f>IFERROR(__xludf.DUMMYFUNCTION("split(A1826,""//"")"),"ord_71804")</f>
        <v>ord_71804</v>
      </c>
      <c r="C1826" s="14" t="str">
        <f>IFERROR(__xludf.DUMMYFUNCTION("""COMPUTED_VALUE"""),"Siya Reddy")</f>
        <v>Siya Reddy</v>
      </c>
      <c r="D1826" s="14" t="str">
        <f>IFERROR(__xludf.DUMMYFUNCTION("""COMPUTED_VALUE"""),"Juhu")</f>
        <v>Juhu</v>
      </c>
      <c r="E1826" s="14" t="str">
        <f>IFERROR(__xludf.DUMMYFUNCTION("""COMPUTED_VALUE"""),"Chocolate Mousse+2*Tanvi Jain")</f>
        <v>Chocolate Mousse+2*Tanvi Jain</v>
      </c>
      <c r="F1826" s="14">
        <f>IFERROR(__xludf.DUMMYFUNCTION("""COMPUTED_VALUE"""),3.0)</f>
        <v>3</v>
      </c>
      <c r="G1826" s="14">
        <f>IFERROR(__xludf.DUMMYFUNCTION("""COMPUTED_VALUE"""),17.0)</f>
        <v>17</v>
      </c>
      <c r="H1826" s="14">
        <f>IFERROR(__xludf.DUMMYFUNCTION("""COMPUTED_VALUE"""),2023.0)</f>
        <v>2023</v>
      </c>
      <c r="I1826" s="14" t="str">
        <f>IFERROR(__xludf.DUMMYFUNCTION("""COMPUTED_VALUE"""),"UPI")</f>
        <v>UPI</v>
      </c>
      <c r="J1826" s="14" t="str">
        <f>IFERROR(__xludf.DUMMYFUNCTION("""COMPUTED_VALUE"""),"Delivered*Delivery Experience: Quick and professional")</f>
        <v>Delivered*Delivery Experience: Quick and professional</v>
      </c>
      <c r="K1826" s="14" t="str">
        <f>IFERROR(__xludf.DUMMYFUNCTION("split(E1826,""+"")"),"Chocolate Mousse")</f>
        <v>Chocolate Mousse</v>
      </c>
      <c r="L1826" s="14" t="str">
        <f>IFERROR(__xludf.DUMMYFUNCTION("""COMPUTED_VALUE"""),"2*Tanvi Jain")</f>
        <v>2*Tanvi Jain</v>
      </c>
      <c r="M1826" s="14">
        <f>IFERROR(__xludf.DUMMYFUNCTION("SPLIT(L1826,""*"")"),2.0)</f>
        <v>2</v>
      </c>
      <c r="N1826" s="14" t="str">
        <f>IFERROR(__xludf.DUMMYFUNCTION("""COMPUTED_VALUE"""),"Tanvi Jain")</f>
        <v>Tanvi Jain</v>
      </c>
      <c r="O1826" s="14" t="str">
        <f>IFERROR(__xludf.DUMMYFUNCTION("split(J1826,""*"")"),"Delivered")</f>
        <v>Delivered</v>
      </c>
      <c r="P1826" s="14" t="str">
        <f>IFERROR(__xludf.DUMMYFUNCTION("""COMPUTED_VALUE"""),"Delivery Experience: Quick and professional")</f>
        <v>Delivery Experience: Quick and professional</v>
      </c>
      <c r="Q1826" s="14" t="str">
        <f>IFERROR(__xludf.DUMMYFUNCTION("split(P1826,"":"")"),"Delivery Experience")</f>
        <v>Delivery Experience</v>
      </c>
      <c r="R1826" s="14" t="str">
        <f>IFERROR(__xludf.DUMMYFUNCTION("""COMPUTED_VALUE""")," Quick and professional")</f>
        <v> Quick and professional</v>
      </c>
      <c r="S1826" s="14" t="str">
        <f t="shared" ref="S1826:U1826" si="3655">trim(B1826)</f>
        <v>ord_71804</v>
      </c>
      <c r="T1826" s="14" t="str">
        <f t="shared" si="3655"/>
        <v>Siya Reddy</v>
      </c>
      <c r="U1826" s="14" t="str">
        <f t="shared" si="3655"/>
        <v>Juhu</v>
      </c>
      <c r="V1826" s="14" t="str">
        <f t="shared" si="4"/>
        <v>Chocolate Mousse</v>
      </c>
      <c r="W1826" s="14">
        <f t="shared" si="5"/>
        <v>2</v>
      </c>
      <c r="X1826" s="14" t="str">
        <f t="shared" si="6"/>
        <v>Tanvi Jain</v>
      </c>
      <c r="Y1826" s="15">
        <f t="shared" si="7"/>
        <v>45002</v>
      </c>
      <c r="Z1826" s="14" t="str">
        <f t="shared" si="8"/>
        <v>UPI</v>
      </c>
      <c r="AA1826" s="14" t="str">
        <f t="shared" si="9"/>
        <v>Delivered</v>
      </c>
      <c r="AB1826" s="14" t="str">
        <f t="shared" ref="AB1826:AC1826" si="3656">trim(Q1826)</f>
        <v>Delivery Experience</v>
      </c>
      <c r="AC1826" s="14" t="str">
        <f t="shared" si="3656"/>
        <v>Quick and professional</v>
      </c>
      <c r="AD1826" s="8"/>
    </row>
    <row r="1827">
      <c r="A1827" s="14" t="str">
        <f>IFERROR(__xludf.DUMMYFUNCTION("""COMPUTED_VALUE"""),"//ord_71805//Mehul Thakkar//Malad//Cold Coffee+4*Ramesh S/8/22/2023//Online Payment//Cancelled*Delayed Delivery:Bad Weather Conditions ")</f>
        <v>//ord_71805//Mehul Thakkar//Malad//Cold Coffee+4*Ramesh S/8/22/2023//Online Payment//Cancelled*Delayed Delivery:Bad Weather Conditions </v>
      </c>
      <c r="B1827" s="14" t="str">
        <f>IFERROR(__xludf.DUMMYFUNCTION("split(A1827,""//"")"),"ord_71805")</f>
        <v>ord_71805</v>
      </c>
      <c r="C1827" s="14" t="str">
        <f>IFERROR(__xludf.DUMMYFUNCTION("""COMPUTED_VALUE"""),"Mehul Thakkar")</f>
        <v>Mehul Thakkar</v>
      </c>
      <c r="D1827" s="14" t="str">
        <f>IFERROR(__xludf.DUMMYFUNCTION("""COMPUTED_VALUE"""),"Malad")</f>
        <v>Malad</v>
      </c>
      <c r="E1827" s="14" t="str">
        <f>IFERROR(__xludf.DUMMYFUNCTION("""COMPUTED_VALUE"""),"Cold Coffee+4*Ramesh S")</f>
        <v>Cold Coffee+4*Ramesh S</v>
      </c>
      <c r="F1827" s="14">
        <f>IFERROR(__xludf.DUMMYFUNCTION("""COMPUTED_VALUE"""),8.0)</f>
        <v>8</v>
      </c>
      <c r="G1827" s="14">
        <f>IFERROR(__xludf.DUMMYFUNCTION("""COMPUTED_VALUE"""),22.0)</f>
        <v>22</v>
      </c>
      <c r="H1827" s="14">
        <f>IFERROR(__xludf.DUMMYFUNCTION("""COMPUTED_VALUE"""),2023.0)</f>
        <v>2023</v>
      </c>
      <c r="I1827" s="14" t="str">
        <f>IFERROR(__xludf.DUMMYFUNCTION("""COMPUTED_VALUE"""),"Online Payment")</f>
        <v>Online Payment</v>
      </c>
      <c r="J1827" s="14" t="str">
        <f>IFERROR(__xludf.DUMMYFUNCTION("""COMPUTED_VALUE"""),"Cancelled*Delayed Delivery:Bad Weather Conditions ")</f>
        <v>Cancelled*Delayed Delivery:Bad Weather Conditions </v>
      </c>
      <c r="K1827" s="14" t="str">
        <f>IFERROR(__xludf.DUMMYFUNCTION("split(E1827,""+"")"),"Cold Coffee")</f>
        <v>Cold Coffee</v>
      </c>
      <c r="L1827" s="14" t="str">
        <f>IFERROR(__xludf.DUMMYFUNCTION("""COMPUTED_VALUE"""),"4*Ramesh S")</f>
        <v>4*Ramesh S</v>
      </c>
      <c r="M1827" s="14">
        <f>IFERROR(__xludf.DUMMYFUNCTION("SPLIT(L1827,""*"")"),4.0)</f>
        <v>4</v>
      </c>
      <c r="N1827" s="14" t="str">
        <f>IFERROR(__xludf.DUMMYFUNCTION("""COMPUTED_VALUE"""),"Ramesh S")</f>
        <v>Ramesh S</v>
      </c>
      <c r="O1827" s="14" t="str">
        <f>IFERROR(__xludf.DUMMYFUNCTION("split(J1827,""*"")"),"Cancelled")</f>
        <v>Cancelled</v>
      </c>
      <c r="P1827" s="14" t="str">
        <f>IFERROR(__xludf.DUMMYFUNCTION("""COMPUTED_VALUE"""),"Delayed Delivery:Bad Weather Conditions ")</f>
        <v>Delayed Delivery:Bad Weather Conditions </v>
      </c>
      <c r="Q1827" s="14" t="str">
        <f>IFERROR(__xludf.DUMMYFUNCTION("split(P1827,"":"")"),"Delayed Delivery")</f>
        <v>Delayed Delivery</v>
      </c>
      <c r="R1827" s="14" t="str">
        <f>IFERROR(__xludf.DUMMYFUNCTION("""COMPUTED_VALUE"""),"Bad Weather Conditions ")</f>
        <v>Bad Weather Conditions </v>
      </c>
      <c r="S1827" s="14" t="str">
        <f t="shared" ref="S1827:U1827" si="3657">trim(B1827)</f>
        <v>ord_71805</v>
      </c>
      <c r="T1827" s="14" t="str">
        <f t="shared" si="3657"/>
        <v>Mehul Thakkar</v>
      </c>
      <c r="U1827" s="14" t="str">
        <f t="shared" si="3657"/>
        <v>Malad</v>
      </c>
      <c r="V1827" s="14" t="str">
        <f t="shared" si="4"/>
        <v>Cold Coffee</v>
      </c>
      <c r="W1827" s="14">
        <f t="shared" si="5"/>
        <v>4</v>
      </c>
      <c r="X1827" s="14" t="str">
        <f t="shared" si="6"/>
        <v>Ramesh S</v>
      </c>
      <c r="Y1827" s="15">
        <f t="shared" si="7"/>
        <v>45160</v>
      </c>
      <c r="Z1827" s="14" t="str">
        <f t="shared" si="8"/>
        <v>Online Payment</v>
      </c>
      <c r="AA1827" s="14" t="str">
        <f t="shared" si="9"/>
        <v>Cancelled</v>
      </c>
      <c r="AB1827" s="14" t="str">
        <f t="shared" ref="AB1827:AC1827" si="3658">trim(Q1827)</f>
        <v>Delayed Delivery</v>
      </c>
      <c r="AC1827" s="14" t="str">
        <f t="shared" si="3658"/>
        <v>Bad Weather Conditions</v>
      </c>
      <c r="AD1827" s="8"/>
    </row>
    <row r="1828">
      <c r="A1828" s="14" t="str">
        <f>IFERROR(__xludf.DUMMYFUNCTION("""COMPUTED_VALUE"""),"//ord_71806//Parth Goel//Juhu//Tiramisu+3*Tanvi Jain/2/15/2023//COD//Delivered*Convenience: Easy tracking")</f>
        <v>//ord_71806//Parth Goel//Juhu//Tiramisu+3*Tanvi Jain/2/15/2023//COD//Delivered*Convenience: Easy tracking</v>
      </c>
      <c r="B1828" s="14" t="str">
        <f>IFERROR(__xludf.DUMMYFUNCTION("split(A1828,""//"")"),"ord_71806")</f>
        <v>ord_71806</v>
      </c>
      <c r="C1828" s="14" t="str">
        <f>IFERROR(__xludf.DUMMYFUNCTION("""COMPUTED_VALUE"""),"Parth Goel")</f>
        <v>Parth Goel</v>
      </c>
      <c r="D1828" s="14" t="str">
        <f>IFERROR(__xludf.DUMMYFUNCTION("""COMPUTED_VALUE"""),"Juhu")</f>
        <v>Juhu</v>
      </c>
      <c r="E1828" s="14" t="str">
        <f>IFERROR(__xludf.DUMMYFUNCTION("""COMPUTED_VALUE"""),"Tiramisu+3*Tanvi Jain")</f>
        <v>Tiramisu+3*Tanvi Jain</v>
      </c>
      <c r="F1828" s="14">
        <f>IFERROR(__xludf.DUMMYFUNCTION("""COMPUTED_VALUE"""),2.0)</f>
        <v>2</v>
      </c>
      <c r="G1828" s="14">
        <f>IFERROR(__xludf.DUMMYFUNCTION("""COMPUTED_VALUE"""),15.0)</f>
        <v>15</v>
      </c>
      <c r="H1828" s="14">
        <f>IFERROR(__xludf.DUMMYFUNCTION("""COMPUTED_VALUE"""),2023.0)</f>
        <v>2023</v>
      </c>
      <c r="I1828" s="14" t="str">
        <f>IFERROR(__xludf.DUMMYFUNCTION("""COMPUTED_VALUE"""),"COD")</f>
        <v>COD</v>
      </c>
      <c r="J1828" s="14" t="str">
        <f>IFERROR(__xludf.DUMMYFUNCTION("""COMPUTED_VALUE"""),"Delivered*Convenience: Easy tracking")</f>
        <v>Delivered*Convenience: Easy tracking</v>
      </c>
      <c r="K1828" s="14" t="str">
        <f>IFERROR(__xludf.DUMMYFUNCTION("split(E1828,""+"")"),"Tiramisu")</f>
        <v>Tiramisu</v>
      </c>
      <c r="L1828" s="14" t="str">
        <f>IFERROR(__xludf.DUMMYFUNCTION("""COMPUTED_VALUE"""),"3*Tanvi Jain")</f>
        <v>3*Tanvi Jain</v>
      </c>
      <c r="M1828" s="14">
        <f>IFERROR(__xludf.DUMMYFUNCTION("SPLIT(L1828,""*"")"),3.0)</f>
        <v>3</v>
      </c>
      <c r="N1828" s="14" t="str">
        <f>IFERROR(__xludf.DUMMYFUNCTION("""COMPUTED_VALUE"""),"Tanvi Jain")</f>
        <v>Tanvi Jain</v>
      </c>
      <c r="O1828" s="14" t="str">
        <f>IFERROR(__xludf.DUMMYFUNCTION("split(J1828,""*"")"),"Delivered")</f>
        <v>Delivered</v>
      </c>
      <c r="P1828" s="14" t="str">
        <f>IFERROR(__xludf.DUMMYFUNCTION("""COMPUTED_VALUE"""),"Convenience: Easy tracking")</f>
        <v>Convenience: Easy tracking</v>
      </c>
      <c r="Q1828" s="14" t="str">
        <f>IFERROR(__xludf.DUMMYFUNCTION("split(P1828,"":"")"),"Convenience")</f>
        <v>Convenience</v>
      </c>
      <c r="R1828" s="14" t="str">
        <f>IFERROR(__xludf.DUMMYFUNCTION("""COMPUTED_VALUE""")," Easy tracking")</f>
        <v> Easy tracking</v>
      </c>
      <c r="S1828" s="14" t="str">
        <f t="shared" ref="S1828:U1828" si="3659">trim(B1828)</f>
        <v>ord_71806</v>
      </c>
      <c r="T1828" s="14" t="str">
        <f t="shared" si="3659"/>
        <v>Parth Goel</v>
      </c>
      <c r="U1828" s="14" t="str">
        <f t="shared" si="3659"/>
        <v>Juhu</v>
      </c>
      <c r="V1828" s="14" t="str">
        <f t="shared" si="4"/>
        <v>Tiramisu</v>
      </c>
      <c r="W1828" s="14">
        <f t="shared" si="5"/>
        <v>3</v>
      </c>
      <c r="X1828" s="14" t="str">
        <f t="shared" si="6"/>
        <v>Tanvi Jain</v>
      </c>
      <c r="Y1828" s="15">
        <f t="shared" si="7"/>
        <v>44972</v>
      </c>
      <c r="Z1828" s="14" t="str">
        <f t="shared" si="8"/>
        <v>COD</v>
      </c>
      <c r="AA1828" s="14" t="str">
        <f t="shared" si="9"/>
        <v>Delivered</v>
      </c>
      <c r="AB1828" s="14" t="str">
        <f t="shared" ref="AB1828:AC1828" si="3660">trim(Q1828)</f>
        <v>Convenience</v>
      </c>
      <c r="AC1828" s="14" t="str">
        <f t="shared" si="3660"/>
        <v>Easy tracking</v>
      </c>
      <c r="AD1828" s="8"/>
    </row>
    <row r="1829">
      <c r="A1829" s="14" t="str">
        <f>IFERROR(__xludf.DUMMYFUNCTION("""COMPUTED_VALUE"""),"//ord_71807//Aarav Mehta//Andheri//Popcorn+5*Rohan Yadav/3/20/2023//Online Payment//Delivered*Overall Satisfaction: Great service will order again")</f>
        <v>//ord_71807//Aarav Mehta//Andheri//Popcorn+5*Rohan Yadav/3/20/2023//Online Payment//Delivered*Overall Satisfaction: Great service will order again</v>
      </c>
      <c r="B1829" s="14" t="str">
        <f>IFERROR(__xludf.DUMMYFUNCTION("split(A1829,""//"")"),"ord_71807")</f>
        <v>ord_71807</v>
      </c>
      <c r="C1829" s="14" t="str">
        <f>IFERROR(__xludf.DUMMYFUNCTION("""COMPUTED_VALUE"""),"Aarav Mehta")</f>
        <v>Aarav Mehta</v>
      </c>
      <c r="D1829" s="14" t="str">
        <f>IFERROR(__xludf.DUMMYFUNCTION("""COMPUTED_VALUE"""),"Andheri")</f>
        <v>Andheri</v>
      </c>
      <c r="E1829" s="14" t="str">
        <f>IFERROR(__xludf.DUMMYFUNCTION("""COMPUTED_VALUE"""),"Popcorn+5*Rohan Yadav")</f>
        <v>Popcorn+5*Rohan Yadav</v>
      </c>
      <c r="F1829" s="14">
        <f>IFERROR(__xludf.DUMMYFUNCTION("""COMPUTED_VALUE"""),3.0)</f>
        <v>3</v>
      </c>
      <c r="G1829" s="14">
        <f>IFERROR(__xludf.DUMMYFUNCTION("""COMPUTED_VALUE"""),20.0)</f>
        <v>20</v>
      </c>
      <c r="H1829" s="14">
        <f>IFERROR(__xludf.DUMMYFUNCTION("""COMPUTED_VALUE"""),2023.0)</f>
        <v>2023</v>
      </c>
      <c r="I1829" s="14" t="str">
        <f>IFERROR(__xludf.DUMMYFUNCTION("""COMPUTED_VALUE"""),"Online Payment")</f>
        <v>Online Payment</v>
      </c>
      <c r="J1829" s="14" t="str">
        <f>IFERROR(__xludf.DUMMYFUNCTION("""COMPUTED_VALUE"""),"Delivered*Overall Satisfaction: Great service will order again")</f>
        <v>Delivered*Overall Satisfaction: Great service will order again</v>
      </c>
      <c r="K1829" s="14" t="str">
        <f>IFERROR(__xludf.DUMMYFUNCTION("split(E1829,""+"")"),"Popcorn")</f>
        <v>Popcorn</v>
      </c>
      <c r="L1829" s="14" t="str">
        <f>IFERROR(__xludf.DUMMYFUNCTION("""COMPUTED_VALUE"""),"5*Rohan Yadav")</f>
        <v>5*Rohan Yadav</v>
      </c>
      <c r="M1829" s="14">
        <f>IFERROR(__xludf.DUMMYFUNCTION("SPLIT(L1829,""*"")"),5.0)</f>
        <v>5</v>
      </c>
      <c r="N1829" s="14" t="str">
        <f>IFERROR(__xludf.DUMMYFUNCTION("""COMPUTED_VALUE"""),"Rohan Yadav")</f>
        <v>Rohan Yadav</v>
      </c>
      <c r="O1829" s="14" t="str">
        <f>IFERROR(__xludf.DUMMYFUNCTION("split(J1829,""*"")"),"Delivered")</f>
        <v>Delivered</v>
      </c>
      <c r="P1829" s="14" t="str">
        <f>IFERROR(__xludf.DUMMYFUNCTION("""COMPUTED_VALUE"""),"Overall Satisfaction: Great service will order again")</f>
        <v>Overall Satisfaction: Great service will order again</v>
      </c>
      <c r="Q1829" s="14" t="str">
        <f>IFERROR(__xludf.DUMMYFUNCTION("split(P1829,"":"")"),"Overall Satisfaction")</f>
        <v>Overall Satisfaction</v>
      </c>
      <c r="R1829" s="14" t="str">
        <f>IFERROR(__xludf.DUMMYFUNCTION("""COMPUTED_VALUE""")," Great service will order again")</f>
        <v> Great service will order again</v>
      </c>
      <c r="S1829" s="14" t="str">
        <f t="shared" ref="S1829:U1829" si="3661">trim(B1829)</f>
        <v>ord_71807</v>
      </c>
      <c r="T1829" s="14" t="str">
        <f t="shared" si="3661"/>
        <v>Aarav Mehta</v>
      </c>
      <c r="U1829" s="14" t="str">
        <f t="shared" si="3661"/>
        <v>Andheri</v>
      </c>
      <c r="V1829" s="14" t="str">
        <f t="shared" si="4"/>
        <v>Popcorn</v>
      </c>
      <c r="W1829" s="14">
        <f t="shared" si="5"/>
        <v>5</v>
      </c>
      <c r="X1829" s="14" t="str">
        <f t="shared" si="6"/>
        <v>Rohan Yadav</v>
      </c>
      <c r="Y1829" s="15">
        <f t="shared" si="7"/>
        <v>45005</v>
      </c>
      <c r="Z1829" s="14" t="str">
        <f t="shared" si="8"/>
        <v>Online Payment</v>
      </c>
      <c r="AA1829" s="14" t="str">
        <f t="shared" si="9"/>
        <v>Delivered</v>
      </c>
      <c r="AB1829" s="14" t="str">
        <f t="shared" ref="AB1829:AC1829" si="3662">trim(Q1829)</f>
        <v>Overall Satisfaction</v>
      </c>
      <c r="AC1829" s="14" t="str">
        <f t="shared" si="3662"/>
        <v>Great service will order again</v>
      </c>
      <c r="AD1829" s="8"/>
    </row>
    <row r="1830">
      <c r="A1830" s="14" t="str">
        <f>IFERROR(__xludf.DUMMYFUNCTION("""COMPUTED_VALUE"""),"//ord_71808//Kritika Shetty//Malad//Tiramisu+2*Neha Shah/9/14/2023//COD//Delivered*On-time Delivery: Delivered on time")</f>
        <v>//ord_71808//Kritika Shetty//Malad//Tiramisu+2*Neha Shah/9/14/2023//COD//Delivered*On-time Delivery: Delivered on time</v>
      </c>
      <c r="B1830" s="14" t="str">
        <f>IFERROR(__xludf.DUMMYFUNCTION("split(A1830,""//"")"),"ord_71808")</f>
        <v>ord_71808</v>
      </c>
      <c r="C1830" s="14" t="str">
        <f>IFERROR(__xludf.DUMMYFUNCTION("""COMPUTED_VALUE"""),"Kritika Shetty")</f>
        <v>Kritika Shetty</v>
      </c>
      <c r="D1830" s="14" t="str">
        <f>IFERROR(__xludf.DUMMYFUNCTION("""COMPUTED_VALUE"""),"Malad")</f>
        <v>Malad</v>
      </c>
      <c r="E1830" s="14" t="str">
        <f>IFERROR(__xludf.DUMMYFUNCTION("""COMPUTED_VALUE"""),"Tiramisu+2*Neha Shah")</f>
        <v>Tiramisu+2*Neha Shah</v>
      </c>
      <c r="F1830" s="14">
        <f>IFERROR(__xludf.DUMMYFUNCTION("""COMPUTED_VALUE"""),9.0)</f>
        <v>9</v>
      </c>
      <c r="G1830" s="14">
        <f>IFERROR(__xludf.DUMMYFUNCTION("""COMPUTED_VALUE"""),14.0)</f>
        <v>14</v>
      </c>
      <c r="H1830" s="14">
        <f>IFERROR(__xludf.DUMMYFUNCTION("""COMPUTED_VALUE"""),2023.0)</f>
        <v>2023</v>
      </c>
      <c r="I1830" s="14" t="str">
        <f>IFERROR(__xludf.DUMMYFUNCTION("""COMPUTED_VALUE"""),"COD")</f>
        <v>COD</v>
      </c>
      <c r="J1830" s="14" t="str">
        <f>IFERROR(__xludf.DUMMYFUNCTION("""COMPUTED_VALUE"""),"Delivered*On-time Delivery: Delivered on time")</f>
        <v>Delivered*On-time Delivery: Delivered on time</v>
      </c>
      <c r="K1830" s="14" t="str">
        <f>IFERROR(__xludf.DUMMYFUNCTION("split(E1830,""+"")"),"Tiramisu")</f>
        <v>Tiramisu</v>
      </c>
      <c r="L1830" s="14" t="str">
        <f>IFERROR(__xludf.DUMMYFUNCTION("""COMPUTED_VALUE"""),"2*Neha Shah")</f>
        <v>2*Neha Shah</v>
      </c>
      <c r="M1830" s="14">
        <f>IFERROR(__xludf.DUMMYFUNCTION("SPLIT(L1830,""*"")"),2.0)</f>
        <v>2</v>
      </c>
      <c r="N1830" s="14" t="str">
        <f>IFERROR(__xludf.DUMMYFUNCTION("""COMPUTED_VALUE"""),"Neha Shah")</f>
        <v>Neha Shah</v>
      </c>
      <c r="O1830" s="14" t="str">
        <f>IFERROR(__xludf.DUMMYFUNCTION("split(J1830,""*"")"),"Delivered")</f>
        <v>Delivered</v>
      </c>
      <c r="P1830" s="14" t="str">
        <f>IFERROR(__xludf.DUMMYFUNCTION("""COMPUTED_VALUE"""),"On-time Delivery: Delivered on time")</f>
        <v>On-time Delivery: Delivered on time</v>
      </c>
      <c r="Q1830" s="14" t="str">
        <f>IFERROR(__xludf.DUMMYFUNCTION("split(P1830,"":"")"),"On-time Delivery")</f>
        <v>On-time Delivery</v>
      </c>
      <c r="R1830" s="14" t="str">
        <f>IFERROR(__xludf.DUMMYFUNCTION("""COMPUTED_VALUE""")," Delivered on time")</f>
        <v> Delivered on time</v>
      </c>
      <c r="S1830" s="14" t="str">
        <f t="shared" ref="S1830:U1830" si="3663">trim(B1830)</f>
        <v>ord_71808</v>
      </c>
      <c r="T1830" s="14" t="str">
        <f t="shared" si="3663"/>
        <v>Kritika Shetty</v>
      </c>
      <c r="U1830" s="14" t="str">
        <f t="shared" si="3663"/>
        <v>Malad</v>
      </c>
      <c r="V1830" s="14" t="str">
        <f t="shared" si="4"/>
        <v>Tiramisu</v>
      </c>
      <c r="W1830" s="14">
        <f t="shared" si="5"/>
        <v>2</v>
      </c>
      <c r="X1830" s="14" t="str">
        <f t="shared" si="6"/>
        <v>Neha Shah</v>
      </c>
      <c r="Y1830" s="15">
        <f t="shared" si="7"/>
        <v>45183</v>
      </c>
      <c r="Z1830" s="14" t="str">
        <f t="shared" si="8"/>
        <v>COD</v>
      </c>
      <c r="AA1830" s="14" t="str">
        <f t="shared" si="9"/>
        <v>Delivered</v>
      </c>
      <c r="AB1830" s="14" t="str">
        <f t="shared" ref="AB1830:AC1830" si="3664">trim(Q1830)</f>
        <v>On-time Delivery</v>
      </c>
      <c r="AC1830" s="14" t="str">
        <f t="shared" si="3664"/>
        <v>Delivered on time</v>
      </c>
      <c r="AD1830" s="8"/>
    </row>
    <row r="1831">
      <c r="A1831" s="14" t="str">
        <f>IFERROR(__xludf.DUMMYFUNCTION("""COMPUTED_VALUE"""),"//ord_71809//Aarohi Kapoor//Bandra//Tiramisu+2*Priya Joshi/10/27/2023//COD//Delivered*Quality of Items: Perfect condition")</f>
        <v>//ord_71809//Aarohi Kapoor//Bandra//Tiramisu+2*Priya Joshi/10/27/2023//COD//Delivered*Quality of Items: Perfect condition</v>
      </c>
      <c r="B1831" s="14" t="str">
        <f>IFERROR(__xludf.DUMMYFUNCTION("split(A1831,""//"")"),"ord_71809")</f>
        <v>ord_71809</v>
      </c>
      <c r="C1831" s="14" t="str">
        <f>IFERROR(__xludf.DUMMYFUNCTION("""COMPUTED_VALUE"""),"Aarohi Kapoor")</f>
        <v>Aarohi Kapoor</v>
      </c>
      <c r="D1831" s="14" t="str">
        <f>IFERROR(__xludf.DUMMYFUNCTION("""COMPUTED_VALUE"""),"Bandra")</f>
        <v>Bandra</v>
      </c>
      <c r="E1831" s="14" t="str">
        <f>IFERROR(__xludf.DUMMYFUNCTION("""COMPUTED_VALUE"""),"Tiramisu+2*Priya Joshi")</f>
        <v>Tiramisu+2*Priya Joshi</v>
      </c>
      <c r="F1831" s="14">
        <f>IFERROR(__xludf.DUMMYFUNCTION("""COMPUTED_VALUE"""),10.0)</f>
        <v>10</v>
      </c>
      <c r="G1831" s="14">
        <f>IFERROR(__xludf.DUMMYFUNCTION("""COMPUTED_VALUE"""),27.0)</f>
        <v>27</v>
      </c>
      <c r="H1831" s="14">
        <f>IFERROR(__xludf.DUMMYFUNCTION("""COMPUTED_VALUE"""),2023.0)</f>
        <v>2023</v>
      </c>
      <c r="I1831" s="14" t="str">
        <f>IFERROR(__xludf.DUMMYFUNCTION("""COMPUTED_VALUE"""),"COD")</f>
        <v>COD</v>
      </c>
      <c r="J1831" s="14" t="str">
        <f>IFERROR(__xludf.DUMMYFUNCTION("""COMPUTED_VALUE"""),"Delivered*Quality of Items: Perfect condition")</f>
        <v>Delivered*Quality of Items: Perfect condition</v>
      </c>
      <c r="K1831" s="14" t="str">
        <f>IFERROR(__xludf.DUMMYFUNCTION("split(E1831,""+"")"),"Tiramisu")</f>
        <v>Tiramisu</v>
      </c>
      <c r="L1831" s="14" t="str">
        <f>IFERROR(__xludf.DUMMYFUNCTION("""COMPUTED_VALUE"""),"2*Priya Joshi")</f>
        <v>2*Priya Joshi</v>
      </c>
      <c r="M1831" s="14">
        <f>IFERROR(__xludf.DUMMYFUNCTION("SPLIT(L1831,""*"")"),2.0)</f>
        <v>2</v>
      </c>
      <c r="N1831" s="14" t="str">
        <f>IFERROR(__xludf.DUMMYFUNCTION("""COMPUTED_VALUE"""),"Priya Joshi")</f>
        <v>Priya Joshi</v>
      </c>
      <c r="O1831" s="14" t="str">
        <f>IFERROR(__xludf.DUMMYFUNCTION("split(J1831,""*"")"),"Delivered")</f>
        <v>Delivered</v>
      </c>
      <c r="P1831" s="14" t="str">
        <f>IFERROR(__xludf.DUMMYFUNCTION("""COMPUTED_VALUE"""),"Quality of Items: Perfect condition")</f>
        <v>Quality of Items: Perfect condition</v>
      </c>
      <c r="Q1831" s="14" t="str">
        <f>IFERROR(__xludf.DUMMYFUNCTION("split(P1831,"":"")"),"Quality of Items")</f>
        <v>Quality of Items</v>
      </c>
      <c r="R1831" s="14" t="str">
        <f>IFERROR(__xludf.DUMMYFUNCTION("""COMPUTED_VALUE""")," Perfect condition")</f>
        <v> Perfect condition</v>
      </c>
      <c r="S1831" s="14" t="str">
        <f t="shared" ref="S1831:U1831" si="3665">trim(B1831)</f>
        <v>ord_71809</v>
      </c>
      <c r="T1831" s="14" t="str">
        <f t="shared" si="3665"/>
        <v>Aarohi Kapoor</v>
      </c>
      <c r="U1831" s="14" t="str">
        <f t="shared" si="3665"/>
        <v>Bandra</v>
      </c>
      <c r="V1831" s="14" t="str">
        <f t="shared" si="4"/>
        <v>Tiramisu</v>
      </c>
      <c r="W1831" s="14">
        <f t="shared" si="5"/>
        <v>2</v>
      </c>
      <c r="X1831" s="14" t="str">
        <f t="shared" si="6"/>
        <v>Priya Joshi</v>
      </c>
      <c r="Y1831" s="15">
        <f t="shared" si="7"/>
        <v>45226</v>
      </c>
      <c r="Z1831" s="14" t="str">
        <f t="shared" si="8"/>
        <v>COD</v>
      </c>
      <c r="AA1831" s="14" t="str">
        <f t="shared" si="9"/>
        <v>Delivered</v>
      </c>
      <c r="AB1831" s="14" t="str">
        <f t="shared" ref="AB1831:AC1831" si="3666">trim(Q1831)</f>
        <v>Quality of Items</v>
      </c>
      <c r="AC1831" s="14" t="str">
        <f t="shared" si="3666"/>
        <v>Perfect condition</v>
      </c>
      <c r="AD1831" s="8"/>
    </row>
    <row r="1832">
      <c r="A1832" s="14" t="str">
        <f>IFERROR(__xludf.DUMMYFUNCTION("""COMPUTED_VALUE"""),"//ord_71810//Ishita Banerjee//Juhu//Popcorn+3*Not Assigned/10/11/2023//UPI//Cancelled*App Glitches:App Freezes")</f>
        <v>//ord_71810//Ishita Banerjee//Juhu//Popcorn+3*Not Assigned/10/11/2023//UPI//Cancelled*App Glitches:App Freezes</v>
      </c>
      <c r="B1832" s="14" t="str">
        <f>IFERROR(__xludf.DUMMYFUNCTION("split(A1832,""//"")"),"ord_71810")</f>
        <v>ord_71810</v>
      </c>
      <c r="C1832" s="14" t="str">
        <f>IFERROR(__xludf.DUMMYFUNCTION("""COMPUTED_VALUE"""),"Ishita Banerjee")</f>
        <v>Ishita Banerjee</v>
      </c>
      <c r="D1832" s="14" t="str">
        <f>IFERROR(__xludf.DUMMYFUNCTION("""COMPUTED_VALUE"""),"Juhu")</f>
        <v>Juhu</v>
      </c>
      <c r="E1832" s="14" t="str">
        <f>IFERROR(__xludf.DUMMYFUNCTION("""COMPUTED_VALUE"""),"Popcorn+3*Not Assigned")</f>
        <v>Popcorn+3*Not Assigned</v>
      </c>
      <c r="F1832" s="14">
        <f>IFERROR(__xludf.DUMMYFUNCTION("""COMPUTED_VALUE"""),10.0)</f>
        <v>10</v>
      </c>
      <c r="G1832" s="14">
        <f>IFERROR(__xludf.DUMMYFUNCTION("""COMPUTED_VALUE"""),11.0)</f>
        <v>11</v>
      </c>
      <c r="H1832" s="14">
        <f>IFERROR(__xludf.DUMMYFUNCTION("""COMPUTED_VALUE"""),2023.0)</f>
        <v>2023</v>
      </c>
      <c r="I1832" s="14" t="str">
        <f>IFERROR(__xludf.DUMMYFUNCTION("""COMPUTED_VALUE"""),"UPI")</f>
        <v>UPI</v>
      </c>
      <c r="J1832" s="14" t="str">
        <f>IFERROR(__xludf.DUMMYFUNCTION("""COMPUTED_VALUE"""),"Cancelled*App Glitches:App Freezes")</f>
        <v>Cancelled*App Glitches:App Freezes</v>
      </c>
      <c r="K1832" s="14" t="str">
        <f>IFERROR(__xludf.DUMMYFUNCTION("split(E1832,""+"")"),"Popcorn")</f>
        <v>Popcorn</v>
      </c>
      <c r="L1832" s="14" t="str">
        <f>IFERROR(__xludf.DUMMYFUNCTION("""COMPUTED_VALUE"""),"3*Not Assigned")</f>
        <v>3*Not Assigned</v>
      </c>
      <c r="M1832" s="14">
        <f>IFERROR(__xludf.DUMMYFUNCTION("SPLIT(L1832,""*"")"),3.0)</f>
        <v>3</v>
      </c>
      <c r="N1832" s="14" t="str">
        <f>IFERROR(__xludf.DUMMYFUNCTION("""COMPUTED_VALUE"""),"Not Assigned")</f>
        <v>Not Assigned</v>
      </c>
      <c r="O1832" s="14" t="str">
        <f>IFERROR(__xludf.DUMMYFUNCTION("split(J1832,""*"")"),"Cancelled")</f>
        <v>Cancelled</v>
      </c>
      <c r="P1832" s="14" t="str">
        <f>IFERROR(__xludf.DUMMYFUNCTION("""COMPUTED_VALUE"""),"App Glitches:App Freezes")</f>
        <v>App Glitches:App Freezes</v>
      </c>
      <c r="Q1832" s="14" t="str">
        <f>IFERROR(__xludf.DUMMYFUNCTION("split(P1832,"":"")"),"App Glitches")</f>
        <v>App Glitches</v>
      </c>
      <c r="R1832" s="14" t="str">
        <f>IFERROR(__xludf.DUMMYFUNCTION("""COMPUTED_VALUE"""),"App Freezes")</f>
        <v>App Freezes</v>
      </c>
      <c r="S1832" s="14" t="str">
        <f t="shared" ref="S1832:U1832" si="3667">trim(B1832)</f>
        <v>ord_71810</v>
      </c>
      <c r="T1832" s="14" t="str">
        <f t="shared" si="3667"/>
        <v>Ishita Banerjee</v>
      </c>
      <c r="U1832" s="14" t="str">
        <f t="shared" si="3667"/>
        <v>Juhu</v>
      </c>
      <c r="V1832" s="14" t="str">
        <f t="shared" si="4"/>
        <v>Popcorn</v>
      </c>
      <c r="W1832" s="14">
        <f t="shared" si="5"/>
        <v>3</v>
      </c>
      <c r="X1832" s="14" t="str">
        <f t="shared" si="6"/>
        <v>Not Assigned</v>
      </c>
      <c r="Y1832" s="15">
        <f t="shared" si="7"/>
        <v>45210</v>
      </c>
      <c r="Z1832" s="14" t="str">
        <f t="shared" si="8"/>
        <v>UPI</v>
      </c>
      <c r="AA1832" s="14" t="str">
        <f t="shared" si="9"/>
        <v>Cancelled</v>
      </c>
      <c r="AB1832" s="14" t="str">
        <f t="shared" ref="AB1832:AC1832" si="3668">trim(Q1832)</f>
        <v>App Glitches</v>
      </c>
      <c r="AC1832" s="14" t="str">
        <f t="shared" si="3668"/>
        <v>App Freezes</v>
      </c>
      <c r="AD1832" s="8"/>
    </row>
    <row r="1833">
      <c r="A1833" s="14" t="str">
        <f>IFERROR(__xludf.DUMMYFUNCTION("""COMPUTED_VALUE"""),"//ord_71811//Omkar Mishra//Powai//Tiramisu+4*Sandeep Kumar/7/23/2023//Online Payment//Delivered*On-time Delivery: Delivered on time")</f>
        <v>//ord_71811//Omkar Mishra//Powai//Tiramisu+4*Sandeep Kumar/7/23/2023//Online Payment//Delivered*On-time Delivery: Delivered on time</v>
      </c>
      <c r="B1833" s="14" t="str">
        <f>IFERROR(__xludf.DUMMYFUNCTION("split(A1833,""//"")"),"ord_71811")</f>
        <v>ord_71811</v>
      </c>
      <c r="C1833" s="14" t="str">
        <f>IFERROR(__xludf.DUMMYFUNCTION("""COMPUTED_VALUE"""),"Omkar Mishra")</f>
        <v>Omkar Mishra</v>
      </c>
      <c r="D1833" s="14" t="str">
        <f>IFERROR(__xludf.DUMMYFUNCTION("""COMPUTED_VALUE"""),"Powai")</f>
        <v>Powai</v>
      </c>
      <c r="E1833" s="14" t="str">
        <f>IFERROR(__xludf.DUMMYFUNCTION("""COMPUTED_VALUE"""),"Tiramisu+4*Sandeep Kumar")</f>
        <v>Tiramisu+4*Sandeep Kumar</v>
      </c>
      <c r="F1833" s="14">
        <f>IFERROR(__xludf.DUMMYFUNCTION("""COMPUTED_VALUE"""),7.0)</f>
        <v>7</v>
      </c>
      <c r="G1833" s="14">
        <f>IFERROR(__xludf.DUMMYFUNCTION("""COMPUTED_VALUE"""),23.0)</f>
        <v>23</v>
      </c>
      <c r="H1833" s="14">
        <f>IFERROR(__xludf.DUMMYFUNCTION("""COMPUTED_VALUE"""),2023.0)</f>
        <v>2023</v>
      </c>
      <c r="I1833" s="14" t="str">
        <f>IFERROR(__xludf.DUMMYFUNCTION("""COMPUTED_VALUE"""),"Online Payment")</f>
        <v>Online Payment</v>
      </c>
      <c r="J1833" s="14" t="str">
        <f>IFERROR(__xludf.DUMMYFUNCTION("""COMPUTED_VALUE"""),"Delivered*On-time Delivery: Delivered on time")</f>
        <v>Delivered*On-time Delivery: Delivered on time</v>
      </c>
      <c r="K1833" s="14" t="str">
        <f>IFERROR(__xludf.DUMMYFUNCTION("split(E1833,""+"")"),"Tiramisu")</f>
        <v>Tiramisu</v>
      </c>
      <c r="L1833" s="14" t="str">
        <f>IFERROR(__xludf.DUMMYFUNCTION("""COMPUTED_VALUE"""),"4*Sandeep Kumar")</f>
        <v>4*Sandeep Kumar</v>
      </c>
      <c r="M1833" s="14">
        <f>IFERROR(__xludf.DUMMYFUNCTION("SPLIT(L1833,""*"")"),4.0)</f>
        <v>4</v>
      </c>
      <c r="N1833" s="14" t="str">
        <f>IFERROR(__xludf.DUMMYFUNCTION("""COMPUTED_VALUE"""),"Sandeep Kumar")</f>
        <v>Sandeep Kumar</v>
      </c>
      <c r="O1833" s="14" t="str">
        <f>IFERROR(__xludf.DUMMYFUNCTION("split(J1833,""*"")"),"Delivered")</f>
        <v>Delivered</v>
      </c>
      <c r="P1833" s="14" t="str">
        <f>IFERROR(__xludf.DUMMYFUNCTION("""COMPUTED_VALUE"""),"On-time Delivery: Delivered on time")</f>
        <v>On-time Delivery: Delivered on time</v>
      </c>
      <c r="Q1833" s="14" t="str">
        <f>IFERROR(__xludf.DUMMYFUNCTION("split(P1833,"":"")"),"On-time Delivery")</f>
        <v>On-time Delivery</v>
      </c>
      <c r="R1833" s="14" t="str">
        <f>IFERROR(__xludf.DUMMYFUNCTION("""COMPUTED_VALUE""")," Delivered on time")</f>
        <v> Delivered on time</v>
      </c>
      <c r="S1833" s="14" t="str">
        <f t="shared" ref="S1833:U1833" si="3669">trim(B1833)</f>
        <v>ord_71811</v>
      </c>
      <c r="T1833" s="14" t="str">
        <f t="shared" si="3669"/>
        <v>Omkar Mishra</v>
      </c>
      <c r="U1833" s="14" t="str">
        <f t="shared" si="3669"/>
        <v>Powai</v>
      </c>
      <c r="V1833" s="14" t="str">
        <f t="shared" si="4"/>
        <v>Tiramisu</v>
      </c>
      <c r="W1833" s="14">
        <f t="shared" si="5"/>
        <v>4</v>
      </c>
      <c r="X1833" s="14" t="str">
        <f t="shared" si="6"/>
        <v>Sandeep Kumar</v>
      </c>
      <c r="Y1833" s="15">
        <f t="shared" si="7"/>
        <v>45130</v>
      </c>
      <c r="Z1833" s="14" t="str">
        <f t="shared" si="8"/>
        <v>Online Payment</v>
      </c>
      <c r="AA1833" s="14" t="str">
        <f t="shared" si="9"/>
        <v>Delivered</v>
      </c>
      <c r="AB1833" s="14" t="str">
        <f t="shared" ref="AB1833:AC1833" si="3670">trim(Q1833)</f>
        <v>On-time Delivery</v>
      </c>
      <c r="AC1833" s="14" t="str">
        <f t="shared" si="3670"/>
        <v>Delivered on time</v>
      </c>
      <c r="AD1833" s="8"/>
    </row>
    <row r="1834">
      <c r="A1834" s="14" t="str">
        <f>IFERROR(__xludf.DUMMYFUNCTION("""COMPUTED_VALUE"""),"//ord_71812//Arvind Kulkarni//Juhu//Rasmalai+3*Nikhil Deshmukh/1/27/2023//Credit Card//Cancelled*Delayed Delivery:Heavy Traffic")</f>
        <v>//ord_71812//Arvind Kulkarni//Juhu//Rasmalai+3*Nikhil Deshmukh/1/27/2023//Credit Card//Cancelled*Delayed Delivery:Heavy Traffic</v>
      </c>
      <c r="B1834" s="14" t="str">
        <f>IFERROR(__xludf.DUMMYFUNCTION("split(A1834,""//"")"),"ord_71812")</f>
        <v>ord_71812</v>
      </c>
      <c r="C1834" s="14" t="str">
        <f>IFERROR(__xludf.DUMMYFUNCTION("""COMPUTED_VALUE"""),"Arvind Kulkarni")</f>
        <v>Arvind Kulkarni</v>
      </c>
      <c r="D1834" s="14" t="str">
        <f>IFERROR(__xludf.DUMMYFUNCTION("""COMPUTED_VALUE"""),"Juhu")</f>
        <v>Juhu</v>
      </c>
      <c r="E1834" s="14" t="str">
        <f>IFERROR(__xludf.DUMMYFUNCTION("""COMPUTED_VALUE"""),"Rasmalai+3*Nikhil Deshmukh")</f>
        <v>Rasmalai+3*Nikhil Deshmukh</v>
      </c>
      <c r="F1834" s="14">
        <f>IFERROR(__xludf.DUMMYFUNCTION("""COMPUTED_VALUE"""),1.0)</f>
        <v>1</v>
      </c>
      <c r="G1834" s="14">
        <f>IFERROR(__xludf.DUMMYFUNCTION("""COMPUTED_VALUE"""),27.0)</f>
        <v>27</v>
      </c>
      <c r="H1834" s="14">
        <f>IFERROR(__xludf.DUMMYFUNCTION("""COMPUTED_VALUE"""),2023.0)</f>
        <v>2023</v>
      </c>
      <c r="I1834" s="14" t="str">
        <f>IFERROR(__xludf.DUMMYFUNCTION("""COMPUTED_VALUE"""),"Credit Card")</f>
        <v>Credit Card</v>
      </c>
      <c r="J1834" s="14" t="str">
        <f>IFERROR(__xludf.DUMMYFUNCTION("""COMPUTED_VALUE"""),"Cancelled*Delayed Delivery:Heavy Traffic")</f>
        <v>Cancelled*Delayed Delivery:Heavy Traffic</v>
      </c>
      <c r="K1834" s="14" t="str">
        <f>IFERROR(__xludf.DUMMYFUNCTION("split(E1834,""+"")"),"Rasmalai")</f>
        <v>Rasmalai</v>
      </c>
      <c r="L1834" s="14" t="str">
        <f>IFERROR(__xludf.DUMMYFUNCTION("""COMPUTED_VALUE"""),"3*Nikhil Deshmukh")</f>
        <v>3*Nikhil Deshmukh</v>
      </c>
      <c r="M1834" s="14">
        <f>IFERROR(__xludf.DUMMYFUNCTION("SPLIT(L1834,""*"")"),3.0)</f>
        <v>3</v>
      </c>
      <c r="N1834" s="14" t="str">
        <f>IFERROR(__xludf.DUMMYFUNCTION("""COMPUTED_VALUE"""),"Nikhil Deshmukh")</f>
        <v>Nikhil Deshmukh</v>
      </c>
      <c r="O1834" s="14" t="str">
        <f>IFERROR(__xludf.DUMMYFUNCTION("split(J1834,""*"")"),"Cancelled")</f>
        <v>Cancelled</v>
      </c>
      <c r="P1834" s="14" t="str">
        <f>IFERROR(__xludf.DUMMYFUNCTION("""COMPUTED_VALUE"""),"Delayed Delivery:Heavy Traffic")</f>
        <v>Delayed Delivery:Heavy Traffic</v>
      </c>
      <c r="Q1834" s="14" t="str">
        <f>IFERROR(__xludf.DUMMYFUNCTION("split(P1834,"":"")"),"Delayed Delivery")</f>
        <v>Delayed Delivery</v>
      </c>
      <c r="R1834" s="14" t="str">
        <f>IFERROR(__xludf.DUMMYFUNCTION("""COMPUTED_VALUE"""),"Heavy Traffic")</f>
        <v>Heavy Traffic</v>
      </c>
      <c r="S1834" s="14" t="str">
        <f t="shared" ref="S1834:U1834" si="3671">trim(B1834)</f>
        <v>ord_71812</v>
      </c>
      <c r="T1834" s="14" t="str">
        <f t="shared" si="3671"/>
        <v>Arvind Kulkarni</v>
      </c>
      <c r="U1834" s="14" t="str">
        <f t="shared" si="3671"/>
        <v>Juhu</v>
      </c>
      <c r="V1834" s="14" t="str">
        <f t="shared" si="4"/>
        <v>Rasmalai</v>
      </c>
      <c r="W1834" s="14">
        <f t="shared" si="5"/>
        <v>3</v>
      </c>
      <c r="X1834" s="14" t="str">
        <f t="shared" si="6"/>
        <v>Nikhil Deshmukh</v>
      </c>
      <c r="Y1834" s="15">
        <f t="shared" si="7"/>
        <v>44953</v>
      </c>
      <c r="Z1834" s="14" t="str">
        <f t="shared" si="8"/>
        <v>Credit Card</v>
      </c>
      <c r="AA1834" s="14" t="str">
        <f t="shared" si="9"/>
        <v>Cancelled</v>
      </c>
      <c r="AB1834" s="14" t="str">
        <f t="shared" ref="AB1834:AC1834" si="3672">trim(Q1834)</f>
        <v>Delayed Delivery</v>
      </c>
      <c r="AC1834" s="14" t="str">
        <f t="shared" si="3672"/>
        <v>Heavy Traffic</v>
      </c>
      <c r="AD1834" s="8"/>
    </row>
    <row r="1835">
      <c r="A1835" s="14" t="str">
        <f>IFERROR(__xludf.DUMMYFUNCTION("""COMPUTED_VALUE"""),"//ord_71813//Aarav Mehta//Andheri//Chicken Puff+2*Rohan Yadav/4/16/2023//COD//Delivered*Quality of Items: Perfect condition")</f>
        <v>//ord_71813//Aarav Mehta//Andheri//Chicken Puff+2*Rohan Yadav/4/16/2023//COD//Delivered*Quality of Items: Perfect condition</v>
      </c>
      <c r="B1835" s="14" t="str">
        <f>IFERROR(__xludf.DUMMYFUNCTION("split(A1835,""//"")"),"ord_71813")</f>
        <v>ord_71813</v>
      </c>
      <c r="C1835" s="14" t="str">
        <f>IFERROR(__xludf.DUMMYFUNCTION("""COMPUTED_VALUE"""),"Aarav Mehta")</f>
        <v>Aarav Mehta</v>
      </c>
      <c r="D1835" s="14" t="str">
        <f>IFERROR(__xludf.DUMMYFUNCTION("""COMPUTED_VALUE"""),"Andheri")</f>
        <v>Andheri</v>
      </c>
      <c r="E1835" s="14" t="str">
        <f>IFERROR(__xludf.DUMMYFUNCTION("""COMPUTED_VALUE"""),"Chicken Puff+2*Rohan Yadav")</f>
        <v>Chicken Puff+2*Rohan Yadav</v>
      </c>
      <c r="F1835" s="14">
        <f>IFERROR(__xludf.DUMMYFUNCTION("""COMPUTED_VALUE"""),4.0)</f>
        <v>4</v>
      </c>
      <c r="G1835" s="14">
        <f>IFERROR(__xludf.DUMMYFUNCTION("""COMPUTED_VALUE"""),16.0)</f>
        <v>16</v>
      </c>
      <c r="H1835" s="14">
        <f>IFERROR(__xludf.DUMMYFUNCTION("""COMPUTED_VALUE"""),2023.0)</f>
        <v>2023</v>
      </c>
      <c r="I1835" s="14" t="str">
        <f>IFERROR(__xludf.DUMMYFUNCTION("""COMPUTED_VALUE"""),"COD")</f>
        <v>COD</v>
      </c>
      <c r="J1835" s="14" t="str">
        <f>IFERROR(__xludf.DUMMYFUNCTION("""COMPUTED_VALUE"""),"Delivered*Quality of Items: Perfect condition")</f>
        <v>Delivered*Quality of Items: Perfect condition</v>
      </c>
      <c r="K1835" s="14" t="str">
        <f>IFERROR(__xludf.DUMMYFUNCTION("split(E1835,""+"")"),"Chicken Puff")</f>
        <v>Chicken Puff</v>
      </c>
      <c r="L1835" s="14" t="str">
        <f>IFERROR(__xludf.DUMMYFUNCTION("""COMPUTED_VALUE"""),"2*Rohan Yadav")</f>
        <v>2*Rohan Yadav</v>
      </c>
      <c r="M1835" s="14">
        <f>IFERROR(__xludf.DUMMYFUNCTION("SPLIT(L1835,""*"")"),2.0)</f>
        <v>2</v>
      </c>
      <c r="N1835" s="14" t="str">
        <f>IFERROR(__xludf.DUMMYFUNCTION("""COMPUTED_VALUE"""),"Rohan Yadav")</f>
        <v>Rohan Yadav</v>
      </c>
      <c r="O1835" s="14" t="str">
        <f>IFERROR(__xludf.DUMMYFUNCTION("split(J1835,""*"")"),"Delivered")</f>
        <v>Delivered</v>
      </c>
      <c r="P1835" s="14" t="str">
        <f>IFERROR(__xludf.DUMMYFUNCTION("""COMPUTED_VALUE"""),"Quality of Items: Perfect condition")</f>
        <v>Quality of Items: Perfect condition</v>
      </c>
      <c r="Q1835" s="14" t="str">
        <f>IFERROR(__xludf.DUMMYFUNCTION("split(P1835,"":"")"),"Quality of Items")</f>
        <v>Quality of Items</v>
      </c>
      <c r="R1835" s="14" t="str">
        <f>IFERROR(__xludf.DUMMYFUNCTION("""COMPUTED_VALUE""")," Perfect condition")</f>
        <v> Perfect condition</v>
      </c>
      <c r="S1835" s="14" t="str">
        <f t="shared" ref="S1835:U1835" si="3673">trim(B1835)</f>
        <v>ord_71813</v>
      </c>
      <c r="T1835" s="14" t="str">
        <f t="shared" si="3673"/>
        <v>Aarav Mehta</v>
      </c>
      <c r="U1835" s="14" t="str">
        <f t="shared" si="3673"/>
        <v>Andheri</v>
      </c>
      <c r="V1835" s="14" t="str">
        <f t="shared" si="4"/>
        <v>Chicken Puff</v>
      </c>
      <c r="W1835" s="14">
        <f t="shared" si="5"/>
        <v>2</v>
      </c>
      <c r="X1835" s="14" t="str">
        <f t="shared" si="6"/>
        <v>Rohan Yadav</v>
      </c>
      <c r="Y1835" s="15">
        <f t="shared" si="7"/>
        <v>45032</v>
      </c>
      <c r="Z1835" s="14" t="str">
        <f t="shared" si="8"/>
        <v>COD</v>
      </c>
      <c r="AA1835" s="14" t="str">
        <f t="shared" si="9"/>
        <v>Delivered</v>
      </c>
      <c r="AB1835" s="14" t="str">
        <f t="shared" ref="AB1835:AC1835" si="3674">trim(Q1835)</f>
        <v>Quality of Items</v>
      </c>
      <c r="AC1835" s="14" t="str">
        <f t="shared" si="3674"/>
        <v>Perfect condition</v>
      </c>
      <c r="AD1835" s="8"/>
    </row>
    <row r="1836">
      <c r="A1836" s="14" t="str">
        <f>IFERROR(__xludf.DUMMYFUNCTION("""COMPUTED_VALUE"""),"//ord_71814//Mohit Malhotra//Lower Parel//Banana+1*Kiran Mehta/10/20/2023//Online Payment//Delivered*Packaging: Secure and intact")</f>
        <v>//ord_71814//Mohit Malhotra//Lower Parel//Banana+1*Kiran Mehta/10/20/2023//Online Payment//Delivered*Packaging: Secure and intact</v>
      </c>
      <c r="B1836" s="14" t="str">
        <f>IFERROR(__xludf.DUMMYFUNCTION("split(A1836,""//"")"),"ord_71814")</f>
        <v>ord_71814</v>
      </c>
      <c r="C1836" s="14" t="str">
        <f>IFERROR(__xludf.DUMMYFUNCTION("""COMPUTED_VALUE"""),"Mohit Malhotra")</f>
        <v>Mohit Malhotra</v>
      </c>
      <c r="D1836" s="14" t="str">
        <f>IFERROR(__xludf.DUMMYFUNCTION("""COMPUTED_VALUE"""),"Lower Parel")</f>
        <v>Lower Parel</v>
      </c>
      <c r="E1836" s="14" t="str">
        <f>IFERROR(__xludf.DUMMYFUNCTION("""COMPUTED_VALUE"""),"Banana+1*Kiran Mehta")</f>
        <v>Banana+1*Kiran Mehta</v>
      </c>
      <c r="F1836" s="14">
        <f>IFERROR(__xludf.DUMMYFUNCTION("""COMPUTED_VALUE"""),10.0)</f>
        <v>10</v>
      </c>
      <c r="G1836" s="14">
        <f>IFERROR(__xludf.DUMMYFUNCTION("""COMPUTED_VALUE"""),20.0)</f>
        <v>20</v>
      </c>
      <c r="H1836" s="14">
        <f>IFERROR(__xludf.DUMMYFUNCTION("""COMPUTED_VALUE"""),2023.0)</f>
        <v>2023</v>
      </c>
      <c r="I1836" s="14" t="str">
        <f>IFERROR(__xludf.DUMMYFUNCTION("""COMPUTED_VALUE"""),"Online Payment")</f>
        <v>Online Payment</v>
      </c>
      <c r="J1836" s="14" t="str">
        <f>IFERROR(__xludf.DUMMYFUNCTION("""COMPUTED_VALUE"""),"Delivered*Packaging: Secure and intact")</f>
        <v>Delivered*Packaging: Secure and intact</v>
      </c>
      <c r="K1836" s="14" t="str">
        <f>IFERROR(__xludf.DUMMYFUNCTION("split(E1836,""+"")"),"Banana")</f>
        <v>Banana</v>
      </c>
      <c r="L1836" s="14" t="str">
        <f>IFERROR(__xludf.DUMMYFUNCTION("""COMPUTED_VALUE"""),"1*Kiran Mehta")</f>
        <v>1*Kiran Mehta</v>
      </c>
      <c r="M1836" s="14">
        <f>IFERROR(__xludf.DUMMYFUNCTION("SPLIT(L1836,""*"")"),1.0)</f>
        <v>1</v>
      </c>
      <c r="N1836" s="14" t="str">
        <f>IFERROR(__xludf.DUMMYFUNCTION("""COMPUTED_VALUE"""),"Kiran Mehta")</f>
        <v>Kiran Mehta</v>
      </c>
      <c r="O1836" s="14" t="str">
        <f>IFERROR(__xludf.DUMMYFUNCTION("split(J1836,""*"")"),"Delivered")</f>
        <v>Delivered</v>
      </c>
      <c r="P1836" s="14" t="str">
        <f>IFERROR(__xludf.DUMMYFUNCTION("""COMPUTED_VALUE"""),"Packaging: Secure and intact")</f>
        <v>Packaging: Secure and intact</v>
      </c>
      <c r="Q1836" s="14" t="str">
        <f>IFERROR(__xludf.DUMMYFUNCTION("split(P1836,"":"")"),"Packaging")</f>
        <v>Packaging</v>
      </c>
      <c r="R1836" s="14" t="str">
        <f>IFERROR(__xludf.DUMMYFUNCTION("""COMPUTED_VALUE""")," Secure and intact")</f>
        <v> Secure and intact</v>
      </c>
      <c r="S1836" s="14" t="str">
        <f t="shared" ref="S1836:U1836" si="3675">trim(B1836)</f>
        <v>ord_71814</v>
      </c>
      <c r="T1836" s="14" t="str">
        <f t="shared" si="3675"/>
        <v>Mohit Malhotra</v>
      </c>
      <c r="U1836" s="14" t="str">
        <f t="shared" si="3675"/>
        <v>Lower Parel</v>
      </c>
      <c r="V1836" s="14" t="str">
        <f t="shared" si="4"/>
        <v>Banana</v>
      </c>
      <c r="W1836" s="14">
        <f t="shared" si="5"/>
        <v>1</v>
      </c>
      <c r="X1836" s="14" t="str">
        <f t="shared" si="6"/>
        <v>Kiran Mehta</v>
      </c>
      <c r="Y1836" s="15">
        <f t="shared" si="7"/>
        <v>45219</v>
      </c>
      <c r="Z1836" s="14" t="str">
        <f t="shared" si="8"/>
        <v>Online Payment</v>
      </c>
      <c r="AA1836" s="14" t="str">
        <f t="shared" si="9"/>
        <v>Delivered</v>
      </c>
      <c r="AB1836" s="14" t="str">
        <f t="shared" ref="AB1836:AC1836" si="3676">trim(Q1836)</f>
        <v>Packaging</v>
      </c>
      <c r="AC1836" s="14" t="str">
        <f t="shared" si="3676"/>
        <v>Secure and intact</v>
      </c>
      <c r="AD1836" s="8"/>
    </row>
    <row r="1837">
      <c r="A1837" s="14" t="str">
        <f>IFERROR(__xludf.DUMMYFUNCTION("""COMPUTED_VALUE"""),"//ord_71815//Diya Arora//Lower Parel//Banana+2*Kiran Mehta/4/19/2023//Online Payment//Delivered*Satisfied with the Delivery: Timely and quality")</f>
        <v>//ord_71815//Diya Arora//Lower Parel//Banana+2*Kiran Mehta/4/19/2023//Online Payment//Delivered*Satisfied with the Delivery: Timely and quality</v>
      </c>
      <c r="B1837" s="14" t="str">
        <f>IFERROR(__xludf.DUMMYFUNCTION("split(A1837,""//"")"),"ord_71815")</f>
        <v>ord_71815</v>
      </c>
      <c r="C1837" s="14" t="str">
        <f>IFERROR(__xludf.DUMMYFUNCTION("""COMPUTED_VALUE"""),"Diya Arora")</f>
        <v>Diya Arora</v>
      </c>
      <c r="D1837" s="14" t="str">
        <f>IFERROR(__xludf.DUMMYFUNCTION("""COMPUTED_VALUE"""),"Lower Parel")</f>
        <v>Lower Parel</v>
      </c>
      <c r="E1837" s="14" t="str">
        <f>IFERROR(__xludf.DUMMYFUNCTION("""COMPUTED_VALUE"""),"Banana+2*Kiran Mehta")</f>
        <v>Banana+2*Kiran Mehta</v>
      </c>
      <c r="F1837" s="14">
        <f>IFERROR(__xludf.DUMMYFUNCTION("""COMPUTED_VALUE"""),4.0)</f>
        <v>4</v>
      </c>
      <c r="G1837" s="14">
        <f>IFERROR(__xludf.DUMMYFUNCTION("""COMPUTED_VALUE"""),19.0)</f>
        <v>19</v>
      </c>
      <c r="H1837" s="14">
        <f>IFERROR(__xludf.DUMMYFUNCTION("""COMPUTED_VALUE"""),2023.0)</f>
        <v>2023</v>
      </c>
      <c r="I1837" s="14" t="str">
        <f>IFERROR(__xludf.DUMMYFUNCTION("""COMPUTED_VALUE"""),"Online Payment")</f>
        <v>Online Payment</v>
      </c>
      <c r="J1837" s="14" t="str">
        <f>IFERROR(__xludf.DUMMYFUNCTION("""COMPUTED_VALUE"""),"Delivered*Satisfied with the Delivery: Timely and quality")</f>
        <v>Delivered*Satisfied with the Delivery: Timely and quality</v>
      </c>
      <c r="K1837" s="14" t="str">
        <f>IFERROR(__xludf.DUMMYFUNCTION("split(E1837,""+"")"),"Banana")</f>
        <v>Banana</v>
      </c>
      <c r="L1837" s="14" t="str">
        <f>IFERROR(__xludf.DUMMYFUNCTION("""COMPUTED_VALUE"""),"2*Kiran Mehta")</f>
        <v>2*Kiran Mehta</v>
      </c>
      <c r="M1837" s="14">
        <f>IFERROR(__xludf.DUMMYFUNCTION("SPLIT(L1837,""*"")"),2.0)</f>
        <v>2</v>
      </c>
      <c r="N1837" s="14" t="str">
        <f>IFERROR(__xludf.DUMMYFUNCTION("""COMPUTED_VALUE"""),"Kiran Mehta")</f>
        <v>Kiran Mehta</v>
      </c>
      <c r="O1837" s="14" t="str">
        <f>IFERROR(__xludf.DUMMYFUNCTION("split(J1837,""*"")"),"Delivered")</f>
        <v>Delivered</v>
      </c>
      <c r="P1837" s="14" t="str">
        <f>IFERROR(__xludf.DUMMYFUNCTION("""COMPUTED_VALUE"""),"Satisfied with the Delivery: Timely and quality")</f>
        <v>Satisfied with the Delivery: Timely and quality</v>
      </c>
      <c r="Q1837" s="14" t="str">
        <f>IFERROR(__xludf.DUMMYFUNCTION("split(P1837,"":"")"),"Satisfied with the Delivery")</f>
        <v>Satisfied with the Delivery</v>
      </c>
      <c r="R1837" s="14" t="str">
        <f>IFERROR(__xludf.DUMMYFUNCTION("""COMPUTED_VALUE""")," Timely and quality")</f>
        <v> Timely and quality</v>
      </c>
      <c r="S1837" s="14" t="str">
        <f t="shared" ref="S1837:U1837" si="3677">trim(B1837)</f>
        <v>ord_71815</v>
      </c>
      <c r="T1837" s="14" t="str">
        <f t="shared" si="3677"/>
        <v>Diya Arora</v>
      </c>
      <c r="U1837" s="14" t="str">
        <f t="shared" si="3677"/>
        <v>Lower Parel</v>
      </c>
      <c r="V1837" s="14" t="str">
        <f t="shared" si="4"/>
        <v>Banana</v>
      </c>
      <c r="W1837" s="14">
        <f t="shared" si="5"/>
        <v>2</v>
      </c>
      <c r="X1837" s="14" t="str">
        <f t="shared" si="6"/>
        <v>Kiran Mehta</v>
      </c>
      <c r="Y1837" s="15">
        <f t="shared" si="7"/>
        <v>45035</v>
      </c>
      <c r="Z1837" s="14" t="str">
        <f t="shared" si="8"/>
        <v>Online Payment</v>
      </c>
      <c r="AA1837" s="14" t="str">
        <f t="shared" si="9"/>
        <v>Delivered</v>
      </c>
      <c r="AB1837" s="14" t="str">
        <f t="shared" ref="AB1837:AC1837" si="3678">trim(Q1837)</f>
        <v>Satisfied with the Delivery</v>
      </c>
      <c r="AC1837" s="14" t="str">
        <f t="shared" si="3678"/>
        <v>Timely and quality</v>
      </c>
      <c r="AD1837" s="8"/>
    </row>
    <row r="1838">
      <c r="A1838" s="14" t="str">
        <f>IFERROR(__xludf.DUMMYFUNCTION("""COMPUTED_VALUE"""),"//ord_71816//Pallavi Ghosh//Bandra//Tiramisu+3*Ram Gopal/2/10/2023//Online Payment//Delivered*Customer Service: Seamless and easy")</f>
        <v>//ord_71816//Pallavi Ghosh//Bandra//Tiramisu+3*Ram Gopal/2/10/2023//Online Payment//Delivered*Customer Service: Seamless and easy</v>
      </c>
      <c r="B1838" s="14" t="str">
        <f>IFERROR(__xludf.DUMMYFUNCTION("split(A1838,""//"")"),"ord_71816")</f>
        <v>ord_71816</v>
      </c>
      <c r="C1838" s="14" t="str">
        <f>IFERROR(__xludf.DUMMYFUNCTION("""COMPUTED_VALUE"""),"Pallavi Ghosh")</f>
        <v>Pallavi Ghosh</v>
      </c>
      <c r="D1838" s="14" t="str">
        <f>IFERROR(__xludf.DUMMYFUNCTION("""COMPUTED_VALUE"""),"Bandra")</f>
        <v>Bandra</v>
      </c>
      <c r="E1838" s="14" t="str">
        <f>IFERROR(__xludf.DUMMYFUNCTION("""COMPUTED_VALUE"""),"Tiramisu+3*Ram Gopal")</f>
        <v>Tiramisu+3*Ram Gopal</v>
      </c>
      <c r="F1838" s="14">
        <f>IFERROR(__xludf.DUMMYFUNCTION("""COMPUTED_VALUE"""),2.0)</f>
        <v>2</v>
      </c>
      <c r="G1838" s="14">
        <f>IFERROR(__xludf.DUMMYFUNCTION("""COMPUTED_VALUE"""),10.0)</f>
        <v>10</v>
      </c>
      <c r="H1838" s="14">
        <f>IFERROR(__xludf.DUMMYFUNCTION("""COMPUTED_VALUE"""),2023.0)</f>
        <v>2023</v>
      </c>
      <c r="I1838" s="14" t="str">
        <f>IFERROR(__xludf.DUMMYFUNCTION("""COMPUTED_VALUE"""),"Online Payment")</f>
        <v>Online Payment</v>
      </c>
      <c r="J1838" s="14" t="str">
        <f>IFERROR(__xludf.DUMMYFUNCTION("""COMPUTED_VALUE"""),"Delivered*Customer Service: Seamless and easy")</f>
        <v>Delivered*Customer Service: Seamless and easy</v>
      </c>
      <c r="K1838" s="14" t="str">
        <f>IFERROR(__xludf.DUMMYFUNCTION("split(E1838,""+"")"),"Tiramisu")</f>
        <v>Tiramisu</v>
      </c>
      <c r="L1838" s="14" t="str">
        <f>IFERROR(__xludf.DUMMYFUNCTION("""COMPUTED_VALUE"""),"3*Ram Gopal")</f>
        <v>3*Ram Gopal</v>
      </c>
      <c r="M1838" s="14">
        <f>IFERROR(__xludf.DUMMYFUNCTION("SPLIT(L1838,""*"")"),3.0)</f>
        <v>3</v>
      </c>
      <c r="N1838" s="14" t="str">
        <f>IFERROR(__xludf.DUMMYFUNCTION("""COMPUTED_VALUE"""),"Ram Gopal")</f>
        <v>Ram Gopal</v>
      </c>
      <c r="O1838" s="14" t="str">
        <f>IFERROR(__xludf.DUMMYFUNCTION("split(J1838,""*"")"),"Delivered")</f>
        <v>Delivered</v>
      </c>
      <c r="P1838" s="14" t="str">
        <f>IFERROR(__xludf.DUMMYFUNCTION("""COMPUTED_VALUE"""),"Customer Service: Seamless and easy")</f>
        <v>Customer Service: Seamless and easy</v>
      </c>
      <c r="Q1838" s="14" t="str">
        <f>IFERROR(__xludf.DUMMYFUNCTION("split(P1838,"":"")"),"Customer Service")</f>
        <v>Customer Service</v>
      </c>
      <c r="R1838" s="14" t="str">
        <f>IFERROR(__xludf.DUMMYFUNCTION("""COMPUTED_VALUE""")," Seamless and easy")</f>
        <v> Seamless and easy</v>
      </c>
      <c r="S1838" s="14" t="str">
        <f t="shared" ref="S1838:U1838" si="3679">trim(B1838)</f>
        <v>ord_71816</v>
      </c>
      <c r="T1838" s="14" t="str">
        <f t="shared" si="3679"/>
        <v>Pallavi Ghosh</v>
      </c>
      <c r="U1838" s="14" t="str">
        <f t="shared" si="3679"/>
        <v>Bandra</v>
      </c>
      <c r="V1838" s="14" t="str">
        <f t="shared" si="4"/>
        <v>Tiramisu</v>
      </c>
      <c r="W1838" s="14">
        <f t="shared" si="5"/>
        <v>3</v>
      </c>
      <c r="X1838" s="14" t="str">
        <f t="shared" si="6"/>
        <v>Ram Gopal</v>
      </c>
      <c r="Y1838" s="15">
        <f t="shared" si="7"/>
        <v>44967</v>
      </c>
      <c r="Z1838" s="14" t="str">
        <f t="shared" si="8"/>
        <v>Online Payment</v>
      </c>
      <c r="AA1838" s="14" t="str">
        <f t="shared" si="9"/>
        <v>Delivered</v>
      </c>
      <c r="AB1838" s="14" t="str">
        <f t="shared" ref="AB1838:AC1838" si="3680">trim(Q1838)</f>
        <v>Customer Service</v>
      </c>
      <c r="AC1838" s="14" t="str">
        <f t="shared" si="3680"/>
        <v>Seamless and easy</v>
      </c>
      <c r="AD1838" s="8"/>
    </row>
    <row r="1839">
      <c r="A1839" s="14" t="str">
        <f>IFERROR(__xludf.DUMMYFUNCTION("""COMPUTED_VALUE"""),"//ord_71817//Anaya Rao//Colaba//Tomato+1*Vivek Kumar/10/23/2023//Credit Card//Delivered*Delivery Experience: Quick and professional")</f>
        <v>//ord_71817//Anaya Rao//Colaba//Tomato+1*Vivek Kumar/10/23/2023//Credit Card//Delivered*Delivery Experience: Quick and professional</v>
      </c>
      <c r="B1839" s="14" t="str">
        <f>IFERROR(__xludf.DUMMYFUNCTION("split(A1839,""//"")"),"ord_71817")</f>
        <v>ord_71817</v>
      </c>
      <c r="C1839" s="14" t="str">
        <f>IFERROR(__xludf.DUMMYFUNCTION("""COMPUTED_VALUE"""),"Anaya Rao")</f>
        <v>Anaya Rao</v>
      </c>
      <c r="D1839" s="14" t="str">
        <f>IFERROR(__xludf.DUMMYFUNCTION("""COMPUTED_VALUE"""),"Colaba")</f>
        <v>Colaba</v>
      </c>
      <c r="E1839" s="14" t="str">
        <f>IFERROR(__xludf.DUMMYFUNCTION("""COMPUTED_VALUE"""),"Tomato+1*Vivek Kumar")</f>
        <v>Tomato+1*Vivek Kumar</v>
      </c>
      <c r="F1839" s="14">
        <f>IFERROR(__xludf.DUMMYFUNCTION("""COMPUTED_VALUE"""),10.0)</f>
        <v>10</v>
      </c>
      <c r="G1839" s="14">
        <f>IFERROR(__xludf.DUMMYFUNCTION("""COMPUTED_VALUE"""),23.0)</f>
        <v>23</v>
      </c>
      <c r="H1839" s="14">
        <f>IFERROR(__xludf.DUMMYFUNCTION("""COMPUTED_VALUE"""),2023.0)</f>
        <v>2023</v>
      </c>
      <c r="I1839" s="14" t="str">
        <f>IFERROR(__xludf.DUMMYFUNCTION("""COMPUTED_VALUE"""),"Credit Card")</f>
        <v>Credit Card</v>
      </c>
      <c r="J1839" s="14" t="str">
        <f>IFERROR(__xludf.DUMMYFUNCTION("""COMPUTED_VALUE"""),"Delivered*Delivery Experience: Quick and professional")</f>
        <v>Delivered*Delivery Experience: Quick and professional</v>
      </c>
      <c r="K1839" s="14" t="str">
        <f>IFERROR(__xludf.DUMMYFUNCTION("split(E1839,""+"")"),"Tomato")</f>
        <v>Tomato</v>
      </c>
      <c r="L1839" s="14" t="str">
        <f>IFERROR(__xludf.DUMMYFUNCTION("""COMPUTED_VALUE"""),"1*Vivek Kumar")</f>
        <v>1*Vivek Kumar</v>
      </c>
      <c r="M1839" s="14">
        <f>IFERROR(__xludf.DUMMYFUNCTION("SPLIT(L1839,""*"")"),1.0)</f>
        <v>1</v>
      </c>
      <c r="N1839" s="14" t="str">
        <f>IFERROR(__xludf.DUMMYFUNCTION("""COMPUTED_VALUE"""),"Vivek Kumar")</f>
        <v>Vivek Kumar</v>
      </c>
      <c r="O1839" s="14" t="str">
        <f>IFERROR(__xludf.DUMMYFUNCTION("split(J1839,""*"")"),"Delivered")</f>
        <v>Delivered</v>
      </c>
      <c r="P1839" s="14" t="str">
        <f>IFERROR(__xludf.DUMMYFUNCTION("""COMPUTED_VALUE"""),"Delivery Experience: Quick and professional")</f>
        <v>Delivery Experience: Quick and professional</v>
      </c>
      <c r="Q1839" s="14" t="str">
        <f>IFERROR(__xludf.DUMMYFUNCTION("split(P1839,"":"")"),"Delivery Experience")</f>
        <v>Delivery Experience</v>
      </c>
      <c r="R1839" s="14" t="str">
        <f>IFERROR(__xludf.DUMMYFUNCTION("""COMPUTED_VALUE""")," Quick and professional")</f>
        <v> Quick and professional</v>
      </c>
      <c r="S1839" s="14" t="str">
        <f t="shared" ref="S1839:U1839" si="3681">trim(B1839)</f>
        <v>ord_71817</v>
      </c>
      <c r="T1839" s="14" t="str">
        <f t="shared" si="3681"/>
        <v>Anaya Rao</v>
      </c>
      <c r="U1839" s="14" t="str">
        <f t="shared" si="3681"/>
        <v>Colaba</v>
      </c>
      <c r="V1839" s="14" t="str">
        <f t="shared" si="4"/>
        <v>Tomato</v>
      </c>
      <c r="W1839" s="14">
        <f t="shared" si="5"/>
        <v>1</v>
      </c>
      <c r="X1839" s="14" t="str">
        <f t="shared" si="6"/>
        <v>Vivek Kumar</v>
      </c>
      <c r="Y1839" s="15">
        <f t="shared" si="7"/>
        <v>45222</v>
      </c>
      <c r="Z1839" s="14" t="str">
        <f t="shared" si="8"/>
        <v>Credit Card</v>
      </c>
      <c r="AA1839" s="14" t="str">
        <f t="shared" si="9"/>
        <v>Delivered</v>
      </c>
      <c r="AB1839" s="14" t="str">
        <f t="shared" ref="AB1839:AC1839" si="3682">trim(Q1839)</f>
        <v>Delivery Experience</v>
      </c>
      <c r="AC1839" s="14" t="str">
        <f t="shared" si="3682"/>
        <v>Quick and professional</v>
      </c>
      <c r="AD1839" s="8"/>
    </row>
    <row r="1840">
      <c r="A1840" s="14" t="str">
        <f>IFERROR(__xludf.DUMMYFUNCTION("""COMPUTED_VALUE"""),"//ord_71818//Sakshi Tandon//Colaba//Apple+1*Nithin Lal/7/24/2023//UPI//Delivered*Convenience: Easy tracking")</f>
        <v>//ord_71818//Sakshi Tandon//Colaba//Apple+1*Nithin Lal/7/24/2023//UPI//Delivered*Convenience: Easy tracking</v>
      </c>
      <c r="B1840" s="14" t="str">
        <f>IFERROR(__xludf.DUMMYFUNCTION("split(A1840,""//"")"),"ord_71818")</f>
        <v>ord_71818</v>
      </c>
      <c r="C1840" s="14" t="str">
        <f>IFERROR(__xludf.DUMMYFUNCTION("""COMPUTED_VALUE"""),"Sakshi Tandon")</f>
        <v>Sakshi Tandon</v>
      </c>
      <c r="D1840" s="14" t="str">
        <f>IFERROR(__xludf.DUMMYFUNCTION("""COMPUTED_VALUE"""),"Colaba")</f>
        <v>Colaba</v>
      </c>
      <c r="E1840" s="14" t="str">
        <f>IFERROR(__xludf.DUMMYFUNCTION("""COMPUTED_VALUE"""),"Apple+1*Nithin Lal")</f>
        <v>Apple+1*Nithin Lal</v>
      </c>
      <c r="F1840" s="14">
        <f>IFERROR(__xludf.DUMMYFUNCTION("""COMPUTED_VALUE"""),7.0)</f>
        <v>7</v>
      </c>
      <c r="G1840" s="14">
        <f>IFERROR(__xludf.DUMMYFUNCTION("""COMPUTED_VALUE"""),24.0)</f>
        <v>24</v>
      </c>
      <c r="H1840" s="14">
        <f>IFERROR(__xludf.DUMMYFUNCTION("""COMPUTED_VALUE"""),2023.0)</f>
        <v>2023</v>
      </c>
      <c r="I1840" s="14" t="str">
        <f>IFERROR(__xludf.DUMMYFUNCTION("""COMPUTED_VALUE"""),"UPI")</f>
        <v>UPI</v>
      </c>
      <c r="J1840" s="14" t="str">
        <f>IFERROR(__xludf.DUMMYFUNCTION("""COMPUTED_VALUE"""),"Delivered*Convenience: Easy tracking")</f>
        <v>Delivered*Convenience: Easy tracking</v>
      </c>
      <c r="K1840" s="14" t="str">
        <f>IFERROR(__xludf.DUMMYFUNCTION("split(E1840,""+"")"),"Apple")</f>
        <v>Apple</v>
      </c>
      <c r="L1840" s="14" t="str">
        <f>IFERROR(__xludf.DUMMYFUNCTION("""COMPUTED_VALUE"""),"1*Nithin Lal")</f>
        <v>1*Nithin Lal</v>
      </c>
      <c r="M1840" s="14">
        <f>IFERROR(__xludf.DUMMYFUNCTION("SPLIT(L1840,""*"")"),1.0)</f>
        <v>1</v>
      </c>
      <c r="N1840" s="14" t="str">
        <f>IFERROR(__xludf.DUMMYFUNCTION("""COMPUTED_VALUE"""),"Nithin Lal")</f>
        <v>Nithin Lal</v>
      </c>
      <c r="O1840" s="14" t="str">
        <f>IFERROR(__xludf.DUMMYFUNCTION("split(J1840,""*"")"),"Delivered")</f>
        <v>Delivered</v>
      </c>
      <c r="P1840" s="14" t="str">
        <f>IFERROR(__xludf.DUMMYFUNCTION("""COMPUTED_VALUE"""),"Convenience: Easy tracking")</f>
        <v>Convenience: Easy tracking</v>
      </c>
      <c r="Q1840" s="14" t="str">
        <f>IFERROR(__xludf.DUMMYFUNCTION("split(P1840,"":"")"),"Convenience")</f>
        <v>Convenience</v>
      </c>
      <c r="R1840" s="14" t="str">
        <f>IFERROR(__xludf.DUMMYFUNCTION("""COMPUTED_VALUE""")," Easy tracking")</f>
        <v> Easy tracking</v>
      </c>
      <c r="S1840" s="14" t="str">
        <f t="shared" ref="S1840:U1840" si="3683">trim(B1840)</f>
        <v>ord_71818</v>
      </c>
      <c r="T1840" s="14" t="str">
        <f t="shared" si="3683"/>
        <v>Sakshi Tandon</v>
      </c>
      <c r="U1840" s="14" t="str">
        <f t="shared" si="3683"/>
        <v>Colaba</v>
      </c>
      <c r="V1840" s="14" t="str">
        <f t="shared" si="4"/>
        <v>Apple</v>
      </c>
      <c r="W1840" s="14">
        <f t="shared" si="5"/>
        <v>1</v>
      </c>
      <c r="X1840" s="14" t="str">
        <f t="shared" si="6"/>
        <v>Nithin Lal</v>
      </c>
      <c r="Y1840" s="15">
        <f t="shared" si="7"/>
        <v>45131</v>
      </c>
      <c r="Z1840" s="14" t="str">
        <f t="shared" si="8"/>
        <v>UPI</v>
      </c>
      <c r="AA1840" s="14" t="str">
        <f t="shared" si="9"/>
        <v>Delivered</v>
      </c>
      <c r="AB1840" s="14" t="str">
        <f t="shared" ref="AB1840:AC1840" si="3684">trim(Q1840)</f>
        <v>Convenience</v>
      </c>
      <c r="AC1840" s="14" t="str">
        <f t="shared" si="3684"/>
        <v>Easy tracking</v>
      </c>
      <c r="AD1840" s="8"/>
    </row>
    <row r="1841">
      <c r="A1841" s="14" t="str">
        <f>IFERROR(__xludf.DUMMYFUNCTION("""COMPUTED_VALUE"""),"//ord_71819//Riya Chakraborty//Juhu//Juice+2*Nithin Lal/11/26/2023//Credit Card//Delivered*Overall Satisfaction: Great service will order again")</f>
        <v>//ord_71819//Riya Chakraborty//Juhu//Juice+2*Nithin Lal/11/26/2023//Credit Card//Delivered*Overall Satisfaction: Great service will order again</v>
      </c>
      <c r="B1841" s="14" t="str">
        <f>IFERROR(__xludf.DUMMYFUNCTION("split(A1841,""//"")"),"ord_71819")</f>
        <v>ord_71819</v>
      </c>
      <c r="C1841" s="14" t="str">
        <f>IFERROR(__xludf.DUMMYFUNCTION("""COMPUTED_VALUE"""),"Riya Chakraborty")</f>
        <v>Riya Chakraborty</v>
      </c>
      <c r="D1841" s="14" t="str">
        <f>IFERROR(__xludf.DUMMYFUNCTION("""COMPUTED_VALUE"""),"Juhu")</f>
        <v>Juhu</v>
      </c>
      <c r="E1841" s="14" t="str">
        <f>IFERROR(__xludf.DUMMYFUNCTION("""COMPUTED_VALUE"""),"Juice+2*Nithin Lal")</f>
        <v>Juice+2*Nithin Lal</v>
      </c>
      <c r="F1841" s="14">
        <f>IFERROR(__xludf.DUMMYFUNCTION("""COMPUTED_VALUE"""),11.0)</f>
        <v>11</v>
      </c>
      <c r="G1841" s="14">
        <f>IFERROR(__xludf.DUMMYFUNCTION("""COMPUTED_VALUE"""),26.0)</f>
        <v>26</v>
      </c>
      <c r="H1841" s="14">
        <f>IFERROR(__xludf.DUMMYFUNCTION("""COMPUTED_VALUE"""),2023.0)</f>
        <v>2023</v>
      </c>
      <c r="I1841" s="14" t="str">
        <f>IFERROR(__xludf.DUMMYFUNCTION("""COMPUTED_VALUE"""),"Credit Card")</f>
        <v>Credit Card</v>
      </c>
      <c r="J1841" s="14" t="str">
        <f>IFERROR(__xludf.DUMMYFUNCTION("""COMPUTED_VALUE"""),"Delivered*Overall Satisfaction: Great service will order again")</f>
        <v>Delivered*Overall Satisfaction: Great service will order again</v>
      </c>
      <c r="K1841" s="14" t="str">
        <f>IFERROR(__xludf.DUMMYFUNCTION("split(E1841,""+"")"),"Juice")</f>
        <v>Juice</v>
      </c>
      <c r="L1841" s="14" t="str">
        <f>IFERROR(__xludf.DUMMYFUNCTION("""COMPUTED_VALUE"""),"2*Nithin Lal")</f>
        <v>2*Nithin Lal</v>
      </c>
      <c r="M1841" s="14">
        <f>IFERROR(__xludf.DUMMYFUNCTION("SPLIT(L1841,""*"")"),2.0)</f>
        <v>2</v>
      </c>
      <c r="N1841" s="14" t="str">
        <f>IFERROR(__xludf.DUMMYFUNCTION("""COMPUTED_VALUE"""),"Nithin Lal")</f>
        <v>Nithin Lal</v>
      </c>
      <c r="O1841" s="14" t="str">
        <f>IFERROR(__xludf.DUMMYFUNCTION("split(J1841,""*"")"),"Delivered")</f>
        <v>Delivered</v>
      </c>
      <c r="P1841" s="14" t="str">
        <f>IFERROR(__xludf.DUMMYFUNCTION("""COMPUTED_VALUE"""),"Overall Satisfaction: Great service will order again")</f>
        <v>Overall Satisfaction: Great service will order again</v>
      </c>
      <c r="Q1841" s="14" t="str">
        <f>IFERROR(__xludf.DUMMYFUNCTION("split(P1841,"":"")"),"Overall Satisfaction")</f>
        <v>Overall Satisfaction</v>
      </c>
      <c r="R1841" s="14" t="str">
        <f>IFERROR(__xludf.DUMMYFUNCTION("""COMPUTED_VALUE""")," Great service will order again")</f>
        <v> Great service will order again</v>
      </c>
      <c r="S1841" s="14" t="str">
        <f t="shared" ref="S1841:U1841" si="3685">trim(B1841)</f>
        <v>ord_71819</v>
      </c>
      <c r="T1841" s="14" t="str">
        <f t="shared" si="3685"/>
        <v>Riya Chakraborty</v>
      </c>
      <c r="U1841" s="14" t="str">
        <f t="shared" si="3685"/>
        <v>Juhu</v>
      </c>
      <c r="V1841" s="14" t="str">
        <f t="shared" si="4"/>
        <v>Juice</v>
      </c>
      <c r="W1841" s="14">
        <f t="shared" si="5"/>
        <v>2</v>
      </c>
      <c r="X1841" s="14" t="str">
        <f t="shared" si="6"/>
        <v>Nithin Lal</v>
      </c>
      <c r="Y1841" s="15">
        <f t="shared" si="7"/>
        <v>45256</v>
      </c>
      <c r="Z1841" s="14" t="str">
        <f t="shared" si="8"/>
        <v>Credit Card</v>
      </c>
      <c r="AA1841" s="14" t="str">
        <f t="shared" si="9"/>
        <v>Delivered</v>
      </c>
      <c r="AB1841" s="14" t="str">
        <f t="shared" ref="AB1841:AC1841" si="3686">trim(Q1841)</f>
        <v>Overall Satisfaction</v>
      </c>
      <c r="AC1841" s="14" t="str">
        <f t="shared" si="3686"/>
        <v>Great service will order again</v>
      </c>
      <c r="AD1841" s="8"/>
    </row>
    <row r="1842">
      <c r="A1842" s="14" t="str">
        <f>IFERROR(__xludf.DUMMYFUNCTION("""COMPUTED_VALUE"""),"//ord_71820//Anaya Rao//Colaba//Sweet Corn+1*Ramesh S/12/18/2023//UPI//Delivered*On-time Delivery: Delivered on time")</f>
        <v>//ord_71820//Anaya Rao//Colaba//Sweet Corn+1*Ramesh S/12/18/2023//UPI//Delivered*On-time Delivery: Delivered on time</v>
      </c>
      <c r="B1842" s="14" t="str">
        <f>IFERROR(__xludf.DUMMYFUNCTION("split(A1842,""//"")"),"ord_71820")</f>
        <v>ord_71820</v>
      </c>
      <c r="C1842" s="14" t="str">
        <f>IFERROR(__xludf.DUMMYFUNCTION("""COMPUTED_VALUE"""),"Anaya Rao")</f>
        <v>Anaya Rao</v>
      </c>
      <c r="D1842" s="14" t="str">
        <f>IFERROR(__xludf.DUMMYFUNCTION("""COMPUTED_VALUE"""),"Colaba")</f>
        <v>Colaba</v>
      </c>
      <c r="E1842" s="14" t="str">
        <f>IFERROR(__xludf.DUMMYFUNCTION("""COMPUTED_VALUE"""),"Sweet Corn+1*Ramesh S")</f>
        <v>Sweet Corn+1*Ramesh S</v>
      </c>
      <c r="F1842" s="14">
        <f>IFERROR(__xludf.DUMMYFUNCTION("""COMPUTED_VALUE"""),12.0)</f>
        <v>12</v>
      </c>
      <c r="G1842" s="14">
        <f>IFERROR(__xludf.DUMMYFUNCTION("""COMPUTED_VALUE"""),18.0)</f>
        <v>18</v>
      </c>
      <c r="H1842" s="14">
        <f>IFERROR(__xludf.DUMMYFUNCTION("""COMPUTED_VALUE"""),2023.0)</f>
        <v>2023</v>
      </c>
      <c r="I1842" s="14" t="str">
        <f>IFERROR(__xludf.DUMMYFUNCTION("""COMPUTED_VALUE"""),"UPI")</f>
        <v>UPI</v>
      </c>
      <c r="J1842" s="14" t="str">
        <f>IFERROR(__xludf.DUMMYFUNCTION("""COMPUTED_VALUE"""),"Delivered*On-time Delivery: Delivered on time")</f>
        <v>Delivered*On-time Delivery: Delivered on time</v>
      </c>
      <c r="K1842" s="14" t="str">
        <f>IFERROR(__xludf.DUMMYFUNCTION("split(E1842,""+"")"),"Sweet Corn")</f>
        <v>Sweet Corn</v>
      </c>
      <c r="L1842" s="14" t="str">
        <f>IFERROR(__xludf.DUMMYFUNCTION("""COMPUTED_VALUE"""),"1*Ramesh S")</f>
        <v>1*Ramesh S</v>
      </c>
      <c r="M1842" s="14">
        <f>IFERROR(__xludf.DUMMYFUNCTION("SPLIT(L1842,""*"")"),1.0)</f>
        <v>1</v>
      </c>
      <c r="N1842" s="14" t="str">
        <f>IFERROR(__xludf.DUMMYFUNCTION("""COMPUTED_VALUE"""),"Ramesh S")</f>
        <v>Ramesh S</v>
      </c>
      <c r="O1842" s="14" t="str">
        <f>IFERROR(__xludf.DUMMYFUNCTION("split(J1842,""*"")"),"Delivered")</f>
        <v>Delivered</v>
      </c>
      <c r="P1842" s="14" t="str">
        <f>IFERROR(__xludf.DUMMYFUNCTION("""COMPUTED_VALUE"""),"On-time Delivery: Delivered on time")</f>
        <v>On-time Delivery: Delivered on time</v>
      </c>
      <c r="Q1842" s="14" t="str">
        <f>IFERROR(__xludf.DUMMYFUNCTION("split(P1842,"":"")"),"On-time Delivery")</f>
        <v>On-time Delivery</v>
      </c>
      <c r="R1842" s="14" t="str">
        <f>IFERROR(__xludf.DUMMYFUNCTION("""COMPUTED_VALUE""")," Delivered on time")</f>
        <v> Delivered on time</v>
      </c>
      <c r="S1842" s="14" t="str">
        <f t="shared" ref="S1842:U1842" si="3687">trim(B1842)</f>
        <v>ord_71820</v>
      </c>
      <c r="T1842" s="14" t="str">
        <f t="shared" si="3687"/>
        <v>Anaya Rao</v>
      </c>
      <c r="U1842" s="14" t="str">
        <f t="shared" si="3687"/>
        <v>Colaba</v>
      </c>
      <c r="V1842" s="14" t="str">
        <f t="shared" si="4"/>
        <v>Sweet Corn</v>
      </c>
      <c r="W1842" s="14">
        <f t="shared" si="5"/>
        <v>1</v>
      </c>
      <c r="X1842" s="14" t="str">
        <f t="shared" si="6"/>
        <v>Ramesh S</v>
      </c>
      <c r="Y1842" s="15">
        <f t="shared" si="7"/>
        <v>45278</v>
      </c>
      <c r="Z1842" s="14" t="str">
        <f t="shared" si="8"/>
        <v>UPI</v>
      </c>
      <c r="AA1842" s="14" t="str">
        <f t="shared" si="9"/>
        <v>Delivered</v>
      </c>
      <c r="AB1842" s="14" t="str">
        <f t="shared" ref="AB1842:AC1842" si="3688">trim(Q1842)</f>
        <v>On-time Delivery</v>
      </c>
      <c r="AC1842" s="14" t="str">
        <f t="shared" si="3688"/>
        <v>Delivered on time</v>
      </c>
      <c r="AD1842" s="8"/>
    </row>
    <row r="1843">
      <c r="A1843" s="14" t="str">
        <f>IFERROR(__xludf.DUMMYFUNCTION("""COMPUTED_VALUE"""),"//ord_71821//Pranav Joshi//Andheri//Chicken Puff+5*Nithin Lal/12/20/2023//Online Payment//Delivered*Quality of Items: Perfect condition")</f>
        <v>//ord_71821//Pranav Joshi//Andheri//Chicken Puff+5*Nithin Lal/12/20/2023//Online Payment//Delivered*Quality of Items: Perfect condition</v>
      </c>
      <c r="B1843" s="14" t="str">
        <f>IFERROR(__xludf.DUMMYFUNCTION("split(A1843,""//"")"),"ord_71821")</f>
        <v>ord_71821</v>
      </c>
      <c r="C1843" s="14" t="str">
        <f>IFERROR(__xludf.DUMMYFUNCTION("""COMPUTED_VALUE"""),"Pranav Joshi")</f>
        <v>Pranav Joshi</v>
      </c>
      <c r="D1843" s="14" t="str">
        <f>IFERROR(__xludf.DUMMYFUNCTION("""COMPUTED_VALUE"""),"Andheri")</f>
        <v>Andheri</v>
      </c>
      <c r="E1843" s="14" t="str">
        <f>IFERROR(__xludf.DUMMYFUNCTION("""COMPUTED_VALUE"""),"Chicken Puff+5*Nithin Lal")</f>
        <v>Chicken Puff+5*Nithin Lal</v>
      </c>
      <c r="F1843" s="14">
        <f>IFERROR(__xludf.DUMMYFUNCTION("""COMPUTED_VALUE"""),12.0)</f>
        <v>12</v>
      </c>
      <c r="G1843" s="14">
        <f>IFERROR(__xludf.DUMMYFUNCTION("""COMPUTED_VALUE"""),20.0)</f>
        <v>20</v>
      </c>
      <c r="H1843" s="14">
        <f>IFERROR(__xludf.DUMMYFUNCTION("""COMPUTED_VALUE"""),2023.0)</f>
        <v>2023</v>
      </c>
      <c r="I1843" s="14" t="str">
        <f>IFERROR(__xludf.DUMMYFUNCTION("""COMPUTED_VALUE"""),"Online Payment")</f>
        <v>Online Payment</v>
      </c>
      <c r="J1843" s="14" t="str">
        <f>IFERROR(__xludf.DUMMYFUNCTION("""COMPUTED_VALUE"""),"Delivered*Quality of Items: Perfect condition")</f>
        <v>Delivered*Quality of Items: Perfect condition</v>
      </c>
      <c r="K1843" s="14" t="str">
        <f>IFERROR(__xludf.DUMMYFUNCTION("split(E1843,""+"")"),"Chicken Puff")</f>
        <v>Chicken Puff</v>
      </c>
      <c r="L1843" s="14" t="str">
        <f>IFERROR(__xludf.DUMMYFUNCTION("""COMPUTED_VALUE"""),"5*Nithin Lal")</f>
        <v>5*Nithin Lal</v>
      </c>
      <c r="M1843" s="14">
        <f>IFERROR(__xludf.DUMMYFUNCTION("SPLIT(L1843,""*"")"),5.0)</f>
        <v>5</v>
      </c>
      <c r="N1843" s="14" t="str">
        <f>IFERROR(__xludf.DUMMYFUNCTION("""COMPUTED_VALUE"""),"Nithin Lal")</f>
        <v>Nithin Lal</v>
      </c>
      <c r="O1843" s="14" t="str">
        <f>IFERROR(__xludf.DUMMYFUNCTION("split(J1843,""*"")"),"Delivered")</f>
        <v>Delivered</v>
      </c>
      <c r="P1843" s="14" t="str">
        <f>IFERROR(__xludf.DUMMYFUNCTION("""COMPUTED_VALUE"""),"Quality of Items: Perfect condition")</f>
        <v>Quality of Items: Perfect condition</v>
      </c>
      <c r="Q1843" s="14" t="str">
        <f>IFERROR(__xludf.DUMMYFUNCTION("split(P1843,"":"")"),"Quality of Items")</f>
        <v>Quality of Items</v>
      </c>
      <c r="R1843" s="14" t="str">
        <f>IFERROR(__xludf.DUMMYFUNCTION("""COMPUTED_VALUE""")," Perfect condition")</f>
        <v> Perfect condition</v>
      </c>
      <c r="S1843" s="14" t="str">
        <f t="shared" ref="S1843:U1843" si="3689">trim(B1843)</f>
        <v>ord_71821</v>
      </c>
      <c r="T1843" s="14" t="str">
        <f t="shared" si="3689"/>
        <v>Pranav Joshi</v>
      </c>
      <c r="U1843" s="14" t="str">
        <f t="shared" si="3689"/>
        <v>Andheri</v>
      </c>
      <c r="V1843" s="14" t="str">
        <f t="shared" si="4"/>
        <v>Chicken Puff</v>
      </c>
      <c r="W1843" s="14">
        <f t="shared" si="5"/>
        <v>5</v>
      </c>
      <c r="X1843" s="14" t="str">
        <f t="shared" si="6"/>
        <v>Nithin Lal</v>
      </c>
      <c r="Y1843" s="15">
        <f t="shared" si="7"/>
        <v>45280</v>
      </c>
      <c r="Z1843" s="14" t="str">
        <f t="shared" si="8"/>
        <v>Online Payment</v>
      </c>
      <c r="AA1843" s="14" t="str">
        <f t="shared" si="9"/>
        <v>Delivered</v>
      </c>
      <c r="AB1843" s="14" t="str">
        <f t="shared" ref="AB1843:AC1843" si="3690">trim(Q1843)</f>
        <v>Quality of Items</v>
      </c>
      <c r="AC1843" s="14" t="str">
        <f t="shared" si="3690"/>
        <v>Perfect condition</v>
      </c>
      <c r="AD1843" s="8"/>
    </row>
    <row r="1844">
      <c r="A1844" s="14" t="str">
        <f>IFERROR(__xludf.DUMMYFUNCTION("""COMPUTED_VALUE"""),"//ord_71822//Ritika Dutta//Lower Parel//Onion+3*Sita T/4/18/2023//COD//Delivered*On-time Delivery: Delivered on time")</f>
        <v>//ord_71822//Ritika Dutta//Lower Parel//Onion+3*Sita T/4/18/2023//COD//Delivered*On-time Delivery: Delivered on time</v>
      </c>
      <c r="B1844" s="14" t="str">
        <f>IFERROR(__xludf.DUMMYFUNCTION("split(A1844,""//"")"),"ord_71822")</f>
        <v>ord_71822</v>
      </c>
      <c r="C1844" s="14" t="str">
        <f>IFERROR(__xludf.DUMMYFUNCTION("""COMPUTED_VALUE"""),"Ritika Dutta")</f>
        <v>Ritika Dutta</v>
      </c>
      <c r="D1844" s="14" t="str">
        <f>IFERROR(__xludf.DUMMYFUNCTION("""COMPUTED_VALUE"""),"Lower Parel")</f>
        <v>Lower Parel</v>
      </c>
      <c r="E1844" s="14" t="str">
        <f>IFERROR(__xludf.DUMMYFUNCTION("""COMPUTED_VALUE"""),"Onion+3*Sita T")</f>
        <v>Onion+3*Sita T</v>
      </c>
      <c r="F1844" s="14">
        <f>IFERROR(__xludf.DUMMYFUNCTION("""COMPUTED_VALUE"""),4.0)</f>
        <v>4</v>
      </c>
      <c r="G1844" s="14">
        <f>IFERROR(__xludf.DUMMYFUNCTION("""COMPUTED_VALUE"""),18.0)</f>
        <v>18</v>
      </c>
      <c r="H1844" s="14">
        <f>IFERROR(__xludf.DUMMYFUNCTION("""COMPUTED_VALUE"""),2023.0)</f>
        <v>2023</v>
      </c>
      <c r="I1844" s="14" t="str">
        <f>IFERROR(__xludf.DUMMYFUNCTION("""COMPUTED_VALUE"""),"COD")</f>
        <v>COD</v>
      </c>
      <c r="J1844" s="14" t="str">
        <f>IFERROR(__xludf.DUMMYFUNCTION("""COMPUTED_VALUE"""),"Delivered*On-time Delivery: Delivered on time")</f>
        <v>Delivered*On-time Delivery: Delivered on time</v>
      </c>
      <c r="K1844" s="14" t="str">
        <f>IFERROR(__xludf.DUMMYFUNCTION("split(E1844,""+"")"),"Onion")</f>
        <v>Onion</v>
      </c>
      <c r="L1844" s="14" t="str">
        <f>IFERROR(__xludf.DUMMYFUNCTION("""COMPUTED_VALUE"""),"3*Sita T")</f>
        <v>3*Sita T</v>
      </c>
      <c r="M1844" s="14">
        <f>IFERROR(__xludf.DUMMYFUNCTION("SPLIT(L1844,""*"")"),3.0)</f>
        <v>3</v>
      </c>
      <c r="N1844" s="14" t="str">
        <f>IFERROR(__xludf.DUMMYFUNCTION("""COMPUTED_VALUE"""),"Sita T")</f>
        <v>Sita T</v>
      </c>
      <c r="O1844" s="14" t="str">
        <f>IFERROR(__xludf.DUMMYFUNCTION("split(J1844,""*"")"),"Delivered")</f>
        <v>Delivered</v>
      </c>
      <c r="P1844" s="14" t="str">
        <f>IFERROR(__xludf.DUMMYFUNCTION("""COMPUTED_VALUE"""),"On-time Delivery: Delivered on time")</f>
        <v>On-time Delivery: Delivered on time</v>
      </c>
      <c r="Q1844" s="14" t="str">
        <f>IFERROR(__xludf.DUMMYFUNCTION("split(P1844,"":"")"),"On-time Delivery")</f>
        <v>On-time Delivery</v>
      </c>
      <c r="R1844" s="14" t="str">
        <f>IFERROR(__xludf.DUMMYFUNCTION("""COMPUTED_VALUE""")," Delivered on time")</f>
        <v> Delivered on time</v>
      </c>
      <c r="S1844" s="14" t="str">
        <f t="shared" ref="S1844:U1844" si="3691">trim(B1844)</f>
        <v>ord_71822</v>
      </c>
      <c r="T1844" s="14" t="str">
        <f t="shared" si="3691"/>
        <v>Ritika Dutta</v>
      </c>
      <c r="U1844" s="14" t="str">
        <f t="shared" si="3691"/>
        <v>Lower Parel</v>
      </c>
      <c r="V1844" s="14" t="str">
        <f t="shared" si="4"/>
        <v>Onion</v>
      </c>
      <c r="W1844" s="14">
        <f t="shared" si="5"/>
        <v>3</v>
      </c>
      <c r="X1844" s="14" t="str">
        <f t="shared" si="6"/>
        <v>Sita T</v>
      </c>
      <c r="Y1844" s="15">
        <f t="shared" si="7"/>
        <v>45034</v>
      </c>
      <c r="Z1844" s="14" t="str">
        <f t="shared" si="8"/>
        <v>COD</v>
      </c>
      <c r="AA1844" s="14" t="str">
        <f t="shared" si="9"/>
        <v>Delivered</v>
      </c>
      <c r="AB1844" s="14" t="str">
        <f t="shared" ref="AB1844:AC1844" si="3692">trim(Q1844)</f>
        <v>On-time Delivery</v>
      </c>
      <c r="AC1844" s="14" t="str">
        <f t="shared" si="3692"/>
        <v>Delivered on time</v>
      </c>
      <c r="AD1844" s="8"/>
    </row>
    <row r="1845">
      <c r="A1845" s="14" t="str">
        <f>IFERROR(__xludf.DUMMYFUNCTION("""COMPUTED_VALUE"""),"//ord_71823//Kavya Menon//Andheri//Rasmalai+3*Ram Gopal/10/9/2023//Online Payment//Delivered*Quality of Items: Perfect condition")</f>
        <v>//ord_71823//Kavya Menon//Andheri//Rasmalai+3*Ram Gopal/10/9/2023//Online Payment//Delivered*Quality of Items: Perfect condition</v>
      </c>
      <c r="B1845" s="14" t="str">
        <f>IFERROR(__xludf.DUMMYFUNCTION("split(A1845,""//"")"),"ord_71823")</f>
        <v>ord_71823</v>
      </c>
      <c r="C1845" s="14" t="str">
        <f>IFERROR(__xludf.DUMMYFUNCTION("""COMPUTED_VALUE"""),"Kavya Menon")</f>
        <v>Kavya Menon</v>
      </c>
      <c r="D1845" s="14" t="str">
        <f>IFERROR(__xludf.DUMMYFUNCTION("""COMPUTED_VALUE"""),"Andheri")</f>
        <v>Andheri</v>
      </c>
      <c r="E1845" s="14" t="str">
        <f>IFERROR(__xludf.DUMMYFUNCTION("""COMPUTED_VALUE"""),"Rasmalai+3*Ram Gopal")</f>
        <v>Rasmalai+3*Ram Gopal</v>
      </c>
      <c r="F1845" s="14">
        <f>IFERROR(__xludf.DUMMYFUNCTION("""COMPUTED_VALUE"""),10.0)</f>
        <v>10</v>
      </c>
      <c r="G1845" s="14">
        <f>IFERROR(__xludf.DUMMYFUNCTION("""COMPUTED_VALUE"""),9.0)</f>
        <v>9</v>
      </c>
      <c r="H1845" s="14">
        <f>IFERROR(__xludf.DUMMYFUNCTION("""COMPUTED_VALUE"""),2023.0)</f>
        <v>2023</v>
      </c>
      <c r="I1845" s="14" t="str">
        <f>IFERROR(__xludf.DUMMYFUNCTION("""COMPUTED_VALUE"""),"Online Payment")</f>
        <v>Online Payment</v>
      </c>
      <c r="J1845" s="14" t="str">
        <f>IFERROR(__xludf.DUMMYFUNCTION("""COMPUTED_VALUE"""),"Delivered*Quality of Items: Perfect condition")</f>
        <v>Delivered*Quality of Items: Perfect condition</v>
      </c>
      <c r="K1845" s="14" t="str">
        <f>IFERROR(__xludf.DUMMYFUNCTION("split(E1845,""+"")"),"Rasmalai")</f>
        <v>Rasmalai</v>
      </c>
      <c r="L1845" s="14" t="str">
        <f>IFERROR(__xludf.DUMMYFUNCTION("""COMPUTED_VALUE"""),"3*Ram Gopal")</f>
        <v>3*Ram Gopal</v>
      </c>
      <c r="M1845" s="14">
        <f>IFERROR(__xludf.DUMMYFUNCTION("SPLIT(L1845,""*"")"),3.0)</f>
        <v>3</v>
      </c>
      <c r="N1845" s="14" t="str">
        <f>IFERROR(__xludf.DUMMYFUNCTION("""COMPUTED_VALUE"""),"Ram Gopal")</f>
        <v>Ram Gopal</v>
      </c>
      <c r="O1845" s="14" t="str">
        <f>IFERROR(__xludf.DUMMYFUNCTION("split(J1845,""*"")"),"Delivered")</f>
        <v>Delivered</v>
      </c>
      <c r="P1845" s="14" t="str">
        <f>IFERROR(__xludf.DUMMYFUNCTION("""COMPUTED_VALUE"""),"Quality of Items: Perfect condition")</f>
        <v>Quality of Items: Perfect condition</v>
      </c>
      <c r="Q1845" s="14" t="str">
        <f>IFERROR(__xludf.DUMMYFUNCTION("split(P1845,"":"")"),"Quality of Items")</f>
        <v>Quality of Items</v>
      </c>
      <c r="R1845" s="14" t="str">
        <f>IFERROR(__xludf.DUMMYFUNCTION("""COMPUTED_VALUE""")," Perfect condition")</f>
        <v> Perfect condition</v>
      </c>
      <c r="S1845" s="14" t="str">
        <f t="shared" ref="S1845:U1845" si="3693">trim(B1845)</f>
        <v>ord_71823</v>
      </c>
      <c r="T1845" s="14" t="str">
        <f t="shared" si="3693"/>
        <v>Kavya Menon</v>
      </c>
      <c r="U1845" s="14" t="str">
        <f t="shared" si="3693"/>
        <v>Andheri</v>
      </c>
      <c r="V1845" s="14" t="str">
        <f t="shared" si="4"/>
        <v>Rasmalai</v>
      </c>
      <c r="W1845" s="14">
        <f t="shared" si="5"/>
        <v>3</v>
      </c>
      <c r="X1845" s="14" t="str">
        <f t="shared" si="6"/>
        <v>Ram Gopal</v>
      </c>
      <c r="Y1845" s="15">
        <f t="shared" si="7"/>
        <v>45208</v>
      </c>
      <c r="Z1845" s="14" t="str">
        <f t="shared" si="8"/>
        <v>Online Payment</v>
      </c>
      <c r="AA1845" s="14" t="str">
        <f t="shared" si="9"/>
        <v>Delivered</v>
      </c>
      <c r="AB1845" s="14" t="str">
        <f t="shared" ref="AB1845:AC1845" si="3694">trim(Q1845)</f>
        <v>Quality of Items</v>
      </c>
      <c r="AC1845" s="14" t="str">
        <f t="shared" si="3694"/>
        <v>Perfect condition</v>
      </c>
      <c r="AD1845" s="8"/>
    </row>
    <row r="1846">
      <c r="A1846" s="14" t="str">
        <f>IFERROR(__xludf.DUMMYFUNCTION("""COMPUTED_VALUE"""),"//ord_71824//Kavya Menon//Andheri//Orange+3*Sita T/8/26/2023//UPI//Delivered*Packaging: Secure and intact")</f>
        <v>//ord_71824//Kavya Menon//Andheri//Orange+3*Sita T/8/26/2023//UPI//Delivered*Packaging: Secure and intact</v>
      </c>
      <c r="B1846" s="14" t="str">
        <f>IFERROR(__xludf.DUMMYFUNCTION("split(A1846,""//"")"),"ord_71824")</f>
        <v>ord_71824</v>
      </c>
      <c r="C1846" s="14" t="str">
        <f>IFERROR(__xludf.DUMMYFUNCTION("""COMPUTED_VALUE"""),"Kavya Menon")</f>
        <v>Kavya Menon</v>
      </c>
      <c r="D1846" s="14" t="str">
        <f>IFERROR(__xludf.DUMMYFUNCTION("""COMPUTED_VALUE"""),"Andheri")</f>
        <v>Andheri</v>
      </c>
      <c r="E1846" s="14" t="str">
        <f>IFERROR(__xludf.DUMMYFUNCTION("""COMPUTED_VALUE"""),"Orange+3*Sita T")</f>
        <v>Orange+3*Sita T</v>
      </c>
      <c r="F1846" s="14">
        <f>IFERROR(__xludf.DUMMYFUNCTION("""COMPUTED_VALUE"""),8.0)</f>
        <v>8</v>
      </c>
      <c r="G1846" s="14">
        <f>IFERROR(__xludf.DUMMYFUNCTION("""COMPUTED_VALUE"""),26.0)</f>
        <v>26</v>
      </c>
      <c r="H1846" s="14">
        <f>IFERROR(__xludf.DUMMYFUNCTION("""COMPUTED_VALUE"""),2023.0)</f>
        <v>2023</v>
      </c>
      <c r="I1846" s="14" t="str">
        <f>IFERROR(__xludf.DUMMYFUNCTION("""COMPUTED_VALUE"""),"UPI")</f>
        <v>UPI</v>
      </c>
      <c r="J1846" s="14" t="str">
        <f>IFERROR(__xludf.DUMMYFUNCTION("""COMPUTED_VALUE"""),"Delivered*Packaging: Secure and intact")</f>
        <v>Delivered*Packaging: Secure and intact</v>
      </c>
      <c r="K1846" s="14" t="str">
        <f>IFERROR(__xludf.DUMMYFUNCTION("split(E1846,""+"")"),"Orange")</f>
        <v>Orange</v>
      </c>
      <c r="L1846" s="14" t="str">
        <f>IFERROR(__xludf.DUMMYFUNCTION("""COMPUTED_VALUE"""),"3*Sita T")</f>
        <v>3*Sita T</v>
      </c>
      <c r="M1846" s="14">
        <f>IFERROR(__xludf.DUMMYFUNCTION("SPLIT(L1846,""*"")"),3.0)</f>
        <v>3</v>
      </c>
      <c r="N1846" s="14" t="str">
        <f>IFERROR(__xludf.DUMMYFUNCTION("""COMPUTED_VALUE"""),"Sita T")</f>
        <v>Sita T</v>
      </c>
      <c r="O1846" s="14" t="str">
        <f>IFERROR(__xludf.DUMMYFUNCTION("split(J1846,""*"")"),"Delivered")</f>
        <v>Delivered</v>
      </c>
      <c r="P1846" s="14" t="str">
        <f>IFERROR(__xludf.DUMMYFUNCTION("""COMPUTED_VALUE"""),"Packaging: Secure and intact")</f>
        <v>Packaging: Secure and intact</v>
      </c>
      <c r="Q1846" s="14" t="str">
        <f>IFERROR(__xludf.DUMMYFUNCTION("split(P1846,"":"")"),"Packaging")</f>
        <v>Packaging</v>
      </c>
      <c r="R1846" s="14" t="str">
        <f>IFERROR(__xludf.DUMMYFUNCTION("""COMPUTED_VALUE""")," Secure and intact")</f>
        <v> Secure and intact</v>
      </c>
      <c r="S1846" s="14" t="str">
        <f t="shared" ref="S1846:U1846" si="3695">trim(B1846)</f>
        <v>ord_71824</v>
      </c>
      <c r="T1846" s="14" t="str">
        <f t="shared" si="3695"/>
        <v>Kavya Menon</v>
      </c>
      <c r="U1846" s="14" t="str">
        <f t="shared" si="3695"/>
        <v>Andheri</v>
      </c>
      <c r="V1846" s="14" t="str">
        <f t="shared" si="4"/>
        <v>Orange</v>
      </c>
      <c r="W1846" s="14">
        <f t="shared" si="5"/>
        <v>3</v>
      </c>
      <c r="X1846" s="14" t="str">
        <f t="shared" si="6"/>
        <v>Sita T</v>
      </c>
      <c r="Y1846" s="15">
        <f t="shared" si="7"/>
        <v>45164</v>
      </c>
      <c r="Z1846" s="14" t="str">
        <f t="shared" si="8"/>
        <v>UPI</v>
      </c>
      <c r="AA1846" s="14" t="str">
        <f t="shared" si="9"/>
        <v>Delivered</v>
      </c>
      <c r="AB1846" s="14" t="str">
        <f t="shared" ref="AB1846:AC1846" si="3696">trim(Q1846)</f>
        <v>Packaging</v>
      </c>
      <c r="AC1846" s="14" t="str">
        <f t="shared" si="3696"/>
        <v>Secure and intact</v>
      </c>
      <c r="AD1846" s="8"/>
    </row>
    <row r="1847">
      <c r="A1847" s="14" t="str">
        <f>IFERROR(__xludf.DUMMYFUNCTION("""COMPUTED_VALUE"""),"//ord_71825//Dev Chauhan//Bandra//Banana+1*Sita T/4/19/2023//Online Payment//Delivered*Satisfied with the Delivery: Timely and quality")</f>
        <v>//ord_71825//Dev Chauhan//Bandra//Banana+1*Sita T/4/19/2023//Online Payment//Delivered*Satisfied with the Delivery: Timely and quality</v>
      </c>
      <c r="B1847" s="14" t="str">
        <f>IFERROR(__xludf.DUMMYFUNCTION("split(A1847,""//"")"),"ord_71825")</f>
        <v>ord_71825</v>
      </c>
      <c r="C1847" s="14" t="str">
        <f>IFERROR(__xludf.DUMMYFUNCTION("""COMPUTED_VALUE"""),"Dev Chauhan")</f>
        <v>Dev Chauhan</v>
      </c>
      <c r="D1847" s="14" t="str">
        <f>IFERROR(__xludf.DUMMYFUNCTION("""COMPUTED_VALUE"""),"Bandra")</f>
        <v>Bandra</v>
      </c>
      <c r="E1847" s="14" t="str">
        <f>IFERROR(__xludf.DUMMYFUNCTION("""COMPUTED_VALUE"""),"Banana+1*Sita T")</f>
        <v>Banana+1*Sita T</v>
      </c>
      <c r="F1847" s="14">
        <f>IFERROR(__xludf.DUMMYFUNCTION("""COMPUTED_VALUE"""),4.0)</f>
        <v>4</v>
      </c>
      <c r="G1847" s="14">
        <f>IFERROR(__xludf.DUMMYFUNCTION("""COMPUTED_VALUE"""),19.0)</f>
        <v>19</v>
      </c>
      <c r="H1847" s="14">
        <f>IFERROR(__xludf.DUMMYFUNCTION("""COMPUTED_VALUE"""),2023.0)</f>
        <v>2023</v>
      </c>
      <c r="I1847" s="14" t="str">
        <f>IFERROR(__xludf.DUMMYFUNCTION("""COMPUTED_VALUE"""),"Online Payment")</f>
        <v>Online Payment</v>
      </c>
      <c r="J1847" s="14" t="str">
        <f>IFERROR(__xludf.DUMMYFUNCTION("""COMPUTED_VALUE"""),"Delivered*Satisfied with the Delivery: Timely and quality")</f>
        <v>Delivered*Satisfied with the Delivery: Timely and quality</v>
      </c>
      <c r="K1847" s="14" t="str">
        <f>IFERROR(__xludf.DUMMYFUNCTION("split(E1847,""+"")"),"Banana")</f>
        <v>Banana</v>
      </c>
      <c r="L1847" s="14" t="str">
        <f>IFERROR(__xludf.DUMMYFUNCTION("""COMPUTED_VALUE"""),"1*Sita T")</f>
        <v>1*Sita T</v>
      </c>
      <c r="M1847" s="14">
        <f>IFERROR(__xludf.DUMMYFUNCTION("SPLIT(L1847,""*"")"),1.0)</f>
        <v>1</v>
      </c>
      <c r="N1847" s="14" t="str">
        <f>IFERROR(__xludf.DUMMYFUNCTION("""COMPUTED_VALUE"""),"Sita T")</f>
        <v>Sita T</v>
      </c>
      <c r="O1847" s="14" t="str">
        <f>IFERROR(__xludf.DUMMYFUNCTION("split(J1847,""*"")"),"Delivered")</f>
        <v>Delivered</v>
      </c>
      <c r="P1847" s="14" t="str">
        <f>IFERROR(__xludf.DUMMYFUNCTION("""COMPUTED_VALUE"""),"Satisfied with the Delivery: Timely and quality")</f>
        <v>Satisfied with the Delivery: Timely and quality</v>
      </c>
      <c r="Q1847" s="14" t="str">
        <f>IFERROR(__xludf.DUMMYFUNCTION("split(P1847,"":"")"),"Satisfied with the Delivery")</f>
        <v>Satisfied with the Delivery</v>
      </c>
      <c r="R1847" s="14" t="str">
        <f>IFERROR(__xludf.DUMMYFUNCTION("""COMPUTED_VALUE""")," Timely and quality")</f>
        <v> Timely and quality</v>
      </c>
      <c r="S1847" s="14" t="str">
        <f t="shared" ref="S1847:U1847" si="3697">trim(B1847)</f>
        <v>ord_71825</v>
      </c>
      <c r="T1847" s="14" t="str">
        <f t="shared" si="3697"/>
        <v>Dev Chauhan</v>
      </c>
      <c r="U1847" s="14" t="str">
        <f t="shared" si="3697"/>
        <v>Bandra</v>
      </c>
      <c r="V1847" s="14" t="str">
        <f t="shared" si="4"/>
        <v>Banana</v>
      </c>
      <c r="W1847" s="14">
        <f t="shared" si="5"/>
        <v>1</v>
      </c>
      <c r="X1847" s="14" t="str">
        <f t="shared" si="6"/>
        <v>Sita T</v>
      </c>
      <c r="Y1847" s="15">
        <f t="shared" si="7"/>
        <v>45035</v>
      </c>
      <c r="Z1847" s="14" t="str">
        <f t="shared" si="8"/>
        <v>Online Payment</v>
      </c>
      <c r="AA1847" s="14" t="str">
        <f t="shared" si="9"/>
        <v>Delivered</v>
      </c>
      <c r="AB1847" s="14" t="str">
        <f t="shared" ref="AB1847:AC1847" si="3698">trim(Q1847)</f>
        <v>Satisfied with the Delivery</v>
      </c>
      <c r="AC1847" s="14" t="str">
        <f t="shared" si="3698"/>
        <v>Timely and quality</v>
      </c>
      <c r="AD1847" s="8"/>
    </row>
    <row r="1848">
      <c r="A1848" s="14" t="str">
        <f>IFERROR(__xludf.DUMMYFUNCTION("""COMPUTED_VALUE"""),"//ord_71826//Tanishq Bansal//Powai//Tiramisu+1*Vivek Kumar/3/12/2023//Credit Card//Delivered*Customer Service: Seamless and easy")</f>
        <v>//ord_71826//Tanishq Bansal//Powai//Tiramisu+1*Vivek Kumar/3/12/2023//Credit Card//Delivered*Customer Service: Seamless and easy</v>
      </c>
      <c r="B1848" s="14" t="str">
        <f>IFERROR(__xludf.DUMMYFUNCTION("split(A1848,""//"")"),"ord_71826")</f>
        <v>ord_71826</v>
      </c>
      <c r="C1848" s="14" t="str">
        <f>IFERROR(__xludf.DUMMYFUNCTION("""COMPUTED_VALUE"""),"Tanishq Bansal")</f>
        <v>Tanishq Bansal</v>
      </c>
      <c r="D1848" s="14" t="str">
        <f>IFERROR(__xludf.DUMMYFUNCTION("""COMPUTED_VALUE"""),"Powai")</f>
        <v>Powai</v>
      </c>
      <c r="E1848" s="14" t="str">
        <f>IFERROR(__xludf.DUMMYFUNCTION("""COMPUTED_VALUE"""),"Tiramisu+1*Vivek Kumar")</f>
        <v>Tiramisu+1*Vivek Kumar</v>
      </c>
      <c r="F1848" s="14">
        <f>IFERROR(__xludf.DUMMYFUNCTION("""COMPUTED_VALUE"""),3.0)</f>
        <v>3</v>
      </c>
      <c r="G1848" s="14">
        <f>IFERROR(__xludf.DUMMYFUNCTION("""COMPUTED_VALUE"""),12.0)</f>
        <v>12</v>
      </c>
      <c r="H1848" s="14">
        <f>IFERROR(__xludf.DUMMYFUNCTION("""COMPUTED_VALUE"""),2023.0)</f>
        <v>2023</v>
      </c>
      <c r="I1848" s="14" t="str">
        <f>IFERROR(__xludf.DUMMYFUNCTION("""COMPUTED_VALUE"""),"Credit Card")</f>
        <v>Credit Card</v>
      </c>
      <c r="J1848" s="14" t="str">
        <f>IFERROR(__xludf.DUMMYFUNCTION("""COMPUTED_VALUE"""),"Delivered*Customer Service: Seamless and easy")</f>
        <v>Delivered*Customer Service: Seamless and easy</v>
      </c>
      <c r="K1848" s="14" t="str">
        <f>IFERROR(__xludf.DUMMYFUNCTION("split(E1848,""+"")"),"Tiramisu")</f>
        <v>Tiramisu</v>
      </c>
      <c r="L1848" s="14" t="str">
        <f>IFERROR(__xludf.DUMMYFUNCTION("""COMPUTED_VALUE"""),"1*Vivek Kumar")</f>
        <v>1*Vivek Kumar</v>
      </c>
      <c r="M1848" s="14">
        <f>IFERROR(__xludf.DUMMYFUNCTION("SPLIT(L1848,""*"")"),1.0)</f>
        <v>1</v>
      </c>
      <c r="N1848" s="14" t="str">
        <f>IFERROR(__xludf.DUMMYFUNCTION("""COMPUTED_VALUE"""),"Vivek Kumar")</f>
        <v>Vivek Kumar</v>
      </c>
      <c r="O1848" s="14" t="str">
        <f>IFERROR(__xludf.DUMMYFUNCTION("split(J1848,""*"")"),"Delivered")</f>
        <v>Delivered</v>
      </c>
      <c r="P1848" s="14" t="str">
        <f>IFERROR(__xludf.DUMMYFUNCTION("""COMPUTED_VALUE"""),"Customer Service: Seamless and easy")</f>
        <v>Customer Service: Seamless and easy</v>
      </c>
      <c r="Q1848" s="14" t="str">
        <f>IFERROR(__xludf.DUMMYFUNCTION("split(P1848,"":"")"),"Customer Service")</f>
        <v>Customer Service</v>
      </c>
      <c r="R1848" s="14" t="str">
        <f>IFERROR(__xludf.DUMMYFUNCTION("""COMPUTED_VALUE""")," Seamless and easy")</f>
        <v> Seamless and easy</v>
      </c>
      <c r="S1848" s="14" t="str">
        <f t="shared" ref="S1848:U1848" si="3699">trim(B1848)</f>
        <v>ord_71826</v>
      </c>
      <c r="T1848" s="14" t="str">
        <f t="shared" si="3699"/>
        <v>Tanishq Bansal</v>
      </c>
      <c r="U1848" s="14" t="str">
        <f t="shared" si="3699"/>
        <v>Powai</v>
      </c>
      <c r="V1848" s="14" t="str">
        <f t="shared" si="4"/>
        <v>Tiramisu</v>
      </c>
      <c r="W1848" s="14">
        <f t="shared" si="5"/>
        <v>1</v>
      </c>
      <c r="X1848" s="14" t="str">
        <f t="shared" si="6"/>
        <v>Vivek Kumar</v>
      </c>
      <c r="Y1848" s="15">
        <f t="shared" si="7"/>
        <v>44997</v>
      </c>
      <c r="Z1848" s="14" t="str">
        <f t="shared" si="8"/>
        <v>Credit Card</v>
      </c>
      <c r="AA1848" s="14" t="str">
        <f t="shared" si="9"/>
        <v>Delivered</v>
      </c>
      <c r="AB1848" s="14" t="str">
        <f t="shared" ref="AB1848:AC1848" si="3700">trim(Q1848)</f>
        <v>Customer Service</v>
      </c>
      <c r="AC1848" s="14" t="str">
        <f t="shared" si="3700"/>
        <v>Seamless and easy</v>
      </c>
      <c r="AD1848" s="8"/>
    </row>
    <row r="1849">
      <c r="A1849" s="14" t="str">
        <f>IFERROR(__xludf.DUMMYFUNCTION("""COMPUTED_VALUE"""),"//ord_71827//Ritika Dutta//Lower Parel//Veg Puff+8*Venu R/3/30/2023//Online Payment//Delivered*Delivery Experience: Quick and professional")</f>
        <v>//ord_71827//Ritika Dutta//Lower Parel//Veg Puff+8*Venu R/3/30/2023//Online Payment//Delivered*Delivery Experience: Quick and professional</v>
      </c>
      <c r="B1849" s="14" t="str">
        <f>IFERROR(__xludf.DUMMYFUNCTION("split(A1849,""//"")"),"ord_71827")</f>
        <v>ord_71827</v>
      </c>
      <c r="C1849" s="14" t="str">
        <f>IFERROR(__xludf.DUMMYFUNCTION("""COMPUTED_VALUE"""),"Ritika Dutta")</f>
        <v>Ritika Dutta</v>
      </c>
      <c r="D1849" s="14" t="str">
        <f>IFERROR(__xludf.DUMMYFUNCTION("""COMPUTED_VALUE"""),"Lower Parel")</f>
        <v>Lower Parel</v>
      </c>
      <c r="E1849" s="14" t="str">
        <f>IFERROR(__xludf.DUMMYFUNCTION("""COMPUTED_VALUE"""),"Veg Puff+8*Venu R")</f>
        <v>Veg Puff+8*Venu R</v>
      </c>
      <c r="F1849" s="14">
        <f>IFERROR(__xludf.DUMMYFUNCTION("""COMPUTED_VALUE"""),3.0)</f>
        <v>3</v>
      </c>
      <c r="G1849" s="14">
        <f>IFERROR(__xludf.DUMMYFUNCTION("""COMPUTED_VALUE"""),30.0)</f>
        <v>30</v>
      </c>
      <c r="H1849" s="14">
        <f>IFERROR(__xludf.DUMMYFUNCTION("""COMPUTED_VALUE"""),2023.0)</f>
        <v>2023</v>
      </c>
      <c r="I1849" s="14" t="str">
        <f>IFERROR(__xludf.DUMMYFUNCTION("""COMPUTED_VALUE"""),"Online Payment")</f>
        <v>Online Payment</v>
      </c>
      <c r="J1849" s="14" t="str">
        <f>IFERROR(__xludf.DUMMYFUNCTION("""COMPUTED_VALUE"""),"Delivered*Delivery Experience: Quick and professional")</f>
        <v>Delivered*Delivery Experience: Quick and professional</v>
      </c>
      <c r="K1849" s="14" t="str">
        <f>IFERROR(__xludf.DUMMYFUNCTION("split(E1849,""+"")"),"Veg Puff")</f>
        <v>Veg Puff</v>
      </c>
      <c r="L1849" s="14" t="str">
        <f>IFERROR(__xludf.DUMMYFUNCTION("""COMPUTED_VALUE"""),"8*Venu R")</f>
        <v>8*Venu R</v>
      </c>
      <c r="M1849" s="14">
        <f>IFERROR(__xludf.DUMMYFUNCTION("SPLIT(L1849,""*"")"),8.0)</f>
        <v>8</v>
      </c>
      <c r="N1849" s="14" t="str">
        <f>IFERROR(__xludf.DUMMYFUNCTION("""COMPUTED_VALUE"""),"Venu R")</f>
        <v>Venu R</v>
      </c>
      <c r="O1849" s="14" t="str">
        <f>IFERROR(__xludf.DUMMYFUNCTION("split(J1849,""*"")"),"Delivered")</f>
        <v>Delivered</v>
      </c>
      <c r="P1849" s="14" t="str">
        <f>IFERROR(__xludf.DUMMYFUNCTION("""COMPUTED_VALUE"""),"Delivery Experience: Quick and professional")</f>
        <v>Delivery Experience: Quick and professional</v>
      </c>
      <c r="Q1849" s="14" t="str">
        <f>IFERROR(__xludf.DUMMYFUNCTION("split(P1849,"":"")"),"Delivery Experience")</f>
        <v>Delivery Experience</v>
      </c>
      <c r="R1849" s="14" t="str">
        <f>IFERROR(__xludf.DUMMYFUNCTION("""COMPUTED_VALUE""")," Quick and professional")</f>
        <v> Quick and professional</v>
      </c>
      <c r="S1849" s="14" t="str">
        <f t="shared" ref="S1849:U1849" si="3701">trim(B1849)</f>
        <v>ord_71827</v>
      </c>
      <c r="T1849" s="14" t="str">
        <f t="shared" si="3701"/>
        <v>Ritika Dutta</v>
      </c>
      <c r="U1849" s="14" t="str">
        <f t="shared" si="3701"/>
        <v>Lower Parel</v>
      </c>
      <c r="V1849" s="14" t="str">
        <f t="shared" si="4"/>
        <v>Veg Puff</v>
      </c>
      <c r="W1849" s="14">
        <f t="shared" si="5"/>
        <v>8</v>
      </c>
      <c r="X1849" s="14" t="str">
        <f t="shared" si="6"/>
        <v>Venu R</v>
      </c>
      <c r="Y1849" s="15">
        <f t="shared" si="7"/>
        <v>45015</v>
      </c>
      <c r="Z1849" s="14" t="str">
        <f t="shared" si="8"/>
        <v>Online Payment</v>
      </c>
      <c r="AA1849" s="14" t="str">
        <f t="shared" si="9"/>
        <v>Delivered</v>
      </c>
      <c r="AB1849" s="14" t="str">
        <f t="shared" ref="AB1849:AC1849" si="3702">trim(Q1849)</f>
        <v>Delivery Experience</v>
      </c>
      <c r="AC1849" s="14" t="str">
        <f t="shared" si="3702"/>
        <v>Quick and professional</v>
      </c>
      <c r="AD1849" s="8"/>
    </row>
    <row r="1850">
      <c r="A1850" s="14" t="str">
        <f>IFERROR(__xludf.DUMMYFUNCTION("""COMPUTED_VALUE"""),"//ord_71828//Tanishq Bansal//Powai//Juice+2*Ram Gopal/4/26/2023//COD//Delivered*Convenience: Easy tracking")</f>
        <v>//ord_71828//Tanishq Bansal//Powai//Juice+2*Ram Gopal/4/26/2023//COD//Delivered*Convenience: Easy tracking</v>
      </c>
      <c r="B1850" s="14" t="str">
        <f>IFERROR(__xludf.DUMMYFUNCTION("split(A1850,""//"")"),"ord_71828")</f>
        <v>ord_71828</v>
      </c>
      <c r="C1850" s="14" t="str">
        <f>IFERROR(__xludf.DUMMYFUNCTION("""COMPUTED_VALUE"""),"Tanishq Bansal")</f>
        <v>Tanishq Bansal</v>
      </c>
      <c r="D1850" s="14" t="str">
        <f>IFERROR(__xludf.DUMMYFUNCTION("""COMPUTED_VALUE"""),"Powai")</f>
        <v>Powai</v>
      </c>
      <c r="E1850" s="14" t="str">
        <f>IFERROR(__xludf.DUMMYFUNCTION("""COMPUTED_VALUE"""),"Juice+2*Ram Gopal")</f>
        <v>Juice+2*Ram Gopal</v>
      </c>
      <c r="F1850" s="14">
        <f>IFERROR(__xludf.DUMMYFUNCTION("""COMPUTED_VALUE"""),4.0)</f>
        <v>4</v>
      </c>
      <c r="G1850" s="14">
        <f>IFERROR(__xludf.DUMMYFUNCTION("""COMPUTED_VALUE"""),26.0)</f>
        <v>26</v>
      </c>
      <c r="H1850" s="14">
        <f>IFERROR(__xludf.DUMMYFUNCTION("""COMPUTED_VALUE"""),2023.0)</f>
        <v>2023</v>
      </c>
      <c r="I1850" s="14" t="str">
        <f>IFERROR(__xludf.DUMMYFUNCTION("""COMPUTED_VALUE"""),"COD")</f>
        <v>COD</v>
      </c>
      <c r="J1850" s="14" t="str">
        <f>IFERROR(__xludf.DUMMYFUNCTION("""COMPUTED_VALUE"""),"Delivered*Convenience: Easy tracking")</f>
        <v>Delivered*Convenience: Easy tracking</v>
      </c>
      <c r="K1850" s="14" t="str">
        <f>IFERROR(__xludf.DUMMYFUNCTION("split(E1850,""+"")"),"Juice")</f>
        <v>Juice</v>
      </c>
      <c r="L1850" s="14" t="str">
        <f>IFERROR(__xludf.DUMMYFUNCTION("""COMPUTED_VALUE"""),"2*Ram Gopal")</f>
        <v>2*Ram Gopal</v>
      </c>
      <c r="M1850" s="14">
        <f>IFERROR(__xludf.DUMMYFUNCTION("SPLIT(L1850,""*"")"),2.0)</f>
        <v>2</v>
      </c>
      <c r="N1850" s="14" t="str">
        <f>IFERROR(__xludf.DUMMYFUNCTION("""COMPUTED_VALUE"""),"Ram Gopal")</f>
        <v>Ram Gopal</v>
      </c>
      <c r="O1850" s="14" t="str">
        <f>IFERROR(__xludf.DUMMYFUNCTION("split(J1850,""*"")"),"Delivered")</f>
        <v>Delivered</v>
      </c>
      <c r="P1850" s="14" t="str">
        <f>IFERROR(__xludf.DUMMYFUNCTION("""COMPUTED_VALUE"""),"Convenience: Easy tracking")</f>
        <v>Convenience: Easy tracking</v>
      </c>
      <c r="Q1850" s="14" t="str">
        <f>IFERROR(__xludf.DUMMYFUNCTION("split(P1850,"":"")"),"Convenience")</f>
        <v>Convenience</v>
      </c>
      <c r="R1850" s="14" t="str">
        <f>IFERROR(__xludf.DUMMYFUNCTION("""COMPUTED_VALUE""")," Easy tracking")</f>
        <v> Easy tracking</v>
      </c>
      <c r="S1850" s="14" t="str">
        <f t="shared" ref="S1850:U1850" si="3703">trim(B1850)</f>
        <v>ord_71828</v>
      </c>
      <c r="T1850" s="14" t="str">
        <f t="shared" si="3703"/>
        <v>Tanishq Bansal</v>
      </c>
      <c r="U1850" s="14" t="str">
        <f t="shared" si="3703"/>
        <v>Powai</v>
      </c>
      <c r="V1850" s="14" t="str">
        <f t="shared" si="4"/>
        <v>Juice</v>
      </c>
      <c r="W1850" s="14">
        <f t="shared" si="5"/>
        <v>2</v>
      </c>
      <c r="X1850" s="14" t="str">
        <f t="shared" si="6"/>
        <v>Ram Gopal</v>
      </c>
      <c r="Y1850" s="15">
        <f t="shared" si="7"/>
        <v>45042</v>
      </c>
      <c r="Z1850" s="14" t="str">
        <f t="shared" si="8"/>
        <v>COD</v>
      </c>
      <c r="AA1850" s="14" t="str">
        <f t="shared" si="9"/>
        <v>Delivered</v>
      </c>
      <c r="AB1850" s="14" t="str">
        <f t="shared" ref="AB1850:AC1850" si="3704">trim(Q1850)</f>
        <v>Convenience</v>
      </c>
      <c r="AC1850" s="14" t="str">
        <f t="shared" si="3704"/>
        <v>Easy tracking</v>
      </c>
      <c r="AD1850" s="8"/>
    </row>
    <row r="1851">
      <c r="A1851" s="14" t="str">
        <f>IFERROR(__xludf.DUMMYFUNCTION("""COMPUTED_VALUE"""),"//ord_71829//Aditi Iyer//Dadar//Veg Puff+3*Venu R/7/25/2023//Credit Card//Delivered*Overall Satisfaction: Great service will order again")</f>
        <v>//ord_71829//Aditi Iyer//Dadar//Veg Puff+3*Venu R/7/25/2023//Credit Card//Delivered*Overall Satisfaction: Great service will order again</v>
      </c>
      <c r="B1851" s="14" t="str">
        <f>IFERROR(__xludf.DUMMYFUNCTION("split(A1851,""//"")"),"ord_71829")</f>
        <v>ord_71829</v>
      </c>
      <c r="C1851" s="14" t="str">
        <f>IFERROR(__xludf.DUMMYFUNCTION("""COMPUTED_VALUE"""),"Aditi Iyer")</f>
        <v>Aditi Iyer</v>
      </c>
      <c r="D1851" s="14" t="str">
        <f>IFERROR(__xludf.DUMMYFUNCTION("""COMPUTED_VALUE"""),"Dadar")</f>
        <v>Dadar</v>
      </c>
      <c r="E1851" s="14" t="str">
        <f>IFERROR(__xludf.DUMMYFUNCTION("""COMPUTED_VALUE"""),"Veg Puff+3*Venu R")</f>
        <v>Veg Puff+3*Venu R</v>
      </c>
      <c r="F1851" s="14">
        <f>IFERROR(__xludf.DUMMYFUNCTION("""COMPUTED_VALUE"""),7.0)</f>
        <v>7</v>
      </c>
      <c r="G1851" s="14">
        <f>IFERROR(__xludf.DUMMYFUNCTION("""COMPUTED_VALUE"""),25.0)</f>
        <v>25</v>
      </c>
      <c r="H1851" s="14">
        <f>IFERROR(__xludf.DUMMYFUNCTION("""COMPUTED_VALUE"""),2023.0)</f>
        <v>2023</v>
      </c>
      <c r="I1851" s="14" t="str">
        <f>IFERROR(__xludf.DUMMYFUNCTION("""COMPUTED_VALUE"""),"Credit Card")</f>
        <v>Credit Card</v>
      </c>
      <c r="J1851" s="14" t="str">
        <f>IFERROR(__xludf.DUMMYFUNCTION("""COMPUTED_VALUE"""),"Delivered*Overall Satisfaction: Great service will order again")</f>
        <v>Delivered*Overall Satisfaction: Great service will order again</v>
      </c>
      <c r="K1851" s="14" t="str">
        <f>IFERROR(__xludf.DUMMYFUNCTION("split(E1851,""+"")"),"Veg Puff")</f>
        <v>Veg Puff</v>
      </c>
      <c r="L1851" s="14" t="str">
        <f>IFERROR(__xludf.DUMMYFUNCTION("""COMPUTED_VALUE"""),"3*Venu R")</f>
        <v>3*Venu R</v>
      </c>
      <c r="M1851" s="14">
        <f>IFERROR(__xludf.DUMMYFUNCTION("SPLIT(L1851,""*"")"),3.0)</f>
        <v>3</v>
      </c>
      <c r="N1851" s="14" t="str">
        <f>IFERROR(__xludf.DUMMYFUNCTION("""COMPUTED_VALUE"""),"Venu R")</f>
        <v>Venu R</v>
      </c>
      <c r="O1851" s="14" t="str">
        <f>IFERROR(__xludf.DUMMYFUNCTION("split(J1851,""*"")"),"Delivered")</f>
        <v>Delivered</v>
      </c>
      <c r="P1851" s="14" t="str">
        <f>IFERROR(__xludf.DUMMYFUNCTION("""COMPUTED_VALUE"""),"Overall Satisfaction: Great service will order again")</f>
        <v>Overall Satisfaction: Great service will order again</v>
      </c>
      <c r="Q1851" s="14" t="str">
        <f>IFERROR(__xludf.DUMMYFUNCTION("split(P1851,"":"")"),"Overall Satisfaction")</f>
        <v>Overall Satisfaction</v>
      </c>
      <c r="R1851" s="14" t="str">
        <f>IFERROR(__xludf.DUMMYFUNCTION("""COMPUTED_VALUE""")," Great service will order again")</f>
        <v> Great service will order again</v>
      </c>
      <c r="S1851" s="14" t="str">
        <f t="shared" ref="S1851:U1851" si="3705">trim(B1851)</f>
        <v>ord_71829</v>
      </c>
      <c r="T1851" s="14" t="str">
        <f t="shared" si="3705"/>
        <v>Aditi Iyer</v>
      </c>
      <c r="U1851" s="14" t="str">
        <f t="shared" si="3705"/>
        <v>Dadar</v>
      </c>
      <c r="V1851" s="14" t="str">
        <f t="shared" si="4"/>
        <v>Veg Puff</v>
      </c>
      <c r="W1851" s="14">
        <f t="shared" si="5"/>
        <v>3</v>
      </c>
      <c r="X1851" s="14" t="str">
        <f t="shared" si="6"/>
        <v>Venu R</v>
      </c>
      <c r="Y1851" s="15">
        <f t="shared" si="7"/>
        <v>45132</v>
      </c>
      <c r="Z1851" s="14" t="str">
        <f t="shared" si="8"/>
        <v>Credit Card</v>
      </c>
      <c r="AA1851" s="14" t="str">
        <f t="shared" si="9"/>
        <v>Delivered</v>
      </c>
      <c r="AB1851" s="14" t="str">
        <f t="shared" ref="AB1851:AC1851" si="3706">trim(Q1851)</f>
        <v>Overall Satisfaction</v>
      </c>
      <c r="AC1851" s="14" t="str">
        <f t="shared" si="3706"/>
        <v>Great service will order again</v>
      </c>
      <c r="AD1851" s="8"/>
    </row>
    <row r="1852">
      <c r="A1852" s="14" t="str">
        <f>IFERROR(__xludf.DUMMYFUNCTION("""COMPUTED_VALUE"""),"//ord_71830//Parth Goel//Juhu//Chocolate Mousse+1*Manju Ajay/11/7/2023//COD//Delivered*On-time Delivery: Delivered on time")</f>
        <v>//ord_71830//Parth Goel//Juhu//Chocolate Mousse+1*Manju Ajay/11/7/2023//COD//Delivered*On-time Delivery: Delivered on time</v>
      </c>
      <c r="B1852" s="14" t="str">
        <f>IFERROR(__xludf.DUMMYFUNCTION("split(A1852,""//"")"),"ord_71830")</f>
        <v>ord_71830</v>
      </c>
      <c r="C1852" s="14" t="str">
        <f>IFERROR(__xludf.DUMMYFUNCTION("""COMPUTED_VALUE"""),"Parth Goel")</f>
        <v>Parth Goel</v>
      </c>
      <c r="D1852" s="14" t="str">
        <f>IFERROR(__xludf.DUMMYFUNCTION("""COMPUTED_VALUE"""),"Juhu")</f>
        <v>Juhu</v>
      </c>
      <c r="E1852" s="14" t="str">
        <f>IFERROR(__xludf.DUMMYFUNCTION("""COMPUTED_VALUE"""),"Chocolate Mousse+1*Manju Ajay")</f>
        <v>Chocolate Mousse+1*Manju Ajay</v>
      </c>
      <c r="F1852" s="14">
        <f>IFERROR(__xludf.DUMMYFUNCTION("""COMPUTED_VALUE"""),11.0)</f>
        <v>11</v>
      </c>
      <c r="G1852" s="14">
        <f>IFERROR(__xludf.DUMMYFUNCTION("""COMPUTED_VALUE"""),7.0)</f>
        <v>7</v>
      </c>
      <c r="H1852" s="14">
        <f>IFERROR(__xludf.DUMMYFUNCTION("""COMPUTED_VALUE"""),2023.0)</f>
        <v>2023</v>
      </c>
      <c r="I1852" s="14" t="str">
        <f>IFERROR(__xludf.DUMMYFUNCTION("""COMPUTED_VALUE"""),"COD")</f>
        <v>COD</v>
      </c>
      <c r="J1852" s="14" t="str">
        <f>IFERROR(__xludf.DUMMYFUNCTION("""COMPUTED_VALUE"""),"Delivered*On-time Delivery: Delivered on time")</f>
        <v>Delivered*On-time Delivery: Delivered on time</v>
      </c>
      <c r="K1852" s="14" t="str">
        <f>IFERROR(__xludf.DUMMYFUNCTION("split(E1852,""+"")"),"Chocolate Mousse")</f>
        <v>Chocolate Mousse</v>
      </c>
      <c r="L1852" s="14" t="str">
        <f>IFERROR(__xludf.DUMMYFUNCTION("""COMPUTED_VALUE"""),"1*Manju Ajay")</f>
        <v>1*Manju Ajay</v>
      </c>
      <c r="M1852" s="14">
        <f>IFERROR(__xludf.DUMMYFUNCTION("SPLIT(L1852,""*"")"),1.0)</f>
        <v>1</v>
      </c>
      <c r="N1852" s="14" t="str">
        <f>IFERROR(__xludf.DUMMYFUNCTION("""COMPUTED_VALUE"""),"Manju Ajay")</f>
        <v>Manju Ajay</v>
      </c>
      <c r="O1852" s="14" t="str">
        <f>IFERROR(__xludf.DUMMYFUNCTION("split(J1852,""*"")"),"Delivered")</f>
        <v>Delivered</v>
      </c>
      <c r="P1852" s="14" t="str">
        <f>IFERROR(__xludf.DUMMYFUNCTION("""COMPUTED_VALUE"""),"On-time Delivery: Delivered on time")</f>
        <v>On-time Delivery: Delivered on time</v>
      </c>
      <c r="Q1852" s="14" t="str">
        <f>IFERROR(__xludf.DUMMYFUNCTION("split(P1852,"":"")"),"On-time Delivery")</f>
        <v>On-time Delivery</v>
      </c>
      <c r="R1852" s="14" t="str">
        <f>IFERROR(__xludf.DUMMYFUNCTION("""COMPUTED_VALUE""")," Delivered on time")</f>
        <v> Delivered on time</v>
      </c>
      <c r="S1852" s="14" t="str">
        <f t="shared" ref="S1852:U1852" si="3707">trim(B1852)</f>
        <v>ord_71830</v>
      </c>
      <c r="T1852" s="14" t="str">
        <f t="shared" si="3707"/>
        <v>Parth Goel</v>
      </c>
      <c r="U1852" s="14" t="str">
        <f t="shared" si="3707"/>
        <v>Juhu</v>
      </c>
      <c r="V1852" s="14" t="str">
        <f t="shared" si="4"/>
        <v>Chocolate Mousse</v>
      </c>
      <c r="W1852" s="14">
        <f t="shared" si="5"/>
        <v>1</v>
      </c>
      <c r="X1852" s="14" t="str">
        <f t="shared" si="6"/>
        <v>Manju Ajay</v>
      </c>
      <c r="Y1852" s="15">
        <f t="shared" si="7"/>
        <v>45237</v>
      </c>
      <c r="Z1852" s="14" t="str">
        <f t="shared" si="8"/>
        <v>COD</v>
      </c>
      <c r="AA1852" s="14" t="str">
        <f t="shared" si="9"/>
        <v>Delivered</v>
      </c>
      <c r="AB1852" s="14" t="str">
        <f t="shared" ref="AB1852:AC1852" si="3708">trim(Q1852)</f>
        <v>On-time Delivery</v>
      </c>
      <c r="AC1852" s="14" t="str">
        <f t="shared" si="3708"/>
        <v>Delivered on time</v>
      </c>
      <c r="AD1852" s="8"/>
    </row>
    <row r="1853">
      <c r="A1853" s="14" t="str">
        <f>IFERROR(__xludf.DUMMYFUNCTION("""COMPUTED_VALUE"""),"//ord_71831//Tanishq Bansal//Powai//Tiramisu+3*Ramesh S/2/4/2023//UPI//Delivered*Quality of Items: Perfect condition")</f>
        <v>//ord_71831//Tanishq Bansal//Powai//Tiramisu+3*Ramesh S/2/4/2023//UPI//Delivered*Quality of Items: Perfect condition</v>
      </c>
      <c r="B1853" s="14" t="str">
        <f>IFERROR(__xludf.DUMMYFUNCTION("split(A1853,""//"")"),"ord_71831")</f>
        <v>ord_71831</v>
      </c>
      <c r="C1853" s="14" t="str">
        <f>IFERROR(__xludf.DUMMYFUNCTION("""COMPUTED_VALUE"""),"Tanishq Bansal")</f>
        <v>Tanishq Bansal</v>
      </c>
      <c r="D1853" s="14" t="str">
        <f>IFERROR(__xludf.DUMMYFUNCTION("""COMPUTED_VALUE"""),"Powai")</f>
        <v>Powai</v>
      </c>
      <c r="E1853" s="14" t="str">
        <f>IFERROR(__xludf.DUMMYFUNCTION("""COMPUTED_VALUE"""),"Tiramisu+3*Ramesh S")</f>
        <v>Tiramisu+3*Ramesh S</v>
      </c>
      <c r="F1853" s="14">
        <f>IFERROR(__xludf.DUMMYFUNCTION("""COMPUTED_VALUE"""),2.0)</f>
        <v>2</v>
      </c>
      <c r="G1853" s="14">
        <f>IFERROR(__xludf.DUMMYFUNCTION("""COMPUTED_VALUE"""),4.0)</f>
        <v>4</v>
      </c>
      <c r="H1853" s="14">
        <f>IFERROR(__xludf.DUMMYFUNCTION("""COMPUTED_VALUE"""),2023.0)</f>
        <v>2023</v>
      </c>
      <c r="I1853" s="14" t="str">
        <f>IFERROR(__xludf.DUMMYFUNCTION("""COMPUTED_VALUE"""),"UPI")</f>
        <v>UPI</v>
      </c>
      <c r="J1853" s="14" t="str">
        <f>IFERROR(__xludf.DUMMYFUNCTION("""COMPUTED_VALUE"""),"Delivered*Quality of Items: Perfect condition")</f>
        <v>Delivered*Quality of Items: Perfect condition</v>
      </c>
      <c r="K1853" s="14" t="str">
        <f>IFERROR(__xludf.DUMMYFUNCTION("split(E1853,""+"")"),"Tiramisu")</f>
        <v>Tiramisu</v>
      </c>
      <c r="L1853" s="14" t="str">
        <f>IFERROR(__xludf.DUMMYFUNCTION("""COMPUTED_VALUE"""),"3*Ramesh S")</f>
        <v>3*Ramesh S</v>
      </c>
      <c r="M1853" s="14">
        <f>IFERROR(__xludf.DUMMYFUNCTION("SPLIT(L1853,""*"")"),3.0)</f>
        <v>3</v>
      </c>
      <c r="N1853" s="14" t="str">
        <f>IFERROR(__xludf.DUMMYFUNCTION("""COMPUTED_VALUE"""),"Ramesh S")</f>
        <v>Ramesh S</v>
      </c>
      <c r="O1853" s="14" t="str">
        <f>IFERROR(__xludf.DUMMYFUNCTION("split(J1853,""*"")"),"Delivered")</f>
        <v>Delivered</v>
      </c>
      <c r="P1853" s="14" t="str">
        <f>IFERROR(__xludf.DUMMYFUNCTION("""COMPUTED_VALUE"""),"Quality of Items: Perfect condition")</f>
        <v>Quality of Items: Perfect condition</v>
      </c>
      <c r="Q1853" s="14" t="str">
        <f>IFERROR(__xludf.DUMMYFUNCTION("split(P1853,"":"")"),"Quality of Items")</f>
        <v>Quality of Items</v>
      </c>
      <c r="R1853" s="14" t="str">
        <f>IFERROR(__xludf.DUMMYFUNCTION("""COMPUTED_VALUE""")," Perfect condition")</f>
        <v> Perfect condition</v>
      </c>
      <c r="S1853" s="14" t="str">
        <f t="shared" ref="S1853:U1853" si="3709">trim(B1853)</f>
        <v>ord_71831</v>
      </c>
      <c r="T1853" s="14" t="str">
        <f t="shared" si="3709"/>
        <v>Tanishq Bansal</v>
      </c>
      <c r="U1853" s="14" t="str">
        <f t="shared" si="3709"/>
        <v>Powai</v>
      </c>
      <c r="V1853" s="14" t="str">
        <f t="shared" si="4"/>
        <v>Tiramisu</v>
      </c>
      <c r="W1853" s="14">
        <f t="shared" si="5"/>
        <v>3</v>
      </c>
      <c r="X1853" s="14" t="str">
        <f t="shared" si="6"/>
        <v>Ramesh S</v>
      </c>
      <c r="Y1853" s="15">
        <f t="shared" si="7"/>
        <v>44961</v>
      </c>
      <c r="Z1853" s="14" t="str">
        <f t="shared" si="8"/>
        <v>UPI</v>
      </c>
      <c r="AA1853" s="14" t="str">
        <f t="shared" si="9"/>
        <v>Delivered</v>
      </c>
      <c r="AB1853" s="14" t="str">
        <f t="shared" ref="AB1853:AC1853" si="3710">trim(Q1853)</f>
        <v>Quality of Items</v>
      </c>
      <c r="AC1853" s="14" t="str">
        <f t="shared" si="3710"/>
        <v>Perfect condition</v>
      </c>
      <c r="AD1853" s="8"/>
    </row>
    <row r="1854">
      <c r="A1854" s="14" t="str">
        <f>IFERROR(__xludf.DUMMYFUNCTION("""COMPUTED_VALUE"""),"//ord_71832//Omkar Mishra//Powai//Potato+1*Venu R/4/7/2023//COD//Delivered*On-time Delivery: Delivered on time")</f>
        <v>//ord_71832//Omkar Mishra//Powai//Potato+1*Venu R/4/7/2023//COD//Delivered*On-time Delivery: Delivered on time</v>
      </c>
      <c r="B1854" s="14" t="str">
        <f>IFERROR(__xludf.DUMMYFUNCTION("split(A1854,""//"")"),"ord_71832")</f>
        <v>ord_71832</v>
      </c>
      <c r="C1854" s="14" t="str">
        <f>IFERROR(__xludf.DUMMYFUNCTION("""COMPUTED_VALUE"""),"Omkar Mishra")</f>
        <v>Omkar Mishra</v>
      </c>
      <c r="D1854" s="14" t="str">
        <f>IFERROR(__xludf.DUMMYFUNCTION("""COMPUTED_VALUE"""),"Powai")</f>
        <v>Powai</v>
      </c>
      <c r="E1854" s="14" t="str">
        <f>IFERROR(__xludf.DUMMYFUNCTION("""COMPUTED_VALUE"""),"Potato+1*Venu R")</f>
        <v>Potato+1*Venu R</v>
      </c>
      <c r="F1854" s="14">
        <f>IFERROR(__xludf.DUMMYFUNCTION("""COMPUTED_VALUE"""),4.0)</f>
        <v>4</v>
      </c>
      <c r="G1854" s="14">
        <f>IFERROR(__xludf.DUMMYFUNCTION("""COMPUTED_VALUE"""),7.0)</f>
        <v>7</v>
      </c>
      <c r="H1854" s="14">
        <f>IFERROR(__xludf.DUMMYFUNCTION("""COMPUTED_VALUE"""),2023.0)</f>
        <v>2023</v>
      </c>
      <c r="I1854" s="14" t="str">
        <f>IFERROR(__xludf.DUMMYFUNCTION("""COMPUTED_VALUE"""),"COD")</f>
        <v>COD</v>
      </c>
      <c r="J1854" s="14" t="str">
        <f>IFERROR(__xludf.DUMMYFUNCTION("""COMPUTED_VALUE"""),"Delivered*On-time Delivery: Delivered on time")</f>
        <v>Delivered*On-time Delivery: Delivered on time</v>
      </c>
      <c r="K1854" s="14" t="str">
        <f>IFERROR(__xludf.DUMMYFUNCTION("split(E1854,""+"")"),"Potato")</f>
        <v>Potato</v>
      </c>
      <c r="L1854" s="14" t="str">
        <f>IFERROR(__xludf.DUMMYFUNCTION("""COMPUTED_VALUE"""),"1*Venu R")</f>
        <v>1*Venu R</v>
      </c>
      <c r="M1854" s="14">
        <f>IFERROR(__xludf.DUMMYFUNCTION("SPLIT(L1854,""*"")"),1.0)</f>
        <v>1</v>
      </c>
      <c r="N1854" s="14" t="str">
        <f>IFERROR(__xludf.DUMMYFUNCTION("""COMPUTED_VALUE"""),"Venu R")</f>
        <v>Venu R</v>
      </c>
      <c r="O1854" s="14" t="str">
        <f>IFERROR(__xludf.DUMMYFUNCTION("split(J1854,""*"")"),"Delivered")</f>
        <v>Delivered</v>
      </c>
      <c r="P1854" s="14" t="str">
        <f>IFERROR(__xludf.DUMMYFUNCTION("""COMPUTED_VALUE"""),"On-time Delivery: Delivered on time")</f>
        <v>On-time Delivery: Delivered on time</v>
      </c>
      <c r="Q1854" s="14" t="str">
        <f>IFERROR(__xludf.DUMMYFUNCTION("split(P1854,"":"")"),"On-time Delivery")</f>
        <v>On-time Delivery</v>
      </c>
      <c r="R1854" s="14" t="str">
        <f>IFERROR(__xludf.DUMMYFUNCTION("""COMPUTED_VALUE""")," Delivered on time")</f>
        <v> Delivered on time</v>
      </c>
      <c r="S1854" s="14" t="str">
        <f t="shared" ref="S1854:U1854" si="3711">trim(B1854)</f>
        <v>ord_71832</v>
      </c>
      <c r="T1854" s="14" t="str">
        <f t="shared" si="3711"/>
        <v>Omkar Mishra</v>
      </c>
      <c r="U1854" s="14" t="str">
        <f t="shared" si="3711"/>
        <v>Powai</v>
      </c>
      <c r="V1854" s="14" t="str">
        <f t="shared" si="4"/>
        <v>Potato</v>
      </c>
      <c r="W1854" s="14">
        <f t="shared" si="5"/>
        <v>1</v>
      </c>
      <c r="X1854" s="14" t="str">
        <f t="shared" si="6"/>
        <v>Venu R</v>
      </c>
      <c r="Y1854" s="15">
        <f t="shared" si="7"/>
        <v>45023</v>
      </c>
      <c r="Z1854" s="14" t="str">
        <f t="shared" si="8"/>
        <v>COD</v>
      </c>
      <c r="AA1854" s="14" t="str">
        <f t="shared" si="9"/>
        <v>Delivered</v>
      </c>
      <c r="AB1854" s="14" t="str">
        <f t="shared" ref="AB1854:AC1854" si="3712">trim(Q1854)</f>
        <v>On-time Delivery</v>
      </c>
      <c r="AC1854" s="14" t="str">
        <f t="shared" si="3712"/>
        <v>Delivered on time</v>
      </c>
      <c r="AD1854" s="8"/>
    </row>
    <row r="1855">
      <c r="A1855" s="14" t="str">
        <f>IFERROR(__xludf.DUMMYFUNCTION("""COMPUTED_VALUE"""),"//ord_71833//Parth Goel//Juhu//Apple+2*Venu R/1/1/2023//Credit Card//Delivered*Quality of Items: Perfect condition")</f>
        <v>//ord_71833//Parth Goel//Juhu//Apple+2*Venu R/1/1/2023//Credit Card//Delivered*Quality of Items: Perfect condition</v>
      </c>
      <c r="B1855" s="14" t="str">
        <f>IFERROR(__xludf.DUMMYFUNCTION("split(A1855,""//"")"),"ord_71833")</f>
        <v>ord_71833</v>
      </c>
      <c r="C1855" s="14" t="str">
        <f>IFERROR(__xludf.DUMMYFUNCTION("""COMPUTED_VALUE"""),"Parth Goel")</f>
        <v>Parth Goel</v>
      </c>
      <c r="D1855" s="14" t="str">
        <f>IFERROR(__xludf.DUMMYFUNCTION("""COMPUTED_VALUE"""),"Juhu")</f>
        <v>Juhu</v>
      </c>
      <c r="E1855" s="14" t="str">
        <f>IFERROR(__xludf.DUMMYFUNCTION("""COMPUTED_VALUE"""),"Apple+2*Venu R")</f>
        <v>Apple+2*Venu R</v>
      </c>
      <c r="F1855" s="14">
        <f>IFERROR(__xludf.DUMMYFUNCTION("""COMPUTED_VALUE"""),1.0)</f>
        <v>1</v>
      </c>
      <c r="G1855" s="14">
        <f>IFERROR(__xludf.DUMMYFUNCTION("""COMPUTED_VALUE"""),1.0)</f>
        <v>1</v>
      </c>
      <c r="H1855" s="14">
        <f>IFERROR(__xludf.DUMMYFUNCTION("""COMPUTED_VALUE"""),2023.0)</f>
        <v>2023</v>
      </c>
      <c r="I1855" s="14" t="str">
        <f>IFERROR(__xludf.DUMMYFUNCTION("""COMPUTED_VALUE"""),"Credit Card")</f>
        <v>Credit Card</v>
      </c>
      <c r="J1855" s="14" t="str">
        <f>IFERROR(__xludf.DUMMYFUNCTION("""COMPUTED_VALUE"""),"Delivered*Quality of Items: Perfect condition")</f>
        <v>Delivered*Quality of Items: Perfect condition</v>
      </c>
      <c r="K1855" s="14" t="str">
        <f>IFERROR(__xludf.DUMMYFUNCTION("split(E1855,""+"")"),"Apple")</f>
        <v>Apple</v>
      </c>
      <c r="L1855" s="14" t="str">
        <f>IFERROR(__xludf.DUMMYFUNCTION("""COMPUTED_VALUE"""),"2*Venu R")</f>
        <v>2*Venu R</v>
      </c>
      <c r="M1855" s="14">
        <f>IFERROR(__xludf.DUMMYFUNCTION("SPLIT(L1855,""*"")"),2.0)</f>
        <v>2</v>
      </c>
      <c r="N1855" s="14" t="str">
        <f>IFERROR(__xludf.DUMMYFUNCTION("""COMPUTED_VALUE"""),"Venu R")</f>
        <v>Venu R</v>
      </c>
      <c r="O1855" s="14" t="str">
        <f>IFERROR(__xludf.DUMMYFUNCTION("split(J1855,""*"")"),"Delivered")</f>
        <v>Delivered</v>
      </c>
      <c r="P1855" s="14" t="str">
        <f>IFERROR(__xludf.DUMMYFUNCTION("""COMPUTED_VALUE"""),"Quality of Items: Perfect condition")</f>
        <v>Quality of Items: Perfect condition</v>
      </c>
      <c r="Q1855" s="14" t="str">
        <f>IFERROR(__xludf.DUMMYFUNCTION("split(P1855,"":"")"),"Quality of Items")</f>
        <v>Quality of Items</v>
      </c>
      <c r="R1855" s="14" t="str">
        <f>IFERROR(__xludf.DUMMYFUNCTION("""COMPUTED_VALUE""")," Perfect condition")</f>
        <v> Perfect condition</v>
      </c>
      <c r="S1855" s="14" t="str">
        <f t="shared" ref="S1855:U1855" si="3713">trim(B1855)</f>
        <v>ord_71833</v>
      </c>
      <c r="T1855" s="14" t="str">
        <f t="shared" si="3713"/>
        <v>Parth Goel</v>
      </c>
      <c r="U1855" s="14" t="str">
        <f t="shared" si="3713"/>
        <v>Juhu</v>
      </c>
      <c r="V1855" s="14" t="str">
        <f t="shared" si="4"/>
        <v>Apple</v>
      </c>
      <c r="W1855" s="14">
        <f t="shared" si="5"/>
        <v>2</v>
      </c>
      <c r="X1855" s="14" t="str">
        <f t="shared" si="6"/>
        <v>Venu R</v>
      </c>
      <c r="Y1855" s="15">
        <f t="shared" si="7"/>
        <v>44927</v>
      </c>
      <c r="Z1855" s="14" t="str">
        <f t="shared" si="8"/>
        <v>Credit Card</v>
      </c>
      <c r="AA1855" s="14" t="str">
        <f t="shared" si="9"/>
        <v>Delivered</v>
      </c>
      <c r="AB1855" s="14" t="str">
        <f t="shared" ref="AB1855:AC1855" si="3714">trim(Q1855)</f>
        <v>Quality of Items</v>
      </c>
      <c r="AC1855" s="14" t="str">
        <f t="shared" si="3714"/>
        <v>Perfect condition</v>
      </c>
      <c r="AD1855" s="8"/>
    </row>
    <row r="1856">
      <c r="A1856" s="14" t="str">
        <f>IFERROR(__xludf.DUMMYFUNCTION("""COMPUTED_VALUE"""),"//ord_71834//Aarohi Kapoor//Bandra//Cold Coffee+4*Ramesh S/11/15/2023//Online Payment//Delivered*Packaging: Secure and intact")</f>
        <v>//ord_71834//Aarohi Kapoor//Bandra//Cold Coffee+4*Ramesh S/11/15/2023//Online Payment//Delivered*Packaging: Secure and intact</v>
      </c>
      <c r="B1856" s="14" t="str">
        <f>IFERROR(__xludf.DUMMYFUNCTION("split(A1856,""//"")"),"ord_71834")</f>
        <v>ord_71834</v>
      </c>
      <c r="C1856" s="14" t="str">
        <f>IFERROR(__xludf.DUMMYFUNCTION("""COMPUTED_VALUE"""),"Aarohi Kapoor")</f>
        <v>Aarohi Kapoor</v>
      </c>
      <c r="D1856" s="14" t="str">
        <f>IFERROR(__xludf.DUMMYFUNCTION("""COMPUTED_VALUE"""),"Bandra")</f>
        <v>Bandra</v>
      </c>
      <c r="E1856" s="14" t="str">
        <f>IFERROR(__xludf.DUMMYFUNCTION("""COMPUTED_VALUE"""),"Cold Coffee+4*Ramesh S")</f>
        <v>Cold Coffee+4*Ramesh S</v>
      </c>
      <c r="F1856" s="14">
        <f>IFERROR(__xludf.DUMMYFUNCTION("""COMPUTED_VALUE"""),11.0)</f>
        <v>11</v>
      </c>
      <c r="G1856" s="14">
        <f>IFERROR(__xludf.DUMMYFUNCTION("""COMPUTED_VALUE"""),15.0)</f>
        <v>15</v>
      </c>
      <c r="H1856" s="14">
        <f>IFERROR(__xludf.DUMMYFUNCTION("""COMPUTED_VALUE"""),2023.0)</f>
        <v>2023</v>
      </c>
      <c r="I1856" s="14" t="str">
        <f>IFERROR(__xludf.DUMMYFUNCTION("""COMPUTED_VALUE"""),"Online Payment")</f>
        <v>Online Payment</v>
      </c>
      <c r="J1856" s="14" t="str">
        <f>IFERROR(__xludf.DUMMYFUNCTION("""COMPUTED_VALUE"""),"Delivered*Packaging: Secure and intact")</f>
        <v>Delivered*Packaging: Secure and intact</v>
      </c>
      <c r="K1856" s="14" t="str">
        <f>IFERROR(__xludf.DUMMYFUNCTION("split(E1856,""+"")"),"Cold Coffee")</f>
        <v>Cold Coffee</v>
      </c>
      <c r="L1856" s="14" t="str">
        <f>IFERROR(__xludf.DUMMYFUNCTION("""COMPUTED_VALUE"""),"4*Ramesh S")</f>
        <v>4*Ramesh S</v>
      </c>
      <c r="M1856" s="14">
        <f>IFERROR(__xludf.DUMMYFUNCTION("SPLIT(L1856,""*"")"),4.0)</f>
        <v>4</v>
      </c>
      <c r="N1856" s="14" t="str">
        <f>IFERROR(__xludf.DUMMYFUNCTION("""COMPUTED_VALUE"""),"Ramesh S")</f>
        <v>Ramesh S</v>
      </c>
      <c r="O1856" s="14" t="str">
        <f>IFERROR(__xludf.DUMMYFUNCTION("split(J1856,""*"")"),"Delivered")</f>
        <v>Delivered</v>
      </c>
      <c r="P1856" s="14" t="str">
        <f>IFERROR(__xludf.DUMMYFUNCTION("""COMPUTED_VALUE"""),"Packaging: Secure and intact")</f>
        <v>Packaging: Secure and intact</v>
      </c>
      <c r="Q1856" s="14" t="str">
        <f>IFERROR(__xludf.DUMMYFUNCTION("split(P1856,"":"")"),"Packaging")</f>
        <v>Packaging</v>
      </c>
      <c r="R1856" s="14" t="str">
        <f>IFERROR(__xludf.DUMMYFUNCTION("""COMPUTED_VALUE""")," Secure and intact")</f>
        <v> Secure and intact</v>
      </c>
      <c r="S1856" s="14" t="str">
        <f t="shared" ref="S1856:U1856" si="3715">trim(B1856)</f>
        <v>ord_71834</v>
      </c>
      <c r="T1856" s="14" t="str">
        <f t="shared" si="3715"/>
        <v>Aarohi Kapoor</v>
      </c>
      <c r="U1856" s="14" t="str">
        <f t="shared" si="3715"/>
        <v>Bandra</v>
      </c>
      <c r="V1856" s="14" t="str">
        <f t="shared" si="4"/>
        <v>Cold Coffee</v>
      </c>
      <c r="W1856" s="14">
        <f t="shared" si="5"/>
        <v>4</v>
      </c>
      <c r="X1856" s="14" t="str">
        <f t="shared" si="6"/>
        <v>Ramesh S</v>
      </c>
      <c r="Y1856" s="15">
        <f t="shared" si="7"/>
        <v>45245</v>
      </c>
      <c r="Z1856" s="14" t="str">
        <f t="shared" si="8"/>
        <v>Online Payment</v>
      </c>
      <c r="AA1856" s="14" t="str">
        <f t="shared" si="9"/>
        <v>Delivered</v>
      </c>
      <c r="AB1856" s="14" t="str">
        <f t="shared" ref="AB1856:AC1856" si="3716">trim(Q1856)</f>
        <v>Packaging</v>
      </c>
      <c r="AC1856" s="14" t="str">
        <f t="shared" si="3716"/>
        <v>Secure and intact</v>
      </c>
      <c r="AD1856" s="8"/>
    </row>
    <row r="1857">
      <c r="A1857" s="14" t="str">
        <f>IFERROR(__xludf.DUMMYFUNCTION("""COMPUTED_VALUE"""),"//ord_71835//Sakshi Tandon//Colaba//Tiramisu+5*Vivek Kumar/11/30/2023//UPI//Delivered*Satisfied with the Delivery: Timely and quality")</f>
        <v>//ord_71835//Sakshi Tandon//Colaba//Tiramisu+5*Vivek Kumar/11/30/2023//UPI//Delivered*Satisfied with the Delivery: Timely and quality</v>
      </c>
      <c r="B1857" s="14" t="str">
        <f>IFERROR(__xludf.DUMMYFUNCTION("split(A1857,""//"")"),"ord_71835")</f>
        <v>ord_71835</v>
      </c>
      <c r="C1857" s="14" t="str">
        <f>IFERROR(__xludf.DUMMYFUNCTION("""COMPUTED_VALUE"""),"Sakshi Tandon")</f>
        <v>Sakshi Tandon</v>
      </c>
      <c r="D1857" s="14" t="str">
        <f>IFERROR(__xludf.DUMMYFUNCTION("""COMPUTED_VALUE"""),"Colaba")</f>
        <v>Colaba</v>
      </c>
      <c r="E1857" s="14" t="str">
        <f>IFERROR(__xludf.DUMMYFUNCTION("""COMPUTED_VALUE"""),"Tiramisu+5*Vivek Kumar")</f>
        <v>Tiramisu+5*Vivek Kumar</v>
      </c>
      <c r="F1857" s="14">
        <f>IFERROR(__xludf.DUMMYFUNCTION("""COMPUTED_VALUE"""),11.0)</f>
        <v>11</v>
      </c>
      <c r="G1857" s="14">
        <f>IFERROR(__xludf.DUMMYFUNCTION("""COMPUTED_VALUE"""),30.0)</f>
        <v>30</v>
      </c>
      <c r="H1857" s="14">
        <f>IFERROR(__xludf.DUMMYFUNCTION("""COMPUTED_VALUE"""),2023.0)</f>
        <v>2023</v>
      </c>
      <c r="I1857" s="14" t="str">
        <f>IFERROR(__xludf.DUMMYFUNCTION("""COMPUTED_VALUE"""),"UPI")</f>
        <v>UPI</v>
      </c>
      <c r="J1857" s="14" t="str">
        <f>IFERROR(__xludf.DUMMYFUNCTION("""COMPUTED_VALUE"""),"Delivered*Satisfied with the Delivery: Timely and quality")</f>
        <v>Delivered*Satisfied with the Delivery: Timely and quality</v>
      </c>
      <c r="K1857" s="14" t="str">
        <f>IFERROR(__xludf.DUMMYFUNCTION("split(E1857,""+"")"),"Tiramisu")</f>
        <v>Tiramisu</v>
      </c>
      <c r="L1857" s="14" t="str">
        <f>IFERROR(__xludf.DUMMYFUNCTION("""COMPUTED_VALUE"""),"5*Vivek Kumar")</f>
        <v>5*Vivek Kumar</v>
      </c>
      <c r="M1857" s="14">
        <f>IFERROR(__xludf.DUMMYFUNCTION("SPLIT(L1857,""*"")"),5.0)</f>
        <v>5</v>
      </c>
      <c r="N1857" s="14" t="str">
        <f>IFERROR(__xludf.DUMMYFUNCTION("""COMPUTED_VALUE"""),"Vivek Kumar")</f>
        <v>Vivek Kumar</v>
      </c>
      <c r="O1857" s="14" t="str">
        <f>IFERROR(__xludf.DUMMYFUNCTION("split(J1857,""*"")"),"Delivered")</f>
        <v>Delivered</v>
      </c>
      <c r="P1857" s="14" t="str">
        <f>IFERROR(__xludf.DUMMYFUNCTION("""COMPUTED_VALUE"""),"Satisfied with the Delivery: Timely and quality")</f>
        <v>Satisfied with the Delivery: Timely and quality</v>
      </c>
      <c r="Q1857" s="14" t="str">
        <f>IFERROR(__xludf.DUMMYFUNCTION("split(P1857,"":"")"),"Satisfied with the Delivery")</f>
        <v>Satisfied with the Delivery</v>
      </c>
      <c r="R1857" s="14" t="str">
        <f>IFERROR(__xludf.DUMMYFUNCTION("""COMPUTED_VALUE""")," Timely and quality")</f>
        <v> Timely and quality</v>
      </c>
      <c r="S1857" s="14" t="str">
        <f t="shared" ref="S1857:U1857" si="3717">trim(B1857)</f>
        <v>ord_71835</v>
      </c>
      <c r="T1857" s="14" t="str">
        <f t="shared" si="3717"/>
        <v>Sakshi Tandon</v>
      </c>
      <c r="U1857" s="14" t="str">
        <f t="shared" si="3717"/>
        <v>Colaba</v>
      </c>
      <c r="V1857" s="14" t="str">
        <f t="shared" si="4"/>
        <v>Tiramisu</v>
      </c>
      <c r="W1857" s="14">
        <f t="shared" si="5"/>
        <v>5</v>
      </c>
      <c r="X1857" s="14" t="str">
        <f t="shared" si="6"/>
        <v>Vivek Kumar</v>
      </c>
      <c r="Y1857" s="15">
        <f t="shared" si="7"/>
        <v>45260</v>
      </c>
      <c r="Z1857" s="14" t="str">
        <f t="shared" si="8"/>
        <v>UPI</v>
      </c>
      <c r="AA1857" s="14" t="str">
        <f t="shared" si="9"/>
        <v>Delivered</v>
      </c>
      <c r="AB1857" s="14" t="str">
        <f t="shared" ref="AB1857:AC1857" si="3718">trim(Q1857)</f>
        <v>Satisfied with the Delivery</v>
      </c>
      <c r="AC1857" s="14" t="str">
        <f t="shared" si="3718"/>
        <v>Timely and quality</v>
      </c>
      <c r="AD1857" s="8"/>
    </row>
    <row r="1858">
      <c r="A1858" s="14" t="str">
        <f>IFERROR(__xludf.DUMMYFUNCTION("""COMPUTED_VALUE"""),"//ord_71836//Dev Chauhan//Bandra//Popcorn+1*Nithin Lal/11/10/2023//COD//Delivered*Customer Service: Seamless and easy")</f>
        <v>//ord_71836//Dev Chauhan//Bandra//Popcorn+1*Nithin Lal/11/10/2023//COD//Delivered*Customer Service: Seamless and easy</v>
      </c>
      <c r="B1858" s="14" t="str">
        <f>IFERROR(__xludf.DUMMYFUNCTION("split(A1858,""//"")"),"ord_71836")</f>
        <v>ord_71836</v>
      </c>
      <c r="C1858" s="14" t="str">
        <f>IFERROR(__xludf.DUMMYFUNCTION("""COMPUTED_VALUE"""),"Dev Chauhan")</f>
        <v>Dev Chauhan</v>
      </c>
      <c r="D1858" s="14" t="str">
        <f>IFERROR(__xludf.DUMMYFUNCTION("""COMPUTED_VALUE"""),"Bandra")</f>
        <v>Bandra</v>
      </c>
      <c r="E1858" s="14" t="str">
        <f>IFERROR(__xludf.DUMMYFUNCTION("""COMPUTED_VALUE"""),"Popcorn+1*Nithin Lal")</f>
        <v>Popcorn+1*Nithin Lal</v>
      </c>
      <c r="F1858" s="14">
        <f>IFERROR(__xludf.DUMMYFUNCTION("""COMPUTED_VALUE"""),11.0)</f>
        <v>11</v>
      </c>
      <c r="G1858" s="14">
        <f>IFERROR(__xludf.DUMMYFUNCTION("""COMPUTED_VALUE"""),10.0)</f>
        <v>10</v>
      </c>
      <c r="H1858" s="14">
        <f>IFERROR(__xludf.DUMMYFUNCTION("""COMPUTED_VALUE"""),2023.0)</f>
        <v>2023</v>
      </c>
      <c r="I1858" s="14" t="str">
        <f>IFERROR(__xludf.DUMMYFUNCTION("""COMPUTED_VALUE"""),"COD")</f>
        <v>COD</v>
      </c>
      <c r="J1858" s="14" t="str">
        <f>IFERROR(__xludf.DUMMYFUNCTION("""COMPUTED_VALUE"""),"Delivered*Customer Service: Seamless and easy")</f>
        <v>Delivered*Customer Service: Seamless and easy</v>
      </c>
      <c r="K1858" s="14" t="str">
        <f>IFERROR(__xludf.DUMMYFUNCTION("split(E1858,""+"")"),"Popcorn")</f>
        <v>Popcorn</v>
      </c>
      <c r="L1858" s="14" t="str">
        <f>IFERROR(__xludf.DUMMYFUNCTION("""COMPUTED_VALUE"""),"1*Nithin Lal")</f>
        <v>1*Nithin Lal</v>
      </c>
      <c r="M1858" s="14">
        <f>IFERROR(__xludf.DUMMYFUNCTION("SPLIT(L1858,""*"")"),1.0)</f>
        <v>1</v>
      </c>
      <c r="N1858" s="14" t="str">
        <f>IFERROR(__xludf.DUMMYFUNCTION("""COMPUTED_VALUE"""),"Nithin Lal")</f>
        <v>Nithin Lal</v>
      </c>
      <c r="O1858" s="14" t="str">
        <f>IFERROR(__xludf.DUMMYFUNCTION("split(J1858,""*"")"),"Delivered")</f>
        <v>Delivered</v>
      </c>
      <c r="P1858" s="14" t="str">
        <f>IFERROR(__xludf.DUMMYFUNCTION("""COMPUTED_VALUE"""),"Customer Service: Seamless and easy")</f>
        <v>Customer Service: Seamless and easy</v>
      </c>
      <c r="Q1858" s="14" t="str">
        <f>IFERROR(__xludf.DUMMYFUNCTION("split(P1858,"":"")"),"Customer Service")</f>
        <v>Customer Service</v>
      </c>
      <c r="R1858" s="14" t="str">
        <f>IFERROR(__xludf.DUMMYFUNCTION("""COMPUTED_VALUE""")," Seamless and easy")</f>
        <v> Seamless and easy</v>
      </c>
      <c r="S1858" s="14" t="str">
        <f t="shared" ref="S1858:U1858" si="3719">trim(B1858)</f>
        <v>ord_71836</v>
      </c>
      <c r="T1858" s="14" t="str">
        <f t="shared" si="3719"/>
        <v>Dev Chauhan</v>
      </c>
      <c r="U1858" s="14" t="str">
        <f t="shared" si="3719"/>
        <v>Bandra</v>
      </c>
      <c r="V1858" s="14" t="str">
        <f t="shared" si="4"/>
        <v>Popcorn</v>
      </c>
      <c r="W1858" s="14">
        <f t="shared" si="5"/>
        <v>1</v>
      </c>
      <c r="X1858" s="14" t="str">
        <f t="shared" si="6"/>
        <v>Nithin Lal</v>
      </c>
      <c r="Y1858" s="15">
        <f t="shared" si="7"/>
        <v>45240</v>
      </c>
      <c r="Z1858" s="14" t="str">
        <f t="shared" si="8"/>
        <v>COD</v>
      </c>
      <c r="AA1858" s="14" t="str">
        <f t="shared" si="9"/>
        <v>Delivered</v>
      </c>
      <c r="AB1858" s="14" t="str">
        <f t="shared" ref="AB1858:AC1858" si="3720">trim(Q1858)</f>
        <v>Customer Service</v>
      </c>
      <c r="AC1858" s="14" t="str">
        <f t="shared" si="3720"/>
        <v>Seamless and easy</v>
      </c>
      <c r="AD1858" s="8"/>
    </row>
    <row r="1859">
      <c r="A1859" s="14" t="str">
        <f>IFERROR(__xludf.DUMMYFUNCTION("""COMPUTED_VALUE"""),"//ord_71837//Arvind Kulkarni//Juhu//Apple+1*Vivek Kumar/2/10/2023//Credit Card//Cancelled*Delayed Delivery:Heavy Traffic")</f>
        <v>//ord_71837//Arvind Kulkarni//Juhu//Apple+1*Vivek Kumar/2/10/2023//Credit Card//Cancelled*Delayed Delivery:Heavy Traffic</v>
      </c>
      <c r="B1859" s="14" t="str">
        <f>IFERROR(__xludf.DUMMYFUNCTION("split(A1859,""//"")"),"ord_71837")</f>
        <v>ord_71837</v>
      </c>
      <c r="C1859" s="14" t="str">
        <f>IFERROR(__xludf.DUMMYFUNCTION("""COMPUTED_VALUE"""),"Arvind Kulkarni")</f>
        <v>Arvind Kulkarni</v>
      </c>
      <c r="D1859" s="14" t="str">
        <f>IFERROR(__xludf.DUMMYFUNCTION("""COMPUTED_VALUE"""),"Juhu")</f>
        <v>Juhu</v>
      </c>
      <c r="E1859" s="14" t="str">
        <f>IFERROR(__xludf.DUMMYFUNCTION("""COMPUTED_VALUE"""),"Apple+1*Vivek Kumar")</f>
        <v>Apple+1*Vivek Kumar</v>
      </c>
      <c r="F1859" s="14">
        <f>IFERROR(__xludf.DUMMYFUNCTION("""COMPUTED_VALUE"""),2.0)</f>
        <v>2</v>
      </c>
      <c r="G1859" s="14">
        <f>IFERROR(__xludf.DUMMYFUNCTION("""COMPUTED_VALUE"""),10.0)</f>
        <v>10</v>
      </c>
      <c r="H1859" s="14">
        <f>IFERROR(__xludf.DUMMYFUNCTION("""COMPUTED_VALUE"""),2023.0)</f>
        <v>2023</v>
      </c>
      <c r="I1859" s="14" t="str">
        <f>IFERROR(__xludf.DUMMYFUNCTION("""COMPUTED_VALUE"""),"Credit Card")</f>
        <v>Credit Card</v>
      </c>
      <c r="J1859" s="14" t="str">
        <f>IFERROR(__xludf.DUMMYFUNCTION("""COMPUTED_VALUE"""),"Cancelled*Delayed Delivery:Heavy Traffic")</f>
        <v>Cancelled*Delayed Delivery:Heavy Traffic</v>
      </c>
      <c r="K1859" s="14" t="str">
        <f>IFERROR(__xludf.DUMMYFUNCTION("split(E1859,""+"")"),"Apple")</f>
        <v>Apple</v>
      </c>
      <c r="L1859" s="14" t="str">
        <f>IFERROR(__xludf.DUMMYFUNCTION("""COMPUTED_VALUE"""),"1*Vivek Kumar")</f>
        <v>1*Vivek Kumar</v>
      </c>
      <c r="M1859" s="14">
        <f>IFERROR(__xludf.DUMMYFUNCTION("SPLIT(L1859,""*"")"),1.0)</f>
        <v>1</v>
      </c>
      <c r="N1859" s="14" t="str">
        <f>IFERROR(__xludf.DUMMYFUNCTION("""COMPUTED_VALUE"""),"Vivek Kumar")</f>
        <v>Vivek Kumar</v>
      </c>
      <c r="O1859" s="14" t="str">
        <f>IFERROR(__xludf.DUMMYFUNCTION("split(J1859,""*"")"),"Cancelled")</f>
        <v>Cancelled</v>
      </c>
      <c r="P1859" s="14" t="str">
        <f>IFERROR(__xludf.DUMMYFUNCTION("""COMPUTED_VALUE"""),"Delayed Delivery:Heavy Traffic")</f>
        <v>Delayed Delivery:Heavy Traffic</v>
      </c>
      <c r="Q1859" s="14" t="str">
        <f>IFERROR(__xludf.DUMMYFUNCTION("split(P1859,"":"")"),"Delayed Delivery")</f>
        <v>Delayed Delivery</v>
      </c>
      <c r="R1859" s="14" t="str">
        <f>IFERROR(__xludf.DUMMYFUNCTION("""COMPUTED_VALUE"""),"Heavy Traffic")</f>
        <v>Heavy Traffic</v>
      </c>
      <c r="S1859" s="14" t="str">
        <f t="shared" ref="S1859:U1859" si="3721">trim(B1859)</f>
        <v>ord_71837</v>
      </c>
      <c r="T1859" s="14" t="str">
        <f t="shared" si="3721"/>
        <v>Arvind Kulkarni</v>
      </c>
      <c r="U1859" s="14" t="str">
        <f t="shared" si="3721"/>
        <v>Juhu</v>
      </c>
      <c r="V1859" s="14" t="str">
        <f t="shared" si="4"/>
        <v>Apple</v>
      </c>
      <c r="W1859" s="14">
        <f t="shared" si="5"/>
        <v>1</v>
      </c>
      <c r="X1859" s="14" t="str">
        <f t="shared" si="6"/>
        <v>Vivek Kumar</v>
      </c>
      <c r="Y1859" s="15">
        <f t="shared" si="7"/>
        <v>44967</v>
      </c>
      <c r="Z1859" s="14" t="str">
        <f t="shared" si="8"/>
        <v>Credit Card</v>
      </c>
      <c r="AA1859" s="14" t="str">
        <f t="shared" si="9"/>
        <v>Cancelled</v>
      </c>
      <c r="AB1859" s="14" t="str">
        <f t="shared" ref="AB1859:AC1859" si="3722">trim(Q1859)</f>
        <v>Delayed Delivery</v>
      </c>
      <c r="AC1859" s="14" t="str">
        <f t="shared" si="3722"/>
        <v>Heavy Traffic</v>
      </c>
      <c r="AD1859" s="8"/>
    </row>
    <row r="1860">
      <c r="A1860" s="14" t="str">
        <f>IFERROR(__xludf.DUMMYFUNCTION("""COMPUTED_VALUE"""),"//ord_71838//Pranav Joshi//Andheri//Papaya+1*Ramesh S/11/24/2023//UPI//Delivered*Delivery Experience: Quick and professional")</f>
        <v>//ord_71838//Pranav Joshi//Andheri//Papaya+1*Ramesh S/11/24/2023//UPI//Delivered*Delivery Experience: Quick and professional</v>
      </c>
      <c r="B1860" s="14" t="str">
        <f>IFERROR(__xludf.DUMMYFUNCTION("split(A1860,""//"")"),"ord_71838")</f>
        <v>ord_71838</v>
      </c>
      <c r="C1860" s="14" t="str">
        <f>IFERROR(__xludf.DUMMYFUNCTION("""COMPUTED_VALUE"""),"Pranav Joshi")</f>
        <v>Pranav Joshi</v>
      </c>
      <c r="D1860" s="14" t="str">
        <f>IFERROR(__xludf.DUMMYFUNCTION("""COMPUTED_VALUE"""),"Andheri")</f>
        <v>Andheri</v>
      </c>
      <c r="E1860" s="14" t="str">
        <f>IFERROR(__xludf.DUMMYFUNCTION("""COMPUTED_VALUE"""),"Papaya+1*Ramesh S")</f>
        <v>Papaya+1*Ramesh S</v>
      </c>
      <c r="F1860" s="14">
        <f>IFERROR(__xludf.DUMMYFUNCTION("""COMPUTED_VALUE"""),11.0)</f>
        <v>11</v>
      </c>
      <c r="G1860" s="14">
        <f>IFERROR(__xludf.DUMMYFUNCTION("""COMPUTED_VALUE"""),24.0)</f>
        <v>24</v>
      </c>
      <c r="H1860" s="14">
        <f>IFERROR(__xludf.DUMMYFUNCTION("""COMPUTED_VALUE"""),2023.0)</f>
        <v>2023</v>
      </c>
      <c r="I1860" s="14" t="str">
        <f>IFERROR(__xludf.DUMMYFUNCTION("""COMPUTED_VALUE"""),"UPI")</f>
        <v>UPI</v>
      </c>
      <c r="J1860" s="14" t="str">
        <f>IFERROR(__xludf.DUMMYFUNCTION("""COMPUTED_VALUE"""),"Delivered*Delivery Experience: Quick and professional")</f>
        <v>Delivered*Delivery Experience: Quick and professional</v>
      </c>
      <c r="K1860" s="14" t="str">
        <f>IFERROR(__xludf.DUMMYFUNCTION("split(E1860,""+"")"),"Papaya")</f>
        <v>Papaya</v>
      </c>
      <c r="L1860" s="14" t="str">
        <f>IFERROR(__xludf.DUMMYFUNCTION("""COMPUTED_VALUE"""),"1*Ramesh S")</f>
        <v>1*Ramesh S</v>
      </c>
      <c r="M1860" s="14">
        <f>IFERROR(__xludf.DUMMYFUNCTION("SPLIT(L1860,""*"")"),1.0)</f>
        <v>1</v>
      </c>
      <c r="N1860" s="14" t="str">
        <f>IFERROR(__xludf.DUMMYFUNCTION("""COMPUTED_VALUE"""),"Ramesh S")</f>
        <v>Ramesh S</v>
      </c>
      <c r="O1860" s="14" t="str">
        <f>IFERROR(__xludf.DUMMYFUNCTION("split(J1860,""*"")"),"Delivered")</f>
        <v>Delivered</v>
      </c>
      <c r="P1860" s="14" t="str">
        <f>IFERROR(__xludf.DUMMYFUNCTION("""COMPUTED_VALUE"""),"Delivery Experience: Quick and professional")</f>
        <v>Delivery Experience: Quick and professional</v>
      </c>
      <c r="Q1860" s="14" t="str">
        <f>IFERROR(__xludf.DUMMYFUNCTION("split(P1860,"":"")"),"Delivery Experience")</f>
        <v>Delivery Experience</v>
      </c>
      <c r="R1860" s="14" t="str">
        <f>IFERROR(__xludf.DUMMYFUNCTION("""COMPUTED_VALUE""")," Quick and professional")</f>
        <v> Quick and professional</v>
      </c>
      <c r="S1860" s="14" t="str">
        <f t="shared" ref="S1860:U1860" si="3723">trim(B1860)</f>
        <v>ord_71838</v>
      </c>
      <c r="T1860" s="14" t="str">
        <f t="shared" si="3723"/>
        <v>Pranav Joshi</v>
      </c>
      <c r="U1860" s="14" t="str">
        <f t="shared" si="3723"/>
        <v>Andheri</v>
      </c>
      <c r="V1860" s="14" t="str">
        <f t="shared" si="4"/>
        <v>Papaya</v>
      </c>
      <c r="W1860" s="14">
        <f t="shared" si="5"/>
        <v>1</v>
      </c>
      <c r="X1860" s="14" t="str">
        <f t="shared" si="6"/>
        <v>Ramesh S</v>
      </c>
      <c r="Y1860" s="15">
        <f t="shared" si="7"/>
        <v>45254</v>
      </c>
      <c r="Z1860" s="14" t="str">
        <f t="shared" si="8"/>
        <v>UPI</v>
      </c>
      <c r="AA1860" s="14" t="str">
        <f t="shared" si="9"/>
        <v>Delivered</v>
      </c>
      <c r="AB1860" s="14" t="str">
        <f t="shared" ref="AB1860:AC1860" si="3724">trim(Q1860)</f>
        <v>Delivery Experience</v>
      </c>
      <c r="AC1860" s="14" t="str">
        <f t="shared" si="3724"/>
        <v>Quick and professional</v>
      </c>
      <c r="AD1860" s="8"/>
    </row>
    <row r="1861">
      <c r="A1861" s="14" t="str">
        <f>IFERROR(__xludf.DUMMYFUNCTION("""COMPUTED_VALUE"""),"//ord_71839//Omkar Mishra//Powai//Papaya+1*Sita T/5/7/2023//Online Payment//Delivered*Convenience: Easy tracking")</f>
        <v>//ord_71839//Omkar Mishra//Powai//Papaya+1*Sita T/5/7/2023//Online Payment//Delivered*Convenience: Easy tracking</v>
      </c>
      <c r="B1861" s="14" t="str">
        <f>IFERROR(__xludf.DUMMYFUNCTION("split(A1861,""//"")"),"ord_71839")</f>
        <v>ord_71839</v>
      </c>
      <c r="C1861" s="14" t="str">
        <f>IFERROR(__xludf.DUMMYFUNCTION("""COMPUTED_VALUE"""),"Omkar Mishra")</f>
        <v>Omkar Mishra</v>
      </c>
      <c r="D1861" s="14" t="str">
        <f>IFERROR(__xludf.DUMMYFUNCTION("""COMPUTED_VALUE"""),"Powai")</f>
        <v>Powai</v>
      </c>
      <c r="E1861" s="14" t="str">
        <f>IFERROR(__xludf.DUMMYFUNCTION("""COMPUTED_VALUE"""),"Papaya+1*Sita T")</f>
        <v>Papaya+1*Sita T</v>
      </c>
      <c r="F1861" s="14">
        <f>IFERROR(__xludf.DUMMYFUNCTION("""COMPUTED_VALUE"""),5.0)</f>
        <v>5</v>
      </c>
      <c r="G1861" s="14">
        <f>IFERROR(__xludf.DUMMYFUNCTION("""COMPUTED_VALUE"""),7.0)</f>
        <v>7</v>
      </c>
      <c r="H1861" s="14">
        <f>IFERROR(__xludf.DUMMYFUNCTION("""COMPUTED_VALUE"""),2023.0)</f>
        <v>2023</v>
      </c>
      <c r="I1861" s="14" t="str">
        <f>IFERROR(__xludf.DUMMYFUNCTION("""COMPUTED_VALUE"""),"Online Payment")</f>
        <v>Online Payment</v>
      </c>
      <c r="J1861" s="14" t="str">
        <f>IFERROR(__xludf.DUMMYFUNCTION("""COMPUTED_VALUE"""),"Delivered*Convenience: Easy tracking")</f>
        <v>Delivered*Convenience: Easy tracking</v>
      </c>
      <c r="K1861" s="14" t="str">
        <f>IFERROR(__xludf.DUMMYFUNCTION("split(E1861,""+"")"),"Papaya")</f>
        <v>Papaya</v>
      </c>
      <c r="L1861" s="14" t="str">
        <f>IFERROR(__xludf.DUMMYFUNCTION("""COMPUTED_VALUE"""),"1*Sita T")</f>
        <v>1*Sita T</v>
      </c>
      <c r="M1861" s="14">
        <f>IFERROR(__xludf.DUMMYFUNCTION("SPLIT(L1861,""*"")"),1.0)</f>
        <v>1</v>
      </c>
      <c r="N1861" s="14" t="str">
        <f>IFERROR(__xludf.DUMMYFUNCTION("""COMPUTED_VALUE"""),"Sita T")</f>
        <v>Sita T</v>
      </c>
      <c r="O1861" s="14" t="str">
        <f>IFERROR(__xludf.DUMMYFUNCTION("split(J1861,""*"")"),"Delivered")</f>
        <v>Delivered</v>
      </c>
      <c r="P1861" s="14" t="str">
        <f>IFERROR(__xludf.DUMMYFUNCTION("""COMPUTED_VALUE"""),"Convenience: Easy tracking")</f>
        <v>Convenience: Easy tracking</v>
      </c>
      <c r="Q1861" s="14" t="str">
        <f>IFERROR(__xludf.DUMMYFUNCTION("split(P1861,"":"")"),"Convenience")</f>
        <v>Convenience</v>
      </c>
      <c r="R1861" s="14" t="str">
        <f>IFERROR(__xludf.DUMMYFUNCTION("""COMPUTED_VALUE""")," Easy tracking")</f>
        <v> Easy tracking</v>
      </c>
      <c r="S1861" s="14" t="str">
        <f t="shared" ref="S1861:U1861" si="3725">trim(B1861)</f>
        <v>ord_71839</v>
      </c>
      <c r="T1861" s="14" t="str">
        <f t="shared" si="3725"/>
        <v>Omkar Mishra</v>
      </c>
      <c r="U1861" s="14" t="str">
        <f t="shared" si="3725"/>
        <v>Powai</v>
      </c>
      <c r="V1861" s="14" t="str">
        <f t="shared" si="4"/>
        <v>Papaya</v>
      </c>
      <c r="W1861" s="14">
        <f t="shared" si="5"/>
        <v>1</v>
      </c>
      <c r="X1861" s="14" t="str">
        <f t="shared" si="6"/>
        <v>Sita T</v>
      </c>
      <c r="Y1861" s="15">
        <f t="shared" si="7"/>
        <v>45053</v>
      </c>
      <c r="Z1861" s="14" t="str">
        <f t="shared" si="8"/>
        <v>Online Payment</v>
      </c>
      <c r="AA1861" s="14" t="str">
        <f t="shared" si="9"/>
        <v>Delivered</v>
      </c>
      <c r="AB1861" s="14" t="str">
        <f t="shared" ref="AB1861:AC1861" si="3726">trim(Q1861)</f>
        <v>Convenience</v>
      </c>
      <c r="AC1861" s="14" t="str">
        <f t="shared" si="3726"/>
        <v>Easy tracking</v>
      </c>
      <c r="AD1861" s="8"/>
    </row>
    <row r="1862">
      <c r="A1862" s="14" t="str">
        <f>IFERROR(__xludf.DUMMYFUNCTION("""COMPUTED_VALUE"""),"//ord_71840//Omkar Mishra//Powai//Chicken Puff+1*Venu R/2/26/2023//Credit Card//Delivered*Overall Satisfaction: Great service will order again")</f>
        <v>//ord_71840//Omkar Mishra//Powai//Chicken Puff+1*Venu R/2/26/2023//Credit Card//Delivered*Overall Satisfaction: Great service will order again</v>
      </c>
      <c r="B1862" s="14" t="str">
        <f>IFERROR(__xludf.DUMMYFUNCTION("split(A1862,""//"")"),"ord_71840")</f>
        <v>ord_71840</v>
      </c>
      <c r="C1862" s="14" t="str">
        <f>IFERROR(__xludf.DUMMYFUNCTION("""COMPUTED_VALUE"""),"Omkar Mishra")</f>
        <v>Omkar Mishra</v>
      </c>
      <c r="D1862" s="14" t="str">
        <f>IFERROR(__xludf.DUMMYFUNCTION("""COMPUTED_VALUE"""),"Powai")</f>
        <v>Powai</v>
      </c>
      <c r="E1862" s="14" t="str">
        <f>IFERROR(__xludf.DUMMYFUNCTION("""COMPUTED_VALUE"""),"Chicken Puff+1*Venu R")</f>
        <v>Chicken Puff+1*Venu R</v>
      </c>
      <c r="F1862" s="14">
        <f>IFERROR(__xludf.DUMMYFUNCTION("""COMPUTED_VALUE"""),2.0)</f>
        <v>2</v>
      </c>
      <c r="G1862" s="14">
        <f>IFERROR(__xludf.DUMMYFUNCTION("""COMPUTED_VALUE"""),26.0)</f>
        <v>26</v>
      </c>
      <c r="H1862" s="14">
        <f>IFERROR(__xludf.DUMMYFUNCTION("""COMPUTED_VALUE"""),2023.0)</f>
        <v>2023</v>
      </c>
      <c r="I1862" s="14" t="str">
        <f>IFERROR(__xludf.DUMMYFUNCTION("""COMPUTED_VALUE"""),"Credit Card")</f>
        <v>Credit Card</v>
      </c>
      <c r="J1862" s="14" t="str">
        <f>IFERROR(__xludf.DUMMYFUNCTION("""COMPUTED_VALUE"""),"Delivered*Overall Satisfaction: Great service will order again")</f>
        <v>Delivered*Overall Satisfaction: Great service will order again</v>
      </c>
      <c r="K1862" s="14" t="str">
        <f>IFERROR(__xludf.DUMMYFUNCTION("split(E1862,""+"")"),"Chicken Puff")</f>
        <v>Chicken Puff</v>
      </c>
      <c r="L1862" s="14" t="str">
        <f>IFERROR(__xludf.DUMMYFUNCTION("""COMPUTED_VALUE"""),"1*Venu R")</f>
        <v>1*Venu R</v>
      </c>
      <c r="M1862" s="14">
        <f>IFERROR(__xludf.DUMMYFUNCTION("SPLIT(L1862,""*"")"),1.0)</f>
        <v>1</v>
      </c>
      <c r="N1862" s="14" t="str">
        <f>IFERROR(__xludf.DUMMYFUNCTION("""COMPUTED_VALUE"""),"Venu R")</f>
        <v>Venu R</v>
      </c>
      <c r="O1862" s="14" t="str">
        <f>IFERROR(__xludf.DUMMYFUNCTION("split(J1862,""*"")"),"Delivered")</f>
        <v>Delivered</v>
      </c>
      <c r="P1862" s="14" t="str">
        <f>IFERROR(__xludf.DUMMYFUNCTION("""COMPUTED_VALUE"""),"Overall Satisfaction: Great service will order again")</f>
        <v>Overall Satisfaction: Great service will order again</v>
      </c>
      <c r="Q1862" s="14" t="str">
        <f>IFERROR(__xludf.DUMMYFUNCTION("split(P1862,"":"")"),"Overall Satisfaction")</f>
        <v>Overall Satisfaction</v>
      </c>
      <c r="R1862" s="14" t="str">
        <f>IFERROR(__xludf.DUMMYFUNCTION("""COMPUTED_VALUE""")," Great service will order again")</f>
        <v> Great service will order again</v>
      </c>
      <c r="S1862" s="14" t="str">
        <f t="shared" ref="S1862:U1862" si="3727">trim(B1862)</f>
        <v>ord_71840</v>
      </c>
      <c r="T1862" s="14" t="str">
        <f t="shared" si="3727"/>
        <v>Omkar Mishra</v>
      </c>
      <c r="U1862" s="14" t="str">
        <f t="shared" si="3727"/>
        <v>Powai</v>
      </c>
      <c r="V1862" s="14" t="str">
        <f t="shared" si="4"/>
        <v>Chicken Puff</v>
      </c>
      <c r="W1862" s="14">
        <f t="shared" si="5"/>
        <v>1</v>
      </c>
      <c r="X1862" s="14" t="str">
        <f t="shared" si="6"/>
        <v>Venu R</v>
      </c>
      <c r="Y1862" s="15">
        <f t="shared" si="7"/>
        <v>44983</v>
      </c>
      <c r="Z1862" s="14" t="str">
        <f t="shared" si="8"/>
        <v>Credit Card</v>
      </c>
      <c r="AA1862" s="14" t="str">
        <f t="shared" si="9"/>
        <v>Delivered</v>
      </c>
      <c r="AB1862" s="14" t="str">
        <f t="shared" ref="AB1862:AC1862" si="3728">trim(Q1862)</f>
        <v>Overall Satisfaction</v>
      </c>
      <c r="AC1862" s="14" t="str">
        <f t="shared" si="3728"/>
        <v>Great service will order again</v>
      </c>
      <c r="AD1862" s="8"/>
    </row>
    <row r="1863">
      <c r="A1863" s="14" t="str">
        <f>IFERROR(__xludf.DUMMYFUNCTION("""COMPUTED_VALUE"""),"//ord_71841//Dev Chauhan//Bandra//Popcorn+5*Venu R/5/13/2023//UPI//Delivered*On-time Delivery: Delivered on time")</f>
        <v>//ord_71841//Dev Chauhan//Bandra//Popcorn+5*Venu R/5/13/2023//UPI//Delivered*On-time Delivery: Delivered on time</v>
      </c>
      <c r="B1863" s="14" t="str">
        <f>IFERROR(__xludf.DUMMYFUNCTION("split(A1863,""//"")"),"ord_71841")</f>
        <v>ord_71841</v>
      </c>
      <c r="C1863" s="14" t="str">
        <f>IFERROR(__xludf.DUMMYFUNCTION("""COMPUTED_VALUE"""),"Dev Chauhan")</f>
        <v>Dev Chauhan</v>
      </c>
      <c r="D1863" s="14" t="str">
        <f>IFERROR(__xludf.DUMMYFUNCTION("""COMPUTED_VALUE"""),"Bandra")</f>
        <v>Bandra</v>
      </c>
      <c r="E1863" s="14" t="str">
        <f>IFERROR(__xludf.DUMMYFUNCTION("""COMPUTED_VALUE"""),"Popcorn+5*Venu R")</f>
        <v>Popcorn+5*Venu R</v>
      </c>
      <c r="F1863" s="14">
        <f>IFERROR(__xludf.DUMMYFUNCTION("""COMPUTED_VALUE"""),5.0)</f>
        <v>5</v>
      </c>
      <c r="G1863" s="14">
        <f>IFERROR(__xludf.DUMMYFUNCTION("""COMPUTED_VALUE"""),13.0)</f>
        <v>13</v>
      </c>
      <c r="H1863" s="14">
        <f>IFERROR(__xludf.DUMMYFUNCTION("""COMPUTED_VALUE"""),2023.0)</f>
        <v>2023</v>
      </c>
      <c r="I1863" s="14" t="str">
        <f>IFERROR(__xludf.DUMMYFUNCTION("""COMPUTED_VALUE"""),"UPI")</f>
        <v>UPI</v>
      </c>
      <c r="J1863" s="14" t="str">
        <f>IFERROR(__xludf.DUMMYFUNCTION("""COMPUTED_VALUE"""),"Delivered*On-time Delivery: Delivered on time")</f>
        <v>Delivered*On-time Delivery: Delivered on time</v>
      </c>
      <c r="K1863" s="14" t="str">
        <f>IFERROR(__xludf.DUMMYFUNCTION("split(E1863,""+"")"),"Popcorn")</f>
        <v>Popcorn</v>
      </c>
      <c r="L1863" s="14" t="str">
        <f>IFERROR(__xludf.DUMMYFUNCTION("""COMPUTED_VALUE"""),"5*Venu R")</f>
        <v>5*Venu R</v>
      </c>
      <c r="M1863" s="14">
        <f>IFERROR(__xludf.DUMMYFUNCTION("SPLIT(L1863,""*"")"),5.0)</f>
        <v>5</v>
      </c>
      <c r="N1863" s="14" t="str">
        <f>IFERROR(__xludf.DUMMYFUNCTION("""COMPUTED_VALUE"""),"Venu R")</f>
        <v>Venu R</v>
      </c>
      <c r="O1863" s="14" t="str">
        <f>IFERROR(__xludf.DUMMYFUNCTION("split(J1863,""*"")"),"Delivered")</f>
        <v>Delivered</v>
      </c>
      <c r="P1863" s="14" t="str">
        <f>IFERROR(__xludf.DUMMYFUNCTION("""COMPUTED_VALUE"""),"On-time Delivery: Delivered on time")</f>
        <v>On-time Delivery: Delivered on time</v>
      </c>
      <c r="Q1863" s="14" t="str">
        <f>IFERROR(__xludf.DUMMYFUNCTION("split(P1863,"":"")"),"On-time Delivery")</f>
        <v>On-time Delivery</v>
      </c>
      <c r="R1863" s="14" t="str">
        <f>IFERROR(__xludf.DUMMYFUNCTION("""COMPUTED_VALUE""")," Delivered on time")</f>
        <v> Delivered on time</v>
      </c>
      <c r="S1863" s="14" t="str">
        <f t="shared" ref="S1863:U1863" si="3729">trim(B1863)</f>
        <v>ord_71841</v>
      </c>
      <c r="T1863" s="14" t="str">
        <f t="shared" si="3729"/>
        <v>Dev Chauhan</v>
      </c>
      <c r="U1863" s="14" t="str">
        <f t="shared" si="3729"/>
        <v>Bandra</v>
      </c>
      <c r="V1863" s="14" t="str">
        <f t="shared" si="4"/>
        <v>Popcorn</v>
      </c>
      <c r="W1863" s="14">
        <f t="shared" si="5"/>
        <v>5</v>
      </c>
      <c r="X1863" s="14" t="str">
        <f t="shared" si="6"/>
        <v>Venu R</v>
      </c>
      <c r="Y1863" s="15">
        <f t="shared" si="7"/>
        <v>45059</v>
      </c>
      <c r="Z1863" s="14" t="str">
        <f t="shared" si="8"/>
        <v>UPI</v>
      </c>
      <c r="AA1863" s="14" t="str">
        <f t="shared" si="9"/>
        <v>Delivered</v>
      </c>
      <c r="AB1863" s="14" t="str">
        <f t="shared" ref="AB1863:AC1863" si="3730">trim(Q1863)</f>
        <v>On-time Delivery</v>
      </c>
      <c r="AC1863" s="14" t="str">
        <f t="shared" si="3730"/>
        <v>Delivered on time</v>
      </c>
      <c r="AD1863" s="8"/>
    </row>
    <row r="1864">
      <c r="A1864" s="14" t="str">
        <f>IFERROR(__xludf.DUMMYFUNCTION("""COMPUTED_VALUE"""),"//ord_71842//Siya Reddy//Juhu//Apple+1*Kiran Mehta/1/21/2023//Online Payment//Cancelled*Delayed Delivery:Bad Weather Conditions ")</f>
        <v>//ord_71842//Siya Reddy//Juhu//Apple+1*Kiran Mehta/1/21/2023//Online Payment//Cancelled*Delayed Delivery:Bad Weather Conditions </v>
      </c>
      <c r="B1864" s="14" t="str">
        <f>IFERROR(__xludf.DUMMYFUNCTION("split(A1864,""//"")"),"ord_71842")</f>
        <v>ord_71842</v>
      </c>
      <c r="C1864" s="14" t="str">
        <f>IFERROR(__xludf.DUMMYFUNCTION("""COMPUTED_VALUE"""),"Siya Reddy")</f>
        <v>Siya Reddy</v>
      </c>
      <c r="D1864" s="14" t="str">
        <f>IFERROR(__xludf.DUMMYFUNCTION("""COMPUTED_VALUE"""),"Juhu")</f>
        <v>Juhu</v>
      </c>
      <c r="E1864" s="14" t="str">
        <f>IFERROR(__xludf.DUMMYFUNCTION("""COMPUTED_VALUE"""),"Apple+1*Kiran Mehta")</f>
        <v>Apple+1*Kiran Mehta</v>
      </c>
      <c r="F1864" s="14">
        <f>IFERROR(__xludf.DUMMYFUNCTION("""COMPUTED_VALUE"""),1.0)</f>
        <v>1</v>
      </c>
      <c r="G1864" s="14">
        <f>IFERROR(__xludf.DUMMYFUNCTION("""COMPUTED_VALUE"""),21.0)</f>
        <v>21</v>
      </c>
      <c r="H1864" s="14">
        <f>IFERROR(__xludf.DUMMYFUNCTION("""COMPUTED_VALUE"""),2023.0)</f>
        <v>2023</v>
      </c>
      <c r="I1864" s="14" t="str">
        <f>IFERROR(__xludf.DUMMYFUNCTION("""COMPUTED_VALUE"""),"Online Payment")</f>
        <v>Online Payment</v>
      </c>
      <c r="J1864" s="14" t="str">
        <f>IFERROR(__xludf.DUMMYFUNCTION("""COMPUTED_VALUE"""),"Cancelled*Delayed Delivery:Bad Weather Conditions ")</f>
        <v>Cancelled*Delayed Delivery:Bad Weather Conditions </v>
      </c>
      <c r="K1864" s="14" t="str">
        <f>IFERROR(__xludf.DUMMYFUNCTION("split(E1864,""+"")"),"Apple")</f>
        <v>Apple</v>
      </c>
      <c r="L1864" s="14" t="str">
        <f>IFERROR(__xludf.DUMMYFUNCTION("""COMPUTED_VALUE"""),"1*Kiran Mehta")</f>
        <v>1*Kiran Mehta</v>
      </c>
      <c r="M1864" s="14">
        <f>IFERROR(__xludf.DUMMYFUNCTION("SPLIT(L1864,""*"")"),1.0)</f>
        <v>1</v>
      </c>
      <c r="N1864" s="14" t="str">
        <f>IFERROR(__xludf.DUMMYFUNCTION("""COMPUTED_VALUE"""),"Kiran Mehta")</f>
        <v>Kiran Mehta</v>
      </c>
      <c r="O1864" s="14" t="str">
        <f>IFERROR(__xludf.DUMMYFUNCTION("split(J1864,""*"")"),"Cancelled")</f>
        <v>Cancelled</v>
      </c>
      <c r="P1864" s="14" t="str">
        <f>IFERROR(__xludf.DUMMYFUNCTION("""COMPUTED_VALUE"""),"Delayed Delivery:Bad Weather Conditions ")</f>
        <v>Delayed Delivery:Bad Weather Conditions </v>
      </c>
      <c r="Q1864" s="14" t="str">
        <f>IFERROR(__xludf.DUMMYFUNCTION("split(P1864,"":"")"),"Delayed Delivery")</f>
        <v>Delayed Delivery</v>
      </c>
      <c r="R1864" s="14" t="str">
        <f>IFERROR(__xludf.DUMMYFUNCTION("""COMPUTED_VALUE"""),"Bad Weather Conditions ")</f>
        <v>Bad Weather Conditions </v>
      </c>
      <c r="S1864" s="14" t="str">
        <f t="shared" ref="S1864:U1864" si="3731">trim(B1864)</f>
        <v>ord_71842</v>
      </c>
      <c r="T1864" s="14" t="str">
        <f t="shared" si="3731"/>
        <v>Siya Reddy</v>
      </c>
      <c r="U1864" s="14" t="str">
        <f t="shared" si="3731"/>
        <v>Juhu</v>
      </c>
      <c r="V1864" s="14" t="str">
        <f t="shared" si="4"/>
        <v>Apple</v>
      </c>
      <c r="W1864" s="14">
        <f t="shared" si="5"/>
        <v>1</v>
      </c>
      <c r="X1864" s="14" t="str">
        <f t="shared" si="6"/>
        <v>Kiran Mehta</v>
      </c>
      <c r="Y1864" s="15">
        <f t="shared" si="7"/>
        <v>44947</v>
      </c>
      <c r="Z1864" s="14" t="str">
        <f t="shared" si="8"/>
        <v>Online Payment</v>
      </c>
      <c r="AA1864" s="14" t="str">
        <f t="shared" si="9"/>
        <v>Cancelled</v>
      </c>
      <c r="AB1864" s="14" t="str">
        <f t="shared" ref="AB1864:AC1864" si="3732">trim(Q1864)</f>
        <v>Delayed Delivery</v>
      </c>
      <c r="AC1864" s="14" t="str">
        <f t="shared" si="3732"/>
        <v>Bad Weather Conditions</v>
      </c>
      <c r="AD1864" s="8"/>
    </row>
    <row r="1865">
      <c r="A1865" s="14" t="str">
        <f>IFERROR(__xludf.DUMMYFUNCTION("""COMPUTED_VALUE"""),"//ord_71843//Aarav Mehta//Andheri//Cold Coffee+3*Ramesh S/9/3/2023//COD//Delivered*Quality of Items: Perfect condition")</f>
        <v>//ord_71843//Aarav Mehta//Andheri//Cold Coffee+3*Ramesh S/9/3/2023//COD//Delivered*Quality of Items: Perfect condition</v>
      </c>
      <c r="B1865" s="14" t="str">
        <f>IFERROR(__xludf.DUMMYFUNCTION("split(A1865,""//"")"),"ord_71843")</f>
        <v>ord_71843</v>
      </c>
      <c r="C1865" s="14" t="str">
        <f>IFERROR(__xludf.DUMMYFUNCTION("""COMPUTED_VALUE"""),"Aarav Mehta")</f>
        <v>Aarav Mehta</v>
      </c>
      <c r="D1865" s="14" t="str">
        <f>IFERROR(__xludf.DUMMYFUNCTION("""COMPUTED_VALUE"""),"Andheri")</f>
        <v>Andheri</v>
      </c>
      <c r="E1865" s="14" t="str">
        <f>IFERROR(__xludf.DUMMYFUNCTION("""COMPUTED_VALUE"""),"Cold Coffee+3*Ramesh S")</f>
        <v>Cold Coffee+3*Ramesh S</v>
      </c>
      <c r="F1865" s="14">
        <f>IFERROR(__xludf.DUMMYFUNCTION("""COMPUTED_VALUE"""),9.0)</f>
        <v>9</v>
      </c>
      <c r="G1865" s="14">
        <f>IFERROR(__xludf.DUMMYFUNCTION("""COMPUTED_VALUE"""),3.0)</f>
        <v>3</v>
      </c>
      <c r="H1865" s="14">
        <f>IFERROR(__xludf.DUMMYFUNCTION("""COMPUTED_VALUE"""),2023.0)</f>
        <v>2023</v>
      </c>
      <c r="I1865" s="14" t="str">
        <f>IFERROR(__xludf.DUMMYFUNCTION("""COMPUTED_VALUE"""),"COD")</f>
        <v>COD</v>
      </c>
      <c r="J1865" s="14" t="str">
        <f>IFERROR(__xludf.DUMMYFUNCTION("""COMPUTED_VALUE"""),"Delivered*Quality of Items: Perfect condition")</f>
        <v>Delivered*Quality of Items: Perfect condition</v>
      </c>
      <c r="K1865" s="14" t="str">
        <f>IFERROR(__xludf.DUMMYFUNCTION("split(E1865,""+"")"),"Cold Coffee")</f>
        <v>Cold Coffee</v>
      </c>
      <c r="L1865" s="14" t="str">
        <f>IFERROR(__xludf.DUMMYFUNCTION("""COMPUTED_VALUE"""),"3*Ramesh S")</f>
        <v>3*Ramesh S</v>
      </c>
      <c r="M1865" s="14">
        <f>IFERROR(__xludf.DUMMYFUNCTION("SPLIT(L1865,""*"")"),3.0)</f>
        <v>3</v>
      </c>
      <c r="N1865" s="14" t="str">
        <f>IFERROR(__xludf.DUMMYFUNCTION("""COMPUTED_VALUE"""),"Ramesh S")</f>
        <v>Ramesh S</v>
      </c>
      <c r="O1865" s="14" t="str">
        <f>IFERROR(__xludf.DUMMYFUNCTION("split(J1865,""*"")"),"Delivered")</f>
        <v>Delivered</v>
      </c>
      <c r="P1865" s="14" t="str">
        <f>IFERROR(__xludf.DUMMYFUNCTION("""COMPUTED_VALUE"""),"Quality of Items: Perfect condition")</f>
        <v>Quality of Items: Perfect condition</v>
      </c>
      <c r="Q1865" s="14" t="str">
        <f>IFERROR(__xludf.DUMMYFUNCTION("split(P1865,"":"")"),"Quality of Items")</f>
        <v>Quality of Items</v>
      </c>
      <c r="R1865" s="14" t="str">
        <f>IFERROR(__xludf.DUMMYFUNCTION("""COMPUTED_VALUE""")," Perfect condition")</f>
        <v> Perfect condition</v>
      </c>
      <c r="S1865" s="14" t="str">
        <f t="shared" ref="S1865:U1865" si="3733">trim(B1865)</f>
        <v>ord_71843</v>
      </c>
      <c r="T1865" s="14" t="str">
        <f t="shared" si="3733"/>
        <v>Aarav Mehta</v>
      </c>
      <c r="U1865" s="14" t="str">
        <f t="shared" si="3733"/>
        <v>Andheri</v>
      </c>
      <c r="V1865" s="14" t="str">
        <f t="shared" si="4"/>
        <v>Cold Coffee</v>
      </c>
      <c r="W1865" s="14">
        <f t="shared" si="5"/>
        <v>3</v>
      </c>
      <c r="X1865" s="14" t="str">
        <f t="shared" si="6"/>
        <v>Ramesh S</v>
      </c>
      <c r="Y1865" s="15">
        <f t="shared" si="7"/>
        <v>45172</v>
      </c>
      <c r="Z1865" s="14" t="str">
        <f t="shared" si="8"/>
        <v>COD</v>
      </c>
      <c r="AA1865" s="14" t="str">
        <f t="shared" si="9"/>
        <v>Delivered</v>
      </c>
      <c r="AB1865" s="14" t="str">
        <f t="shared" ref="AB1865:AC1865" si="3734">trim(Q1865)</f>
        <v>Quality of Items</v>
      </c>
      <c r="AC1865" s="14" t="str">
        <f t="shared" si="3734"/>
        <v>Perfect condition</v>
      </c>
      <c r="AD1865" s="8"/>
    </row>
    <row r="1866">
      <c r="A1866" s="14" t="str">
        <f>IFERROR(__xludf.DUMMYFUNCTION("""COMPUTED_VALUE"""),"//ord_71844//Pallavi Ghosh//Bandra//Guava+2*Sita T/11/30/2023//Online Payment//Delivered*On-time Delivery: Delivered on time")</f>
        <v>//ord_71844//Pallavi Ghosh//Bandra//Guava+2*Sita T/11/30/2023//Online Payment//Delivered*On-time Delivery: Delivered on time</v>
      </c>
      <c r="B1866" s="14" t="str">
        <f>IFERROR(__xludf.DUMMYFUNCTION("split(A1866,""//"")"),"ord_71844")</f>
        <v>ord_71844</v>
      </c>
      <c r="C1866" s="14" t="str">
        <f>IFERROR(__xludf.DUMMYFUNCTION("""COMPUTED_VALUE"""),"Pallavi Ghosh")</f>
        <v>Pallavi Ghosh</v>
      </c>
      <c r="D1866" s="14" t="str">
        <f>IFERROR(__xludf.DUMMYFUNCTION("""COMPUTED_VALUE"""),"Bandra")</f>
        <v>Bandra</v>
      </c>
      <c r="E1866" s="14" t="str">
        <f>IFERROR(__xludf.DUMMYFUNCTION("""COMPUTED_VALUE"""),"Guava+2*Sita T")</f>
        <v>Guava+2*Sita T</v>
      </c>
      <c r="F1866" s="14">
        <f>IFERROR(__xludf.DUMMYFUNCTION("""COMPUTED_VALUE"""),11.0)</f>
        <v>11</v>
      </c>
      <c r="G1866" s="14">
        <f>IFERROR(__xludf.DUMMYFUNCTION("""COMPUTED_VALUE"""),30.0)</f>
        <v>30</v>
      </c>
      <c r="H1866" s="14">
        <f>IFERROR(__xludf.DUMMYFUNCTION("""COMPUTED_VALUE"""),2023.0)</f>
        <v>2023</v>
      </c>
      <c r="I1866" s="14" t="str">
        <f>IFERROR(__xludf.DUMMYFUNCTION("""COMPUTED_VALUE"""),"Online Payment")</f>
        <v>Online Payment</v>
      </c>
      <c r="J1866" s="14" t="str">
        <f>IFERROR(__xludf.DUMMYFUNCTION("""COMPUTED_VALUE"""),"Delivered*On-time Delivery: Delivered on time")</f>
        <v>Delivered*On-time Delivery: Delivered on time</v>
      </c>
      <c r="K1866" s="14" t="str">
        <f>IFERROR(__xludf.DUMMYFUNCTION("split(E1866,""+"")"),"Guava")</f>
        <v>Guava</v>
      </c>
      <c r="L1866" s="14" t="str">
        <f>IFERROR(__xludf.DUMMYFUNCTION("""COMPUTED_VALUE"""),"2*Sita T")</f>
        <v>2*Sita T</v>
      </c>
      <c r="M1866" s="14">
        <f>IFERROR(__xludf.DUMMYFUNCTION("SPLIT(L1866,""*"")"),2.0)</f>
        <v>2</v>
      </c>
      <c r="N1866" s="14" t="str">
        <f>IFERROR(__xludf.DUMMYFUNCTION("""COMPUTED_VALUE"""),"Sita T")</f>
        <v>Sita T</v>
      </c>
      <c r="O1866" s="14" t="str">
        <f>IFERROR(__xludf.DUMMYFUNCTION("split(J1866,""*"")"),"Delivered")</f>
        <v>Delivered</v>
      </c>
      <c r="P1866" s="14" t="str">
        <f>IFERROR(__xludf.DUMMYFUNCTION("""COMPUTED_VALUE"""),"On-time Delivery: Delivered on time")</f>
        <v>On-time Delivery: Delivered on time</v>
      </c>
      <c r="Q1866" s="14" t="str">
        <f>IFERROR(__xludf.DUMMYFUNCTION("split(P1866,"":"")"),"On-time Delivery")</f>
        <v>On-time Delivery</v>
      </c>
      <c r="R1866" s="14" t="str">
        <f>IFERROR(__xludf.DUMMYFUNCTION("""COMPUTED_VALUE""")," Delivered on time")</f>
        <v> Delivered on time</v>
      </c>
      <c r="S1866" s="14" t="str">
        <f t="shared" ref="S1866:U1866" si="3735">trim(B1866)</f>
        <v>ord_71844</v>
      </c>
      <c r="T1866" s="14" t="str">
        <f t="shared" si="3735"/>
        <v>Pallavi Ghosh</v>
      </c>
      <c r="U1866" s="14" t="str">
        <f t="shared" si="3735"/>
        <v>Bandra</v>
      </c>
      <c r="V1866" s="14" t="str">
        <f t="shared" si="4"/>
        <v>Guava</v>
      </c>
      <c r="W1866" s="14">
        <f t="shared" si="5"/>
        <v>2</v>
      </c>
      <c r="X1866" s="14" t="str">
        <f t="shared" si="6"/>
        <v>Sita T</v>
      </c>
      <c r="Y1866" s="15">
        <f t="shared" si="7"/>
        <v>45260</v>
      </c>
      <c r="Z1866" s="14" t="str">
        <f t="shared" si="8"/>
        <v>Online Payment</v>
      </c>
      <c r="AA1866" s="14" t="str">
        <f t="shared" si="9"/>
        <v>Delivered</v>
      </c>
      <c r="AB1866" s="14" t="str">
        <f t="shared" ref="AB1866:AC1866" si="3736">trim(Q1866)</f>
        <v>On-time Delivery</v>
      </c>
      <c r="AC1866" s="14" t="str">
        <f t="shared" si="3736"/>
        <v>Delivered on time</v>
      </c>
      <c r="AD1866" s="8"/>
    </row>
    <row r="1867">
      <c r="A1867" s="14" t="str">
        <f>IFERROR(__xludf.DUMMYFUNCTION("""COMPUTED_VALUE"""),"//ord_71845//Aditya Rao//Lower Parel//Banana+2*Vivek Kumar/4/14/2023//COD//Delivered*Quality of Items: Perfect condition")</f>
        <v>//ord_71845//Aditya Rao//Lower Parel//Banana+2*Vivek Kumar/4/14/2023//COD//Delivered*Quality of Items: Perfect condition</v>
      </c>
      <c r="B1867" s="14" t="str">
        <f>IFERROR(__xludf.DUMMYFUNCTION("split(A1867,""//"")"),"ord_71845")</f>
        <v>ord_71845</v>
      </c>
      <c r="C1867" s="14" t="str">
        <f>IFERROR(__xludf.DUMMYFUNCTION("""COMPUTED_VALUE"""),"Aditya Rao")</f>
        <v>Aditya Rao</v>
      </c>
      <c r="D1867" s="14" t="str">
        <f>IFERROR(__xludf.DUMMYFUNCTION("""COMPUTED_VALUE"""),"Lower Parel")</f>
        <v>Lower Parel</v>
      </c>
      <c r="E1867" s="14" t="str">
        <f>IFERROR(__xludf.DUMMYFUNCTION("""COMPUTED_VALUE"""),"Banana+2*Vivek Kumar")</f>
        <v>Banana+2*Vivek Kumar</v>
      </c>
      <c r="F1867" s="14">
        <f>IFERROR(__xludf.DUMMYFUNCTION("""COMPUTED_VALUE"""),4.0)</f>
        <v>4</v>
      </c>
      <c r="G1867" s="14">
        <f>IFERROR(__xludf.DUMMYFUNCTION("""COMPUTED_VALUE"""),14.0)</f>
        <v>14</v>
      </c>
      <c r="H1867" s="14">
        <f>IFERROR(__xludf.DUMMYFUNCTION("""COMPUTED_VALUE"""),2023.0)</f>
        <v>2023</v>
      </c>
      <c r="I1867" s="14" t="str">
        <f>IFERROR(__xludf.DUMMYFUNCTION("""COMPUTED_VALUE"""),"COD")</f>
        <v>COD</v>
      </c>
      <c r="J1867" s="14" t="str">
        <f>IFERROR(__xludf.DUMMYFUNCTION("""COMPUTED_VALUE"""),"Delivered*Quality of Items: Perfect condition")</f>
        <v>Delivered*Quality of Items: Perfect condition</v>
      </c>
      <c r="K1867" s="14" t="str">
        <f>IFERROR(__xludf.DUMMYFUNCTION("split(E1867,""+"")"),"Banana")</f>
        <v>Banana</v>
      </c>
      <c r="L1867" s="14" t="str">
        <f>IFERROR(__xludf.DUMMYFUNCTION("""COMPUTED_VALUE"""),"2*Vivek Kumar")</f>
        <v>2*Vivek Kumar</v>
      </c>
      <c r="M1867" s="14">
        <f>IFERROR(__xludf.DUMMYFUNCTION("SPLIT(L1867,""*"")"),2.0)</f>
        <v>2</v>
      </c>
      <c r="N1867" s="14" t="str">
        <f>IFERROR(__xludf.DUMMYFUNCTION("""COMPUTED_VALUE"""),"Vivek Kumar")</f>
        <v>Vivek Kumar</v>
      </c>
      <c r="O1867" s="14" t="str">
        <f>IFERROR(__xludf.DUMMYFUNCTION("split(J1867,""*"")"),"Delivered")</f>
        <v>Delivered</v>
      </c>
      <c r="P1867" s="14" t="str">
        <f>IFERROR(__xludf.DUMMYFUNCTION("""COMPUTED_VALUE"""),"Quality of Items: Perfect condition")</f>
        <v>Quality of Items: Perfect condition</v>
      </c>
      <c r="Q1867" s="14" t="str">
        <f>IFERROR(__xludf.DUMMYFUNCTION("split(P1867,"":"")"),"Quality of Items")</f>
        <v>Quality of Items</v>
      </c>
      <c r="R1867" s="14" t="str">
        <f>IFERROR(__xludf.DUMMYFUNCTION("""COMPUTED_VALUE""")," Perfect condition")</f>
        <v> Perfect condition</v>
      </c>
      <c r="S1867" s="14" t="str">
        <f t="shared" ref="S1867:U1867" si="3737">trim(B1867)</f>
        <v>ord_71845</v>
      </c>
      <c r="T1867" s="14" t="str">
        <f t="shared" si="3737"/>
        <v>Aditya Rao</v>
      </c>
      <c r="U1867" s="14" t="str">
        <f t="shared" si="3737"/>
        <v>Lower Parel</v>
      </c>
      <c r="V1867" s="14" t="str">
        <f t="shared" si="4"/>
        <v>Banana</v>
      </c>
      <c r="W1867" s="14">
        <f t="shared" si="5"/>
        <v>2</v>
      </c>
      <c r="X1867" s="14" t="str">
        <f t="shared" si="6"/>
        <v>Vivek Kumar</v>
      </c>
      <c r="Y1867" s="15">
        <f t="shared" si="7"/>
        <v>45030</v>
      </c>
      <c r="Z1867" s="14" t="str">
        <f t="shared" si="8"/>
        <v>COD</v>
      </c>
      <c r="AA1867" s="14" t="str">
        <f t="shared" si="9"/>
        <v>Delivered</v>
      </c>
      <c r="AB1867" s="14" t="str">
        <f t="shared" ref="AB1867:AC1867" si="3738">trim(Q1867)</f>
        <v>Quality of Items</v>
      </c>
      <c r="AC1867" s="14" t="str">
        <f t="shared" si="3738"/>
        <v>Perfect condition</v>
      </c>
      <c r="AD1867" s="8"/>
    </row>
    <row r="1868">
      <c r="A1868" s="14" t="str">
        <f>IFERROR(__xludf.DUMMYFUNCTION("""COMPUTED_VALUE"""),"//ord_71846//Omkar Mishra//Powai//Onion+1*Ram Gopal/10/20/2023//Online Payment//Delivered*Packaging: Secure and intact")</f>
        <v>//ord_71846//Omkar Mishra//Powai//Onion+1*Ram Gopal/10/20/2023//Online Payment//Delivered*Packaging: Secure and intact</v>
      </c>
      <c r="B1868" s="14" t="str">
        <f>IFERROR(__xludf.DUMMYFUNCTION("split(A1868,""//"")"),"ord_71846")</f>
        <v>ord_71846</v>
      </c>
      <c r="C1868" s="14" t="str">
        <f>IFERROR(__xludf.DUMMYFUNCTION("""COMPUTED_VALUE"""),"Omkar Mishra")</f>
        <v>Omkar Mishra</v>
      </c>
      <c r="D1868" s="14" t="str">
        <f>IFERROR(__xludf.DUMMYFUNCTION("""COMPUTED_VALUE"""),"Powai")</f>
        <v>Powai</v>
      </c>
      <c r="E1868" s="14" t="str">
        <f>IFERROR(__xludf.DUMMYFUNCTION("""COMPUTED_VALUE"""),"Onion+1*Ram Gopal")</f>
        <v>Onion+1*Ram Gopal</v>
      </c>
      <c r="F1868" s="14">
        <f>IFERROR(__xludf.DUMMYFUNCTION("""COMPUTED_VALUE"""),10.0)</f>
        <v>10</v>
      </c>
      <c r="G1868" s="14">
        <f>IFERROR(__xludf.DUMMYFUNCTION("""COMPUTED_VALUE"""),20.0)</f>
        <v>20</v>
      </c>
      <c r="H1868" s="14">
        <f>IFERROR(__xludf.DUMMYFUNCTION("""COMPUTED_VALUE"""),2023.0)</f>
        <v>2023</v>
      </c>
      <c r="I1868" s="14" t="str">
        <f>IFERROR(__xludf.DUMMYFUNCTION("""COMPUTED_VALUE"""),"Online Payment")</f>
        <v>Online Payment</v>
      </c>
      <c r="J1868" s="14" t="str">
        <f>IFERROR(__xludf.DUMMYFUNCTION("""COMPUTED_VALUE"""),"Delivered*Packaging: Secure and intact")</f>
        <v>Delivered*Packaging: Secure and intact</v>
      </c>
      <c r="K1868" s="14" t="str">
        <f>IFERROR(__xludf.DUMMYFUNCTION("split(E1868,""+"")"),"Onion")</f>
        <v>Onion</v>
      </c>
      <c r="L1868" s="14" t="str">
        <f>IFERROR(__xludf.DUMMYFUNCTION("""COMPUTED_VALUE"""),"1*Ram Gopal")</f>
        <v>1*Ram Gopal</v>
      </c>
      <c r="M1868" s="14">
        <f>IFERROR(__xludf.DUMMYFUNCTION("SPLIT(L1868,""*"")"),1.0)</f>
        <v>1</v>
      </c>
      <c r="N1868" s="14" t="str">
        <f>IFERROR(__xludf.DUMMYFUNCTION("""COMPUTED_VALUE"""),"Ram Gopal")</f>
        <v>Ram Gopal</v>
      </c>
      <c r="O1868" s="14" t="str">
        <f>IFERROR(__xludf.DUMMYFUNCTION("split(J1868,""*"")"),"Delivered")</f>
        <v>Delivered</v>
      </c>
      <c r="P1868" s="14" t="str">
        <f>IFERROR(__xludf.DUMMYFUNCTION("""COMPUTED_VALUE"""),"Packaging: Secure and intact")</f>
        <v>Packaging: Secure and intact</v>
      </c>
      <c r="Q1868" s="14" t="str">
        <f>IFERROR(__xludf.DUMMYFUNCTION("split(P1868,"":"")"),"Packaging")</f>
        <v>Packaging</v>
      </c>
      <c r="R1868" s="14" t="str">
        <f>IFERROR(__xludf.DUMMYFUNCTION("""COMPUTED_VALUE""")," Secure and intact")</f>
        <v> Secure and intact</v>
      </c>
      <c r="S1868" s="14" t="str">
        <f t="shared" ref="S1868:U1868" si="3739">trim(B1868)</f>
        <v>ord_71846</v>
      </c>
      <c r="T1868" s="14" t="str">
        <f t="shared" si="3739"/>
        <v>Omkar Mishra</v>
      </c>
      <c r="U1868" s="14" t="str">
        <f t="shared" si="3739"/>
        <v>Powai</v>
      </c>
      <c r="V1868" s="14" t="str">
        <f t="shared" si="4"/>
        <v>Onion</v>
      </c>
      <c r="W1868" s="14">
        <f t="shared" si="5"/>
        <v>1</v>
      </c>
      <c r="X1868" s="14" t="str">
        <f t="shared" si="6"/>
        <v>Ram Gopal</v>
      </c>
      <c r="Y1868" s="15">
        <f t="shared" si="7"/>
        <v>45219</v>
      </c>
      <c r="Z1868" s="14" t="str">
        <f t="shared" si="8"/>
        <v>Online Payment</v>
      </c>
      <c r="AA1868" s="14" t="str">
        <f t="shared" si="9"/>
        <v>Delivered</v>
      </c>
      <c r="AB1868" s="14" t="str">
        <f t="shared" ref="AB1868:AC1868" si="3740">trim(Q1868)</f>
        <v>Packaging</v>
      </c>
      <c r="AC1868" s="14" t="str">
        <f t="shared" si="3740"/>
        <v>Secure and intact</v>
      </c>
      <c r="AD1868" s="8"/>
    </row>
    <row r="1869">
      <c r="A1869" s="14" t="str">
        <f>IFERROR(__xludf.DUMMYFUNCTION("""COMPUTED_VALUE"""),"//ord_71847//Diya Arora//Lower Parel//Orange+1*Venu R/6/21/2023//Online Payment//Delivered*Satisfied with the Delivery: Timely and quality")</f>
        <v>//ord_71847//Diya Arora//Lower Parel//Orange+1*Venu R/6/21/2023//Online Payment//Delivered*Satisfied with the Delivery: Timely and quality</v>
      </c>
      <c r="B1869" s="14" t="str">
        <f>IFERROR(__xludf.DUMMYFUNCTION("split(A1869,""//"")"),"ord_71847")</f>
        <v>ord_71847</v>
      </c>
      <c r="C1869" s="14" t="str">
        <f>IFERROR(__xludf.DUMMYFUNCTION("""COMPUTED_VALUE"""),"Diya Arora")</f>
        <v>Diya Arora</v>
      </c>
      <c r="D1869" s="14" t="str">
        <f>IFERROR(__xludf.DUMMYFUNCTION("""COMPUTED_VALUE"""),"Lower Parel")</f>
        <v>Lower Parel</v>
      </c>
      <c r="E1869" s="14" t="str">
        <f>IFERROR(__xludf.DUMMYFUNCTION("""COMPUTED_VALUE"""),"Orange+1*Venu R")</f>
        <v>Orange+1*Venu R</v>
      </c>
      <c r="F1869" s="14">
        <f>IFERROR(__xludf.DUMMYFUNCTION("""COMPUTED_VALUE"""),6.0)</f>
        <v>6</v>
      </c>
      <c r="G1869" s="14">
        <f>IFERROR(__xludf.DUMMYFUNCTION("""COMPUTED_VALUE"""),21.0)</f>
        <v>21</v>
      </c>
      <c r="H1869" s="14">
        <f>IFERROR(__xludf.DUMMYFUNCTION("""COMPUTED_VALUE"""),2023.0)</f>
        <v>2023</v>
      </c>
      <c r="I1869" s="14" t="str">
        <f>IFERROR(__xludf.DUMMYFUNCTION("""COMPUTED_VALUE"""),"Online Payment")</f>
        <v>Online Payment</v>
      </c>
      <c r="J1869" s="14" t="str">
        <f>IFERROR(__xludf.DUMMYFUNCTION("""COMPUTED_VALUE"""),"Delivered*Satisfied with the Delivery: Timely and quality")</f>
        <v>Delivered*Satisfied with the Delivery: Timely and quality</v>
      </c>
      <c r="K1869" s="14" t="str">
        <f>IFERROR(__xludf.DUMMYFUNCTION("split(E1869,""+"")"),"Orange")</f>
        <v>Orange</v>
      </c>
      <c r="L1869" s="14" t="str">
        <f>IFERROR(__xludf.DUMMYFUNCTION("""COMPUTED_VALUE"""),"1*Venu R")</f>
        <v>1*Venu R</v>
      </c>
      <c r="M1869" s="14">
        <f>IFERROR(__xludf.DUMMYFUNCTION("SPLIT(L1869,""*"")"),1.0)</f>
        <v>1</v>
      </c>
      <c r="N1869" s="14" t="str">
        <f>IFERROR(__xludf.DUMMYFUNCTION("""COMPUTED_VALUE"""),"Venu R")</f>
        <v>Venu R</v>
      </c>
      <c r="O1869" s="14" t="str">
        <f>IFERROR(__xludf.DUMMYFUNCTION("split(J1869,""*"")"),"Delivered")</f>
        <v>Delivered</v>
      </c>
      <c r="P1869" s="14" t="str">
        <f>IFERROR(__xludf.DUMMYFUNCTION("""COMPUTED_VALUE"""),"Satisfied with the Delivery: Timely and quality")</f>
        <v>Satisfied with the Delivery: Timely and quality</v>
      </c>
      <c r="Q1869" s="14" t="str">
        <f>IFERROR(__xludf.DUMMYFUNCTION("split(P1869,"":"")"),"Satisfied with the Delivery")</f>
        <v>Satisfied with the Delivery</v>
      </c>
      <c r="R1869" s="14" t="str">
        <f>IFERROR(__xludf.DUMMYFUNCTION("""COMPUTED_VALUE""")," Timely and quality")</f>
        <v> Timely and quality</v>
      </c>
      <c r="S1869" s="14" t="str">
        <f t="shared" ref="S1869:U1869" si="3741">trim(B1869)</f>
        <v>ord_71847</v>
      </c>
      <c r="T1869" s="14" t="str">
        <f t="shared" si="3741"/>
        <v>Diya Arora</v>
      </c>
      <c r="U1869" s="14" t="str">
        <f t="shared" si="3741"/>
        <v>Lower Parel</v>
      </c>
      <c r="V1869" s="14" t="str">
        <f t="shared" si="4"/>
        <v>Orange</v>
      </c>
      <c r="W1869" s="14">
        <f t="shared" si="5"/>
        <v>1</v>
      </c>
      <c r="X1869" s="14" t="str">
        <f t="shared" si="6"/>
        <v>Venu R</v>
      </c>
      <c r="Y1869" s="15">
        <f t="shared" si="7"/>
        <v>45098</v>
      </c>
      <c r="Z1869" s="14" t="str">
        <f t="shared" si="8"/>
        <v>Online Payment</v>
      </c>
      <c r="AA1869" s="14" t="str">
        <f t="shared" si="9"/>
        <v>Delivered</v>
      </c>
      <c r="AB1869" s="14" t="str">
        <f t="shared" ref="AB1869:AC1869" si="3742">trim(Q1869)</f>
        <v>Satisfied with the Delivery</v>
      </c>
      <c r="AC1869" s="14" t="str">
        <f t="shared" si="3742"/>
        <v>Timely and quality</v>
      </c>
      <c r="AD1869" s="8"/>
    </row>
    <row r="1870">
      <c r="A1870" s="14" t="str">
        <f>IFERROR(__xludf.DUMMYFUNCTION("""COMPUTED_VALUE"""),"//ord_71848//Omkar Mishra//Powai//Chocolate Mousse+3*Ram Gopal/3/1/2023//COD//Delivered*Customer Service: Seamless and easy")</f>
        <v>//ord_71848//Omkar Mishra//Powai//Chocolate Mousse+3*Ram Gopal/3/1/2023//COD//Delivered*Customer Service: Seamless and easy</v>
      </c>
      <c r="B1870" s="14" t="str">
        <f>IFERROR(__xludf.DUMMYFUNCTION("split(A1870,""//"")"),"ord_71848")</f>
        <v>ord_71848</v>
      </c>
      <c r="C1870" s="14" t="str">
        <f>IFERROR(__xludf.DUMMYFUNCTION("""COMPUTED_VALUE"""),"Omkar Mishra")</f>
        <v>Omkar Mishra</v>
      </c>
      <c r="D1870" s="14" t="str">
        <f>IFERROR(__xludf.DUMMYFUNCTION("""COMPUTED_VALUE"""),"Powai")</f>
        <v>Powai</v>
      </c>
      <c r="E1870" s="14" t="str">
        <f>IFERROR(__xludf.DUMMYFUNCTION("""COMPUTED_VALUE"""),"Chocolate Mousse+3*Ram Gopal")</f>
        <v>Chocolate Mousse+3*Ram Gopal</v>
      </c>
      <c r="F1870" s="14">
        <f>IFERROR(__xludf.DUMMYFUNCTION("""COMPUTED_VALUE"""),3.0)</f>
        <v>3</v>
      </c>
      <c r="G1870" s="14">
        <f>IFERROR(__xludf.DUMMYFUNCTION("""COMPUTED_VALUE"""),1.0)</f>
        <v>1</v>
      </c>
      <c r="H1870" s="14">
        <f>IFERROR(__xludf.DUMMYFUNCTION("""COMPUTED_VALUE"""),2023.0)</f>
        <v>2023</v>
      </c>
      <c r="I1870" s="14" t="str">
        <f>IFERROR(__xludf.DUMMYFUNCTION("""COMPUTED_VALUE"""),"COD")</f>
        <v>COD</v>
      </c>
      <c r="J1870" s="14" t="str">
        <f>IFERROR(__xludf.DUMMYFUNCTION("""COMPUTED_VALUE"""),"Delivered*Customer Service: Seamless and easy")</f>
        <v>Delivered*Customer Service: Seamless and easy</v>
      </c>
      <c r="K1870" s="14" t="str">
        <f>IFERROR(__xludf.DUMMYFUNCTION("split(E1870,""+"")"),"Chocolate Mousse")</f>
        <v>Chocolate Mousse</v>
      </c>
      <c r="L1870" s="14" t="str">
        <f>IFERROR(__xludf.DUMMYFUNCTION("""COMPUTED_VALUE"""),"3*Ram Gopal")</f>
        <v>3*Ram Gopal</v>
      </c>
      <c r="M1870" s="14">
        <f>IFERROR(__xludf.DUMMYFUNCTION("SPLIT(L1870,""*"")"),3.0)</f>
        <v>3</v>
      </c>
      <c r="N1870" s="14" t="str">
        <f>IFERROR(__xludf.DUMMYFUNCTION("""COMPUTED_VALUE"""),"Ram Gopal")</f>
        <v>Ram Gopal</v>
      </c>
      <c r="O1870" s="14" t="str">
        <f>IFERROR(__xludf.DUMMYFUNCTION("split(J1870,""*"")"),"Delivered")</f>
        <v>Delivered</v>
      </c>
      <c r="P1870" s="14" t="str">
        <f>IFERROR(__xludf.DUMMYFUNCTION("""COMPUTED_VALUE"""),"Customer Service: Seamless and easy")</f>
        <v>Customer Service: Seamless and easy</v>
      </c>
      <c r="Q1870" s="14" t="str">
        <f>IFERROR(__xludf.DUMMYFUNCTION("split(P1870,"":"")"),"Customer Service")</f>
        <v>Customer Service</v>
      </c>
      <c r="R1870" s="14" t="str">
        <f>IFERROR(__xludf.DUMMYFUNCTION("""COMPUTED_VALUE""")," Seamless and easy")</f>
        <v> Seamless and easy</v>
      </c>
      <c r="S1870" s="14" t="str">
        <f t="shared" ref="S1870:U1870" si="3743">trim(B1870)</f>
        <v>ord_71848</v>
      </c>
      <c r="T1870" s="14" t="str">
        <f t="shared" si="3743"/>
        <v>Omkar Mishra</v>
      </c>
      <c r="U1870" s="14" t="str">
        <f t="shared" si="3743"/>
        <v>Powai</v>
      </c>
      <c r="V1870" s="14" t="str">
        <f t="shared" si="4"/>
        <v>Chocolate Mousse</v>
      </c>
      <c r="W1870" s="14">
        <f t="shared" si="5"/>
        <v>3</v>
      </c>
      <c r="X1870" s="14" t="str">
        <f t="shared" si="6"/>
        <v>Ram Gopal</v>
      </c>
      <c r="Y1870" s="15">
        <f t="shared" si="7"/>
        <v>44986</v>
      </c>
      <c r="Z1870" s="14" t="str">
        <f t="shared" si="8"/>
        <v>COD</v>
      </c>
      <c r="AA1870" s="14" t="str">
        <f t="shared" si="9"/>
        <v>Delivered</v>
      </c>
      <c r="AB1870" s="14" t="str">
        <f t="shared" ref="AB1870:AC1870" si="3744">trim(Q1870)</f>
        <v>Customer Service</v>
      </c>
      <c r="AC1870" s="14" t="str">
        <f t="shared" si="3744"/>
        <v>Seamless and easy</v>
      </c>
      <c r="AD1870" s="8"/>
    </row>
    <row r="1871">
      <c r="A1871" s="14" t="str">
        <f>IFERROR(__xludf.DUMMYFUNCTION("""COMPUTED_VALUE"""),"//ord_71849//Dev Chauhan//Bandra//Chicken Puff+5*Venu R/12/11/2023//Online Payment//Delivered*Delivery Experience: Quick and professional")</f>
        <v>//ord_71849//Dev Chauhan//Bandra//Chicken Puff+5*Venu R/12/11/2023//Online Payment//Delivered*Delivery Experience: Quick and professional</v>
      </c>
      <c r="B1871" s="14" t="str">
        <f>IFERROR(__xludf.DUMMYFUNCTION("split(A1871,""//"")"),"ord_71849")</f>
        <v>ord_71849</v>
      </c>
      <c r="C1871" s="14" t="str">
        <f>IFERROR(__xludf.DUMMYFUNCTION("""COMPUTED_VALUE"""),"Dev Chauhan")</f>
        <v>Dev Chauhan</v>
      </c>
      <c r="D1871" s="14" t="str">
        <f>IFERROR(__xludf.DUMMYFUNCTION("""COMPUTED_VALUE"""),"Bandra")</f>
        <v>Bandra</v>
      </c>
      <c r="E1871" s="14" t="str">
        <f>IFERROR(__xludf.DUMMYFUNCTION("""COMPUTED_VALUE"""),"Chicken Puff+5*Venu R")</f>
        <v>Chicken Puff+5*Venu R</v>
      </c>
      <c r="F1871" s="14">
        <f>IFERROR(__xludf.DUMMYFUNCTION("""COMPUTED_VALUE"""),12.0)</f>
        <v>12</v>
      </c>
      <c r="G1871" s="14">
        <f>IFERROR(__xludf.DUMMYFUNCTION("""COMPUTED_VALUE"""),11.0)</f>
        <v>11</v>
      </c>
      <c r="H1871" s="14">
        <f>IFERROR(__xludf.DUMMYFUNCTION("""COMPUTED_VALUE"""),2023.0)</f>
        <v>2023</v>
      </c>
      <c r="I1871" s="14" t="str">
        <f>IFERROR(__xludf.DUMMYFUNCTION("""COMPUTED_VALUE"""),"Online Payment")</f>
        <v>Online Payment</v>
      </c>
      <c r="J1871" s="14" t="str">
        <f>IFERROR(__xludf.DUMMYFUNCTION("""COMPUTED_VALUE"""),"Delivered*Delivery Experience: Quick and professional")</f>
        <v>Delivered*Delivery Experience: Quick and professional</v>
      </c>
      <c r="K1871" s="14" t="str">
        <f>IFERROR(__xludf.DUMMYFUNCTION("split(E1871,""+"")"),"Chicken Puff")</f>
        <v>Chicken Puff</v>
      </c>
      <c r="L1871" s="14" t="str">
        <f>IFERROR(__xludf.DUMMYFUNCTION("""COMPUTED_VALUE"""),"5*Venu R")</f>
        <v>5*Venu R</v>
      </c>
      <c r="M1871" s="14">
        <f>IFERROR(__xludf.DUMMYFUNCTION("SPLIT(L1871,""*"")"),5.0)</f>
        <v>5</v>
      </c>
      <c r="N1871" s="14" t="str">
        <f>IFERROR(__xludf.DUMMYFUNCTION("""COMPUTED_VALUE"""),"Venu R")</f>
        <v>Venu R</v>
      </c>
      <c r="O1871" s="14" t="str">
        <f>IFERROR(__xludf.DUMMYFUNCTION("split(J1871,""*"")"),"Delivered")</f>
        <v>Delivered</v>
      </c>
      <c r="P1871" s="14" t="str">
        <f>IFERROR(__xludf.DUMMYFUNCTION("""COMPUTED_VALUE"""),"Delivery Experience: Quick and professional")</f>
        <v>Delivery Experience: Quick and professional</v>
      </c>
      <c r="Q1871" s="14" t="str">
        <f>IFERROR(__xludf.DUMMYFUNCTION("split(P1871,"":"")"),"Delivery Experience")</f>
        <v>Delivery Experience</v>
      </c>
      <c r="R1871" s="14" t="str">
        <f>IFERROR(__xludf.DUMMYFUNCTION("""COMPUTED_VALUE""")," Quick and professional")</f>
        <v> Quick and professional</v>
      </c>
      <c r="S1871" s="14" t="str">
        <f t="shared" ref="S1871:U1871" si="3745">trim(B1871)</f>
        <v>ord_71849</v>
      </c>
      <c r="T1871" s="14" t="str">
        <f t="shared" si="3745"/>
        <v>Dev Chauhan</v>
      </c>
      <c r="U1871" s="14" t="str">
        <f t="shared" si="3745"/>
        <v>Bandra</v>
      </c>
      <c r="V1871" s="14" t="str">
        <f t="shared" si="4"/>
        <v>Chicken Puff</v>
      </c>
      <c r="W1871" s="14">
        <f t="shared" si="5"/>
        <v>5</v>
      </c>
      <c r="X1871" s="14" t="str">
        <f t="shared" si="6"/>
        <v>Venu R</v>
      </c>
      <c r="Y1871" s="15">
        <f t="shared" si="7"/>
        <v>45271</v>
      </c>
      <c r="Z1871" s="14" t="str">
        <f t="shared" si="8"/>
        <v>Online Payment</v>
      </c>
      <c r="AA1871" s="14" t="str">
        <f t="shared" si="9"/>
        <v>Delivered</v>
      </c>
      <c r="AB1871" s="14" t="str">
        <f t="shared" ref="AB1871:AC1871" si="3746">trim(Q1871)</f>
        <v>Delivery Experience</v>
      </c>
      <c r="AC1871" s="14" t="str">
        <f t="shared" si="3746"/>
        <v>Quick and professional</v>
      </c>
      <c r="AD1871" s="8"/>
    </row>
    <row r="1872">
      <c r="A1872" s="14" t="str">
        <f>IFERROR(__xludf.DUMMYFUNCTION("""COMPUTED_VALUE"""),"//ord_71850//Anaya Rao//Colaba//Juice+1*Vivek Kumar/5/15/2023//Online Payment//Delivered*Convenience: Easy tracking")</f>
        <v>//ord_71850//Anaya Rao//Colaba//Juice+1*Vivek Kumar/5/15/2023//Online Payment//Delivered*Convenience: Easy tracking</v>
      </c>
      <c r="B1872" s="14" t="str">
        <f>IFERROR(__xludf.DUMMYFUNCTION("split(A1872,""//"")"),"ord_71850")</f>
        <v>ord_71850</v>
      </c>
      <c r="C1872" s="14" t="str">
        <f>IFERROR(__xludf.DUMMYFUNCTION("""COMPUTED_VALUE"""),"Anaya Rao")</f>
        <v>Anaya Rao</v>
      </c>
      <c r="D1872" s="14" t="str">
        <f>IFERROR(__xludf.DUMMYFUNCTION("""COMPUTED_VALUE"""),"Colaba")</f>
        <v>Colaba</v>
      </c>
      <c r="E1872" s="14" t="str">
        <f>IFERROR(__xludf.DUMMYFUNCTION("""COMPUTED_VALUE"""),"Juice+1*Vivek Kumar")</f>
        <v>Juice+1*Vivek Kumar</v>
      </c>
      <c r="F1872" s="14">
        <f>IFERROR(__xludf.DUMMYFUNCTION("""COMPUTED_VALUE"""),5.0)</f>
        <v>5</v>
      </c>
      <c r="G1872" s="14">
        <f>IFERROR(__xludf.DUMMYFUNCTION("""COMPUTED_VALUE"""),15.0)</f>
        <v>15</v>
      </c>
      <c r="H1872" s="14">
        <f>IFERROR(__xludf.DUMMYFUNCTION("""COMPUTED_VALUE"""),2023.0)</f>
        <v>2023</v>
      </c>
      <c r="I1872" s="14" t="str">
        <f>IFERROR(__xludf.DUMMYFUNCTION("""COMPUTED_VALUE"""),"Online Payment")</f>
        <v>Online Payment</v>
      </c>
      <c r="J1872" s="14" t="str">
        <f>IFERROR(__xludf.DUMMYFUNCTION("""COMPUTED_VALUE"""),"Delivered*Convenience: Easy tracking")</f>
        <v>Delivered*Convenience: Easy tracking</v>
      </c>
      <c r="K1872" s="14" t="str">
        <f>IFERROR(__xludf.DUMMYFUNCTION("split(E1872,""+"")"),"Juice")</f>
        <v>Juice</v>
      </c>
      <c r="L1872" s="14" t="str">
        <f>IFERROR(__xludf.DUMMYFUNCTION("""COMPUTED_VALUE"""),"1*Vivek Kumar")</f>
        <v>1*Vivek Kumar</v>
      </c>
      <c r="M1872" s="14">
        <f>IFERROR(__xludf.DUMMYFUNCTION("SPLIT(L1872,""*"")"),1.0)</f>
        <v>1</v>
      </c>
      <c r="N1872" s="14" t="str">
        <f>IFERROR(__xludf.DUMMYFUNCTION("""COMPUTED_VALUE"""),"Vivek Kumar")</f>
        <v>Vivek Kumar</v>
      </c>
      <c r="O1872" s="14" t="str">
        <f>IFERROR(__xludf.DUMMYFUNCTION("split(J1872,""*"")"),"Delivered")</f>
        <v>Delivered</v>
      </c>
      <c r="P1872" s="14" t="str">
        <f>IFERROR(__xludf.DUMMYFUNCTION("""COMPUTED_VALUE"""),"Convenience: Easy tracking")</f>
        <v>Convenience: Easy tracking</v>
      </c>
      <c r="Q1872" s="14" t="str">
        <f>IFERROR(__xludf.DUMMYFUNCTION("split(P1872,"":"")"),"Convenience")</f>
        <v>Convenience</v>
      </c>
      <c r="R1872" s="14" t="str">
        <f>IFERROR(__xludf.DUMMYFUNCTION("""COMPUTED_VALUE""")," Easy tracking")</f>
        <v> Easy tracking</v>
      </c>
      <c r="S1872" s="14" t="str">
        <f t="shared" ref="S1872:U1872" si="3747">trim(B1872)</f>
        <v>ord_71850</v>
      </c>
      <c r="T1872" s="14" t="str">
        <f t="shared" si="3747"/>
        <v>Anaya Rao</v>
      </c>
      <c r="U1872" s="14" t="str">
        <f t="shared" si="3747"/>
        <v>Colaba</v>
      </c>
      <c r="V1872" s="14" t="str">
        <f t="shared" si="4"/>
        <v>Juice</v>
      </c>
      <c r="W1872" s="14">
        <f t="shared" si="5"/>
        <v>1</v>
      </c>
      <c r="X1872" s="14" t="str">
        <f t="shared" si="6"/>
        <v>Vivek Kumar</v>
      </c>
      <c r="Y1872" s="15">
        <f t="shared" si="7"/>
        <v>45061</v>
      </c>
      <c r="Z1872" s="14" t="str">
        <f t="shared" si="8"/>
        <v>Online Payment</v>
      </c>
      <c r="AA1872" s="14" t="str">
        <f t="shared" si="9"/>
        <v>Delivered</v>
      </c>
      <c r="AB1872" s="14" t="str">
        <f t="shared" ref="AB1872:AC1872" si="3748">trim(Q1872)</f>
        <v>Convenience</v>
      </c>
      <c r="AC1872" s="14" t="str">
        <f t="shared" si="3748"/>
        <v>Easy tracking</v>
      </c>
      <c r="AD1872" s="8"/>
    </row>
    <row r="1873">
      <c r="A1873" s="14" t="str">
        <f>IFERROR(__xludf.DUMMYFUNCTION("""COMPUTED_VALUE"""),"//ord_71851//Parth Goel//Juhu//Rasmalai+4*Nithin Lal/9/23/2023//Credit Card//Delivered*Overall Satisfaction: Great service will order again")</f>
        <v>//ord_71851//Parth Goel//Juhu//Rasmalai+4*Nithin Lal/9/23/2023//Credit Card//Delivered*Overall Satisfaction: Great service will order again</v>
      </c>
      <c r="B1873" s="14" t="str">
        <f>IFERROR(__xludf.DUMMYFUNCTION("split(A1873,""//"")"),"ord_71851")</f>
        <v>ord_71851</v>
      </c>
      <c r="C1873" s="14" t="str">
        <f>IFERROR(__xludf.DUMMYFUNCTION("""COMPUTED_VALUE"""),"Parth Goel")</f>
        <v>Parth Goel</v>
      </c>
      <c r="D1873" s="14" t="str">
        <f>IFERROR(__xludf.DUMMYFUNCTION("""COMPUTED_VALUE"""),"Juhu")</f>
        <v>Juhu</v>
      </c>
      <c r="E1873" s="14" t="str">
        <f>IFERROR(__xludf.DUMMYFUNCTION("""COMPUTED_VALUE"""),"Rasmalai+4*Nithin Lal")</f>
        <v>Rasmalai+4*Nithin Lal</v>
      </c>
      <c r="F1873" s="14">
        <f>IFERROR(__xludf.DUMMYFUNCTION("""COMPUTED_VALUE"""),9.0)</f>
        <v>9</v>
      </c>
      <c r="G1873" s="14">
        <f>IFERROR(__xludf.DUMMYFUNCTION("""COMPUTED_VALUE"""),23.0)</f>
        <v>23</v>
      </c>
      <c r="H1873" s="14">
        <f>IFERROR(__xludf.DUMMYFUNCTION("""COMPUTED_VALUE"""),2023.0)</f>
        <v>2023</v>
      </c>
      <c r="I1873" s="14" t="str">
        <f>IFERROR(__xludf.DUMMYFUNCTION("""COMPUTED_VALUE"""),"Credit Card")</f>
        <v>Credit Card</v>
      </c>
      <c r="J1873" s="14" t="str">
        <f>IFERROR(__xludf.DUMMYFUNCTION("""COMPUTED_VALUE"""),"Delivered*Overall Satisfaction: Great service will order again")</f>
        <v>Delivered*Overall Satisfaction: Great service will order again</v>
      </c>
      <c r="K1873" s="14" t="str">
        <f>IFERROR(__xludf.DUMMYFUNCTION("split(E1873,""+"")"),"Rasmalai")</f>
        <v>Rasmalai</v>
      </c>
      <c r="L1873" s="14" t="str">
        <f>IFERROR(__xludf.DUMMYFUNCTION("""COMPUTED_VALUE"""),"4*Nithin Lal")</f>
        <v>4*Nithin Lal</v>
      </c>
      <c r="M1873" s="14">
        <f>IFERROR(__xludf.DUMMYFUNCTION("SPLIT(L1873,""*"")"),4.0)</f>
        <v>4</v>
      </c>
      <c r="N1873" s="14" t="str">
        <f>IFERROR(__xludf.DUMMYFUNCTION("""COMPUTED_VALUE"""),"Nithin Lal")</f>
        <v>Nithin Lal</v>
      </c>
      <c r="O1873" s="14" t="str">
        <f>IFERROR(__xludf.DUMMYFUNCTION("split(J1873,""*"")"),"Delivered")</f>
        <v>Delivered</v>
      </c>
      <c r="P1873" s="14" t="str">
        <f>IFERROR(__xludf.DUMMYFUNCTION("""COMPUTED_VALUE"""),"Overall Satisfaction: Great service will order again")</f>
        <v>Overall Satisfaction: Great service will order again</v>
      </c>
      <c r="Q1873" s="14" t="str">
        <f>IFERROR(__xludf.DUMMYFUNCTION("split(P1873,"":"")"),"Overall Satisfaction")</f>
        <v>Overall Satisfaction</v>
      </c>
      <c r="R1873" s="14" t="str">
        <f>IFERROR(__xludf.DUMMYFUNCTION("""COMPUTED_VALUE""")," Great service will order again")</f>
        <v> Great service will order again</v>
      </c>
      <c r="S1873" s="14" t="str">
        <f t="shared" ref="S1873:U1873" si="3749">trim(B1873)</f>
        <v>ord_71851</v>
      </c>
      <c r="T1873" s="14" t="str">
        <f t="shared" si="3749"/>
        <v>Parth Goel</v>
      </c>
      <c r="U1873" s="14" t="str">
        <f t="shared" si="3749"/>
        <v>Juhu</v>
      </c>
      <c r="V1873" s="14" t="str">
        <f t="shared" si="4"/>
        <v>Rasmalai</v>
      </c>
      <c r="W1873" s="14">
        <f t="shared" si="5"/>
        <v>4</v>
      </c>
      <c r="X1873" s="14" t="str">
        <f t="shared" si="6"/>
        <v>Nithin Lal</v>
      </c>
      <c r="Y1873" s="15">
        <f t="shared" si="7"/>
        <v>45192</v>
      </c>
      <c r="Z1873" s="14" t="str">
        <f t="shared" si="8"/>
        <v>Credit Card</v>
      </c>
      <c r="AA1873" s="14" t="str">
        <f t="shared" si="9"/>
        <v>Delivered</v>
      </c>
      <c r="AB1873" s="14" t="str">
        <f t="shared" ref="AB1873:AC1873" si="3750">trim(Q1873)</f>
        <v>Overall Satisfaction</v>
      </c>
      <c r="AC1873" s="14" t="str">
        <f t="shared" si="3750"/>
        <v>Great service will order again</v>
      </c>
      <c r="AD1873" s="8"/>
    </row>
    <row r="1874">
      <c r="A1874" s="14" t="str">
        <f>IFERROR(__xludf.DUMMYFUNCTION("""COMPUTED_VALUE"""),"//ord_71852//Pranav Joshi//Andheri//Potato+1*Ramesh S/10/2/2023//Online Payment//Delivered*On-time Delivery: Delivered on time")</f>
        <v>//ord_71852//Pranav Joshi//Andheri//Potato+1*Ramesh S/10/2/2023//Online Payment//Delivered*On-time Delivery: Delivered on time</v>
      </c>
      <c r="B1874" s="14" t="str">
        <f>IFERROR(__xludf.DUMMYFUNCTION("split(A1874,""//"")"),"ord_71852")</f>
        <v>ord_71852</v>
      </c>
      <c r="C1874" s="14" t="str">
        <f>IFERROR(__xludf.DUMMYFUNCTION("""COMPUTED_VALUE"""),"Pranav Joshi")</f>
        <v>Pranav Joshi</v>
      </c>
      <c r="D1874" s="14" t="str">
        <f>IFERROR(__xludf.DUMMYFUNCTION("""COMPUTED_VALUE"""),"Andheri")</f>
        <v>Andheri</v>
      </c>
      <c r="E1874" s="14" t="str">
        <f>IFERROR(__xludf.DUMMYFUNCTION("""COMPUTED_VALUE"""),"Potato+1*Ramesh S")</f>
        <v>Potato+1*Ramesh S</v>
      </c>
      <c r="F1874" s="14">
        <f>IFERROR(__xludf.DUMMYFUNCTION("""COMPUTED_VALUE"""),10.0)</f>
        <v>10</v>
      </c>
      <c r="G1874" s="14">
        <f>IFERROR(__xludf.DUMMYFUNCTION("""COMPUTED_VALUE"""),2.0)</f>
        <v>2</v>
      </c>
      <c r="H1874" s="14">
        <f>IFERROR(__xludf.DUMMYFUNCTION("""COMPUTED_VALUE"""),2023.0)</f>
        <v>2023</v>
      </c>
      <c r="I1874" s="14" t="str">
        <f>IFERROR(__xludf.DUMMYFUNCTION("""COMPUTED_VALUE"""),"Online Payment")</f>
        <v>Online Payment</v>
      </c>
      <c r="J1874" s="14" t="str">
        <f>IFERROR(__xludf.DUMMYFUNCTION("""COMPUTED_VALUE"""),"Delivered*On-time Delivery: Delivered on time")</f>
        <v>Delivered*On-time Delivery: Delivered on time</v>
      </c>
      <c r="K1874" s="14" t="str">
        <f>IFERROR(__xludf.DUMMYFUNCTION("split(E1874,""+"")"),"Potato")</f>
        <v>Potato</v>
      </c>
      <c r="L1874" s="14" t="str">
        <f>IFERROR(__xludf.DUMMYFUNCTION("""COMPUTED_VALUE"""),"1*Ramesh S")</f>
        <v>1*Ramesh S</v>
      </c>
      <c r="M1874" s="14">
        <f>IFERROR(__xludf.DUMMYFUNCTION("SPLIT(L1874,""*"")"),1.0)</f>
        <v>1</v>
      </c>
      <c r="N1874" s="14" t="str">
        <f>IFERROR(__xludf.DUMMYFUNCTION("""COMPUTED_VALUE"""),"Ramesh S")</f>
        <v>Ramesh S</v>
      </c>
      <c r="O1874" s="14" t="str">
        <f>IFERROR(__xludf.DUMMYFUNCTION("split(J1874,""*"")"),"Delivered")</f>
        <v>Delivered</v>
      </c>
      <c r="P1874" s="14" t="str">
        <f>IFERROR(__xludf.DUMMYFUNCTION("""COMPUTED_VALUE"""),"On-time Delivery: Delivered on time")</f>
        <v>On-time Delivery: Delivered on time</v>
      </c>
      <c r="Q1874" s="14" t="str">
        <f>IFERROR(__xludf.DUMMYFUNCTION("split(P1874,"":"")"),"On-time Delivery")</f>
        <v>On-time Delivery</v>
      </c>
      <c r="R1874" s="14" t="str">
        <f>IFERROR(__xludf.DUMMYFUNCTION("""COMPUTED_VALUE""")," Delivered on time")</f>
        <v> Delivered on time</v>
      </c>
      <c r="S1874" s="14" t="str">
        <f t="shared" ref="S1874:U1874" si="3751">trim(B1874)</f>
        <v>ord_71852</v>
      </c>
      <c r="T1874" s="14" t="str">
        <f t="shared" si="3751"/>
        <v>Pranav Joshi</v>
      </c>
      <c r="U1874" s="14" t="str">
        <f t="shared" si="3751"/>
        <v>Andheri</v>
      </c>
      <c r="V1874" s="14" t="str">
        <f t="shared" si="4"/>
        <v>Potato</v>
      </c>
      <c r="W1874" s="14">
        <f t="shared" si="5"/>
        <v>1</v>
      </c>
      <c r="X1874" s="14" t="str">
        <f t="shared" si="6"/>
        <v>Ramesh S</v>
      </c>
      <c r="Y1874" s="15">
        <f t="shared" si="7"/>
        <v>45201</v>
      </c>
      <c r="Z1874" s="14" t="str">
        <f t="shared" si="8"/>
        <v>Online Payment</v>
      </c>
      <c r="AA1874" s="14" t="str">
        <f t="shared" si="9"/>
        <v>Delivered</v>
      </c>
      <c r="AB1874" s="14" t="str">
        <f t="shared" ref="AB1874:AC1874" si="3752">trim(Q1874)</f>
        <v>On-time Delivery</v>
      </c>
      <c r="AC1874" s="14" t="str">
        <f t="shared" si="3752"/>
        <v>Delivered on time</v>
      </c>
      <c r="AD1874" s="8"/>
    </row>
    <row r="1875">
      <c r="A1875" s="14" t="str">
        <f>IFERROR(__xludf.DUMMYFUNCTION("""COMPUTED_VALUE"""),"//ord_71853//Pranav Joshi//Andheri//Sweet Corn+1*Sita T/8/11/2023//COD//Delivered*Quality of Items: Perfect condition")</f>
        <v>//ord_71853//Pranav Joshi//Andheri//Sweet Corn+1*Sita T/8/11/2023//COD//Delivered*Quality of Items: Perfect condition</v>
      </c>
      <c r="B1875" s="14" t="str">
        <f>IFERROR(__xludf.DUMMYFUNCTION("split(A1875,""//"")"),"ord_71853")</f>
        <v>ord_71853</v>
      </c>
      <c r="C1875" s="14" t="str">
        <f>IFERROR(__xludf.DUMMYFUNCTION("""COMPUTED_VALUE"""),"Pranav Joshi")</f>
        <v>Pranav Joshi</v>
      </c>
      <c r="D1875" s="14" t="str">
        <f>IFERROR(__xludf.DUMMYFUNCTION("""COMPUTED_VALUE"""),"Andheri")</f>
        <v>Andheri</v>
      </c>
      <c r="E1875" s="14" t="str">
        <f>IFERROR(__xludf.DUMMYFUNCTION("""COMPUTED_VALUE"""),"Sweet Corn+1*Sita T")</f>
        <v>Sweet Corn+1*Sita T</v>
      </c>
      <c r="F1875" s="14">
        <f>IFERROR(__xludf.DUMMYFUNCTION("""COMPUTED_VALUE"""),8.0)</f>
        <v>8</v>
      </c>
      <c r="G1875" s="14">
        <f>IFERROR(__xludf.DUMMYFUNCTION("""COMPUTED_VALUE"""),11.0)</f>
        <v>11</v>
      </c>
      <c r="H1875" s="14">
        <f>IFERROR(__xludf.DUMMYFUNCTION("""COMPUTED_VALUE"""),2023.0)</f>
        <v>2023</v>
      </c>
      <c r="I1875" s="14" t="str">
        <f>IFERROR(__xludf.DUMMYFUNCTION("""COMPUTED_VALUE"""),"COD")</f>
        <v>COD</v>
      </c>
      <c r="J1875" s="14" t="str">
        <f>IFERROR(__xludf.DUMMYFUNCTION("""COMPUTED_VALUE"""),"Delivered*Quality of Items: Perfect condition")</f>
        <v>Delivered*Quality of Items: Perfect condition</v>
      </c>
      <c r="K1875" s="14" t="str">
        <f>IFERROR(__xludf.DUMMYFUNCTION("split(E1875,""+"")"),"Sweet Corn")</f>
        <v>Sweet Corn</v>
      </c>
      <c r="L1875" s="14" t="str">
        <f>IFERROR(__xludf.DUMMYFUNCTION("""COMPUTED_VALUE"""),"1*Sita T")</f>
        <v>1*Sita T</v>
      </c>
      <c r="M1875" s="14">
        <f>IFERROR(__xludf.DUMMYFUNCTION("SPLIT(L1875,""*"")"),1.0)</f>
        <v>1</v>
      </c>
      <c r="N1875" s="14" t="str">
        <f>IFERROR(__xludf.DUMMYFUNCTION("""COMPUTED_VALUE"""),"Sita T")</f>
        <v>Sita T</v>
      </c>
      <c r="O1875" s="14" t="str">
        <f>IFERROR(__xludf.DUMMYFUNCTION("split(J1875,""*"")"),"Delivered")</f>
        <v>Delivered</v>
      </c>
      <c r="P1875" s="14" t="str">
        <f>IFERROR(__xludf.DUMMYFUNCTION("""COMPUTED_VALUE"""),"Quality of Items: Perfect condition")</f>
        <v>Quality of Items: Perfect condition</v>
      </c>
      <c r="Q1875" s="14" t="str">
        <f>IFERROR(__xludf.DUMMYFUNCTION("split(P1875,"":"")"),"Quality of Items")</f>
        <v>Quality of Items</v>
      </c>
      <c r="R1875" s="14" t="str">
        <f>IFERROR(__xludf.DUMMYFUNCTION("""COMPUTED_VALUE""")," Perfect condition")</f>
        <v> Perfect condition</v>
      </c>
      <c r="S1875" s="14" t="str">
        <f t="shared" ref="S1875:U1875" si="3753">trim(B1875)</f>
        <v>ord_71853</v>
      </c>
      <c r="T1875" s="14" t="str">
        <f t="shared" si="3753"/>
        <v>Pranav Joshi</v>
      </c>
      <c r="U1875" s="14" t="str">
        <f t="shared" si="3753"/>
        <v>Andheri</v>
      </c>
      <c r="V1875" s="14" t="str">
        <f t="shared" si="4"/>
        <v>Sweet Corn</v>
      </c>
      <c r="W1875" s="14">
        <f t="shared" si="5"/>
        <v>1</v>
      </c>
      <c r="X1875" s="14" t="str">
        <f t="shared" si="6"/>
        <v>Sita T</v>
      </c>
      <c r="Y1875" s="15">
        <f t="shared" si="7"/>
        <v>45149</v>
      </c>
      <c r="Z1875" s="14" t="str">
        <f t="shared" si="8"/>
        <v>COD</v>
      </c>
      <c r="AA1875" s="14" t="str">
        <f t="shared" si="9"/>
        <v>Delivered</v>
      </c>
      <c r="AB1875" s="14" t="str">
        <f t="shared" ref="AB1875:AC1875" si="3754">trim(Q1875)</f>
        <v>Quality of Items</v>
      </c>
      <c r="AC1875" s="14" t="str">
        <f t="shared" si="3754"/>
        <v>Perfect condition</v>
      </c>
      <c r="AD1875" s="8"/>
    </row>
    <row r="1876">
      <c r="A1876" s="14" t="str">
        <f>IFERROR(__xludf.DUMMYFUNCTION("""COMPUTED_VALUE"""),"//ord_71854//Mehul Thakkar//Malad//Potato+1*Sita T/1/12/2023//UPI//Delivered*On-time Delivery: Delivered on time")</f>
        <v>//ord_71854//Mehul Thakkar//Malad//Potato+1*Sita T/1/12/2023//UPI//Delivered*On-time Delivery: Delivered on time</v>
      </c>
      <c r="B1876" s="14" t="str">
        <f>IFERROR(__xludf.DUMMYFUNCTION("split(A1876,""//"")"),"ord_71854")</f>
        <v>ord_71854</v>
      </c>
      <c r="C1876" s="14" t="str">
        <f>IFERROR(__xludf.DUMMYFUNCTION("""COMPUTED_VALUE"""),"Mehul Thakkar")</f>
        <v>Mehul Thakkar</v>
      </c>
      <c r="D1876" s="14" t="str">
        <f>IFERROR(__xludf.DUMMYFUNCTION("""COMPUTED_VALUE"""),"Malad")</f>
        <v>Malad</v>
      </c>
      <c r="E1876" s="14" t="str">
        <f>IFERROR(__xludf.DUMMYFUNCTION("""COMPUTED_VALUE"""),"Potato+1*Sita T")</f>
        <v>Potato+1*Sita T</v>
      </c>
      <c r="F1876" s="14">
        <f>IFERROR(__xludf.DUMMYFUNCTION("""COMPUTED_VALUE"""),1.0)</f>
        <v>1</v>
      </c>
      <c r="G1876" s="14">
        <f>IFERROR(__xludf.DUMMYFUNCTION("""COMPUTED_VALUE"""),12.0)</f>
        <v>12</v>
      </c>
      <c r="H1876" s="14">
        <f>IFERROR(__xludf.DUMMYFUNCTION("""COMPUTED_VALUE"""),2023.0)</f>
        <v>2023</v>
      </c>
      <c r="I1876" s="14" t="str">
        <f>IFERROR(__xludf.DUMMYFUNCTION("""COMPUTED_VALUE"""),"UPI")</f>
        <v>UPI</v>
      </c>
      <c r="J1876" s="14" t="str">
        <f>IFERROR(__xludf.DUMMYFUNCTION("""COMPUTED_VALUE"""),"Delivered*On-time Delivery: Delivered on time")</f>
        <v>Delivered*On-time Delivery: Delivered on time</v>
      </c>
      <c r="K1876" s="14" t="str">
        <f>IFERROR(__xludf.DUMMYFUNCTION("split(E1876,""+"")"),"Potato")</f>
        <v>Potato</v>
      </c>
      <c r="L1876" s="14" t="str">
        <f>IFERROR(__xludf.DUMMYFUNCTION("""COMPUTED_VALUE"""),"1*Sita T")</f>
        <v>1*Sita T</v>
      </c>
      <c r="M1876" s="14">
        <f>IFERROR(__xludf.DUMMYFUNCTION("SPLIT(L1876,""*"")"),1.0)</f>
        <v>1</v>
      </c>
      <c r="N1876" s="14" t="str">
        <f>IFERROR(__xludf.DUMMYFUNCTION("""COMPUTED_VALUE"""),"Sita T")</f>
        <v>Sita T</v>
      </c>
      <c r="O1876" s="14" t="str">
        <f>IFERROR(__xludf.DUMMYFUNCTION("split(J1876,""*"")"),"Delivered")</f>
        <v>Delivered</v>
      </c>
      <c r="P1876" s="14" t="str">
        <f>IFERROR(__xludf.DUMMYFUNCTION("""COMPUTED_VALUE"""),"On-time Delivery: Delivered on time")</f>
        <v>On-time Delivery: Delivered on time</v>
      </c>
      <c r="Q1876" s="14" t="str">
        <f>IFERROR(__xludf.DUMMYFUNCTION("split(P1876,"":"")"),"On-time Delivery")</f>
        <v>On-time Delivery</v>
      </c>
      <c r="R1876" s="14" t="str">
        <f>IFERROR(__xludf.DUMMYFUNCTION("""COMPUTED_VALUE""")," Delivered on time")</f>
        <v> Delivered on time</v>
      </c>
      <c r="S1876" s="14" t="str">
        <f t="shared" ref="S1876:U1876" si="3755">trim(B1876)</f>
        <v>ord_71854</v>
      </c>
      <c r="T1876" s="14" t="str">
        <f t="shared" si="3755"/>
        <v>Mehul Thakkar</v>
      </c>
      <c r="U1876" s="14" t="str">
        <f t="shared" si="3755"/>
        <v>Malad</v>
      </c>
      <c r="V1876" s="14" t="str">
        <f t="shared" si="4"/>
        <v>Potato</v>
      </c>
      <c r="W1876" s="14">
        <f t="shared" si="5"/>
        <v>1</v>
      </c>
      <c r="X1876" s="14" t="str">
        <f t="shared" si="6"/>
        <v>Sita T</v>
      </c>
      <c r="Y1876" s="15">
        <f t="shared" si="7"/>
        <v>44938</v>
      </c>
      <c r="Z1876" s="14" t="str">
        <f t="shared" si="8"/>
        <v>UPI</v>
      </c>
      <c r="AA1876" s="14" t="str">
        <f t="shared" si="9"/>
        <v>Delivered</v>
      </c>
      <c r="AB1876" s="14" t="str">
        <f t="shared" ref="AB1876:AC1876" si="3756">trim(Q1876)</f>
        <v>On-time Delivery</v>
      </c>
      <c r="AC1876" s="14" t="str">
        <f t="shared" si="3756"/>
        <v>Delivered on time</v>
      </c>
      <c r="AD1876" s="8"/>
    </row>
    <row r="1877">
      <c r="A1877" s="14" t="str">
        <f>IFERROR(__xludf.DUMMYFUNCTION("""COMPUTED_VALUE"""),"//ord_81855//Diya Arora//Lower Parel//Sweet Corn+2*Shine Thomas/12/17/2023//COD//Delivered*Quality of Items: Perfect condition")</f>
        <v>//ord_81855//Diya Arora//Lower Parel//Sweet Corn+2*Shine Thomas/12/17/2023//COD//Delivered*Quality of Items: Perfect condition</v>
      </c>
      <c r="B1877" s="14" t="str">
        <f>IFERROR(__xludf.DUMMYFUNCTION("split(A1877,""//"")"),"ord_81855")</f>
        <v>ord_81855</v>
      </c>
      <c r="C1877" s="14" t="str">
        <f>IFERROR(__xludf.DUMMYFUNCTION("""COMPUTED_VALUE"""),"Diya Arora")</f>
        <v>Diya Arora</v>
      </c>
      <c r="D1877" s="14" t="str">
        <f>IFERROR(__xludf.DUMMYFUNCTION("""COMPUTED_VALUE"""),"Lower Parel")</f>
        <v>Lower Parel</v>
      </c>
      <c r="E1877" s="14" t="str">
        <f>IFERROR(__xludf.DUMMYFUNCTION("""COMPUTED_VALUE"""),"Sweet Corn+2*Shine Thomas")</f>
        <v>Sweet Corn+2*Shine Thomas</v>
      </c>
      <c r="F1877" s="14">
        <f>IFERROR(__xludf.DUMMYFUNCTION("""COMPUTED_VALUE"""),12.0)</f>
        <v>12</v>
      </c>
      <c r="G1877" s="14">
        <f>IFERROR(__xludf.DUMMYFUNCTION("""COMPUTED_VALUE"""),17.0)</f>
        <v>17</v>
      </c>
      <c r="H1877" s="14">
        <f>IFERROR(__xludf.DUMMYFUNCTION("""COMPUTED_VALUE"""),2023.0)</f>
        <v>2023</v>
      </c>
      <c r="I1877" s="14" t="str">
        <f>IFERROR(__xludf.DUMMYFUNCTION("""COMPUTED_VALUE"""),"COD")</f>
        <v>COD</v>
      </c>
      <c r="J1877" s="14" t="str">
        <f>IFERROR(__xludf.DUMMYFUNCTION("""COMPUTED_VALUE"""),"Delivered*Quality of Items: Perfect condition")</f>
        <v>Delivered*Quality of Items: Perfect condition</v>
      </c>
      <c r="K1877" s="14" t="str">
        <f>IFERROR(__xludf.DUMMYFUNCTION("split(E1877,""+"")"),"Sweet Corn")</f>
        <v>Sweet Corn</v>
      </c>
      <c r="L1877" s="14" t="str">
        <f>IFERROR(__xludf.DUMMYFUNCTION("""COMPUTED_VALUE"""),"2*Shine Thomas")</f>
        <v>2*Shine Thomas</v>
      </c>
      <c r="M1877" s="14">
        <f>IFERROR(__xludf.DUMMYFUNCTION("SPLIT(L1877,""*"")"),2.0)</f>
        <v>2</v>
      </c>
      <c r="N1877" s="14" t="str">
        <f>IFERROR(__xludf.DUMMYFUNCTION("""COMPUTED_VALUE"""),"Shine Thomas")</f>
        <v>Shine Thomas</v>
      </c>
      <c r="O1877" s="14" t="str">
        <f>IFERROR(__xludf.DUMMYFUNCTION("split(J1877,""*"")"),"Delivered")</f>
        <v>Delivered</v>
      </c>
      <c r="P1877" s="14" t="str">
        <f>IFERROR(__xludf.DUMMYFUNCTION("""COMPUTED_VALUE"""),"Quality of Items: Perfect condition")</f>
        <v>Quality of Items: Perfect condition</v>
      </c>
      <c r="Q1877" s="14" t="str">
        <f>IFERROR(__xludf.DUMMYFUNCTION("split(P1877,"":"")"),"Quality of Items")</f>
        <v>Quality of Items</v>
      </c>
      <c r="R1877" s="14" t="str">
        <f>IFERROR(__xludf.DUMMYFUNCTION("""COMPUTED_VALUE""")," Perfect condition")</f>
        <v> Perfect condition</v>
      </c>
      <c r="S1877" s="14" t="str">
        <f t="shared" ref="S1877:U1877" si="3757">trim(B1877)</f>
        <v>ord_81855</v>
      </c>
      <c r="T1877" s="14" t="str">
        <f t="shared" si="3757"/>
        <v>Diya Arora</v>
      </c>
      <c r="U1877" s="14" t="str">
        <f t="shared" si="3757"/>
        <v>Lower Parel</v>
      </c>
      <c r="V1877" s="14" t="str">
        <f t="shared" si="4"/>
        <v>Sweet Corn</v>
      </c>
      <c r="W1877" s="14">
        <f t="shared" si="5"/>
        <v>2</v>
      </c>
      <c r="X1877" s="14" t="str">
        <f t="shared" si="6"/>
        <v>Shine Thomas</v>
      </c>
      <c r="Y1877" s="15">
        <f t="shared" si="7"/>
        <v>45277</v>
      </c>
      <c r="Z1877" s="14" t="str">
        <f t="shared" si="8"/>
        <v>COD</v>
      </c>
      <c r="AA1877" s="14" t="str">
        <f t="shared" si="9"/>
        <v>Delivered</v>
      </c>
      <c r="AB1877" s="14" t="str">
        <f t="shared" ref="AB1877:AC1877" si="3758">trim(Q1877)</f>
        <v>Quality of Items</v>
      </c>
      <c r="AC1877" s="14" t="str">
        <f t="shared" si="3758"/>
        <v>Perfect condition</v>
      </c>
      <c r="AD1877" s="8"/>
    </row>
    <row r="1878">
      <c r="A1878" s="14" t="str">
        <f>IFERROR(__xludf.DUMMYFUNCTION("""COMPUTED_VALUE"""),"//ord_81856//Arvind Kulkarni//Juhu//Cucumber+2*Ram Gopal/10/20/2023//Online Payment//Delivered*Packaging: Secure and intact")</f>
        <v>//ord_81856//Arvind Kulkarni//Juhu//Cucumber+2*Ram Gopal/10/20/2023//Online Payment//Delivered*Packaging: Secure and intact</v>
      </c>
      <c r="B1878" s="14" t="str">
        <f>IFERROR(__xludf.DUMMYFUNCTION("split(A1878,""//"")"),"ord_81856")</f>
        <v>ord_81856</v>
      </c>
      <c r="C1878" s="14" t="str">
        <f>IFERROR(__xludf.DUMMYFUNCTION("""COMPUTED_VALUE"""),"Arvind Kulkarni")</f>
        <v>Arvind Kulkarni</v>
      </c>
      <c r="D1878" s="14" t="str">
        <f>IFERROR(__xludf.DUMMYFUNCTION("""COMPUTED_VALUE"""),"Juhu")</f>
        <v>Juhu</v>
      </c>
      <c r="E1878" s="14" t="str">
        <f>IFERROR(__xludf.DUMMYFUNCTION("""COMPUTED_VALUE"""),"Cucumber+2*Ram Gopal")</f>
        <v>Cucumber+2*Ram Gopal</v>
      </c>
      <c r="F1878" s="14">
        <f>IFERROR(__xludf.DUMMYFUNCTION("""COMPUTED_VALUE"""),10.0)</f>
        <v>10</v>
      </c>
      <c r="G1878" s="14">
        <f>IFERROR(__xludf.DUMMYFUNCTION("""COMPUTED_VALUE"""),20.0)</f>
        <v>20</v>
      </c>
      <c r="H1878" s="14">
        <f>IFERROR(__xludf.DUMMYFUNCTION("""COMPUTED_VALUE"""),2023.0)</f>
        <v>2023</v>
      </c>
      <c r="I1878" s="14" t="str">
        <f>IFERROR(__xludf.DUMMYFUNCTION("""COMPUTED_VALUE"""),"Online Payment")</f>
        <v>Online Payment</v>
      </c>
      <c r="J1878" s="14" t="str">
        <f>IFERROR(__xludf.DUMMYFUNCTION("""COMPUTED_VALUE"""),"Delivered*Packaging: Secure and intact")</f>
        <v>Delivered*Packaging: Secure and intact</v>
      </c>
      <c r="K1878" s="14" t="str">
        <f>IFERROR(__xludf.DUMMYFUNCTION("split(E1878,""+"")"),"Cucumber")</f>
        <v>Cucumber</v>
      </c>
      <c r="L1878" s="14" t="str">
        <f>IFERROR(__xludf.DUMMYFUNCTION("""COMPUTED_VALUE"""),"2*Ram Gopal")</f>
        <v>2*Ram Gopal</v>
      </c>
      <c r="M1878" s="14">
        <f>IFERROR(__xludf.DUMMYFUNCTION("SPLIT(L1878,""*"")"),2.0)</f>
        <v>2</v>
      </c>
      <c r="N1878" s="14" t="str">
        <f>IFERROR(__xludf.DUMMYFUNCTION("""COMPUTED_VALUE"""),"Ram Gopal")</f>
        <v>Ram Gopal</v>
      </c>
      <c r="O1878" s="14" t="str">
        <f>IFERROR(__xludf.DUMMYFUNCTION("split(J1878,""*"")"),"Delivered")</f>
        <v>Delivered</v>
      </c>
      <c r="P1878" s="14" t="str">
        <f>IFERROR(__xludf.DUMMYFUNCTION("""COMPUTED_VALUE"""),"Packaging: Secure and intact")</f>
        <v>Packaging: Secure and intact</v>
      </c>
      <c r="Q1878" s="14" t="str">
        <f>IFERROR(__xludf.DUMMYFUNCTION("split(P1878,"":"")"),"Packaging")</f>
        <v>Packaging</v>
      </c>
      <c r="R1878" s="14" t="str">
        <f>IFERROR(__xludf.DUMMYFUNCTION("""COMPUTED_VALUE""")," Secure and intact")</f>
        <v> Secure and intact</v>
      </c>
      <c r="S1878" s="14" t="str">
        <f t="shared" ref="S1878:U1878" si="3759">trim(B1878)</f>
        <v>ord_81856</v>
      </c>
      <c r="T1878" s="14" t="str">
        <f t="shared" si="3759"/>
        <v>Arvind Kulkarni</v>
      </c>
      <c r="U1878" s="14" t="str">
        <f t="shared" si="3759"/>
        <v>Juhu</v>
      </c>
      <c r="V1878" s="14" t="str">
        <f t="shared" si="4"/>
        <v>Cucumber</v>
      </c>
      <c r="W1878" s="14">
        <f t="shared" si="5"/>
        <v>2</v>
      </c>
      <c r="X1878" s="14" t="str">
        <f t="shared" si="6"/>
        <v>Ram Gopal</v>
      </c>
      <c r="Y1878" s="15">
        <f t="shared" si="7"/>
        <v>45219</v>
      </c>
      <c r="Z1878" s="14" t="str">
        <f t="shared" si="8"/>
        <v>Online Payment</v>
      </c>
      <c r="AA1878" s="14" t="str">
        <f t="shared" si="9"/>
        <v>Delivered</v>
      </c>
      <c r="AB1878" s="14" t="str">
        <f t="shared" ref="AB1878:AC1878" si="3760">trim(Q1878)</f>
        <v>Packaging</v>
      </c>
      <c r="AC1878" s="14" t="str">
        <f t="shared" si="3760"/>
        <v>Secure and intact</v>
      </c>
      <c r="AD1878" s="8"/>
    </row>
    <row r="1879">
      <c r="A1879" s="14" t="str">
        <f>IFERROR(__xludf.DUMMYFUNCTION("""COMPUTED_VALUE"""),"//ord_81857//Aarohi Kapoor//Bandra//Sweet Corn+1*Ramesh S/2/17/2023//UPI//Delivered*Satisfied with the Delivery: Timely and quality")</f>
        <v>//ord_81857//Aarohi Kapoor//Bandra//Sweet Corn+1*Ramesh S/2/17/2023//UPI//Delivered*Satisfied with the Delivery: Timely and quality</v>
      </c>
      <c r="B1879" s="14" t="str">
        <f>IFERROR(__xludf.DUMMYFUNCTION("split(A1879,""//"")"),"ord_81857")</f>
        <v>ord_81857</v>
      </c>
      <c r="C1879" s="14" t="str">
        <f>IFERROR(__xludf.DUMMYFUNCTION("""COMPUTED_VALUE"""),"Aarohi Kapoor")</f>
        <v>Aarohi Kapoor</v>
      </c>
      <c r="D1879" s="14" t="str">
        <f>IFERROR(__xludf.DUMMYFUNCTION("""COMPUTED_VALUE"""),"Bandra")</f>
        <v>Bandra</v>
      </c>
      <c r="E1879" s="14" t="str">
        <f>IFERROR(__xludf.DUMMYFUNCTION("""COMPUTED_VALUE"""),"Sweet Corn+1*Ramesh S")</f>
        <v>Sweet Corn+1*Ramesh S</v>
      </c>
      <c r="F1879" s="14">
        <f>IFERROR(__xludf.DUMMYFUNCTION("""COMPUTED_VALUE"""),2.0)</f>
        <v>2</v>
      </c>
      <c r="G1879" s="14">
        <f>IFERROR(__xludf.DUMMYFUNCTION("""COMPUTED_VALUE"""),17.0)</f>
        <v>17</v>
      </c>
      <c r="H1879" s="14">
        <f>IFERROR(__xludf.DUMMYFUNCTION("""COMPUTED_VALUE"""),2023.0)</f>
        <v>2023</v>
      </c>
      <c r="I1879" s="14" t="str">
        <f>IFERROR(__xludf.DUMMYFUNCTION("""COMPUTED_VALUE"""),"UPI")</f>
        <v>UPI</v>
      </c>
      <c r="J1879" s="14" t="str">
        <f>IFERROR(__xludf.DUMMYFUNCTION("""COMPUTED_VALUE"""),"Delivered*Satisfied with the Delivery: Timely and quality")</f>
        <v>Delivered*Satisfied with the Delivery: Timely and quality</v>
      </c>
      <c r="K1879" s="14" t="str">
        <f>IFERROR(__xludf.DUMMYFUNCTION("split(E1879,""+"")"),"Sweet Corn")</f>
        <v>Sweet Corn</v>
      </c>
      <c r="L1879" s="14" t="str">
        <f>IFERROR(__xludf.DUMMYFUNCTION("""COMPUTED_VALUE"""),"1*Ramesh S")</f>
        <v>1*Ramesh S</v>
      </c>
      <c r="M1879" s="14">
        <f>IFERROR(__xludf.DUMMYFUNCTION("SPLIT(L1879,""*"")"),1.0)</f>
        <v>1</v>
      </c>
      <c r="N1879" s="14" t="str">
        <f>IFERROR(__xludf.DUMMYFUNCTION("""COMPUTED_VALUE"""),"Ramesh S")</f>
        <v>Ramesh S</v>
      </c>
      <c r="O1879" s="14" t="str">
        <f>IFERROR(__xludf.DUMMYFUNCTION("split(J1879,""*"")"),"Delivered")</f>
        <v>Delivered</v>
      </c>
      <c r="P1879" s="14" t="str">
        <f>IFERROR(__xludf.DUMMYFUNCTION("""COMPUTED_VALUE"""),"Satisfied with the Delivery: Timely and quality")</f>
        <v>Satisfied with the Delivery: Timely and quality</v>
      </c>
      <c r="Q1879" s="14" t="str">
        <f>IFERROR(__xludf.DUMMYFUNCTION("split(P1879,"":"")"),"Satisfied with the Delivery")</f>
        <v>Satisfied with the Delivery</v>
      </c>
      <c r="R1879" s="14" t="str">
        <f>IFERROR(__xludf.DUMMYFUNCTION("""COMPUTED_VALUE""")," Timely and quality")</f>
        <v> Timely and quality</v>
      </c>
      <c r="S1879" s="14" t="str">
        <f t="shared" ref="S1879:U1879" si="3761">trim(B1879)</f>
        <v>ord_81857</v>
      </c>
      <c r="T1879" s="14" t="str">
        <f t="shared" si="3761"/>
        <v>Aarohi Kapoor</v>
      </c>
      <c r="U1879" s="14" t="str">
        <f t="shared" si="3761"/>
        <v>Bandra</v>
      </c>
      <c r="V1879" s="14" t="str">
        <f t="shared" si="4"/>
        <v>Sweet Corn</v>
      </c>
      <c r="W1879" s="14">
        <f t="shared" si="5"/>
        <v>1</v>
      </c>
      <c r="X1879" s="14" t="str">
        <f t="shared" si="6"/>
        <v>Ramesh S</v>
      </c>
      <c r="Y1879" s="15">
        <f t="shared" si="7"/>
        <v>44974</v>
      </c>
      <c r="Z1879" s="14" t="str">
        <f t="shared" si="8"/>
        <v>UPI</v>
      </c>
      <c r="AA1879" s="14" t="str">
        <f t="shared" si="9"/>
        <v>Delivered</v>
      </c>
      <c r="AB1879" s="14" t="str">
        <f t="shared" ref="AB1879:AC1879" si="3762">trim(Q1879)</f>
        <v>Satisfied with the Delivery</v>
      </c>
      <c r="AC1879" s="14" t="str">
        <f t="shared" si="3762"/>
        <v>Timely and quality</v>
      </c>
      <c r="AD1879" s="8"/>
    </row>
    <row r="1880">
      <c r="A1880" s="14" t="str">
        <f>IFERROR(__xludf.DUMMYFUNCTION("""COMPUTED_VALUE"""),"//ord_81858//Diya Arora//Lower Parel//Papaya+2*Vivek Kumar/5/24/2023//COD//Delivered*Customer Service: Seamless and easy")</f>
        <v>//ord_81858//Diya Arora//Lower Parel//Papaya+2*Vivek Kumar/5/24/2023//COD//Delivered*Customer Service: Seamless and easy</v>
      </c>
      <c r="B1880" s="14" t="str">
        <f>IFERROR(__xludf.DUMMYFUNCTION("split(A1880,""//"")"),"ord_81858")</f>
        <v>ord_81858</v>
      </c>
      <c r="C1880" s="14" t="str">
        <f>IFERROR(__xludf.DUMMYFUNCTION("""COMPUTED_VALUE"""),"Diya Arora")</f>
        <v>Diya Arora</v>
      </c>
      <c r="D1880" s="14" t="str">
        <f>IFERROR(__xludf.DUMMYFUNCTION("""COMPUTED_VALUE"""),"Lower Parel")</f>
        <v>Lower Parel</v>
      </c>
      <c r="E1880" s="14" t="str">
        <f>IFERROR(__xludf.DUMMYFUNCTION("""COMPUTED_VALUE"""),"Papaya+2*Vivek Kumar")</f>
        <v>Papaya+2*Vivek Kumar</v>
      </c>
      <c r="F1880" s="14">
        <f>IFERROR(__xludf.DUMMYFUNCTION("""COMPUTED_VALUE"""),5.0)</f>
        <v>5</v>
      </c>
      <c r="G1880" s="14">
        <f>IFERROR(__xludf.DUMMYFUNCTION("""COMPUTED_VALUE"""),24.0)</f>
        <v>24</v>
      </c>
      <c r="H1880" s="14">
        <f>IFERROR(__xludf.DUMMYFUNCTION("""COMPUTED_VALUE"""),2023.0)</f>
        <v>2023</v>
      </c>
      <c r="I1880" s="14" t="str">
        <f>IFERROR(__xludf.DUMMYFUNCTION("""COMPUTED_VALUE"""),"COD")</f>
        <v>COD</v>
      </c>
      <c r="J1880" s="14" t="str">
        <f>IFERROR(__xludf.DUMMYFUNCTION("""COMPUTED_VALUE"""),"Delivered*Customer Service: Seamless and easy")</f>
        <v>Delivered*Customer Service: Seamless and easy</v>
      </c>
      <c r="K1880" s="14" t="str">
        <f>IFERROR(__xludf.DUMMYFUNCTION("split(E1880,""+"")"),"Papaya")</f>
        <v>Papaya</v>
      </c>
      <c r="L1880" s="14" t="str">
        <f>IFERROR(__xludf.DUMMYFUNCTION("""COMPUTED_VALUE"""),"2*Vivek Kumar")</f>
        <v>2*Vivek Kumar</v>
      </c>
      <c r="M1880" s="14">
        <f>IFERROR(__xludf.DUMMYFUNCTION("SPLIT(L1880,""*"")"),2.0)</f>
        <v>2</v>
      </c>
      <c r="N1880" s="14" t="str">
        <f>IFERROR(__xludf.DUMMYFUNCTION("""COMPUTED_VALUE"""),"Vivek Kumar")</f>
        <v>Vivek Kumar</v>
      </c>
      <c r="O1880" s="14" t="str">
        <f>IFERROR(__xludf.DUMMYFUNCTION("split(J1880,""*"")"),"Delivered")</f>
        <v>Delivered</v>
      </c>
      <c r="P1880" s="14" t="str">
        <f>IFERROR(__xludf.DUMMYFUNCTION("""COMPUTED_VALUE"""),"Customer Service: Seamless and easy")</f>
        <v>Customer Service: Seamless and easy</v>
      </c>
      <c r="Q1880" s="14" t="str">
        <f>IFERROR(__xludf.DUMMYFUNCTION("split(P1880,"":"")"),"Customer Service")</f>
        <v>Customer Service</v>
      </c>
      <c r="R1880" s="14" t="str">
        <f>IFERROR(__xludf.DUMMYFUNCTION("""COMPUTED_VALUE""")," Seamless and easy")</f>
        <v> Seamless and easy</v>
      </c>
      <c r="S1880" s="14" t="str">
        <f t="shared" ref="S1880:U1880" si="3763">trim(B1880)</f>
        <v>ord_81858</v>
      </c>
      <c r="T1880" s="14" t="str">
        <f t="shared" si="3763"/>
        <v>Diya Arora</v>
      </c>
      <c r="U1880" s="14" t="str">
        <f t="shared" si="3763"/>
        <v>Lower Parel</v>
      </c>
      <c r="V1880" s="14" t="str">
        <f t="shared" si="4"/>
        <v>Papaya</v>
      </c>
      <c r="W1880" s="14">
        <f t="shared" si="5"/>
        <v>2</v>
      </c>
      <c r="X1880" s="14" t="str">
        <f t="shared" si="6"/>
        <v>Vivek Kumar</v>
      </c>
      <c r="Y1880" s="15">
        <f t="shared" si="7"/>
        <v>45070</v>
      </c>
      <c r="Z1880" s="14" t="str">
        <f t="shared" si="8"/>
        <v>COD</v>
      </c>
      <c r="AA1880" s="14" t="str">
        <f t="shared" si="9"/>
        <v>Delivered</v>
      </c>
      <c r="AB1880" s="14" t="str">
        <f t="shared" ref="AB1880:AC1880" si="3764">trim(Q1880)</f>
        <v>Customer Service</v>
      </c>
      <c r="AC1880" s="14" t="str">
        <f t="shared" si="3764"/>
        <v>Seamless and easy</v>
      </c>
      <c r="AD1880" s="8"/>
    </row>
    <row r="1881">
      <c r="A1881" s="14" t="str">
        <f>IFERROR(__xludf.DUMMYFUNCTION("""COMPUTED_VALUE"""),"//ord_81859//Aarav Mehta//Andheri//Tiramisu+3*Ram Gopal/9/8/2023//UPI//Delivered*Delivery Experience: Quick and professional")</f>
        <v>//ord_81859//Aarav Mehta//Andheri//Tiramisu+3*Ram Gopal/9/8/2023//UPI//Delivered*Delivery Experience: Quick and professional</v>
      </c>
      <c r="B1881" s="14" t="str">
        <f>IFERROR(__xludf.DUMMYFUNCTION("split(A1881,""//"")"),"ord_81859")</f>
        <v>ord_81859</v>
      </c>
      <c r="C1881" s="14" t="str">
        <f>IFERROR(__xludf.DUMMYFUNCTION("""COMPUTED_VALUE"""),"Aarav Mehta")</f>
        <v>Aarav Mehta</v>
      </c>
      <c r="D1881" s="14" t="str">
        <f>IFERROR(__xludf.DUMMYFUNCTION("""COMPUTED_VALUE"""),"Andheri")</f>
        <v>Andheri</v>
      </c>
      <c r="E1881" s="14" t="str">
        <f>IFERROR(__xludf.DUMMYFUNCTION("""COMPUTED_VALUE"""),"Tiramisu+3*Ram Gopal")</f>
        <v>Tiramisu+3*Ram Gopal</v>
      </c>
      <c r="F1881" s="14">
        <f>IFERROR(__xludf.DUMMYFUNCTION("""COMPUTED_VALUE"""),9.0)</f>
        <v>9</v>
      </c>
      <c r="G1881" s="14">
        <f>IFERROR(__xludf.DUMMYFUNCTION("""COMPUTED_VALUE"""),8.0)</f>
        <v>8</v>
      </c>
      <c r="H1881" s="14">
        <f>IFERROR(__xludf.DUMMYFUNCTION("""COMPUTED_VALUE"""),2023.0)</f>
        <v>2023</v>
      </c>
      <c r="I1881" s="14" t="str">
        <f>IFERROR(__xludf.DUMMYFUNCTION("""COMPUTED_VALUE"""),"UPI")</f>
        <v>UPI</v>
      </c>
      <c r="J1881" s="14" t="str">
        <f>IFERROR(__xludf.DUMMYFUNCTION("""COMPUTED_VALUE"""),"Delivered*Delivery Experience: Quick and professional")</f>
        <v>Delivered*Delivery Experience: Quick and professional</v>
      </c>
      <c r="K1881" s="14" t="str">
        <f>IFERROR(__xludf.DUMMYFUNCTION("split(E1881,""+"")"),"Tiramisu")</f>
        <v>Tiramisu</v>
      </c>
      <c r="L1881" s="14" t="str">
        <f>IFERROR(__xludf.DUMMYFUNCTION("""COMPUTED_VALUE"""),"3*Ram Gopal")</f>
        <v>3*Ram Gopal</v>
      </c>
      <c r="M1881" s="14">
        <f>IFERROR(__xludf.DUMMYFUNCTION("SPLIT(L1881,""*"")"),3.0)</f>
        <v>3</v>
      </c>
      <c r="N1881" s="14" t="str">
        <f>IFERROR(__xludf.DUMMYFUNCTION("""COMPUTED_VALUE"""),"Ram Gopal")</f>
        <v>Ram Gopal</v>
      </c>
      <c r="O1881" s="14" t="str">
        <f>IFERROR(__xludf.DUMMYFUNCTION("split(J1881,""*"")"),"Delivered")</f>
        <v>Delivered</v>
      </c>
      <c r="P1881" s="14" t="str">
        <f>IFERROR(__xludf.DUMMYFUNCTION("""COMPUTED_VALUE"""),"Delivery Experience: Quick and professional")</f>
        <v>Delivery Experience: Quick and professional</v>
      </c>
      <c r="Q1881" s="14" t="str">
        <f>IFERROR(__xludf.DUMMYFUNCTION("split(P1881,"":"")"),"Delivery Experience")</f>
        <v>Delivery Experience</v>
      </c>
      <c r="R1881" s="14" t="str">
        <f>IFERROR(__xludf.DUMMYFUNCTION("""COMPUTED_VALUE""")," Quick and professional")</f>
        <v> Quick and professional</v>
      </c>
      <c r="S1881" s="14" t="str">
        <f t="shared" ref="S1881:U1881" si="3765">trim(B1881)</f>
        <v>ord_81859</v>
      </c>
      <c r="T1881" s="14" t="str">
        <f t="shared" si="3765"/>
        <v>Aarav Mehta</v>
      </c>
      <c r="U1881" s="14" t="str">
        <f t="shared" si="3765"/>
        <v>Andheri</v>
      </c>
      <c r="V1881" s="14" t="str">
        <f t="shared" si="4"/>
        <v>Tiramisu</v>
      </c>
      <c r="W1881" s="14">
        <f t="shared" si="5"/>
        <v>3</v>
      </c>
      <c r="X1881" s="14" t="str">
        <f t="shared" si="6"/>
        <v>Ram Gopal</v>
      </c>
      <c r="Y1881" s="15">
        <f t="shared" si="7"/>
        <v>45177</v>
      </c>
      <c r="Z1881" s="14" t="str">
        <f t="shared" si="8"/>
        <v>UPI</v>
      </c>
      <c r="AA1881" s="14" t="str">
        <f t="shared" si="9"/>
        <v>Delivered</v>
      </c>
      <c r="AB1881" s="14" t="str">
        <f t="shared" ref="AB1881:AC1881" si="3766">trim(Q1881)</f>
        <v>Delivery Experience</v>
      </c>
      <c r="AC1881" s="14" t="str">
        <f t="shared" si="3766"/>
        <v>Quick and professional</v>
      </c>
      <c r="AD1881" s="8"/>
    </row>
    <row r="1882">
      <c r="A1882" s="14" t="str">
        <f>IFERROR(__xludf.DUMMYFUNCTION("""COMPUTED_VALUE"""),"//ord_81860//Parth Goel//Juhu//Juice+1*Sita T/1/20/2023//UPI//Delivered*Convenience: Easy tracking")</f>
        <v>//ord_81860//Parth Goel//Juhu//Juice+1*Sita T/1/20/2023//UPI//Delivered*Convenience: Easy tracking</v>
      </c>
      <c r="B1882" s="14" t="str">
        <f>IFERROR(__xludf.DUMMYFUNCTION("split(A1882,""//"")"),"ord_81860")</f>
        <v>ord_81860</v>
      </c>
      <c r="C1882" s="14" t="str">
        <f>IFERROR(__xludf.DUMMYFUNCTION("""COMPUTED_VALUE"""),"Parth Goel")</f>
        <v>Parth Goel</v>
      </c>
      <c r="D1882" s="14" t="str">
        <f>IFERROR(__xludf.DUMMYFUNCTION("""COMPUTED_VALUE"""),"Juhu")</f>
        <v>Juhu</v>
      </c>
      <c r="E1882" s="14" t="str">
        <f>IFERROR(__xludf.DUMMYFUNCTION("""COMPUTED_VALUE"""),"Juice+1*Sita T")</f>
        <v>Juice+1*Sita T</v>
      </c>
      <c r="F1882" s="14">
        <f>IFERROR(__xludf.DUMMYFUNCTION("""COMPUTED_VALUE"""),1.0)</f>
        <v>1</v>
      </c>
      <c r="G1882" s="14">
        <f>IFERROR(__xludf.DUMMYFUNCTION("""COMPUTED_VALUE"""),20.0)</f>
        <v>20</v>
      </c>
      <c r="H1882" s="14">
        <f>IFERROR(__xludf.DUMMYFUNCTION("""COMPUTED_VALUE"""),2023.0)</f>
        <v>2023</v>
      </c>
      <c r="I1882" s="14" t="str">
        <f>IFERROR(__xludf.DUMMYFUNCTION("""COMPUTED_VALUE"""),"UPI")</f>
        <v>UPI</v>
      </c>
      <c r="J1882" s="14" t="str">
        <f>IFERROR(__xludf.DUMMYFUNCTION("""COMPUTED_VALUE"""),"Delivered*Convenience: Easy tracking")</f>
        <v>Delivered*Convenience: Easy tracking</v>
      </c>
      <c r="K1882" s="14" t="str">
        <f>IFERROR(__xludf.DUMMYFUNCTION("split(E1882,""+"")"),"Juice")</f>
        <v>Juice</v>
      </c>
      <c r="L1882" s="14" t="str">
        <f>IFERROR(__xludf.DUMMYFUNCTION("""COMPUTED_VALUE"""),"1*Sita T")</f>
        <v>1*Sita T</v>
      </c>
      <c r="M1882" s="14">
        <f>IFERROR(__xludf.DUMMYFUNCTION("SPLIT(L1882,""*"")"),1.0)</f>
        <v>1</v>
      </c>
      <c r="N1882" s="14" t="str">
        <f>IFERROR(__xludf.DUMMYFUNCTION("""COMPUTED_VALUE"""),"Sita T")</f>
        <v>Sita T</v>
      </c>
      <c r="O1882" s="14" t="str">
        <f>IFERROR(__xludf.DUMMYFUNCTION("split(J1882,""*"")"),"Delivered")</f>
        <v>Delivered</v>
      </c>
      <c r="P1882" s="14" t="str">
        <f>IFERROR(__xludf.DUMMYFUNCTION("""COMPUTED_VALUE"""),"Convenience: Easy tracking")</f>
        <v>Convenience: Easy tracking</v>
      </c>
      <c r="Q1882" s="14" t="str">
        <f>IFERROR(__xludf.DUMMYFUNCTION("split(P1882,"":"")"),"Convenience")</f>
        <v>Convenience</v>
      </c>
      <c r="R1882" s="14" t="str">
        <f>IFERROR(__xludf.DUMMYFUNCTION("""COMPUTED_VALUE""")," Easy tracking")</f>
        <v> Easy tracking</v>
      </c>
      <c r="S1882" s="14" t="str">
        <f t="shared" ref="S1882:U1882" si="3767">trim(B1882)</f>
        <v>ord_81860</v>
      </c>
      <c r="T1882" s="14" t="str">
        <f t="shared" si="3767"/>
        <v>Parth Goel</v>
      </c>
      <c r="U1882" s="14" t="str">
        <f t="shared" si="3767"/>
        <v>Juhu</v>
      </c>
      <c r="V1882" s="14" t="str">
        <f t="shared" si="4"/>
        <v>Juice</v>
      </c>
      <c r="W1882" s="14">
        <f t="shared" si="5"/>
        <v>1</v>
      </c>
      <c r="X1882" s="14" t="str">
        <f t="shared" si="6"/>
        <v>Sita T</v>
      </c>
      <c r="Y1882" s="15">
        <f t="shared" si="7"/>
        <v>44946</v>
      </c>
      <c r="Z1882" s="14" t="str">
        <f t="shared" si="8"/>
        <v>UPI</v>
      </c>
      <c r="AA1882" s="14" t="str">
        <f t="shared" si="9"/>
        <v>Delivered</v>
      </c>
      <c r="AB1882" s="14" t="str">
        <f t="shared" ref="AB1882:AC1882" si="3768">trim(Q1882)</f>
        <v>Convenience</v>
      </c>
      <c r="AC1882" s="14" t="str">
        <f t="shared" si="3768"/>
        <v>Easy tracking</v>
      </c>
      <c r="AD1882" s="8"/>
    </row>
    <row r="1883">
      <c r="A1883" s="14" t="str">
        <f>IFERROR(__xludf.DUMMYFUNCTION("""COMPUTED_VALUE"""),"//ord_81861//Aditi Iyer//Dadar//Tomato+1*Ramesh S/5/5/2023//UPI//Delivered*Overall Satisfaction: Great service will order again")</f>
        <v>//ord_81861//Aditi Iyer//Dadar//Tomato+1*Ramesh S/5/5/2023//UPI//Delivered*Overall Satisfaction: Great service will order again</v>
      </c>
      <c r="B1883" s="14" t="str">
        <f>IFERROR(__xludf.DUMMYFUNCTION("split(A1883,""//"")"),"ord_81861")</f>
        <v>ord_81861</v>
      </c>
      <c r="C1883" s="14" t="str">
        <f>IFERROR(__xludf.DUMMYFUNCTION("""COMPUTED_VALUE"""),"Aditi Iyer")</f>
        <v>Aditi Iyer</v>
      </c>
      <c r="D1883" s="14" t="str">
        <f>IFERROR(__xludf.DUMMYFUNCTION("""COMPUTED_VALUE"""),"Dadar")</f>
        <v>Dadar</v>
      </c>
      <c r="E1883" s="14" t="str">
        <f>IFERROR(__xludf.DUMMYFUNCTION("""COMPUTED_VALUE"""),"Tomato+1*Ramesh S")</f>
        <v>Tomato+1*Ramesh S</v>
      </c>
      <c r="F1883" s="14">
        <f>IFERROR(__xludf.DUMMYFUNCTION("""COMPUTED_VALUE"""),5.0)</f>
        <v>5</v>
      </c>
      <c r="G1883" s="14">
        <f>IFERROR(__xludf.DUMMYFUNCTION("""COMPUTED_VALUE"""),5.0)</f>
        <v>5</v>
      </c>
      <c r="H1883" s="14">
        <f>IFERROR(__xludf.DUMMYFUNCTION("""COMPUTED_VALUE"""),2023.0)</f>
        <v>2023</v>
      </c>
      <c r="I1883" s="14" t="str">
        <f>IFERROR(__xludf.DUMMYFUNCTION("""COMPUTED_VALUE"""),"UPI")</f>
        <v>UPI</v>
      </c>
      <c r="J1883" s="14" t="str">
        <f>IFERROR(__xludf.DUMMYFUNCTION("""COMPUTED_VALUE"""),"Delivered*Overall Satisfaction: Great service will order again")</f>
        <v>Delivered*Overall Satisfaction: Great service will order again</v>
      </c>
      <c r="K1883" s="14" t="str">
        <f>IFERROR(__xludf.DUMMYFUNCTION("split(E1883,""+"")"),"Tomato")</f>
        <v>Tomato</v>
      </c>
      <c r="L1883" s="14" t="str">
        <f>IFERROR(__xludf.DUMMYFUNCTION("""COMPUTED_VALUE"""),"1*Ramesh S")</f>
        <v>1*Ramesh S</v>
      </c>
      <c r="M1883" s="14">
        <f>IFERROR(__xludf.DUMMYFUNCTION("SPLIT(L1883,""*"")"),1.0)</f>
        <v>1</v>
      </c>
      <c r="N1883" s="14" t="str">
        <f>IFERROR(__xludf.DUMMYFUNCTION("""COMPUTED_VALUE"""),"Ramesh S")</f>
        <v>Ramesh S</v>
      </c>
      <c r="O1883" s="14" t="str">
        <f>IFERROR(__xludf.DUMMYFUNCTION("split(J1883,""*"")"),"Delivered")</f>
        <v>Delivered</v>
      </c>
      <c r="P1883" s="14" t="str">
        <f>IFERROR(__xludf.DUMMYFUNCTION("""COMPUTED_VALUE"""),"Overall Satisfaction: Great service will order again")</f>
        <v>Overall Satisfaction: Great service will order again</v>
      </c>
      <c r="Q1883" s="14" t="str">
        <f>IFERROR(__xludf.DUMMYFUNCTION("split(P1883,"":"")"),"Overall Satisfaction")</f>
        <v>Overall Satisfaction</v>
      </c>
      <c r="R1883" s="14" t="str">
        <f>IFERROR(__xludf.DUMMYFUNCTION("""COMPUTED_VALUE""")," Great service will order again")</f>
        <v> Great service will order again</v>
      </c>
      <c r="S1883" s="14" t="str">
        <f t="shared" ref="S1883:U1883" si="3769">trim(B1883)</f>
        <v>ord_81861</v>
      </c>
      <c r="T1883" s="14" t="str">
        <f t="shared" si="3769"/>
        <v>Aditi Iyer</v>
      </c>
      <c r="U1883" s="14" t="str">
        <f t="shared" si="3769"/>
        <v>Dadar</v>
      </c>
      <c r="V1883" s="14" t="str">
        <f t="shared" si="4"/>
        <v>Tomato</v>
      </c>
      <c r="W1883" s="14">
        <f t="shared" si="5"/>
        <v>1</v>
      </c>
      <c r="X1883" s="14" t="str">
        <f t="shared" si="6"/>
        <v>Ramesh S</v>
      </c>
      <c r="Y1883" s="15">
        <f t="shared" si="7"/>
        <v>45051</v>
      </c>
      <c r="Z1883" s="14" t="str">
        <f t="shared" si="8"/>
        <v>UPI</v>
      </c>
      <c r="AA1883" s="14" t="str">
        <f t="shared" si="9"/>
        <v>Delivered</v>
      </c>
      <c r="AB1883" s="14" t="str">
        <f t="shared" ref="AB1883:AC1883" si="3770">trim(Q1883)</f>
        <v>Overall Satisfaction</v>
      </c>
      <c r="AC1883" s="14" t="str">
        <f t="shared" si="3770"/>
        <v>Great service will order again</v>
      </c>
      <c r="AD1883" s="8"/>
    </row>
    <row r="1884">
      <c r="A1884" s="14" t="str">
        <f>IFERROR(__xludf.DUMMYFUNCTION("""COMPUTED_VALUE"""),"//ord_81862//Pranav Joshi//Andheri//Cucumber+2*Manju Ajay/6/25/2023//UPI//Delivered*On-time Delivery: Delivered on time")</f>
        <v>//ord_81862//Pranav Joshi//Andheri//Cucumber+2*Manju Ajay/6/25/2023//UPI//Delivered*On-time Delivery: Delivered on time</v>
      </c>
      <c r="B1884" s="14" t="str">
        <f>IFERROR(__xludf.DUMMYFUNCTION("split(A1884,""//"")"),"ord_81862")</f>
        <v>ord_81862</v>
      </c>
      <c r="C1884" s="14" t="str">
        <f>IFERROR(__xludf.DUMMYFUNCTION("""COMPUTED_VALUE"""),"Pranav Joshi")</f>
        <v>Pranav Joshi</v>
      </c>
      <c r="D1884" s="14" t="str">
        <f>IFERROR(__xludf.DUMMYFUNCTION("""COMPUTED_VALUE"""),"Andheri")</f>
        <v>Andheri</v>
      </c>
      <c r="E1884" s="14" t="str">
        <f>IFERROR(__xludf.DUMMYFUNCTION("""COMPUTED_VALUE"""),"Cucumber+2*Manju Ajay")</f>
        <v>Cucumber+2*Manju Ajay</v>
      </c>
      <c r="F1884" s="14">
        <f>IFERROR(__xludf.DUMMYFUNCTION("""COMPUTED_VALUE"""),6.0)</f>
        <v>6</v>
      </c>
      <c r="G1884" s="14">
        <f>IFERROR(__xludf.DUMMYFUNCTION("""COMPUTED_VALUE"""),25.0)</f>
        <v>25</v>
      </c>
      <c r="H1884" s="14">
        <f>IFERROR(__xludf.DUMMYFUNCTION("""COMPUTED_VALUE"""),2023.0)</f>
        <v>2023</v>
      </c>
      <c r="I1884" s="14" t="str">
        <f>IFERROR(__xludf.DUMMYFUNCTION("""COMPUTED_VALUE"""),"UPI")</f>
        <v>UPI</v>
      </c>
      <c r="J1884" s="14" t="str">
        <f>IFERROR(__xludf.DUMMYFUNCTION("""COMPUTED_VALUE"""),"Delivered*On-time Delivery: Delivered on time")</f>
        <v>Delivered*On-time Delivery: Delivered on time</v>
      </c>
      <c r="K1884" s="14" t="str">
        <f>IFERROR(__xludf.DUMMYFUNCTION("split(E1884,""+"")"),"Cucumber")</f>
        <v>Cucumber</v>
      </c>
      <c r="L1884" s="14" t="str">
        <f>IFERROR(__xludf.DUMMYFUNCTION("""COMPUTED_VALUE"""),"2*Manju Ajay")</f>
        <v>2*Manju Ajay</v>
      </c>
      <c r="M1884" s="14">
        <f>IFERROR(__xludf.DUMMYFUNCTION("SPLIT(L1884,""*"")"),2.0)</f>
        <v>2</v>
      </c>
      <c r="N1884" s="14" t="str">
        <f>IFERROR(__xludf.DUMMYFUNCTION("""COMPUTED_VALUE"""),"Manju Ajay")</f>
        <v>Manju Ajay</v>
      </c>
      <c r="O1884" s="14" t="str">
        <f>IFERROR(__xludf.DUMMYFUNCTION("split(J1884,""*"")"),"Delivered")</f>
        <v>Delivered</v>
      </c>
      <c r="P1884" s="14" t="str">
        <f>IFERROR(__xludf.DUMMYFUNCTION("""COMPUTED_VALUE"""),"On-time Delivery: Delivered on time")</f>
        <v>On-time Delivery: Delivered on time</v>
      </c>
      <c r="Q1884" s="14" t="str">
        <f>IFERROR(__xludf.DUMMYFUNCTION("split(P1884,"":"")"),"On-time Delivery")</f>
        <v>On-time Delivery</v>
      </c>
      <c r="R1884" s="14" t="str">
        <f>IFERROR(__xludf.DUMMYFUNCTION("""COMPUTED_VALUE""")," Delivered on time")</f>
        <v> Delivered on time</v>
      </c>
      <c r="S1884" s="14" t="str">
        <f t="shared" ref="S1884:U1884" si="3771">trim(B1884)</f>
        <v>ord_81862</v>
      </c>
      <c r="T1884" s="14" t="str">
        <f t="shared" si="3771"/>
        <v>Pranav Joshi</v>
      </c>
      <c r="U1884" s="14" t="str">
        <f t="shared" si="3771"/>
        <v>Andheri</v>
      </c>
      <c r="V1884" s="14" t="str">
        <f t="shared" si="4"/>
        <v>Cucumber</v>
      </c>
      <c r="W1884" s="14">
        <f t="shared" si="5"/>
        <v>2</v>
      </c>
      <c r="X1884" s="14" t="str">
        <f t="shared" si="6"/>
        <v>Manju Ajay</v>
      </c>
      <c r="Y1884" s="15">
        <f t="shared" si="7"/>
        <v>45102</v>
      </c>
      <c r="Z1884" s="14" t="str">
        <f t="shared" si="8"/>
        <v>UPI</v>
      </c>
      <c r="AA1884" s="14" t="str">
        <f t="shared" si="9"/>
        <v>Delivered</v>
      </c>
      <c r="AB1884" s="14" t="str">
        <f t="shared" ref="AB1884:AC1884" si="3772">trim(Q1884)</f>
        <v>On-time Delivery</v>
      </c>
      <c r="AC1884" s="14" t="str">
        <f t="shared" si="3772"/>
        <v>Delivered on time</v>
      </c>
      <c r="AD1884" s="8"/>
    </row>
    <row r="1885">
      <c r="A1885" s="14" t="str">
        <f>IFERROR(__xludf.DUMMYFUNCTION("""COMPUTED_VALUE"""),"//ord_81863//Mohit Malhotra//Lower Parel//Rasmalai+3*Sita T/12/29/2023//Credit Card//Delivered*Quality of Items: Perfect condition")</f>
        <v>//ord_81863//Mohit Malhotra//Lower Parel//Rasmalai+3*Sita T/12/29/2023//Credit Card//Delivered*Quality of Items: Perfect condition</v>
      </c>
      <c r="B1885" s="14" t="str">
        <f>IFERROR(__xludf.DUMMYFUNCTION("split(A1885,""//"")"),"ord_81863")</f>
        <v>ord_81863</v>
      </c>
      <c r="C1885" s="14" t="str">
        <f>IFERROR(__xludf.DUMMYFUNCTION("""COMPUTED_VALUE"""),"Mohit Malhotra")</f>
        <v>Mohit Malhotra</v>
      </c>
      <c r="D1885" s="14" t="str">
        <f>IFERROR(__xludf.DUMMYFUNCTION("""COMPUTED_VALUE"""),"Lower Parel")</f>
        <v>Lower Parel</v>
      </c>
      <c r="E1885" s="14" t="str">
        <f>IFERROR(__xludf.DUMMYFUNCTION("""COMPUTED_VALUE"""),"Rasmalai+3*Sita T")</f>
        <v>Rasmalai+3*Sita T</v>
      </c>
      <c r="F1885" s="14">
        <f>IFERROR(__xludf.DUMMYFUNCTION("""COMPUTED_VALUE"""),12.0)</f>
        <v>12</v>
      </c>
      <c r="G1885" s="14">
        <f>IFERROR(__xludf.DUMMYFUNCTION("""COMPUTED_VALUE"""),29.0)</f>
        <v>29</v>
      </c>
      <c r="H1885" s="14">
        <f>IFERROR(__xludf.DUMMYFUNCTION("""COMPUTED_VALUE"""),2023.0)</f>
        <v>2023</v>
      </c>
      <c r="I1885" s="14" t="str">
        <f>IFERROR(__xludf.DUMMYFUNCTION("""COMPUTED_VALUE"""),"Credit Card")</f>
        <v>Credit Card</v>
      </c>
      <c r="J1885" s="14" t="str">
        <f>IFERROR(__xludf.DUMMYFUNCTION("""COMPUTED_VALUE"""),"Delivered*Quality of Items: Perfect condition")</f>
        <v>Delivered*Quality of Items: Perfect condition</v>
      </c>
      <c r="K1885" s="14" t="str">
        <f>IFERROR(__xludf.DUMMYFUNCTION("split(E1885,""+"")"),"Rasmalai")</f>
        <v>Rasmalai</v>
      </c>
      <c r="L1885" s="14" t="str">
        <f>IFERROR(__xludf.DUMMYFUNCTION("""COMPUTED_VALUE"""),"3*Sita T")</f>
        <v>3*Sita T</v>
      </c>
      <c r="M1885" s="14">
        <f>IFERROR(__xludf.DUMMYFUNCTION("SPLIT(L1885,""*"")"),3.0)</f>
        <v>3</v>
      </c>
      <c r="N1885" s="14" t="str">
        <f>IFERROR(__xludf.DUMMYFUNCTION("""COMPUTED_VALUE"""),"Sita T")</f>
        <v>Sita T</v>
      </c>
      <c r="O1885" s="14" t="str">
        <f>IFERROR(__xludf.DUMMYFUNCTION("split(J1885,""*"")"),"Delivered")</f>
        <v>Delivered</v>
      </c>
      <c r="P1885" s="14" t="str">
        <f>IFERROR(__xludf.DUMMYFUNCTION("""COMPUTED_VALUE"""),"Quality of Items: Perfect condition")</f>
        <v>Quality of Items: Perfect condition</v>
      </c>
      <c r="Q1885" s="14" t="str">
        <f>IFERROR(__xludf.DUMMYFUNCTION("split(P1885,"":"")"),"Quality of Items")</f>
        <v>Quality of Items</v>
      </c>
      <c r="R1885" s="14" t="str">
        <f>IFERROR(__xludf.DUMMYFUNCTION("""COMPUTED_VALUE""")," Perfect condition")</f>
        <v> Perfect condition</v>
      </c>
      <c r="S1885" s="14" t="str">
        <f t="shared" ref="S1885:U1885" si="3773">trim(B1885)</f>
        <v>ord_81863</v>
      </c>
      <c r="T1885" s="14" t="str">
        <f t="shared" si="3773"/>
        <v>Mohit Malhotra</v>
      </c>
      <c r="U1885" s="14" t="str">
        <f t="shared" si="3773"/>
        <v>Lower Parel</v>
      </c>
      <c r="V1885" s="14" t="str">
        <f t="shared" si="4"/>
        <v>Rasmalai</v>
      </c>
      <c r="W1885" s="14">
        <f t="shared" si="5"/>
        <v>3</v>
      </c>
      <c r="X1885" s="14" t="str">
        <f t="shared" si="6"/>
        <v>Sita T</v>
      </c>
      <c r="Y1885" s="15">
        <f t="shared" si="7"/>
        <v>45289</v>
      </c>
      <c r="Z1885" s="14" t="str">
        <f t="shared" si="8"/>
        <v>Credit Card</v>
      </c>
      <c r="AA1885" s="14" t="str">
        <f t="shared" si="9"/>
        <v>Delivered</v>
      </c>
      <c r="AB1885" s="14" t="str">
        <f t="shared" ref="AB1885:AC1885" si="3774">trim(Q1885)</f>
        <v>Quality of Items</v>
      </c>
      <c r="AC1885" s="14" t="str">
        <f t="shared" si="3774"/>
        <v>Perfect condition</v>
      </c>
      <c r="AD1885" s="8"/>
    </row>
    <row r="1886">
      <c r="A1886" s="14" t="str">
        <f>IFERROR(__xludf.DUMMYFUNCTION("""COMPUTED_VALUE"""),"//ord_81864//Arvind Kulkarni//Juhu//Guava+1*Ram Gopal/11/23/2023//Credit Card//Cancelled*Delayed Delivery:Bad Weather Conditions ")</f>
        <v>//ord_81864//Arvind Kulkarni//Juhu//Guava+1*Ram Gopal/11/23/2023//Credit Card//Cancelled*Delayed Delivery:Bad Weather Conditions </v>
      </c>
      <c r="B1886" s="14" t="str">
        <f>IFERROR(__xludf.DUMMYFUNCTION("split(A1886,""//"")"),"ord_81864")</f>
        <v>ord_81864</v>
      </c>
      <c r="C1886" s="14" t="str">
        <f>IFERROR(__xludf.DUMMYFUNCTION("""COMPUTED_VALUE"""),"Arvind Kulkarni")</f>
        <v>Arvind Kulkarni</v>
      </c>
      <c r="D1886" s="14" t="str">
        <f>IFERROR(__xludf.DUMMYFUNCTION("""COMPUTED_VALUE"""),"Juhu")</f>
        <v>Juhu</v>
      </c>
      <c r="E1886" s="14" t="str">
        <f>IFERROR(__xludf.DUMMYFUNCTION("""COMPUTED_VALUE"""),"Guava+1*Ram Gopal")</f>
        <v>Guava+1*Ram Gopal</v>
      </c>
      <c r="F1886" s="14">
        <f>IFERROR(__xludf.DUMMYFUNCTION("""COMPUTED_VALUE"""),11.0)</f>
        <v>11</v>
      </c>
      <c r="G1886" s="14">
        <f>IFERROR(__xludf.DUMMYFUNCTION("""COMPUTED_VALUE"""),23.0)</f>
        <v>23</v>
      </c>
      <c r="H1886" s="14">
        <f>IFERROR(__xludf.DUMMYFUNCTION("""COMPUTED_VALUE"""),2023.0)</f>
        <v>2023</v>
      </c>
      <c r="I1886" s="14" t="str">
        <f>IFERROR(__xludf.DUMMYFUNCTION("""COMPUTED_VALUE"""),"Credit Card")</f>
        <v>Credit Card</v>
      </c>
      <c r="J1886" s="14" t="str">
        <f>IFERROR(__xludf.DUMMYFUNCTION("""COMPUTED_VALUE"""),"Cancelled*Delayed Delivery:Bad Weather Conditions ")</f>
        <v>Cancelled*Delayed Delivery:Bad Weather Conditions </v>
      </c>
      <c r="K1886" s="14" t="str">
        <f>IFERROR(__xludf.DUMMYFUNCTION("split(E1886,""+"")"),"Guava")</f>
        <v>Guava</v>
      </c>
      <c r="L1886" s="14" t="str">
        <f>IFERROR(__xludf.DUMMYFUNCTION("""COMPUTED_VALUE"""),"1*Ram Gopal")</f>
        <v>1*Ram Gopal</v>
      </c>
      <c r="M1886" s="14">
        <f>IFERROR(__xludf.DUMMYFUNCTION("SPLIT(L1886,""*"")"),1.0)</f>
        <v>1</v>
      </c>
      <c r="N1886" s="14" t="str">
        <f>IFERROR(__xludf.DUMMYFUNCTION("""COMPUTED_VALUE"""),"Ram Gopal")</f>
        <v>Ram Gopal</v>
      </c>
      <c r="O1886" s="14" t="str">
        <f>IFERROR(__xludf.DUMMYFUNCTION("split(J1886,""*"")"),"Cancelled")</f>
        <v>Cancelled</v>
      </c>
      <c r="P1886" s="14" t="str">
        <f>IFERROR(__xludf.DUMMYFUNCTION("""COMPUTED_VALUE"""),"Delayed Delivery:Bad Weather Conditions ")</f>
        <v>Delayed Delivery:Bad Weather Conditions </v>
      </c>
      <c r="Q1886" s="14" t="str">
        <f>IFERROR(__xludf.DUMMYFUNCTION("split(P1886,"":"")"),"Delayed Delivery")</f>
        <v>Delayed Delivery</v>
      </c>
      <c r="R1886" s="14" t="str">
        <f>IFERROR(__xludf.DUMMYFUNCTION("""COMPUTED_VALUE"""),"Bad Weather Conditions ")</f>
        <v>Bad Weather Conditions </v>
      </c>
      <c r="S1886" s="14" t="str">
        <f t="shared" ref="S1886:U1886" si="3775">trim(B1886)</f>
        <v>ord_81864</v>
      </c>
      <c r="T1886" s="14" t="str">
        <f t="shared" si="3775"/>
        <v>Arvind Kulkarni</v>
      </c>
      <c r="U1886" s="14" t="str">
        <f t="shared" si="3775"/>
        <v>Juhu</v>
      </c>
      <c r="V1886" s="14" t="str">
        <f t="shared" si="4"/>
        <v>Guava</v>
      </c>
      <c r="W1886" s="14">
        <f t="shared" si="5"/>
        <v>1</v>
      </c>
      <c r="X1886" s="14" t="str">
        <f t="shared" si="6"/>
        <v>Ram Gopal</v>
      </c>
      <c r="Y1886" s="15">
        <f t="shared" si="7"/>
        <v>45253</v>
      </c>
      <c r="Z1886" s="14" t="str">
        <f t="shared" si="8"/>
        <v>Credit Card</v>
      </c>
      <c r="AA1886" s="14" t="str">
        <f t="shared" si="9"/>
        <v>Cancelled</v>
      </c>
      <c r="AB1886" s="14" t="str">
        <f t="shared" ref="AB1886:AC1886" si="3776">trim(Q1886)</f>
        <v>Delayed Delivery</v>
      </c>
      <c r="AC1886" s="14" t="str">
        <f t="shared" si="3776"/>
        <v>Bad Weather Conditions</v>
      </c>
      <c r="AD1886" s="8"/>
    </row>
    <row r="1887">
      <c r="A1887" s="14" t="str">
        <f>IFERROR(__xludf.DUMMYFUNCTION("""COMPUTED_VALUE"""),"//ord_81865//Pallavi Ghosh//Bandra//Cold Coffee+4*Ramesh S/2/2/2023//COD//Delivered*On-time Delivery: Delivered on time")</f>
        <v>//ord_81865//Pallavi Ghosh//Bandra//Cold Coffee+4*Ramesh S/2/2/2023//COD//Delivered*On-time Delivery: Delivered on time</v>
      </c>
      <c r="B1887" s="14" t="str">
        <f>IFERROR(__xludf.DUMMYFUNCTION("split(A1887,""//"")"),"ord_81865")</f>
        <v>ord_81865</v>
      </c>
      <c r="C1887" s="14" t="str">
        <f>IFERROR(__xludf.DUMMYFUNCTION("""COMPUTED_VALUE"""),"Pallavi Ghosh")</f>
        <v>Pallavi Ghosh</v>
      </c>
      <c r="D1887" s="14" t="str">
        <f>IFERROR(__xludf.DUMMYFUNCTION("""COMPUTED_VALUE"""),"Bandra")</f>
        <v>Bandra</v>
      </c>
      <c r="E1887" s="14" t="str">
        <f>IFERROR(__xludf.DUMMYFUNCTION("""COMPUTED_VALUE"""),"Cold Coffee+4*Ramesh S")</f>
        <v>Cold Coffee+4*Ramesh S</v>
      </c>
      <c r="F1887" s="14">
        <f>IFERROR(__xludf.DUMMYFUNCTION("""COMPUTED_VALUE"""),2.0)</f>
        <v>2</v>
      </c>
      <c r="G1887" s="14">
        <f>IFERROR(__xludf.DUMMYFUNCTION("""COMPUTED_VALUE"""),2.0)</f>
        <v>2</v>
      </c>
      <c r="H1887" s="14">
        <f>IFERROR(__xludf.DUMMYFUNCTION("""COMPUTED_VALUE"""),2023.0)</f>
        <v>2023</v>
      </c>
      <c r="I1887" s="14" t="str">
        <f>IFERROR(__xludf.DUMMYFUNCTION("""COMPUTED_VALUE"""),"COD")</f>
        <v>COD</v>
      </c>
      <c r="J1887" s="14" t="str">
        <f>IFERROR(__xludf.DUMMYFUNCTION("""COMPUTED_VALUE"""),"Delivered*On-time Delivery: Delivered on time")</f>
        <v>Delivered*On-time Delivery: Delivered on time</v>
      </c>
      <c r="K1887" s="14" t="str">
        <f>IFERROR(__xludf.DUMMYFUNCTION("split(E1887,""+"")"),"Cold Coffee")</f>
        <v>Cold Coffee</v>
      </c>
      <c r="L1887" s="14" t="str">
        <f>IFERROR(__xludf.DUMMYFUNCTION("""COMPUTED_VALUE"""),"4*Ramesh S")</f>
        <v>4*Ramesh S</v>
      </c>
      <c r="M1887" s="14">
        <f>IFERROR(__xludf.DUMMYFUNCTION("SPLIT(L1887,""*"")"),4.0)</f>
        <v>4</v>
      </c>
      <c r="N1887" s="14" t="str">
        <f>IFERROR(__xludf.DUMMYFUNCTION("""COMPUTED_VALUE"""),"Ramesh S")</f>
        <v>Ramesh S</v>
      </c>
      <c r="O1887" s="14" t="str">
        <f>IFERROR(__xludf.DUMMYFUNCTION("split(J1887,""*"")"),"Delivered")</f>
        <v>Delivered</v>
      </c>
      <c r="P1887" s="14" t="str">
        <f>IFERROR(__xludf.DUMMYFUNCTION("""COMPUTED_VALUE"""),"On-time Delivery: Delivered on time")</f>
        <v>On-time Delivery: Delivered on time</v>
      </c>
      <c r="Q1887" s="14" t="str">
        <f>IFERROR(__xludf.DUMMYFUNCTION("split(P1887,"":"")"),"On-time Delivery")</f>
        <v>On-time Delivery</v>
      </c>
      <c r="R1887" s="14" t="str">
        <f>IFERROR(__xludf.DUMMYFUNCTION("""COMPUTED_VALUE""")," Delivered on time")</f>
        <v> Delivered on time</v>
      </c>
      <c r="S1887" s="14" t="str">
        <f t="shared" ref="S1887:U1887" si="3777">trim(B1887)</f>
        <v>ord_81865</v>
      </c>
      <c r="T1887" s="14" t="str">
        <f t="shared" si="3777"/>
        <v>Pallavi Ghosh</v>
      </c>
      <c r="U1887" s="14" t="str">
        <f t="shared" si="3777"/>
        <v>Bandra</v>
      </c>
      <c r="V1887" s="14" t="str">
        <f t="shared" si="4"/>
        <v>Cold Coffee</v>
      </c>
      <c r="W1887" s="14">
        <f t="shared" si="5"/>
        <v>4</v>
      </c>
      <c r="X1887" s="14" t="str">
        <f t="shared" si="6"/>
        <v>Ramesh S</v>
      </c>
      <c r="Y1887" s="15">
        <f t="shared" si="7"/>
        <v>44959</v>
      </c>
      <c r="Z1887" s="14" t="str">
        <f t="shared" si="8"/>
        <v>COD</v>
      </c>
      <c r="AA1887" s="14" t="str">
        <f t="shared" si="9"/>
        <v>Delivered</v>
      </c>
      <c r="AB1887" s="14" t="str">
        <f t="shared" ref="AB1887:AC1887" si="3778">trim(Q1887)</f>
        <v>On-time Delivery</v>
      </c>
      <c r="AC1887" s="14" t="str">
        <f t="shared" si="3778"/>
        <v>Delivered on time</v>
      </c>
      <c r="AD1887" s="8"/>
    </row>
    <row r="1888">
      <c r="A1888" s="14" t="str">
        <f>IFERROR(__xludf.DUMMYFUNCTION("""COMPUTED_VALUE"""),"//ord_81866//Tanishq Bansal//Bandra//Papaya+2*Vivek Kumar/11/29/2023//Credit Card//Delivered*Quality of Items: Perfect condition")</f>
        <v>//ord_81866//Tanishq Bansal//Bandra//Papaya+2*Vivek Kumar/11/29/2023//Credit Card//Delivered*Quality of Items: Perfect condition</v>
      </c>
      <c r="B1888" s="14" t="str">
        <f>IFERROR(__xludf.DUMMYFUNCTION("split(A1888,""//"")"),"ord_81866")</f>
        <v>ord_81866</v>
      </c>
      <c r="C1888" s="14" t="str">
        <f>IFERROR(__xludf.DUMMYFUNCTION("""COMPUTED_VALUE"""),"Tanishq Bansal")</f>
        <v>Tanishq Bansal</v>
      </c>
      <c r="D1888" s="14" t="str">
        <f>IFERROR(__xludf.DUMMYFUNCTION("""COMPUTED_VALUE"""),"Bandra")</f>
        <v>Bandra</v>
      </c>
      <c r="E1888" s="14" t="str">
        <f>IFERROR(__xludf.DUMMYFUNCTION("""COMPUTED_VALUE"""),"Papaya+2*Vivek Kumar")</f>
        <v>Papaya+2*Vivek Kumar</v>
      </c>
      <c r="F1888" s="14">
        <f>IFERROR(__xludf.DUMMYFUNCTION("""COMPUTED_VALUE"""),11.0)</f>
        <v>11</v>
      </c>
      <c r="G1888" s="14">
        <f>IFERROR(__xludf.DUMMYFUNCTION("""COMPUTED_VALUE"""),29.0)</f>
        <v>29</v>
      </c>
      <c r="H1888" s="14">
        <f>IFERROR(__xludf.DUMMYFUNCTION("""COMPUTED_VALUE"""),2023.0)</f>
        <v>2023</v>
      </c>
      <c r="I1888" s="14" t="str">
        <f>IFERROR(__xludf.DUMMYFUNCTION("""COMPUTED_VALUE"""),"Credit Card")</f>
        <v>Credit Card</v>
      </c>
      <c r="J1888" s="14" t="str">
        <f>IFERROR(__xludf.DUMMYFUNCTION("""COMPUTED_VALUE"""),"Delivered*Quality of Items: Perfect condition")</f>
        <v>Delivered*Quality of Items: Perfect condition</v>
      </c>
      <c r="K1888" s="14" t="str">
        <f>IFERROR(__xludf.DUMMYFUNCTION("split(E1888,""+"")"),"Papaya")</f>
        <v>Papaya</v>
      </c>
      <c r="L1888" s="14" t="str">
        <f>IFERROR(__xludf.DUMMYFUNCTION("""COMPUTED_VALUE"""),"2*Vivek Kumar")</f>
        <v>2*Vivek Kumar</v>
      </c>
      <c r="M1888" s="14">
        <f>IFERROR(__xludf.DUMMYFUNCTION("SPLIT(L1888,""*"")"),2.0)</f>
        <v>2</v>
      </c>
      <c r="N1888" s="14" t="str">
        <f>IFERROR(__xludf.DUMMYFUNCTION("""COMPUTED_VALUE"""),"Vivek Kumar")</f>
        <v>Vivek Kumar</v>
      </c>
      <c r="O1888" s="14" t="str">
        <f>IFERROR(__xludf.DUMMYFUNCTION("split(J1888,""*"")"),"Delivered")</f>
        <v>Delivered</v>
      </c>
      <c r="P1888" s="14" t="str">
        <f>IFERROR(__xludf.DUMMYFUNCTION("""COMPUTED_VALUE"""),"Quality of Items: Perfect condition")</f>
        <v>Quality of Items: Perfect condition</v>
      </c>
      <c r="Q1888" s="14" t="str">
        <f>IFERROR(__xludf.DUMMYFUNCTION("split(P1888,"":"")"),"Quality of Items")</f>
        <v>Quality of Items</v>
      </c>
      <c r="R1888" s="14" t="str">
        <f>IFERROR(__xludf.DUMMYFUNCTION("""COMPUTED_VALUE""")," Perfect condition")</f>
        <v> Perfect condition</v>
      </c>
      <c r="S1888" s="14" t="str">
        <f t="shared" ref="S1888:U1888" si="3779">trim(B1888)</f>
        <v>ord_81866</v>
      </c>
      <c r="T1888" s="14" t="str">
        <f t="shared" si="3779"/>
        <v>Tanishq Bansal</v>
      </c>
      <c r="U1888" s="14" t="str">
        <f t="shared" si="3779"/>
        <v>Bandra</v>
      </c>
      <c r="V1888" s="14" t="str">
        <f t="shared" si="4"/>
        <v>Papaya</v>
      </c>
      <c r="W1888" s="14">
        <f t="shared" si="5"/>
        <v>2</v>
      </c>
      <c r="X1888" s="14" t="str">
        <f t="shared" si="6"/>
        <v>Vivek Kumar</v>
      </c>
      <c r="Y1888" s="15">
        <f t="shared" si="7"/>
        <v>45259</v>
      </c>
      <c r="Z1888" s="14" t="str">
        <f t="shared" si="8"/>
        <v>Credit Card</v>
      </c>
      <c r="AA1888" s="14" t="str">
        <f t="shared" si="9"/>
        <v>Delivered</v>
      </c>
      <c r="AB1888" s="14" t="str">
        <f t="shared" ref="AB1888:AC1888" si="3780">trim(Q1888)</f>
        <v>Quality of Items</v>
      </c>
      <c r="AC1888" s="14" t="str">
        <f t="shared" si="3780"/>
        <v>Perfect condition</v>
      </c>
      <c r="AD1888" s="8"/>
    </row>
    <row r="1889">
      <c r="A1889" s="14" t="str">
        <f>IFERROR(__xludf.DUMMYFUNCTION("""COMPUTED_VALUE"""),"//ord_81867//Tanishq Bansal//Bandra//Rasmalai+5*Vivek Kumar/9/12/2023//UPI//Delivered*Packaging: Secure and intact")</f>
        <v>//ord_81867//Tanishq Bansal//Bandra//Rasmalai+5*Vivek Kumar/9/12/2023//UPI//Delivered*Packaging: Secure and intact</v>
      </c>
      <c r="B1889" s="14" t="str">
        <f>IFERROR(__xludf.DUMMYFUNCTION("split(A1889,""//"")"),"ord_81867")</f>
        <v>ord_81867</v>
      </c>
      <c r="C1889" s="14" t="str">
        <f>IFERROR(__xludf.DUMMYFUNCTION("""COMPUTED_VALUE"""),"Tanishq Bansal")</f>
        <v>Tanishq Bansal</v>
      </c>
      <c r="D1889" s="14" t="str">
        <f>IFERROR(__xludf.DUMMYFUNCTION("""COMPUTED_VALUE"""),"Bandra")</f>
        <v>Bandra</v>
      </c>
      <c r="E1889" s="14" t="str">
        <f>IFERROR(__xludf.DUMMYFUNCTION("""COMPUTED_VALUE"""),"Rasmalai+5*Vivek Kumar")</f>
        <v>Rasmalai+5*Vivek Kumar</v>
      </c>
      <c r="F1889" s="14">
        <f>IFERROR(__xludf.DUMMYFUNCTION("""COMPUTED_VALUE"""),9.0)</f>
        <v>9</v>
      </c>
      <c r="G1889" s="14">
        <f>IFERROR(__xludf.DUMMYFUNCTION("""COMPUTED_VALUE"""),12.0)</f>
        <v>12</v>
      </c>
      <c r="H1889" s="14">
        <f>IFERROR(__xludf.DUMMYFUNCTION("""COMPUTED_VALUE"""),2023.0)</f>
        <v>2023</v>
      </c>
      <c r="I1889" s="14" t="str">
        <f>IFERROR(__xludf.DUMMYFUNCTION("""COMPUTED_VALUE"""),"UPI")</f>
        <v>UPI</v>
      </c>
      <c r="J1889" s="14" t="str">
        <f>IFERROR(__xludf.DUMMYFUNCTION("""COMPUTED_VALUE"""),"Delivered*Packaging: Secure and intact")</f>
        <v>Delivered*Packaging: Secure and intact</v>
      </c>
      <c r="K1889" s="14" t="str">
        <f>IFERROR(__xludf.DUMMYFUNCTION("split(E1889,""+"")"),"Rasmalai")</f>
        <v>Rasmalai</v>
      </c>
      <c r="L1889" s="14" t="str">
        <f>IFERROR(__xludf.DUMMYFUNCTION("""COMPUTED_VALUE"""),"5*Vivek Kumar")</f>
        <v>5*Vivek Kumar</v>
      </c>
      <c r="M1889" s="14">
        <f>IFERROR(__xludf.DUMMYFUNCTION("SPLIT(L1889,""*"")"),5.0)</f>
        <v>5</v>
      </c>
      <c r="N1889" s="14" t="str">
        <f>IFERROR(__xludf.DUMMYFUNCTION("""COMPUTED_VALUE"""),"Vivek Kumar")</f>
        <v>Vivek Kumar</v>
      </c>
      <c r="O1889" s="14" t="str">
        <f>IFERROR(__xludf.DUMMYFUNCTION("split(J1889,""*"")"),"Delivered")</f>
        <v>Delivered</v>
      </c>
      <c r="P1889" s="14" t="str">
        <f>IFERROR(__xludf.DUMMYFUNCTION("""COMPUTED_VALUE"""),"Packaging: Secure and intact")</f>
        <v>Packaging: Secure and intact</v>
      </c>
      <c r="Q1889" s="14" t="str">
        <f>IFERROR(__xludf.DUMMYFUNCTION("split(P1889,"":"")"),"Packaging")</f>
        <v>Packaging</v>
      </c>
      <c r="R1889" s="14" t="str">
        <f>IFERROR(__xludf.DUMMYFUNCTION("""COMPUTED_VALUE""")," Secure and intact")</f>
        <v> Secure and intact</v>
      </c>
      <c r="S1889" s="14" t="str">
        <f t="shared" ref="S1889:U1889" si="3781">trim(B1889)</f>
        <v>ord_81867</v>
      </c>
      <c r="T1889" s="14" t="str">
        <f t="shared" si="3781"/>
        <v>Tanishq Bansal</v>
      </c>
      <c r="U1889" s="14" t="str">
        <f t="shared" si="3781"/>
        <v>Bandra</v>
      </c>
      <c r="V1889" s="14" t="str">
        <f t="shared" si="4"/>
        <v>Rasmalai</v>
      </c>
      <c r="W1889" s="14">
        <f t="shared" si="5"/>
        <v>5</v>
      </c>
      <c r="X1889" s="14" t="str">
        <f t="shared" si="6"/>
        <v>Vivek Kumar</v>
      </c>
      <c r="Y1889" s="15">
        <f t="shared" si="7"/>
        <v>45181</v>
      </c>
      <c r="Z1889" s="14" t="str">
        <f t="shared" si="8"/>
        <v>UPI</v>
      </c>
      <c r="AA1889" s="14" t="str">
        <f t="shared" si="9"/>
        <v>Delivered</v>
      </c>
      <c r="AB1889" s="14" t="str">
        <f t="shared" ref="AB1889:AC1889" si="3782">trim(Q1889)</f>
        <v>Packaging</v>
      </c>
      <c r="AC1889" s="14" t="str">
        <f t="shared" si="3782"/>
        <v>Secure and intact</v>
      </c>
      <c r="AD1889" s="8"/>
    </row>
    <row r="1890">
      <c r="A1890" s="14" t="str">
        <f>IFERROR(__xludf.DUMMYFUNCTION("""COMPUTED_VALUE"""),"//ord_81868//Dev Chauhan//Bandra//Apple+2*Vivek Kumar/4/12/2023//UPI//Delivered*Satisfied with the Delivery: Timely and quality")</f>
        <v>//ord_81868//Dev Chauhan//Bandra//Apple+2*Vivek Kumar/4/12/2023//UPI//Delivered*Satisfied with the Delivery: Timely and quality</v>
      </c>
      <c r="B1890" s="14" t="str">
        <f>IFERROR(__xludf.DUMMYFUNCTION("split(A1890,""//"")"),"ord_81868")</f>
        <v>ord_81868</v>
      </c>
      <c r="C1890" s="14" t="str">
        <f>IFERROR(__xludf.DUMMYFUNCTION("""COMPUTED_VALUE"""),"Dev Chauhan")</f>
        <v>Dev Chauhan</v>
      </c>
      <c r="D1890" s="14" t="str">
        <f>IFERROR(__xludf.DUMMYFUNCTION("""COMPUTED_VALUE"""),"Bandra")</f>
        <v>Bandra</v>
      </c>
      <c r="E1890" s="14" t="str">
        <f>IFERROR(__xludf.DUMMYFUNCTION("""COMPUTED_VALUE"""),"Apple+2*Vivek Kumar")</f>
        <v>Apple+2*Vivek Kumar</v>
      </c>
      <c r="F1890" s="14">
        <f>IFERROR(__xludf.DUMMYFUNCTION("""COMPUTED_VALUE"""),4.0)</f>
        <v>4</v>
      </c>
      <c r="G1890" s="14">
        <f>IFERROR(__xludf.DUMMYFUNCTION("""COMPUTED_VALUE"""),12.0)</f>
        <v>12</v>
      </c>
      <c r="H1890" s="14">
        <f>IFERROR(__xludf.DUMMYFUNCTION("""COMPUTED_VALUE"""),2023.0)</f>
        <v>2023</v>
      </c>
      <c r="I1890" s="14" t="str">
        <f>IFERROR(__xludf.DUMMYFUNCTION("""COMPUTED_VALUE"""),"UPI")</f>
        <v>UPI</v>
      </c>
      <c r="J1890" s="14" t="str">
        <f>IFERROR(__xludf.DUMMYFUNCTION("""COMPUTED_VALUE"""),"Delivered*Satisfied with the Delivery: Timely and quality")</f>
        <v>Delivered*Satisfied with the Delivery: Timely and quality</v>
      </c>
      <c r="K1890" s="14" t="str">
        <f>IFERROR(__xludf.DUMMYFUNCTION("split(E1890,""+"")"),"Apple")</f>
        <v>Apple</v>
      </c>
      <c r="L1890" s="14" t="str">
        <f>IFERROR(__xludf.DUMMYFUNCTION("""COMPUTED_VALUE"""),"2*Vivek Kumar")</f>
        <v>2*Vivek Kumar</v>
      </c>
      <c r="M1890" s="14">
        <f>IFERROR(__xludf.DUMMYFUNCTION("SPLIT(L1890,""*"")"),2.0)</f>
        <v>2</v>
      </c>
      <c r="N1890" s="14" t="str">
        <f>IFERROR(__xludf.DUMMYFUNCTION("""COMPUTED_VALUE"""),"Vivek Kumar")</f>
        <v>Vivek Kumar</v>
      </c>
      <c r="O1890" s="14" t="str">
        <f>IFERROR(__xludf.DUMMYFUNCTION("split(J1890,""*"")"),"Delivered")</f>
        <v>Delivered</v>
      </c>
      <c r="P1890" s="14" t="str">
        <f>IFERROR(__xludf.DUMMYFUNCTION("""COMPUTED_VALUE"""),"Satisfied with the Delivery: Timely and quality")</f>
        <v>Satisfied with the Delivery: Timely and quality</v>
      </c>
      <c r="Q1890" s="14" t="str">
        <f>IFERROR(__xludf.DUMMYFUNCTION("split(P1890,"":"")"),"Satisfied with the Delivery")</f>
        <v>Satisfied with the Delivery</v>
      </c>
      <c r="R1890" s="14" t="str">
        <f>IFERROR(__xludf.DUMMYFUNCTION("""COMPUTED_VALUE""")," Timely and quality")</f>
        <v> Timely and quality</v>
      </c>
      <c r="S1890" s="14" t="str">
        <f t="shared" ref="S1890:U1890" si="3783">trim(B1890)</f>
        <v>ord_81868</v>
      </c>
      <c r="T1890" s="14" t="str">
        <f t="shared" si="3783"/>
        <v>Dev Chauhan</v>
      </c>
      <c r="U1890" s="14" t="str">
        <f t="shared" si="3783"/>
        <v>Bandra</v>
      </c>
      <c r="V1890" s="14" t="str">
        <f t="shared" si="4"/>
        <v>Apple</v>
      </c>
      <c r="W1890" s="14">
        <f t="shared" si="5"/>
        <v>2</v>
      </c>
      <c r="X1890" s="14" t="str">
        <f t="shared" si="6"/>
        <v>Vivek Kumar</v>
      </c>
      <c r="Y1890" s="15">
        <f t="shared" si="7"/>
        <v>45028</v>
      </c>
      <c r="Z1890" s="14" t="str">
        <f t="shared" si="8"/>
        <v>UPI</v>
      </c>
      <c r="AA1890" s="14" t="str">
        <f t="shared" si="9"/>
        <v>Delivered</v>
      </c>
      <c r="AB1890" s="14" t="str">
        <f t="shared" ref="AB1890:AC1890" si="3784">trim(Q1890)</f>
        <v>Satisfied with the Delivery</v>
      </c>
      <c r="AC1890" s="14" t="str">
        <f t="shared" si="3784"/>
        <v>Timely and quality</v>
      </c>
      <c r="AD1890" s="8"/>
    </row>
    <row r="1891">
      <c r="A1891" s="14" t="str">
        <f>IFERROR(__xludf.DUMMYFUNCTION("""COMPUTED_VALUE"""),"//ord_81869//Arvind Kulkarni//Juhu//Icecream+2*Vivek Kumar/10/25/2023//Credit Card//Delivered*Customer Service: Seamless and easy")</f>
        <v>//ord_81869//Arvind Kulkarni//Juhu//Icecream+2*Vivek Kumar/10/25/2023//Credit Card//Delivered*Customer Service: Seamless and easy</v>
      </c>
      <c r="B1891" s="14" t="str">
        <f>IFERROR(__xludf.DUMMYFUNCTION("split(A1891,""//"")"),"ord_81869")</f>
        <v>ord_81869</v>
      </c>
      <c r="C1891" s="14" t="str">
        <f>IFERROR(__xludf.DUMMYFUNCTION("""COMPUTED_VALUE"""),"Arvind Kulkarni")</f>
        <v>Arvind Kulkarni</v>
      </c>
      <c r="D1891" s="14" t="str">
        <f>IFERROR(__xludf.DUMMYFUNCTION("""COMPUTED_VALUE"""),"Juhu")</f>
        <v>Juhu</v>
      </c>
      <c r="E1891" s="14" t="str">
        <f>IFERROR(__xludf.DUMMYFUNCTION("""COMPUTED_VALUE"""),"Icecream+2*Vivek Kumar")</f>
        <v>Icecream+2*Vivek Kumar</v>
      </c>
      <c r="F1891" s="14">
        <f>IFERROR(__xludf.DUMMYFUNCTION("""COMPUTED_VALUE"""),10.0)</f>
        <v>10</v>
      </c>
      <c r="G1891" s="14">
        <f>IFERROR(__xludf.DUMMYFUNCTION("""COMPUTED_VALUE"""),25.0)</f>
        <v>25</v>
      </c>
      <c r="H1891" s="14">
        <f>IFERROR(__xludf.DUMMYFUNCTION("""COMPUTED_VALUE"""),2023.0)</f>
        <v>2023</v>
      </c>
      <c r="I1891" s="14" t="str">
        <f>IFERROR(__xludf.DUMMYFUNCTION("""COMPUTED_VALUE"""),"Credit Card")</f>
        <v>Credit Card</v>
      </c>
      <c r="J1891" s="14" t="str">
        <f>IFERROR(__xludf.DUMMYFUNCTION("""COMPUTED_VALUE"""),"Delivered*Customer Service: Seamless and easy")</f>
        <v>Delivered*Customer Service: Seamless and easy</v>
      </c>
      <c r="K1891" s="14" t="str">
        <f>IFERROR(__xludf.DUMMYFUNCTION("split(E1891,""+"")"),"Icecream")</f>
        <v>Icecream</v>
      </c>
      <c r="L1891" s="14" t="str">
        <f>IFERROR(__xludf.DUMMYFUNCTION("""COMPUTED_VALUE"""),"2*Vivek Kumar")</f>
        <v>2*Vivek Kumar</v>
      </c>
      <c r="M1891" s="14">
        <f>IFERROR(__xludf.DUMMYFUNCTION("SPLIT(L1891,""*"")"),2.0)</f>
        <v>2</v>
      </c>
      <c r="N1891" s="14" t="str">
        <f>IFERROR(__xludf.DUMMYFUNCTION("""COMPUTED_VALUE"""),"Vivek Kumar")</f>
        <v>Vivek Kumar</v>
      </c>
      <c r="O1891" s="14" t="str">
        <f>IFERROR(__xludf.DUMMYFUNCTION("split(J1891,""*"")"),"Delivered")</f>
        <v>Delivered</v>
      </c>
      <c r="P1891" s="14" t="str">
        <f>IFERROR(__xludf.DUMMYFUNCTION("""COMPUTED_VALUE"""),"Customer Service: Seamless and easy")</f>
        <v>Customer Service: Seamless and easy</v>
      </c>
      <c r="Q1891" s="14" t="str">
        <f>IFERROR(__xludf.DUMMYFUNCTION("split(P1891,"":"")"),"Customer Service")</f>
        <v>Customer Service</v>
      </c>
      <c r="R1891" s="14" t="str">
        <f>IFERROR(__xludf.DUMMYFUNCTION("""COMPUTED_VALUE""")," Seamless and easy")</f>
        <v> Seamless and easy</v>
      </c>
      <c r="S1891" s="14" t="str">
        <f t="shared" ref="S1891:U1891" si="3785">trim(B1891)</f>
        <v>ord_81869</v>
      </c>
      <c r="T1891" s="14" t="str">
        <f t="shared" si="3785"/>
        <v>Arvind Kulkarni</v>
      </c>
      <c r="U1891" s="14" t="str">
        <f t="shared" si="3785"/>
        <v>Juhu</v>
      </c>
      <c r="V1891" s="14" t="str">
        <f t="shared" si="4"/>
        <v>Icecream</v>
      </c>
      <c r="W1891" s="14">
        <f t="shared" si="5"/>
        <v>2</v>
      </c>
      <c r="X1891" s="14" t="str">
        <f t="shared" si="6"/>
        <v>Vivek Kumar</v>
      </c>
      <c r="Y1891" s="15">
        <f t="shared" si="7"/>
        <v>45224</v>
      </c>
      <c r="Z1891" s="14" t="str">
        <f t="shared" si="8"/>
        <v>Credit Card</v>
      </c>
      <c r="AA1891" s="14" t="str">
        <f t="shared" si="9"/>
        <v>Delivered</v>
      </c>
      <c r="AB1891" s="14" t="str">
        <f t="shared" ref="AB1891:AC1891" si="3786">trim(Q1891)</f>
        <v>Customer Service</v>
      </c>
      <c r="AC1891" s="14" t="str">
        <f t="shared" si="3786"/>
        <v>Seamless and easy</v>
      </c>
      <c r="AD1891" s="8"/>
    </row>
    <row r="1892">
      <c r="A1892" s="14" t="str">
        <f>IFERROR(__xludf.DUMMYFUNCTION("""COMPUTED_VALUE"""),"//ord_81870//Parth Goel//Juhu//Chocolate Mousse+4*Tanvi Jain/5/19/2023//Online Payment//Delivered*Delivery Experience: Quick and professional")</f>
        <v>//ord_81870//Parth Goel//Juhu//Chocolate Mousse+4*Tanvi Jain/5/19/2023//Online Payment//Delivered*Delivery Experience: Quick and professional</v>
      </c>
      <c r="B1892" s="14" t="str">
        <f>IFERROR(__xludf.DUMMYFUNCTION("split(A1892,""//"")"),"ord_81870")</f>
        <v>ord_81870</v>
      </c>
      <c r="C1892" s="14" t="str">
        <f>IFERROR(__xludf.DUMMYFUNCTION("""COMPUTED_VALUE"""),"Parth Goel")</f>
        <v>Parth Goel</v>
      </c>
      <c r="D1892" s="14" t="str">
        <f>IFERROR(__xludf.DUMMYFUNCTION("""COMPUTED_VALUE"""),"Juhu")</f>
        <v>Juhu</v>
      </c>
      <c r="E1892" s="14" t="str">
        <f>IFERROR(__xludf.DUMMYFUNCTION("""COMPUTED_VALUE"""),"Chocolate Mousse+4*Tanvi Jain")</f>
        <v>Chocolate Mousse+4*Tanvi Jain</v>
      </c>
      <c r="F1892" s="14">
        <f>IFERROR(__xludf.DUMMYFUNCTION("""COMPUTED_VALUE"""),5.0)</f>
        <v>5</v>
      </c>
      <c r="G1892" s="14">
        <f>IFERROR(__xludf.DUMMYFUNCTION("""COMPUTED_VALUE"""),19.0)</f>
        <v>19</v>
      </c>
      <c r="H1892" s="14">
        <f>IFERROR(__xludf.DUMMYFUNCTION("""COMPUTED_VALUE"""),2023.0)</f>
        <v>2023</v>
      </c>
      <c r="I1892" s="14" t="str">
        <f>IFERROR(__xludf.DUMMYFUNCTION("""COMPUTED_VALUE"""),"Online Payment")</f>
        <v>Online Payment</v>
      </c>
      <c r="J1892" s="14" t="str">
        <f>IFERROR(__xludf.DUMMYFUNCTION("""COMPUTED_VALUE"""),"Delivered*Delivery Experience: Quick and professional")</f>
        <v>Delivered*Delivery Experience: Quick and professional</v>
      </c>
      <c r="K1892" s="14" t="str">
        <f>IFERROR(__xludf.DUMMYFUNCTION("split(E1892,""+"")"),"Chocolate Mousse")</f>
        <v>Chocolate Mousse</v>
      </c>
      <c r="L1892" s="14" t="str">
        <f>IFERROR(__xludf.DUMMYFUNCTION("""COMPUTED_VALUE"""),"4*Tanvi Jain")</f>
        <v>4*Tanvi Jain</v>
      </c>
      <c r="M1892" s="14">
        <f>IFERROR(__xludf.DUMMYFUNCTION("SPLIT(L1892,""*"")"),4.0)</f>
        <v>4</v>
      </c>
      <c r="N1892" s="14" t="str">
        <f>IFERROR(__xludf.DUMMYFUNCTION("""COMPUTED_VALUE"""),"Tanvi Jain")</f>
        <v>Tanvi Jain</v>
      </c>
      <c r="O1892" s="14" t="str">
        <f>IFERROR(__xludf.DUMMYFUNCTION("split(J1892,""*"")"),"Delivered")</f>
        <v>Delivered</v>
      </c>
      <c r="P1892" s="14" t="str">
        <f>IFERROR(__xludf.DUMMYFUNCTION("""COMPUTED_VALUE"""),"Delivery Experience: Quick and professional")</f>
        <v>Delivery Experience: Quick and professional</v>
      </c>
      <c r="Q1892" s="14" t="str">
        <f>IFERROR(__xludf.DUMMYFUNCTION("split(P1892,"":"")"),"Delivery Experience")</f>
        <v>Delivery Experience</v>
      </c>
      <c r="R1892" s="14" t="str">
        <f>IFERROR(__xludf.DUMMYFUNCTION("""COMPUTED_VALUE""")," Quick and professional")</f>
        <v> Quick and professional</v>
      </c>
      <c r="S1892" s="14" t="str">
        <f t="shared" ref="S1892:U1892" si="3787">trim(B1892)</f>
        <v>ord_81870</v>
      </c>
      <c r="T1892" s="14" t="str">
        <f t="shared" si="3787"/>
        <v>Parth Goel</v>
      </c>
      <c r="U1892" s="14" t="str">
        <f t="shared" si="3787"/>
        <v>Juhu</v>
      </c>
      <c r="V1892" s="14" t="str">
        <f t="shared" si="4"/>
        <v>Chocolate Mousse</v>
      </c>
      <c r="W1892" s="14">
        <f t="shared" si="5"/>
        <v>4</v>
      </c>
      <c r="X1892" s="14" t="str">
        <f t="shared" si="6"/>
        <v>Tanvi Jain</v>
      </c>
      <c r="Y1892" s="15">
        <f t="shared" si="7"/>
        <v>45065</v>
      </c>
      <c r="Z1892" s="14" t="str">
        <f t="shared" si="8"/>
        <v>Online Payment</v>
      </c>
      <c r="AA1892" s="14" t="str">
        <f t="shared" si="9"/>
        <v>Delivered</v>
      </c>
      <c r="AB1892" s="14" t="str">
        <f t="shared" ref="AB1892:AC1892" si="3788">trim(Q1892)</f>
        <v>Delivery Experience</v>
      </c>
      <c r="AC1892" s="14" t="str">
        <f t="shared" si="3788"/>
        <v>Quick and professional</v>
      </c>
      <c r="AD1892" s="8"/>
    </row>
    <row r="1893">
      <c r="A1893" s="14" t="str">
        <f>IFERROR(__xludf.DUMMYFUNCTION("""COMPUTED_VALUE"""),"//ord_81871//Mehul Thakkar//Malad//Juice+4*Neha Shah/4/6/2023//UPI//Delivered*Convenience: Easy tracking")</f>
        <v>//ord_81871//Mehul Thakkar//Malad//Juice+4*Neha Shah/4/6/2023//UPI//Delivered*Convenience: Easy tracking</v>
      </c>
      <c r="B1893" s="14" t="str">
        <f>IFERROR(__xludf.DUMMYFUNCTION("split(A1893,""//"")"),"ord_81871")</f>
        <v>ord_81871</v>
      </c>
      <c r="C1893" s="14" t="str">
        <f>IFERROR(__xludf.DUMMYFUNCTION("""COMPUTED_VALUE"""),"Mehul Thakkar")</f>
        <v>Mehul Thakkar</v>
      </c>
      <c r="D1893" s="14" t="str">
        <f>IFERROR(__xludf.DUMMYFUNCTION("""COMPUTED_VALUE"""),"Malad")</f>
        <v>Malad</v>
      </c>
      <c r="E1893" s="14" t="str">
        <f>IFERROR(__xludf.DUMMYFUNCTION("""COMPUTED_VALUE"""),"Juice+4*Neha Shah")</f>
        <v>Juice+4*Neha Shah</v>
      </c>
      <c r="F1893" s="14">
        <f>IFERROR(__xludf.DUMMYFUNCTION("""COMPUTED_VALUE"""),4.0)</f>
        <v>4</v>
      </c>
      <c r="G1893" s="14">
        <f>IFERROR(__xludf.DUMMYFUNCTION("""COMPUTED_VALUE"""),6.0)</f>
        <v>6</v>
      </c>
      <c r="H1893" s="14">
        <f>IFERROR(__xludf.DUMMYFUNCTION("""COMPUTED_VALUE"""),2023.0)</f>
        <v>2023</v>
      </c>
      <c r="I1893" s="14" t="str">
        <f>IFERROR(__xludf.DUMMYFUNCTION("""COMPUTED_VALUE"""),"UPI")</f>
        <v>UPI</v>
      </c>
      <c r="J1893" s="14" t="str">
        <f>IFERROR(__xludf.DUMMYFUNCTION("""COMPUTED_VALUE"""),"Delivered*Convenience: Easy tracking")</f>
        <v>Delivered*Convenience: Easy tracking</v>
      </c>
      <c r="K1893" s="14" t="str">
        <f>IFERROR(__xludf.DUMMYFUNCTION("split(E1893,""+"")"),"Juice")</f>
        <v>Juice</v>
      </c>
      <c r="L1893" s="14" t="str">
        <f>IFERROR(__xludf.DUMMYFUNCTION("""COMPUTED_VALUE"""),"4*Neha Shah")</f>
        <v>4*Neha Shah</v>
      </c>
      <c r="M1893" s="14">
        <f>IFERROR(__xludf.DUMMYFUNCTION("SPLIT(L1893,""*"")"),4.0)</f>
        <v>4</v>
      </c>
      <c r="N1893" s="14" t="str">
        <f>IFERROR(__xludf.DUMMYFUNCTION("""COMPUTED_VALUE"""),"Neha Shah")</f>
        <v>Neha Shah</v>
      </c>
      <c r="O1893" s="14" t="str">
        <f>IFERROR(__xludf.DUMMYFUNCTION("split(J1893,""*"")"),"Delivered")</f>
        <v>Delivered</v>
      </c>
      <c r="P1893" s="14" t="str">
        <f>IFERROR(__xludf.DUMMYFUNCTION("""COMPUTED_VALUE"""),"Convenience: Easy tracking")</f>
        <v>Convenience: Easy tracking</v>
      </c>
      <c r="Q1893" s="14" t="str">
        <f>IFERROR(__xludf.DUMMYFUNCTION("split(P1893,"":"")"),"Convenience")</f>
        <v>Convenience</v>
      </c>
      <c r="R1893" s="14" t="str">
        <f>IFERROR(__xludf.DUMMYFUNCTION("""COMPUTED_VALUE""")," Easy tracking")</f>
        <v> Easy tracking</v>
      </c>
      <c r="S1893" s="14" t="str">
        <f t="shared" ref="S1893:U1893" si="3789">trim(B1893)</f>
        <v>ord_81871</v>
      </c>
      <c r="T1893" s="14" t="str">
        <f t="shared" si="3789"/>
        <v>Mehul Thakkar</v>
      </c>
      <c r="U1893" s="14" t="str">
        <f t="shared" si="3789"/>
        <v>Malad</v>
      </c>
      <c r="V1893" s="14" t="str">
        <f t="shared" si="4"/>
        <v>Juice</v>
      </c>
      <c r="W1893" s="14">
        <f t="shared" si="5"/>
        <v>4</v>
      </c>
      <c r="X1893" s="14" t="str">
        <f t="shared" si="6"/>
        <v>Neha Shah</v>
      </c>
      <c r="Y1893" s="15">
        <f t="shared" si="7"/>
        <v>45022</v>
      </c>
      <c r="Z1893" s="14" t="str">
        <f t="shared" si="8"/>
        <v>UPI</v>
      </c>
      <c r="AA1893" s="14" t="str">
        <f t="shared" si="9"/>
        <v>Delivered</v>
      </c>
      <c r="AB1893" s="14" t="str">
        <f t="shared" ref="AB1893:AC1893" si="3790">trim(Q1893)</f>
        <v>Convenience</v>
      </c>
      <c r="AC1893" s="14" t="str">
        <f t="shared" si="3790"/>
        <v>Easy tracking</v>
      </c>
      <c r="AD1893" s="8"/>
    </row>
    <row r="1894">
      <c r="A1894" s="14" t="str">
        <f>IFERROR(__xludf.DUMMYFUNCTION("""COMPUTED_VALUE"""),"//ord_81872//Sakshi Tandon//Colaba//Papaya+2*Nikhil Deshmukh/6/14/2023//UPI//Delivered*Overall Satisfaction: Great service will order again")</f>
        <v>//ord_81872//Sakshi Tandon//Colaba//Papaya+2*Nikhil Deshmukh/6/14/2023//UPI//Delivered*Overall Satisfaction: Great service will order again</v>
      </c>
      <c r="B1894" s="14" t="str">
        <f>IFERROR(__xludf.DUMMYFUNCTION("split(A1894,""//"")"),"ord_81872")</f>
        <v>ord_81872</v>
      </c>
      <c r="C1894" s="14" t="str">
        <f>IFERROR(__xludf.DUMMYFUNCTION("""COMPUTED_VALUE"""),"Sakshi Tandon")</f>
        <v>Sakshi Tandon</v>
      </c>
      <c r="D1894" s="14" t="str">
        <f>IFERROR(__xludf.DUMMYFUNCTION("""COMPUTED_VALUE"""),"Colaba")</f>
        <v>Colaba</v>
      </c>
      <c r="E1894" s="14" t="str">
        <f>IFERROR(__xludf.DUMMYFUNCTION("""COMPUTED_VALUE"""),"Papaya+2*Nikhil Deshmukh")</f>
        <v>Papaya+2*Nikhil Deshmukh</v>
      </c>
      <c r="F1894" s="14">
        <f>IFERROR(__xludf.DUMMYFUNCTION("""COMPUTED_VALUE"""),6.0)</f>
        <v>6</v>
      </c>
      <c r="G1894" s="14">
        <f>IFERROR(__xludf.DUMMYFUNCTION("""COMPUTED_VALUE"""),14.0)</f>
        <v>14</v>
      </c>
      <c r="H1894" s="14">
        <f>IFERROR(__xludf.DUMMYFUNCTION("""COMPUTED_VALUE"""),2023.0)</f>
        <v>2023</v>
      </c>
      <c r="I1894" s="14" t="str">
        <f>IFERROR(__xludf.DUMMYFUNCTION("""COMPUTED_VALUE"""),"UPI")</f>
        <v>UPI</v>
      </c>
      <c r="J1894" s="14" t="str">
        <f>IFERROR(__xludf.DUMMYFUNCTION("""COMPUTED_VALUE"""),"Delivered*Overall Satisfaction: Great service will order again")</f>
        <v>Delivered*Overall Satisfaction: Great service will order again</v>
      </c>
      <c r="K1894" s="14" t="str">
        <f>IFERROR(__xludf.DUMMYFUNCTION("split(E1894,""+"")"),"Papaya")</f>
        <v>Papaya</v>
      </c>
      <c r="L1894" s="14" t="str">
        <f>IFERROR(__xludf.DUMMYFUNCTION("""COMPUTED_VALUE"""),"2*Nikhil Deshmukh")</f>
        <v>2*Nikhil Deshmukh</v>
      </c>
      <c r="M1894" s="14">
        <f>IFERROR(__xludf.DUMMYFUNCTION("SPLIT(L1894,""*"")"),2.0)</f>
        <v>2</v>
      </c>
      <c r="N1894" s="14" t="str">
        <f>IFERROR(__xludf.DUMMYFUNCTION("""COMPUTED_VALUE"""),"Nikhil Deshmukh")</f>
        <v>Nikhil Deshmukh</v>
      </c>
      <c r="O1894" s="14" t="str">
        <f>IFERROR(__xludf.DUMMYFUNCTION("split(J1894,""*"")"),"Delivered")</f>
        <v>Delivered</v>
      </c>
      <c r="P1894" s="14" t="str">
        <f>IFERROR(__xludf.DUMMYFUNCTION("""COMPUTED_VALUE"""),"Overall Satisfaction: Great service will order again")</f>
        <v>Overall Satisfaction: Great service will order again</v>
      </c>
      <c r="Q1894" s="14" t="str">
        <f>IFERROR(__xludf.DUMMYFUNCTION("split(P1894,"":"")"),"Overall Satisfaction")</f>
        <v>Overall Satisfaction</v>
      </c>
      <c r="R1894" s="14" t="str">
        <f>IFERROR(__xludf.DUMMYFUNCTION("""COMPUTED_VALUE""")," Great service will order again")</f>
        <v> Great service will order again</v>
      </c>
      <c r="S1894" s="14" t="str">
        <f t="shared" ref="S1894:U1894" si="3791">trim(B1894)</f>
        <v>ord_81872</v>
      </c>
      <c r="T1894" s="14" t="str">
        <f t="shared" si="3791"/>
        <v>Sakshi Tandon</v>
      </c>
      <c r="U1894" s="14" t="str">
        <f t="shared" si="3791"/>
        <v>Colaba</v>
      </c>
      <c r="V1894" s="14" t="str">
        <f t="shared" si="4"/>
        <v>Papaya</v>
      </c>
      <c r="W1894" s="14">
        <f t="shared" si="5"/>
        <v>2</v>
      </c>
      <c r="X1894" s="14" t="str">
        <f t="shared" si="6"/>
        <v>Nikhil Deshmukh</v>
      </c>
      <c r="Y1894" s="15">
        <f t="shared" si="7"/>
        <v>45091</v>
      </c>
      <c r="Z1894" s="14" t="str">
        <f t="shared" si="8"/>
        <v>UPI</v>
      </c>
      <c r="AA1894" s="14" t="str">
        <f t="shared" si="9"/>
        <v>Delivered</v>
      </c>
      <c r="AB1894" s="14" t="str">
        <f t="shared" ref="AB1894:AC1894" si="3792">trim(Q1894)</f>
        <v>Overall Satisfaction</v>
      </c>
      <c r="AC1894" s="14" t="str">
        <f t="shared" si="3792"/>
        <v>Great service will order again</v>
      </c>
      <c r="AD1894" s="8"/>
    </row>
    <row r="1895">
      <c r="A1895" s="14" t="str">
        <f>IFERROR(__xludf.DUMMYFUNCTION("""COMPUTED_VALUE"""),"//ord_81873//Ishaan Chaturvedi//Bandra//Chilli Cheese Toast+1*Priya Joshi/1/14/2023//UPI//Delivered*On-time Delivery: Delivered on time")</f>
        <v>//ord_81873//Ishaan Chaturvedi//Bandra//Chilli Cheese Toast+1*Priya Joshi/1/14/2023//UPI//Delivered*On-time Delivery: Delivered on time</v>
      </c>
      <c r="B1895" s="14" t="str">
        <f>IFERROR(__xludf.DUMMYFUNCTION("split(A1895,""//"")"),"ord_81873")</f>
        <v>ord_81873</v>
      </c>
      <c r="C1895" s="14" t="str">
        <f>IFERROR(__xludf.DUMMYFUNCTION("""COMPUTED_VALUE"""),"Ishaan Chaturvedi")</f>
        <v>Ishaan Chaturvedi</v>
      </c>
      <c r="D1895" s="14" t="str">
        <f>IFERROR(__xludf.DUMMYFUNCTION("""COMPUTED_VALUE"""),"Bandra")</f>
        <v>Bandra</v>
      </c>
      <c r="E1895" s="14" t="str">
        <f>IFERROR(__xludf.DUMMYFUNCTION("""COMPUTED_VALUE"""),"Chilli Cheese Toast+1*Priya Joshi")</f>
        <v>Chilli Cheese Toast+1*Priya Joshi</v>
      </c>
      <c r="F1895" s="14">
        <f>IFERROR(__xludf.DUMMYFUNCTION("""COMPUTED_VALUE"""),1.0)</f>
        <v>1</v>
      </c>
      <c r="G1895" s="14">
        <f>IFERROR(__xludf.DUMMYFUNCTION("""COMPUTED_VALUE"""),14.0)</f>
        <v>14</v>
      </c>
      <c r="H1895" s="14">
        <f>IFERROR(__xludf.DUMMYFUNCTION("""COMPUTED_VALUE"""),2023.0)</f>
        <v>2023</v>
      </c>
      <c r="I1895" s="14" t="str">
        <f>IFERROR(__xludf.DUMMYFUNCTION("""COMPUTED_VALUE"""),"UPI")</f>
        <v>UPI</v>
      </c>
      <c r="J1895" s="14" t="str">
        <f>IFERROR(__xludf.DUMMYFUNCTION("""COMPUTED_VALUE"""),"Delivered*On-time Delivery: Delivered on time")</f>
        <v>Delivered*On-time Delivery: Delivered on time</v>
      </c>
      <c r="K1895" s="14" t="str">
        <f>IFERROR(__xludf.DUMMYFUNCTION("split(E1895,""+"")"),"Chilli Cheese Toast")</f>
        <v>Chilli Cheese Toast</v>
      </c>
      <c r="L1895" s="14" t="str">
        <f>IFERROR(__xludf.DUMMYFUNCTION("""COMPUTED_VALUE"""),"1*Priya Joshi")</f>
        <v>1*Priya Joshi</v>
      </c>
      <c r="M1895" s="14">
        <f>IFERROR(__xludf.DUMMYFUNCTION("SPLIT(L1895,""*"")"),1.0)</f>
        <v>1</v>
      </c>
      <c r="N1895" s="14" t="str">
        <f>IFERROR(__xludf.DUMMYFUNCTION("""COMPUTED_VALUE"""),"Priya Joshi")</f>
        <v>Priya Joshi</v>
      </c>
      <c r="O1895" s="14" t="str">
        <f>IFERROR(__xludf.DUMMYFUNCTION("split(J1895,""*"")"),"Delivered")</f>
        <v>Delivered</v>
      </c>
      <c r="P1895" s="14" t="str">
        <f>IFERROR(__xludf.DUMMYFUNCTION("""COMPUTED_VALUE"""),"On-time Delivery: Delivered on time")</f>
        <v>On-time Delivery: Delivered on time</v>
      </c>
      <c r="Q1895" s="14" t="str">
        <f>IFERROR(__xludf.DUMMYFUNCTION("split(P1895,"":"")"),"On-time Delivery")</f>
        <v>On-time Delivery</v>
      </c>
      <c r="R1895" s="14" t="str">
        <f>IFERROR(__xludf.DUMMYFUNCTION("""COMPUTED_VALUE""")," Delivered on time")</f>
        <v> Delivered on time</v>
      </c>
      <c r="S1895" s="14" t="str">
        <f t="shared" ref="S1895:U1895" si="3793">trim(B1895)</f>
        <v>ord_81873</v>
      </c>
      <c r="T1895" s="14" t="str">
        <f t="shared" si="3793"/>
        <v>Ishaan Chaturvedi</v>
      </c>
      <c r="U1895" s="14" t="str">
        <f t="shared" si="3793"/>
        <v>Bandra</v>
      </c>
      <c r="V1895" s="14" t="str">
        <f t="shared" si="4"/>
        <v>Chilli Cheese Toast</v>
      </c>
      <c r="W1895" s="14">
        <f t="shared" si="5"/>
        <v>1</v>
      </c>
      <c r="X1895" s="14" t="str">
        <f t="shared" si="6"/>
        <v>Priya Joshi</v>
      </c>
      <c r="Y1895" s="15">
        <f t="shared" si="7"/>
        <v>44940</v>
      </c>
      <c r="Z1895" s="14" t="str">
        <f t="shared" si="8"/>
        <v>UPI</v>
      </c>
      <c r="AA1895" s="14" t="str">
        <f t="shared" si="9"/>
        <v>Delivered</v>
      </c>
      <c r="AB1895" s="14" t="str">
        <f t="shared" ref="AB1895:AC1895" si="3794">trim(Q1895)</f>
        <v>On-time Delivery</v>
      </c>
      <c r="AC1895" s="14" t="str">
        <f t="shared" si="3794"/>
        <v>Delivered on time</v>
      </c>
      <c r="AD1895" s="8"/>
    </row>
    <row r="1896">
      <c r="A1896" s="14" t="str">
        <f>IFERROR(__xludf.DUMMYFUNCTION("""COMPUTED_VALUE"""),"//ord_81874//Riya Chakraborty//Juhu//Juice+9*Tanvi Jain/5/26/2023//Credit Card//Delivered*Quality of Items: Perfect condition")</f>
        <v>//ord_81874//Riya Chakraborty//Juhu//Juice+9*Tanvi Jain/5/26/2023//Credit Card//Delivered*Quality of Items: Perfect condition</v>
      </c>
      <c r="B1896" s="14" t="str">
        <f>IFERROR(__xludf.DUMMYFUNCTION("split(A1896,""//"")"),"ord_81874")</f>
        <v>ord_81874</v>
      </c>
      <c r="C1896" s="14" t="str">
        <f>IFERROR(__xludf.DUMMYFUNCTION("""COMPUTED_VALUE"""),"Riya Chakraborty")</f>
        <v>Riya Chakraborty</v>
      </c>
      <c r="D1896" s="14" t="str">
        <f>IFERROR(__xludf.DUMMYFUNCTION("""COMPUTED_VALUE"""),"Juhu")</f>
        <v>Juhu</v>
      </c>
      <c r="E1896" s="14" t="str">
        <f>IFERROR(__xludf.DUMMYFUNCTION("""COMPUTED_VALUE"""),"Juice+9*Tanvi Jain")</f>
        <v>Juice+9*Tanvi Jain</v>
      </c>
      <c r="F1896" s="14">
        <f>IFERROR(__xludf.DUMMYFUNCTION("""COMPUTED_VALUE"""),5.0)</f>
        <v>5</v>
      </c>
      <c r="G1896" s="14">
        <f>IFERROR(__xludf.DUMMYFUNCTION("""COMPUTED_VALUE"""),26.0)</f>
        <v>26</v>
      </c>
      <c r="H1896" s="14">
        <f>IFERROR(__xludf.DUMMYFUNCTION("""COMPUTED_VALUE"""),2023.0)</f>
        <v>2023</v>
      </c>
      <c r="I1896" s="14" t="str">
        <f>IFERROR(__xludf.DUMMYFUNCTION("""COMPUTED_VALUE"""),"Credit Card")</f>
        <v>Credit Card</v>
      </c>
      <c r="J1896" s="14" t="str">
        <f>IFERROR(__xludf.DUMMYFUNCTION("""COMPUTED_VALUE"""),"Delivered*Quality of Items: Perfect condition")</f>
        <v>Delivered*Quality of Items: Perfect condition</v>
      </c>
      <c r="K1896" s="14" t="str">
        <f>IFERROR(__xludf.DUMMYFUNCTION("split(E1896,""+"")"),"Juice")</f>
        <v>Juice</v>
      </c>
      <c r="L1896" s="14" t="str">
        <f>IFERROR(__xludf.DUMMYFUNCTION("""COMPUTED_VALUE"""),"9*Tanvi Jain")</f>
        <v>9*Tanvi Jain</v>
      </c>
      <c r="M1896" s="14">
        <f>IFERROR(__xludf.DUMMYFUNCTION("SPLIT(L1896,""*"")"),9.0)</f>
        <v>9</v>
      </c>
      <c r="N1896" s="14" t="str">
        <f>IFERROR(__xludf.DUMMYFUNCTION("""COMPUTED_VALUE"""),"Tanvi Jain")</f>
        <v>Tanvi Jain</v>
      </c>
      <c r="O1896" s="14" t="str">
        <f>IFERROR(__xludf.DUMMYFUNCTION("split(J1896,""*"")"),"Delivered")</f>
        <v>Delivered</v>
      </c>
      <c r="P1896" s="14" t="str">
        <f>IFERROR(__xludf.DUMMYFUNCTION("""COMPUTED_VALUE"""),"Quality of Items: Perfect condition")</f>
        <v>Quality of Items: Perfect condition</v>
      </c>
      <c r="Q1896" s="14" t="str">
        <f>IFERROR(__xludf.DUMMYFUNCTION("split(P1896,"":"")"),"Quality of Items")</f>
        <v>Quality of Items</v>
      </c>
      <c r="R1896" s="14" t="str">
        <f>IFERROR(__xludf.DUMMYFUNCTION("""COMPUTED_VALUE""")," Perfect condition")</f>
        <v> Perfect condition</v>
      </c>
      <c r="S1896" s="14" t="str">
        <f t="shared" ref="S1896:U1896" si="3795">trim(B1896)</f>
        <v>ord_81874</v>
      </c>
      <c r="T1896" s="14" t="str">
        <f t="shared" si="3795"/>
        <v>Riya Chakraborty</v>
      </c>
      <c r="U1896" s="14" t="str">
        <f t="shared" si="3795"/>
        <v>Juhu</v>
      </c>
      <c r="V1896" s="14" t="str">
        <f t="shared" si="4"/>
        <v>Juice</v>
      </c>
      <c r="W1896" s="14">
        <f t="shared" si="5"/>
        <v>9</v>
      </c>
      <c r="X1896" s="14" t="str">
        <f t="shared" si="6"/>
        <v>Tanvi Jain</v>
      </c>
      <c r="Y1896" s="15">
        <f t="shared" si="7"/>
        <v>45072</v>
      </c>
      <c r="Z1896" s="14" t="str">
        <f t="shared" si="8"/>
        <v>Credit Card</v>
      </c>
      <c r="AA1896" s="14" t="str">
        <f t="shared" si="9"/>
        <v>Delivered</v>
      </c>
      <c r="AB1896" s="14" t="str">
        <f t="shared" ref="AB1896:AC1896" si="3796">trim(Q1896)</f>
        <v>Quality of Items</v>
      </c>
      <c r="AC1896" s="14" t="str">
        <f t="shared" si="3796"/>
        <v>Perfect condition</v>
      </c>
      <c r="AD1896" s="8"/>
    </row>
    <row r="1897">
      <c r="A1897" s="14" t="str">
        <f>IFERROR(__xludf.DUMMYFUNCTION("""COMPUTED_VALUE"""),"//ord_81875//Aarohi Kapoor//Bandra//Chilli Cheese Toast+5*Priya Joshi/8/12/2023//Credit Card//Delivered*On-time Delivery: Delivered on time")</f>
        <v>//ord_81875//Aarohi Kapoor//Bandra//Chilli Cheese Toast+5*Priya Joshi/8/12/2023//Credit Card//Delivered*On-time Delivery: Delivered on time</v>
      </c>
      <c r="B1897" s="14" t="str">
        <f>IFERROR(__xludf.DUMMYFUNCTION("split(A1897,""//"")"),"ord_81875")</f>
        <v>ord_81875</v>
      </c>
      <c r="C1897" s="14" t="str">
        <f>IFERROR(__xludf.DUMMYFUNCTION("""COMPUTED_VALUE"""),"Aarohi Kapoor")</f>
        <v>Aarohi Kapoor</v>
      </c>
      <c r="D1897" s="14" t="str">
        <f>IFERROR(__xludf.DUMMYFUNCTION("""COMPUTED_VALUE"""),"Bandra")</f>
        <v>Bandra</v>
      </c>
      <c r="E1897" s="14" t="str">
        <f>IFERROR(__xludf.DUMMYFUNCTION("""COMPUTED_VALUE"""),"Chilli Cheese Toast+5*Priya Joshi")</f>
        <v>Chilli Cheese Toast+5*Priya Joshi</v>
      </c>
      <c r="F1897" s="14">
        <f>IFERROR(__xludf.DUMMYFUNCTION("""COMPUTED_VALUE"""),8.0)</f>
        <v>8</v>
      </c>
      <c r="G1897" s="14">
        <f>IFERROR(__xludf.DUMMYFUNCTION("""COMPUTED_VALUE"""),12.0)</f>
        <v>12</v>
      </c>
      <c r="H1897" s="14">
        <f>IFERROR(__xludf.DUMMYFUNCTION("""COMPUTED_VALUE"""),2023.0)</f>
        <v>2023</v>
      </c>
      <c r="I1897" s="14" t="str">
        <f>IFERROR(__xludf.DUMMYFUNCTION("""COMPUTED_VALUE"""),"Credit Card")</f>
        <v>Credit Card</v>
      </c>
      <c r="J1897" s="14" t="str">
        <f>IFERROR(__xludf.DUMMYFUNCTION("""COMPUTED_VALUE"""),"Delivered*On-time Delivery: Delivered on time")</f>
        <v>Delivered*On-time Delivery: Delivered on time</v>
      </c>
      <c r="K1897" s="14" t="str">
        <f>IFERROR(__xludf.DUMMYFUNCTION("split(E1897,""+"")"),"Chilli Cheese Toast")</f>
        <v>Chilli Cheese Toast</v>
      </c>
      <c r="L1897" s="14" t="str">
        <f>IFERROR(__xludf.DUMMYFUNCTION("""COMPUTED_VALUE"""),"5*Priya Joshi")</f>
        <v>5*Priya Joshi</v>
      </c>
      <c r="M1897" s="14">
        <f>IFERROR(__xludf.DUMMYFUNCTION("SPLIT(L1897,""*"")"),5.0)</f>
        <v>5</v>
      </c>
      <c r="N1897" s="14" t="str">
        <f>IFERROR(__xludf.DUMMYFUNCTION("""COMPUTED_VALUE"""),"Priya Joshi")</f>
        <v>Priya Joshi</v>
      </c>
      <c r="O1897" s="14" t="str">
        <f>IFERROR(__xludf.DUMMYFUNCTION("split(J1897,""*"")"),"Delivered")</f>
        <v>Delivered</v>
      </c>
      <c r="P1897" s="14" t="str">
        <f>IFERROR(__xludf.DUMMYFUNCTION("""COMPUTED_VALUE"""),"On-time Delivery: Delivered on time")</f>
        <v>On-time Delivery: Delivered on time</v>
      </c>
      <c r="Q1897" s="14" t="str">
        <f>IFERROR(__xludf.DUMMYFUNCTION("split(P1897,"":"")"),"On-time Delivery")</f>
        <v>On-time Delivery</v>
      </c>
      <c r="R1897" s="14" t="str">
        <f>IFERROR(__xludf.DUMMYFUNCTION("""COMPUTED_VALUE""")," Delivered on time")</f>
        <v> Delivered on time</v>
      </c>
      <c r="S1897" s="14" t="str">
        <f t="shared" ref="S1897:U1897" si="3797">trim(B1897)</f>
        <v>ord_81875</v>
      </c>
      <c r="T1897" s="14" t="str">
        <f t="shared" si="3797"/>
        <v>Aarohi Kapoor</v>
      </c>
      <c r="U1897" s="14" t="str">
        <f t="shared" si="3797"/>
        <v>Bandra</v>
      </c>
      <c r="V1897" s="14" t="str">
        <f t="shared" si="4"/>
        <v>Chilli Cheese Toast</v>
      </c>
      <c r="W1897" s="14">
        <f t="shared" si="5"/>
        <v>5</v>
      </c>
      <c r="X1897" s="14" t="str">
        <f t="shared" si="6"/>
        <v>Priya Joshi</v>
      </c>
      <c r="Y1897" s="15">
        <f t="shared" si="7"/>
        <v>45150</v>
      </c>
      <c r="Z1897" s="14" t="str">
        <f t="shared" si="8"/>
        <v>Credit Card</v>
      </c>
      <c r="AA1897" s="14" t="str">
        <f t="shared" si="9"/>
        <v>Delivered</v>
      </c>
      <c r="AB1897" s="14" t="str">
        <f t="shared" ref="AB1897:AC1897" si="3798">trim(Q1897)</f>
        <v>On-time Delivery</v>
      </c>
      <c r="AC1897" s="14" t="str">
        <f t="shared" si="3798"/>
        <v>Delivered on time</v>
      </c>
      <c r="AD1897" s="8"/>
    </row>
    <row r="1898">
      <c r="A1898" s="14" t="str">
        <f>IFERROR(__xludf.DUMMYFUNCTION("""COMPUTED_VALUE"""),"//ord_81876//Mehul Thakkar//Malad//Papaya+2*Not Assigned/3/9/2023//Online Payment//Cancelled*High Delivery Fees")</f>
        <v>//ord_81876//Mehul Thakkar//Malad//Papaya+2*Not Assigned/3/9/2023//Online Payment//Cancelled*High Delivery Fees</v>
      </c>
      <c r="B1898" s="14" t="str">
        <f>IFERROR(__xludf.DUMMYFUNCTION("split(A1898,""//"")"),"ord_81876")</f>
        <v>ord_81876</v>
      </c>
      <c r="C1898" s="14" t="str">
        <f>IFERROR(__xludf.DUMMYFUNCTION("""COMPUTED_VALUE"""),"Mehul Thakkar")</f>
        <v>Mehul Thakkar</v>
      </c>
      <c r="D1898" s="14" t="str">
        <f>IFERROR(__xludf.DUMMYFUNCTION("""COMPUTED_VALUE"""),"Malad")</f>
        <v>Malad</v>
      </c>
      <c r="E1898" s="14" t="str">
        <f>IFERROR(__xludf.DUMMYFUNCTION("""COMPUTED_VALUE"""),"Papaya+2*Not Assigned")</f>
        <v>Papaya+2*Not Assigned</v>
      </c>
      <c r="F1898" s="14">
        <f>IFERROR(__xludf.DUMMYFUNCTION("""COMPUTED_VALUE"""),3.0)</f>
        <v>3</v>
      </c>
      <c r="G1898" s="14">
        <f>IFERROR(__xludf.DUMMYFUNCTION("""COMPUTED_VALUE"""),9.0)</f>
        <v>9</v>
      </c>
      <c r="H1898" s="14">
        <f>IFERROR(__xludf.DUMMYFUNCTION("""COMPUTED_VALUE"""),2023.0)</f>
        <v>2023</v>
      </c>
      <c r="I1898" s="14" t="str">
        <f>IFERROR(__xludf.DUMMYFUNCTION("""COMPUTED_VALUE"""),"Online Payment")</f>
        <v>Online Payment</v>
      </c>
      <c r="J1898" s="14" t="str">
        <f>IFERROR(__xludf.DUMMYFUNCTION("""COMPUTED_VALUE"""),"Cancelled*High Delivery Fees")</f>
        <v>Cancelled*High Delivery Fees</v>
      </c>
      <c r="K1898" s="14" t="str">
        <f>IFERROR(__xludf.DUMMYFUNCTION("split(E1898,""+"")"),"Papaya")</f>
        <v>Papaya</v>
      </c>
      <c r="L1898" s="14" t="str">
        <f>IFERROR(__xludf.DUMMYFUNCTION("""COMPUTED_VALUE"""),"2*Not Assigned")</f>
        <v>2*Not Assigned</v>
      </c>
      <c r="M1898" s="14">
        <f>IFERROR(__xludf.DUMMYFUNCTION("SPLIT(L1898,""*"")"),2.0)</f>
        <v>2</v>
      </c>
      <c r="N1898" s="14" t="str">
        <f>IFERROR(__xludf.DUMMYFUNCTION("""COMPUTED_VALUE"""),"Not Assigned")</f>
        <v>Not Assigned</v>
      </c>
      <c r="O1898" s="14" t="str">
        <f>IFERROR(__xludf.DUMMYFUNCTION("split(J1898,""*"")"),"Cancelled")</f>
        <v>Cancelled</v>
      </c>
      <c r="P1898" s="14" t="str">
        <f>IFERROR(__xludf.DUMMYFUNCTION("""COMPUTED_VALUE"""),"High Delivery Fees")</f>
        <v>High Delivery Fees</v>
      </c>
      <c r="Q1898" s="14" t="str">
        <f>IFERROR(__xludf.DUMMYFUNCTION("split(P1898,"":"")"),"High Delivery Fees")</f>
        <v>High Delivery Fees</v>
      </c>
      <c r="R1898" s="14"/>
      <c r="S1898" s="14" t="str">
        <f t="shared" ref="S1898:U1898" si="3799">trim(B1898)</f>
        <v>ord_81876</v>
      </c>
      <c r="T1898" s="14" t="str">
        <f t="shared" si="3799"/>
        <v>Mehul Thakkar</v>
      </c>
      <c r="U1898" s="14" t="str">
        <f t="shared" si="3799"/>
        <v>Malad</v>
      </c>
      <c r="V1898" s="14" t="str">
        <f t="shared" si="4"/>
        <v>Papaya</v>
      </c>
      <c r="W1898" s="14">
        <f t="shared" si="5"/>
        <v>2</v>
      </c>
      <c r="X1898" s="14" t="str">
        <f t="shared" si="6"/>
        <v>Not Assigned</v>
      </c>
      <c r="Y1898" s="15">
        <f t="shared" si="7"/>
        <v>44994</v>
      </c>
      <c r="Z1898" s="14" t="str">
        <f t="shared" si="8"/>
        <v>Online Payment</v>
      </c>
      <c r="AA1898" s="14" t="str">
        <f t="shared" si="9"/>
        <v>Cancelled</v>
      </c>
      <c r="AB1898" s="14" t="str">
        <f t="shared" ref="AB1898:AC1898" si="3800">trim(Q1898)</f>
        <v>High Delivery Fees</v>
      </c>
      <c r="AC1898" s="14" t="str">
        <f t="shared" si="3800"/>
        <v/>
      </c>
      <c r="AD1898" s="8"/>
    </row>
    <row r="1899">
      <c r="A1899" s="14" t="str">
        <f>IFERROR(__xludf.DUMMYFUNCTION("""COMPUTED_VALUE"""),"//ord_81877//Aarohi Kapoor//Bandra//Apple+1*Priya Joshi/12/20/2023//UPI//Delivered*Quality of Items: Perfect condition")</f>
        <v>//ord_81877//Aarohi Kapoor//Bandra//Apple+1*Priya Joshi/12/20/2023//UPI//Delivered*Quality of Items: Perfect condition</v>
      </c>
      <c r="B1899" s="14" t="str">
        <f>IFERROR(__xludf.DUMMYFUNCTION("split(A1899,""//"")"),"ord_81877")</f>
        <v>ord_81877</v>
      </c>
      <c r="C1899" s="14" t="str">
        <f>IFERROR(__xludf.DUMMYFUNCTION("""COMPUTED_VALUE"""),"Aarohi Kapoor")</f>
        <v>Aarohi Kapoor</v>
      </c>
      <c r="D1899" s="14" t="str">
        <f>IFERROR(__xludf.DUMMYFUNCTION("""COMPUTED_VALUE"""),"Bandra")</f>
        <v>Bandra</v>
      </c>
      <c r="E1899" s="14" t="str">
        <f>IFERROR(__xludf.DUMMYFUNCTION("""COMPUTED_VALUE"""),"Apple+1*Priya Joshi")</f>
        <v>Apple+1*Priya Joshi</v>
      </c>
      <c r="F1899" s="14">
        <f>IFERROR(__xludf.DUMMYFUNCTION("""COMPUTED_VALUE"""),12.0)</f>
        <v>12</v>
      </c>
      <c r="G1899" s="14">
        <f>IFERROR(__xludf.DUMMYFUNCTION("""COMPUTED_VALUE"""),20.0)</f>
        <v>20</v>
      </c>
      <c r="H1899" s="14">
        <f>IFERROR(__xludf.DUMMYFUNCTION("""COMPUTED_VALUE"""),2023.0)</f>
        <v>2023</v>
      </c>
      <c r="I1899" s="14" t="str">
        <f>IFERROR(__xludf.DUMMYFUNCTION("""COMPUTED_VALUE"""),"UPI")</f>
        <v>UPI</v>
      </c>
      <c r="J1899" s="14" t="str">
        <f>IFERROR(__xludf.DUMMYFUNCTION("""COMPUTED_VALUE"""),"Delivered*Quality of Items: Perfect condition")</f>
        <v>Delivered*Quality of Items: Perfect condition</v>
      </c>
      <c r="K1899" s="14" t="str">
        <f>IFERROR(__xludf.DUMMYFUNCTION("split(E1899,""+"")"),"Apple")</f>
        <v>Apple</v>
      </c>
      <c r="L1899" s="14" t="str">
        <f>IFERROR(__xludf.DUMMYFUNCTION("""COMPUTED_VALUE"""),"1*Priya Joshi")</f>
        <v>1*Priya Joshi</v>
      </c>
      <c r="M1899" s="14">
        <f>IFERROR(__xludf.DUMMYFUNCTION("SPLIT(L1899,""*"")"),1.0)</f>
        <v>1</v>
      </c>
      <c r="N1899" s="14" t="str">
        <f>IFERROR(__xludf.DUMMYFUNCTION("""COMPUTED_VALUE"""),"Priya Joshi")</f>
        <v>Priya Joshi</v>
      </c>
      <c r="O1899" s="14" t="str">
        <f>IFERROR(__xludf.DUMMYFUNCTION("split(J1899,""*"")"),"Delivered")</f>
        <v>Delivered</v>
      </c>
      <c r="P1899" s="14" t="str">
        <f>IFERROR(__xludf.DUMMYFUNCTION("""COMPUTED_VALUE"""),"Quality of Items: Perfect condition")</f>
        <v>Quality of Items: Perfect condition</v>
      </c>
      <c r="Q1899" s="14" t="str">
        <f>IFERROR(__xludf.DUMMYFUNCTION("split(P1899,"":"")"),"Quality of Items")</f>
        <v>Quality of Items</v>
      </c>
      <c r="R1899" s="14" t="str">
        <f>IFERROR(__xludf.DUMMYFUNCTION("""COMPUTED_VALUE""")," Perfect condition")</f>
        <v> Perfect condition</v>
      </c>
      <c r="S1899" s="14" t="str">
        <f t="shared" ref="S1899:U1899" si="3801">trim(B1899)</f>
        <v>ord_81877</v>
      </c>
      <c r="T1899" s="14" t="str">
        <f t="shared" si="3801"/>
        <v>Aarohi Kapoor</v>
      </c>
      <c r="U1899" s="14" t="str">
        <f t="shared" si="3801"/>
        <v>Bandra</v>
      </c>
      <c r="V1899" s="14" t="str">
        <f t="shared" si="4"/>
        <v>Apple</v>
      </c>
      <c r="W1899" s="14">
        <f t="shared" si="5"/>
        <v>1</v>
      </c>
      <c r="X1899" s="14" t="str">
        <f t="shared" si="6"/>
        <v>Priya Joshi</v>
      </c>
      <c r="Y1899" s="15">
        <f t="shared" si="7"/>
        <v>45280</v>
      </c>
      <c r="Z1899" s="14" t="str">
        <f t="shared" si="8"/>
        <v>UPI</v>
      </c>
      <c r="AA1899" s="14" t="str">
        <f t="shared" si="9"/>
        <v>Delivered</v>
      </c>
      <c r="AB1899" s="14" t="str">
        <f t="shared" ref="AB1899:AC1899" si="3802">trim(Q1899)</f>
        <v>Quality of Items</v>
      </c>
      <c r="AC1899" s="14" t="str">
        <f t="shared" si="3802"/>
        <v>Perfect condition</v>
      </c>
      <c r="AD1899" s="8"/>
    </row>
    <row r="1900">
      <c r="A1900" s="14" t="str">
        <f>IFERROR(__xludf.DUMMYFUNCTION("""COMPUTED_VALUE"""),"//ord_81878//Mehul Thakkar//Malad//Tiramisu+1*Not Assigned/2/11/2023//Online Payment//Cancelled*App Glitches:Slow Loading Time")</f>
        <v>//ord_81878//Mehul Thakkar//Malad//Tiramisu+1*Not Assigned/2/11/2023//Online Payment//Cancelled*App Glitches:Slow Loading Time</v>
      </c>
      <c r="B1900" s="14" t="str">
        <f>IFERROR(__xludf.DUMMYFUNCTION("split(A1900,""//"")"),"ord_81878")</f>
        <v>ord_81878</v>
      </c>
      <c r="C1900" s="14" t="str">
        <f>IFERROR(__xludf.DUMMYFUNCTION("""COMPUTED_VALUE"""),"Mehul Thakkar")</f>
        <v>Mehul Thakkar</v>
      </c>
      <c r="D1900" s="14" t="str">
        <f>IFERROR(__xludf.DUMMYFUNCTION("""COMPUTED_VALUE"""),"Malad")</f>
        <v>Malad</v>
      </c>
      <c r="E1900" s="14" t="str">
        <f>IFERROR(__xludf.DUMMYFUNCTION("""COMPUTED_VALUE"""),"Tiramisu+1*Not Assigned")</f>
        <v>Tiramisu+1*Not Assigned</v>
      </c>
      <c r="F1900" s="14">
        <f>IFERROR(__xludf.DUMMYFUNCTION("""COMPUTED_VALUE"""),2.0)</f>
        <v>2</v>
      </c>
      <c r="G1900" s="14">
        <f>IFERROR(__xludf.DUMMYFUNCTION("""COMPUTED_VALUE"""),11.0)</f>
        <v>11</v>
      </c>
      <c r="H1900" s="14">
        <f>IFERROR(__xludf.DUMMYFUNCTION("""COMPUTED_VALUE"""),2023.0)</f>
        <v>2023</v>
      </c>
      <c r="I1900" s="14" t="str">
        <f>IFERROR(__xludf.DUMMYFUNCTION("""COMPUTED_VALUE"""),"Online Payment")</f>
        <v>Online Payment</v>
      </c>
      <c r="J1900" s="14" t="str">
        <f>IFERROR(__xludf.DUMMYFUNCTION("""COMPUTED_VALUE"""),"Cancelled*App Glitches:Slow Loading Time")</f>
        <v>Cancelled*App Glitches:Slow Loading Time</v>
      </c>
      <c r="K1900" s="14" t="str">
        <f>IFERROR(__xludf.DUMMYFUNCTION("split(E1900,""+"")"),"Tiramisu")</f>
        <v>Tiramisu</v>
      </c>
      <c r="L1900" s="14" t="str">
        <f>IFERROR(__xludf.DUMMYFUNCTION("""COMPUTED_VALUE"""),"1*Not Assigned")</f>
        <v>1*Not Assigned</v>
      </c>
      <c r="M1900" s="14">
        <f>IFERROR(__xludf.DUMMYFUNCTION("SPLIT(L1900,""*"")"),1.0)</f>
        <v>1</v>
      </c>
      <c r="N1900" s="14" t="str">
        <f>IFERROR(__xludf.DUMMYFUNCTION("""COMPUTED_VALUE"""),"Not Assigned")</f>
        <v>Not Assigned</v>
      </c>
      <c r="O1900" s="14" t="str">
        <f>IFERROR(__xludf.DUMMYFUNCTION("split(J1900,""*"")"),"Cancelled")</f>
        <v>Cancelled</v>
      </c>
      <c r="P1900" s="14" t="str">
        <f>IFERROR(__xludf.DUMMYFUNCTION("""COMPUTED_VALUE"""),"App Glitches:Slow Loading Time")</f>
        <v>App Glitches:Slow Loading Time</v>
      </c>
      <c r="Q1900" s="14" t="str">
        <f>IFERROR(__xludf.DUMMYFUNCTION("split(P1900,"":"")"),"App Glitches")</f>
        <v>App Glitches</v>
      </c>
      <c r="R1900" s="14" t="str">
        <f>IFERROR(__xludf.DUMMYFUNCTION("""COMPUTED_VALUE"""),"Slow Loading Time")</f>
        <v>Slow Loading Time</v>
      </c>
      <c r="S1900" s="14" t="str">
        <f t="shared" ref="S1900:U1900" si="3803">trim(B1900)</f>
        <v>ord_81878</v>
      </c>
      <c r="T1900" s="14" t="str">
        <f t="shared" si="3803"/>
        <v>Mehul Thakkar</v>
      </c>
      <c r="U1900" s="14" t="str">
        <f t="shared" si="3803"/>
        <v>Malad</v>
      </c>
      <c r="V1900" s="14" t="str">
        <f t="shared" si="4"/>
        <v>Tiramisu</v>
      </c>
      <c r="W1900" s="14">
        <f t="shared" si="5"/>
        <v>1</v>
      </c>
      <c r="X1900" s="14" t="str">
        <f t="shared" si="6"/>
        <v>Not Assigned</v>
      </c>
      <c r="Y1900" s="15">
        <f t="shared" si="7"/>
        <v>44968</v>
      </c>
      <c r="Z1900" s="14" t="str">
        <f t="shared" si="8"/>
        <v>Online Payment</v>
      </c>
      <c r="AA1900" s="14" t="str">
        <f t="shared" si="9"/>
        <v>Cancelled</v>
      </c>
      <c r="AB1900" s="14" t="str">
        <f t="shared" ref="AB1900:AC1900" si="3804">trim(Q1900)</f>
        <v>App Glitches</v>
      </c>
      <c r="AC1900" s="14" t="str">
        <f t="shared" si="3804"/>
        <v>Slow Loading Time</v>
      </c>
      <c r="AD1900" s="8"/>
    </row>
    <row r="1901">
      <c r="A1901" s="14" t="str">
        <f>IFERROR(__xludf.DUMMYFUNCTION("""COMPUTED_VALUE"""),"//ord_81879//Siya Reddy//Juhu//Rasmalai+5*Tanvi Jain/10/10/2023//UPI//Delivered*Packaging: Secure and intact")</f>
        <v>//ord_81879//Siya Reddy//Juhu//Rasmalai+5*Tanvi Jain/10/10/2023//UPI//Delivered*Packaging: Secure and intact</v>
      </c>
      <c r="B1901" s="14" t="str">
        <f>IFERROR(__xludf.DUMMYFUNCTION("split(A1901,""//"")"),"ord_81879")</f>
        <v>ord_81879</v>
      </c>
      <c r="C1901" s="14" t="str">
        <f>IFERROR(__xludf.DUMMYFUNCTION("""COMPUTED_VALUE"""),"Siya Reddy")</f>
        <v>Siya Reddy</v>
      </c>
      <c r="D1901" s="14" t="str">
        <f>IFERROR(__xludf.DUMMYFUNCTION("""COMPUTED_VALUE"""),"Juhu")</f>
        <v>Juhu</v>
      </c>
      <c r="E1901" s="14" t="str">
        <f>IFERROR(__xludf.DUMMYFUNCTION("""COMPUTED_VALUE"""),"Rasmalai+5*Tanvi Jain")</f>
        <v>Rasmalai+5*Tanvi Jain</v>
      </c>
      <c r="F1901" s="14">
        <f>IFERROR(__xludf.DUMMYFUNCTION("""COMPUTED_VALUE"""),10.0)</f>
        <v>10</v>
      </c>
      <c r="G1901" s="14">
        <f>IFERROR(__xludf.DUMMYFUNCTION("""COMPUTED_VALUE"""),10.0)</f>
        <v>10</v>
      </c>
      <c r="H1901" s="14">
        <f>IFERROR(__xludf.DUMMYFUNCTION("""COMPUTED_VALUE"""),2023.0)</f>
        <v>2023</v>
      </c>
      <c r="I1901" s="14" t="str">
        <f>IFERROR(__xludf.DUMMYFUNCTION("""COMPUTED_VALUE"""),"UPI")</f>
        <v>UPI</v>
      </c>
      <c r="J1901" s="14" t="str">
        <f>IFERROR(__xludf.DUMMYFUNCTION("""COMPUTED_VALUE"""),"Delivered*Packaging: Secure and intact")</f>
        <v>Delivered*Packaging: Secure and intact</v>
      </c>
      <c r="K1901" s="14" t="str">
        <f>IFERROR(__xludf.DUMMYFUNCTION("split(E1901,""+"")"),"Rasmalai")</f>
        <v>Rasmalai</v>
      </c>
      <c r="L1901" s="14" t="str">
        <f>IFERROR(__xludf.DUMMYFUNCTION("""COMPUTED_VALUE"""),"5*Tanvi Jain")</f>
        <v>5*Tanvi Jain</v>
      </c>
      <c r="M1901" s="14">
        <f>IFERROR(__xludf.DUMMYFUNCTION("SPLIT(L1901,""*"")"),5.0)</f>
        <v>5</v>
      </c>
      <c r="N1901" s="14" t="str">
        <f>IFERROR(__xludf.DUMMYFUNCTION("""COMPUTED_VALUE"""),"Tanvi Jain")</f>
        <v>Tanvi Jain</v>
      </c>
      <c r="O1901" s="14" t="str">
        <f>IFERROR(__xludf.DUMMYFUNCTION("split(J1901,""*"")"),"Delivered")</f>
        <v>Delivered</v>
      </c>
      <c r="P1901" s="14" t="str">
        <f>IFERROR(__xludf.DUMMYFUNCTION("""COMPUTED_VALUE"""),"Packaging: Secure and intact")</f>
        <v>Packaging: Secure and intact</v>
      </c>
      <c r="Q1901" s="14" t="str">
        <f>IFERROR(__xludf.DUMMYFUNCTION("split(P1901,"":"")"),"Packaging")</f>
        <v>Packaging</v>
      </c>
      <c r="R1901" s="14" t="str">
        <f>IFERROR(__xludf.DUMMYFUNCTION("""COMPUTED_VALUE""")," Secure and intact")</f>
        <v> Secure and intact</v>
      </c>
      <c r="S1901" s="14" t="str">
        <f t="shared" ref="S1901:U1901" si="3805">trim(B1901)</f>
        <v>ord_81879</v>
      </c>
      <c r="T1901" s="14" t="str">
        <f t="shared" si="3805"/>
        <v>Siya Reddy</v>
      </c>
      <c r="U1901" s="14" t="str">
        <f t="shared" si="3805"/>
        <v>Juhu</v>
      </c>
      <c r="V1901" s="14" t="str">
        <f t="shared" si="4"/>
        <v>Rasmalai</v>
      </c>
      <c r="W1901" s="14">
        <f t="shared" si="5"/>
        <v>5</v>
      </c>
      <c r="X1901" s="14" t="str">
        <f t="shared" si="6"/>
        <v>Tanvi Jain</v>
      </c>
      <c r="Y1901" s="15">
        <f t="shared" si="7"/>
        <v>45209</v>
      </c>
      <c r="Z1901" s="14" t="str">
        <f t="shared" si="8"/>
        <v>UPI</v>
      </c>
      <c r="AA1901" s="14" t="str">
        <f t="shared" si="9"/>
        <v>Delivered</v>
      </c>
      <c r="AB1901" s="14" t="str">
        <f t="shared" ref="AB1901:AC1901" si="3806">trim(Q1901)</f>
        <v>Packaging</v>
      </c>
      <c r="AC1901" s="14" t="str">
        <f t="shared" si="3806"/>
        <v>Secure and intact</v>
      </c>
      <c r="AD1901" s="8"/>
    </row>
    <row r="1902">
      <c r="A1902" s="14" t="str">
        <f>IFERROR(__xludf.DUMMYFUNCTION("""COMPUTED_VALUE"""),"//ord_81880//Mehul Thakkar//Malad//Cucumber+2*Neha Shah/1/2/2023//Credit Card//Delivered*Satisfied with the Delivery: Timely and quality")</f>
        <v>//ord_81880//Mehul Thakkar//Malad//Cucumber+2*Neha Shah/1/2/2023//Credit Card//Delivered*Satisfied with the Delivery: Timely and quality</v>
      </c>
      <c r="B1902" s="14" t="str">
        <f>IFERROR(__xludf.DUMMYFUNCTION("split(A1902,""//"")"),"ord_81880")</f>
        <v>ord_81880</v>
      </c>
      <c r="C1902" s="14" t="str">
        <f>IFERROR(__xludf.DUMMYFUNCTION("""COMPUTED_VALUE"""),"Mehul Thakkar")</f>
        <v>Mehul Thakkar</v>
      </c>
      <c r="D1902" s="14" t="str">
        <f>IFERROR(__xludf.DUMMYFUNCTION("""COMPUTED_VALUE"""),"Malad")</f>
        <v>Malad</v>
      </c>
      <c r="E1902" s="14" t="str">
        <f>IFERROR(__xludf.DUMMYFUNCTION("""COMPUTED_VALUE"""),"Cucumber+2*Neha Shah")</f>
        <v>Cucumber+2*Neha Shah</v>
      </c>
      <c r="F1902" s="14">
        <f>IFERROR(__xludf.DUMMYFUNCTION("""COMPUTED_VALUE"""),1.0)</f>
        <v>1</v>
      </c>
      <c r="G1902" s="14">
        <f>IFERROR(__xludf.DUMMYFUNCTION("""COMPUTED_VALUE"""),2.0)</f>
        <v>2</v>
      </c>
      <c r="H1902" s="14">
        <f>IFERROR(__xludf.DUMMYFUNCTION("""COMPUTED_VALUE"""),2023.0)</f>
        <v>2023</v>
      </c>
      <c r="I1902" s="14" t="str">
        <f>IFERROR(__xludf.DUMMYFUNCTION("""COMPUTED_VALUE"""),"Credit Card")</f>
        <v>Credit Card</v>
      </c>
      <c r="J1902" s="14" t="str">
        <f>IFERROR(__xludf.DUMMYFUNCTION("""COMPUTED_VALUE"""),"Delivered*Satisfied with the Delivery: Timely and quality")</f>
        <v>Delivered*Satisfied with the Delivery: Timely and quality</v>
      </c>
      <c r="K1902" s="14" t="str">
        <f>IFERROR(__xludf.DUMMYFUNCTION("split(E1902,""+"")"),"Cucumber")</f>
        <v>Cucumber</v>
      </c>
      <c r="L1902" s="14" t="str">
        <f>IFERROR(__xludf.DUMMYFUNCTION("""COMPUTED_VALUE"""),"2*Neha Shah")</f>
        <v>2*Neha Shah</v>
      </c>
      <c r="M1902" s="14">
        <f>IFERROR(__xludf.DUMMYFUNCTION("SPLIT(L1902,""*"")"),2.0)</f>
        <v>2</v>
      </c>
      <c r="N1902" s="14" t="str">
        <f>IFERROR(__xludf.DUMMYFUNCTION("""COMPUTED_VALUE"""),"Neha Shah")</f>
        <v>Neha Shah</v>
      </c>
      <c r="O1902" s="14" t="str">
        <f>IFERROR(__xludf.DUMMYFUNCTION("split(J1902,""*"")"),"Delivered")</f>
        <v>Delivered</v>
      </c>
      <c r="P1902" s="14" t="str">
        <f>IFERROR(__xludf.DUMMYFUNCTION("""COMPUTED_VALUE"""),"Satisfied with the Delivery: Timely and quality")</f>
        <v>Satisfied with the Delivery: Timely and quality</v>
      </c>
      <c r="Q1902" s="14" t="str">
        <f>IFERROR(__xludf.DUMMYFUNCTION("split(P1902,"":"")"),"Satisfied with the Delivery")</f>
        <v>Satisfied with the Delivery</v>
      </c>
      <c r="R1902" s="14" t="str">
        <f>IFERROR(__xludf.DUMMYFUNCTION("""COMPUTED_VALUE""")," Timely and quality")</f>
        <v> Timely and quality</v>
      </c>
      <c r="S1902" s="14" t="str">
        <f t="shared" ref="S1902:U1902" si="3807">trim(B1902)</f>
        <v>ord_81880</v>
      </c>
      <c r="T1902" s="14" t="str">
        <f t="shared" si="3807"/>
        <v>Mehul Thakkar</v>
      </c>
      <c r="U1902" s="14" t="str">
        <f t="shared" si="3807"/>
        <v>Malad</v>
      </c>
      <c r="V1902" s="14" t="str">
        <f t="shared" si="4"/>
        <v>Cucumber</v>
      </c>
      <c r="W1902" s="14">
        <f t="shared" si="5"/>
        <v>2</v>
      </c>
      <c r="X1902" s="14" t="str">
        <f t="shared" si="6"/>
        <v>Neha Shah</v>
      </c>
      <c r="Y1902" s="15">
        <f t="shared" si="7"/>
        <v>44928</v>
      </c>
      <c r="Z1902" s="14" t="str">
        <f t="shared" si="8"/>
        <v>Credit Card</v>
      </c>
      <c r="AA1902" s="14" t="str">
        <f t="shared" si="9"/>
        <v>Delivered</v>
      </c>
      <c r="AB1902" s="14" t="str">
        <f t="shared" ref="AB1902:AC1902" si="3808">trim(Q1902)</f>
        <v>Satisfied with the Delivery</v>
      </c>
      <c r="AC1902" s="14" t="str">
        <f t="shared" si="3808"/>
        <v>Timely and quality</v>
      </c>
      <c r="AD1902" s="8"/>
    </row>
    <row r="1903">
      <c r="A1903" s="14" t="str">
        <f>IFERROR(__xludf.DUMMYFUNCTION("""COMPUTED_VALUE"""),"//ord_81881//Aditi Iyer//Dadar//Popcorn+3*Aman Kumar/2/13/2023//Online Payment//Delivered*Customer Service: Seamless and easy")</f>
        <v>//ord_81881//Aditi Iyer//Dadar//Popcorn+3*Aman Kumar/2/13/2023//Online Payment//Delivered*Customer Service: Seamless and easy</v>
      </c>
      <c r="B1903" s="14" t="str">
        <f>IFERROR(__xludf.DUMMYFUNCTION("split(A1903,""//"")"),"ord_81881")</f>
        <v>ord_81881</v>
      </c>
      <c r="C1903" s="14" t="str">
        <f>IFERROR(__xludf.DUMMYFUNCTION("""COMPUTED_VALUE"""),"Aditi Iyer")</f>
        <v>Aditi Iyer</v>
      </c>
      <c r="D1903" s="14" t="str">
        <f>IFERROR(__xludf.DUMMYFUNCTION("""COMPUTED_VALUE"""),"Dadar")</f>
        <v>Dadar</v>
      </c>
      <c r="E1903" s="14" t="str">
        <f>IFERROR(__xludf.DUMMYFUNCTION("""COMPUTED_VALUE"""),"Popcorn+3*Aman Kumar")</f>
        <v>Popcorn+3*Aman Kumar</v>
      </c>
      <c r="F1903" s="14">
        <f>IFERROR(__xludf.DUMMYFUNCTION("""COMPUTED_VALUE"""),2.0)</f>
        <v>2</v>
      </c>
      <c r="G1903" s="14">
        <f>IFERROR(__xludf.DUMMYFUNCTION("""COMPUTED_VALUE"""),13.0)</f>
        <v>13</v>
      </c>
      <c r="H1903" s="14">
        <f>IFERROR(__xludf.DUMMYFUNCTION("""COMPUTED_VALUE"""),2023.0)</f>
        <v>2023</v>
      </c>
      <c r="I1903" s="14" t="str">
        <f>IFERROR(__xludf.DUMMYFUNCTION("""COMPUTED_VALUE"""),"Online Payment")</f>
        <v>Online Payment</v>
      </c>
      <c r="J1903" s="14" t="str">
        <f>IFERROR(__xludf.DUMMYFUNCTION("""COMPUTED_VALUE"""),"Delivered*Customer Service: Seamless and easy")</f>
        <v>Delivered*Customer Service: Seamless and easy</v>
      </c>
      <c r="K1903" s="14" t="str">
        <f>IFERROR(__xludf.DUMMYFUNCTION("split(E1903,""+"")"),"Popcorn")</f>
        <v>Popcorn</v>
      </c>
      <c r="L1903" s="14" t="str">
        <f>IFERROR(__xludf.DUMMYFUNCTION("""COMPUTED_VALUE"""),"3*Aman Kumar")</f>
        <v>3*Aman Kumar</v>
      </c>
      <c r="M1903" s="14">
        <f>IFERROR(__xludf.DUMMYFUNCTION("SPLIT(L1903,""*"")"),3.0)</f>
        <v>3</v>
      </c>
      <c r="N1903" s="14" t="str">
        <f>IFERROR(__xludf.DUMMYFUNCTION("""COMPUTED_VALUE"""),"Aman Kumar")</f>
        <v>Aman Kumar</v>
      </c>
      <c r="O1903" s="14" t="str">
        <f>IFERROR(__xludf.DUMMYFUNCTION("split(J1903,""*"")"),"Delivered")</f>
        <v>Delivered</v>
      </c>
      <c r="P1903" s="14" t="str">
        <f>IFERROR(__xludf.DUMMYFUNCTION("""COMPUTED_VALUE"""),"Customer Service: Seamless and easy")</f>
        <v>Customer Service: Seamless and easy</v>
      </c>
      <c r="Q1903" s="14" t="str">
        <f>IFERROR(__xludf.DUMMYFUNCTION("split(P1903,"":"")"),"Customer Service")</f>
        <v>Customer Service</v>
      </c>
      <c r="R1903" s="14" t="str">
        <f>IFERROR(__xludf.DUMMYFUNCTION("""COMPUTED_VALUE""")," Seamless and easy")</f>
        <v> Seamless and easy</v>
      </c>
      <c r="S1903" s="14" t="str">
        <f t="shared" ref="S1903:U1903" si="3809">trim(B1903)</f>
        <v>ord_81881</v>
      </c>
      <c r="T1903" s="14" t="str">
        <f t="shared" si="3809"/>
        <v>Aditi Iyer</v>
      </c>
      <c r="U1903" s="14" t="str">
        <f t="shared" si="3809"/>
        <v>Dadar</v>
      </c>
      <c r="V1903" s="14" t="str">
        <f t="shared" si="4"/>
        <v>Popcorn</v>
      </c>
      <c r="W1903" s="14">
        <f t="shared" si="5"/>
        <v>3</v>
      </c>
      <c r="X1903" s="14" t="str">
        <f t="shared" si="6"/>
        <v>Aman Kumar</v>
      </c>
      <c r="Y1903" s="15">
        <f t="shared" si="7"/>
        <v>44970</v>
      </c>
      <c r="Z1903" s="14" t="str">
        <f t="shared" si="8"/>
        <v>Online Payment</v>
      </c>
      <c r="AA1903" s="14" t="str">
        <f t="shared" si="9"/>
        <v>Delivered</v>
      </c>
      <c r="AB1903" s="14" t="str">
        <f t="shared" ref="AB1903:AC1903" si="3810">trim(Q1903)</f>
        <v>Customer Service</v>
      </c>
      <c r="AC1903" s="14" t="str">
        <f t="shared" si="3810"/>
        <v>Seamless and easy</v>
      </c>
      <c r="AD1903" s="8"/>
    </row>
    <row r="1904">
      <c r="A1904" s="14" t="str">
        <f>IFERROR(__xludf.DUMMYFUNCTION("""COMPUTED_VALUE"""),"//ord_81882//Arvind Kulkarni//Juhu//Banana+1*Not Assigned/8/24/2023//UPI//Cancelled*App Glitches:Slow Loading Time")</f>
        <v>//ord_81882//Arvind Kulkarni//Juhu//Banana+1*Not Assigned/8/24/2023//UPI//Cancelled*App Glitches:Slow Loading Time</v>
      </c>
      <c r="B1904" s="14" t="str">
        <f>IFERROR(__xludf.DUMMYFUNCTION("split(A1904,""//"")"),"ord_81882")</f>
        <v>ord_81882</v>
      </c>
      <c r="C1904" s="14" t="str">
        <f>IFERROR(__xludf.DUMMYFUNCTION("""COMPUTED_VALUE"""),"Arvind Kulkarni")</f>
        <v>Arvind Kulkarni</v>
      </c>
      <c r="D1904" s="14" t="str">
        <f>IFERROR(__xludf.DUMMYFUNCTION("""COMPUTED_VALUE"""),"Juhu")</f>
        <v>Juhu</v>
      </c>
      <c r="E1904" s="14" t="str">
        <f>IFERROR(__xludf.DUMMYFUNCTION("""COMPUTED_VALUE"""),"Banana+1*Not Assigned")</f>
        <v>Banana+1*Not Assigned</v>
      </c>
      <c r="F1904" s="14">
        <f>IFERROR(__xludf.DUMMYFUNCTION("""COMPUTED_VALUE"""),8.0)</f>
        <v>8</v>
      </c>
      <c r="G1904" s="14">
        <f>IFERROR(__xludf.DUMMYFUNCTION("""COMPUTED_VALUE"""),24.0)</f>
        <v>24</v>
      </c>
      <c r="H1904" s="14">
        <f>IFERROR(__xludf.DUMMYFUNCTION("""COMPUTED_VALUE"""),2023.0)</f>
        <v>2023</v>
      </c>
      <c r="I1904" s="14" t="str">
        <f>IFERROR(__xludf.DUMMYFUNCTION("""COMPUTED_VALUE"""),"UPI")</f>
        <v>UPI</v>
      </c>
      <c r="J1904" s="14" t="str">
        <f>IFERROR(__xludf.DUMMYFUNCTION("""COMPUTED_VALUE"""),"Cancelled*App Glitches:Slow Loading Time")</f>
        <v>Cancelled*App Glitches:Slow Loading Time</v>
      </c>
      <c r="K1904" s="14" t="str">
        <f>IFERROR(__xludf.DUMMYFUNCTION("split(E1904,""+"")"),"Banana")</f>
        <v>Banana</v>
      </c>
      <c r="L1904" s="14" t="str">
        <f>IFERROR(__xludf.DUMMYFUNCTION("""COMPUTED_VALUE"""),"1*Not Assigned")</f>
        <v>1*Not Assigned</v>
      </c>
      <c r="M1904" s="14">
        <f>IFERROR(__xludf.DUMMYFUNCTION("SPLIT(L1904,""*"")"),1.0)</f>
        <v>1</v>
      </c>
      <c r="N1904" s="14" t="str">
        <f>IFERROR(__xludf.DUMMYFUNCTION("""COMPUTED_VALUE"""),"Not Assigned")</f>
        <v>Not Assigned</v>
      </c>
      <c r="O1904" s="14" t="str">
        <f>IFERROR(__xludf.DUMMYFUNCTION("split(J1904,""*"")"),"Cancelled")</f>
        <v>Cancelled</v>
      </c>
      <c r="P1904" s="14" t="str">
        <f>IFERROR(__xludf.DUMMYFUNCTION("""COMPUTED_VALUE"""),"App Glitches:Slow Loading Time")</f>
        <v>App Glitches:Slow Loading Time</v>
      </c>
      <c r="Q1904" s="14" t="str">
        <f>IFERROR(__xludf.DUMMYFUNCTION("split(P1904,"":"")"),"App Glitches")</f>
        <v>App Glitches</v>
      </c>
      <c r="R1904" s="14" t="str">
        <f>IFERROR(__xludf.DUMMYFUNCTION("""COMPUTED_VALUE"""),"Slow Loading Time")</f>
        <v>Slow Loading Time</v>
      </c>
      <c r="S1904" s="14" t="str">
        <f t="shared" ref="S1904:U1904" si="3811">trim(B1904)</f>
        <v>ord_81882</v>
      </c>
      <c r="T1904" s="14" t="str">
        <f t="shared" si="3811"/>
        <v>Arvind Kulkarni</v>
      </c>
      <c r="U1904" s="14" t="str">
        <f t="shared" si="3811"/>
        <v>Juhu</v>
      </c>
      <c r="V1904" s="14" t="str">
        <f t="shared" si="4"/>
        <v>Banana</v>
      </c>
      <c r="W1904" s="14">
        <f t="shared" si="5"/>
        <v>1</v>
      </c>
      <c r="X1904" s="14" t="str">
        <f t="shared" si="6"/>
        <v>Not Assigned</v>
      </c>
      <c r="Y1904" s="15">
        <f t="shared" si="7"/>
        <v>45162</v>
      </c>
      <c r="Z1904" s="14" t="str">
        <f t="shared" si="8"/>
        <v>UPI</v>
      </c>
      <c r="AA1904" s="14" t="str">
        <f t="shared" si="9"/>
        <v>Cancelled</v>
      </c>
      <c r="AB1904" s="14" t="str">
        <f t="shared" ref="AB1904:AC1904" si="3812">trim(Q1904)</f>
        <v>App Glitches</v>
      </c>
      <c r="AC1904" s="14" t="str">
        <f t="shared" si="3812"/>
        <v>Slow Loading Time</v>
      </c>
      <c r="AD1904" s="8"/>
    </row>
    <row r="1905">
      <c r="A1905" s="14" t="str">
        <f>IFERROR(__xludf.DUMMYFUNCTION("""COMPUTED_VALUE"""),"//ord_81883//Arvind Kulkarni//Juhu//Sweet Corn+2*Not Assigned/5/16/2023//Credit Card//Cancelled*Payment Issues")</f>
        <v>//ord_81883//Arvind Kulkarni//Juhu//Sweet Corn+2*Not Assigned/5/16/2023//Credit Card//Cancelled*Payment Issues</v>
      </c>
      <c r="B1905" s="14" t="str">
        <f>IFERROR(__xludf.DUMMYFUNCTION("split(A1905,""//"")"),"ord_81883")</f>
        <v>ord_81883</v>
      </c>
      <c r="C1905" s="14" t="str">
        <f>IFERROR(__xludf.DUMMYFUNCTION("""COMPUTED_VALUE"""),"Arvind Kulkarni")</f>
        <v>Arvind Kulkarni</v>
      </c>
      <c r="D1905" s="14" t="str">
        <f>IFERROR(__xludf.DUMMYFUNCTION("""COMPUTED_VALUE"""),"Juhu")</f>
        <v>Juhu</v>
      </c>
      <c r="E1905" s="14" t="str">
        <f>IFERROR(__xludf.DUMMYFUNCTION("""COMPUTED_VALUE"""),"Sweet Corn+2*Not Assigned")</f>
        <v>Sweet Corn+2*Not Assigned</v>
      </c>
      <c r="F1905" s="14">
        <f>IFERROR(__xludf.DUMMYFUNCTION("""COMPUTED_VALUE"""),5.0)</f>
        <v>5</v>
      </c>
      <c r="G1905" s="14">
        <f>IFERROR(__xludf.DUMMYFUNCTION("""COMPUTED_VALUE"""),16.0)</f>
        <v>16</v>
      </c>
      <c r="H1905" s="14">
        <f>IFERROR(__xludf.DUMMYFUNCTION("""COMPUTED_VALUE"""),2023.0)</f>
        <v>2023</v>
      </c>
      <c r="I1905" s="14" t="str">
        <f>IFERROR(__xludf.DUMMYFUNCTION("""COMPUTED_VALUE"""),"Credit Card")</f>
        <v>Credit Card</v>
      </c>
      <c r="J1905" s="14" t="str">
        <f>IFERROR(__xludf.DUMMYFUNCTION("""COMPUTED_VALUE"""),"Cancelled*Payment Issues")</f>
        <v>Cancelled*Payment Issues</v>
      </c>
      <c r="K1905" s="14" t="str">
        <f>IFERROR(__xludf.DUMMYFUNCTION("split(E1905,""+"")"),"Sweet Corn")</f>
        <v>Sweet Corn</v>
      </c>
      <c r="L1905" s="14" t="str">
        <f>IFERROR(__xludf.DUMMYFUNCTION("""COMPUTED_VALUE"""),"2*Not Assigned")</f>
        <v>2*Not Assigned</v>
      </c>
      <c r="M1905" s="14">
        <f>IFERROR(__xludf.DUMMYFUNCTION("SPLIT(L1905,""*"")"),2.0)</f>
        <v>2</v>
      </c>
      <c r="N1905" s="14" t="str">
        <f>IFERROR(__xludf.DUMMYFUNCTION("""COMPUTED_VALUE"""),"Not Assigned")</f>
        <v>Not Assigned</v>
      </c>
      <c r="O1905" s="14" t="str">
        <f>IFERROR(__xludf.DUMMYFUNCTION("split(J1905,""*"")"),"Cancelled")</f>
        <v>Cancelled</v>
      </c>
      <c r="P1905" s="14" t="str">
        <f>IFERROR(__xludf.DUMMYFUNCTION("""COMPUTED_VALUE"""),"Payment Issues")</f>
        <v>Payment Issues</v>
      </c>
      <c r="Q1905" s="14" t="str">
        <f>IFERROR(__xludf.DUMMYFUNCTION("split(P1905,"":"")"),"Payment Issues")</f>
        <v>Payment Issues</v>
      </c>
      <c r="R1905" s="14"/>
      <c r="S1905" s="14" t="str">
        <f t="shared" ref="S1905:U1905" si="3813">trim(B1905)</f>
        <v>ord_81883</v>
      </c>
      <c r="T1905" s="14" t="str">
        <f t="shared" si="3813"/>
        <v>Arvind Kulkarni</v>
      </c>
      <c r="U1905" s="14" t="str">
        <f t="shared" si="3813"/>
        <v>Juhu</v>
      </c>
      <c r="V1905" s="14" t="str">
        <f t="shared" si="4"/>
        <v>Sweet Corn</v>
      </c>
      <c r="W1905" s="14">
        <f t="shared" si="5"/>
        <v>2</v>
      </c>
      <c r="X1905" s="14" t="str">
        <f t="shared" si="6"/>
        <v>Not Assigned</v>
      </c>
      <c r="Y1905" s="15">
        <f t="shared" si="7"/>
        <v>45062</v>
      </c>
      <c r="Z1905" s="14" t="str">
        <f t="shared" si="8"/>
        <v>Credit Card</v>
      </c>
      <c r="AA1905" s="14" t="str">
        <f t="shared" si="9"/>
        <v>Cancelled</v>
      </c>
      <c r="AB1905" s="14" t="str">
        <f t="shared" ref="AB1905:AC1905" si="3814">trim(Q1905)</f>
        <v>Payment Issues</v>
      </c>
      <c r="AC1905" s="14" t="str">
        <f t="shared" si="3814"/>
        <v/>
      </c>
      <c r="AD1905" s="8"/>
    </row>
    <row r="1906">
      <c r="A1906" s="14" t="str">
        <f>IFERROR(__xludf.DUMMYFUNCTION("""COMPUTED_VALUE"""),"//ord_81884//Diya Arora//Lower Parel//Chicken Puff+3*Kiran Mehta/1/10/2023//Credit Card//Delivered*Delivery Experience: Quick and professional")</f>
        <v>//ord_81884//Diya Arora//Lower Parel//Chicken Puff+3*Kiran Mehta/1/10/2023//Credit Card//Delivered*Delivery Experience: Quick and professional</v>
      </c>
      <c r="B1906" s="14" t="str">
        <f>IFERROR(__xludf.DUMMYFUNCTION("split(A1906,""//"")"),"ord_81884")</f>
        <v>ord_81884</v>
      </c>
      <c r="C1906" s="14" t="str">
        <f>IFERROR(__xludf.DUMMYFUNCTION("""COMPUTED_VALUE"""),"Diya Arora")</f>
        <v>Diya Arora</v>
      </c>
      <c r="D1906" s="14" t="str">
        <f>IFERROR(__xludf.DUMMYFUNCTION("""COMPUTED_VALUE"""),"Lower Parel")</f>
        <v>Lower Parel</v>
      </c>
      <c r="E1906" s="14" t="str">
        <f>IFERROR(__xludf.DUMMYFUNCTION("""COMPUTED_VALUE"""),"Chicken Puff+3*Kiran Mehta")</f>
        <v>Chicken Puff+3*Kiran Mehta</v>
      </c>
      <c r="F1906" s="14">
        <f>IFERROR(__xludf.DUMMYFUNCTION("""COMPUTED_VALUE"""),1.0)</f>
        <v>1</v>
      </c>
      <c r="G1906" s="14">
        <f>IFERROR(__xludf.DUMMYFUNCTION("""COMPUTED_VALUE"""),10.0)</f>
        <v>10</v>
      </c>
      <c r="H1906" s="14">
        <f>IFERROR(__xludf.DUMMYFUNCTION("""COMPUTED_VALUE"""),2023.0)</f>
        <v>2023</v>
      </c>
      <c r="I1906" s="14" t="str">
        <f>IFERROR(__xludf.DUMMYFUNCTION("""COMPUTED_VALUE"""),"Credit Card")</f>
        <v>Credit Card</v>
      </c>
      <c r="J1906" s="14" t="str">
        <f>IFERROR(__xludf.DUMMYFUNCTION("""COMPUTED_VALUE"""),"Delivered*Delivery Experience: Quick and professional")</f>
        <v>Delivered*Delivery Experience: Quick and professional</v>
      </c>
      <c r="K1906" s="14" t="str">
        <f>IFERROR(__xludf.DUMMYFUNCTION("split(E1906,""+"")"),"Chicken Puff")</f>
        <v>Chicken Puff</v>
      </c>
      <c r="L1906" s="14" t="str">
        <f>IFERROR(__xludf.DUMMYFUNCTION("""COMPUTED_VALUE"""),"3*Kiran Mehta")</f>
        <v>3*Kiran Mehta</v>
      </c>
      <c r="M1906" s="14">
        <f>IFERROR(__xludf.DUMMYFUNCTION("SPLIT(L1906,""*"")"),3.0)</f>
        <v>3</v>
      </c>
      <c r="N1906" s="14" t="str">
        <f>IFERROR(__xludf.DUMMYFUNCTION("""COMPUTED_VALUE"""),"Kiran Mehta")</f>
        <v>Kiran Mehta</v>
      </c>
      <c r="O1906" s="14" t="str">
        <f>IFERROR(__xludf.DUMMYFUNCTION("split(J1906,""*"")"),"Delivered")</f>
        <v>Delivered</v>
      </c>
      <c r="P1906" s="14" t="str">
        <f>IFERROR(__xludf.DUMMYFUNCTION("""COMPUTED_VALUE"""),"Delivery Experience: Quick and professional")</f>
        <v>Delivery Experience: Quick and professional</v>
      </c>
      <c r="Q1906" s="14" t="str">
        <f>IFERROR(__xludf.DUMMYFUNCTION("split(P1906,"":"")"),"Delivery Experience")</f>
        <v>Delivery Experience</v>
      </c>
      <c r="R1906" s="14" t="str">
        <f>IFERROR(__xludf.DUMMYFUNCTION("""COMPUTED_VALUE""")," Quick and professional")</f>
        <v> Quick and professional</v>
      </c>
      <c r="S1906" s="14" t="str">
        <f t="shared" ref="S1906:U1906" si="3815">trim(B1906)</f>
        <v>ord_81884</v>
      </c>
      <c r="T1906" s="14" t="str">
        <f t="shared" si="3815"/>
        <v>Diya Arora</v>
      </c>
      <c r="U1906" s="14" t="str">
        <f t="shared" si="3815"/>
        <v>Lower Parel</v>
      </c>
      <c r="V1906" s="14" t="str">
        <f t="shared" si="4"/>
        <v>Chicken Puff</v>
      </c>
      <c r="W1906" s="14">
        <f t="shared" si="5"/>
        <v>3</v>
      </c>
      <c r="X1906" s="14" t="str">
        <f t="shared" si="6"/>
        <v>Kiran Mehta</v>
      </c>
      <c r="Y1906" s="15">
        <f t="shared" si="7"/>
        <v>44936</v>
      </c>
      <c r="Z1906" s="14" t="str">
        <f t="shared" si="8"/>
        <v>Credit Card</v>
      </c>
      <c r="AA1906" s="14" t="str">
        <f t="shared" si="9"/>
        <v>Delivered</v>
      </c>
      <c r="AB1906" s="14" t="str">
        <f t="shared" ref="AB1906:AC1906" si="3816">trim(Q1906)</f>
        <v>Delivery Experience</v>
      </c>
      <c r="AC1906" s="14" t="str">
        <f t="shared" si="3816"/>
        <v>Quick and professional</v>
      </c>
      <c r="AD1906" s="8"/>
    </row>
    <row r="1907">
      <c r="A1907" s="14" t="str">
        <f>IFERROR(__xludf.DUMMYFUNCTION("""COMPUTED_VALUE"""),"//ord_81885//Diya Arora//Lower Parel//Onion+2*Kiran Mehta/10/10/2023//Online Payment//Delivered*Convenience: Easy tracking")</f>
        <v>//ord_81885//Diya Arora//Lower Parel//Onion+2*Kiran Mehta/10/10/2023//Online Payment//Delivered*Convenience: Easy tracking</v>
      </c>
      <c r="B1907" s="14" t="str">
        <f>IFERROR(__xludf.DUMMYFUNCTION("split(A1907,""//"")"),"ord_81885")</f>
        <v>ord_81885</v>
      </c>
      <c r="C1907" s="14" t="str">
        <f>IFERROR(__xludf.DUMMYFUNCTION("""COMPUTED_VALUE"""),"Diya Arora")</f>
        <v>Diya Arora</v>
      </c>
      <c r="D1907" s="14" t="str">
        <f>IFERROR(__xludf.DUMMYFUNCTION("""COMPUTED_VALUE"""),"Lower Parel")</f>
        <v>Lower Parel</v>
      </c>
      <c r="E1907" s="14" t="str">
        <f>IFERROR(__xludf.DUMMYFUNCTION("""COMPUTED_VALUE"""),"Onion+2*Kiran Mehta")</f>
        <v>Onion+2*Kiran Mehta</v>
      </c>
      <c r="F1907" s="14">
        <f>IFERROR(__xludf.DUMMYFUNCTION("""COMPUTED_VALUE"""),10.0)</f>
        <v>10</v>
      </c>
      <c r="G1907" s="14">
        <f>IFERROR(__xludf.DUMMYFUNCTION("""COMPUTED_VALUE"""),10.0)</f>
        <v>10</v>
      </c>
      <c r="H1907" s="14">
        <f>IFERROR(__xludf.DUMMYFUNCTION("""COMPUTED_VALUE"""),2023.0)</f>
        <v>2023</v>
      </c>
      <c r="I1907" s="14" t="str">
        <f>IFERROR(__xludf.DUMMYFUNCTION("""COMPUTED_VALUE"""),"Online Payment")</f>
        <v>Online Payment</v>
      </c>
      <c r="J1907" s="14" t="str">
        <f>IFERROR(__xludf.DUMMYFUNCTION("""COMPUTED_VALUE"""),"Delivered*Convenience: Easy tracking")</f>
        <v>Delivered*Convenience: Easy tracking</v>
      </c>
      <c r="K1907" s="14" t="str">
        <f>IFERROR(__xludf.DUMMYFUNCTION("split(E1907,""+"")"),"Onion")</f>
        <v>Onion</v>
      </c>
      <c r="L1907" s="14" t="str">
        <f>IFERROR(__xludf.DUMMYFUNCTION("""COMPUTED_VALUE"""),"2*Kiran Mehta")</f>
        <v>2*Kiran Mehta</v>
      </c>
      <c r="M1907" s="14">
        <f>IFERROR(__xludf.DUMMYFUNCTION("SPLIT(L1907,""*"")"),2.0)</f>
        <v>2</v>
      </c>
      <c r="N1907" s="14" t="str">
        <f>IFERROR(__xludf.DUMMYFUNCTION("""COMPUTED_VALUE"""),"Kiran Mehta")</f>
        <v>Kiran Mehta</v>
      </c>
      <c r="O1907" s="14" t="str">
        <f>IFERROR(__xludf.DUMMYFUNCTION("split(J1907,""*"")"),"Delivered")</f>
        <v>Delivered</v>
      </c>
      <c r="P1907" s="14" t="str">
        <f>IFERROR(__xludf.DUMMYFUNCTION("""COMPUTED_VALUE"""),"Convenience: Easy tracking")</f>
        <v>Convenience: Easy tracking</v>
      </c>
      <c r="Q1907" s="14" t="str">
        <f>IFERROR(__xludf.DUMMYFUNCTION("split(P1907,"":"")"),"Convenience")</f>
        <v>Convenience</v>
      </c>
      <c r="R1907" s="14" t="str">
        <f>IFERROR(__xludf.DUMMYFUNCTION("""COMPUTED_VALUE""")," Easy tracking")</f>
        <v> Easy tracking</v>
      </c>
      <c r="S1907" s="14" t="str">
        <f t="shared" ref="S1907:U1907" si="3817">trim(B1907)</f>
        <v>ord_81885</v>
      </c>
      <c r="T1907" s="14" t="str">
        <f t="shared" si="3817"/>
        <v>Diya Arora</v>
      </c>
      <c r="U1907" s="14" t="str">
        <f t="shared" si="3817"/>
        <v>Lower Parel</v>
      </c>
      <c r="V1907" s="14" t="str">
        <f t="shared" si="4"/>
        <v>Onion</v>
      </c>
      <c r="W1907" s="14">
        <f t="shared" si="5"/>
        <v>2</v>
      </c>
      <c r="X1907" s="14" t="str">
        <f t="shared" si="6"/>
        <v>Kiran Mehta</v>
      </c>
      <c r="Y1907" s="15">
        <f t="shared" si="7"/>
        <v>45209</v>
      </c>
      <c r="Z1907" s="14" t="str">
        <f t="shared" si="8"/>
        <v>Online Payment</v>
      </c>
      <c r="AA1907" s="14" t="str">
        <f t="shared" si="9"/>
        <v>Delivered</v>
      </c>
      <c r="AB1907" s="14" t="str">
        <f t="shared" ref="AB1907:AC1907" si="3818">trim(Q1907)</f>
        <v>Convenience</v>
      </c>
      <c r="AC1907" s="14" t="str">
        <f t="shared" si="3818"/>
        <v>Easy tracking</v>
      </c>
      <c r="AD1907" s="8"/>
    </row>
    <row r="1908">
      <c r="A1908" s="14" t="str">
        <f>IFERROR(__xludf.DUMMYFUNCTION("""COMPUTED_VALUE"""),"//ord_81886//Dev Chauhan//Bandra//Cucumber+2*Priya Joshi/10/6/2023//UPI//Delivered*Overall Satisfaction: Great service will order again")</f>
        <v>//ord_81886//Dev Chauhan//Bandra//Cucumber+2*Priya Joshi/10/6/2023//UPI//Delivered*Overall Satisfaction: Great service will order again</v>
      </c>
      <c r="B1908" s="14" t="str">
        <f>IFERROR(__xludf.DUMMYFUNCTION("split(A1908,""//"")"),"ord_81886")</f>
        <v>ord_81886</v>
      </c>
      <c r="C1908" s="14" t="str">
        <f>IFERROR(__xludf.DUMMYFUNCTION("""COMPUTED_VALUE"""),"Dev Chauhan")</f>
        <v>Dev Chauhan</v>
      </c>
      <c r="D1908" s="14" t="str">
        <f>IFERROR(__xludf.DUMMYFUNCTION("""COMPUTED_VALUE"""),"Bandra")</f>
        <v>Bandra</v>
      </c>
      <c r="E1908" s="14" t="str">
        <f>IFERROR(__xludf.DUMMYFUNCTION("""COMPUTED_VALUE"""),"Cucumber+2*Priya Joshi")</f>
        <v>Cucumber+2*Priya Joshi</v>
      </c>
      <c r="F1908" s="14">
        <f>IFERROR(__xludf.DUMMYFUNCTION("""COMPUTED_VALUE"""),10.0)</f>
        <v>10</v>
      </c>
      <c r="G1908" s="14">
        <f>IFERROR(__xludf.DUMMYFUNCTION("""COMPUTED_VALUE"""),6.0)</f>
        <v>6</v>
      </c>
      <c r="H1908" s="14">
        <f>IFERROR(__xludf.DUMMYFUNCTION("""COMPUTED_VALUE"""),2023.0)</f>
        <v>2023</v>
      </c>
      <c r="I1908" s="14" t="str">
        <f>IFERROR(__xludf.DUMMYFUNCTION("""COMPUTED_VALUE"""),"UPI")</f>
        <v>UPI</v>
      </c>
      <c r="J1908" s="14" t="str">
        <f>IFERROR(__xludf.DUMMYFUNCTION("""COMPUTED_VALUE"""),"Delivered*Overall Satisfaction: Great service will order again")</f>
        <v>Delivered*Overall Satisfaction: Great service will order again</v>
      </c>
      <c r="K1908" s="14" t="str">
        <f>IFERROR(__xludf.DUMMYFUNCTION("split(E1908,""+"")"),"Cucumber")</f>
        <v>Cucumber</v>
      </c>
      <c r="L1908" s="14" t="str">
        <f>IFERROR(__xludf.DUMMYFUNCTION("""COMPUTED_VALUE"""),"2*Priya Joshi")</f>
        <v>2*Priya Joshi</v>
      </c>
      <c r="M1908" s="14">
        <f>IFERROR(__xludf.DUMMYFUNCTION("SPLIT(L1908,""*"")"),2.0)</f>
        <v>2</v>
      </c>
      <c r="N1908" s="14" t="str">
        <f>IFERROR(__xludf.DUMMYFUNCTION("""COMPUTED_VALUE"""),"Priya Joshi")</f>
        <v>Priya Joshi</v>
      </c>
      <c r="O1908" s="14" t="str">
        <f>IFERROR(__xludf.DUMMYFUNCTION("split(J1908,""*"")"),"Delivered")</f>
        <v>Delivered</v>
      </c>
      <c r="P1908" s="14" t="str">
        <f>IFERROR(__xludf.DUMMYFUNCTION("""COMPUTED_VALUE"""),"Overall Satisfaction: Great service will order again")</f>
        <v>Overall Satisfaction: Great service will order again</v>
      </c>
      <c r="Q1908" s="14" t="str">
        <f>IFERROR(__xludf.DUMMYFUNCTION("split(P1908,"":"")"),"Overall Satisfaction")</f>
        <v>Overall Satisfaction</v>
      </c>
      <c r="R1908" s="14" t="str">
        <f>IFERROR(__xludf.DUMMYFUNCTION("""COMPUTED_VALUE""")," Great service will order again")</f>
        <v> Great service will order again</v>
      </c>
      <c r="S1908" s="14" t="str">
        <f t="shared" ref="S1908:U1908" si="3819">trim(B1908)</f>
        <v>ord_81886</v>
      </c>
      <c r="T1908" s="14" t="str">
        <f t="shared" si="3819"/>
        <v>Dev Chauhan</v>
      </c>
      <c r="U1908" s="14" t="str">
        <f t="shared" si="3819"/>
        <v>Bandra</v>
      </c>
      <c r="V1908" s="14" t="str">
        <f t="shared" si="4"/>
        <v>Cucumber</v>
      </c>
      <c r="W1908" s="14">
        <f t="shared" si="5"/>
        <v>2</v>
      </c>
      <c r="X1908" s="14" t="str">
        <f t="shared" si="6"/>
        <v>Priya Joshi</v>
      </c>
      <c r="Y1908" s="15">
        <f t="shared" si="7"/>
        <v>45205</v>
      </c>
      <c r="Z1908" s="14" t="str">
        <f t="shared" si="8"/>
        <v>UPI</v>
      </c>
      <c r="AA1908" s="14" t="str">
        <f t="shared" si="9"/>
        <v>Delivered</v>
      </c>
      <c r="AB1908" s="14" t="str">
        <f t="shared" ref="AB1908:AC1908" si="3820">trim(Q1908)</f>
        <v>Overall Satisfaction</v>
      </c>
      <c r="AC1908" s="14" t="str">
        <f t="shared" si="3820"/>
        <v>Great service will order again</v>
      </c>
      <c r="AD1908" s="8"/>
    </row>
    <row r="1909">
      <c r="A1909" s="14" t="str">
        <f>IFERROR(__xludf.DUMMYFUNCTION("""COMPUTED_VALUE"""),"//ord_81887//Aarav Mehta//Andheri//Popcorn+4*Rohan Yadav/5/8/2023//Credit Card//Delivered*On-time Delivery: Delivered on time")</f>
        <v>//ord_81887//Aarav Mehta//Andheri//Popcorn+4*Rohan Yadav/5/8/2023//Credit Card//Delivered*On-time Delivery: Delivered on time</v>
      </c>
      <c r="B1909" s="14" t="str">
        <f>IFERROR(__xludf.DUMMYFUNCTION("split(A1909,""//"")"),"ord_81887")</f>
        <v>ord_81887</v>
      </c>
      <c r="C1909" s="14" t="str">
        <f>IFERROR(__xludf.DUMMYFUNCTION("""COMPUTED_VALUE"""),"Aarav Mehta")</f>
        <v>Aarav Mehta</v>
      </c>
      <c r="D1909" s="14" t="str">
        <f>IFERROR(__xludf.DUMMYFUNCTION("""COMPUTED_VALUE"""),"Andheri")</f>
        <v>Andheri</v>
      </c>
      <c r="E1909" s="14" t="str">
        <f>IFERROR(__xludf.DUMMYFUNCTION("""COMPUTED_VALUE"""),"Popcorn+4*Rohan Yadav")</f>
        <v>Popcorn+4*Rohan Yadav</v>
      </c>
      <c r="F1909" s="14">
        <f>IFERROR(__xludf.DUMMYFUNCTION("""COMPUTED_VALUE"""),5.0)</f>
        <v>5</v>
      </c>
      <c r="G1909" s="14">
        <f>IFERROR(__xludf.DUMMYFUNCTION("""COMPUTED_VALUE"""),8.0)</f>
        <v>8</v>
      </c>
      <c r="H1909" s="14">
        <f>IFERROR(__xludf.DUMMYFUNCTION("""COMPUTED_VALUE"""),2023.0)</f>
        <v>2023</v>
      </c>
      <c r="I1909" s="14" t="str">
        <f>IFERROR(__xludf.DUMMYFUNCTION("""COMPUTED_VALUE"""),"Credit Card")</f>
        <v>Credit Card</v>
      </c>
      <c r="J1909" s="14" t="str">
        <f>IFERROR(__xludf.DUMMYFUNCTION("""COMPUTED_VALUE"""),"Delivered*On-time Delivery: Delivered on time")</f>
        <v>Delivered*On-time Delivery: Delivered on time</v>
      </c>
      <c r="K1909" s="14" t="str">
        <f>IFERROR(__xludf.DUMMYFUNCTION("split(E1909,""+"")"),"Popcorn")</f>
        <v>Popcorn</v>
      </c>
      <c r="L1909" s="14" t="str">
        <f>IFERROR(__xludf.DUMMYFUNCTION("""COMPUTED_VALUE"""),"4*Rohan Yadav")</f>
        <v>4*Rohan Yadav</v>
      </c>
      <c r="M1909" s="14">
        <f>IFERROR(__xludf.DUMMYFUNCTION("SPLIT(L1909,""*"")"),4.0)</f>
        <v>4</v>
      </c>
      <c r="N1909" s="14" t="str">
        <f>IFERROR(__xludf.DUMMYFUNCTION("""COMPUTED_VALUE"""),"Rohan Yadav")</f>
        <v>Rohan Yadav</v>
      </c>
      <c r="O1909" s="14" t="str">
        <f>IFERROR(__xludf.DUMMYFUNCTION("split(J1909,""*"")"),"Delivered")</f>
        <v>Delivered</v>
      </c>
      <c r="P1909" s="14" t="str">
        <f>IFERROR(__xludf.DUMMYFUNCTION("""COMPUTED_VALUE"""),"On-time Delivery: Delivered on time")</f>
        <v>On-time Delivery: Delivered on time</v>
      </c>
      <c r="Q1909" s="14" t="str">
        <f>IFERROR(__xludf.DUMMYFUNCTION("split(P1909,"":"")"),"On-time Delivery")</f>
        <v>On-time Delivery</v>
      </c>
      <c r="R1909" s="14" t="str">
        <f>IFERROR(__xludf.DUMMYFUNCTION("""COMPUTED_VALUE""")," Delivered on time")</f>
        <v> Delivered on time</v>
      </c>
      <c r="S1909" s="14" t="str">
        <f t="shared" ref="S1909:U1909" si="3821">trim(B1909)</f>
        <v>ord_81887</v>
      </c>
      <c r="T1909" s="14" t="str">
        <f t="shared" si="3821"/>
        <v>Aarav Mehta</v>
      </c>
      <c r="U1909" s="14" t="str">
        <f t="shared" si="3821"/>
        <v>Andheri</v>
      </c>
      <c r="V1909" s="14" t="str">
        <f t="shared" si="4"/>
        <v>Popcorn</v>
      </c>
      <c r="W1909" s="14">
        <f t="shared" si="5"/>
        <v>4</v>
      </c>
      <c r="X1909" s="14" t="str">
        <f t="shared" si="6"/>
        <v>Rohan Yadav</v>
      </c>
      <c r="Y1909" s="15">
        <f t="shared" si="7"/>
        <v>45054</v>
      </c>
      <c r="Z1909" s="14" t="str">
        <f t="shared" si="8"/>
        <v>Credit Card</v>
      </c>
      <c r="AA1909" s="14" t="str">
        <f t="shared" si="9"/>
        <v>Delivered</v>
      </c>
      <c r="AB1909" s="14" t="str">
        <f t="shared" ref="AB1909:AC1909" si="3822">trim(Q1909)</f>
        <v>On-time Delivery</v>
      </c>
      <c r="AC1909" s="14" t="str">
        <f t="shared" si="3822"/>
        <v>Delivered on time</v>
      </c>
      <c r="AD1909" s="8"/>
    </row>
    <row r="1910">
      <c r="A1910" s="14" t="str">
        <f>IFERROR(__xludf.DUMMYFUNCTION("""COMPUTED_VALUE"""),"//ord_81888//Anaya Rao//Colaba//Chicken Puff+2*Nikhil Deshmukh/2/5/2023//UPI//Delivered*Quality of Items: Perfect condition")</f>
        <v>//ord_81888//Anaya Rao//Colaba//Chicken Puff+2*Nikhil Deshmukh/2/5/2023//UPI//Delivered*Quality of Items: Perfect condition</v>
      </c>
      <c r="B1910" s="14" t="str">
        <f>IFERROR(__xludf.DUMMYFUNCTION("split(A1910,""//"")"),"ord_81888")</f>
        <v>ord_81888</v>
      </c>
      <c r="C1910" s="14" t="str">
        <f>IFERROR(__xludf.DUMMYFUNCTION("""COMPUTED_VALUE"""),"Anaya Rao")</f>
        <v>Anaya Rao</v>
      </c>
      <c r="D1910" s="14" t="str">
        <f>IFERROR(__xludf.DUMMYFUNCTION("""COMPUTED_VALUE"""),"Colaba")</f>
        <v>Colaba</v>
      </c>
      <c r="E1910" s="14" t="str">
        <f>IFERROR(__xludf.DUMMYFUNCTION("""COMPUTED_VALUE"""),"Chicken Puff+2*Nikhil Deshmukh")</f>
        <v>Chicken Puff+2*Nikhil Deshmukh</v>
      </c>
      <c r="F1910" s="14">
        <f>IFERROR(__xludf.DUMMYFUNCTION("""COMPUTED_VALUE"""),2.0)</f>
        <v>2</v>
      </c>
      <c r="G1910" s="14">
        <f>IFERROR(__xludf.DUMMYFUNCTION("""COMPUTED_VALUE"""),5.0)</f>
        <v>5</v>
      </c>
      <c r="H1910" s="14">
        <f>IFERROR(__xludf.DUMMYFUNCTION("""COMPUTED_VALUE"""),2023.0)</f>
        <v>2023</v>
      </c>
      <c r="I1910" s="14" t="str">
        <f>IFERROR(__xludf.DUMMYFUNCTION("""COMPUTED_VALUE"""),"UPI")</f>
        <v>UPI</v>
      </c>
      <c r="J1910" s="14" t="str">
        <f>IFERROR(__xludf.DUMMYFUNCTION("""COMPUTED_VALUE"""),"Delivered*Quality of Items: Perfect condition")</f>
        <v>Delivered*Quality of Items: Perfect condition</v>
      </c>
      <c r="K1910" s="14" t="str">
        <f>IFERROR(__xludf.DUMMYFUNCTION("split(E1910,""+"")"),"Chicken Puff")</f>
        <v>Chicken Puff</v>
      </c>
      <c r="L1910" s="14" t="str">
        <f>IFERROR(__xludf.DUMMYFUNCTION("""COMPUTED_VALUE"""),"2*Nikhil Deshmukh")</f>
        <v>2*Nikhil Deshmukh</v>
      </c>
      <c r="M1910" s="14">
        <f>IFERROR(__xludf.DUMMYFUNCTION("SPLIT(L1910,""*"")"),2.0)</f>
        <v>2</v>
      </c>
      <c r="N1910" s="14" t="str">
        <f>IFERROR(__xludf.DUMMYFUNCTION("""COMPUTED_VALUE"""),"Nikhil Deshmukh")</f>
        <v>Nikhil Deshmukh</v>
      </c>
      <c r="O1910" s="14" t="str">
        <f>IFERROR(__xludf.DUMMYFUNCTION("split(J1910,""*"")"),"Delivered")</f>
        <v>Delivered</v>
      </c>
      <c r="P1910" s="14" t="str">
        <f>IFERROR(__xludf.DUMMYFUNCTION("""COMPUTED_VALUE"""),"Quality of Items: Perfect condition")</f>
        <v>Quality of Items: Perfect condition</v>
      </c>
      <c r="Q1910" s="14" t="str">
        <f>IFERROR(__xludf.DUMMYFUNCTION("split(P1910,"":"")"),"Quality of Items")</f>
        <v>Quality of Items</v>
      </c>
      <c r="R1910" s="14" t="str">
        <f>IFERROR(__xludf.DUMMYFUNCTION("""COMPUTED_VALUE""")," Perfect condition")</f>
        <v> Perfect condition</v>
      </c>
      <c r="S1910" s="14" t="str">
        <f t="shared" ref="S1910:U1910" si="3823">trim(B1910)</f>
        <v>ord_81888</v>
      </c>
      <c r="T1910" s="14" t="str">
        <f t="shared" si="3823"/>
        <v>Anaya Rao</v>
      </c>
      <c r="U1910" s="14" t="str">
        <f t="shared" si="3823"/>
        <v>Colaba</v>
      </c>
      <c r="V1910" s="14" t="str">
        <f t="shared" si="4"/>
        <v>Chicken Puff</v>
      </c>
      <c r="W1910" s="14">
        <f t="shared" si="5"/>
        <v>2</v>
      </c>
      <c r="X1910" s="14" t="str">
        <f t="shared" si="6"/>
        <v>Nikhil Deshmukh</v>
      </c>
      <c r="Y1910" s="15">
        <f t="shared" si="7"/>
        <v>44962</v>
      </c>
      <c r="Z1910" s="14" t="str">
        <f t="shared" si="8"/>
        <v>UPI</v>
      </c>
      <c r="AA1910" s="14" t="str">
        <f t="shared" si="9"/>
        <v>Delivered</v>
      </c>
      <c r="AB1910" s="14" t="str">
        <f t="shared" ref="AB1910:AC1910" si="3824">trim(Q1910)</f>
        <v>Quality of Items</v>
      </c>
      <c r="AC1910" s="14" t="str">
        <f t="shared" si="3824"/>
        <v>Perfect condition</v>
      </c>
      <c r="AD1910" s="8"/>
    </row>
    <row r="1911">
      <c r="A1911" s="14" t="str">
        <f>IFERROR(__xludf.DUMMYFUNCTION("""COMPUTED_VALUE"""),"//ord_81889//Aarav Mehta//Andheri//Icecream+2*Rohan Yadav/3/29/2023//Online Payment//Delivered*On-time Delivery: Delivered on time")</f>
        <v>//ord_81889//Aarav Mehta//Andheri//Icecream+2*Rohan Yadav/3/29/2023//Online Payment//Delivered*On-time Delivery: Delivered on time</v>
      </c>
      <c r="B1911" s="14" t="str">
        <f>IFERROR(__xludf.DUMMYFUNCTION("split(A1911,""//"")"),"ord_81889")</f>
        <v>ord_81889</v>
      </c>
      <c r="C1911" s="14" t="str">
        <f>IFERROR(__xludf.DUMMYFUNCTION("""COMPUTED_VALUE"""),"Aarav Mehta")</f>
        <v>Aarav Mehta</v>
      </c>
      <c r="D1911" s="14" t="str">
        <f>IFERROR(__xludf.DUMMYFUNCTION("""COMPUTED_VALUE"""),"Andheri")</f>
        <v>Andheri</v>
      </c>
      <c r="E1911" s="14" t="str">
        <f>IFERROR(__xludf.DUMMYFUNCTION("""COMPUTED_VALUE"""),"Icecream+2*Rohan Yadav")</f>
        <v>Icecream+2*Rohan Yadav</v>
      </c>
      <c r="F1911" s="14">
        <f>IFERROR(__xludf.DUMMYFUNCTION("""COMPUTED_VALUE"""),3.0)</f>
        <v>3</v>
      </c>
      <c r="G1911" s="14">
        <f>IFERROR(__xludf.DUMMYFUNCTION("""COMPUTED_VALUE"""),29.0)</f>
        <v>29</v>
      </c>
      <c r="H1911" s="14">
        <f>IFERROR(__xludf.DUMMYFUNCTION("""COMPUTED_VALUE"""),2023.0)</f>
        <v>2023</v>
      </c>
      <c r="I1911" s="14" t="str">
        <f>IFERROR(__xludf.DUMMYFUNCTION("""COMPUTED_VALUE"""),"Online Payment")</f>
        <v>Online Payment</v>
      </c>
      <c r="J1911" s="14" t="str">
        <f>IFERROR(__xludf.DUMMYFUNCTION("""COMPUTED_VALUE"""),"Delivered*On-time Delivery: Delivered on time")</f>
        <v>Delivered*On-time Delivery: Delivered on time</v>
      </c>
      <c r="K1911" s="14" t="str">
        <f>IFERROR(__xludf.DUMMYFUNCTION("split(E1911,""+"")"),"Icecream")</f>
        <v>Icecream</v>
      </c>
      <c r="L1911" s="14" t="str">
        <f>IFERROR(__xludf.DUMMYFUNCTION("""COMPUTED_VALUE"""),"2*Rohan Yadav")</f>
        <v>2*Rohan Yadav</v>
      </c>
      <c r="M1911" s="14">
        <f>IFERROR(__xludf.DUMMYFUNCTION("SPLIT(L1911,""*"")"),2.0)</f>
        <v>2</v>
      </c>
      <c r="N1911" s="14" t="str">
        <f>IFERROR(__xludf.DUMMYFUNCTION("""COMPUTED_VALUE"""),"Rohan Yadav")</f>
        <v>Rohan Yadav</v>
      </c>
      <c r="O1911" s="14" t="str">
        <f>IFERROR(__xludf.DUMMYFUNCTION("split(J1911,""*"")"),"Delivered")</f>
        <v>Delivered</v>
      </c>
      <c r="P1911" s="14" t="str">
        <f>IFERROR(__xludf.DUMMYFUNCTION("""COMPUTED_VALUE"""),"On-time Delivery: Delivered on time")</f>
        <v>On-time Delivery: Delivered on time</v>
      </c>
      <c r="Q1911" s="14" t="str">
        <f>IFERROR(__xludf.DUMMYFUNCTION("split(P1911,"":"")"),"On-time Delivery")</f>
        <v>On-time Delivery</v>
      </c>
      <c r="R1911" s="14" t="str">
        <f>IFERROR(__xludf.DUMMYFUNCTION("""COMPUTED_VALUE""")," Delivered on time")</f>
        <v> Delivered on time</v>
      </c>
      <c r="S1911" s="14" t="str">
        <f t="shared" ref="S1911:U1911" si="3825">trim(B1911)</f>
        <v>ord_81889</v>
      </c>
      <c r="T1911" s="14" t="str">
        <f t="shared" si="3825"/>
        <v>Aarav Mehta</v>
      </c>
      <c r="U1911" s="14" t="str">
        <f t="shared" si="3825"/>
        <v>Andheri</v>
      </c>
      <c r="V1911" s="14" t="str">
        <f t="shared" si="4"/>
        <v>Icecream</v>
      </c>
      <c r="W1911" s="14">
        <f t="shared" si="5"/>
        <v>2</v>
      </c>
      <c r="X1911" s="14" t="str">
        <f t="shared" si="6"/>
        <v>Rohan Yadav</v>
      </c>
      <c r="Y1911" s="15">
        <f t="shared" si="7"/>
        <v>45014</v>
      </c>
      <c r="Z1911" s="14" t="str">
        <f t="shared" si="8"/>
        <v>Online Payment</v>
      </c>
      <c r="AA1911" s="14" t="str">
        <f t="shared" si="9"/>
        <v>Delivered</v>
      </c>
      <c r="AB1911" s="14" t="str">
        <f t="shared" ref="AB1911:AC1911" si="3826">trim(Q1911)</f>
        <v>On-time Delivery</v>
      </c>
      <c r="AC1911" s="14" t="str">
        <f t="shared" si="3826"/>
        <v>Delivered on time</v>
      </c>
      <c r="AD1911" s="8"/>
    </row>
    <row r="1912">
      <c r="A1912" s="14" t="str">
        <f>IFERROR(__xludf.DUMMYFUNCTION("""COMPUTED_VALUE"""),"//ord_81890//Sakshi Tandon//Colaba//Chilli Cheese Toast+2*Nikhil Deshmukh/12/22/2023//UPI//Delivered*Quality of Items: Perfect condition")</f>
        <v>//ord_81890//Sakshi Tandon//Colaba//Chilli Cheese Toast+2*Nikhil Deshmukh/12/22/2023//UPI//Delivered*Quality of Items: Perfect condition</v>
      </c>
      <c r="B1912" s="14" t="str">
        <f>IFERROR(__xludf.DUMMYFUNCTION("split(A1912,""//"")"),"ord_81890")</f>
        <v>ord_81890</v>
      </c>
      <c r="C1912" s="14" t="str">
        <f>IFERROR(__xludf.DUMMYFUNCTION("""COMPUTED_VALUE"""),"Sakshi Tandon")</f>
        <v>Sakshi Tandon</v>
      </c>
      <c r="D1912" s="14" t="str">
        <f>IFERROR(__xludf.DUMMYFUNCTION("""COMPUTED_VALUE"""),"Colaba")</f>
        <v>Colaba</v>
      </c>
      <c r="E1912" s="14" t="str">
        <f>IFERROR(__xludf.DUMMYFUNCTION("""COMPUTED_VALUE"""),"Chilli Cheese Toast+2*Nikhil Deshmukh")</f>
        <v>Chilli Cheese Toast+2*Nikhil Deshmukh</v>
      </c>
      <c r="F1912" s="14">
        <f>IFERROR(__xludf.DUMMYFUNCTION("""COMPUTED_VALUE"""),12.0)</f>
        <v>12</v>
      </c>
      <c r="G1912" s="14">
        <f>IFERROR(__xludf.DUMMYFUNCTION("""COMPUTED_VALUE"""),22.0)</f>
        <v>22</v>
      </c>
      <c r="H1912" s="14">
        <f>IFERROR(__xludf.DUMMYFUNCTION("""COMPUTED_VALUE"""),2023.0)</f>
        <v>2023</v>
      </c>
      <c r="I1912" s="14" t="str">
        <f>IFERROR(__xludf.DUMMYFUNCTION("""COMPUTED_VALUE"""),"UPI")</f>
        <v>UPI</v>
      </c>
      <c r="J1912" s="14" t="str">
        <f>IFERROR(__xludf.DUMMYFUNCTION("""COMPUTED_VALUE"""),"Delivered*Quality of Items: Perfect condition")</f>
        <v>Delivered*Quality of Items: Perfect condition</v>
      </c>
      <c r="K1912" s="14" t="str">
        <f>IFERROR(__xludf.DUMMYFUNCTION("split(E1912,""+"")"),"Chilli Cheese Toast")</f>
        <v>Chilli Cheese Toast</v>
      </c>
      <c r="L1912" s="14" t="str">
        <f>IFERROR(__xludf.DUMMYFUNCTION("""COMPUTED_VALUE"""),"2*Nikhil Deshmukh")</f>
        <v>2*Nikhil Deshmukh</v>
      </c>
      <c r="M1912" s="14">
        <f>IFERROR(__xludf.DUMMYFUNCTION("SPLIT(L1912,""*"")"),2.0)</f>
        <v>2</v>
      </c>
      <c r="N1912" s="14" t="str">
        <f>IFERROR(__xludf.DUMMYFUNCTION("""COMPUTED_VALUE"""),"Nikhil Deshmukh")</f>
        <v>Nikhil Deshmukh</v>
      </c>
      <c r="O1912" s="14" t="str">
        <f>IFERROR(__xludf.DUMMYFUNCTION("split(J1912,""*"")"),"Delivered")</f>
        <v>Delivered</v>
      </c>
      <c r="P1912" s="14" t="str">
        <f>IFERROR(__xludf.DUMMYFUNCTION("""COMPUTED_VALUE"""),"Quality of Items: Perfect condition")</f>
        <v>Quality of Items: Perfect condition</v>
      </c>
      <c r="Q1912" s="14" t="str">
        <f>IFERROR(__xludf.DUMMYFUNCTION("split(P1912,"":"")"),"Quality of Items")</f>
        <v>Quality of Items</v>
      </c>
      <c r="R1912" s="14" t="str">
        <f>IFERROR(__xludf.DUMMYFUNCTION("""COMPUTED_VALUE""")," Perfect condition")</f>
        <v> Perfect condition</v>
      </c>
      <c r="S1912" s="14" t="str">
        <f t="shared" ref="S1912:U1912" si="3827">trim(B1912)</f>
        <v>ord_81890</v>
      </c>
      <c r="T1912" s="14" t="str">
        <f t="shared" si="3827"/>
        <v>Sakshi Tandon</v>
      </c>
      <c r="U1912" s="14" t="str">
        <f t="shared" si="3827"/>
        <v>Colaba</v>
      </c>
      <c r="V1912" s="14" t="str">
        <f t="shared" si="4"/>
        <v>Chilli Cheese Toast</v>
      </c>
      <c r="W1912" s="14">
        <f t="shared" si="5"/>
        <v>2</v>
      </c>
      <c r="X1912" s="14" t="str">
        <f t="shared" si="6"/>
        <v>Nikhil Deshmukh</v>
      </c>
      <c r="Y1912" s="15">
        <f t="shared" si="7"/>
        <v>45282</v>
      </c>
      <c r="Z1912" s="14" t="str">
        <f t="shared" si="8"/>
        <v>UPI</v>
      </c>
      <c r="AA1912" s="14" t="str">
        <f t="shared" si="9"/>
        <v>Delivered</v>
      </c>
      <c r="AB1912" s="14" t="str">
        <f t="shared" ref="AB1912:AC1912" si="3828">trim(Q1912)</f>
        <v>Quality of Items</v>
      </c>
      <c r="AC1912" s="14" t="str">
        <f t="shared" si="3828"/>
        <v>Perfect condition</v>
      </c>
      <c r="AD1912" s="8"/>
    </row>
    <row r="1913">
      <c r="A1913" s="14" t="str">
        <f>IFERROR(__xludf.DUMMYFUNCTION("""COMPUTED_VALUE"""),"//ord_81891//Sakshi Tandon//Colaba//Onion+1*Nikhil Deshmukh/10/24/2023//Credit Card//Delivered*Packaging: Secure and intact")</f>
        <v>//ord_81891//Sakshi Tandon//Colaba//Onion+1*Nikhil Deshmukh/10/24/2023//Credit Card//Delivered*Packaging: Secure and intact</v>
      </c>
      <c r="B1913" s="14" t="str">
        <f>IFERROR(__xludf.DUMMYFUNCTION("split(A1913,""//"")"),"ord_81891")</f>
        <v>ord_81891</v>
      </c>
      <c r="C1913" s="14" t="str">
        <f>IFERROR(__xludf.DUMMYFUNCTION("""COMPUTED_VALUE"""),"Sakshi Tandon")</f>
        <v>Sakshi Tandon</v>
      </c>
      <c r="D1913" s="14" t="str">
        <f>IFERROR(__xludf.DUMMYFUNCTION("""COMPUTED_VALUE"""),"Colaba")</f>
        <v>Colaba</v>
      </c>
      <c r="E1913" s="14" t="str">
        <f>IFERROR(__xludf.DUMMYFUNCTION("""COMPUTED_VALUE"""),"Onion+1*Nikhil Deshmukh")</f>
        <v>Onion+1*Nikhil Deshmukh</v>
      </c>
      <c r="F1913" s="14">
        <f>IFERROR(__xludf.DUMMYFUNCTION("""COMPUTED_VALUE"""),10.0)</f>
        <v>10</v>
      </c>
      <c r="G1913" s="14">
        <f>IFERROR(__xludf.DUMMYFUNCTION("""COMPUTED_VALUE"""),24.0)</f>
        <v>24</v>
      </c>
      <c r="H1913" s="14">
        <f>IFERROR(__xludf.DUMMYFUNCTION("""COMPUTED_VALUE"""),2023.0)</f>
        <v>2023</v>
      </c>
      <c r="I1913" s="14" t="str">
        <f>IFERROR(__xludf.DUMMYFUNCTION("""COMPUTED_VALUE"""),"Credit Card")</f>
        <v>Credit Card</v>
      </c>
      <c r="J1913" s="14" t="str">
        <f>IFERROR(__xludf.DUMMYFUNCTION("""COMPUTED_VALUE"""),"Delivered*Packaging: Secure and intact")</f>
        <v>Delivered*Packaging: Secure and intact</v>
      </c>
      <c r="K1913" s="14" t="str">
        <f>IFERROR(__xludf.DUMMYFUNCTION("split(E1913,""+"")"),"Onion")</f>
        <v>Onion</v>
      </c>
      <c r="L1913" s="14" t="str">
        <f>IFERROR(__xludf.DUMMYFUNCTION("""COMPUTED_VALUE"""),"1*Nikhil Deshmukh")</f>
        <v>1*Nikhil Deshmukh</v>
      </c>
      <c r="M1913" s="14">
        <f>IFERROR(__xludf.DUMMYFUNCTION("SPLIT(L1913,""*"")"),1.0)</f>
        <v>1</v>
      </c>
      <c r="N1913" s="14" t="str">
        <f>IFERROR(__xludf.DUMMYFUNCTION("""COMPUTED_VALUE"""),"Nikhil Deshmukh")</f>
        <v>Nikhil Deshmukh</v>
      </c>
      <c r="O1913" s="14" t="str">
        <f>IFERROR(__xludf.DUMMYFUNCTION("split(J1913,""*"")"),"Delivered")</f>
        <v>Delivered</v>
      </c>
      <c r="P1913" s="14" t="str">
        <f>IFERROR(__xludf.DUMMYFUNCTION("""COMPUTED_VALUE"""),"Packaging: Secure and intact")</f>
        <v>Packaging: Secure and intact</v>
      </c>
      <c r="Q1913" s="14" t="str">
        <f>IFERROR(__xludf.DUMMYFUNCTION("split(P1913,"":"")"),"Packaging")</f>
        <v>Packaging</v>
      </c>
      <c r="R1913" s="14" t="str">
        <f>IFERROR(__xludf.DUMMYFUNCTION("""COMPUTED_VALUE""")," Secure and intact")</f>
        <v> Secure and intact</v>
      </c>
      <c r="S1913" s="14" t="str">
        <f t="shared" ref="S1913:U1913" si="3829">trim(B1913)</f>
        <v>ord_81891</v>
      </c>
      <c r="T1913" s="14" t="str">
        <f t="shared" si="3829"/>
        <v>Sakshi Tandon</v>
      </c>
      <c r="U1913" s="14" t="str">
        <f t="shared" si="3829"/>
        <v>Colaba</v>
      </c>
      <c r="V1913" s="14" t="str">
        <f t="shared" si="4"/>
        <v>Onion</v>
      </c>
      <c r="W1913" s="14">
        <f t="shared" si="5"/>
        <v>1</v>
      </c>
      <c r="X1913" s="14" t="str">
        <f t="shared" si="6"/>
        <v>Nikhil Deshmukh</v>
      </c>
      <c r="Y1913" s="15">
        <f t="shared" si="7"/>
        <v>45223</v>
      </c>
      <c r="Z1913" s="14" t="str">
        <f t="shared" si="8"/>
        <v>Credit Card</v>
      </c>
      <c r="AA1913" s="14" t="str">
        <f t="shared" si="9"/>
        <v>Delivered</v>
      </c>
      <c r="AB1913" s="14" t="str">
        <f t="shared" ref="AB1913:AC1913" si="3830">trim(Q1913)</f>
        <v>Packaging</v>
      </c>
      <c r="AC1913" s="14" t="str">
        <f t="shared" si="3830"/>
        <v>Secure and intact</v>
      </c>
      <c r="AD1913" s="8"/>
    </row>
    <row r="1914">
      <c r="A1914" s="14" t="str">
        <f>IFERROR(__xludf.DUMMYFUNCTION("""COMPUTED_VALUE"""),"//ord_81892//Omkar Mishra//Powai//Rasmalai+3*Sandeep Kumar/8/21/2023//Online Payment//Delivered*Satisfied with the Delivery: Timely and quality")</f>
        <v>//ord_81892//Omkar Mishra//Powai//Rasmalai+3*Sandeep Kumar/8/21/2023//Online Payment//Delivered*Satisfied with the Delivery: Timely and quality</v>
      </c>
      <c r="B1914" s="14" t="str">
        <f>IFERROR(__xludf.DUMMYFUNCTION("split(A1914,""//"")"),"ord_81892")</f>
        <v>ord_81892</v>
      </c>
      <c r="C1914" s="14" t="str">
        <f>IFERROR(__xludf.DUMMYFUNCTION("""COMPUTED_VALUE"""),"Omkar Mishra")</f>
        <v>Omkar Mishra</v>
      </c>
      <c r="D1914" s="14" t="str">
        <f>IFERROR(__xludf.DUMMYFUNCTION("""COMPUTED_VALUE"""),"Powai")</f>
        <v>Powai</v>
      </c>
      <c r="E1914" s="14" t="str">
        <f>IFERROR(__xludf.DUMMYFUNCTION("""COMPUTED_VALUE"""),"Rasmalai+3*Sandeep Kumar")</f>
        <v>Rasmalai+3*Sandeep Kumar</v>
      </c>
      <c r="F1914" s="14">
        <f>IFERROR(__xludf.DUMMYFUNCTION("""COMPUTED_VALUE"""),8.0)</f>
        <v>8</v>
      </c>
      <c r="G1914" s="14">
        <f>IFERROR(__xludf.DUMMYFUNCTION("""COMPUTED_VALUE"""),21.0)</f>
        <v>21</v>
      </c>
      <c r="H1914" s="14">
        <f>IFERROR(__xludf.DUMMYFUNCTION("""COMPUTED_VALUE"""),2023.0)</f>
        <v>2023</v>
      </c>
      <c r="I1914" s="14" t="str">
        <f>IFERROR(__xludf.DUMMYFUNCTION("""COMPUTED_VALUE"""),"Online Payment")</f>
        <v>Online Payment</v>
      </c>
      <c r="J1914" s="14" t="str">
        <f>IFERROR(__xludf.DUMMYFUNCTION("""COMPUTED_VALUE"""),"Delivered*Satisfied with the Delivery: Timely and quality")</f>
        <v>Delivered*Satisfied with the Delivery: Timely and quality</v>
      </c>
      <c r="K1914" s="14" t="str">
        <f>IFERROR(__xludf.DUMMYFUNCTION("split(E1914,""+"")"),"Rasmalai")</f>
        <v>Rasmalai</v>
      </c>
      <c r="L1914" s="14" t="str">
        <f>IFERROR(__xludf.DUMMYFUNCTION("""COMPUTED_VALUE"""),"3*Sandeep Kumar")</f>
        <v>3*Sandeep Kumar</v>
      </c>
      <c r="M1914" s="14">
        <f>IFERROR(__xludf.DUMMYFUNCTION("SPLIT(L1914,""*"")"),3.0)</f>
        <v>3</v>
      </c>
      <c r="N1914" s="14" t="str">
        <f>IFERROR(__xludf.DUMMYFUNCTION("""COMPUTED_VALUE"""),"Sandeep Kumar")</f>
        <v>Sandeep Kumar</v>
      </c>
      <c r="O1914" s="14" t="str">
        <f>IFERROR(__xludf.DUMMYFUNCTION("split(J1914,""*"")"),"Delivered")</f>
        <v>Delivered</v>
      </c>
      <c r="P1914" s="14" t="str">
        <f>IFERROR(__xludf.DUMMYFUNCTION("""COMPUTED_VALUE"""),"Satisfied with the Delivery: Timely and quality")</f>
        <v>Satisfied with the Delivery: Timely and quality</v>
      </c>
      <c r="Q1914" s="14" t="str">
        <f>IFERROR(__xludf.DUMMYFUNCTION("split(P1914,"":"")"),"Satisfied with the Delivery")</f>
        <v>Satisfied with the Delivery</v>
      </c>
      <c r="R1914" s="14" t="str">
        <f>IFERROR(__xludf.DUMMYFUNCTION("""COMPUTED_VALUE""")," Timely and quality")</f>
        <v> Timely and quality</v>
      </c>
      <c r="S1914" s="14" t="str">
        <f t="shared" ref="S1914:U1914" si="3831">trim(B1914)</f>
        <v>ord_81892</v>
      </c>
      <c r="T1914" s="14" t="str">
        <f t="shared" si="3831"/>
        <v>Omkar Mishra</v>
      </c>
      <c r="U1914" s="14" t="str">
        <f t="shared" si="3831"/>
        <v>Powai</v>
      </c>
      <c r="V1914" s="14" t="str">
        <f t="shared" si="4"/>
        <v>Rasmalai</v>
      </c>
      <c r="W1914" s="14">
        <f t="shared" si="5"/>
        <v>3</v>
      </c>
      <c r="X1914" s="14" t="str">
        <f t="shared" si="6"/>
        <v>Sandeep Kumar</v>
      </c>
      <c r="Y1914" s="15">
        <f t="shared" si="7"/>
        <v>45159</v>
      </c>
      <c r="Z1914" s="14" t="str">
        <f t="shared" si="8"/>
        <v>Online Payment</v>
      </c>
      <c r="AA1914" s="14" t="str">
        <f t="shared" si="9"/>
        <v>Delivered</v>
      </c>
      <c r="AB1914" s="14" t="str">
        <f t="shared" ref="AB1914:AC1914" si="3832">trim(Q1914)</f>
        <v>Satisfied with the Delivery</v>
      </c>
      <c r="AC1914" s="14" t="str">
        <f t="shared" si="3832"/>
        <v>Timely and quality</v>
      </c>
      <c r="AD1914" s="8"/>
    </row>
    <row r="1915">
      <c r="A1915" s="14" t="str">
        <f>IFERROR(__xludf.DUMMYFUNCTION("""COMPUTED_VALUE"""),"//ord_81893//Dev Chauhan//Bandra//Cucumber+1*Priya Joshi/12/11/2023//UPI//Delivered*Customer Service: Seamless and easy")</f>
        <v>//ord_81893//Dev Chauhan//Bandra//Cucumber+1*Priya Joshi/12/11/2023//UPI//Delivered*Customer Service: Seamless and easy</v>
      </c>
      <c r="B1915" s="14" t="str">
        <f>IFERROR(__xludf.DUMMYFUNCTION("split(A1915,""//"")"),"ord_81893")</f>
        <v>ord_81893</v>
      </c>
      <c r="C1915" s="14" t="str">
        <f>IFERROR(__xludf.DUMMYFUNCTION("""COMPUTED_VALUE"""),"Dev Chauhan")</f>
        <v>Dev Chauhan</v>
      </c>
      <c r="D1915" s="14" t="str">
        <f>IFERROR(__xludf.DUMMYFUNCTION("""COMPUTED_VALUE"""),"Bandra")</f>
        <v>Bandra</v>
      </c>
      <c r="E1915" s="14" t="str">
        <f>IFERROR(__xludf.DUMMYFUNCTION("""COMPUTED_VALUE"""),"Cucumber+1*Priya Joshi")</f>
        <v>Cucumber+1*Priya Joshi</v>
      </c>
      <c r="F1915" s="14">
        <f>IFERROR(__xludf.DUMMYFUNCTION("""COMPUTED_VALUE"""),12.0)</f>
        <v>12</v>
      </c>
      <c r="G1915" s="14">
        <f>IFERROR(__xludf.DUMMYFUNCTION("""COMPUTED_VALUE"""),11.0)</f>
        <v>11</v>
      </c>
      <c r="H1915" s="14">
        <f>IFERROR(__xludf.DUMMYFUNCTION("""COMPUTED_VALUE"""),2023.0)</f>
        <v>2023</v>
      </c>
      <c r="I1915" s="14" t="str">
        <f>IFERROR(__xludf.DUMMYFUNCTION("""COMPUTED_VALUE"""),"UPI")</f>
        <v>UPI</v>
      </c>
      <c r="J1915" s="14" t="str">
        <f>IFERROR(__xludf.DUMMYFUNCTION("""COMPUTED_VALUE"""),"Delivered*Customer Service: Seamless and easy")</f>
        <v>Delivered*Customer Service: Seamless and easy</v>
      </c>
      <c r="K1915" s="14" t="str">
        <f>IFERROR(__xludf.DUMMYFUNCTION("split(E1915,""+"")"),"Cucumber")</f>
        <v>Cucumber</v>
      </c>
      <c r="L1915" s="14" t="str">
        <f>IFERROR(__xludf.DUMMYFUNCTION("""COMPUTED_VALUE"""),"1*Priya Joshi")</f>
        <v>1*Priya Joshi</v>
      </c>
      <c r="M1915" s="14">
        <f>IFERROR(__xludf.DUMMYFUNCTION("SPLIT(L1915,""*"")"),1.0)</f>
        <v>1</v>
      </c>
      <c r="N1915" s="14" t="str">
        <f>IFERROR(__xludf.DUMMYFUNCTION("""COMPUTED_VALUE"""),"Priya Joshi")</f>
        <v>Priya Joshi</v>
      </c>
      <c r="O1915" s="14" t="str">
        <f>IFERROR(__xludf.DUMMYFUNCTION("split(J1915,""*"")"),"Delivered")</f>
        <v>Delivered</v>
      </c>
      <c r="P1915" s="14" t="str">
        <f>IFERROR(__xludf.DUMMYFUNCTION("""COMPUTED_VALUE"""),"Customer Service: Seamless and easy")</f>
        <v>Customer Service: Seamless and easy</v>
      </c>
      <c r="Q1915" s="14" t="str">
        <f>IFERROR(__xludf.DUMMYFUNCTION("split(P1915,"":"")"),"Customer Service")</f>
        <v>Customer Service</v>
      </c>
      <c r="R1915" s="14" t="str">
        <f>IFERROR(__xludf.DUMMYFUNCTION("""COMPUTED_VALUE""")," Seamless and easy")</f>
        <v> Seamless and easy</v>
      </c>
      <c r="S1915" s="14" t="str">
        <f t="shared" ref="S1915:U1915" si="3833">trim(B1915)</f>
        <v>ord_81893</v>
      </c>
      <c r="T1915" s="14" t="str">
        <f t="shared" si="3833"/>
        <v>Dev Chauhan</v>
      </c>
      <c r="U1915" s="14" t="str">
        <f t="shared" si="3833"/>
        <v>Bandra</v>
      </c>
      <c r="V1915" s="14" t="str">
        <f t="shared" si="4"/>
        <v>Cucumber</v>
      </c>
      <c r="W1915" s="14">
        <f t="shared" si="5"/>
        <v>1</v>
      </c>
      <c r="X1915" s="14" t="str">
        <f t="shared" si="6"/>
        <v>Priya Joshi</v>
      </c>
      <c r="Y1915" s="15">
        <f t="shared" si="7"/>
        <v>45271</v>
      </c>
      <c r="Z1915" s="14" t="str">
        <f t="shared" si="8"/>
        <v>UPI</v>
      </c>
      <c r="AA1915" s="14" t="str">
        <f t="shared" si="9"/>
        <v>Delivered</v>
      </c>
      <c r="AB1915" s="14" t="str">
        <f t="shared" ref="AB1915:AC1915" si="3834">trim(Q1915)</f>
        <v>Customer Service</v>
      </c>
      <c r="AC1915" s="14" t="str">
        <f t="shared" si="3834"/>
        <v>Seamless and easy</v>
      </c>
      <c r="AD1915" s="8"/>
    </row>
    <row r="1916">
      <c r="A1916" s="14" t="str">
        <f>IFERROR(__xludf.DUMMYFUNCTION("""COMPUTED_VALUE"""),"//ord_81894//Kritika Shetty//Malad//Tomato+2*Not Assigned/2/11/2023//Credit Card//Cancelled*Payment Issues")</f>
        <v>//ord_81894//Kritika Shetty//Malad//Tomato+2*Not Assigned/2/11/2023//Credit Card//Cancelled*Payment Issues</v>
      </c>
      <c r="B1916" s="14" t="str">
        <f>IFERROR(__xludf.DUMMYFUNCTION("split(A1916,""//"")"),"ord_81894")</f>
        <v>ord_81894</v>
      </c>
      <c r="C1916" s="14" t="str">
        <f>IFERROR(__xludf.DUMMYFUNCTION("""COMPUTED_VALUE"""),"Kritika Shetty")</f>
        <v>Kritika Shetty</v>
      </c>
      <c r="D1916" s="14" t="str">
        <f>IFERROR(__xludf.DUMMYFUNCTION("""COMPUTED_VALUE"""),"Malad")</f>
        <v>Malad</v>
      </c>
      <c r="E1916" s="14" t="str">
        <f>IFERROR(__xludf.DUMMYFUNCTION("""COMPUTED_VALUE"""),"Tomato+2*Not Assigned")</f>
        <v>Tomato+2*Not Assigned</v>
      </c>
      <c r="F1916" s="14">
        <f>IFERROR(__xludf.DUMMYFUNCTION("""COMPUTED_VALUE"""),2.0)</f>
        <v>2</v>
      </c>
      <c r="G1916" s="14">
        <f>IFERROR(__xludf.DUMMYFUNCTION("""COMPUTED_VALUE"""),11.0)</f>
        <v>11</v>
      </c>
      <c r="H1916" s="14">
        <f>IFERROR(__xludf.DUMMYFUNCTION("""COMPUTED_VALUE"""),2023.0)</f>
        <v>2023</v>
      </c>
      <c r="I1916" s="14" t="str">
        <f>IFERROR(__xludf.DUMMYFUNCTION("""COMPUTED_VALUE"""),"Credit Card")</f>
        <v>Credit Card</v>
      </c>
      <c r="J1916" s="14" t="str">
        <f>IFERROR(__xludf.DUMMYFUNCTION("""COMPUTED_VALUE"""),"Cancelled*Payment Issues")</f>
        <v>Cancelled*Payment Issues</v>
      </c>
      <c r="K1916" s="14" t="str">
        <f>IFERROR(__xludf.DUMMYFUNCTION("split(E1916,""+"")"),"Tomato")</f>
        <v>Tomato</v>
      </c>
      <c r="L1916" s="14" t="str">
        <f>IFERROR(__xludf.DUMMYFUNCTION("""COMPUTED_VALUE"""),"2*Not Assigned")</f>
        <v>2*Not Assigned</v>
      </c>
      <c r="M1916" s="14">
        <f>IFERROR(__xludf.DUMMYFUNCTION("SPLIT(L1916,""*"")"),2.0)</f>
        <v>2</v>
      </c>
      <c r="N1916" s="14" t="str">
        <f>IFERROR(__xludf.DUMMYFUNCTION("""COMPUTED_VALUE"""),"Not Assigned")</f>
        <v>Not Assigned</v>
      </c>
      <c r="O1916" s="14" t="str">
        <f>IFERROR(__xludf.DUMMYFUNCTION("split(J1916,""*"")"),"Cancelled")</f>
        <v>Cancelled</v>
      </c>
      <c r="P1916" s="14" t="str">
        <f>IFERROR(__xludf.DUMMYFUNCTION("""COMPUTED_VALUE"""),"Payment Issues")</f>
        <v>Payment Issues</v>
      </c>
      <c r="Q1916" s="14" t="str">
        <f>IFERROR(__xludf.DUMMYFUNCTION("split(P1916,"":"")"),"Payment Issues")</f>
        <v>Payment Issues</v>
      </c>
      <c r="R1916" s="14"/>
      <c r="S1916" s="14" t="str">
        <f t="shared" ref="S1916:U1916" si="3835">trim(B1916)</f>
        <v>ord_81894</v>
      </c>
      <c r="T1916" s="14" t="str">
        <f t="shared" si="3835"/>
        <v>Kritika Shetty</v>
      </c>
      <c r="U1916" s="14" t="str">
        <f t="shared" si="3835"/>
        <v>Malad</v>
      </c>
      <c r="V1916" s="14" t="str">
        <f t="shared" si="4"/>
        <v>Tomato</v>
      </c>
      <c r="W1916" s="14">
        <f t="shared" si="5"/>
        <v>2</v>
      </c>
      <c r="X1916" s="14" t="str">
        <f t="shared" si="6"/>
        <v>Not Assigned</v>
      </c>
      <c r="Y1916" s="15">
        <f t="shared" si="7"/>
        <v>44968</v>
      </c>
      <c r="Z1916" s="14" t="str">
        <f t="shared" si="8"/>
        <v>Credit Card</v>
      </c>
      <c r="AA1916" s="14" t="str">
        <f t="shared" si="9"/>
        <v>Cancelled</v>
      </c>
      <c r="AB1916" s="14" t="str">
        <f t="shared" ref="AB1916:AC1916" si="3836">trim(Q1916)</f>
        <v>Payment Issues</v>
      </c>
      <c r="AC1916" s="14" t="str">
        <f t="shared" si="3836"/>
        <v/>
      </c>
      <c r="AD1916" s="8"/>
    </row>
    <row r="1917">
      <c r="A1917" s="14" t="str">
        <f>IFERROR(__xludf.DUMMYFUNCTION("""COMPUTED_VALUE"""),"//ord_81895//Sakshi Tandon//Colaba//Orange+2*Nikhil Deshmukh/1/8/2023//UPI//Delivered*Delivery Experience: Quick and professional")</f>
        <v>//ord_81895//Sakshi Tandon//Colaba//Orange+2*Nikhil Deshmukh/1/8/2023//UPI//Delivered*Delivery Experience: Quick and professional</v>
      </c>
      <c r="B1917" s="14" t="str">
        <f>IFERROR(__xludf.DUMMYFUNCTION("split(A1917,""//"")"),"ord_81895")</f>
        <v>ord_81895</v>
      </c>
      <c r="C1917" s="14" t="str">
        <f>IFERROR(__xludf.DUMMYFUNCTION("""COMPUTED_VALUE"""),"Sakshi Tandon")</f>
        <v>Sakshi Tandon</v>
      </c>
      <c r="D1917" s="14" t="str">
        <f>IFERROR(__xludf.DUMMYFUNCTION("""COMPUTED_VALUE"""),"Colaba")</f>
        <v>Colaba</v>
      </c>
      <c r="E1917" s="14" t="str">
        <f>IFERROR(__xludf.DUMMYFUNCTION("""COMPUTED_VALUE"""),"Orange+2*Nikhil Deshmukh")</f>
        <v>Orange+2*Nikhil Deshmukh</v>
      </c>
      <c r="F1917" s="14">
        <f>IFERROR(__xludf.DUMMYFUNCTION("""COMPUTED_VALUE"""),1.0)</f>
        <v>1</v>
      </c>
      <c r="G1917" s="14">
        <f>IFERROR(__xludf.DUMMYFUNCTION("""COMPUTED_VALUE"""),8.0)</f>
        <v>8</v>
      </c>
      <c r="H1917" s="14">
        <f>IFERROR(__xludf.DUMMYFUNCTION("""COMPUTED_VALUE"""),2023.0)</f>
        <v>2023</v>
      </c>
      <c r="I1917" s="14" t="str">
        <f>IFERROR(__xludf.DUMMYFUNCTION("""COMPUTED_VALUE"""),"UPI")</f>
        <v>UPI</v>
      </c>
      <c r="J1917" s="14" t="str">
        <f>IFERROR(__xludf.DUMMYFUNCTION("""COMPUTED_VALUE"""),"Delivered*Delivery Experience: Quick and professional")</f>
        <v>Delivered*Delivery Experience: Quick and professional</v>
      </c>
      <c r="K1917" s="14" t="str">
        <f>IFERROR(__xludf.DUMMYFUNCTION("split(E1917,""+"")"),"Orange")</f>
        <v>Orange</v>
      </c>
      <c r="L1917" s="14" t="str">
        <f>IFERROR(__xludf.DUMMYFUNCTION("""COMPUTED_VALUE"""),"2*Nikhil Deshmukh")</f>
        <v>2*Nikhil Deshmukh</v>
      </c>
      <c r="M1917" s="14">
        <f>IFERROR(__xludf.DUMMYFUNCTION("SPLIT(L1917,""*"")"),2.0)</f>
        <v>2</v>
      </c>
      <c r="N1917" s="14" t="str">
        <f>IFERROR(__xludf.DUMMYFUNCTION("""COMPUTED_VALUE"""),"Nikhil Deshmukh")</f>
        <v>Nikhil Deshmukh</v>
      </c>
      <c r="O1917" s="14" t="str">
        <f>IFERROR(__xludf.DUMMYFUNCTION("split(J1917,""*"")"),"Delivered")</f>
        <v>Delivered</v>
      </c>
      <c r="P1917" s="14" t="str">
        <f>IFERROR(__xludf.DUMMYFUNCTION("""COMPUTED_VALUE"""),"Delivery Experience: Quick and professional")</f>
        <v>Delivery Experience: Quick and professional</v>
      </c>
      <c r="Q1917" s="14" t="str">
        <f>IFERROR(__xludf.DUMMYFUNCTION("split(P1917,"":"")"),"Delivery Experience")</f>
        <v>Delivery Experience</v>
      </c>
      <c r="R1917" s="14" t="str">
        <f>IFERROR(__xludf.DUMMYFUNCTION("""COMPUTED_VALUE""")," Quick and professional")</f>
        <v> Quick and professional</v>
      </c>
      <c r="S1917" s="14" t="str">
        <f t="shared" ref="S1917:U1917" si="3837">trim(B1917)</f>
        <v>ord_81895</v>
      </c>
      <c r="T1917" s="14" t="str">
        <f t="shared" si="3837"/>
        <v>Sakshi Tandon</v>
      </c>
      <c r="U1917" s="14" t="str">
        <f t="shared" si="3837"/>
        <v>Colaba</v>
      </c>
      <c r="V1917" s="14" t="str">
        <f t="shared" si="4"/>
        <v>Orange</v>
      </c>
      <c r="W1917" s="14">
        <f t="shared" si="5"/>
        <v>2</v>
      </c>
      <c r="X1917" s="14" t="str">
        <f t="shared" si="6"/>
        <v>Nikhil Deshmukh</v>
      </c>
      <c r="Y1917" s="15">
        <f t="shared" si="7"/>
        <v>44934</v>
      </c>
      <c r="Z1917" s="14" t="str">
        <f t="shared" si="8"/>
        <v>UPI</v>
      </c>
      <c r="AA1917" s="14" t="str">
        <f t="shared" si="9"/>
        <v>Delivered</v>
      </c>
      <c r="AB1917" s="14" t="str">
        <f t="shared" ref="AB1917:AC1917" si="3838">trim(Q1917)</f>
        <v>Delivery Experience</v>
      </c>
      <c r="AC1917" s="14" t="str">
        <f t="shared" si="3838"/>
        <v>Quick and professional</v>
      </c>
      <c r="AD1917" s="8"/>
    </row>
    <row r="1918">
      <c r="A1918" s="14" t="str">
        <f>IFERROR(__xludf.DUMMYFUNCTION("""COMPUTED_VALUE"""),"//ord_81896//Aarohi Kapoor//Bandra//Banana+1*Nithin Lal/1/9/2023//Online Payment//Delivered*Convenience: Easy tracking")</f>
        <v>//ord_81896//Aarohi Kapoor//Bandra//Banana+1*Nithin Lal/1/9/2023//Online Payment//Delivered*Convenience: Easy tracking</v>
      </c>
      <c r="B1918" s="14" t="str">
        <f>IFERROR(__xludf.DUMMYFUNCTION("split(A1918,""//"")"),"ord_81896")</f>
        <v>ord_81896</v>
      </c>
      <c r="C1918" s="14" t="str">
        <f>IFERROR(__xludf.DUMMYFUNCTION("""COMPUTED_VALUE"""),"Aarohi Kapoor")</f>
        <v>Aarohi Kapoor</v>
      </c>
      <c r="D1918" s="14" t="str">
        <f>IFERROR(__xludf.DUMMYFUNCTION("""COMPUTED_VALUE"""),"Bandra")</f>
        <v>Bandra</v>
      </c>
      <c r="E1918" s="14" t="str">
        <f>IFERROR(__xludf.DUMMYFUNCTION("""COMPUTED_VALUE"""),"Banana+1*Nithin Lal")</f>
        <v>Banana+1*Nithin Lal</v>
      </c>
      <c r="F1918" s="14">
        <f>IFERROR(__xludf.DUMMYFUNCTION("""COMPUTED_VALUE"""),1.0)</f>
        <v>1</v>
      </c>
      <c r="G1918" s="14">
        <f>IFERROR(__xludf.DUMMYFUNCTION("""COMPUTED_VALUE"""),9.0)</f>
        <v>9</v>
      </c>
      <c r="H1918" s="14">
        <f>IFERROR(__xludf.DUMMYFUNCTION("""COMPUTED_VALUE"""),2023.0)</f>
        <v>2023</v>
      </c>
      <c r="I1918" s="14" t="str">
        <f>IFERROR(__xludf.DUMMYFUNCTION("""COMPUTED_VALUE"""),"Online Payment")</f>
        <v>Online Payment</v>
      </c>
      <c r="J1918" s="14" t="str">
        <f>IFERROR(__xludf.DUMMYFUNCTION("""COMPUTED_VALUE"""),"Delivered*Convenience: Easy tracking")</f>
        <v>Delivered*Convenience: Easy tracking</v>
      </c>
      <c r="K1918" s="14" t="str">
        <f>IFERROR(__xludf.DUMMYFUNCTION("split(E1918,""+"")"),"Banana")</f>
        <v>Banana</v>
      </c>
      <c r="L1918" s="14" t="str">
        <f>IFERROR(__xludf.DUMMYFUNCTION("""COMPUTED_VALUE"""),"1*Nithin Lal")</f>
        <v>1*Nithin Lal</v>
      </c>
      <c r="M1918" s="14">
        <f>IFERROR(__xludf.DUMMYFUNCTION("SPLIT(L1918,""*"")"),1.0)</f>
        <v>1</v>
      </c>
      <c r="N1918" s="14" t="str">
        <f>IFERROR(__xludf.DUMMYFUNCTION("""COMPUTED_VALUE"""),"Nithin Lal")</f>
        <v>Nithin Lal</v>
      </c>
      <c r="O1918" s="14" t="str">
        <f>IFERROR(__xludf.DUMMYFUNCTION("split(J1918,""*"")"),"Delivered")</f>
        <v>Delivered</v>
      </c>
      <c r="P1918" s="14" t="str">
        <f>IFERROR(__xludf.DUMMYFUNCTION("""COMPUTED_VALUE"""),"Convenience: Easy tracking")</f>
        <v>Convenience: Easy tracking</v>
      </c>
      <c r="Q1918" s="14" t="str">
        <f>IFERROR(__xludf.DUMMYFUNCTION("split(P1918,"":"")"),"Convenience")</f>
        <v>Convenience</v>
      </c>
      <c r="R1918" s="14" t="str">
        <f>IFERROR(__xludf.DUMMYFUNCTION("""COMPUTED_VALUE""")," Easy tracking")</f>
        <v> Easy tracking</v>
      </c>
      <c r="S1918" s="14" t="str">
        <f t="shared" ref="S1918:U1918" si="3839">trim(B1918)</f>
        <v>ord_81896</v>
      </c>
      <c r="T1918" s="14" t="str">
        <f t="shared" si="3839"/>
        <v>Aarohi Kapoor</v>
      </c>
      <c r="U1918" s="14" t="str">
        <f t="shared" si="3839"/>
        <v>Bandra</v>
      </c>
      <c r="V1918" s="14" t="str">
        <f t="shared" si="4"/>
        <v>Banana</v>
      </c>
      <c r="W1918" s="14">
        <f t="shared" si="5"/>
        <v>1</v>
      </c>
      <c r="X1918" s="14" t="str">
        <f t="shared" si="6"/>
        <v>Nithin Lal</v>
      </c>
      <c r="Y1918" s="15">
        <f t="shared" si="7"/>
        <v>44935</v>
      </c>
      <c r="Z1918" s="14" t="str">
        <f t="shared" si="8"/>
        <v>Online Payment</v>
      </c>
      <c r="AA1918" s="14" t="str">
        <f t="shared" si="9"/>
        <v>Delivered</v>
      </c>
      <c r="AB1918" s="14" t="str">
        <f t="shared" ref="AB1918:AC1918" si="3840">trim(Q1918)</f>
        <v>Convenience</v>
      </c>
      <c r="AC1918" s="14" t="str">
        <f t="shared" si="3840"/>
        <v>Easy tracking</v>
      </c>
      <c r="AD1918" s="8"/>
    </row>
    <row r="1919">
      <c r="A1919" s="14" t="str">
        <f>IFERROR(__xludf.DUMMYFUNCTION("""COMPUTED_VALUE"""),"//ord_81897//Sanjay Nair//Dadar//Sweet Corn+1*Not Assigned/10/27/2023//Credit Card//Cancelled*High Delivery Fees")</f>
        <v>//ord_81897//Sanjay Nair//Dadar//Sweet Corn+1*Not Assigned/10/27/2023//Credit Card//Cancelled*High Delivery Fees</v>
      </c>
      <c r="B1919" s="14" t="str">
        <f>IFERROR(__xludf.DUMMYFUNCTION("split(A1919,""//"")"),"ord_81897")</f>
        <v>ord_81897</v>
      </c>
      <c r="C1919" s="14" t="str">
        <f>IFERROR(__xludf.DUMMYFUNCTION("""COMPUTED_VALUE"""),"Sanjay Nair")</f>
        <v>Sanjay Nair</v>
      </c>
      <c r="D1919" s="14" t="str">
        <f>IFERROR(__xludf.DUMMYFUNCTION("""COMPUTED_VALUE"""),"Dadar")</f>
        <v>Dadar</v>
      </c>
      <c r="E1919" s="14" t="str">
        <f>IFERROR(__xludf.DUMMYFUNCTION("""COMPUTED_VALUE"""),"Sweet Corn+1*Not Assigned")</f>
        <v>Sweet Corn+1*Not Assigned</v>
      </c>
      <c r="F1919" s="14">
        <f>IFERROR(__xludf.DUMMYFUNCTION("""COMPUTED_VALUE"""),10.0)</f>
        <v>10</v>
      </c>
      <c r="G1919" s="14">
        <f>IFERROR(__xludf.DUMMYFUNCTION("""COMPUTED_VALUE"""),27.0)</f>
        <v>27</v>
      </c>
      <c r="H1919" s="14">
        <f>IFERROR(__xludf.DUMMYFUNCTION("""COMPUTED_VALUE"""),2023.0)</f>
        <v>2023</v>
      </c>
      <c r="I1919" s="14" t="str">
        <f>IFERROR(__xludf.DUMMYFUNCTION("""COMPUTED_VALUE"""),"Credit Card")</f>
        <v>Credit Card</v>
      </c>
      <c r="J1919" s="14" t="str">
        <f>IFERROR(__xludf.DUMMYFUNCTION("""COMPUTED_VALUE"""),"Cancelled*High Delivery Fees")</f>
        <v>Cancelled*High Delivery Fees</v>
      </c>
      <c r="K1919" s="14" t="str">
        <f>IFERROR(__xludf.DUMMYFUNCTION("split(E1919,""+"")"),"Sweet Corn")</f>
        <v>Sweet Corn</v>
      </c>
      <c r="L1919" s="14" t="str">
        <f>IFERROR(__xludf.DUMMYFUNCTION("""COMPUTED_VALUE"""),"1*Not Assigned")</f>
        <v>1*Not Assigned</v>
      </c>
      <c r="M1919" s="14">
        <f>IFERROR(__xludf.DUMMYFUNCTION("SPLIT(L1919,""*"")"),1.0)</f>
        <v>1</v>
      </c>
      <c r="N1919" s="14" t="str">
        <f>IFERROR(__xludf.DUMMYFUNCTION("""COMPUTED_VALUE"""),"Not Assigned")</f>
        <v>Not Assigned</v>
      </c>
      <c r="O1919" s="14" t="str">
        <f>IFERROR(__xludf.DUMMYFUNCTION("split(J1919,""*"")"),"Cancelled")</f>
        <v>Cancelled</v>
      </c>
      <c r="P1919" s="14" t="str">
        <f>IFERROR(__xludf.DUMMYFUNCTION("""COMPUTED_VALUE"""),"High Delivery Fees")</f>
        <v>High Delivery Fees</v>
      </c>
      <c r="Q1919" s="14" t="str">
        <f>IFERROR(__xludf.DUMMYFUNCTION("split(P1919,"":"")"),"High Delivery Fees")</f>
        <v>High Delivery Fees</v>
      </c>
      <c r="R1919" s="14"/>
      <c r="S1919" s="14" t="str">
        <f t="shared" ref="S1919:U1919" si="3841">trim(B1919)</f>
        <v>ord_81897</v>
      </c>
      <c r="T1919" s="14" t="str">
        <f t="shared" si="3841"/>
        <v>Sanjay Nair</v>
      </c>
      <c r="U1919" s="14" t="str">
        <f t="shared" si="3841"/>
        <v>Dadar</v>
      </c>
      <c r="V1919" s="14" t="str">
        <f t="shared" si="4"/>
        <v>Sweet Corn</v>
      </c>
      <c r="W1919" s="14">
        <f t="shared" si="5"/>
        <v>1</v>
      </c>
      <c r="X1919" s="14" t="str">
        <f t="shared" si="6"/>
        <v>Not Assigned</v>
      </c>
      <c r="Y1919" s="15">
        <f t="shared" si="7"/>
        <v>45226</v>
      </c>
      <c r="Z1919" s="14" t="str">
        <f t="shared" si="8"/>
        <v>Credit Card</v>
      </c>
      <c r="AA1919" s="14" t="str">
        <f t="shared" si="9"/>
        <v>Cancelled</v>
      </c>
      <c r="AB1919" s="14" t="str">
        <f t="shared" ref="AB1919:AC1919" si="3842">trim(Q1919)</f>
        <v>High Delivery Fees</v>
      </c>
      <c r="AC1919" s="14" t="str">
        <f t="shared" si="3842"/>
        <v/>
      </c>
      <c r="AD1919" s="8"/>
    </row>
    <row r="1920">
      <c r="A1920" s="14" t="str">
        <f>IFERROR(__xludf.DUMMYFUNCTION("""COMPUTED_VALUE"""),"//ord_81898//Shruti Aggarwal//Colaba//Papaya+2*Manju Ajay/12/27/2023//UPI//Delivered*Overall Satisfaction: Great service will order again")</f>
        <v>//ord_81898//Shruti Aggarwal//Colaba//Papaya+2*Manju Ajay/12/27/2023//UPI//Delivered*Overall Satisfaction: Great service will order again</v>
      </c>
      <c r="B1920" s="14" t="str">
        <f>IFERROR(__xludf.DUMMYFUNCTION("split(A1920,""//"")"),"ord_81898")</f>
        <v>ord_81898</v>
      </c>
      <c r="C1920" s="14" t="str">
        <f>IFERROR(__xludf.DUMMYFUNCTION("""COMPUTED_VALUE"""),"Shruti Aggarwal")</f>
        <v>Shruti Aggarwal</v>
      </c>
      <c r="D1920" s="14" t="str">
        <f>IFERROR(__xludf.DUMMYFUNCTION("""COMPUTED_VALUE"""),"Colaba")</f>
        <v>Colaba</v>
      </c>
      <c r="E1920" s="14" t="str">
        <f>IFERROR(__xludf.DUMMYFUNCTION("""COMPUTED_VALUE"""),"Papaya+2*Manju Ajay")</f>
        <v>Papaya+2*Manju Ajay</v>
      </c>
      <c r="F1920" s="14">
        <f>IFERROR(__xludf.DUMMYFUNCTION("""COMPUTED_VALUE"""),12.0)</f>
        <v>12</v>
      </c>
      <c r="G1920" s="14">
        <f>IFERROR(__xludf.DUMMYFUNCTION("""COMPUTED_VALUE"""),27.0)</f>
        <v>27</v>
      </c>
      <c r="H1920" s="14">
        <f>IFERROR(__xludf.DUMMYFUNCTION("""COMPUTED_VALUE"""),2023.0)</f>
        <v>2023</v>
      </c>
      <c r="I1920" s="14" t="str">
        <f>IFERROR(__xludf.DUMMYFUNCTION("""COMPUTED_VALUE"""),"UPI")</f>
        <v>UPI</v>
      </c>
      <c r="J1920" s="14" t="str">
        <f>IFERROR(__xludf.DUMMYFUNCTION("""COMPUTED_VALUE"""),"Delivered*Overall Satisfaction: Great service will order again")</f>
        <v>Delivered*Overall Satisfaction: Great service will order again</v>
      </c>
      <c r="K1920" s="14" t="str">
        <f>IFERROR(__xludf.DUMMYFUNCTION("split(E1920,""+"")"),"Papaya")</f>
        <v>Papaya</v>
      </c>
      <c r="L1920" s="14" t="str">
        <f>IFERROR(__xludf.DUMMYFUNCTION("""COMPUTED_VALUE"""),"2*Manju Ajay")</f>
        <v>2*Manju Ajay</v>
      </c>
      <c r="M1920" s="14">
        <f>IFERROR(__xludf.DUMMYFUNCTION("SPLIT(L1920,""*"")"),2.0)</f>
        <v>2</v>
      </c>
      <c r="N1920" s="14" t="str">
        <f>IFERROR(__xludf.DUMMYFUNCTION("""COMPUTED_VALUE"""),"Manju Ajay")</f>
        <v>Manju Ajay</v>
      </c>
      <c r="O1920" s="14" t="str">
        <f>IFERROR(__xludf.DUMMYFUNCTION("split(J1920,""*"")"),"Delivered")</f>
        <v>Delivered</v>
      </c>
      <c r="P1920" s="14" t="str">
        <f>IFERROR(__xludf.DUMMYFUNCTION("""COMPUTED_VALUE"""),"Overall Satisfaction: Great service will order again")</f>
        <v>Overall Satisfaction: Great service will order again</v>
      </c>
      <c r="Q1920" s="14" t="str">
        <f>IFERROR(__xludf.DUMMYFUNCTION("split(P1920,"":"")"),"Overall Satisfaction")</f>
        <v>Overall Satisfaction</v>
      </c>
      <c r="R1920" s="14" t="str">
        <f>IFERROR(__xludf.DUMMYFUNCTION("""COMPUTED_VALUE""")," Great service will order again")</f>
        <v> Great service will order again</v>
      </c>
      <c r="S1920" s="14" t="str">
        <f t="shared" ref="S1920:U1920" si="3843">trim(B1920)</f>
        <v>ord_81898</v>
      </c>
      <c r="T1920" s="14" t="str">
        <f t="shared" si="3843"/>
        <v>Shruti Aggarwal</v>
      </c>
      <c r="U1920" s="14" t="str">
        <f t="shared" si="3843"/>
        <v>Colaba</v>
      </c>
      <c r="V1920" s="14" t="str">
        <f t="shared" si="4"/>
        <v>Papaya</v>
      </c>
      <c r="W1920" s="14">
        <f t="shared" si="5"/>
        <v>2</v>
      </c>
      <c r="X1920" s="14" t="str">
        <f t="shared" si="6"/>
        <v>Manju Ajay</v>
      </c>
      <c r="Y1920" s="15">
        <f t="shared" si="7"/>
        <v>45287</v>
      </c>
      <c r="Z1920" s="14" t="str">
        <f t="shared" si="8"/>
        <v>UPI</v>
      </c>
      <c r="AA1920" s="14" t="str">
        <f t="shared" si="9"/>
        <v>Delivered</v>
      </c>
      <c r="AB1920" s="14" t="str">
        <f t="shared" ref="AB1920:AC1920" si="3844">trim(Q1920)</f>
        <v>Overall Satisfaction</v>
      </c>
      <c r="AC1920" s="14" t="str">
        <f t="shared" si="3844"/>
        <v>Great service will order again</v>
      </c>
      <c r="AD1920" s="8"/>
    </row>
    <row r="1921">
      <c r="A1921" s="14" t="str">
        <f>IFERROR(__xludf.DUMMYFUNCTION("""COMPUTED_VALUE"""),"//ord_81899//Mehul Thakkar//Dadar//Rasmalai+4*Nithin Lal/8/13/2023//Online Payment//Delivered*On-time Delivery: Delivered on time")</f>
        <v>//ord_81899//Mehul Thakkar//Dadar//Rasmalai+4*Nithin Lal/8/13/2023//Online Payment//Delivered*On-time Delivery: Delivered on time</v>
      </c>
      <c r="B1921" s="14" t="str">
        <f>IFERROR(__xludf.DUMMYFUNCTION("split(A1921,""//"")"),"ord_81899")</f>
        <v>ord_81899</v>
      </c>
      <c r="C1921" s="14" t="str">
        <f>IFERROR(__xludf.DUMMYFUNCTION("""COMPUTED_VALUE"""),"Mehul Thakkar")</f>
        <v>Mehul Thakkar</v>
      </c>
      <c r="D1921" s="14" t="str">
        <f>IFERROR(__xludf.DUMMYFUNCTION("""COMPUTED_VALUE"""),"Dadar")</f>
        <v>Dadar</v>
      </c>
      <c r="E1921" s="14" t="str">
        <f>IFERROR(__xludf.DUMMYFUNCTION("""COMPUTED_VALUE"""),"Rasmalai+4*Nithin Lal")</f>
        <v>Rasmalai+4*Nithin Lal</v>
      </c>
      <c r="F1921" s="14">
        <f>IFERROR(__xludf.DUMMYFUNCTION("""COMPUTED_VALUE"""),8.0)</f>
        <v>8</v>
      </c>
      <c r="G1921" s="14">
        <f>IFERROR(__xludf.DUMMYFUNCTION("""COMPUTED_VALUE"""),13.0)</f>
        <v>13</v>
      </c>
      <c r="H1921" s="14">
        <f>IFERROR(__xludf.DUMMYFUNCTION("""COMPUTED_VALUE"""),2023.0)</f>
        <v>2023</v>
      </c>
      <c r="I1921" s="14" t="str">
        <f>IFERROR(__xludf.DUMMYFUNCTION("""COMPUTED_VALUE"""),"Online Payment")</f>
        <v>Online Payment</v>
      </c>
      <c r="J1921" s="14" t="str">
        <f>IFERROR(__xludf.DUMMYFUNCTION("""COMPUTED_VALUE"""),"Delivered*On-time Delivery: Delivered on time")</f>
        <v>Delivered*On-time Delivery: Delivered on time</v>
      </c>
      <c r="K1921" s="14" t="str">
        <f>IFERROR(__xludf.DUMMYFUNCTION("split(E1921,""+"")"),"Rasmalai")</f>
        <v>Rasmalai</v>
      </c>
      <c r="L1921" s="14" t="str">
        <f>IFERROR(__xludf.DUMMYFUNCTION("""COMPUTED_VALUE"""),"4*Nithin Lal")</f>
        <v>4*Nithin Lal</v>
      </c>
      <c r="M1921" s="14">
        <f>IFERROR(__xludf.DUMMYFUNCTION("SPLIT(L1921,""*"")"),4.0)</f>
        <v>4</v>
      </c>
      <c r="N1921" s="14" t="str">
        <f>IFERROR(__xludf.DUMMYFUNCTION("""COMPUTED_VALUE"""),"Nithin Lal")</f>
        <v>Nithin Lal</v>
      </c>
      <c r="O1921" s="14" t="str">
        <f>IFERROR(__xludf.DUMMYFUNCTION("split(J1921,""*"")"),"Delivered")</f>
        <v>Delivered</v>
      </c>
      <c r="P1921" s="14" t="str">
        <f>IFERROR(__xludf.DUMMYFUNCTION("""COMPUTED_VALUE"""),"On-time Delivery: Delivered on time")</f>
        <v>On-time Delivery: Delivered on time</v>
      </c>
      <c r="Q1921" s="14" t="str">
        <f>IFERROR(__xludf.DUMMYFUNCTION("split(P1921,"":"")"),"On-time Delivery")</f>
        <v>On-time Delivery</v>
      </c>
      <c r="R1921" s="14" t="str">
        <f>IFERROR(__xludf.DUMMYFUNCTION("""COMPUTED_VALUE""")," Delivered on time")</f>
        <v> Delivered on time</v>
      </c>
      <c r="S1921" s="14" t="str">
        <f t="shared" ref="S1921:U1921" si="3845">trim(B1921)</f>
        <v>ord_81899</v>
      </c>
      <c r="T1921" s="14" t="str">
        <f t="shared" si="3845"/>
        <v>Mehul Thakkar</v>
      </c>
      <c r="U1921" s="14" t="str">
        <f t="shared" si="3845"/>
        <v>Dadar</v>
      </c>
      <c r="V1921" s="14" t="str">
        <f t="shared" si="4"/>
        <v>Rasmalai</v>
      </c>
      <c r="W1921" s="14">
        <f t="shared" si="5"/>
        <v>4</v>
      </c>
      <c r="X1921" s="14" t="str">
        <f t="shared" si="6"/>
        <v>Nithin Lal</v>
      </c>
      <c r="Y1921" s="15">
        <f t="shared" si="7"/>
        <v>45151</v>
      </c>
      <c r="Z1921" s="14" t="str">
        <f t="shared" si="8"/>
        <v>Online Payment</v>
      </c>
      <c r="AA1921" s="14" t="str">
        <f t="shared" si="9"/>
        <v>Delivered</v>
      </c>
      <c r="AB1921" s="14" t="str">
        <f t="shared" ref="AB1921:AC1921" si="3846">trim(Q1921)</f>
        <v>On-time Delivery</v>
      </c>
      <c r="AC1921" s="14" t="str">
        <f t="shared" si="3846"/>
        <v>Delivered on time</v>
      </c>
      <c r="AD1921" s="8"/>
    </row>
    <row r="1922">
      <c r="A1922" s="14" t="str">
        <f>IFERROR(__xludf.DUMMYFUNCTION("""COMPUTED_VALUE"""),"//ord_81900//Sana Malik//Powai//Juice+9*Manju Ajay/9/1/2023//UPI//Delivered*Quality of Items: Perfect condition")</f>
        <v>//ord_81900//Sana Malik//Powai//Juice+9*Manju Ajay/9/1/2023//UPI//Delivered*Quality of Items: Perfect condition</v>
      </c>
      <c r="B1922" s="14" t="str">
        <f>IFERROR(__xludf.DUMMYFUNCTION("split(A1922,""//"")"),"ord_81900")</f>
        <v>ord_81900</v>
      </c>
      <c r="C1922" s="14" t="str">
        <f>IFERROR(__xludf.DUMMYFUNCTION("""COMPUTED_VALUE"""),"Sana Malik")</f>
        <v>Sana Malik</v>
      </c>
      <c r="D1922" s="14" t="str">
        <f>IFERROR(__xludf.DUMMYFUNCTION("""COMPUTED_VALUE"""),"Powai")</f>
        <v>Powai</v>
      </c>
      <c r="E1922" s="14" t="str">
        <f>IFERROR(__xludf.DUMMYFUNCTION("""COMPUTED_VALUE"""),"Juice+9*Manju Ajay")</f>
        <v>Juice+9*Manju Ajay</v>
      </c>
      <c r="F1922" s="14">
        <f>IFERROR(__xludf.DUMMYFUNCTION("""COMPUTED_VALUE"""),9.0)</f>
        <v>9</v>
      </c>
      <c r="G1922" s="14">
        <f>IFERROR(__xludf.DUMMYFUNCTION("""COMPUTED_VALUE"""),1.0)</f>
        <v>1</v>
      </c>
      <c r="H1922" s="14">
        <f>IFERROR(__xludf.DUMMYFUNCTION("""COMPUTED_VALUE"""),2023.0)</f>
        <v>2023</v>
      </c>
      <c r="I1922" s="14" t="str">
        <f>IFERROR(__xludf.DUMMYFUNCTION("""COMPUTED_VALUE"""),"UPI")</f>
        <v>UPI</v>
      </c>
      <c r="J1922" s="14" t="str">
        <f>IFERROR(__xludf.DUMMYFUNCTION("""COMPUTED_VALUE"""),"Delivered*Quality of Items: Perfect condition")</f>
        <v>Delivered*Quality of Items: Perfect condition</v>
      </c>
      <c r="K1922" s="14" t="str">
        <f>IFERROR(__xludf.DUMMYFUNCTION("split(E1922,""+"")"),"Juice")</f>
        <v>Juice</v>
      </c>
      <c r="L1922" s="14" t="str">
        <f>IFERROR(__xludf.DUMMYFUNCTION("""COMPUTED_VALUE"""),"9*Manju Ajay")</f>
        <v>9*Manju Ajay</v>
      </c>
      <c r="M1922" s="14">
        <f>IFERROR(__xludf.DUMMYFUNCTION("SPLIT(L1922,""*"")"),9.0)</f>
        <v>9</v>
      </c>
      <c r="N1922" s="14" t="str">
        <f>IFERROR(__xludf.DUMMYFUNCTION("""COMPUTED_VALUE"""),"Manju Ajay")</f>
        <v>Manju Ajay</v>
      </c>
      <c r="O1922" s="14" t="str">
        <f>IFERROR(__xludf.DUMMYFUNCTION("split(J1922,""*"")"),"Delivered")</f>
        <v>Delivered</v>
      </c>
      <c r="P1922" s="14" t="str">
        <f>IFERROR(__xludf.DUMMYFUNCTION("""COMPUTED_VALUE"""),"Quality of Items: Perfect condition")</f>
        <v>Quality of Items: Perfect condition</v>
      </c>
      <c r="Q1922" s="14" t="str">
        <f>IFERROR(__xludf.DUMMYFUNCTION("split(P1922,"":"")"),"Quality of Items")</f>
        <v>Quality of Items</v>
      </c>
      <c r="R1922" s="14" t="str">
        <f>IFERROR(__xludf.DUMMYFUNCTION("""COMPUTED_VALUE""")," Perfect condition")</f>
        <v> Perfect condition</v>
      </c>
      <c r="S1922" s="14" t="str">
        <f t="shared" ref="S1922:U1922" si="3847">trim(B1922)</f>
        <v>ord_81900</v>
      </c>
      <c r="T1922" s="14" t="str">
        <f t="shared" si="3847"/>
        <v>Sana Malik</v>
      </c>
      <c r="U1922" s="14" t="str">
        <f t="shared" si="3847"/>
        <v>Powai</v>
      </c>
      <c r="V1922" s="14" t="str">
        <f t="shared" si="4"/>
        <v>Juice</v>
      </c>
      <c r="W1922" s="14">
        <f t="shared" si="5"/>
        <v>9</v>
      </c>
      <c r="X1922" s="14" t="str">
        <f t="shared" si="6"/>
        <v>Manju Ajay</v>
      </c>
      <c r="Y1922" s="15">
        <f t="shared" si="7"/>
        <v>45170</v>
      </c>
      <c r="Z1922" s="14" t="str">
        <f t="shared" si="8"/>
        <v>UPI</v>
      </c>
      <c r="AA1922" s="14" t="str">
        <f t="shared" si="9"/>
        <v>Delivered</v>
      </c>
      <c r="AB1922" s="14" t="str">
        <f t="shared" ref="AB1922:AC1922" si="3848">trim(Q1922)</f>
        <v>Quality of Items</v>
      </c>
      <c r="AC1922" s="14" t="str">
        <f t="shared" si="3848"/>
        <v>Perfect condition</v>
      </c>
      <c r="AD1922" s="8"/>
    </row>
    <row r="1923">
      <c r="A1923" s="14" t="str">
        <f>IFERROR(__xludf.DUMMYFUNCTION("""COMPUTED_VALUE"""),"//ord_81901//Yash Verma//Lower Parel//Onion+4*Venu R/7/27/2023//Credit Card//Delivered*On-time Delivery: Delivered on time")</f>
        <v>//ord_81901//Yash Verma//Lower Parel//Onion+4*Venu R/7/27/2023//Credit Card//Delivered*On-time Delivery: Delivered on time</v>
      </c>
      <c r="B1923" s="14" t="str">
        <f>IFERROR(__xludf.DUMMYFUNCTION("split(A1923,""//"")"),"ord_81901")</f>
        <v>ord_81901</v>
      </c>
      <c r="C1923" s="14" t="str">
        <f>IFERROR(__xludf.DUMMYFUNCTION("""COMPUTED_VALUE"""),"Yash Verma")</f>
        <v>Yash Verma</v>
      </c>
      <c r="D1923" s="14" t="str">
        <f>IFERROR(__xludf.DUMMYFUNCTION("""COMPUTED_VALUE"""),"Lower Parel")</f>
        <v>Lower Parel</v>
      </c>
      <c r="E1923" s="14" t="str">
        <f>IFERROR(__xludf.DUMMYFUNCTION("""COMPUTED_VALUE"""),"Onion+4*Venu R")</f>
        <v>Onion+4*Venu R</v>
      </c>
      <c r="F1923" s="14">
        <f>IFERROR(__xludf.DUMMYFUNCTION("""COMPUTED_VALUE"""),7.0)</f>
        <v>7</v>
      </c>
      <c r="G1923" s="14">
        <f>IFERROR(__xludf.DUMMYFUNCTION("""COMPUTED_VALUE"""),27.0)</f>
        <v>27</v>
      </c>
      <c r="H1923" s="14">
        <f>IFERROR(__xludf.DUMMYFUNCTION("""COMPUTED_VALUE"""),2023.0)</f>
        <v>2023</v>
      </c>
      <c r="I1923" s="14" t="str">
        <f>IFERROR(__xludf.DUMMYFUNCTION("""COMPUTED_VALUE"""),"Credit Card")</f>
        <v>Credit Card</v>
      </c>
      <c r="J1923" s="14" t="str">
        <f>IFERROR(__xludf.DUMMYFUNCTION("""COMPUTED_VALUE"""),"Delivered*On-time Delivery: Delivered on time")</f>
        <v>Delivered*On-time Delivery: Delivered on time</v>
      </c>
      <c r="K1923" s="14" t="str">
        <f>IFERROR(__xludf.DUMMYFUNCTION("split(E1923,""+"")"),"Onion")</f>
        <v>Onion</v>
      </c>
      <c r="L1923" s="14" t="str">
        <f>IFERROR(__xludf.DUMMYFUNCTION("""COMPUTED_VALUE"""),"4*Venu R")</f>
        <v>4*Venu R</v>
      </c>
      <c r="M1923" s="14">
        <f>IFERROR(__xludf.DUMMYFUNCTION("SPLIT(L1923,""*"")"),4.0)</f>
        <v>4</v>
      </c>
      <c r="N1923" s="14" t="str">
        <f>IFERROR(__xludf.DUMMYFUNCTION("""COMPUTED_VALUE"""),"Venu R")</f>
        <v>Venu R</v>
      </c>
      <c r="O1923" s="14" t="str">
        <f>IFERROR(__xludf.DUMMYFUNCTION("split(J1923,""*"")"),"Delivered")</f>
        <v>Delivered</v>
      </c>
      <c r="P1923" s="14" t="str">
        <f>IFERROR(__xludf.DUMMYFUNCTION("""COMPUTED_VALUE"""),"On-time Delivery: Delivered on time")</f>
        <v>On-time Delivery: Delivered on time</v>
      </c>
      <c r="Q1923" s="14" t="str">
        <f>IFERROR(__xludf.DUMMYFUNCTION("split(P1923,"":"")"),"On-time Delivery")</f>
        <v>On-time Delivery</v>
      </c>
      <c r="R1923" s="14" t="str">
        <f>IFERROR(__xludf.DUMMYFUNCTION("""COMPUTED_VALUE""")," Delivered on time")</f>
        <v> Delivered on time</v>
      </c>
      <c r="S1923" s="14" t="str">
        <f t="shared" ref="S1923:U1923" si="3849">trim(B1923)</f>
        <v>ord_81901</v>
      </c>
      <c r="T1923" s="14" t="str">
        <f t="shared" si="3849"/>
        <v>Yash Verma</v>
      </c>
      <c r="U1923" s="14" t="str">
        <f t="shared" si="3849"/>
        <v>Lower Parel</v>
      </c>
      <c r="V1923" s="14" t="str">
        <f t="shared" si="4"/>
        <v>Onion</v>
      </c>
      <c r="W1923" s="14">
        <f t="shared" si="5"/>
        <v>4</v>
      </c>
      <c r="X1923" s="14" t="str">
        <f t="shared" si="6"/>
        <v>Venu R</v>
      </c>
      <c r="Y1923" s="15">
        <f t="shared" si="7"/>
        <v>45134</v>
      </c>
      <c r="Z1923" s="14" t="str">
        <f t="shared" si="8"/>
        <v>Credit Card</v>
      </c>
      <c r="AA1923" s="14" t="str">
        <f t="shared" si="9"/>
        <v>Delivered</v>
      </c>
      <c r="AB1923" s="14" t="str">
        <f t="shared" ref="AB1923:AC1923" si="3850">trim(Q1923)</f>
        <v>On-time Delivery</v>
      </c>
      <c r="AC1923" s="14" t="str">
        <f t="shared" si="3850"/>
        <v>Delivered on time</v>
      </c>
      <c r="AD1923" s="8"/>
    </row>
    <row r="1924">
      <c r="A1924" s="14" t="str">
        <f>IFERROR(__xludf.DUMMYFUNCTION("""COMPUTED_VALUE"""),"//ord_81902//Sana Malik//Juhu//Icecream+9*Ram Gopal/2/20/2023//Credit Card//Delivered*Quality of Items: Perfect condition")</f>
        <v>//ord_81902//Sana Malik//Juhu//Icecream+9*Ram Gopal/2/20/2023//Credit Card//Delivered*Quality of Items: Perfect condition</v>
      </c>
      <c r="B1924" s="14" t="str">
        <f>IFERROR(__xludf.DUMMYFUNCTION("split(A1924,""//"")"),"ord_81902")</f>
        <v>ord_81902</v>
      </c>
      <c r="C1924" s="14" t="str">
        <f>IFERROR(__xludf.DUMMYFUNCTION("""COMPUTED_VALUE"""),"Sana Malik")</f>
        <v>Sana Malik</v>
      </c>
      <c r="D1924" s="14" t="str">
        <f>IFERROR(__xludf.DUMMYFUNCTION("""COMPUTED_VALUE"""),"Juhu")</f>
        <v>Juhu</v>
      </c>
      <c r="E1924" s="14" t="str">
        <f>IFERROR(__xludf.DUMMYFUNCTION("""COMPUTED_VALUE"""),"Icecream+9*Ram Gopal")</f>
        <v>Icecream+9*Ram Gopal</v>
      </c>
      <c r="F1924" s="14">
        <f>IFERROR(__xludf.DUMMYFUNCTION("""COMPUTED_VALUE"""),2.0)</f>
        <v>2</v>
      </c>
      <c r="G1924" s="14">
        <f>IFERROR(__xludf.DUMMYFUNCTION("""COMPUTED_VALUE"""),20.0)</f>
        <v>20</v>
      </c>
      <c r="H1924" s="14">
        <f>IFERROR(__xludf.DUMMYFUNCTION("""COMPUTED_VALUE"""),2023.0)</f>
        <v>2023</v>
      </c>
      <c r="I1924" s="14" t="str">
        <f>IFERROR(__xludf.DUMMYFUNCTION("""COMPUTED_VALUE"""),"Credit Card")</f>
        <v>Credit Card</v>
      </c>
      <c r="J1924" s="14" t="str">
        <f>IFERROR(__xludf.DUMMYFUNCTION("""COMPUTED_VALUE"""),"Delivered*Quality of Items: Perfect condition")</f>
        <v>Delivered*Quality of Items: Perfect condition</v>
      </c>
      <c r="K1924" s="14" t="str">
        <f>IFERROR(__xludf.DUMMYFUNCTION("split(E1924,""+"")"),"Icecream")</f>
        <v>Icecream</v>
      </c>
      <c r="L1924" s="14" t="str">
        <f>IFERROR(__xludf.DUMMYFUNCTION("""COMPUTED_VALUE"""),"9*Ram Gopal")</f>
        <v>9*Ram Gopal</v>
      </c>
      <c r="M1924" s="14">
        <f>IFERROR(__xludf.DUMMYFUNCTION("SPLIT(L1924,""*"")"),9.0)</f>
        <v>9</v>
      </c>
      <c r="N1924" s="14" t="str">
        <f>IFERROR(__xludf.DUMMYFUNCTION("""COMPUTED_VALUE"""),"Ram Gopal")</f>
        <v>Ram Gopal</v>
      </c>
      <c r="O1924" s="14" t="str">
        <f>IFERROR(__xludf.DUMMYFUNCTION("split(J1924,""*"")"),"Delivered")</f>
        <v>Delivered</v>
      </c>
      <c r="P1924" s="14" t="str">
        <f>IFERROR(__xludf.DUMMYFUNCTION("""COMPUTED_VALUE"""),"Quality of Items: Perfect condition")</f>
        <v>Quality of Items: Perfect condition</v>
      </c>
      <c r="Q1924" s="14" t="str">
        <f>IFERROR(__xludf.DUMMYFUNCTION("split(P1924,"":"")"),"Quality of Items")</f>
        <v>Quality of Items</v>
      </c>
      <c r="R1924" s="14" t="str">
        <f>IFERROR(__xludf.DUMMYFUNCTION("""COMPUTED_VALUE""")," Perfect condition")</f>
        <v> Perfect condition</v>
      </c>
      <c r="S1924" s="14" t="str">
        <f t="shared" ref="S1924:U1924" si="3851">trim(B1924)</f>
        <v>ord_81902</v>
      </c>
      <c r="T1924" s="14" t="str">
        <f t="shared" si="3851"/>
        <v>Sana Malik</v>
      </c>
      <c r="U1924" s="14" t="str">
        <f t="shared" si="3851"/>
        <v>Juhu</v>
      </c>
      <c r="V1924" s="14" t="str">
        <f t="shared" si="4"/>
        <v>Icecream</v>
      </c>
      <c r="W1924" s="14">
        <f t="shared" si="5"/>
        <v>9</v>
      </c>
      <c r="X1924" s="14" t="str">
        <f t="shared" si="6"/>
        <v>Ram Gopal</v>
      </c>
      <c r="Y1924" s="15">
        <f t="shared" si="7"/>
        <v>44977</v>
      </c>
      <c r="Z1924" s="14" t="str">
        <f t="shared" si="8"/>
        <v>Credit Card</v>
      </c>
      <c r="AA1924" s="14" t="str">
        <f t="shared" si="9"/>
        <v>Delivered</v>
      </c>
      <c r="AB1924" s="14" t="str">
        <f t="shared" ref="AB1924:AC1924" si="3852">trim(Q1924)</f>
        <v>Quality of Items</v>
      </c>
      <c r="AC1924" s="14" t="str">
        <f t="shared" si="3852"/>
        <v>Perfect condition</v>
      </c>
      <c r="AD1924" s="8"/>
    </row>
    <row r="1925">
      <c r="A1925" s="14" t="str">
        <f>IFERROR(__xludf.DUMMYFUNCTION("""COMPUTED_VALUE"""),"//ord_81903//Harsh Vardhan//Bandra//Tomato+2*Ramesh S/8/25/2023//Online Payment//Delivered*Packaging: Secure and intact")</f>
        <v>//ord_81903//Harsh Vardhan//Bandra//Tomato+2*Ramesh S/8/25/2023//Online Payment//Delivered*Packaging: Secure and intact</v>
      </c>
      <c r="B1925" s="14" t="str">
        <f>IFERROR(__xludf.DUMMYFUNCTION("split(A1925,""//"")"),"ord_81903")</f>
        <v>ord_81903</v>
      </c>
      <c r="C1925" s="14" t="str">
        <f>IFERROR(__xludf.DUMMYFUNCTION("""COMPUTED_VALUE"""),"Harsh Vardhan")</f>
        <v>Harsh Vardhan</v>
      </c>
      <c r="D1925" s="14" t="str">
        <f>IFERROR(__xludf.DUMMYFUNCTION("""COMPUTED_VALUE"""),"Bandra")</f>
        <v>Bandra</v>
      </c>
      <c r="E1925" s="14" t="str">
        <f>IFERROR(__xludf.DUMMYFUNCTION("""COMPUTED_VALUE"""),"Tomato+2*Ramesh S")</f>
        <v>Tomato+2*Ramesh S</v>
      </c>
      <c r="F1925" s="14">
        <f>IFERROR(__xludf.DUMMYFUNCTION("""COMPUTED_VALUE"""),8.0)</f>
        <v>8</v>
      </c>
      <c r="G1925" s="14">
        <f>IFERROR(__xludf.DUMMYFUNCTION("""COMPUTED_VALUE"""),25.0)</f>
        <v>25</v>
      </c>
      <c r="H1925" s="14">
        <f>IFERROR(__xludf.DUMMYFUNCTION("""COMPUTED_VALUE"""),2023.0)</f>
        <v>2023</v>
      </c>
      <c r="I1925" s="14" t="str">
        <f>IFERROR(__xludf.DUMMYFUNCTION("""COMPUTED_VALUE"""),"Online Payment")</f>
        <v>Online Payment</v>
      </c>
      <c r="J1925" s="14" t="str">
        <f>IFERROR(__xludf.DUMMYFUNCTION("""COMPUTED_VALUE"""),"Delivered*Packaging: Secure and intact")</f>
        <v>Delivered*Packaging: Secure and intact</v>
      </c>
      <c r="K1925" s="14" t="str">
        <f>IFERROR(__xludf.DUMMYFUNCTION("split(E1925,""+"")"),"Tomato")</f>
        <v>Tomato</v>
      </c>
      <c r="L1925" s="14" t="str">
        <f>IFERROR(__xludf.DUMMYFUNCTION("""COMPUTED_VALUE"""),"2*Ramesh S")</f>
        <v>2*Ramesh S</v>
      </c>
      <c r="M1925" s="14">
        <f>IFERROR(__xludf.DUMMYFUNCTION("SPLIT(L1925,""*"")"),2.0)</f>
        <v>2</v>
      </c>
      <c r="N1925" s="14" t="str">
        <f>IFERROR(__xludf.DUMMYFUNCTION("""COMPUTED_VALUE"""),"Ramesh S")</f>
        <v>Ramesh S</v>
      </c>
      <c r="O1925" s="14" t="str">
        <f>IFERROR(__xludf.DUMMYFUNCTION("split(J1925,""*"")"),"Delivered")</f>
        <v>Delivered</v>
      </c>
      <c r="P1925" s="14" t="str">
        <f>IFERROR(__xludf.DUMMYFUNCTION("""COMPUTED_VALUE"""),"Packaging: Secure and intact")</f>
        <v>Packaging: Secure and intact</v>
      </c>
      <c r="Q1925" s="14" t="str">
        <f>IFERROR(__xludf.DUMMYFUNCTION("split(P1925,"":"")"),"Packaging")</f>
        <v>Packaging</v>
      </c>
      <c r="R1925" s="14" t="str">
        <f>IFERROR(__xludf.DUMMYFUNCTION("""COMPUTED_VALUE""")," Secure and intact")</f>
        <v> Secure and intact</v>
      </c>
      <c r="S1925" s="14" t="str">
        <f t="shared" ref="S1925:U1925" si="3853">trim(B1925)</f>
        <v>ord_81903</v>
      </c>
      <c r="T1925" s="14" t="str">
        <f t="shared" si="3853"/>
        <v>Harsh Vardhan</v>
      </c>
      <c r="U1925" s="14" t="str">
        <f t="shared" si="3853"/>
        <v>Bandra</v>
      </c>
      <c r="V1925" s="14" t="str">
        <f t="shared" si="4"/>
        <v>Tomato</v>
      </c>
      <c r="W1925" s="14">
        <f t="shared" si="5"/>
        <v>2</v>
      </c>
      <c r="X1925" s="14" t="str">
        <f t="shared" si="6"/>
        <v>Ramesh S</v>
      </c>
      <c r="Y1925" s="15">
        <f t="shared" si="7"/>
        <v>45163</v>
      </c>
      <c r="Z1925" s="14" t="str">
        <f t="shared" si="8"/>
        <v>Online Payment</v>
      </c>
      <c r="AA1925" s="14" t="str">
        <f t="shared" si="9"/>
        <v>Delivered</v>
      </c>
      <c r="AB1925" s="14" t="str">
        <f t="shared" ref="AB1925:AC1925" si="3854">trim(Q1925)</f>
        <v>Packaging</v>
      </c>
      <c r="AC1925" s="14" t="str">
        <f t="shared" si="3854"/>
        <v>Secure and intact</v>
      </c>
      <c r="AD1925" s="8"/>
    </row>
    <row r="1926">
      <c r="A1926" s="14" t="str">
        <f>IFERROR(__xludf.DUMMYFUNCTION("""COMPUTED_VALUE"""),"//ord_81904//Sana Malik//Powai//Potato+3*Vivek Kumar/8/21/2023//Online Payment//Delivered*Satisfied with the Delivery: Timely and quality")</f>
        <v>//ord_81904//Sana Malik//Powai//Potato+3*Vivek Kumar/8/21/2023//Online Payment//Delivered*Satisfied with the Delivery: Timely and quality</v>
      </c>
      <c r="B1926" s="14" t="str">
        <f>IFERROR(__xludf.DUMMYFUNCTION("split(A1926,""//"")"),"ord_81904")</f>
        <v>ord_81904</v>
      </c>
      <c r="C1926" s="14" t="str">
        <f>IFERROR(__xludf.DUMMYFUNCTION("""COMPUTED_VALUE"""),"Sana Malik")</f>
        <v>Sana Malik</v>
      </c>
      <c r="D1926" s="14" t="str">
        <f>IFERROR(__xludf.DUMMYFUNCTION("""COMPUTED_VALUE"""),"Powai")</f>
        <v>Powai</v>
      </c>
      <c r="E1926" s="14" t="str">
        <f>IFERROR(__xludf.DUMMYFUNCTION("""COMPUTED_VALUE"""),"Potato+3*Vivek Kumar")</f>
        <v>Potato+3*Vivek Kumar</v>
      </c>
      <c r="F1926" s="14">
        <f>IFERROR(__xludf.DUMMYFUNCTION("""COMPUTED_VALUE"""),8.0)</f>
        <v>8</v>
      </c>
      <c r="G1926" s="14">
        <f>IFERROR(__xludf.DUMMYFUNCTION("""COMPUTED_VALUE"""),21.0)</f>
        <v>21</v>
      </c>
      <c r="H1926" s="14">
        <f>IFERROR(__xludf.DUMMYFUNCTION("""COMPUTED_VALUE"""),2023.0)</f>
        <v>2023</v>
      </c>
      <c r="I1926" s="14" t="str">
        <f>IFERROR(__xludf.DUMMYFUNCTION("""COMPUTED_VALUE"""),"Online Payment")</f>
        <v>Online Payment</v>
      </c>
      <c r="J1926" s="14" t="str">
        <f>IFERROR(__xludf.DUMMYFUNCTION("""COMPUTED_VALUE"""),"Delivered*Satisfied with the Delivery: Timely and quality")</f>
        <v>Delivered*Satisfied with the Delivery: Timely and quality</v>
      </c>
      <c r="K1926" s="14" t="str">
        <f>IFERROR(__xludf.DUMMYFUNCTION("split(E1926,""+"")"),"Potato")</f>
        <v>Potato</v>
      </c>
      <c r="L1926" s="14" t="str">
        <f>IFERROR(__xludf.DUMMYFUNCTION("""COMPUTED_VALUE"""),"3*Vivek Kumar")</f>
        <v>3*Vivek Kumar</v>
      </c>
      <c r="M1926" s="14">
        <f>IFERROR(__xludf.DUMMYFUNCTION("SPLIT(L1926,""*"")"),3.0)</f>
        <v>3</v>
      </c>
      <c r="N1926" s="14" t="str">
        <f>IFERROR(__xludf.DUMMYFUNCTION("""COMPUTED_VALUE"""),"Vivek Kumar")</f>
        <v>Vivek Kumar</v>
      </c>
      <c r="O1926" s="14" t="str">
        <f>IFERROR(__xludf.DUMMYFUNCTION("split(J1926,""*"")"),"Delivered")</f>
        <v>Delivered</v>
      </c>
      <c r="P1926" s="14" t="str">
        <f>IFERROR(__xludf.DUMMYFUNCTION("""COMPUTED_VALUE"""),"Satisfied with the Delivery: Timely and quality")</f>
        <v>Satisfied with the Delivery: Timely and quality</v>
      </c>
      <c r="Q1926" s="14" t="str">
        <f>IFERROR(__xludf.DUMMYFUNCTION("split(P1926,"":"")"),"Satisfied with the Delivery")</f>
        <v>Satisfied with the Delivery</v>
      </c>
      <c r="R1926" s="14" t="str">
        <f>IFERROR(__xludf.DUMMYFUNCTION("""COMPUTED_VALUE""")," Timely and quality")</f>
        <v> Timely and quality</v>
      </c>
      <c r="S1926" s="14" t="str">
        <f t="shared" ref="S1926:U1926" si="3855">trim(B1926)</f>
        <v>ord_81904</v>
      </c>
      <c r="T1926" s="14" t="str">
        <f t="shared" si="3855"/>
        <v>Sana Malik</v>
      </c>
      <c r="U1926" s="14" t="str">
        <f t="shared" si="3855"/>
        <v>Powai</v>
      </c>
      <c r="V1926" s="14" t="str">
        <f t="shared" si="4"/>
        <v>Potato</v>
      </c>
      <c r="W1926" s="14">
        <f t="shared" si="5"/>
        <v>3</v>
      </c>
      <c r="X1926" s="14" t="str">
        <f t="shared" si="6"/>
        <v>Vivek Kumar</v>
      </c>
      <c r="Y1926" s="15">
        <f t="shared" si="7"/>
        <v>45159</v>
      </c>
      <c r="Z1926" s="14" t="str">
        <f t="shared" si="8"/>
        <v>Online Payment</v>
      </c>
      <c r="AA1926" s="14" t="str">
        <f t="shared" si="9"/>
        <v>Delivered</v>
      </c>
      <c r="AB1926" s="14" t="str">
        <f t="shared" ref="AB1926:AC1926" si="3856">trim(Q1926)</f>
        <v>Satisfied with the Delivery</v>
      </c>
      <c r="AC1926" s="14" t="str">
        <f t="shared" si="3856"/>
        <v>Timely and quality</v>
      </c>
      <c r="AD1926" s="8"/>
    </row>
    <row r="1927">
      <c r="A1927" s="14" t="str">
        <f>IFERROR(__xludf.DUMMYFUNCTION("""COMPUTED_VALUE"""),"//ord_81905//Yash Verma//Lower Parel//Chicken Puff+5*Venu R/11/13/2023//UPI//Delivered*Customer Service: Seamless and easy")</f>
        <v>//ord_81905//Yash Verma//Lower Parel//Chicken Puff+5*Venu R/11/13/2023//UPI//Delivered*Customer Service: Seamless and easy</v>
      </c>
      <c r="B1927" s="14" t="str">
        <f>IFERROR(__xludf.DUMMYFUNCTION("split(A1927,""//"")"),"ord_81905")</f>
        <v>ord_81905</v>
      </c>
      <c r="C1927" s="14" t="str">
        <f>IFERROR(__xludf.DUMMYFUNCTION("""COMPUTED_VALUE"""),"Yash Verma")</f>
        <v>Yash Verma</v>
      </c>
      <c r="D1927" s="14" t="str">
        <f>IFERROR(__xludf.DUMMYFUNCTION("""COMPUTED_VALUE"""),"Lower Parel")</f>
        <v>Lower Parel</v>
      </c>
      <c r="E1927" s="14" t="str">
        <f>IFERROR(__xludf.DUMMYFUNCTION("""COMPUTED_VALUE"""),"Chicken Puff+5*Venu R")</f>
        <v>Chicken Puff+5*Venu R</v>
      </c>
      <c r="F1927" s="14">
        <f>IFERROR(__xludf.DUMMYFUNCTION("""COMPUTED_VALUE"""),11.0)</f>
        <v>11</v>
      </c>
      <c r="G1927" s="14">
        <f>IFERROR(__xludf.DUMMYFUNCTION("""COMPUTED_VALUE"""),13.0)</f>
        <v>13</v>
      </c>
      <c r="H1927" s="14">
        <f>IFERROR(__xludf.DUMMYFUNCTION("""COMPUTED_VALUE"""),2023.0)</f>
        <v>2023</v>
      </c>
      <c r="I1927" s="14" t="str">
        <f>IFERROR(__xludf.DUMMYFUNCTION("""COMPUTED_VALUE"""),"UPI")</f>
        <v>UPI</v>
      </c>
      <c r="J1927" s="14" t="str">
        <f>IFERROR(__xludf.DUMMYFUNCTION("""COMPUTED_VALUE"""),"Delivered*Customer Service: Seamless and easy")</f>
        <v>Delivered*Customer Service: Seamless and easy</v>
      </c>
      <c r="K1927" s="14" t="str">
        <f>IFERROR(__xludf.DUMMYFUNCTION("split(E1927,""+"")"),"Chicken Puff")</f>
        <v>Chicken Puff</v>
      </c>
      <c r="L1927" s="14" t="str">
        <f>IFERROR(__xludf.DUMMYFUNCTION("""COMPUTED_VALUE"""),"5*Venu R")</f>
        <v>5*Venu R</v>
      </c>
      <c r="M1927" s="14">
        <f>IFERROR(__xludf.DUMMYFUNCTION("SPLIT(L1927,""*"")"),5.0)</f>
        <v>5</v>
      </c>
      <c r="N1927" s="14" t="str">
        <f>IFERROR(__xludf.DUMMYFUNCTION("""COMPUTED_VALUE"""),"Venu R")</f>
        <v>Venu R</v>
      </c>
      <c r="O1927" s="14" t="str">
        <f>IFERROR(__xludf.DUMMYFUNCTION("split(J1927,""*"")"),"Delivered")</f>
        <v>Delivered</v>
      </c>
      <c r="P1927" s="14" t="str">
        <f>IFERROR(__xludf.DUMMYFUNCTION("""COMPUTED_VALUE"""),"Customer Service: Seamless and easy")</f>
        <v>Customer Service: Seamless and easy</v>
      </c>
      <c r="Q1927" s="14" t="str">
        <f>IFERROR(__xludf.DUMMYFUNCTION("split(P1927,"":"")"),"Customer Service")</f>
        <v>Customer Service</v>
      </c>
      <c r="R1927" s="14" t="str">
        <f>IFERROR(__xludf.DUMMYFUNCTION("""COMPUTED_VALUE""")," Seamless and easy")</f>
        <v> Seamless and easy</v>
      </c>
      <c r="S1927" s="14" t="str">
        <f t="shared" ref="S1927:U1927" si="3857">trim(B1927)</f>
        <v>ord_81905</v>
      </c>
      <c r="T1927" s="14" t="str">
        <f t="shared" si="3857"/>
        <v>Yash Verma</v>
      </c>
      <c r="U1927" s="14" t="str">
        <f t="shared" si="3857"/>
        <v>Lower Parel</v>
      </c>
      <c r="V1927" s="14" t="str">
        <f t="shared" si="4"/>
        <v>Chicken Puff</v>
      </c>
      <c r="W1927" s="14">
        <f t="shared" si="5"/>
        <v>5</v>
      </c>
      <c r="X1927" s="14" t="str">
        <f t="shared" si="6"/>
        <v>Venu R</v>
      </c>
      <c r="Y1927" s="15">
        <f t="shared" si="7"/>
        <v>45243</v>
      </c>
      <c r="Z1927" s="14" t="str">
        <f t="shared" si="8"/>
        <v>UPI</v>
      </c>
      <c r="AA1927" s="14" t="str">
        <f t="shared" si="9"/>
        <v>Delivered</v>
      </c>
      <c r="AB1927" s="14" t="str">
        <f t="shared" ref="AB1927:AC1927" si="3858">trim(Q1927)</f>
        <v>Customer Service</v>
      </c>
      <c r="AC1927" s="14" t="str">
        <f t="shared" si="3858"/>
        <v>Seamless and easy</v>
      </c>
      <c r="AD1927" s="8"/>
    </row>
    <row r="1928">
      <c r="A1928" s="14" t="str">
        <f>IFERROR(__xludf.DUMMYFUNCTION("""COMPUTED_VALUE"""),"//ord_81906//Leena Das//Andheri//Tiramisu+3*Ram Gopal/3/6/2023//Online Payment//Delivered*Delivery Experience: Quick and professional")</f>
        <v>//ord_81906//Leena Das//Andheri//Tiramisu+3*Ram Gopal/3/6/2023//Online Payment//Delivered*Delivery Experience: Quick and professional</v>
      </c>
      <c r="B1928" s="14" t="str">
        <f>IFERROR(__xludf.DUMMYFUNCTION("split(A1928,""//"")"),"ord_81906")</f>
        <v>ord_81906</v>
      </c>
      <c r="C1928" s="14" t="str">
        <f>IFERROR(__xludf.DUMMYFUNCTION("""COMPUTED_VALUE"""),"Leena Das")</f>
        <v>Leena Das</v>
      </c>
      <c r="D1928" s="14" t="str">
        <f>IFERROR(__xludf.DUMMYFUNCTION("""COMPUTED_VALUE"""),"Andheri")</f>
        <v>Andheri</v>
      </c>
      <c r="E1928" s="14" t="str">
        <f>IFERROR(__xludf.DUMMYFUNCTION("""COMPUTED_VALUE"""),"Tiramisu+3*Ram Gopal")</f>
        <v>Tiramisu+3*Ram Gopal</v>
      </c>
      <c r="F1928" s="14">
        <f>IFERROR(__xludf.DUMMYFUNCTION("""COMPUTED_VALUE"""),3.0)</f>
        <v>3</v>
      </c>
      <c r="G1928" s="14">
        <f>IFERROR(__xludf.DUMMYFUNCTION("""COMPUTED_VALUE"""),6.0)</f>
        <v>6</v>
      </c>
      <c r="H1928" s="14">
        <f>IFERROR(__xludf.DUMMYFUNCTION("""COMPUTED_VALUE"""),2023.0)</f>
        <v>2023</v>
      </c>
      <c r="I1928" s="14" t="str">
        <f>IFERROR(__xludf.DUMMYFUNCTION("""COMPUTED_VALUE"""),"Online Payment")</f>
        <v>Online Payment</v>
      </c>
      <c r="J1928" s="14" t="str">
        <f>IFERROR(__xludf.DUMMYFUNCTION("""COMPUTED_VALUE"""),"Delivered*Delivery Experience: Quick and professional")</f>
        <v>Delivered*Delivery Experience: Quick and professional</v>
      </c>
      <c r="K1928" s="14" t="str">
        <f>IFERROR(__xludf.DUMMYFUNCTION("split(E1928,""+"")"),"Tiramisu")</f>
        <v>Tiramisu</v>
      </c>
      <c r="L1928" s="14" t="str">
        <f>IFERROR(__xludf.DUMMYFUNCTION("""COMPUTED_VALUE"""),"3*Ram Gopal")</f>
        <v>3*Ram Gopal</v>
      </c>
      <c r="M1928" s="14">
        <f>IFERROR(__xludf.DUMMYFUNCTION("SPLIT(L1928,""*"")"),3.0)</f>
        <v>3</v>
      </c>
      <c r="N1928" s="14" t="str">
        <f>IFERROR(__xludf.DUMMYFUNCTION("""COMPUTED_VALUE"""),"Ram Gopal")</f>
        <v>Ram Gopal</v>
      </c>
      <c r="O1928" s="14" t="str">
        <f>IFERROR(__xludf.DUMMYFUNCTION("split(J1928,""*"")"),"Delivered")</f>
        <v>Delivered</v>
      </c>
      <c r="P1928" s="14" t="str">
        <f>IFERROR(__xludf.DUMMYFUNCTION("""COMPUTED_VALUE"""),"Delivery Experience: Quick and professional")</f>
        <v>Delivery Experience: Quick and professional</v>
      </c>
      <c r="Q1928" s="14" t="str">
        <f>IFERROR(__xludf.DUMMYFUNCTION("split(P1928,"":"")"),"Delivery Experience")</f>
        <v>Delivery Experience</v>
      </c>
      <c r="R1928" s="14" t="str">
        <f>IFERROR(__xludf.DUMMYFUNCTION("""COMPUTED_VALUE""")," Quick and professional")</f>
        <v> Quick and professional</v>
      </c>
      <c r="S1928" s="14" t="str">
        <f t="shared" ref="S1928:U1928" si="3859">trim(B1928)</f>
        <v>ord_81906</v>
      </c>
      <c r="T1928" s="14" t="str">
        <f t="shared" si="3859"/>
        <v>Leena Das</v>
      </c>
      <c r="U1928" s="14" t="str">
        <f t="shared" si="3859"/>
        <v>Andheri</v>
      </c>
      <c r="V1928" s="14" t="str">
        <f t="shared" si="4"/>
        <v>Tiramisu</v>
      </c>
      <c r="W1928" s="14">
        <f t="shared" si="5"/>
        <v>3</v>
      </c>
      <c r="X1928" s="14" t="str">
        <f t="shared" si="6"/>
        <v>Ram Gopal</v>
      </c>
      <c r="Y1928" s="15">
        <f t="shared" si="7"/>
        <v>44991</v>
      </c>
      <c r="Z1928" s="14" t="str">
        <f t="shared" si="8"/>
        <v>Online Payment</v>
      </c>
      <c r="AA1928" s="14" t="str">
        <f t="shared" si="9"/>
        <v>Delivered</v>
      </c>
      <c r="AB1928" s="14" t="str">
        <f t="shared" ref="AB1928:AC1928" si="3860">trim(Q1928)</f>
        <v>Delivery Experience</v>
      </c>
      <c r="AC1928" s="14" t="str">
        <f t="shared" si="3860"/>
        <v>Quick and professional</v>
      </c>
      <c r="AD1928" s="8"/>
    </row>
    <row r="1929">
      <c r="A1929" s="14" t="str">
        <f>IFERROR(__xludf.DUMMYFUNCTION("""COMPUTED_VALUE"""),"//ord_81907//Yash Verma//Colaba//Veg Puff+5*Sita T/12/19/2023//Credit Card//Delivered*Convenience: Easy tracking")</f>
        <v>//ord_81907//Yash Verma//Colaba//Veg Puff+5*Sita T/12/19/2023//Credit Card//Delivered*Convenience: Easy tracking</v>
      </c>
      <c r="B1929" s="14" t="str">
        <f>IFERROR(__xludf.DUMMYFUNCTION("split(A1929,""//"")"),"ord_81907")</f>
        <v>ord_81907</v>
      </c>
      <c r="C1929" s="14" t="str">
        <f>IFERROR(__xludf.DUMMYFUNCTION("""COMPUTED_VALUE"""),"Yash Verma")</f>
        <v>Yash Verma</v>
      </c>
      <c r="D1929" s="14" t="str">
        <f>IFERROR(__xludf.DUMMYFUNCTION("""COMPUTED_VALUE"""),"Colaba")</f>
        <v>Colaba</v>
      </c>
      <c r="E1929" s="14" t="str">
        <f>IFERROR(__xludf.DUMMYFUNCTION("""COMPUTED_VALUE"""),"Veg Puff+5*Sita T")</f>
        <v>Veg Puff+5*Sita T</v>
      </c>
      <c r="F1929" s="14">
        <f>IFERROR(__xludf.DUMMYFUNCTION("""COMPUTED_VALUE"""),12.0)</f>
        <v>12</v>
      </c>
      <c r="G1929" s="14">
        <f>IFERROR(__xludf.DUMMYFUNCTION("""COMPUTED_VALUE"""),19.0)</f>
        <v>19</v>
      </c>
      <c r="H1929" s="14">
        <f>IFERROR(__xludf.DUMMYFUNCTION("""COMPUTED_VALUE"""),2023.0)</f>
        <v>2023</v>
      </c>
      <c r="I1929" s="14" t="str">
        <f>IFERROR(__xludf.DUMMYFUNCTION("""COMPUTED_VALUE"""),"Credit Card")</f>
        <v>Credit Card</v>
      </c>
      <c r="J1929" s="14" t="str">
        <f>IFERROR(__xludf.DUMMYFUNCTION("""COMPUTED_VALUE"""),"Delivered*Convenience: Easy tracking")</f>
        <v>Delivered*Convenience: Easy tracking</v>
      </c>
      <c r="K1929" s="14" t="str">
        <f>IFERROR(__xludf.DUMMYFUNCTION("split(E1929,""+"")"),"Veg Puff")</f>
        <v>Veg Puff</v>
      </c>
      <c r="L1929" s="14" t="str">
        <f>IFERROR(__xludf.DUMMYFUNCTION("""COMPUTED_VALUE"""),"5*Sita T")</f>
        <v>5*Sita T</v>
      </c>
      <c r="M1929" s="14">
        <f>IFERROR(__xludf.DUMMYFUNCTION("SPLIT(L1929,""*"")"),5.0)</f>
        <v>5</v>
      </c>
      <c r="N1929" s="14" t="str">
        <f>IFERROR(__xludf.DUMMYFUNCTION("""COMPUTED_VALUE"""),"Sita T")</f>
        <v>Sita T</v>
      </c>
      <c r="O1929" s="14" t="str">
        <f>IFERROR(__xludf.DUMMYFUNCTION("split(J1929,""*"")"),"Delivered")</f>
        <v>Delivered</v>
      </c>
      <c r="P1929" s="14" t="str">
        <f>IFERROR(__xludf.DUMMYFUNCTION("""COMPUTED_VALUE"""),"Convenience: Easy tracking")</f>
        <v>Convenience: Easy tracking</v>
      </c>
      <c r="Q1929" s="14" t="str">
        <f>IFERROR(__xludf.DUMMYFUNCTION("split(P1929,"":"")"),"Convenience")</f>
        <v>Convenience</v>
      </c>
      <c r="R1929" s="14" t="str">
        <f>IFERROR(__xludf.DUMMYFUNCTION("""COMPUTED_VALUE""")," Easy tracking")</f>
        <v> Easy tracking</v>
      </c>
      <c r="S1929" s="14" t="str">
        <f t="shared" ref="S1929:U1929" si="3861">trim(B1929)</f>
        <v>ord_81907</v>
      </c>
      <c r="T1929" s="14" t="str">
        <f t="shared" si="3861"/>
        <v>Yash Verma</v>
      </c>
      <c r="U1929" s="14" t="str">
        <f t="shared" si="3861"/>
        <v>Colaba</v>
      </c>
      <c r="V1929" s="14" t="str">
        <f t="shared" si="4"/>
        <v>Veg Puff</v>
      </c>
      <c r="W1929" s="14">
        <f t="shared" si="5"/>
        <v>5</v>
      </c>
      <c r="X1929" s="14" t="str">
        <f t="shared" si="6"/>
        <v>Sita T</v>
      </c>
      <c r="Y1929" s="15">
        <f t="shared" si="7"/>
        <v>45279</v>
      </c>
      <c r="Z1929" s="14" t="str">
        <f t="shared" si="8"/>
        <v>Credit Card</v>
      </c>
      <c r="AA1929" s="14" t="str">
        <f t="shared" si="9"/>
        <v>Delivered</v>
      </c>
      <c r="AB1929" s="14" t="str">
        <f t="shared" ref="AB1929:AC1929" si="3862">trim(Q1929)</f>
        <v>Convenience</v>
      </c>
      <c r="AC1929" s="14" t="str">
        <f t="shared" si="3862"/>
        <v>Easy tracking</v>
      </c>
      <c r="AD1929" s="8"/>
    </row>
    <row r="1930">
      <c r="A1930" s="14" t="str">
        <f>IFERROR(__xludf.DUMMYFUNCTION("""COMPUTED_VALUE"""),"//ord_81908//Aditi Iyer//Bandra//Popcorn+1*Nithin Lal/5/4/2023//UPI//Delivered*Overall Satisfaction: Great service will order again")</f>
        <v>//ord_81908//Aditi Iyer//Bandra//Popcorn+1*Nithin Lal/5/4/2023//UPI//Delivered*Overall Satisfaction: Great service will order again</v>
      </c>
      <c r="B1930" s="14" t="str">
        <f>IFERROR(__xludf.DUMMYFUNCTION("split(A1930,""//"")"),"ord_81908")</f>
        <v>ord_81908</v>
      </c>
      <c r="C1930" s="14" t="str">
        <f>IFERROR(__xludf.DUMMYFUNCTION("""COMPUTED_VALUE"""),"Aditi Iyer")</f>
        <v>Aditi Iyer</v>
      </c>
      <c r="D1930" s="14" t="str">
        <f>IFERROR(__xludf.DUMMYFUNCTION("""COMPUTED_VALUE"""),"Bandra")</f>
        <v>Bandra</v>
      </c>
      <c r="E1930" s="14" t="str">
        <f>IFERROR(__xludf.DUMMYFUNCTION("""COMPUTED_VALUE"""),"Popcorn+1*Nithin Lal")</f>
        <v>Popcorn+1*Nithin Lal</v>
      </c>
      <c r="F1930" s="14">
        <f>IFERROR(__xludf.DUMMYFUNCTION("""COMPUTED_VALUE"""),5.0)</f>
        <v>5</v>
      </c>
      <c r="G1930" s="14">
        <f>IFERROR(__xludf.DUMMYFUNCTION("""COMPUTED_VALUE"""),4.0)</f>
        <v>4</v>
      </c>
      <c r="H1930" s="14">
        <f>IFERROR(__xludf.DUMMYFUNCTION("""COMPUTED_VALUE"""),2023.0)</f>
        <v>2023</v>
      </c>
      <c r="I1930" s="14" t="str">
        <f>IFERROR(__xludf.DUMMYFUNCTION("""COMPUTED_VALUE"""),"UPI")</f>
        <v>UPI</v>
      </c>
      <c r="J1930" s="14" t="str">
        <f>IFERROR(__xludf.DUMMYFUNCTION("""COMPUTED_VALUE"""),"Delivered*Overall Satisfaction: Great service will order again")</f>
        <v>Delivered*Overall Satisfaction: Great service will order again</v>
      </c>
      <c r="K1930" s="14" t="str">
        <f>IFERROR(__xludf.DUMMYFUNCTION("split(E1930,""+"")"),"Popcorn")</f>
        <v>Popcorn</v>
      </c>
      <c r="L1930" s="14" t="str">
        <f>IFERROR(__xludf.DUMMYFUNCTION("""COMPUTED_VALUE"""),"1*Nithin Lal")</f>
        <v>1*Nithin Lal</v>
      </c>
      <c r="M1930" s="14">
        <f>IFERROR(__xludf.DUMMYFUNCTION("SPLIT(L1930,""*"")"),1.0)</f>
        <v>1</v>
      </c>
      <c r="N1930" s="14" t="str">
        <f>IFERROR(__xludf.DUMMYFUNCTION("""COMPUTED_VALUE"""),"Nithin Lal")</f>
        <v>Nithin Lal</v>
      </c>
      <c r="O1930" s="14" t="str">
        <f>IFERROR(__xludf.DUMMYFUNCTION("split(J1930,""*"")"),"Delivered")</f>
        <v>Delivered</v>
      </c>
      <c r="P1930" s="14" t="str">
        <f>IFERROR(__xludf.DUMMYFUNCTION("""COMPUTED_VALUE"""),"Overall Satisfaction: Great service will order again")</f>
        <v>Overall Satisfaction: Great service will order again</v>
      </c>
      <c r="Q1930" s="14" t="str">
        <f>IFERROR(__xludf.DUMMYFUNCTION("split(P1930,"":"")"),"Overall Satisfaction")</f>
        <v>Overall Satisfaction</v>
      </c>
      <c r="R1930" s="14" t="str">
        <f>IFERROR(__xludf.DUMMYFUNCTION("""COMPUTED_VALUE""")," Great service will order again")</f>
        <v> Great service will order again</v>
      </c>
      <c r="S1930" s="14" t="str">
        <f t="shared" ref="S1930:U1930" si="3863">trim(B1930)</f>
        <v>ord_81908</v>
      </c>
      <c r="T1930" s="14" t="str">
        <f t="shared" si="3863"/>
        <v>Aditi Iyer</v>
      </c>
      <c r="U1930" s="14" t="str">
        <f t="shared" si="3863"/>
        <v>Bandra</v>
      </c>
      <c r="V1930" s="14" t="str">
        <f t="shared" si="4"/>
        <v>Popcorn</v>
      </c>
      <c r="W1930" s="14">
        <f t="shared" si="5"/>
        <v>1</v>
      </c>
      <c r="X1930" s="14" t="str">
        <f t="shared" si="6"/>
        <v>Nithin Lal</v>
      </c>
      <c r="Y1930" s="15">
        <f t="shared" si="7"/>
        <v>45050</v>
      </c>
      <c r="Z1930" s="14" t="str">
        <f t="shared" si="8"/>
        <v>UPI</v>
      </c>
      <c r="AA1930" s="14" t="str">
        <f t="shared" si="9"/>
        <v>Delivered</v>
      </c>
      <c r="AB1930" s="14" t="str">
        <f t="shared" ref="AB1930:AC1930" si="3864">trim(Q1930)</f>
        <v>Overall Satisfaction</v>
      </c>
      <c r="AC1930" s="14" t="str">
        <f t="shared" si="3864"/>
        <v>Great service will order again</v>
      </c>
      <c r="AD1930" s="8"/>
    </row>
    <row r="1931">
      <c r="A1931" s="14" t="str">
        <f>IFERROR(__xludf.DUMMYFUNCTION("""COMPUTED_VALUE"""),"//ord_81909//Shruti Aggarwal//Colaba//Chilli Cheese Toast+6*Vivek Kumar/9/10/2023//UPI//Delivered*On-time Delivery: Delivered on time")</f>
        <v>//ord_81909//Shruti Aggarwal//Colaba//Chilli Cheese Toast+6*Vivek Kumar/9/10/2023//UPI//Delivered*On-time Delivery: Delivered on time</v>
      </c>
      <c r="B1931" s="14" t="str">
        <f>IFERROR(__xludf.DUMMYFUNCTION("split(A1931,""//"")"),"ord_81909")</f>
        <v>ord_81909</v>
      </c>
      <c r="C1931" s="14" t="str">
        <f>IFERROR(__xludf.DUMMYFUNCTION("""COMPUTED_VALUE"""),"Shruti Aggarwal")</f>
        <v>Shruti Aggarwal</v>
      </c>
      <c r="D1931" s="14" t="str">
        <f>IFERROR(__xludf.DUMMYFUNCTION("""COMPUTED_VALUE"""),"Colaba")</f>
        <v>Colaba</v>
      </c>
      <c r="E1931" s="14" t="str">
        <f>IFERROR(__xludf.DUMMYFUNCTION("""COMPUTED_VALUE"""),"Chilli Cheese Toast+6*Vivek Kumar")</f>
        <v>Chilli Cheese Toast+6*Vivek Kumar</v>
      </c>
      <c r="F1931" s="14">
        <f>IFERROR(__xludf.DUMMYFUNCTION("""COMPUTED_VALUE"""),9.0)</f>
        <v>9</v>
      </c>
      <c r="G1931" s="14">
        <f>IFERROR(__xludf.DUMMYFUNCTION("""COMPUTED_VALUE"""),10.0)</f>
        <v>10</v>
      </c>
      <c r="H1931" s="14">
        <f>IFERROR(__xludf.DUMMYFUNCTION("""COMPUTED_VALUE"""),2023.0)</f>
        <v>2023</v>
      </c>
      <c r="I1931" s="14" t="str">
        <f>IFERROR(__xludf.DUMMYFUNCTION("""COMPUTED_VALUE"""),"UPI")</f>
        <v>UPI</v>
      </c>
      <c r="J1931" s="14" t="str">
        <f>IFERROR(__xludf.DUMMYFUNCTION("""COMPUTED_VALUE"""),"Delivered*On-time Delivery: Delivered on time")</f>
        <v>Delivered*On-time Delivery: Delivered on time</v>
      </c>
      <c r="K1931" s="14" t="str">
        <f>IFERROR(__xludf.DUMMYFUNCTION("split(E1931,""+"")"),"Chilli Cheese Toast")</f>
        <v>Chilli Cheese Toast</v>
      </c>
      <c r="L1931" s="14" t="str">
        <f>IFERROR(__xludf.DUMMYFUNCTION("""COMPUTED_VALUE"""),"6*Vivek Kumar")</f>
        <v>6*Vivek Kumar</v>
      </c>
      <c r="M1931" s="14">
        <f>IFERROR(__xludf.DUMMYFUNCTION("SPLIT(L1931,""*"")"),6.0)</f>
        <v>6</v>
      </c>
      <c r="N1931" s="14" t="str">
        <f>IFERROR(__xludf.DUMMYFUNCTION("""COMPUTED_VALUE"""),"Vivek Kumar")</f>
        <v>Vivek Kumar</v>
      </c>
      <c r="O1931" s="14" t="str">
        <f>IFERROR(__xludf.DUMMYFUNCTION("split(J1931,""*"")"),"Delivered")</f>
        <v>Delivered</v>
      </c>
      <c r="P1931" s="14" t="str">
        <f>IFERROR(__xludf.DUMMYFUNCTION("""COMPUTED_VALUE"""),"On-time Delivery: Delivered on time")</f>
        <v>On-time Delivery: Delivered on time</v>
      </c>
      <c r="Q1931" s="14" t="str">
        <f>IFERROR(__xludf.DUMMYFUNCTION("split(P1931,"":"")"),"On-time Delivery")</f>
        <v>On-time Delivery</v>
      </c>
      <c r="R1931" s="14" t="str">
        <f>IFERROR(__xludf.DUMMYFUNCTION("""COMPUTED_VALUE""")," Delivered on time")</f>
        <v> Delivered on time</v>
      </c>
      <c r="S1931" s="14" t="str">
        <f t="shared" ref="S1931:U1931" si="3865">trim(B1931)</f>
        <v>ord_81909</v>
      </c>
      <c r="T1931" s="14" t="str">
        <f t="shared" si="3865"/>
        <v>Shruti Aggarwal</v>
      </c>
      <c r="U1931" s="14" t="str">
        <f t="shared" si="3865"/>
        <v>Colaba</v>
      </c>
      <c r="V1931" s="14" t="str">
        <f t="shared" si="4"/>
        <v>Chilli Cheese Toast</v>
      </c>
      <c r="W1931" s="14">
        <f t="shared" si="5"/>
        <v>6</v>
      </c>
      <c r="X1931" s="14" t="str">
        <f t="shared" si="6"/>
        <v>Vivek Kumar</v>
      </c>
      <c r="Y1931" s="15">
        <f t="shared" si="7"/>
        <v>45179</v>
      </c>
      <c r="Z1931" s="14" t="str">
        <f t="shared" si="8"/>
        <v>UPI</v>
      </c>
      <c r="AA1931" s="14" t="str">
        <f t="shared" si="9"/>
        <v>Delivered</v>
      </c>
      <c r="AB1931" s="14" t="str">
        <f t="shared" ref="AB1931:AC1931" si="3866">trim(Q1931)</f>
        <v>On-time Delivery</v>
      </c>
      <c r="AC1931" s="14" t="str">
        <f t="shared" si="3866"/>
        <v>Delivered on time</v>
      </c>
      <c r="AD1931" s="8"/>
    </row>
    <row r="1932">
      <c r="A1932" s="14" t="str">
        <f>IFERROR(__xludf.DUMMYFUNCTION("""COMPUTED_VALUE"""),"//ord_81910//Sana Malik//Powai//Tomato+3*Nithin Lal/6/26/2023//Online Payment//Delivered*Quality of Items: Perfect condition")</f>
        <v>//ord_81910//Sana Malik//Powai//Tomato+3*Nithin Lal/6/26/2023//Online Payment//Delivered*Quality of Items: Perfect condition</v>
      </c>
      <c r="B1932" s="14" t="str">
        <f>IFERROR(__xludf.DUMMYFUNCTION("split(A1932,""//"")"),"ord_81910")</f>
        <v>ord_81910</v>
      </c>
      <c r="C1932" s="14" t="str">
        <f>IFERROR(__xludf.DUMMYFUNCTION("""COMPUTED_VALUE"""),"Sana Malik")</f>
        <v>Sana Malik</v>
      </c>
      <c r="D1932" s="14" t="str">
        <f>IFERROR(__xludf.DUMMYFUNCTION("""COMPUTED_VALUE"""),"Powai")</f>
        <v>Powai</v>
      </c>
      <c r="E1932" s="14" t="str">
        <f>IFERROR(__xludf.DUMMYFUNCTION("""COMPUTED_VALUE"""),"Tomato+3*Nithin Lal")</f>
        <v>Tomato+3*Nithin Lal</v>
      </c>
      <c r="F1932" s="14">
        <f>IFERROR(__xludf.DUMMYFUNCTION("""COMPUTED_VALUE"""),6.0)</f>
        <v>6</v>
      </c>
      <c r="G1932" s="14">
        <f>IFERROR(__xludf.DUMMYFUNCTION("""COMPUTED_VALUE"""),26.0)</f>
        <v>26</v>
      </c>
      <c r="H1932" s="14">
        <f>IFERROR(__xludf.DUMMYFUNCTION("""COMPUTED_VALUE"""),2023.0)</f>
        <v>2023</v>
      </c>
      <c r="I1932" s="14" t="str">
        <f>IFERROR(__xludf.DUMMYFUNCTION("""COMPUTED_VALUE"""),"Online Payment")</f>
        <v>Online Payment</v>
      </c>
      <c r="J1932" s="14" t="str">
        <f>IFERROR(__xludf.DUMMYFUNCTION("""COMPUTED_VALUE"""),"Delivered*Quality of Items: Perfect condition")</f>
        <v>Delivered*Quality of Items: Perfect condition</v>
      </c>
      <c r="K1932" s="14" t="str">
        <f>IFERROR(__xludf.DUMMYFUNCTION("split(E1932,""+"")"),"Tomato")</f>
        <v>Tomato</v>
      </c>
      <c r="L1932" s="14" t="str">
        <f>IFERROR(__xludf.DUMMYFUNCTION("""COMPUTED_VALUE"""),"3*Nithin Lal")</f>
        <v>3*Nithin Lal</v>
      </c>
      <c r="M1932" s="14">
        <f>IFERROR(__xludf.DUMMYFUNCTION("SPLIT(L1932,""*"")"),3.0)</f>
        <v>3</v>
      </c>
      <c r="N1932" s="14" t="str">
        <f>IFERROR(__xludf.DUMMYFUNCTION("""COMPUTED_VALUE"""),"Nithin Lal")</f>
        <v>Nithin Lal</v>
      </c>
      <c r="O1932" s="14" t="str">
        <f>IFERROR(__xludf.DUMMYFUNCTION("split(J1932,""*"")"),"Delivered")</f>
        <v>Delivered</v>
      </c>
      <c r="P1932" s="14" t="str">
        <f>IFERROR(__xludf.DUMMYFUNCTION("""COMPUTED_VALUE"""),"Quality of Items: Perfect condition")</f>
        <v>Quality of Items: Perfect condition</v>
      </c>
      <c r="Q1932" s="14" t="str">
        <f>IFERROR(__xludf.DUMMYFUNCTION("split(P1932,"":"")"),"Quality of Items")</f>
        <v>Quality of Items</v>
      </c>
      <c r="R1932" s="14" t="str">
        <f>IFERROR(__xludf.DUMMYFUNCTION("""COMPUTED_VALUE""")," Perfect condition")</f>
        <v> Perfect condition</v>
      </c>
      <c r="S1932" s="14" t="str">
        <f t="shared" ref="S1932:U1932" si="3867">trim(B1932)</f>
        <v>ord_81910</v>
      </c>
      <c r="T1932" s="14" t="str">
        <f t="shared" si="3867"/>
        <v>Sana Malik</v>
      </c>
      <c r="U1932" s="14" t="str">
        <f t="shared" si="3867"/>
        <v>Powai</v>
      </c>
      <c r="V1932" s="14" t="str">
        <f t="shared" si="4"/>
        <v>Tomato</v>
      </c>
      <c r="W1932" s="14">
        <f t="shared" si="5"/>
        <v>3</v>
      </c>
      <c r="X1932" s="14" t="str">
        <f t="shared" si="6"/>
        <v>Nithin Lal</v>
      </c>
      <c r="Y1932" s="15">
        <f t="shared" si="7"/>
        <v>45103</v>
      </c>
      <c r="Z1932" s="14" t="str">
        <f t="shared" si="8"/>
        <v>Online Payment</v>
      </c>
      <c r="AA1932" s="14" t="str">
        <f t="shared" si="9"/>
        <v>Delivered</v>
      </c>
      <c r="AB1932" s="14" t="str">
        <f t="shared" ref="AB1932:AC1932" si="3868">trim(Q1932)</f>
        <v>Quality of Items</v>
      </c>
      <c r="AC1932" s="14" t="str">
        <f t="shared" si="3868"/>
        <v>Perfect condition</v>
      </c>
      <c r="AD1932" s="8"/>
    </row>
    <row r="1933">
      <c r="A1933" s="14" t="str">
        <f>IFERROR(__xludf.DUMMYFUNCTION("""COMPUTED_VALUE"""),"//ord_81911//Yash Verma//Lower Parel//Icecream+6*Venu R/11/29/2023//UPI//Delivered*On-time Delivery: Delivered on time")</f>
        <v>//ord_81911//Yash Verma//Lower Parel//Icecream+6*Venu R/11/29/2023//UPI//Delivered*On-time Delivery: Delivered on time</v>
      </c>
      <c r="B1933" s="14" t="str">
        <f>IFERROR(__xludf.DUMMYFUNCTION("split(A1933,""//"")"),"ord_81911")</f>
        <v>ord_81911</v>
      </c>
      <c r="C1933" s="14" t="str">
        <f>IFERROR(__xludf.DUMMYFUNCTION("""COMPUTED_VALUE"""),"Yash Verma")</f>
        <v>Yash Verma</v>
      </c>
      <c r="D1933" s="14" t="str">
        <f>IFERROR(__xludf.DUMMYFUNCTION("""COMPUTED_VALUE"""),"Lower Parel")</f>
        <v>Lower Parel</v>
      </c>
      <c r="E1933" s="14" t="str">
        <f>IFERROR(__xludf.DUMMYFUNCTION("""COMPUTED_VALUE"""),"Icecream+6*Venu R")</f>
        <v>Icecream+6*Venu R</v>
      </c>
      <c r="F1933" s="14">
        <f>IFERROR(__xludf.DUMMYFUNCTION("""COMPUTED_VALUE"""),11.0)</f>
        <v>11</v>
      </c>
      <c r="G1933" s="14">
        <f>IFERROR(__xludf.DUMMYFUNCTION("""COMPUTED_VALUE"""),29.0)</f>
        <v>29</v>
      </c>
      <c r="H1933" s="14">
        <f>IFERROR(__xludf.DUMMYFUNCTION("""COMPUTED_VALUE"""),2023.0)</f>
        <v>2023</v>
      </c>
      <c r="I1933" s="14" t="str">
        <f>IFERROR(__xludf.DUMMYFUNCTION("""COMPUTED_VALUE"""),"UPI")</f>
        <v>UPI</v>
      </c>
      <c r="J1933" s="14" t="str">
        <f>IFERROR(__xludf.DUMMYFUNCTION("""COMPUTED_VALUE"""),"Delivered*On-time Delivery: Delivered on time")</f>
        <v>Delivered*On-time Delivery: Delivered on time</v>
      </c>
      <c r="K1933" s="14" t="str">
        <f>IFERROR(__xludf.DUMMYFUNCTION("split(E1933,""+"")"),"Icecream")</f>
        <v>Icecream</v>
      </c>
      <c r="L1933" s="14" t="str">
        <f>IFERROR(__xludf.DUMMYFUNCTION("""COMPUTED_VALUE"""),"6*Venu R")</f>
        <v>6*Venu R</v>
      </c>
      <c r="M1933" s="14">
        <f>IFERROR(__xludf.DUMMYFUNCTION("SPLIT(L1933,""*"")"),6.0)</f>
        <v>6</v>
      </c>
      <c r="N1933" s="14" t="str">
        <f>IFERROR(__xludf.DUMMYFUNCTION("""COMPUTED_VALUE"""),"Venu R")</f>
        <v>Venu R</v>
      </c>
      <c r="O1933" s="14" t="str">
        <f>IFERROR(__xludf.DUMMYFUNCTION("split(J1933,""*"")"),"Delivered")</f>
        <v>Delivered</v>
      </c>
      <c r="P1933" s="14" t="str">
        <f>IFERROR(__xludf.DUMMYFUNCTION("""COMPUTED_VALUE"""),"On-time Delivery: Delivered on time")</f>
        <v>On-time Delivery: Delivered on time</v>
      </c>
      <c r="Q1933" s="14" t="str">
        <f>IFERROR(__xludf.DUMMYFUNCTION("split(P1933,"":"")"),"On-time Delivery")</f>
        <v>On-time Delivery</v>
      </c>
      <c r="R1933" s="14" t="str">
        <f>IFERROR(__xludf.DUMMYFUNCTION("""COMPUTED_VALUE""")," Delivered on time")</f>
        <v> Delivered on time</v>
      </c>
      <c r="S1933" s="14" t="str">
        <f t="shared" ref="S1933:U1933" si="3869">trim(B1933)</f>
        <v>ord_81911</v>
      </c>
      <c r="T1933" s="14" t="str">
        <f t="shared" si="3869"/>
        <v>Yash Verma</v>
      </c>
      <c r="U1933" s="14" t="str">
        <f t="shared" si="3869"/>
        <v>Lower Parel</v>
      </c>
      <c r="V1933" s="14" t="str">
        <f t="shared" si="4"/>
        <v>Icecream</v>
      </c>
      <c r="W1933" s="14">
        <f t="shared" si="5"/>
        <v>6</v>
      </c>
      <c r="X1933" s="14" t="str">
        <f t="shared" si="6"/>
        <v>Venu R</v>
      </c>
      <c r="Y1933" s="15">
        <f t="shared" si="7"/>
        <v>45259</v>
      </c>
      <c r="Z1933" s="14" t="str">
        <f t="shared" si="8"/>
        <v>UPI</v>
      </c>
      <c r="AA1933" s="14" t="str">
        <f t="shared" si="9"/>
        <v>Delivered</v>
      </c>
      <c r="AB1933" s="14" t="str">
        <f t="shared" ref="AB1933:AC1933" si="3870">trim(Q1933)</f>
        <v>On-time Delivery</v>
      </c>
      <c r="AC1933" s="14" t="str">
        <f t="shared" si="3870"/>
        <v>Delivered on time</v>
      </c>
      <c r="AD1933" s="8"/>
    </row>
    <row r="1934">
      <c r="A1934" s="14" t="str">
        <f>IFERROR(__xludf.DUMMYFUNCTION("""COMPUTED_VALUE"""),"//ord_10135//Mohit Malhotra//Lower Parel//Banana+2*Ram Gopal/7/16/2023//UPI//Delivered*Convenience: Easy tracking")</f>
        <v>//ord_10135//Mohit Malhotra//Lower Parel//Banana+2*Ram Gopal/7/16/2023//UPI//Delivered*Convenience: Easy tracking</v>
      </c>
      <c r="B1934" s="14" t="str">
        <f>IFERROR(__xludf.DUMMYFUNCTION("split(A1934,""//"")"),"ord_10135")</f>
        <v>ord_10135</v>
      </c>
      <c r="C1934" s="14" t="str">
        <f>IFERROR(__xludf.DUMMYFUNCTION("""COMPUTED_VALUE"""),"Mohit Malhotra")</f>
        <v>Mohit Malhotra</v>
      </c>
      <c r="D1934" s="14" t="str">
        <f>IFERROR(__xludf.DUMMYFUNCTION("""COMPUTED_VALUE"""),"Lower Parel")</f>
        <v>Lower Parel</v>
      </c>
      <c r="E1934" s="14" t="str">
        <f>IFERROR(__xludf.DUMMYFUNCTION("""COMPUTED_VALUE"""),"Banana+2*Ram Gopal")</f>
        <v>Banana+2*Ram Gopal</v>
      </c>
      <c r="F1934" s="14">
        <f>IFERROR(__xludf.DUMMYFUNCTION("""COMPUTED_VALUE"""),7.0)</f>
        <v>7</v>
      </c>
      <c r="G1934" s="14">
        <f>IFERROR(__xludf.DUMMYFUNCTION("""COMPUTED_VALUE"""),16.0)</f>
        <v>16</v>
      </c>
      <c r="H1934" s="14">
        <f>IFERROR(__xludf.DUMMYFUNCTION("""COMPUTED_VALUE"""),2023.0)</f>
        <v>2023</v>
      </c>
      <c r="I1934" s="14" t="str">
        <f>IFERROR(__xludf.DUMMYFUNCTION("""COMPUTED_VALUE"""),"UPI")</f>
        <v>UPI</v>
      </c>
      <c r="J1934" s="14" t="str">
        <f>IFERROR(__xludf.DUMMYFUNCTION("""COMPUTED_VALUE"""),"Delivered*Convenience: Easy tracking")</f>
        <v>Delivered*Convenience: Easy tracking</v>
      </c>
      <c r="K1934" s="14" t="str">
        <f>IFERROR(__xludf.DUMMYFUNCTION("split(E1934,""+"")"),"Banana")</f>
        <v>Banana</v>
      </c>
      <c r="L1934" s="14" t="str">
        <f>IFERROR(__xludf.DUMMYFUNCTION("""COMPUTED_VALUE"""),"2*Ram Gopal")</f>
        <v>2*Ram Gopal</v>
      </c>
      <c r="M1934" s="14">
        <f>IFERROR(__xludf.DUMMYFUNCTION("SPLIT(L1934,""*"")"),2.0)</f>
        <v>2</v>
      </c>
      <c r="N1934" s="14" t="str">
        <f>IFERROR(__xludf.DUMMYFUNCTION("""COMPUTED_VALUE"""),"Ram Gopal")</f>
        <v>Ram Gopal</v>
      </c>
      <c r="O1934" s="14" t="str">
        <f>IFERROR(__xludf.DUMMYFUNCTION("split(J1934,""*"")"),"Delivered")</f>
        <v>Delivered</v>
      </c>
      <c r="P1934" s="14" t="str">
        <f>IFERROR(__xludf.DUMMYFUNCTION("""COMPUTED_VALUE"""),"Convenience: Easy tracking")</f>
        <v>Convenience: Easy tracking</v>
      </c>
      <c r="Q1934" s="14" t="str">
        <f>IFERROR(__xludf.DUMMYFUNCTION("split(P1934,"":"")"),"Convenience")</f>
        <v>Convenience</v>
      </c>
      <c r="R1934" s="14" t="str">
        <f>IFERROR(__xludf.DUMMYFUNCTION("""COMPUTED_VALUE""")," Easy tracking")</f>
        <v> Easy tracking</v>
      </c>
      <c r="S1934" s="14" t="str">
        <f t="shared" ref="S1934:U1934" si="3871">trim(B1934)</f>
        <v>ord_10135</v>
      </c>
      <c r="T1934" s="14" t="str">
        <f t="shared" si="3871"/>
        <v>Mohit Malhotra</v>
      </c>
      <c r="U1934" s="14" t="str">
        <f t="shared" si="3871"/>
        <v>Lower Parel</v>
      </c>
      <c r="V1934" s="14" t="str">
        <f t="shared" si="4"/>
        <v>Banana</v>
      </c>
      <c r="W1934" s="14">
        <f t="shared" si="5"/>
        <v>2</v>
      </c>
      <c r="X1934" s="14" t="str">
        <f t="shared" si="6"/>
        <v>Ram Gopal</v>
      </c>
      <c r="Y1934" s="15">
        <f t="shared" si="7"/>
        <v>45123</v>
      </c>
      <c r="Z1934" s="14" t="str">
        <f t="shared" si="8"/>
        <v>UPI</v>
      </c>
      <c r="AA1934" s="14" t="str">
        <f t="shared" si="9"/>
        <v>Delivered</v>
      </c>
      <c r="AB1934" s="14" t="str">
        <f t="shared" ref="AB1934:AC1934" si="3872">trim(Q1934)</f>
        <v>Convenience</v>
      </c>
      <c r="AC1934" s="14" t="str">
        <f t="shared" si="3872"/>
        <v>Easy tracking</v>
      </c>
      <c r="AD1934" s="8"/>
    </row>
    <row r="1935">
      <c r="A1935" s="14" t="str">
        <f>IFERROR(__xludf.DUMMYFUNCTION("""COMPUTED_VALUE"""),"//ord_10144//Anaya Rao//Colaba//Orange+2*Ram Gopal/8/9/2023//Credit Card//Delivered*Delivery Experience: Quick and professional")</f>
        <v>//ord_10144//Anaya Rao//Colaba//Orange+2*Ram Gopal/8/9/2023//Credit Card//Delivered*Delivery Experience: Quick and professional</v>
      </c>
      <c r="B1935" s="14" t="str">
        <f>IFERROR(__xludf.DUMMYFUNCTION("split(A1935,""//"")"),"ord_10144")</f>
        <v>ord_10144</v>
      </c>
      <c r="C1935" s="14" t="str">
        <f>IFERROR(__xludf.DUMMYFUNCTION("""COMPUTED_VALUE"""),"Anaya Rao")</f>
        <v>Anaya Rao</v>
      </c>
      <c r="D1935" s="14" t="str">
        <f>IFERROR(__xludf.DUMMYFUNCTION("""COMPUTED_VALUE"""),"Colaba")</f>
        <v>Colaba</v>
      </c>
      <c r="E1935" s="14" t="str">
        <f>IFERROR(__xludf.DUMMYFUNCTION("""COMPUTED_VALUE"""),"Orange+2*Ram Gopal")</f>
        <v>Orange+2*Ram Gopal</v>
      </c>
      <c r="F1935" s="14">
        <f>IFERROR(__xludf.DUMMYFUNCTION("""COMPUTED_VALUE"""),8.0)</f>
        <v>8</v>
      </c>
      <c r="G1935" s="14">
        <f>IFERROR(__xludf.DUMMYFUNCTION("""COMPUTED_VALUE"""),9.0)</f>
        <v>9</v>
      </c>
      <c r="H1935" s="14">
        <f>IFERROR(__xludf.DUMMYFUNCTION("""COMPUTED_VALUE"""),2023.0)</f>
        <v>2023</v>
      </c>
      <c r="I1935" s="14" t="str">
        <f>IFERROR(__xludf.DUMMYFUNCTION("""COMPUTED_VALUE"""),"Credit Card")</f>
        <v>Credit Card</v>
      </c>
      <c r="J1935" s="14" t="str">
        <f>IFERROR(__xludf.DUMMYFUNCTION("""COMPUTED_VALUE"""),"Delivered*Delivery Experience: Quick and professional")</f>
        <v>Delivered*Delivery Experience: Quick and professional</v>
      </c>
      <c r="K1935" s="14" t="str">
        <f>IFERROR(__xludf.DUMMYFUNCTION("split(E1935,""+"")"),"Orange")</f>
        <v>Orange</v>
      </c>
      <c r="L1935" s="14" t="str">
        <f>IFERROR(__xludf.DUMMYFUNCTION("""COMPUTED_VALUE"""),"2*Ram Gopal")</f>
        <v>2*Ram Gopal</v>
      </c>
      <c r="M1935" s="14">
        <f>IFERROR(__xludf.DUMMYFUNCTION("SPLIT(L1935,""*"")"),2.0)</f>
        <v>2</v>
      </c>
      <c r="N1935" s="14" t="str">
        <f>IFERROR(__xludf.DUMMYFUNCTION("""COMPUTED_VALUE"""),"Ram Gopal")</f>
        <v>Ram Gopal</v>
      </c>
      <c r="O1935" s="14" t="str">
        <f>IFERROR(__xludf.DUMMYFUNCTION("split(J1935,""*"")"),"Delivered")</f>
        <v>Delivered</v>
      </c>
      <c r="P1935" s="14" t="str">
        <f>IFERROR(__xludf.DUMMYFUNCTION("""COMPUTED_VALUE"""),"Delivery Experience: Quick and professional")</f>
        <v>Delivery Experience: Quick and professional</v>
      </c>
      <c r="Q1935" s="14" t="str">
        <f>IFERROR(__xludf.DUMMYFUNCTION("split(P1935,"":"")"),"Delivery Experience")</f>
        <v>Delivery Experience</v>
      </c>
      <c r="R1935" s="14" t="str">
        <f>IFERROR(__xludf.DUMMYFUNCTION("""COMPUTED_VALUE""")," Quick and professional")</f>
        <v> Quick and professional</v>
      </c>
      <c r="S1935" s="14" t="str">
        <f t="shared" ref="S1935:U1935" si="3873">trim(B1935)</f>
        <v>ord_10144</v>
      </c>
      <c r="T1935" s="14" t="str">
        <f t="shared" si="3873"/>
        <v>Anaya Rao</v>
      </c>
      <c r="U1935" s="14" t="str">
        <f t="shared" si="3873"/>
        <v>Colaba</v>
      </c>
      <c r="V1935" s="14" t="str">
        <f t="shared" si="4"/>
        <v>Orange</v>
      </c>
      <c r="W1935" s="14">
        <f t="shared" si="5"/>
        <v>2</v>
      </c>
      <c r="X1935" s="14" t="str">
        <f t="shared" si="6"/>
        <v>Ram Gopal</v>
      </c>
      <c r="Y1935" s="15">
        <f t="shared" si="7"/>
        <v>45147</v>
      </c>
      <c r="Z1935" s="14" t="str">
        <f t="shared" si="8"/>
        <v>Credit Card</v>
      </c>
      <c r="AA1935" s="14" t="str">
        <f t="shared" si="9"/>
        <v>Delivered</v>
      </c>
      <c r="AB1935" s="14" t="str">
        <f t="shared" ref="AB1935:AC1935" si="3874">trim(Q1935)</f>
        <v>Delivery Experience</v>
      </c>
      <c r="AC1935" s="14" t="str">
        <f t="shared" si="3874"/>
        <v>Quick and professional</v>
      </c>
      <c r="AD1935" s="8"/>
    </row>
    <row r="1936">
      <c r="A1936" s="14" t="str">
        <f>IFERROR(__xludf.DUMMYFUNCTION("""COMPUTED_VALUE"""),"//ord_81912//Aarohi Kapoor//Bandra//Potato+1*Not Assigned/10/13/2023//UPI//Cancelled*App Glitches: Payment Button Malfunction")</f>
        <v>//ord_81912//Aarohi Kapoor//Bandra//Potato+1*Not Assigned/10/13/2023//UPI//Cancelled*App Glitches: Payment Button Malfunction</v>
      </c>
      <c r="B1936" s="14" t="str">
        <f>IFERROR(__xludf.DUMMYFUNCTION("split(A1936,""//"")"),"ord_81912")</f>
        <v>ord_81912</v>
      </c>
      <c r="C1936" s="14" t="str">
        <f>IFERROR(__xludf.DUMMYFUNCTION("""COMPUTED_VALUE"""),"Aarohi Kapoor")</f>
        <v>Aarohi Kapoor</v>
      </c>
      <c r="D1936" s="14" t="str">
        <f>IFERROR(__xludf.DUMMYFUNCTION("""COMPUTED_VALUE"""),"Bandra")</f>
        <v>Bandra</v>
      </c>
      <c r="E1936" s="14" t="str">
        <f>IFERROR(__xludf.DUMMYFUNCTION("""COMPUTED_VALUE"""),"Potato+1*Not Assigned")</f>
        <v>Potato+1*Not Assigned</v>
      </c>
      <c r="F1936" s="14">
        <f>IFERROR(__xludf.DUMMYFUNCTION("""COMPUTED_VALUE"""),10.0)</f>
        <v>10</v>
      </c>
      <c r="G1936" s="14">
        <f>IFERROR(__xludf.DUMMYFUNCTION("""COMPUTED_VALUE"""),13.0)</f>
        <v>13</v>
      </c>
      <c r="H1936" s="14">
        <f>IFERROR(__xludf.DUMMYFUNCTION("""COMPUTED_VALUE"""),2023.0)</f>
        <v>2023</v>
      </c>
      <c r="I1936" s="14" t="str">
        <f>IFERROR(__xludf.DUMMYFUNCTION("""COMPUTED_VALUE"""),"UPI")</f>
        <v>UPI</v>
      </c>
      <c r="J1936" s="14" t="str">
        <f>IFERROR(__xludf.DUMMYFUNCTION("""COMPUTED_VALUE"""),"Cancelled*App Glitches: Payment Button Malfunction")</f>
        <v>Cancelled*App Glitches: Payment Button Malfunction</v>
      </c>
      <c r="K1936" s="14" t="str">
        <f>IFERROR(__xludf.DUMMYFUNCTION("split(E1936,""+"")"),"Potato")</f>
        <v>Potato</v>
      </c>
      <c r="L1936" s="14" t="str">
        <f>IFERROR(__xludf.DUMMYFUNCTION("""COMPUTED_VALUE"""),"1*Not Assigned")</f>
        <v>1*Not Assigned</v>
      </c>
      <c r="M1936" s="14">
        <f>IFERROR(__xludf.DUMMYFUNCTION("SPLIT(L1936,""*"")"),1.0)</f>
        <v>1</v>
      </c>
      <c r="N1936" s="14" t="str">
        <f>IFERROR(__xludf.DUMMYFUNCTION("""COMPUTED_VALUE"""),"Not Assigned")</f>
        <v>Not Assigned</v>
      </c>
      <c r="O1936" s="14" t="str">
        <f>IFERROR(__xludf.DUMMYFUNCTION("split(J1936,""*"")"),"Cancelled")</f>
        <v>Cancelled</v>
      </c>
      <c r="P1936" s="14" t="str">
        <f>IFERROR(__xludf.DUMMYFUNCTION("""COMPUTED_VALUE"""),"App Glitches: Payment Button Malfunction")</f>
        <v>App Glitches: Payment Button Malfunction</v>
      </c>
      <c r="Q1936" s="14" t="str">
        <f>IFERROR(__xludf.DUMMYFUNCTION("split(P1936,"":"")"),"App Glitches")</f>
        <v>App Glitches</v>
      </c>
      <c r="R1936" s="14" t="str">
        <f>IFERROR(__xludf.DUMMYFUNCTION("""COMPUTED_VALUE""")," Payment Button Malfunction")</f>
        <v> Payment Button Malfunction</v>
      </c>
      <c r="S1936" s="14" t="str">
        <f t="shared" ref="S1936:U1936" si="3875">trim(B1936)</f>
        <v>ord_81912</v>
      </c>
      <c r="T1936" s="14" t="str">
        <f t="shared" si="3875"/>
        <v>Aarohi Kapoor</v>
      </c>
      <c r="U1936" s="14" t="str">
        <f t="shared" si="3875"/>
        <v>Bandra</v>
      </c>
      <c r="V1936" s="14" t="str">
        <f t="shared" si="4"/>
        <v>Potato</v>
      </c>
      <c r="W1936" s="14">
        <f t="shared" si="5"/>
        <v>1</v>
      </c>
      <c r="X1936" s="14" t="str">
        <f t="shared" si="6"/>
        <v>Not Assigned</v>
      </c>
      <c r="Y1936" s="15">
        <f t="shared" si="7"/>
        <v>45212</v>
      </c>
      <c r="Z1936" s="14" t="str">
        <f t="shared" si="8"/>
        <v>UPI</v>
      </c>
      <c r="AA1936" s="14" t="str">
        <f t="shared" si="9"/>
        <v>Cancelled</v>
      </c>
      <c r="AB1936" s="14" t="str">
        <f t="shared" ref="AB1936:AC1936" si="3876">trim(Q1936)</f>
        <v>App Glitches</v>
      </c>
      <c r="AC1936" s="14" t="str">
        <f t="shared" si="3876"/>
        <v>Payment Button Malfunction</v>
      </c>
      <c r="AD1936" s="8"/>
    </row>
    <row r="1937">
      <c r="A1937" s="14" t="str">
        <f>IFERROR(__xludf.DUMMYFUNCTION("""COMPUTED_VALUE"""),"//ord_81913//Arvind Kulkarni//Juhu//Sweet Corn+2*Not Assigned/5/15/2023//Credit Card//Cancelled*App Glitches:Slow Loading Time")</f>
        <v>//ord_81913//Arvind Kulkarni//Juhu//Sweet Corn+2*Not Assigned/5/15/2023//Credit Card//Cancelled*App Glitches:Slow Loading Time</v>
      </c>
      <c r="B1937" s="14" t="str">
        <f>IFERROR(__xludf.DUMMYFUNCTION("split(A1937,""//"")"),"ord_81913")</f>
        <v>ord_81913</v>
      </c>
      <c r="C1937" s="14" t="str">
        <f>IFERROR(__xludf.DUMMYFUNCTION("""COMPUTED_VALUE"""),"Arvind Kulkarni")</f>
        <v>Arvind Kulkarni</v>
      </c>
      <c r="D1937" s="14" t="str">
        <f>IFERROR(__xludf.DUMMYFUNCTION("""COMPUTED_VALUE"""),"Juhu")</f>
        <v>Juhu</v>
      </c>
      <c r="E1937" s="14" t="str">
        <f>IFERROR(__xludf.DUMMYFUNCTION("""COMPUTED_VALUE"""),"Sweet Corn+2*Not Assigned")</f>
        <v>Sweet Corn+2*Not Assigned</v>
      </c>
      <c r="F1937" s="14">
        <f>IFERROR(__xludf.DUMMYFUNCTION("""COMPUTED_VALUE"""),5.0)</f>
        <v>5</v>
      </c>
      <c r="G1937" s="14">
        <f>IFERROR(__xludf.DUMMYFUNCTION("""COMPUTED_VALUE"""),15.0)</f>
        <v>15</v>
      </c>
      <c r="H1937" s="14">
        <f>IFERROR(__xludf.DUMMYFUNCTION("""COMPUTED_VALUE"""),2023.0)</f>
        <v>2023</v>
      </c>
      <c r="I1937" s="14" t="str">
        <f>IFERROR(__xludf.DUMMYFUNCTION("""COMPUTED_VALUE"""),"Credit Card")</f>
        <v>Credit Card</v>
      </c>
      <c r="J1937" s="14" t="str">
        <f>IFERROR(__xludf.DUMMYFUNCTION("""COMPUTED_VALUE"""),"Cancelled*App Glitches:Slow Loading Time")</f>
        <v>Cancelled*App Glitches:Slow Loading Time</v>
      </c>
      <c r="K1937" s="14" t="str">
        <f>IFERROR(__xludf.DUMMYFUNCTION("split(E1937,""+"")"),"Sweet Corn")</f>
        <v>Sweet Corn</v>
      </c>
      <c r="L1937" s="14" t="str">
        <f>IFERROR(__xludf.DUMMYFUNCTION("""COMPUTED_VALUE"""),"2*Not Assigned")</f>
        <v>2*Not Assigned</v>
      </c>
      <c r="M1937" s="14">
        <f>IFERROR(__xludf.DUMMYFUNCTION("SPLIT(L1937,""*"")"),2.0)</f>
        <v>2</v>
      </c>
      <c r="N1937" s="14" t="str">
        <f>IFERROR(__xludf.DUMMYFUNCTION("""COMPUTED_VALUE"""),"Not Assigned")</f>
        <v>Not Assigned</v>
      </c>
      <c r="O1937" s="14" t="str">
        <f>IFERROR(__xludf.DUMMYFUNCTION("split(J1937,""*"")"),"Cancelled")</f>
        <v>Cancelled</v>
      </c>
      <c r="P1937" s="14" t="str">
        <f>IFERROR(__xludf.DUMMYFUNCTION("""COMPUTED_VALUE"""),"App Glitches:Slow Loading Time")</f>
        <v>App Glitches:Slow Loading Time</v>
      </c>
      <c r="Q1937" s="14" t="str">
        <f>IFERROR(__xludf.DUMMYFUNCTION("split(P1937,"":"")"),"App Glitches")</f>
        <v>App Glitches</v>
      </c>
      <c r="R1937" s="14" t="str">
        <f>IFERROR(__xludf.DUMMYFUNCTION("""COMPUTED_VALUE"""),"Slow Loading Time")</f>
        <v>Slow Loading Time</v>
      </c>
      <c r="S1937" s="14" t="str">
        <f t="shared" ref="S1937:U1937" si="3877">trim(B1937)</f>
        <v>ord_81913</v>
      </c>
      <c r="T1937" s="14" t="str">
        <f t="shared" si="3877"/>
        <v>Arvind Kulkarni</v>
      </c>
      <c r="U1937" s="14" t="str">
        <f t="shared" si="3877"/>
        <v>Juhu</v>
      </c>
      <c r="V1937" s="14" t="str">
        <f t="shared" si="4"/>
        <v>Sweet Corn</v>
      </c>
      <c r="W1937" s="14">
        <f t="shared" si="5"/>
        <v>2</v>
      </c>
      <c r="X1937" s="14" t="str">
        <f t="shared" si="6"/>
        <v>Not Assigned</v>
      </c>
      <c r="Y1937" s="15">
        <f t="shared" si="7"/>
        <v>45061</v>
      </c>
      <c r="Z1937" s="14" t="str">
        <f t="shared" si="8"/>
        <v>Credit Card</v>
      </c>
      <c r="AA1937" s="14" t="str">
        <f t="shared" si="9"/>
        <v>Cancelled</v>
      </c>
      <c r="AB1937" s="14" t="str">
        <f t="shared" ref="AB1937:AC1937" si="3878">trim(Q1937)</f>
        <v>App Glitches</v>
      </c>
      <c r="AC1937" s="14" t="str">
        <f t="shared" si="3878"/>
        <v>Slow Loading Time</v>
      </c>
      <c r="AD1937" s="8"/>
    </row>
    <row r="1938">
      <c r="A1938" s="14" t="str">
        <f>IFERROR(__xludf.DUMMYFUNCTION("""COMPUTED_VALUE"""),"//ord_81914//Arvind Kulkarni//Juhu//Cold Coffee+4*Not Assigned/11/17/2023//Credit Card//Cancelled*App Glitches:Slow Loading Time")</f>
        <v>//ord_81914//Arvind Kulkarni//Juhu//Cold Coffee+4*Not Assigned/11/17/2023//Credit Card//Cancelled*App Glitches:Slow Loading Time</v>
      </c>
      <c r="B1938" s="14" t="str">
        <f>IFERROR(__xludf.DUMMYFUNCTION("split(A1938,""//"")"),"ord_81914")</f>
        <v>ord_81914</v>
      </c>
      <c r="C1938" s="14" t="str">
        <f>IFERROR(__xludf.DUMMYFUNCTION("""COMPUTED_VALUE"""),"Arvind Kulkarni")</f>
        <v>Arvind Kulkarni</v>
      </c>
      <c r="D1938" s="14" t="str">
        <f>IFERROR(__xludf.DUMMYFUNCTION("""COMPUTED_VALUE"""),"Juhu")</f>
        <v>Juhu</v>
      </c>
      <c r="E1938" s="14" t="str">
        <f>IFERROR(__xludf.DUMMYFUNCTION("""COMPUTED_VALUE"""),"Cold Coffee+4*Not Assigned")</f>
        <v>Cold Coffee+4*Not Assigned</v>
      </c>
      <c r="F1938" s="14">
        <f>IFERROR(__xludf.DUMMYFUNCTION("""COMPUTED_VALUE"""),11.0)</f>
        <v>11</v>
      </c>
      <c r="G1938" s="14">
        <f>IFERROR(__xludf.DUMMYFUNCTION("""COMPUTED_VALUE"""),17.0)</f>
        <v>17</v>
      </c>
      <c r="H1938" s="14">
        <f>IFERROR(__xludf.DUMMYFUNCTION("""COMPUTED_VALUE"""),2023.0)</f>
        <v>2023</v>
      </c>
      <c r="I1938" s="14" t="str">
        <f>IFERROR(__xludf.DUMMYFUNCTION("""COMPUTED_VALUE"""),"Credit Card")</f>
        <v>Credit Card</v>
      </c>
      <c r="J1938" s="14" t="str">
        <f>IFERROR(__xludf.DUMMYFUNCTION("""COMPUTED_VALUE"""),"Cancelled*App Glitches:Slow Loading Time")</f>
        <v>Cancelled*App Glitches:Slow Loading Time</v>
      </c>
      <c r="K1938" s="14" t="str">
        <f>IFERROR(__xludf.DUMMYFUNCTION("split(E1938,""+"")"),"Cold Coffee")</f>
        <v>Cold Coffee</v>
      </c>
      <c r="L1938" s="14" t="str">
        <f>IFERROR(__xludf.DUMMYFUNCTION("""COMPUTED_VALUE"""),"4*Not Assigned")</f>
        <v>4*Not Assigned</v>
      </c>
      <c r="M1938" s="14">
        <f>IFERROR(__xludf.DUMMYFUNCTION("SPLIT(L1938,""*"")"),4.0)</f>
        <v>4</v>
      </c>
      <c r="N1938" s="14" t="str">
        <f>IFERROR(__xludf.DUMMYFUNCTION("""COMPUTED_VALUE"""),"Not Assigned")</f>
        <v>Not Assigned</v>
      </c>
      <c r="O1938" s="14" t="str">
        <f>IFERROR(__xludf.DUMMYFUNCTION("split(J1938,""*"")"),"Cancelled")</f>
        <v>Cancelled</v>
      </c>
      <c r="P1938" s="14" t="str">
        <f>IFERROR(__xludf.DUMMYFUNCTION("""COMPUTED_VALUE"""),"App Glitches:Slow Loading Time")</f>
        <v>App Glitches:Slow Loading Time</v>
      </c>
      <c r="Q1938" s="14" t="str">
        <f>IFERROR(__xludf.DUMMYFUNCTION("split(P1938,"":"")"),"App Glitches")</f>
        <v>App Glitches</v>
      </c>
      <c r="R1938" s="14" t="str">
        <f>IFERROR(__xludf.DUMMYFUNCTION("""COMPUTED_VALUE"""),"Slow Loading Time")</f>
        <v>Slow Loading Time</v>
      </c>
      <c r="S1938" s="14" t="str">
        <f t="shared" ref="S1938:U1938" si="3879">trim(B1938)</f>
        <v>ord_81914</v>
      </c>
      <c r="T1938" s="14" t="str">
        <f t="shared" si="3879"/>
        <v>Arvind Kulkarni</v>
      </c>
      <c r="U1938" s="14" t="str">
        <f t="shared" si="3879"/>
        <v>Juhu</v>
      </c>
      <c r="V1938" s="14" t="str">
        <f t="shared" si="4"/>
        <v>Cold Coffee</v>
      </c>
      <c r="W1938" s="14">
        <f t="shared" si="5"/>
        <v>4</v>
      </c>
      <c r="X1938" s="14" t="str">
        <f t="shared" si="6"/>
        <v>Not Assigned</v>
      </c>
      <c r="Y1938" s="15">
        <f t="shared" si="7"/>
        <v>45247</v>
      </c>
      <c r="Z1938" s="14" t="str">
        <f t="shared" si="8"/>
        <v>Credit Card</v>
      </c>
      <c r="AA1938" s="14" t="str">
        <f t="shared" si="9"/>
        <v>Cancelled</v>
      </c>
      <c r="AB1938" s="14" t="str">
        <f t="shared" ref="AB1938:AC1938" si="3880">trim(Q1938)</f>
        <v>App Glitches</v>
      </c>
      <c r="AC1938" s="14" t="str">
        <f t="shared" si="3880"/>
        <v>Slow Loading Time</v>
      </c>
      <c r="AD1938" s="8"/>
    </row>
    <row r="1939">
      <c r="A1939" s="14" t="str">
        <f>IFERROR(__xludf.DUMMYFUNCTION("""COMPUTED_VALUE"""),"//ord_81915//Parth Goel//Juhu//Sweet Corn+1*Ramesh S/9/10/2023//Online Payment//Delivered*Quality of Items: Perfect condition")</f>
        <v>//ord_81915//Parth Goel//Juhu//Sweet Corn+1*Ramesh S/9/10/2023//Online Payment//Delivered*Quality of Items: Perfect condition</v>
      </c>
      <c r="B1939" s="14" t="str">
        <f>IFERROR(__xludf.DUMMYFUNCTION("split(A1939,""//"")"),"ord_81915")</f>
        <v>ord_81915</v>
      </c>
      <c r="C1939" s="14" t="str">
        <f>IFERROR(__xludf.DUMMYFUNCTION("""COMPUTED_VALUE"""),"Parth Goel")</f>
        <v>Parth Goel</v>
      </c>
      <c r="D1939" s="14" t="str">
        <f>IFERROR(__xludf.DUMMYFUNCTION("""COMPUTED_VALUE"""),"Juhu")</f>
        <v>Juhu</v>
      </c>
      <c r="E1939" s="14" t="str">
        <f>IFERROR(__xludf.DUMMYFUNCTION("""COMPUTED_VALUE"""),"Sweet Corn+1*Ramesh S")</f>
        <v>Sweet Corn+1*Ramesh S</v>
      </c>
      <c r="F1939" s="14">
        <f>IFERROR(__xludf.DUMMYFUNCTION("""COMPUTED_VALUE"""),9.0)</f>
        <v>9</v>
      </c>
      <c r="G1939" s="14">
        <f>IFERROR(__xludf.DUMMYFUNCTION("""COMPUTED_VALUE"""),10.0)</f>
        <v>10</v>
      </c>
      <c r="H1939" s="14">
        <f>IFERROR(__xludf.DUMMYFUNCTION("""COMPUTED_VALUE"""),2023.0)</f>
        <v>2023</v>
      </c>
      <c r="I1939" s="14" t="str">
        <f>IFERROR(__xludf.DUMMYFUNCTION("""COMPUTED_VALUE"""),"Online Payment")</f>
        <v>Online Payment</v>
      </c>
      <c r="J1939" s="14" t="str">
        <f>IFERROR(__xludf.DUMMYFUNCTION("""COMPUTED_VALUE"""),"Delivered*Quality of Items: Perfect condition")</f>
        <v>Delivered*Quality of Items: Perfect condition</v>
      </c>
      <c r="K1939" s="14" t="str">
        <f>IFERROR(__xludf.DUMMYFUNCTION("split(E1939,""+"")"),"Sweet Corn")</f>
        <v>Sweet Corn</v>
      </c>
      <c r="L1939" s="14" t="str">
        <f>IFERROR(__xludf.DUMMYFUNCTION("""COMPUTED_VALUE"""),"1*Ramesh S")</f>
        <v>1*Ramesh S</v>
      </c>
      <c r="M1939" s="14">
        <f>IFERROR(__xludf.DUMMYFUNCTION("SPLIT(L1939,""*"")"),1.0)</f>
        <v>1</v>
      </c>
      <c r="N1939" s="14" t="str">
        <f>IFERROR(__xludf.DUMMYFUNCTION("""COMPUTED_VALUE"""),"Ramesh S")</f>
        <v>Ramesh S</v>
      </c>
      <c r="O1939" s="14" t="str">
        <f>IFERROR(__xludf.DUMMYFUNCTION("split(J1939,""*"")"),"Delivered")</f>
        <v>Delivered</v>
      </c>
      <c r="P1939" s="14" t="str">
        <f>IFERROR(__xludf.DUMMYFUNCTION("""COMPUTED_VALUE"""),"Quality of Items: Perfect condition")</f>
        <v>Quality of Items: Perfect condition</v>
      </c>
      <c r="Q1939" s="14" t="str">
        <f>IFERROR(__xludf.DUMMYFUNCTION("split(P1939,"":"")"),"Quality of Items")</f>
        <v>Quality of Items</v>
      </c>
      <c r="R1939" s="14" t="str">
        <f>IFERROR(__xludf.DUMMYFUNCTION("""COMPUTED_VALUE""")," Perfect condition")</f>
        <v> Perfect condition</v>
      </c>
      <c r="S1939" s="14" t="str">
        <f t="shared" ref="S1939:U1939" si="3881">trim(B1939)</f>
        <v>ord_81915</v>
      </c>
      <c r="T1939" s="14" t="str">
        <f t="shared" si="3881"/>
        <v>Parth Goel</v>
      </c>
      <c r="U1939" s="14" t="str">
        <f t="shared" si="3881"/>
        <v>Juhu</v>
      </c>
      <c r="V1939" s="14" t="str">
        <f t="shared" si="4"/>
        <v>Sweet Corn</v>
      </c>
      <c r="W1939" s="14">
        <f t="shared" si="5"/>
        <v>1</v>
      </c>
      <c r="X1939" s="14" t="str">
        <f t="shared" si="6"/>
        <v>Ramesh S</v>
      </c>
      <c r="Y1939" s="15">
        <f t="shared" si="7"/>
        <v>45179</v>
      </c>
      <c r="Z1939" s="14" t="str">
        <f t="shared" si="8"/>
        <v>Online Payment</v>
      </c>
      <c r="AA1939" s="14" t="str">
        <f t="shared" si="9"/>
        <v>Delivered</v>
      </c>
      <c r="AB1939" s="14" t="str">
        <f t="shared" ref="AB1939:AC1939" si="3882">trim(Q1939)</f>
        <v>Quality of Items</v>
      </c>
      <c r="AC1939" s="14" t="str">
        <f t="shared" si="3882"/>
        <v>Perfect condition</v>
      </c>
      <c r="AD1939" s="8"/>
    </row>
    <row r="1940">
      <c r="A1940" s="14" t="str">
        <f>IFERROR(__xludf.DUMMYFUNCTION("""COMPUTED_VALUE"""),"//ord_81916//Kritika Shetty//Malad//Potato+2*Ramesh S/11/30/2023//Credit Card//Delivered*Packaging: Secure and intact")</f>
        <v>//ord_81916//Kritika Shetty//Malad//Potato+2*Ramesh S/11/30/2023//Credit Card//Delivered*Packaging: Secure and intact</v>
      </c>
      <c r="B1940" s="14" t="str">
        <f>IFERROR(__xludf.DUMMYFUNCTION("split(A1940,""//"")"),"ord_81916")</f>
        <v>ord_81916</v>
      </c>
      <c r="C1940" s="14" t="str">
        <f>IFERROR(__xludf.DUMMYFUNCTION("""COMPUTED_VALUE"""),"Kritika Shetty")</f>
        <v>Kritika Shetty</v>
      </c>
      <c r="D1940" s="14" t="str">
        <f>IFERROR(__xludf.DUMMYFUNCTION("""COMPUTED_VALUE"""),"Malad")</f>
        <v>Malad</v>
      </c>
      <c r="E1940" s="14" t="str">
        <f>IFERROR(__xludf.DUMMYFUNCTION("""COMPUTED_VALUE"""),"Potato+2*Ramesh S")</f>
        <v>Potato+2*Ramesh S</v>
      </c>
      <c r="F1940" s="14">
        <f>IFERROR(__xludf.DUMMYFUNCTION("""COMPUTED_VALUE"""),11.0)</f>
        <v>11</v>
      </c>
      <c r="G1940" s="14">
        <f>IFERROR(__xludf.DUMMYFUNCTION("""COMPUTED_VALUE"""),30.0)</f>
        <v>30</v>
      </c>
      <c r="H1940" s="14">
        <f>IFERROR(__xludf.DUMMYFUNCTION("""COMPUTED_VALUE"""),2023.0)</f>
        <v>2023</v>
      </c>
      <c r="I1940" s="14" t="str">
        <f>IFERROR(__xludf.DUMMYFUNCTION("""COMPUTED_VALUE"""),"Credit Card")</f>
        <v>Credit Card</v>
      </c>
      <c r="J1940" s="14" t="str">
        <f>IFERROR(__xludf.DUMMYFUNCTION("""COMPUTED_VALUE"""),"Delivered*Packaging: Secure and intact")</f>
        <v>Delivered*Packaging: Secure and intact</v>
      </c>
      <c r="K1940" s="14" t="str">
        <f>IFERROR(__xludf.DUMMYFUNCTION("split(E1940,""+"")"),"Potato")</f>
        <v>Potato</v>
      </c>
      <c r="L1940" s="14" t="str">
        <f>IFERROR(__xludf.DUMMYFUNCTION("""COMPUTED_VALUE"""),"2*Ramesh S")</f>
        <v>2*Ramesh S</v>
      </c>
      <c r="M1940" s="14">
        <f>IFERROR(__xludf.DUMMYFUNCTION("SPLIT(L1940,""*"")"),2.0)</f>
        <v>2</v>
      </c>
      <c r="N1940" s="14" t="str">
        <f>IFERROR(__xludf.DUMMYFUNCTION("""COMPUTED_VALUE"""),"Ramesh S")</f>
        <v>Ramesh S</v>
      </c>
      <c r="O1940" s="14" t="str">
        <f>IFERROR(__xludf.DUMMYFUNCTION("split(J1940,""*"")"),"Delivered")</f>
        <v>Delivered</v>
      </c>
      <c r="P1940" s="14" t="str">
        <f>IFERROR(__xludf.DUMMYFUNCTION("""COMPUTED_VALUE"""),"Packaging: Secure and intact")</f>
        <v>Packaging: Secure and intact</v>
      </c>
      <c r="Q1940" s="14" t="str">
        <f>IFERROR(__xludf.DUMMYFUNCTION("split(P1940,"":"")"),"Packaging")</f>
        <v>Packaging</v>
      </c>
      <c r="R1940" s="14" t="str">
        <f>IFERROR(__xludf.DUMMYFUNCTION("""COMPUTED_VALUE""")," Secure and intact")</f>
        <v> Secure and intact</v>
      </c>
      <c r="S1940" s="14" t="str">
        <f t="shared" ref="S1940:U1940" si="3883">trim(B1940)</f>
        <v>ord_81916</v>
      </c>
      <c r="T1940" s="14" t="str">
        <f t="shared" si="3883"/>
        <v>Kritika Shetty</v>
      </c>
      <c r="U1940" s="14" t="str">
        <f t="shared" si="3883"/>
        <v>Malad</v>
      </c>
      <c r="V1940" s="14" t="str">
        <f t="shared" si="4"/>
        <v>Potato</v>
      </c>
      <c r="W1940" s="14">
        <f t="shared" si="5"/>
        <v>2</v>
      </c>
      <c r="X1940" s="14" t="str">
        <f t="shared" si="6"/>
        <v>Ramesh S</v>
      </c>
      <c r="Y1940" s="15">
        <f t="shared" si="7"/>
        <v>45260</v>
      </c>
      <c r="Z1940" s="14" t="str">
        <f t="shared" si="8"/>
        <v>Credit Card</v>
      </c>
      <c r="AA1940" s="14" t="str">
        <f t="shared" si="9"/>
        <v>Delivered</v>
      </c>
      <c r="AB1940" s="14" t="str">
        <f t="shared" ref="AB1940:AC1940" si="3884">trim(Q1940)</f>
        <v>Packaging</v>
      </c>
      <c r="AC1940" s="14" t="str">
        <f t="shared" si="3884"/>
        <v>Secure and intact</v>
      </c>
      <c r="AD1940" s="8"/>
    </row>
    <row r="1941">
      <c r="A1941" s="14" t="str">
        <f>IFERROR(__xludf.DUMMYFUNCTION("""COMPUTED_VALUE"""),"//ord_81917//Siya Reddy//Juhu//Juice+3*Priya Joshi/5/14/2023//Credit Card//Cancelled*Delayed Delivery:Incorrect Address or Location")</f>
        <v>//ord_81917//Siya Reddy//Juhu//Juice+3*Priya Joshi/5/14/2023//Credit Card//Cancelled*Delayed Delivery:Incorrect Address or Location</v>
      </c>
      <c r="B1941" s="14" t="str">
        <f>IFERROR(__xludf.DUMMYFUNCTION("split(A1941,""//"")"),"ord_81917")</f>
        <v>ord_81917</v>
      </c>
      <c r="C1941" s="14" t="str">
        <f>IFERROR(__xludf.DUMMYFUNCTION("""COMPUTED_VALUE"""),"Siya Reddy")</f>
        <v>Siya Reddy</v>
      </c>
      <c r="D1941" s="14" t="str">
        <f>IFERROR(__xludf.DUMMYFUNCTION("""COMPUTED_VALUE"""),"Juhu")</f>
        <v>Juhu</v>
      </c>
      <c r="E1941" s="14" t="str">
        <f>IFERROR(__xludf.DUMMYFUNCTION("""COMPUTED_VALUE"""),"Juice+3*Priya Joshi")</f>
        <v>Juice+3*Priya Joshi</v>
      </c>
      <c r="F1941" s="14">
        <f>IFERROR(__xludf.DUMMYFUNCTION("""COMPUTED_VALUE"""),5.0)</f>
        <v>5</v>
      </c>
      <c r="G1941" s="14">
        <f>IFERROR(__xludf.DUMMYFUNCTION("""COMPUTED_VALUE"""),14.0)</f>
        <v>14</v>
      </c>
      <c r="H1941" s="14">
        <f>IFERROR(__xludf.DUMMYFUNCTION("""COMPUTED_VALUE"""),2023.0)</f>
        <v>2023</v>
      </c>
      <c r="I1941" s="14" t="str">
        <f>IFERROR(__xludf.DUMMYFUNCTION("""COMPUTED_VALUE"""),"Credit Card")</f>
        <v>Credit Card</v>
      </c>
      <c r="J1941" s="14" t="str">
        <f>IFERROR(__xludf.DUMMYFUNCTION("""COMPUTED_VALUE"""),"Cancelled*Delayed Delivery:Incorrect Address or Location")</f>
        <v>Cancelled*Delayed Delivery:Incorrect Address or Location</v>
      </c>
      <c r="K1941" s="14" t="str">
        <f>IFERROR(__xludf.DUMMYFUNCTION("split(E1941,""+"")"),"Juice")</f>
        <v>Juice</v>
      </c>
      <c r="L1941" s="14" t="str">
        <f>IFERROR(__xludf.DUMMYFUNCTION("""COMPUTED_VALUE"""),"3*Priya Joshi")</f>
        <v>3*Priya Joshi</v>
      </c>
      <c r="M1941" s="14">
        <f>IFERROR(__xludf.DUMMYFUNCTION("SPLIT(L1941,""*"")"),3.0)</f>
        <v>3</v>
      </c>
      <c r="N1941" s="14" t="str">
        <f>IFERROR(__xludf.DUMMYFUNCTION("""COMPUTED_VALUE"""),"Priya Joshi")</f>
        <v>Priya Joshi</v>
      </c>
      <c r="O1941" s="14" t="str">
        <f>IFERROR(__xludf.DUMMYFUNCTION("split(J1941,""*"")"),"Cancelled")</f>
        <v>Cancelled</v>
      </c>
      <c r="P1941" s="14" t="str">
        <f>IFERROR(__xludf.DUMMYFUNCTION("""COMPUTED_VALUE"""),"Delayed Delivery:Incorrect Address or Location")</f>
        <v>Delayed Delivery:Incorrect Address or Location</v>
      </c>
      <c r="Q1941" s="14" t="str">
        <f>IFERROR(__xludf.DUMMYFUNCTION("split(P1941,"":"")"),"Delayed Delivery")</f>
        <v>Delayed Delivery</v>
      </c>
      <c r="R1941" s="14" t="str">
        <f>IFERROR(__xludf.DUMMYFUNCTION("""COMPUTED_VALUE"""),"Incorrect Address or Location")</f>
        <v>Incorrect Address or Location</v>
      </c>
      <c r="S1941" s="14" t="str">
        <f t="shared" ref="S1941:U1941" si="3885">trim(B1941)</f>
        <v>ord_81917</v>
      </c>
      <c r="T1941" s="14" t="str">
        <f t="shared" si="3885"/>
        <v>Siya Reddy</v>
      </c>
      <c r="U1941" s="14" t="str">
        <f t="shared" si="3885"/>
        <v>Juhu</v>
      </c>
      <c r="V1941" s="14" t="str">
        <f t="shared" si="4"/>
        <v>Juice</v>
      </c>
      <c r="W1941" s="14">
        <f t="shared" si="5"/>
        <v>3</v>
      </c>
      <c r="X1941" s="14" t="str">
        <f t="shared" si="6"/>
        <v>Priya Joshi</v>
      </c>
      <c r="Y1941" s="15">
        <f t="shared" si="7"/>
        <v>45060</v>
      </c>
      <c r="Z1941" s="14" t="str">
        <f t="shared" si="8"/>
        <v>Credit Card</v>
      </c>
      <c r="AA1941" s="14" t="str">
        <f t="shared" si="9"/>
        <v>Cancelled</v>
      </c>
      <c r="AB1941" s="14" t="str">
        <f t="shared" ref="AB1941:AC1941" si="3886">trim(Q1941)</f>
        <v>Delayed Delivery</v>
      </c>
      <c r="AC1941" s="14" t="str">
        <f t="shared" si="3886"/>
        <v>Incorrect Address or Location</v>
      </c>
      <c r="AD1941" s="8"/>
    </row>
    <row r="1942">
      <c r="A1942" s="14" t="str">
        <f>IFERROR(__xludf.DUMMYFUNCTION("""COMPUTED_VALUE"""),"//ord_81918//Ishaan Chaturvedi//Bandra//Cold Coffee+5*Ramesh S/6/18/2023//Online Payment//Delivered*Satisfied with the Delivery: Timely and quality")</f>
        <v>//ord_81918//Ishaan Chaturvedi//Bandra//Cold Coffee+5*Ramesh S/6/18/2023//Online Payment//Delivered*Satisfied with the Delivery: Timely and quality</v>
      </c>
      <c r="B1942" s="14" t="str">
        <f>IFERROR(__xludf.DUMMYFUNCTION("split(A1942,""//"")"),"ord_81918")</f>
        <v>ord_81918</v>
      </c>
      <c r="C1942" s="14" t="str">
        <f>IFERROR(__xludf.DUMMYFUNCTION("""COMPUTED_VALUE"""),"Ishaan Chaturvedi")</f>
        <v>Ishaan Chaturvedi</v>
      </c>
      <c r="D1942" s="14" t="str">
        <f>IFERROR(__xludf.DUMMYFUNCTION("""COMPUTED_VALUE"""),"Bandra")</f>
        <v>Bandra</v>
      </c>
      <c r="E1942" s="14" t="str">
        <f>IFERROR(__xludf.DUMMYFUNCTION("""COMPUTED_VALUE"""),"Cold Coffee+5*Ramesh S")</f>
        <v>Cold Coffee+5*Ramesh S</v>
      </c>
      <c r="F1942" s="14">
        <f>IFERROR(__xludf.DUMMYFUNCTION("""COMPUTED_VALUE"""),6.0)</f>
        <v>6</v>
      </c>
      <c r="G1942" s="14">
        <f>IFERROR(__xludf.DUMMYFUNCTION("""COMPUTED_VALUE"""),18.0)</f>
        <v>18</v>
      </c>
      <c r="H1942" s="14">
        <f>IFERROR(__xludf.DUMMYFUNCTION("""COMPUTED_VALUE"""),2023.0)</f>
        <v>2023</v>
      </c>
      <c r="I1942" s="14" t="str">
        <f>IFERROR(__xludf.DUMMYFUNCTION("""COMPUTED_VALUE"""),"Online Payment")</f>
        <v>Online Payment</v>
      </c>
      <c r="J1942" s="14" t="str">
        <f>IFERROR(__xludf.DUMMYFUNCTION("""COMPUTED_VALUE"""),"Delivered*Satisfied with the Delivery: Timely and quality")</f>
        <v>Delivered*Satisfied with the Delivery: Timely and quality</v>
      </c>
      <c r="K1942" s="14" t="str">
        <f>IFERROR(__xludf.DUMMYFUNCTION("split(E1942,""+"")"),"Cold Coffee")</f>
        <v>Cold Coffee</v>
      </c>
      <c r="L1942" s="14" t="str">
        <f>IFERROR(__xludf.DUMMYFUNCTION("""COMPUTED_VALUE"""),"5*Ramesh S")</f>
        <v>5*Ramesh S</v>
      </c>
      <c r="M1942" s="14">
        <f>IFERROR(__xludf.DUMMYFUNCTION("SPLIT(L1942,""*"")"),5.0)</f>
        <v>5</v>
      </c>
      <c r="N1942" s="14" t="str">
        <f>IFERROR(__xludf.DUMMYFUNCTION("""COMPUTED_VALUE"""),"Ramesh S")</f>
        <v>Ramesh S</v>
      </c>
      <c r="O1942" s="14" t="str">
        <f>IFERROR(__xludf.DUMMYFUNCTION("split(J1942,""*"")"),"Delivered")</f>
        <v>Delivered</v>
      </c>
      <c r="P1942" s="14" t="str">
        <f>IFERROR(__xludf.DUMMYFUNCTION("""COMPUTED_VALUE"""),"Satisfied with the Delivery: Timely and quality")</f>
        <v>Satisfied with the Delivery: Timely and quality</v>
      </c>
      <c r="Q1942" s="14" t="str">
        <f>IFERROR(__xludf.DUMMYFUNCTION("split(P1942,"":"")"),"Satisfied with the Delivery")</f>
        <v>Satisfied with the Delivery</v>
      </c>
      <c r="R1942" s="14" t="str">
        <f>IFERROR(__xludf.DUMMYFUNCTION("""COMPUTED_VALUE""")," Timely and quality")</f>
        <v> Timely and quality</v>
      </c>
      <c r="S1942" s="14" t="str">
        <f t="shared" ref="S1942:U1942" si="3887">trim(B1942)</f>
        <v>ord_81918</v>
      </c>
      <c r="T1942" s="14" t="str">
        <f t="shared" si="3887"/>
        <v>Ishaan Chaturvedi</v>
      </c>
      <c r="U1942" s="14" t="str">
        <f t="shared" si="3887"/>
        <v>Bandra</v>
      </c>
      <c r="V1942" s="14" t="str">
        <f t="shared" si="4"/>
        <v>Cold Coffee</v>
      </c>
      <c r="W1942" s="14">
        <f t="shared" si="5"/>
        <v>5</v>
      </c>
      <c r="X1942" s="14" t="str">
        <f t="shared" si="6"/>
        <v>Ramesh S</v>
      </c>
      <c r="Y1942" s="15">
        <f t="shared" si="7"/>
        <v>45095</v>
      </c>
      <c r="Z1942" s="14" t="str">
        <f t="shared" si="8"/>
        <v>Online Payment</v>
      </c>
      <c r="AA1942" s="14" t="str">
        <f t="shared" si="9"/>
        <v>Delivered</v>
      </c>
      <c r="AB1942" s="14" t="str">
        <f t="shared" ref="AB1942:AC1942" si="3888">trim(Q1942)</f>
        <v>Satisfied with the Delivery</v>
      </c>
      <c r="AC1942" s="14" t="str">
        <f t="shared" si="3888"/>
        <v>Timely and quality</v>
      </c>
      <c r="AD1942" s="8"/>
    </row>
    <row r="1943">
      <c r="A1943" s="14" t="str">
        <f>IFERROR(__xludf.DUMMYFUNCTION("""COMPUTED_VALUE"""),"//ord_81919//Aarohi Kapoor//Bandra//Apple+2*Not Assigned/12/11/2023//Online Payment//Cancelled*Payment Issues")</f>
        <v>//ord_81919//Aarohi Kapoor//Bandra//Apple+2*Not Assigned/12/11/2023//Online Payment//Cancelled*Payment Issues</v>
      </c>
      <c r="B1943" s="14" t="str">
        <f>IFERROR(__xludf.DUMMYFUNCTION("split(A1943,""//"")"),"ord_81919")</f>
        <v>ord_81919</v>
      </c>
      <c r="C1943" s="14" t="str">
        <f>IFERROR(__xludf.DUMMYFUNCTION("""COMPUTED_VALUE"""),"Aarohi Kapoor")</f>
        <v>Aarohi Kapoor</v>
      </c>
      <c r="D1943" s="14" t="str">
        <f>IFERROR(__xludf.DUMMYFUNCTION("""COMPUTED_VALUE"""),"Bandra")</f>
        <v>Bandra</v>
      </c>
      <c r="E1943" s="14" t="str">
        <f>IFERROR(__xludf.DUMMYFUNCTION("""COMPUTED_VALUE"""),"Apple+2*Not Assigned")</f>
        <v>Apple+2*Not Assigned</v>
      </c>
      <c r="F1943" s="14">
        <f>IFERROR(__xludf.DUMMYFUNCTION("""COMPUTED_VALUE"""),12.0)</f>
        <v>12</v>
      </c>
      <c r="G1943" s="14">
        <f>IFERROR(__xludf.DUMMYFUNCTION("""COMPUTED_VALUE"""),11.0)</f>
        <v>11</v>
      </c>
      <c r="H1943" s="14">
        <f>IFERROR(__xludf.DUMMYFUNCTION("""COMPUTED_VALUE"""),2023.0)</f>
        <v>2023</v>
      </c>
      <c r="I1943" s="14" t="str">
        <f>IFERROR(__xludf.DUMMYFUNCTION("""COMPUTED_VALUE"""),"Online Payment")</f>
        <v>Online Payment</v>
      </c>
      <c r="J1943" s="14" t="str">
        <f>IFERROR(__xludf.DUMMYFUNCTION("""COMPUTED_VALUE"""),"Cancelled*Payment Issues")</f>
        <v>Cancelled*Payment Issues</v>
      </c>
      <c r="K1943" s="14" t="str">
        <f>IFERROR(__xludf.DUMMYFUNCTION("split(E1943,""+"")"),"Apple")</f>
        <v>Apple</v>
      </c>
      <c r="L1943" s="14" t="str">
        <f>IFERROR(__xludf.DUMMYFUNCTION("""COMPUTED_VALUE"""),"2*Not Assigned")</f>
        <v>2*Not Assigned</v>
      </c>
      <c r="M1943" s="14">
        <f>IFERROR(__xludf.DUMMYFUNCTION("SPLIT(L1943,""*"")"),2.0)</f>
        <v>2</v>
      </c>
      <c r="N1943" s="14" t="str">
        <f>IFERROR(__xludf.DUMMYFUNCTION("""COMPUTED_VALUE"""),"Not Assigned")</f>
        <v>Not Assigned</v>
      </c>
      <c r="O1943" s="14" t="str">
        <f>IFERROR(__xludf.DUMMYFUNCTION("split(J1943,""*"")"),"Cancelled")</f>
        <v>Cancelled</v>
      </c>
      <c r="P1943" s="14" t="str">
        <f>IFERROR(__xludf.DUMMYFUNCTION("""COMPUTED_VALUE"""),"Payment Issues")</f>
        <v>Payment Issues</v>
      </c>
      <c r="Q1943" s="14" t="str">
        <f>IFERROR(__xludf.DUMMYFUNCTION("split(P1943,"":"")"),"Payment Issues")</f>
        <v>Payment Issues</v>
      </c>
      <c r="R1943" s="14"/>
      <c r="S1943" s="14" t="str">
        <f t="shared" ref="S1943:U1943" si="3889">trim(B1943)</f>
        <v>ord_81919</v>
      </c>
      <c r="T1943" s="14" t="str">
        <f t="shared" si="3889"/>
        <v>Aarohi Kapoor</v>
      </c>
      <c r="U1943" s="14" t="str">
        <f t="shared" si="3889"/>
        <v>Bandra</v>
      </c>
      <c r="V1943" s="14" t="str">
        <f t="shared" si="4"/>
        <v>Apple</v>
      </c>
      <c r="W1943" s="14">
        <f t="shared" si="5"/>
        <v>2</v>
      </c>
      <c r="X1943" s="14" t="str">
        <f t="shared" si="6"/>
        <v>Not Assigned</v>
      </c>
      <c r="Y1943" s="15">
        <f t="shared" si="7"/>
        <v>45271</v>
      </c>
      <c r="Z1943" s="14" t="str">
        <f t="shared" si="8"/>
        <v>Online Payment</v>
      </c>
      <c r="AA1943" s="14" t="str">
        <f t="shared" si="9"/>
        <v>Cancelled</v>
      </c>
      <c r="AB1943" s="14" t="str">
        <f t="shared" ref="AB1943:AC1943" si="3890">trim(Q1943)</f>
        <v>Payment Issues</v>
      </c>
      <c r="AC1943" s="14" t="str">
        <f t="shared" si="3890"/>
        <v/>
      </c>
      <c r="AD1943" s="8"/>
    </row>
    <row r="1944">
      <c r="A1944" s="14" t="str">
        <f>IFERROR(__xludf.DUMMYFUNCTION("""COMPUTED_VALUE"""),"//ord_81920//Anaya Rao//Colaba//Apple+1*Vivek Kumar/1/26/2023//Online Payment//Cancelled*Delayed Delivery:Heavy Traffic")</f>
        <v>//ord_81920//Anaya Rao//Colaba//Apple+1*Vivek Kumar/1/26/2023//Online Payment//Cancelled*Delayed Delivery:Heavy Traffic</v>
      </c>
      <c r="B1944" s="14" t="str">
        <f>IFERROR(__xludf.DUMMYFUNCTION("split(A1944,""//"")"),"ord_81920")</f>
        <v>ord_81920</v>
      </c>
      <c r="C1944" s="14" t="str">
        <f>IFERROR(__xludf.DUMMYFUNCTION("""COMPUTED_VALUE"""),"Anaya Rao")</f>
        <v>Anaya Rao</v>
      </c>
      <c r="D1944" s="14" t="str">
        <f>IFERROR(__xludf.DUMMYFUNCTION("""COMPUTED_VALUE"""),"Colaba")</f>
        <v>Colaba</v>
      </c>
      <c r="E1944" s="14" t="str">
        <f>IFERROR(__xludf.DUMMYFUNCTION("""COMPUTED_VALUE"""),"Apple+1*Vivek Kumar")</f>
        <v>Apple+1*Vivek Kumar</v>
      </c>
      <c r="F1944" s="14">
        <f>IFERROR(__xludf.DUMMYFUNCTION("""COMPUTED_VALUE"""),1.0)</f>
        <v>1</v>
      </c>
      <c r="G1944" s="14">
        <f>IFERROR(__xludf.DUMMYFUNCTION("""COMPUTED_VALUE"""),26.0)</f>
        <v>26</v>
      </c>
      <c r="H1944" s="14">
        <f>IFERROR(__xludf.DUMMYFUNCTION("""COMPUTED_VALUE"""),2023.0)</f>
        <v>2023</v>
      </c>
      <c r="I1944" s="14" t="str">
        <f>IFERROR(__xludf.DUMMYFUNCTION("""COMPUTED_VALUE"""),"Online Payment")</f>
        <v>Online Payment</v>
      </c>
      <c r="J1944" s="14" t="str">
        <f>IFERROR(__xludf.DUMMYFUNCTION("""COMPUTED_VALUE"""),"Cancelled*Delayed Delivery:Heavy Traffic")</f>
        <v>Cancelled*Delayed Delivery:Heavy Traffic</v>
      </c>
      <c r="K1944" s="14" t="str">
        <f>IFERROR(__xludf.DUMMYFUNCTION("split(E1944,""+"")"),"Apple")</f>
        <v>Apple</v>
      </c>
      <c r="L1944" s="14" t="str">
        <f>IFERROR(__xludf.DUMMYFUNCTION("""COMPUTED_VALUE"""),"1*Vivek Kumar")</f>
        <v>1*Vivek Kumar</v>
      </c>
      <c r="M1944" s="14">
        <f>IFERROR(__xludf.DUMMYFUNCTION("SPLIT(L1944,""*"")"),1.0)</f>
        <v>1</v>
      </c>
      <c r="N1944" s="14" t="str">
        <f>IFERROR(__xludf.DUMMYFUNCTION("""COMPUTED_VALUE"""),"Vivek Kumar")</f>
        <v>Vivek Kumar</v>
      </c>
      <c r="O1944" s="14" t="str">
        <f>IFERROR(__xludf.DUMMYFUNCTION("split(J1944,""*"")"),"Cancelled")</f>
        <v>Cancelled</v>
      </c>
      <c r="P1944" s="14" t="str">
        <f>IFERROR(__xludf.DUMMYFUNCTION("""COMPUTED_VALUE"""),"Delayed Delivery:Heavy Traffic")</f>
        <v>Delayed Delivery:Heavy Traffic</v>
      </c>
      <c r="Q1944" s="14" t="str">
        <f>IFERROR(__xludf.DUMMYFUNCTION("split(P1944,"":"")"),"Delayed Delivery")</f>
        <v>Delayed Delivery</v>
      </c>
      <c r="R1944" s="14" t="str">
        <f>IFERROR(__xludf.DUMMYFUNCTION("""COMPUTED_VALUE"""),"Heavy Traffic")</f>
        <v>Heavy Traffic</v>
      </c>
      <c r="S1944" s="14" t="str">
        <f t="shared" ref="S1944:U1944" si="3891">trim(B1944)</f>
        <v>ord_81920</v>
      </c>
      <c r="T1944" s="14" t="str">
        <f t="shared" si="3891"/>
        <v>Anaya Rao</v>
      </c>
      <c r="U1944" s="14" t="str">
        <f t="shared" si="3891"/>
        <v>Colaba</v>
      </c>
      <c r="V1944" s="14" t="str">
        <f t="shared" si="4"/>
        <v>Apple</v>
      </c>
      <c r="W1944" s="14">
        <f t="shared" si="5"/>
        <v>1</v>
      </c>
      <c r="X1944" s="14" t="str">
        <f t="shared" si="6"/>
        <v>Vivek Kumar</v>
      </c>
      <c r="Y1944" s="15">
        <f t="shared" si="7"/>
        <v>44952</v>
      </c>
      <c r="Z1944" s="14" t="str">
        <f t="shared" si="8"/>
        <v>Online Payment</v>
      </c>
      <c r="AA1944" s="14" t="str">
        <f t="shared" si="9"/>
        <v>Cancelled</v>
      </c>
      <c r="AB1944" s="14" t="str">
        <f t="shared" ref="AB1944:AC1944" si="3892">trim(Q1944)</f>
        <v>Delayed Delivery</v>
      </c>
      <c r="AC1944" s="14" t="str">
        <f t="shared" si="3892"/>
        <v>Heavy Traffic</v>
      </c>
      <c r="AD1944" s="8"/>
    </row>
    <row r="1945">
      <c r="A1945" s="14" t="str">
        <f>IFERROR(__xludf.DUMMYFUNCTION("""COMPUTED_VALUE"""),"//ord_81921//Arvind Kulkarni//Juhu//Chocolate Mousse+5*Priya Joshi/7/20/2023//UPI//Cancelled*Delayed Delivery:Heavy Traffic")</f>
        <v>//ord_81921//Arvind Kulkarni//Juhu//Chocolate Mousse+5*Priya Joshi/7/20/2023//UPI//Cancelled*Delayed Delivery:Heavy Traffic</v>
      </c>
      <c r="B1945" s="14" t="str">
        <f>IFERROR(__xludf.DUMMYFUNCTION("split(A1945,""//"")"),"ord_81921")</f>
        <v>ord_81921</v>
      </c>
      <c r="C1945" s="14" t="str">
        <f>IFERROR(__xludf.DUMMYFUNCTION("""COMPUTED_VALUE"""),"Arvind Kulkarni")</f>
        <v>Arvind Kulkarni</v>
      </c>
      <c r="D1945" s="14" t="str">
        <f>IFERROR(__xludf.DUMMYFUNCTION("""COMPUTED_VALUE"""),"Juhu")</f>
        <v>Juhu</v>
      </c>
      <c r="E1945" s="14" t="str">
        <f>IFERROR(__xludf.DUMMYFUNCTION("""COMPUTED_VALUE"""),"Chocolate Mousse+5*Priya Joshi")</f>
        <v>Chocolate Mousse+5*Priya Joshi</v>
      </c>
      <c r="F1945" s="14">
        <f>IFERROR(__xludf.DUMMYFUNCTION("""COMPUTED_VALUE"""),7.0)</f>
        <v>7</v>
      </c>
      <c r="G1945" s="14">
        <f>IFERROR(__xludf.DUMMYFUNCTION("""COMPUTED_VALUE"""),20.0)</f>
        <v>20</v>
      </c>
      <c r="H1945" s="14">
        <f>IFERROR(__xludf.DUMMYFUNCTION("""COMPUTED_VALUE"""),2023.0)</f>
        <v>2023</v>
      </c>
      <c r="I1945" s="14" t="str">
        <f>IFERROR(__xludf.DUMMYFUNCTION("""COMPUTED_VALUE"""),"UPI")</f>
        <v>UPI</v>
      </c>
      <c r="J1945" s="14" t="str">
        <f>IFERROR(__xludf.DUMMYFUNCTION("""COMPUTED_VALUE"""),"Cancelled*Delayed Delivery:Heavy Traffic")</f>
        <v>Cancelled*Delayed Delivery:Heavy Traffic</v>
      </c>
      <c r="K1945" s="14" t="str">
        <f>IFERROR(__xludf.DUMMYFUNCTION("split(E1945,""+"")"),"Chocolate Mousse")</f>
        <v>Chocolate Mousse</v>
      </c>
      <c r="L1945" s="14" t="str">
        <f>IFERROR(__xludf.DUMMYFUNCTION("""COMPUTED_VALUE"""),"5*Priya Joshi")</f>
        <v>5*Priya Joshi</v>
      </c>
      <c r="M1945" s="14">
        <f>IFERROR(__xludf.DUMMYFUNCTION("SPLIT(L1945,""*"")"),5.0)</f>
        <v>5</v>
      </c>
      <c r="N1945" s="14" t="str">
        <f>IFERROR(__xludf.DUMMYFUNCTION("""COMPUTED_VALUE"""),"Priya Joshi")</f>
        <v>Priya Joshi</v>
      </c>
      <c r="O1945" s="14" t="str">
        <f>IFERROR(__xludf.DUMMYFUNCTION("split(J1945,""*"")"),"Cancelled")</f>
        <v>Cancelled</v>
      </c>
      <c r="P1945" s="14" t="str">
        <f>IFERROR(__xludf.DUMMYFUNCTION("""COMPUTED_VALUE"""),"Delayed Delivery:Heavy Traffic")</f>
        <v>Delayed Delivery:Heavy Traffic</v>
      </c>
      <c r="Q1945" s="14" t="str">
        <f>IFERROR(__xludf.DUMMYFUNCTION("split(P1945,"":"")"),"Delayed Delivery")</f>
        <v>Delayed Delivery</v>
      </c>
      <c r="R1945" s="14" t="str">
        <f>IFERROR(__xludf.DUMMYFUNCTION("""COMPUTED_VALUE"""),"Heavy Traffic")</f>
        <v>Heavy Traffic</v>
      </c>
      <c r="S1945" s="14" t="str">
        <f t="shared" ref="S1945:U1945" si="3893">trim(B1945)</f>
        <v>ord_81921</v>
      </c>
      <c r="T1945" s="14" t="str">
        <f t="shared" si="3893"/>
        <v>Arvind Kulkarni</v>
      </c>
      <c r="U1945" s="14" t="str">
        <f t="shared" si="3893"/>
        <v>Juhu</v>
      </c>
      <c r="V1945" s="14" t="str">
        <f t="shared" si="4"/>
        <v>Chocolate Mousse</v>
      </c>
      <c r="W1945" s="14">
        <f t="shared" si="5"/>
        <v>5</v>
      </c>
      <c r="X1945" s="14" t="str">
        <f t="shared" si="6"/>
        <v>Priya Joshi</v>
      </c>
      <c r="Y1945" s="15">
        <f t="shared" si="7"/>
        <v>45127</v>
      </c>
      <c r="Z1945" s="14" t="str">
        <f t="shared" si="8"/>
        <v>UPI</v>
      </c>
      <c r="AA1945" s="14" t="str">
        <f t="shared" si="9"/>
        <v>Cancelled</v>
      </c>
      <c r="AB1945" s="14" t="str">
        <f t="shared" ref="AB1945:AC1945" si="3894">trim(Q1945)</f>
        <v>Delayed Delivery</v>
      </c>
      <c r="AC1945" s="14" t="str">
        <f t="shared" si="3894"/>
        <v>Heavy Traffic</v>
      </c>
      <c r="AD1945" s="8"/>
    </row>
    <row r="1946">
      <c r="A1946" s="14" t="str">
        <f>IFERROR(__xludf.DUMMYFUNCTION("""COMPUTED_VALUE"""),"//ord_81922//Pallavi Ghosh//Bandra//Potato+2*Ramesh S/1/25/2023//UPI//Cancelled*Delayed Delivery:High Order Volume")</f>
        <v>//ord_81922//Pallavi Ghosh//Bandra//Potato+2*Ramesh S/1/25/2023//UPI//Cancelled*Delayed Delivery:High Order Volume</v>
      </c>
      <c r="B1946" s="14" t="str">
        <f>IFERROR(__xludf.DUMMYFUNCTION("split(A1946,""//"")"),"ord_81922")</f>
        <v>ord_81922</v>
      </c>
      <c r="C1946" s="14" t="str">
        <f>IFERROR(__xludf.DUMMYFUNCTION("""COMPUTED_VALUE"""),"Pallavi Ghosh")</f>
        <v>Pallavi Ghosh</v>
      </c>
      <c r="D1946" s="14" t="str">
        <f>IFERROR(__xludf.DUMMYFUNCTION("""COMPUTED_VALUE"""),"Bandra")</f>
        <v>Bandra</v>
      </c>
      <c r="E1946" s="14" t="str">
        <f>IFERROR(__xludf.DUMMYFUNCTION("""COMPUTED_VALUE"""),"Potato+2*Ramesh S")</f>
        <v>Potato+2*Ramesh S</v>
      </c>
      <c r="F1946" s="14">
        <f>IFERROR(__xludf.DUMMYFUNCTION("""COMPUTED_VALUE"""),1.0)</f>
        <v>1</v>
      </c>
      <c r="G1946" s="14">
        <f>IFERROR(__xludf.DUMMYFUNCTION("""COMPUTED_VALUE"""),25.0)</f>
        <v>25</v>
      </c>
      <c r="H1946" s="14">
        <f>IFERROR(__xludf.DUMMYFUNCTION("""COMPUTED_VALUE"""),2023.0)</f>
        <v>2023</v>
      </c>
      <c r="I1946" s="14" t="str">
        <f>IFERROR(__xludf.DUMMYFUNCTION("""COMPUTED_VALUE"""),"UPI")</f>
        <v>UPI</v>
      </c>
      <c r="J1946" s="14" t="str">
        <f>IFERROR(__xludf.DUMMYFUNCTION("""COMPUTED_VALUE"""),"Cancelled*Delayed Delivery:High Order Volume")</f>
        <v>Cancelled*Delayed Delivery:High Order Volume</v>
      </c>
      <c r="K1946" s="14" t="str">
        <f>IFERROR(__xludf.DUMMYFUNCTION("split(E1946,""+"")"),"Potato")</f>
        <v>Potato</v>
      </c>
      <c r="L1946" s="14" t="str">
        <f>IFERROR(__xludf.DUMMYFUNCTION("""COMPUTED_VALUE"""),"2*Ramesh S")</f>
        <v>2*Ramesh S</v>
      </c>
      <c r="M1946" s="14">
        <f>IFERROR(__xludf.DUMMYFUNCTION("SPLIT(L1946,""*"")"),2.0)</f>
        <v>2</v>
      </c>
      <c r="N1946" s="14" t="str">
        <f>IFERROR(__xludf.DUMMYFUNCTION("""COMPUTED_VALUE"""),"Ramesh S")</f>
        <v>Ramesh S</v>
      </c>
      <c r="O1946" s="14" t="str">
        <f>IFERROR(__xludf.DUMMYFUNCTION("split(J1946,""*"")"),"Cancelled")</f>
        <v>Cancelled</v>
      </c>
      <c r="P1946" s="14" t="str">
        <f>IFERROR(__xludf.DUMMYFUNCTION("""COMPUTED_VALUE"""),"Delayed Delivery:High Order Volume")</f>
        <v>Delayed Delivery:High Order Volume</v>
      </c>
      <c r="Q1946" s="14" t="str">
        <f>IFERROR(__xludf.DUMMYFUNCTION("split(P1946,"":"")"),"Delayed Delivery")</f>
        <v>Delayed Delivery</v>
      </c>
      <c r="R1946" s="14" t="str">
        <f>IFERROR(__xludf.DUMMYFUNCTION("""COMPUTED_VALUE"""),"High Order Volume")</f>
        <v>High Order Volume</v>
      </c>
      <c r="S1946" s="14" t="str">
        <f t="shared" ref="S1946:U1946" si="3895">trim(B1946)</f>
        <v>ord_81922</v>
      </c>
      <c r="T1946" s="14" t="str">
        <f t="shared" si="3895"/>
        <v>Pallavi Ghosh</v>
      </c>
      <c r="U1946" s="14" t="str">
        <f t="shared" si="3895"/>
        <v>Bandra</v>
      </c>
      <c r="V1946" s="14" t="str">
        <f t="shared" si="4"/>
        <v>Potato</v>
      </c>
      <c r="W1946" s="14">
        <f t="shared" si="5"/>
        <v>2</v>
      </c>
      <c r="X1946" s="14" t="str">
        <f t="shared" si="6"/>
        <v>Ramesh S</v>
      </c>
      <c r="Y1946" s="15">
        <f t="shared" si="7"/>
        <v>44951</v>
      </c>
      <c r="Z1946" s="14" t="str">
        <f t="shared" si="8"/>
        <v>UPI</v>
      </c>
      <c r="AA1946" s="14" t="str">
        <f t="shared" si="9"/>
        <v>Cancelled</v>
      </c>
      <c r="AB1946" s="14" t="str">
        <f t="shared" ref="AB1946:AC1946" si="3896">trim(Q1946)</f>
        <v>Delayed Delivery</v>
      </c>
      <c r="AC1946" s="14" t="str">
        <f t="shared" si="3896"/>
        <v>High Order Volume</v>
      </c>
      <c r="AD1946" s="8"/>
    </row>
    <row r="1947">
      <c r="A1947" s="14" t="str">
        <f>IFERROR(__xludf.DUMMYFUNCTION("""COMPUTED_VALUE"""),"//ord_81923//Ishaan Chaturvedi//Bandra//Popcorn+2*Vivek Kumar/1/29/2023//UPI//Delivered*Customer Service: Seamless and easy")</f>
        <v>//ord_81923//Ishaan Chaturvedi//Bandra//Popcorn+2*Vivek Kumar/1/29/2023//UPI//Delivered*Customer Service: Seamless and easy</v>
      </c>
      <c r="B1947" s="14" t="str">
        <f>IFERROR(__xludf.DUMMYFUNCTION("split(A1947,""//"")"),"ord_81923")</f>
        <v>ord_81923</v>
      </c>
      <c r="C1947" s="14" t="str">
        <f>IFERROR(__xludf.DUMMYFUNCTION("""COMPUTED_VALUE"""),"Ishaan Chaturvedi")</f>
        <v>Ishaan Chaturvedi</v>
      </c>
      <c r="D1947" s="14" t="str">
        <f>IFERROR(__xludf.DUMMYFUNCTION("""COMPUTED_VALUE"""),"Bandra")</f>
        <v>Bandra</v>
      </c>
      <c r="E1947" s="14" t="str">
        <f>IFERROR(__xludf.DUMMYFUNCTION("""COMPUTED_VALUE"""),"Popcorn+2*Vivek Kumar")</f>
        <v>Popcorn+2*Vivek Kumar</v>
      </c>
      <c r="F1947" s="14">
        <f>IFERROR(__xludf.DUMMYFUNCTION("""COMPUTED_VALUE"""),1.0)</f>
        <v>1</v>
      </c>
      <c r="G1947" s="14">
        <f>IFERROR(__xludf.DUMMYFUNCTION("""COMPUTED_VALUE"""),29.0)</f>
        <v>29</v>
      </c>
      <c r="H1947" s="14">
        <f>IFERROR(__xludf.DUMMYFUNCTION("""COMPUTED_VALUE"""),2023.0)</f>
        <v>2023</v>
      </c>
      <c r="I1947" s="14" t="str">
        <f>IFERROR(__xludf.DUMMYFUNCTION("""COMPUTED_VALUE"""),"UPI")</f>
        <v>UPI</v>
      </c>
      <c r="J1947" s="14" t="str">
        <f>IFERROR(__xludf.DUMMYFUNCTION("""COMPUTED_VALUE"""),"Delivered*Customer Service: Seamless and easy")</f>
        <v>Delivered*Customer Service: Seamless and easy</v>
      </c>
      <c r="K1947" s="14" t="str">
        <f>IFERROR(__xludf.DUMMYFUNCTION("split(E1947,""+"")"),"Popcorn")</f>
        <v>Popcorn</v>
      </c>
      <c r="L1947" s="14" t="str">
        <f>IFERROR(__xludf.DUMMYFUNCTION("""COMPUTED_VALUE"""),"2*Vivek Kumar")</f>
        <v>2*Vivek Kumar</v>
      </c>
      <c r="M1947" s="14">
        <f>IFERROR(__xludf.DUMMYFUNCTION("SPLIT(L1947,""*"")"),2.0)</f>
        <v>2</v>
      </c>
      <c r="N1947" s="14" t="str">
        <f>IFERROR(__xludf.DUMMYFUNCTION("""COMPUTED_VALUE"""),"Vivek Kumar")</f>
        <v>Vivek Kumar</v>
      </c>
      <c r="O1947" s="14" t="str">
        <f>IFERROR(__xludf.DUMMYFUNCTION("split(J1947,""*"")"),"Delivered")</f>
        <v>Delivered</v>
      </c>
      <c r="P1947" s="14" t="str">
        <f>IFERROR(__xludf.DUMMYFUNCTION("""COMPUTED_VALUE"""),"Customer Service: Seamless and easy")</f>
        <v>Customer Service: Seamless and easy</v>
      </c>
      <c r="Q1947" s="14" t="str">
        <f>IFERROR(__xludf.DUMMYFUNCTION("split(P1947,"":"")"),"Customer Service")</f>
        <v>Customer Service</v>
      </c>
      <c r="R1947" s="14" t="str">
        <f>IFERROR(__xludf.DUMMYFUNCTION("""COMPUTED_VALUE""")," Seamless and easy")</f>
        <v> Seamless and easy</v>
      </c>
      <c r="S1947" s="14" t="str">
        <f t="shared" ref="S1947:U1947" si="3897">trim(B1947)</f>
        <v>ord_81923</v>
      </c>
      <c r="T1947" s="14" t="str">
        <f t="shared" si="3897"/>
        <v>Ishaan Chaturvedi</v>
      </c>
      <c r="U1947" s="14" t="str">
        <f t="shared" si="3897"/>
        <v>Bandra</v>
      </c>
      <c r="V1947" s="14" t="str">
        <f t="shared" si="4"/>
        <v>Popcorn</v>
      </c>
      <c r="W1947" s="14">
        <f t="shared" si="5"/>
        <v>2</v>
      </c>
      <c r="X1947" s="14" t="str">
        <f t="shared" si="6"/>
        <v>Vivek Kumar</v>
      </c>
      <c r="Y1947" s="15">
        <f t="shared" si="7"/>
        <v>44955</v>
      </c>
      <c r="Z1947" s="14" t="str">
        <f t="shared" si="8"/>
        <v>UPI</v>
      </c>
      <c r="AA1947" s="14" t="str">
        <f t="shared" si="9"/>
        <v>Delivered</v>
      </c>
      <c r="AB1947" s="14" t="str">
        <f t="shared" ref="AB1947:AC1947" si="3898">trim(Q1947)</f>
        <v>Customer Service</v>
      </c>
      <c r="AC1947" s="14" t="str">
        <f t="shared" si="3898"/>
        <v>Seamless and easy</v>
      </c>
      <c r="AD1947" s="8"/>
    </row>
    <row r="1948">
      <c r="A1948" s="14" t="str">
        <f>IFERROR(__xludf.DUMMYFUNCTION("""COMPUTED_VALUE"""),"//ord_81924//Parth Goel//Juhu//Tiramisu+5*Vivek Kumar/1/24/2023//UPI//Delivered*Delivery Experience: Quick and professional")</f>
        <v>//ord_81924//Parth Goel//Juhu//Tiramisu+5*Vivek Kumar/1/24/2023//UPI//Delivered*Delivery Experience: Quick and professional</v>
      </c>
      <c r="B1948" s="14" t="str">
        <f>IFERROR(__xludf.DUMMYFUNCTION("split(A1948,""//"")"),"ord_81924")</f>
        <v>ord_81924</v>
      </c>
      <c r="C1948" s="14" t="str">
        <f>IFERROR(__xludf.DUMMYFUNCTION("""COMPUTED_VALUE"""),"Parth Goel")</f>
        <v>Parth Goel</v>
      </c>
      <c r="D1948" s="14" t="str">
        <f>IFERROR(__xludf.DUMMYFUNCTION("""COMPUTED_VALUE"""),"Juhu")</f>
        <v>Juhu</v>
      </c>
      <c r="E1948" s="14" t="str">
        <f>IFERROR(__xludf.DUMMYFUNCTION("""COMPUTED_VALUE"""),"Tiramisu+5*Vivek Kumar")</f>
        <v>Tiramisu+5*Vivek Kumar</v>
      </c>
      <c r="F1948" s="14">
        <f>IFERROR(__xludf.DUMMYFUNCTION("""COMPUTED_VALUE"""),1.0)</f>
        <v>1</v>
      </c>
      <c r="G1948" s="14">
        <f>IFERROR(__xludf.DUMMYFUNCTION("""COMPUTED_VALUE"""),24.0)</f>
        <v>24</v>
      </c>
      <c r="H1948" s="14">
        <f>IFERROR(__xludf.DUMMYFUNCTION("""COMPUTED_VALUE"""),2023.0)</f>
        <v>2023</v>
      </c>
      <c r="I1948" s="14" t="str">
        <f>IFERROR(__xludf.DUMMYFUNCTION("""COMPUTED_VALUE"""),"UPI")</f>
        <v>UPI</v>
      </c>
      <c r="J1948" s="14" t="str">
        <f>IFERROR(__xludf.DUMMYFUNCTION("""COMPUTED_VALUE"""),"Delivered*Delivery Experience: Quick and professional")</f>
        <v>Delivered*Delivery Experience: Quick and professional</v>
      </c>
      <c r="K1948" s="14" t="str">
        <f>IFERROR(__xludf.DUMMYFUNCTION("split(E1948,""+"")"),"Tiramisu")</f>
        <v>Tiramisu</v>
      </c>
      <c r="L1948" s="14" t="str">
        <f>IFERROR(__xludf.DUMMYFUNCTION("""COMPUTED_VALUE"""),"5*Vivek Kumar")</f>
        <v>5*Vivek Kumar</v>
      </c>
      <c r="M1948" s="14">
        <f>IFERROR(__xludf.DUMMYFUNCTION("SPLIT(L1948,""*"")"),5.0)</f>
        <v>5</v>
      </c>
      <c r="N1948" s="14" t="str">
        <f>IFERROR(__xludf.DUMMYFUNCTION("""COMPUTED_VALUE"""),"Vivek Kumar")</f>
        <v>Vivek Kumar</v>
      </c>
      <c r="O1948" s="14" t="str">
        <f>IFERROR(__xludf.DUMMYFUNCTION("split(J1948,""*"")"),"Delivered")</f>
        <v>Delivered</v>
      </c>
      <c r="P1948" s="14" t="str">
        <f>IFERROR(__xludf.DUMMYFUNCTION("""COMPUTED_VALUE"""),"Delivery Experience: Quick and professional")</f>
        <v>Delivery Experience: Quick and professional</v>
      </c>
      <c r="Q1948" s="14" t="str">
        <f>IFERROR(__xludf.DUMMYFUNCTION("split(P1948,"":"")"),"Delivery Experience")</f>
        <v>Delivery Experience</v>
      </c>
      <c r="R1948" s="14" t="str">
        <f>IFERROR(__xludf.DUMMYFUNCTION("""COMPUTED_VALUE""")," Quick and professional")</f>
        <v> Quick and professional</v>
      </c>
      <c r="S1948" s="14" t="str">
        <f t="shared" ref="S1948:U1948" si="3899">trim(B1948)</f>
        <v>ord_81924</v>
      </c>
      <c r="T1948" s="14" t="str">
        <f t="shared" si="3899"/>
        <v>Parth Goel</v>
      </c>
      <c r="U1948" s="14" t="str">
        <f t="shared" si="3899"/>
        <v>Juhu</v>
      </c>
      <c r="V1948" s="14" t="str">
        <f t="shared" si="4"/>
        <v>Tiramisu</v>
      </c>
      <c r="W1948" s="14">
        <f t="shared" si="5"/>
        <v>5</v>
      </c>
      <c r="X1948" s="14" t="str">
        <f t="shared" si="6"/>
        <v>Vivek Kumar</v>
      </c>
      <c r="Y1948" s="15">
        <f t="shared" si="7"/>
        <v>44950</v>
      </c>
      <c r="Z1948" s="14" t="str">
        <f t="shared" si="8"/>
        <v>UPI</v>
      </c>
      <c r="AA1948" s="14" t="str">
        <f t="shared" si="9"/>
        <v>Delivered</v>
      </c>
      <c r="AB1948" s="14" t="str">
        <f t="shared" ref="AB1948:AC1948" si="3900">trim(Q1948)</f>
        <v>Delivery Experience</v>
      </c>
      <c r="AC1948" s="14" t="str">
        <f t="shared" si="3900"/>
        <v>Quick and professional</v>
      </c>
      <c r="AD1948" s="8"/>
    </row>
    <row r="1949">
      <c r="A1949" s="14" t="str">
        <f>IFERROR(__xludf.DUMMYFUNCTION("""COMPUTED_VALUE"""),"//ord_81925//Mehul Thakkar//Malad//Popcorn+3*Priya Joshi/12/23/2023//Credit Card//Cancelled*Delayed Delivery:Bad Weather Conditions ")</f>
        <v>//ord_81925//Mehul Thakkar//Malad//Popcorn+3*Priya Joshi/12/23/2023//Credit Card//Cancelled*Delayed Delivery:Bad Weather Conditions </v>
      </c>
      <c r="B1949" s="14" t="str">
        <f>IFERROR(__xludf.DUMMYFUNCTION("split(A1949,""//"")"),"ord_81925")</f>
        <v>ord_81925</v>
      </c>
      <c r="C1949" s="14" t="str">
        <f>IFERROR(__xludf.DUMMYFUNCTION("""COMPUTED_VALUE"""),"Mehul Thakkar")</f>
        <v>Mehul Thakkar</v>
      </c>
      <c r="D1949" s="14" t="str">
        <f>IFERROR(__xludf.DUMMYFUNCTION("""COMPUTED_VALUE"""),"Malad")</f>
        <v>Malad</v>
      </c>
      <c r="E1949" s="14" t="str">
        <f>IFERROR(__xludf.DUMMYFUNCTION("""COMPUTED_VALUE"""),"Popcorn+3*Priya Joshi")</f>
        <v>Popcorn+3*Priya Joshi</v>
      </c>
      <c r="F1949" s="14">
        <f>IFERROR(__xludf.DUMMYFUNCTION("""COMPUTED_VALUE"""),12.0)</f>
        <v>12</v>
      </c>
      <c r="G1949" s="14">
        <f>IFERROR(__xludf.DUMMYFUNCTION("""COMPUTED_VALUE"""),23.0)</f>
        <v>23</v>
      </c>
      <c r="H1949" s="14">
        <f>IFERROR(__xludf.DUMMYFUNCTION("""COMPUTED_VALUE"""),2023.0)</f>
        <v>2023</v>
      </c>
      <c r="I1949" s="14" t="str">
        <f>IFERROR(__xludf.DUMMYFUNCTION("""COMPUTED_VALUE"""),"Credit Card")</f>
        <v>Credit Card</v>
      </c>
      <c r="J1949" s="14" t="str">
        <f>IFERROR(__xludf.DUMMYFUNCTION("""COMPUTED_VALUE"""),"Cancelled*Delayed Delivery:Bad Weather Conditions ")</f>
        <v>Cancelled*Delayed Delivery:Bad Weather Conditions </v>
      </c>
      <c r="K1949" s="14" t="str">
        <f>IFERROR(__xludf.DUMMYFUNCTION("split(E1949,""+"")"),"Popcorn")</f>
        <v>Popcorn</v>
      </c>
      <c r="L1949" s="14" t="str">
        <f>IFERROR(__xludf.DUMMYFUNCTION("""COMPUTED_VALUE"""),"3*Priya Joshi")</f>
        <v>3*Priya Joshi</v>
      </c>
      <c r="M1949" s="14">
        <f>IFERROR(__xludf.DUMMYFUNCTION("SPLIT(L1949,""*"")"),3.0)</f>
        <v>3</v>
      </c>
      <c r="N1949" s="14" t="str">
        <f>IFERROR(__xludf.DUMMYFUNCTION("""COMPUTED_VALUE"""),"Priya Joshi")</f>
        <v>Priya Joshi</v>
      </c>
      <c r="O1949" s="14" t="str">
        <f>IFERROR(__xludf.DUMMYFUNCTION("split(J1949,""*"")"),"Cancelled")</f>
        <v>Cancelled</v>
      </c>
      <c r="P1949" s="14" t="str">
        <f>IFERROR(__xludf.DUMMYFUNCTION("""COMPUTED_VALUE"""),"Delayed Delivery:Bad Weather Conditions ")</f>
        <v>Delayed Delivery:Bad Weather Conditions </v>
      </c>
      <c r="Q1949" s="14" t="str">
        <f>IFERROR(__xludf.DUMMYFUNCTION("split(P1949,"":"")"),"Delayed Delivery")</f>
        <v>Delayed Delivery</v>
      </c>
      <c r="R1949" s="14" t="str">
        <f>IFERROR(__xludf.DUMMYFUNCTION("""COMPUTED_VALUE"""),"Bad Weather Conditions ")</f>
        <v>Bad Weather Conditions </v>
      </c>
      <c r="S1949" s="14" t="str">
        <f t="shared" ref="S1949:U1949" si="3901">trim(B1949)</f>
        <v>ord_81925</v>
      </c>
      <c r="T1949" s="14" t="str">
        <f t="shared" si="3901"/>
        <v>Mehul Thakkar</v>
      </c>
      <c r="U1949" s="14" t="str">
        <f t="shared" si="3901"/>
        <v>Malad</v>
      </c>
      <c r="V1949" s="14" t="str">
        <f t="shared" si="4"/>
        <v>Popcorn</v>
      </c>
      <c r="W1949" s="14">
        <f t="shared" si="5"/>
        <v>3</v>
      </c>
      <c r="X1949" s="14" t="str">
        <f t="shared" si="6"/>
        <v>Priya Joshi</v>
      </c>
      <c r="Y1949" s="15">
        <f t="shared" si="7"/>
        <v>45283</v>
      </c>
      <c r="Z1949" s="14" t="str">
        <f t="shared" si="8"/>
        <v>Credit Card</v>
      </c>
      <c r="AA1949" s="14" t="str">
        <f t="shared" si="9"/>
        <v>Cancelled</v>
      </c>
      <c r="AB1949" s="14" t="str">
        <f t="shared" ref="AB1949:AC1949" si="3902">trim(Q1949)</f>
        <v>Delayed Delivery</v>
      </c>
      <c r="AC1949" s="14" t="str">
        <f t="shared" si="3902"/>
        <v>Bad Weather Conditions</v>
      </c>
      <c r="AD1949" s="8"/>
    </row>
    <row r="1950">
      <c r="A1950" s="14" t="str">
        <f>IFERROR(__xludf.DUMMYFUNCTION("""COMPUTED_VALUE"""),"//ord_81926//Dev Chauhan//Bandra//Chocolate Mousse+5*Shine Thomas/11/10/2023//Credit Card//Delivered*Convenience: Easy tracking")</f>
        <v>//ord_81926//Dev Chauhan//Bandra//Chocolate Mousse+5*Shine Thomas/11/10/2023//Credit Card//Delivered*Convenience: Easy tracking</v>
      </c>
      <c r="B1950" s="14" t="str">
        <f>IFERROR(__xludf.DUMMYFUNCTION("split(A1950,""//"")"),"ord_81926")</f>
        <v>ord_81926</v>
      </c>
      <c r="C1950" s="14" t="str">
        <f>IFERROR(__xludf.DUMMYFUNCTION("""COMPUTED_VALUE"""),"Dev Chauhan")</f>
        <v>Dev Chauhan</v>
      </c>
      <c r="D1950" s="14" t="str">
        <f>IFERROR(__xludf.DUMMYFUNCTION("""COMPUTED_VALUE"""),"Bandra")</f>
        <v>Bandra</v>
      </c>
      <c r="E1950" s="14" t="str">
        <f>IFERROR(__xludf.DUMMYFUNCTION("""COMPUTED_VALUE"""),"Chocolate Mousse+5*Shine Thomas")</f>
        <v>Chocolate Mousse+5*Shine Thomas</v>
      </c>
      <c r="F1950" s="14">
        <f>IFERROR(__xludf.DUMMYFUNCTION("""COMPUTED_VALUE"""),11.0)</f>
        <v>11</v>
      </c>
      <c r="G1950" s="14">
        <f>IFERROR(__xludf.DUMMYFUNCTION("""COMPUTED_VALUE"""),10.0)</f>
        <v>10</v>
      </c>
      <c r="H1950" s="14">
        <f>IFERROR(__xludf.DUMMYFUNCTION("""COMPUTED_VALUE"""),2023.0)</f>
        <v>2023</v>
      </c>
      <c r="I1950" s="14" t="str">
        <f>IFERROR(__xludf.DUMMYFUNCTION("""COMPUTED_VALUE"""),"Credit Card")</f>
        <v>Credit Card</v>
      </c>
      <c r="J1950" s="14" t="str">
        <f>IFERROR(__xludf.DUMMYFUNCTION("""COMPUTED_VALUE"""),"Delivered*Convenience: Easy tracking")</f>
        <v>Delivered*Convenience: Easy tracking</v>
      </c>
      <c r="K1950" s="14" t="str">
        <f>IFERROR(__xludf.DUMMYFUNCTION("split(E1950,""+"")"),"Chocolate Mousse")</f>
        <v>Chocolate Mousse</v>
      </c>
      <c r="L1950" s="14" t="str">
        <f>IFERROR(__xludf.DUMMYFUNCTION("""COMPUTED_VALUE"""),"5*Shine Thomas")</f>
        <v>5*Shine Thomas</v>
      </c>
      <c r="M1950" s="14">
        <f>IFERROR(__xludf.DUMMYFUNCTION("SPLIT(L1950,""*"")"),5.0)</f>
        <v>5</v>
      </c>
      <c r="N1950" s="14" t="str">
        <f>IFERROR(__xludf.DUMMYFUNCTION("""COMPUTED_VALUE"""),"Shine Thomas")</f>
        <v>Shine Thomas</v>
      </c>
      <c r="O1950" s="14" t="str">
        <f>IFERROR(__xludf.DUMMYFUNCTION("split(J1950,""*"")"),"Delivered")</f>
        <v>Delivered</v>
      </c>
      <c r="P1950" s="14" t="str">
        <f>IFERROR(__xludf.DUMMYFUNCTION("""COMPUTED_VALUE"""),"Convenience: Easy tracking")</f>
        <v>Convenience: Easy tracking</v>
      </c>
      <c r="Q1950" s="14" t="str">
        <f>IFERROR(__xludf.DUMMYFUNCTION("split(P1950,"":"")"),"Convenience")</f>
        <v>Convenience</v>
      </c>
      <c r="R1950" s="14" t="str">
        <f>IFERROR(__xludf.DUMMYFUNCTION("""COMPUTED_VALUE""")," Easy tracking")</f>
        <v> Easy tracking</v>
      </c>
      <c r="S1950" s="14" t="str">
        <f t="shared" ref="S1950:U1950" si="3903">trim(B1950)</f>
        <v>ord_81926</v>
      </c>
      <c r="T1950" s="14" t="str">
        <f t="shared" si="3903"/>
        <v>Dev Chauhan</v>
      </c>
      <c r="U1950" s="14" t="str">
        <f t="shared" si="3903"/>
        <v>Bandra</v>
      </c>
      <c r="V1950" s="14" t="str">
        <f t="shared" si="4"/>
        <v>Chocolate Mousse</v>
      </c>
      <c r="W1950" s="14">
        <f t="shared" si="5"/>
        <v>5</v>
      </c>
      <c r="X1950" s="14" t="str">
        <f t="shared" si="6"/>
        <v>Shine Thomas</v>
      </c>
      <c r="Y1950" s="15">
        <f t="shared" si="7"/>
        <v>45240</v>
      </c>
      <c r="Z1950" s="14" t="str">
        <f t="shared" si="8"/>
        <v>Credit Card</v>
      </c>
      <c r="AA1950" s="14" t="str">
        <f t="shared" si="9"/>
        <v>Delivered</v>
      </c>
      <c r="AB1950" s="14" t="str">
        <f t="shared" ref="AB1950:AC1950" si="3904">trim(Q1950)</f>
        <v>Convenience</v>
      </c>
      <c r="AC1950" s="14" t="str">
        <f t="shared" si="3904"/>
        <v>Easy tracking</v>
      </c>
      <c r="AD1950" s="8"/>
    </row>
    <row r="1951">
      <c r="A1951" s="14" t="str">
        <f>IFERROR(__xludf.DUMMYFUNCTION("""COMPUTED_VALUE"""),"//ord_81927//Aditi Iyer//Dadar//Rasmalai+5*Not Assigned/12/6/2023//Credit Card//Cancelled*High Delivery Fees")</f>
        <v>//ord_81927//Aditi Iyer//Dadar//Rasmalai+5*Not Assigned/12/6/2023//Credit Card//Cancelled*High Delivery Fees</v>
      </c>
      <c r="B1951" s="14" t="str">
        <f>IFERROR(__xludf.DUMMYFUNCTION("split(A1951,""//"")"),"ord_81927")</f>
        <v>ord_81927</v>
      </c>
      <c r="C1951" s="14" t="str">
        <f>IFERROR(__xludf.DUMMYFUNCTION("""COMPUTED_VALUE"""),"Aditi Iyer")</f>
        <v>Aditi Iyer</v>
      </c>
      <c r="D1951" s="14" t="str">
        <f>IFERROR(__xludf.DUMMYFUNCTION("""COMPUTED_VALUE"""),"Dadar")</f>
        <v>Dadar</v>
      </c>
      <c r="E1951" s="14" t="str">
        <f>IFERROR(__xludf.DUMMYFUNCTION("""COMPUTED_VALUE"""),"Rasmalai+5*Not Assigned")</f>
        <v>Rasmalai+5*Not Assigned</v>
      </c>
      <c r="F1951" s="14">
        <f>IFERROR(__xludf.DUMMYFUNCTION("""COMPUTED_VALUE"""),12.0)</f>
        <v>12</v>
      </c>
      <c r="G1951" s="14">
        <f>IFERROR(__xludf.DUMMYFUNCTION("""COMPUTED_VALUE"""),6.0)</f>
        <v>6</v>
      </c>
      <c r="H1951" s="14">
        <f>IFERROR(__xludf.DUMMYFUNCTION("""COMPUTED_VALUE"""),2023.0)</f>
        <v>2023</v>
      </c>
      <c r="I1951" s="14" t="str">
        <f>IFERROR(__xludf.DUMMYFUNCTION("""COMPUTED_VALUE"""),"Credit Card")</f>
        <v>Credit Card</v>
      </c>
      <c r="J1951" s="14" t="str">
        <f>IFERROR(__xludf.DUMMYFUNCTION("""COMPUTED_VALUE"""),"Cancelled*High Delivery Fees")</f>
        <v>Cancelled*High Delivery Fees</v>
      </c>
      <c r="K1951" s="14" t="str">
        <f>IFERROR(__xludf.DUMMYFUNCTION("split(E1951,""+"")"),"Rasmalai")</f>
        <v>Rasmalai</v>
      </c>
      <c r="L1951" s="14" t="str">
        <f>IFERROR(__xludf.DUMMYFUNCTION("""COMPUTED_VALUE"""),"5*Not Assigned")</f>
        <v>5*Not Assigned</v>
      </c>
      <c r="M1951" s="14">
        <f>IFERROR(__xludf.DUMMYFUNCTION("SPLIT(L1951,""*"")"),5.0)</f>
        <v>5</v>
      </c>
      <c r="N1951" s="14" t="str">
        <f>IFERROR(__xludf.DUMMYFUNCTION("""COMPUTED_VALUE"""),"Not Assigned")</f>
        <v>Not Assigned</v>
      </c>
      <c r="O1951" s="14" t="str">
        <f>IFERROR(__xludf.DUMMYFUNCTION("split(J1951,""*"")"),"Cancelled")</f>
        <v>Cancelled</v>
      </c>
      <c r="P1951" s="14" t="str">
        <f>IFERROR(__xludf.DUMMYFUNCTION("""COMPUTED_VALUE"""),"High Delivery Fees")</f>
        <v>High Delivery Fees</v>
      </c>
      <c r="Q1951" s="14" t="str">
        <f>IFERROR(__xludf.DUMMYFUNCTION("split(P1951,"":"")"),"High Delivery Fees")</f>
        <v>High Delivery Fees</v>
      </c>
      <c r="R1951" s="14"/>
      <c r="S1951" s="14" t="str">
        <f t="shared" ref="S1951:U1951" si="3905">trim(B1951)</f>
        <v>ord_81927</v>
      </c>
      <c r="T1951" s="14" t="str">
        <f t="shared" si="3905"/>
        <v>Aditi Iyer</v>
      </c>
      <c r="U1951" s="14" t="str">
        <f t="shared" si="3905"/>
        <v>Dadar</v>
      </c>
      <c r="V1951" s="14" t="str">
        <f t="shared" si="4"/>
        <v>Rasmalai</v>
      </c>
      <c r="W1951" s="14">
        <f t="shared" si="5"/>
        <v>5</v>
      </c>
      <c r="X1951" s="14" t="str">
        <f t="shared" si="6"/>
        <v>Not Assigned</v>
      </c>
      <c r="Y1951" s="15">
        <f t="shared" si="7"/>
        <v>45266</v>
      </c>
      <c r="Z1951" s="14" t="str">
        <f t="shared" si="8"/>
        <v>Credit Card</v>
      </c>
      <c r="AA1951" s="14" t="str">
        <f t="shared" si="9"/>
        <v>Cancelled</v>
      </c>
      <c r="AB1951" s="14" t="str">
        <f t="shared" ref="AB1951:AC1951" si="3906">trim(Q1951)</f>
        <v>High Delivery Fees</v>
      </c>
      <c r="AC1951" s="14" t="str">
        <f t="shared" si="3906"/>
        <v/>
      </c>
      <c r="AD1951" s="8"/>
    </row>
    <row r="1952">
      <c r="A1952" s="14" t="str">
        <f>IFERROR(__xludf.DUMMYFUNCTION("""COMPUTED_VALUE"""),"//ord_81928//Sakshi Tandon//Colaba//Juice+3*Manju Ajay/8/25/2023//Credit Card//Delivered*Overall Satisfaction: Great service will order again")</f>
        <v>//ord_81928//Sakshi Tandon//Colaba//Juice+3*Manju Ajay/8/25/2023//Credit Card//Delivered*Overall Satisfaction: Great service will order again</v>
      </c>
      <c r="B1952" s="14" t="str">
        <f>IFERROR(__xludf.DUMMYFUNCTION("split(A1952,""//"")"),"ord_81928")</f>
        <v>ord_81928</v>
      </c>
      <c r="C1952" s="14" t="str">
        <f>IFERROR(__xludf.DUMMYFUNCTION("""COMPUTED_VALUE"""),"Sakshi Tandon")</f>
        <v>Sakshi Tandon</v>
      </c>
      <c r="D1952" s="14" t="str">
        <f>IFERROR(__xludf.DUMMYFUNCTION("""COMPUTED_VALUE"""),"Colaba")</f>
        <v>Colaba</v>
      </c>
      <c r="E1952" s="14" t="str">
        <f>IFERROR(__xludf.DUMMYFUNCTION("""COMPUTED_VALUE"""),"Juice+3*Manju Ajay")</f>
        <v>Juice+3*Manju Ajay</v>
      </c>
      <c r="F1952" s="14">
        <f>IFERROR(__xludf.DUMMYFUNCTION("""COMPUTED_VALUE"""),8.0)</f>
        <v>8</v>
      </c>
      <c r="G1952" s="14">
        <f>IFERROR(__xludf.DUMMYFUNCTION("""COMPUTED_VALUE"""),25.0)</f>
        <v>25</v>
      </c>
      <c r="H1952" s="14">
        <f>IFERROR(__xludf.DUMMYFUNCTION("""COMPUTED_VALUE"""),2023.0)</f>
        <v>2023</v>
      </c>
      <c r="I1952" s="14" t="str">
        <f>IFERROR(__xludf.DUMMYFUNCTION("""COMPUTED_VALUE"""),"Credit Card")</f>
        <v>Credit Card</v>
      </c>
      <c r="J1952" s="14" t="str">
        <f>IFERROR(__xludf.DUMMYFUNCTION("""COMPUTED_VALUE"""),"Delivered*Overall Satisfaction: Great service will order again")</f>
        <v>Delivered*Overall Satisfaction: Great service will order again</v>
      </c>
      <c r="K1952" s="14" t="str">
        <f>IFERROR(__xludf.DUMMYFUNCTION("split(E1952,""+"")"),"Juice")</f>
        <v>Juice</v>
      </c>
      <c r="L1952" s="14" t="str">
        <f>IFERROR(__xludf.DUMMYFUNCTION("""COMPUTED_VALUE"""),"3*Manju Ajay")</f>
        <v>3*Manju Ajay</v>
      </c>
      <c r="M1952" s="14">
        <f>IFERROR(__xludf.DUMMYFUNCTION("SPLIT(L1952,""*"")"),3.0)</f>
        <v>3</v>
      </c>
      <c r="N1952" s="14" t="str">
        <f>IFERROR(__xludf.DUMMYFUNCTION("""COMPUTED_VALUE"""),"Manju Ajay")</f>
        <v>Manju Ajay</v>
      </c>
      <c r="O1952" s="14" t="str">
        <f>IFERROR(__xludf.DUMMYFUNCTION("split(J1952,""*"")"),"Delivered")</f>
        <v>Delivered</v>
      </c>
      <c r="P1952" s="14" t="str">
        <f>IFERROR(__xludf.DUMMYFUNCTION("""COMPUTED_VALUE"""),"Overall Satisfaction: Great service will order again")</f>
        <v>Overall Satisfaction: Great service will order again</v>
      </c>
      <c r="Q1952" s="14" t="str">
        <f>IFERROR(__xludf.DUMMYFUNCTION("split(P1952,"":"")"),"Overall Satisfaction")</f>
        <v>Overall Satisfaction</v>
      </c>
      <c r="R1952" s="14" t="str">
        <f>IFERROR(__xludf.DUMMYFUNCTION("""COMPUTED_VALUE""")," Great service will order again")</f>
        <v> Great service will order again</v>
      </c>
      <c r="S1952" s="14" t="str">
        <f t="shared" ref="S1952:U1952" si="3907">trim(B1952)</f>
        <v>ord_81928</v>
      </c>
      <c r="T1952" s="14" t="str">
        <f t="shared" si="3907"/>
        <v>Sakshi Tandon</v>
      </c>
      <c r="U1952" s="14" t="str">
        <f t="shared" si="3907"/>
        <v>Colaba</v>
      </c>
      <c r="V1952" s="14" t="str">
        <f t="shared" si="4"/>
        <v>Juice</v>
      </c>
      <c r="W1952" s="14">
        <f t="shared" si="5"/>
        <v>3</v>
      </c>
      <c r="X1952" s="14" t="str">
        <f t="shared" si="6"/>
        <v>Manju Ajay</v>
      </c>
      <c r="Y1952" s="15">
        <f t="shared" si="7"/>
        <v>45163</v>
      </c>
      <c r="Z1952" s="14" t="str">
        <f t="shared" si="8"/>
        <v>Credit Card</v>
      </c>
      <c r="AA1952" s="14" t="str">
        <f t="shared" si="9"/>
        <v>Delivered</v>
      </c>
      <c r="AB1952" s="14" t="str">
        <f t="shared" ref="AB1952:AC1952" si="3908">trim(Q1952)</f>
        <v>Overall Satisfaction</v>
      </c>
      <c r="AC1952" s="14" t="str">
        <f t="shared" si="3908"/>
        <v>Great service will order again</v>
      </c>
      <c r="AD1952" s="8"/>
    </row>
    <row r="1953">
      <c r="A1953" s="14" t="str">
        <f>IFERROR(__xludf.DUMMYFUNCTION("""COMPUTED_VALUE"""),"//ord_81929//Kritika Shetty//Malad//Tomato+1*Not Assigned/2/3/2023//Credit Card//Cancelled*High Delivery Fees")</f>
        <v>//ord_81929//Kritika Shetty//Malad//Tomato+1*Not Assigned/2/3/2023//Credit Card//Cancelled*High Delivery Fees</v>
      </c>
      <c r="B1953" s="14" t="str">
        <f>IFERROR(__xludf.DUMMYFUNCTION("split(A1953,""//"")"),"ord_81929")</f>
        <v>ord_81929</v>
      </c>
      <c r="C1953" s="14" t="str">
        <f>IFERROR(__xludf.DUMMYFUNCTION("""COMPUTED_VALUE"""),"Kritika Shetty")</f>
        <v>Kritika Shetty</v>
      </c>
      <c r="D1953" s="14" t="str">
        <f>IFERROR(__xludf.DUMMYFUNCTION("""COMPUTED_VALUE"""),"Malad")</f>
        <v>Malad</v>
      </c>
      <c r="E1953" s="14" t="str">
        <f>IFERROR(__xludf.DUMMYFUNCTION("""COMPUTED_VALUE"""),"Tomato+1*Not Assigned")</f>
        <v>Tomato+1*Not Assigned</v>
      </c>
      <c r="F1953" s="14">
        <f>IFERROR(__xludf.DUMMYFUNCTION("""COMPUTED_VALUE"""),2.0)</f>
        <v>2</v>
      </c>
      <c r="G1953" s="14">
        <f>IFERROR(__xludf.DUMMYFUNCTION("""COMPUTED_VALUE"""),3.0)</f>
        <v>3</v>
      </c>
      <c r="H1953" s="14">
        <f>IFERROR(__xludf.DUMMYFUNCTION("""COMPUTED_VALUE"""),2023.0)</f>
        <v>2023</v>
      </c>
      <c r="I1953" s="14" t="str">
        <f>IFERROR(__xludf.DUMMYFUNCTION("""COMPUTED_VALUE"""),"Credit Card")</f>
        <v>Credit Card</v>
      </c>
      <c r="J1953" s="14" t="str">
        <f>IFERROR(__xludf.DUMMYFUNCTION("""COMPUTED_VALUE"""),"Cancelled*High Delivery Fees")</f>
        <v>Cancelled*High Delivery Fees</v>
      </c>
      <c r="K1953" s="14" t="str">
        <f>IFERROR(__xludf.DUMMYFUNCTION("split(E1953,""+"")"),"Tomato")</f>
        <v>Tomato</v>
      </c>
      <c r="L1953" s="14" t="str">
        <f>IFERROR(__xludf.DUMMYFUNCTION("""COMPUTED_VALUE"""),"1*Not Assigned")</f>
        <v>1*Not Assigned</v>
      </c>
      <c r="M1953" s="14">
        <f>IFERROR(__xludf.DUMMYFUNCTION("SPLIT(L1953,""*"")"),1.0)</f>
        <v>1</v>
      </c>
      <c r="N1953" s="14" t="str">
        <f>IFERROR(__xludf.DUMMYFUNCTION("""COMPUTED_VALUE"""),"Not Assigned")</f>
        <v>Not Assigned</v>
      </c>
      <c r="O1953" s="14" t="str">
        <f>IFERROR(__xludf.DUMMYFUNCTION("split(J1953,""*"")"),"Cancelled")</f>
        <v>Cancelled</v>
      </c>
      <c r="P1953" s="14" t="str">
        <f>IFERROR(__xludf.DUMMYFUNCTION("""COMPUTED_VALUE"""),"High Delivery Fees")</f>
        <v>High Delivery Fees</v>
      </c>
      <c r="Q1953" s="14" t="str">
        <f>IFERROR(__xludf.DUMMYFUNCTION("split(P1953,"":"")"),"High Delivery Fees")</f>
        <v>High Delivery Fees</v>
      </c>
      <c r="R1953" s="14"/>
      <c r="S1953" s="14" t="str">
        <f t="shared" ref="S1953:U1953" si="3909">trim(B1953)</f>
        <v>ord_81929</v>
      </c>
      <c r="T1953" s="14" t="str">
        <f t="shared" si="3909"/>
        <v>Kritika Shetty</v>
      </c>
      <c r="U1953" s="14" t="str">
        <f t="shared" si="3909"/>
        <v>Malad</v>
      </c>
      <c r="V1953" s="14" t="str">
        <f t="shared" si="4"/>
        <v>Tomato</v>
      </c>
      <c r="W1953" s="14">
        <f t="shared" si="5"/>
        <v>1</v>
      </c>
      <c r="X1953" s="14" t="str">
        <f t="shared" si="6"/>
        <v>Not Assigned</v>
      </c>
      <c r="Y1953" s="15">
        <f t="shared" si="7"/>
        <v>44960</v>
      </c>
      <c r="Z1953" s="14" t="str">
        <f t="shared" si="8"/>
        <v>Credit Card</v>
      </c>
      <c r="AA1953" s="14" t="str">
        <f t="shared" si="9"/>
        <v>Cancelled</v>
      </c>
      <c r="AB1953" s="14" t="str">
        <f t="shared" ref="AB1953:AC1953" si="3910">trim(Q1953)</f>
        <v>High Delivery Fees</v>
      </c>
      <c r="AC1953" s="14" t="str">
        <f t="shared" si="3910"/>
        <v/>
      </c>
      <c r="AD1953" s="8"/>
    </row>
    <row r="1954">
      <c r="A1954" s="14" t="str">
        <f>IFERROR(__xludf.DUMMYFUNCTION("""COMPUTED_VALUE"""),"//ord_81930//Dev Chauhan//Bandra//Potato+1*Shine Thomas/7/19/2023//UPI//Delivered*On-time Delivery: Delivered on time")</f>
        <v>//ord_81930//Dev Chauhan//Bandra//Potato+1*Shine Thomas/7/19/2023//UPI//Delivered*On-time Delivery: Delivered on time</v>
      </c>
      <c r="B1954" s="14" t="str">
        <f>IFERROR(__xludf.DUMMYFUNCTION("split(A1954,""//"")"),"ord_81930")</f>
        <v>ord_81930</v>
      </c>
      <c r="C1954" s="14" t="str">
        <f>IFERROR(__xludf.DUMMYFUNCTION("""COMPUTED_VALUE"""),"Dev Chauhan")</f>
        <v>Dev Chauhan</v>
      </c>
      <c r="D1954" s="14" t="str">
        <f>IFERROR(__xludf.DUMMYFUNCTION("""COMPUTED_VALUE"""),"Bandra")</f>
        <v>Bandra</v>
      </c>
      <c r="E1954" s="14" t="str">
        <f>IFERROR(__xludf.DUMMYFUNCTION("""COMPUTED_VALUE"""),"Potato+1*Shine Thomas")</f>
        <v>Potato+1*Shine Thomas</v>
      </c>
      <c r="F1954" s="14">
        <f>IFERROR(__xludf.DUMMYFUNCTION("""COMPUTED_VALUE"""),7.0)</f>
        <v>7</v>
      </c>
      <c r="G1954" s="14">
        <f>IFERROR(__xludf.DUMMYFUNCTION("""COMPUTED_VALUE"""),19.0)</f>
        <v>19</v>
      </c>
      <c r="H1954" s="14">
        <f>IFERROR(__xludf.DUMMYFUNCTION("""COMPUTED_VALUE"""),2023.0)</f>
        <v>2023</v>
      </c>
      <c r="I1954" s="14" t="str">
        <f>IFERROR(__xludf.DUMMYFUNCTION("""COMPUTED_VALUE"""),"UPI")</f>
        <v>UPI</v>
      </c>
      <c r="J1954" s="14" t="str">
        <f>IFERROR(__xludf.DUMMYFUNCTION("""COMPUTED_VALUE"""),"Delivered*On-time Delivery: Delivered on time")</f>
        <v>Delivered*On-time Delivery: Delivered on time</v>
      </c>
      <c r="K1954" s="14" t="str">
        <f>IFERROR(__xludf.DUMMYFUNCTION("split(E1954,""+"")"),"Potato")</f>
        <v>Potato</v>
      </c>
      <c r="L1954" s="14" t="str">
        <f>IFERROR(__xludf.DUMMYFUNCTION("""COMPUTED_VALUE"""),"1*Shine Thomas")</f>
        <v>1*Shine Thomas</v>
      </c>
      <c r="M1954" s="14">
        <f>IFERROR(__xludf.DUMMYFUNCTION("SPLIT(L1954,""*"")"),1.0)</f>
        <v>1</v>
      </c>
      <c r="N1954" s="14" t="str">
        <f>IFERROR(__xludf.DUMMYFUNCTION("""COMPUTED_VALUE"""),"Shine Thomas")</f>
        <v>Shine Thomas</v>
      </c>
      <c r="O1954" s="14" t="str">
        <f>IFERROR(__xludf.DUMMYFUNCTION("split(J1954,""*"")"),"Delivered")</f>
        <v>Delivered</v>
      </c>
      <c r="P1954" s="14" t="str">
        <f>IFERROR(__xludf.DUMMYFUNCTION("""COMPUTED_VALUE"""),"On-time Delivery: Delivered on time")</f>
        <v>On-time Delivery: Delivered on time</v>
      </c>
      <c r="Q1954" s="14" t="str">
        <f>IFERROR(__xludf.DUMMYFUNCTION("split(P1954,"":"")"),"On-time Delivery")</f>
        <v>On-time Delivery</v>
      </c>
      <c r="R1954" s="14" t="str">
        <f>IFERROR(__xludf.DUMMYFUNCTION("""COMPUTED_VALUE""")," Delivered on time")</f>
        <v> Delivered on time</v>
      </c>
      <c r="S1954" s="14" t="str">
        <f t="shared" ref="S1954:U1954" si="3911">trim(B1954)</f>
        <v>ord_81930</v>
      </c>
      <c r="T1954" s="14" t="str">
        <f t="shared" si="3911"/>
        <v>Dev Chauhan</v>
      </c>
      <c r="U1954" s="14" t="str">
        <f t="shared" si="3911"/>
        <v>Bandra</v>
      </c>
      <c r="V1954" s="14" t="str">
        <f t="shared" si="4"/>
        <v>Potato</v>
      </c>
      <c r="W1954" s="14">
        <f t="shared" si="5"/>
        <v>1</v>
      </c>
      <c r="X1954" s="14" t="str">
        <f t="shared" si="6"/>
        <v>Shine Thomas</v>
      </c>
      <c r="Y1954" s="15">
        <f t="shared" si="7"/>
        <v>45126</v>
      </c>
      <c r="Z1954" s="14" t="str">
        <f t="shared" si="8"/>
        <v>UPI</v>
      </c>
      <c r="AA1954" s="14" t="str">
        <f t="shared" si="9"/>
        <v>Delivered</v>
      </c>
      <c r="AB1954" s="14" t="str">
        <f t="shared" ref="AB1954:AC1954" si="3912">trim(Q1954)</f>
        <v>On-time Delivery</v>
      </c>
      <c r="AC1954" s="14" t="str">
        <f t="shared" si="3912"/>
        <v>Delivered on time</v>
      </c>
      <c r="AD1954" s="8"/>
    </row>
    <row r="1955">
      <c r="A1955" s="14" t="str">
        <f>IFERROR(__xludf.DUMMYFUNCTION("""COMPUTED_VALUE"""),"//ord_81931//Ritika Dutta//Lower Parel//Icecream+7*Vivek Kumar/8/19/2023//UPI//Delivered*Quality of Items: Perfect condition")</f>
        <v>//ord_81931//Ritika Dutta//Lower Parel//Icecream+7*Vivek Kumar/8/19/2023//UPI//Delivered*Quality of Items: Perfect condition</v>
      </c>
      <c r="B1955" s="14" t="str">
        <f>IFERROR(__xludf.DUMMYFUNCTION("split(A1955,""//"")"),"ord_81931")</f>
        <v>ord_81931</v>
      </c>
      <c r="C1955" s="14" t="str">
        <f>IFERROR(__xludf.DUMMYFUNCTION("""COMPUTED_VALUE"""),"Ritika Dutta")</f>
        <v>Ritika Dutta</v>
      </c>
      <c r="D1955" s="14" t="str">
        <f>IFERROR(__xludf.DUMMYFUNCTION("""COMPUTED_VALUE"""),"Lower Parel")</f>
        <v>Lower Parel</v>
      </c>
      <c r="E1955" s="14" t="str">
        <f>IFERROR(__xludf.DUMMYFUNCTION("""COMPUTED_VALUE"""),"Icecream+7*Vivek Kumar")</f>
        <v>Icecream+7*Vivek Kumar</v>
      </c>
      <c r="F1955" s="14">
        <f>IFERROR(__xludf.DUMMYFUNCTION("""COMPUTED_VALUE"""),8.0)</f>
        <v>8</v>
      </c>
      <c r="G1955" s="14">
        <f>IFERROR(__xludf.DUMMYFUNCTION("""COMPUTED_VALUE"""),19.0)</f>
        <v>19</v>
      </c>
      <c r="H1955" s="14">
        <f>IFERROR(__xludf.DUMMYFUNCTION("""COMPUTED_VALUE"""),2023.0)</f>
        <v>2023</v>
      </c>
      <c r="I1955" s="14" t="str">
        <f>IFERROR(__xludf.DUMMYFUNCTION("""COMPUTED_VALUE"""),"UPI")</f>
        <v>UPI</v>
      </c>
      <c r="J1955" s="14" t="str">
        <f>IFERROR(__xludf.DUMMYFUNCTION("""COMPUTED_VALUE"""),"Delivered*Quality of Items: Perfect condition")</f>
        <v>Delivered*Quality of Items: Perfect condition</v>
      </c>
      <c r="K1955" s="14" t="str">
        <f>IFERROR(__xludf.DUMMYFUNCTION("split(E1955,""+"")"),"Icecream")</f>
        <v>Icecream</v>
      </c>
      <c r="L1955" s="14" t="str">
        <f>IFERROR(__xludf.DUMMYFUNCTION("""COMPUTED_VALUE"""),"7*Vivek Kumar")</f>
        <v>7*Vivek Kumar</v>
      </c>
      <c r="M1955" s="14">
        <f>IFERROR(__xludf.DUMMYFUNCTION("SPLIT(L1955,""*"")"),7.0)</f>
        <v>7</v>
      </c>
      <c r="N1955" s="14" t="str">
        <f>IFERROR(__xludf.DUMMYFUNCTION("""COMPUTED_VALUE"""),"Vivek Kumar")</f>
        <v>Vivek Kumar</v>
      </c>
      <c r="O1955" s="14" t="str">
        <f>IFERROR(__xludf.DUMMYFUNCTION("split(J1955,""*"")"),"Delivered")</f>
        <v>Delivered</v>
      </c>
      <c r="P1955" s="14" t="str">
        <f>IFERROR(__xludf.DUMMYFUNCTION("""COMPUTED_VALUE"""),"Quality of Items: Perfect condition")</f>
        <v>Quality of Items: Perfect condition</v>
      </c>
      <c r="Q1955" s="14" t="str">
        <f>IFERROR(__xludf.DUMMYFUNCTION("split(P1955,"":"")"),"Quality of Items")</f>
        <v>Quality of Items</v>
      </c>
      <c r="R1955" s="14" t="str">
        <f>IFERROR(__xludf.DUMMYFUNCTION("""COMPUTED_VALUE""")," Perfect condition")</f>
        <v> Perfect condition</v>
      </c>
      <c r="S1955" s="14" t="str">
        <f t="shared" ref="S1955:U1955" si="3913">trim(B1955)</f>
        <v>ord_81931</v>
      </c>
      <c r="T1955" s="14" t="str">
        <f t="shared" si="3913"/>
        <v>Ritika Dutta</v>
      </c>
      <c r="U1955" s="14" t="str">
        <f t="shared" si="3913"/>
        <v>Lower Parel</v>
      </c>
      <c r="V1955" s="14" t="str">
        <f t="shared" si="4"/>
        <v>Icecream</v>
      </c>
      <c r="W1955" s="14">
        <f t="shared" si="5"/>
        <v>7</v>
      </c>
      <c r="X1955" s="14" t="str">
        <f t="shared" si="6"/>
        <v>Vivek Kumar</v>
      </c>
      <c r="Y1955" s="15">
        <f t="shared" si="7"/>
        <v>45157</v>
      </c>
      <c r="Z1955" s="14" t="str">
        <f t="shared" si="8"/>
        <v>UPI</v>
      </c>
      <c r="AA1955" s="14" t="str">
        <f t="shared" si="9"/>
        <v>Delivered</v>
      </c>
      <c r="AB1955" s="14" t="str">
        <f t="shared" ref="AB1955:AC1955" si="3914">trim(Q1955)</f>
        <v>Quality of Items</v>
      </c>
      <c r="AC1955" s="14" t="str">
        <f t="shared" si="3914"/>
        <v>Perfect condition</v>
      </c>
      <c r="AD1955" s="8"/>
    </row>
    <row r="1956">
      <c r="A1956" s="14" t="str">
        <f>IFERROR(__xludf.DUMMYFUNCTION("""COMPUTED_VALUE"""),"//ord_81932//Anaya Rao//Colaba//Onion+2*Ram Gopal/12/22/2023//UPI//Delivered*On-time Delivery: Delivered on time")</f>
        <v>//ord_81932//Anaya Rao//Colaba//Onion+2*Ram Gopal/12/22/2023//UPI//Delivered*On-time Delivery: Delivered on time</v>
      </c>
      <c r="B1956" s="14" t="str">
        <f>IFERROR(__xludf.DUMMYFUNCTION("split(A1956,""//"")"),"ord_81932")</f>
        <v>ord_81932</v>
      </c>
      <c r="C1956" s="14" t="str">
        <f>IFERROR(__xludf.DUMMYFUNCTION("""COMPUTED_VALUE"""),"Anaya Rao")</f>
        <v>Anaya Rao</v>
      </c>
      <c r="D1956" s="14" t="str">
        <f>IFERROR(__xludf.DUMMYFUNCTION("""COMPUTED_VALUE"""),"Colaba")</f>
        <v>Colaba</v>
      </c>
      <c r="E1956" s="14" t="str">
        <f>IFERROR(__xludf.DUMMYFUNCTION("""COMPUTED_VALUE"""),"Onion+2*Ram Gopal")</f>
        <v>Onion+2*Ram Gopal</v>
      </c>
      <c r="F1956" s="14">
        <f>IFERROR(__xludf.DUMMYFUNCTION("""COMPUTED_VALUE"""),12.0)</f>
        <v>12</v>
      </c>
      <c r="G1956" s="14">
        <f>IFERROR(__xludf.DUMMYFUNCTION("""COMPUTED_VALUE"""),22.0)</f>
        <v>22</v>
      </c>
      <c r="H1956" s="14">
        <f>IFERROR(__xludf.DUMMYFUNCTION("""COMPUTED_VALUE"""),2023.0)</f>
        <v>2023</v>
      </c>
      <c r="I1956" s="14" t="str">
        <f>IFERROR(__xludf.DUMMYFUNCTION("""COMPUTED_VALUE"""),"UPI")</f>
        <v>UPI</v>
      </c>
      <c r="J1956" s="14" t="str">
        <f>IFERROR(__xludf.DUMMYFUNCTION("""COMPUTED_VALUE"""),"Delivered*On-time Delivery: Delivered on time")</f>
        <v>Delivered*On-time Delivery: Delivered on time</v>
      </c>
      <c r="K1956" s="14" t="str">
        <f>IFERROR(__xludf.DUMMYFUNCTION("split(E1956,""+"")"),"Onion")</f>
        <v>Onion</v>
      </c>
      <c r="L1956" s="14" t="str">
        <f>IFERROR(__xludf.DUMMYFUNCTION("""COMPUTED_VALUE"""),"2*Ram Gopal")</f>
        <v>2*Ram Gopal</v>
      </c>
      <c r="M1956" s="14">
        <f>IFERROR(__xludf.DUMMYFUNCTION("SPLIT(L1956,""*"")"),2.0)</f>
        <v>2</v>
      </c>
      <c r="N1956" s="14" t="str">
        <f>IFERROR(__xludf.DUMMYFUNCTION("""COMPUTED_VALUE"""),"Ram Gopal")</f>
        <v>Ram Gopal</v>
      </c>
      <c r="O1956" s="14" t="str">
        <f>IFERROR(__xludf.DUMMYFUNCTION("split(J1956,""*"")"),"Delivered")</f>
        <v>Delivered</v>
      </c>
      <c r="P1956" s="14" t="str">
        <f>IFERROR(__xludf.DUMMYFUNCTION("""COMPUTED_VALUE"""),"On-time Delivery: Delivered on time")</f>
        <v>On-time Delivery: Delivered on time</v>
      </c>
      <c r="Q1956" s="14" t="str">
        <f>IFERROR(__xludf.DUMMYFUNCTION("split(P1956,"":"")"),"On-time Delivery")</f>
        <v>On-time Delivery</v>
      </c>
      <c r="R1956" s="14" t="str">
        <f>IFERROR(__xludf.DUMMYFUNCTION("""COMPUTED_VALUE""")," Delivered on time")</f>
        <v> Delivered on time</v>
      </c>
      <c r="S1956" s="14" t="str">
        <f t="shared" ref="S1956:U1956" si="3915">trim(B1956)</f>
        <v>ord_81932</v>
      </c>
      <c r="T1956" s="14" t="str">
        <f t="shared" si="3915"/>
        <v>Anaya Rao</v>
      </c>
      <c r="U1956" s="14" t="str">
        <f t="shared" si="3915"/>
        <v>Colaba</v>
      </c>
      <c r="V1956" s="14" t="str">
        <f t="shared" si="4"/>
        <v>Onion</v>
      </c>
      <c r="W1956" s="14">
        <f t="shared" si="5"/>
        <v>2</v>
      </c>
      <c r="X1956" s="14" t="str">
        <f t="shared" si="6"/>
        <v>Ram Gopal</v>
      </c>
      <c r="Y1956" s="15">
        <f t="shared" si="7"/>
        <v>45282</v>
      </c>
      <c r="Z1956" s="14" t="str">
        <f t="shared" si="8"/>
        <v>UPI</v>
      </c>
      <c r="AA1956" s="14" t="str">
        <f t="shared" si="9"/>
        <v>Delivered</v>
      </c>
      <c r="AB1956" s="14" t="str">
        <f t="shared" ref="AB1956:AC1956" si="3916">trim(Q1956)</f>
        <v>On-time Delivery</v>
      </c>
      <c r="AC1956" s="14" t="str">
        <f t="shared" si="3916"/>
        <v>Delivered on time</v>
      </c>
      <c r="AD1956" s="8"/>
    </row>
    <row r="1957">
      <c r="A1957" s="14" t="str">
        <f>IFERROR(__xludf.DUMMYFUNCTION("""COMPUTED_VALUE"""),"//ord_81933//Aarohi Kapoor//Bandra//Juice+1*Nithin Lal/7/8/2023//UPI//Delivered*Quality of Items: Perfect condition")</f>
        <v>//ord_81933//Aarohi Kapoor//Bandra//Juice+1*Nithin Lal/7/8/2023//UPI//Delivered*Quality of Items: Perfect condition</v>
      </c>
      <c r="B1957" s="14" t="str">
        <f>IFERROR(__xludf.DUMMYFUNCTION("split(A1957,""//"")"),"ord_81933")</f>
        <v>ord_81933</v>
      </c>
      <c r="C1957" s="14" t="str">
        <f>IFERROR(__xludf.DUMMYFUNCTION("""COMPUTED_VALUE"""),"Aarohi Kapoor")</f>
        <v>Aarohi Kapoor</v>
      </c>
      <c r="D1957" s="14" t="str">
        <f>IFERROR(__xludf.DUMMYFUNCTION("""COMPUTED_VALUE"""),"Bandra")</f>
        <v>Bandra</v>
      </c>
      <c r="E1957" s="14" t="str">
        <f>IFERROR(__xludf.DUMMYFUNCTION("""COMPUTED_VALUE"""),"Juice+1*Nithin Lal")</f>
        <v>Juice+1*Nithin Lal</v>
      </c>
      <c r="F1957" s="14">
        <f>IFERROR(__xludf.DUMMYFUNCTION("""COMPUTED_VALUE"""),7.0)</f>
        <v>7</v>
      </c>
      <c r="G1957" s="14">
        <f>IFERROR(__xludf.DUMMYFUNCTION("""COMPUTED_VALUE"""),8.0)</f>
        <v>8</v>
      </c>
      <c r="H1957" s="14">
        <f>IFERROR(__xludf.DUMMYFUNCTION("""COMPUTED_VALUE"""),2023.0)</f>
        <v>2023</v>
      </c>
      <c r="I1957" s="14" t="str">
        <f>IFERROR(__xludf.DUMMYFUNCTION("""COMPUTED_VALUE"""),"UPI")</f>
        <v>UPI</v>
      </c>
      <c r="J1957" s="14" t="str">
        <f>IFERROR(__xludf.DUMMYFUNCTION("""COMPUTED_VALUE"""),"Delivered*Quality of Items: Perfect condition")</f>
        <v>Delivered*Quality of Items: Perfect condition</v>
      </c>
      <c r="K1957" s="14" t="str">
        <f>IFERROR(__xludf.DUMMYFUNCTION("split(E1957,""+"")"),"Juice")</f>
        <v>Juice</v>
      </c>
      <c r="L1957" s="14" t="str">
        <f>IFERROR(__xludf.DUMMYFUNCTION("""COMPUTED_VALUE"""),"1*Nithin Lal")</f>
        <v>1*Nithin Lal</v>
      </c>
      <c r="M1957" s="14">
        <f>IFERROR(__xludf.DUMMYFUNCTION("SPLIT(L1957,""*"")"),1.0)</f>
        <v>1</v>
      </c>
      <c r="N1957" s="14" t="str">
        <f>IFERROR(__xludf.DUMMYFUNCTION("""COMPUTED_VALUE"""),"Nithin Lal")</f>
        <v>Nithin Lal</v>
      </c>
      <c r="O1957" s="14" t="str">
        <f>IFERROR(__xludf.DUMMYFUNCTION("split(J1957,""*"")"),"Delivered")</f>
        <v>Delivered</v>
      </c>
      <c r="P1957" s="14" t="str">
        <f>IFERROR(__xludf.DUMMYFUNCTION("""COMPUTED_VALUE"""),"Quality of Items: Perfect condition")</f>
        <v>Quality of Items: Perfect condition</v>
      </c>
      <c r="Q1957" s="14" t="str">
        <f>IFERROR(__xludf.DUMMYFUNCTION("split(P1957,"":"")"),"Quality of Items")</f>
        <v>Quality of Items</v>
      </c>
      <c r="R1957" s="14" t="str">
        <f>IFERROR(__xludf.DUMMYFUNCTION("""COMPUTED_VALUE""")," Perfect condition")</f>
        <v> Perfect condition</v>
      </c>
      <c r="S1957" s="14" t="str">
        <f t="shared" ref="S1957:U1957" si="3917">trim(B1957)</f>
        <v>ord_81933</v>
      </c>
      <c r="T1957" s="14" t="str">
        <f t="shared" si="3917"/>
        <v>Aarohi Kapoor</v>
      </c>
      <c r="U1957" s="14" t="str">
        <f t="shared" si="3917"/>
        <v>Bandra</v>
      </c>
      <c r="V1957" s="14" t="str">
        <f t="shared" si="4"/>
        <v>Juice</v>
      </c>
      <c r="W1957" s="14">
        <f t="shared" si="5"/>
        <v>1</v>
      </c>
      <c r="X1957" s="14" t="str">
        <f t="shared" si="6"/>
        <v>Nithin Lal</v>
      </c>
      <c r="Y1957" s="15">
        <f t="shared" si="7"/>
        <v>45115</v>
      </c>
      <c r="Z1957" s="14" t="str">
        <f t="shared" si="8"/>
        <v>UPI</v>
      </c>
      <c r="AA1957" s="14" t="str">
        <f t="shared" si="9"/>
        <v>Delivered</v>
      </c>
      <c r="AB1957" s="14" t="str">
        <f t="shared" ref="AB1957:AC1957" si="3918">trim(Q1957)</f>
        <v>Quality of Items</v>
      </c>
      <c r="AC1957" s="14" t="str">
        <f t="shared" si="3918"/>
        <v>Perfect condition</v>
      </c>
      <c r="AD1957" s="8"/>
    </row>
    <row r="1958">
      <c r="A1958" s="14" t="str">
        <f>IFERROR(__xludf.DUMMYFUNCTION("""COMPUTED_VALUE"""),"//ord_81934//Diya Arora//Lower Parel//Cucumber+2*Not Assigned/10/7/2023//Credit Card//Cancelled*Out of Stock")</f>
        <v>//ord_81934//Diya Arora//Lower Parel//Cucumber+2*Not Assigned/10/7/2023//Credit Card//Cancelled*Out of Stock</v>
      </c>
      <c r="B1958" s="14" t="str">
        <f>IFERROR(__xludf.DUMMYFUNCTION("split(A1958,""//"")"),"ord_81934")</f>
        <v>ord_81934</v>
      </c>
      <c r="C1958" s="14" t="str">
        <f>IFERROR(__xludf.DUMMYFUNCTION("""COMPUTED_VALUE"""),"Diya Arora")</f>
        <v>Diya Arora</v>
      </c>
      <c r="D1958" s="14" t="str">
        <f>IFERROR(__xludf.DUMMYFUNCTION("""COMPUTED_VALUE"""),"Lower Parel")</f>
        <v>Lower Parel</v>
      </c>
      <c r="E1958" s="14" t="str">
        <f>IFERROR(__xludf.DUMMYFUNCTION("""COMPUTED_VALUE"""),"Cucumber+2*Not Assigned")</f>
        <v>Cucumber+2*Not Assigned</v>
      </c>
      <c r="F1958" s="14">
        <f>IFERROR(__xludf.DUMMYFUNCTION("""COMPUTED_VALUE"""),10.0)</f>
        <v>10</v>
      </c>
      <c r="G1958" s="14">
        <f>IFERROR(__xludf.DUMMYFUNCTION("""COMPUTED_VALUE"""),7.0)</f>
        <v>7</v>
      </c>
      <c r="H1958" s="14">
        <f>IFERROR(__xludf.DUMMYFUNCTION("""COMPUTED_VALUE"""),2023.0)</f>
        <v>2023</v>
      </c>
      <c r="I1958" s="14" t="str">
        <f>IFERROR(__xludf.DUMMYFUNCTION("""COMPUTED_VALUE"""),"Credit Card")</f>
        <v>Credit Card</v>
      </c>
      <c r="J1958" s="14" t="str">
        <f>IFERROR(__xludf.DUMMYFUNCTION("""COMPUTED_VALUE"""),"Cancelled*Out of Stock")</f>
        <v>Cancelled*Out of Stock</v>
      </c>
      <c r="K1958" s="14" t="str">
        <f>IFERROR(__xludf.DUMMYFUNCTION("split(E1958,""+"")"),"Cucumber")</f>
        <v>Cucumber</v>
      </c>
      <c r="L1958" s="14" t="str">
        <f>IFERROR(__xludf.DUMMYFUNCTION("""COMPUTED_VALUE"""),"2*Not Assigned")</f>
        <v>2*Not Assigned</v>
      </c>
      <c r="M1958" s="14">
        <f>IFERROR(__xludf.DUMMYFUNCTION("SPLIT(L1958,""*"")"),2.0)</f>
        <v>2</v>
      </c>
      <c r="N1958" s="14" t="str">
        <f>IFERROR(__xludf.DUMMYFUNCTION("""COMPUTED_VALUE"""),"Not Assigned")</f>
        <v>Not Assigned</v>
      </c>
      <c r="O1958" s="14" t="str">
        <f>IFERROR(__xludf.DUMMYFUNCTION("split(J1958,""*"")"),"Cancelled")</f>
        <v>Cancelled</v>
      </c>
      <c r="P1958" s="14" t="str">
        <f>IFERROR(__xludf.DUMMYFUNCTION("""COMPUTED_VALUE"""),"Out of Stock")</f>
        <v>Out of Stock</v>
      </c>
      <c r="Q1958" s="14" t="str">
        <f>IFERROR(__xludf.DUMMYFUNCTION("split(P1958,"":"")"),"Out of Stock")</f>
        <v>Out of Stock</v>
      </c>
      <c r="R1958" s="14"/>
      <c r="S1958" s="14" t="str">
        <f t="shared" ref="S1958:U1958" si="3919">trim(B1958)</f>
        <v>ord_81934</v>
      </c>
      <c r="T1958" s="14" t="str">
        <f t="shared" si="3919"/>
        <v>Diya Arora</v>
      </c>
      <c r="U1958" s="14" t="str">
        <f t="shared" si="3919"/>
        <v>Lower Parel</v>
      </c>
      <c r="V1958" s="14" t="str">
        <f t="shared" si="4"/>
        <v>Cucumber</v>
      </c>
      <c r="W1958" s="14">
        <f t="shared" si="5"/>
        <v>2</v>
      </c>
      <c r="X1958" s="14" t="str">
        <f t="shared" si="6"/>
        <v>Not Assigned</v>
      </c>
      <c r="Y1958" s="15">
        <f t="shared" si="7"/>
        <v>45206</v>
      </c>
      <c r="Z1958" s="14" t="str">
        <f t="shared" si="8"/>
        <v>Credit Card</v>
      </c>
      <c r="AA1958" s="14" t="str">
        <f t="shared" si="9"/>
        <v>Cancelled</v>
      </c>
      <c r="AB1958" s="14" t="str">
        <f t="shared" ref="AB1958:AC1958" si="3920">trim(Q1958)</f>
        <v>Out of Stock</v>
      </c>
      <c r="AC1958" s="14" t="str">
        <f t="shared" si="3920"/>
        <v/>
      </c>
      <c r="AD1958" s="8"/>
    </row>
    <row r="1959">
      <c r="A1959" s="14" t="str">
        <f>IFERROR(__xludf.DUMMYFUNCTION("""COMPUTED_VALUE"""),"//ord_81935//Siya Reddy//Juhu//Cucumber+1*Not Assigned/10/12/2023//UPI//Cancelled*High Delivery Fees")</f>
        <v>//ord_81935//Siya Reddy//Juhu//Cucumber+1*Not Assigned/10/12/2023//UPI//Cancelled*High Delivery Fees</v>
      </c>
      <c r="B1959" s="14" t="str">
        <f>IFERROR(__xludf.DUMMYFUNCTION("split(A1959,""//"")"),"ord_81935")</f>
        <v>ord_81935</v>
      </c>
      <c r="C1959" s="14" t="str">
        <f>IFERROR(__xludf.DUMMYFUNCTION("""COMPUTED_VALUE"""),"Siya Reddy")</f>
        <v>Siya Reddy</v>
      </c>
      <c r="D1959" s="14" t="str">
        <f>IFERROR(__xludf.DUMMYFUNCTION("""COMPUTED_VALUE"""),"Juhu")</f>
        <v>Juhu</v>
      </c>
      <c r="E1959" s="14" t="str">
        <f>IFERROR(__xludf.DUMMYFUNCTION("""COMPUTED_VALUE"""),"Cucumber+1*Not Assigned")</f>
        <v>Cucumber+1*Not Assigned</v>
      </c>
      <c r="F1959" s="14">
        <f>IFERROR(__xludf.DUMMYFUNCTION("""COMPUTED_VALUE"""),10.0)</f>
        <v>10</v>
      </c>
      <c r="G1959" s="14">
        <f>IFERROR(__xludf.DUMMYFUNCTION("""COMPUTED_VALUE"""),12.0)</f>
        <v>12</v>
      </c>
      <c r="H1959" s="14">
        <f>IFERROR(__xludf.DUMMYFUNCTION("""COMPUTED_VALUE"""),2023.0)</f>
        <v>2023</v>
      </c>
      <c r="I1959" s="14" t="str">
        <f>IFERROR(__xludf.DUMMYFUNCTION("""COMPUTED_VALUE"""),"UPI")</f>
        <v>UPI</v>
      </c>
      <c r="J1959" s="14" t="str">
        <f>IFERROR(__xludf.DUMMYFUNCTION("""COMPUTED_VALUE"""),"Cancelled*High Delivery Fees")</f>
        <v>Cancelled*High Delivery Fees</v>
      </c>
      <c r="K1959" s="14" t="str">
        <f>IFERROR(__xludf.DUMMYFUNCTION("split(E1959,""+"")"),"Cucumber")</f>
        <v>Cucumber</v>
      </c>
      <c r="L1959" s="14" t="str">
        <f>IFERROR(__xludf.DUMMYFUNCTION("""COMPUTED_VALUE"""),"1*Not Assigned")</f>
        <v>1*Not Assigned</v>
      </c>
      <c r="M1959" s="14">
        <f>IFERROR(__xludf.DUMMYFUNCTION("SPLIT(L1959,""*"")"),1.0)</f>
        <v>1</v>
      </c>
      <c r="N1959" s="14" t="str">
        <f>IFERROR(__xludf.DUMMYFUNCTION("""COMPUTED_VALUE"""),"Not Assigned")</f>
        <v>Not Assigned</v>
      </c>
      <c r="O1959" s="14" t="str">
        <f>IFERROR(__xludf.DUMMYFUNCTION("split(J1959,""*"")"),"Cancelled")</f>
        <v>Cancelled</v>
      </c>
      <c r="P1959" s="14" t="str">
        <f>IFERROR(__xludf.DUMMYFUNCTION("""COMPUTED_VALUE"""),"High Delivery Fees")</f>
        <v>High Delivery Fees</v>
      </c>
      <c r="Q1959" s="14" t="str">
        <f>IFERROR(__xludf.DUMMYFUNCTION("split(P1959,"":"")"),"High Delivery Fees")</f>
        <v>High Delivery Fees</v>
      </c>
      <c r="R1959" s="14"/>
      <c r="S1959" s="14" t="str">
        <f t="shared" ref="S1959:U1959" si="3921">trim(B1959)</f>
        <v>ord_81935</v>
      </c>
      <c r="T1959" s="14" t="str">
        <f t="shared" si="3921"/>
        <v>Siya Reddy</v>
      </c>
      <c r="U1959" s="14" t="str">
        <f t="shared" si="3921"/>
        <v>Juhu</v>
      </c>
      <c r="V1959" s="14" t="str">
        <f t="shared" si="4"/>
        <v>Cucumber</v>
      </c>
      <c r="W1959" s="14">
        <f t="shared" si="5"/>
        <v>1</v>
      </c>
      <c r="X1959" s="14" t="str">
        <f t="shared" si="6"/>
        <v>Not Assigned</v>
      </c>
      <c r="Y1959" s="15">
        <f t="shared" si="7"/>
        <v>45211</v>
      </c>
      <c r="Z1959" s="14" t="str">
        <f t="shared" si="8"/>
        <v>UPI</v>
      </c>
      <c r="AA1959" s="14" t="str">
        <f t="shared" si="9"/>
        <v>Cancelled</v>
      </c>
      <c r="AB1959" s="14" t="str">
        <f t="shared" ref="AB1959:AC1959" si="3922">trim(Q1959)</f>
        <v>High Delivery Fees</v>
      </c>
      <c r="AC1959" s="14" t="str">
        <f t="shared" si="3922"/>
        <v/>
      </c>
      <c r="AD1959" s="8"/>
    </row>
    <row r="1960">
      <c r="A1960" s="14" t="str">
        <f>IFERROR(__xludf.DUMMYFUNCTION("""COMPUTED_VALUE"""),"//ord_81936//Sanjay Nair//Dadar//Rasmalai+3*Not Assigned/9/18/2023//Online Payment//Cancelled*Payment Issues")</f>
        <v>//ord_81936//Sanjay Nair//Dadar//Rasmalai+3*Not Assigned/9/18/2023//Online Payment//Cancelled*Payment Issues</v>
      </c>
      <c r="B1960" s="14" t="str">
        <f>IFERROR(__xludf.DUMMYFUNCTION("split(A1960,""//"")"),"ord_81936")</f>
        <v>ord_81936</v>
      </c>
      <c r="C1960" s="14" t="str">
        <f>IFERROR(__xludf.DUMMYFUNCTION("""COMPUTED_VALUE"""),"Sanjay Nair")</f>
        <v>Sanjay Nair</v>
      </c>
      <c r="D1960" s="14" t="str">
        <f>IFERROR(__xludf.DUMMYFUNCTION("""COMPUTED_VALUE"""),"Dadar")</f>
        <v>Dadar</v>
      </c>
      <c r="E1960" s="14" t="str">
        <f>IFERROR(__xludf.DUMMYFUNCTION("""COMPUTED_VALUE"""),"Rasmalai+3*Not Assigned")</f>
        <v>Rasmalai+3*Not Assigned</v>
      </c>
      <c r="F1960" s="14">
        <f>IFERROR(__xludf.DUMMYFUNCTION("""COMPUTED_VALUE"""),9.0)</f>
        <v>9</v>
      </c>
      <c r="G1960" s="14">
        <f>IFERROR(__xludf.DUMMYFUNCTION("""COMPUTED_VALUE"""),18.0)</f>
        <v>18</v>
      </c>
      <c r="H1960" s="14">
        <f>IFERROR(__xludf.DUMMYFUNCTION("""COMPUTED_VALUE"""),2023.0)</f>
        <v>2023</v>
      </c>
      <c r="I1960" s="14" t="str">
        <f>IFERROR(__xludf.DUMMYFUNCTION("""COMPUTED_VALUE"""),"Online Payment")</f>
        <v>Online Payment</v>
      </c>
      <c r="J1960" s="14" t="str">
        <f>IFERROR(__xludf.DUMMYFUNCTION("""COMPUTED_VALUE"""),"Cancelled*Payment Issues")</f>
        <v>Cancelled*Payment Issues</v>
      </c>
      <c r="K1960" s="14" t="str">
        <f>IFERROR(__xludf.DUMMYFUNCTION("split(E1960,""+"")"),"Rasmalai")</f>
        <v>Rasmalai</v>
      </c>
      <c r="L1960" s="14" t="str">
        <f>IFERROR(__xludf.DUMMYFUNCTION("""COMPUTED_VALUE"""),"3*Not Assigned")</f>
        <v>3*Not Assigned</v>
      </c>
      <c r="M1960" s="14">
        <f>IFERROR(__xludf.DUMMYFUNCTION("SPLIT(L1960,""*"")"),3.0)</f>
        <v>3</v>
      </c>
      <c r="N1960" s="14" t="str">
        <f>IFERROR(__xludf.DUMMYFUNCTION("""COMPUTED_VALUE"""),"Not Assigned")</f>
        <v>Not Assigned</v>
      </c>
      <c r="O1960" s="14" t="str">
        <f>IFERROR(__xludf.DUMMYFUNCTION("split(J1960,""*"")"),"Cancelled")</f>
        <v>Cancelled</v>
      </c>
      <c r="P1960" s="14" t="str">
        <f>IFERROR(__xludf.DUMMYFUNCTION("""COMPUTED_VALUE"""),"Payment Issues")</f>
        <v>Payment Issues</v>
      </c>
      <c r="Q1960" s="14" t="str">
        <f>IFERROR(__xludf.DUMMYFUNCTION("split(P1960,"":"")"),"Payment Issues")</f>
        <v>Payment Issues</v>
      </c>
      <c r="R1960" s="14"/>
      <c r="S1960" s="14" t="str">
        <f t="shared" ref="S1960:U1960" si="3923">trim(B1960)</f>
        <v>ord_81936</v>
      </c>
      <c r="T1960" s="14" t="str">
        <f t="shared" si="3923"/>
        <v>Sanjay Nair</v>
      </c>
      <c r="U1960" s="14" t="str">
        <f t="shared" si="3923"/>
        <v>Dadar</v>
      </c>
      <c r="V1960" s="14" t="str">
        <f t="shared" si="4"/>
        <v>Rasmalai</v>
      </c>
      <c r="W1960" s="14">
        <f t="shared" si="5"/>
        <v>3</v>
      </c>
      <c r="X1960" s="14" t="str">
        <f t="shared" si="6"/>
        <v>Not Assigned</v>
      </c>
      <c r="Y1960" s="15">
        <f t="shared" si="7"/>
        <v>45187</v>
      </c>
      <c r="Z1960" s="14" t="str">
        <f t="shared" si="8"/>
        <v>Online Payment</v>
      </c>
      <c r="AA1960" s="14" t="str">
        <f t="shared" si="9"/>
        <v>Cancelled</v>
      </c>
      <c r="AB1960" s="14" t="str">
        <f t="shared" ref="AB1960:AC1960" si="3924">trim(Q1960)</f>
        <v>Payment Issues</v>
      </c>
      <c r="AC1960" s="14" t="str">
        <f t="shared" si="3924"/>
        <v/>
      </c>
      <c r="AD1960" s="8"/>
    </row>
    <row r="1961">
      <c r="A1961" s="14" t="str">
        <f>IFERROR(__xludf.DUMMYFUNCTION("""COMPUTED_VALUE"""),"//ord_81937//Parth Goel//Juhu//Cucumber+2*Manju Ajay/2/23/2023//Online Payment//Delivered*Packaging: Secure and intact")</f>
        <v>//ord_81937//Parth Goel//Juhu//Cucumber+2*Manju Ajay/2/23/2023//Online Payment//Delivered*Packaging: Secure and intact</v>
      </c>
      <c r="B1961" s="14" t="str">
        <f>IFERROR(__xludf.DUMMYFUNCTION("split(A1961,""//"")"),"ord_81937")</f>
        <v>ord_81937</v>
      </c>
      <c r="C1961" s="14" t="str">
        <f>IFERROR(__xludf.DUMMYFUNCTION("""COMPUTED_VALUE"""),"Parth Goel")</f>
        <v>Parth Goel</v>
      </c>
      <c r="D1961" s="14" t="str">
        <f>IFERROR(__xludf.DUMMYFUNCTION("""COMPUTED_VALUE"""),"Juhu")</f>
        <v>Juhu</v>
      </c>
      <c r="E1961" s="14" t="str">
        <f>IFERROR(__xludf.DUMMYFUNCTION("""COMPUTED_VALUE"""),"Cucumber+2*Manju Ajay")</f>
        <v>Cucumber+2*Manju Ajay</v>
      </c>
      <c r="F1961" s="14">
        <f>IFERROR(__xludf.DUMMYFUNCTION("""COMPUTED_VALUE"""),2.0)</f>
        <v>2</v>
      </c>
      <c r="G1961" s="14">
        <f>IFERROR(__xludf.DUMMYFUNCTION("""COMPUTED_VALUE"""),23.0)</f>
        <v>23</v>
      </c>
      <c r="H1961" s="14">
        <f>IFERROR(__xludf.DUMMYFUNCTION("""COMPUTED_VALUE"""),2023.0)</f>
        <v>2023</v>
      </c>
      <c r="I1961" s="14" t="str">
        <f>IFERROR(__xludf.DUMMYFUNCTION("""COMPUTED_VALUE"""),"Online Payment")</f>
        <v>Online Payment</v>
      </c>
      <c r="J1961" s="14" t="str">
        <f>IFERROR(__xludf.DUMMYFUNCTION("""COMPUTED_VALUE"""),"Delivered*Packaging: Secure and intact")</f>
        <v>Delivered*Packaging: Secure and intact</v>
      </c>
      <c r="K1961" s="14" t="str">
        <f>IFERROR(__xludf.DUMMYFUNCTION("split(E1961,""+"")"),"Cucumber")</f>
        <v>Cucumber</v>
      </c>
      <c r="L1961" s="14" t="str">
        <f>IFERROR(__xludf.DUMMYFUNCTION("""COMPUTED_VALUE"""),"2*Manju Ajay")</f>
        <v>2*Manju Ajay</v>
      </c>
      <c r="M1961" s="14">
        <f>IFERROR(__xludf.DUMMYFUNCTION("SPLIT(L1961,""*"")"),2.0)</f>
        <v>2</v>
      </c>
      <c r="N1961" s="14" t="str">
        <f>IFERROR(__xludf.DUMMYFUNCTION("""COMPUTED_VALUE"""),"Manju Ajay")</f>
        <v>Manju Ajay</v>
      </c>
      <c r="O1961" s="14" t="str">
        <f>IFERROR(__xludf.DUMMYFUNCTION("split(J1961,""*"")"),"Delivered")</f>
        <v>Delivered</v>
      </c>
      <c r="P1961" s="14" t="str">
        <f>IFERROR(__xludf.DUMMYFUNCTION("""COMPUTED_VALUE"""),"Packaging: Secure and intact")</f>
        <v>Packaging: Secure and intact</v>
      </c>
      <c r="Q1961" s="14" t="str">
        <f>IFERROR(__xludf.DUMMYFUNCTION("split(P1961,"":"")"),"Packaging")</f>
        <v>Packaging</v>
      </c>
      <c r="R1961" s="14" t="str">
        <f>IFERROR(__xludf.DUMMYFUNCTION("""COMPUTED_VALUE""")," Secure and intact")</f>
        <v> Secure and intact</v>
      </c>
      <c r="S1961" s="14" t="str">
        <f t="shared" ref="S1961:U1961" si="3925">trim(B1961)</f>
        <v>ord_81937</v>
      </c>
      <c r="T1961" s="14" t="str">
        <f t="shared" si="3925"/>
        <v>Parth Goel</v>
      </c>
      <c r="U1961" s="14" t="str">
        <f t="shared" si="3925"/>
        <v>Juhu</v>
      </c>
      <c r="V1961" s="14" t="str">
        <f t="shared" si="4"/>
        <v>Cucumber</v>
      </c>
      <c r="W1961" s="14">
        <f t="shared" si="5"/>
        <v>2</v>
      </c>
      <c r="X1961" s="14" t="str">
        <f t="shared" si="6"/>
        <v>Manju Ajay</v>
      </c>
      <c r="Y1961" s="15">
        <f t="shared" si="7"/>
        <v>44980</v>
      </c>
      <c r="Z1961" s="14" t="str">
        <f t="shared" si="8"/>
        <v>Online Payment</v>
      </c>
      <c r="AA1961" s="14" t="str">
        <f t="shared" si="9"/>
        <v>Delivered</v>
      </c>
      <c r="AB1961" s="14" t="str">
        <f t="shared" ref="AB1961:AC1961" si="3926">trim(Q1961)</f>
        <v>Packaging</v>
      </c>
      <c r="AC1961" s="14" t="str">
        <f t="shared" si="3926"/>
        <v>Secure and intact</v>
      </c>
      <c r="AD1961" s="8"/>
    </row>
    <row r="1962">
      <c r="A1962" s="14" t="str">
        <f>IFERROR(__xludf.DUMMYFUNCTION("""COMPUTED_VALUE"""),"//ord_81938//Pranav Joshi//Andheri//Popcorn+2*Ramesh S/2/28/2023//Online Payment//Cancelled*Delayed Delivery:Heavy Traffic")</f>
        <v>//ord_81938//Pranav Joshi//Andheri//Popcorn+2*Ramesh S/2/28/2023//Online Payment//Cancelled*Delayed Delivery:Heavy Traffic</v>
      </c>
      <c r="B1962" s="14" t="str">
        <f>IFERROR(__xludf.DUMMYFUNCTION("split(A1962,""//"")"),"ord_81938")</f>
        <v>ord_81938</v>
      </c>
      <c r="C1962" s="14" t="str">
        <f>IFERROR(__xludf.DUMMYFUNCTION("""COMPUTED_VALUE"""),"Pranav Joshi")</f>
        <v>Pranav Joshi</v>
      </c>
      <c r="D1962" s="14" t="str">
        <f>IFERROR(__xludf.DUMMYFUNCTION("""COMPUTED_VALUE"""),"Andheri")</f>
        <v>Andheri</v>
      </c>
      <c r="E1962" s="14" t="str">
        <f>IFERROR(__xludf.DUMMYFUNCTION("""COMPUTED_VALUE"""),"Popcorn+2*Ramesh S")</f>
        <v>Popcorn+2*Ramesh S</v>
      </c>
      <c r="F1962" s="14">
        <f>IFERROR(__xludf.DUMMYFUNCTION("""COMPUTED_VALUE"""),2.0)</f>
        <v>2</v>
      </c>
      <c r="G1962" s="14">
        <f>IFERROR(__xludf.DUMMYFUNCTION("""COMPUTED_VALUE"""),28.0)</f>
        <v>28</v>
      </c>
      <c r="H1962" s="14">
        <f>IFERROR(__xludf.DUMMYFUNCTION("""COMPUTED_VALUE"""),2023.0)</f>
        <v>2023</v>
      </c>
      <c r="I1962" s="14" t="str">
        <f>IFERROR(__xludf.DUMMYFUNCTION("""COMPUTED_VALUE"""),"Online Payment")</f>
        <v>Online Payment</v>
      </c>
      <c r="J1962" s="14" t="str">
        <f>IFERROR(__xludf.DUMMYFUNCTION("""COMPUTED_VALUE"""),"Cancelled*Delayed Delivery:Heavy Traffic")</f>
        <v>Cancelled*Delayed Delivery:Heavy Traffic</v>
      </c>
      <c r="K1962" s="14" t="str">
        <f>IFERROR(__xludf.DUMMYFUNCTION("split(E1962,""+"")"),"Popcorn")</f>
        <v>Popcorn</v>
      </c>
      <c r="L1962" s="14" t="str">
        <f>IFERROR(__xludf.DUMMYFUNCTION("""COMPUTED_VALUE"""),"2*Ramesh S")</f>
        <v>2*Ramesh S</v>
      </c>
      <c r="M1962" s="14">
        <f>IFERROR(__xludf.DUMMYFUNCTION("SPLIT(L1962,""*"")"),2.0)</f>
        <v>2</v>
      </c>
      <c r="N1962" s="14" t="str">
        <f>IFERROR(__xludf.DUMMYFUNCTION("""COMPUTED_VALUE"""),"Ramesh S")</f>
        <v>Ramesh S</v>
      </c>
      <c r="O1962" s="14" t="str">
        <f>IFERROR(__xludf.DUMMYFUNCTION("split(J1962,""*"")"),"Cancelled")</f>
        <v>Cancelled</v>
      </c>
      <c r="P1962" s="14" t="str">
        <f>IFERROR(__xludf.DUMMYFUNCTION("""COMPUTED_VALUE"""),"Delayed Delivery:Heavy Traffic")</f>
        <v>Delayed Delivery:Heavy Traffic</v>
      </c>
      <c r="Q1962" s="14" t="str">
        <f>IFERROR(__xludf.DUMMYFUNCTION("split(P1962,"":"")"),"Delayed Delivery")</f>
        <v>Delayed Delivery</v>
      </c>
      <c r="R1962" s="14" t="str">
        <f>IFERROR(__xludf.DUMMYFUNCTION("""COMPUTED_VALUE"""),"Heavy Traffic")</f>
        <v>Heavy Traffic</v>
      </c>
      <c r="S1962" s="14" t="str">
        <f t="shared" ref="S1962:U1962" si="3927">trim(B1962)</f>
        <v>ord_81938</v>
      </c>
      <c r="T1962" s="14" t="str">
        <f t="shared" si="3927"/>
        <v>Pranav Joshi</v>
      </c>
      <c r="U1962" s="14" t="str">
        <f t="shared" si="3927"/>
        <v>Andheri</v>
      </c>
      <c r="V1962" s="14" t="str">
        <f t="shared" si="4"/>
        <v>Popcorn</v>
      </c>
      <c r="W1962" s="14">
        <f t="shared" si="5"/>
        <v>2</v>
      </c>
      <c r="X1962" s="14" t="str">
        <f t="shared" si="6"/>
        <v>Ramesh S</v>
      </c>
      <c r="Y1962" s="15">
        <f t="shared" si="7"/>
        <v>44985</v>
      </c>
      <c r="Z1962" s="14" t="str">
        <f t="shared" si="8"/>
        <v>Online Payment</v>
      </c>
      <c r="AA1962" s="14" t="str">
        <f t="shared" si="9"/>
        <v>Cancelled</v>
      </c>
      <c r="AB1962" s="14" t="str">
        <f t="shared" ref="AB1962:AC1962" si="3928">trim(Q1962)</f>
        <v>Delayed Delivery</v>
      </c>
      <c r="AC1962" s="14" t="str">
        <f t="shared" si="3928"/>
        <v>Heavy Traffic</v>
      </c>
      <c r="AD1962" s="8"/>
    </row>
    <row r="1963">
      <c r="A1963" s="14" t="str">
        <f>IFERROR(__xludf.DUMMYFUNCTION("""COMPUTED_VALUE"""),"//ord_81939//Pallavi Ghosh//Bandra//Guava+2*Sita T/10/11/2023//UPI//Delivered*Satisfied with the Delivery: Timely and quality")</f>
        <v>//ord_81939//Pallavi Ghosh//Bandra//Guava+2*Sita T/10/11/2023//UPI//Delivered*Satisfied with the Delivery: Timely and quality</v>
      </c>
      <c r="B1963" s="14" t="str">
        <f>IFERROR(__xludf.DUMMYFUNCTION("split(A1963,""//"")"),"ord_81939")</f>
        <v>ord_81939</v>
      </c>
      <c r="C1963" s="14" t="str">
        <f>IFERROR(__xludf.DUMMYFUNCTION("""COMPUTED_VALUE"""),"Pallavi Ghosh")</f>
        <v>Pallavi Ghosh</v>
      </c>
      <c r="D1963" s="14" t="str">
        <f>IFERROR(__xludf.DUMMYFUNCTION("""COMPUTED_VALUE"""),"Bandra")</f>
        <v>Bandra</v>
      </c>
      <c r="E1963" s="14" t="str">
        <f>IFERROR(__xludf.DUMMYFUNCTION("""COMPUTED_VALUE"""),"Guava+2*Sita T")</f>
        <v>Guava+2*Sita T</v>
      </c>
      <c r="F1963" s="14">
        <f>IFERROR(__xludf.DUMMYFUNCTION("""COMPUTED_VALUE"""),10.0)</f>
        <v>10</v>
      </c>
      <c r="G1963" s="14">
        <f>IFERROR(__xludf.DUMMYFUNCTION("""COMPUTED_VALUE"""),11.0)</f>
        <v>11</v>
      </c>
      <c r="H1963" s="14">
        <f>IFERROR(__xludf.DUMMYFUNCTION("""COMPUTED_VALUE"""),2023.0)</f>
        <v>2023</v>
      </c>
      <c r="I1963" s="14" t="str">
        <f>IFERROR(__xludf.DUMMYFUNCTION("""COMPUTED_VALUE"""),"UPI")</f>
        <v>UPI</v>
      </c>
      <c r="J1963" s="14" t="str">
        <f>IFERROR(__xludf.DUMMYFUNCTION("""COMPUTED_VALUE"""),"Delivered*Satisfied with the Delivery: Timely and quality")</f>
        <v>Delivered*Satisfied with the Delivery: Timely and quality</v>
      </c>
      <c r="K1963" s="14" t="str">
        <f>IFERROR(__xludf.DUMMYFUNCTION("split(E1963,""+"")"),"Guava")</f>
        <v>Guava</v>
      </c>
      <c r="L1963" s="14" t="str">
        <f>IFERROR(__xludf.DUMMYFUNCTION("""COMPUTED_VALUE"""),"2*Sita T")</f>
        <v>2*Sita T</v>
      </c>
      <c r="M1963" s="14">
        <f>IFERROR(__xludf.DUMMYFUNCTION("SPLIT(L1963,""*"")"),2.0)</f>
        <v>2</v>
      </c>
      <c r="N1963" s="14" t="str">
        <f>IFERROR(__xludf.DUMMYFUNCTION("""COMPUTED_VALUE"""),"Sita T")</f>
        <v>Sita T</v>
      </c>
      <c r="O1963" s="14" t="str">
        <f>IFERROR(__xludf.DUMMYFUNCTION("split(J1963,""*"")"),"Delivered")</f>
        <v>Delivered</v>
      </c>
      <c r="P1963" s="14" t="str">
        <f>IFERROR(__xludf.DUMMYFUNCTION("""COMPUTED_VALUE"""),"Satisfied with the Delivery: Timely and quality")</f>
        <v>Satisfied with the Delivery: Timely and quality</v>
      </c>
      <c r="Q1963" s="14" t="str">
        <f>IFERROR(__xludf.DUMMYFUNCTION("split(P1963,"":"")"),"Satisfied with the Delivery")</f>
        <v>Satisfied with the Delivery</v>
      </c>
      <c r="R1963" s="14" t="str">
        <f>IFERROR(__xludf.DUMMYFUNCTION("""COMPUTED_VALUE""")," Timely and quality")</f>
        <v> Timely and quality</v>
      </c>
      <c r="S1963" s="14" t="str">
        <f t="shared" ref="S1963:U1963" si="3929">trim(B1963)</f>
        <v>ord_81939</v>
      </c>
      <c r="T1963" s="14" t="str">
        <f t="shared" si="3929"/>
        <v>Pallavi Ghosh</v>
      </c>
      <c r="U1963" s="14" t="str">
        <f t="shared" si="3929"/>
        <v>Bandra</v>
      </c>
      <c r="V1963" s="14" t="str">
        <f t="shared" si="4"/>
        <v>Guava</v>
      </c>
      <c r="W1963" s="14">
        <f t="shared" si="5"/>
        <v>2</v>
      </c>
      <c r="X1963" s="14" t="str">
        <f t="shared" si="6"/>
        <v>Sita T</v>
      </c>
      <c r="Y1963" s="15">
        <f t="shared" si="7"/>
        <v>45210</v>
      </c>
      <c r="Z1963" s="14" t="str">
        <f t="shared" si="8"/>
        <v>UPI</v>
      </c>
      <c r="AA1963" s="14" t="str">
        <f t="shared" si="9"/>
        <v>Delivered</v>
      </c>
      <c r="AB1963" s="14" t="str">
        <f t="shared" ref="AB1963:AC1963" si="3930">trim(Q1963)</f>
        <v>Satisfied with the Delivery</v>
      </c>
      <c r="AC1963" s="14" t="str">
        <f t="shared" si="3930"/>
        <v>Timely and quality</v>
      </c>
      <c r="AD1963" s="8"/>
    </row>
    <row r="1964">
      <c r="A1964" s="14" t="str">
        <f>IFERROR(__xludf.DUMMYFUNCTION("""COMPUTED_VALUE"""),"//ord_81940//Sanjay Nair//Dadar//Icecream+3*Vivek Kumar/12/14/2023//UPI//Delivered*Customer Service: Seamless and easy")</f>
        <v>//ord_81940//Sanjay Nair//Dadar//Icecream+3*Vivek Kumar/12/14/2023//UPI//Delivered*Customer Service: Seamless and easy</v>
      </c>
      <c r="B1964" s="14" t="str">
        <f>IFERROR(__xludf.DUMMYFUNCTION("split(A1964,""//"")"),"ord_81940")</f>
        <v>ord_81940</v>
      </c>
      <c r="C1964" s="14" t="str">
        <f>IFERROR(__xludf.DUMMYFUNCTION("""COMPUTED_VALUE"""),"Sanjay Nair")</f>
        <v>Sanjay Nair</v>
      </c>
      <c r="D1964" s="14" t="str">
        <f>IFERROR(__xludf.DUMMYFUNCTION("""COMPUTED_VALUE"""),"Dadar")</f>
        <v>Dadar</v>
      </c>
      <c r="E1964" s="14" t="str">
        <f>IFERROR(__xludf.DUMMYFUNCTION("""COMPUTED_VALUE"""),"Icecream+3*Vivek Kumar")</f>
        <v>Icecream+3*Vivek Kumar</v>
      </c>
      <c r="F1964" s="14">
        <f>IFERROR(__xludf.DUMMYFUNCTION("""COMPUTED_VALUE"""),12.0)</f>
        <v>12</v>
      </c>
      <c r="G1964" s="14">
        <f>IFERROR(__xludf.DUMMYFUNCTION("""COMPUTED_VALUE"""),14.0)</f>
        <v>14</v>
      </c>
      <c r="H1964" s="14">
        <f>IFERROR(__xludf.DUMMYFUNCTION("""COMPUTED_VALUE"""),2023.0)</f>
        <v>2023</v>
      </c>
      <c r="I1964" s="14" t="str">
        <f>IFERROR(__xludf.DUMMYFUNCTION("""COMPUTED_VALUE"""),"UPI")</f>
        <v>UPI</v>
      </c>
      <c r="J1964" s="14" t="str">
        <f>IFERROR(__xludf.DUMMYFUNCTION("""COMPUTED_VALUE"""),"Delivered*Customer Service: Seamless and easy")</f>
        <v>Delivered*Customer Service: Seamless and easy</v>
      </c>
      <c r="K1964" s="14" t="str">
        <f>IFERROR(__xludf.DUMMYFUNCTION("split(E1964,""+"")"),"Icecream")</f>
        <v>Icecream</v>
      </c>
      <c r="L1964" s="14" t="str">
        <f>IFERROR(__xludf.DUMMYFUNCTION("""COMPUTED_VALUE"""),"3*Vivek Kumar")</f>
        <v>3*Vivek Kumar</v>
      </c>
      <c r="M1964" s="14">
        <f>IFERROR(__xludf.DUMMYFUNCTION("SPLIT(L1964,""*"")"),3.0)</f>
        <v>3</v>
      </c>
      <c r="N1964" s="14" t="str">
        <f>IFERROR(__xludf.DUMMYFUNCTION("""COMPUTED_VALUE"""),"Vivek Kumar")</f>
        <v>Vivek Kumar</v>
      </c>
      <c r="O1964" s="14" t="str">
        <f>IFERROR(__xludf.DUMMYFUNCTION("split(J1964,""*"")"),"Delivered")</f>
        <v>Delivered</v>
      </c>
      <c r="P1964" s="14" t="str">
        <f>IFERROR(__xludf.DUMMYFUNCTION("""COMPUTED_VALUE"""),"Customer Service: Seamless and easy")</f>
        <v>Customer Service: Seamless and easy</v>
      </c>
      <c r="Q1964" s="14" t="str">
        <f>IFERROR(__xludf.DUMMYFUNCTION("split(P1964,"":"")"),"Customer Service")</f>
        <v>Customer Service</v>
      </c>
      <c r="R1964" s="14" t="str">
        <f>IFERROR(__xludf.DUMMYFUNCTION("""COMPUTED_VALUE""")," Seamless and easy")</f>
        <v> Seamless and easy</v>
      </c>
      <c r="S1964" s="14" t="str">
        <f t="shared" ref="S1964:U1964" si="3931">trim(B1964)</f>
        <v>ord_81940</v>
      </c>
      <c r="T1964" s="14" t="str">
        <f t="shared" si="3931"/>
        <v>Sanjay Nair</v>
      </c>
      <c r="U1964" s="14" t="str">
        <f t="shared" si="3931"/>
        <v>Dadar</v>
      </c>
      <c r="V1964" s="14" t="str">
        <f t="shared" si="4"/>
        <v>Icecream</v>
      </c>
      <c r="W1964" s="14">
        <f t="shared" si="5"/>
        <v>3</v>
      </c>
      <c r="X1964" s="14" t="str">
        <f t="shared" si="6"/>
        <v>Vivek Kumar</v>
      </c>
      <c r="Y1964" s="15">
        <f t="shared" si="7"/>
        <v>45274</v>
      </c>
      <c r="Z1964" s="14" t="str">
        <f t="shared" si="8"/>
        <v>UPI</v>
      </c>
      <c r="AA1964" s="14" t="str">
        <f t="shared" si="9"/>
        <v>Delivered</v>
      </c>
      <c r="AB1964" s="14" t="str">
        <f t="shared" ref="AB1964:AC1964" si="3932">trim(Q1964)</f>
        <v>Customer Service</v>
      </c>
      <c r="AC1964" s="14" t="str">
        <f t="shared" si="3932"/>
        <v>Seamless and easy</v>
      </c>
      <c r="AD1964" s="8"/>
    </row>
    <row r="1965">
      <c r="A1965" s="14" t="str">
        <f>IFERROR(__xludf.DUMMYFUNCTION("""COMPUTED_VALUE"""),"//ord_81941//Ishita Banerjee//Juhu//Onion+1*Priya Joshi/7/28/2023//Credit Card//Cancelled*Delayed Delivery:Vehicle Breakdown")</f>
        <v>//ord_81941//Ishita Banerjee//Juhu//Onion+1*Priya Joshi/7/28/2023//Credit Card//Cancelled*Delayed Delivery:Vehicle Breakdown</v>
      </c>
      <c r="B1965" s="14" t="str">
        <f>IFERROR(__xludf.DUMMYFUNCTION("split(A1965,""//"")"),"ord_81941")</f>
        <v>ord_81941</v>
      </c>
      <c r="C1965" s="14" t="str">
        <f>IFERROR(__xludf.DUMMYFUNCTION("""COMPUTED_VALUE"""),"Ishita Banerjee")</f>
        <v>Ishita Banerjee</v>
      </c>
      <c r="D1965" s="14" t="str">
        <f>IFERROR(__xludf.DUMMYFUNCTION("""COMPUTED_VALUE"""),"Juhu")</f>
        <v>Juhu</v>
      </c>
      <c r="E1965" s="14" t="str">
        <f>IFERROR(__xludf.DUMMYFUNCTION("""COMPUTED_VALUE"""),"Onion+1*Priya Joshi")</f>
        <v>Onion+1*Priya Joshi</v>
      </c>
      <c r="F1965" s="14">
        <f>IFERROR(__xludf.DUMMYFUNCTION("""COMPUTED_VALUE"""),7.0)</f>
        <v>7</v>
      </c>
      <c r="G1965" s="14">
        <f>IFERROR(__xludf.DUMMYFUNCTION("""COMPUTED_VALUE"""),28.0)</f>
        <v>28</v>
      </c>
      <c r="H1965" s="14">
        <f>IFERROR(__xludf.DUMMYFUNCTION("""COMPUTED_VALUE"""),2023.0)</f>
        <v>2023</v>
      </c>
      <c r="I1965" s="14" t="str">
        <f>IFERROR(__xludf.DUMMYFUNCTION("""COMPUTED_VALUE"""),"Credit Card")</f>
        <v>Credit Card</v>
      </c>
      <c r="J1965" s="14" t="str">
        <f>IFERROR(__xludf.DUMMYFUNCTION("""COMPUTED_VALUE"""),"Cancelled*Delayed Delivery:Vehicle Breakdown")</f>
        <v>Cancelled*Delayed Delivery:Vehicle Breakdown</v>
      </c>
      <c r="K1965" s="14" t="str">
        <f>IFERROR(__xludf.DUMMYFUNCTION("split(E1965,""+"")"),"Onion")</f>
        <v>Onion</v>
      </c>
      <c r="L1965" s="14" t="str">
        <f>IFERROR(__xludf.DUMMYFUNCTION("""COMPUTED_VALUE"""),"1*Priya Joshi")</f>
        <v>1*Priya Joshi</v>
      </c>
      <c r="M1965" s="14">
        <f>IFERROR(__xludf.DUMMYFUNCTION("SPLIT(L1965,""*"")"),1.0)</f>
        <v>1</v>
      </c>
      <c r="N1965" s="14" t="str">
        <f>IFERROR(__xludf.DUMMYFUNCTION("""COMPUTED_VALUE"""),"Priya Joshi")</f>
        <v>Priya Joshi</v>
      </c>
      <c r="O1965" s="14" t="str">
        <f>IFERROR(__xludf.DUMMYFUNCTION("split(J1965,""*"")"),"Cancelled")</f>
        <v>Cancelled</v>
      </c>
      <c r="P1965" s="14" t="str">
        <f>IFERROR(__xludf.DUMMYFUNCTION("""COMPUTED_VALUE"""),"Delayed Delivery:Vehicle Breakdown")</f>
        <v>Delayed Delivery:Vehicle Breakdown</v>
      </c>
      <c r="Q1965" s="14" t="str">
        <f>IFERROR(__xludf.DUMMYFUNCTION("split(P1965,"":"")"),"Delayed Delivery")</f>
        <v>Delayed Delivery</v>
      </c>
      <c r="R1965" s="14" t="str">
        <f>IFERROR(__xludf.DUMMYFUNCTION("""COMPUTED_VALUE"""),"Vehicle Breakdown")</f>
        <v>Vehicle Breakdown</v>
      </c>
      <c r="S1965" s="14" t="str">
        <f t="shared" ref="S1965:U1965" si="3933">trim(B1965)</f>
        <v>ord_81941</v>
      </c>
      <c r="T1965" s="14" t="str">
        <f t="shared" si="3933"/>
        <v>Ishita Banerjee</v>
      </c>
      <c r="U1965" s="14" t="str">
        <f t="shared" si="3933"/>
        <v>Juhu</v>
      </c>
      <c r="V1965" s="14" t="str">
        <f t="shared" si="4"/>
        <v>Onion</v>
      </c>
      <c r="W1965" s="14">
        <f t="shared" si="5"/>
        <v>1</v>
      </c>
      <c r="X1965" s="14" t="str">
        <f t="shared" si="6"/>
        <v>Priya Joshi</v>
      </c>
      <c r="Y1965" s="15">
        <f t="shared" si="7"/>
        <v>45135</v>
      </c>
      <c r="Z1965" s="14" t="str">
        <f t="shared" si="8"/>
        <v>Credit Card</v>
      </c>
      <c r="AA1965" s="14" t="str">
        <f t="shared" si="9"/>
        <v>Cancelled</v>
      </c>
      <c r="AB1965" s="14" t="str">
        <f t="shared" ref="AB1965:AC1965" si="3934">trim(Q1965)</f>
        <v>Delayed Delivery</v>
      </c>
      <c r="AC1965" s="14" t="str">
        <f t="shared" si="3934"/>
        <v>Vehicle Breakdown</v>
      </c>
      <c r="AD1965" s="8"/>
    </row>
    <row r="1966">
      <c r="A1966" s="14" t="str">
        <f>IFERROR(__xludf.DUMMYFUNCTION("""COMPUTED_VALUE"""),"//ord_81942//Sakshi Tandon//Colaba//Apple+2*Ramesh S/12/5/2023//Online Payment//Delivered*Delivery Experience: Quick and professional")</f>
        <v>//ord_81942//Sakshi Tandon//Colaba//Apple+2*Ramesh S/12/5/2023//Online Payment//Delivered*Delivery Experience: Quick and professional</v>
      </c>
      <c r="B1966" s="14" t="str">
        <f>IFERROR(__xludf.DUMMYFUNCTION("split(A1966,""//"")"),"ord_81942")</f>
        <v>ord_81942</v>
      </c>
      <c r="C1966" s="14" t="str">
        <f>IFERROR(__xludf.DUMMYFUNCTION("""COMPUTED_VALUE"""),"Sakshi Tandon")</f>
        <v>Sakshi Tandon</v>
      </c>
      <c r="D1966" s="14" t="str">
        <f>IFERROR(__xludf.DUMMYFUNCTION("""COMPUTED_VALUE"""),"Colaba")</f>
        <v>Colaba</v>
      </c>
      <c r="E1966" s="14" t="str">
        <f>IFERROR(__xludf.DUMMYFUNCTION("""COMPUTED_VALUE"""),"Apple+2*Ramesh S")</f>
        <v>Apple+2*Ramesh S</v>
      </c>
      <c r="F1966" s="14">
        <f>IFERROR(__xludf.DUMMYFUNCTION("""COMPUTED_VALUE"""),12.0)</f>
        <v>12</v>
      </c>
      <c r="G1966" s="14">
        <f>IFERROR(__xludf.DUMMYFUNCTION("""COMPUTED_VALUE"""),5.0)</f>
        <v>5</v>
      </c>
      <c r="H1966" s="14">
        <f>IFERROR(__xludf.DUMMYFUNCTION("""COMPUTED_VALUE"""),2023.0)</f>
        <v>2023</v>
      </c>
      <c r="I1966" s="14" t="str">
        <f>IFERROR(__xludf.DUMMYFUNCTION("""COMPUTED_VALUE"""),"Online Payment")</f>
        <v>Online Payment</v>
      </c>
      <c r="J1966" s="14" t="str">
        <f>IFERROR(__xludf.DUMMYFUNCTION("""COMPUTED_VALUE"""),"Delivered*Delivery Experience: Quick and professional")</f>
        <v>Delivered*Delivery Experience: Quick and professional</v>
      </c>
      <c r="K1966" s="14" t="str">
        <f>IFERROR(__xludf.DUMMYFUNCTION("split(E1966,""+"")"),"Apple")</f>
        <v>Apple</v>
      </c>
      <c r="L1966" s="14" t="str">
        <f>IFERROR(__xludf.DUMMYFUNCTION("""COMPUTED_VALUE"""),"2*Ramesh S")</f>
        <v>2*Ramesh S</v>
      </c>
      <c r="M1966" s="14">
        <f>IFERROR(__xludf.DUMMYFUNCTION("SPLIT(L1966,""*"")"),2.0)</f>
        <v>2</v>
      </c>
      <c r="N1966" s="14" t="str">
        <f>IFERROR(__xludf.DUMMYFUNCTION("""COMPUTED_VALUE"""),"Ramesh S")</f>
        <v>Ramesh S</v>
      </c>
      <c r="O1966" s="14" t="str">
        <f>IFERROR(__xludf.DUMMYFUNCTION("split(J1966,""*"")"),"Delivered")</f>
        <v>Delivered</v>
      </c>
      <c r="P1966" s="14" t="str">
        <f>IFERROR(__xludf.DUMMYFUNCTION("""COMPUTED_VALUE"""),"Delivery Experience: Quick and professional")</f>
        <v>Delivery Experience: Quick and professional</v>
      </c>
      <c r="Q1966" s="14" t="str">
        <f>IFERROR(__xludf.DUMMYFUNCTION("split(P1966,"":"")"),"Delivery Experience")</f>
        <v>Delivery Experience</v>
      </c>
      <c r="R1966" s="14" t="str">
        <f>IFERROR(__xludf.DUMMYFUNCTION("""COMPUTED_VALUE""")," Quick and professional")</f>
        <v> Quick and professional</v>
      </c>
      <c r="S1966" s="14" t="str">
        <f t="shared" ref="S1966:U1966" si="3935">trim(B1966)</f>
        <v>ord_81942</v>
      </c>
      <c r="T1966" s="14" t="str">
        <f t="shared" si="3935"/>
        <v>Sakshi Tandon</v>
      </c>
      <c r="U1966" s="14" t="str">
        <f t="shared" si="3935"/>
        <v>Colaba</v>
      </c>
      <c r="V1966" s="14" t="str">
        <f t="shared" si="4"/>
        <v>Apple</v>
      </c>
      <c r="W1966" s="14">
        <f t="shared" si="5"/>
        <v>2</v>
      </c>
      <c r="X1966" s="14" t="str">
        <f t="shared" si="6"/>
        <v>Ramesh S</v>
      </c>
      <c r="Y1966" s="15">
        <f t="shared" si="7"/>
        <v>45265</v>
      </c>
      <c r="Z1966" s="14" t="str">
        <f t="shared" si="8"/>
        <v>Online Payment</v>
      </c>
      <c r="AA1966" s="14" t="str">
        <f t="shared" si="9"/>
        <v>Delivered</v>
      </c>
      <c r="AB1966" s="14" t="str">
        <f t="shared" ref="AB1966:AC1966" si="3936">trim(Q1966)</f>
        <v>Delivery Experience</v>
      </c>
      <c r="AC1966" s="14" t="str">
        <f t="shared" si="3936"/>
        <v>Quick and professional</v>
      </c>
      <c r="AD1966" s="8"/>
    </row>
    <row r="1967">
      <c r="A1967" s="14" t="str">
        <f>IFERROR(__xludf.DUMMYFUNCTION("""COMPUTED_VALUE"""),"//ord_81943//Simran Bhatt//Juhu//Rasmalai+5*Nithin Lal/10/17/2023//Online Payment//Delivered*Convenience: Easy tracking")</f>
        <v>//ord_81943//Simran Bhatt//Juhu//Rasmalai+5*Nithin Lal/10/17/2023//Online Payment//Delivered*Convenience: Easy tracking</v>
      </c>
      <c r="B1967" s="14" t="str">
        <f>IFERROR(__xludf.DUMMYFUNCTION("split(A1967,""//"")"),"ord_81943")</f>
        <v>ord_81943</v>
      </c>
      <c r="C1967" s="14" t="str">
        <f>IFERROR(__xludf.DUMMYFUNCTION("""COMPUTED_VALUE"""),"Simran Bhatt")</f>
        <v>Simran Bhatt</v>
      </c>
      <c r="D1967" s="14" t="str">
        <f>IFERROR(__xludf.DUMMYFUNCTION("""COMPUTED_VALUE"""),"Juhu")</f>
        <v>Juhu</v>
      </c>
      <c r="E1967" s="14" t="str">
        <f>IFERROR(__xludf.DUMMYFUNCTION("""COMPUTED_VALUE"""),"Rasmalai+5*Nithin Lal")</f>
        <v>Rasmalai+5*Nithin Lal</v>
      </c>
      <c r="F1967" s="14">
        <f>IFERROR(__xludf.DUMMYFUNCTION("""COMPUTED_VALUE"""),10.0)</f>
        <v>10</v>
      </c>
      <c r="G1967" s="14">
        <f>IFERROR(__xludf.DUMMYFUNCTION("""COMPUTED_VALUE"""),17.0)</f>
        <v>17</v>
      </c>
      <c r="H1967" s="14">
        <f>IFERROR(__xludf.DUMMYFUNCTION("""COMPUTED_VALUE"""),2023.0)</f>
        <v>2023</v>
      </c>
      <c r="I1967" s="14" t="str">
        <f>IFERROR(__xludf.DUMMYFUNCTION("""COMPUTED_VALUE"""),"Online Payment")</f>
        <v>Online Payment</v>
      </c>
      <c r="J1967" s="14" t="str">
        <f>IFERROR(__xludf.DUMMYFUNCTION("""COMPUTED_VALUE"""),"Delivered*Convenience: Easy tracking")</f>
        <v>Delivered*Convenience: Easy tracking</v>
      </c>
      <c r="K1967" s="14" t="str">
        <f>IFERROR(__xludf.DUMMYFUNCTION("split(E1967,""+"")"),"Rasmalai")</f>
        <v>Rasmalai</v>
      </c>
      <c r="L1967" s="14" t="str">
        <f>IFERROR(__xludf.DUMMYFUNCTION("""COMPUTED_VALUE"""),"5*Nithin Lal")</f>
        <v>5*Nithin Lal</v>
      </c>
      <c r="M1967" s="14">
        <f>IFERROR(__xludf.DUMMYFUNCTION("SPLIT(L1967,""*"")"),5.0)</f>
        <v>5</v>
      </c>
      <c r="N1967" s="14" t="str">
        <f>IFERROR(__xludf.DUMMYFUNCTION("""COMPUTED_VALUE"""),"Nithin Lal")</f>
        <v>Nithin Lal</v>
      </c>
      <c r="O1967" s="14" t="str">
        <f>IFERROR(__xludf.DUMMYFUNCTION("split(J1967,""*"")"),"Delivered")</f>
        <v>Delivered</v>
      </c>
      <c r="P1967" s="14" t="str">
        <f>IFERROR(__xludf.DUMMYFUNCTION("""COMPUTED_VALUE"""),"Convenience: Easy tracking")</f>
        <v>Convenience: Easy tracking</v>
      </c>
      <c r="Q1967" s="14" t="str">
        <f>IFERROR(__xludf.DUMMYFUNCTION("split(P1967,"":"")"),"Convenience")</f>
        <v>Convenience</v>
      </c>
      <c r="R1967" s="14" t="str">
        <f>IFERROR(__xludf.DUMMYFUNCTION("""COMPUTED_VALUE""")," Easy tracking")</f>
        <v> Easy tracking</v>
      </c>
      <c r="S1967" s="14" t="str">
        <f t="shared" ref="S1967:U1967" si="3937">trim(B1967)</f>
        <v>ord_81943</v>
      </c>
      <c r="T1967" s="14" t="str">
        <f t="shared" si="3937"/>
        <v>Simran Bhatt</v>
      </c>
      <c r="U1967" s="14" t="str">
        <f t="shared" si="3937"/>
        <v>Juhu</v>
      </c>
      <c r="V1967" s="14" t="str">
        <f t="shared" si="4"/>
        <v>Rasmalai</v>
      </c>
      <c r="W1967" s="14">
        <f t="shared" si="5"/>
        <v>5</v>
      </c>
      <c r="X1967" s="14" t="str">
        <f t="shared" si="6"/>
        <v>Nithin Lal</v>
      </c>
      <c r="Y1967" s="15">
        <f t="shared" si="7"/>
        <v>45216</v>
      </c>
      <c r="Z1967" s="14" t="str">
        <f t="shared" si="8"/>
        <v>Online Payment</v>
      </c>
      <c r="AA1967" s="14" t="str">
        <f t="shared" si="9"/>
        <v>Delivered</v>
      </c>
      <c r="AB1967" s="14" t="str">
        <f t="shared" ref="AB1967:AC1967" si="3938">trim(Q1967)</f>
        <v>Convenience</v>
      </c>
      <c r="AC1967" s="14" t="str">
        <f t="shared" si="3938"/>
        <v>Easy tracking</v>
      </c>
      <c r="AD1967" s="8"/>
    </row>
    <row r="1968">
      <c r="A1968" s="14" t="str">
        <f>IFERROR(__xludf.DUMMYFUNCTION("""COMPUTED_VALUE"""),"//ord_81944//Ritika Dutta//Lower Parel//Icecream+8*Ramesh S/10/11/2023//UPI//Delivered*Overall Satisfaction: Great service will order again")</f>
        <v>//ord_81944//Ritika Dutta//Lower Parel//Icecream+8*Ramesh S/10/11/2023//UPI//Delivered*Overall Satisfaction: Great service will order again</v>
      </c>
      <c r="B1968" s="14" t="str">
        <f>IFERROR(__xludf.DUMMYFUNCTION("split(A1968,""//"")"),"ord_81944")</f>
        <v>ord_81944</v>
      </c>
      <c r="C1968" s="14" t="str">
        <f>IFERROR(__xludf.DUMMYFUNCTION("""COMPUTED_VALUE"""),"Ritika Dutta")</f>
        <v>Ritika Dutta</v>
      </c>
      <c r="D1968" s="14" t="str">
        <f>IFERROR(__xludf.DUMMYFUNCTION("""COMPUTED_VALUE"""),"Lower Parel")</f>
        <v>Lower Parel</v>
      </c>
      <c r="E1968" s="14" t="str">
        <f>IFERROR(__xludf.DUMMYFUNCTION("""COMPUTED_VALUE"""),"Icecream+8*Ramesh S")</f>
        <v>Icecream+8*Ramesh S</v>
      </c>
      <c r="F1968" s="14">
        <f>IFERROR(__xludf.DUMMYFUNCTION("""COMPUTED_VALUE"""),10.0)</f>
        <v>10</v>
      </c>
      <c r="G1968" s="14">
        <f>IFERROR(__xludf.DUMMYFUNCTION("""COMPUTED_VALUE"""),11.0)</f>
        <v>11</v>
      </c>
      <c r="H1968" s="14">
        <f>IFERROR(__xludf.DUMMYFUNCTION("""COMPUTED_VALUE"""),2023.0)</f>
        <v>2023</v>
      </c>
      <c r="I1968" s="14" t="str">
        <f>IFERROR(__xludf.DUMMYFUNCTION("""COMPUTED_VALUE"""),"UPI")</f>
        <v>UPI</v>
      </c>
      <c r="J1968" s="14" t="str">
        <f>IFERROR(__xludf.DUMMYFUNCTION("""COMPUTED_VALUE"""),"Delivered*Overall Satisfaction: Great service will order again")</f>
        <v>Delivered*Overall Satisfaction: Great service will order again</v>
      </c>
      <c r="K1968" s="14" t="str">
        <f>IFERROR(__xludf.DUMMYFUNCTION("split(E1968,""+"")"),"Icecream")</f>
        <v>Icecream</v>
      </c>
      <c r="L1968" s="14" t="str">
        <f>IFERROR(__xludf.DUMMYFUNCTION("""COMPUTED_VALUE"""),"8*Ramesh S")</f>
        <v>8*Ramesh S</v>
      </c>
      <c r="M1968" s="14">
        <f>IFERROR(__xludf.DUMMYFUNCTION("SPLIT(L1968,""*"")"),8.0)</f>
        <v>8</v>
      </c>
      <c r="N1968" s="14" t="str">
        <f>IFERROR(__xludf.DUMMYFUNCTION("""COMPUTED_VALUE"""),"Ramesh S")</f>
        <v>Ramesh S</v>
      </c>
      <c r="O1968" s="14" t="str">
        <f>IFERROR(__xludf.DUMMYFUNCTION("split(J1968,""*"")"),"Delivered")</f>
        <v>Delivered</v>
      </c>
      <c r="P1968" s="14" t="str">
        <f>IFERROR(__xludf.DUMMYFUNCTION("""COMPUTED_VALUE"""),"Overall Satisfaction: Great service will order again")</f>
        <v>Overall Satisfaction: Great service will order again</v>
      </c>
      <c r="Q1968" s="14" t="str">
        <f>IFERROR(__xludf.DUMMYFUNCTION("split(P1968,"":"")"),"Overall Satisfaction")</f>
        <v>Overall Satisfaction</v>
      </c>
      <c r="R1968" s="14" t="str">
        <f>IFERROR(__xludf.DUMMYFUNCTION("""COMPUTED_VALUE""")," Great service will order again")</f>
        <v> Great service will order again</v>
      </c>
      <c r="S1968" s="14" t="str">
        <f t="shared" ref="S1968:U1968" si="3939">trim(B1968)</f>
        <v>ord_81944</v>
      </c>
      <c r="T1968" s="14" t="str">
        <f t="shared" si="3939"/>
        <v>Ritika Dutta</v>
      </c>
      <c r="U1968" s="14" t="str">
        <f t="shared" si="3939"/>
        <v>Lower Parel</v>
      </c>
      <c r="V1968" s="14" t="str">
        <f t="shared" si="4"/>
        <v>Icecream</v>
      </c>
      <c r="W1968" s="14">
        <f t="shared" si="5"/>
        <v>8</v>
      </c>
      <c r="X1968" s="14" t="str">
        <f t="shared" si="6"/>
        <v>Ramesh S</v>
      </c>
      <c r="Y1968" s="15">
        <f t="shared" si="7"/>
        <v>45210</v>
      </c>
      <c r="Z1968" s="14" t="str">
        <f t="shared" si="8"/>
        <v>UPI</v>
      </c>
      <c r="AA1968" s="14" t="str">
        <f t="shared" si="9"/>
        <v>Delivered</v>
      </c>
      <c r="AB1968" s="14" t="str">
        <f t="shared" ref="AB1968:AC1968" si="3940">trim(Q1968)</f>
        <v>Overall Satisfaction</v>
      </c>
      <c r="AC1968" s="14" t="str">
        <f t="shared" si="3940"/>
        <v>Great service will order again</v>
      </c>
      <c r="AD1968" s="8"/>
    </row>
    <row r="1969">
      <c r="A1969" s="14" t="str">
        <f>IFERROR(__xludf.DUMMYFUNCTION("""COMPUTED_VALUE"""),"//ord_81945//Arvind Kulkarni//Juhu//Apple+1*Ram Gopal/10/6/2023//Credit Card//Cancelled*Delayed Delivery:Bad Weather Conditions ")</f>
        <v>//ord_81945//Arvind Kulkarni//Juhu//Apple+1*Ram Gopal/10/6/2023//Credit Card//Cancelled*Delayed Delivery:Bad Weather Conditions </v>
      </c>
      <c r="B1969" s="14" t="str">
        <f>IFERROR(__xludf.DUMMYFUNCTION("split(A1969,""//"")"),"ord_81945")</f>
        <v>ord_81945</v>
      </c>
      <c r="C1969" s="14" t="str">
        <f>IFERROR(__xludf.DUMMYFUNCTION("""COMPUTED_VALUE"""),"Arvind Kulkarni")</f>
        <v>Arvind Kulkarni</v>
      </c>
      <c r="D1969" s="14" t="str">
        <f>IFERROR(__xludf.DUMMYFUNCTION("""COMPUTED_VALUE"""),"Juhu")</f>
        <v>Juhu</v>
      </c>
      <c r="E1969" s="14" t="str">
        <f>IFERROR(__xludf.DUMMYFUNCTION("""COMPUTED_VALUE"""),"Apple+1*Ram Gopal")</f>
        <v>Apple+1*Ram Gopal</v>
      </c>
      <c r="F1969" s="14">
        <f>IFERROR(__xludf.DUMMYFUNCTION("""COMPUTED_VALUE"""),10.0)</f>
        <v>10</v>
      </c>
      <c r="G1969" s="14">
        <f>IFERROR(__xludf.DUMMYFUNCTION("""COMPUTED_VALUE"""),6.0)</f>
        <v>6</v>
      </c>
      <c r="H1969" s="14">
        <f>IFERROR(__xludf.DUMMYFUNCTION("""COMPUTED_VALUE"""),2023.0)</f>
        <v>2023</v>
      </c>
      <c r="I1969" s="14" t="str">
        <f>IFERROR(__xludf.DUMMYFUNCTION("""COMPUTED_VALUE"""),"Credit Card")</f>
        <v>Credit Card</v>
      </c>
      <c r="J1969" s="14" t="str">
        <f>IFERROR(__xludf.DUMMYFUNCTION("""COMPUTED_VALUE"""),"Cancelled*Delayed Delivery:Bad Weather Conditions ")</f>
        <v>Cancelled*Delayed Delivery:Bad Weather Conditions </v>
      </c>
      <c r="K1969" s="14" t="str">
        <f>IFERROR(__xludf.DUMMYFUNCTION("split(E1969,""+"")"),"Apple")</f>
        <v>Apple</v>
      </c>
      <c r="L1969" s="14" t="str">
        <f>IFERROR(__xludf.DUMMYFUNCTION("""COMPUTED_VALUE"""),"1*Ram Gopal")</f>
        <v>1*Ram Gopal</v>
      </c>
      <c r="M1969" s="14">
        <f>IFERROR(__xludf.DUMMYFUNCTION("SPLIT(L1969,""*"")"),1.0)</f>
        <v>1</v>
      </c>
      <c r="N1969" s="14" t="str">
        <f>IFERROR(__xludf.DUMMYFUNCTION("""COMPUTED_VALUE"""),"Ram Gopal")</f>
        <v>Ram Gopal</v>
      </c>
      <c r="O1969" s="14" t="str">
        <f>IFERROR(__xludf.DUMMYFUNCTION("split(J1969,""*"")"),"Cancelled")</f>
        <v>Cancelled</v>
      </c>
      <c r="P1969" s="14" t="str">
        <f>IFERROR(__xludf.DUMMYFUNCTION("""COMPUTED_VALUE"""),"Delayed Delivery:Bad Weather Conditions ")</f>
        <v>Delayed Delivery:Bad Weather Conditions </v>
      </c>
      <c r="Q1969" s="14" t="str">
        <f>IFERROR(__xludf.DUMMYFUNCTION("split(P1969,"":"")"),"Delayed Delivery")</f>
        <v>Delayed Delivery</v>
      </c>
      <c r="R1969" s="14" t="str">
        <f>IFERROR(__xludf.DUMMYFUNCTION("""COMPUTED_VALUE"""),"Bad Weather Conditions ")</f>
        <v>Bad Weather Conditions </v>
      </c>
      <c r="S1969" s="14" t="str">
        <f t="shared" ref="S1969:U1969" si="3941">trim(B1969)</f>
        <v>ord_81945</v>
      </c>
      <c r="T1969" s="14" t="str">
        <f t="shared" si="3941"/>
        <v>Arvind Kulkarni</v>
      </c>
      <c r="U1969" s="14" t="str">
        <f t="shared" si="3941"/>
        <v>Juhu</v>
      </c>
      <c r="V1969" s="14" t="str">
        <f t="shared" si="4"/>
        <v>Apple</v>
      </c>
      <c r="W1969" s="14">
        <f t="shared" si="5"/>
        <v>1</v>
      </c>
      <c r="X1969" s="14" t="str">
        <f t="shared" si="6"/>
        <v>Ram Gopal</v>
      </c>
      <c r="Y1969" s="15">
        <f t="shared" si="7"/>
        <v>45205</v>
      </c>
      <c r="Z1969" s="14" t="str">
        <f t="shared" si="8"/>
        <v>Credit Card</v>
      </c>
      <c r="AA1969" s="14" t="str">
        <f t="shared" si="9"/>
        <v>Cancelled</v>
      </c>
      <c r="AB1969" s="14" t="str">
        <f t="shared" ref="AB1969:AC1969" si="3942">trim(Q1969)</f>
        <v>Delayed Delivery</v>
      </c>
      <c r="AC1969" s="14" t="str">
        <f t="shared" si="3942"/>
        <v>Bad Weather Conditions</v>
      </c>
      <c r="AD1969" s="8"/>
    </row>
    <row r="1970">
      <c r="A1970" s="14" t="str">
        <f>IFERROR(__xludf.DUMMYFUNCTION("""COMPUTED_VALUE"""),"//ord_81946//Pallavi Ghosh//Bandra//Cucumber+2*Rohan Yadav/8/24/2023//Credit Card//Cancelled*Delayed Delivery:Heavy Traffic")</f>
        <v>//ord_81946//Pallavi Ghosh//Bandra//Cucumber+2*Rohan Yadav/8/24/2023//Credit Card//Cancelled*Delayed Delivery:Heavy Traffic</v>
      </c>
      <c r="B1970" s="14" t="str">
        <f>IFERROR(__xludf.DUMMYFUNCTION("split(A1970,""//"")"),"ord_81946")</f>
        <v>ord_81946</v>
      </c>
      <c r="C1970" s="14" t="str">
        <f>IFERROR(__xludf.DUMMYFUNCTION("""COMPUTED_VALUE"""),"Pallavi Ghosh")</f>
        <v>Pallavi Ghosh</v>
      </c>
      <c r="D1970" s="14" t="str">
        <f>IFERROR(__xludf.DUMMYFUNCTION("""COMPUTED_VALUE"""),"Bandra")</f>
        <v>Bandra</v>
      </c>
      <c r="E1970" s="14" t="str">
        <f>IFERROR(__xludf.DUMMYFUNCTION("""COMPUTED_VALUE"""),"Cucumber+2*Rohan Yadav")</f>
        <v>Cucumber+2*Rohan Yadav</v>
      </c>
      <c r="F1970" s="14">
        <f>IFERROR(__xludf.DUMMYFUNCTION("""COMPUTED_VALUE"""),8.0)</f>
        <v>8</v>
      </c>
      <c r="G1970" s="14">
        <f>IFERROR(__xludf.DUMMYFUNCTION("""COMPUTED_VALUE"""),24.0)</f>
        <v>24</v>
      </c>
      <c r="H1970" s="14">
        <f>IFERROR(__xludf.DUMMYFUNCTION("""COMPUTED_VALUE"""),2023.0)</f>
        <v>2023</v>
      </c>
      <c r="I1970" s="14" t="str">
        <f>IFERROR(__xludf.DUMMYFUNCTION("""COMPUTED_VALUE"""),"Credit Card")</f>
        <v>Credit Card</v>
      </c>
      <c r="J1970" s="14" t="str">
        <f>IFERROR(__xludf.DUMMYFUNCTION("""COMPUTED_VALUE"""),"Cancelled*Delayed Delivery:Heavy Traffic")</f>
        <v>Cancelled*Delayed Delivery:Heavy Traffic</v>
      </c>
      <c r="K1970" s="14" t="str">
        <f>IFERROR(__xludf.DUMMYFUNCTION("split(E1970,""+"")"),"Cucumber")</f>
        <v>Cucumber</v>
      </c>
      <c r="L1970" s="14" t="str">
        <f>IFERROR(__xludf.DUMMYFUNCTION("""COMPUTED_VALUE"""),"2*Rohan Yadav")</f>
        <v>2*Rohan Yadav</v>
      </c>
      <c r="M1970" s="14">
        <f>IFERROR(__xludf.DUMMYFUNCTION("SPLIT(L1970,""*"")"),2.0)</f>
        <v>2</v>
      </c>
      <c r="N1970" s="14" t="str">
        <f>IFERROR(__xludf.DUMMYFUNCTION("""COMPUTED_VALUE"""),"Rohan Yadav")</f>
        <v>Rohan Yadav</v>
      </c>
      <c r="O1970" s="14" t="str">
        <f>IFERROR(__xludf.DUMMYFUNCTION("split(J1970,""*"")"),"Cancelled")</f>
        <v>Cancelled</v>
      </c>
      <c r="P1970" s="14" t="str">
        <f>IFERROR(__xludf.DUMMYFUNCTION("""COMPUTED_VALUE"""),"Delayed Delivery:Heavy Traffic")</f>
        <v>Delayed Delivery:Heavy Traffic</v>
      </c>
      <c r="Q1970" s="14" t="str">
        <f>IFERROR(__xludf.DUMMYFUNCTION("split(P1970,"":"")"),"Delayed Delivery")</f>
        <v>Delayed Delivery</v>
      </c>
      <c r="R1970" s="14" t="str">
        <f>IFERROR(__xludf.DUMMYFUNCTION("""COMPUTED_VALUE"""),"Heavy Traffic")</f>
        <v>Heavy Traffic</v>
      </c>
      <c r="S1970" s="14" t="str">
        <f t="shared" ref="S1970:U1970" si="3943">trim(B1970)</f>
        <v>ord_81946</v>
      </c>
      <c r="T1970" s="14" t="str">
        <f t="shared" si="3943"/>
        <v>Pallavi Ghosh</v>
      </c>
      <c r="U1970" s="14" t="str">
        <f t="shared" si="3943"/>
        <v>Bandra</v>
      </c>
      <c r="V1970" s="14" t="str">
        <f t="shared" si="4"/>
        <v>Cucumber</v>
      </c>
      <c r="W1970" s="14">
        <f t="shared" si="5"/>
        <v>2</v>
      </c>
      <c r="X1970" s="14" t="str">
        <f t="shared" si="6"/>
        <v>Rohan Yadav</v>
      </c>
      <c r="Y1970" s="15">
        <f t="shared" si="7"/>
        <v>45162</v>
      </c>
      <c r="Z1970" s="14" t="str">
        <f t="shared" si="8"/>
        <v>Credit Card</v>
      </c>
      <c r="AA1970" s="14" t="str">
        <f t="shared" si="9"/>
        <v>Cancelled</v>
      </c>
      <c r="AB1970" s="14" t="str">
        <f t="shared" ref="AB1970:AC1970" si="3944">trim(Q1970)</f>
        <v>Delayed Delivery</v>
      </c>
      <c r="AC1970" s="14" t="str">
        <f t="shared" si="3944"/>
        <v>Heavy Traffic</v>
      </c>
      <c r="AD1970" s="8"/>
    </row>
    <row r="1971">
      <c r="A1971" s="14" t="str">
        <f>IFERROR(__xludf.DUMMYFUNCTION("""COMPUTED_VALUE"""),"//ord_81947//Diya Arora//Lower Parel//Cold Coffee+4*Not Assigned/3/27/2023//UPI//Cancelled*Out of Stock")</f>
        <v>//ord_81947//Diya Arora//Lower Parel//Cold Coffee+4*Not Assigned/3/27/2023//UPI//Cancelled*Out of Stock</v>
      </c>
      <c r="B1971" s="14" t="str">
        <f>IFERROR(__xludf.DUMMYFUNCTION("split(A1971,""//"")"),"ord_81947")</f>
        <v>ord_81947</v>
      </c>
      <c r="C1971" s="14" t="str">
        <f>IFERROR(__xludf.DUMMYFUNCTION("""COMPUTED_VALUE"""),"Diya Arora")</f>
        <v>Diya Arora</v>
      </c>
      <c r="D1971" s="14" t="str">
        <f>IFERROR(__xludf.DUMMYFUNCTION("""COMPUTED_VALUE"""),"Lower Parel")</f>
        <v>Lower Parel</v>
      </c>
      <c r="E1971" s="14" t="str">
        <f>IFERROR(__xludf.DUMMYFUNCTION("""COMPUTED_VALUE"""),"Cold Coffee+4*Not Assigned")</f>
        <v>Cold Coffee+4*Not Assigned</v>
      </c>
      <c r="F1971" s="14">
        <f>IFERROR(__xludf.DUMMYFUNCTION("""COMPUTED_VALUE"""),3.0)</f>
        <v>3</v>
      </c>
      <c r="G1971" s="14">
        <f>IFERROR(__xludf.DUMMYFUNCTION("""COMPUTED_VALUE"""),27.0)</f>
        <v>27</v>
      </c>
      <c r="H1971" s="14">
        <f>IFERROR(__xludf.DUMMYFUNCTION("""COMPUTED_VALUE"""),2023.0)</f>
        <v>2023</v>
      </c>
      <c r="I1971" s="14" t="str">
        <f>IFERROR(__xludf.DUMMYFUNCTION("""COMPUTED_VALUE"""),"UPI")</f>
        <v>UPI</v>
      </c>
      <c r="J1971" s="14" t="str">
        <f>IFERROR(__xludf.DUMMYFUNCTION("""COMPUTED_VALUE"""),"Cancelled*Out of Stock")</f>
        <v>Cancelled*Out of Stock</v>
      </c>
      <c r="K1971" s="14" t="str">
        <f>IFERROR(__xludf.DUMMYFUNCTION("split(E1971,""+"")"),"Cold Coffee")</f>
        <v>Cold Coffee</v>
      </c>
      <c r="L1971" s="14" t="str">
        <f>IFERROR(__xludf.DUMMYFUNCTION("""COMPUTED_VALUE"""),"4*Not Assigned")</f>
        <v>4*Not Assigned</v>
      </c>
      <c r="M1971" s="14">
        <f>IFERROR(__xludf.DUMMYFUNCTION("SPLIT(L1971,""*"")"),4.0)</f>
        <v>4</v>
      </c>
      <c r="N1971" s="14" t="str">
        <f>IFERROR(__xludf.DUMMYFUNCTION("""COMPUTED_VALUE"""),"Not Assigned")</f>
        <v>Not Assigned</v>
      </c>
      <c r="O1971" s="14" t="str">
        <f>IFERROR(__xludf.DUMMYFUNCTION("split(J1971,""*"")"),"Cancelled")</f>
        <v>Cancelled</v>
      </c>
      <c r="P1971" s="14" t="str">
        <f>IFERROR(__xludf.DUMMYFUNCTION("""COMPUTED_VALUE"""),"Out of Stock")</f>
        <v>Out of Stock</v>
      </c>
      <c r="Q1971" s="14" t="str">
        <f>IFERROR(__xludf.DUMMYFUNCTION("split(P1971,"":"")"),"Out of Stock")</f>
        <v>Out of Stock</v>
      </c>
      <c r="R1971" s="14"/>
      <c r="S1971" s="14" t="str">
        <f t="shared" ref="S1971:U1971" si="3945">trim(B1971)</f>
        <v>ord_81947</v>
      </c>
      <c r="T1971" s="14" t="str">
        <f t="shared" si="3945"/>
        <v>Diya Arora</v>
      </c>
      <c r="U1971" s="14" t="str">
        <f t="shared" si="3945"/>
        <v>Lower Parel</v>
      </c>
      <c r="V1971" s="14" t="str">
        <f t="shared" si="4"/>
        <v>Cold Coffee</v>
      </c>
      <c r="W1971" s="14">
        <f t="shared" si="5"/>
        <v>4</v>
      </c>
      <c r="X1971" s="14" t="str">
        <f t="shared" si="6"/>
        <v>Not Assigned</v>
      </c>
      <c r="Y1971" s="15">
        <f t="shared" si="7"/>
        <v>45012</v>
      </c>
      <c r="Z1971" s="14" t="str">
        <f t="shared" si="8"/>
        <v>UPI</v>
      </c>
      <c r="AA1971" s="14" t="str">
        <f t="shared" si="9"/>
        <v>Cancelled</v>
      </c>
      <c r="AB1971" s="14" t="str">
        <f t="shared" ref="AB1971:AC1971" si="3946">trim(Q1971)</f>
        <v>Out of Stock</v>
      </c>
      <c r="AC1971" s="14" t="str">
        <f t="shared" si="3946"/>
        <v/>
      </c>
      <c r="AD1971" s="8"/>
    </row>
    <row r="1972">
      <c r="A1972" s="14" t="str">
        <f>IFERROR(__xludf.DUMMYFUNCTION("""COMPUTED_VALUE"""),"//ord_81948//Sanjay Nair//Dadar//Tiramisu+1*Ram Gopal/1/14/2023//UPI//Delivered*On-time Delivery: Delivered on time")</f>
        <v>//ord_81948//Sanjay Nair//Dadar//Tiramisu+1*Ram Gopal/1/14/2023//UPI//Delivered*On-time Delivery: Delivered on time</v>
      </c>
      <c r="B1972" s="14" t="str">
        <f>IFERROR(__xludf.DUMMYFUNCTION("split(A1972,""//"")"),"ord_81948")</f>
        <v>ord_81948</v>
      </c>
      <c r="C1972" s="14" t="str">
        <f>IFERROR(__xludf.DUMMYFUNCTION("""COMPUTED_VALUE"""),"Sanjay Nair")</f>
        <v>Sanjay Nair</v>
      </c>
      <c r="D1972" s="14" t="str">
        <f>IFERROR(__xludf.DUMMYFUNCTION("""COMPUTED_VALUE"""),"Dadar")</f>
        <v>Dadar</v>
      </c>
      <c r="E1972" s="14" t="str">
        <f>IFERROR(__xludf.DUMMYFUNCTION("""COMPUTED_VALUE"""),"Tiramisu+1*Ram Gopal")</f>
        <v>Tiramisu+1*Ram Gopal</v>
      </c>
      <c r="F1972" s="14">
        <f>IFERROR(__xludf.DUMMYFUNCTION("""COMPUTED_VALUE"""),1.0)</f>
        <v>1</v>
      </c>
      <c r="G1972" s="14">
        <f>IFERROR(__xludf.DUMMYFUNCTION("""COMPUTED_VALUE"""),14.0)</f>
        <v>14</v>
      </c>
      <c r="H1972" s="14">
        <f>IFERROR(__xludf.DUMMYFUNCTION("""COMPUTED_VALUE"""),2023.0)</f>
        <v>2023</v>
      </c>
      <c r="I1972" s="14" t="str">
        <f>IFERROR(__xludf.DUMMYFUNCTION("""COMPUTED_VALUE"""),"UPI")</f>
        <v>UPI</v>
      </c>
      <c r="J1972" s="14" t="str">
        <f>IFERROR(__xludf.DUMMYFUNCTION("""COMPUTED_VALUE"""),"Delivered*On-time Delivery: Delivered on time")</f>
        <v>Delivered*On-time Delivery: Delivered on time</v>
      </c>
      <c r="K1972" s="14" t="str">
        <f>IFERROR(__xludf.DUMMYFUNCTION("split(E1972,""+"")"),"Tiramisu")</f>
        <v>Tiramisu</v>
      </c>
      <c r="L1972" s="14" t="str">
        <f>IFERROR(__xludf.DUMMYFUNCTION("""COMPUTED_VALUE"""),"1*Ram Gopal")</f>
        <v>1*Ram Gopal</v>
      </c>
      <c r="M1972" s="14">
        <f>IFERROR(__xludf.DUMMYFUNCTION("SPLIT(L1972,""*"")"),1.0)</f>
        <v>1</v>
      </c>
      <c r="N1972" s="14" t="str">
        <f>IFERROR(__xludf.DUMMYFUNCTION("""COMPUTED_VALUE"""),"Ram Gopal")</f>
        <v>Ram Gopal</v>
      </c>
      <c r="O1972" s="14" t="str">
        <f>IFERROR(__xludf.DUMMYFUNCTION("split(J1972,""*"")"),"Delivered")</f>
        <v>Delivered</v>
      </c>
      <c r="P1972" s="14" t="str">
        <f>IFERROR(__xludf.DUMMYFUNCTION("""COMPUTED_VALUE"""),"On-time Delivery: Delivered on time")</f>
        <v>On-time Delivery: Delivered on time</v>
      </c>
      <c r="Q1972" s="14" t="str">
        <f>IFERROR(__xludf.DUMMYFUNCTION("split(P1972,"":"")"),"On-time Delivery")</f>
        <v>On-time Delivery</v>
      </c>
      <c r="R1972" s="14" t="str">
        <f>IFERROR(__xludf.DUMMYFUNCTION("""COMPUTED_VALUE""")," Delivered on time")</f>
        <v> Delivered on time</v>
      </c>
      <c r="S1972" s="14" t="str">
        <f t="shared" ref="S1972:U1972" si="3947">trim(B1972)</f>
        <v>ord_81948</v>
      </c>
      <c r="T1972" s="14" t="str">
        <f t="shared" si="3947"/>
        <v>Sanjay Nair</v>
      </c>
      <c r="U1972" s="14" t="str">
        <f t="shared" si="3947"/>
        <v>Dadar</v>
      </c>
      <c r="V1972" s="14" t="str">
        <f t="shared" si="4"/>
        <v>Tiramisu</v>
      </c>
      <c r="W1972" s="14">
        <f t="shared" si="5"/>
        <v>1</v>
      </c>
      <c r="X1972" s="14" t="str">
        <f t="shared" si="6"/>
        <v>Ram Gopal</v>
      </c>
      <c r="Y1972" s="15">
        <f t="shared" si="7"/>
        <v>44940</v>
      </c>
      <c r="Z1972" s="14" t="str">
        <f t="shared" si="8"/>
        <v>UPI</v>
      </c>
      <c r="AA1972" s="14" t="str">
        <f t="shared" si="9"/>
        <v>Delivered</v>
      </c>
      <c r="AB1972" s="14" t="str">
        <f t="shared" ref="AB1972:AC1972" si="3948">trim(Q1972)</f>
        <v>On-time Delivery</v>
      </c>
      <c r="AC1972" s="14" t="str">
        <f t="shared" si="3948"/>
        <v>Delivered on time</v>
      </c>
      <c r="AD1972" s="8"/>
    </row>
    <row r="1973">
      <c r="A1973" s="14" t="str">
        <f>IFERROR(__xludf.DUMMYFUNCTION("""COMPUTED_VALUE"""),"//ord_81949//Mohit Malhotra//Lower Parel//Rasmalai+4*Manju Ajay/10/22/2023//Online Payment//Delivered*Quality of Items: Perfect condition")</f>
        <v>//ord_81949//Mohit Malhotra//Lower Parel//Rasmalai+4*Manju Ajay/10/22/2023//Online Payment//Delivered*Quality of Items: Perfect condition</v>
      </c>
      <c r="B1973" s="14" t="str">
        <f>IFERROR(__xludf.DUMMYFUNCTION("split(A1973,""//"")"),"ord_81949")</f>
        <v>ord_81949</v>
      </c>
      <c r="C1973" s="14" t="str">
        <f>IFERROR(__xludf.DUMMYFUNCTION("""COMPUTED_VALUE"""),"Mohit Malhotra")</f>
        <v>Mohit Malhotra</v>
      </c>
      <c r="D1973" s="14" t="str">
        <f>IFERROR(__xludf.DUMMYFUNCTION("""COMPUTED_VALUE"""),"Lower Parel")</f>
        <v>Lower Parel</v>
      </c>
      <c r="E1973" s="14" t="str">
        <f>IFERROR(__xludf.DUMMYFUNCTION("""COMPUTED_VALUE"""),"Rasmalai+4*Manju Ajay")</f>
        <v>Rasmalai+4*Manju Ajay</v>
      </c>
      <c r="F1973" s="14">
        <f>IFERROR(__xludf.DUMMYFUNCTION("""COMPUTED_VALUE"""),10.0)</f>
        <v>10</v>
      </c>
      <c r="G1973" s="14">
        <f>IFERROR(__xludf.DUMMYFUNCTION("""COMPUTED_VALUE"""),22.0)</f>
        <v>22</v>
      </c>
      <c r="H1973" s="14">
        <f>IFERROR(__xludf.DUMMYFUNCTION("""COMPUTED_VALUE"""),2023.0)</f>
        <v>2023</v>
      </c>
      <c r="I1973" s="14" t="str">
        <f>IFERROR(__xludf.DUMMYFUNCTION("""COMPUTED_VALUE"""),"Online Payment")</f>
        <v>Online Payment</v>
      </c>
      <c r="J1973" s="14" t="str">
        <f>IFERROR(__xludf.DUMMYFUNCTION("""COMPUTED_VALUE"""),"Delivered*Quality of Items: Perfect condition")</f>
        <v>Delivered*Quality of Items: Perfect condition</v>
      </c>
      <c r="K1973" s="14" t="str">
        <f>IFERROR(__xludf.DUMMYFUNCTION("split(E1973,""+"")"),"Rasmalai")</f>
        <v>Rasmalai</v>
      </c>
      <c r="L1973" s="14" t="str">
        <f>IFERROR(__xludf.DUMMYFUNCTION("""COMPUTED_VALUE"""),"4*Manju Ajay")</f>
        <v>4*Manju Ajay</v>
      </c>
      <c r="M1973" s="14">
        <f>IFERROR(__xludf.DUMMYFUNCTION("SPLIT(L1973,""*"")"),4.0)</f>
        <v>4</v>
      </c>
      <c r="N1973" s="14" t="str">
        <f>IFERROR(__xludf.DUMMYFUNCTION("""COMPUTED_VALUE"""),"Manju Ajay")</f>
        <v>Manju Ajay</v>
      </c>
      <c r="O1973" s="14" t="str">
        <f>IFERROR(__xludf.DUMMYFUNCTION("split(J1973,""*"")"),"Delivered")</f>
        <v>Delivered</v>
      </c>
      <c r="P1973" s="14" t="str">
        <f>IFERROR(__xludf.DUMMYFUNCTION("""COMPUTED_VALUE"""),"Quality of Items: Perfect condition")</f>
        <v>Quality of Items: Perfect condition</v>
      </c>
      <c r="Q1973" s="14" t="str">
        <f>IFERROR(__xludf.DUMMYFUNCTION("split(P1973,"":"")"),"Quality of Items")</f>
        <v>Quality of Items</v>
      </c>
      <c r="R1973" s="14" t="str">
        <f>IFERROR(__xludf.DUMMYFUNCTION("""COMPUTED_VALUE""")," Perfect condition")</f>
        <v> Perfect condition</v>
      </c>
      <c r="S1973" s="14" t="str">
        <f t="shared" ref="S1973:U1973" si="3949">trim(B1973)</f>
        <v>ord_81949</v>
      </c>
      <c r="T1973" s="14" t="str">
        <f t="shared" si="3949"/>
        <v>Mohit Malhotra</v>
      </c>
      <c r="U1973" s="14" t="str">
        <f t="shared" si="3949"/>
        <v>Lower Parel</v>
      </c>
      <c r="V1973" s="14" t="str">
        <f t="shared" si="4"/>
        <v>Rasmalai</v>
      </c>
      <c r="W1973" s="14">
        <f t="shared" si="5"/>
        <v>4</v>
      </c>
      <c r="X1973" s="14" t="str">
        <f t="shared" si="6"/>
        <v>Manju Ajay</v>
      </c>
      <c r="Y1973" s="15">
        <f t="shared" si="7"/>
        <v>45221</v>
      </c>
      <c r="Z1973" s="14" t="str">
        <f t="shared" si="8"/>
        <v>Online Payment</v>
      </c>
      <c r="AA1973" s="14" t="str">
        <f t="shared" si="9"/>
        <v>Delivered</v>
      </c>
      <c r="AB1973" s="14" t="str">
        <f t="shared" ref="AB1973:AC1973" si="3950">trim(Q1973)</f>
        <v>Quality of Items</v>
      </c>
      <c r="AC1973" s="14" t="str">
        <f t="shared" si="3950"/>
        <v>Perfect condition</v>
      </c>
      <c r="AD1973" s="8"/>
    </row>
    <row r="1974">
      <c r="A1974" s="14" t="str">
        <f>IFERROR(__xludf.DUMMYFUNCTION("""COMPUTED_VALUE"""),"//ord_81950//Sakshi Tandon//Colaba//Potato+1*Not Assigned/1/7/2023//Credit Card//Cancelled*High Delivery Fees")</f>
        <v>//ord_81950//Sakshi Tandon//Colaba//Potato+1*Not Assigned/1/7/2023//Credit Card//Cancelled*High Delivery Fees</v>
      </c>
      <c r="B1974" s="14" t="str">
        <f>IFERROR(__xludf.DUMMYFUNCTION("split(A1974,""//"")"),"ord_81950")</f>
        <v>ord_81950</v>
      </c>
      <c r="C1974" s="14" t="str">
        <f>IFERROR(__xludf.DUMMYFUNCTION("""COMPUTED_VALUE"""),"Sakshi Tandon")</f>
        <v>Sakshi Tandon</v>
      </c>
      <c r="D1974" s="14" t="str">
        <f>IFERROR(__xludf.DUMMYFUNCTION("""COMPUTED_VALUE"""),"Colaba")</f>
        <v>Colaba</v>
      </c>
      <c r="E1974" s="14" t="str">
        <f>IFERROR(__xludf.DUMMYFUNCTION("""COMPUTED_VALUE"""),"Potato+1*Not Assigned")</f>
        <v>Potato+1*Not Assigned</v>
      </c>
      <c r="F1974" s="14">
        <f>IFERROR(__xludf.DUMMYFUNCTION("""COMPUTED_VALUE"""),1.0)</f>
        <v>1</v>
      </c>
      <c r="G1974" s="14">
        <f>IFERROR(__xludf.DUMMYFUNCTION("""COMPUTED_VALUE"""),7.0)</f>
        <v>7</v>
      </c>
      <c r="H1974" s="14">
        <f>IFERROR(__xludf.DUMMYFUNCTION("""COMPUTED_VALUE"""),2023.0)</f>
        <v>2023</v>
      </c>
      <c r="I1974" s="14" t="str">
        <f>IFERROR(__xludf.DUMMYFUNCTION("""COMPUTED_VALUE"""),"Credit Card")</f>
        <v>Credit Card</v>
      </c>
      <c r="J1974" s="14" t="str">
        <f>IFERROR(__xludf.DUMMYFUNCTION("""COMPUTED_VALUE"""),"Cancelled*High Delivery Fees")</f>
        <v>Cancelled*High Delivery Fees</v>
      </c>
      <c r="K1974" s="14" t="str">
        <f>IFERROR(__xludf.DUMMYFUNCTION("split(E1974,""+"")"),"Potato")</f>
        <v>Potato</v>
      </c>
      <c r="L1974" s="14" t="str">
        <f>IFERROR(__xludf.DUMMYFUNCTION("""COMPUTED_VALUE"""),"1*Not Assigned")</f>
        <v>1*Not Assigned</v>
      </c>
      <c r="M1974" s="14">
        <f>IFERROR(__xludf.DUMMYFUNCTION("SPLIT(L1974,""*"")"),1.0)</f>
        <v>1</v>
      </c>
      <c r="N1974" s="14" t="str">
        <f>IFERROR(__xludf.DUMMYFUNCTION("""COMPUTED_VALUE"""),"Not Assigned")</f>
        <v>Not Assigned</v>
      </c>
      <c r="O1974" s="14" t="str">
        <f>IFERROR(__xludf.DUMMYFUNCTION("split(J1974,""*"")"),"Cancelled")</f>
        <v>Cancelled</v>
      </c>
      <c r="P1974" s="14" t="str">
        <f>IFERROR(__xludf.DUMMYFUNCTION("""COMPUTED_VALUE"""),"High Delivery Fees")</f>
        <v>High Delivery Fees</v>
      </c>
      <c r="Q1974" s="14" t="str">
        <f>IFERROR(__xludf.DUMMYFUNCTION("split(P1974,"":"")"),"High Delivery Fees")</f>
        <v>High Delivery Fees</v>
      </c>
      <c r="R1974" s="14"/>
      <c r="S1974" s="14" t="str">
        <f t="shared" ref="S1974:U1974" si="3951">trim(B1974)</f>
        <v>ord_81950</v>
      </c>
      <c r="T1974" s="14" t="str">
        <f t="shared" si="3951"/>
        <v>Sakshi Tandon</v>
      </c>
      <c r="U1974" s="14" t="str">
        <f t="shared" si="3951"/>
        <v>Colaba</v>
      </c>
      <c r="V1974" s="14" t="str">
        <f t="shared" si="4"/>
        <v>Potato</v>
      </c>
      <c r="W1974" s="14">
        <f t="shared" si="5"/>
        <v>1</v>
      </c>
      <c r="X1974" s="14" t="str">
        <f t="shared" si="6"/>
        <v>Not Assigned</v>
      </c>
      <c r="Y1974" s="15">
        <f t="shared" si="7"/>
        <v>44933</v>
      </c>
      <c r="Z1974" s="14" t="str">
        <f t="shared" si="8"/>
        <v>Credit Card</v>
      </c>
      <c r="AA1974" s="14" t="str">
        <f t="shared" si="9"/>
        <v>Cancelled</v>
      </c>
      <c r="AB1974" s="14" t="str">
        <f t="shared" ref="AB1974:AC1974" si="3952">trim(Q1974)</f>
        <v>High Delivery Fees</v>
      </c>
      <c r="AC1974" s="14" t="str">
        <f t="shared" si="3952"/>
        <v/>
      </c>
      <c r="AD1974" s="8"/>
    </row>
    <row r="1975">
      <c r="A1975" s="14" t="str">
        <f>IFERROR(__xludf.DUMMYFUNCTION("""COMPUTED_VALUE"""),"//ord_81951//Aarav Mehta//Andheri//Icecream+1*Nithin Lal/11/2/2023//Credit Card//Cancelled*Delayed Delivery:Bad Weather Conditions ")</f>
        <v>//ord_81951//Aarav Mehta//Andheri//Icecream+1*Nithin Lal/11/2/2023//Credit Card//Cancelled*Delayed Delivery:Bad Weather Conditions </v>
      </c>
      <c r="B1975" s="14" t="str">
        <f>IFERROR(__xludf.DUMMYFUNCTION("split(A1975,""//"")"),"ord_81951")</f>
        <v>ord_81951</v>
      </c>
      <c r="C1975" s="14" t="str">
        <f>IFERROR(__xludf.DUMMYFUNCTION("""COMPUTED_VALUE"""),"Aarav Mehta")</f>
        <v>Aarav Mehta</v>
      </c>
      <c r="D1975" s="14" t="str">
        <f>IFERROR(__xludf.DUMMYFUNCTION("""COMPUTED_VALUE"""),"Andheri")</f>
        <v>Andheri</v>
      </c>
      <c r="E1975" s="14" t="str">
        <f>IFERROR(__xludf.DUMMYFUNCTION("""COMPUTED_VALUE"""),"Icecream+1*Nithin Lal")</f>
        <v>Icecream+1*Nithin Lal</v>
      </c>
      <c r="F1975" s="14">
        <f>IFERROR(__xludf.DUMMYFUNCTION("""COMPUTED_VALUE"""),11.0)</f>
        <v>11</v>
      </c>
      <c r="G1975" s="14">
        <f>IFERROR(__xludf.DUMMYFUNCTION("""COMPUTED_VALUE"""),2.0)</f>
        <v>2</v>
      </c>
      <c r="H1975" s="14">
        <f>IFERROR(__xludf.DUMMYFUNCTION("""COMPUTED_VALUE"""),2023.0)</f>
        <v>2023</v>
      </c>
      <c r="I1975" s="14" t="str">
        <f>IFERROR(__xludf.DUMMYFUNCTION("""COMPUTED_VALUE"""),"Credit Card")</f>
        <v>Credit Card</v>
      </c>
      <c r="J1975" s="14" t="str">
        <f>IFERROR(__xludf.DUMMYFUNCTION("""COMPUTED_VALUE"""),"Cancelled*Delayed Delivery:Bad Weather Conditions ")</f>
        <v>Cancelled*Delayed Delivery:Bad Weather Conditions </v>
      </c>
      <c r="K1975" s="14" t="str">
        <f>IFERROR(__xludf.DUMMYFUNCTION("split(E1975,""+"")"),"Icecream")</f>
        <v>Icecream</v>
      </c>
      <c r="L1975" s="14" t="str">
        <f>IFERROR(__xludf.DUMMYFUNCTION("""COMPUTED_VALUE"""),"1*Nithin Lal")</f>
        <v>1*Nithin Lal</v>
      </c>
      <c r="M1975" s="14">
        <f>IFERROR(__xludf.DUMMYFUNCTION("SPLIT(L1975,""*"")"),1.0)</f>
        <v>1</v>
      </c>
      <c r="N1975" s="14" t="str">
        <f>IFERROR(__xludf.DUMMYFUNCTION("""COMPUTED_VALUE"""),"Nithin Lal")</f>
        <v>Nithin Lal</v>
      </c>
      <c r="O1975" s="14" t="str">
        <f>IFERROR(__xludf.DUMMYFUNCTION("split(J1975,""*"")"),"Cancelled")</f>
        <v>Cancelled</v>
      </c>
      <c r="P1975" s="14" t="str">
        <f>IFERROR(__xludf.DUMMYFUNCTION("""COMPUTED_VALUE"""),"Delayed Delivery:Bad Weather Conditions ")</f>
        <v>Delayed Delivery:Bad Weather Conditions </v>
      </c>
      <c r="Q1975" s="14" t="str">
        <f>IFERROR(__xludf.DUMMYFUNCTION("split(P1975,"":"")"),"Delayed Delivery")</f>
        <v>Delayed Delivery</v>
      </c>
      <c r="R1975" s="14" t="str">
        <f>IFERROR(__xludf.DUMMYFUNCTION("""COMPUTED_VALUE"""),"Bad Weather Conditions ")</f>
        <v>Bad Weather Conditions </v>
      </c>
      <c r="S1975" s="14" t="str">
        <f t="shared" ref="S1975:U1975" si="3953">trim(B1975)</f>
        <v>ord_81951</v>
      </c>
      <c r="T1975" s="14" t="str">
        <f t="shared" si="3953"/>
        <v>Aarav Mehta</v>
      </c>
      <c r="U1975" s="14" t="str">
        <f t="shared" si="3953"/>
        <v>Andheri</v>
      </c>
      <c r="V1975" s="14" t="str">
        <f t="shared" si="4"/>
        <v>Icecream</v>
      </c>
      <c r="W1975" s="14">
        <f t="shared" si="5"/>
        <v>1</v>
      </c>
      <c r="X1975" s="14" t="str">
        <f t="shared" si="6"/>
        <v>Nithin Lal</v>
      </c>
      <c r="Y1975" s="15">
        <f t="shared" si="7"/>
        <v>45232</v>
      </c>
      <c r="Z1975" s="14" t="str">
        <f t="shared" si="8"/>
        <v>Credit Card</v>
      </c>
      <c r="AA1975" s="14" t="str">
        <f t="shared" si="9"/>
        <v>Cancelled</v>
      </c>
      <c r="AB1975" s="14" t="str">
        <f t="shared" ref="AB1975:AC1975" si="3954">trim(Q1975)</f>
        <v>Delayed Delivery</v>
      </c>
      <c r="AC1975" s="14" t="str">
        <f t="shared" si="3954"/>
        <v>Bad Weather Conditions</v>
      </c>
      <c r="AD1975" s="8"/>
    </row>
    <row r="1976">
      <c r="A1976" s="14" t="str">
        <f>IFERROR(__xludf.DUMMYFUNCTION("""COMPUTED_VALUE"""),"//ord_81952//Mehul Thakkar//Malad//Banana+2*Not Assigned/6/3/2023//Online Payment//Cancelled*High Delivery Fees")</f>
        <v>//ord_81952//Mehul Thakkar//Malad//Banana+2*Not Assigned/6/3/2023//Online Payment//Cancelled*High Delivery Fees</v>
      </c>
      <c r="B1976" s="14" t="str">
        <f>IFERROR(__xludf.DUMMYFUNCTION("split(A1976,""//"")"),"ord_81952")</f>
        <v>ord_81952</v>
      </c>
      <c r="C1976" s="14" t="str">
        <f>IFERROR(__xludf.DUMMYFUNCTION("""COMPUTED_VALUE"""),"Mehul Thakkar")</f>
        <v>Mehul Thakkar</v>
      </c>
      <c r="D1976" s="14" t="str">
        <f>IFERROR(__xludf.DUMMYFUNCTION("""COMPUTED_VALUE"""),"Malad")</f>
        <v>Malad</v>
      </c>
      <c r="E1976" s="14" t="str">
        <f>IFERROR(__xludf.DUMMYFUNCTION("""COMPUTED_VALUE"""),"Banana+2*Not Assigned")</f>
        <v>Banana+2*Not Assigned</v>
      </c>
      <c r="F1976" s="14">
        <f>IFERROR(__xludf.DUMMYFUNCTION("""COMPUTED_VALUE"""),6.0)</f>
        <v>6</v>
      </c>
      <c r="G1976" s="14">
        <f>IFERROR(__xludf.DUMMYFUNCTION("""COMPUTED_VALUE"""),3.0)</f>
        <v>3</v>
      </c>
      <c r="H1976" s="14">
        <f>IFERROR(__xludf.DUMMYFUNCTION("""COMPUTED_VALUE"""),2023.0)</f>
        <v>2023</v>
      </c>
      <c r="I1976" s="14" t="str">
        <f>IFERROR(__xludf.DUMMYFUNCTION("""COMPUTED_VALUE"""),"Online Payment")</f>
        <v>Online Payment</v>
      </c>
      <c r="J1976" s="14" t="str">
        <f>IFERROR(__xludf.DUMMYFUNCTION("""COMPUTED_VALUE"""),"Cancelled*High Delivery Fees")</f>
        <v>Cancelled*High Delivery Fees</v>
      </c>
      <c r="K1976" s="14" t="str">
        <f>IFERROR(__xludf.DUMMYFUNCTION("split(E1976,""+"")"),"Banana")</f>
        <v>Banana</v>
      </c>
      <c r="L1976" s="14" t="str">
        <f>IFERROR(__xludf.DUMMYFUNCTION("""COMPUTED_VALUE"""),"2*Not Assigned")</f>
        <v>2*Not Assigned</v>
      </c>
      <c r="M1976" s="14">
        <f>IFERROR(__xludf.DUMMYFUNCTION("SPLIT(L1976,""*"")"),2.0)</f>
        <v>2</v>
      </c>
      <c r="N1976" s="14" t="str">
        <f>IFERROR(__xludf.DUMMYFUNCTION("""COMPUTED_VALUE"""),"Not Assigned")</f>
        <v>Not Assigned</v>
      </c>
      <c r="O1976" s="14" t="str">
        <f>IFERROR(__xludf.DUMMYFUNCTION("split(J1976,""*"")"),"Cancelled")</f>
        <v>Cancelled</v>
      </c>
      <c r="P1976" s="14" t="str">
        <f>IFERROR(__xludf.DUMMYFUNCTION("""COMPUTED_VALUE"""),"High Delivery Fees")</f>
        <v>High Delivery Fees</v>
      </c>
      <c r="Q1976" s="14" t="str">
        <f>IFERROR(__xludf.DUMMYFUNCTION("split(P1976,"":"")"),"High Delivery Fees")</f>
        <v>High Delivery Fees</v>
      </c>
      <c r="R1976" s="14"/>
      <c r="S1976" s="14" t="str">
        <f t="shared" ref="S1976:U1976" si="3955">trim(B1976)</f>
        <v>ord_81952</v>
      </c>
      <c r="T1976" s="14" t="str">
        <f t="shared" si="3955"/>
        <v>Mehul Thakkar</v>
      </c>
      <c r="U1976" s="14" t="str">
        <f t="shared" si="3955"/>
        <v>Malad</v>
      </c>
      <c r="V1976" s="14" t="str">
        <f t="shared" si="4"/>
        <v>Banana</v>
      </c>
      <c r="W1976" s="14">
        <f t="shared" si="5"/>
        <v>2</v>
      </c>
      <c r="X1976" s="14" t="str">
        <f t="shared" si="6"/>
        <v>Not Assigned</v>
      </c>
      <c r="Y1976" s="15">
        <f t="shared" si="7"/>
        <v>45080</v>
      </c>
      <c r="Z1976" s="14" t="str">
        <f t="shared" si="8"/>
        <v>Online Payment</v>
      </c>
      <c r="AA1976" s="14" t="str">
        <f t="shared" si="9"/>
        <v>Cancelled</v>
      </c>
      <c r="AB1976" s="14" t="str">
        <f t="shared" ref="AB1976:AC1976" si="3956">trim(Q1976)</f>
        <v>High Delivery Fees</v>
      </c>
      <c r="AC1976" s="14" t="str">
        <f t="shared" si="3956"/>
        <v/>
      </c>
      <c r="AD1976" s="8"/>
    </row>
    <row r="1977">
      <c r="A1977" s="14" t="str">
        <f>IFERROR(__xludf.DUMMYFUNCTION("""COMPUTED_VALUE"""),"//ord_81953//Anaya Rao//Colaba//Orange+2*Shine Thomas/6/23/2023//UPI//Delivered*On-time Delivery: Delivered on time")</f>
        <v>//ord_81953//Anaya Rao//Colaba//Orange+2*Shine Thomas/6/23/2023//UPI//Delivered*On-time Delivery: Delivered on time</v>
      </c>
      <c r="B1977" s="14" t="str">
        <f>IFERROR(__xludf.DUMMYFUNCTION("split(A1977,""//"")"),"ord_81953")</f>
        <v>ord_81953</v>
      </c>
      <c r="C1977" s="14" t="str">
        <f>IFERROR(__xludf.DUMMYFUNCTION("""COMPUTED_VALUE"""),"Anaya Rao")</f>
        <v>Anaya Rao</v>
      </c>
      <c r="D1977" s="14" t="str">
        <f>IFERROR(__xludf.DUMMYFUNCTION("""COMPUTED_VALUE"""),"Colaba")</f>
        <v>Colaba</v>
      </c>
      <c r="E1977" s="14" t="str">
        <f>IFERROR(__xludf.DUMMYFUNCTION("""COMPUTED_VALUE"""),"Orange+2*Shine Thomas")</f>
        <v>Orange+2*Shine Thomas</v>
      </c>
      <c r="F1977" s="14">
        <f>IFERROR(__xludf.DUMMYFUNCTION("""COMPUTED_VALUE"""),6.0)</f>
        <v>6</v>
      </c>
      <c r="G1977" s="14">
        <f>IFERROR(__xludf.DUMMYFUNCTION("""COMPUTED_VALUE"""),23.0)</f>
        <v>23</v>
      </c>
      <c r="H1977" s="14">
        <f>IFERROR(__xludf.DUMMYFUNCTION("""COMPUTED_VALUE"""),2023.0)</f>
        <v>2023</v>
      </c>
      <c r="I1977" s="14" t="str">
        <f>IFERROR(__xludf.DUMMYFUNCTION("""COMPUTED_VALUE"""),"UPI")</f>
        <v>UPI</v>
      </c>
      <c r="J1977" s="14" t="str">
        <f>IFERROR(__xludf.DUMMYFUNCTION("""COMPUTED_VALUE"""),"Delivered*On-time Delivery: Delivered on time")</f>
        <v>Delivered*On-time Delivery: Delivered on time</v>
      </c>
      <c r="K1977" s="14" t="str">
        <f>IFERROR(__xludf.DUMMYFUNCTION("split(E1977,""+"")"),"Orange")</f>
        <v>Orange</v>
      </c>
      <c r="L1977" s="14" t="str">
        <f>IFERROR(__xludf.DUMMYFUNCTION("""COMPUTED_VALUE"""),"2*Shine Thomas")</f>
        <v>2*Shine Thomas</v>
      </c>
      <c r="M1977" s="14">
        <f>IFERROR(__xludf.DUMMYFUNCTION("SPLIT(L1977,""*"")"),2.0)</f>
        <v>2</v>
      </c>
      <c r="N1977" s="14" t="str">
        <f>IFERROR(__xludf.DUMMYFUNCTION("""COMPUTED_VALUE"""),"Shine Thomas")</f>
        <v>Shine Thomas</v>
      </c>
      <c r="O1977" s="14" t="str">
        <f>IFERROR(__xludf.DUMMYFUNCTION("split(J1977,""*"")"),"Delivered")</f>
        <v>Delivered</v>
      </c>
      <c r="P1977" s="14" t="str">
        <f>IFERROR(__xludf.DUMMYFUNCTION("""COMPUTED_VALUE"""),"On-time Delivery: Delivered on time")</f>
        <v>On-time Delivery: Delivered on time</v>
      </c>
      <c r="Q1977" s="14" t="str">
        <f>IFERROR(__xludf.DUMMYFUNCTION("split(P1977,"":"")"),"On-time Delivery")</f>
        <v>On-time Delivery</v>
      </c>
      <c r="R1977" s="14" t="str">
        <f>IFERROR(__xludf.DUMMYFUNCTION("""COMPUTED_VALUE""")," Delivered on time")</f>
        <v> Delivered on time</v>
      </c>
      <c r="S1977" s="14" t="str">
        <f t="shared" ref="S1977:U1977" si="3957">trim(B1977)</f>
        <v>ord_81953</v>
      </c>
      <c r="T1977" s="14" t="str">
        <f t="shared" si="3957"/>
        <v>Anaya Rao</v>
      </c>
      <c r="U1977" s="14" t="str">
        <f t="shared" si="3957"/>
        <v>Colaba</v>
      </c>
      <c r="V1977" s="14" t="str">
        <f t="shared" si="4"/>
        <v>Orange</v>
      </c>
      <c r="W1977" s="14">
        <f t="shared" si="5"/>
        <v>2</v>
      </c>
      <c r="X1977" s="14" t="str">
        <f t="shared" si="6"/>
        <v>Shine Thomas</v>
      </c>
      <c r="Y1977" s="15">
        <f t="shared" si="7"/>
        <v>45100</v>
      </c>
      <c r="Z1977" s="14" t="str">
        <f t="shared" si="8"/>
        <v>UPI</v>
      </c>
      <c r="AA1977" s="14" t="str">
        <f t="shared" si="9"/>
        <v>Delivered</v>
      </c>
      <c r="AB1977" s="14" t="str">
        <f t="shared" ref="AB1977:AC1977" si="3958">trim(Q1977)</f>
        <v>On-time Delivery</v>
      </c>
      <c r="AC1977" s="14" t="str">
        <f t="shared" si="3958"/>
        <v>Delivered on time</v>
      </c>
      <c r="AD1977" s="8"/>
    </row>
    <row r="1978">
      <c r="A1978" s="14" t="str">
        <f>IFERROR(__xludf.DUMMYFUNCTION("""COMPUTED_VALUE"""),"//ord_81954//Ritika Dutta//Lower Parel//Cucumber+3*Nithin Lal/10/7/2023//Credit Card//Delivered*Quality of Items: Perfect condition")</f>
        <v>//ord_81954//Ritika Dutta//Lower Parel//Cucumber+3*Nithin Lal/10/7/2023//Credit Card//Delivered*Quality of Items: Perfect condition</v>
      </c>
      <c r="B1978" s="14" t="str">
        <f>IFERROR(__xludf.DUMMYFUNCTION("split(A1978,""//"")"),"ord_81954")</f>
        <v>ord_81954</v>
      </c>
      <c r="C1978" s="14" t="str">
        <f>IFERROR(__xludf.DUMMYFUNCTION("""COMPUTED_VALUE"""),"Ritika Dutta")</f>
        <v>Ritika Dutta</v>
      </c>
      <c r="D1978" s="14" t="str">
        <f>IFERROR(__xludf.DUMMYFUNCTION("""COMPUTED_VALUE"""),"Lower Parel")</f>
        <v>Lower Parel</v>
      </c>
      <c r="E1978" s="14" t="str">
        <f>IFERROR(__xludf.DUMMYFUNCTION("""COMPUTED_VALUE"""),"Cucumber+3*Nithin Lal")</f>
        <v>Cucumber+3*Nithin Lal</v>
      </c>
      <c r="F1978" s="14">
        <f>IFERROR(__xludf.DUMMYFUNCTION("""COMPUTED_VALUE"""),10.0)</f>
        <v>10</v>
      </c>
      <c r="G1978" s="14">
        <f>IFERROR(__xludf.DUMMYFUNCTION("""COMPUTED_VALUE"""),7.0)</f>
        <v>7</v>
      </c>
      <c r="H1978" s="14">
        <f>IFERROR(__xludf.DUMMYFUNCTION("""COMPUTED_VALUE"""),2023.0)</f>
        <v>2023</v>
      </c>
      <c r="I1978" s="14" t="str">
        <f>IFERROR(__xludf.DUMMYFUNCTION("""COMPUTED_VALUE"""),"Credit Card")</f>
        <v>Credit Card</v>
      </c>
      <c r="J1978" s="14" t="str">
        <f>IFERROR(__xludf.DUMMYFUNCTION("""COMPUTED_VALUE"""),"Delivered*Quality of Items: Perfect condition")</f>
        <v>Delivered*Quality of Items: Perfect condition</v>
      </c>
      <c r="K1978" s="14" t="str">
        <f>IFERROR(__xludf.DUMMYFUNCTION("split(E1978,""+"")"),"Cucumber")</f>
        <v>Cucumber</v>
      </c>
      <c r="L1978" s="14" t="str">
        <f>IFERROR(__xludf.DUMMYFUNCTION("""COMPUTED_VALUE"""),"3*Nithin Lal")</f>
        <v>3*Nithin Lal</v>
      </c>
      <c r="M1978" s="14">
        <f>IFERROR(__xludf.DUMMYFUNCTION("SPLIT(L1978,""*"")"),3.0)</f>
        <v>3</v>
      </c>
      <c r="N1978" s="14" t="str">
        <f>IFERROR(__xludf.DUMMYFUNCTION("""COMPUTED_VALUE"""),"Nithin Lal")</f>
        <v>Nithin Lal</v>
      </c>
      <c r="O1978" s="14" t="str">
        <f>IFERROR(__xludf.DUMMYFUNCTION("split(J1978,""*"")"),"Delivered")</f>
        <v>Delivered</v>
      </c>
      <c r="P1978" s="14" t="str">
        <f>IFERROR(__xludf.DUMMYFUNCTION("""COMPUTED_VALUE"""),"Quality of Items: Perfect condition")</f>
        <v>Quality of Items: Perfect condition</v>
      </c>
      <c r="Q1978" s="14" t="str">
        <f>IFERROR(__xludf.DUMMYFUNCTION("split(P1978,"":"")"),"Quality of Items")</f>
        <v>Quality of Items</v>
      </c>
      <c r="R1978" s="14" t="str">
        <f>IFERROR(__xludf.DUMMYFUNCTION("""COMPUTED_VALUE""")," Perfect condition")</f>
        <v> Perfect condition</v>
      </c>
      <c r="S1978" s="14" t="str">
        <f t="shared" ref="S1978:U1978" si="3959">trim(B1978)</f>
        <v>ord_81954</v>
      </c>
      <c r="T1978" s="14" t="str">
        <f t="shared" si="3959"/>
        <v>Ritika Dutta</v>
      </c>
      <c r="U1978" s="14" t="str">
        <f t="shared" si="3959"/>
        <v>Lower Parel</v>
      </c>
      <c r="V1978" s="14" t="str">
        <f t="shared" si="4"/>
        <v>Cucumber</v>
      </c>
      <c r="W1978" s="14">
        <f t="shared" si="5"/>
        <v>3</v>
      </c>
      <c r="X1978" s="14" t="str">
        <f t="shared" si="6"/>
        <v>Nithin Lal</v>
      </c>
      <c r="Y1978" s="15">
        <f t="shared" si="7"/>
        <v>45206</v>
      </c>
      <c r="Z1978" s="14" t="str">
        <f t="shared" si="8"/>
        <v>Credit Card</v>
      </c>
      <c r="AA1978" s="14" t="str">
        <f t="shared" si="9"/>
        <v>Delivered</v>
      </c>
      <c r="AB1978" s="14" t="str">
        <f t="shared" ref="AB1978:AC1978" si="3960">trim(Q1978)</f>
        <v>Quality of Items</v>
      </c>
      <c r="AC1978" s="14" t="str">
        <f t="shared" si="3960"/>
        <v>Perfect condition</v>
      </c>
      <c r="AD1978" s="8"/>
    </row>
    <row r="1979">
      <c r="A1979" s="14" t="str">
        <f>IFERROR(__xludf.DUMMYFUNCTION("""COMPUTED_VALUE"""),"//ord_81955//Simran Bhatt//Juhu//Popcorn+2*Ram Gopal/6/10/2023//Online Payment//Delivered*Packaging: Secure and intact")</f>
        <v>//ord_81955//Simran Bhatt//Juhu//Popcorn+2*Ram Gopal/6/10/2023//Online Payment//Delivered*Packaging: Secure and intact</v>
      </c>
      <c r="B1979" s="14" t="str">
        <f>IFERROR(__xludf.DUMMYFUNCTION("split(A1979,""//"")"),"ord_81955")</f>
        <v>ord_81955</v>
      </c>
      <c r="C1979" s="14" t="str">
        <f>IFERROR(__xludf.DUMMYFUNCTION("""COMPUTED_VALUE"""),"Simran Bhatt")</f>
        <v>Simran Bhatt</v>
      </c>
      <c r="D1979" s="14" t="str">
        <f>IFERROR(__xludf.DUMMYFUNCTION("""COMPUTED_VALUE"""),"Juhu")</f>
        <v>Juhu</v>
      </c>
      <c r="E1979" s="14" t="str">
        <f>IFERROR(__xludf.DUMMYFUNCTION("""COMPUTED_VALUE"""),"Popcorn+2*Ram Gopal")</f>
        <v>Popcorn+2*Ram Gopal</v>
      </c>
      <c r="F1979" s="14">
        <f>IFERROR(__xludf.DUMMYFUNCTION("""COMPUTED_VALUE"""),6.0)</f>
        <v>6</v>
      </c>
      <c r="G1979" s="14">
        <f>IFERROR(__xludf.DUMMYFUNCTION("""COMPUTED_VALUE"""),10.0)</f>
        <v>10</v>
      </c>
      <c r="H1979" s="14">
        <f>IFERROR(__xludf.DUMMYFUNCTION("""COMPUTED_VALUE"""),2023.0)</f>
        <v>2023</v>
      </c>
      <c r="I1979" s="14" t="str">
        <f>IFERROR(__xludf.DUMMYFUNCTION("""COMPUTED_VALUE"""),"Online Payment")</f>
        <v>Online Payment</v>
      </c>
      <c r="J1979" s="14" t="str">
        <f>IFERROR(__xludf.DUMMYFUNCTION("""COMPUTED_VALUE"""),"Delivered*Packaging: Secure and intact")</f>
        <v>Delivered*Packaging: Secure and intact</v>
      </c>
      <c r="K1979" s="14" t="str">
        <f>IFERROR(__xludf.DUMMYFUNCTION("split(E1979,""+"")"),"Popcorn")</f>
        <v>Popcorn</v>
      </c>
      <c r="L1979" s="14" t="str">
        <f>IFERROR(__xludf.DUMMYFUNCTION("""COMPUTED_VALUE"""),"2*Ram Gopal")</f>
        <v>2*Ram Gopal</v>
      </c>
      <c r="M1979" s="14">
        <f>IFERROR(__xludf.DUMMYFUNCTION("SPLIT(L1979,""*"")"),2.0)</f>
        <v>2</v>
      </c>
      <c r="N1979" s="14" t="str">
        <f>IFERROR(__xludf.DUMMYFUNCTION("""COMPUTED_VALUE"""),"Ram Gopal")</f>
        <v>Ram Gopal</v>
      </c>
      <c r="O1979" s="14" t="str">
        <f>IFERROR(__xludf.DUMMYFUNCTION("split(J1979,""*"")"),"Delivered")</f>
        <v>Delivered</v>
      </c>
      <c r="P1979" s="14" t="str">
        <f>IFERROR(__xludf.DUMMYFUNCTION("""COMPUTED_VALUE"""),"Packaging: Secure and intact")</f>
        <v>Packaging: Secure and intact</v>
      </c>
      <c r="Q1979" s="14" t="str">
        <f>IFERROR(__xludf.DUMMYFUNCTION("split(P1979,"":"")"),"Packaging")</f>
        <v>Packaging</v>
      </c>
      <c r="R1979" s="14" t="str">
        <f>IFERROR(__xludf.DUMMYFUNCTION("""COMPUTED_VALUE""")," Secure and intact")</f>
        <v> Secure and intact</v>
      </c>
      <c r="S1979" s="14" t="str">
        <f t="shared" ref="S1979:U1979" si="3961">trim(B1979)</f>
        <v>ord_81955</v>
      </c>
      <c r="T1979" s="14" t="str">
        <f t="shared" si="3961"/>
        <v>Simran Bhatt</v>
      </c>
      <c r="U1979" s="14" t="str">
        <f t="shared" si="3961"/>
        <v>Juhu</v>
      </c>
      <c r="V1979" s="14" t="str">
        <f t="shared" si="4"/>
        <v>Popcorn</v>
      </c>
      <c r="W1979" s="14">
        <f t="shared" si="5"/>
        <v>2</v>
      </c>
      <c r="X1979" s="14" t="str">
        <f t="shared" si="6"/>
        <v>Ram Gopal</v>
      </c>
      <c r="Y1979" s="15">
        <f t="shared" si="7"/>
        <v>45087</v>
      </c>
      <c r="Z1979" s="14" t="str">
        <f t="shared" si="8"/>
        <v>Online Payment</v>
      </c>
      <c r="AA1979" s="14" t="str">
        <f t="shared" si="9"/>
        <v>Delivered</v>
      </c>
      <c r="AB1979" s="14" t="str">
        <f t="shared" ref="AB1979:AC1979" si="3962">trim(Q1979)</f>
        <v>Packaging</v>
      </c>
      <c r="AC1979" s="14" t="str">
        <f t="shared" si="3962"/>
        <v>Secure and intact</v>
      </c>
      <c r="AD1979" s="8"/>
    </row>
    <row r="1980">
      <c r="A1980" s="14" t="str">
        <f>IFERROR(__xludf.DUMMYFUNCTION("""COMPUTED_VALUE"""),"//ord_81956//Ritika Dutta//Lower Parel//Apple+2*Ramesh S/7/4/2023//Credit Card//Delivered*Satisfied with the Delivery: Timely and quality")</f>
        <v>//ord_81956//Ritika Dutta//Lower Parel//Apple+2*Ramesh S/7/4/2023//Credit Card//Delivered*Satisfied with the Delivery: Timely and quality</v>
      </c>
      <c r="B1980" s="14" t="str">
        <f>IFERROR(__xludf.DUMMYFUNCTION("split(A1980,""//"")"),"ord_81956")</f>
        <v>ord_81956</v>
      </c>
      <c r="C1980" s="14" t="str">
        <f>IFERROR(__xludf.DUMMYFUNCTION("""COMPUTED_VALUE"""),"Ritika Dutta")</f>
        <v>Ritika Dutta</v>
      </c>
      <c r="D1980" s="14" t="str">
        <f>IFERROR(__xludf.DUMMYFUNCTION("""COMPUTED_VALUE"""),"Lower Parel")</f>
        <v>Lower Parel</v>
      </c>
      <c r="E1980" s="14" t="str">
        <f>IFERROR(__xludf.DUMMYFUNCTION("""COMPUTED_VALUE"""),"Apple+2*Ramesh S")</f>
        <v>Apple+2*Ramesh S</v>
      </c>
      <c r="F1980" s="14">
        <f>IFERROR(__xludf.DUMMYFUNCTION("""COMPUTED_VALUE"""),7.0)</f>
        <v>7</v>
      </c>
      <c r="G1980" s="14">
        <f>IFERROR(__xludf.DUMMYFUNCTION("""COMPUTED_VALUE"""),4.0)</f>
        <v>4</v>
      </c>
      <c r="H1980" s="14">
        <f>IFERROR(__xludf.DUMMYFUNCTION("""COMPUTED_VALUE"""),2023.0)</f>
        <v>2023</v>
      </c>
      <c r="I1980" s="14" t="str">
        <f>IFERROR(__xludf.DUMMYFUNCTION("""COMPUTED_VALUE"""),"Credit Card")</f>
        <v>Credit Card</v>
      </c>
      <c r="J1980" s="14" t="str">
        <f>IFERROR(__xludf.DUMMYFUNCTION("""COMPUTED_VALUE"""),"Delivered*Satisfied with the Delivery: Timely and quality")</f>
        <v>Delivered*Satisfied with the Delivery: Timely and quality</v>
      </c>
      <c r="K1980" s="14" t="str">
        <f>IFERROR(__xludf.DUMMYFUNCTION("split(E1980,""+"")"),"Apple")</f>
        <v>Apple</v>
      </c>
      <c r="L1980" s="14" t="str">
        <f>IFERROR(__xludf.DUMMYFUNCTION("""COMPUTED_VALUE"""),"2*Ramesh S")</f>
        <v>2*Ramesh S</v>
      </c>
      <c r="M1980" s="14">
        <f>IFERROR(__xludf.DUMMYFUNCTION("SPLIT(L1980,""*"")"),2.0)</f>
        <v>2</v>
      </c>
      <c r="N1980" s="14" t="str">
        <f>IFERROR(__xludf.DUMMYFUNCTION("""COMPUTED_VALUE"""),"Ramesh S")</f>
        <v>Ramesh S</v>
      </c>
      <c r="O1980" s="14" t="str">
        <f>IFERROR(__xludf.DUMMYFUNCTION("split(J1980,""*"")"),"Delivered")</f>
        <v>Delivered</v>
      </c>
      <c r="P1980" s="14" t="str">
        <f>IFERROR(__xludf.DUMMYFUNCTION("""COMPUTED_VALUE"""),"Satisfied with the Delivery: Timely and quality")</f>
        <v>Satisfied with the Delivery: Timely and quality</v>
      </c>
      <c r="Q1980" s="14" t="str">
        <f>IFERROR(__xludf.DUMMYFUNCTION("split(P1980,"":"")"),"Satisfied with the Delivery")</f>
        <v>Satisfied with the Delivery</v>
      </c>
      <c r="R1980" s="14" t="str">
        <f>IFERROR(__xludf.DUMMYFUNCTION("""COMPUTED_VALUE""")," Timely and quality")</f>
        <v> Timely and quality</v>
      </c>
      <c r="S1980" s="14" t="str">
        <f t="shared" ref="S1980:U1980" si="3963">trim(B1980)</f>
        <v>ord_81956</v>
      </c>
      <c r="T1980" s="14" t="str">
        <f t="shared" si="3963"/>
        <v>Ritika Dutta</v>
      </c>
      <c r="U1980" s="14" t="str">
        <f t="shared" si="3963"/>
        <v>Lower Parel</v>
      </c>
      <c r="V1980" s="14" t="str">
        <f t="shared" si="4"/>
        <v>Apple</v>
      </c>
      <c r="W1980" s="14">
        <f t="shared" si="5"/>
        <v>2</v>
      </c>
      <c r="X1980" s="14" t="str">
        <f t="shared" si="6"/>
        <v>Ramesh S</v>
      </c>
      <c r="Y1980" s="15">
        <f t="shared" si="7"/>
        <v>45111</v>
      </c>
      <c r="Z1980" s="14" t="str">
        <f t="shared" si="8"/>
        <v>Credit Card</v>
      </c>
      <c r="AA1980" s="14" t="str">
        <f t="shared" si="9"/>
        <v>Delivered</v>
      </c>
      <c r="AB1980" s="14" t="str">
        <f t="shared" ref="AB1980:AC1980" si="3964">trim(Q1980)</f>
        <v>Satisfied with the Delivery</v>
      </c>
      <c r="AC1980" s="14" t="str">
        <f t="shared" si="3964"/>
        <v>Timely and quality</v>
      </c>
      <c r="AD1980" s="8"/>
    </row>
    <row r="1981">
      <c r="A1981" s="14" t="str">
        <f>IFERROR(__xludf.DUMMYFUNCTION("""COMPUTED_VALUE"""),"//ord_81957//Ritika Dutta//Lower Parel//Banana+2*Ram Gopal/8/19/2023//Online Payment//Delivered*Customer Service: Seamless and easy")</f>
        <v>//ord_81957//Ritika Dutta//Lower Parel//Banana+2*Ram Gopal/8/19/2023//Online Payment//Delivered*Customer Service: Seamless and easy</v>
      </c>
      <c r="B1981" s="14" t="str">
        <f>IFERROR(__xludf.DUMMYFUNCTION("split(A1981,""//"")"),"ord_81957")</f>
        <v>ord_81957</v>
      </c>
      <c r="C1981" s="14" t="str">
        <f>IFERROR(__xludf.DUMMYFUNCTION("""COMPUTED_VALUE"""),"Ritika Dutta")</f>
        <v>Ritika Dutta</v>
      </c>
      <c r="D1981" s="14" t="str">
        <f>IFERROR(__xludf.DUMMYFUNCTION("""COMPUTED_VALUE"""),"Lower Parel")</f>
        <v>Lower Parel</v>
      </c>
      <c r="E1981" s="14" t="str">
        <f>IFERROR(__xludf.DUMMYFUNCTION("""COMPUTED_VALUE"""),"Banana+2*Ram Gopal")</f>
        <v>Banana+2*Ram Gopal</v>
      </c>
      <c r="F1981" s="14">
        <f>IFERROR(__xludf.DUMMYFUNCTION("""COMPUTED_VALUE"""),8.0)</f>
        <v>8</v>
      </c>
      <c r="G1981" s="14">
        <f>IFERROR(__xludf.DUMMYFUNCTION("""COMPUTED_VALUE"""),19.0)</f>
        <v>19</v>
      </c>
      <c r="H1981" s="14">
        <f>IFERROR(__xludf.DUMMYFUNCTION("""COMPUTED_VALUE"""),2023.0)</f>
        <v>2023</v>
      </c>
      <c r="I1981" s="14" t="str">
        <f>IFERROR(__xludf.DUMMYFUNCTION("""COMPUTED_VALUE"""),"Online Payment")</f>
        <v>Online Payment</v>
      </c>
      <c r="J1981" s="14" t="str">
        <f>IFERROR(__xludf.DUMMYFUNCTION("""COMPUTED_VALUE"""),"Delivered*Customer Service: Seamless and easy")</f>
        <v>Delivered*Customer Service: Seamless and easy</v>
      </c>
      <c r="K1981" s="14" t="str">
        <f>IFERROR(__xludf.DUMMYFUNCTION("split(E1981,""+"")"),"Banana")</f>
        <v>Banana</v>
      </c>
      <c r="L1981" s="14" t="str">
        <f>IFERROR(__xludf.DUMMYFUNCTION("""COMPUTED_VALUE"""),"2*Ram Gopal")</f>
        <v>2*Ram Gopal</v>
      </c>
      <c r="M1981" s="14">
        <f>IFERROR(__xludf.DUMMYFUNCTION("SPLIT(L1981,""*"")"),2.0)</f>
        <v>2</v>
      </c>
      <c r="N1981" s="14" t="str">
        <f>IFERROR(__xludf.DUMMYFUNCTION("""COMPUTED_VALUE"""),"Ram Gopal")</f>
        <v>Ram Gopal</v>
      </c>
      <c r="O1981" s="14" t="str">
        <f>IFERROR(__xludf.DUMMYFUNCTION("split(J1981,""*"")"),"Delivered")</f>
        <v>Delivered</v>
      </c>
      <c r="P1981" s="14" t="str">
        <f>IFERROR(__xludf.DUMMYFUNCTION("""COMPUTED_VALUE"""),"Customer Service: Seamless and easy")</f>
        <v>Customer Service: Seamless and easy</v>
      </c>
      <c r="Q1981" s="14" t="str">
        <f>IFERROR(__xludf.DUMMYFUNCTION("split(P1981,"":"")"),"Customer Service")</f>
        <v>Customer Service</v>
      </c>
      <c r="R1981" s="14" t="str">
        <f>IFERROR(__xludf.DUMMYFUNCTION("""COMPUTED_VALUE""")," Seamless and easy")</f>
        <v> Seamless and easy</v>
      </c>
      <c r="S1981" s="14" t="str">
        <f t="shared" ref="S1981:U1981" si="3965">trim(B1981)</f>
        <v>ord_81957</v>
      </c>
      <c r="T1981" s="14" t="str">
        <f t="shared" si="3965"/>
        <v>Ritika Dutta</v>
      </c>
      <c r="U1981" s="14" t="str">
        <f t="shared" si="3965"/>
        <v>Lower Parel</v>
      </c>
      <c r="V1981" s="14" t="str">
        <f t="shared" si="4"/>
        <v>Banana</v>
      </c>
      <c r="W1981" s="14">
        <f t="shared" si="5"/>
        <v>2</v>
      </c>
      <c r="X1981" s="14" t="str">
        <f t="shared" si="6"/>
        <v>Ram Gopal</v>
      </c>
      <c r="Y1981" s="15">
        <f t="shared" si="7"/>
        <v>45157</v>
      </c>
      <c r="Z1981" s="14" t="str">
        <f t="shared" si="8"/>
        <v>Online Payment</v>
      </c>
      <c r="AA1981" s="14" t="str">
        <f t="shared" si="9"/>
        <v>Delivered</v>
      </c>
      <c r="AB1981" s="14" t="str">
        <f t="shared" ref="AB1981:AC1981" si="3966">trim(Q1981)</f>
        <v>Customer Service</v>
      </c>
      <c r="AC1981" s="14" t="str">
        <f t="shared" si="3966"/>
        <v>Seamless and easy</v>
      </c>
      <c r="AD1981" s="8"/>
    </row>
    <row r="1982">
      <c r="A1982" s="14" t="str">
        <f>IFERROR(__xludf.DUMMYFUNCTION("""COMPUTED_VALUE"""),"//ord_81958//Aditya Basu//Juhu//Sweet Corn+3*Ram Gopal/12/9/2023//Online Payment//Delivered*Delivery Experience: Quick and professional")</f>
        <v>//ord_81958//Aditya Basu//Juhu//Sweet Corn+3*Ram Gopal/12/9/2023//Online Payment//Delivered*Delivery Experience: Quick and professional</v>
      </c>
      <c r="B1982" s="14" t="str">
        <f>IFERROR(__xludf.DUMMYFUNCTION("split(A1982,""//"")"),"ord_81958")</f>
        <v>ord_81958</v>
      </c>
      <c r="C1982" s="14" t="str">
        <f>IFERROR(__xludf.DUMMYFUNCTION("""COMPUTED_VALUE"""),"Aditya Basu")</f>
        <v>Aditya Basu</v>
      </c>
      <c r="D1982" s="14" t="str">
        <f>IFERROR(__xludf.DUMMYFUNCTION("""COMPUTED_VALUE"""),"Juhu")</f>
        <v>Juhu</v>
      </c>
      <c r="E1982" s="14" t="str">
        <f>IFERROR(__xludf.DUMMYFUNCTION("""COMPUTED_VALUE"""),"Sweet Corn+3*Ram Gopal")</f>
        <v>Sweet Corn+3*Ram Gopal</v>
      </c>
      <c r="F1982" s="14">
        <f>IFERROR(__xludf.DUMMYFUNCTION("""COMPUTED_VALUE"""),12.0)</f>
        <v>12</v>
      </c>
      <c r="G1982" s="14">
        <f>IFERROR(__xludf.DUMMYFUNCTION("""COMPUTED_VALUE"""),9.0)</f>
        <v>9</v>
      </c>
      <c r="H1982" s="14">
        <f>IFERROR(__xludf.DUMMYFUNCTION("""COMPUTED_VALUE"""),2023.0)</f>
        <v>2023</v>
      </c>
      <c r="I1982" s="14" t="str">
        <f>IFERROR(__xludf.DUMMYFUNCTION("""COMPUTED_VALUE"""),"Online Payment")</f>
        <v>Online Payment</v>
      </c>
      <c r="J1982" s="14" t="str">
        <f>IFERROR(__xludf.DUMMYFUNCTION("""COMPUTED_VALUE"""),"Delivered*Delivery Experience: Quick and professional")</f>
        <v>Delivered*Delivery Experience: Quick and professional</v>
      </c>
      <c r="K1982" s="14" t="str">
        <f>IFERROR(__xludf.DUMMYFUNCTION("split(E1982,""+"")"),"Sweet Corn")</f>
        <v>Sweet Corn</v>
      </c>
      <c r="L1982" s="14" t="str">
        <f>IFERROR(__xludf.DUMMYFUNCTION("""COMPUTED_VALUE"""),"3*Ram Gopal")</f>
        <v>3*Ram Gopal</v>
      </c>
      <c r="M1982" s="14">
        <f>IFERROR(__xludf.DUMMYFUNCTION("SPLIT(L1982,""*"")"),3.0)</f>
        <v>3</v>
      </c>
      <c r="N1982" s="14" t="str">
        <f>IFERROR(__xludf.DUMMYFUNCTION("""COMPUTED_VALUE"""),"Ram Gopal")</f>
        <v>Ram Gopal</v>
      </c>
      <c r="O1982" s="14" t="str">
        <f>IFERROR(__xludf.DUMMYFUNCTION("split(J1982,""*"")"),"Delivered")</f>
        <v>Delivered</v>
      </c>
      <c r="P1982" s="14" t="str">
        <f>IFERROR(__xludf.DUMMYFUNCTION("""COMPUTED_VALUE"""),"Delivery Experience: Quick and professional")</f>
        <v>Delivery Experience: Quick and professional</v>
      </c>
      <c r="Q1982" s="14" t="str">
        <f>IFERROR(__xludf.DUMMYFUNCTION("split(P1982,"":"")"),"Delivery Experience")</f>
        <v>Delivery Experience</v>
      </c>
      <c r="R1982" s="14" t="str">
        <f>IFERROR(__xludf.DUMMYFUNCTION("""COMPUTED_VALUE""")," Quick and professional")</f>
        <v> Quick and professional</v>
      </c>
      <c r="S1982" s="14" t="str">
        <f t="shared" ref="S1982:U1982" si="3967">trim(B1982)</f>
        <v>ord_81958</v>
      </c>
      <c r="T1982" s="14" t="str">
        <f t="shared" si="3967"/>
        <v>Aditya Basu</v>
      </c>
      <c r="U1982" s="14" t="str">
        <f t="shared" si="3967"/>
        <v>Juhu</v>
      </c>
      <c r="V1982" s="14" t="str">
        <f t="shared" si="4"/>
        <v>Sweet Corn</v>
      </c>
      <c r="W1982" s="14">
        <f t="shared" si="5"/>
        <v>3</v>
      </c>
      <c r="X1982" s="14" t="str">
        <f t="shared" si="6"/>
        <v>Ram Gopal</v>
      </c>
      <c r="Y1982" s="15">
        <f t="shared" si="7"/>
        <v>45269</v>
      </c>
      <c r="Z1982" s="14" t="str">
        <f t="shared" si="8"/>
        <v>Online Payment</v>
      </c>
      <c r="AA1982" s="14" t="str">
        <f t="shared" si="9"/>
        <v>Delivered</v>
      </c>
      <c r="AB1982" s="14" t="str">
        <f t="shared" ref="AB1982:AC1982" si="3968">trim(Q1982)</f>
        <v>Delivery Experience</v>
      </c>
      <c r="AC1982" s="14" t="str">
        <f t="shared" si="3968"/>
        <v>Quick and professional</v>
      </c>
      <c r="AD1982" s="8"/>
    </row>
    <row r="1983">
      <c r="A1983" s="14" t="str">
        <f>IFERROR(__xludf.DUMMYFUNCTION("""COMPUTED_VALUE"""),"//ord_81959//Siya Reddy//Juhu//Tiramisu+4*Rohan Yadav/2/26/2023//UPI//Cancelled*Delayed Delivery:Heavy Traffic")</f>
        <v>//ord_81959//Siya Reddy//Juhu//Tiramisu+4*Rohan Yadav/2/26/2023//UPI//Cancelled*Delayed Delivery:Heavy Traffic</v>
      </c>
      <c r="B1983" s="14" t="str">
        <f>IFERROR(__xludf.DUMMYFUNCTION("split(A1983,""//"")"),"ord_81959")</f>
        <v>ord_81959</v>
      </c>
      <c r="C1983" s="14" t="str">
        <f>IFERROR(__xludf.DUMMYFUNCTION("""COMPUTED_VALUE"""),"Siya Reddy")</f>
        <v>Siya Reddy</v>
      </c>
      <c r="D1983" s="14" t="str">
        <f>IFERROR(__xludf.DUMMYFUNCTION("""COMPUTED_VALUE"""),"Juhu")</f>
        <v>Juhu</v>
      </c>
      <c r="E1983" s="14" t="str">
        <f>IFERROR(__xludf.DUMMYFUNCTION("""COMPUTED_VALUE"""),"Tiramisu+4*Rohan Yadav")</f>
        <v>Tiramisu+4*Rohan Yadav</v>
      </c>
      <c r="F1983" s="14">
        <f>IFERROR(__xludf.DUMMYFUNCTION("""COMPUTED_VALUE"""),2.0)</f>
        <v>2</v>
      </c>
      <c r="G1983" s="14">
        <f>IFERROR(__xludf.DUMMYFUNCTION("""COMPUTED_VALUE"""),26.0)</f>
        <v>26</v>
      </c>
      <c r="H1983" s="14">
        <f>IFERROR(__xludf.DUMMYFUNCTION("""COMPUTED_VALUE"""),2023.0)</f>
        <v>2023</v>
      </c>
      <c r="I1983" s="14" t="str">
        <f>IFERROR(__xludf.DUMMYFUNCTION("""COMPUTED_VALUE"""),"UPI")</f>
        <v>UPI</v>
      </c>
      <c r="J1983" s="14" t="str">
        <f>IFERROR(__xludf.DUMMYFUNCTION("""COMPUTED_VALUE"""),"Cancelled*Delayed Delivery:Heavy Traffic")</f>
        <v>Cancelled*Delayed Delivery:Heavy Traffic</v>
      </c>
      <c r="K1983" s="14" t="str">
        <f>IFERROR(__xludf.DUMMYFUNCTION("split(E1983,""+"")"),"Tiramisu")</f>
        <v>Tiramisu</v>
      </c>
      <c r="L1983" s="14" t="str">
        <f>IFERROR(__xludf.DUMMYFUNCTION("""COMPUTED_VALUE"""),"4*Rohan Yadav")</f>
        <v>4*Rohan Yadav</v>
      </c>
      <c r="M1983" s="14">
        <f>IFERROR(__xludf.DUMMYFUNCTION("SPLIT(L1983,""*"")"),4.0)</f>
        <v>4</v>
      </c>
      <c r="N1983" s="14" t="str">
        <f>IFERROR(__xludf.DUMMYFUNCTION("""COMPUTED_VALUE"""),"Rohan Yadav")</f>
        <v>Rohan Yadav</v>
      </c>
      <c r="O1983" s="14" t="str">
        <f>IFERROR(__xludf.DUMMYFUNCTION("split(J1983,""*"")"),"Cancelled")</f>
        <v>Cancelled</v>
      </c>
      <c r="P1983" s="14" t="str">
        <f>IFERROR(__xludf.DUMMYFUNCTION("""COMPUTED_VALUE"""),"Delayed Delivery:Heavy Traffic")</f>
        <v>Delayed Delivery:Heavy Traffic</v>
      </c>
      <c r="Q1983" s="14" t="str">
        <f>IFERROR(__xludf.DUMMYFUNCTION("split(P1983,"":"")"),"Delayed Delivery")</f>
        <v>Delayed Delivery</v>
      </c>
      <c r="R1983" s="14" t="str">
        <f>IFERROR(__xludf.DUMMYFUNCTION("""COMPUTED_VALUE"""),"Heavy Traffic")</f>
        <v>Heavy Traffic</v>
      </c>
      <c r="S1983" s="14" t="str">
        <f t="shared" ref="S1983:U1983" si="3969">trim(B1983)</f>
        <v>ord_81959</v>
      </c>
      <c r="T1983" s="14" t="str">
        <f t="shared" si="3969"/>
        <v>Siya Reddy</v>
      </c>
      <c r="U1983" s="14" t="str">
        <f t="shared" si="3969"/>
        <v>Juhu</v>
      </c>
      <c r="V1983" s="14" t="str">
        <f t="shared" si="4"/>
        <v>Tiramisu</v>
      </c>
      <c r="W1983" s="14">
        <f t="shared" si="5"/>
        <v>4</v>
      </c>
      <c r="X1983" s="14" t="str">
        <f t="shared" si="6"/>
        <v>Rohan Yadav</v>
      </c>
      <c r="Y1983" s="15">
        <f t="shared" si="7"/>
        <v>44983</v>
      </c>
      <c r="Z1983" s="14" t="str">
        <f t="shared" si="8"/>
        <v>UPI</v>
      </c>
      <c r="AA1983" s="14" t="str">
        <f t="shared" si="9"/>
        <v>Cancelled</v>
      </c>
      <c r="AB1983" s="14" t="str">
        <f t="shared" ref="AB1983:AC1983" si="3970">trim(Q1983)</f>
        <v>Delayed Delivery</v>
      </c>
      <c r="AC1983" s="14" t="str">
        <f t="shared" si="3970"/>
        <v>Heavy Traffic</v>
      </c>
      <c r="AD1983" s="8"/>
    </row>
    <row r="1984">
      <c r="A1984" s="14" t="str">
        <f>IFERROR(__xludf.DUMMYFUNCTION("""COMPUTED_VALUE"""),"//ord_81960//Aditya Basu//Juhu//Sweet Corn+3*Ramesh S/12/4/2023//UPI//Delivered*Convenience: Easy tracking")</f>
        <v>//ord_81960//Aditya Basu//Juhu//Sweet Corn+3*Ramesh S/12/4/2023//UPI//Delivered*Convenience: Easy tracking</v>
      </c>
      <c r="B1984" s="14" t="str">
        <f>IFERROR(__xludf.DUMMYFUNCTION("split(A1984,""//"")"),"ord_81960")</f>
        <v>ord_81960</v>
      </c>
      <c r="C1984" s="14" t="str">
        <f>IFERROR(__xludf.DUMMYFUNCTION("""COMPUTED_VALUE"""),"Aditya Basu")</f>
        <v>Aditya Basu</v>
      </c>
      <c r="D1984" s="14" t="str">
        <f>IFERROR(__xludf.DUMMYFUNCTION("""COMPUTED_VALUE"""),"Juhu")</f>
        <v>Juhu</v>
      </c>
      <c r="E1984" s="14" t="str">
        <f>IFERROR(__xludf.DUMMYFUNCTION("""COMPUTED_VALUE"""),"Sweet Corn+3*Ramesh S")</f>
        <v>Sweet Corn+3*Ramesh S</v>
      </c>
      <c r="F1984" s="14">
        <f>IFERROR(__xludf.DUMMYFUNCTION("""COMPUTED_VALUE"""),12.0)</f>
        <v>12</v>
      </c>
      <c r="G1984" s="14">
        <f>IFERROR(__xludf.DUMMYFUNCTION("""COMPUTED_VALUE"""),4.0)</f>
        <v>4</v>
      </c>
      <c r="H1984" s="14">
        <f>IFERROR(__xludf.DUMMYFUNCTION("""COMPUTED_VALUE"""),2023.0)</f>
        <v>2023</v>
      </c>
      <c r="I1984" s="14" t="str">
        <f>IFERROR(__xludf.DUMMYFUNCTION("""COMPUTED_VALUE"""),"UPI")</f>
        <v>UPI</v>
      </c>
      <c r="J1984" s="14" t="str">
        <f>IFERROR(__xludf.DUMMYFUNCTION("""COMPUTED_VALUE"""),"Delivered*Convenience: Easy tracking")</f>
        <v>Delivered*Convenience: Easy tracking</v>
      </c>
      <c r="K1984" s="14" t="str">
        <f>IFERROR(__xludf.DUMMYFUNCTION("split(E1984,""+"")"),"Sweet Corn")</f>
        <v>Sweet Corn</v>
      </c>
      <c r="L1984" s="14" t="str">
        <f>IFERROR(__xludf.DUMMYFUNCTION("""COMPUTED_VALUE"""),"3*Ramesh S")</f>
        <v>3*Ramesh S</v>
      </c>
      <c r="M1984" s="14">
        <f>IFERROR(__xludf.DUMMYFUNCTION("SPLIT(L1984,""*"")"),3.0)</f>
        <v>3</v>
      </c>
      <c r="N1984" s="14" t="str">
        <f>IFERROR(__xludf.DUMMYFUNCTION("""COMPUTED_VALUE"""),"Ramesh S")</f>
        <v>Ramesh S</v>
      </c>
      <c r="O1984" s="14" t="str">
        <f>IFERROR(__xludf.DUMMYFUNCTION("split(J1984,""*"")"),"Delivered")</f>
        <v>Delivered</v>
      </c>
      <c r="P1984" s="14" t="str">
        <f>IFERROR(__xludf.DUMMYFUNCTION("""COMPUTED_VALUE"""),"Convenience: Easy tracking")</f>
        <v>Convenience: Easy tracking</v>
      </c>
      <c r="Q1984" s="14" t="str">
        <f>IFERROR(__xludf.DUMMYFUNCTION("split(P1984,"":"")"),"Convenience")</f>
        <v>Convenience</v>
      </c>
      <c r="R1984" s="14" t="str">
        <f>IFERROR(__xludf.DUMMYFUNCTION("""COMPUTED_VALUE""")," Easy tracking")</f>
        <v> Easy tracking</v>
      </c>
      <c r="S1984" s="14" t="str">
        <f t="shared" ref="S1984:U1984" si="3971">trim(B1984)</f>
        <v>ord_81960</v>
      </c>
      <c r="T1984" s="14" t="str">
        <f t="shared" si="3971"/>
        <v>Aditya Basu</v>
      </c>
      <c r="U1984" s="14" t="str">
        <f t="shared" si="3971"/>
        <v>Juhu</v>
      </c>
      <c r="V1984" s="14" t="str">
        <f t="shared" si="4"/>
        <v>Sweet Corn</v>
      </c>
      <c r="W1984" s="14">
        <f t="shared" si="5"/>
        <v>3</v>
      </c>
      <c r="X1984" s="14" t="str">
        <f t="shared" si="6"/>
        <v>Ramesh S</v>
      </c>
      <c r="Y1984" s="15">
        <f t="shared" si="7"/>
        <v>45264</v>
      </c>
      <c r="Z1984" s="14" t="str">
        <f t="shared" si="8"/>
        <v>UPI</v>
      </c>
      <c r="AA1984" s="14" t="str">
        <f t="shared" si="9"/>
        <v>Delivered</v>
      </c>
      <c r="AB1984" s="14" t="str">
        <f t="shared" ref="AB1984:AC1984" si="3972">trim(Q1984)</f>
        <v>Convenience</v>
      </c>
      <c r="AC1984" s="14" t="str">
        <f t="shared" si="3972"/>
        <v>Easy tracking</v>
      </c>
      <c r="AD1984" s="8"/>
    </row>
    <row r="1985">
      <c r="A1985" s="14" t="str">
        <f>IFERROR(__xludf.DUMMYFUNCTION("""COMPUTED_VALUE"""),"//ord_81961//Ishita Banerjee//Juhu//Guava+2*Ramesh S/9/5/2023//UPI//Cancelled*Delayed Delivery:Traffic Accidents or Road Closures")</f>
        <v>//ord_81961//Ishita Banerjee//Juhu//Guava+2*Ramesh S/9/5/2023//UPI//Cancelled*Delayed Delivery:Traffic Accidents or Road Closures</v>
      </c>
      <c r="B1985" s="14" t="str">
        <f>IFERROR(__xludf.DUMMYFUNCTION("split(A1985,""//"")"),"ord_81961")</f>
        <v>ord_81961</v>
      </c>
      <c r="C1985" s="14" t="str">
        <f>IFERROR(__xludf.DUMMYFUNCTION("""COMPUTED_VALUE"""),"Ishita Banerjee")</f>
        <v>Ishita Banerjee</v>
      </c>
      <c r="D1985" s="14" t="str">
        <f>IFERROR(__xludf.DUMMYFUNCTION("""COMPUTED_VALUE"""),"Juhu")</f>
        <v>Juhu</v>
      </c>
      <c r="E1985" s="14" t="str">
        <f>IFERROR(__xludf.DUMMYFUNCTION("""COMPUTED_VALUE"""),"Guava+2*Ramesh S")</f>
        <v>Guava+2*Ramesh S</v>
      </c>
      <c r="F1985" s="14">
        <f>IFERROR(__xludf.DUMMYFUNCTION("""COMPUTED_VALUE"""),9.0)</f>
        <v>9</v>
      </c>
      <c r="G1985" s="14">
        <f>IFERROR(__xludf.DUMMYFUNCTION("""COMPUTED_VALUE"""),5.0)</f>
        <v>5</v>
      </c>
      <c r="H1985" s="14">
        <f>IFERROR(__xludf.DUMMYFUNCTION("""COMPUTED_VALUE"""),2023.0)</f>
        <v>2023</v>
      </c>
      <c r="I1985" s="14" t="str">
        <f>IFERROR(__xludf.DUMMYFUNCTION("""COMPUTED_VALUE"""),"UPI")</f>
        <v>UPI</v>
      </c>
      <c r="J1985" s="14" t="str">
        <f>IFERROR(__xludf.DUMMYFUNCTION("""COMPUTED_VALUE"""),"Cancelled*Delayed Delivery:Traffic Accidents or Road Closures")</f>
        <v>Cancelled*Delayed Delivery:Traffic Accidents or Road Closures</v>
      </c>
      <c r="K1985" s="14" t="str">
        <f>IFERROR(__xludf.DUMMYFUNCTION("split(E1985,""+"")"),"Guava")</f>
        <v>Guava</v>
      </c>
      <c r="L1985" s="14" t="str">
        <f>IFERROR(__xludf.DUMMYFUNCTION("""COMPUTED_VALUE"""),"2*Ramesh S")</f>
        <v>2*Ramesh S</v>
      </c>
      <c r="M1985" s="14">
        <f>IFERROR(__xludf.DUMMYFUNCTION("SPLIT(L1985,""*"")"),2.0)</f>
        <v>2</v>
      </c>
      <c r="N1985" s="14" t="str">
        <f>IFERROR(__xludf.DUMMYFUNCTION("""COMPUTED_VALUE"""),"Ramesh S")</f>
        <v>Ramesh S</v>
      </c>
      <c r="O1985" s="14" t="str">
        <f>IFERROR(__xludf.DUMMYFUNCTION("split(J1985,""*"")"),"Cancelled")</f>
        <v>Cancelled</v>
      </c>
      <c r="P1985" s="14" t="str">
        <f>IFERROR(__xludf.DUMMYFUNCTION("""COMPUTED_VALUE"""),"Delayed Delivery:Traffic Accidents or Road Closures")</f>
        <v>Delayed Delivery:Traffic Accidents or Road Closures</v>
      </c>
      <c r="Q1985" s="14" t="str">
        <f>IFERROR(__xludf.DUMMYFUNCTION("split(P1985,"":"")"),"Delayed Delivery")</f>
        <v>Delayed Delivery</v>
      </c>
      <c r="R1985" s="14" t="str">
        <f>IFERROR(__xludf.DUMMYFUNCTION("""COMPUTED_VALUE"""),"Traffic Accidents or Road Closures")</f>
        <v>Traffic Accidents or Road Closures</v>
      </c>
      <c r="S1985" s="14" t="str">
        <f t="shared" ref="S1985:U1985" si="3973">trim(B1985)</f>
        <v>ord_81961</v>
      </c>
      <c r="T1985" s="14" t="str">
        <f t="shared" si="3973"/>
        <v>Ishita Banerjee</v>
      </c>
      <c r="U1985" s="14" t="str">
        <f t="shared" si="3973"/>
        <v>Juhu</v>
      </c>
      <c r="V1985" s="14" t="str">
        <f t="shared" si="4"/>
        <v>Guava</v>
      </c>
      <c r="W1985" s="14">
        <f t="shared" si="5"/>
        <v>2</v>
      </c>
      <c r="X1985" s="14" t="str">
        <f t="shared" si="6"/>
        <v>Ramesh S</v>
      </c>
      <c r="Y1985" s="15">
        <f t="shared" si="7"/>
        <v>45174</v>
      </c>
      <c r="Z1985" s="14" t="str">
        <f t="shared" si="8"/>
        <v>UPI</v>
      </c>
      <c r="AA1985" s="14" t="str">
        <f t="shared" si="9"/>
        <v>Cancelled</v>
      </c>
      <c r="AB1985" s="14" t="str">
        <f t="shared" ref="AB1985:AC1985" si="3974">trim(Q1985)</f>
        <v>Delayed Delivery</v>
      </c>
      <c r="AC1985" s="14" t="str">
        <f t="shared" si="3974"/>
        <v>Traffic Accidents or Road Closures</v>
      </c>
      <c r="AD1985" s="8"/>
    </row>
    <row r="1986">
      <c r="A1986" s="14" t="str">
        <f>IFERROR(__xludf.DUMMYFUNCTION("""COMPUTED_VALUE"""),"//ord_81962//Sanjay Nair//Dadar//Cucumber+1*Neha Shah/7/28/2023//Online Payment//Cancelled*Delayed Delivery:Heavy Traffic")</f>
        <v>//ord_81962//Sanjay Nair//Dadar//Cucumber+1*Neha Shah/7/28/2023//Online Payment//Cancelled*Delayed Delivery:Heavy Traffic</v>
      </c>
      <c r="B1986" s="14" t="str">
        <f>IFERROR(__xludf.DUMMYFUNCTION("split(A1986,""//"")"),"ord_81962")</f>
        <v>ord_81962</v>
      </c>
      <c r="C1986" s="14" t="str">
        <f>IFERROR(__xludf.DUMMYFUNCTION("""COMPUTED_VALUE"""),"Sanjay Nair")</f>
        <v>Sanjay Nair</v>
      </c>
      <c r="D1986" s="14" t="str">
        <f>IFERROR(__xludf.DUMMYFUNCTION("""COMPUTED_VALUE"""),"Dadar")</f>
        <v>Dadar</v>
      </c>
      <c r="E1986" s="14" t="str">
        <f>IFERROR(__xludf.DUMMYFUNCTION("""COMPUTED_VALUE"""),"Cucumber+1*Neha Shah")</f>
        <v>Cucumber+1*Neha Shah</v>
      </c>
      <c r="F1986" s="14">
        <f>IFERROR(__xludf.DUMMYFUNCTION("""COMPUTED_VALUE"""),7.0)</f>
        <v>7</v>
      </c>
      <c r="G1986" s="14">
        <f>IFERROR(__xludf.DUMMYFUNCTION("""COMPUTED_VALUE"""),28.0)</f>
        <v>28</v>
      </c>
      <c r="H1986" s="14">
        <f>IFERROR(__xludf.DUMMYFUNCTION("""COMPUTED_VALUE"""),2023.0)</f>
        <v>2023</v>
      </c>
      <c r="I1986" s="14" t="str">
        <f>IFERROR(__xludf.DUMMYFUNCTION("""COMPUTED_VALUE"""),"Online Payment")</f>
        <v>Online Payment</v>
      </c>
      <c r="J1986" s="14" t="str">
        <f>IFERROR(__xludf.DUMMYFUNCTION("""COMPUTED_VALUE"""),"Cancelled*Delayed Delivery:Heavy Traffic")</f>
        <v>Cancelled*Delayed Delivery:Heavy Traffic</v>
      </c>
      <c r="K1986" s="14" t="str">
        <f>IFERROR(__xludf.DUMMYFUNCTION("split(E1986,""+"")"),"Cucumber")</f>
        <v>Cucumber</v>
      </c>
      <c r="L1986" s="14" t="str">
        <f>IFERROR(__xludf.DUMMYFUNCTION("""COMPUTED_VALUE"""),"1*Neha Shah")</f>
        <v>1*Neha Shah</v>
      </c>
      <c r="M1986" s="14">
        <f>IFERROR(__xludf.DUMMYFUNCTION("SPLIT(L1986,""*"")"),1.0)</f>
        <v>1</v>
      </c>
      <c r="N1986" s="14" t="str">
        <f>IFERROR(__xludf.DUMMYFUNCTION("""COMPUTED_VALUE"""),"Neha Shah")</f>
        <v>Neha Shah</v>
      </c>
      <c r="O1986" s="14" t="str">
        <f>IFERROR(__xludf.DUMMYFUNCTION("split(J1986,""*"")"),"Cancelled")</f>
        <v>Cancelled</v>
      </c>
      <c r="P1986" s="14" t="str">
        <f>IFERROR(__xludf.DUMMYFUNCTION("""COMPUTED_VALUE"""),"Delayed Delivery:Heavy Traffic")</f>
        <v>Delayed Delivery:Heavy Traffic</v>
      </c>
      <c r="Q1986" s="14" t="str">
        <f>IFERROR(__xludf.DUMMYFUNCTION("split(P1986,"":"")"),"Delayed Delivery")</f>
        <v>Delayed Delivery</v>
      </c>
      <c r="R1986" s="14" t="str">
        <f>IFERROR(__xludf.DUMMYFUNCTION("""COMPUTED_VALUE"""),"Heavy Traffic")</f>
        <v>Heavy Traffic</v>
      </c>
      <c r="S1986" s="14" t="str">
        <f t="shared" ref="S1986:U1986" si="3975">trim(B1986)</f>
        <v>ord_81962</v>
      </c>
      <c r="T1986" s="14" t="str">
        <f t="shared" si="3975"/>
        <v>Sanjay Nair</v>
      </c>
      <c r="U1986" s="14" t="str">
        <f t="shared" si="3975"/>
        <v>Dadar</v>
      </c>
      <c r="V1986" s="14" t="str">
        <f t="shared" si="4"/>
        <v>Cucumber</v>
      </c>
      <c r="W1986" s="14">
        <f t="shared" si="5"/>
        <v>1</v>
      </c>
      <c r="X1986" s="14" t="str">
        <f t="shared" si="6"/>
        <v>Neha Shah</v>
      </c>
      <c r="Y1986" s="15">
        <f t="shared" si="7"/>
        <v>45135</v>
      </c>
      <c r="Z1986" s="14" t="str">
        <f t="shared" si="8"/>
        <v>Online Payment</v>
      </c>
      <c r="AA1986" s="14" t="str">
        <f t="shared" si="9"/>
        <v>Cancelled</v>
      </c>
      <c r="AB1986" s="14" t="str">
        <f t="shared" ref="AB1986:AC1986" si="3976">trim(Q1986)</f>
        <v>Delayed Delivery</v>
      </c>
      <c r="AC1986" s="14" t="str">
        <f t="shared" si="3976"/>
        <v>Heavy Traffic</v>
      </c>
      <c r="AD1986" s="8"/>
    </row>
    <row r="1987">
      <c r="A1987" s="14" t="str">
        <f>IFERROR(__xludf.DUMMYFUNCTION("""COMPUTED_VALUE"""),"//ord_81963//Kavya Menon//Andheri//Cucumber+4*Manju Ajay/9/26/2023//Online Payment//Delivered*Overall Satisfaction: Great service will order again")</f>
        <v>//ord_81963//Kavya Menon//Andheri//Cucumber+4*Manju Ajay/9/26/2023//Online Payment//Delivered*Overall Satisfaction: Great service will order again</v>
      </c>
      <c r="B1987" s="14" t="str">
        <f>IFERROR(__xludf.DUMMYFUNCTION("split(A1987,""//"")"),"ord_81963")</f>
        <v>ord_81963</v>
      </c>
      <c r="C1987" s="14" t="str">
        <f>IFERROR(__xludf.DUMMYFUNCTION("""COMPUTED_VALUE"""),"Kavya Menon")</f>
        <v>Kavya Menon</v>
      </c>
      <c r="D1987" s="14" t="str">
        <f>IFERROR(__xludf.DUMMYFUNCTION("""COMPUTED_VALUE"""),"Andheri")</f>
        <v>Andheri</v>
      </c>
      <c r="E1987" s="14" t="str">
        <f>IFERROR(__xludf.DUMMYFUNCTION("""COMPUTED_VALUE"""),"Cucumber+4*Manju Ajay")</f>
        <v>Cucumber+4*Manju Ajay</v>
      </c>
      <c r="F1987" s="14">
        <f>IFERROR(__xludf.DUMMYFUNCTION("""COMPUTED_VALUE"""),9.0)</f>
        <v>9</v>
      </c>
      <c r="G1987" s="14">
        <f>IFERROR(__xludf.DUMMYFUNCTION("""COMPUTED_VALUE"""),26.0)</f>
        <v>26</v>
      </c>
      <c r="H1987" s="14">
        <f>IFERROR(__xludf.DUMMYFUNCTION("""COMPUTED_VALUE"""),2023.0)</f>
        <v>2023</v>
      </c>
      <c r="I1987" s="14" t="str">
        <f>IFERROR(__xludf.DUMMYFUNCTION("""COMPUTED_VALUE"""),"Online Payment")</f>
        <v>Online Payment</v>
      </c>
      <c r="J1987" s="14" t="str">
        <f>IFERROR(__xludf.DUMMYFUNCTION("""COMPUTED_VALUE"""),"Delivered*Overall Satisfaction: Great service will order again")</f>
        <v>Delivered*Overall Satisfaction: Great service will order again</v>
      </c>
      <c r="K1987" s="14" t="str">
        <f>IFERROR(__xludf.DUMMYFUNCTION("split(E1987,""+"")"),"Cucumber")</f>
        <v>Cucumber</v>
      </c>
      <c r="L1987" s="14" t="str">
        <f>IFERROR(__xludf.DUMMYFUNCTION("""COMPUTED_VALUE"""),"4*Manju Ajay")</f>
        <v>4*Manju Ajay</v>
      </c>
      <c r="M1987" s="14">
        <f>IFERROR(__xludf.DUMMYFUNCTION("SPLIT(L1987,""*"")"),4.0)</f>
        <v>4</v>
      </c>
      <c r="N1987" s="14" t="str">
        <f>IFERROR(__xludf.DUMMYFUNCTION("""COMPUTED_VALUE"""),"Manju Ajay")</f>
        <v>Manju Ajay</v>
      </c>
      <c r="O1987" s="14" t="str">
        <f>IFERROR(__xludf.DUMMYFUNCTION("split(J1987,""*"")"),"Delivered")</f>
        <v>Delivered</v>
      </c>
      <c r="P1987" s="14" t="str">
        <f>IFERROR(__xludf.DUMMYFUNCTION("""COMPUTED_VALUE"""),"Overall Satisfaction: Great service will order again")</f>
        <v>Overall Satisfaction: Great service will order again</v>
      </c>
      <c r="Q1987" s="14" t="str">
        <f>IFERROR(__xludf.DUMMYFUNCTION("split(P1987,"":"")"),"Overall Satisfaction")</f>
        <v>Overall Satisfaction</v>
      </c>
      <c r="R1987" s="14" t="str">
        <f>IFERROR(__xludf.DUMMYFUNCTION("""COMPUTED_VALUE""")," Great service will order again")</f>
        <v> Great service will order again</v>
      </c>
      <c r="S1987" s="14" t="str">
        <f t="shared" ref="S1987:U1987" si="3977">trim(B1987)</f>
        <v>ord_81963</v>
      </c>
      <c r="T1987" s="14" t="str">
        <f t="shared" si="3977"/>
        <v>Kavya Menon</v>
      </c>
      <c r="U1987" s="14" t="str">
        <f t="shared" si="3977"/>
        <v>Andheri</v>
      </c>
      <c r="V1987" s="14" t="str">
        <f t="shared" si="4"/>
        <v>Cucumber</v>
      </c>
      <c r="W1987" s="14">
        <f t="shared" si="5"/>
        <v>4</v>
      </c>
      <c r="X1987" s="14" t="str">
        <f t="shared" si="6"/>
        <v>Manju Ajay</v>
      </c>
      <c r="Y1987" s="15">
        <f t="shared" si="7"/>
        <v>45195</v>
      </c>
      <c r="Z1987" s="14" t="str">
        <f t="shared" si="8"/>
        <v>Online Payment</v>
      </c>
      <c r="AA1987" s="14" t="str">
        <f t="shared" si="9"/>
        <v>Delivered</v>
      </c>
      <c r="AB1987" s="14" t="str">
        <f t="shared" ref="AB1987:AC1987" si="3978">trim(Q1987)</f>
        <v>Overall Satisfaction</v>
      </c>
      <c r="AC1987" s="14" t="str">
        <f t="shared" si="3978"/>
        <v>Great service will order again</v>
      </c>
      <c r="AD1987" s="8"/>
    </row>
    <row r="1988">
      <c r="A1988" s="14" t="str">
        <f>IFERROR(__xludf.DUMMYFUNCTION("""COMPUTED_VALUE"""),"//ord_81964//Kavya Menon//Andheri//Cucumber+4*Sita T/6/24/2023//UPI//Delivered*On-time Delivery: Delivered on time")</f>
        <v>//ord_81964//Kavya Menon//Andheri//Cucumber+4*Sita T/6/24/2023//UPI//Delivered*On-time Delivery: Delivered on time</v>
      </c>
      <c r="B1988" s="14" t="str">
        <f>IFERROR(__xludf.DUMMYFUNCTION("split(A1988,""//"")"),"ord_81964")</f>
        <v>ord_81964</v>
      </c>
      <c r="C1988" s="14" t="str">
        <f>IFERROR(__xludf.DUMMYFUNCTION("""COMPUTED_VALUE"""),"Kavya Menon")</f>
        <v>Kavya Menon</v>
      </c>
      <c r="D1988" s="14" t="str">
        <f>IFERROR(__xludf.DUMMYFUNCTION("""COMPUTED_VALUE"""),"Andheri")</f>
        <v>Andheri</v>
      </c>
      <c r="E1988" s="14" t="str">
        <f>IFERROR(__xludf.DUMMYFUNCTION("""COMPUTED_VALUE"""),"Cucumber+4*Sita T")</f>
        <v>Cucumber+4*Sita T</v>
      </c>
      <c r="F1988" s="14">
        <f>IFERROR(__xludf.DUMMYFUNCTION("""COMPUTED_VALUE"""),6.0)</f>
        <v>6</v>
      </c>
      <c r="G1988" s="14">
        <f>IFERROR(__xludf.DUMMYFUNCTION("""COMPUTED_VALUE"""),24.0)</f>
        <v>24</v>
      </c>
      <c r="H1988" s="14">
        <f>IFERROR(__xludf.DUMMYFUNCTION("""COMPUTED_VALUE"""),2023.0)</f>
        <v>2023</v>
      </c>
      <c r="I1988" s="14" t="str">
        <f>IFERROR(__xludf.DUMMYFUNCTION("""COMPUTED_VALUE"""),"UPI")</f>
        <v>UPI</v>
      </c>
      <c r="J1988" s="14" t="str">
        <f>IFERROR(__xludf.DUMMYFUNCTION("""COMPUTED_VALUE"""),"Delivered*On-time Delivery: Delivered on time")</f>
        <v>Delivered*On-time Delivery: Delivered on time</v>
      </c>
      <c r="K1988" s="14" t="str">
        <f>IFERROR(__xludf.DUMMYFUNCTION("split(E1988,""+"")"),"Cucumber")</f>
        <v>Cucumber</v>
      </c>
      <c r="L1988" s="14" t="str">
        <f>IFERROR(__xludf.DUMMYFUNCTION("""COMPUTED_VALUE"""),"4*Sita T")</f>
        <v>4*Sita T</v>
      </c>
      <c r="M1988" s="14">
        <f>IFERROR(__xludf.DUMMYFUNCTION("SPLIT(L1988,""*"")"),4.0)</f>
        <v>4</v>
      </c>
      <c r="N1988" s="14" t="str">
        <f>IFERROR(__xludf.DUMMYFUNCTION("""COMPUTED_VALUE"""),"Sita T")</f>
        <v>Sita T</v>
      </c>
      <c r="O1988" s="14" t="str">
        <f>IFERROR(__xludf.DUMMYFUNCTION("split(J1988,""*"")"),"Delivered")</f>
        <v>Delivered</v>
      </c>
      <c r="P1988" s="14" t="str">
        <f>IFERROR(__xludf.DUMMYFUNCTION("""COMPUTED_VALUE"""),"On-time Delivery: Delivered on time")</f>
        <v>On-time Delivery: Delivered on time</v>
      </c>
      <c r="Q1988" s="14" t="str">
        <f>IFERROR(__xludf.DUMMYFUNCTION("split(P1988,"":"")"),"On-time Delivery")</f>
        <v>On-time Delivery</v>
      </c>
      <c r="R1988" s="14" t="str">
        <f>IFERROR(__xludf.DUMMYFUNCTION("""COMPUTED_VALUE""")," Delivered on time")</f>
        <v> Delivered on time</v>
      </c>
      <c r="S1988" s="14" t="str">
        <f t="shared" ref="S1988:U1988" si="3979">trim(B1988)</f>
        <v>ord_81964</v>
      </c>
      <c r="T1988" s="14" t="str">
        <f t="shared" si="3979"/>
        <v>Kavya Menon</v>
      </c>
      <c r="U1988" s="14" t="str">
        <f t="shared" si="3979"/>
        <v>Andheri</v>
      </c>
      <c r="V1988" s="14" t="str">
        <f t="shared" si="4"/>
        <v>Cucumber</v>
      </c>
      <c r="W1988" s="14">
        <f t="shared" si="5"/>
        <v>4</v>
      </c>
      <c r="X1988" s="14" t="str">
        <f t="shared" si="6"/>
        <v>Sita T</v>
      </c>
      <c r="Y1988" s="15">
        <f t="shared" si="7"/>
        <v>45101</v>
      </c>
      <c r="Z1988" s="14" t="str">
        <f t="shared" si="8"/>
        <v>UPI</v>
      </c>
      <c r="AA1988" s="14" t="str">
        <f t="shared" si="9"/>
        <v>Delivered</v>
      </c>
      <c r="AB1988" s="14" t="str">
        <f t="shared" ref="AB1988:AC1988" si="3980">trim(Q1988)</f>
        <v>On-time Delivery</v>
      </c>
      <c r="AC1988" s="14" t="str">
        <f t="shared" si="3980"/>
        <v>Delivered on time</v>
      </c>
      <c r="AD1988" s="8"/>
    </row>
    <row r="1989">
      <c r="A1989" s="14" t="str">
        <f>IFERROR(__xludf.DUMMYFUNCTION("""COMPUTED_VALUE"""),"//ord_81965//Ishita Banerjee//Juhu//Rasmalai+1*Not Assigned/1/8/2023//Credit Card//Cancelled*Payment Issues")</f>
        <v>//ord_81965//Ishita Banerjee//Juhu//Rasmalai+1*Not Assigned/1/8/2023//Credit Card//Cancelled*Payment Issues</v>
      </c>
      <c r="B1989" s="14" t="str">
        <f>IFERROR(__xludf.DUMMYFUNCTION("split(A1989,""//"")"),"ord_81965")</f>
        <v>ord_81965</v>
      </c>
      <c r="C1989" s="14" t="str">
        <f>IFERROR(__xludf.DUMMYFUNCTION("""COMPUTED_VALUE"""),"Ishita Banerjee")</f>
        <v>Ishita Banerjee</v>
      </c>
      <c r="D1989" s="14" t="str">
        <f>IFERROR(__xludf.DUMMYFUNCTION("""COMPUTED_VALUE"""),"Juhu")</f>
        <v>Juhu</v>
      </c>
      <c r="E1989" s="14" t="str">
        <f>IFERROR(__xludf.DUMMYFUNCTION("""COMPUTED_VALUE"""),"Rasmalai+1*Not Assigned")</f>
        <v>Rasmalai+1*Not Assigned</v>
      </c>
      <c r="F1989" s="14">
        <f>IFERROR(__xludf.DUMMYFUNCTION("""COMPUTED_VALUE"""),1.0)</f>
        <v>1</v>
      </c>
      <c r="G1989" s="14">
        <f>IFERROR(__xludf.DUMMYFUNCTION("""COMPUTED_VALUE"""),8.0)</f>
        <v>8</v>
      </c>
      <c r="H1989" s="14">
        <f>IFERROR(__xludf.DUMMYFUNCTION("""COMPUTED_VALUE"""),2023.0)</f>
        <v>2023</v>
      </c>
      <c r="I1989" s="14" t="str">
        <f>IFERROR(__xludf.DUMMYFUNCTION("""COMPUTED_VALUE"""),"Credit Card")</f>
        <v>Credit Card</v>
      </c>
      <c r="J1989" s="14" t="str">
        <f>IFERROR(__xludf.DUMMYFUNCTION("""COMPUTED_VALUE"""),"Cancelled*Payment Issues")</f>
        <v>Cancelled*Payment Issues</v>
      </c>
      <c r="K1989" s="14" t="str">
        <f>IFERROR(__xludf.DUMMYFUNCTION("split(E1989,""+"")"),"Rasmalai")</f>
        <v>Rasmalai</v>
      </c>
      <c r="L1989" s="14" t="str">
        <f>IFERROR(__xludf.DUMMYFUNCTION("""COMPUTED_VALUE"""),"1*Not Assigned")</f>
        <v>1*Not Assigned</v>
      </c>
      <c r="M1989" s="14">
        <f>IFERROR(__xludf.DUMMYFUNCTION("SPLIT(L1989,""*"")"),1.0)</f>
        <v>1</v>
      </c>
      <c r="N1989" s="14" t="str">
        <f>IFERROR(__xludf.DUMMYFUNCTION("""COMPUTED_VALUE"""),"Not Assigned")</f>
        <v>Not Assigned</v>
      </c>
      <c r="O1989" s="14" t="str">
        <f>IFERROR(__xludf.DUMMYFUNCTION("split(J1989,""*"")"),"Cancelled")</f>
        <v>Cancelled</v>
      </c>
      <c r="P1989" s="14" t="str">
        <f>IFERROR(__xludf.DUMMYFUNCTION("""COMPUTED_VALUE"""),"Payment Issues")</f>
        <v>Payment Issues</v>
      </c>
      <c r="Q1989" s="14" t="str">
        <f>IFERROR(__xludf.DUMMYFUNCTION("split(P1989,"":"")"),"Payment Issues")</f>
        <v>Payment Issues</v>
      </c>
      <c r="R1989" s="14"/>
      <c r="S1989" s="14" t="str">
        <f t="shared" ref="S1989:U1989" si="3981">trim(B1989)</f>
        <v>ord_81965</v>
      </c>
      <c r="T1989" s="14" t="str">
        <f t="shared" si="3981"/>
        <v>Ishita Banerjee</v>
      </c>
      <c r="U1989" s="14" t="str">
        <f t="shared" si="3981"/>
        <v>Juhu</v>
      </c>
      <c r="V1989" s="14" t="str">
        <f t="shared" si="4"/>
        <v>Rasmalai</v>
      </c>
      <c r="W1989" s="14">
        <f t="shared" si="5"/>
        <v>1</v>
      </c>
      <c r="X1989" s="14" t="str">
        <f t="shared" si="6"/>
        <v>Not Assigned</v>
      </c>
      <c r="Y1989" s="15">
        <f t="shared" si="7"/>
        <v>44934</v>
      </c>
      <c r="Z1989" s="14" t="str">
        <f t="shared" si="8"/>
        <v>Credit Card</v>
      </c>
      <c r="AA1989" s="14" t="str">
        <f t="shared" si="9"/>
        <v>Cancelled</v>
      </c>
      <c r="AB1989" s="14" t="str">
        <f t="shared" ref="AB1989:AC1989" si="3982">trim(Q1989)</f>
        <v>Payment Issues</v>
      </c>
      <c r="AC1989" s="14" t="str">
        <f t="shared" si="3982"/>
        <v/>
      </c>
      <c r="AD1989" s="8"/>
    </row>
    <row r="1990">
      <c r="A1990" s="14" t="str">
        <f>IFERROR(__xludf.DUMMYFUNCTION("""COMPUTED_VALUE"""),"//ord_81966//Arvind Kulkarni//Juhu//Sweet Corn+2*Not Assigned/9/26/2023//Online Payment//Cancelled*App Glitches:Error Messages")</f>
        <v>//ord_81966//Arvind Kulkarni//Juhu//Sweet Corn+2*Not Assigned/9/26/2023//Online Payment//Cancelled*App Glitches:Error Messages</v>
      </c>
      <c r="B1990" s="14" t="str">
        <f>IFERROR(__xludf.DUMMYFUNCTION("split(A1990,""//"")"),"ord_81966")</f>
        <v>ord_81966</v>
      </c>
      <c r="C1990" s="14" t="str">
        <f>IFERROR(__xludf.DUMMYFUNCTION("""COMPUTED_VALUE"""),"Arvind Kulkarni")</f>
        <v>Arvind Kulkarni</v>
      </c>
      <c r="D1990" s="14" t="str">
        <f>IFERROR(__xludf.DUMMYFUNCTION("""COMPUTED_VALUE"""),"Juhu")</f>
        <v>Juhu</v>
      </c>
      <c r="E1990" s="14" t="str">
        <f>IFERROR(__xludf.DUMMYFUNCTION("""COMPUTED_VALUE"""),"Sweet Corn+2*Not Assigned")</f>
        <v>Sweet Corn+2*Not Assigned</v>
      </c>
      <c r="F1990" s="14">
        <f>IFERROR(__xludf.DUMMYFUNCTION("""COMPUTED_VALUE"""),9.0)</f>
        <v>9</v>
      </c>
      <c r="G1990" s="14">
        <f>IFERROR(__xludf.DUMMYFUNCTION("""COMPUTED_VALUE"""),26.0)</f>
        <v>26</v>
      </c>
      <c r="H1990" s="14">
        <f>IFERROR(__xludf.DUMMYFUNCTION("""COMPUTED_VALUE"""),2023.0)</f>
        <v>2023</v>
      </c>
      <c r="I1990" s="14" t="str">
        <f>IFERROR(__xludf.DUMMYFUNCTION("""COMPUTED_VALUE"""),"Online Payment")</f>
        <v>Online Payment</v>
      </c>
      <c r="J1990" s="14" t="str">
        <f>IFERROR(__xludf.DUMMYFUNCTION("""COMPUTED_VALUE"""),"Cancelled*App Glitches:Error Messages")</f>
        <v>Cancelled*App Glitches:Error Messages</v>
      </c>
      <c r="K1990" s="14" t="str">
        <f>IFERROR(__xludf.DUMMYFUNCTION("split(E1990,""+"")"),"Sweet Corn")</f>
        <v>Sweet Corn</v>
      </c>
      <c r="L1990" s="14" t="str">
        <f>IFERROR(__xludf.DUMMYFUNCTION("""COMPUTED_VALUE"""),"2*Not Assigned")</f>
        <v>2*Not Assigned</v>
      </c>
      <c r="M1990" s="14">
        <f>IFERROR(__xludf.DUMMYFUNCTION("SPLIT(L1990,""*"")"),2.0)</f>
        <v>2</v>
      </c>
      <c r="N1990" s="14" t="str">
        <f>IFERROR(__xludf.DUMMYFUNCTION("""COMPUTED_VALUE"""),"Not Assigned")</f>
        <v>Not Assigned</v>
      </c>
      <c r="O1990" s="14" t="str">
        <f>IFERROR(__xludf.DUMMYFUNCTION("split(J1990,""*"")"),"Cancelled")</f>
        <v>Cancelled</v>
      </c>
      <c r="P1990" s="14" t="str">
        <f>IFERROR(__xludf.DUMMYFUNCTION("""COMPUTED_VALUE"""),"App Glitches:Error Messages")</f>
        <v>App Glitches:Error Messages</v>
      </c>
      <c r="Q1990" s="14" t="str">
        <f>IFERROR(__xludf.DUMMYFUNCTION("split(P1990,"":"")"),"App Glitches")</f>
        <v>App Glitches</v>
      </c>
      <c r="R1990" s="14" t="str">
        <f>IFERROR(__xludf.DUMMYFUNCTION("""COMPUTED_VALUE"""),"Error Messages")</f>
        <v>Error Messages</v>
      </c>
      <c r="S1990" s="14" t="str">
        <f t="shared" ref="S1990:U1990" si="3983">trim(B1990)</f>
        <v>ord_81966</v>
      </c>
      <c r="T1990" s="14" t="str">
        <f t="shared" si="3983"/>
        <v>Arvind Kulkarni</v>
      </c>
      <c r="U1990" s="14" t="str">
        <f t="shared" si="3983"/>
        <v>Juhu</v>
      </c>
      <c r="V1990" s="14" t="str">
        <f t="shared" si="4"/>
        <v>Sweet Corn</v>
      </c>
      <c r="W1990" s="14">
        <f t="shared" si="5"/>
        <v>2</v>
      </c>
      <c r="X1990" s="14" t="str">
        <f t="shared" si="6"/>
        <v>Not Assigned</v>
      </c>
      <c r="Y1990" s="15">
        <f t="shared" si="7"/>
        <v>45195</v>
      </c>
      <c r="Z1990" s="14" t="str">
        <f t="shared" si="8"/>
        <v>Online Payment</v>
      </c>
      <c r="AA1990" s="14" t="str">
        <f t="shared" si="9"/>
        <v>Cancelled</v>
      </c>
      <c r="AB1990" s="14" t="str">
        <f t="shared" ref="AB1990:AC1990" si="3984">trim(Q1990)</f>
        <v>App Glitches</v>
      </c>
      <c r="AC1990" s="14" t="str">
        <f t="shared" si="3984"/>
        <v>Error Messages</v>
      </c>
      <c r="AD1990" s="8"/>
    </row>
    <row r="1991">
      <c r="A1991" s="14" t="str">
        <f>IFERROR(__xludf.DUMMYFUNCTION("""COMPUTED_VALUE"""),"//ord_81967//Mehul Thakkar//Malad//Veg Puff+3*Ramesh S/3/29/2023//Credit Card//Delivered*Quality of Items: Perfect condition")</f>
        <v>//ord_81967//Mehul Thakkar//Malad//Veg Puff+3*Ramesh S/3/29/2023//Credit Card//Delivered*Quality of Items: Perfect condition</v>
      </c>
      <c r="B1991" s="14" t="str">
        <f>IFERROR(__xludf.DUMMYFUNCTION("split(A1991,""//"")"),"ord_81967")</f>
        <v>ord_81967</v>
      </c>
      <c r="C1991" s="14" t="str">
        <f>IFERROR(__xludf.DUMMYFUNCTION("""COMPUTED_VALUE"""),"Mehul Thakkar")</f>
        <v>Mehul Thakkar</v>
      </c>
      <c r="D1991" s="14" t="str">
        <f>IFERROR(__xludf.DUMMYFUNCTION("""COMPUTED_VALUE"""),"Malad")</f>
        <v>Malad</v>
      </c>
      <c r="E1991" s="14" t="str">
        <f>IFERROR(__xludf.DUMMYFUNCTION("""COMPUTED_VALUE"""),"Veg Puff+3*Ramesh S")</f>
        <v>Veg Puff+3*Ramesh S</v>
      </c>
      <c r="F1991" s="14">
        <f>IFERROR(__xludf.DUMMYFUNCTION("""COMPUTED_VALUE"""),3.0)</f>
        <v>3</v>
      </c>
      <c r="G1991" s="14">
        <f>IFERROR(__xludf.DUMMYFUNCTION("""COMPUTED_VALUE"""),29.0)</f>
        <v>29</v>
      </c>
      <c r="H1991" s="14">
        <f>IFERROR(__xludf.DUMMYFUNCTION("""COMPUTED_VALUE"""),2023.0)</f>
        <v>2023</v>
      </c>
      <c r="I1991" s="14" t="str">
        <f>IFERROR(__xludf.DUMMYFUNCTION("""COMPUTED_VALUE"""),"Credit Card")</f>
        <v>Credit Card</v>
      </c>
      <c r="J1991" s="14" t="str">
        <f>IFERROR(__xludf.DUMMYFUNCTION("""COMPUTED_VALUE"""),"Delivered*Quality of Items: Perfect condition")</f>
        <v>Delivered*Quality of Items: Perfect condition</v>
      </c>
      <c r="K1991" s="14" t="str">
        <f>IFERROR(__xludf.DUMMYFUNCTION("split(E1991,""+"")"),"Veg Puff")</f>
        <v>Veg Puff</v>
      </c>
      <c r="L1991" s="14" t="str">
        <f>IFERROR(__xludf.DUMMYFUNCTION("""COMPUTED_VALUE"""),"3*Ramesh S")</f>
        <v>3*Ramesh S</v>
      </c>
      <c r="M1991" s="14">
        <f>IFERROR(__xludf.DUMMYFUNCTION("SPLIT(L1991,""*"")"),3.0)</f>
        <v>3</v>
      </c>
      <c r="N1991" s="14" t="str">
        <f>IFERROR(__xludf.DUMMYFUNCTION("""COMPUTED_VALUE"""),"Ramesh S")</f>
        <v>Ramesh S</v>
      </c>
      <c r="O1991" s="14" t="str">
        <f>IFERROR(__xludf.DUMMYFUNCTION("split(J1991,""*"")"),"Delivered")</f>
        <v>Delivered</v>
      </c>
      <c r="P1991" s="14" t="str">
        <f>IFERROR(__xludf.DUMMYFUNCTION("""COMPUTED_VALUE"""),"Quality of Items: Perfect condition")</f>
        <v>Quality of Items: Perfect condition</v>
      </c>
      <c r="Q1991" s="14" t="str">
        <f>IFERROR(__xludf.DUMMYFUNCTION("split(P1991,"":"")"),"Quality of Items")</f>
        <v>Quality of Items</v>
      </c>
      <c r="R1991" s="14" t="str">
        <f>IFERROR(__xludf.DUMMYFUNCTION("""COMPUTED_VALUE""")," Perfect condition")</f>
        <v> Perfect condition</v>
      </c>
      <c r="S1991" s="14" t="str">
        <f t="shared" ref="S1991:U1991" si="3985">trim(B1991)</f>
        <v>ord_81967</v>
      </c>
      <c r="T1991" s="14" t="str">
        <f t="shared" si="3985"/>
        <v>Mehul Thakkar</v>
      </c>
      <c r="U1991" s="14" t="str">
        <f t="shared" si="3985"/>
        <v>Malad</v>
      </c>
      <c r="V1991" s="14" t="str">
        <f t="shared" si="4"/>
        <v>Veg Puff</v>
      </c>
      <c r="W1991" s="14">
        <f t="shared" si="5"/>
        <v>3</v>
      </c>
      <c r="X1991" s="14" t="str">
        <f t="shared" si="6"/>
        <v>Ramesh S</v>
      </c>
      <c r="Y1991" s="15">
        <f t="shared" si="7"/>
        <v>45014</v>
      </c>
      <c r="Z1991" s="14" t="str">
        <f t="shared" si="8"/>
        <v>Credit Card</v>
      </c>
      <c r="AA1991" s="14" t="str">
        <f t="shared" si="9"/>
        <v>Delivered</v>
      </c>
      <c r="AB1991" s="14" t="str">
        <f t="shared" ref="AB1991:AC1991" si="3986">trim(Q1991)</f>
        <v>Quality of Items</v>
      </c>
      <c r="AC1991" s="14" t="str">
        <f t="shared" si="3986"/>
        <v>Perfect condition</v>
      </c>
      <c r="AD1991" s="8"/>
    </row>
    <row r="1992">
      <c r="A1992" s="14" t="str">
        <f>IFERROR(__xludf.DUMMYFUNCTION("""COMPUTED_VALUE"""),"//ord_81968//Kunal Sharma//Powai//Cold Coffee+8*Shine Thomas/7/2/2023//Online Payment//Delivered*On-time Delivery: Delivered on time")</f>
        <v>//ord_81968//Kunal Sharma//Powai//Cold Coffee+8*Shine Thomas/7/2/2023//Online Payment//Delivered*On-time Delivery: Delivered on time</v>
      </c>
      <c r="B1992" s="14" t="str">
        <f>IFERROR(__xludf.DUMMYFUNCTION("split(A1992,""//"")"),"ord_81968")</f>
        <v>ord_81968</v>
      </c>
      <c r="C1992" s="14" t="str">
        <f>IFERROR(__xludf.DUMMYFUNCTION("""COMPUTED_VALUE"""),"Kunal Sharma")</f>
        <v>Kunal Sharma</v>
      </c>
      <c r="D1992" s="14" t="str">
        <f>IFERROR(__xludf.DUMMYFUNCTION("""COMPUTED_VALUE"""),"Powai")</f>
        <v>Powai</v>
      </c>
      <c r="E1992" s="14" t="str">
        <f>IFERROR(__xludf.DUMMYFUNCTION("""COMPUTED_VALUE"""),"Cold Coffee+8*Shine Thomas")</f>
        <v>Cold Coffee+8*Shine Thomas</v>
      </c>
      <c r="F1992" s="14">
        <f>IFERROR(__xludf.DUMMYFUNCTION("""COMPUTED_VALUE"""),7.0)</f>
        <v>7</v>
      </c>
      <c r="G1992" s="14">
        <f>IFERROR(__xludf.DUMMYFUNCTION("""COMPUTED_VALUE"""),2.0)</f>
        <v>2</v>
      </c>
      <c r="H1992" s="14">
        <f>IFERROR(__xludf.DUMMYFUNCTION("""COMPUTED_VALUE"""),2023.0)</f>
        <v>2023</v>
      </c>
      <c r="I1992" s="14" t="str">
        <f>IFERROR(__xludf.DUMMYFUNCTION("""COMPUTED_VALUE"""),"Online Payment")</f>
        <v>Online Payment</v>
      </c>
      <c r="J1992" s="14" t="str">
        <f>IFERROR(__xludf.DUMMYFUNCTION("""COMPUTED_VALUE"""),"Delivered*On-time Delivery: Delivered on time")</f>
        <v>Delivered*On-time Delivery: Delivered on time</v>
      </c>
      <c r="K1992" s="14" t="str">
        <f>IFERROR(__xludf.DUMMYFUNCTION("split(E1992,""+"")"),"Cold Coffee")</f>
        <v>Cold Coffee</v>
      </c>
      <c r="L1992" s="14" t="str">
        <f>IFERROR(__xludf.DUMMYFUNCTION("""COMPUTED_VALUE"""),"8*Shine Thomas")</f>
        <v>8*Shine Thomas</v>
      </c>
      <c r="M1992" s="14">
        <f>IFERROR(__xludf.DUMMYFUNCTION("SPLIT(L1992,""*"")"),8.0)</f>
        <v>8</v>
      </c>
      <c r="N1992" s="14" t="str">
        <f>IFERROR(__xludf.DUMMYFUNCTION("""COMPUTED_VALUE"""),"Shine Thomas")</f>
        <v>Shine Thomas</v>
      </c>
      <c r="O1992" s="14" t="str">
        <f>IFERROR(__xludf.DUMMYFUNCTION("split(J1992,""*"")"),"Delivered")</f>
        <v>Delivered</v>
      </c>
      <c r="P1992" s="14" t="str">
        <f>IFERROR(__xludf.DUMMYFUNCTION("""COMPUTED_VALUE"""),"On-time Delivery: Delivered on time")</f>
        <v>On-time Delivery: Delivered on time</v>
      </c>
      <c r="Q1992" s="14" t="str">
        <f>IFERROR(__xludf.DUMMYFUNCTION("split(P1992,"":"")"),"On-time Delivery")</f>
        <v>On-time Delivery</v>
      </c>
      <c r="R1992" s="14" t="str">
        <f>IFERROR(__xludf.DUMMYFUNCTION("""COMPUTED_VALUE""")," Delivered on time")</f>
        <v> Delivered on time</v>
      </c>
      <c r="S1992" s="14" t="str">
        <f t="shared" ref="S1992:U1992" si="3987">trim(B1992)</f>
        <v>ord_81968</v>
      </c>
      <c r="T1992" s="14" t="str">
        <f t="shared" si="3987"/>
        <v>Kunal Sharma</v>
      </c>
      <c r="U1992" s="14" t="str">
        <f t="shared" si="3987"/>
        <v>Powai</v>
      </c>
      <c r="V1992" s="14" t="str">
        <f t="shared" si="4"/>
        <v>Cold Coffee</v>
      </c>
      <c r="W1992" s="14">
        <f t="shared" si="5"/>
        <v>8</v>
      </c>
      <c r="X1992" s="14" t="str">
        <f t="shared" si="6"/>
        <v>Shine Thomas</v>
      </c>
      <c r="Y1992" s="15">
        <f t="shared" si="7"/>
        <v>45109</v>
      </c>
      <c r="Z1992" s="14" t="str">
        <f t="shared" si="8"/>
        <v>Online Payment</v>
      </c>
      <c r="AA1992" s="14" t="str">
        <f t="shared" si="9"/>
        <v>Delivered</v>
      </c>
      <c r="AB1992" s="14" t="str">
        <f t="shared" ref="AB1992:AC1992" si="3988">trim(Q1992)</f>
        <v>On-time Delivery</v>
      </c>
      <c r="AC1992" s="14" t="str">
        <f t="shared" si="3988"/>
        <v>Delivered on time</v>
      </c>
      <c r="AD1992" s="8"/>
    </row>
    <row r="1993">
      <c r="A1993" s="14" t="str">
        <f>IFERROR(__xludf.DUMMYFUNCTION("""COMPUTED_VALUE"""),"//ord_81969//Kunal Sharma//Powai//Tiramisu+6*Venu R/12/26/2023//Online Payment//Delivered*Quality of Items: Perfect condition")</f>
        <v>//ord_81969//Kunal Sharma//Powai//Tiramisu+6*Venu R/12/26/2023//Online Payment//Delivered*Quality of Items: Perfect condition</v>
      </c>
      <c r="B1993" s="14" t="str">
        <f>IFERROR(__xludf.DUMMYFUNCTION("split(A1993,""//"")"),"ord_81969")</f>
        <v>ord_81969</v>
      </c>
      <c r="C1993" s="14" t="str">
        <f>IFERROR(__xludf.DUMMYFUNCTION("""COMPUTED_VALUE"""),"Kunal Sharma")</f>
        <v>Kunal Sharma</v>
      </c>
      <c r="D1993" s="14" t="str">
        <f>IFERROR(__xludf.DUMMYFUNCTION("""COMPUTED_VALUE"""),"Powai")</f>
        <v>Powai</v>
      </c>
      <c r="E1993" s="14" t="str">
        <f>IFERROR(__xludf.DUMMYFUNCTION("""COMPUTED_VALUE"""),"Tiramisu+6*Venu R")</f>
        <v>Tiramisu+6*Venu R</v>
      </c>
      <c r="F1993" s="14">
        <f>IFERROR(__xludf.DUMMYFUNCTION("""COMPUTED_VALUE"""),12.0)</f>
        <v>12</v>
      </c>
      <c r="G1993" s="14">
        <f>IFERROR(__xludf.DUMMYFUNCTION("""COMPUTED_VALUE"""),26.0)</f>
        <v>26</v>
      </c>
      <c r="H1993" s="14">
        <f>IFERROR(__xludf.DUMMYFUNCTION("""COMPUTED_VALUE"""),2023.0)</f>
        <v>2023</v>
      </c>
      <c r="I1993" s="14" t="str">
        <f>IFERROR(__xludf.DUMMYFUNCTION("""COMPUTED_VALUE"""),"Online Payment")</f>
        <v>Online Payment</v>
      </c>
      <c r="J1993" s="14" t="str">
        <f>IFERROR(__xludf.DUMMYFUNCTION("""COMPUTED_VALUE"""),"Delivered*Quality of Items: Perfect condition")</f>
        <v>Delivered*Quality of Items: Perfect condition</v>
      </c>
      <c r="K1993" s="14" t="str">
        <f>IFERROR(__xludf.DUMMYFUNCTION("split(E1993,""+"")"),"Tiramisu")</f>
        <v>Tiramisu</v>
      </c>
      <c r="L1993" s="14" t="str">
        <f>IFERROR(__xludf.DUMMYFUNCTION("""COMPUTED_VALUE"""),"6*Venu R")</f>
        <v>6*Venu R</v>
      </c>
      <c r="M1993" s="14">
        <f>IFERROR(__xludf.DUMMYFUNCTION("SPLIT(L1993,""*"")"),6.0)</f>
        <v>6</v>
      </c>
      <c r="N1993" s="14" t="str">
        <f>IFERROR(__xludf.DUMMYFUNCTION("""COMPUTED_VALUE"""),"Venu R")</f>
        <v>Venu R</v>
      </c>
      <c r="O1993" s="14" t="str">
        <f>IFERROR(__xludf.DUMMYFUNCTION("split(J1993,""*"")"),"Delivered")</f>
        <v>Delivered</v>
      </c>
      <c r="P1993" s="14" t="str">
        <f>IFERROR(__xludf.DUMMYFUNCTION("""COMPUTED_VALUE"""),"Quality of Items: Perfect condition")</f>
        <v>Quality of Items: Perfect condition</v>
      </c>
      <c r="Q1993" s="14" t="str">
        <f>IFERROR(__xludf.DUMMYFUNCTION("split(P1993,"":"")"),"Quality of Items")</f>
        <v>Quality of Items</v>
      </c>
      <c r="R1993" s="14" t="str">
        <f>IFERROR(__xludf.DUMMYFUNCTION("""COMPUTED_VALUE""")," Perfect condition")</f>
        <v> Perfect condition</v>
      </c>
      <c r="S1993" s="14" t="str">
        <f t="shared" ref="S1993:U1993" si="3989">trim(B1993)</f>
        <v>ord_81969</v>
      </c>
      <c r="T1993" s="14" t="str">
        <f t="shared" si="3989"/>
        <v>Kunal Sharma</v>
      </c>
      <c r="U1993" s="14" t="str">
        <f t="shared" si="3989"/>
        <v>Powai</v>
      </c>
      <c r="V1993" s="14" t="str">
        <f t="shared" si="4"/>
        <v>Tiramisu</v>
      </c>
      <c r="W1993" s="14">
        <f t="shared" si="5"/>
        <v>6</v>
      </c>
      <c r="X1993" s="14" t="str">
        <f t="shared" si="6"/>
        <v>Venu R</v>
      </c>
      <c r="Y1993" s="15">
        <f t="shared" si="7"/>
        <v>45286</v>
      </c>
      <c r="Z1993" s="14" t="str">
        <f t="shared" si="8"/>
        <v>Online Payment</v>
      </c>
      <c r="AA1993" s="14" t="str">
        <f t="shared" si="9"/>
        <v>Delivered</v>
      </c>
      <c r="AB1993" s="14" t="str">
        <f t="shared" ref="AB1993:AC1993" si="3990">trim(Q1993)</f>
        <v>Quality of Items</v>
      </c>
      <c r="AC1993" s="14" t="str">
        <f t="shared" si="3990"/>
        <v>Perfect condition</v>
      </c>
      <c r="AD1993" s="8"/>
    </row>
    <row r="1994">
      <c r="A1994" s="14" t="str">
        <f>IFERROR(__xludf.DUMMYFUNCTION("""COMPUTED_VALUE"""),"//ord_81970//Siya Reddy//Juhu//Popcorn+2*Not Assigned/2/10/2023//Credit Card//Cancelled*Out of Stock")</f>
        <v>//ord_81970//Siya Reddy//Juhu//Popcorn+2*Not Assigned/2/10/2023//Credit Card//Cancelled*Out of Stock</v>
      </c>
      <c r="B1994" s="14" t="str">
        <f>IFERROR(__xludf.DUMMYFUNCTION("split(A1994,""//"")"),"ord_81970")</f>
        <v>ord_81970</v>
      </c>
      <c r="C1994" s="14" t="str">
        <f>IFERROR(__xludf.DUMMYFUNCTION("""COMPUTED_VALUE"""),"Siya Reddy")</f>
        <v>Siya Reddy</v>
      </c>
      <c r="D1994" s="14" t="str">
        <f>IFERROR(__xludf.DUMMYFUNCTION("""COMPUTED_VALUE"""),"Juhu")</f>
        <v>Juhu</v>
      </c>
      <c r="E1994" s="14" t="str">
        <f>IFERROR(__xludf.DUMMYFUNCTION("""COMPUTED_VALUE"""),"Popcorn+2*Not Assigned")</f>
        <v>Popcorn+2*Not Assigned</v>
      </c>
      <c r="F1994" s="14">
        <f>IFERROR(__xludf.DUMMYFUNCTION("""COMPUTED_VALUE"""),2.0)</f>
        <v>2</v>
      </c>
      <c r="G1994" s="14">
        <f>IFERROR(__xludf.DUMMYFUNCTION("""COMPUTED_VALUE"""),10.0)</f>
        <v>10</v>
      </c>
      <c r="H1994" s="14">
        <f>IFERROR(__xludf.DUMMYFUNCTION("""COMPUTED_VALUE"""),2023.0)</f>
        <v>2023</v>
      </c>
      <c r="I1994" s="14" t="str">
        <f>IFERROR(__xludf.DUMMYFUNCTION("""COMPUTED_VALUE"""),"Credit Card")</f>
        <v>Credit Card</v>
      </c>
      <c r="J1994" s="14" t="str">
        <f>IFERROR(__xludf.DUMMYFUNCTION("""COMPUTED_VALUE"""),"Cancelled*Out of Stock")</f>
        <v>Cancelled*Out of Stock</v>
      </c>
      <c r="K1994" s="14" t="str">
        <f>IFERROR(__xludf.DUMMYFUNCTION("split(E1994,""+"")"),"Popcorn")</f>
        <v>Popcorn</v>
      </c>
      <c r="L1994" s="14" t="str">
        <f>IFERROR(__xludf.DUMMYFUNCTION("""COMPUTED_VALUE"""),"2*Not Assigned")</f>
        <v>2*Not Assigned</v>
      </c>
      <c r="M1994" s="14">
        <f>IFERROR(__xludf.DUMMYFUNCTION("SPLIT(L1994,""*"")"),2.0)</f>
        <v>2</v>
      </c>
      <c r="N1994" s="14" t="str">
        <f>IFERROR(__xludf.DUMMYFUNCTION("""COMPUTED_VALUE"""),"Not Assigned")</f>
        <v>Not Assigned</v>
      </c>
      <c r="O1994" s="14" t="str">
        <f>IFERROR(__xludf.DUMMYFUNCTION("split(J1994,""*"")"),"Cancelled")</f>
        <v>Cancelled</v>
      </c>
      <c r="P1994" s="14" t="str">
        <f>IFERROR(__xludf.DUMMYFUNCTION("""COMPUTED_VALUE"""),"Out of Stock")</f>
        <v>Out of Stock</v>
      </c>
      <c r="Q1994" s="14" t="str">
        <f>IFERROR(__xludf.DUMMYFUNCTION("split(P1994,"":"")"),"Out of Stock")</f>
        <v>Out of Stock</v>
      </c>
      <c r="R1994" s="14"/>
      <c r="S1994" s="14" t="str">
        <f t="shared" ref="S1994:U1994" si="3991">trim(B1994)</f>
        <v>ord_81970</v>
      </c>
      <c r="T1994" s="14" t="str">
        <f t="shared" si="3991"/>
        <v>Siya Reddy</v>
      </c>
      <c r="U1994" s="14" t="str">
        <f t="shared" si="3991"/>
        <v>Juhu</v>
      </c>
      <c r="V1994" s="14" t="str">
        <f t="shared" si="4"/>
        <v>Popcorn</v>
      </c>
      <c r="W1994" s="14">
        <f t="shared" si="5"/>
        <v>2</v>
      </c>
      <c r="X1994" s="14" t="str">
        <f t="shared" si="6"/>
        <v>Not Assigned</v>
      </c>
      <c r="Y1994" s="15">
        <f t="shared" si="7"/>
        <v>44967</v>
      </c>
      <c r="Z1994" s="14" t="str">
        <f t="shared" si="8"/>
        <v>Credit Card</v>
      </c>
      <c r="AA1994" s="14" t="str">
        <f t="shared" si="9"/>
        <v>Cancelled</v>
      </c>
      <c r="AB1994" s="14" t="str">
        <f t="shared" ref="AB1994:AC1994" si="3992">trim(Q1994)</f>
        <v>Out of Stock</v>
      </c>
      <c r="AC1994" s="14" t="str">
        <f t="shared" si="3992"/>
        <v/>
      </c>
      <c r="AD1994" s="8"/>
    </row>
    <row r="1995">
      <c r="A1995" s="14" t="str">
        <f>IFERROR(__xludf.DUMMYFUNCTION("""COMPUTED_VALUE"""),"//ord_81971//Anaya Rao//Colaba//Banana+1*Not Assigned/12/8/2023//Online Payment//Cancelled*App Glitches:Slow Loading Time")</f>
        <v>//ord_81971//Anaya Rao//Colaba//Banana+1*Not Assigned/12/8/2023//Online Payment//Cancelled*App Glitches:Slow Loading Time</v>
      </c>
      <c r="B1995" s="14" t="str">
        <f>IFERROR(__xludf.DUMMYFUNCTION("split(A1995,""//"")"),"ord_81971")</f>
        <v>ord_81971</v>
      </c>
      <c r="C1995" s="14" t="str">
        <f>IFERROR(__xludf.DUMMYFUNCTION("""COMPUTED_VALUE"""),"Anaya Rao")</f>
        <v>Anaya Rao</v>
      </c>
      <c r="D1995" s="14" t="str">
        <f>IFERROR(__xludf.DUMMYFUNCTION("""COMPUTED_VALUE"""),"Colaba")</f>
        <v>Colaba</v>
      </c>
      <c r="E1995" s="14" t="str">
        <f>IFERROR(__xludf.DUMMYFUNCTION("""COMPUTED_VALUE"""),"Banana+1*Not Assigned")</f>
        <v>Banana+1*Not Assigned</v>
      </c>
      <c r="F1995" s="14">
        <f>IFERROR(__xludf.DUMMYFUNCTION("""COMPUTED_VALUE"""),12.0)</f>
        <v>12</v>
      </c>
      <c r="G1995" s="14">
        <f>IFERROR(__xludf.DUMMYFUNCTION("""COMPUTED_VALUE"""),8.0)</f>
        <v>8</v>
      </c>
      <c r="H1995" s="14">
        <f>IFERROR(__xludf.DUMMYFUNCTION("""COMPUTED_VALUE"""),2023.0)</f>
        <v>2023</v>
      </c>
      <c r="I1995" s="14" t="str">
        <f>IFERROR(__xludf.DUMMYFUNCTION("""COMPUTED_VALUE"""),"Online Payment")</f>
        <v>Online Payment</v>
      </c>
      <c r="J1995" s="14" t="str">
        <f>IFERROR(__xludf.DUMMYFUNCTION("""COMPUTED_VALUE"""),"Cancelled*App Glitches:Slow Loading Time")</f>
        <v>Cancelled*App Glitches:Slow Loading Time</v>
      </c>
      <c r="K1995" s="14" t="str">
        <f>IFERROR(__xludf.DUMMYFUNCTION("split(E1995,""+"")"),"Banana")</f>
        <v>Banana</v>
      </c>
      <c r="L1995" s="14" t="str">
        <f>IFERROR(__xludf.DUMMYFUNCTION("""COMPUTED_VALUE"""),"1*Not Assigned")</f>
        <v>1*Not Assigned</v>
      </c>
      <c r="M1995" s="14">
        <f>IFERROR(__xludf.DUMMYFUNCTION("SPLIT(L1995,""*"")"),1.0)</f>
        <v>1</v>
      </c>
      <c r="N1995" s="14" t="str">
        <f>IFERROR(__xludf.DUMMYFUNCTION("""COMPUTED_VALUE"""),"Not Assigned")</f>
        <v>Not Assigned</v>
      </c>
      <c r="O1995" s="14" t="str">
        <f>IFERROR(__xludf.DUMMYFUNCTION("split(J1995,""*"")"),"Cancelled")</f>
        <v>Cancelled</v>
      </c>
      <c r="P1995" s="14" t="str">
        <f>IFERROR(__xludf.DUMMYFUNCTION("""COMPUTED_VALUE"""),"App Glitches:Slow Loading Time")</f>
        <v>App Glitches:Slow Loading Time</v>
      </c>
      <c r="Q1995" s="14" t="str">
        <f>IFERROR(__xludf.DUMMYFUNCTION("split(P1995,"":"")"),"App Glitches")</f>
        <v>App Glitches</v>
      </c>
      <c r="R1995" s="14" t="str">
        <f>IFERROR(__xludf.DUMMYFUNCTION("""COMPUTED_VALUE"""),"Slow Loading Time")</f>
        <v>Slow Loading Time</v>
      </c>
      <c r="S1995" s="14" t="str">
        <f t="shared" ref="S1995:U1995" si="3993">trim(B1995)</f>
        <v>ord_81971</v>
      </c>
      <c r="T1995" s="14" t="str">
        <f t="shared" si="3993"/>
        <v>Anaya Rao</v>
      </c>
      <c r="U1995" s="14" t="str">
        <f t="shared" si="3993"/>
        <v>Colaba</v>
      </c>
      <c r="V1995" s="14" t="str">
        <f t="shared" si="4"/>
        <v>Banana</v>
      </c>
      <c r="W1995" s="14">
        <f t="shared" si="5"/>
        <v>1</v>
      </c>
      <c r="X1995" s="14" t="str">
        <f t="shared" si="6"/>
        <v>Not Assigned</v>
      </c>
      <c r="Y1995" s="15">
        <f t="shared" si="7"/>
        <v>45268</v>
      </c>
      <c r="Z1995" s="14" t="str">
        <f t="shared" si="8"/>
        <v>Online Payment</v>
      </c>
      <c r="AA1995" s="14" t="str">
        <f t="shared" si="9"/>
        <v>Cancelled</v>
      </c>
      <c r="AB1995" s="14" t="str">
        <f t="shared" ref="AB1995:AC1995" si="3994">trim(Q1995)</f>
        <v>App Glitches</v>
      </c>
      <c r="AC1995" s="14" t="str">
        <f t="shared" si="3994"/>
        <v>Slow Loading Time</v>
      </c>
      <c r="AD1995" s="8"/>
    </row>
    <row r="1996">
      <c r="A1996" s="14" t="str">
        <f>IFERROR(__xludf.DUMMYFUNCTION("""COMPUTED_VALUE"""),"//ord_81972//Ishaan Chaturvedi//Bandra//Chilli Cheese Toast+5*Nithin Lal/5/30/2023//UPI//Delivered*Packaging: Secure and intact")</f>
        <v>//ord_81972//Ishaan Chaturvedi//Bandra//Chilli Cheese Toast+5*Nithin Lal/5/30/2023//UPI//Delivered*Packaging: Secure and intact</v>
      </c>
      <c r="B1996" s="14" t="str">
        <f>IFERROR(__xludf.DUMMYFUNCTION("split(A1996,""//"")"),"ord_81972")</f>
        <v>ord_81972</v>
      </c>
      <c r="C1996" s="14" t="str">
        <f>IFERROR(__xludf.DUMMYFUNCTION("""COMPUTED_VALUE"""),"Ishaan Chaturvedi")</f>
        <v>Ishaan Chaturvedi</v>
      </c>
      <c r="D1996" s="14" t="str">
        <f>IFERROR(__xludf.DUMMYFUNCTION("""COMPUTED_VALUE"""),"Bandra")</f>
        <v>Bandra</v>
      </c>
      <c r="E1996" s="14" t="str">
        <f>IFERROR(__xludf.DUMMYFUNCTION("""COMPUTED_VALUE"""),"Chilli Cheese Toast+5*Nithin Lal")</f>
        <v>Chilli Cheese Toast+5*Nithin Lal</v>
      </c>
      <c r="F1996" s="14">
        <f>IFERROR(__xludf.DUMMYFUNCTION("""COMPUTED_VALUE"""),5.0)</f>
        <v>5</v>
      </c>
      <c r="G1996" s="14">
        <f>IFERROR(__xludf.DUMMYFUNCTION("""COMPUTED_VALUE"""),30.0)</f>
        <v>30</v>
      </c>
      <c r="H1996" s="14">
        <f>IFERROR(__xludf.DUMMYFUNCTION("""COMPUTED_VALUE"""),2023.0)</f>
        <v>2023</v>
      </c>
      <c r="I1996" s="14" t="str">
        <f>IFERROR(__xludf.DUMMYFUNCTION("""COMPUTED_VALUE"""),"UPI")</f>
        <v>UPI</v>
      </c>
      <c r="J1996" s="14" t="str">
        <f>IFERROR(__xludf.DUMMYFUNCTION("""COMPUTED_VALUE"""),"Delivered*Packaging: Secure and intact")</f>
        <v>Delivered*Packaging: Secure and intact</v>
      </c>
      <c r="K1996" s="14" t="str">
        <f>IFERROR(__xludf.DUMMYFUNCTION("split(E1996,""+"")"),"Chilli Cheese Toast")</f>
        <v>Chilli Cheese Toast</v>
      </c>
      <c r="L1996" s="14" t="str">
        <f>IFERROR(__xludf.DUMMYFUNCTION("""COMPUTED_VALUE"""),"5*Nithin Lal")</f>
        <v>5*Nithin Lal</v>
      </c>
      <c r="M1996" s="14">
        <f>IFERROR(__xludf.DUMMYFUNCTION("SPLIT(L1996,""*"")"),5.0)</f>
        <v>5</v>
      </c>
      <c r="N1996" s="14" t="str">
        <f>IFERROR(__xludf.DUMMYFUNCTION("""COMPUTED_VALUE"""),"Nithin Lal")</f>
        <v>Nithin Lal</v>
      </c>
      <c r="O1996" s="14" t="str">
        <f>IFERROR(__xludf.DUMMYFUNCTION("split(J1996,""*"")"),"Delivered")</f>
        <v>Delivered</v>
      </c>
      <c r="P1996" s="14" t="str">
        <f>IFERROR(__xludf.DUMMYFUNCTION("""COMPUTED_VALUE"""),"Packaging: Secure and intact")</f>
        <v>Packaging: Secure and intact</v>
      </c>
      <c r="Q1996" s="14" t="str">
        <f>IFERROR(__xludf.DUMMYFUNCTION("split(P1996,"":"")"),"Packaging")</f>
        <v>Packaging</v>
      </c>
      <c r="R1996" s="14" t="str">
        <f>IFERROR(__xludf.DUMMYFUNCTION("""COMPUTED_VALUE""")," Secure and intact")</f>
        <v> Secure and intact</v>
      </c>
      <c r="S1996" s="14" t="str">
        <f t="shared" ref="S1996:U1996" si="3995">trim(B1996)</f>
        <v>ord_81972</v>
      </c>
      <c r="T1996" s="14" t="str">
        <f t="shared" si="3995"/>
        <v>Ishaan Chaturvedi</v>
      </c>
      <c r="U1996" s="14" t="str">
        <f t="shared" si="3995"/>
        <v>Bandra</v>
      </c>
      <c r="V1996" s="14" t="str">
        <f t="shared" si="4"/>
        <v>Chilli Cheese Toast</v>
      </c>
      <c r="W1996" s="14">
        <f t="shared" si="5"/>
        <v>5</v>
      </c>
      <c r="X1996" s="14" t="str">
        <f t="shared" si="6"/>
        <v>Nithin Lal</v>
      </c>
      <c r="Y1996" s="15">
        <f t="shared" si="7"/>
        <v>45076</v>
      </c>
      <c r="Z1996" s="14" t="str">
        <f t="shared" si="8"/>
        <v>UPI</v>
      </c>
      <c r="AA1996" s="14" t="str">
        <f t="shared" si="9"/>
        <v>Delivered</v>
      </c>
      <c r="AB1996" s="14" t="str">
        <f t="shared" ref="AB1996:AC1996" si="3996">trim(Q1996)</f>
        <v>Packaging</v>
      </c>
      <c r="AC1996" s="14" t="str">
        <f t="shared" si="3996"/>
        <v>Secure and intact</v>
      </c>
      <c r="AD1996" s="8"/>
    </row>
    <row r="1997">
      <c r="A1997" s="14" t="str">
        <f>IFERROR(__xludf.DUMMYFUNCTION("""COMPUTED_VALUE"""),"//ord_81973//Mohit Malhotra//Lower Parel//Onion+1*Vivek Kumar/12/30/2023//UPI//Delivered*Satisfied with the Delivery: Timely and quality")</f>
        <v>//ord_81973//Mohit Malhotra//Lower Parel//Onion+1*Vivek Kumar/12/30/2023//UPI//Delivered*Satisfied with the Delivery: Timely and quality</v>
      </c>
      <c r="B1997" s="14" t="str">
        <f>IFERROR(__xludf.DUMMYFUNCTION("split(A1997,""//"")"),"ord_81973")</f>
        <v>ord_81973</v>
      </c>
      <c r="C1997" s="14" t="str">
        <f>IFERROR(__xludf.DUMMYFUNCTION("""COMPUTED_VALUE"""),"Mohit Malhotra")</f>
        <v>Mohit Malhotra</v>
      </c>
      <c r="D1997" s="14" t="str">
        <f>IFERROR(__xludf.DUMMYFUNCTION("""COMPUTED_VALUE"""),"Lower Parel")</f>
        <v>Lower Parel</v>
      </c>
      <c r="E1997" s="14" t="str">
        <f>IFERROR(__xludf.DUMMYFUNCTION("""COMPUTED_VALUE"""),"Onion+1*Vivek Kumar")</f>
        <v>Onion+1*Vivek Kumar</v>
      </c>
      <c r="F1997" s="14">
        <f>IFERROR(__xludf.DUMMYFUNCTION("""COMPUTED_VALUE"""),12.0)</f>
        <v>12</v>
      </c>
      <c r="G1997" s="14">
        <f>IFERROR(__xludf.DUMMYFUNCTION("""COMPUTED_VALUE"""),30.0)</f>
        <v>30</v>
      </c>
      <c r="H1997" s="14">
        <f>IFERROR(__xludf.DUMMYFUNCTION("""COMPUTED_VALUE"""),2023.0)</f>
        <v>2023</v>
      </c>
      <c r="I1997" s="14" t="str">
        <f>IFERROR(__xludf.DUMMYFUNCTION("""COMPUTED_VALUE"""),"UPI")</f>
        <v>UPI</v>
      </c>
      <c r="J1997" s="14" t="str">
        <f>IFERROR(__xludf.DUMMYFUNCTION("""COMPUTED_VALUE"""),"Delivered*Satisfied with the Delivery: Timely and quality")</f>
        <v>Delivered*Satisfied with the Delivery: Timely and quality</v>
      </c>
      <c r="K1997" s="14" t="str">
        <f>IFERROR(__xludf.DUMMYFUNCTION("split(E1997,""+"")"),"Onion")</f>
        <v>Onion</v>
      </c>
      <c r="L1997" s="14" t="str">
        <f>IFERROR(__xludf.DUMMYFUNCTION("""COMPUTED_VALUE"""),"1*Vivek Kumar")</f>
        <v>1*Vivek Kumar</v>
      </c>
      <c r="M1997" s="14">
        <f>IFERROR(__xludf.DUMMYFUNCTION("SPLIT(L1997,""*"")"),1.0)</f>
        <v>1</v>
      </c>
      <c r="N1997" s="14" t="str">
        <f>IFERROR(__xludf.DUMMYFUNCTION("""COMPUTED_VALUE"""),"Vivek Kumar")</f>
        <v>Vivek Kumar</v>
      </c>
      <c r="O1997" s="14" t="str">
        <f>IFERROR(__xludf.DUMMYFUNCTION("split(J1997,""*"")"),"Delivered")</f>
        <v>Delivered</v>
      </c>
      <c r="P1997" s="14" t="str">
        <f>IFERROR(__xludf.DUMMYFUNCTION("""COMPUTED_VALUE"""),"Satisfied with the Delivery: Timely and quality")</f>
        <v>Satisfied with the Delivery: Timely and quality</v>
      </c>
      <c r="Q1997" s="14" t="str">
        <f>IFERROR(__xludf.DUMMYFUNCTION("split(P1997,"":"")"),"Satisfied with the Delivery")</f>
        <v>Satisfied with the Delivery</v>
      </c>
      <c r="R1997" s="14" t="str">
        <f>IFERROR(__xludf.DUMMYFUNCTION("""COMPUTED_VALUE""")," Timely and quality")</f>
        <v> Timely and quality</v>
      </c>
      <c r="S1997" s="14" t="str">
        <f t="shared" ref="S1997:U1997" si="3997">trim(B1997)</f>
        <v>ord_81973</v>
      </c>
      <c r="T1997" s="14" t="str">
        <f t="shared" si="3997"/>
        <v>Mohit Malhotra</v>
      </c>
      <c r="U1997" s="14" t="str">
        <f t="shared" si="3997"/>
        <v>Lower Parel</v>
      </c>
      <c r="V1997" s="14" t="str">
        <f t="shared" si="4"/>
        <v>Onion</v>
      </c>
      <c r="W1997" s="14">
        <f t="shared" si="5"/>
        <v>1</v>
      </c>
      <c r="X1997" s="14" t="str">
        <f t="shared" si="6"/>
        <v>Vivek Kumar</v>
      </c>
      <c r="Y1997" s="15">
        <f t="shared" si="7"/>
        <v>45290</v>
      </c>
      <c r="Z1997" s="14" t="str">
        <f t="shared" si="8"/>
        <v>UPI</v>
      </c>
      <c r="AA1997" s="14" t="str">
        <f t="shared" si="9"/>
        <v>Delivered</v>
      </c>
      <c r="AB1997" s="14" t="str">
        <f t="shared" ref="AB1997:AC1997" si="3998">trim(Q1997)</f>
        <v>Satisfied with the Delivery</v>
      </c>
      <c r="AC1997" s="14" t="str">
        <f t="shared" si="3998"/>
        <v>Timely and quality</v>
      </c>
      <c r="AD1997" s="8"/>
    </row>
    <row r="1998">
      <c r="A1998" s="14" t="str">
        <f>IFERROR(__xludf.DUMMYFUNCTION("""COMPUTED_VALUE"""),"//ord_81974//Aarav Mehta//Andheri//Chilli Cheese Toast+1*Not Assigned/10/17/2023//Online Payment//Cancelled*App Glitches: Payment Button Malfunction")</f>
        <v>//ord_81974//Aarav Mehta//Andheri//Chilli Cheese Toast+1*Not Assigned/10/17/2023//Online Payment//Cancelled*App Glitches: Payment Button Malfunction</v>
      </c>
      <c r="B1998" s="14" t="str">
        <f>IFERROR(__xludf.DUMMYFUNCTION("split(A1998,""//"")"),"ord_81974")</f>
        <v>ord_81974</v>
      </c>
      <c r="C1998" s="14" t="str">
        <f>IFERROR(__xludf.DUMMYFUNCTION("""COMPUTED_VALUE"""),"Aarav Mehta")</f>
        <v>Aarav Mehta</v>
      </c>
      <c r="D1998" s="14" t="str">
        <f>IFERROR(__xludf.DUMMYFUNCTION("""COMPUTED_VALUE"""),"Andheri")</f>
        <v>Andheri</v>
      </c>
      <c r="E1998" s="14" t="str">
        <f>IFERROR(__xludf.DUMMYFUNCTION("""COMPUTED_VALUE"""),"Chilli Cheese Toast+1*Not Assigned")</f>
        <v>Chilli Cheese Toast+1*Not Assigned</v>
      </c>
      <c r="F1998" s="14">
        <f>IFERROR(__xludf.DUMMYFUNCTION("""COMPUTED_VALUE"""),10.0)</f>
        <v>10</v>
      </c>
      <c r="G1998" s="14">
        <f>IFERROR(__xludf.DUMMYFUNCTION("""COMPUTED_VALUE"""),17.0)</f>
        <v>17</v>
      </c>
      <c r="H1998" s="14">
        <f>IFERROR(__xludf.DUMMYFUNCTION("""COMPUTED_VALUE"""),2023.0)</f>
        <v>2023</v>
      </c>
      <c r="I1998" s="14" t="str">
        <f>IFERROR(__xludf.DUMMYFUNCTION("""COMPUTED_VALUE"""),"Online Payment")</f>
        <v>Online Payment</v>
      </c>
      <c r="J1998" s="14" t="str">
        <f>IFERROR(__xludf.DUMMYFUNCTION("""COMPUTED_VALUE"""),"Cancelled*App Glitches: Payment Button Malfunction")</f>
        <v>Cancelled*App Glitches: Payment Button Malfunction</v>
      </c>
      <c r="K1998" s="14" t="str">
        <f>IFERROR(__xludf.DUMMYFUNCTION("split(E1998,""+"")"),"Chilli Cheese Toast")</f>
        <v>Chilli Cheese Toast</v>
      </c>
      <c r="L1998" s="14" t="str">
        <f>IFERROR(__xludf.DUMMYFUNCTION("""COMPUTED_VALUE"""),"1*Not Assigned")</f>
        <v>1*Not Assigned</v>
      </c>
      <c r="M1998" s="14">
        <f>IFERROR(__xludf.DUMMYFUNCTION("SPLIT(L1998,""*"")"),1.0)</f>
        <v>1</v>
      </c>
      <c r="N1998" s="14" t="str">
        <f>IFERROR(__xludf.DUMMYFUNCTION("""COMPUTED_VALUE"""),"Not Assigned")</f>
        <v>Not Assigned</v>
      </c>
      <c r="O1998" s="14" t="str">
        <f>IFERROR(__xludf.DUMMYFUNCTION("split(J1998,""*"")"),"Cancelled")</f>
        <v>Cancelled</v>
      </c>
      <c r="P1998" s="14" t="str">
        <f>IFERROR(__xludf.DUMMYFUNCTION("""COMPUTED_VALUE"""),"App Glitches: Payment Button Malfunction")</f>
        <v>App Glitches: Payment Button Malfunction</v>
      </c>
      <c r="Q1998" s="14" t="str">
        <f>IFERROR(__xludf.DUMMYFUNCTION("split(P1998,"":"")"),"App Glitches")</f>
        <v>App Glitches</v>
      </c>
      <c r="R1998" s="14" t="str">
        <f>IFERROR(__xludf.DUMMYFUNCTION("""COMPUTED_VALUE""")," Payment Button Malfunction")</f>
        <v> Payment Button Malfunction</v>
      </c>
      <c r="S1998" s="14" t="str">
        <f t="shared" ref="S1998:U1998" si="3999">trim(B1998)</f>
        <v>ord_81974</v>
      </c>
      <c r="T1998" s="14" t="str">
        <f t="shared" si="3999"/>
        <v>Aarav Mehta</v>
      </c>
      <c r="U1998" s="14" t="str">
        <f t="shared" si="3999"/>
        <v>Andheri</v>
      </c>
      <c r="V1998" s="14" t="str">
        <f t="shared" si="4"/>
        <v>Chilli Cheese Toast</v>
      </c>
      <c r="W1998" s="14">
        <f t="shared" si="5"/>
        <v>1</v>
      </c>
      <c r="X1998" s="14" t="str">
        <f t="shared" si="6"/>
        <v>Not Assigned</v>
      </c>
      <c r="Y1998" s="15">
        <f t="shared" si="7"/>
        <v>45216</v>
      </c>
      <c r="Z1998" s="14" t="str">
        <f t="shared" si="8"/>
        <v>Online Payment</v>
      </c>
      <c r="AA1998" s="14" t="str">
        <f t="shared" si="9"/>
        <v>Cancelled</v>
      </c>
      <c r="AB1998" s="14" t="str">
        <f t="shared" ref="AB1998:AC1998" si="4000">trim(Q1998)</f>
        <v>App Glitches</v>
      </c>
      <c r="AC1998" s="14" t="str">
        <f t="shared" si="4000"/>
        <v>Payment Button Malfunction</v>
      </c>
      <c r="AD1998" s="8"/>
    </row>
    <row r="1999">
      <c r="A1999" s="14" t="str">
        <f>IFERROR(__xludf.DUMMYFUNCTION("""COMPUTED_VALUE"""),"//ord_81975//Mohit Malhotra//Lower Parel//Veg Puff+5*Sita T/7/28/2023//UPI//Delivered*Customer Service: Seamless and easy")</f>
        <v>//ord_81975//Mohit Malhotra//Lower Parel//Veg Puff+5*Sita T/7/28/2023//UPI//Delivered*Customer Service: Seamless and easy</v>
      </c>
      <c r="B1999" s="14" t="str">
        <f>IFERROR(__xludf.DUMMYFUNCTION("split(A1999,""//"")"),"ord_81975")</f>
        <v>ord_81975</v>
      </c>
      <c r="C1999" s="14" t="str">
        <f>IFERROR(__xludf.DUMMYFUNCTION("""COMPUTED_VALUE"""),"Mohit Malhotra")</f>
        <v>Mohit Malhotra</v>
      </c>
      <c r="D1999" s="14" t="str">
        <f>IFERROR(__xludf.DUMMYFUNCTION("""COMPUTED_VALUE"""),"Lower Parel")</f>
        <v>Lower Parel</v>
      </c>
      <c r="E1999" s="14" t="str">
        <f>IFERROR(__xludf.DUMMYFUNCTION("""COMPUTED_VALUE"""),"Veg Puff+5*Sita T")</f>
        <v>Veg Puff+5*Sita T</v>
      </c>
      <c r="F1999" s="14">
        <f>IFERROR(__xludf.DUMMYFUNCTION("""COMPUTED_VALUE"""),7.0)</f>
        <v>7</v>
      </c>
      <c r="G1999" s="14">
        <f>IFERROR(__xludf.DUMMYFUNCTION("""COMPUTED_VALUE"""),28.0)</f>
        <v>28</v>
      </c>
      <c r="H1999" s="14">
        <f>IFERROR(__xludf.DUMMYFUNCTION("""COMPUTED_VALUE"""),2023.0)</f>
        <v>2023</v>
      </c>
      <c r="I1999" s="14" t="str">
        <f>IFERROR(__xludf.DUMMYFUNCTION("""COMPUTED_VALUE"""),"UPI")</f>
        <v>UPI</v>
      </c>
      <c r="J1999" s="14" t="str">
        <f>IFERROR(__xludf.DUMMYFUNCTION("""COMPUTED_VALUE"""),"Delivered*Customer Service: Seamless and easy")</f>
        <v>Delivered*Customer Service: Seamless and easy</v>
      </c>
      <c r="K1999" s="14" t="str">
        <f>IFERROR(__xludf.DUMMYFUNCTION("split(E1999,""+"")"),"Veg Puff")</f>
        <v>Veg Puff</v>
      </c>
      <c r="L1999" s="14" t="str">
        <f>IFERROR(__xludf.DUMMYFUNCTION("""COMPUTED_VALUE"""),"5*Sita T")</f>
        <v>5*Sita T</v>
      </c>
      <c r="M1999" s="14">
        <f>IFERROR(__xludf.DUMMYFUNCTION("SPLIT(L1999,""*"")"),5.0)</f>
        <v>5</v>
      </c>
      <c r="N1999" s="14" t="str">
        <f>IFERROR(__xludf.DUMMYFUNCTION("""COMPUTED_VALUE"""),"Sita T")</f>
        <v>Sita T</v>
      </c>
      <c r="O1999" s="14" t="str">
        <f>IFERROR(__xludf.DUMMYFUNCTION("split(J1999,""*"")"),"Delivered")</f>
        <v>Delivered</v>
      </c>
      <c r="P1999" s="14" t="str">
        <f>IFERROR(__xludf.DUMMYFUNCTION("""COMPUTED_VALUE"""),"Customer Service: Seamless and easy")</f>
        <v>Customer Service: Seamless and easy</v>
      </c>
      <c r="Q1999" s="14" t="str">
        <f>IFERROR(__xludf.DUMMYFUNCTION("split(P1999,"":"")"),"Customer Service")</f>
        <v>Customer Service</v>
      </c>
      <c r="R1999" s="14" t="str">
        <f>IFERROR(__xludf.DUMMYFUNCTION("""COMPUTED_VALUE""")," Seamless and easy")</f>
        <v> Seamless and easy</v>
      </c>
      <c r="S1999" s="14" t="str">
        <f t="shared" ref="S1999:U1999" si="4001">trim(B1999)</f>
        <v>ord_81975</v>
      </c>
      <c r="T1999" s="14" t="str">
        <f t="shared" si="4001"/>
        <v>Mohit Malhotra</v>
      </c>
      <c r="U1999" s="14" t="str">
        <f t="shared" si="4001"/>
        <v>Lower Parel</v>
      </c>
      <c r="V1999" s="14" t="str">
        <f t="shared" si="4"/>
        <v>Veg Puff</v>
      </c>
      <c r="W1999" s="14">
        <f t="shared" si="5"/>
        <v>5</v>
      </c>
      <c r="X1999" s="14" t="str">
        <f t="shared" si="6"/>
        <v>Sita T</v>
      </c>
      <c r="Y1999" s="15">
        <f t="shared" si="7"/>
        <v>45135</v>
      </c>
      <c r="Z1999" s="14" t="str">
        <f t="shared" si="8"/>
        <v>UPI</v>
      </c>
      <c r="AA1999" s="14" t="str">
        <f t="shared" si="9"/>
        <v>Delivered</v>
      </c>
      <c r="AB1999" s="14" t="str">
        <f t="shared" ref="AB1999:AC1999" si="4002">trim(Q1999)</f>
        <v>Customer Service</v>
      </c>
      <c r="AC1999" s="14" t="str">
        <f t="shared" si="4002"/>
        <v>Seamless and easy</v>
      </c>
      <c r="AD1999" s="8"/>
    </row>
    <row r="2000">
      <c r="A2000" s="14" t="str">
        <f>IFERROR(__xludf.DUMMYFUNCTION("""COMPUTED_VALUE"""),"//ord_81976//Siya Reddy//Juhu//Chocolate Mousse+1*Ram Gopal/5/3/2023//Credit Card//Cancelled*Delayed Delivery:Heavy Traffic")</f>
        <v>//ord_81976//Siya Reddy//Juhu//Chocolate Mousse+1*Ram Gopal/5/3/2023//Credit Card//Cancelled*Delayed Delivery:Heavy Traffic</v>
      </c>
      <c r="B2000" s="14" t="str">
        <f>IFERROR(__xludf.DUMMYFUNCTION("split(A2000,""//"")"),"ord_81976")</f>
        <v>ord_81976</v>
      </c>
      <c r="C2000" s="14" t="str">
        <f>IFERROR(__xludf.DUMMYFUNCTION("""COMPUTED_VALUE"""),"Siya Reddy")</f>
        <v>Siya Reddy</v>
      </c>
      <c r="D2000" s="14" t="str">
        <f>IFERROR(__xludf.DUMMYFUNCTION("""COMPUTED_VALUE"""),"Juhu")</f>
        <v>Juhu</v>
      </c>
      <c r="E2000" s="14" t="str">
        <f>IFERROR(__xludf.DUMMYFUNCTION("""COMPUTED_VALUE"""),"Chocolate Mousse+1*Ram Gopal")</f>
        <v>Chocolate Mousse+1*Ram Gopal</v>
      </c>
      <c r="F2000" s="14">
        <f>IFERROR(__xludf.DUMMYFUNCTION("""COMPUTED_VALUE"""),5.0)</f>
        <v>5</v>
      </c>
      <c r="G2000" s="14">
        <f>IFERROR(__xludf.DUMMYFUNCTION("""COMPUTED_VALUE"""),3.0)</f>
        <v>3</v>
      </c>
      <c r="H2000" s="14">
        <f>IFERROR(__xludf.DUMMYFUNCTION("""COMPUTED_VALUE"""),2023.0)</f>
        <v>2023</v>
      </c>
      <c r="I2000" s="14" t="str">
        <f>IFERROR(__xludf.DUMMYFUNCTION("""COMPUTED_VALUE"""),"Credit Card")</f>
        <v>Credit Card</v>
      </c>
      <c r="J2000" s="14" t="str">
        <f>IFERROR(__xludf.DUMMYFUNCTION("""COMPUTED_VALUE"""),"Cancelled*Delayed Delivery:Heavy Traffic")</f>
        <v>Cancelled*Delayed Delivery:Heavy Traffic</v>
      </c>
      <c r="K2000" s="14" t="str">
        <f>IFERROR(__xludf.DUMMYFUNCTION("split(E2000,""+"")"),"Chocolate Mousse")</f>
        <v>Chocolate Mousse</v>
      </c>
      <c r="L2000" s="14" t="str">
        <f>IFERROR(__xludf.DUMMYFUNCTION("""COMPUTED_VALUE"""),"1*Ram Gopal")</f>
        <v>1*Ram Gopal</v>
      </c>
      <c r="M2000" s="14">
        <f>IFERROR(__xludf.DUMMYFUNCTION("SPLIT(L2000,""*"")"),1.0)</f>
        <v>1</v>
      </c>
      <c r="N2000" s="14" t="str">
        <f>IFERROR(__xludf.DUMMYFUNCTION("""COMPUTED_VALUE"""),"Ram Gopal")</f>
        <v>Ram Gopal</v>
      </c>
      <c r="O2000" s="14" t="str">
        <f>IFERROR(__xludf.DUMMYFUNCTION("split(J2000,""*"")"),"Cancelled")</f>
        <v>Cancelled</v>
      </c>
      <c r="P2000" s="14" t="str">
        <f>IFERROR(__xludf.DUMMYFUNCTION("""COMPUTED_VALUE"""),"Delayed Delivery:Heavy Traffic")</f>
        <v>Delayed Delivery:Heavy Traffic</v>
      </c>
      <c r="Q2000" s="14" t="str">
        <f>IFERROR(__xludf.DUMMYFUNCTION("split(P2000,"":"")"),"Delayed Delivery")</f>
        <v>Delayed Delivery</v>
      </c>
      <c r="R2000" s="14" t="str">
        <f>IFERROR(__xludf.DUMMYFUNCTION("""COMPUTED_VALUE"""),"Heavy Traffic")</f>
        <v>Heavy Traffic</v>
      </c>
      <c r="S2000" s="14" t="str">
        <f t="shared" ref="S2000:U2000" si="4003">trim(B2000)</f>
        <v>ord_81976</v>
      </c>
      <c r="T2000" s="14" t="str">
        <f t="shared" si="4003"/>
        <v>Siya Reddy</v>
      </c>
      <c r="U2000" s="14" t="str">
        <f t="shared" si="4003"/>
        <v>Juhu</v>
      </c>
      <c r="V2000" s="14" t="str">
        <f t="shared" si="4"/>
        <v>Chocolate Mousse</v>
      </c>
      <c r="W2000" s="14">
        <f t="shared" si="5"/>
        <v>1</v>
      </c>
      <c r="X2000" s="14" t="str">
        <f t="shared" si="6"/>
        <v>Ram Gopal</v>
      </c>
      <c r="Y2000" s="15">
        <f t="shared" si="7"/>
        <v>45049</v>
      </c>
      <c r="Z2000" s="14" t="str">
        <f t="shared" si="8"/>
        <v>Credit Card</v>
      </c>
      <c r="AA2000" s="14" t="str">
        <f t="shared" si="9"/>
        <v>Cancelled</v>
      </c>
      <c r="AB2000" s="14" t="str">
        <f t="shared" ref="AB2000:AC2000" si="4004">trim(Q2000)</f>
        <v>Delayed Delivery</v>
      </c>
      <c r="AC2000" s="14" t="str">
        <f t="shared" si="4004"/>
        <v>Heavy Traffic</v>
      </c>
      <c r="AD2000" s="8"/>
    </row>
    <row r="2001">
      <c r="A2001" s="14" t="str">
        <f>IFERROR(__xludf.DUMMYFUNCTION("""COMPUTED_VALUE"""),"//ord_81977//Pranav Joshi//Andheri//Tiramisu+4*Ramesh S/7/8/2023//UPI//Delivered*Delivery Experience: Quick and professional")</f>
        <v>//ord_81977//Pranav Joshi//Andheri//Tiramisu+4*Ramesh S/7/8/2023//UPI//Delivered*Delivery Experience: Quick and professional</v>
      </c>
      <c r="B2001" s="14" t="str">
        <f>IFERROR(__xludf.DUMMYFUNCTION("split(A2001,""//"")"),"ord_81977")</f>
        <v>ord_81977</v>
      </c>
      <c r="C2001" s="14" t="str">
        <f>IFERROR(__xludf.DUMMYFUNCTION("""COMPUTED_VALUE"""),"Pranav Joshi")</f>
        <v>Pranav Joshi</v>
      </c>
      <c r="D2001" s="14" t="str">
        <f>IFERROR(__xludf.DUMMYFUNCTION("""COMPUTED_VALUE"""),"Andheri")</f>
        <v>Andheri</v>
      </c>
      <c r="E2001" s="14" t="str">
        <f>IFERROR(__xludf.DUMMYFUNCTION("""COMPUTED_VALUE"""),"Tiramisu+4*Ramesh S")</f>
        <v>Tiramisu+4*Ramesh S</v>
      </c>
      <c r="F2001" s="14">
        <f>IFERROR(__xludf.DUMMYFUNCTION("""COMPUTED_VALUE"""),7.0)</f>
        <v>7</v>
      </c>
      <c r="G2001" s="14">
        <f>IFERROR(__xludf.DUMMYFUNCTION("""COMPUTED_VALUE"""),8.0)</f>
        <v>8</v>
      </c>
      <c r="H2001" s="14">
        <f>IFERROR(__xludf.DUMMYFUNCTION("""COMPUTED_VALUE"""),2023.0)</f>
        <v>2023</v>
      </c>
      <c r="I2001" s="14" t="str">
        <f>IFERROR(__xludf.DUMMYFUNCTION("""COMPUTED_VALUE"""),"UPI")</f>
        <v>UPI</v>
      </c>
      <c r="J2001" s="14" t="str">
        <f>IFERROR(__xludf.DUMMYFUNCTION("""COMPUTED_VALUE"""),"Delivered*Delivery Experience: Quick and professional")</f>
        <v>Delivered*Delivery Experience: Quick and professional</v>
      </c>
      <c r="K2001" s="14" t="str">
        <f>IFERROR(__xludf.DUMMYFUNCTION("split(E2001,""+"")"),"Tiramisu")</f>
        <v>Tiramisu</v>
      </c>
      <c r="L2001" s="14" t="str">
        <f>IFERROR(__xludf.DUMMYFUNCTION("""COMPUTED_VALUE"""),"4*Ramesh S")</f>
        <v>4*Ramesh S</v>
      </c>
      <c r="M2001" s="14">
        <f>IFERROR(__xludf.DUMMYFUNCTION("SPLIT(L2001,""*"")"),4.0)</f>
        <v>4</v>
      </c>
      <c r="N2001" s="14" t="str">
        <f>IFERROR(__xludf.DUMMYFUNCTION("""COMPUTED_VALUE"""),"Ramesh S")</f>
        <v>Ramesh S</v>
      </c>
      <c r="O2001" s="14" t="str">
        <f>IFERROR(__xludf.DUMMYFUNCTION("split(J2001,""*"")"),"Delivered")</f>
        <v>Delivered</v>
      </c>
      <c r="P2001" s="14" t="str">
        <f>IFERROR(__xludf.DUMMYFUNCTION("""COMPUTED_VALUE"""),"Delivery Experience: Quick and professional")</f>
        <v>Delivery Experience: Quick and professional</v>
      </c>
      <c r="Q2001" s="14" t="str">
        <f>IFERROR(__xludf.DUMMYFUNCTION("split(P2001,"":"")"),"Delivery Experience")</f>
        <v>Delivery Experience</v>
      </c>
      <c r="R2001" s="14" t="str">
        <f>IFERROR(__xludf.DUMMYFUNCTION("""COMPUTED_VALUE""")," Quick and professional")</f>
        <v> Quick and professional</v>
      </c>
      <c r="S2001" s="14" t="str">
        <f t="shared" ref="S2001:U2001" si="4005">trim(B2001)</f>
        <v>ord_81977</v>
      </c>
      <c r="T2001" s="14" t="str">
        <f t="shared" si="4005"/>
        <v>Pranav Joshi</v>
      </c>
      <c r="U2001" s="14" t="str">
        <f t="shared" si="4005"/>
        <v>Andheri</v>
      </c>
      <c r="V2001" s="14" t="str">
        <f t="shared" si="4"/>
        <v>Tiramisu</v>
      </c>
      <c r="W2001" s="14">
        <f t="shared" si="5"/>
        <v>4</v>
      </c>
      <c r="X2001" s="14" t="str">
        <f t="shared" si="6"/>
        <v>Ramesh S</v>
      </c>
      <c r="Y2001" s="15">
        <f t="shared" si="7"/>
        <v>45115</v>
      </c>
      <c r="Z2001" s="14" t="str">
        <f t="shared" si="8"/>
        <v>UPI</v>
      </c>
      <c r="AA2001" s="14" t="str">
        <f t="shared" si="9"/>
        <v>Delivered</v>
      </c>
      <c r="AB2001" s="14" t="str">
        <f t="shared" ref="AB2001:AC2001" si="4006">trim(Q2001)</f>
        <v>Delivery Experience</v>
      </c>
      <c r="AC2001" s="14" t="str">
        <f t="shared" si="4006"/>
        <v>Quick and professional</v>
      </c>
      <c r="AD2001" s="8"/>
    </row>
    <row r="2002">
      <c r="A2002" s="14" t="str">
        <f>IFERROR(__xludf.DUMMYFUNCTION("""COMPUTED_VALUE"""),"//ord_81978//Sakshi Tandon//Colaba//Popcorn+4*Sita T/6/10/2023//Online Payment//Delivered*Convenience: Easy tracking")</f>
        <v>//ord_81978//Sakshi Tandon//Colaba//Popcorn+4*Sita T/6/10/2023//Online Payment//Delivered*Convenience: Easy tracking</v>
      </c>
      <c r="B2002" s="14" t="str">
        <f>IFERROR(__xludf.DUMMYFUNCTION("split(A2002,""//"")"),"ord_81978")</f>
        <v>ord_81978</v>
      </c>
      <c r="C2002" s="14" t="str">
        <f>IFERROR(__xludf.DUMMYFUNCTION("""COMPUTED_VALUE"""),"Sakshi Tandon")</f>
        <v>Sakshi Tandon</v>
      </c>
      <c r="D2002" s="14" t="str">
        <f>IFERROR(__xludf.DUMMYFUNCTION("""COMPUTED_VALUE"""),"Colaba")</f>
        <v>Colaba</v>
      </c>
      <c r="E2002" s="14" t="str">
        <f>IFERROR(__xludf.DUMMYFUNCTION("""COMPUTED_VALUE"""),"Popcorn+4*Sita T")</f>
        <v>Popcorn+4*Sita T</v>
      </c>
      <c r="F2002" s="14">
        <f>IFERROR(__xludf.DUMMYFUNCTION("""COMPUTED_VALUE"""),6.0)</f>
        <v>6</v>
      </c>
      <c r="G2002" s="14">
        <f>IFERROR(__xludf.DUMMYFUNCTION("""COMPUTED_VALUE"""),10.0)</f>
        <v>10</v>
      </c>
      <c r="H2002" s="14">
        <f>IFERROR(__xludf.DUMMYFUNCTION("""COMPUTED_VALUE"""),2023.0)</f>
        <v>2023</v>
      </c>
      <c r="I2002" s="14" t="str">
        <f>IFERROR(__xludf.DUMMYFUNCTION("""COMPUTED_VALUE"""),"Online Payment")</f>
        <v>Online Payment</v>
      </c>
      <c r="J2002" s="14" t="str">
        <f>IFERROR(__xludf.DUMMYFUNCTION("""COMPUTED_VALUE"""),"Delivered*Convenience: Easy tracking")</f>
        <v>Delivered*Convenience: Easy tracking</v>
      </c>
      <c r="K2002" s="14" t="str">
        <f>IFERROR(__xludf.DUMMYFUNCTION("split(E2002,""+"")"),"Popcorn")</f>
        <v>Popcorn</v>
      </c>
      <c r="L2002" s="14" t="str">
        <f>IFERROR(__xludf.DUMMYFUNCTION("""COMPUTED_VALUE"""),"4*Sita T")</f>
        <v>4*Sita T</v>
      </c>
      <c r="M2002" s="14">
        <f>IFERROR(__xludf.DUMMYFUNCTION("SPLIT(L2002,""*"")"),4.0)</f>
        <v>4</v>
      </c>
      <c r="N2002" s="14" t="str">
        <f>IFERROR(__xludf.DUMMYFUNCTION("""COMPUTED_VALUE"""),"Sita T")</f>
        <v>Sita T</v>
      </c>
      <c r="O2002" s="14" t="str">
        <f>IFERROR(__xludf.DUMMYFUNCTION("split(J2002,""*"")"),"Delivered")</f>
        <v>Delivered</v>
      </c>
      <c r="P2002" s="14" t="str">
        <f>IFERROR(__xludf.DUMMYFUNCTION("""COMPUTED_VALUE"""),"Convenience: Easy tracking")</f>
        <v>Convenience: Easy tracking</v>
      </c>
      <c r="Q2002" s="14" t="str">
        <f>IFERROR(__xludf.DUMMYFUNCTION("split(P2002,"":"")"),"Convenience")</f>
        <v>Convenience</v>
      </c>
      <c r="R2002" s="14" t="str">
        <f>IFERROR(__xludf.DUMMYFUNCTION("""COMPUTED_VALUE""")," Easy tracking")</f>
        <v> Easy tracking</v>
      </c>
      <c r="S2002" s="14" t="str">
        <f t="shared" ref="S2002:U2002" si="4007">trim(B2002)</f>
        <v>ord_81978</v>
      </c>
      <c r="T2002" s="14" t="str">
        <f t="shared" si="4007"/>
        <v>Sakshi Tandon</v>
      </c>
      <c r="U2002" s="14" t="str">
        <f t="shared" si="4007"/>
        <v>Colaba</v>
      </c>
      <c r="V2002" s="14" t="str">
        <f t="shared" si="4"/>
        <v>Popcorn</v>
      </c>
      <c r="W2002" s="14">
        <f t="shared" si="5"/>
        <v>4</v>
      </c>
      <c r="X2002" s="14" t="str">
        <f t="shared" si="6"/>
        <v>Sita T</v>
      </c>
      <c r="Y2002" s="15">
        <f t="shared" si="7"/>
        <v>45087</v>
      </c>
      <c r="Z2002" s="14" t="str">
        <f t="shared" si="8"/>
        <v>Online Payment</v>
      </c>
      <c r="AA2002" s="14" t="str">
        <f t="shared" si="9"/>
        <v>Delivered</v>
      </c>
      <c r="AB2002" s="14" t="str">
        <f t="shared" ref="AB2002:AC2002" si="4008">trim(Q2002)</f>
        <v>Convenience</v>
      </c>
      <c r="AC2002" s="14" t="str">
        <f t="shared" si="4008"/>
        <v>Easy tracking</v>
      </c>
      <c r="AD2002" s="8"/>
    </row>
    <row r="2003">
      <c r="A2003" s="14" t="str">
        <f>IFERROR(__xludf.DUMMYFUNCTION("""COMPUTED_VALUE"""),"//ord_81979//Sanjay Nair//Dadar//Cold Coffee+5*Nithin Lal/3/13/2023//COD//Delivered*Overall Satisfaction: Great service will order again")</f>
        <v>//ord_81979//Sanjay Nair//Dadar//Cold Coffee+5*Nithin Lal/3/13/2023//COD//Delivered*Overall Satisfaction: Great service will order again</v>
      </c>
      <c r="B2003" s="14" t="str">
        <f>IFERROR(__xludf.DUMMYFUNCTION("split(A2003,""//"")"),"ord_81979")</f>
        <v>ord_81979</v>
      </c>
      <c r="C2003" s="14" t="str">
        <f>IFERROR(__xludf.DUMMYFUNCTION("""COMPUTED_VALUE"""),"Sanjay Nair")</f>
        <v>Sanjay Nair</v>
      </c>
      <c r="D2003" s="14" t="str">
        <f>IFERROR(__xludf.DUMMYFUNCTION("""COMPUTED_VALUE"""),"Dadar")</f>
        <v>Dadar</v>
      </c>
      <c r="E2003" s="14" t="str">
        <f>IFERROR(__xludf.DUMMYFUNCTION("""COMPUTED_VALUE"""),"Cold Coffee+5*Nithin Lal")</f>
        <v>Cold Coffee+5*Nithin Lal</v>
      </c>
      <c r="F2003" s="14">
        <f>IFERROR(__xludf.DUMMYFUNCTION("""COMPUTED_VALUE"""),3.0)</f>
        <v>3</v>
      </c>
      <c r="G2003" s="14">
        <f>IFERROR(__xludf.DUMMYFUNCTION("""COMPUTED_VALUE"""),13.0)</f>
        <v>13</v>
      </c>
      <c r="H2003" s="14">
        <f>IFERROR(__xludf.DUMMYFUNCTION("""COMPUTED_VALUE"""),2023.0)</f>
        <v>2023</v>
      </c>
      <c r="I2003" s="14" t="str">
        <f>IFERROR(__xludf.DUMMYFUNCTION("""COMPUTED_VALUE"""),"COD")</f>
        <v>COD</v>
      </c>
      <c r="J2003" s="14" t="str">
        <f>IFERROR(__xludf.DUMMYFUNCTION("""COMPUTED_VALUE"""),"Delivered*Overall Satisfaction: Great service will order again")</f>
        <v>Delivered*Overall Satisfaction: Great service will order again</v>
      </c>
      <c r="K2003" s="14" t="str">
        <f>IFERROR(__xludf.DUMMYFUNCTION("split(E2003,""+"")"),"Cold Coffee")</f>
        <v>Cold Coffee</v>
      </c>
      <c r="L2003" s="14" t="str">
        <f>IFERROR(__xludf.DUMMYFUNCTION("""COMPUTED_VALUE"""),"5*Nithin Lal")</f>
        <v>5*Nithin Lal</v>
      </c>
      <c r="M2003" s="14">
        <f>IFERROR(__xludf.DUMMYFUNCTION("SPLIT(L2003,""*"")"),5.0)</f>
        <v>5</v>
      </c>
      <c r="N2003" s="14" t="str">
        <f>IFERROR(__xludf.DUMMYFUNCTION("""COMPUTED_VALUE"""),"Nithin Lal")</f>
        <v>Nithin Lal</v>
      </c>
      <c r="O2003" s="14" t="str">
        <f>IFERROR(__xludf.DUMMYFUNCTION("split(J2003,""*"")"),"Delivered")</f>
        <v>Delivered</v>
      </c>
      <c r="P2003" s="14" t="str">
        <f>IFERROR(__xludf.DUMMYFUNCTION("""COMPUTED_VALUE"""),"Overall Satisfaction: Great service will order again")</f>
        <v>Overall Satisfaction: Great service will order again</v>
      </c>
      <c r="Q2003" s="14" t="str">
        <f>IFERROR(__xludf.DUMMYFUNCTION("split(P2003,"":"")"),"Overall Satisfaction")</f>
        <v>Overall Satisfaction</v>
      </c>
      <c r="R2003" s="14" t="str">
        <f>IFERROR(__xludf.DUMMYFUNCTION("""COMPUTED_VALUE""")," Great service will order again")</f>
        <v> Great service will order again</v>
      </c>
      <c r="S2003" s="14" t="str">
        <f t="shared" ref="S2003:U2003" si="4009">trim(B2003)</f>
        <v>ord_81979</v>
      </c>
      <c r="T2003" s="14" t="str">
        <f t="shared" si="4009"/>
        <v>Sanjay Nair</v>
      </c>
      <c r="U2003" s="14" t="str">
        <f t="shared" si="4009"/>
        <v>Dadar</v>
      </c>
      <c r="V2003" s="14" t="str">
        <f t="shared" si="4"/>
        <v>Cold Coffee</v>
      </c>
      <c r="W2003" s="14">
        <f t="shared" si="5"/>
        <v>5</v>
      </c>
      <c r="X2003" s="14" t="str">
        <f t="shared" si="6"/>
        <v>Nithin Lal</v>
      </c>
      <c r="Y2003" s="15">
        <f t="shared" si="7"/>
        <v>44998</v>
      </c>
      <c r="Z2003" s="14" t="str">
        <f t="shared" si="8"/>
        <v>COD</v>
      </c>
      <c r="AA2003" s="14" t="str">
        <f t="shared" si="9"/>
        <v>Delivered</v>
      </c>
      <c r="AB2003" s="14" t="str">
        <f t="shared" ref="AB2003:AC2003" si="4010">trim(Q2003)</f>
        <v>Overall Satisfaction</v>
      </c>
      <c r="AC2003" s="14" t="str">
        <f t="shared" si="4010"/>
        <v>Great service will order again</v>
      </c>
      <c r="AD2003" s="8"/>
    </row>
    <row r="2004">
      <c r="A2004" s="14" t="str">
        <f>IFERROR(__xludf.DUMMYFUNCTION("""COMPUTED_VALUE"""),"//ord_81980//Aarav Mehta//Andheri//Cold Coffee+3*Manju Ajay/7/14/2023//Online Payment//Delivered*On-time Delivery: Delivered on time")</f>
        <v>//ord_81980//Aarav Mehta//Andheri//Cold Coffee+3*Manju Ajay/7/14/2023//Online Payment//Delivered*On-time Delivery: Delivered on time</v>
      </c>
      <c r="B2004" s="14" t="str">
        <f>IFERROR(__xludf.DUMMYFUNCTION("split(A2004,""//"")"),"ord_81980")</f>
        <v>ord_81980</v>
      </c>
      <c r="C2004" s="14" t="str">
        <f>IFERROR(__xludf.DUMMYFUNCTION("""COMPUTED_VALUE"""),"Aarav Mehta")</f>
        <v>Aarav Mehta</v>
      </c>
      <c r="D2004" s="14" t="str">
        <f>IFERROR(__xludf.DUMMYFUNCTION("""COMPUTED_VALUE"""),"Andheri")</f>
        <v>Andheri</v>
      </c>
      <c r="E2004" s="14" t="str">
        <f>IFERROR(__xludf.DUMMYFUNCTION("""COMPUTED_VALUE"""),"Cold Coffee+3*Manju Ajay")</f>
        <v>Cold Coffee+3*Manju Ajay</v>
      </c>
      <c r="F2004" s="14">
        <f>IFERROR(__xludf.DUMMYFUNCTION("""COMPUTED_VALUE"""),7.0)</f>
        <v>7</v>
      </c>
      <c r="G2004" s="14">
        <f>IFERROR(__xludf.DUMMYFUNCTION("""COMPUTED_VALUE"""),14.0)</f>
        <v>14</v>
      </c>
      <c r="H2004" s="14">
        <f>IFERROR(__xludf.DUMMYFUNCTION("""COMPUTED_VALUE"""),2023.0)</f>
        <v>2023</v>
      </c>
      <c r="I2004" s="14" t="str">
        <f>IFERROR(__xludf.DUMMYFUNCTION("""COMPUTED_VALUE"""),"Online Payment")</f>
        <v>Online Payment</v>
      </c>
      <c r="J2004" s="14" t="str">
        <f>IFERROR(__xludf.DUMMYFUNCTION("""COMPUTED_VALUE"""),"Delivered*On-time Delivery: Delivered on time")</f>
        <v>Delivered*On-time Delivery: Delivered on time</v>
      </c>
      <c r="K2004" s="14" t="str">
        <f>IFERROR(__xludf.DUMMYFUNCTION("split(E2004,""+"")"),"Cold Coffee")</f>
        <v>Cold Coffee</v>
      </c>
      <c r="L2004" s="14" t="str">
        <f>IFERROR(__xludf.DUMMYFUNCTION("""COMPUTED_VALUE"""),"3*Manju Ajay")</f>
        <v>3*Manju Ajay</v>
      </c>
      <c r="M2004" s="14">
        <f>IFERROR(__xludf.DUMMYFUNCTION("SPLIT(L2004,""*"")"),3.0)</f>
        <v>3</v>
      </c>
      <c r="N2004" s="14" t="str">
        <f>IFERROR(__xludf.DUMMYFUNCTION("""COMPUTED_VALUE"""),"Manju Ajay")</f>
        <v>Manju Ajay</v>
      </c>
      <c r="O2004" s="14" t="str">
        <f>IFERROR(__xludf.DUMMYFUNCTION("split(J2004,""*"")"),"Delivered")</f>
        <v>Delivered</v>
      </c>
      <c r="P2004" s="14" t="str">
        <f>IFERROR(__xludf.DUMMYFUNCTION("""COMPUTED_VALUE"""),"On-time Delivery: Delivered on time")</f>
        <v>On-time Delivery: Delivered on time</v>
      </c>
      <c r="Q2004" s="14" t="str">
        <f>IFERROR(__xludf.DUMMYFUNCTION("split(P2004,"":"")"),"On-time Delivery")</f>
        <v>On-time Delivery</v>
      </c>
      <c r="R2004" s="14" t="str">
        <f>IFERROR(__xludf.DUMMYFUNCTION("""COMPUTED_VALUE""")," Delivered on time")</f>
        <v> Delivered on time</v>
      </c>
      <c r="S2004" s="14" t="str">
        <f t="shared" ref="S2004:U2004" si="4011">trim(B2004)</f>
        <v>ord_81980</v>
      </c>
      <c r="T2004" s="14" t="str">
        <f t="shared" si="4011"/>
        <v>Aarav Mehta</v>
      </c>
      <c r="U2004" s="14" t="str">
        <f t="shared" si="4011"/>
        <v>Andheri</v>
      </c>
      <c r="V2004" s="14" t="str">
        <f t="shared" si="4"/>
        <v>Cold Coffee</v>
      </c>
      <c r="W2004" s="14">
        <f t="shared" si="5"/>
        <v>3</v>
      </c>
      <c r="X2004" s="14" t="str">
        <f t="shared" si="6"/>
        <v>Manju Ajay</v>
      </c>
      <c r="Y2004" s="15">
        <f t="shared" si="7"/>
        <v>45121</v>
      </c>
      <c r="Z2004" s="14" t="str">
        <f t="shared" si="8"/>
        <v>Online Payment</v>
      </c>
      <c r="AA2004" s="14" t="str">
        <f t="shared" si="9"/>
        <v>Delivered</v>
      </c>
      <c r="AB2004" s="14" t="str">
        <f t="shared" ref="AB2004:AC2004" si="4012">trim(Q2004)</f>
        <v>On-time Delivery</v>
      </c>
      <c r="AC2004" s="14" t="str">
        <f t="shared" si="4012"/>
        <v>Delivered on time</v>
      </c>
      <c r="AD2004" s="8"/>
    </row>
    <row r="2005">
      <c r="A2005" s="14" t="str">
        <f>IFERROR(__xludf.DUMMYFUNCTION("""COMPUTED_VALUE"""),"//ord_81981//Ritika Dutta//Lower Parel//Tiramisu+6*Sita T/9/17/2023//Online Payment//Delivered*Quality of Items: Perfect condition")</f>
        <v>//ord_81981//Ritika Dutta//Lower Parel//Tiramisu+6*Sita T/9/17/2023//Online Payment//Delivered*Quality of Items: Perfect condition</v>
      </c>
      <c r="B2005" s="14" t="str">
        <f>IFERROR(__xludf.DUMMYFUNCTION("split(A2005,""//"")"),"ord_81981")</f>
        <v>ord_81981</v>
      </c>
      <c r="C2005" s="14" t="str">
        <f>IFERROR(__xludf.DUMMYFUNCTION("""COMPUTED_VALUE"""),"Ritika Dutta")</f>
        <v>Ritika Dutta</v>
      </c>
      <c r="D2005" s="14" t="str">
        <f>IFERROR(__xludf.DUMMYFUNCTION("""COMPUTED_VALUE"""),"Lower Parel")</f>
        <v>Lower Parel</v>
      </c>
      <c r="E2005" s="14" t="str">
        <f>IFERROR(__xludf.DUMMYFUNCTION("""COMPUTED_VALUE"""),"Tiramisu+6*Sita T")</f>
        <v>Tiramisu+6*Sita T</v>
      </c>
      <c r="F2005" s="14">
        <f>IFERROR(__xludf.DUMMYFUNCTION("""COMPUTED_VALUE"""),9.0)</f>
        <v>9</v>
      </c>
      <c r="G2005" s="14">
        <f>IFERROR(__xludf.DUMMYFUNCTION("""COMPUTED_VALUE"""),17.0)</f>
        <v>17</v>
      </c>
      <c r="H2005" s="14">
        <f>IFERROR(__xludf.DUMMYFUNCTION("""COMPUTED_VALUE"""),2023.0)</f>
        <v>2023</v>
      </c>
      <c r="I2005" s="14" t="str">
        <f>IFERROR(__xludf.DUMMYFUNCTION("""COMPUTED_VALUE"""),"Online Payment")</f>
        <v>Online Payment</v>
      </c>
      <c r="J2005" s="14" t="str">
        <f>IFERROR(__xludf.DUMMYFUNCTION("""COMPUTED_VALUE"""),"Delivered*Quality of Items: Perfect condition")</f>
        <v>Delivered*Quality of Items: Perfect condition</v>
      </c>
      <c r="K2005" s="14" t="str">
        <f>IFERROR(__xludf.DUMMYFUNCTION("split(E2005,""+"")"),"Tiramisu")</f>
        <v>Tiramisu</v>
      </c>
      <c r="L2005" s="14" t="str">
        <f>IFERROR(__xludf.DUMMYFUNCTION("""COMPUTED_VALUE"""),"6*Sita T")</f>
        <v>6*Sita T</v>
      </c>
      <c r="M2005" s="14">
        <f>IFERROR(__xludf.DUMMYFUNCTION("SPLIT(L2005,""*"")"),6.0)</f>
        <v>6</v>
      </c>
      <c r="N2005" s="14" t="str">
        <f>IFERROR(__xludf.DUMMYFUNCTION("""COMPUTED_VALUE"""),"Sita T")</f>
        <v>Sita T</v>
      </c>
      <c r="O2005" s="14" t="str">
        <f>IFERROR(__xludf.DUMMYFUNCTION("split(J2005,""*"")"),"Delivered")</f>
        <v>Delivered</v>
      </c>
      <c r="P2005" s="14" t="str">
        <f>IFERROR(__xludf.DUMMYFUNCTION("""COMPUTED_VALUE"""),"Quality of Items: Perfect condition")</f>
        <v>Quality of Items: Perfect condition</v>
      </c>
      <c r="Q2005" s="14" t="str">
        <f>IFERROR(__xludf.DUMMYFUNCTION("split(P2005,"":"")"),"Quality of Items")</f>
        <v>Quality of Items</v>
      </c>
      <c r="R2005" s="14" t="str">
        <f>IFERROR(__xludf.DUMMYFUNCTION("""COMPUTED_VALUE""")," Perfect condition")</f>
        <v> Perfect condition</v>
      </c>
      <c r="S2005" s="14" t="str">
        <f t="shared" ref="S2005:U2005" si="4013">trim(B2005)</f>
        <v>ord_81981</v>
      </c>
      <c r="T2005" s="14" t="str">
        <f t="shared" si="4013"/>
        <v>Ritika Dutta</v>
      </c>
      <c r="U2005" s="14" t="str">
        <f t="shared" si="4013"/>
        <v>Lower Parel</v>
      </c>
      <c r="V2005" s="14" t="str">
        <f t="shared" si="4"/>
        <v>Tiramisu</v>
      </c>
      <c r="W2005" s="14">
        <f t="shared" si="5"/>
        <v>6</v>
      </c>
      <c r="X2005" s="14" t="str">
        <f t="shared" si="6"/>
        <v>Sita T</v>
      </c>
      <c r="Y2005" s="15">
        <f t="shared" si="7"/>
        <v>45186</v>
      </c>
      <c r="Z2005" s="14" t="str">
        <f t="shared" si="8"/>
        <v>Online Payment</v>
      </c>
      <c r="AA2005" s="14" t="str">
        <f t="shared" si="9"/>
        <v>Delivered</v>
      </c>
      <c r="AB2005" s="14" t="str">
        <f t="shared" ref="AB2005:AC2005" si="4014">trim(Q2005)</f>
        <v>Quality of Items</v>
      </c>
      <c r="AC2005" s="14" t="str">
        <f t="shared" si="4014"/>
        <v>Perfect condition</v>
      </c>
      <c r="AD2005" s="8"/>
    </row>
    <row r="2006">
      <c r="A2006" s="14" t="str">
        <f>IFERROR(__xludf.DUMMYFUNCTION("""COMPUTED_VALUE"""),"//ord_81982//Aarav Mehta//Andheri//Cucumber+1*Ram Gopal/5/2/2023//Online Payment//Delivered*On-time Delivery: Delivered on time")</f>
        <v>//ord_81982//Aarav Mehta//Andheri//Cucumber+1*Ram Gopal/5/2/2023//Online Payment//Delivered*On-time Delivery: Delivered on time</v>
      </c>
      <c r="B2006" s="14" t="str">
        <f>IFERROR(__xludf.DUMMYFUNCTION("split(A2006,""//"")"),"ord_81982")</f>
        <v>ord_81982</v>
      </c>
      <c r="C2006" s="14" t="str">
        <f>IFERROR(__xludf.DUMMYFUNCTION("""COMPUTED_VALUE"""),"Aarav Mehta")</f>
        <v>Aarav Mehta</v>
      </c>
      <c r="D2006" s="14" t="str">
        <f>IFERROR(__xludf.DUMMYFUNCTION("""COMPUTED_VALUE"""),"Andheri")</f>
        <v>Andheri</v>
      </c>
      <c r="E2006" s="14" t="str">
        <f>IFERROR(__xludf.DUMMYFUNCTION("""COMPUTED_VALUE"""),"Cucumber+1*Ram Gopal")</f>
        <v>Cucumber+1*Ram Gopal</v>
      </c>
      <c r="F2006" s="14">
        <f>IFERROR(__xludf.DUMMYFUNCTION("""COMPUTED_VALUE"""),5.0)</f>
        <v>5</v>
      </c>
      <c r="G2006" s="14">
        <f>IFERROR(__xludf.DUMMYFUNCTION("""COMPUTED_VALUE"""),2.0)</f>
        <v>2</v>
      </c>
      <c r="H2006" s="14">
        <f>IFERROR(__xludf.DUMMYFUNCTION("""COMPUTED_VALUE"""),2023.0)</f>
        <v>2023</v>
      </c>
      <c r="I2006" s="14" t="str">
        <f>IFERROR(__xludf.DUMMYFUNCTION("""COMPUTED_VALUE"""),"Online Payment")</f>
        <v>Online Payment</v>
      </c>
      <c r="J2006" s="14" t="str">
        <f>IFERROR(__xludf.DUMMYFUNCTION("""COMPUTED_VALUE"""),"Delivered*On-time Delivery: Delivered on time")</f>
        <v>Delivered*On-time Delivery: Delivered on time</v>
      </c>
      <c r="K2006" s="14" t="str">
        <f>IFERROR(__xludf.DUMMYFUNCTION("split(E2006,""+"")"),"Cucumber")</f>
        <v>Cucumber</v>
      </c>
      <c r="L2006" s="14" t="str">
        <f>IFERROR(__xludf.DUMMYFUNCTION("""COMPUTED_VALUE"""),"1*Ram Gopal")</f>
        <v>1*Ram Gopal</v>
      </c>
      <c r="M2006" s="14">
        <f>IFERROR(__xludf.DUMMYFUNCTION("SPLIT(L2006,""*"")"),1.0)</f>
        <v>1</v>
      </c>
      <c r="N2006" s="14" t="str">
        <f>IFERROR(__xludf.DUMMYFUNCTION("""COMPUTED_VALUE"""),"Ram Gopal")</f>
        <v>Ram Gopal</v>
      </c>
      <c r="O2006" s="14" t="str">
        <f>IFERROR(__xludf.DUMMYFUNCTION("split(J2006,""*"")"),"Delivered")</f>
        <v>Delivered</v>
      </c>
      <c r="P2006" s="14" t="str">
        <f>IFERROR(__xludf.DUMMYFUNCTION("""COMPUTED_VALUE"""),"On-time Delivery: Delivered on time")</f>
        <v>On-time Delivery: Delivered on time</v>
      </c>
      <c r="Q2006" s="14" t="str">
        <f>IFERROR(__xludf.DUMMYFUNCTION("split(P2006,"":"")"),"On-time Delivery")</f>
        <v>On-time Delivery</v>
      </c>
      <c r="R2006" s="14" t="str">
        <f>IFERROR(__xludf.DUMMYFUNCTION("""COMPUTED_VALUE""")," Delivered on time")</f>
        <v> Delivered on time</v>
      </c>
      <c r="S2006" s="14" t="str">
        <f t="shared" ref="S2006:U2006" si="4015">trim(B2006)</f>
        <v>ord_81982</v>
      </c>
      <c r="T2006" s="14" t="str">
        <f t="shared" si="4015"/>
        <v>Aarav Mehta</v>
      </c>
      <c r="U2006" s="14" t="str">
        <f t="shared" si="4015"/>
        <v>Andheri</v>
      </c>
      <c r="V2006" s="14" t="str">
        <f t="shared" si="4"/>
        <v>Cucumber</v>
      </c>
      <c r="W2006" s="14">
        <f t="shared" si="5"/>
        <v>1</v>
      </c>
      <c r="X2006" s="14" t="str">
        <f t="shared" si="6"/>
        <v>Ram Gopal</v>
      </c>
      <c r="Y2006" s="15">
        <f t="shared" si="7"/>
        <v>45048</v>
      </c>
      <c r="Z2006" s="14" t="str">
        <f t="shared" si="8"/>
        <v>Online Payment</v>
      </c>
      <c r="AA2006" s="14" t="str">
        <f t="shared" si="9"/>
        <v>Delivered</v>
      </c>
      <c r="AB2006" s="14" t="str">
        <f t="shared" ref="AB2006:AC2006" si="4016">trim(Q2006)</f>
        <v>On-time Delivery</v>
      </c>
      <c r="AC2006" s="14" t="str">
        <f t="shared" si="4016"/>
        <v>Delivered on time</v>
      </c>
      <c r="AD2006" s="8"/>
    </row>
    <row r="2007">
      <c r="A2007" s="14" t="str">
        <f>IFERROR(__xludf.DUMMYFUNCTION("""COMPUTED_VALUE"""),"//ord_81983//Shruti Aggarwal//Colaba//Tiramisu+4*Sita T/8/15/2023//UPI//Delivered*Quality of Items: Perfect condition")</f>
        <v>//ord_81983//Shruti Aggarwal//Colaba//Tiramisu+4*Sita T/8/15/2023//UPI//Delivered*Quality of Items: Perfect condition</v>
      </c>
      <c r="B2007" s="14" t="str">
        <f>IFERROR(__xludf.DUMMYFUNCTION("split(A2007,""//"")"),"ord_81983")</f>
        <v>ord_81983</v>
      </c>
      <c r="C2007" s="14" t="str">
        <f>IFERROR(__xludf.DUMMYFUNCTION("""COMPUTED_VALUE"""),"Shruti Aggarwal")</f>
        <v>Shruti Aggarwal</v>
      </c>
      <c r="D2007" s="14" t="str">
        <f>IFERROR(__xludf.DUMMYFUNCTION("""COMPUTED_VALUE"""),"Colaba")</f>
        <v>Colaba</v>
      </c>
      <c r="E2007" s="14" t="str">
        <f>IFERROR(__xludf.DUMMYFUNCTION("""COMPUTED_VALUE"""),"Tiramisu+4*Sita T")</f>
        <v>Tiramisu+4*Sita T</v>
      </c>
      <c r="F2007" s="14">
        <f>IFERROR(__xludf.DUMMYFUNCTION("""COMPUTED_VALUE"""),8.0)</f>
        <v>8</v>
      </c>
      <c r="G2007" s="14">
        <f>IFERROR(__xludf.DUMMYFUNCTION("""COMPUTED_VALUE"""),15.0)</f>
        <v>15</v>
      </c>
      <c r="H2007" s="14">
        <f>IFERROR(__xludf.DUMMYFUNCTION("""COMPUTED_VALUE"""),2023.0)</f>
        <v>2023</v>
      </c>
      <c r="I2007" s="14" t="str">
        <f>IFERROR(__xludf.DUMMYFUNCTION("""COMPUTED_VALUE"""),"UPI")</f>
        <v>UPI</v>
      </c>
      <c r="J2007" s="14" t="str">
        <f>IFERROR(__xludf.DUMMYFUNCTION("""COMPUTED_VALUE"""),"Delivered*Quality of Items: Perfect condition")</f>
        <v>Delivered*Quality of Items: Perfect condition</v>
      </c>
      <c r="K2007" s="14" t="str">
        <f>IFERROR(__xludf.DUMMYFUNCTION("split(E2007,""+"")"),"Tiramisu")</f>
        <v>Tiramisu</v>
      </c>
      <c r="L2007" s="14" t="str">
        <f>IFERROR(__xludf.DUMMYFUNCTION("""COMPUTED_VALUE"""),"4*Sita T")</f>
        <v>4*Sita T</v>
      </c>
      <c r="M2007" s="14">
        <f>IFERROR(__xludf.DUMMYFUNCTION("SPLIT(L2007,""*"")"),4.0)</f>
        <v>4</v>
      </c>
      <c r="N2007" s="14" t="str">
        <f>IFERROR(__xludf.DUMMYFUNCTION("""COMPUTED_VALUE"""),"Sita T")</f>
        <v>Sita T</v>
      </c>
      <c r="O2007" s="14" t="str">
        <f>IFERROR(__xludf.DUMMYFUNCTION("split(J2007,""*"")"),"Delivered")</f>
        <v>Delivered</v>
      </c>
      <c r="P2007" s="14" t="str">
        <f>IFERROR(__xludf.DUMMYFUNCTION("""COMPUTED_VALUE"""),"Quality of Items: Perfect condition")</f>
        <v>Quality of Items: Perfect condition</v>
      </c>
      <c r="Q2007" s="14" t="str">
        <f>IFERROR(__xludf.DUMMYFUNCTION("split(P2007,"":"")"),"Quality of Items")</f>
        <v>Quality of Items</v>
      </c>
      <c r="R2007" s="14" t="str">
        <f>IFERROR(__xludf.DUMMYFUNCTION("""COMPUTED_VALUE""")," Perfect condition")</f>
        <v> Perfect condition</v>
      </c>
      <c r="S2007" s="14" t="str">
        <f t="shared" ref="S2007:U2007" si="4017">trim(B2007)</f>
        <v>ord_81983</v>
      </c>
      <c r="T2007" s="14" t="str">
        <f t="shared" si="4017"/>
        <v>Shruti Aggarwal</v>
      </c>
      <c r="U2007" s="14" t="str">
        <f t="shared" si="4017"/>
        <v>Colaba</v>
      </c>
      <c r="V2007" s="14" t="str">
        <f t="shared" si="4"/>
        <v>Tiramisu</v>
      </c>
      <c r="W2007" s="14">
        <f t="shared" si="5"/>
        <v>4</v>
      </c>
      <c r="X2007" s="14" t="str">
        <f t="shared" si="6"/>
        <v>Sita T</v>
      </c>
      <c r="Y2007" s="15">
        <f t="shared" si="7"/>
        <v>45153</v>
      </c>
      <c r="Z2007" s="14" t="str">
        <f t="shared" si="8"/>
        <v>UPI</v>
      </c>
      <c r="AA2007" s="14" t="str">
        <f t="shared" si="9"/>
        <v>Delivered</v>
      </c>
      <c r="AB2007" s="14" t="str">
        <f t="shared" ref="AB2007:AC2007" si="4018">trim(Q2007)</f>
        <v>Quality of Items</v>
      </c>
      <c r="AC2007" s="14" t="str">
        <f t="shared" si="4018"/>
        <v>Perfect condition</v>
      </c>
      <c r="AD2007" s="8"/>
    </row>
    <row r="2008">
      <c r="A2008" s="14" t="str">
        <f>IFERROR(__xludf.DUMMYFUNCTION("""COMPUTED_VALUE"""),"//ord_81984//Sahil Desai//Colaba//Guava+3*Nithin Lal/1/27/2023//COD//Delivered*Packaging: Secure and intact")</f>
        <v>//ord_81984//Sahil Desai//Colaba//Guava+3*Nithin Lal/1/27/2023//COD//Delivered*Packaging: Secure and intact</v>
      </c>
      <c r="B2008" s="14" t="str">
        <f>IFERROR(__xludf.DUMMYFUNCTION("split(A2008,""//"")"),"ord_81984")</f>
        <v>ord_81984</v>
      </c>
      <c r="C2008" s="14" t="str">
        <f>IFERROR(__xludf.DUMMYFUNCTION("""COMPUTED_VALUE"""),"Sahil Desai")</f>
        <v>Sahil Desai</v>
      </c>
      <c r="D2008" s="14" t="str">
        <f>IFERROR(__xludf.DUMMYFUNCTION("""COMPUTED_VALUE"""),"Colaba")</f>
        <v>Colaba</v>
      </c>
      <c r="E2008" s="14" t="str">
        <f>IFERROR(__xludf.DUMMYFUNCTION("""COMPUTED_VALUE"""),"Guava+3*Nithin Lal")</f>
        <v>Guava+3*Nithin Lal</v>
      </c>
      <c r="F2008" s="14">
        <f>IFERROR(__xludf.DUMMYFUNCTION("""COMPUTED_VALUE"""),1.0)</f>
        <v>1</v>
      </c>
      <c r="G2008" s="14">
        <f>IFERROR(__xludf.DUMMYFUNCTION("""COMPUTED_VALUE"""),27.0)</f>
        <v>27</v>
      </c>
      <c r="H2008" s="14">
        <f>IFERROR(__xludf.DUMMYFUNCTION("""COMPUTED_VALUE"""),2023.0)</f>
        <v>2023</v>
      </c>
      <c r="I2008" s="14" t="str">
        <f>IFERROR(__xludf.DUMMYFUNCTION("""COMPUTED_VALUE"""),"COD")</f>
        <v>COD</v>
      </c>
      <c r="J2008" s="14" t="str">
        <f>IFERROR(__xludf.DUMMYFUNCTION("""COMPUTED_VALUE"""),"Delivered*Packaging: Secure and intact")</f>
        <v>Delivered*Packaging: Secure and intact</v>
      </c>
      <c r="K2008" s="14" t="str">
        <f>IFERROR(__xludf.DUMMYFUNCTION("split(E2008,""+"")"),"Guava")</f>
        <v>Guava</v>
      </c>
      <c r="L2008" s="14" t="str">
        <f>IFERROR(__xludf.DUMMYFUNCTION("""COMPUTED_VALUE"""),"3*Nithin Lal")</f>
        <v>3*Nithin Lal</v>
      </c>
      <c r="M2008" s="14">
        <f>IFERROR(__xludf.DUMMYFUNCTION("SPLIT(L2008,""*"")"),3.0)</f>
        <v>3</v>
      </c>
      <c r="N2008" s="14" t="str">
        <f>IFERROR(__xludf.DUMMYFUNCTION("""COMPUTED_VALUE"""),"Nithin Lal")</f>
        <v>Nithin Lal</v>
      </c>
      <c r="O2008" s="14" t="str">
        <f>IFERROR(__xludf.DUMMYFUNCTION("split(J2008,""*"")"),"Delivered")</f>
        <v>Delivered</v>
      </c>
      <c r="P2008" s="14" t="str">
        <f>IFERROR(__xludf.DUMMYFUNCTION("""COMPUTED_VALUE"""),"Packaging: Secure and intact")</f>
        <v>Packaging: Secure and intact</v>
      </c>
      <c r="Q2008" s="14" t="str">
        <f>IFERROR(__xludf.DUMMYFUNCTION("split(P2008,"":"")"),"Packaging")</f>
        <v>Packaging</v>
      </c>
      <c r="R2008" s="14" t="str">
        <f>IFERROR(__xludf.DUMMYFUNCTION("""COMPUTED_VALUE""")," Secure and intact")</f>
        <v> Secure and intact</v>
      </c>
      <c r="S2008" s="14" t="str">
        <f t="shared" ref="S2008:U2008" si="4019">trim(B2008)</f>
        <v>ord_81984</v>
      </c>
      <c r="T2008" s="14" t="str">
        <f t="shared" si="4019"/>
        <v>Sahil Desai</v>
      </c>
      <c r="U2008" s="14" t="str">
        <f t="shared" si="4019"/>
        <v>Colaba</v>
      </c>
      <c r="V2008" s="14" t="str">
        <f t="shared" si="4"/>
        <v>Guava</v>
      </c>
      <c r="W2008" s="14">
        <f t="shared" si="5"/>
        <v>3</v>
      </c>
      <c r="X2008" s="14" t="str">
        <f t="shared" si="6"/>
        <v>Nithin Lal</v>
      </c>
      <c r="Y2008" s="15">
        <f t="shared" si="7"/>
        <v>44953</v>
      </c>
      <c r="Z2008" s="14" t="str">
        <f t="shared" si="8"/>
        <v>COD</v>
      </c>
      <c r="AA2008" s="14" t="str">
        <f t="shared" si="9"/>
        <v>Delivered</v>
      </c>
      <c r="AB2008" s="14" t="str">
        <f t="shared" ref="AB2008:AC2008" si="4020">trim(Q2008)</f>
        <v>Packaging</v>
      </c>
      <c r="AC2008" s="14" t="str">
        <f t="shared" si="4020"/>
        <v>Secure and intact</v>
      </c>
      <c r="AD2008" s="8"/>
    </row>
    <row r="2009">
      <c r="A2009" s="14" t="str">
        <f>IFERROR(__xludf.DUMMYFUNCTION("""COMPUTED_VALUE"""),"//ord_81985//Mehul Thakkar//Dadar//Cucumber+2*Nithin Lal/7/1/2023//Online Payment//Delivered*Satisfied with the Delivery: Timely and quality")</f>
        <v>//ord_81985//Mehul Thakkar//Dadar//Cucumber+2*Nithin Lal/7/1/2023//Online Payment//Delivered*Satisfied with the Delivery: Timely and quality</v>
      </c>
      <c r="B2009" s="14" t="str">
        <f>IFERROR(__xludf.DUMMYFUNCTION("split(A2009,""//"")"),"ord_81985")</f>
        <v>ord_81985</v>
      </c>
      <c r="C2009" s="14" t="str">
        <f>IFERROR(__xludf.DUMMYFUNCTION("""COMPUTED_VALUE"""),"Mehul Thakkar")</f>
        <v>Mehul Thakkar</v>
      </c>
      <c r="D2009" s="14" t="str">
        <f>IFERROR(__xludf.DUMMYFUNCTION("""COMPUTED_VALUE"""),"Dadar")</f>
        <v>Dadar</v>
      </c>
      <c r="E2009" s="14" t="str">
        <f>IFERROR(__xludf.DUMMYFUNCTION("""COMPUTED_VALUE"""),"Cucumber+2*Nithin Lal")</f>
        <v>Cucumber+2*Nithin Lal</v>
      </c>
      <c r="F2009" s="14">
        <f>IFERROR(__xludf.DUMMYFUNCTION("""COMPUTED_VALUE"""),7.0)</f>
        <v>7</v>
      </c>
      <c r="G2009" s="14">
        <f>IFERROR(__xludf.DUMMYFUNCTION("""COMPUTED_VALUE"""),1.0)</f>
        <v>1</v>
      </c>
      <c r="H2009" s="14">
        <f>IFERROR(__xludf.DUMMYFUNCTION("""COMPUTED_VALUE"""),2023.0)</f>
        <v>2023</v>
      </c>
      <c r="I2009" s="14" t="str">
        <f>IFERROR(__xludf.DUMMYFUNCTION("""COMPUTED_VALUE"""),"Online Payment")</f>
        <v>Online Payment</v>
      </c>
      <c r="J2009" s="14" t="str">
        <f>IFERROR(__xludf.DUMMYFUNCTION("""COMPUTED_VALUE"""),"Delivered*Satisfied with the Delivery: Timely and quality")</f>
        <v>Delivered*Satisfied with the Delivery: Timely and quality</v>
      </c>
      <c r="K2009" s="14" t="str">
        <f>IFERROR(__xludf.DUMMYFUNCTION("split(E2009,""+"")"),"Cucumber")</f>
        <v>Cucumber</v>
      </c>
      <c r="L2009" s="14" t="str">
        <f>IFERROR(__xludf.DUMMYFUNCTION("""COMPUTED_VALUE"""),"2*Nithin Lal")</f>
        <v>2*Nithin Lal</v>
      </c>
      <c r="M2009" s="14">
        <f>IFERROR(__xludf.DUMMYFUNCTION("SPLIT(L2009,""*"")"),2.0)</f>
        <v>2</v>
      </c>
      <c r="N2009" s="14" t="str">
        <f>IFERROR(__xludf.DUMMYFUNCTION("""COMPUTED_VALUE"""),"Nithin Lal")</f>
        <v>Nithin Lal</v>
      </c>
      <c r="O2009" s="14" t="str">
        <f>IFERROR(__xludf.DUMMYFUNCTION("split(J2009,""*"")"),"Delivered")</f>
        <v>Delivered</v>
      </c>
      <c r="P2009" s="14" t="str">
        <f>IFERROR(__xludf.DUMMYFUNCTION("""COMPUTED_VALUE"""),"Satisfied with the Delivery: Timely and quality")</f>
        <v>Satisfied with the Delivery: Timely and quality</v>
      </c>
      <c r="Q2009" s="14" t="str">
        <f>IFERROR(__xludf.DUMMYFUNCTION("split(P2009,"":"")"),"Satisfied with the Delivery")</f>
        <v>Satisfied with the Delivery</v>
      </c>
      <c r="R2009" s="14" t="str">
        <f>IFERROR(__xludf.DUMMYFUNCTION("""COMPUTED_VALUE""")," Timely and quality")</f>
        <v> Timely and quality</v>
      </c>
      <c r="S2009" s="14" t="str">
        <f t="shared" ref="S2009:U2009" si="4021">trim(B2009)</f>
        <v>ord_81985</v>
      </c>
      <c r="T2009" s="14" t="str">
        <f t="shared" si="4021"/>
        <v>Mehul Thakkar</v>
      </c>
      <c r="U2009" s="14" t="str">
        <f t="shared" si="4021"/>
        <v>Dadar</v>
      </c>
      <c r="V2009" s="14" t="str">
        <f t="shared" si="4"/>
        <v>Cucumber</v>
      </c>
      <c r="W2009" s="14">
        <f t="shared" si="5"/>
        <v>2</v>
      </c>
      <c r="X2009" s="14" t="str">
        <f t="shared" si="6"/>
        <v>Nithin Lal</v>
      </c>
      <c r="Y2009" s="15">
        <f t="shared" si="7"/>
        <v>45108</v>
      </c>
      <c r="Z2009" s="14" t="str">
        <f t="shared" si="8"/>
        <v>Online Payment</v>
      </c>
      <c r="AA2009" s="14" t="str">
        <f t="shared" si="9"/>
        <v>Delivered</v>
      </c>
      <c r="AB2009" s="14" t="str">
        <f t="shared" ref="AB2009:AC2009" si="4022">trim(Q2009)</f>
        <v>Satisfied with the Delivery</v>
      </c>
      <c r="AC2009" s="14" t="str">
        <f t="shared" si="4022"/>
        <v>Timely and quality</v>
      </c>
      <c r="AD2009" s="8"/>
    </row>
    <row r="2010">
      <c r="A2010" s="14" t="str">
        <f>IFERROR(__xludf.DUMMYFUNCTION("""COMPUTED_VALUE"""),"//ord_81986//Sana Malik//Juhu//Chocolate Mousse+9*Manju Ajay/12/8/2023//Credit Card//Delivered*Customer Service: Seamless and easy")</f>
        <v>//ord_81986//Sana Malik//Juhu//Chocolate Mousse+9*Manju Ajay/12/8/2023//Credit Card//Delivered*Customer Service: Seamless and easy</v>
      </c>
      <c r="B2010" s="14" t="str">
        <f>IFERROR(__xludf.DUMMYFUNCTION("split(A2010,""//"")"),"ord_81986")</f>
        <v>ord_81986</v>
      </c>
      <c r="C2010" s="14" t="str">
        <f>IFERROR(__xludf.DUMMYFUNCTION("""COMPUTED_VALUE"""),"Sana Malik")</f>
        <v>Sana Malik</v>
      </c>
      <c r="D2010" s="14" t="str">
        <f>IFERROR(__xludf.DUMMYFUNCTION("""COMPUTED_VALUE"""),"Juhu")</f>
        <v>Juhu</v>
      </c>
      <c r="E2010" s="14" t="str">
        <f>IFERROR(__xludf.DUMMYFUNCTION("""COMPUTED_VALUE"""),"Chocolate Mousse+9*Manju Ajay")</f>
        <v>Chocolate Mousse+9*Manju Ajay</v>
      </c>
      <c r="F2010" s="14">
        <f>IFERROR(__xludf.DUMMYFUNCTION("""COMPUTED_VALUE"""),12.0)</f>
        <v>12</v>
      </c>
      <c r="G2010" s="14">
        <f>IFERROR(__xludf.DUMMYFUNCTION("""COMPUTED_VALUE"""),8.0)</f>
        <v>8</v>
      </c>
      <c r="H2010" s="14">
        <f>IFERROR(__xludf.DUMMYFUNCTION("""COMPUTED_VALUE"""),2023.0)</f>
        <v>2023</v>
      </c>
      <c r="I2010" s="14" t="str">
        <f>IFERROR(__xludf.DUMMYFUNCTION("""COMPUTED_VALUE"""),"Credit Card")</f>
        <v>Credit Card</v>
      </c>
      <c r="J2010" s="14" t="str">
        <f>IFERROR(__xludf.DUMMYFUNCTION("""COMPUTED_VALUE"""),"Delivered*Customer Service: Seamless and easy")</f>
        <v>Delivered*Customer Service: Seamless and easy</v>
      </c>
      <c r="K2010" s="14" t="str">
        <f>IFERROR(__xludf.DUMMYFUNCTION("split(E2010,""+"")"),"Chocolate Mousse")</f>
        <v>Chocolate Mousse</v>
      </c>
      <c r="L2010" s="14" t="str">
        <f>IFERROR(__xludf.DUMMYFUNCTION("""COMPUTED_VALUE"""),"9*Manju Ajay")</f>
        <v>9*Manju Ajay</v>
      </c>
      <c r="M2010" s="14">
        <f>IFERROR(__xludf.DUMMYFUNCTION("SPLIT(L2010,""*"")"),9.0)</f>
        <v>9</v>
      </c>
      <c r="N2010" s="14" t="str">
        <f>IFERROR(__xludf.DUMMYFUNCTION("""COMPUTED_VALUE"""),"Manju Ajay")</f>
        <v>Manju Ajay</v>
      </c>
      <c r="O2010" s="14" t="str">
        <f>IFERROR(__xludf.DUMMYFUNCTION("split(J2010,""*"")"),"Delivered")</f>
        <v>Delivered</v>
      </c>
      <c r="P2010" s="14" t="str">
        <f>IFERROR(__xludf.DUMMYFUNCTION("""COMPUTED_VALUE"""),"Customer Service: Seamless and easy")</f>
        <v>Customer Service: Seamless and easy</v>
      </c>
      <c r="Q2010" s="14" t="str">
        <f>IFERROR(__xludf.DUMMYFUNCTION("split(P2010,"":"")"),"Customer Service")</f>
        <v>Customer Service</v>
      </c>
      <c r="R2010" s="14" t="str">
        <f>IFERROR(__xludf.DUMMYFUNCTION("""COMPUTED_VALUE""")," Seamless and easy")</f>
        <v> Seamless and easy</v>
      </c>
      <c r="S2010" s="14" t="str">
        <f t="shared" ref="S2010:U2010" si="4023">trim(B2010)</f>
        <v>ord_81986</v>
      </c>
      <c r="T2010" s="14" t="str">
        <f t="shared" si="4023"/>
        <v>Sana Malik</v>
      </c>
      <c r="U2010" s="14" t="str">
        <f t="shared" si="4023"/>
        <v>Juhu</v>
      </c>
      <c r="V2010" s="14" t="str">
        <f t="shared" si="4"/>
        <v>Chocolate Mousse</v>
      </c>
      <c r="W2010" s="14">
        <f t="shared" si="5"/>
        <v>9</v>
      </c>
      <c r="X2010" s="14" t="str">
        <f t="shared" si="6"/>
        <v>Manju Ajay</v>
      </c>
      <c r="Y2010" s="15">
        <f t="shared" si="7"/>
        <v>45268</v>
      </c>
      <c r="Z2010" s="14" t="str">
        <f t="shared" si="8"/>
        <v>Credit Card</v>
      </c>
      <c r="AA2010" s="14" t="str">
        <f t="shared" si="9"/>
        <v>Delivered</v>
      </c>
      <c r="AB2010" s="14" t="str">
        <f t="shared" ref="AB2010:AC2010" si="4024">trim(Q2010)</f>
        <v>Customer Service</v>
      </c>
      <c r="AC2010" s="14" t="str">
        <f t="shared" si="4024"/>
        <v>Seamless and easy</v>
      </c>
      <c r="AD2010" s="8"/>
    </row>
    <row r="2011">
      <c r="A2011" s="14" t="str">
        <f>IFERROR(__xludf.DUMMYFUNCTION("""COMPUTED_VALUE"""),"//ord_81987//Sana Malik//Powai//Chocolate Mousse+9*Ramesh S/2/8/2023//Credit Card//Delivered*Delivery Experience: Quick and professional")</f>
        <v>//ord_81987//Sana Malik//Powai//Chocolate Mousse+9*Ramesh S/2/8/2023//Credit Card//Delivered*Delivery Experience: Quick and professional</v>
      </c>
      <c r="B2011" s="14" t="str">
        <f>IFERROR(__xludf.DUMMYFUNCTION("split(A2011,""//"")"),"ord_81987")</f>
        <v>ord_81987</v>
      </c>
      <c r="C2011" s="14" t="str">
        <f>IFERROR(__xludf.DUMMYFUNCTION("""COMPUTED_VALUE"""),"Sana Malik")</f>
        <v>Sana Malik</v>
      </c>
      <c r="D2011" s="14" t="str">
        <f>IFERROR(__xludf.DUMMYFUNCTION("""COMPUTED_VALUE"""),"Powai")</f>
        <v>Powai</v>
      </c>
      <c r="E2011" s="14" t="str">
        <f>IFERROR(__xludf.DUMMYFUNCTION("""COMPUTED_VALUE"""),"Chocolate Mousse+9*Ramesh S")</f>
        <v>Chocolate Mousse+9*Ramesh S</v>
      </c>
      <c r="F2011" s="14">
        <f>IFERROR(__xludf.DUMMYFUNCTION("""COMPUTED_VALUE"""),2.0)</f>
        <v>2</v>
      </c>
      <c r="G2011" s="14">
        <f>IFERROR(__xludf.DUMMYFUNCTION("""COMPUTED_VALUE"""),8.0)</f>
        <v>8</v>
      </c>
      <c r="H2011" s="14">
        <f>IFERROR(__xludf.DUMMYFUNCTION("""COMPUTED_VALUE"""),2023.0)</f>
        <v>2023</v>
      </c>
      <c r="I2011" s="14" t="str">
        <f>IFERROR(__xludf.DUMMYFUNCTION("""COMPUTED_VALUE"""),"Credit Card")</f>
        <v>Credit Card</v>
      </c>
      <c r="J2011" s="14" t="str">
        <f>IFERROR(__xludf.DUMMYFUNCTION("""COMPUTED_VALUE"""),"Delivered*Delivery Experience: Quick and professional")</f>
        <v>Delivered*Delivery Experience: Quick and professional</v>
      </c>
      <c r="K2011" s="14" t="str">
        <f>IFERROR(__xludf.DUMMYFUNCTION("split(E2011,""+"")"),"Chocolate Mousse")</f>
        <v>Chocolate Mousse</v>
      </c>
      <c r="L2011" s="14" t="str">
        <f>IFERROR(__xludf.DUMMYFUNCTION("""COMPUTED_VALUE"""),"9*Ramesh S")</f>
        <v>9*Ramesh S</v>
      </c>
      <c r="M2011" s="14">
        <f>IFERROR(__xludf.DUMMYFUNCTION("SPLIT(L2011,""*"")"),9.0)</f>
        <v>9</v>
      </c>
      <c r="N2011" s="14" t="str">
        <f>IFERROR(__xludf.DUMMYFUNCTION("""COMPUTED_VALUE"""),"Ramesh S")</f>
        <v>Ramesh S</v>
      </c>
      <c r="O2011" s="14" t="str">
        <f>IFERROR(__xludf.DUMMYFUNCTION("split(J2011,""*"")"),"Delivered")</f>
        <v>Delivered</v>
      </c>
      <c r="P2011" s="14" t="str">
        <f>IFERROR(__xludf.DUMMYFUNCTION("""COMPUTED_VALUE"""),"Delivery Experience: Quick and professional")</f>
        <v>Delivery Experience: Quick and professional</v>
      </c>
      <c r="Q2011" s="14" t="str">
        <f>IFERROR(__xludf.DUMMYFUNCTION("split(P2011,"":"")"),"Delivery Experience")</f>
        <v>Delivery Experience</v>
      </c>
      <c r="R2011" s="14" t="str">
        <f>IFERROR(__xludf.DUMMYFUNCTION("""COMPUTED_VALUE""")," Quick and professional")</f>
        <v> Quick and professional</v>
      </c>
      <c r="S2011" s="14" t="str">
        <f t="shared" ref="S2011:U2011" si="4025">trim(B2011)</f>
        <v>ord_81987</v>
      </c>
      <c r="T2011" s="14" t="str">
        <f t="shared" si="4025"/>
        <v>Sana Malik</v>
      </c>
      <c r="U2011" s="14" t="str">
        <f t="shared" si="4025"/>
        <v>Powai</v>
      </c>
      <c r="V2011" s="14" t="str">
        <f t="shared" si="4"/>
        <v>Chocolate Mousse</v>
      </c>
      <c r="W2011" s="14">
        <f t="shared" si="5"/>
        <v>9</v>
      </c>
      <c r="X2011" s="14" t="str">
        <f t="shared" si="6"/>
        <v>Ramesh S</v>
      </c>
      <c r="Y2011" s="15">
        <f t="shared" si="7"/>
        <v>44965</v>
      </c>
      <c r="Z2011" s="14" t="str">
        <f t="shared" si="8"/>
        <v>Credit Card</v>
      </c>
      <c r="AA2011" s="14" t="str">
        <f t="shared" si="9"/>
        <v>Delivered</v>
      </c>
      <c r="AB2011" s="14" t="str">
        <f t="shared" ref="AB2011:AC2011" si="4026">trim(Q2011)</f>
        <v>Delivery Experience</v>
      </c>
      <c r="AC2011" s="14" t="str">
        <f t="shared" si="4026"/>
        <v>Quick and professional</v>
      </c>
      <c r="AD2011" s="8"/>
    </row>
    <row r="2012">
      <c r="A2012" s="14" t="str">
        <f>IFERROR(__xludf.DUMMYFUNCTION("""COMPUTED_VALUE"""),"//ord_81988//Yash Verma//Lower Parel//Popcorn+3*Venu R/10/22/2023//Online Payment//Delivered*Convenience: Easy tracking")</f>
        <v>//ord_81988//Yash Verma//Lower Parel//Popcorn+3*Venu R/10/22/2023//Online Payment//Delivered*Convenience: Easy tracking</v>
      </c>
      <c r="B2012" s="14" t="str">
        <f>IFERROR(__xludf.DUMMYFUNCTION("split(A2012,""//"")"),"ord_81988")</f>
        <v>ord_81988</v>
      </c>
      <c r="C2012" s="14" t="str">
        <f>IFERROR(__xludf.DUMMYFUNCTION("""COMPUTED_VALUE"""),"Yash Verma")</f>
        <v>Yash Verma</v>
      </c>
      <c r="D2012" s="14" t="str">
        <f>IFERROR(__xludf.DUMMYFUNCTION("""COMPUTED_VALUE"""),"Lower Parel")</f>
        <v>Lower Parel</v>
      </c>
      <c r="E2012" s="14" t="str">
        <f>IFERROR(__xludf.DUMMYFUNCTION("""COMPUTED_VALUE"""),"Popcorn+3*Venu R")</f>
        <v>Popcorn+3*Venu R</v>
      </c>
      <c r="F2012" s="14">
        <f>IFERROR(__xludf.DUMMYFUNCTION("""COMPUTED_VALUE"""),10.0)</f>
        <v>10</v>
      </c>
      <c r="G2012" s="14">
        <f>IFERROR(__xludf.DUMMYFUNCTION("""COMPUTED_VALUE"""),22.0)</f>
        <v>22</v>
      </c>
      <c r="H2012" s="14">
        <f>IFERROR(__xludf.DUMMYFUNCTION("""COMPUTED_VALUE"""),2023.0)</f>
        <v>2023</v>
      </c>
      <c r="I2012" s="14" t="str">
        <f>IFERROR(__xludf.DUMMYFUNCTION("""COMPUTED_VALUE"""),"Online Payment")</f>
        <v>Online Payment</v>
      </c>
      <c r="J2012" s="14" t="str">
        <f>IFERROR(__xludf.DUMMYFUNCTION("""COMPUTED_VALUE"""),"Delivered*Convenience: Easy tracking")</f>
        <v>Delivered*Convenience: Easy tracking</v>
      </c>
      <c r="K2012" s="14" t="str">
        <f>IFERROR(__xludf.DUMMYFUNCTION("split(E2012,""+"")"),"Popcorn")</f>
        <v>Popcorn</v>
      </c>
      <c r="L2012" s="14" t="str">
        <f>IFERROR(__xludf.DUMMYFUNCTION("""COMPUTED_VALUE"""),"3*Venu R")</f>
        <v>3*Venu R</v>
      </c>
      <c r="M2012" s="14">
        <f>IFERROR(__xludf.DUMMYFUNCTION("SPLIT(L2012,""*"")"),3.0)</f>
        <v>3</v>
      </c>
      <c r="N2012" s="14" t="str">
        <f>IFERROR(__xludf.DUMMYFUNCTION("""COMPUTED_VALUE"""),"Venu R")</f>
        <v>Venu R</v>
      </c>
      <c r="O2012" s="14" t="str">
        <f>IFERROR(__xludf.DUMMYFUNCTION("split(J2012,""*"")"),"Delivered")</f>
        <v>Delivered</v>
      </c>
      <c r="P2012" s="14" t="str">
        <f>IFERROR(__xludf.DUMMYFUNCTION("""COMPUTED_VALUE"""),"Convenience: Easy tracking")</f>
        <v>Convenience: Easy tracking</v>
      </c>
      <c r="Q2012" s="14" t="str">
        <f>IFERROR(__xludf.DUMMYFUNCTION("split(P2012,"":"")"),"Convenience")</f>
        <v>Convenience</v>
      </c>
      <c r="R2012" s="14" t="str">
        <f>IFERROR(__xludf.DUMMYFUNCTION("""COMPUTED_VALUE""")," Easy tracking")</f>
        <v> Easy tracking</v>
      </c>
      <c r="S2012" s="14" t="str">
        <f t="shared" ref="S2012:U2012" si="4027">trim(B2012)</f>
        <v>ord_81988</v>
      </c>
      <c r="T2012" s="14" t="str">
        <f t="shared" si="4027"/>
        <v>Yash Verma</v>
      </c>
      <c r="U2012" s="14" t="str">
        <f t="shared" si="4027"/>
        <v>Lower Parel</v>
      </c>
      <c r="V2012" s="14" t="str">
        <f t="shared" si="4"/>
        <v>Popcorn</v>
      </c>
      <c r="W2012" s="14">
        <f t="shared" si="5"/>
        <v>3</v>
      </c>
      <c r="X2012" s="14" t="str">
        <f t="shared" si="6"/>
        <v>Venu R</v>
      </c>
      <c r="Y2012" s="15">
        <f t="shared" si="7"/>
        <v>45221</v>
      </c>
      <c r="Z2012" s="14" t="str">
        <f t="shared" si="8"/>
        <v>Online Payment</v>
      </c>
      <c r="AA2012" s="14" t="str">
        <f t="shared" si="9"/>
        <v>Delivered</v>
      </c>
      <c r="AB2012" s="14" t="str">
        <f t="shared" ref="AB2012:AC2012" si="4028">trim(Q2012)</f>
        <v>Convenience</v>
      </c>
      <c r="AC2012" s="14" t="str">
        <f t="shared" si="4028"/>
        <v>Easy tracking</v>
      </c>
      <c r="AD2012" s="8"/>
    </row>
    <row r="2013">
      <c r="A2013" s="14" t="str">
        <f>IFERROR(__xludf.DUMMYFUNCTION("""COMPUTED_VALUE"""),"//ord_81989//Harsh Vardhan//Bandra//Chicken Puff+5*Ram Gopal/10/25/2023//Credit Card//Delivered*Overall Satisfaction: Great service will order again")</f>
        <v>//ord_81989//Harsh Vardhan//Bandra//Chicken Puff+5*Ram Gopal/10/25/2023//Credit Card//Delivered*Overall Satisfaction: Great service will order again</v>
      </c>
      <c r="B2013" s="14" t="str">
        <f>IFERROR(__xludf.DUMMYFUNCTION("split(A2013,""//"")"),"ord_81989")</f>
        <v>ord_81989</v>
      </c>
      <c r="C2013" s="14" t="str">
        <f>IFERROR(__xludf.DUMMYFUNCTION("""COMPUTED_VALUE"""),"Harsh Vardhan")</f>
        <v>Harsh Vardhan</v>
      </c>
      <c r="D2013" s="14" t="str">
        <f>IFERROR(__xludf.DUMMYFUNCTION("""COMPUTED_VALUE"""),"Bandra")</f>
        <v>Bandra</v>
      </c>
      <c r="E2013" s="14" t="str">
        <f>IFERROR(__xludf.DUMMYFUNCTION("""COMPUTED_VALUE"""),"Chicken Puff+5*Ram Gopal")</f>
        <v>Chicken Puff+5*Ram Gopal</v>
      </c>
      <c r="F2013" s="14">
        <f>IFERROR(__xludf.DUMMYFUNCTION("""COMPUTED_VALUE"""),10.0)</f>
        <v>10</v>
      </c>
      <c r="G2013" s="14">
        <f>IFERROR(__xludf.DUMMYFUNCTION("""COMPUTED_VALUE"""),25.0)</f>
        <v>25</v>
      </c>
      <c r="H2013" s="14">
        <f>IFERROR(__xludf.DUMMYFUNCTION("""COMPUTED_VALUE"""),2023.0)</f>
        <v>2023</v>
      </c>
      <c r="I2013" s="14" t="str">
        <f>IFERROR(__xludf.DUMMYFUNCTION("""COMPUTED_VALUE"""),"Credit Card")</f>
        <v>Credit Card</v>
      </c>
      <c r="J2013" s="14" t="str">
        <f>IFERROR(__xludf.DUMMYFUNCTION("""COMPUTED_VALUE"""),"Delivered*Overall Satisfaction: Great service will order again")</f>
        <v>Delivered*Overall Satisfaction: Great service will order again</v>
      </c>
      <c r="K2013" s="14" t="str">
        <f>IFERROR(__xludf.DUMMYFUNCTION("split(E2013,""+"")"),"Chicken Puff")</f>
        <v>Chicken Puff</v>
      </c>
      <c r="L2013" s="14" t="str">
        <f>IFERROR(__xludf.DUMMYFUNCTION("""COMPUTED_VALUE"""),"5*Ram Gopal")</f>
        <v>5*Ram Gopal</v>
      </c>
      <c r="M2013" s="14">
        <f>IFERROR(__xludf.DUMMYFUNCTION("SPLIT(L2013,""*"")"),5.0)</f>
        <v>5</v>
      </c>
      <c r="N2013" s="14" t="str">
        <f>IFERROR(__xludf.DUMMYFUNCTION("""COMPUTED_VALUE"""),"Ram Gopal")</f>
        <v>Ram Gopal</v>
      </c>
      <c r="O2013" s="14" t="str">
        <f>IFERROR(__xludf.DUMMYFUNCTION("split(J2013,""*"")"),"Delivered")</f>
        <v>Delivered</v>
      </c>
      <c r="P2013" s="14" t="str">
        <f>IFERROR(__xludf.DUMMYFUNCTION("""COMPUTED_VALUE"""),"Overall Satisfaction: Great service will order again")</f>
        <v>Overall Satisfaction: Great service will order again</v>
      </c>
      <c r="Q2013" s="14" t="str">
        <f>IFERROR(__xludf.DUMMYFUNCTION("split(P2013,"":"")"),"Overall Satisfaction")</f>
        <v>Overall Satisfaction</v>
      </c>
      <c r="R2013" s="14" t="str">
        <f>IFERROR(__xludf.DUMMYFUNCTION("""COMPUTED_VALUE""")," Great service will order again")</f>
        <v> Great service will order again</v>
      </c>
      <c r="S2013" s="14" t="str">
        <f t="shared" ref="S2013:U2013" si="4029">trim(B2013)</f>
        <v>ord_81989</v>
      </c>
      <c r="T2013" s="14" t="str">
        <f t="shared" si="4029"/>
        <v>Harsh Vardhan</v>
      </c>
      <c r="U2013" s="14" t="str">
        <f t="shared" si="4029"/>
        <v>Bandra</v>
      </c>
      <c r="V2013" s="14" t="str">
        <f t="shared" si="4"/>
        <v>Chicken Puff</v>
      </c>
      <c r="W2013" s="14">
        <f t="shared" si="5"/>
        <v>5</v>
      </c>
      <c r="X2013" s="14" t="str">
        <f t="shared" si="6"/>
        <v>Ram Gopal</v>
      </c>
      <c r="Y2013" s="15">
        <f t="shared" si="7"/>
        <v>45224</v>
      </c>
      <c r="Z2013" s="14" t="str">
        <f t="shared" si="8"/>
        <v>Credit Card</v>
      </c>
      <c r="AA2013" s="14" t="str">
        <f t="shared" si="9"/>
        <v>Delivered</v>
      </c>
      <c r="AB2013" s="14" t="str">
        <f t="shared" ref="AB2013:AC2013" si="4030">trim(Q2013)</f>
        <v>Overall Satisfaction</v>
      </c>
      <c r="AC2013" s="14" t="str">
        <f t="shared" si="4030"/>
        <v>Great service will order again</v>
      </c>
      <c r="AD2013" s="8"/>
    </row>
    <row r="2014">
      <c r="A2014" s="14" t="str">
        <f>IFERROR(__xludf.DUMMYFUNCTION("""COMPUTED_VALUE"""),"//ord_81990//Leena Das//Andheri//Chocolate Mousse+6*Vivek Kumar/12/7/2023//Online Payment//Delivered*On-time Delivery: Delivered on time")</f>
        <v>//ord_81990//Leena Das//Andheri//Chocolate Mousse+6*Vivek Kumar/12/7/2023//Online Payment//Delivered*On-time Delivery: Delivered on time</v>
      </c>
      <c r="B2014" s="14" t="str">
        <f>IFERROR(__xludf.DUMMYFUNCTION("split(A2014,""//"")"),"ord_81990")</f>
        <v>ord_81990</v>
      </c>
      <c r="C2014" s="14" t="str">
        <f>IFERROR(__xludf.DUMMYFUNCTION("""COMPUTED_VALUE"""),"Leena Das")</f>
        <v>Leena Das</v>
      </c>
      <c r="D2014" s="14" t="str">
        <f>IFERROR(__xludf.DUMMYFUNCTION("""COMPUTED_VALUE"""),"Andheri")</f>
        <v>Andheri</v>
      </c>
      <c r="E2014" s="14" t="str">
        <f>IFERROR(__xludf.DUMMYFUNCTION("""COMPUTED_VALUE"""),"Chocolate Mousse+6*Vivek Kumar")</f>
        <v>Chocolate Mousse+6*Vivek Kumar</v>
      </c>
      <c r="F2014" s="14">
        <f>IFERROR(__xludf.DUMMYFUNCTION("""COMPUTED_VALUE"""),12.0)</f>
        <v>12</v>
      </c>
      <c r="G2014" s="14">
        <f>IFERROR(__xludf.DUMMYFUNCTION("""COMPUTED_VALUE"""),7.0)</f>
        <v>7</v>
      </c>
      <c r="H2014" s="14">
        <f>IFERROR(__xludf.DUMMYFUNCTION("""COMPUTED_VALUE"""),2023.0)</f>
        <v>2023</v>
      </c>
      <c r="I2014" s="14" t="str">
        <f>IFERROR(__xludf.DUMMYFUNCTION("""COMPUTED_VALUE"""),"Online Payment")</f>
        <v>Online Payment</v>
      </c>
      <c r="J2014" s="14" t="str">
        <f>IFERROR(__xludf.DUMMYFUNCTION("""COMPUTED_VALUE"""),"Delivered*On-time Delivery: Delivered on time")</f>
        <v>Delivered*On-time Delivery: Delivered on time</v>
      </c>
      <c r="K2014" s="14" t="str">
        <f>IFERROR(__xludf.DUMMYFUNCTION("split(E2014,""+"")"),"Chocolate Mousse")</f>
        <v>Chocolate Mousse</v>
      </c>
      <c r="L2014" s="14" t="str">
        <f>IFERROR(__xludf.DUMMYFUNCTION("""COMPUTED_VALUE"""),"6*Vivek Kumar")</f>
        <v>6*Vivek Kumar</v>
      </c>
      <c r="M2014" s="14">
        <f>IFERROR(__xludf.DUMMYFUNCTION("SPLIT(L2014,""*"")"),6.0)</f>
        <v>6</v>
      </c>
      <c r="N2014" s="14" t="str">
        <f>IFERROR(__xludf.DUMMYFUNCTION("""COMPUTED_VALUE"""),"Vivek Kumar")</f>
        <v>Vivek Kumar</v>
      </c>
      <c r="O2014" s="14" t="str">
        <f>IFERROR(__xludf.DUMMYFUNCTION("split(J2014,""*"")"),"Delivered")</f>
        <v>Delivered</v>
      </c>
      <c r="P2014" s="14" t="str">
        <f>IFERROR(__xludf.DUMMYFUNCTION("""COMPUTED_VALUE"""),"On-time Delivery: Delivered on time")</f>
        <v>On-time Delivery: Delivered on time</v>
      </c>
      <c r="Q2014" s="14" t="str">
        <f>IFERROR(__xludf.DUMMYFUNCTION("split(P2014,"":"")"),"On-time Delivery")</f>
        <v>On-time Delivery</v>
      </c>
      <c r="R2014" s="14" t="str">
        <f>IFERROR(__xludf.DUMMYFUNCTION("""COMPUTED_VALUE""")," Delivered on time")</f>
        <v> Delivered on time</v>
      </c>
      <c r="S2014" s="14" t="str">
        <f t="shared" ref="S2014:U2014" si="4031">trim(B2014)</f>
        <v>ord_81990</v>
      </c>
      <c r="T2014" s="14" t="str">
        <f t="shared" si="4031"/>
        <v>Leena Das</v>
      </c>
      <c r="U2014" s="14" t="str">
        <f t="shared" si="4031"/>
        <v>Andheri</v>
      </c>
      <c r="V2014" s="14" t="str">
        <f t="shared" si="4"/>
        <v>Chocolate Mousse</v>
      </c>
      <c r="W2014" s="14">
        <f t="shared" si="5"/>
        <v>6</v>
      </c>
      <c r="X2014" s="14" t="str">
        <f t="shared" si="6"/>
        <v>Vivek Kumar</v>
      </c>
      <c r="Y2014" s="15">
        <f t="shared" si="7"/>
        <v>45267</v>
      </c>
      <c r="Z2014" s="14" t="str">
        <f t="shared" si="8"/>
        <v>Online Payment</v>
      </c>
      <c r="AA2014" s="14" t="str">
        <f t="shared" si="9"/>
        <v>Delivered</v>
      </c>
      <c r="AB2014" s="14" t="str">
        <f t="shared" ref="AB2014:AC2014" si="4032">trim(Q2014)</f>
        <v>On-time Delivery</v>
      </c>
      <c r="AC2014" s="14" t="str">
        <f t="shared" si="4032"/>
        <v>Delivered on time</v>
      </c>
      <c r="AD2014" s="8"/>
    </row>
    <row r="2015">
      <c r="A2015" s="14" t="str">
        <f>IFERROR(__xludf.DUMMYFUNCTION("""COMPUTED_VALUE"""),"//ord_81991//Yash Verma//Colaba//Rasmalai+5*Sita T/7/13/2023//Credit Card//Delivered*Quality of Items: Perfect condition")</f>
        <v>//ord_81991//Yash Verma//Colaba//Rasmalai+5*Sita T/7/13/2023//Credit Card//Delivered*Quality of Items: Perfect condition</v>
      </c>
      <c r="B2015" s="14" t="str">
        <f>IFERROR(__xludf.DUMMYFUNCTION("split(A2015,""//"")"),"ord_81991")</f>
        <v>ord_81991</v>
      </c>
      <c r="C2015" s="14" t="str">
        <f>IFERROR(__xludf.DUMMYFUNCTION("""COMPUTED_VALUE"""),"Yash Verma")</f>
        <v>Yash Verma</v>
      </c>
      <c r="D2015" s="14" t="str">
        <f>IFERROR(__xludf.DUMMYFUNCTION("""COMPUTED_VALUE"""),"Colaba")</f>
        <v>Colaba</v>
      </c>
      <c r="E2015" s="14" t="str">
        <f>IFERROR(__xludf.DUMMYFUNCTION("""COMPUTED_VALUE"""),"Rasmalai+5*Sita T")</f>
        <v>Rasmalai+5*Sita T</v>
      </c>
      <c r="F2015" s="14">
        <f>IFERROR(__xludf.DUMMYFUNCTION("""COMPUTED_VALUE"""),7.0)</f>
        <v>7</v>
      </c>
      <c r="G2015" s="14">
        <f>IFERROR(__xludf.DUMMYFUNCTION("""COMPUTED_VALUE"""),13.0)</f>
        <v>13</v>
      </c>
      <c r="H2015" s="14">
        <f>IFERROR(__xludf.DUMMYFUNCTION("""COMPUTED_VALUE"""),2023.0)</f>
        <v>2023</v>
      </c>
      <c r="I2015" s="14" t="str">
        <f>IFERROR(__xludf.DUMMYFUNCTION("""COMPUTED_VALUE"""),"Credit Card")</f>
        <v>Credit Card</v>
      </c>
      <c r="J2015" s="14" t="str">
        <f>IFERROR(__xludf.DUMMYFUNCTION("""COMPUTED_VALUE"""),"Delivered*Quality of Items: Perfect condition")</f>
        <v>Delivered*Quality of Items: Perfect condition</v>
      </c>
      <c r="K2015" s="14" t="str">
        <f>IFERROR(__xludf.DUMMYFUNCTION("split(E2015,""+"")"),"Rasmalai")</f>
        <v>Rasmalai</v>
      </c>
      <c r="L2015" s="14" t="str">
        <f>IFERROR(__xludf.DUMMYFUNCTION("""COMPUTED_VALUE"""),"5*Sita T")</f>
        <v>5*Sita T</v>
      </c>
      <c r="M2015" s="14">
        <f>IFERROR(__xludf.DUMMYFUNCTION("SPLIT(L2015,""*"")"),5.0)</f>
        <v>5</v>
      </c>
      <c r="N2015" s="14" t="str">
        <f>IFERROR(__xludf.DUMMYFUNCTION("""COMPUTED_VALUE"""),"Sita T")</f>
        <v>Sita T</v>
      </c>
      <c r="O2015" s="14" t="str">
        <f>IFERROR(__xludf.DUMMYFUNCTION("split(J2015,""*"")"),"Delivered")</f>
        <v>Delivered</v>
      </c>
      <c r="P2015" s="14" t="str">
        <f>IFERROR(__xludf.DUMMYFUNCTION("""COMPUTED_VALUE"""),"Quality of Items: Perfect condition")</f>
        <v>Quality of Items: Perfect condition</v>
      </c>
      <c r="Q2015" s="14" t="str">
        <f>IFERROR(__xludf.DUMMYFUNCTION("split(P2015,"":"")"),"Quality of Items")</f>
        <v>Quality of Items</v>
      </c>
      <c r="R2015" s="14" t="str">
        <f>IFERROR(__xludf.DUMMYFUNCTION("""COMPUTED_VALUE""")," Perfect condition")</f>
        <v> Perfect condition</v>
      </c>
      <c r="S2015" s="14" t="str">
        <f t="shared" ref="S2015:U2015" si="4033">trim(B2015)</f>
        <v>ord_81991</v>
      </c>
      <c r="T2015" s="14" t="str">
        <f t="shared" si="4033"/>
        <v>Yash Verma</v>
      </c>
      <c r="U2015" s="14" t="str">
        <f t="shared" si="4033"/>
        <v>Colaba</v>
      </c>
      <c r="V2015" s="14" t="str">
        <f t="shared" si="4"/>
        <v>Rasmalai</v>
      </c>
      <c r="W2015" s="14">
        <f t="shared" si="5"/>
        <v>5</v>
      </c>
      <c r="X2015" s="14" t="str">
        <f t="shared" si="6"/>
        <v>Sita T</v>
      </c>
      <c r="Y2015" s="15">
        <f t="shared" si="7"/>
        <v>45120</v>
      </c>
      <c r="Z2015" s="14" t="str">
        <f t="shared" si="8"/>
        <v>Credit Card</v>
      </c>
      <c r="AA2015" s="14" t="str">
        <f t="shared" si="9"/>
        <v>Delivered</v>
      </c>
      <c r="AB2015" s="14" t="str">
        <f t="shared" ref="AB2015:AC2015" si="4034">trim(Q2015)</f>
        <v>Quality of Items</v>
      </c>
      <c r="AC2015" s="14" t="str">
        <f t="shared" si="4034"/>
        <v>Perfect condition</v>
      </c>
      <c r="AD2015" s="8"/>
    </row>
    <row r="2016">
      <c r="A2016" s="14" t="str">
        <f>IFERROR(__xludf.DUMMYFUNCTION("""COMPUTED_VALUE"""),"//ord_81992//Aditi Iyer//Bandra//Rasmalai+3*Nithin Lal/5/9/2023//Online Payment//Delivered*On-time Delivery: Delivered on time")</f>
        <v>//ord_81992//Aditi Iyer//Bandra//Rasmalai+3*Nithin Lal/5/9/2023//Online Payment//Delivered*On-time Delivery: Delivered on time</v>
      </c>
      <c r="B2016" s="14" t="str">
        <f>IFERROR(__xludf.DUMMYFUNCTION("split(A2016,""//"")"),"ord_81992")</f>
        <v>ord_81992</v>
      </c>
      <c r="C2016" s="14" t="str">
        <f>IFERROR(__xludf.DUMMYFUNCTION("""COMPUTED_VALUE"""),"Aditi Iyer")</f>
        <v>Aditi Iyer</v>
      </c>
      <c r="D2016" s="14" t="str">
        <f>IFERROR(__xludf.DUMMYFUNCTION("""COMPUTED_VALUE"""),"Bandra")</f>
        <v>Bandra</v>
      </c>
      <c r="E2016" s="14" t="str">
        <f>IFERROR(__xludf.DUMMYFUNCTION("""COMPUTED_VALUE"""),"Rasmalai+3*Nithin Lal")</f>
        <v>Rasmalai+3*Nithin Lal</v>
      </c>
      <c r="F2016" s="14">
        <f>IFERROR(__xludf.DUMMYFUNCTION("""COMPUTED_VALUE"""),5.0)</f>
        <v>5</v>
      </c>
      <c r="G2016" s="14">
        <f>IFERROR(__xludf.DUMMYFUNCTION("""COMPUTED_VALUE"""),9.0)</f>
        <v>9</v>
      </c>
      <c r="H2016" s="14">
        <f>IFERROR(__xludf.DUMMYFUNCTION("""COMPUTED_VALUE"""),2023.0)</f>
        <v>2023</v>
      </c>
      <c r="I2016" s="14" t="str">
        <f>IFERROR(__xludf.DUMMYFUNCTION("""COMPUTED_VALUE"""),"Online Payment")</f>
        <v>Online Payment</v>
      </c>
      <c r="J2016" s="14" t="str">
        <f>IFERROR(__xludf.DUMMYFUNCTION("""COMPUTED_VALUE"""),"Delivered*On-time Delivery: Delivered on time")</f>
        <v>Delivered*On-time Delivery: Delivered on time</v>
      </c>
      <c r="K2016" s="14" t="str">
        <f>IFERROR(__xludf.DUMMYFUNCTION("split(E2016,""+"")"),"Rasmalai")</f>
        <v>Rasmalai</v>
      </c>
      <c r="L2016" s="14" t="str">
        <f>IFERROR(__xludf.DUMMYFUNCTION("""COMPUTED_VALUE"""),"3*Nithin Lal")</f>
        <v>3*Nithin Lal</v>
      </c>
      <c r="M2016" s="14">
        <f>IFERROR(__xludf.DUMMYFUNCTION("SPLIT(L2016,""*"")"),3.0)</f>
        <v>3</v>
      </c>
      <c r="N2016" s="14" t="str">
        <f>IFERROR(__xludf.DUMMYFUNCTION("""COMPUTED_VALUE"""),"Nithin Lal")</f>
        <v>Nithin Lal</v>
      </c>
      <c r="O2016" s="14" t="str">
        <f>IFERROR(__xludf.DUMMYFUNCTION("split(J2016,""*"")"),"Delivered")</f>
        <v>Delivered</v>
      </c>
      <c r="P2016" s="14" t="str">
        <f>IFERROR(__xludf.DUMMYFUNCTION("""COMPUTED_VALUE"""),"On-time Delivery: Delivered on time")</f>
        <v>On-time Delivery: Delivered on time</v>
      </c>
      <c r="Q2016" s="14" t="str">
        <f>IFERROR(__xludf.DUMMYFUNCTION("split(P2016,"":"")"),"On-time Delivery")</f>
        <v>On-time Delivery</v>
      </c>
      <c r="R2016" s="14" t="str">
        <f>IFERROR(__xludf.DUMMYFUNCTION("""COMPUTED_VALUE""")," Delivered on time")</f>
        <v> Delivered on time</v>
      </c>
      <c r="S2016" s="14" t="str">
        <f t="shared" ref="S2016:U2016" si="4035">trim(B2016)</f>
        <v>ord_81992</v>
      </c>
      <c r="T2016" s="14" t="str">
        <f t="shared" si="4035"/>
        <v>Aditi Iyer</v>
      </c>
      <c r="U2016" s="14" t="str">
        <f t="shared" si="4035"/>
        <v>Bandra</v>
      </c>
      <c r="V2016" s="14" t="str">
        <f t="shared" si="4"/>
        <v>Rasmalai</v>
      </c>
      <c r="W2016" s="14">
        <f t="shared" si="5"/>
        <v>3</v>
      </c>
      <c r="X2016" s="14" t="str">
        <f t="shared" si="6"/>
        <v>Nithin Lal</v>
      </c>
      <c r="Y2016" s="15">
        <f t="shared" si="7"/>
        <v>45055</v>
      </c>
      <c r="Z2016" s="14" t="str">
        <f t="shared" si="8"/>
        <v>Online Payment</v>
      </c>
      <c r="AA2016" s="14" t="str">
        <f t="shared" si="9"/>
        <v>Delivered</v>
      </c>
      <c r="AB2016" s="14" t="str">
        <f t="shared" ref="AB2016:AC2016" si="4036">trim(Q2016)</f>
        <v>On-time Delivery</v>
      </c>
      <c r="AC2016" s="14" t="str">
        <f t="shared" si="4036"/>
        <v>Delivered on time</v>
      </c>
      <c r="AD2016" s="8"/>
    </row>
    <row r="2017">
      <c r="A2017" s="14" t="str">
        <f>IFERROR(__xludf.DUMMYFUNCTION("""COMPUTED_VALUE"""),"//ord_81993//Sahil Desai//Colaba//Chicken Puff+8*Nikhil Deshmukh/9/3/2023//UPI//Delivered*Quality of Items: Perfect condition")</f>
        <v>//ord_81993//Sahil Desai//Colaba//Chicken Puff+8*Nikhil Deshmukh/9/3/2023//UPI//Delivered*Quality of Items: Perfect condition</v>
      </c>
      <c r="B2017" s="14" t="str">
        <f>IFERROR(__xludf.DUMMYFUNCTION("split(A2017,""//"")"),"ord_81993")</f>
        <v>ord_81993</v>
      </c>
      <c r="C2017" s="14" t="str">
        <f>IFERROR(__xludf.DUMMYFUNCTION("""COMPUTED_VALUE"""),"Sahil Desai")</f>
        <v>Sahil Desai</v>
      </c>
      <c r="D2017" s="14" t="str">
        <f>IFERROR(__xludf.DUMMYFUNCTION("""COMPUTED_VALUE"""),"Colaba")</f>
        <v>Colaba</v>
      </c>
      <c r="E2017" s="14" t="str">
        <f>IFERROR(__xludf.DUMMYFUNCTION("""COMPUTED_VALUE"""),"Chicken Puff+8*Nikhil Deshmukh")</f>
        <v>Chicken Puff+8*Nikhil Deshmukh</v>
      </c>
      <c r="F2017" s="14">
        <f>IFERROR(__xludf.DUMMYFUNCTION("""COMPUTED_VALUE"""),9.0)</f>
        <v>9</v>
      </c>
      <c r="G2017" s="14">
        <f>IFERROR(__xludf.DUMMYFUNCTION("""COMPUTED_VALUE"""),3.0)</f>
        <v>3</v>
      </c>
      <c r="H2017" s="14">
        <f>IFERROR(__xludf.DUMMYFUNCTION("""COMPUTED_VALUE"""),2023.0)</f>
        <v>2023</v>
      </c>
      <c r="I2017" s="14" t="str">
        <f>IFERROR(__xludf.DUMMYFUNCTION("""COMPUTED_VALUE"""),"UPI")</f>
        <v>UPI</v>
      </c>
      <c r="J2017" s="14" t="str">
        <f>IFERROR(__xludf.DUMMYFUNCTION("""COMPUTED_VALUE"""),"Delivered*Quality of Items: Perfect condition")</f>
        <v>Delivered*Quality of Items: Perfect condition</v>
      </c>
      <c r="K2017" s="14" t="str">
        <f>IFERROR(__xludf.DUMMYFUNCTION("split(E2017,""+"")"),"Chicken Puff")</f>
        <v>Chicken Puff</v>
      </c>
      <c r="L2017" s="14" t="str">
        <f>IFERROR(__xludf.DUMMYFUNCTION("""COMPUTED_VALUE"""),"8*Nikhil Deshmukh")</f>
        <v>8*Nikhil Deshmukh</v>
      </c>
      <c r="M2017" s="14">
        <f>IFERROR(__xludf.DUMMYFUNCTION("SPLIT(L2017,""*"")"),8.0)</f>
        <v>8</v>
      </c>
      <c r="N2017" s="14" t="str">
        <f>IFERROR(__xludf.DUMMYFUNCTION("""COMPUTED_VALUE"""),"Nikhil Deshmukh")</f>
        <v>Nikhil Deshmukh</v>
      </c>
      <c r="O2017" s="14" t="str">
        <f>IFERROR(__xludf.DUMMYFUNCTION("split(J2017,""*"")"),"Delivered")</f>
        <v>Delivered</v>
      </c>
      <c r="P2017" s="14" t="str">
        <f>IFERROR(__xludf.DUMMYFUNCTION("""COMPUTED_VALUE"""),"Quality of Items: Perfect condition")</f>
        <v>Quality of Items: Perfect condition</v>
      </c>
      <c r="Q2017" s="14" t="str">
        <f>IFERROR(__xludf.DUMMYFUNCTION("split(P2017,"":"")"),"Quality of Items")</f>
        <v>Quality of Items</v>
      </c>
      <c r="R2017" s="14" t="str">
        <f>IFERROR(__xludf.DUMMYFUNCTION("""COMPUTED_VALUE""")," Perfect condition")</f>
        <v> Perfect condition</v>
      </c>
      <c r="S2017" s="14" t="str">
        <f t="shared" ref="S2017:U2017" si="4037">trim(B2017)</f>
        <v>ord_81993</v>
      </c>
      <c r="T2017" s="14" t="str">
        <f t="shared" si="4037"/>
        <v>Sahil Desai</v>
      </c>
      <c r="U2017" s="14" t="str">
        <f t="shared" si="4037"/>
        <v>Colaba</v>
      </c>
      <c r="V2017" s="14" t="str">
        <f t="shared" si="4"/>
        <v>Chicken Puff</v>
      </c>
      <c r="W2017" s="14">
        <f t="shared" si="5"/>
        <v>8</v>
      </c>
      <c r="X2017" s="14" t="str">
        <f t="shared" si="6"/>
        <v>Nikhil Deshmukh</v>
      </c>
      <c r="Y2017" s="15">
        <f t="shared" si="7"/>
        <v>45172</v>
      </c>
      <c r="Z2017" s="14" t="str">
        <f t="shared" si="8"/>
        <v>UPI</v>
      </c>
      <c r="AA2017" s="14" t="str">
        <f t="shared" si="9"/>
        <v>Delivered</v>
      </c>
      <c r="AB2017" s="14" t="str">
        <f t="shared" ref="AB2017:AC2017" si="4038">trim(Q2017)</f>
        <v>Quality of Items</v>
      </c>
      <c r="AC2017" s="14" t="str">
        <f t="shared" si="4038"/>
        <v>Perfect condition</v>
      </c>
      <c r="AD2017" s="8"/>
    </row>
    <row r="2018">
      <c r="A2018" s="14" t="str">
        <f>IFERROR(__xludf.DUMMYFUNCTION("""COMPUTED_VALUE"""),"//ord_81994//Shruti Aggarwal//Colaba//Chocolate Mousse+5*Nikhil Deshmukh/11/30/2023//UPI//Delivered*Packaging: Secure and intact")</f>
        <v>//ord_81994//Shruti Aggarwal//Colaba//Chocolate Mousse+5*Nikhil Deshmukh/11/30/2023//UPI//Delivered*Packaging: Secure and intact</v>
      </c>
      <c r="B2018" s="14" t="str">
        <f>IFERROR(__xludf.DUMMYFUNCTION("split(A2018,""//"")"),"ord_81994")</f>
        <v>ord_81994</v>
      </c>
      <c r="C2018" s="14" t="str">
        <f>IFERROR(__xludf.DUMMYFUNCTION("""COMPUTED_VALUE"""),"Shruti Aggarwal")</f>
        <v>Shruti Aggarwal</v>
      </c>
      <c r="D2018" s="14" t="str">
        <f>IFERROR(__xludf.DUMMYFUNCTION("""COMPUTED_VALUE"""),"Colaba")</f>
        <v>Colaba</v>
      </c>
      <c r="E2018" s="14" t="str">
        <f>IFERROR(__xludf.DUMMYFUNCTION("""COMPUTED_VALUE"""),"Chocolate Mousse+5*Nikhil Deshmukh")</f>
        <v>Chocolate Mousse+5*Nikhil Deshmukh</v>
      </c>
      <c r="F2018" s="14">
        <f>IFERROR(__xludf.DUMMYFUNCTION("""COMPUTED_VALUE"""),11.0)</f>
        <v>11</v>
      </c>
      <c r="G2018" s="14">
        <f>IFERROR(__xludf.DUMMYFUNCTION("""COMPUTED_VALUE"""),30.0)</f>
        <v>30</v>
      </c>
      <c r="H2018" s="14">
        <f>IFERROR(__xludf.DUMMYFUNCTION("""COMPUTED_VALUE"""),2023.0)</f>
        <v>2023</v>
      </c>
      <c r="I2018" s="14" t="str">
        <f>IFERROR(__xludf.DUMMYFUNCTION("""COMPUTED_VALUE"""),"UPI")</f>
        <v>UPI</v>
      </c>
      <c r="J2018" s="14" t="str">
        <f>IFERROR(__xludf.DUMMYFUNCTION("""COMPUTED_VALUE"""),"Delivered*Packaging: Secure and intact")</f>
        <v>Delivered*Packaging: Secure and intact</v>
      </c>
      <c r="K2018" s="14" t="str">
        <f>IFERROR(__xludf.DUMMYFUNCTION("split(E2018,""+"")"),"Chocolate Mousse")</f>
        <v>Chocolate Mousse</v>
      </c>
      <c r="L2018" s="14" t="str">
        <f>IFERROR(__xludf.DUMMYFUNCTION("""COMPUTED_VALUE"""),"5*Nikhil Deshmukh")</f>
        <v>5*Nikhil Deshmukh</v>
      </c>
      <c r="M2018" s="14">
        <f>IFERROR(__xludf.DUMMYFUNCTION("SPLIT(L2018,""*"")"),5.0)</f>
        <v>5</v>
      </c>
      <c r="N2018" s="14" t="str">
        <f>IFERROR(__xludf.DUMMYFUNCTION("""COMPUTED_VALUE"""),"Nikhil Deshmukh")</f>
        <v>Nikhil Deshmukh</v>
      </c>
      <c r="O2018" s="14" t="str">
        <f>IFERROR(__xludf.DUMMYFUNCTION("split(J2018,""*"")"),"Delivered")</f>
        <v>Delivered</v>
      </c>
      <c r="P2018" s="14" t="str">
        <f>IFERROR(__xludf.DUMMYFUNCTION("""COMPUTED_VALUE"""),"Packaging: Secure and intact")</f>
        <v>Packaging: Secure and intact</v>
      </c>
      <c r="Q2018" s="14" t="str">
        <f>IFERROR(__xludf.DUMMYFUNCTION("split(P2018,"":"")"),"Packaging")</f>
        <v>Packaging</v>
      </c>
      <c r="R2018" s="14" t="str">
        <f>IFERROR(__xludf.DUMMYFUNCTION("""COMPUTED_VALUE""")," Secure and intact")</f>
        <v> Secure and intact</v>
      </c>
      <c r="S2018" s="14" t="str">
        <f t="shared" ref="S2018:U2018" si="4039">trim(B2018)</f>
        <v>ord_81994</v>
      </c>
      <c r="T2018" s="14" t="str">
        <f t="shared" si="4039"/>
        <v>Shruti Aggarwal</v>
      </c>
      <c r="U2018" s="14" t="str">
        <f t="shared" si="4039"/>
        <v>Colaba</v>
      </c>
      <c r="V2018" s="14" t="str">
        <f t="shared" si="4"/>
        <v>Chocolate Mousse</v>
      </c>
      <c r="W2018" s="14">
        <f t="shared" si="5"/>
        <v>5</v>
      </c>
      <c r="X2018" s="14" t="str">
        <f t="shared" si="6"/>
        <v>Nikhil Deshmukh</v>
      </c>
      <c r="Y2018" s="15">
        <f t="shared" si="7"/>
        <v>45260</v>
      </c>
      <c r="Z2018" s="14" t="str">
        <f t="shared" si="8"/>
        <v>UPI</v>
      </c>
      <c r="AA2018" s="14" t="str">
        <f t="shared" si="9"/>
        <v>Delivered</v>
      </c>
      <c r="AB2018" s="14" t="str">
        <f t="shared" ref="AB2018:AC2018" si="4040">trim(Q2018)</f>
        <v>Packaging</v>
      </c>
      <c r="AC2018" s="14" t="str">
        <f t="shared" si="4040"/>
        <v>Secure and intact</v>
      </c>
      <c r="AD2018" s="8"/>
    </row>
    <row r="2019">
      <c r="A2019" s="14" t="str">
        <f>IFERROR(__xludf.DUMMYFUNCTION("""COMPUTED_VALUE"""),"//ord_81995//Arvind Kulkarni//Juhu//Chocolate Mousse+2*Not Assigned/9/4/2023//Credit Card//Cancelled*App Glitches:Slow Loading Time")</f>
        <v>//ord_81995//Arvind Kulkarni//Juhu//Chocolate Mousse+2*Not Assigned/9/4/2023//Credit Card//Cancelled*App Glitches:Slow Loading Time</v>
      </c>
      <c r="B2019" s="14" t="str">
        <f>IFERROR(__xludf.DUMMYFUNCTION("split(A2019,""//"")"),"ord_81995")</f>
        <v>ord_81995</v>
      </c>
      <c r="C2019" s="14" t="str">
        <f>IFERROR(__xludf.DUMMYFUNCTION("""COMPUTED_VALUE"""),"Arvind Kulkarni")</f>
        <v>Arvind Kulkarni</v>
      </c>
      <c r="D2019" s="14" t="str">
        <f>IFERROR(__xludf.DUMMYFUNCTION("""COMPUTED_VALUE"""),"Juhu")</f>
        <v>Juhu</v>
      </c>
      <c r="E2019" s="14" t="str">
        <f>IFERROR(__xludf.DUMMYFUNCTION("""COMPUTED_VALUE"""),"Chocolate Mousse+2*Not Assigned")</f>
        <v>Chocolate Mousse+2*Not Assigned</v>
      </c>
      <c r="F2019" s="14">
        <f>IFERROR(__xludf.DUMMYFUNCTION("""COMPUTED_VALUE"""),9.0)</f>
        <v>9</v>
      </c>
      <c r="G2019" s="14">
        <f>IFERROR(__xludf.DUMMYFUNCTION("""COMPUTED_VALUE"""),4.0)</f>
        <v>4</v>
      </c>
      <c r="H2019" s="14">
        <f>IFERROR(__xludf.DUMMYFUNCTION("""COMPUTED_VALUE"""),2023.0)</f>
        <v>2023</v>
      </c>
      <c r="I2019" s="14" t="str">
        <f>IFERROR(__xludf.DUMMYFUNCTION("""COMPUTED_VALUE"""),"Credit Card")</f>
        <v>Credit Card</v>
      </c>
      <c r="J2019" s="14" t="str">
        <f>IFERROR(__xludf.DUMMYFUNCTION("""COMPUTED_VALUE"""),"Cancelled*App Glitches:Slow Loading Time")</f>
        <v>Cancelled*App Glitches:Slow Loading Time</v>
      </c>
      <c r="K2019" s="14" t="str">
        <f>IFERROR(__xludf.DUMMYFUNCTION("split(E2019,""+"")"),"Chocolate Mousse")</f>
        <v>Chocolate Mousse</v>
      </c>
      <c r="L2019" s="14" t="str">
        <f>IFERROR(__xludf.DUMMYFUNCTION("""COMPUTED_VALUE"""),"2*Not Assigned")</f>
        <v>2*Not Assigned</v>
      </c>
      <c r="M2019" s="14">
        <f>IFERROR(__xludf.DUMMYFUNCTION("SPLIT(L2019,""*"")"),2.0)</f>
        <v>2</v>
      </c>
      <c r="N2019" s="14" t="str">
        <f>IFERROR(__xludf.DUMMYFUNCTION("""COMPUTED_VALUE"""),"Not Assigned")</f>
        <v>Not Assigned</v>
      </c>
      <c r="O2019" s="14" t="str">
        <f>IFERROR(__xludf.DUMMYFUNCTION("split(J2019,""*"")"),"Cancelled")</f>
        <v>Cancelled</v>
      </c>
      <c r="P2019" s="14" t="str">
        <f>IFERROR(__xludf.DUMMYFUNCTION("""COMPUTED_VALUE"""),"App Glitches:Slow Loading Time")</f>
        <v>App Glitches:Slow Loading Time</v>
      </c>
      <c r="Q2019" s="14" t="str">
        <f>IFERROR(__xludf.DUMMYFUNCTION("split(P2019,"":"")"),"App Glitches")</f>
        <v>App Glitches</v>
      </c>
      <c r="R2019" s="14" t="str">
        <f>IFERROR(__xludf.DUMMYFUNCTION("""COMPUTED_VALUE"""),"Slow Loading Time")</f>
        <v>Slow Loading Time</v>
      </c>
      <c r="S2019" s="14" t="str">
        <f t="shared" ref="S2019:U2019" si="4041">trim(B2019)</f>
        <v>ord_81995</v>
      </c>
      <c r="T2019" s="14" t="str">
        <f t="shared" si="4041"/>
        <v>Arvind Kulkarni</v>
      </c>
      <c r="U2019" s="14" t="str">
        <f t="shared" si="4041"/>
        <v>Juhu</v>
      </c>
      <c r="V2019" s="14" t="str">
        <f t="shared" si="4"/>
        <v>Chocolate Mousse</v>
      </c>
      <c r="W2019" s="14">
        <f t="shared" si="5"/>
        <v>2</v>
      </c>
      <c r="X2019" s="14" t="str">
        <f t="shared" si="6"/>
        <v>Not Assigned</v>
      </c>
      <c r="Y2019" s="15">
        <f t="shared" si="7"/>
        <v>45173</v>
      </c>
      <c r="Z2019" s="14" t="str">
        <f t="shared" si="8"/>
        <v>Credit Card</v>
      </c>
      <c r="AA2019" s="14" t="str">
        <f t="shared" si="9"/>
        <v>Cancelled</v>
      </c>
      <c r="AB2019" s="14" t="str">
        <f t="shared" ref="AB2019:AC2019" si="4042">trim(Q2019)</f>
        <v>App Glitches</v>
      </c>
      <c r="AC2019" s="14" t="str">
        <f t="shared" si="4042"/>
        <v>Slow Loading Time</v>
      </c>
      <c r="AD2019" s="8"/>
    </row>
    <row r="2020">
      <c r="A2020" s="14" t="str">
        <f>IFERROR(__xludf.DUMMYFUNCTION("""COMPUTED_VALUE"""),"//ord_81996//Ishita Banerjee//Juhu//Banana+2*Rohan Yadav/2/19/2023//Credit Card//Cancelled*Delayed Delivery:Bad Weather Conditions ")</f>
        <v>//ord_81996//Ishita Banerjee//Juhu//Banana+2*Rohan Yadav/2/19/2023//Credit Card//Cancelled*Delayed Delivery:Bad Weather Conditions </v>
      </c>
      <c r="B2020" s="14" t="str">
        <f>IFERROR(__xludf.DUMMYFUNCTION("split(A2020,""//"")"),"ord_81996")</f>
        <v>ord_81996</v>
      </c>
      <c r="C2020" s="14" t="str">
        <f>IFERROR(__xludf.DUMMYFUNCTION("""COMPUTED_VALUE"""),"Ishita Banerjee")</f>
        <v>Ishita Banerjee</v>
      </c>
      <c r="D2020" s="14" t="str">
        <f>IFERROR(__xludf.DUMMYFUNCTION("""COMPUTED_VALUE"""),"Juhu")</f>
        <v>Juhu</v>
      </c>
      <c r="E2020" s="14" t="str">
        <f>IFERROR(__xludf.DUMMYFUNCTION("""COMPUTED_VALUE"""),"Banana+2*Rohan Yadav")</f>
        <v>Banana+2*Rohan Yadav</v>
      </c>
      <c r="F2020" s="14">
        <f>IFERROR(__xludf.DUMMYFUNCTION("""COMPUTED_VALUE"""),2.0)</f>
        <v>2</v>
      </c>
      <c r="G2020" s="14">
        <f>IFERROR(__xludf.DUMMYFUNCTION("""COMPUTED_VALUE"""),19.0)</f>
        <v>19</v>
      </c>
      <c r="H2020" s="14">
        <f>IFERROR(__xludf.DUMMYFUNCTION("""COMPUTED_VALUE"""),2023.0)</f>
        <v>2023</v>
      </c>
      <c r="I2020" s="14" t="str">
        <f>IFERROR(__xludf.DUMMYFUNCTION("""COMPUTED_VALUE"""),"Credit Card")</f>
        <v>Credit Card</v>
      </c>
      <c r="J2020" s="14" t="str">
        <f>IFERROR(__xludf.DUMMYFUNCTION("""COMPUTED_VALUE"""),"Cancelled*Delayed Delivery:Bad Weather Conditions ")</f>
        <v>Cancelled*Delayed Delivery:Bad Weather Conditions </v>
      </c>
      <c r="K2020" s="14" t="str">
        <f>IFERROR(__xludf.DUMMYFUNCTION("split(E2020,""+"")"),"Banana")</f>
        <v>Banana</v>
      </c>
      <c r="L2020" s="14" t="str">
        <f>IFERROR(__xludf.DUMMYFUNCTION("""COMPUTED_VALUE"""),"2*Rohan Yadav")</f>
        <v>2*Rohan Yadav</v>
      </c>
      <c r="M2020" s="14">
        <f>IFERROR(__xludf.DUMMYFUNCTION("SPLIT(L2020,""*"")"),2.0)</f>
        <v>2</v>
      </c>
      <c r="N2020" s="14" t="str">
        <f>IFERROR(__xludf.DUMMYFUNCTION("""COMPUTED_VALUE"""),"Rohan Yadav")</f>
        <v>Rohan Yadav</v>
      </c>
      <c r="O2020" s="14" t="str">
        <f>IFERROR(__xludf.DUMMYFUNCTION("split(J2020,""*"")"),"Cancelled")</f>
        <v>Cancelled</v>
      </c>
      <c r="P2020" s="14" t="str">
        <f>IFERROR(__xludf.DUMMYFUNCTION("""COMPUTED_VALUE"""),"Delayed Delivery:Bad Weather Conditions ")</f>
        <v>Delayed Delivery:Bad Weather Conditions </v>
      </c>
      <c r="Q2020" s="14" t="str">
        <f>IFERROR(__xludf.DUMMYFUNCTION("split(P2020,"":"")"),"Delayed Delivery")</f>
        <v>Delayed Delivery</v>
      </c>
      <c r="R2020" s="14" t="str">
        <f>IFERROR(__xludf.DUMMYFUNCTION("""COMPUTED_VALUE"""),"Bad Weather Conditions ")</f>
        <v>Bad Weather Conditions </v>
      </c>
      <c r="S2020" s="14" t="str">
        <f t="shared" ref="S2020:U2020" si="4043">trim(B2020)</f>
        <v>ord_81996</v>
      </c>
      <c r="T2020" s="14" t="str">
        <f t="shared" si="4043"/>
        <v>Ishita Banerjee</v>
      </c>
      <c r="U2020" s="14" t="str">
        <f t="shared" si="4043"/>
        <v>Juhu</v>
      </c>
      <c r="V2020" s="14" t="str">
        <f t="shared" si="4"/>
        <v>Banana</v>
      </c>
      <c r="W2020" s="14">
        <f t="shared" si="5"/>
        <v>2</v>
      </c>
      <c r="X2020" s="14" t="str">
        <f t="shared" si="6"/>
        <v>Rohan Yadav</v>
      </c>
      <c r="Y2020" s="15">
        <f t="shared" si="7"/>
        <v>44976</v>
      </c>
      <c r="Z2020" s="14" t="str">
        <f t="shared" si="8"/>
        <v>Credit Card</v>
      </c>
      <c r="AA2020" s="14" t="str">
        <f t="shared" si="9"/>
        <v>Cancelled</v>
      </c>
      <c r="AB2020" s="14" t="str">
        <f t="shared" ref="AB2020:AC2020" si="4044">trim(Q2020)</f>
        <v>Delayed Delivery</v>
      </c>
      <c r="AC2020" s="14" t="str">
        <f t="shared" si="4044"/>
        <v>Bad Weather Conditions</v>
      </c>
      <c r="AD2020" s="8"/>
    </row>
    <row r="2021">
      <c r="A2021" s="14" t="str">
        <f>IFERROR(__xludf.DUMMYFUNCTION("""COMPUTED_VALUE"""),"//ord_81997//Aarav Mehta//Andheri//Icecream+1*Not Assigned/6/24/2023//Online Payment//Cancelled*App Glitches:Missing Content")</f>
        <v>//ord_81997//Aarav Mehta//Andheri//Icecream+1*Not Assigned/6/24/2023//Online Payment//Cancelled*App Glitches:Missing Content</v>
      </c>
      <c r="B2021" s="14" t="str">
        <f>IFERROR(__xludf.DUMMYFUNCTION("split(A2021,""//"")"),"ord_81997")</f>
        <v>ord_81997</v>
      </c>
      <c r="C2021" s="14" t="str">
        <f>IFERROR(__xludf.DUMMYFUNCTION("""COMPUTED_VALUE"""),"Aarav Mehta")</f>
        <v>Aarav Mehta</v>
      </c>
      <c r="D2021" s="14" t="str">
        <f>IFERROR(__xludf.DUMMYFUNCTION("""COMPUTED_VALUE"""),"Andheri")</f>
        <v>Andheri</v>
      </c>
      <c r="E2021" s="14" t="str">
        <f>IFERROR(__xludf.DUMMYFUNCTION("""COMPUTED_VALUE"""),"Icecream+1*Not Assigned")</f>
        <v>Icecream+1*Not Assigned</v>
      </c>
      <c r="F2021" s="14">
        <f>IFERROR(__xludf.DUMMYFUNCTION("""COMPUTED_VALUE"""),6.0)</f>
        <v>6</v>
      </c>
      <c r="G2021" s="14">
        <f>IFERROR(__xludf.DUMMYFUNCTION("""COMPUTED_VALUE"""),24.0)</f>
        <v>24</v>
      </c>
      <c r="H2021" s="14">
        <f>IFERROR(__xludf.DUMMYFUNCTION("""COMPUTED_VALUE"""),2023.0)</f>
        <v>2023</v>
      </c>
      <c r="I2021" s="14" t="str">
        <f>IFERROR(__xludf.DUMMYFUNCTION("""COMPUTED_VALUE"""),"Online Payment")</f>
        <v>Online Payment</v>
      </c>
      <c r="J2021" s="14" t="str">
        <f>IFERROR(__xludf.DUMMYFUNCTION("""COMPUTED_VALUE"""),"Cancelled*App Glitches:Missing Content")</f>
        <v>Cancelled*App Glitches:Missing Content</v>
      </c>
      <c r="K2021" s="14" t="str">
        <f>IFERROR(__xludf.DUMMYFUNCTION("split(E2021,""+"")"),"Icecream")</f>
        <v>Icecream</v>
      </c>
      <c r="L2021" s="14" t="str">
        <f>IFERROR(__xludf.DUMMYFUNCTION("""COMPUTED_VALUE"""),"1*Not Assigned")</f>
        <v>1*Not Assigned</v>
      </c>
      <c r="M2021" s="14">
        <f>IFERROR(__xludf.DUMMYFUNCTION("SPLIT(L2021,""*"")"),1.0)</f>
        <v>1</v>
      </c>
      <c r="N2021" s="14" t="str">
        <f>IFERROR(__xludf.DUMMYFUNCTION("""COMPUTED_VALUE"""),"Not Assigned")</f>
        <v>Not Assigned</v>
      </c>
      <c r="O2021" s="14" t="str">
        <f>IFERROR(__xludf.DUMMYFUNCTION("split(J2021,""*"")"),"Cancelled")</f>
        <v>Cancelled</v>
      </c>
      <c r="P2021" s="14" t="str">
        <f>IFERROR(__xludf.DUMMYFUNCTION("""COMPUTED_VALUE"""),"App Glitches:Missing Content")</f>
        <v>App Glitches:Missing Content</v>
      </c>
      <c r="Q2021" s="14" t="str">
        <f>IFERROR(__xludf.DUMMYFUNCTION("split(P2021,"":"")"),"App Glitches")</f>
        <v>App Glitches</v>
      </c>
      <c r="R2021" s="14" t="str">
        <f>IFERROR(__xludf.DUMMYFUNCTION("""COMPUTED_VALUE"""),"Missing Content")</f>
        <v>Missing Content</v>
      </c>
      <c r="S2021" s="14" t="str">
        <f t="shared" ref="S2021:U2021" si="4045">trim(B2021)</f>
        <v>ord_81997</v>
      </c>
      <c r="T2021" s="14" t="str">
        <f t="shared" si="4045"/>
        <v>Aarav Mehta</v>
      </c>
      <c r="U2021" s="14" t="str">
        <f t="shared" si="4045"/>
        <v>Andheri</v>
      </c>
      <c r="V2021" s="14" t="str">
        <f t="shared" si="4"/>
        <v>Icecream</v>
      </c>
      <c r="W2021" s="14">
        <f t="shared" si="5"/>
        <v>1</v>
      </c>
      <c r="X2021" s="14" t="str">
        <f t="shared" si="6"/>
        <v>Not Assigned</v>
      </c>
      <c r="Y2021" s="15">
        <f t="shared" si="7"/>
        <v>45101</v>
      </c>
      <c r="Z2021" s="14" t="str">
        <f t="shared" si="8"/>
        <v>Online Payment</v>
      </c>
      <c r="AA2021" s="14" t="str">
        <f t="shared" si="9"/>
        <v>Cancelled</v>
      </c>
      <c r="AB2021" s="14" t="str">
        <f t="shared" ref="AB2021:AC2021" si="4046">trim(Q2021)</f>
        <v>App Glitches</v>
      </c>
      <c r="AC2021" s="14" t="str">
        <f t="shared" si="4046"/>
        <v>Missing Content</v>
      </c>
      <c r="AD2021" s="8"/>
    </row>
    <row r="2022">
      <c r="A2022" s="14" t="str">
        <f>IFERROR(__xludf.DUMMYFUNCTION("""COMPUTED_VALUE"""),"//ord_81998//Anaya Rao//Colaba//Onion+1*Not Assigned/11/7/2023//Online Payment//Cancelled*App Glitches:Slow Loading Time")</f>
        <v>//ord_81998//Anaya Rao//Colaba//Onion+1*Not Assigned/11/7/2023//Online Payment//Cancelled*App Glitches:Slow Loading Time</v>
      </c>
      <c r="B2022" s="14" t="str">
        <f>IFERROR(__xludf.DUMMYFUNCTION("split(A2022,""//"")"),"ord_81998")</f>
        <v>ord_81998</v>
      </c>
      <c r="C2022" s="14" t="str">
        <f>IFERROR(__xludf.DUMMYFUNCTION("""COMPUTED_VALUE"""),"Anaya Rao")</f>
        <v>Anaya Rao</v>
      </c>
      <c r="D2022" s="14" t="str">
        <f>IFERROR(__xludf.DUMMYFUNCTION("""COMPUTED_VALUE"""),"Colaba")</f>
        <v>Colaba</v>
      </c>
      <c r="E2022" s="14" t="str">
        <f>IFERROR(__xludf.DUMMYFUNCTION("""COMPUTED_VALUE"""),"Onion+1*Not Assigned")</f>
        <v>Onion+1*Not Assigned</v>
      </c>
      <c r="F2022" s="14">
        <f>IFERROR(__xludf.DUMMYFUNCTION("""COMPUTED_VALUE"""),11.0)</f>
        <v>11</v>
      </c>
      <c r="G2022" s="14">
        <f>IFERROR(__xludf.DUMMYFUNCTION("""COMPUTED_VALUE"""),7.0)</f>
        <v>7</v>
      </c>
      <c r="H2022" s="14">
        <f>IFERROR(__xludf.DUMMYFUNCTION("""COMPUTED_VALUE"""),2023.0)</f>
        <v>2023</v>
      </c>
      <c r="I2022" s="14" t="str">
        <f>IFERROR(__xludf.DUMMYFUNCTION("""COMPUTED_VALUE"""),"Online Payment")</f>
        <v>Online Payment</v>
      </c>
      <c r="J2022" s="14" t="str">
        <f>IFERROR(__xludf.DUMMYFUNCTION("""COMPUTED_VALUE"""),"Cancelled*App Glitches:Slow Loading Time")</f>
        <v>Cancelled*App Glitches:Slow Loading Time</v>
      </c>
      <c r="K2022" s="14" t="str">
        <f>IFERROR(__xludf.DUMMYFUNCTION("split(E2022,""+"")"),"Onion")</f>
        <v>Onion</v>
      </c>
      <c r="L2022" s="14" t="str">
        <f>IFERROR(__xludf.DUMMYFUNCTION("""COMPUTED_VALUE"""),"1*Not Assigned")</f>
        <v>1*Not Assigned</v>
      </c>
      <c r="M2022" s="14">
        <f>IFERROR(__xludf.DUMMYFUNCTION("SPLIT(L2022,""*"")"),1.0)</f>
        <v>1</v>
      </c>
      <c r="N2022" s="14" t="str">
        <f>IFERROR(__xludf.DUMMYFUNCTION("""COMPUTED_VALUE"""),"Not Assigned")</f>
        <v>Not Assigned</v>
      </c>
      <c r="O2022" s="14" t="str">
        <f>IFERROR(__xludf.DUMMYFUNCTION("split(J2022,""*"")"),"Cancelled")</f>
        <v>Cancelled</v>
      </c>
      <c r="P2022" s="14" t="str">
        <f>IFERROR(__xludf.DUMMYFUNCTION("""COMPUTED_VALUE"""),"App Glitches:Slow Loading Time")</f>
        <v>App Glitches:Slow Loading Time</v>
      </c>
      <c r="Q2022" s="14" t="str">
        <f>IFERROR(__xludf.DUMMYFUNCTION("split(P2022,"":"")"),"App Glitches")</f>
        <v>App Glitches</v>
      </c>
      <c r="R2022" s="14" t="str">
        <f>IFERROR(__xludf.DUMMYFUNCTION("""COMPUTED_VALUE"""),"Slow Loading Time")</f>
        <v>Slow Loading Time</v>
      </c>
      <c r="S2022" s="14" t="str">
        <f t="shared" ref="S2022:U2022" si="4047">trim(B2022)</f>
        <v>ord_81998</v>
      </c>
      <c r="T2022" s="14" t="str">
        <f t="shared" si="4047"/>
        <v>Anaya Rao</v>
      </c>
      <c r="U2022" s="14" t="str">
        <f t="shared" si="4047"/>
        <v>Colaba</v>
      </c>
      <c r="V2022" s="14" t="str">
        <f t="shared" si="4"/>
        <v>Onion</v>
      </c>
      <c r="W2022" s="14">
        <f t="shared" si="5"/>
        <v>1</v>
      </c>
      <c r="X2022" s="14" t="str">
        <f t="shared" si="6"/>
        <v>Not Assigned</v>
      </c>
      <c r="Y2022" s="15">
        <f t="shared" si="7"/>
        <v>45237</v>
      </c>
      <c r="Z2022" s="14" t="str">
        <f t="shared" si="8"/>
        <v>Online Payment</v>
      </c>
      <c r="AA2022" s="14" t="str">
        <f t="shared" si="9"/>
        <v>Cancelled</v>
      </c>
      <c r="AB2022" s="14" t="str">
        <f t="shared" ref="AB2022:AC2022" si="4048">trim(Q2022)</f>
        <v>App Glitches</v>
      </c>
      <c r="AC2022" s="14" t="str">
        <f t="shared" si="4048"/>
        <v>Slow Loading Time</v>
      </c>
      <c r="AD2022" s="8"/>
    </row>
    <row r="2023">
      <c r="A2023" s="14" t="str">
        <f>IFERROR(__xludf.DUMMYFUNCTION("""COMPUTED_VALUE"""),"//ord_81999//Aarav Mehta//Andheri//Tomato+2*Not Assigned/6/27/2023//Credit Card//Cancelled*App Glitches:Slow Loading Time")</f>
        <v>//ord_81999//Aarav Mehta//Andheri//Tomato+2*Not Assigned/6/27/2023//Credit Card//Cancelled*App Glitches:Slow Loading Time</v>
      </c>
      <c r="B2023" s="14" t="str">
        <f>IFERROR(__xludf.DUMMYFUNCTION("split(A2023,""//"")"),"ord_81999")</f>
        <v>ord_81999</v>
      </c>
      <c r="C2023" s="14" t="str">
        <f>IFERROR(__xludf.DUMMYFUNCTION("""COMPUTED_VALUE"""),"Aarav Mehta")</f>
        <v>Aarav Mehta</v>
      </c>
      <c r="D2023" s="14" t="str">
        <f>IFERROR(__xludf.DUMMYFUNCTION("""COMPUTED_VALUE"""),"Andheri")</f>
        <v>Andheri</v>
      </c>
      <c r="E2023" s="14" t="str">
        <f>IFERROR(__xludf.DUMMYFUNCTION("""COMPUTED_VALUE"""),"Tomato+2*Not Assigned")</f>
        <v>Tomato+2*Not Assigned</v>
      </c>
      <c r="F2023" s="14">
        <f>IFERROR(__xludf.DUMMYFUNCTION("""COMPUTED_VALUE"""),6.0)</f>
        <v>6</v>
      </c>
      <c r="G2023" s="14">
        <f>IFERROR(__xludf.DUMMYFUNCTION("""COMPUTED_VALUE"""),27.0)</f>
        <v>27</v>
      </c>
      <c r="H2023" s="14">
        <f>IFERROR(__xludf.DUMMYFUNCTION("""COMPUTED_VALUE"""),2023.0)</f>
        <v>2023</v>
      </c>
      <c r="I2023" s="14" t="str">
        <f>IFERROR(__xludf.DUMMYFUNCTION("""COMPUTED_VALUE"""),"Credit Card")</f>
        <v>Credit Card</v>
      </c>
      <c r="J2023" s="14" t="str">
        <f>IFERROR(__xludf.DUMMYFUNCTION("""COMPUTED_VALUE"""),"Cancelled*App Glitches:Slow Loading Time")</f>
        <v>Cancelled*App Glitches:Slow Loading Time</v>
      </c>
      <c r="K2023" s="14" t="str">
        <f>IFERROR(__xludf.DUMMYFUNCTION("split(E2023,""+"")"),"Tomato")</f>
        <v>Tomato</v>
      </c>
      <c r="L2023" s="14" t="str">
        <f>IFERROR(__xludf.DUMMYFUNCTION("""COMPUTED_VALUE"""),"2*Not Assigned")</f>
        <v>2*Not Assigned</v>
      </c>
      <c r="M2023" s="14">
        <f>IFERROR(__xludf.DUMMYFUNCTION("SPLIT(L2023,""*"")"),2.0)</f>
        <v>2</v>
      </c>
      <c r="N2023" s="14" t="str">
        <f>IFERROR(__xludf.DUMMYFUNCTION("""COMPUTED_VALUE"""),"Not Assigned")</f>
        <v>Not Assigned</v>
      </c>
      <c r="O2023" s="14" t="str">
        <f>IFERROR(__xludf.DUMMYFUNCTION("split(J2023,""*"")"),"Cancelled")</f>
        <v>Cancelled</v>
      </c>
      <c r="P2023" s="14" t="str">
        <f>IFERROR(__xludf.DUMMYFUNCTION("""COMPUTED_VALUE"""),"App Glitches:Slow Loading Time")</f>
        <v>App Glitches:Slow Loading Time</v>
      </c>
      <c r="Q2023" s="14" t="str">
        <f>IFERROR(__xludf.DUMMYFUNCTION("split(P2023,"":"")"),"App Glitches")</f>
        <v>App Glitches</v>
      </c>
      <c r="R2023" s="14" t="str">
        <f>IFERROR(__xludf.DUMMYFUNCTION("""COMPUTED_VALUE"""),"Slow Loading Time")</f>
        <v>Slow Loading Time</v>
      </c>
      <c r="S2023" s="14" t="str">
        <f t="shared" ref="S2023:U2023" si="4049">trim(B2023)</f>
        <v>ord_81999</v>
      </c>
      <c r="T2023" s="14" t="str">
        <f t="shared" si="4049"/>
        <v>Aarav Mehta</v>
      </c>
      <c r="U2023" s="14" t="str">
        <f t="shared" si="4049"/>
        <v>Andheri</v>
      </c>
      <c r="V2023" s="14" t="str">
        <f t="shared" si="4"/>
        <v>Tomato</v>
      </c>
      <c r="W2023" s="14">
        <f t="shared" si="5"/>
        <v>2</v>
      </c>
      <c r="X2023" s="14" t="str">
        <f t="shared" si="6"/>
        <v>Not Assigned</v>
      </c>
      <c r="Y2023" s="15">
        <f t="shared" si="7"/>
        <v>45104</v>
      </c>
      <c r="Z2023" s="14" t="str">
        <f t="shared" si="8"/>
        <v>Credit Card</v>
      </c>
      <c r="AA2023" s="14" t="str">
        <f t="shared" si="9"/>
        <v>Cancelled</v>
      </c>
      <c r="AB2023" s="14" t="str">
        <f t="shared" ref="AB2023:AC2023" si="4050">trim(Q2023)</f>
        <v>App Glitches</v>
      </c>
      <c r="AC2023" s="14" t="str">
        <f t="shared" si="4050"/>
        <v>Slow Loading Time</v>
      </c>
      <c r="AD2023" s="8"/>
    </row>
    <row r="2024">
      <c r="A2024" s="14" t="str">
        <f>IFERROR(__xludf.DUMMYFUNCTION("""COMPUTED_VALUE"""),"//ord_82000//Mohit Malhotra//Lower Parel//Popcorn+1*Not Assigned/6/4/2023//Online Payment//Cancelled*Out of Stock")</f>
        <v>//ord_82000//Mohit Malhotra//Lower Parel//Popcorn+1*Not Assigned/6/4/2023//Online Payment//Cancelled*Out of Stock</v>
      </c>
      <c r="B2024" s="14" t="str">
        <f>IFERROR(__xludf.DUMMYFUNCTION("split(A2024,""//"")"),"ord_82000")</f>
        <v>ord_82000</v>
      </c>
      <c r="C2024" s="14" t="str">
        <f>IFERROR(__xludf.DUMMYFUNCTION("""COMPUTED_VALUE"""),"Mohit Malhotra")</f>
        <v>Mohit Malhotra</v>
      </c>
      <c r="D2024" s="14" t="str">
        <f>IFERROR(__xludf.DUMMYFUNCTION("""COMPUTED_VALUE"""),"Lower Parel")</f>
        <v>Lower Parel</v>
      </c>
      <c r="E2024" s="14" t="str">
        <f>IFERROR(__xludf.DUMMYFUNCTION("""COMPUTED_VALUE"""),"Popcorn+1*Not Assigned")</f>
        <v>Popcorn+1*Not Assigned</v>
      </c>
      <c r="F2024" s="14">
        <f>IFERROR(__xludf.DUMMYFUNCTION("""COMPUTED_VALUE"""),6.0)</f>
        <v>6</v>
      </c>
      <c r="G2024" s="14">
        <f>IFERROR(__xludf.DUMMYFUNCTION("""COMPUTED_VALUE"""),4.0)</f>
        <v>4</v>
      </c>
      <c r="H2024" s="14">
        <f>IFERROR(__xludf.DUMMYFUNCTION("""COMPUTED_VALUE"""),2023.0)</f>
        <v>2023</v>
      </c>
      <c r="I2024" s="14" t="str">
        <f>IFERROR(__xludf.DUMMYFUNCTION("""COMPUTED_VALUE"""),"Online Payment")</f>
        <v>Online Payment</v>
      </c>
      <c r="J2024" s="14" t="str">
        <f>IFERROR(__xludf.DUMMYFUNCTION("""COMPUTED_VALUE"""),"Cancelled*Out of Stock")</f>
        <v>Cancelled*Out of Stock</v>
      </c>
      <c r="K2024" s="14" t="str">
        <f>IFERROR(__xludf.DUMMYFUNCTION("split(E2024,""+"")"),"Popcorn")</f>
        <v>Popcorn</v>
      </c>
      <c r="L2024" s="14" t="str">
        <f>IFERROR(__xludf.DUMMYFUNCTION("""COMPUTED_VALUE"""),"1*Not Assigned")</f>
        <v>1*Not Assigned</v>
      </c>
      <c r="M2024" s="14">
        <f>IFERROR(__xludf.DUMMYFUNCTION("SPLIT(L2024,""*"")"),1.0)</f>
        <v>1</v>
      </c>
      <c r="N2024" s="14" t="str">
        <f>IFERROR(__xludf.DUMMYFUNCTION("""COMPUTED_VALUE"""),"Not Assigned")</f>
        <v>Not Assigned</v>
      </c>
      <c r="O2024" s="14" t="str">
        <f>IFERROR(__xludf.DUMMYFUNCTION("split(J2024,""*"")"),"Cancelled")</f>
        <v>Cancelled</v>
      </c>
      <c r="P2024" s="14" t="str">
        <f>IFERROR(__xludf.DUMMYFUNCTION("""COMPUTED_VALUE"""),"Out of Stock")</f>
        <v>Out of Stock</v>
      </c>
      <c r="Q2024" s="14" t="str">
        <f>IFERROR(__xludf.DUMMYFUNCTION("split(P2024,"":"")"),"Out of Stock")</f>
        <v>Out of Stock</v>
      </c>
      <c r="R2024" s="14"/>
      <c r="S2024" s="14" t="str">
        <f t="shared" ref="S2024:U2024" si="4051">trim(B2024)</f>
        <v>ord_82000</v>
      </c>
      <c r="T2024" s="14" t="str">
        <f t="shared" si="4051"/>
        <v>Mohit Malhotra</v>
      </c>
      <c r="U2024" s="14" t="str">
        <f t="shared" si="4051"/>
        <v>Lower Parel</v>
      </c>
      <c r="V2024" s="14" t="str">
        <f t="shared" si="4"/>
        <v>Popcorn</v>
      </c>
      <c r="W2024" s="14">
        <f t="shared" si="5"/>
        <v>1</v>
      </c>
      <c r="X2024" s="14" t="str">
        <f t="shared" si="6"/>
        <v>Not Assigned</v>
      </c>
      <c r="Y2024" s="15">
        <f t="shared" si="7"/>
        <v>45081</v>
      </c>
      <c r="Z2024" s="14" t="str">
        <f t="shared" si="8"/>
        <v>Online Payment</v>
      </c>
      <c r="AA2024" s="14" t="str">
        <f t="shared" si="9"/>
        <v>Cancelled</v>
      </c>
      <c r="AB2024" s="14" t="str">
        <f t="shared" ref="AB2024:AC2024" si="4052">trim(Q2024)</f>
        <v>Out of Stock</v>
      </c>
      <c r="AC2024" s="14" t="str">
        <f t="shared" si="4052"/>
        <v/>
      </c>
      <c r="AD2024" s="8"/>
    </row>
    <row r="2025">
      <c r="A2025" s="14" t="str">
        <f>IFERROR(__xludf.DUMMYFUNCTION("""COMPUTED_VALUE"""),"//ord_82001//Pranav Joshi//Andheri//Popcorn+2*Rohan Yadav/6/25/2023//COD//Delivered*Satisfied with the Delivery: Timely and quality")</f>
        <v>//ord_82001//Pranav Joshi//Andheri//Popcorn+2*Rohan Yadav/6/25/2023//COD//Delivered*Satisfied with the Delivery: Timely and quality</v>
      </c>
      <c r="B2025" s="14" t="str">
        <f>IFERROR(__xludf.DUMMYFUNCTION("split(A2025,""//"")"),"ord_82001")</f>
        <v>ord_82001</v>
      </c>
      <c r="C2025" s="14" t="str">
        <f>IFERROR(__xludf.DUMMYFUNCTION("""COMPUTED_VALUE"""),"Pranav Joshi")</f>
        <v>Pranav Joshi</v>
      </c>
      <c r="D2025" s="14" t="str">
        <f>IFERROR(__xludf.DUMMYFUNCTION("""COMPUTED_VALUE"""),"Andheri")</f>
        <v>Andheri</v>
      </c>
      <c r="E2025" s="14" t="str">
        <f>IFERROR(__xludf.DUMMYFUNCTION("""COMPUTED_VALUE"""),"Popcorn+2*Rohan Yadav")</f>
        <v>Popcorn+2*Rohan Yadav</v>
      </c>
      <c r="F2025" s="14">
        <f>IFERROR(__xludf.DUMMYFUNCTION("""COMPUTED_VALUE"""),6.0)</f>
        <v>6</v>
      </c>
      <c r="G2025" s="14">
        <f>IFERROR(__xludf.DUMMYFUNCTION("""COMPUTED_VALUE"""),25.0)</f>
        <v>25</v>
      </c>
      <c r="H2025" s="14">
        <f>IFERROR(__xludf.DUMMYFUNCTION("""COMPUTED_VALUE"""),2023.0)</f>
        <v>2023</v>
      </c>
      <c r="I2025" s="14" t="str">
        <f>IFERROR(__xludf.DUMMYFUNCTION("""COMPUTED_VALUE"""),"COD")</f>
        <v>COD</v>
      </c>
      <c r="J2025" s="14" t="str">
        <f>IFERROR(__xludf.DUMMYFUNCTION("""COMPUTED_VALUE"""),"Delivered*Satisfied with the Delivery: Timely and quality")</f>
        <v>Delivered*Satisfied with the Delivery: Timely and quality</v>
      </c>
      <c r="K2025" s="14" t="str">
        <f>IFERROR(__xludf.DUMMYFUNCTION("split(E2025,""+"")"),"Popcorn")</f>
        <v>Popcorn</v>
      </c>
      <c r="L2025" s="14" t="str">
        <f>IFERROR(__xludf.DUMMYFUNCTION("""COMPUTED_VALUE"""),"2*Rohan Yadav")</f>
        <v>2*Rohan Yadav</v>
      </c>
      <c r="M2025" s="14">
        <f>IFERROR(__xludf.DUMMYFUNCTION("SPLIT(L2025,""*"")"),2.0)</f>
        <v>2</v>
      </c>
      <c r="N2025" s="14" t="str">
        <f>IFERROR(__xludf.DUMMYFUNCTION("""COMPUTED_VALUE"""),"Rohan Yadav")</f>
        <v>Rohan Yadav</v>
      </c>
      <c r="O2025" s="14" t="str">
        <f>IFERROR(__xludf.DUMMYFUNCTION("split(J2025,""*"")"),"Delivered")</f>
        <v>Delivered</v>
      </c>
      <c r="P2025" s="14" t="str">
        <f>IFERROR(__xludf.DUMMYFUNCTION("""COMPUTED_VALUE"""),"Satisfied with the Delivery: Timely and quality")</f>
        <v>Satisfied with the Delivery: Timely and quality</v>
      </c>
      <c r="Q2025" s="14" t="str">
        <f>IFERROR(__xludf.DUMMYFUNCTION("split(P2025,"":"")"),"Satisfied with the Delivery")</f>
        <v>Satisfied with the Delivery</v>
      </c>
      <c r="R2025" s="14" t="str">
        <f>IFERROR(__xludf.DUMMYFUNCTION("""COMPUTED_VALUE""")," Timely and quality")</f>
        <v> Timely and quality</v>
      </c>
      <c r="S2025" s="14" t="str">
        <f t="shared" ref="S2025:U2025" si="4053">trim(B2025)</f>
        <v>ord_82001</v>
      </c>
      <c r="T2025" s="14" t="str">
        <f t="shared" si="4053"/>
        <v>Pranav Joshi</v>
      </c>
      <c r="U2025" s="14" t="str">
        <f t="shared" si="4053"/>
        <v>Andheri</v>
      </c>
      <c r="V2025" s="14" t="str">
        <f t="shared" si="4"/>
        <v>Popcorn</v>
      </c>
      <c r="W2025" s="14">
        <f t="shared" si="5"/>
        <v>2</v>
      </c>
      <c r="X2025" s="14" t="str">
        <f t="shared" si="6"/>
        <v>Rohan Yadav</v>
      </c>
      <c r="Y2025" s="15">
        <f t="shared" si="7"/>
        <v>45102</v>
      </c>
      <c r="Z2025" s="14" t="str">
        <f t="shared" si="8"/>
        <v>COD</v>
      </c>
      <c r="AA2025" s="14" t="str">
        <f t="shared" si="9"/>
        <v>Delivered</v>
      </c>
      <c r="AB2025" s="14" t="str">
        <f t="shared" ref="AB2025:AC2025" si="4054">trim(Q2025)</f>
        <v>Satisfied with the Delivery</v>
      </c>
      <c r="AC2025" s="14" t="str">
        <f t="shared" si="4054"/>
        <v>Timely and quality</v>
      </c>
      <c r="AD2025" s="8"/>
    </row>
    <row r="2026">
      <c r="A2026" s="14" t="str">
        <f>IFERROR(__xludf.DUMMYFUNCTION("""COMPUTED_VALUE"""),"//ord_82002//Sahil Desai//Colaba//Cold Coffee+6*Nikhil Deshmukh/11/24/2023//Credit Card//Delivered*Customer Service: Seamless and easy")</f>
        <v>//ord_82002//Sahil Desai//Colaba//Cold Coffee+6*Nikhil Deshmukh/11/24/2023//Credit Card//Delivered*Customer Service: Seamless and easy</v>
      </c>
      <c r="B2026" s="14" t="str">
        <f>IFERROR(__xludf.DUMMYFUNCTION("split(A2026,""//"")"),"ord_82002")</f>
        <v>ord_82002</v>
      </c>
      <c r="C2026" s="14" t="str">
        <f>IFERROR(__xludf.DUMMYFUNCTION("""COMPUTED_VALUE"""),"Sahil Desai")</f>
        <v>Sahil Desai</v>
      </c>
      <c r="D2026" s="14" t="str">
        <f>IFERROR(__xludf.DUMMYFUNCTION("""COMPUTED_VALUE"""),"Colaba")</f>
        <v>Colaba</v>
      </c>
      <c r="E2026" s="14" t="str">
        <f>IFERROR(__xludf.DUMMYFUNCTION("""COMPUTED_VALUE"""),"Cold Coffee+6*Nikhil Deshmukh")</f>
        <v>Cold Coffee+6*Nikhil Deshmukh</v>
      </c>
      <c r="F2026" s="14">
        <f>IFERROR(__xludf.DUMMYFUNCTION("""COMPUTED_VALUE"""),11.0)</f>
        <v>11</v>
      </c>
      <c r="G2026" s="14">
        <f>IFERROR(__xludf.DUMMYFUNCTION("""COMPUTED_VALUE"""),24.0)</f>
        <v>24</v>
      </c>
      <c r="H2026" s="14">
        <f>IFERROR(__xludf.DUMMYFUNCTION("""COMPUTED_VALUE"""),2023.0)</f>
        <v>2023</v>
      </c>
      <c r="I2026" s="14" t="str">
        <f>IFERROR(__xludf.DUMMYFUNCTION("""COMPUTED_VALUE"""),"Credit Card")</f>
        <v>Credit Card</v>
      </c>
      <c r="J2026" s="14" t="str">
        <f>IFERROR(__xludf.DUMMYFUNCTION("""COMPUTED_VALUE"""),"Delivered*Customer Service: Seamless and easy")</f>
        <v>Delivered*Customer Service: Seamless and easy</v>
      </c>
      <c r="K2026" s="14" t="str">
        <f>IFERROR(__xludf.DUMMYFUNCTION("split(E2026,""+"")"),"Cold Coffee")</f>
        <v>Cold Coffee</v>
      </c>
      <c r="L2026" s="14" t="str">
        <f>IFERROR(__xludf.DUMMYFUNCTION("""COMPUTED_VALUE"""),"6*Nikhil Deshmukh")</f>
        <v>6*Nikhil Deshmukh</v>
      </c>
      <c r="M2026" s="14">
        <f>IFERROR(__xludf.DUMMYFUNCTION("SPLIT(L2026,""*"")"),6.0)</f>
        <v>6</v>
      </c>
      <c r="N2026" s="14" t="str">
        <f>IFERROR(__xludf.DUMMYFUNCTION("""COMPUTED_VALUE"""),"Nikhil Deshmukh")</f>
        <v>Nikhil Deshmukh</v>
      </c>
      <c r="O2026" s="14" t="str">
        <f>IFERROR(__xludf.DUMMYFUNCTION("split(J2026,""*"")"),"Delivered")</f>
        <v>Delivered</v>
      </c>
      <c r="P2026" s="14" t="str">
        <f>IFERROR(__xludf.DUMMYFUNCTION("""COMPUTED_VALUE"""),"Customer Service: Seamless and easy")</f>
        <v>Customer Service: Seamless and easy</v>
      </c>
      <c r="Q2026" s="14" t="str">
        <f>IFERROR(__xludf.DUMMYFUNCTION("split(P2026,"":"")"),"Customer Service")</f>
        <v>Customer Service</v>
      </c>
      <c r="R2026" s="14" t="str">
        <f>IFERROR(__xludf.DUMMYFUNCTION("""COMPUTED_VALUE""")," Seamless and easy")</f>
        <v> Seamless and easy</v>
      </c>
      <c r="S2026" s="14" t="str">
        <f t="shared" ref="S2026:U2026" si="4055">trim(B2026)</f>
        <v>ord_82002</v>
      </c>
      <c r="T2026" s="14" t="str">
        <f t="shared" si="4055"/>
        <v>Sahil Desai</v>
      </c>
      <c r="U2026" s="14" t="str">
        <f t="shared" si="4055"/>
        <v>Colaba</v>
      </c>
      <c r="V2026" s="14" t="str">
        <f t="shared" si="4"/>
        <v>Cold Coffee</v>
      </c>
      <c r="W2026" s="14">
        <f t="shared" si="5"/>
        <v>6</v>
      </c>
      <c r="X2026" s="14" t="str">
        <f t="shared" si="6"/>
        <v>Nikhil Deshmukh</v>
      </c>
      <c r="Y2026" s="15">
        <f t="shared" si="7"/>
        <v>45254</v>
      </c>
      <c r="Z2026" s="14" t="str">
        <f t="shared" si="8"/>
        <v>Credit Card</v>
      </c>
      <c r="AA2026" s="14" t="str">
        <f t="shared" si="9"/>
        <v>Delivered</v>
      </c>
      <c r="AB2026" s="14" t="str">
        <f t="shared" ref="AB2026:AC2026" si="4056">trim(Q2026)</f>
        <v>Customer Service</v>
      </c>
      <c r="AC2026" s="14" t="str">
        <f t="shared" si="4056"/>
        <v>Seamless and easy</v>
      </c>
      <c r="AD2026" s="8"/>
    </row>
    <row r="2027">
      <c r="A2027" s="14" t="str">
        <f>IFERROR(__xludf.DUMMYFUNCTION("""COMPUTED_VALUE"""),"//ord_82003//Kritika Shetty//Malad//Guava+2*Nithin Lal/2/6/2023//Online Payment//Cancelled*Delayed Delivery:Heavy Traffic")</f>
        <v>//ord_82003//Kritika Shetty//Malad//Guava+2*Nithin Lal/2/6/2023//Online Payment//Cancelled*Delayed Delivery:Heavy Traffic</v>
      </c>
      <c r="B2027" s="14" t="str">
        <f>IFERROR(__xludf.DUMMYFUNCTION("split(A2027,""//"")"),"ord_82003")</f>
        <v>ord_82003</v>
      </c>
      <c r="C2027" s="14" t="str">
        <f>IFERROR(__xludf.DUMMYFUNCTION("""COMPUTED_VALUE"""),"Kritika Shetty")</f>
        <v>Kritika Shetty</v>
      </c>
      <c r="D2027" s="14" t="str">
        <f>IFERROR(__xludf.DUMMYFUNCTION("""COMPUTED_VALUE"""),"Malad")</f>
        <v>Malad</v>
      </c>
      <c r="E2027" s="14" t="str">
        <f>IFERROR(__xludf.DUMMYFUNCTION("""COMPUTED_VALUE"""),"Guava+2*Nithin Lal")</f>
        <v>Guava+2*Nithin Lal</v>
      </c>
      <c r="F2027" s="14">
        <f>IFERROR(__xludf.DUMMYFUNCTION("""COMPUTED_VALUE"""),2.0)</f>
        <v>2</v>
      </c>
      <c r="G2027" s="14">
        <f>IFERROR(__xludf.DUMMYFUNCTION("""COMPUTED_VALUE"""),6.0)</f>
        <v>6</v>
      </c>
      <c r="H2027" s="14">
        <f>IFERROR(__xludf.DUMMYFUNCTION("""COMPUTED_VALUE"""),2023.0)</f>
        <v>2023</v>
      </c>
      <c r="I2027" s="14" t="str">
        <f>IFERROR(__xludf.DUMMYFUNCTION("""COMPUTED_VALUE"""),"Online Payment")</f>
        <v>Online Payment</v>
      </c>
      <c r="J2027" s="14" t="str">
        <f>IFERROR(__xludf.DUMMYFUNCTION("""COMPUTED_VALUE"""),"Cancelled*Delayed Delivery:Heavy Traffic")</f>
        <v>Cancelled*Delayed Delivery:Heavy Traffic</v>
      </c>
      <c r="K2027" s="14" t="str">
        <f>IFERROR(__xludf.DUMMYFUNCTION("split(E2027,""+"")"),"Guava")</f>
        <v>Guava</v>
      </c>
      <c r="L2027" s="14" t="str">
        <f>IFERROR(__xludf.DUMMYFUNCTION("""COMPUTED_VALUE"""),"2*Nithin Lal")</f>
        <v>2*Nithin Lal</v>
      </c>
      <c r="M2027" s="14">
        <f>IFERROR(__xludf.DUMMYFUNCTION("SPLIT(L2027,""*"")"),2.0)</f>
        <v>2</v>
      </c>
      <c r="N2027" s="14" t="str">
        <f>IFERROR(__xludf.DUMMYFUNCTION("""COMPUTED_VALUE"""),"Nithin Lal")</f>
        <v>Nithin Lal</v>
      </c>
      <c r="O2027" s="14" t="str">
        <f>IFERROR(__xludf.DUMMYFUNCTION("split(J2027,""*"")"),"Cancelled")</f>
        <v>Cancelled</v>
      </c>
      <c r="P2027" s="14" t="str">
        <f>IFERROR(__xludf.DUMMYFUNCTION("""COMPUTED_VALUE"""),"Delayed Delivery:Heavy Traffic")</f>
        <v>Delayed Delivery:Heavy Traffic</v>
      </c>
      <c r="Q2027" s="14" t="str">
        <f>IFERROR(__xludf.DUMMYFUNCTION("split(P2027,"":"")"),"Delayed Delivery")</f>
        <v>Delayed Delivery</v>
      </c>
      <c r="R2027" s="14" t="str">
        <f>IFERROR(__xludf.DUMMYFUNCTION("""COMPUTED_VALUE"""),"Heavy Traffic")</f>
        <v>Heavy Traffic</v>
      </c>
      <c r="S2027" s="14" t="str">
        <f t="shared" ref="S2027:U2027" si="4057">trim(B2027)</f>
        <v>ord_82003</v>
      </c>
      <c r="T2027" s="14" t="str">
        <f t="shared" si="4057"/>
        <v>Kritika Shetty</v>
      </c>
      <c r="U2027" s="14" t="str">
        <f t="shared" si="4057"/>
        <v>Malad</v>
      </c>
      <c r="V2027" s="14" t="str">
        <f t="shared" si="4"/>
        <v>Guava</v>
      </c>
      <c r="W2027" s="14">
        <f t="shared" si="5"/>
        <v>2</v>
      </c>
      <c r="X2027" s="14" t="str">
        <f t="shared" si="6"/>
        <v>Nithin Lal</v>
      </c>
      <c r="Y2027" s="15">
        <f t="shared" si="7"/>
        <v>44963</v>
      </c>
      <c r="Z2027" s="14" t="str">
        <f t="shared" si="8"/>
        <v>Online Payment</v>
      </c>
      <c r="AA2027" s="14" t="str">
        <f t="shared" si="9"/>
        <v>Cancelled</v>
      </c>
      <c r="AB2027" s="14" t="str">
        <f t="shared" ref="AB2027:AC2027" si="4058">trim(Q2027)</f>
        <v>Delayed Delivery</v>
      </c>
      <c r="AC2027" s="14" t="str">
        <f t="shared" si="4058"/>
        <v>Heavy Traffic</v>
      </c>
      <c r="AD2027" s="8"/>
    </row>
    <row r="2028">
      <c r="A2028" s="14" t="str">
        <f>IFERROR(__xludf.DUMMYFUNCTION("""COMPUTED_VALUE"""),"//ord_82004//Siya Reddy//Juhu//Icecream+4*Tanvi Jain/6/16/2023//Credit Card//Delivered*Delivery Experience: Quick and professional")</f>
        <v>//ord_82004//Siya Reddy//Juhu//Icecream+4*Tanvi Jain/6/16/2023//Credit Card//Delivered*Delivery Experience: Quick and professional</v>
      </c>
      <c r="B2028" s="14" t="str">
        <f>IFERROR(__xludf.DUMMYFUNCTION("split(A2028,""//"")"),"ord_82004")</f>
        <v>ord_82004</v>
      </c>
      <c r="C2028" s="14" t="str">
        <f>IFERROR(__xludf.DUMMYFUNCTION("""COMPUTED_VALUE"""),"Siya Reddy")</f>
        <v>Siya Reddy</v>
      </c>
      <c r="D2028" s="14" t="str">
        <f>IFERROR(__xludf.DUMMYFUNCTION("""COMPUTED_VALUE"""),"Juhu")</f>
        <v>Juhu</v>
      </c>
      <c r="E2028" s="14" t="str">
        <f>IFERROR(__xludf.DUMMYFUNCTION("""COMPUTED_VALUE"""),"Icecream+4*Tanvi Jain")</f>
        <v>Icecream+4*Tanvi Jain</v>
      </c>
      <c r="F2028" s="14">
        <f>IFERROR(__xludf.DUMMYFUNCTION("""COMPUTED_VALUE"""),6.0)</f>
        <v>6</v>
      </c>
      <c r="G2028" s="14">
        <f>IFERROR(__xludf.DUMMYFUNCTION("""COMPUTED_VALUE"""),16.0)</f>
        <v>16</v>
      </c>
      <c r="H2028" s="14">
        <f>IFERROR(__xludf.DUMMYFUNCTION("""COMPUTED_VALUE"""),2023.0)</f>
        <v>2023</v>
      </c>
      <c r="I2028" s="14" t="str">
        <f>IFERROR(__xludf.DUMMYFUNCTION("""COMPUTED_VALUE"""),"Credit Card")</f>
        <v>Credit Card</v>
      </c>
      <c r="J2028" s="14" t="str">
        <f>IFERROR(__xludf.DUMMYFUNCTION("""COMPUTED_VALUE"""),"Delivered*Delivery Experience: Quick and professional")</f>
        <v>Delivered*Delivery Experience: Quick and professional</v>
      </c>
      <c r="K2028" s="14" t="str">
        <f>IFERROR(__xludf.DUMMYFUNCTION("split(E2028,""+"")"),"Icecream")</f>
        <v>Icecream</v>
      </c>
      <c r="L2028" s="14" t="str">
        <f>IFERROR(__xludf.DUMMYFUNCTION("""COMPUTED_VALUE"""),"4*Tanvi Jain")</f>
        <v>4*Tanvi Jain</v>
      </c>
      <c r="M2028" s="14">
        <f>IFERROR(__xludf.DUMMYFUNCTION("SPLIT(L2028,""*"")"),4.0)</f>
        <v>4</v>
      </c>
      <c r="N2028" s="14" t="str">
        <f>IFERROR(__xludf.DUMMYFUNCTION("""COMPUTED_VALUE"""),"Tanvi Jain")</f>
        <v>Tanvi Jain</v>
      </c>
      <c r="O2028" s="14" t="str">
        <f>IFERROR(__xludf.DUMMYFUNCTION("split(J2028,""*"")"),"Delivered")</f>
        <v>Delivered</v>
      </c>
      <c r="P2028" s="14" t="str">
        <f>IFERROR(__xludf.DUMMYFUNCTION("""COMPUTED_VALUE"""),"Delivery Experience: Quick and professional")</f>
        <v>Delivery Experience: Quick and professional</v>
      </c>
      <c r="Q2028" s="14" t="str">
        <f>IFERROR(__xludf.DUMMYFUNCTION("split(P2028,"":"")"),"Delivery Experience")</f>
        <v>Delivery Experience</v>
      </c>
      <c r="R2028" s="14" t="str">
        <f>IFERROR(__xludf.DUMMYFUNCTION("""COMPUTED_VALUE""")," Quick and professional")</f>
        <v> Quick and professional</v>
      </c>
      <c r="S2028" s="14" t="str">
        <f t="shared" ref="S2028:U2028" si="4059">trim(B2028)</f>
        <v>ord_82004</v>
      </c>
      <c r="T2028" s="14" t="str">
        <f t="shared" si="4059"/>
        <v>Siya Reddy</v>
      </c>
      <c r="U2028" s="14" t="str">
        <f t="shared" si="4059"/>
        <v>Juhu</v>
      </c>
      <c r="V2028" s="14" t="str">
        <f t="shared" si="4"/>
        <v>Icecream</v>
      </c>
      <c r="W2028" s="14">
        <f t="shared" si="5"/>
        <v>4</v>
      </c>
      <c r="X2028" s="14" t="str">
        <f t="shared" si="6"/>
        <v>Tanvi Jain</v>
      </c>
      <c r="Y2028" s="15">
        <f t="shared" si="7"/>
        <v>45093</v>
      </c>
      <c r="Z2028" s="14" t="str">
        <f t="shared" si="8"/>
        <v>Credit Card</v>
      </c>
      <c r="AA2028" s="14" t="str">
        <f t="shared" si="9"/>
        <v>Delivered</v>
      </c>
      <c r="AB2028" s="14" t="str">
        <f t="shared" ref="AB2028:AC2028" si="4060">trim(Q2028)</f>
        <v>Delivery Experience</v>
      </c>
      <c r="AC2028" s="14" t="str">
        <f t="shared" si="4060"/>
        <v>Quick and professional</v>
      </c>
      <c r="AD2028" s="8"/>
    </row>
    <row r="2029">
      <c r="A2029" s="14" t="str">
        <f>IFERROR(__xludf.DUMMYFUNCTION("""COMPUTED_VALUE"""),"//ord_82005//Aditya Rao//Lower Parel//Apple+3*Kiran Mehta/12/10/2023//UPI//Delivered*Convenience: Easy tracking")</f>
        <v>//ord_82005//Aditya Rao//Lower Parel//Apple+3*Kiran Mehta/12/10/2023//UPI//Delivered*Convenience: Easy tracking</v>
      </c>
      <c r="B2029" s="14" t="str">
        <f>IFERROR(__xludf.DUMMYFUNCTION("split(A2029,""//"")"),"ord_82005")</f>
        <v>ord_82005</v>
      </c>
      <c r="C2029" s="14" t="str">
        <f>IFERROR(__xludf.DUMMYFUNCTION("""COMPUTED_VALUE"""),"Aditya Rao")</f>
        <v>Aditya Rao</v>
      </c>
      <c r="D2029" s="14" t="str">
        <f>IFERROR(__xludf.DUMMYFUNCTION("""COMPUTED_VALUE"""),"Lower Parel")</f>
        <v>Lower Parel</v>
      </c>
      <c r="E2029" s="14" t="str">
        <f>IFERROR(__xludf.DUMMYFUNCTION("""COMPUTED_VALUE"""),"Apple+3*Kiran Mehta")</f>
        <v>Apple+3*Kiran Mehta</v>
      </c>
      <c r="F2029" s="14">
        <f>IFERROR(__xludf.DUMMYFUNCTION("""COMPUTED_VALUE"""),12.0)</f>
        <v>12</v>
      </c>
      <c r="G2029" s="14">
        <f>IFERROR(__xludf.DUMMYFUNCTION("""COMPUTED_VALUE"""),10.0)</f>
        <v>10</v>
      </c>
      <c r="H2029" s="14">
        <f>IFERROR(__xludf.DUMMYFUNCTION("""COMPUTED_VALUE"""),2023.0)</f>
        <v>2023</v>
      </c>
      <c r="I2029" s="14" t="str">
        <f>IFERROR(__xludf.DUMMYFUNCTION("""COMPUTED_VALUE"""),"UPI")</f>
        <v>UPI</v>
      </c>
      <c r="J2029" s="14" t="str">
        <f>IFERROR(__xludf.DUMMYFUNCTION("""COMPUTED_VALUE"""),"Delivered*Convenience: Easy tracking")</f>
        <v>Delivered*Convenience: Easy tracking</v>
      </c>
      <c r="K2029" s="14" t="str">
        <f>IFERROR(__xludf.DUMMYFUNCTION("split(E2029,""+"")"),"Apple")</f>
        <v>Apple</v>
      </c>
      <c r="L2029" s="14" t="str">
        <f>IFERROR(__xludf.DUMMYFUNCTION("""COMPUTED_VALUE"""),"3*Kiran Mehta")</f>
        <v>3*Kiran Mehta</v>
      </c>
      <c r="M2029" s="14">
        <f>IFERROR(__xludf.DUMMYFUNCTION("SPLIT(L2029,""*"")"),3.0)</f>
        <v>3</v>
      </c>
      <c r="N2029" s="14" t="str">
        <f>IFERROR(__xludf.DUMMYFUNCTION("""COMPUTED_VALUE"""),"Kiran Mehta")</f>
        <v>Kiran Mehta</v>
      </c>
      <c r="O2029" s="14" t="str">
        <f>IFERROR(__xludf.DUMMYFUNCTION("split(J2029,""*"")"),"Delivered")</f>
        <v>Delivered</v>
      </c>
      <c r="P2029" s="14" t="str">
        <f>IFERROR(__xludf.DUMMYFUNCTION("""COMPUTED_VALUE"""),"Convenience: Easy tracking")</f>
        <v>Convenience: Easy tracking</v>
      </c>
      <c r="Q2029" s="14" t="str">
        <f>IFERROR(__xludf.DUMMYFUNCTION("split(P2029,"":"")"),"Convenience")</f>
        <v>Convenience</v>
      </c>
      <c r="R2029" s="14" t="str">
        <f>IFERROR(__xludf.DUMMYFUNCTION("""COMPUTED_VALUE""")," Easy tracking")</f>
        <v> Easy tracking</v>
      </c>
      <c r="S2029" s="14" t="str">
        <f t="shared" ref="S2029:U2029" si="4061">trim(B2029)</f>
        <v>ord_82005</v>
      </c>
      <c r="T2029" s="14" t="str">
        <f t="shared" si="4061"/>
        <v>Aditya Rao</v>
      </c>
      <c r="U2029" s="14" t="str">
        <f t="shared" si="4061"/>
        <v>Lower Parel</v>
      </c>
      <c r="V2029" s="14" t="str">
        <f t="shared" si="4"/>
        <v>Apple</v>
      </c>
      <c r="W2029" s="14">
        <f t="shared" si="5"/>
        <v>3</v>
      </c>
      <c r="X2029" s="14" t="str">
        <f t="shared" si="6"/>
        <v>Kiran Mehta</v>
      </c>
      <c r="Y2029" s="15">
        <f t="shared" si="7"/>
        <v>45270</v>
      </c>
      <c r="Z2029" s="14" t="str">
        <f t="shared" si="8"/>
        <v>UPI</v>
      </c>
      <c r="AA2029" s="14" t="str">
        <f t="shared" si="9"/>
        <v>Delivered</v>
      </c>
      <c r="AB2029" s="14" t="str">
        <f t="shared" ref="AB2029:AC2029" si="4062">trim(Q2029)</f>
        <v>Convenience</v>
      </c>
      <c r="AC2029" s="14" t="str">
        <f t="shared" si="4062"/>
        <v>Easy tracking</v>
      </c>
      <c r="AD2029" s="8"/>
    </row>
    <row r="2030">
      <c r="A2030" s="14" t="str">
        <f>IFERROR(__xludf.DUMMYFUNCTION("""COMPUTED_VALUE"""),"//ord_82006//Sanjay Nair//Dadar//Tiramisu+2*Not Assigned/2/10/2023//Online Payment//Cancelled*Payment Issues")</f>
        <v>//ord_82006//Sanjay Nair//Dadar//Tiramisu+2*Not Assigned/2/10/2023//Online Payment//Cancelled*Payment Issues</v>
      </c>
      <c r="B2030" s="14" t="str">
        <f>IFERROR(__xludf.DUMMYFUNCTION("split(A2030,""//"")"),"ord_82006")</f>
        <v>ord_82006</v>
      </c>
      <c r="C2030" s="14" t="str">
        <f>IFERROR(__xludf.DUMMYFUNCTION("""COMPUTED_VALUE"""),"Sanjay Nair")</f>
        <v>Sanjay Nair</v>
      </c>
      <c r="D2030" s="14" t="str">
        <f>IFERROR(__xludf.DUMMYFUNCTION("""COMPUTED_VALUE"""),"Dadar")</f>
        <v>Dadar</v>
      </c>
      <c r="E2030" s="14" t="str">
        <f>IFERROR(__xludf.DUMMYFUNCTION("""COMPUTED_VALUE"""),"Tiramisu+2*Not Assigned")</f>
        <v>Tiramisu+2*Not Assigned</v>
      </c>
      <c r="F2030" s="14">
        <f>IFERROR(__xludf.DUMMYFUNCTION("""COMPUTED_VALUE"""),2.0)</f>
        <v>2</v>
      </c>
      <c r="G2030" s="14">
        <f>IFERROR(__xludf.DUMMYFUNCTION("""COMPUTED_VALUE"""),10.0)</f>
        <v>10</v>
      </c>
      <c r="H2030" s="14">
        <f>IFERROR(__xludf.DUMMYFUNCTION("""COMPUTED_VALUE"""),2023.0)</f>
        <v>2023</v>
      </c>
      <c r="I2030" s="14" t="str">
        <f>IFERROR(__xludf.DUMMYFUNCTION("""COMPUTED_VALUE"""),"Online Payment")</f>
        <v>Online Payment</v>
      </c>
      <c r="J2030" s="14" t="str">
        <f>IFERROR(__xludf.DUMMYFUNCTION("""COMPUTED_VALUE"""),"Cancelled*Payment Issues")</f>
        <v>Cancelled*Payment Issues</v>
      </c>
      <c r="K2030" s="14" t="str">
        <f>IFERROR(__xludf.DUMMYFUNCTION("split(E2030,""+"")"),"Tiramisu")</f>
        <v>Tiramisu</v>
      </c>
      <c r="L2030" s="14" t="str">
        <f>IFERROR(__xludf.DUMMYFUNCTION("""COMPUTED_VALUE"""),"2*Not Assigned")</f>
        <v>2*Not Assigned</v>
      </c>
      <c r="M2030" s="14">
        <f>IFERROR(__xludf.DUMMYFUNCTION("SPLIT(L2030,""*"")"),2.0)</f>
        <v>2</v>
      </c>
      <c r="N2030" s="14" t="str">
        <f>IFERROR(__xludf.DUMMYFUNCTION("""COMPUTED_VALUE"""),"Not Assigned")</f>
        <v>Not Assigned</v>
      </c>
      <c r="O2030" s="14" t="str">
        <f>IFERROR(__xludf.DUMMYFUNCTION("split(J2030,""*"")"),"Cancelled")</f>
        <v>Cancelled</v>
      </c>
      <c r="P2030" s="14" t="str">
        <f>IFERROR(__xludf.DUMMYFUNCTION("""COMPUTED_VALUE"""),"Payment Issues")</f>
        <v>Payment Issues</v>
      </c>
      <c r="Q2030" s="14" t="str">
        <f>IFERROR(__xludf.DUMMYFUNCTION("split(P2030,"":"")"),"Payment Issues")</f>
        <v>Payment Issues</v>
      </c>
      <c r="R2030" s="14"/>
      <c r="S2030" s="14" t="str">
        <f t="shared" ref="S2030:U2030" si="4063">trim(B2030)</f>
        <v>ord_82006</v>
      </c>
      <c r="T2030" s="14" t="str">
        <f t="shared" si="4063"/>
        <v>Sanjay Nair</v>
      </c>
      <c r="U2030" s="14" t="str">
        <f t="shared" si="4063"/>
        <v>Dadar</v>
      </c>
      <c r="V2030" s="14" t="str">
        <f t="shared" si="4"/>
        <v>Tiramisu</v>
      </c>
      <c r="W2030" s="14">
        <f t="shared" si="5"/>
        <v>2</v>
      </c>
      <c r="X2030" s="14" t="str">
        <f t="shared" si="6"/>
        <v>Not Assigned</v>
      </c>
      <c r="Y2030" s="15">
        <f t="shared" si="7"/>
        <v>44967</v>
      </c>
      <c r="Z2030" s="14" t="str">
        <f t="shared" si="8"/>
        <v>Online Payment</v>
      </c>
      <c r="AA2030" s="14" t="str">
        <f t="shared" si="9"/>
        <v>Cancelled</v>
      </c>
      <c r="AB2030" s="14" t="str">
        <f t="shared" ref="AB2030:AC2030" si="4064">trim(Q2030)</f>
        <v>Payment Issues</v>
      </c>
      <c r="AC2030" s="14" t="str">
        <f t="shared" si="4064"/>
        <v/>
      </c>
      <c r="AD2030" s="8"/>
    </row>
    <row r="2031">
      <c r="A2031" s="14" t="str">
        <f>IFERROR(__xludf.DUMMYFUNCTION("""COMPUTED_VALUE"""),"//ord_82007//Ishita Banerjee//Juhu//Veg Puff+3*Tanvi Jain/10/10/2023//Credit Card//Delivered*Overall Satisfaction: Great service will order again")</f>
        <v>//ord_82007//Ishita Banerjee//Juhu//Veg Puff+3*Tanvi Jain/10/10/2023//Credit Card//Delivered*Overall Satisfaction: Great service will order again</v>
      </c>
      <c r="B2031" s="14" t="str">
        <f>IFERROR(__xludf.DUMMYFUNCTION("split(A2031,""//"")"),"ord_82007")</f>
        <v>ord_82007</v>
      </c>
      <c r="C2031" s="14" t="str">
        <f>IFERROR(__xludf.DUMMYFUNCTION("""COMPUTED_VALUE"""),"Ishita Banerjee")</f>
        <v>Ishita Banerjee</v>
      </c>
      <c r="D2031" s="14" t="str">
        <f>IFERROR(__xludf.DUMMYFUNCTION("""COMPUTED_VALUE"""),"Juhu")</f>
        <v>Juhu</v>
      </c>
      <c r="E2031" s="14" t="str">
        <f>IFERROR(__xludf.DUMMYFUNCTION("""COMPUTED_VALUE"""),"Veg Puff+3*Tanvi Jain")</f>
        <v>Veg Puff+3*Tanvi Jain</v>
      </c>
      <c r="F2031" s="14">
        <f>IFERROR(__xludf.DUMMYFUNCTION("""COMPUTED_VALUE"""),10.0)</f>
        <v>10</v>
      </c>
      <c r="G2031" s="14">
        <f>IFERROR(__xludf.DUMMYFUNCTION("""COMPUTED_VALUE"""),10.0)</f>
        <v>10</v>
      </c>
      <c r="H2031" s="14">
        <f>IFERROR(__xludf.DUMMYFUNCTION("""COMPUTED_VALUE"""),2023.0)</f>
        <v>2023</v>
      </c>
      <c r="I2031" s="14" t="str">
        <f>IFERROR(__xludf.DUMMYFUNCTION("""COMPUTED_VALUE"""),"Credit Card")</f>
        <v>Credit Card</v>
      </c>
      <c r="J2031" s="14" t="str">
        <f>IFERROR(__xludf.DUMMYFUNCTION("""COMPUTED_VALUE"""),"Delivered*Overall Satisfaction: Great service will order again")</f>
        <v>Delivered*Overall Satisfaction: Great service will order again</v>
      </c>
      <c r="K2031" s="14" t="str">
        <f>IFERROR(__xludf.DUMMYFUNCTION("split(E2031,""+"")"),"Veg Puff")</f>
        <v>Veg Puff</v>
      </c>
      <c r="L2031" s="14" t="str">
        <f>IFERROR(__xludf.DUMMYFUNCTION("""COMPUTED_VALUE"""),"3*Tanvi Jain")</f>
        <v>3*Tanvi Jain</v>
      </c>
      <c r="M2031" s="14">
        <f>IFERROR(__xludf.DUMMYFUNCTION("SPLIT(L2031,""*"")"),3.0)</f>
        <v>3</v>
      </c>
      <c r="N2031" s="14" t="str">
        <f>IFERROR(__xludf.DUMMYFUNCTION("""COMPUTED_VALUE"""),"Tanvi Jain")</f>
        <v>Tanvi Jain</v>
      </c>
      <c r="O2031" s="14" t="str">
        <f>IFERROR(__xludf.DUMMYFUNCTION("split(J2031,""*"")"),"Delivered")</f>
        <v>Delivered</v>
      </c>
      <c r="P2031" s="14" t="str">
        <f>IFERROR(__xludf.DUMMYFUNCTION("""COMPUTED_VALUE"""),"Overall Satisfaction: Great service will order again")</f>
        <v>Overall Satisfaction: Great service will order again</v>
      </c>
      <c r="Q2031" s="14" t="str">
        <f>IFERROR(__xludf.DUMMYFUNCTION("split(P2031,"":"")"),"Overall Satisfaction")</f>
        <v>Overall Satisfaction</v>
      </c>
      <c r="R2031" s="14" t="str">
        <f>IFERROR(__xludf.DUMMYFUNCTION("""COMPUTED_VALUE""")," Great service will order again")</f>
        <v> Great service will order again</v>
      </c>
      <c r="S2031" s="14" t="str">
        <f t="shared" ref="S2031:U2031" si="4065">trim(B2031)</f>
        <v>ord_82007</v>
      </c>
      <c r="T2031" s="14" t="str">
        <f t="shared" si="4065"/>
        <v>Ishita Banerjee</v>
      </c>
      <c r="U2031" s="14" t="str">
        <f t="shared" si="4065"/>
        <v>Juhu</v>
      </c>
      <c r="V2031" s="14" t="str">
        <f t="shared" si="4"/>
        <v>Veg Puff</v>
      </c>
      <c r="W2031" s="14">
        <f t="shared" si="5"/>
        <v>3</v>
      </c>
      <c r="X2031" s="14" t="str">
        <f t="shared" si="6"/>
        <v>Tanvi Jain</v>
      </c>
      <c r="Y2031" s="15">
        <f t="shared" si="7"/>
        <v>45209</v>
      </c>
      <c r="Z2031" s="14" t="str">
        <f t="shared" si="8"/>
        <v>Credit Card</v>
      </c>
      <c r="AA2031" s="14" t="str">
        <f t="shared" si="9"/>
        <v>Delivered</v>
      </c>
      <c r="AB2031" s="14" t="str">
        <f t="shared" ref="AB2031:AC2031" si="4066">trim(Q2031)</f>
        <v>Overall Satisfaction</v>
      </c>
      <c r="AC2031" s="14" t="str">
        <f t="shared" si="4066"/>
        <v>Great service will order again</v>
      </c>
      <c r="AD2031" s="8"/>
    </row>
    <row r="2032">
      <c r="A2032" s="14" t="str">
        <f>IFERROR(__xludf.DUMMYFUNCTION("""COMPUTED_VALUE"""),"//ord_82008//Kritika Shetty//Malad//Papaya+2*Neha Shah/12/8/2023//UPI//Delivered*On-time Delivery: Delivered on time")</f>
        <v>//ord_82008//Kritika Shetty//Malad//Papaya+2*Neha Shah/12/8/2023//UPI//Delivered*On-time Delivery: Delivered on time</v>
      </c>
      <c r="B2032" s="14" t="str">
        <f>IFERROR(__xludf.DUMMYFUNCTION("split(A2032,""//"")"),"ord_82008")</f>
        <v>ord_82008</v>
      </c>
      <c r="C2032" s="14" t="str">
        <f>IFERROR(__xludf.DUMMYFUNCTION("""COMPUTED_VALUE"""),"Kritika Shetty")</f>
        <v>Kritika Shetty</v>
      </c>
      <c r="D2032" s="14" t="str">
        <f>IFERROR(__xludf.DUMMYFUNCTION("""COMPUTED_VALUE"""),"Malad")</f>
        <v>Malad</v>
      </c>
      <c r="E2032" s="14" t="str">
        <f>IFERROR(__xludf.DUMMYFUNCTION("""COMPUTED_VALUE"""),"Papaya+2*Neha Shah")</f>
        <v>Papaya+2*Neha Shah</v>
      </c>
      <c r="F2032" s="14">
        <f>IFERROR(__xludf.DUMMYFUNCTION("""COMPUTED_VALUE"""),12.0)</f>
        <v>12</v>
      </c>
      <c r="G2032" s="14">
        <f>IFERROR(__xludf.DUMMYFUNCTION("""COMPUTED_VALUE"""),8.0)</f>
        <v>8</v>
      </c>
      <c r="H2032" s="14">
        <f>IFERROR(__xludf.DUMMYFUNCTION("""COMPUTED_VALUE"""),2023.0)</f>
        <v>2023</v>
      </c>
      <c r="I2032" s="14" t="str">
        <f>IFERROR(__xludf.DUMMYFUNCTION("""COMPUTED_VALUE"""),"UPI")</f>
        <v>UPI</v>
      </c>
      <c r="J2032" s="14" t="str">
        <f>IFERROR(__xludf.DUMMYFUNCTION("""COMPUTED_VALUE"""),"Delivered*On-time Delivery: Delivered on time")</f>
        <v>Delivered*On-time Delivery: Delivered on time</v>
      </c>
      <c r="K2032" s="14" t="str">
        <f>IFERROR(__xludf.DUMMYFUNCTION("split(E2032,""+"")"),"Papaya")</f>
        <v>Papaya</v>
      </c>
      <c r="L2032" s="14" t="str">
        <f>IFERROR(__xludf.DUMMYFUNCTION("""COMPUTED_VALUE"""),"2*Neha Shah")</f>
        <v>2*Neha Shah</v>
      </c>
      <c r="M2032" s="14">
        <f>IFERROR(__xludf.DUMMYFUNCTION("SPLIT(L2032,""*"")"),2.0)</f>
        <v>2</v>
      </c>
      <c r="N2032" s="14" t="str">
        <f>IFERROR(__xludf.DUMMYFUNCTION("""COMPUTED_VALUE"""),"Neha Shah")</f>
        <v>Neha Shah</v>
      </c>
      <c r="O2032" s="14" t="str">
        <f>IFERROR(__xludf.DUMMYFUNCTION("split(J2032,""*"")"),"Delivered")</f>
        <v>Delivered</v>
      </c>
      <c r="P2032" s="14" t="str">
        <f>IFERROR(__xludf.DUMMYFUNCTION("""COMPUTED_VALUE"""),"On-time Delivery: Delivered on time")</f>
        <v>On-time Delivery: Delivered on time</v>
      </c>
      <c r="Q2032" s="14" t="str">
        <f>IFERROR(__xludf.DUMMYFUNCTION("split(P2032,"":"")"),"On-time Delivery")</f>
        <v>On-time Delivery</v>
      </c>
      <c r="R2032" s="14" t="str">
        <f>IFERROR(__xludf.DUMMYFUNCTION("""COMPUTED_VALUE""")," Delivered on time")</f>
        <v> Delivered on time</v>
      </c>
      <c r="S2032" s="14" t="str">
        <f t="shared" ref="S2032:U2032" si="4067">trim(B2032)</f>
        <v>ord_82008</v>
      </c>
      <c r="T2032" s="14" t="str">
        <f t="shared" si="4067"/>
        <v>Kritika Shetty</v>
      </c>
      <c r="U2032" s="14" t="str">
        <f t="shared" si="4067"/>
        <v>Malad</v>
      </c>
      <c r="V2032" s="14" t="str">
        <f t="shared" si="4"/>
        <v>Papaya</v>
      </c>
      <c r="W2032" s="14">
        <f t="shared" si="5"/>
        <v>2</v>
      </c>
      <c r="X2032" s="14" t="str">
        <f t="shared" si="6"/>
        <v>Neha Shah</v>
      </c>
      <c r="Y2032" s="15">
        <f t="shared" si="7"/>
        <v>45268</v>
      </c>
      <c r="Z2032" s="14" t="str">
        <f t="shared" si="8"/>
        <v>UPI</v>
      </c>
      <c r="AA2032" s="14" t="str">
        <f t="shared" si="9"/>
        <v>Delivered</v>
      </c>
      <c r="AB2032" s="14" t="str">
        <f t="shared" ref="AB2032:AC2032" si="4068">trim(Q2032)</f>
        <v>On-time Delivery</v>
      </c>
      <c r="AC2032" s="14" t="str">
        <f t="shared" si="4068"/>
        <v>Delivered on time</v>
      </c>
      <c r="AD2032" s="8"/>
    </row>
    <row r="2033">
      <c r="A2033" s="14" t="str">
        <f>IFERROR(__xludf.DUMMYFUNCTION("""COMPUTED_VALUE"""),"//ord_82009//Ishita Banerjee//Juhu//Chicken Puff+4*Tanvi Jain/10/23/2023//COD//Delivered*Quality of Items: Perfect condition")</f>
        <v>//ord_82009//Ishita Banerjee//Juhu//Chicken Puff+4*Tanvi Jain/10/23/2023//COD//Delivered*Quality of Items: Perfect condition</v>
      </c>
      <c r="B2033" s="14" t="str">
        <f>IFERROR(__xludf.DUMMYFUNCTION("split(A2033,""//"")"),"ord_82009")</f>
        <v>ord_82009</v>
      </c>
      <c r="C2033" s="14" t="str">
        <f>IFERROR(__xludf.DUMMYFUNCTION("""COMPUTED_VALUE"""),"Ishita Banerjee")</f>
        <v>Ishita Banerjee</v>
      </c>
      <c r="D2033" s="14" t="str">
        <f>IFERROR(__xludf.DUMMYFUNCTION("""COMPUTED_VALUE"""),"Juhu")</f>
        <v>Juhu</v>
      </c>
      <c r="E2033" s="14" t="str">
        <f>IFERROR(__xludf.DUMMYFUNCTION("""COMPUTED_VALUE"""),"Chicken Puff+4*Tanvi Jain")</f>
        <v>Chicken Puff+4*Tanvi Jain</v>
      </c>
      <c r="F2033" s="14">
        <f>IFERROR(__xludf.DUMMYFUNCTION("""COMPUTED_VALUE"""),10.0)</f>
        <v>10</v>
      </c>
      <c r="G2033" s="14">
        <f>IFERROR(__xludf.DUMMYFUNCTION("""COMPUTED_VALUE"""),23.0)</f>
        <v>23</v>
      </c>
      <c r="H2033" s="14">
        <f>IFERROR(__xludf.DUMMYFUNCTION("""COMPUTED_VALUE"""),2023.0)</f>
        <v>2023</v>
      </c>
      <c r="I2033" s="14" t="str">
        <f>IFERROR(__xludf.DUMMYFUNCTION("""COMPUTED_VALUE"""),"COD")</f>
        <v>COD</v>
      </c>
      <c r="J2033" s="14" t="str">
        <f>IFERROR(__xludf.DUMMYFUNCTION("""COMPUTED_VALUE"""),"Delivered*Quality of Items: Perfect condition")</f>
        <v>Delivered*Quality of Items: Perfect condition</v>
      </c>
      <c r="K2033" s="14" t="str">
        <f>IFERROR(__xludf.DUMMYFUNCTION("split(E2033,""+"")"),"Chicken Puff")</f>
        <v>Chicken Puff</v>
      </c>
      <c r="L2033" s="14" t="str">
        <f>IFERROR(__xludf.DUMMYFUNCTION("""COMPUTED_VALUE"""),"4*Tanvi Jain")</f>
        <v>4*Tanvi Jain</v>
      </c>
      <c r="M2033" s="14">
        <f>IFERROR(__xludf.DUMMYFUNCTION("SPLIT(L2033,""*"")"),4.0)</f>
        <v>4</v>
      </c>
      <c r="N2033" s="14" t="str">
        <f>IFERROR(__xludf.DUMMYFUNCTION("""COMPUTED_VALUE"""),"Tanvi Jain")</f>
        <v>Tanvi Jain</v>
      </c>
      <c r="O2033" s="14" t="str">
        <f>IFERROR(__xludf.DUMMYFUNCTION("split(J2033,""*"")"),"Delivered")</f>
        <v>Delivered</v>
      </c>
      <c r="P2033" s="14" t="str">
        <f>IFERROR(__xludf.DUMMYFUNCTION("""COMPUTED_VALUE"""),"Quality of Items: Perfect condition")</f>
        <v>Quality of Items: Perfect condition</v>
      </c>
      <c r="Q2033" s="14" t="str">
        <f>IFERROR(__xludf.DUMMYFUNCTION("split(P2033,"":"")"),"Quality of Items")</f>
        <v>Quality of Items</v>
      </c>
      <c r="R2033" s="14" t="str">
        <f>IFERROR(__xludf.DUMMYFUNCTION("""COMPUTED_VALUE""")," Perfect condition")</f>
        <v> Perfect condition</v>
      </c>
      <c r="S2033" s="14" t="str">
        <f t="shared" ref="S2033:U2033" si="4069">trim(B2033)</f>
        <v>ord_82009</v>
      </c>
      <c r="T2033" s="14" t="str">
        <f t="shared" si="4069"/>
        <v>Ishita Banerjee</v>
      </c>
      <c r="U2033" s="14" t="str">
        <f t="shared" si="4069"/>
        <v>Juhu</v>
      </c>
      <c r="V2033" s="14" t="str">
        <f t="shared" si="4"/>
        <v>Chicken Puff</v>
      </c>
      <c r="W2033" s="14">
        <f t="shared" si="5"/>
        <v>4</v>
      </c>
      <c r="X2033" s="14" t="str">
        <f t="shared" si="6"/>
        <v>Tanvi Jain</v>
      </c>
      <c r="Y2033" s="15">
        <f t="shared" si="7"/>
        <v>45222</v>
      </c>
      <c r="Z2033" s="14" t="str">
        <f t="shared" si="8"/>
        <v>COD</v>
      </c>
      <c r="AA2033" s="14" t="str">
        <f t="shared" si="9"/>
        <v>Delivered</v>
      </c>
      <c r="AB2033" s="14" t="str">
        <f t="shared" ref="AB2033:AC2033" si="4070">trim(Q2033)</f>
        <v>Quality of Items</v>
      </c>
      <c r="AC2033" s="14" t="str">
        <f t="shared" si="4070"/>
        <v>Perfect condition</v>
      </c>
      <c r="AD2033" s="8"/>
    </row>
    <row r="2034">
      <c r="A2034" s="14" t="str">
        <f>IFERROR(__xludf.DUMMYFUNCTION("""COMPUTED_VALUE"""),"//ord_82010//Aarohi Kapoor//Bandra//Cold Coffee+5*Priya Joshi/9/27/2023//UPI//Delivered*On-time Delivery: Delivered on time")</f>
        <v>//ord_82010//Aarohi Kapoor//Bandra//Cold Coffee+5*Priya Joshi/9/27/2023//UPI//Delivered*On-time Delivery: Delivered on time</v>
      </c>
      <c r="B2034" s="14" t="str">
        <f>IFERROR(__xludf.DUMMYFUNCTION("split(A2034,""//"")"),"ord_82010")</f>
        <v>ord_82010</v>
      </c>
      <c r="C2034" s="14" t="str">
        <f>IFERROR(__xludf.DUMMYFUNCTION("""COMPUTED_VALUE"""),"Aarohi Kapoor")</f>
        <v>Aarohi Kapoor</v>
      </c>
      <c r="D2034" s="14" t="str">
        <f>IFERROR(__xludf.DUMMYFUNCTION("""COMPUTED_VALUE"""),"Bandra")</f>
        <v>Bandra</v>
      </c>
      <c r="E2034" s="14" t="str">
        <f>IFERROR(__xludf.DUMMYFUNCTION("""COMPUTED_VALUE"""),"Cold Coffee+5*Priya Joshi")</f>
        <v>Cold Coffee+5*Priya Joshi</v>
      </c>
      <c r="F2034" s="14">
        <f>IFERROR(__xludf.DUMMYFUNCTION("""COMPUTED_VALUE"""),9.0)</f>
        <v>9</v>
      </c>
      <c r="G2034" s="14">
        <f>IFERROR(__xludf.DUMMYFUNCTION("""COMPUTED_VALUE"""),27.0)</f>
        <v>27</v>
      </c>
      <c r="H2034" s="14">
        <f>IFERROR(__xludf.DUMMYFUNCTION("""COMPUTED_VALUE"""),2023.0)</f>
        <v>2023</v>
      </c>
      <c r="I2034" s="14" t="str">
        <f>IFERROR(__xludf.DUMMYFUNCTION("""COMPUTED_VALUE"""),"UPI")</f>
        <v>UPI</v>
      </c>
      <c r="J2034" s="14" t="str">
        <f>IFERROR(__xludf.DUMMYFUNCTION("""COMPUTED_VALUE"""),"Delivered*On-time Delivery: Delivered on time")</f>
        <v>Delivered*On-time Delivery: Delivered on time</v>
      </c>
      <c r="K2034" s="14" t="str">
        <f>IFERROR(__xludf.DUMMYFUNCTION("split(E2034,""+"")"),"Cold Coffee")</f>
        <v>Cold Coffee</v>
      </c>
      <c r="L2034" s="14" t="str">
        <f>IFERROR(__xludf.DUMMYFUNCTION("""COMPUTED_VALUE"""),"5*Priya Joshi")</f>
        <v>5*Priya Joshi</v>
      </c>
      <c r="M2034" s="14">
        <f>IFERROR(__xludf.DUMMYFUNCTION("SPLIT(L2034,""*"")"),5.0)</f>
        <v>5</v>
      </c>
      <c r="N2034" s="14" t="str">
        <f>IFERROR(__xludf.DUMMYFUNCTION("""COMPUTED_VALUE"""),"Priya Joshi")</f>
        <v>Priya Joshi</v>
      </c>
      <c r="O2034" s="14" t="str">
        <f>IFERROR(__xludf.DUMMYFUNCTION("split(J2034,""*"")"),"Delivered")</f>
        <v>Delivered</v>
      </c>
      <c r="P2034" s="14" t="str">
        <f>IFERROR(__xludf.DUMMYFUNCTION("""COMPUTED_VALUE"""),"On-time Delivery: Delivered on time")</f>
        <v>On-time Delivery: Delivered on time</v>
      </c>
      <c r="Q2034" s="14" t="str">
        <f>IFERROR(__xludf.DUMMYFUNCTION("split(P2034,"":"")"),"On-time Delivery")</f>
        <v>On-time Delivery</v>
      </c>
      <c r="R2034" s="14" t="str">
        <f>IFERROR(__xludf.DUMMYFUNCTION("""COMPUTED_VALUE""")," Delivered on time")</f>
        <v> Delivered on time</v>
      </c>
      <c r="S2034" s="14" t="str">
        <f t="shared" ref="S2034:U2034" si="4071">trim(B2034)</f>
        <v>ord_82010</v>
      </c>
      <c r="T2034" s="14" t="str">
        <f t="shared" si="4071"/>
        <v>Aarohi Kapoor</v>
      </c>
      <c r="U2034" s="14" t="str">
        <f t="shared" si="4071"/>
        <v>Bandra</v>
      </c>
      <c r="V2034" s="14" t="str">
        <f t="shared" si="4"/>
        <v>Cold Coffee</v>
      </c>
      <c r="W2034" s="14">
        <f t="shared" si="5"/>
        <v>5</v>
      </c>
      <c r="X2034" s="14" t="str">
        <f t="shared" si="6"/>
        <v>Priya Joshi</v>
      </c>
      <c r="Y2034" s="15">
        <f t="shared" si="7"/>
        <v>45196</v>
      </c>
      <c r="Z2034" s="14" t="str">
        <f t="shared" si="8"/>
        <v>UPI</v>
      </c>
      <c r="AA2034" s="14" t="str">
        <f t="shared" si="9"/>
        <v>Delivered</v>
      </c>
      <c r="AB2034" s="14" t="str">
        <f t="shared" ref="AB2034:AC2034" si="4072">trim(Q2034)</f>
        <v>On-time Delivery</v>
      </c>
      <c r="AC2034" s="14" t="str">
        <f t="shared" si="4072"/>
        <v>Delivered on time</v>
      </c>
      <c r="AD2034" s="8"/>
    </row>
    <row r="2035">
      <c r="A2035" s="14" t="str">
        <f>IFERROR(__xludf.DUMMYFUNCTION("""COMPUTED_VALUE"""),"//ord_82011//Simran Bhatt//Juhu//Chocolate Mousse+4*Tanvi Jain/10/2/2023//COD//Delivered*Quality of Items: Perfect condition")</f>
        <v>//ord_82011//Simran Bhatt//Juhu//Chocolate Mousse+4*Tanvi Jain/10/2/2023//COD//Delivered*Quality of Items: Perfect condition</v>
      </c>
      <c r="B2035" s="14" t="str">
        <f>IFERROR(__xludf.DUMMYFUNCTION("split(A2035,""//"")"),"ord_82011")</f>
        <v>ord_82011</v>
      </c>
      <c r="C2035" s="14" t="str">
        <f>IFERROR(__xludf.DUMMYFUNCTION("""COMPUTED_VALUE"""),"Simran Bhatt")</f>
        <v>Simran Bhatt</v>
      </c>
      <c r="D2035" s="14" t="str">
        <f>IFERROR(__xludf.DUMMYFUNCTION("""COMPUTED_VALUE"""),"Juhu")</f>
        <v>Juhu</v>
      </c>
      <c r="E2035" s="14" t="str">
        <f>IFERROR(__xludf.DUMMYFUNCTION("""COMPUTED_VALUE"""),"Chocolate Mousse+4*Tanvi Jain")</f>
        <v>Chocolate Mousse+4*Tanvi Jain</v>
      </c>
      <c r="F2035" s="14">
        <f>IFERROR(__xludf.DUMMYFUNCTION("""COMPUTED_VALUE"""),10.0)</f>
        <v>10</v>
      </c>
      <c r="G2035" s="14">
        <f>IFERROR(__xludf.DUMMYFUNCTION("""COMPUTED_VALUE"""),2.0)</f>
        <v>2</v>
      </c>
      <c r="H2035" s="14">
        <f>IFERROR(__xludf.DUMMYFUNCTION("""COMPUTED_VALUE"""),2023.0)</f>
        <v>2023</v>
      </c>
      <c r="I2035" s="14" t="str">
        <f>IFERROR(__xludf.DUMMYFUNCTION("""COMPUTED_VALUE"""),"COD")</f>
        <v>COD</v>
      </c>
      <c r="J2035" s="14" t="str">
        <f>IFERROR(__xludf.DUMMYFUNCTION("""COMPUTED_VALUE"""),"Delivered*Quality of Items: Perfect condition")</f>
        <v>Delivered*Quality of Items: Perfect condition</v>
      </c>
      <c r="K2035" s="14" t="str">
        <f>IFERROR(__xludf.DUMMYFUNCTION("split(E2035,""+"")"),"Chocolate Mousse")</f>
        <v>Chocolate Mousse</v>
      </c>
      <c r="L2035" s="14" t="str">
        <f>IFERROR(__xludf.DUMMYFUNCTION("""COMPUTED_VALUE"""),"4*Tanvi Jain")</f>
        <v>4*Tanvi Jain</v>
      </c>
      <c r="M2035" s="14">
        <f>IFERROR(__xludf.DUMMYFUNCTION("SPLIT(L2035,""*"")"),4.0)</f>
        <v>4</v>
      </c>
      <c r="N2035" s="14" t="str">
        <f>IFERROR(__xludf.DUMMYFUNCTION("""COMPUTED_VALUE"""),"Tanvi Jain")</f>
        <v>Tanvi Jain</v>
      </c>
      <c r="O2035" s="14" t="str">
        <f>IFERROR(__xludf.DUMMYFUNCTION("split(J2035,""*"")"),"Delivered")</f>
        <v>Delivered</v>
      </c>
      <c r="P2035" s="14" t="str">
        <f>IFERROR(__xludf.DUMMYFUNCTION("""COMPUTED_VALUE"""),"Quality of Items: Perfect condition")</f>
        <v>Quality of Items: Perfect condition</v>
      </c>
      <c r="Q2035" s="14" t="str">
        <f>IFERROR(__xludf.DUMMYFUNCTION("split(P2035,"":"")"),"Quality of Items")</f>
        <v>Quality of Items</v>
      </c>
      <c r="R2035" s="14" t="str">
        <f>IFERROR(__xludf.DUMMYFUNCTION("""COMPUTED_VALUE""")," Perfect condition")</f>
        <v> Perfect condition</v>
      </c>
      <c r="S2035" s="14" t="str">
        <f t="shared" ref="S2035:U2035" si="4073">trim(B2035)</f>
        <v>ord_82011</v>
      </c>
      <c r="T2035" s="14" t="str">
        <f t="shared" si="4073"/>
        <v>Simran Bhatt</v>
      </c>
      <c r="U2035" s="14" t="str">
        <f t="shared" si="4073"/>
        <v>Juhu</v>
      </c>
      <c r="V2035" s="14" t="str">
        <f t="shared" si="4"/>
        <v>Chocolate Mousse</v>
      </c>
      <c r="W2035" s="14">
        <f t="shared" si="5"/>
        <v>4</v>
      </c>
      <c r="X2035" s="14" t="str">
        <f t="shared" si="6"/>
        <v>Tanvi Jain</v>
      </c>
      <c r="Y2035" s="15">
        <f t="shared" si="7"/>
        <v>45201</v>
      </c>
      <c r="Z2035" s="14" t="str">
        <f t="shared" si="8"/>
        <v>COD</v>
      </c>
      <c r="AA2035" s="14" t="str">
        <f t="shared" si="9"/>
        <v>Delivered</v>
      </c>
      <c r="AB2035" s="14" t="str">
        <f t="shared" ref="AB2035:AC2035" si="4074">trim(Q2035)</f>
        <v>Quality of Items</v>
      </c>
      <c r="AC2035" s="14" t="str">
        <f t="shared" si="4074"/>
        <v>Perfect condition</v>
      </c>
      <c r="AD2035" s="8"/>
    </row>
    <row r="2036">
      <c r="A2036" s="14" t="str">
        <f>IFERROR(__xludf.DUMMYFUNCTION("""COMPUTED_VALUE"""),"//ord_82012//Ritika Dutta//Lower Parel//Sweet Corn+3*Kiran Mehta/1/15/2023//UPI//Delivered*Packaging: Secure and intact")</f>
        <v>//ord_82012//Ritika Dutta//Lower Parel//Sweet Corn+3*Kiran Mehta/1/15/2023//UPI//Delivered*Packaging: Secure and intact</v>
      </c>
      <c r="B2036" s="14" t="str">
        <f>IFERROR(__xludf.DUMMYFUNCTION("split(A2036,""//"")"),"ord_82012")</f>
        <v>ord_82012</v>
      </c>
      <c r="C2036" s="14" t="str">
        <f>IFERROR(__xludf.DUMMYFUNCTION("""COMPUTED_VALUE"""),"Ritika Dutta")</f>
        <v>Ritika Dutta</v>
      </c>
      <c r="D2036" s="14" t="str">
        <f>IFERROR(__xludf.DUMMYFUNCTION("""COMPUTED_VALUE"""),"Lower Parel")</f>
        <v>Lower Parel</v>
      </c>
      <c r="E2036" s="14" t="str">
        <f>IFERROR(__xludf.DUMMYFUNCTION("""COMPUTED_VALUE"""),"Sweet Corn+3*Kiran Mehta")</f>
        <v>Sweet Corn+3*Kiran Mehta</v>
      </c>
      <c r="F2036" s="14">
        <f>IFERROR(__xludf.DUMMYFUNCTION("""COMPUTED_VALUE"""),1.0)</f>
        <v>1</v>
      </c>
      <c r="G2036" s="14">
        <f>IFERROR(__xludf.DUMMYFUNCTION("""COMPUTED_VALUE"""),15.0)</f>
        <v>15</v>
      </c>
      <c r="H2036" s="14">
        <f>IFERROR(__xludf.DUMMYFUNCTION("""COMPUTED_VALUE"""),2023.0)</f>
        <v>2023</v>
      </c>
      <c r="I2036" s="14" t="str">
        <f>IFERROR(__xludf.DUMMYFUNCTION("""COMPUTED_VALUE"""),"UPI")</f>
        <v>UPI</v>
      </c>
      <c r="J2036" s="14" t="str">
        <f>IFERROR(__xludf.DUMMYFUNCTION("""COMPUTED_VALUE"""),"Delivered*Packaging: Secure and intact")</f>
        <v>Delivered*Packaging: Secure and intact</v>
      </c>
      <c r="K2036" s="14" t="str">
        <f>IFERROR(__xludf.DUMMYFUNCTION("split(E2036,""+"")"),"Sweet Corn")</f>
        <v>Sweet Corn</v>
      </c>
      <c r="L2036" s="14" t="str">
        <f>IFERROR(__xludf.DUMMYFUNCTION("""COMPUTED_VALUE"""),"3*Kiran Mehta")</f>
        <v>3*Kiran Mehta</v>
      </c>
      <c r="M2036" s="14">
        <f>IFERROR(__xludf.DUMMYFUNCTION("SPLIT(L2036,""*"")"),3.0)</f>
        <v>3</v>
      </c>
      <c r="N2036" s="14" t="str">
        <f>IFERROR(__xludf.DUMMYFUNCTION("""COMPUTED_VALUE"""),"Kiran Mehta")</f>
        <v>Kiran Mehta</v>
      </c>
      <c r="O2036" s="14" t="str">
        <f>IFERROR(__xludf.DUMMYFUNCTION("split(J2036,""*"")"),"Delivered")</f>
        <v>Delivered</v>
      </c>
      <c r="P2036" s="14" t="str">
        <f>IFERROR(__xludf.DUMMYFUNCTION("""COMPUTED_VALUE"""),"Packaging: Secure and intact")</f>
        <v>Packaging: Secure and intact</v>
      </c>
      <c r="Q2036" s="14" t="str">
        <f>IFERROR(__xludf.DUMMYFUNCTION("split(P2036,"":"")"),"Packaging")</f>
        <v>Packaging</v>
      </c>
      <c r="R2036" s="14" t="str">
        <f>IFERROR(__xludf.DUMMYFUNCTION("""COMPUTED_VALUE""")," Secure and intact")</f>
        <v> Secure and intact</v>
      </c>
      <c r="S2036" s="14" t="str">
        <f t="shared" ref="S2036:U2036" si="4075">trim(B2036)</f>
        <v>ord_82012</v>
      </c>
      <c r="T2036" s="14" t="str">
        <f t="shared" si="4075"/>
        <v>Ritika Dutta</v>
      </c>
      <c r="U2036" s="14" t="str">
        <f t="shared" si="4075"/>
        <v>Lower Parel</v>
      </c>
      <c r="V2036" s="14" t="str">
        <f t="shared" si="4"/>
        <v>Sweet Corn</v>
      </c>
      <c r="W2036" s="14">
        <f t="shared" si="5"/>
        <v>3</v>
      </c>
      <c r="X2036" s="14" t="str">
        <f t="shared" si="6"/>
        <v>Kiran Mehta</v>
      </c>
      <c r="Y2036" s="15">
        <f t="shared" si="7"/>
        <v>44941</v>
      </c>
      <c r="Z2036" s="14" t="str">
        <f t="shared" si="8"/>
        <v>UPI</v>
      </c>
      <c r="AA2036" s="14" t="str">
        <f t="shared" si="9"/>
        <v>Delivered</v>
      </c>
      <c r="AB2036" s="14" t="str">
        <f t="shared" ref="AB2036:AC2036" si="4076">trim(Q2036)</f>
        <v>Packaging</v>
      </c>
      <c r="AC2036" s="14" t="str">
        <f t="shared" si="4076"/>
        <v>Secure and intact</v>
      </c>
      <c r="AD2036" s="8"/>
    </row>
    <row r="2037">
      <c r="A2037" s="14" t="str">
        <f>IFERROR(__xludf.DUMMYFUNCTION("""COMPUTED_VALUE"""),"//ord_82013//Pranav Joshi//Andheri//Rasmalai+2*Rohan Yadav/4/8/2023//Credit Card//Delivered*Satisfied with the Delivery: Timely and quality")</f>
        <v>//ord_82013//Pranav Joshi//Andheri//Rasmalai+2*Rohan Yadav/4/8/2023//Credit Card//Delivered*Satisfied with the Delivery: Timely and quality</v>
      </c>
      <c r="B2037" s="14" t="str">
        <f>IFERROR(__xludf.DUMMYFUNCTION("split(A2037,""//"")"),"ord_82013")</f>
        <v>ord_82013</v>
      </c>
      <c r="C2037" s="14" t="str">
        <f>IFERROR(__xludf.DUMMYFUNCTION("""COMPUTED_VALUE"""),"Pranav Joshi")</f>
        <v>Pranav Joshi</v>
      </c>
      <c r="D2037" s="14" t="str">
        <f>IFERROR(__xludf.DUMMYFUNCTION("""COMPUTED_VALUE"""),"Andheri")</f>
        <v>Andheri</v>
      </c>
      <c r="E2037" s="14" t="str">
        <f>IFERROR(__xludf.DUMMYFUNCTION("""COMPUTED_VALUE"""),"Rasmalai+2*Rohan Yadav")</f>
        <v>Rasmalai+2*Rohan Yadav</v>
      </c>
      <c r="F2037" s="14">
        <f>IFERROR(__xludf.DUMMYFUNCTION("""COMPUTED_VALUE"""),4.0)</f>
        <v>4</v>
      </c>
      <c r="G2037" s="14">
        <f>IFERROR(__xludf.DUMMYFUNCTION("""COMPUTED_VALUE"""),8.0)</f>
        <v>8</v>
      </c>
      <c r="H2037" s="14">
        <f>IFERROR(__xludf.DUMMYFUNCTION("""COMPUTED_VALUE"""),2023.0)</f>
        <v>2023</v>
      </c>
      <c r="I2037" s="14" t="str">
        <f>IFERROR(__xludf.DUMMYFUNCTION("""COMPUTED_VALUE"""),"Credit Card")</f>
        <v>Credit Card</v>
      </c>
      <c r="J2037" s="14" t="str">
        <f>IFERROR(__xludf.DUMMYFUNCTION("""COMPUTED_VALUE"""),"Delivered*Satisfied with the Delivery: Timely and quality")</f>
        <v>Delivered*Satisfied with the Delivery: Timely and quality</v>
      </c>
      <c r="K2037" s="14" t="str">
        <f>IFERROR(__xludf.DUMMYFUNCTION("split(E2037,""+"")"),"Rasmalai")</f>
        <v>Rasmalai</v>
      </c>
      <c r="L2037" s="14" t="str">
        <f>IFERROR(__xludf.DUMMYFUNCTION("""COMPUTED_VALUE"""),"2*Rohan Yadav")</f>
        <v>2*Rohan Yadav</v>
      </c>
      <c r="M2037" s="14">
        <f>IFERROR(__xludf.DUMMYFUNCTION("SPLIT(L2037,""*"")"),2.0)</f>
        <v>2</v>
      </c>
      <c r="N2037" s="14" t="str">
        <f>IFERROR(__xludf.DUMMYFUNCTION("""COMPUTED_VALUE"""),"Rohan Yadav")</f>
        <v>Rohan Yadav</v>
      </c>
      <c r="O2037" s="14" t="str">
        <f>IFERROR(__xludf.DUMMYFUNCTION("split(J2037,""*"")"),"Delivered")</f>
        <v>Delivered</v>
      </c>
      <c r="P2037" s="14" t="str">
        <f>IFERROR(__xludf.DUMMYFUNCTION("""COMPUTED_VALUE"""),"Satisfied with the Delivery: Timely and quality")</f>
        <v>Satisfied with the Delivery: Timely and quality</v>
      </c>
      <c r="Q2037" s="14" t="str">
        <f>IFERROR(__xludf.DUMMYFUNCTION("split(P2037,"":"")"),"Satisfied with the Delivery")</f>
        <v>Satisfied with the Delivery</v>
      </c>
      <c r="R2037" s="14" t="str">
        <f>IFERROR(__xludf.DUMMYFUNCTION("""COMPUTED_VALUE""")," Timely and quality")</f>
        <v> Timely and quality</v>
      </c>
      <c r="S2037" s="14" t="str">
        <f t="shared" ref="S2037:U2037" si="4077">trim(B2037)</f>
        <v>ord_82013</v>
      </c>
      <c r="T2037" s="14" t="str">
        <f t="shared" si="4077"/>
        <v>Pranav Joshi</v>
      </c>
      <c r="U2037" s="14" t="str">
        <f t="shared" si="4077"/>
        <v>Andheri</v>
      </c>
      <c r="V2037" s="14" t="str">
        <f t="shared" si="4"/>
        <v>Rasmalai</v>
      </c>
      <c r="W2037" s="14">
        <f t="shared" si="5"/>
        <v>2</v>
      </c>
      <c r="X2037" s="14" t="str">
        <f t="shared" si="6"/>
        <v>Rohan Yadav</v>
      </c>
      <c r="Y2037" s="15">
        <f t="shared" si="7"/>
        <v>45024</v>
      </c>
      <c r="Z2037" s="14" t="str">
        <f t="shared" si="8"/>
        <v>Credit Card</v>
      </c>
      <c r="AA2037" s="14" t="str">
        <f t="shared" si="9"/>
        <v>Delivered</v>
      </c>
      <c r="AB2037" s="14" t="str">
        <f t="shared" ref="AB2037:AC2037" si="4078">trim(Q2037)</f>
        <v>Satisfied with the Delivery</v>
      </c>
      <c r="AC2037" s="14" t="str">
        <f t="shared" si="4078"/>
        <v>Timely and quality</v>
      </c>
      <c r="AD2037" s="8"/>
    </row>
    <row r="2038">
      <c r="A2038" s="14" t="str">
        <f>IFERROR(__xludf.DUMMYFUNCTION("""COMPUTED_VALUE"""),"//ord_82014//Pranav Joshi//Andheri//Sweet Corn+1*Sandeep Kumar/1/23/2023//Credit Card//Cancelled*Delayed Delivery:Bad Weather Conditions ")</f>
        <v>//ord_82014//Pranav Joshi//Andheri//Sweet Corn+1*Sandeep Kumar/1/23/2023//Credit Card//Cancelled*Delayed Delivery:Bad Weather Conditions </v>
      </c>
      <c r="B2038" s="14" t="str">
        <f>IFERROR(__xludf.DUMMYFUNCTION("split(A2038,""//"")"),"ord_82014")</f>
        <v>ord_82014</v>
      </c>
      <c r="C2038" s="14" t="str">
        <f>IFERROR(__xludf.DUMMYFUNCTION("""COMPUTED_VALUE"""),"Pranav Joshi")</f>
        <v>Pranav Joshi</v>
      </c>
      <c r="D2038" s="14" t="str">
        <f>IFERROR(__xludf.DUMMYFUNCTION("""COMPUTED_VALUE"""),"Andheri")</f>
        <v>Andheri</v>
      </c>
      <c r="E2038" s="14" t="str">
        <f>IFERROR(__xludf.DUMMYFUNCTION("""COMPUTED_VALUE"""),"Sweet Corn+1*Sandeep Kumar")</f>
        <v>Sweet Corn+1*Sandeep Kumar</v>
      </c>
      <c r="F2038" s="14">
        <f>IFERROR(__xludf.DUMMYFUNCTION("""COMPUTED_VALUE"""),1.0)</f>
        <v>1</v>
      </c>
      <c r="G2038" s="14">
        <f>IFERROR(__xludf.DUMMYFUNCTION("""COMPUTED_VALUE"""),23.0)</f>
        <v>23</v>
      </c>
      <c r="H2038" s="14">
        <f>IFERROR(__xludf.DUMMYFUNCTION("""COMPUTED_VALUE"""),2023.0)</f>
        <v>2023</v>
      </c>
      <c r="I2038" s="14" t="str">
        <f>IFERROR(__xludf.DUMMYFUNCTION("""COMPUTED_VALUE"""),"Credit Card")</f>
        <v>Credit Card</v>
      </c>
      <c r="J2038" s="14" t="str">
        <f>IFERROR(__xludf.DUMMYFUNCTION("""COMPUTED_VALUE"""),"Cancelled*Delayed Delivery:Bad Weather Conditions ")</f>
        <v>Cancelled*Delayed Delivery:Bad Weather Conditions </v>
      </c>
      <c r="K2038" s="14" t="str">
        <f>IFERROR(__xludf.DUMMYFUNCTION("split(E2038,""+"")"),"Sweet Corn")</f>
        <v>Sweet Corn</v>
      </c>
      <c r="L2038" s="14" t="str">
        <f>IFERROR(__xludf.DUMMYFUNCTION("""COMPUTED_VALUE"""),"1*Sandeep Kumar")</f>
        <v>1*Sandeep Kumar</v>
      </c>
      <c r="M2038" s="14">
        <f>IFERROR(__xludf.DUMMYFUNCTION("SPLIT(L2038,""*"")"),1.0)</f>
        <v>1</v>
      </c>
      <c r="N2038" s="14" t="str">
        <f>IFERROR(__xludf.DUMMYFUNCTION("""COMPUTED_VALUE"""),"Sandeep Kumar")</f>
        <v>Sandeep Kumar</v>
      </c>
      <c r="O2038" s="14" t="str">
        <f>IFERROR(__xludf.DUMMYFUNCTION("split(J2038,""*"")"),"Cancelled")</f>
        <v>Cancelled</v>
      </c>
      <c r="P2038" s="14" t="str">
        <f>IFERROR(__xludf.DUMMYFUNCTION("""COMPUTED_VALUE"""),"Delayed Delivery:Bad Weather Conditions ")</f>
        <v>Delayed Delivery:Bad Weather Conditions </v>
      </c>
      <c r="Q2038" s="14" t="str">
        <f>IFERROR(__xludf.DUMMYFUNCTION("split(P2038,"":"")"),"Delayed Delivery")</f>
        <v>Delayed Delivery</v>
      </c>
      <c r="R2038" s="14" t="str">
        <f>IFERROR(__xludf.DUMMYFUNCTION("""COMPUTED_VALUE"""),"Bad Weather Conditions ")</f>
        <v>Bad Weather Conditions </v>
      </c>
      <c r="S2038" s="14" t="str">
        <f t="shared" ref="S2038:U2038" si="4079">trim(B2038)</f>
        <v>ord_82014</v>
      </c>
      <c r="T2038" s="14" t="str">
        <f t="shared" si="4079"/>
        <v>Pranav Joshi</v>
      </c>
      <c r="U2038" s="14" t="str">
        <f t="shared" si="4079"/>
        <v>Andheri</v>
      </c>
      <c r="V2038" s="14" t="str">
        <f t="shared" si="4"/>
        <v>Sweet Corn</v>
      </c>
      <c r="W2038" s="14">
        <f t="shared" si="5"/>
        <v>1</v>
      </c>
      <c r="X2038" s="14" t="str">
        <f t="shared" si="6"/>
        <v>Sandeep Kumar</v>
      </c>
      <c r="Y2038" s="15">
        <f t="shared" si="7"/>
        <v>44949</v>
      </c>
      <c r="Z2038" s="14" t="str">
        <f t="shared" si="8"/>
        <v>Credit Card</v>
      </c>
      <c r="AA2038" s="14" t="str">
        <f t="shared" si="9"/>
        <v>Cancelled</v>
      </c>
      <c r="AB2038" s="14" t="str">
        <f t="shared" ref="AB2038:AC2038" si="4080">trim(Q2038)</f>
        <v>Delayed Delivery</v>
      </c>
      <c r="AC2038" s="14" t="str">
        <f t="shared" si="4080"/>
        <v>Bad Weather Conditions</v>
      </c>
      <c r="AD2038" s="8"/>
    </row>
    <row r="2039">
      <c r="A2039" s="14" t="str">
        <f>IFERROR(__xludf.DUMMYFUNCTION("""COMPUTED_VALUE"""),"//ord_82015//Parth Goel//Juhu//Chilli Cheese Toast+2*Tanvi Jain/5/17/2023//UPI//Delivered*Customer Service: Seamless and easy")</f>
        <v>//ord_82015//Parth Goel//Juhu//Chilli Cheese Toast+2*Tanvi Jain/5/17/2023//UPI//Delivered*Customer Service: Seamless and easy</v>
      </c>
      <c r="B2039" s="14" t="str">
        <f>IFERROR(__xludf.DUMMYFUNCTION("split(A2039,""//"")"),"ord_82015")</f>
        <v>ord_82015</v>
      </c>
      <c r="C2039" s="14" t="str">
        <f>IFERROR(__xludf.DUMMYFUNCTION("""COMPUTED_VALUE"""),"Parth Goel")</f>
        <v>Parth Goel</v>
      </c>
      <c r="D2039" s="14" t="str">
        <f>IFERROR(__xludf.DUMMYFUNCTION("""COMPUTED_VALUE"""),"Juhu")</f>
        <v>Juhu</v>
      </c>
      <c r="E2039" s="14" t="str">
        <f>IFERROR(__xludf.DUMMYFUNCTION("""COMPUTED_VALUE"""),"Chilli Cheese Toast+2*Tanvi Jain")</f>
        <v>Chilli Cheese Toast+2*Tanvi Jain</v>
      </c>
      <c r="F2039" s="14">
        <f>IFERROR(__xludf.DUMMYFUNCTION("""COMPUTED_VALUE"""),5.0)</f>
        <v>5</v>
      </c>
      <c r="G2039" s="14">
        <f>IFERROR(__xludf.DUMMYFUNCTION("""COMPUTED_VALUE"""),17.0)</f>
        <v>17</v>
      </c>
      <c r="H2039" s="14">
        <f>IFERROR(__xludf.DUMMYFUNCTION("""COMPUTED_VALUE"""),2023.0)</f>
        <v>2023</v>
      </c>
      <c r="I2039" s="14" t="str">
        <f>IFERROR(__xludf.DUMMYFUNCTION("""COMPUTED_VALUE"""),"UPI")</f>
        <v>UPI</v>
      </c>
      <c r="J2039" s="14" t="str">
        <f>IFERROR(__xludf.DUMMYFUNCTION("""COMPUTED_VALUE"""),"Delivered*Customer Service: Seamless and easy")</f>
        <v>Delivered*Customer Service: Seamless and easy</v>
      </c>
      <c r="K2039" s="14" t="str">
        <f>IFERROR(__xludf.DUMMYFUNCTION("split(E2039,""+"")"),"Chilli Cheese Toast")</f>
        <v>Chilli Cheese Toast</v>
      </c>
      <c r="L2039" s="14" t="str">
        <f>IFERROR(__xludf.DUMMYFUNCTION("""COMPUTED_VALUE"""),"2*Tanvi Jain")</f>
        <v>2*Tanvi Jain</v>
      </c>
      <c r="M2039" s="14">
        <f>IFERROR(__xludf.DUMMYFUNCTION("SPLIT(L2039,""*"")"),2.0)</f>
        <v>2</v>
      </c>
      <c r="N2039" s="14" t="str">
        <f>IFERROR(__xludf.DUMMYFUNCTION("""COMPUTED_VALUE"""),"Tanvi Jain")</f>
        <v>Tanvi Jain</v>
      </c>
      <c r="O2039" s="14" t="str">
        <f>IFERROR(__xludf.DUMMYFUNCTION("split(J2039,""*"")"),"Delivered")</f>
        <v>Delivered</v>
      </c>
      <c r="P2039" s="14" t="str">
        <f>IFERROR(__xludf.DUMMYFUNCTION("""COMPUTED_VALUE"""),"Customer Service: Seamless and easy")</f>
        <v>Customer Service: Seamless and easy</v>
      </c>
      <c r="Q2039" s="14" t="str">
        <f>IFERROR(__xludf.DUMMYFUNCTION("split(P2039,"":"")"),"Customer Service")</f>
        <v>Customer Service</v>
      </c>
      <c r="R2039" s="14" t="str">
        <f>IFERROR(__xludf.DUMMYFUNCTION("""COMPUTED_VALUE""")," Seamless and easy")</f>
        <v> Seamless and easy</v>
      </c>
      <c r="S2039" s="14" t="str">
        <f t="shared" ref="S2039:U2039" si="4081">trim(B2039)</f>
        <v>ord_82015</v>
      </c>
      <c r="T2039" s="14" t="str">
        <f t="shared" si="4081"/>
        <v>Parth Goel</v>
      </c>
      <c r="U2039" s="14" t="str">
        <f t="shared" si="4081"/>
        <v>Juhu</v>
      </c>
      <c r="V2039" s="14" t="str">
        <f t="shared" si="4"/>
        <v>Chilli Cheese Toast</v>
      </c>
      <c r="W2039" s="14">
        <f t="shared" si="5"/>
        <v>2</v>
      </c>
      <c r="X2039" s="14" t="str">
        <f t="shared" si="6"/>
        <v>Tanvi Jain</v>
      </c>
      <c r="Y2039" s="15">
        <f t="shared" si="7"/>
        <v>45063</v>
      </c>
      <c r="Z2039" s="14" t="str">
        <f t="shared" si="8"/>
        <v>UPI</v>
      </c>
      <c r="AA2039" s="14" t="str">
        <f t="shared" si="9"/>
        <v>Delivered</v>
      </c>
      <c r="AB2039" s="14" t="str">
        <f t="shared" ref="AB2039:AC2039" si="4082">trim(Q2039)</f>
        <v>Customer Service</v>
      </c>
      <c r="AC2039" s="14" t="str">
        <f t="shared" si="4082"/>
        <v>Seamless and easy</v>
      </c>
      <c r="AD2039" s="8"/>
    </row>
    <row r="2040">
      <c r="A2040" s="14" t="str">
        <f>IFERROR(__xludf.DUMMYFUNCTION("""COMPUTED_VALUE"""),"//ord_82016//Pallavi Ghosh//Bandra//Papaya+2*Priya Joshi/6/24/2023//COD//Delivered*Delivery Experience: Quick and professional")</f>
        <v>//ord_82016//Pallavi Ghosh//Bandra//Papaya+2*Priya Joshi/6/24/2023//COD//Delivered*Delivery Experience: Quick and professional</v>
      </c>
      <c r="B2040" s="14" t="str">
        <f>IFERROR(__xludf.DUMMYFUNCTION("split(A2040,""//"")"),"ord_82016")</f>
        <v>ord_82016</v>
      </c>
      <c r="C2040" s="14" t="str">
        <f>IFERROR(__xludf.DUMMYFUNCTION("""COMPUTED_VALUE"""),"Pallavi Ghosh")</f>
        <v>Pallavi Ghosh</v>
      </c>
      <c r="D2040" s="14" t="str">
        <f>IFERROR(__xludf.DUMMYFUNCTION("""COMPUTED_VALUE"""),"Bandra")</f>
        <v>Bandra</v>
      </c>
      <c r="E2040" s="14" t="str">
        <f>IFERROR(__xludf.DUMMYFUNCTION("""COMPUTED_VALUE"""),"Papaya+2*Priya Joshi")</f>
        <v>Papaya+2*Priya Joshi</v>
      </c>
      <c r="F2040" s="14">
        <f>IFERROR(__xludf.DUMMYFUNCTION("""COMPUTED_VALUE"""),6.0)</f>
        <v>6</v>
      </c>
      <c r="G2040" s="14">
        <f>IFERROR(__xludf.DUMMYFUNCTION("""COMPUTED_VALUE"""),24.0)</f>
        <v>24</v>
      </c>
      <c r="H2040" s="14">
        <f>IFERROR(__xludf.DUMMYFUNCTION("""COMPUTED_VALUE"""),2023.0)</f>
        <v>2023</v>
      </c>
      <c r="I2040" s="14" t="str">
        <f>IFERROR(__xludf.DUMMYFUNCTION("""COMPUTED_VALUE"""),"COD")</f>
        <v>COD</v>
      </c>
      <c r="J2040" s="14" t="str">
        <f>IFERROR(__xludf.DUMMYFUNCTION("""COMPUTED_VALUE"""),"Delivered*Delivery Experience: Quick and professional")</f>
        <v>Delivered*Delivery Experience: Quick and professional</v>
      </c>
      <c r="K2040" s="14" t="str">
        <f>IFERROR(__xludf.DUMMYFUNCTION("split(E2040,""+"")"),"Papaya")</f>
        <v>Papaya</v>
      </c>
      <c r="L2040" s="14" t="str">
        <f>IFERROR(__xludf.DUMMYFUNCTION("""COMPUTED_VALUE"""),"2*Priya Joshi")</f>
        <v>2*Priya Joshi</v>
      </c>
      <c r="M2040" s="14">
        <f>IFERROR(__xludf.DUMMYFUNCTION("SPLIT(L2040,""*"")"),2.0)</f>
        <v>2</v>
      </c>
      <c r="N2040" s="14" t="str">
        <f>IFERROR(__xludf.DUMMYFUNCTION("""COMPUTED_VALUE"""),"Priya Joshi")</f>
        <v>Priya Joshi</v>
      </c>
      <c r="O2040" s="14" t="str">
        <f>IFERROR(__xludf.DUMMYFUNCTION("split(J2040,""*"")"),"Delivered")</f>
        <v>Delivered</v>
      </c>
      <c r="P2040" s="14" t="str">
        <f>IFERROR(__xludf.DUMMYFUNCTION("""COMPUTED_VALUE"""),"Delivery Experience: Quick and professional")</f>
        <v>Delivery Experience: Quick and professional</v>
      </c>
      <c r="Q2040" s="14" t="str">
        <f>IFERROR(__xludf.DUMMYFUNCTION("split(P2040,"":"")"),"Delivery Experience")</f>
        <v>Delivery Experience</v>
      </c>
      <c r="R2040" s="14" t="str">
        <f>IFERROR(__xludf.DUMMYFUNCTION("""COMPUTED_VALUE""")," Quick and professional")</f>
        <v> Quick and professional</v>
      </c>
      <c r="S2040" s="14" t="str">
        <f t="shared" ref="S2040:U2040" si="4083">trim(B2040)</f>
        <v>ord_82016</v>
      </c>
      <c r="T2040" s="14" t="str">
        <f t="shared" si="4083"/>
        <v>Pallavi Ghosh</v>
      </c>
      <c r="U2040" s="14" t="str">
        <f t="shared" si="4083"/>
        <v>Bandra</v>
      </c>
      <c r="V2040" s="14" t="str">
        <f t="shared" si="4"/>
        <v>Papaya</v>
      </c>
      <c r="W2040" s="14">
        <f t="shared" si="5"/>
        <v>2</v>
      </c>
      <c r="X2040" s="14" t="str">
        <f t="shared" si="6"/>
        <v>Priya Joshi</v>
      </c>
      <c r="Y2040" s="15">
        <f t="shared" si="7"/>
        <v>45101</v>
      </c>
      <c r="Z2040" s="14" t="str">
        <f t="shared" si="8"/>
        <v>COD</v>
      </c>
      <c r="AA2040" s="14" t="str">
        <f t="shared" si="9"/>
        <v>Delivered</v>
      </c>
      <c r="AB2040" s="14" t="str">
        <f t="shared" ref="AB2040:AC2040" si="4084">trim(Q2040)</f>
        <v>Delivery Experience</v>
      </c>
      <c r="AC2040" s="14" t="str">
        <f t="shared" si="4084"/>
        <v>Quick and professional</v>
      </c>
      <c r="AD2040" s="8"/>
    </row>
    <row r="2041">
      <c r="A2041" s="14" t="str">
        <f>IFERROR(__xludf.DUMMYFUNCTION("""COMPUTED_VALUE"""),"//ord_82017//Aditi Iyer//Dadar//Potato+1*Not Assigned/3/16/2023//UPI//Cancelled*Payment Issues")</f>
        <v>//ord_82017//Aditi Iyer//Dadar//Potato+1*Not Assigned/3/16/2023//UPI//Cancelled*Payment Issues</v>
      </c>
      <c r="B2041" s="14" t="str">
        <f>IFERROR(__xludf.DUMMYFUNCTION("split(A2041,""//"")"),"ord_82017")</f>
        <v>ord_82017</v>
      </c>
      <c r="C2041" s="14" t="str">
        <f>IFERROR(__xludf.DUMMYFUNCTION("""COMPUTED_VALUE"""),"Aditi Iyer")</f>
        <v>Aditi Iyer</v>
      </c>
      <c r="D2041" s="14" t="str">
        <f>IFERROR(__xludf.DUMMYFUNCTION("""COMPUTED_VALUE"""),"Dadar")</f>
        <v>Dadar</v>
      </c>
      <c r="E2041" s="14" t="str">
        <f>IFERROR(__xludf.DUMMYFUNCTION("""COMPUTED_VALUE"""),"Potato+1*Not Assigned")</f>
        <v>Potato+1*Not Assigned</v>
      </c>
      <c r="F2041" s="14">
        <f>IFERROR(__xludf.DUMMYFUNCTION("""COMPUTED_VALUE"""),3.0)</f>
        <v>3</v>
      </c>
      <c r="G2041" s="14">
        <f>IFERROR(__xludf.DUMMYFUNCTION("""COMPUTED_VALUE"""),16.0)</f>
        <v>16</v>
      </c>
      <c r="H2041" s="14">
        <f>IFERROR(__xludf.DUMMYFUNCTION("""COMPUTED_VALUE"""),2023.0)</f>
        <v>2023</v>
      </c>
      <c r="I2041" s="14" t="str">
        <f>IFERROR(__xludf.DUMMYFUNCTION("""COMPUTED_VALUE"""),"UPI")</f>
        <v>UPI</v>
      </c>
      <c r="J2041" s="14" t="str">
        <f>IFERROR(__xludf.DUMMYFUNCTION("""COMPUTED_VALUE"""),"Cancelled*Payment Issues")</f>
        <v>Cancelled*Payment Issues</v>
      </c>
      <c r="K2041" s="14" t="str">
        <f>IFERROR(__xludf.DUMMYFUNCTION("split(E2041,""+"")"),"Potato")</f>
        <v>Potato</v>
      </c>
      <c r="L2041" s="14" t="str">
        <f>IFERROR(__xludf.DUMMYFUNCTION("""COMPUTED_VALUE"""),"1*Not Assigned")</f>
        <v>1*Not Assigned</v>
      </c>
      <c r="M2041" s="14">
        <f>IFERROR(__xludf.DUMMYFUNCTION("SPLIT(L2041,""*"")"),1.0)</f>
        <v>1</v>
      </c>
      <c r="N2041" s="14" t="str">
        <f>IFERROR(__xludf.DUMMYFUNCTION("""COMPUTED_VALUE"""),"Not Assigned")</f>
        <v>Not Assigned</v>
      </c>
      <c r="O2041" s="14" t="str">
        <f>IFERROR(__xludf.DUMMYFUNCTION("split(J2041,""*"")"),"Cancelled")</f>
        <v>Cancelled</v>
      </c>
      <c r="P2041" s="14" t="str">
        <f>IFERROR(__xludf.DUMMYFUNCTION("""COMPUTED_VALUE"""),"Payment Issues")</f>
        <v>Payment Issues</v>
      </c>
      <c r="Q2041" s="14" t="str">
        <f>IFERROR(__xludf.DUMMYFUNCTION("split(P2041,"":"")"),"Payment Issues")</f>
        <v>Payment Issues</v>
      </c>
      <c r="R2041" s="14"/>
      <c r="S2041" s="14" t="str">
        <f t="shared" ref="S2041:U2041" si="4085">trim(B2041)</f>
        <v>ord_82017</v>
      </c>
      <c r="T2041" s="14" t="str">
        <f t="shared" si="4085"/>
        <v>Aditi Iyer</v>
      </c>
      <c r="U2041" s="14" t="str">
        <f t="shared" si="4085"/>
        <v>Dadar</v>
      </c>
      <c r="V2041" s="14" t="str">
        <f t="shared" si="4"/>
        <v>Potato</v>
      </c>
      <c r="W2041" s="14">
        <f t="shared" si="5"/>
        <v>1</v>
      </c>
      <c r="X2041" s="14" t="str">
        <f t="shared" si="6"/>
        <v>Not Assigned</v>
      </c>
      <c r="Y2041" s="15">
        <f t="shared" si="7"/>
        <v>45001</v>
      </c>
      <c r="Z2041" s="14" t="str">
        <f t="shared" si="8"/>
        <v>UPI</v>
      </c>
      <c r="AA2041" s="14" t="str">
        <f t="shared" si="9"/>
        <v>Cancelled</v>
      </c>
      <c r="AB2041" s="14" t="str">
        <f t="shared" ref="AB2041:AC2041" si="4086">trim(Q2041)</f>
        <v>Payment Issues</v>
      </c>
      <c r="AC2041" s="14" t="str">
        <f t="shared" si="4086"/>
        <v/>
      </c>
      <c r="AD2041" s="8"/>
    </row>
    <row r="2042">
      <c r="A2042" s="14" t="str">
        <f>IFERROR(__xludf.DUMMYFUNCTION("""COMPUTED_VALUE"""),"//ord_82018//Sakshi Tandon//Colaba//Juice+1*Manju Ajay/10/13/2023//Credit Card//Cancelled*Delayed Delivery:Incorrect Address or Location")</f>
        <v>//ord_82018//Sakshi Tandon//Colaba//Juice+1*Manju Ajay/10/13/2023//Credit Card//Cancelled*Delayed Delivery:Incorrect Address or Location</v>
      </c>
      <c r="B2042" s="14" t="str">
        <f>IFERROR(__xludf.DUMMYFUNCTION("split(A2042,""//"")"),"ord_82018")</f>
        <v>ord_82018</v>
      </c>
      <c r="C2042" s="14" t="str">
        <f>IFERROR(__xludf.DUMMYFUNCTION("""COMPUTED_VALUE"""),"Sakshi Tandon")</f>
        <v>Sakshi Tandon</v>
      </c>
      <c r="D2042" s="14" t="str">
        <f>IFERROR(__xludf.DUMMYFUNCTION("""COMPUTED_VALUE"""),"Colaba")</f>
        <v>Colaba</v>
      </c>
      <c r="E2042" s="14" t="str">
        <f>IFERROR(__xludf.DUMMYFUNCTION("""COMPUTED_VALUE"""),"Juice+1*Manju Ajay")</f>
        <v>Juice+1*Manju Ajay</v>
      </c>
      <c r="F2042" s="14">
        <f>IFERROR(__xludf.DUMMYFUNCTION("""COMPUTED_VALUE"""),10.0)</f>
        <v>10</v>
      </c>
      <c r="G2042" s="14">
        <f>IFERROR(__xludf.DUMMYFUNCTION("""COMPUTED_VALUE"""),13.0)</f>
        <v>13</v>
      </c>
      <c r="H2042" s="14">
        <f>IFERROR(__xludf.DUMMYFUNCTION("""COMPUTED_VALUE"""),2023.0)</f>
        <v>2023</v>
      </c>
      <c r="I2042" s="14" t="str">
        <f>IFERROR(__xludf.DUMMYFUNCTION("""COMPUTED_VALUE"""),"Credit Card")</f>
        <v>Credit Card</v>
      </c>
      <c r="J2042" s="14" t="str">
        <f>IFERROR(__xludf.DUMMYFUNCTION("""COMPUTED_VALUE"""),"Cancelled*Delayed Delivery:Incorrect Address or Location")</f>
        <v>Cancelled*Delayed Delivery:Incorrect Address or Location</v>
      </c>
      <c r="K2042" s="14" t="str">
        <f>IFERROR(__xludf.DUMMYFUNCTION("split(E2042,""+"")"),"Juice")</f>
        <v>Juice</v>
      </c>
      <c r="L2042" s="14" t="str">
        <f>IFERROR(__xludf.DUMMYFUNCTION("""COMPUTED_VALUE"""),"1*Manju Ajay")</f>
        <v>1*Manju Ajay</v>
      </c>
      <c r="M2042" s="14">
        <f>IFERROR(__xludf.DUMMYFUNCTION("SPLIT(L2042,""*"")"),1.0)</f>
        <v>1</v>
      </c>
      <c r="N2042" s="14" t="str">
        <f>IFERROR(__xludf.DUMMYFUNCTION("""COMPUTED_VALUE"""),"Manju Ajay")</f>
        <v>Manju Ajay</v>
      </c>
      <c r="O2042" s="14" t="str">
        <f>IFERROR(__xludf.DUMMYFUNCTION("split(J2042,""*"")"),"Cancelled")</f>
        <v>Cancelled</v>
      </c>
      <c r="P2042" s="14" t="str">
        <f>IFERROR(__xludf.DUMMYFUNCTION("""COMPUTED_VALUE"""),"Delayed Delivery:Incorrect Address or Location")</f>
        <v>Delayed Delivery:Incorrect Address or Location</v>
      </c>
      <c r="Q2042" s="14" t="str">
        <f>IFERROR(__xludf.DUMMYFUNCTION("split(P2042,"":"")"),"Delayed Delivery")</f>
        <v>Delayed Delivery</v>
      </c>
      <c r="R2042" s="14" t="str">
        <f>IFERROR(__xludf.DUMMYFUNCTION("""COMPUTED_VALUE"""),"Incorrect Address or Location")</f>
        <v>Incorrect Address or Location</v>
      </c>
      <c r="S2042" s="14" t="str">
        <f t="shared" ref="S2042:U2042" si="4087">trim(B2042)</f>
        <v>ord_82018</v>
      </c>
      <c r="T2042" s="14" t="str">
        <f t="shared" si="4087"/>
        <v>Sakshi Tandon</v>
      </c>
      <c r="U2042" s="14" t="str">
        <f t="shared" si="4087"/>
        <v>Colaba</v>
      </c>
      <c r="V2042" s="14" t="str">
        <f t="shared" si="4"/>
        <v>Juice</v>
      </c>
      <c r="W2042" s="14">
        <f t="shared" si="5"/>
        <v>1</v>
      </c>
      <c r="X2042" s="14" t="str">
        <f t="shared" si="6"/>
        <v>Manju Ajay</v>
      </c>
      <c r="Y2042" s="15">
        <f t="shared" si="7"/>
        <v>45212</v>
      </c>
      <c r="Z2042" s="14" t="str">
        <f t="shared" si="8"/>
        <v>Credit Card</v>
      </c>
      <c r="AA2042" s="14" t="str">
        <f t="shared" si="9"/>
        <v>Cancelled</v>
      </c>
      <c r="AB2042" s="14" t="str">
        <f t="shared" ref="AB2042:AC2042" si="4088">trim(Q2042)</f>
        <v>Delayed Delivery</v>
      </c>
      <c r="AC2042" s="14" t="str">
        <f t="shared" si="4088"/>
        <v>Incorrect Address or Location</v>
      </c>
      <c r="AD2042" s="8"/>
    </row>
    <row r="2043">
      <c r="A2043" s="14" t="str">
        <f>IFERROR(__xludf.DUMMYFUNCTION("""COMPUTED_VALUE"""),"//ord_82019//Omkar Mishra//Powai//Cold Coffee+5*Nithin Lal/2/2/2023//Credit Card//Delivered*Convenience: Easy tracking")</f>
        <v>//ord_82019//Omkar Mishra//Powai//Cold Coffee+5*Nithin Lal/2/2/2023//Credit Card//Delivered*Convenience: Easy tracking</v>
      </c>
      <c r="B2043" s="14" t="str">
        <f>IFERROR(__xludf.DUMMYFUNCTION("split(A2043,""//"")"),"ord_82019")</f>
        <v>ord_82019</v>
      </c>
      <c r="C2043" s="14" t="str">
        <f>IFERROR(__xludf.DUMMYFUNCTION("""COMPUTED_VALUE"""),"Omkar Mishra")</f>
        <v>Omkar Mishra</v>
      </c>
      <c r="D2043" s="14" t="str">
        <f>IFERROR(__xludf.DUMMYFUNCTION("""COMPUTED_VALUE"""),"Powai")</f>
        <v>Powai</v>
      </c>
      <c r="E2043" s="14" t="str">
        <f>IFERROR(__xludf.DUMMYFUNCTION("""COMPUTED_VALUE"""),"Cold Coffee+5*Nithin Lal")</f>
        <v>Cold Coffee+5*Nithin Lal</v>
      </c>
      <c r="F2043" s="14">
        <f>IFERROR(__xludf.DUMMYFUNCTION("""COMPUTED_VALUE"""),2.0)</f>
        <v>2</v>
      </c>
      <c r="G2043" s="14">
        <f>IFERROR(__xludf.DUMMYFUNCTION("""COMPUTED_VALUE"""),2.0)</f>
        <v>2</v>
      </c>
      <c r="H2043" s="14">
        <f>IFERROR(__xludf.DUMMYFUNCTION("""COMPUTED_VALUE"""),2023.0)</f>
        <v>2023</v>
      </c>
      <c r="I2043" s="14" t="str">
        <f>IFERROR(__xludf.DUMMYFUNCTION("""COMPUTED_VALUE"""),"Credit Card")</f>
        <v>Credit Card</v>
      </c>
      <c r="J2043" s="14" t="str">
        <f>IFERROR(__xludf.DUMMYFUNCTION("""COMPUTED_VALUE"""),"Delivered*Convenience: Easy tracking")</f>
        <v>Delivered*Convenience: Easy tracking</v>
      </c>
      <c r="K2043" s="14" t="str">
        <f>IFERROR(__xludf.DUMMYFUNCTION("split(E2043,""+"")"),"Cold Coffee")</f>
        <v>Cold Coffee</v>
      </c>
      <c r="L2043" s="14" t="str">
        <f>IFERROR(__xludf.DUMMYFUNCTION("""COMPUTED_VALUE"""),"5*Nithin Lal")</f>
        <v>5*Nithin Lal</v>
      </c>
      <c r="M2043" s="14">
        <f>IFERROR(__xludf.DUMMYFUNCTION("SPLIT(L2043,""*"")"),5.0)</f>
        <v>5</v>
      </c>
      <c r="N2043" s="14" t="str">
        <f>IFERROR(__xludf.DUMMYFUNCTION("""COMPUTED_VALUE"""),"Nithin Lal")</f>
        <v>Nithin Lal</v>
      </c>
      <c r="O2043" s="14" t="str">
        <f>IFERROR(__xludf.DUMMYFUNCTION("split(J2043,""*"")"),"Delivered")</f>
        <v>Delivered</v>
      </c>
      <c r="P2043" s="14" t="str">
        <f>IFERROR(__xludf.DUMMYFUNCTION("""COMPUTED_VALUE"""),"Convenience: Easy tracking")</f>
        <v>Convenience: Easy tracking</v>
      </c>
      <c r="Q2043" s="14" t="str">
        <f>IFERROR(__xludf.DUMMYFUNCTION("split(P2043,"":"")"),"Convenience")</f>
        <v>Convenience</v>
      </c>
      <c r="R2043" s="14" t="str">
        <f>IFERROR(__xludf.DUMMYFUNCTION("""COMPUTED_VALUE""")," Easy tracking")</f>
        <v> Easy tracking</v>
      </c>
      <c r="S2043" s="14" t="str">
        <f t="shared" ref="S2043:U2043" si="4089">trim(B2043)</f>
        <v>ord_82019</v>
      </c>
      <c r="T2043" s="14" t="str">
        <f t="shared" si="4089"/>
        <v>Omkar Mishra</v>
      </c>
      <c r="U2043" s="14" t="str">
        <f t="shared" si="4089"/>
        <v>Powai</v>
      </c>
      <c r="V2043" s="14" t="str">
        <f t="shared" si="4"/>
        <v>Cold Coffee</v>
      </c>
      <c r="W2043" s="14">
        <f t="shared" si="5"/>
        <v>5</v>
      </c>
      <c r="X2043" s="14" t="str">
        <f t="shared" si="6"/>
        <v>Nithin Lal</v>
      </c>
      <c r="Y2043" s="15">
        <f t="shared" si="7"/>
        <v>44959</v>
      </c>
      <c r="Z2043" s="14" t="str">
        <f t="shared" si="8"/>
        <v>Credit Card</v>
      </c>
      <c r="AA2043" s="14" t="str">
        <f t="shared" si="9"/>
        <v>Delivered</v>
      </c>
      <c r="AB2043" s="14" t="str">
        <f t="shared" ref="AB2043:AC2043" si="4090">trim(Q2043)</f>
        <v>Convenience</v>
      </c>
      <c r="AC2043" s="14" t="str">
        <f t="shared" si="4090"/>
        <v>Easy tracking</v>
      </c>
      <c r="AD2043" s="8"/>
    </row>
    <row r="2044">
      <c r="A2044" s="14" t="str">
        <f>IFERROR(__xludf.DUMMYFUNCTION("""COMPUTED_VALUE"""),"//ord_82020//Arvind Kulkarni//Juhu//Icecream+3*Venu R/9/23/2023//COD//Delivered*Overall Satisfaction: Great service will order again")</f>
        <v>//ord_82020//Arvind Kulkarni//Juhu//Icecream+3*Venu R/9/23/2023//COD//Delivered*Overall Satisfaction: Great service will order again</v>
      </c>
      <c r="B2044" s="14" t="str">
        <f>IFERROR(__xludf.DUMMYFUNCTION("split(A2044,""//"")"),"ord_82020")</f>
        <v>ord_82020</v>
      </c>
      <c r="C2044" s="14" t="str">
        <f>IFERROR(__xludf.DUMMYFUNCTION("""COMPUTED_VALUE"""),"Arvind Kulkarni")</f>
        <v>Arvind Kulkarni</v>
      </c>
      <c r="D2044" s="14" t="str">
        <f>IFERROR(__xludf.DUMMYFUNCTION("""COMPUTED_VALUE"""),"Juhu")</f>
        <v>Juhu</v>
      </c>
      <c r="E2044" s="14" t="str">
        <f>IFERROR(__xludf.DUMMYFUNCTION("""COMPUTED_VALUE"""),"Icecream+3*Venu R")</f>
        <v>Icecream+3*Venu R</v>
      </c>
      <c r="F2044" s="14">
        <f>IFERROR(__xludf.DUMMYFUNCTION("""COMPUTED_VALUE"""),9.0)</f>
        <v>9</v>
      </c>
      <c r="G2044" s="14">
        <f>IFERROR(__xludf.DUMMYFUNCTION("""COMPUTED_VALUE"""),23.0)</f>
        <v>23</v>
      </c>
      <c r="H2044" s="14">
        <f>IFERROR(__xludf.DUMMYFUNCTION("""COMPUTED_VALUE"""),2023.0)</f>
        <v>2023</v>
      </c>
      <c r="I2044" s="14" t="str">
        <f>IFERROR(__xludf.DUMMYFUNCTION("""COMPUTED_VALUE"""),"COD")</f>
        <v>COD</v>
      </c>
      <c r="J2044" s="14" t="str">
        <f>IFERROR(__xludf.DUMMYFUNCTION("""COMPUTED_VALUE"""),"Delivered*Overall Satisfaction: Great service will order again")</f>
        <v>Delivered*Overall Satisfaction: Great service will order again</v>
      </c>
      <c r="K2044" s="14" t="str">
        <f>IFERROR(__xludf.DUMMYFUNCTION("split(E2044,""+"")"),"Icecream")</f>
        <v>Icecream</v>
      </c>
      <c r="L2044" s="14" t="str">
        <f>IFERROR(__xludf.DUMMYFUNCTION("""COMPUTED_VALUE"""),"3*Venu R")</f>
        <v>3*Venu R</v>
      </c>
      <c r="M2044" s="14">
        <f>IFERROR(__xludf.DUMMYFUNCTION("SPLIT(L2044,""*"")"),3.0)</f>
        <v>3</v>
      </c>
      <c r="N2044" s="14" t="str">
        <f>IFERROR(__xludf.DUMMYFUNCTION("""COMPUTED_VALUE"""),"Venu R")</f>
        <v>Venu R</v>
      </c>
      <c r="O2044" s="14" t="str">
        <f>IFERROR(__xludf.DUMMYFUNCTION("split(J2044,""*"")"),"Delivered")</f>
        <v>Delivered</v>
      </c>
      <c r="P2044" s="14" t="str">
        <f>IFERROR(__xludf.DUMMYFUNCTION("""COMPUTED_VALUE"""),"Overall Satisfaction: Great service will order again")</f>
        <v>Overall Satisfaction: Great service will order again</v>
      </c>
      <c r="Q2044" s="14" t="str">
        <f>IFERROR(__xludf.DUMMYFUNCTION("split(P2044,"":"")"),"Overall Satisfaction")</f>
        <v>Overall Satisfaction</v>
      </c>
      <c r="R2044" s="14" t="str">
        <f>IFERROR(__xludf.DUMMYFUNCTION("""COMPUTED_VALUE""")," Great service will order again")</f>
        <v> Great service will order again</v>
      </c>
      <c r="S2044" s="14" t="str">
        <f t="shared" ref="S2044:U2044" si="4091">trim(B2044)</f>
        <v>ord_82020</v>
      </c>
      <c r="T2044" s="14" t="str">
        <f t="shared" si="4091"/>
        <v>Arvind Kulkarni</v>
      </c>
      <c r="U2044" s="14" t="str">
        <f t="shared" si="4091"/>
        <v>Juhu</v>
      </c>
      <c r="V2044" s="14" t="str">
        <f t="shared" si="4"/>
        <v>Icecream</v>
      </c>
      <c r="W2044" s="14">
        <f t="shared" si="5"/>
        <v>3</v>
      </c>
      <c r="X2044" s="14" t="str">
        <f t="shared" si="6"/>
        <v>Venu R</v>
      </c>
      <c r="Y2044" s="15">
        <f t="shared" si="7"/>
        <v>45192</v>
      </c>
      <c r="Z2044" s="14" t="str">
        <f t="shared" si="8"/>
        <v>COD</v>
      </c>
      <c r="AA2044" s="14" t="str">
        <f t="shared" si="9"/>
        <v>Delivered</v>
      </c>
      <c r="AB2044" s="14" t="str">
        <f t="shared" ref="AB2044:AC2044" si="4092">trim(Q2044)</f>
        <v>Overall Satisfaction</v>
      </c>
      <c r="AC2044" s="14" t="str">
        <f t="shared" si="4092"/>
        <v>Great service will order again</v>
      </c>
      <c r="AD2044" s="8"/>
    </row>
    <row r="2045">
      <c r="A2045" s="14" t="str">
        <f>IFERROR(__xludf.DUMMYFUNCTION("""COMPUTED_VALUE"""),"//ord_82021//Pallavi Ghosh//Bandra//Chilli Cheese Toast+4*Tanvi Jain/6/12/2023//Credit Card//Cancelled*Delayed Delivery:Bad Weather Conditions ")</f>
        <v>//ord_82021//Pallavi Ghosh//Bandra//Chilli Cheese Toast+4*Tanvi Jain/6/12/2023//Credit Card//Cancelled*Delayed Delivery:Bad Weather Conditions </v>
      </c>
      <c r="B2045" s="14" t="str">
        <f>IFERROR(__xludf.DUMMYFUNCTION("split(A2045,""//"")"),"ord_82021")</f>
        <v>ord_82021</v>
      </c>
      <c r="C2045" s="14" t="str">
        <f>IFERROR(__xludf.DUMMYFUNCTION("""COMPUTED_VALUE"""),"Pallavi Ghosh")</f>
        <v>Pallavi Ghosh</v>
      </c>
      <c r="D2045" s="14" t="str">
        <f>IFERROR(__xludf.DUMMYFUNCTION("""COMPUTED_VALUE"""),"Bandra")</f>
        <v>Bandra</v>
      </c>
      <c r="E2045" s="14" t="str">
        <f>IFERROR(__xludf.DUMMYFUNCTION("""COMPUTED_VALUE"""),"Chilli Cheese Toast+4*Tanvi Jain")</f>
        <v>Chilli Cheese Toast+4*Tanvi Jain</v>
      </c>
      <c r="F2045" s="14">
        <f>IFERROR(__xludf.DUMMYFUNCTION("""COMPUTED_VALUE"""),6.0)</f>
        <v>6</v>
      </c>
      <c r="G2045" s="14">
        <f>IFERROR(__xludf.DUMMYFUNCTION("""COMPUTED_VALUE"""),12.0)</f>
        <v>12</v>
      </c>
      <c r="H2045" s="14">
        <f>IFERROR(__xludf.DUMMYFUNCTION("""COMPUTED_VALUE"""),2023.0)</f>
        <v>2023</v>
      </c>
      <c r="I2045" s="14" t="str">
        <f>IFERROR(__xludf.DUMMYFUNCTION("""COMPUTED_VALUE"""),"Credit Card")</f>
        <v>Credit Card</v>
      </c>
      <c r="J2045" s="14" t="str">
        <f>IFERROR(__xludf.DUMMYFUNCTION("""COMPUTED_VALUE"""),"Cancelled*Delayed Delivery:Bad Weather Conditions ")</f>
        <v>Cancelled*Delayed Delivery:Bad Weather Conditions </v>
      </c>
      <c r="K2045" s="14" t="str">
        <f>IFERROR(__xludf.DUMMYFUNCTION("split(E2045,""+"")"),"Chilli Cheese Toast")</f>
        <v>Chilli Cheese Toast</v>
      </c>
      <c r="L2045" s="14" t="str">
        <f>IFERROR(__xludf.DUMMYFUNCTION("""COMPUTED_VALUE"""),"4*Tanvi Jain")</f>
        <v>4*Tanvi Jain</v>
      </c>
      <c r="M2045" s="14">
        <f>IFERROR(__xludf.DUMMYFUNCTION("SPLIT(L2045,""*"")"),4.0)</f>
        <v>4</v>
      </c>
      <c r="N2045" s="14" t="str">
        <f>IFERROR(__xludf.DUMMYFUNCTION("""COMPUTED_VALUE"""),"Tanvi Jain")</f>
        <v>Tanvi Jain</v>
      </c>
      <c r="O2045" s="14" t="str">
        <f>IFERROR(__xludf.DUMMYFUNCTION("split(J2045,""*"")"),"Cancelled")</f>
        <v>Cancelled</v>
      </c>
      <c r="P2045" s="14" t="str">
        <f>IFERROR(__xludf.DUMMYFUNCTION("""COMPUTED_VALUE"""),"Delayed Delivery:Bad Weather Conditions ")</f>
        <v>Delayed Delivery:Bad Weather Conditions </v>
      </c>
      <c r="Q2045" s="14" t="str">
        <f>IFERROR(__xludf.DUMMYFUNCTION("split(P2045,"":"")"),"Delayed Delivery")</f>
        <v>Delayed Delivery</v>
      </c>
      <c r="R2045" s="14" t="str">
        <f>IFERROR(__xludf.DUMMYFUNCTION("""COMPUTED_VALUE"""),"Bad Weather Conditions ")</f>
        <v>Bad Weather Conditions </v>
      </c>
      <c r="S2045" s="14" t="str">
        <f t="shared" ref="S2045:U2045" si="4093">trim(B2045)</f>
        <v>ord_82021</v>
      </c>
      <c r="T2045" s="14" t="str">
        <f t="shared" si="4093"/>
        <v>Pallavi Ghosh</v>
      </c>
      <c r="U2045" s="14" t="str">
        <f t="shared" si="4093"/>
        <v>Bandra</v>
      </c>
      <c r="V2045" s="14" t="str">
        <f t="shared" si="4"/>
        <v>Chilli Cheese Toast</v>
      </c>
      <c r="W2045" s="14">
        <f t="shared" si="5"/>
        <v>4</v>
      </c>
      <c r="X2045" s="14" t="str">
        <f t="shared" si="6"/>
        <v>Tanvi Jain</v>
      </c>
      <c r="Y2045" s="15">
        <f t="shared" si="7"/>
        <v>45089</v>
      </c>
      <c r="Z2045" s="14" t="str">
        <f t="shared" si="8"/>
        <v>Credit Card</v>
      </c>
      <c r="AA2045" s="14" t="str">
        <f t="shared" si="9"/>
        <v>Cancelled</v>
      </c>
      <c r="AB2045" s="14" t="str">
        <f t="shared" ref="AB2045:AC2045" si="4094">trim(Q2045)</f>
        <v>Delayed Delivery</v>
      </c>
      <c r="AC2045" s="14" t="str">
        <f t="shared" si="4094"/>
        <v>Bad Weather Conditions</v>
      </c>
      <c r="AD2045" s="8"/>
    </row>
    <row r="2046">
      <c r="A2046" s="14" t="str">
        <f>IFERROR(__xludf.DUMMYFUNCTION("""COMPUTED_VALUE"""),"//ord_82022//Siya Reddy//Juhu//Guava+2*Vivek Kumar/1/12/2023//Credit Card//Delivered*On-time Delivery: Delivered on time")</f>
        <v>//ord_82022//Siya Reddy//Juhu//Guava+2*Vivek Kumar/1/12/2023//Credit Card//Delivered*On-time Delivery: Delivered on time</v>
      </c>
      <c r="B2046" s="14" t="str">
        <f>IFERROR(__xludf.DUMMYFUNCTION("split(A2046,""//"")"),"ord_82022")</f>
        <v>ord_82022</v>
      </c>
      <c r="C2046" s="14" t="str">
        <f>IFERROR(__xludf.DUMMYFUNCTION("""COMPUTED_VALUE"""),"Siya Reddy")</f>
        <v>Siya Reddy</v>
      </c>
      <c r="D2046" s="14" t="str">
        <f>IFERROR(__xludf.DUMMYFUNCTION("""COMPUTED_VALUE"""),"Juhu")</f>
        <v>Juhu</v>
      </c>
      <c r="E2046" s="14" t="str">
        <f>IFERROR(__xludf.DUMMYFUNCTION("""COMPUTED_VALUE"""),"Guava+2*Vivek Kumar")</f>
        <v>Guava+2*Vivek Kumar</v>
      </c>
      <c r="F2046" s="14">
        <f>IFERROR(__xludf.DUMMYFUNCTION("""COMPUTED_VALUE"""),1.0)</f>
        <v>1</v>
      </c>
      <c r="G2046" s="14">
        <f>IFERROR(__xludf.DUMMYFUNCTION("""COMPUTED_VALUE"""),12.0)</f>
        <v>12</v>
      </c>
      <c r="H2046" s="14">
        <f>IFERROR(__xludf.DUMMYFUNCTION("""COMPUTED_VALUE"""),2023.0)</f>
        <v>2023</v>
      </c>
      <c r="I2046" s="14" t="str">
        <f>IFERROR(__xludf.DUMMYFUNCTION("""COMPUTED_VALUE"""),"Credit Card")</f>
        <v>Credit Card</v>
      </c>
      <c r="J2046" s="14" t="str">
        <f>IFERROR(__xludf.DUMMYFUNCTION("""COMPUTED_VALUE"""),"Delivered*On-time Delivery: Delivered on time")</f>
        <v>Delivered*On-time Delivery: Delivered on time</v>
      </c>
      <c r="K2046" s="14" t="str">
        <f>IFERROR(__xludf.DUMMYFUNCTION("split(E2046,""+"")"),"Guava")</f>
        <v>Guava</v>
      </c>
      <c r="L2046" s="14" t="str">
        <f>IFERROR(__xludf.DUMMYFUNCTION("""COMPUTED_VALUE"""),"2*Vivek Kumar")</f>
        <v>2*Vivek Kumar</v>
      </c>
      <c r="M2046" s="14">
        <f>IFERROR(__xludf.DUMMYFUNCTION("SPLIT(L2046,""*"")"),2.0)</f>
        <v>2</v>
      </c>
      <c r="N2046" s="14" t="str">
        <f>IFERROR(__xludf.DUMMYFUNCTION("""COMPUTED_VALUE"""),"Vivek Kumar")</f>
        <v>Vivek Kumar</v>
      </c>
      <c r="O2046" s="14" t="str">
        <f>IFERROR(__xludf.DUMMYFUNCTION("split(J2046,""*"")"),"Delivered")</f>
        <v>Delivered</v>
      </c>
      <c r="P2046" s="14" t="str">
        <f>IFERROR(__xludf.DUMMYFUNCTION("""COMPUTED_VALUE"""),"On-time Delivery: Delivered on time")</f>
        <v>On-time Delivery: Delivered on time</v>
      </c>
      <c r="Q2046" s="14" t="str">
        <f>IFERROR(__xludf.DUMMYFUNCTION("split(P2046,"":"")"),"On-time Delivery")</f>
        <v>On-time Delivery</v>
      </c>
      <c r="R2046" s="14" t="str">
        <f>IFERROR(__xludf.DUMMYFUNCTION("""COMPUTED_VALUE""")," Delivered on time")</f>
        <v> Delivered on time</v>
      </c>
      <c r="S2046" s="14" t="str">
        <f t="shared" ref="S2046:U2046" si="4095">trim(B2046)</f>
        <v>ord_82022</v>
      </c>
      <c r="T2046" s="14" t="str">
        <f t="shared" si="4095"/>
        <v>Siya Reddy</v>
      </c>
      <c r="U2046" s="14" t="str">
        <f t="shared" si="4095"/>
        <v>Juhu</v>
      </c>
      <c r="V2046" s="14" t="str">
        <f t="shared" si="4"/>
        <v>Guava</v>
      </c>
      <c r="W2046" s="14">
        <f t="shared" si="5"/>
        <v>2</v>
      </c>
      <c r="X2046" s="14" t="str">
        <f t="shared" si="6"/>
        <v>Vivek Kumar</v>
      </c>
      <c r="Y2046" s="15">
        <f t="shared" si="7"/>
        <v>44938</v>
      </c>
      <c r="Z2046" s="14" t="str">
        <f t="shared" si="8"/>
        <v>Credit Card</v>
      </c>
      <c r="AA2046" s="14" t="str">
        <f t="shared" si="9"/>
        <v>Delivered</v>
      </c>
      <c r="AB2046" s="14" t="str">
        <f t="shared" ref="AB2046:AC2046" si="4096">trim(Q2046)</f>
        <v>On-time Delivery</v>
      </c>
      <c r="AC2046" s="14" t="str">
        <f t="shared" si="4096"/>
        <v>Delivered on time</v>
      </c>
      <c r="AD2046" s="8"/>
    </row>
    <row r="2047">
      <c r="A2047" s="14" t="str">
        <f>IFERROR(__xludf.DUMMYFUNCTION("""COMPUTED_VALUE"""),"//ord_82023//Ishaan Chaturvedi//Bandra//Chocolate Mousse+2*Ramesh S/12/6/2023//UPI//Delivered*Quality of Items: Perfect condition")</f>
        <v>//ord_82023//Ishaan Chaturvedi//Bandra//Chocolate Mousse+2*Ramesh S/12/6/2023//UPI//Delivered*Quality of Items: Perfect condition</v>
      </c>
      <c r="B2047" s="14" t="str">
        <f>IFERROR(__xludf.DUMMYFUNCTION("split(A2047,""//"")"),"ord_82023")</f>
        <v>ord_82023</v>
      </c>
      <c r="C2047" s="14" t="str">
        <f>IFERROR(__xludf.DUMMYFUNCTION("""COMPUTED_VALUE"""),"Ishaan Chaturvedi")</f>
        <v>Ishaan Chaturvedi</v>
      </c>
      <c r="D2047" s="14" t="str">
        <f>IFERROR(__xludf.DUMMYFUNCTION("""COMPUTED_VALUE"""),"Bandra")</f>
        <v>Bandra</v>
      </c>
      <c r="E2047" s="14" t="str">
        <f>IFERROR(__xludf.DUMMYFUNCTION("""COMPUTED_VALUE"""),"Chocolate Mousse+2*Ramesh S")</f>
        <v>Chocolate Mousse+2*Ramesh S</v>
      </c>
      <c r="F2047" s="14">
        <f>IFERROR(__xludf.DUMMYFUNCTION("""COMPUTED_VALUE"""),12.0)</f>
        <v>12</v>
      </c>
      <c r="G2047" s="14">
        <f>IFERROR(__xludf.DUMMYFUNCTION("""COMPUTED_VALUE"""),6.0)</f>
        <v>6</v>
      </c>
      <c r="H2047" s="14">
        <f>IFERROR(__xludf.DUMMYFUNCTION("""COMPUTED_VALUE"""),2023.0)</f>
        <v>2023</v>
      </c>
      <c r="I2047" s="14" t="str">
        <f>IFERROR(__xludf.DUMMYFUNCTION("""COMPUTED_VALUE"""),"UPI")</f>
        <v>UPI</v>
      </c>
      <c r="J2047" s="14" t="str">
        <f>IFERROR(__xludf.DUMMYFUNCTION("""COMPUTED_VALUE"""),"Delivered*Quality of Items: Perfect condition")</f>
        <v>Delivered*Quality of Items: Perfect condition</v>
      </c>
      <c r="K2047" s="14" t="str">
        <f>IFERROR(__xludf.DUMMYFUNCTION("split(E2047,""+"")"),"Chocolate Mousse")</f>
        <v>Chocolate Mousse</v>
      </c>
      <c r="L2047" s="14" t="str">
        <f>IFERROR(__xludf.DUMMYFUNCTION("""COMPUTED_VALUE"""),"2*Ramesh S")</f>
        <v>2*Ramesh S</v>
      </c>
      <c r="M2047" s="14">
        <f>IFERROR(__xludf.DUMMYFUNCTION("SPLIT(L2047,""*"")"),2.0)</f>
        <v>2</v>
      </c>
      <c r="N2047" s="14" t="str">
        <f>IFERROR(__xludf.DUMMYFUNCTION("""COMPUTED_VALUE"""),"Ramesh S")</f>
        <v>Ramesh S</v>
      </c>
      <c r="O2047" s="14" t="str">
        <f>IFERROR(__xludf.DUMMYFUNCTION("split(J2047,""*"")"),"Delivered")</f>
        <v>Delivered</v>
      </c>
      <c r="P2047" s="14" t="str">
        <f>IFERROR(__xludf.DUMMYFUNCTION("""COMPUTED_VALUE"""),"Quality of Items: Perfect condition")</f>
        <v>Quality of Items: Perfect condition</v>
      </c>
      <c r="Q2047" s="14" t="str">
        <f>IFERROR(__xludf.DUMMYFUNCTION("split(P2047,"":"")"),"Quality of Items")</f>
        <v>Quality of Items</v>
      </c>
      <c r="R2047" s="14" t="str">
        <f>IFERROR(__xludf.DUMMYFUNCTION("""COMPUTED_VALUE""")," Perfect condition")</f>
        <v> Perfect condition</v>
      </c>
      <c r="S2047" s="14" t="str">
        <f t="shared" ref="S2047:U2047" si="4097">trim(B2047)</f>
        <v>ord_82023</v>
      </c>
      <c r="T2047" s="14" t="str">
        <f t="shared" si="4097"/>
        <v>Ishaan Chaturvedi</v>
      </c>
      <c r="U2047" s="14" t="str">
        <f t="shared" si="4097"/>
        <v>Bandra</v>
      </c>
      <c r="V2047" s="14" t="str">
        <f t="shared" si="4"/>
        <v>Chocolate Mousse</v>
      </c>
      <c r="W2047" s="14">
        <f t="shared" si="5"/>
        <v>2</v>
      </c>
      <c r="X2047" s="14" t="str">
        <f t="shared" si="6"/>
        <v>Ramesh S</v>
      </c>
      <c r="Y2047" s="15">
        <f t="shared" si="7"/>
        <v>45266</v>
      </c>
      <c r="Z2047" s="14" t="str">
        <f t="shared" si="8"/>
        <v>UPI</v>
      </c>
      <c r="AA2047" s="14" t="str">
        <f t="shared" si="9"/>
        <v>Delivered</v>
      </c>
      <c r="AB2047" s="14" t="str">
        <f t="shared" ref="AB2047:AC2047" si="4098">trim(Q2047)</f>
        <v>Quality of Items</v>
      </c>
      <c r="AC2047" s="14" t="str">
        <f t="shared" si="4098"/>
        <v>Perfect condition</v>
      </c>
      <c r="AD2047" s="8"/>
    </row>
    <row r="2048">
      <c r="A2048" s="14" t="str">
        <f>IFERROR(__xludf.DUMMYFUNCTION("""COMPUTED_VALUE"""),"//ord_82024//Siya Reddy//Juhu//Guava+1*Vivek Kumar/10/19/2023//Online Payment//Delivered*On-time Delivery: Delivered on time")</f>
        <v>//ord_82024//Siya Reddy//Juhu//Guava+1*Vivek Kumar/10/19/2023//Online Payment//Delivered*On-time Delivery: Delivered on time</v>
      </c>
      <c r="B2048" s="14" t="str">
        <f>IFERROR(__xludf.DUMMYFUNCTION("split(A2048,""//"")"),"ord_82024")</f>
        <v>ord_82024</v>
      </c>
      <c r="C2048" s="14" t="str">
        <f>IFERROR(__xludf.DUMMYFUNCTION("""COMPUTED_VALUE"""),"Siya Reddy")</f>
        <v>Siya Reddy</v>
      </c>
      <c r="D2048" s="14" t="str">
        <f>IFERROR(__xludf.DUMMYFUNCTION("""COMPUTED_VALUE"""),"Juhu")</f>
        <v>Juhu</v>
      </c>
      <c r="E2048" s="14" t="str">
        <f>IFERROR(__xludf.DUMMYFUNCTION("""COMPUTED_VALUE"""),"Guava+1*Vivek Kumar")</f>
        <v>Guava+1*Vivek Kumar</v>
      </c>
      <c r="F2048" s="14">
        <f>IFERROR(__xludf.DUMMYFUNCTION("""COMPUTED_VALUE"""),10.0)</f>
        <v>10</v>
      </c>
      <c r="G2048" s="14">
        <f>IFERROR(__xludf.DUMMYFUNCTION("""COMPUTED_VALUE"""),19.0)</f>
        <v>19</v>
      </c>
      <c r="H2048" s="14">
        <f>IFERROR(__xludf.DUMMYFUNCTION("""COMPUTED_VALUE"""),2023.0)</f>
        <v>2023</v>
      </c>
      <c r="I2048" s="14" t="str">
        <f>IFERROR(__xludf.DUMMYFUNCTION("""COMPUTED_VALUE"""),"Online Payment")</f>
        <v>Online Payment</v>
      </c>
      <c r="J2048" s="14" t="str">
        <f>IFERROR(__xludf.DUMMYFUNCTION("""COMPUTED_VALUE"""),"Delivered*On-time Delivery: Delivered on time")</f>
        <v>Delivered*On-time Delivery: Delivered on time</v>
      </c>
      <c r="K2048" s="14" t="str">
        <f>IFERROR(__xludf.DUMMYFUNCTION("split(E2048,""+"")"),"Guava")</f>
        <v>Guava</v>
      </c>
      <c r="L2048" s="14" t="str">
        <f>IFERROR(__xludf.DUMMYFUNCTION("""COMPUTED_VALUE"""),"1*Vivek Kumar")</f>
        <v>1*Vivek Kumar</v>
      </c>
      <c r="M2048" s="14">
        <f>IFERROR(__xludf.DUMMYFUNCTION("SPLIT(L2048,""*"")"),1.0)</f>
        <v>1</v>
      </c>
      <c r="N2048" s="14" t="str">
        <f>IFERROR(__xludf.DUMMYFUNCTION("""COMPUTED_VALUE"""),"Vivek Kumar")</f>
        <v>Vivek Kumar</v>
      </c>
      <c r="O2048" s="14" t="str">
        <f>IFERROR(__xludf.DUMMYFUNCTION("split(J2048,""*"")"),"Delivered")</f>
        <v>Delivered</v>
      </c>
      <c r="P2048" s="14" t="str">
        <f>IFERROR(__xludf.DUMMYFUNCTION("""COMPUTED_VALUE"""),"On-time Delivery: Delivered on time")</f>
        <v>On-time Delivery: Delivered on time</v>
      </c>
      <c r="Q2048" s="14" t="str">
        <f>IFERROR(__xludf.DUMMYFUNCTION("split(P2048,"":"")"),"On-time Delivery")</f>
        <v>On-time Delivery</v>
      </c>
      <c r="R2048" s="14" t="str">
        <f>IFERROR(__xludf.DUMMYFUNCTION("""COMPUTED_VALUE""")," Delivered on time")</f>
        <v> Delivered on time</v>
      </c>
      <c r="S2048" s="14" t="str">
        <f t="shared" ref="S2048:U2048" si="4099">trim(B2048)</f>
        <v>ord_82024</v>
      </c>
      <c r="T2048" s="14" t="str">
        <f t="shared" si="4099"/>
        <v>Siya Reddy</v>
      </c>
      <c r="U2048" s="14" t="str">
        <f t="shared" si="4099"/>
        <v>Juhu</v>
      </c>
      <c r="V2048" s="14" t="str">
        <f t="shared" si="4"/>
        <v>Guava</v>
      </c>
      <c r="W2048" s="14">
        <f t="shared" si="5"/>
        <v>1</v>
      </c>
      <c r="X2048" s="14" t="str">
        <f t="shared" si="6"/>
        <v>Vivek Kumar</v>
      </c>
      <c r="Y2048" s="15">
        <f t="shared" si="7"/>
        <v>45218</v>
      </c>
      <c r="Z2048" s="14" t="str">
        <f t="shared" si="8"/>
        <v>Online Payment</v>
      </c>
      <c r="AA2048" s="14" t="str">
        <f t="shared" si="9"/>
        <v>Delivered</v>
      </c>
      <c r="AB2048" s="14" t="str">
        <f t="shared" ref="AB2048:AC2048" si="4100">trim(Q2048)</f>
        <v>On-time Delivery</v>
      </c>
      <c r="AC2048" s="14" t="str">
        <f t="shared" si="4100"/>
        <v>Delivered on time</v>
      </c>
      <c r="AD2048" s="8"/>
    </row>
    <row r="2049">
      <c r="A2049" s="14" t="str">
        <f>IFERROR(__xludf.DUMMYFUNCTION("""COMPUTED_VALUE"""),"//ord_82025//Nitin Sehgal//Bandra//Chicken Puff+4*Not Assigned/7/11/2023//UPI//Cancelled*Out of Stock")</f>
        <v>//ord_82025//Nitin Sehgal//Bandra//Chicken Puff+4*Not Assigned/7/11/2023//UPI//Cancelled*Out of Stock</v>
      </c>
      <c r="B2049" s="14" t="str">
        <f>IFERROR(__xludf.DUMMYFUNCTION("split(A2049,""//"")"),"ord_82025")</f>
        <v>ord_82025</v>
      </c>
      <c r="C2049" s="14" t="str">
        <f>IFERROR(__xludf.DUMMYFUNCTION("""COMPUTED_VALUE"""),"Nitin Sehgal")</f>
        <v>Nitin Sehgal</v>
      </c>
      <c r="D2049" s="14" t="str">
        <f>IFERROR(__xludf.DUMMYFUNCTION("""COMPUTED_VALUE"""),"Bandra")</f>
        <v>Bandra</v>
      </c>
      <c r="E2049" s="14" t="str">
        <f>IFERROR(__xludf.DUMMYFUNCTION("""COMPUTED_VALUE"""),"Chicken Puff+4*Not Assigned")</f>
        <v>Chicken Puff+4*Not Assigned</v>
      </c>
      <c r="F2049" s="14">
        <f>IFERROR(__xludf.DUMMYFUNCTION("""COMPUTED_VALUE"""),7.0)</f>
        <v>7</v>
      </c>
      <c r="G2049" s="14">
        <f>IFERROR(__xludf.DUMMYFUNCTION("""COMPUTED_VALUE"""),11.0)</f>
        <v>11</v>
      </c>
      <c r="H2049" s="14">
        <f>IFERROR(__xludf.DUMMYFUNCTION("""COMPUTED_VALUE"""),2023.0)</f>
        <v>2023</v>
      </c>
      <c r="I2049" s="14" t="str">
        <f>IFERROR(__xludf.DUMMYFUNCTION("""COMPUTED_VALUE"""),"UPI")</f>
        <v>UPI</v>
      </c>
      <c r="J2049" s="14" t="str">
        <f>IFERROR(__xludf.DUMMYFUNCTION("""COMPUTED_VALUE"""),"Cancelled*Out of Stock")</f>
        <v>Cancelled*Out of Stock</v>
      </c>
      <c r="K2049" s="14" t="str">
        <f>IFERROR(__xludf.DUMMYFUNCTION("split(E2049,""+"")"),"Chicken Puff")</f>
        <v>Chicken Puff</v>
      </c>
      <c r="L2049" s="14" t="str">
        <f>IFERROR(__xludf.DUMMYFUNCTION("""COMPUTED_VALUE"""),"4*Not Assigned")</f>
        <v>4*Not Assigned</v>
      </c>
      <c r="M2049" s="14">
        <f>IFERROR(__xludf.DUMMYFUNCTION("SPLIT(L2049,""*"")"),4.0)</f>
        <v>4</v>
      </c>
      <c r="N2049" s="14" t="str">
        <f>IFERROR(__xludf.DUMMYFUNCTION("""COMPUTED_VALUE"""),"Not Assigned")</f>
        <v>Not Assigned</v>
      </c>
      <c r="O2049" s="14" t="str">
        <f>IFERROR(__xludf.DUMMYFUNCTION("split(J2049,""*"")"),"Cancelled")</f>
        <v>Cancelled</v>
      </c>
      <c r="P2049" s="14" t="str">
        <f>IFERROR(__xludf.DUMMYFUNCTION("""COMPUTED_VALUE"""),"Out of Stock")</f>
        <v>Out of Stock</v>
      </c>
      <c r="Q2049" s="14" t="str">
        <f>IFERROR(__xludf.DUMMYFUNCTION("split(P2049,"":"")"),"Out of Stock")</f>
        <v>Out of Stock</v>
      </c>
      <c r="R2049" s="14"/>
      <c r="S2049" s="14" t="str">
        <f t="shared" ref="S2049:U2049" si="4101">trim(B2049)</f>
        <v>ord_82025</v>
      </c>
      <c r="T2049" s="14" t="str">
        <f t="shared" si="4101"/>
        <v>Nitin Sehgal</v>
      </c>
      <c r="U2049" s="14" t="str">
        <f t="shared" si="4101"/>
        <v>Bandra</v>
      </c>
      <c r="V2049" s="14" t="str">
        <f t="shared" si="4"/>
        <v>Chicken Puff</v>
      </c>
      <c r="W2049" s="14">
        <f t="shared" si="5"/>
        <v>4</v>
      </c>
      <c r="X2049" s="14" t="str">
        <f t="shared" si="6"/>
        <v>Not Assigned</v>
      </c>
      <c r="Y2049" s="15">
        <f t="shared" si="7"/>
        <v>45118</v>
      </c>
      <c r="Z2049" s="14" t="str">
        <f t="shared" si="8"/>
        <v>UPI</v>
      </c>
      <c r="AA2049" s="14" t="str">
        <f t="shared" si="9"/>
        <v>Cancelled</v>
      </c>
      <c r="AB2049" s="14" t="str">
        <f t="shared" ref="AB2049:AC2049" si="4102">trim(Q2049)</f>
        <v>Out of Stock</v>
      </c>
      <c r="AC2049" s="14" t="str">
        <f t="shared" si="4102"/>
        <v/>
      </c>
      <c r="AD2049" s="8"/>
    </row>
    <row r="2050">
      <c r="A2050" s="14" t="str">
        <f>IFERROR(__xludf.DUMMYFUNCTION("""COMPUTED_VALUE"""),"//ord_82026//Ishita Banerjee//Juhu//Tiramisu+4*Vivek Kumar/8/10/2023//Credit Card//Delivered*Quality of Items: Perfect condition")</f>
        <v>//ord_82026//Ishita Banerjee//Juhu//Tiramisu+4*Vivek Kumar/8/10/2023//Credit Card//Delivered*Quality of Items: Perfect condition</v>
      </c>
      <c r="B2050" s="14" t="str">
        <f>IFERROR(__xludf.DUMMYFUNCTION("split(A2050,""//"")"),"ord_82026")</f>
        <v>ord_82026</v>
      </c>
      <c r="C2050" s="14" t="str">
        <f>IFERROR(__xludf.DUMMYFUNCTION("""COMPUTED_VALUE"""),"Ishita Banerjee")</f>
        <v>Ishita Banerjee</v>
      </c>
      <c r="D2050" s="14" t="str">
        <f>IFERROR(__xludf.DUMMYFUNCTION("""COMPUTED_VALUE"""),"Juhu")</f>
        <v>Juhu</v>
      </c>
      <c r="E2050" s="14" t="str">
        <f>IFERROR(__xludf.DUMMYFUNCTION("""COMPUTED_VALUE"""),"Tiramisu+4*Vivek Kumar")</f>
        <v>Tiramisu+4*Vivek Kumar</v>
      </c>
      <c r="F2050" s="14">
        <f>IFERROR(__xludf.DUMMYFUNCTION("""COMPUTED_VALUE"""),8.0)</f>
        <v>8</v>
      </c>
      <c r="G2050" s="14">
        <f>IFERROR(__xludf.DUMMYFUNCTION("""COMPUTED_VALUE"""),10.0)</f>
        <v>10</v>
      </c>
      <c r="H2050" s="14">
        <f>IFERROR(__xludf.DUMMYFUNCTION("""COMPUTED_VALUE"""),2023.0)</f>
        <v>2023</v>
      </c>
      <c r="I2050" s="14" t="str">
        <f>IFERROR(__xludf.DUMMYFUNCTION("""COMPUTED_VALUE"""),"Credit Card")</f>
        <v>Credit Card</v>
      </c>
      <c r="J2050" s="14" t="str">
        <f>IFERROR(__xludf.DUMMYFUNCTION("""COMPUTED_VALUE"""),"Delivered*Quality of Items: Perfect condition")</f>
        <v>Delivered*Quality of Items: Perfect condition</v>
      </c>
      <c r="K2050" s="14" t="str">
        <f>IFERROR(__xludf.DUMMYFUNCTION("split(E2050,""+"")"),"Tiramisu")</f>
        <v>Tiramisu</v>
      </c>
      <c r="L2050" s="14" t="str">
        <f>IFERROR(__xludf.DUMMYFUNCTION("""COMPUTED_VALUE"""),"4*Vivek Kumar")</f>
        <v>4*Vivek Kumar</v>
      </c>
      <c r="M2050" s="14">
        <f>IFERROR(__xludf.DUMMYFUNCTION("SPLIT(L2050,""*"")"),4.0)</f>
        <v>4</v>
      </c>
      <c r="N2050" s="14" t="str">
        <f>IFERROR(__xludf.DUMMYFUNCTION("""COMPUTED_VALUE"""),"Vivek Kumar")</f>
        <v>Vivek Kumar</v>
      </c>
      <c r="O2050" s="14" t="str">
        <f>IFERROR(__xludf.DUMMYFUNCTION("split(J2050,""*"")"),"Delivered")</f>
        <v>Delivered</v>
      </c>
      <c r="P2050" s="14" t="str">
        <f>IFERROR(__xludf.DUMMYFUNCTION("""COMPUTED_VALUE"""),"Quality of Items: Perfect condition")</f>
        <v>Quality of Items: Perfect condition</v>
      </c>
      <c r="Q2050" s="14" t="str">
        <f>IFERROR(__xludf.DUMMYFUNCTION("split(P2050,"":"")"),"Quality of Items")</f>
        <v>Quality of Items</v>
      </c>
      <c r="R2050" s="14" t="str">
        <f>IFERROR(__xludf.DUMMYFUNCTION("""COMPUTED_VALUE""")," Perfect condition")</f>
        <v> Perfect condition</v>
      </c>
      <c r="S2050" s="14" t="str">
        <f t="shared" ref="S2050:U2050" si="4103">trim(B2050)</f>
        <v>ord_82026</v>
      </c>
      <c r="T2050" s="14" t="str">
        <f t="shared" si="4103"/>
        <v>Ishita Banerjee</v>
      </c>
      <c r="U2050" s="14" t="str">
        <f t="shared" si="4103"/>
        <v>Juhu</v>
      </c>
      <c r="V2050" s="14" t="str">
        <f t="shared" si="4"/>
        <v>Tiramisu</v>
      </c>
      <c r="W2050" s="14">
        <f t="shared" si="5"/>
        <v>4</v>
      </c>
      <c r="X2050" s="14" t="str">
        <f t="shared" si="6"/>
        <v>Vivek Kumar</v>
      </c>
      <c r="Y2050" s="15">
        <f t="shared" si="7"/>
        <v>45148</v>
      </c>
      <c r="Z2050" s="14" t="str">
        <f t="shared" si="8"/>
        <v>Credit Card</v>
      </c>
      <c r="AA2050" s="14" t="str">
        <f t="shared" si="9"/>
        <v>Delivered</v>
      </c>
      <c r="AB2050" s="14" t="str">
        <f t="shared" ref="AB2050:AC2050" si="4104">trim(Q2050)</f>
        <v>Quality of Items</v>
      </c>
      <c r="AC2050" s="14" t="str">
        <f t="shared" si="4104"/>
        <v>Perfect condition</v>
      </c>
      <c r="AD2050" s="8"/>
    </row>
    <row r="2051">
      <c r="A2051" s="14" t="str">
        <f>IFERROR(__xludf.DUMMYFUNCTION("""COMPUTED_VALUE"""),"//ord_82027//Anaya Rao//Colaba//Cold Coffee+4*Not Assigned/3/6/2023//UPI//Cancelled*App Glitches: Payment Button Malfunction")</f>
        <v>//ord_82027//Anaya Rao//Colaba//Cold Coffee+4*Not Assigned/3/6/2023//UPI//Cancelled*App Glitches: Payment Button Malfunction</v>
      </c>
      <c r="B2051" s="14" t="str">
        <f>IFERROR(__xludf.DUMMYFUNCTION("split(A2051,""//"")"),"ord_82027")</f>
        <v>ord_82027</v>
      </c>
      <c r="C2051" s="14" t="str">
        <f>IFERROR(__xludf.DUMMYFUNCTION("""COMPUTED_VALUE"""),"Anaya Rao")</f>
        <v>Anaya Rao</v>
      </c>
      <c r="D2051" s="14" t="str">
        <f>IFERROR(__xludf.DUMMYFUNCTION("""COMPUTED_VALUE"""),"Colaba")</f>
        <v>Colaba</v>
      </c>
      <c r="E2051" s="14" t="str">
        <f>IFERROR(__xludf.DUMMYFUNCTION("""COMPUTED_VALUE"""),"Cold Coffee+4*Not Assigned")</f>
        <v>Cold Coffee+4*Not Assigned</v>
      </c>
      <c r="F2051" s="14">
        <f>IFERROR(__xludf.DUMMYFUNCTION("""COMPUTED_VALUE"""),3.0)</f>
        <v>3</v>
      </c>
      <c r="G2051" s="14">
        <f>IFERROR(__xludf.DUMMYFUNCTION("""COMPUTED_VALUE"""),6.0)</f>
        <v>6</v>
      </c>
      <c r="H2051" s="14">
        <f>IFERROR(__xludf.DUMMYFUNCTION("""COMPUTED_VALUE"""),2023.0)</f>
        <v>2023</v>
      </c>
      <c r="I2051" s="14" t="str">
        <f>IFERROR(__xludf.DUMMYFUNCTION("""COMPUTED_VALUE"""),"UPI")</f>
        <v>UPI</v>
      </c>
      <c r="J2051" s="14" t="str">
        <f>IFERROR(__xludf.DUMMYFUNCTION("""COMPUTED_VALUE"""),"Cancelled*App Glitches: Payment Button Malfunction")</f>
        <v>Cancelled*App Glitches: Payment Button Malfunction</v>
      </c>
      <c r="K2051" s="14" t="str">
        <f>IFERROR(__xludf.DUMMYFUNCTION("split(E2051,""+"")"),"Cold Coffee")</f>
        <v>Cold Coffee</v>
      </c>
      <c r="L2051" s="14" t="str">
        <f>IFERROR(__xludf.DUMMYFUNCTION("""COMPUTED_VALUE"""),"4*Not Assigned")</f>
        <v>4*Not Assigned</v>
      </c>
      <c r="M2051" s="14">
        <f>IFERROR(__xludf.DUMMYFUNCTION("SPLIT(L2051,""*"")"),4.0)</f>
        <v>4</v>
      </c>
      <c r="N2051" s="14" t="str">
        <f>IFERROR(__xludf.DUMMYFUNCTION("""COMPUTED_VALUE"""),"Not Assigned")</f>
        <v>Not Assigned</v>
      </c>
      <c r="O2051" s="14" t="str">
        <f>IFERROR(__xludf.DUMMYFUNCTION("split(J2051,""*"")"),"Cancelled")</f>
        <v>Cancelled</v>
      </c>
      <c r="P2051" s="14" t="str">
        <f>IFERROR(__xludf.DUMMYFUNCTION("""COMPUTED_VALUE"""),"App Glitches: Payment Button Malfunction")</f>
        <v>App Glitches: Payment Button Malfunction</v>
      </c>
      <c r="Q2051" s="14" t="str">
        <f>IFERROR(__xludf.DUMMYFUNCTION("split(P2051,"":"")"),"App Glitches")</f>
        <v>App Glitches</v>
      </c>
      <c r="R2051" s="14" t="str">
        <f>IFERROR(__xludf.DUMMYFUNCTION("""COMPUTED_VALUE""")," Payment Button Malfunction")</f>
        <v> Payment Button Malfunction</v>
      </c>
      <c r="S2051" s="14" t="str">
        <f t="shared" ref="S2051:U2051" si="4105">trim(B2051)</f>
        <v>ord_82027</v>
      </c>
      <c r="T2051" s="14" t="str">
        <f t="shared" si="4105"/>
        <v>Anaya Rao</v>
      </c>
      <c r="U2051" s="14" t="str">
        <f t="shared" si="4105"/>
        <v>Colaba</v>
      </c>
      <c r="V2051" s="14" t="str">
        <f t="shared" si="4"/>
        <v>Cold Coffee</v>
      </c>
      <c r="W2051" s="14">
        <f t="shared" si="5"/>
        <v>4</v>
      </c>
      <c r="X2051" s="14" t="str">
        <f t="shared" si="6"/>
        <v>Not Assigned</v>
      </c>
      <c r="Y2051" s="15">
        <f t="shared" si="7"/>
        <v>44991</v>
      </c>
      <c r="Z2051" s="14" t="str">
        <f t="shared" si="8"/>
        <v>UPI</v>
      </c>
      <c r="AA2051" s="14" t="str">
        <f t="shared" si="9"/>
        <v>Cancelled</v>
      </c>
      <c r="AB2051" s="14" t="str">
        <f t="shared" ref="AB2051:AC2051" si="4106">trim(Q2051)</f>
        <v>App Glitches</v>
      </c>
      <c r="AC2051" s="14" t="str">
        <f t="shared" si="4106"/>
        <v>Payment Button Malfunction</v>
      </c>
      <c r="AD2051" s="8"/>
    </row>
    <row r="2052">
      <c r="A2052" s="14" t="str">
        <f>IFERROR(__xludf.DUMMYFUNCTION("""COMPUTED_VALUE"""),"//ord_82028//Kritika Shetty//Malad//Juice+2*Nithin Lal/4/19/2023//Credit Card//Delivered*Packaging: Secure and intact")</f>
        <v>//ord_82028//Kritika Shetty//Malad//Juice+2*Nithin Lal/4/19/2023//Credit Card//Delivered*Packaging: Secure and intact</v>
      </c>
      <c r="B2052" s="14" t="str">
        <f>IFERROR(__xludf.DUMMYFUNCTION("split(A2052,""//"")"),"ord_82028")</f>
        <v>ord_82028</v>
      </c>
      <c r="C2052" s="14" t="str">
        <f>IFERROR(__xludf.DUMMYFUNCTION("""COMPUTED_VALUE"""),"Kritika Shetty")</f>
        <v>Kritika Shetty</v>
      </c>
      <c r="D2052" s="14" t="str">
        <f>IFERROR(__xludf.DUMMYFUNCTION("""COMPUTED_VALUE"""),"Malad")</f>
        <v>Malad</v>
      </c>
      <c r="E2052" s="14" t="str">
        <f>IFERROR(__xludf.DUMMYFUNCTION("""COMPUTED_VALUE"""),"Juice+2*Nithin Lal")</f>
        <v>Juice+2*Nithin Lal</v>
      </c>
      <c r="F2052" s="14">
        <f>IFERROR(__xludf.DUMMYFUNCTION("""COMPUTED_VALUE"""),4.0)</f>
        <v>4</v>
      </c>
      <c r="G2052" s="14">
        <f>IFERROR(__xludf.DUMMYFUNCTION("""COMPUTED_VALUE"""),19.0)</f>
        <v>19</v>
      </c>
      <c r="H2052" s="14">
        <f>IFERROR(__xludf.DUMMYFUNCTION("""COMPUTED_VALUE"""),2023.0)</f>
        <v>2023</v>
      </c>
      <c r="I2052" s="14" t="str">
        <f>IFERROR(__xludf.DUMMYFUNCTION("""COMPUTED_VALUE"""),"Credit Card")</f>
        <v>Credit Card</v>
      </c>
      <c r="J2052" s="14" t="str">
        <f>IFERROR(__xludf.DUMMYFUNCTION("""COMPUTED_VALUE"""),"Delivered*Packaging: Secure and intact")</f>
        <v>Delivered*Packaging: Secure and intact</v>
      </c>
      <c r="K2052" s="14" t="str">
        <f>IFERROR(__xludf.DUMMYFUNCTION("split(E2052,""+"")"),"Juice")</f>
        <v>Juice</v>
      </c>
      <c r="L2052" s="14" t="str">
        <f>IFERROR(__xludf.DUMMYFUNCTION("""COMPUTED_VALUE"""),"2*Nithin Lal")</f>
        <v>2*Nithin Lal</v>
      </c>
      <c r="M2052" s="14">
        <f>IFERROR(__xludf.DUMMYFUNCTION("SPLIT(L2052,""*"")"),2.0)</f>
        <v>2</v>
      </c>
      <c r="N2052" s="14" t="str">
        <f>IFERROR(__xludf.DUMMYFUNCTION("""COMPUTED_VALUE"""),"Nithin Lal")</f>
        <v>Nithin Lal</v>
      </c>
      <c r="O2052" s="14" t="str">
        <f>IFERROR(__xludf.DUMMYFUNCTION("split(J2052,""*"")"),"Delivered")</f>
        <v>Delivered</v>
      </c>
      <c r="P2052" s="14" t="str">
        <f>IFERROR(__xludf.DUMMYFUNCTION("""COMPUTED_VALUE"""),"Packaging: Secure and intact")</f>
        <v>Packaging: Secure and intact</v>
      </c>
      <c r="Q2052" s="14" t="str">
        <f>IFERROR(__xludf.DUMMYFUNCTION("split(P2052,"":"")"),"Packaging")</f>
        <v>Packaging</v>
      </c>
      <c r="R2052" s="14" t="str">
        <f>IFERROR(__xludf.DUMMYFUNCTION("""COMPUTED_VALUE""")," Secure and intact")</f>
        <v> Secure and intact</v>
      </c>
      <c r="S2052" s="14" t="str">
        <f t="shared" ref="S2052:U2052" si="4107">trim(B2052)</f>
        <v>ord_82028</v>
      </c>
      <c r="T2052" s="14" t="str">
        <f t="shared" si="4107"/>
        <v>Kritika Shetty</v>
      </c>
      <c r="U2052" s="14" t="str">
        <f t="shared" si="4107"/>
        <v>Malad</v>
      </c>
      <c r="V2052" s="14" t="str">
        <f t="shared" si="4"/>
        <v>Juice</v>
      </c>
      <c r="W2052" s="14">
        <f t="shared" si="5"/>
        <v>2</v>
      </c>
      <c r="X2052" s="14" t="str">
        <f t="shared" si="6"/>
        <v>Nithin Lal</v>
      </c>
      <c r="Y2052" s="15">
        <f t="shared" si="7"/>
        <v>45035</v>
      </c>
      <c r="Z2052" s="14" t="str">
        <f t="shared" si="8"/>
        <v>Credit Card</v>
      </c>
      <c r="AA2052" s="14" t="str">
        <f t="shared" si="9"/>
        <v>Delivered</v>
      </c>
      <c r="AB2052" s="14" t="str">
        <f t="shared" ref="AB2052:AC2052" si="4108">trim(Q2052)</f>
        <v>Packaging</v>
      </c>
      <c r="AC2052" s="14" t="str">
        <f t="shared" si="4108"/>
        <v>Secure and intact</v>
      </c>
      <c r="AD2052" s="8"/>
    </row>
    <row r="2053">
      <c r="A2053" s="14" t="str">
        <f>IFERROR(__xludf.DUMMYFUNCTION("""COMPUTED_VALUE"""),"//ord_82029//Ishita Banerjee//Juhu//Cucumber+2*Shine Thomas/9/4/2023//Online Payment//Delivered*Satisfied with the Delivery: Timely and quality")</f>
        <v>//ord_82029//Ishita Banerjee//Juhu//Cucumber+2*Shine Thomas/9/4/2023//Online Payment//Delivered*Satisfied with the Delivery: Timely and quality</v>
      </c>
      <c r="B2053" s="14" t="str">
        <f>IFERROR(__xludf.DUMMYFUNCTION("split(A2053,""//"")"),"ord_82029")</f>
        <v>ord_82029</v>
      </c>
      <c r="C2053" s="14" t="str">
        <f>IFERROR(__xludf.DUMMYFUNCTION("""COMPUTED_VALUE"""),"Ishita Banerjee")</f>
        <v>Ishita Banerjee</v>
      </c>
      <c r="D2053" s="14" t="str">
        <f>IFERROR(__xludf.DUMMYFUNCTION("""COMPUTED_VALUE"""),"Juhu")</f>
        <v>Juhu</v>
      </c>
      <c r="E2053" s="14" t="str">
        <f>IFERROR(__xludf.DUMMYFUNCTION("""COMPUTED_VALUE"""),"Cucumber+2*Shine Thomas")</f>
        <v>Cucumber+2*Shine Thomas</v>
      </c>
      <c r="F2053" s="14">
        <f>IFERROR(__xludf.DUMMYFUNCTION("""COMPUTED_VALUE"""),9.0)</f>
        <v>9</v>
      </c>
      <c r="G2053" s="14">
        <f>IFERROR(__xludf.DUMMYFUNCTION("""COMPUTED_VALUE"""),4.0)</f>
        <v>4</v>
      </c>
      <c r="H2053" s="14">
        <f>IFERROR(__xludf.DUMMYFUNCTION("""COMPUTED_VALUE"""),2023.0)</f>
        <v>2023</v>
      </c>
      <c r="I2053" s="14" t="str">
        <f>IFERROR(__xludf.DUMMYFUNCTION("""COMPUTED_VALUE"""),"Online Payment")</f>
        <v>Online Payment</v>
      </c>
      <c r="J2053" s="14" t="str">
        <f>IFERROR(__xludf.DUMMYFUNCTION("""COMPUTED_VALUE"""),"Delivered*Satisfied with the Delivery: Timely and quality")</f>
        <v>Delivered*Satisfied with the Delivery: Timely and quality</v>
      </c>
      <c r="K2053" s="14" t="str">
        <f>IFERROR(__xludf.DUMMYFUNCTION("split(E2053,""+"")"),"Cucumber")</f>
        <v>Cucumber</v>
      </c>
      <c r="L2053" s="14" t="str">
        <f>IFERROR(__xludf.DUMMYFUNCTION("""COMPUTED_VALUE"""),"2*Shine Thomas")</f>
        <v>2*Shine Thomas</v>
      </c>
      <c r="M2053" s="14">
        <f>IFERROR(__xludf.DUMMYFUNCTION("SPLIT(L2053,""*"")"),2.0)</f>
        <v>2</v>
      </c>
      <c r="N2053" s="14" t="str">
        <f>IFERROR(__xludf.DUMMYFUNCTION("""COMPUTED_VALUE"""),"Shine Thomas")</f>
        <v>Shine Thomas</v>
      </c>
      <c r="O2053" s="14" t="str">
        <f>IFERROR(__xludf.DUMMYFUNCTION("split(J2053,""*"")"),"Delivered")</f>
        <v>Delivered</v>
      </c>
      <c r="P2053" s="14" t="str">
        <f>IFERROR(__xludf.DUMMYFUNCTION("""COMPUTED_VALUE"""),"Satisfied with the Delivery: Timely and quality")</f>
        <v>Satisfied with the Delivery: Timely and quality</v>
      </c>
      <c r="Q2053" s="14" t="str">
        <f>IFERROR(__xludf.DUMMYFUNCTION("split(P2053,"":"")"),"Satisfied with the Delivery")</f>
        <v>Satisfied with the Delivery</v>
      </c>
      <c r="R2053" s="14" t="str">
        <f>IFERROR(__xludf.DUMMYFUNCTION("""COMPUTED_VALUE""")," Timely and quality")</f>
        <v> Timely and quality</v>
      </c>
      <c r="S2053" s="14" t="str">
        <f t="shared" ref="S2053:U2053" si="4109">trim(B2053)</f>
        <v>ord_82029</v>
      </c>
      <c r="T2053" s="14" t="str">
        <f t="shared" si="4109"/>
        <v>Ishita Banerjee</v>
      </c>
      <c r="U2053" s="14" t="str">
        <f t="shared" si="4109"/>
        <v>Juhu</v>
      </c>
      <c r="V2053" s="14" t="str">
        <f t="shared" si="4"/>
        <v>Cucumber</v>
      </c>
      <c r="W2053" s="14">
        <f t="shared" si="5"/>
        <v>2</v>
      </c>
      <c r="X2053" s="14" t="str">
        <f t="shared" si="6"/>
        <v>Shine Thomas</v>
      </c>
      <c r="Y2053" s="15">
        <f t="shared" si="7"/>
        <v>45173</v>
      </c>
      <c r="Z2053" s="14" t="str">
        <f t="shared" si="8"/>
        <v>Online Payment</v>
      </c>
      <c r="AA2053" s="14" t="str">
        <f t="shared" si="9"/>
        <v>Delivered</v>
      </c>
      <c r="AB2053" s="14" t="str">
        <f t="shared" ref="AB2053:AC2053" si="4110">trim(Q2053)</f>
        <v>Satisfied with the Delivery</v>
      </c>
      <c r="AC2053" s="14" t="str">
        <f t="shared" si="4110"/>
        <v>Timely and quality</v>
      </c>
      <c r="AD2053" s="8"/>
    </row>
    <row r="2054">
      <c r="A2054" s="14" t="str">
        <f>IFERROR(__xludf.DUMMYFUNCTION("""COMPUTED_VALUE"""),"//ord_82030//Mehul Thakkar//Malad//Veg Puff+1*Not Assigned/3/8/2023//UPI//Cancelled*App Glitches: Payment Button Malfunction")</f>
        <v>//ord_82030//Mehul Thakkar//Malad//Veg Puff+1*Not Assigned/3/8/2023//UPI//Cancelled*App Glitches: Payment Button Malfunction</v>
      </c>
      <c r="B2054" s="14" t="str">
        <f>IFERROR(__xludf.DUMMYFUNCTION("split(A2054,""//"")"),"ord_82030")</f>
        <v>ord_82030</v>
      </c>
      <c r="C2054" s="14" t="str">
        <f>IFERROR(__xludf.DUMMYFUNCTION("""COMPUTED_VALUE"""),"Mehul Thakkar")</f>
        <v>Mehul Thakkar</v>
      </c>
      <c r="D2054" s="14" t="str">
        <f>IFERROR(__xludf.DUMMYFUNCTION("""COMPUTED_VALUE"""),"Malad")</f>
        <v>Malad</v>
      </c>
      <c r="E2054" s="14" t="str">
        <f>IFERROR(__xludf.DUMMYFUNCTION("""COMPUTED_VALUE"""),"Veg Puff+1*Not Assigned")</f>
        <v>Veg Puff+1*Not Assigned</v>
      </c>
      <c r="F2054" s="14">
        <f>IFERROR(__xludf.DUMMYFUNCTION("""COMPUTED_VALUE"""),3.0)</f>
        <v>3</v>
      </c>
      <c r="G2054" s="14">
        <f>IFERROR(__xludf.DUMMYFUNCTION("""COMPUTED_VALUE"""),8.0)</f>
        <v>8</v>
      </c>
      <c r="H2054" s="14">
        <f>IFERROR(__xludf.DUMMYFUNCTION("""COMPUTED_VALUE"""),2023.0)</f>
        <v>2023</v>
      </c>
      <c r="I2054" s="14" t="str">
        <f>IFERROR(__xludf.DUMMYFUNCTION("""COMPUTED_VALUE"""),"UPI")</f>
        <v>UPI</v>
      </c>
      <c r="J2054" s="14" t="str">
        <f>IFERROR(__xludf.DUMMYFUNCTION("""COMPUTED_VALUE"""),"Cancelled*App Glitches: Payment Button Malfunction")</f>
        <v>Cancelled*App Glitches: Payment Button Malfunction</v>
      </c>
      <c r="K2054" s="14" t="str">
        <f>IFERROR(__xludf.DUMMYFUNCTION("split(E2054,""+"")"),"Veg Puff")</f>
        <v>Veg Puff</v>
      </c>
      <c r="L2054" s="14" t="str">
        <f>IFERROR(__xludf.DUMMYFUNCTION("""COMPUTED_VALUE"""),"1*Not Assigned")</f>
        <v>1*Not Assigned</v>
      </c>
      <c r="M2054" s="14">
        <f>IFERROR(__xludf.DUMMYFUNCTION("SPLIT(L2054,""*"")"),1.0)</f>
        <v>1</v>
      </c>
      <c r="N2054" s="14" t="str">
        <f>IFERROR(__xludf.DUMMYFUNCTION("""COMPUTED_VALUE"""),"Not Assigned")</f>
        <v>Not Assigned</v>
      </c>
      <c r="O2054" s="14" t="str">
        <f>IFERROR(__xludf.DUMMYFUNCTION("split(J2054,""*"")"),"Cancelled")</f>
        <v>Cancelled</v>
      </c>
      <c r="P2054" s="14" t="str">
        <f>IFERROR(__xludf.DUMMYFUNCTION("""COMPUTED_VALUE"""),"App Glitches: Payment Button Malfunction")</f>
        <v>App Glitches: Payment Button Malfunction</v>
      </c>
      <c r="Q2054" s="14" t="str">
        <f>IFERROR(__xludf.DUMMYFUNCTION("split(P2054,"":"")"),"App Glitches")</f>
        <v>App Glitches</v>
      </c>
      <c r="R2054" s="14" t="str">
        <f>IFERROR(__xludf.DUMMYFUNCTION("""COMPUTED_VALUE""")," Payment Button Malfunction")</f>
        <v> Payment Button Malfunction</v>
      </c>
      <c r="S2054" s="14" t="str">
        <f t="shared" ref="S2054:U2054" si="4111">trim(B2054)</f>
        <v>ord_82030</v>
      </c>
      <c r="T2054" s="14" t="str">
        <f t="shared" si="4111"/>
        <v>Mehul Thakkar</v>
      </c>
      <c r="U2054" s="14" t="str">
        <f t="shared" si="4111"/>
        <v>Malad</v>
      </c>
      <c r="V2054" s="14" t="str">
        <f t="shared" si="4"/>
        <v>Veg Puff</v>
      </c>
      <c r="W2054" s="14">
        <f t="shared" si="5"/>
        <v>1</v>
      </c>
      <c r="X2054" s="14" t="str">
        <f t="shared" si="6"/>
        <v>Not Assigned</v>
      </c>
      <c r="Y2054" s="15">
        <f t="shared" si="7"/>
        <v>44993</v>
      </c>
      <c r="Z2054" s="14" t="str">
        <f t="shared" si="8"/>
        <v>UPI</v>
      </c>
      <c r="AA2054" s="14" t="str">
        <f t="shared" si="9"/>
        <v>Cancelled</v>
      </c>
      <c r="AB2054" s="14" t="str">
        <f t="shared" ref="AB2054:AC2054" si="4112">trim(Q2054)</f>
        <v>App Glitches</v>
      </c>
      <c r="AC2054" s="14" t="str">
        <f t="shared" si="4112"/>
        <v>Payment Button Malfunction</v>
      </c>
      <c r="AD2054" s="8"/>
    </row>
    <row r="2055">
      <c r="A2055" s="14" t="str">
        <f>IFERROR(__xludf.DUMMYFUNCTION("""COMPUTED_VALUE"""),"//ord_82031//Aarav Mehta//Andheri//Onion+2*Not Assigned/4/4/2023//Credit Card//Cancelled*Out of Stock")</f>
        <v>//ord_82031//Aarav Mehta//Andheri//Onion+2*Not Assigned/4/4/2023//Credit Card//Cancelled*Out of Stock</v>
      </c>
      <c r="B2055" s="14" t="str">
        <f>IFERROR(__xludf.DUMMYFUNCTION("split(A2055,""//"")"),"ord_82031")</f>
        <v>ord_82031</v>
      </c>
      <c r="C2055" s="14" t="str">
        <f>IFERROR(__xludf.DUMMYFUNCTION("""COMPUTED_VALUE"""),"Aarav Mehta")</f>
        <v>Aarav Mehta</v>
      </c>
      <c r="D2055" s="14" t="str">
        <f>IFERROR(__xludf.DUMMYFUNCTION("""COMPUTED_VALUE"""),"Andheri")</f>
        <v>Andheri</v>
      </c>
      <c r="E2055" s="14" t="str">
        <f>IFERROR(__xludf.DUMMYFUNCTION("""COMPUTED_VALUE"""),"Onion+2*Not Assigned")</f>
        <v>Onion+2*Not Assigned</v>
      </c>
      <c r="F2055" s="14">
        <f>IFERROR(__xludf.DUMMYFUNCTION("""COMPUTED_VALUE"""),4.0)</f>
        <v>4</v>
      </c>
      <c r="G2055" s="14">
        <f>IFERROR(__xludf.DUMMYFUNCTION("""COMPUTED_VALUE"""),4.0)</f>
        <v>4</v>
      </c>
      <c r="H2055" s="14">
        <f>IFERROR(__xludf.DUMMYFUNCTION("""COMPUTED_VALUE"""),2023.0)</f>
        <v>2023</v>
      </c>
      <c r="I2055" s="14" t="str">
        <f>IFERROR(__xludf.DUMMYFUNCTION("""COMPUTED_VALUE"""),"Credit Card")</f>
        <v>Credit Card</v>
      </c>
      <c r="J2055" s="14" t="str">
        <f>IFERROR(__xludf.DUMMYFUNCTION("""COMPUTED_VALUE"""),"Cancelled*Out of Stock")</f>
        <v>Cancelled*Out of Stock</v>
      </c>
      <c r="K2055" s="14" t="str">
        <f>IFERROR(__xludf.DUMMYFUNCTION("split(E2055,""+"")"),"Onion")</f>
        <v>Onion</v>
      </c>
      <c r="L2055" s="14" t="str">
        <f>IFERROR(__xludf.DUMMYFUNCTION("""COMPUTED_VALUE"""),"2*Not Assigned")</f>
        <v>2*Not Assigned</v>
      </c>
      <c r="M2055" s="14">
        <f>IFERROR(__xludf.DUMMYFUNCTION("SPLIT(L2055,""*"")"),2.0)</f>
        <v>2</v>
      </c>
      <c r="N2055" s="14" t="str">
        <f>IFERROR(__xludf.DUMMYFUNCTION("""COMPUTED_VALUE"""),"Not Assigned")</f>
        <v>Not Assigned</v>
      </c>
      <c r="O2055" s="14" t="str">
        <f>IFERROR(__xludf.DUMMYFUNCTION("split(J2055,""*"")"),"Cancelled")</f>
        <v>Cancelled</v>
      </c>
      <c r="P2055" s="14" t="str">
        <f>IFERROR(__xludf.DUMMYFUNCTION("""COMPUTED_VALUE"""),"Out of Stock")</f>
        <v>Out of Stock</v>
      </c>
      <c r="Q2055" s="14" t="str">
        <f>IFERROR(__xludf.DUMMYFUNCTION("split(P2055,"":"")"),"Out of Stock")</f>
        <v>Out of Stock</v>
      </c>
      <c r="R2055" s="14"/>
      <c r="S2055" s="14" t="str">
        <f t="shared" ref="S2055:U2055" si="4113">trim(B2055)</f>
        <v>ord_82031</v>
      </c>
      <c r="T2055" s="14" t="str">
        <f t="shared" si="4113"/>
        <v>Aarav Mehta</v>
      </c>
      <c r="U2055" s="14" t="str">
        <f t="shared" si="4113"/>
        <v>Andheri</v>
      </c>
      <c r="V2055" s="14" t="str">
        <f t="shared" si="4"/>
        <v>Onion</v>
      </c>
      <c r="W2055" s="14">
        <f t="shared" si="5"/>
        <v>2</v>
      </c>
      <c r="X2055" s="14" t="str">
        <f t="shared" si="6"/>
        <v>Not Assigned</v>
      </c>
      <c r="Y2055" s="15">
        <f t="shared" si="7"/>
        <v>45020</v>
      </c>
      <c r="Z2055" s="14" t="str">
        <f t="shared" si="8"/>
        <v>Credit Card</v>
      </c>
      <c r="AA2055" s="14" t="str">
        <f t="shared" si="9"/>
        <v>Cancelled</v>
      </c>
      <c r="AB2055" s="14" t="str">
        <f t="shared" ref="AB2055:AC2055" si="4114">trim(Q2055)</f>
        <v>Out of Stock</v>
      </c>
      <c r="AC2055" s="14" t="str">
        <f t="shared" si="4114"/>
        <v/>
      </c>
      <c r="AD2055" s="8"/>
    </row>
    <row r="2056">
      <c r="A2056" s="14" t="str">
        <f>IFERROR(__xludf.DUMMYFUNCTION("""COMPUTED_VALUE"""),"//ord_82032//Tanishq Bansal//Powai//Chilli Cheese Toast+2*Sita T/5/25/2023//Credit Card//Cancelled*Delayed Delivery:High Order Volume")</f>
        <v>//ord_82032//Tanishq Bansal//Powai//Chilli Cheese Toast+2*Sita T/5/25/2023//Credit Card//Cancelled*Delayed Delivery:High Order Volume</v>
      </c>
      <c r="B2056" s="14" t="str">
        <f>IFERROR(__xludf.DUMMYFUNCTION("split(A2056,""//"")"),"ord_82032")</f>
        <v>ord_82032</v>
      </c>
      <c r="C2056" s="14" t="str">
        <f>IFERROR(__xludf.DUMMYFUNCTION("""COMPUTED_VALUE"""),"Tanishq Bansal")</f>
        <v>Tanishq Bansal</v>
      </c>
      <c r="D2056" s="14" t="str">
        <f>IFERROR(__xludf.DUMMYFUNCTION("""COMPUTED_VALUE"""),"Powai")</f>
        <v>Powai</v>
      </c>
      <c r="E2056" s="14" t="str">
        <f>IFERROR(__xludf.DUMMYFUNCTION("""COMPUTED_VALUE"""),"Chilli Cheese Toast+2*Sita T")</f>
        <v>Chilli Cheese Toast+2*Sita T</v>
      </c>
      <c r="F2056" s="14">
        <f>IFERROR(__xludf.DUMMYFUNCTION("""COMPUTED_VALUE"""),5.0)</f>
        <v>5</v>
      </c>
      <c r="G2056" s="14">
        <f>IFERROR(__xludf.DUMMYFUNCTION("""COMPUTED_VALUE"""),25.0)</f>
        <v>25</v>
      </c>
      <c r="H2056" s="14">
        <f>IFERROR(__xludf.DUMMYFUNCTION("""COMPUTED_VALUE"""),2023.0)</f>
        <v>2023</v>
      </c>
      <c r="I2056" s="14" t="str">
        <f>IFERROR(__xludf.DUMMYFUNCTION("""COMPUTED_VALUE"""),"Credit Card")</f>
        <v>Credit Card</v>
      </c>
      <c r="J2056" s="14" t="str">
        <f>IFERROR(__xludf.DUMMYFUNCTION("""COMPUTED_VALUE"""),"Cancelled*Delayed Delivery:High Order Volume")</f>
        <v>Cancelled*Delayed Delivery:High Order Volume</v>
      </c>
      <c r="K2056" s="14" t="str">
        <f>IFERROR(__xludf.DUMMYFUNCTION("split(E2056,""+"")"),"Chilli Cheese Toast")</f>
        <v>Chilli Cheese Toast</v>
      </c>
      <c r="L2056" s="14" t="str">
        <f>IFERROR(__xludf.DUMMYFUNCTION("""COMPUTED_VALUE"""),"2*Sita T")</f>
        <v>2*Sita T</v>
      </c>
      <c r="M2056" s="14">
        <f>IFERROR(__xludf.DUMMYFUNCTION("SPLIT(L2056,""*"")"),2.0)</f>
        <v>2</v>
      </c>
      <c r="N2056" s="14" t="str">
        <f>IFERROR(__xludf.DUMMYFUNCTION("""COMPUTED_VALUE"""),"Sita T")</f>
        <v>Sita T</v>
      </c>
      <c r="O2056" s="14" t="str">
        <f>IFERROR(__xludf.DUMMYFUNCTION("split(J2056,""*"")"),"Cancelled")</f>
        <v>Cancelled</v>
      </c>
      <c r="P2056" s="14" t="str">
        <f>IFERROR(__xludf.DUMMYFUNCTION("""COMPUTED_VALUE"""),"Delayed Delivery:High Order Volume")</f>
        <v>Delayed Delivery:High Order Volume</v>
      </c>
      <c r="Q2056" s="14" t="str">
        <f>IFERROR(__xludf.DUMMYFUNCTION("split(P2056,"":"")"),"Delayed Delivery")</f>
        <v>Delayed Delivery</v>
      </c>
      <c r="R2056" s="14" t="str">
        <f>IFERROR(__xludf.DUMMYFUNCTION("""COMPUTED_VALUE"""),"High Order Volume")</f>
        <v>High Order Volume</v>
      </c>
      <c r="S2056" s="14" t="str">
        <f t="shared" ref="S2056:U2056" si="4115">trim(B2056)</f>
        <v>ord_82032</v>
      </c>
      <c r="T2056" s="14" t="str">
        <f t="shared" si="4115"/>
        <v>Tanishq Bansal</v>
      </c>
      <c r="U2056" s="14" t="str">
        <f t="shared" si="4115"/>
        <v>Powai</v>
      </c>
      <c r="V2056" s="14" t="str">
        <f t="shared" si="4"/>
        <v>Chilli Cheese Toast</v>
      </c>
      <c r="W2056" s="14">
        <f t="shared" si="5"/>
        <v>2</v>
      </c>
      <c r="X2056" s="14" t="str">
        <f t="shared" si="6"/>
        <v>Sita T</v>
      </c>
      <c r="Y2056" s="15">
        <f t="shared" si="7"/>
        <v>45071</v>
      </c>
      <c r="Z2056" s="14" t="str">
        <f t="shared" si="8"/>
        <v>Credit Card</v>
      </c>
      <c r="AA2056" s="14" t="str">
        <f t="shared" si="9"/>
        <v>Cancelled</v>
      </c>
      <c r="AB2056" s="14" t="str">
        <f t="shared" ref="AB2056:AC2056" si="4116">trim(Q2056)</f>
        <v>Delayed Delivery</v>
      </c>
      <c r="AC2056" s="14" t="str">
        <f t="shared" si="4116"/>
        <v>High Order Volume</v>
      </c>
      <c r="AD2056" s="8"/>
    </row>
    <row r="2057">
      <c r="A2057" s="14" t="str">
        <f>IFERROR(__xludf.DUMMYFUNCTION("""COMPUTED_VALUE"""),"//ord_82033//Aditi Iyer//Dadar//Onion+1*Venu R/8/23/2023//COD//Delivered*Customer Service: Seamless and easy")</f>
        <v>//ord_82033//Aditi Iyer//Dadar//Onion+1*Venu R/8/23/2023//COD//Delivered*Customer Service: Seamless and easy</v>
      </c>
      <c r="B2057" s="14" t="str">
        <f>IFERROR(__xludf.DUMMYFUNCTION("split(A2057,""//"")"),"ord_82033")</f>
        <v>ord_82033</v>
      </c>
      <c r="C2057" s="14" t="str">
        <f>IFERROR(__xludf.DUMMYFUNCTION("""COMPUTED_VALUE"""),"Aditi Iyer")</f>
        <v>Aditi Iyer</v>
      </c>
      <c r="D2057" s="14" t="str">
        <f>IFERROR(__xludf.DUMMYFUNCTION("""COMPUTED_VALUE"""),"Dadar")</f>
        <v>Dadar</v>
      </c>
      <c r="E2057" s="14" t="str">
        <f>IFERROR(__xludf.DUMMYFUNCTION("""COMPUTED_VALUE"""),"Onion+1*Venu R")</f>
        <v>Onion+1*Venu R</v>
      </c>
      <c r="F2057" s="14">
        <f>IFERROR(__xludf.DUMMYFUNCTION("""COMPUTED_VALUE"""),8.0)</f>
        <v>8</v>
      </c>
      <c r="G2057" s="14">
        <f>IFERROR(__xludf.DUMMYFUNCTION("""COMPUTED_VALUE"""),23.0)</f>
        <v>23</v>
      </c>
      <c r="H2057" s="14">
        <f>IFERROR(__xludf.DUMMYFUNCTION("""COMPUTED_VALUE"""),2023.0)</f>
        <v>2023</v>
      </c>
      <c r="I2057" s="14" t="str">
        <f>IFERROR(__xludf.DUMMYFUNCTION("""COMPUTED_VALUE"""),"COD")</f>
        <v>COD</v>
      </c>
      <c r="J2057" s="14" t="str">
        <f>IFERROR(__xludf.DUMMYFUNCTION("""COMPUTED_VALUE"""),"Delivered*Customer Service: Seamless and easy")</f>
        <v>Delivered*Customer Service: Seamless and easy</v>
      </c>
      <c r="K2057" s="14" t="str">
        <f>IFERROR(__xludf.DUMMYFUNCTION("split(E2057,""+"")"),"Onion")</f>
        <v>Onion</v>
      </c>
      <c r="L2057" s="14" t="str">
        <f>IFERROR(__xludf.DUMMYFUNCTION("""COMPUTED_VALUE"""),"1*Venu R")</f>
        <v>1*Venu R</v>
      </c>
      <c r="M2057" s="14">
        <f>IFERROR(__xludf.DUMMYFUNCTION("SPLIT(L2057,""*"")"),1.0)</f>
        <v>1</v>
      </c>
      <c r="N2057" s="14" t="str">
        <f>IFERROR(__xludf.DUMMYFUNCTION("""COMPUTED_VALUE"""),"Venu R")</f>
        <v>Venu R</v>
      </c>
      <c r="O2057" s="14" t="str">
        <f>IFERROR(__xludf.DUMMYFUNCTION("split(J2057,""*"")"),"Delivered")</f>
        <v>Delivered</v>
      </c>
      <c r="P2057" s="14" t="str">
        <f>IFERROR(__xludf.DUMMYFUNCTION("""COMPUTED_VALUE"""),"Customer Service: Seamless and easy")</f>
        <v>Customer Service: Seamless and easy</v>
      </c>
      <c r="Q2057" s="14" t="str">
        <f>IFERROR(__xludf.DUMMYFUNCTION("split(P2057,"":"")"),"Customer Service")</f>
        <v>Customer Service</v>
      </c>
      <c r="R2057" s="14" t="str">
        <f>IFERROR(__xludf.DUMMYFUNCTION("""COMPUTED_VALUE""")," Seamless and easy")</f>
        <v> Seamless and easy</v>
      </c>
      <c r="S2057" s="14" t="str">
        <f t="shared" ref="S2057:U2057" si="4117">trim(B2057)</f>
        <v>ord_82033</v>
      </c>
      <c r="T2057" s="14" t="str">
        <f t="shared" si="4117"/>
        <v>Aditi Iyer</v>
      </c>
      <c r="U2057" s="14" t="str">
        <f t="shared" si="4117"/>
        <v>Dadar</v>
      </c>
      <c r="V2057" s="14" t="str">
        <f t="shared" si="4"/>
        <v>Onion</v>
      </c>
      <c r="W2057" s="14">
        <f t="shared" si="5"/>
        <v>1</v>
      </c>
      <c r="X2057" s="14" t="str">
        <f t="shared" si="6"/>
        <v>Venu R</v>
      </c>
      <c r="Y2057" s="15">
        <f t="shared" si="7"/>
        <v>45161</v>
      </c>
      <c r="Z2057" s="14" t="str">
        <f t="shared" si="8"/>
        <v>COD</v>
      </c>
      <c r="AA2057" s="14" t="str">
        <f t="shared" si="9"/>
        <v>Delivered</v>
      </c>
      <c r="AB2057" s="14" t="str">
        <f t="shared" ref="AB2057:AC2057" si="4118">trim(Q2057)</f>
        <v>Customer Service</v>
      </c>
      <c r="AC2057" s="14" t="str">
        <f t="shared" si="4118"/>
        <v>Seamless and easy</v>
      </c>
      <c r="AD2057" s="8"/>
    </row>
    <row r="2058">
      <c r="A2058" s="14" t="str">
        <f>IFERROR(__xludf.DUMMYFUNCTION("""COMPUTED_VALUE"""),"//ord_82034//Kritika Shetty//Malad//Popcorn+5*Manju Ajay/6/17/2023//COD//Delivered*Delivery Experience: Quick and professional")</f>
        <v>//ord_82034//Kritika Shetty//Malad//Popcorn+5*Manju Ajay/6/17/2023//COD//Delivered*Delivery Experience: Quick and professional</v>
      </c>
      <c r="B2058" s="14" t="str">
        <f>IFERROR(__xludf.DUMMYFUNCTION("split(A2058,""//"")"),"ord_82034")</f>
        <v>ord_82034</v>
      </c>
      <c r="C2058" s="14" t="str">
        <f>IFERROR(__xludf.DUMMYFUNCTION("""COMPUTED_VALUE"""),"Kritika Shetty")</f>
        <v>Kritika Shetty</v>
      </c>
      <c r="D2058" s="14" t="str">
        <f>IFERROR(__xludf.DUMMYFUNCTION("""COMPUTED_VALUE"""),"Malad")</f>
        <v>Malad</v>
      </c>
      <c r="E2058" s="14" t="str">
        <f>IFERROR(__xludf.DUMMYFUNCTION("""COMPUTED_VALUE"""),"Popcorn+5*Manju Ajay")</f>
        <v>Popcorn+5*Manju Ajay</v>
      </c>
      <c r="F2058" s="14">
        <f>IFERROR(__xludf.DUMMYFUNCTION("""COMPUTED_VALUE"""),6.0)</f>
        <v>6</v>
      </c>
      <c r="G2058" s="14">
        <f>IFERROR(__xludf.DUMMYFUNCTION("""COMPUTED_VALUE"""),17.0)</f>
        <v>17</v>
      </c>
      <c r="H2058" s="14">
        <f>IFERROR(__xludf.DUMMYFUNCTION("""COMPUTED_VALUE"""),2023.0)</f>
        <v>2023</v>
      </c>
      <c r="I2058" s="14" t="str">
        <f>IFERROR(__xludf.DUMMYFUNCTION("""COMPUTED_VALUE"""),"COD")</f>
        <v>COD</v>
      </c>
      <c r="J2058" s="14" t="str">
        <f>IFERROR(__xludf.DUMMYFUNCTION("""COMPUTED_VALUE"""),"Delivered*Delivery Experience: Quick and professional")</f>
        <v>Delivered*Delivery Experience: Quick and professional</v>
      </c>
      <c r="K2058" s="14" t="str">
        <f>IFERROR(__xludf.DUMMYFUNCTION("split(E2058,""+"")"),"Popcorn")</f>
        <v>Popcorn</v>
      </c>
      <c r="L2058" s="14" t="str">
        <f>IFERROR(__xludf.DUMMYFUNCTION("""COMPUTED_VALUE"""),"5*Manju Ajay")</f>
        <v>5*Manju Ajay</v>
      </c>
      <c r="M2058" s="14">
        <f>IFERROR(__xludf.DUMMYFUNCTION("SPLIT(L2058,""*"")"),5.0)</f>
        <v>5</v>
      </c>
      <c r="N2058" s="14" t="str">
        <f>IFERROR(__xludf.DUMMYFUNCTION("""COMPUTED_VALUE"""),"Manju Ajay")</f>
        <v>Manju Ajay</v>
      </c>
      <c r="O2058" s="14" t="str">
        <f>IFERROR(__xludf.DUMMYFUNCTION("split(J2058,""*"")"),"Delivered")</f>
        <v>Delivered</v>
      </c>
      <c r="P2058" s="14" t="str">
        <f>IFERROR(__xludf.DUMMYFUNCTION("""COMPUTED_VALUE"""),"Delivery Experience: Quick and professional")</f>
        <v>Delivery Experience: Quick and professional</v>
      </c>
      <c r="Q2058" s="14" t="str">
        <f>IFERROR(__xludf.DUMMYFUNCTION("split(P2058,"":"")"),"Delivery Experience")</f>
        <v>Delivery Experience</v>
      </c>
      <c r="R2058" s="14" t="str">
        <f>IFERROR(__xludf.DUMMYFUNCTION("""COMPUTED_VALUE""")," Quick and professional")</f>
        <v> Quick and professional</v>
      </c>
      <c r="S2058" s="14" t="str">
        <f t="shared" ref="S2058:U2058" si="4119">trim(B2058)</f>
        <v>ord_82034</v>
      </c>
      <c r="T2058" s="14" t="str">
        <f t="shared" si="4119"/>
        <v>Kritika Shetty</v>
      </c>
      <c r="U2058" s="14" t="str">
        <f t="shared" si="4119"/>
        <v>Malad</v>
      </c>
      <c r="V2058" s="14" t="str">
        <f t="shared" si="4"/>
        <v>Popcorn</v>
      </c>
      <c r="W2058" s="14">
        <f t="shared" si="5"/>
        <v>5</v>
      </c>
      <c r="X2058" s="14" t="str">
        <f t="shared" si="6"/>
        <v>Manju Ajay</v>
      </c>
      <c r="Y2058" s="15">
        <f t="shared" si="7"/>
        <v>45094</v>
      </c>
      <c r="Z2058" s="14" t="str">
        <f t="shared" si="8"/>
        <v>COD</v>
      </c>
      <c r="AA2058" s="14" t="str">
        <f t="shared" si="9"/>
        <v>Delivered</v>
      </c>
      <c r="AB2058" s="14" t="str">
        <f t="shared" ref="AB2058:AC2058" si="4120">trim(Q2058)</f>
        <v>Delivery Experience</v>
      </c>
      <c r="AC2058" s="14" t="str">
        <f t="shared" si="4120"/>
        <v>Quick and professional</v>
      </c>
      <c r="AD2058" s="8"/>
    </row>
    <row r="2059">
      <c r="A2059" s="14" t="str">
        <f>IFERROR(__xludf.DUMMYFUNCTION("""COMPUTED_VALUE"""),"//ord_82035//Sahil Desai//Colaba//Cold Coffee+6*Shine Thomas/12/7/2023//Online Payment//Delivered*Convenience: Easy tracking")</f>
        <v>//ord_82035//Sahil Desai//Colaba//Cold Coffee+6*Shine Thomas/12/7/2023//Online Payment//Delivered*Convenience: Easy tracking</v>
      </c>
      <c r="B2059" s="14" t="str">
        <f>IFERROR(__xludf.DUMMYFUNCTION("split(A2059,""//"")"),"ord_82035")</f>
        <v>ord_82035</v>
      </c>
      <c r="C2059" s="14" t="str">
        <f>IFERROR(__xludf.DUMMYFUNCTION("""COMPUTED_VALUE"""),"Sahil Desai")</f>
        <v>Sahil Desai</v>
      </c>
      <c r="D2059" s="14" t="str">
        <f>IFERROR(__xludf.DUMMYFUNCTION("""COMPUTED_VALUE"""),"Colaba")</f>
        <v>Colaba</v>
      </c>
      <c r="E2059" s="14" t="str">
        <f>IFERROR(__xludf.DUMMYFUNCTION("""COMPUTED_VALUE"""),"Cold Coffee+6*Shine Thomas")</f>
        <v>Cold Coffee+6*Shine Thomas</v>
      </c>
      <c r="F2059" s="14">
        <f>IFERROR(__xludf.DUMMYFUNCTION("""COMPUTED_VALUE"""),12.0)</f>
        <v>12</v>
      </c>
      <c r="G2059" s="14">
        <f>IFERROR(__xludf.DUMMYFUNCTION("""COMPUTED_VALUE"""),7.0)</f>
        <v>7</v>
      </c>
      <c r="H2059" s="14">
        <f>IFERROR(__xludf.DUMMYFUNCTION("""COMPUTED_VALUE"""),2023.0)</f>
        <v>2023</v>
      </c>
      <c r="I2059" s="14" t="str">
        <f>IFERROR(__xludf.DUMMYFUNCTION("""COMPUTED_VALUE"""),"Online Payment")</f>
        <v>Online Payment</v>
      </c>
      <c r="J2059" s="14" t="str">
        <f>IFERROR(__xludf.DUMMYFUNCTION("""COMPUTED_VALUE"""),"Delivered*Convenience: Easy tracking")</f>
        <v>Delivered*Convenience: Easy tracking</v>
      </c>
      <c r="K2059" s="14" t="str">
        <f>IFERROR(__xludf.DUMMYFUNCTION("split(E2059,""+"")"),"Cold Coffee")</f>
        <v>Cold Coffee</v>
      </c>
      <c r="L2059" s="14" t="str">
        <f>IFERROR(__xludf.DUMMYFUNCTION("""COMPUTED_VALUE"""),"6*Shine Thomas")</f>
        <v>6*Shine Thomas</v>
      </c>
      <c r="M2059" s="14">
        <f>IFERROR(__xludf.DUMMYFUNCTION("SPLIT(L2059,""*"")"),6.0)</f>
        <v>6</v>
      </c>
      <c r="N2059" s="14" t="str">
        <f>IFERROR(__xludf.DUMMYFUNCTION("""COMPUTED_VALUE"""),"Shine Thomas")</f>
        <v>Shine Thomas</v>
      </c>
      <c r="O2059" s="14" t="str">
        <f>IFERROR(__xludf.DUMMYFUNCTION("split(J2059,""*"")"),"Delivered")</f>
        <v>Delivered</v>
      </c>
      <c r="P2059" s="14" t="str">
        <f>IFERROR(__xludf.DUMMYFUNCTION("""COMPUTED_VALUE"""),"Convenience: Easy tracking")</f>
        <v>Convenience: Easy tracking</v>
      </c>
      <c r="Q2059" s="14" t="str">
        <f>IFERROR(__xludf.DUMMYFUNCTION("split(P2059,"":"")"),"Convenience")</f>
        <v>Convenience</v>
      </c>
      <c r="R2059" s="14" t="str">
        <f>IFERROR(__xludf.DUMMYFUNCTION("""COMPUTED_VALUE""")," Easy tracking")</f>
        <v> Easy tracking</v>
      </c>
      <c r="S2059" s="14" t="str">
        <f t="shared" ref="S2059:U2059" si="4121">trim(B2059)</f>
        <v>ord_82035</v>
      </c>
      <c r="T2059" s="14" t="str">
        <f t="shared" si="4121"/>
        <v>Sahil Desai</v>
      </c>
      <c r="U2059" s="14" t="str">
        <f t="shared" si="4121"/>
        <v>Colaba</v>
      </c>
      <c r="V2059" s="14" t="str">
        <f t="shared" si="4"/>
        <v>Cold Coffee</v>
      </c>
      <c r="W2059" s="14">
        <f t="shared" si="5"/>
        <v>6</v>
      </c>
      <c r="X2059" s="14" t="str">
        <f t="shared" si="6"/>
        <v>Shine Thomas</v>
      </c>
      <c r="Y2059" s="15">
        <f t="shared" si="7"/>
        <v>45267</v>
      </c>
      <c r="Z2059" s="14" t="str">
        <f t="shared" si="8"/>
        <v>Online Payment</v>
      </c>
      <c r="AA2059" s="14" t="str">
        <f t="shared" si="9"/>
        <v>Delivered</v>
      </c>
      <c r="AB2059" s="14" t="str">
        <f t="shared" ref="AB2059:AC2059" si="4122">trim(Q2059)</f>
        <v>Convenience</v>
      </c>
      <c r="AC2059" s="14" t="str">
        <f t="shared" si="4122"/>
        <v>Easy tracking</v>
      </c>
      <c r="AD2059" s="8"/>
    </row>
    <row r="2060">
      <c r="A2060" s="14" t="str">
        <f>IFERROR(__xludf.DUMMYFUNCTION("""COMPUTED_VALUE"""),"//ord_82036//Kritika Shetty//Malad//Sweet Corn+1*Kiran Mehta/9/16/2023//Credit Card//Cancelled*Delayed Delivery:Vehicle Breakdown")</f>
        <v>//ord_82036//Kritika Shetty//Malad//Sweet Corn+1*Kiran Mehta/9/16/2023//Credit Card//Cancelled*Delayed Delivery:Vehicle Breakdown</v>
      </c>
      <c r="B2060" s="14" t="str">
        <f>IFERROR(__xludf.DUMMYFUNCTION("split(A2060,""//"")"),"ord_82036")</f>
        <v>ord_82036</v>
      </c>
      <c r="C2060" s="14" t="str">
        <f>IFERROR(__xludf.DUMMYFUNCTION("""COMPUTED_VALUE"""),"Kritika Shetty")</f>
        <v>Kritika Shetty</v>
      </c>
      <c r="D2060" s="14" t="str">
        <f>IFERROR(__xludf.DUMMYFUNCTION("""COMPUTED_VALUE"""),"Malad")</f>
        <v>Malad</v>
      </c>
      <c r="E2060" s="14" t="str">
        <f>IFERROR(__xludf.DUMMYFUNCTION("""COMPUTED_VALUE"""),"Sweet Corn+1*Kiran Mehta")</f>
        <v>Sweet Corn+1*Kiran Mehta</v>
      </c>
      <c r="F2060" s="14">
        <f>IFERROR(__xludf.DUMMYFUNCTION("""COMPUTED_VALUE"""),9.0)</f>
        <v>9</v>
      </c>
      <c r="G2060" s="14">
        <f>IFERROR(__xludf.DUMMYFUNCTION("""COMPUTED_VALUE"""),16.0)</f>
        <v>16</v>
      </c>
      <c r="H2060" s="14">
        <f>IFERROR(__xludf.DUMMYFUNCTION("""COMPUTED_VALUE"""),2023.0)</f>
        <v>2023</v>
      </c>
      <c r="I2060" s="14" t="str">
        <f>IFERROR(__xludf.DUMMYFUNCTION("""COMPUTED_VALUE"""),"Credit Card")</f>
        <v>Credit Card</v>
      </c>
      <c r="J2060" s="14" t="str">
        <f>IFERROR(__xludf.DUMMYFUNCTION("""COMPUTED_VALUE"""),"Cancelled*Delayed Delivery:Vehicle Breakdown")</f>
        <v>Cancelled*Delayed Delivery:Vehicle Breakdown</v>
      </c>
      <c r="K2060" s="14" t="str">
        <f>IFERROR(__xludf.DUMMYFUNCTION("split(E2060,""+"")"),"Sweet Corn")</f>
        <v>Sweet Corn</v>
      </c>
      <c r="L2060" s="14" t="str">
        <f>IFERROR(__xludf.DUMMYFUNCTION("""COMPUTED_VALUE"""),"1*Kiran Mehta")</f>
        <v>1*Kiran Mehta</v>
      </c>
      <c r="M2060" s="14">
        <f>IFERROR(__xludf.DUMMYFUNCTION("SPLIT(L2060,""*"")"),1.0)</f>
        <v>1</v>
      </c>
      <c r="N2060" s="14" t="str">
        <f>IFERROR(__xludf.DUMMYFUNCTION("""COMPUTED_VALUE"""),"Kiran Mehta")</f>
        <v>Kiran Mehta</v>
      </c>
      <c r="O2060" s="14" t="str">
        <f>IFERROR(__xludf.DUMMYFUNCTION("split(J2060,""*"")"),"Cancelled")</f>
        <v>Cancelled</v>
      </c>
      <c r="P2060" s="14" t="str">
        <f>IFERROR(__xludf.DUMMYFUNCTION("""COMPUTED_VALUE"""),"Delayed Delivery:Vehicle Breakdown")</f>
        <v>Delayed Delivery:Vehicle Breakdown</v>
      </c>
      <c r="Q2060" s="14" t="str">
        <f>IFERROR(__xludf.DUMMYFUNCTION("split(P2060,"":"")"),"Delayed Delivery")</f>
        <v>Delayed Delivery</v>
      </c>
      <c r="R2060" s="14" t="str">
        <f>IFERROR(__xludf.DUMMYFUNCTION("""COMPUTED_VALUE"""),"Vehicle Breakdown")</f>
        <v>Vehicle Breakdown</v>
      </c>
      <c r="S2060" s="14" t="str">
        <f t="shared" ref="S2060:U2060" si="4123">trim(B2060)</f>
        <v>ord_82036</v>
      </c>
      <c r="T2060" s="14" t="str">
        <f t="shared" si="4123"/>
        <v>Kritika Shetty</v>
      </c>
      <c r="U2060" s="14" t="str">
        <f t="shared" si="4123"/>
        <v>Malad</v>
      </c>
      <c r="V2060" s="14" t="str">
        <f t="shared" si="4"/>
        <v>Sweet Corn</v>
      </c>
      <c r="W2060" s="14">
        <f t="shared" si="5"/>
        <v>1</v>
      </c>
      <c r="X2060" s="14" t="str">
        <f t="shared" si="6"/>
        <v>Kiran Mehta</v>
      </c>
      <c r="Y2060" s="15">
        <f t="shared" si="7"/>
        <v>45185</v>
      </c>
      <c r="Z2060" s="14" t="str">
        <f t="shared" si="8"/>
        <v>Credit Card</v>
      </c>
      <c r="AA2060" s="14" t="str">
        <f t="shared" si="9"/>
        <v>Cancelled</v>
      </c>
      <c r="AB2060" s="14" t="str">
        <f t="shared" ref="AB2060:AC2060" si="4124">trim(Q2060)</f>
        <v>Delayed Delivery</v>
      </c>
      <c r="AC2060" s="14" t="str">
        <f t="shared" si="4124"/>
        <v>Vehicle Breakdown</v>
      </c>
      <c r="AD2060" s="8"/>
    </row>
    <row r="2061">
      <c r="A2061" s="14" t="str">
        <f>IFERROR(__xludf.DUMMYFUNCTION("""COMPUTED_VALUE"""),"//ord_82037//Arvind Kulkarni//Juhu//Chicken Puff+1*Not Assigned/1/7/2023//UPI//Cancelled*App Glitches: Payment Button Malfunction")</f>
        <v>//ord_82037//Arvind Kulkarni//Juhu//Chicken Puff+1*Not Assigned/1/7/2023//UPI//Cancelled*App Glitches: Payment Button Malfunction</v>
      </c>
      <c r="B2061" s="14" t="str">
        <f>IFERROR(__xludf.DUMMYFUNCTION("split(A2061,""//"")"),"ord_82037")</f>
        <v>ord_82037</v>
      </c>
      <c r="C2061" s="14" t="str">
        <f>IFERROR(__xludf.DUMMYFUNCTION("""COMPUTED_VALUE"""),"Arvind Kulkarni")</f>
        <v>Arvind Kulkarni</v>
      </c>
      <c r="D2061" s="14" t="str">
        <f>IFERROR(__xludf.DUMMYFUNCTION("""COMPUTED_VALUE"""),"Juhu")</f>
        <v>Juhu</v>
      </c>
      <c r="E2061" s="14" t="str">
        <f>IFERROR(__xludf.DUMMYFUNCTION("""COMPUTED_VALUE"""),"Chicken Puff+1*Not Assigned")</f>
        <v>Chicken Puff+1*Not Assigned</v>
      </c>
      <c r="F2061" s="14">
        <f>IFERROR(__xludf.DUMMYFUNCTION("""COMPUTED_VALUE"""),1.0)</f>
        <v>1</v>
      </c>
      <c r="G2061" s="14">
        <f>IFERROR(__xludf.DUMMYFUNCTION("""COMPUTED_VALUE"""),7.0)</f>
        <v>7</v>
      </c>
      <c r="H2061" s="14">
        <f>IFERROR(__xludf.DUMMYFUNCTION("""COMPUTED_VALUE"""),2023.0)</f>
        <v>2023</v>
      </c>
      <c r="I2061" s="14" t="str">
        <f>IFERROR(__xludf.DUMMYFUNCTION("""COMPUTED_VALUE"""),"UPI")</f>
        <v>UPI</v>
      </c>
      <c r="J2061" s="14" t="str">
        <f>IFERROR(__xludf.DUMMYFUNCTION("""COMPUTED_VALUE"""),"Cancelled*App Glitches: Payment Button Malfunction")</f>
        <v>Cancelled*App Glitches: Payment Button Malfunction</v>
      </c>
      <c r="K2061" s="14" t="str">
        <f>IFERROR(__xludf.DUMMYFUNCTION("split(E2061,""+"")"),"Chicken Puff")</f>
        <v>Chicken Puff</v>
      </c>
      <c r="L2061" s="14" t="str">
        <f>IFERROR(__xludf.DUMMYFUNCTION("""COMPUTED_VALUE"""),"1*Not Assigned")</f>
        <v>1*Not Assigned</v>
      </c>
      <c r="M2061" s="14">
        <f>IFERROR(__xludf.DUMMYFUNCTION("SPLIT(L2061,""*"")"),1.0)</f>
        <v>1</v>
      </c>
      <c r="N2061" s="14" t="str">
        <f>IFERROR(__xludf.DUMMYFUNCTION("""COMPUTED_VALUE"""),"Not Assigned")</f>
        <v>Not Assigned</v>
      </c>
      <c r="O2061" s="14" t="str">
        <f>IFERROR(__xludf.DUMMYFUNCTION("split(J2061,""*"")"),"Cancelled")</f>
        <v>Cancelled</v>
      </c>
      <c r="P2061" s="14" t="str">
        <f>IFERROR(__xludf.DUMMYFUNCTION("""COMPUTED_VALUE"""),"App Glitches: Payment Button Malfunction")</f>
        <v>App Glitches: Payment Button Malfunction</v>
      </c>
      <c r="Q2061" s="14" t="str">
        <f>IFERROR(__xludf.DUMMYFUNCTION("split(P2061,"":"")"),"App Glitches")</f>
        <v>App Glitches</v>
      </c>
      <c r="R2061" s="14" t="str">
        <f>IFERROR(__xludf.DUMMYFUNCTION("""COMPUTED_VALUE""")," Payment Button Malfunction")</f>
        <v> Payment Button Malfunction</v>
      </c>
      <c r="S2061" s="14" t="str">
        <f t="shared" ref="S2061:U2061" si="4125">trim(B2061)</f>
        <v>ord_82037</v>
      </c>
      <c r="T2061" s="14" t="str">
        <f t="shared" si="4125"/>
        <v>Arvind Kulkarni</v>
      </c>
      <c r="U2061" s="14" t="str">
        <f t="shared" si="4125"/>
        <v>Juhu</v>
      </c>
      <c r="V2061" s="14" t="str">
        <f t="shared" si="4"/>
        <v>Chicken Puff</v>
      </c>
      <c r="W2061" s="14">
        <f t="shared" si="5"/>
        <v>1</v>
      </c>
      <c r="X2061" s="14" t="str">
        <f t="shared" si="6"/>
        <v>Not Assigned</v>
      </c>
      <c r="Y2061" s="15">
        <f t="shared" si="7"/>
        <v>44933</v>
      </c>
      <c r="Z2061" s="14" t="str">
        <f t="shared" si="8"/>
        <v>UPI</v>
      </c>
      <c r="AA2061" s="14" t="str">
        <f t="shared" si="9"/>
        <v>Cancelled</v>
      </c>
      <c r="AB2061" s="14" t="str">
        <f t="shared" ref="AB2061:AC2061" si="4126">trim(Q2061)</f>
        <v>App Glitches</v>
      </c>
      <c r="AC2061" s="14" t="str">
        <f t="shared" si="4126"/>
        <v>Payment Button Malfunction</v>
      </c>
      <c r="AD2061" s="8"/>
    </row>
    <row r="2062">
      <c r="A2062" s="14" t="str">
        <f>IFERROR(__xludf.DUMMYFUNCTION("""COMPUTED_VALUE"""),"//ord_82038//Omkar Mishra//Powai//Banana+1*Ramesh S/9/18/2023//UPI//Delivered*Overall Satisfaction: Great service will order again")</f>
        <v>//ord_82038//Omkar Mishra//Powai//Banana+1*Ramesh S/9/18/2023//UPI//Delivered*Overall Satisfaction: Great service will order again</v>
      </c>
      <c r="B2062" s="14" t="str">
        <f>IFERROR(__xludf.DUMMYFUNCTION("split(A2062,""//"")"),"ord_82038")</f>
        <v>ord_82038</v>
      </c>
      <c r="C2062" s="14" t="str">
        <f>IFERROR(__xludf.DUMMYFUNCTION("""COMPUTED_VALUE"""),"Omkar Mishra")</f>
        <v>Omkar Mishra</v>
      </c>
      <c r="D2062" s="14" t="str">
        <f>IFERROR(__xludf.DUMMYFUNCTION("""COMPUTED_VALUE"""),"Powai")</f>
        <v>Powai</v>
      </c>
      <c r="E2062" s="14" t="str">
        <f>IFERROR(__xludf.DUMMYFUNCTION("""COMPUTED_VALUE"""),"Banana+1*Ramesh S")</f>
        <v>Banana+1*Ramesh S</v>
      </c>
      <c r="F2062" s="14">
        <f>IFERROR(__xludf.DUMMYFUNCTION("""COMPUTED_VALUE"""),9.0)</f>
        <v>9</v>
      </c>
      <c r="G2062" s="14">
        <f>IFERROR(__xludf.DUMMYFUNCTION("""COMPUTED_VALUE"""),18.0)</f>
        <v>18</v>
      </c>
      <c r="H2062" s="14">
        <f>IFERROR(__xludf.DUMMYFUNCTION("""COMPUTED_VALUE"""),2023.0)</f>
        <v>2023</v>
      </c>
      <c r="I2062" s="14" t="str">
        <f>IFERROR(__xludf.DUMMYFUNCTION("""COMPUTED_VALUE"""),"UPI")</f>
        <v>UPI</v>
      </c>
      <c r="J2062" s="14" t="str">
        <f>IFERROR(__xludf.DUMMYFUNCTION("""COMPUTED_VALUE"""),"Delivered*Overall Satisfaction: Great service will order again")</f>
        <v>Delivered*Overall Satisfaction: Great service will order again</v>
      </c>
      <c r="K2062" s="14" t="str">
        <f>IFERROR(__xludf.DUMMYFUNCTION("split(E2062,""+"")"),"Banana")</f>
        <v>Banana</v>
      </c>
      <c r="L2062" s="14" t="str">
        <f>IFERROR(__xludf.DUMMYFUNCTION("""COMPUTED_VALUE"""),"1*Ramesh S")</f>
        <v>1*Ramesh S</v>
      </c>
      <c r="M2062" s="14">
        <f>IFERROR(__xludf.DUMMYFUNCTION("SPLIT(L2062,""*"")"),1.0)</f>
        <v>1</v>
      </c>
      <c r="N2062" s="14" t="str">
        <f>IFERROR(__xludf.DUMMYFUNCTION("""COMPUTED_VALUE"""),"Ramesh S")</f>
        <v>Ramesh S</v>
      </c>
      <c r="O2062" s="14" t="str">
        <f>IFERROR(__xludf.DUMMYFUNCTION("split(J2062,""*"")"),"Delivered")</f>
        <v>Delivered</v>
      </c>
      <c r="P2062" s="14" t="str">
        <f>IFERROR(__xludf.DUMMYFUNCTION("""COMPUTED_VALUE"""),"Overall Satisfaction: Great service will order again")</f>
        <v>Overall Satisfaction: Great service will order again</v>
      </c>
      <c r="Q2062" s="14" t="str">
        <f>IFERROR(__xludf.DUMMYFUNCTION("split(P2062,"":"")"),"Overall Satisfaction")</f>
        <v>Overall Satisfaction</v>
      </c>
      <c r="R2062" s="14" t="str">
        <f>IFERROR(__xludf.DUMMYFUNCTION("""COMPUTED_VALUE""")," Great service will order again")</f>
        <v> Great service will order again</v>
      </c>
      <c r="S2062" s="14" t="str">
        <f t="shared" ref="S2062:U2062" si="4127">trim(B2062)</f>
        <v>ord_82038</v>
      </c>
      <c r="T2062" s="14" t="str">
        <f t="shared" si="4127"/>
        <v>Omkar Mishra</v>
      </c>
      <c r="U2062" s="14" t="str">
        <f t="shared" si="4127"/>
        <v>Powai</v>
      </c>
      <c r="V2062" s="14" t="str">
        <f t="shared" si="4"/>
        <v>Banana</v>
      </c>
      <c r="W2062" s="14">
        <f t="shared" si="5"/>
        <v>1</v>
      </c>
      <c r="X2062" s="14" t="str">
        <f t="shared" si="6"/>
        <v>Ramesh S</v>
      </c>
      <c r="Y2062" s="15">
        <f t="shared" si="7"/>
        <v>45187</v>
      </c>
      <c r="Z2062" s="14" t="str">
        <f t="shared" si="8"/>
        <v>UPI</v>
      </c>
      <c r="AA2062" s="14" t="str">
        <f t="shared" si="9"/>
        <v>Delivered</v>
      </c>
      <c r="AB2062" s="14" t="str">
        <f t="shared" ref="AB2062:AC2062" si="4128">trim(Q2062)</f>
        <v>Overall Satisfaction</v>
      </c>
      <c r="AC2062" s="14" t="str">
        <f t="shared" si="4128"/>
        <v>Great service will order again</v>
      </c>
      <c r="AD2062" s="8"/>
    </row>
    <row r="2063">
      <c r="A2063" s="14" t="str">
        <f>IFERROR(__xludf.DUMMYFUNCTION("""COMPUTED_VALUE"""),"//ord_82039//Aarav Mehta//Andheri//Potato+1*Not Assigned/8/7/2023//Online Payment//Cancelled*High Delivery Fees")</f>
        <v>//ord_82039//Aarav Mehta//Andheri//Potato+1*Not Assigned/8/7/2023//Online Payment//Cancelled*High Delivery Fees</v>
      </c>
      <c r="B2063" s="14" t="str">
        <f>IFERROR(__xludf.DUMMYFUNCTION("split(A2063,""//"")"),"ord_82039")</f>
        <v>ord_82039</v>
      </c>
      <c r="C2063" s="14" t="str">
        <f>IFERROR(__xludf.DUMMYFUNCTION("""COMPUTED_VALUE"""),"Aarav Mehta")</f>
        <v>Aarav Mehta</v>
      </c>
      <c r="D2063" s="14" t="str">
        <f>IFERROR(__xludf.DUMMYFUNCTION("""COMPUTED_VALUE"""),"Andheri")</f>
        <v>Andheri</v>
      </c>
      <c r="E2063" s="14" t="str">
        <f>IFERROR(__xludf.DUMMYFUNCTION("""COMPUTED_VALUE"""),"Potato+1*Not Assigned")</f>
        <v>Potato+1*Not Assigned</v>
      </c>
      <c r="F2063" s="14">
        <f>IFERROR(__xludf.DUMMYFUNCTION("""COMPUTED_VALUE"""),8.0)</f>
        <v>8</v>
      </c>
      <c r="G2063" s="14">
        <f>IFERROR(__xludf.DUMMYFUNCTION("""COMPUTED_VALUE"""),7.0)</f>
        <v>7</v>
      </c>
      <c r="H2063" s="14">
        <f>IFERROR(__xludf.DUMMYFUNCTION("""COMPUTED_VALUE"""),2023.0)</f>
        <v>2023</v>
      </c>
      <c r="I2063" s="14" t="str">
        <f>IFERROR(__xludf.DUMMYFUNCTION("""COMPUTED_VALUE"""),"Online Payment")</f>
        <v>Online Payment</v>
      </c>
      <c r="J2063" s="14" t="str">
        <f>IFERROR(__xludf.DUMMYFUNCTION("""COMPUTED_VALUE"""),"Cancelled*High Delivery Fees")</f>
        <v>Cancelled*High Delivery Fees</v>
      </c>
      <c r="K2063" s="14" t="str">
        <f>IFERROR(__xludf.DUMMYFUNCTION("split(E2063,""+"")"),"Potato")</f>
        <v>Potato</v>
      </c>
      <c r="L2063" s="14" t="str">
        <f>IFERROR(__xludf.DUMMYFUNCTION("""COMPUTED_VALUE"""),"1*Not Assigned")</f>
        <v>1*Not Assigned</v>
      </c>
      <c r="M2063" s="14">
        <f>IFERROR(__xludf.DUMMYFUNCTION("SPLIT(L2063,""*"")"),1.0)</f>
        <v>1</v>
      </c>
      <c r="N2063" s="14" t="str">
        <f>IFERROR(__xludf.DUMMYFUNCTION("""COMPUTED_VALUE"""),"Not Assigned")</f>
        <v>Not Assigned</v>
      </c>
      <c r="O2063" s="14" t="str">
        <f>IFERROR(__xludf.DUMMYFUNCTION("split(J2063,""*"")"),"Cancelled")</f>
        <v>Cancelled</v>
      </c>
      <c r="P2063" s="14" t="str">
        <f>IFERROR(__xludf.DUMMYFUNCTION("""COMPUTED_VALUE"""),"High Delivery Fees")</f>
        <v>High Delivery Fees</v>
      </c>
      <c r="Q2063" s="14" t="str">
        <f>IFERROR(__xludf.DUMMYFUNCTION("split(P2063,"":"")"),"High Delivery Fees")</f>
        <v>High Delivery Fees</v>
      </c>
      <c r="R2063" s="14"/>
      <c r="S2063" s="14" t="str">
        <f t="shared" ref="S2063:U2063" si="4129">trim(B2063)</f>
        <v>ord_82039</v>
      </c>
      <c r="T2063" s="14" t="str">
        <f t="shared" si="4129"/>
        <v>Aarav Mehta</v>
      </c>
      <c r="U2063" s="14" t="str">
        <f t="shared" si="4129"/>
        <v>Andheri</v>
      </c>
      <c r="V2063" s="14" t="str">
        <f t="shared" si="4"/>
        <v>Potato</v>
      </c>
      <c r="W2063" s="14">
        <f t="shared" si="5"/>
        <v>1</v>
      </c>
      <c r="X2063" s="14" t="str">
        <f t="shared" si="6"/>
        <v>Not Assigned</v>
      </c>
      <c r="Y2063" s="15">
        <f t="shared" si="7"/>
        <v>45145</v>
      </c>
      <c r="Z2063" s="14" t="str">
        <f t="shared" si="8"/>
        <v>Online Payment</v>
      </c>
      <c r="AA2063" s="14" t="str">
        <f t="shared" si="9"/>
        <v>Cancelled</v>
      </c>
      <c r="AB2063" s="14" t="str">
        <f t="shared" ref="AB2063:AC2063" si="4130">trim(Q2063)</f>
        <v>High Delivery Fees</v>
      </c>
      <c r="AC2063" s="14" t="str">
        <f t="shared" si="4130"/>
        <v/>
      </c>
      <c r="AD2063" s="8"/>
    </row>
    <row r="2064">
      <c r="A2064" s="14" t="str">
        <f>IFERROR(__xludf.DUMMYFUNCTION("""COMPUTED_VALUE"""),"//ord_82040//Aditya Rao//Lower Parel//Orange+3*Sita T/6/10/2023//Online Payment//Delivered*On-time Delivery: Delivered on time")</f>
        <v>//ord_82040//Aditya Rao//Lower Parel//Orange+3*Sita T/6/10/2023//Online Payment//Delivered*On-time Delivery: Delivered on time</v>
      </c>
      <c r="B2064" s="14" t="str">
        <f>IFERROR(__xludf.DUMMYFUNCTION("split(A2064,""//"")"),"ord_82040")</f>
        <v>ord_82040</v>
      </c>
      <c r="C2064" s="14" t="str">
        <f>IFERROR(__xludf.DUMMYFUNCTION("""COMPUTED_VALUE"""),"Aditya Rao")</f>
        <v>Aditya Rao</v>
      </c>
      <c r="D2064" s="14" t="str">
        <f>IFERROR(__xludf.DUMMYFUNCTION("""COMPUTED_VALUE"""),"Lower Parel")</f>
        <v>Lower Parel</v>
      </c>
      <c r="E2064" s="14" t="str">
        <f>IFERROR(__xludf.DUMMYFUNCTION("""COMPUTED_VALUE"""),"Orange+3*Sita T")</f>
        <v>Orange+3*Sita T</v>
      </c>
      <c r="F2064" s="14">
        <f>IFERROR(__xludf.DUMMYFUNCTION("""COMPUTED_VALUE"""),6.0)</f>
        <v>6</v>
      </c>
      <c r="G2064" s="14">
        <f>IFERROR(__xludf.DUMMYFUNCTION("""COMPUTED_VALUE"""),10.0)</f>
        <v>10</v>
      </c>
      <c r="H2064" s="14">
        <f>IFERROR(__xludf.DUMMYFUNCTION("""COMPUTED_VALUE"""),2023.0)</f>
        <v>2023</v>
      </c>
      <c r="I2064" s="14" t="str">
        <f>IFERROR(__xludf.DUMMYFUNCTION("""COMPUTED_VALUE"""),"Online Payment")</f>
        <v>Online Payment</v>
      </c>
      <c r="J2064" s="14" t="str">
        <f>IFERROR(__xludf.DUMMYFUNCTION("""COMPUTED_VALUE"""),"Delivered*On-time Delivery: Delivered on time")</f>
        <v>Delivered*On-time Delivery: Delivered on time</v>
      </c>
      <c r="K2064" s="14" t="str">
        <f>IFERROR(__xludf.DUMMYFUNCTION("split(E2064,""+"")"),"Orange")</f>
        <v>Orange</v>
      </c>
      <c r="L2064" s="14" t="str">
        <f>IFERROR(__xludf.DUMMYFUNCTION("""COMPUTED_VALUE"""),"3*Sita T")</f>
        <v>3*Sita T</v>
      </c>
      <c r="M2064" s="14">
        <f>IFERROR(__xludf.DUMMYFUNCTION("SPLIT(L2064,""*"")"),3.0)</f>
        <v>3</v>
      </c>
      <c r="N2064" s="14" t="str">
        <f>IFERROR(__xludf.DUMMYFUNCTION("""COMPUTED_VALUE"""),"Sita T")</f>
        <v>Sita T</v>
      </c>
      <c r="O2064" s="14" t="str">
        <f>IFERROR(__xludf.DUMMYFUNCTION("split(J2064,""*"")"),"Delivered")</f>
        <v>Delivered</v>
      </c>
      <c r="P2064" s="14" t="str">
        <f>IFERROR(__xludf.DUMMYFUNCTION("""COMPUTED_VALUE"""),"On-time Delivery: Delivered on time")</f>
        <v>On-time Delivery: Delivered on time</v>
      </c>
      <c r="Q2064" s="14" t="str">
        <f>IFERROR(__xludf.DUMMYFUNCTION("split(P2064,"":"")"),"On-time Delivery")</f>
        <v>On-time Delivery</v>
      </c>
      <c r="R2064" s="14" t="str">
        <f>IFERROR(__xludf.DUMMYFUNCTION("""COMPUTED_VALUE""")," Delivered on time")</f>
        <v> Delivered on time</v>
      </c>
      <c r="S2064" s="14" t="str">
        <f t="shared" ref="S2064:U2064" si="4131">trim(B2064)</f>
        <v>ord_82040</v>
      </c>
      <c r="T2064" s="14" t="str">
        <f t="shared" si="4131"/>
        <v>Aditya Rao</v>
      </c>
      <c r="U2064" s="14" t="str">
        <f t="shared" si="4131"/>
        <v>Lower Parel</v>
      </c>
      <c r="V2064" s="14" t="str">
        <f t="shared" si="4"/>
        <v>Orange</v>
      </c>
      <c r="W2064" s="14">
        <f t="shared" si="5"/>
        <v>3</v>
      </c>
      <c r="X2064" s="14" t="str">
        <f t="shared" si="6"/>
        <v>Sita T</v>
      </c>
      <c r="Y2064" s="15">
        <f t="shared" si="7"/>
        <v>45087</v>
      </c>
      <c r="Z2064" s="14" t="str">
        <f t="shared" si="8"/>
        <v>Online Payment</v>
      </c>
      <c r="AA2064" s="14" t="str">
        <f t="shared" si="9"/>
        <v>Delivered</v>
      </c>
      <c r="AB2064" s="14" t="str">
        <f t="shared" ref="AB2064:AC2064" si="4132">trim(Q2064)</f>
        <v>On-time Delivery</v>
      </c>
      <c r="AC2064" s="14" t="str">
        <f t="shared" si="4132"/>
        <v>Delivered on time</v>
      </c>
      <c r="AD2064" s="8"/>
    </row>
    <row r="2065">
      <c r="A2065" s="14" t="str">
        <f>IFERROR(__xludf.DUMMYFUNCTION("""COMPUTED_VALUE"""),"//ord_82041//Aditya Rao//Lower Parel//Tiramisu+3*Ram Gopal/2/16/2023//Online Payment//Delivered*Quality of Items: Perfect condition")</f>
        <v>//ord_82041//Aditya Rao//Lower Parel//Tiramisu+3*Ram Gopal/2/16/2023//Online Payment//Delivered*Quality of Items: Perfect condition</v>
      </c>
      <c r="B2065" s="14" t="str">
        <f>IFERROR(__xludf.DUMMYFUNCTION("split(A2065,""//"")"),"ord_82041")</f>
        <v>ord_82041</v>
      </c>
      <c r="C2065" s="14" t="str">
        <f>IFERROR(__xludf.DUMMYFUNCTION("""COMPUTED_VALUE"""),"Aditya Rao")</f>
        <v>Aditya Rao</v>
      </c>
      <c r="D2065" s="14" t="str">
        <f>IFERROR(__xludf.DUMMYFUNCTION("""COMPUTED_VALUE"""),"Lower Parel")</f>
        <v>Lower Parel</v>
      </c>
      <c r="E2065" s="14" t="str">
        <f>IFERROR(__xludf.DUMMYFUNCTION("""COMPUTED_VALUE"""),"Tiramisu+3*Ram Gopal")</f>
        <v>Tiramisu+3*Ram Gopal</v>
      </c>
      <c r="F2065" s="14">
        <f>IFERROR(__xludf.DUMMYFUNCTION("""COMPUTED_VALUE"""),2.0)</f>
        <v>2</v>
      </c>
      <c r="G2065" s="14">
        <f>IFERROR(__xludf.DUMMYFUNCTION("""COMPUTED_VALUE"""),16.0)</f>
        <v>16</v>
      </c>
      <c r="H2065" s="14">
        <f>IFERROR(__xludf.DUMMYFUNCTION("""COMPUTED_VALUE"""),2023.0)</f>
        <v>2023</v>
      </c>
      <c r="I2065" s="14" t="str">
        <f>IFERROR(__xludf.DUMMYFUNCTION("""COMPUTED_VALUE"""),"Online Payment")</f>
        <v>Online Payment</v>
      </c>
      <c r="J2065" s="14" t="str">
        <f>IFERROR(__xludf.DUMMYFUNCTION("""COMPUTED_VALUE"""),"Delivered*Quality of Items: Perfect condition")</f>
        <v>Delivered*Quality of Items: Perfect condition</v>
      </c>
      <c r="K2065" s="14" t="str">
        <f>IFERROR(__xludf.DUMMYFUNCTION("split(E2065,""+"")"),"Tiramisu")</f>
        <v>Tiramisu</v>
      </c>
      <c r="L2065" s="14" t="str">
        <f>IFERROR(__xludf.DUMMYFUNCTION("""COMPUTED_VALUE"""),"3*Ram Gopal")</f>
        <v>3*Ram Gopal</v>
      </c>
      <c r="M2065" s="14">
        <f>IFERROR(__xludf.DUMMYFUNCTION("SPLIT(L2065,""*"")"),3.0)</f>
        <v>3</v>
      </c>
      <c r="N2065" s="14" t="str">
        <f>IFERROR(__xludf.DUMMYFUNCTION("""COMPUTED_VALUE"""),"Ram Gopal")</f>
        <v>Ram Gopal</v>
      </c>
      <c r="O2065" s="14" t="str">
        <f>IFERROR(__xludf.DUMMYFUNCTION("split(J2065,""*"")"),"Delivered")</f>
        <v>Delivered</v>
      </c>
      <c r="P2065" s="14" t="str">
        <f>IFERROR(__xludf.DUMMYFUNCTION("""COMPUTED_VALUE"""),"Quality of Items: Perfect condition")</f>
        <v>Quality of Items: Perfect condition</v>
      </c>
      <c r="Q2065" s="14" t="str">
        <f>IFERROR(__xludf.DUMMYFUNCTION("split(P2065,"":"")"),"Quality of Items")</f>
        <v>Quality of Items</v>
      </c>
      <c r="R2065" s="14" t="str">
        <f>IFERROR(__xludf.DUMMYFUNCTION("""COMPUTED_VALUE""")," Perfect condition")</f>
        <v> Perfect condition</v>
      </c>
      <c r="S2065" s="14" t="str">
        <f t="shared" ref="S2065:U2065" si="4133">trim(B2065)</f>
        <v>ord_82041</v>
      </c>
      <c r="T2065" s="14" t="str">
        <f t="shared" si="4133"/>
        <v>Aditya Rao</v>
      </c>
      <c r="U2065" s="14" t="str">
        <f t="shared" si="4133"/>
        <v>Lower Parel</v>
      </c>
      <c r="V2065" s="14" t="str">
        <f t="shared" si="4"/>
        <v>Tiramisu</v>
      </c>
      <c r="W2065" s="14">
        <f t="shared" si="5"/>
        <v>3</v>
      </c>
      <c r="X2065" s="14" t="str">
        <f t="shared" si="6"/>
        <v>Ram Gopal</v>
      </c>
      <c r="Y2065" s="15">
        <f t="shared" si="7"/>
        <v>44973</v>
      </c>
      <c r="Z2065" s="14" t="str">
        <f t="shared" si="8"/>
        <v>Online Payment</v>
      </c>
      <c r="AA2065" s="14" t="str">
        <f t="shared" si="9"/>
        <v>Delivered</v>
      </c>
      <c r="AB2065" s="14" t="str">
        <f t="shared" ref="AB2065:AC2065" si="4134">trim(Q2065)</f>
        <v>Quality of Items</v>
      </c>
      <c r="AC2065" s="14" t="str">
        <f t="shared" si="4134"/>
        <v>Perfect condition</v>
      </c>
      <c r="AD2065" s="8"/>
    </row>
    <row r="2066">
      <c r="A2066" s="14" t="str">
        <f>IFERROR(__xludf.DUMMYFUNCTION("""COMPUTED_VALUE"""),"//ord_82042//Sanjay Nair//Dadar//Cucumber+1*Not Assigned/8/16/2023//Online Payment//Cancelled*App Glitches:Slow Loading Time")</f>
        <v>//ord_82042//Sanjay Nair//Dadar//Cucumber+1*Not Assigned/8/16/2023//Online Payment//Cancelled*App Glitches:Slow Loading Time</v>
      </c>
      <c r="B2066" s="14" t="str">
        <f>IFERROR(__xludf.DUMMYFUNCTION("split(A2066,""//"")"),"ord_82042")</f>
        <v>ord_82042</v>
      </c>
      <c r="C2066" s="14" t="str">
        <f>IFERROR(__xludf.DUMMYFUNCTION("""COMPUTED_VALUE"""),"Sanjay Nair")</f>
        <v>Sanjay Nair</v>
      </c>
      <c r="D2066" s="14" t="str">
        <f>IFERROR(__xludf.DUMMYFUNCTION("""COMPUTED_VALUE"""),"Dadar")</f>
        <v>Dadar</v>
      </c>
      <c r="E2066" s="14" t="str">
        <f>IFERROR(__xludf.DUMMYFUNCTION("""COMPUTED_VALUE"""),"Cucumber+1*Not Assigned")</f>
        <v>Cucumber+1*Not Assigned</v>
      </c>
      <c r="F2066" s="14">
        <f>IFERROR(__xludf.DUMMYFUNCTION("""COMPUTED_VALUE"""),8.0)</f>
        <v>8</v>
      </c>
      <c r="G2066" s="14">
        <f>IFERROR(__xludf.DUMMYFUNCTION("""COMPUTED_VALUE"""),16.0)</f>
        <v>16</v>
      </c>
      <c r="H2066" s="14">
        <f>IFERROR(__xludf.DUMMYFUNCTION("""COMPUTED_VALUE"""),2023.0)</f>
        <v>2023</v>
      </c>
      <c r="I2066" s="14" t="str">
        <f>IFERROR(__xludf.DUMMYFUNCTION("""COMPUTED_VALUE"""),"Online Payment")</f>
        <v>Online Payment</v>
      </c>
      <c r="J2066" s="14" t="str">
        <f>IFERROR(__xludf.DUMMYFUNCTION("""COMPUTED_VALUE"""),"Cancelled*App Glitches:Slow Loading Time")</f>
        <v>Cancelled*App Glitches:Slow Loading Time</v>
      </c>
      <c r="K2066" s="14" t="str">
        <f>IFERROR(__xludf.DUMMYFUNCTION("split(E2066,""+"")"),"Cucumber")</f>
        <v>Cucumber</v>
      </c>
      <c r="L2066" s="14" t="str">
        <f>IFERROR(__xludf.DUMMYFUNCTION("""COMPUTED_VALUE"""),"1*Not Assigned")</f>
        <v>1*Not Assigned</v>
      </c>
      <c r="M2066" s="14">
        <f>IFERROR(__xludf.DUMMYFUNCTION("SPLIT(L2066,""*"")"),1.0)</f>
        <v>1</v>
      </c>
      <c r="N2066" s="14" t="str">
        <f>IFERROR(__xludf.DUMMYFUNCTION("""COMPUTED_VALUE"""),"Not Assigned")</f>
        <v>Not Assigned</v>
      </c>
      <c r="O2066" s="14" t="str">
        <f>IFERROR(__xludf.DUMMYFUNCTION("split(J2066,""*"")"),"Cancelled")</f>
        <v>Cancelled</v>
      </c>
      <c r="P2066" s="14" t="str">
        <f>IFERROR(__xludf.DUMMYFUNCTION("""COMPUTED_VALUE"""),"App Glitches:Slow Loading Time")</f>
        <v>App Glitches:Slow Loading Time</v>
      </c>
      <c r="Q2066" s="14" t="str">
        <f>IFERROR(__xludf.DUMMYFUNCTION("split(P2066,"":"")"),"App Glitches")</f>
        <v>App Glitches</v>
      </c>
      <c r="R2066" s="14" t="str">
        <f>IFERROR(__xludf.DUMMYFUNCTION("""COMPUTED_VALUE"""),"Slow Loading Time")</f>
        <v>Slow Loading Time</v>
      </c>
      <c r="S2066" s="14" t="str">
        <f t="shared" ref="S2066:U2066" si="4135">trim(B2066)</f>
        <v>ord_82042</v>
      </c>
      <c r="T2066" s="14" t="str">
        <f t="shared" si="4135"/>
        <v>Sanjay Nair</v>
      </c>
      <c r="U2066" s="14" t="str">
        <f t="shared" si="4135"/>
        <v>Dadar</v>
      </c>
      <c r="V2066" s="14" t="str">
        <f t="shared" si="4"/>
        <v>Cucumber</v>
      </c>
      <c r="W2066" s="14">
        <f t="shared" si="5"/>
        <v>1</v>
      </c>
      <c r="X2066" s="14" t="str">
        <f t="shared" si="6"/>
        <v>Not Assigned</v>
      </c>
      <c r="Y2066" s="15">
        <f t="shared" si="7"/>
        <v>45154</v>
      </c>
      <c r="Z2066" s="14" t="str">
        <f t="shared" si="8"/>
        <v>Online Payment</v>
      </c>
      <c r="AA2066" s="14" t="str">
        <f t="shared" si="9"/>
        <v>Cancelled</v>
      </c>
      <c r="AB2066" s="14" t="str">
        <f t="shared" ref="AB2066:AC2066" si="4136">trim(Q2066)</f>
        <v>App Glitches</v>
      </c>
      <c r="AC2066" s="14" t="str">
        <f t="shared" si="4136"/>
        <v>Slow Loading Time</v>
      </c>
      <c r="AD2066" s="8"/>
    </row>
    <row r="2067">
      <c r="A2067" s="14" t="str">
        <f>IFERROR(__xludf.DUMMYFUNCTION("""COMPUTED_VALUE"""),"//ord_82043//Aarohi Kapoor//Bandra//Chicken Puff+2*Manju Ajay/5/1/2023//Credit Card//Cancelled*Delayed Delivery:Heavy Traffic")</f>
        <v>//ord_82043//Aarohi Kapoor//Bandra//Chicken Puff+2*Manju Ajay/5/1/2023//Credit Card//Cancelled*Delayed Delivery:Heavy Traffic</v>
      </c>
      <c r="B2067" s="14" t="str">
        <f>IFERROR(__xludf.DUMMYFUNCTION("split(A2067,""//"")"),"ord_82043")</f>
        <v>ord_82043</v>
      </c>
      <c r="C2067" s="14" t="str">
        <f>IFERROR(__xludf.DUMMYFUNCTION("""COMPUTED_VALUE"""),"Aarohi Kapoor")</f>
        <v>Aarohi Kapoor</v>
      </c>
      <c r="D2067" s="14" t="str">
        <f>IFERROR(__xludf.DUMMYFUNCTION("""COMPUTED_VALUE"""),"Bandra")</f>
        <v>Bandra</v>
      </c>
      <c r="E2067" s="14" t="str">
        <f>IFERROR(__xludf.DUMMYFUNCTION("""COMPUTED_VALUE"""),"Chicken Puff+2*Manju Ajay")</f>
        <v>Chicken Puff+2*Manju Ajay</v>
      </c>
      <c r="F2067" s="14">
        <f>IFERROR(__xludf.DUMMYFUNCTION("""COMPUTED_VALUE"""),5.0)</f>
        <v>5</v>
      </c>
      <c r="G2067" s="14">
        <f>IFERROR(__xludf.DUMMYFUNCTION("""COMPUTED_VALUE"""),1.0)</f>
        <v>1</v>
      </c>
      <c r="H2067" s="14">
        <f>IFERROR(__xludf.DUMMYFUNCTION("""COMPUTED_VALUE"""),2023.0)</f>
        <v>2023</v>
      </c>
      <c r="I2067" s="14" t="str">
        <f>IFERROR(__xludf.DUMMYFUNCTION("""COMPUTED_VALUE"""),"Credit Card")</f>
        <v>Credit Card</v>
      </c>
      <c r="J2067" s="14" t="str">
        <f>IFERROR(__xludf.DUMMYFUNCTION("""COMPUTED_VALUE"""),"Cancelled*Delayed Delivery:Heavy Traffic")</f>
        <v>Cancelled*Delayed Delivery:Heavy Traffic</v>
      </c>
      <c r="K2067" s="14" t="str">
        <f>IFERROR(__xludf.DUMMYFUNCTION("split(E2067,""+"")"),"Chicken Puff")</f>
        <v>Chicken Puff</v>
      </c>
      <c r="L2067" s="14" t="str">
        <f>IFERROR(__xludf.DUMMYFUNCTION("""COMPUTED_VALUE"""),"2*Manju Ajay")</f>
        <v>2*Manju Ajay</v>
      </c>
      <c r="M2067" s="14">
        <f>IFERROR(__xludf.DUMMYFUNCTION("SPLIT(L2067,""*"")"),2.0)</f>
        <v>2</v>
      </c>
      <c r="N2067" s="14" t="str">
        <f>IFERROR(__xludf.DUMMYFUNCTION("""COMPUTED_VALUE"""),"Manju Ajay")</f>
        <v>Manju Ajay</v>
      </c>
      <c r="O2067" s="14" t="str">
        <f>IFERROR(__xludf.DUMMYFUNCTION("split(J2067,""*"")"),"Cancelled")</f>
        <v>Cancelled</v>
      </c>
      <c r="P2067" s="14" t="str">
        <f>IFERROR(__xludf.DUMMYFUNCTION("""COMPUTED_VALUE"""),"Delayed Delivery:Heavy Traffic")</f>
        <v>Delayed Delivery:Heavy Traffic</v>
      </c>
      <c r="Q2067" s="14" t="str">
        <f>IFERROR(__xludf.DUMMYFUNCTION("split(P2067,"":"")"),"Delayed Delivery")</f>
        <v>Delayed Delivery</v>
      </c>
      <c r="R2067" s="14" t="str">
        <f>IFERROR(__xludf.DUMMYFUNCTION("""COMPUTED_VALUE"""),"Heavy Traffic")</f>
        <v>Heavy Traffic</v>
      </c>
      <c r="S2067" s="14" t="str">
        <f t="shared" ref="S2067:U2067" si="4137">trim(B2067)</f>
        <v>ord_82043</v>
      </c>
      <c r="T2067" s="14" t="str">
        <f t="shared" si="4137"/>
        <v>Aarohi Kapoor</v>
      </c>
      <c r="U2067" s="14" t="str">
        <f t="shared" si="4137"/>
        <v>Bandra</v>
      </c>
      <c r="V2067" s="14" t="str">
        <f t="shared" si="4"/>
        <v>Chicken Puff</v>
      </c>
      <c r="W2067" s="14">
        <f t="shared" si="5"/>
        <v>2</v>
      </c>
      <c r="X2067" s="14" t="str">
        <f t="shared" si="6"/>
        <v>Manju Ajay</v>
      </c>
      <c r="Y2067" s="15">
        <f t="shared" si="7"/>
        <v>45047</v>
      </c>
      <c r="Z2067" s="14" t="str">
        <f t="shared" si="8"/>
        <v>Credit Card</v>
      </c>
      <c r="AA2067" s="14" t="str">
        <f t="shared" si="9"/>
        <v>Cancelled</v>
      </c>
      <c r="AB2067" s="14" t="str">
        <f t="shared" ref="AB2067:AC2067" si="4138">trim(Q2067)</f>
        <v>Delayed Delivery</v>
      </c>
      <c r="AC2067" s="14" t="str">
        <f t="shared" si="4138"/>
        <v>Heavy Traffic</v>
      </c>
      <c r="AD2067" s="8"/>
    </row>
    <row r="2068">
      <c r="A2068" s="14" t="str">
        <f>IFERROR(__xludf.DUMMYFUNCTION("""COMPUTED_VALUE"""),"//ord_82044//Pallavi Ghosh//Bandra//Tiramisu+3*Priya Joshi/10/6/2023//Credit Card//Cancelled*Delayed Delivery:Bad Weather Conditions ")</f>
        <v>//ord_82044//Pallavi Ghosh//Bandra//Tiramisu+3*Priya Joshi/10/6/2023//Credit Card//Cancelled*Delayed Delivery:Bad Weather Conditions </v>
      </c>
      <c r="B2068" s="14" t="str">
        <f>IFERROR(__xludf.DUMMYFUNCTION("split(A2068,""//"")"),"ord_82044")</f>
        <v>ord_82044</v>
      </c>
      <c r="C2068" s="14" t="str">
        <f>IFERROR(__xludf.DUMMYFUNCTION("""COMPUTED_VALUE"""),"Pallavi Ghosh")</f>
        <v>Pallavi Ghosh</v>
      </c>
      <c r="D2068" s="14" t="str">
        <f>IFERROR(__xludf.DUMMYFUNCTION("""COMPUTED_VALUE"""),"Bandra")</f>
        <v>Bandra</v>
      </c>
      <c r="E2068" s="14" t="str">
        <f>IFERROR(__xludf.DUMMYFUNCTION("""COMPUTED_VALUE"""),"Tiramisu+3*Priya Joshi")</f>
        <v>Tiramisu+3*Priya Joshi</v>
      </c>
      <c r="F2068" s="14">
        <f>IFERROR(__xludf.DUMMYFUNCTION("""COMPUTED_VALUE"""),10.0)</f>
        <v>10</v>
      </c>
      <c r="G2068" s="14">
        <f>IFERROR(__xludf.DUMMYFUNCTION("""COMPUTED_VALUE"""),6.0)</f>
        <v>6</v>
      </c>
      <c r="H2068" s="14">
        <f>IFERROR(__xludf.DUMMYFUNCTION("""COMPUTED_VALUE"""),2023.0)</f>
        <v>2023</v>
      </c>
      <c r="I2068" s="14" t="str">
        <f>IFERROR(__xludf.DUMMYFUNCTION("""COMPUTED_VALUE"""),"Credit Card")</f>
        <v>Credit Card</v>
      </c>
      <c r="J2068" s="14" t="str">
        <f>IFERROR(__xludf.DUMMYFUNCTION("""COMPUTED_VALUE"""),"Cancelled*Delayed Delivery:Bad Weather Conditions ")</f>
        <v>Cancelled*Delayed Delivery:Bad Weather Conditions </v>
      </c>
      <c r="K2068" s="14" t="str">
        <f>IFERROR(__xludf.DUMMYFUNCTION("split(E2068,""+"")"),"Tiramisu")</f>
        <v>Tiramisu</v>
      </c>
      <c r="L2068" s="14" t="str">
        <f>IFERROR(__xludf.DUMMYFUNCTION("""COMPUTED_VALUE"""),"3*Priya Joshi")</f>
        <v>3*Priya Joshi</v>
      </c>
      <c r="M2068" s="14">
        <f>IFERROR(__xludf.DUMMYFUNCTION("SPLIT(L2068,""*"")"),3.0)</f>
        <v>3</v>
      </c>
      <c r="N2068" s="14" t="str">
        <f>IFERROR(__xludf.DUMMYFUNCTION("""COMPUTED_VALUE"""),"Priya Joshi")</f>
        <v>Priya Joshi</v>
      </c>
      <c r="O2068" s="14" t="str">
        <f>IFERROR(__xludf.DUMMYFUNCTION("split(J2068,""*"")"),"Cancelled")</f>
        <v>Cancelled</v>
      </c>
      <c r="P2068" s="14" t="str">
        <f>IFERROR(__xludf.DUMMYFUNCTION("""COMPUTED_VALUE"""),"Delayed Delivery:Bad Weather Conditions ")</f>
        <v>Delayed Delivery:Bad Weather Conditions </v>
      </c>
      <c r="Q2068" s="14" t="str">
        <f>IFERROR(__xludf.DUMMYFUNCTION("split(P2068,"":"")"),"Delayed Delivery")</f>
        <v>Delayed Delivery</v>
      </c>
      <c r="R2068" s="14" t="str">
        <f>IFERROR(__xludf.DUMMYFUNCTION("""COMPUTED_VALUE"""),"Bad Weather Conditions ")</f>
        <v>Bad Weather Conditions </v>
      </c>
      <c r="S2068" s="14" t="str">
        <f t="shared" ref="S2068:U2068" si="4139">trim(B2068)</f>
        <v>ord_82044</v>
      </c>
      <c r="T2068" s="14" t="str">
        <f t="shared" si="4139"/>
        <v>Pallavi Ghosh</v>
      </c>
      <c r="U2068" s="14" t="str">
        <f t="shared" si="4139"/>
        <v>Bandra</v>
      </c>
      <c r="V2068" s="14" t="str">
        <f t="shared" si="4"/>
        <v>Tiramisu</v>
      </c>
      <c r="W2068" s="14">
        <f t="shared" si="5"/>
        <v>3</v>
      </c>
      <c r="X2068" s="14" t="str">
        <f t="shared" si="6"/>
        <v>Priya Joshi</v>
      </c>
      <c r="Y2068" s="15">
        <f t="shared" si="7"/>
        <v>45205</v>
      </c>
      <c r="Z2068" s="14" t="str">
        <f t="shared" si="8"/>
        <v>Credit Card</v>
      </c>
      <c r="AA2068" s="14" t="str">
        <f t="shared" si="9"/>
        <v>Cancelled</v>
      </c>
      <c r="AB2068" s="14" t="str">
        <f t="shared" ref="AB2068:AC2068" si="4140">trim(Q2068)</f>
        <v>Delayed Delivery</v>
      </c>
      <c r="AC2068" s="14" t="str">
        <f t="shared" si="4140"/>
        <v>Bad Weather Conditions</v>
      </c>
      <c r="AD2068" s="8"/>
    </row>
    <row r="2069">
      <c r="A2069" s="14" t="str">
        <f>IFERROR(__xludf.DUMMYFUNCTION("""COMPUTED_VALUE"""),"//ord_82045//Siya Reddy//Juhu//Potato+1*Not Assigned/4/14/2023//UPI//Cancelled*App Glitches: Inconsistent Data Display")</f>
        <v>//ord_82045//Siya Reddy//Juhu//Potato+1*Not Assigned/4/14/2023//UPI//Cancelled*App Glitches: Inconsistent Data Display</v>
      </c>
      <c r="B2069" s="14" t="str">
        <f>IFERROR(__xludf.DUMMYFUNCTION("split(A2069,""//"")"),"ord_82045")</f>
        <v>ord_82045</v>
      </c>
      <c r="C2069" s="14" t="str">
        <f>IFERROR(__xludf.DUMMYFUNCTION("""COMPUTED_VALUE"""),"Siya Reddy")</f>
        <v>Siya Reddy</v>
      </c>
      <c r="D2069" s="14" t="str">
        <f>IFERROR(__xludf.DUMMYFUNCTION("""COMPUTED_VALUE"""),"Juhu")</f>
        <v>Juhu</v>
      </c>
      <c r="E2069" s="14" t="str">
        <f>IFERROR(__xludf.DUMMYFUNCTION("""COMPUTED_VALUE"""),"Potato+1*Not Assigned")</f>
        <v>Potato+1*Not Assigned</v>
      </c>
      <c r="F2069" s="14">
        <f>IFERROR(__xludf.DUMMYFUNCTION("""COMPUTED_VALUE"""),4.0)</f>
        <v>4</v>
      </c>
      <c r="G2069" s="14">
        <f>IFERROR(__xludf.DUMMYFUNCTION("""COMPUTED_VALUE"""),14.0)</f>
        <v>14</v>
      </c>
      <c r="H2069" s="14">
        <f>IFERROR(__xludf.DUMMYFUNCTION("""COMPUTED_VALUE"""),2023.0)</f>
        <v>2023</v>
      </c>
      <c r="I2069" s="14" t="str">
        <f>IFERROR(__xludf.DUMMYFUNCTION("""COMPUTED_VALUE"""),"UPI")</f>
        <v>UPI</v>
      </c>
      <c r="J2069" s="14" t="str">
        <f>IFERROR(__xludf.DUMMYFUNCTION("""COMPUTED_VALUE"""),"Cancelled*App Glitches: Inconsistent Data Display")</f>
        <v>Cancelled*App Glitches: Inconsistent Data Display</v>
      </c>
      <c r="K2069" s="14" t="str">
        <f>IFERROR(__xludf.DUMMYFUNCTION("split(E2069,""+"")"),"Potato")</f>
        <v>Potato</v>
      </c>
      <c r="L2069" s="14" t="str">
        <f>IFERROR(__xludf.DUMMYFUNCTION("""COMPUTED_VALUE"""),"1*Not Assigned")</f>
        <v>1*Not Assigned</v>
      </c>
      <c r="M2069" s="14">
        <f>IFERROR(__xludf.DUMMYFUNCTION("SPLIT(L2069,""*"")"),1.0)</f>
        <v>1</v>
      </c>
      <c r="N2069" s="14" t="str">
        <f>IFERROR(__xludf.DUMMYFUNCTION("""COMPUTED_VALUE"""),"Not Assigned")</f>
        <v>Not Assigned</v>
      </c>
      <c r="O2069" s="14" t="str">
        <f>IFERROR(__xludf.DUMMYFUNCTION("split(J2069,""*"")"),"Cancelled")</f>
        <v>Cancelled</v>
      </c>
      <c r="P2069" s="14" t="str">
        <f>IFERROR(__xludf.DUMMYFUNCTION("""COMPUTED_VALUE"""),"App Glitches: Inconsistent Data Display")</f>
        <v>App Glitches: Inconsistent Data Display</v>
      </c>
      <c r="Q2069" s="14" t="str">
        <f>IFERROR(__xludf.DUMMYFUNCTION("split(P2069,"":"")"),"App Glitches")</f>
        <v>App Glitches</v>
      </c>
      <c r="R2069" s="14" t="str">
        <f>IFERROR(__xludf.DUMMYFUNCTION("""COMPUTED_VALUE""")," Inconsistent Data Display")</f>
        <v> Inconsistent Data Display</v>
      </c>
      <c r="S2069" s="14" t="str">
        <f t="shared" ref="S2069:U2069" si="4141">trim(B2069)</f>
        <v>ord_82045</v>
      </c>
      <c r="T2069" s="14" t="str">
        <f t="shared" si="4141"/>
        <v>Siya Reddy</v>
      </c>
      <c r="U2069" s="14" t="str">
        <f t="shared" si="4141"/>
        <v>Juhu</v>
      </c>
      <c r="V2069" s="14" t="str">
        <f t="shared" si="4"/>
        <v>Potato</v>
      </c>
      <c r="W2069" s="14">
        <f t="shared" si="5"/>
        <v>1</v>
      </c>
      <c r="X2069" s="14" t="str">
        <f t="shared" si="6"/>
        <v>Not Assigned</v>
      </c>
      <c r="Y2069" s="15">
        <f t="shared" si="7"/>
        <v>45030</v>
      </c>
      <c r="Z2069" s="14" t="str">
        <f t="shared" si="8"/>
        <v>UPI</v>
      </c>
      <c r="AA2069" s="14" t="str">
        <f t="shared" si="9"/>
        <v>Cancelled</v>
      </c>
      <c r="AB2069" s="14" t="str">
        <f t="shared" ref="AB2069:AC2069" si="4142">trim(Q2069)</f>
        <v>App Glitches</v>
      </c>
      <c r="AC2069" s="14" t="str">
        <f t="shared" si="4142"/>
        <v>Inconsistent Data Display</v>
      </c>
      <c r="AD2069" s="8"/>
    </row>
    <row r="2070">
      <c r="A2070" s="14" t="str">
        <f>IFERROR(__xludf.DUMMYFUNCTION("""COMPUTED_VALUE"""),"//ord_82046//Dev Chauhan//Bandra//Sweet Corn+2*Ramesh S/2/17/2023//UPI//Delivered*On-time Delivery: Delivered on time")</f>
        <v>//ord_82046//Dev Chauhan//Bandra//Sweet Corn+2*Ramesh S/2/17/2023//UPI//Delivered*On-time Delivery: Delivered on time</v>
      </c>
      <c r="B2070" s="14" t="str">
        <f>IFERROR(__xludf.DUMMYFUNCTION("split(A2070,""//"")"),"ord_82046")</f>
        <v>ord_82046</v>
      </c>
      <c r="C2070" s="14" t="str">
        <f>IFERROR(__xludf.DUMMYFUNCTION("""COMPUTED_VALUE"""),"Dev Chauhan")</f>
        <v>Dev Chauhan</v>
      </c>
      <c r="D2070" s="14" t="str">
        <f>IFERROR(__xludf.DUMMYFUNCTION("""COMPUTED_VALUE"""),"Bandra")</f>
        <v>Bandra</v>
      </c>
      <c r="E2070" s="14" t="str">
        <f>IFERROR(__xludf.DUMMYFUNCTION("""COMPUTED_VALUE"""),"Sweet Corn+2*Ramesh S")</f>
        <v>Sweet Corn+2*Ramesh S</v>
      </c>
      <c r="F2070" s="14">
        <f>IFERROR(__xludf.DUMMYFUNCTION("""COMPUTED_VALUE"""),2.0)</f>
        <v>2</v>
      </c>
      <c r="G2070" s="14">
        <f>IFERROR(__xludf.DUMMYFUNCTION("""COMPUTED_VALUE"""),17.0)</f>
        <v>17</v>
      </c>
      <c r="H2070" s="14">
        <f>IFERROR(__xludf.DUMMYFUNCTION("""COMPUTED_VALUE"""),2023.0)</f>
        <v>2023</v>
      </c>
      <c r="I2070" s="14" t="str">
        <f>IFERROR(__xludf.DUMMYFUNCTION("""COMPUTED_VALUE"""),"UPI")</f>
        <v>UPI</v>
      </c>
      <c r="J2070" s="14" t="str">
        <f>IFERROR(__xludf.DUMMYFUNCTION("""COMPUTED_VALUE"""),"Delivered*On-time Delivery: Delivered on time")</f>
        <v>Delivered*On-time Delivery: Delivered on time</v>
      </c>
      <c r="K2070" s="14" t="str">
        <f>IFERROR(__xludf.DUMMYFUNCTION("split(E2070,""+"")"),"Sweet Corn")</f>
        <v>Sweet Corn</v>
      </c>
      <c r="L2070" s="14" t="str">
        <f>IFERROR(__xludf.DUMMYFUNCTION("""COMPUTED_VALUE"""),"2*Ramesh S")</f>
        <v>2*Ramesh S</v>
      </c>
      <c r="M2070" s="14">
        <f>IFERROR(__xludf.DUMMYFUNCTION("SPLIT(L2070,""*"")"),2.0)</f>
        <v>2</v>
      </c>
      <c r="N2070" s="14" t="str">
        <f>IFERROR(__xludf.DUMMYFUNCTION("""COMPUTED_VALUE"""),"Ramesh S")</f>
        <v>Ramesh S</v>
      </c>
      <c r="O2070" s="14" t="str">
        <f>IFERROR(__xludf.DUMMYFUNCTION("split(J2070,""*"")"),"Delivered")</f>
        <v>Delivered</v>
      </c>
      <c r="P2070" s="14" t="str">
        <f>IFERROR(__xludf.DUMMYFUNCTION("""COMPUTED_VALUE"""),"On-time Delivery: Delivered on time")</f>
        <v>On-time Delivery: Delivered on time</v>
      </c>
      <c r="Q2070" s="14" t="str">
        <f>IFERROR(__xludf.DUMMYFUNCTION("split(P2070,"":"")"),"On-time Delivery")</f>
        <v>On-time Delivery</v>
      </c>
      <c r="R2070" s="14" t="str">
        <f>IFERROR(__xludf.DUMMYFUNCTION("""COMPUTED_VALUE""")," Delivered on time")</f>
        <v> Delivered on time</v>
      </c>
      <c r="S2070" s="14" t="str">
        <f t="shared" ref="S2070:U2070" si="4143">trim(B2070)</f>
        <v>ord_82046</v>
      </c>
      <c r="T2070" s="14" t="str">
        <f t="shared" si="4143"/>
        <v>Dev Chauhan</v>
      </c>
      <c r="U2070" s="14" t="str">
        <f t="shared" si="4143"/>
        <v>Bandra</v>
      </c>
      <c r="V2070" s="14" t="str">
        <f t="shared" si="4"/>
        <v>Sweet Corn</v>
      </c>
      <c r="W2070" s="14">
        <f t="shared" si="5"/>
        <v>2</v>
      </c>
      <c r="X2070" s="14" t="str">
        <f t="shared" si="6"/>
        <v>Ramesh S</v>
      </c>
      <c r="Y2070" s="15">
        <f t="shared" si="7"/>
        <v>44974</v>
      </c>
      <c r="Z2070" s="14" t="str">
        <f t="shared" si="8"/>
        <v>UPI</v>
      </c>
      <c r="AA2070" s="14" t="str">
        <f t="shared" si="9"/>
        <v>Delivered</v>
      </c>
      <c r="AB2070" s="14" t="str">
        <f t="shared" ref="AB2070:AC2070" si="4144">trim(Q2070)</f>
        <v>On-time Delivery</v>
      </c>
      <c r="AC2070" s="14" t="str">
        <f t="shared" si="4144"/>
        <v>Delivered on time</v>
      </c>
      <c r="AD2070" s="8"/>
    </row>
    <row r="2071">
      <c r="A2071" s="14" t="str">
        <f>IFERROR(__xludf.DUMMYFUNCTION("""COMPUTED_VALUE"""),"//ord_82047//Dev Chauhan//Bandra//Tomato+1*Vivek Kumar/1/29/2023//Online Payment//Delivered*Quality of Items: Perfect condition")</f>
        <v>//ord_82047//Dev Chauhan//Bandra//Tomato+1*Vivek Kumar/1/29/2023//Online Payment//Delivered*Quality of Items: Perfect condition</v>
      </c>
      <c r="B2071" s="14" t="str">
        <f>IFERROR(__xludf.DUMMYFUNCTION("split(A2071,""//"")"),"ord_82047")</f>
        <v>ord_82047</v>
      </c>
      <c r="C2071" s="14" t="str">
        <f>IFERROR(__xludf.DUMMYFUNCTION("""COMPUTED_VALUE"""),"Dev Chauhan")</f>
        <v>Dev Chauhan</v>
      </c>
      <c r="D2071" s="14" t="str">
        <f>IFERROR(__xludf.DUMMYFUNCTION("""COMPUTED_VALUE"""),"Bandra")</f>
        <v>Bandra</v>
      </c>
      <c r="E2071" s="14" t="str">
        <f>IFERROR(__xludf.DUMMYFUNCTION("""COMPUTED_VALUE"""),"Tomato+1*Vivek Kumar")</f>
        <v>Tomato+1*Vivek Kumar</v>
      </c>
      <c r="F2071" s="14">
        <f>IFERROR(__xludf.DUMMYFUNCTION("""COMPUTED_VALUE"""),1.0)</f>
        <v>1</v>
      </c>
      <c r="G2071" s="14">
        <f>IFERROR(__xludf.DUMMYFUNCTION("""COMPUTED_VALUE"""),29.0)</f>
        <v>29</v>
      </c>
      <c r="H2071" s="14">
        <f>IFERROR(__xludf.DUMMYFUNCTION("""COMPUTED_VALUE"""),2023.0)</f>
        <v>2023</v>
      </c>
      <c r="I2071" s="14" t="str">
        <f>IFERROR(__xludf.DUMMYFUNCTION("""COMPUTED_VALUE"""),"Online Payment")</f>
        <v>Online Payment</v>
      </c>
      <c r="J2071" s="14" t="str">
        <f>IFERROR(__xludf.DUMMYFUNCTION("""COMPUTED_VALUE"""),"Delivered*Quality of Items: Perfect condition")</f>
        <v>Delivered*Quality of Items: Perfect condition</v>
      </c>
      <c r="K2071" s="14" t="str">
        <f>IFERROR(__xludf.DUMMYFUNCTION("split(E2071,""+"")"),"Tomato")</f>
        <v>Tomato</v>
      </c>
      <c r="L2071" s="14" t="str">
        <f>IFERROR(__xludf.DUMMYFUNCTION("""COMPUTED_VALUE"""),"1*Vivek Kumar")</f>
        <v>1*Vivek Kumar</v>
      </c>
      <c r="M2071" s="14">
        <f>IFERROR(__xludf.DUMMYFUNCTION("SPLIT(L2071,""*"")"),1.0)</f>
        <v>1</v>
      </c>
      <c r="N2071" s="14" t="str">
        <f>IFERROR(__xludf.DUMMYFUNCTION("""COMPUTED_VALUE"""),"Vivek Kumar")</f>
        <v>Vivek Kumar</v>
      </c>
      <c r="O2071" s="14" t="str">
        <f>IFERROR(__xludf.DUMMYFUNCTION("split(J2071,""*"")"),"Delivered")</f>
        <v>Delivered</v>
      </c>
      <c r="P2071" s="14" t="str">
        <f>IFERROR(__xludf.DUMMYFUNCTION("""COMPUTED_VALUE"""),"Quality of Items: Perfect condition")</f>
        <v>Quality of Items: Perfect condition</v>
      </c>
      <c r="Q2071" s="14" t="str">
        <f>IFERROR(__xludf.DUMMYFUNCTION("split(P2071,"":"")"),"Quality of Items")</f>
        <v>Quality of Items</v>
      </c>
      <c r="R2071" s="14" t="str">
        <f>IFERROR(__xludf.DUMMYFUNCTION("""COMPUTED_VALUE""")," Perfect condition")</f>
        <v> Perfect condition</v>
      </c>
      <c r="S2071" s="14" t="str">
        <f t="shared" ref="S2071:U2071" si="4145">trim(B2071)</f>
        <v>ord_82047</v>
      </c>
      <c r="T2071" s="14" t="str">
        <f t="shared" si="4145"/>
        <v>Dev Chauhan</v>
      </c>
      <c r="U2071" s="14" t="str">
        <f t="shared" si="4145"/>
        <v>Bandra</v>
      </c>
      <c r="V2071" s="14" t="str">
        <f t="shared" si="4"/>
        <v>Tomato</v>
      </c>
      <c r="W2071" s="14">
        <f t="shared" si="5"/>
        <v>1</v>
      </c>
      <c r="X2071" s="14" t="str">
        <f t="shared" si="6"/>
        <v>Vivek Kumar</v>
      </c>
      <c r="Y2071" s="15">
        <f t="shared" si="7"/>
        <v>44955</v>
      </c>
      <c r="Z2071" s="14" t="str">
        <f t="shared" si="8"/>
        <v>Online Payment</v>
      </c>
      <c r="AA2071" s="14" t="str">
        <f t="shared" si="9"/>
        <v>Delivered</v>
      </c>
      <c r="AB2071" s="14" t="str">
        <f t="shared" ref="AB2071:AC2071" si="4146">trim(Q2071)</f>
        <v>Quality of Items</v>
      </c>
      <c r="AC2071" s="14" t="str">
        <f t="shared" si="4146"/>
        <v>Perfect condition</v>
      </c>
      <c r="AD2071" s="8"/>
    </row>
    <row r="2072">
      <c r="A2072" s="14" t="str">
        <f>IFERROR(__xludf.DUMMYFUNCTION("""COMPUTED_VALUE"""),"//ord_82048//Pallavi Ghosh//Bandra//Cold Coffee+1*Vivek Kumar/7/15/2023//UPI//Delivered*Packaging: Secure and intact")</f>
        <v>//ord_82048//Pallavi Ghosh//Bandra//Cold Coffee+1*Vivek Kumar/7/15/2023//UPI//Delivered*Packaging: Secure and intact</v>
      </c>
      <c r="B2072" s="14" t="str">
        <f>IFERROR(__xludf.DUMMYFUNCTION("split(A2072,""//"")"),"ord_82048")</f>
        <v>ord_82048</v>
      </c>
      <c r="C2072" s="14" t="str">
        <f>IFERROR(__xludf.DUMMYFUNCTION("""COMPUTED_VALUE"""),"Pallavi Ghosh")</f>
        <v>Pallavi Ghosh</v>
      </c>
      <c r="D2072" s="14" t="str">
        <f>IFERROR(__xludf.DUMMYFUNCTION("""COMPUTED_VALUE"""),"Bandra")</f>
        <v>Bandra</v>
      </c>
      <c r="E2072" s="14" t="str">
        <f>IFERROR(__xludf.DUMMYFUNCTION("""COMPUTED_VALUE"""),"Cold Coffee+1*Vivek Kumar")</f>
        <v>Cold Coffee+1*Vivek Kumar</v>
      </c>
      <c r="F2072" s="14">
        <f>IFERROR(__xludf.DUMMYFUNCTION("""COMPUTED_VALUE"""),7.0)</f>
        <v>7</v>
      </c>
      <c r="G2072" s="14">
        <f>IFERROR(__xludf.DUMMYFUNCTION("""COMPUTED_VALUE"""),15.0)</f>
        <v>15</v>
      </c>
      <c r="H2072" s="14">
        <f>IFERROR(__xludf.DUMMYFUNCTION("""COMPUTED_VALUE"""),2023.0)</f>
        <v>2023</v>
      </c>
      <c r="I2072" s="14" t="str">
        <f>IFERROR(__xludf.DUMMYFUNCTION("""COMPUTED_VALUE"""),"UPI")</f>
        <v>UPI</v>
      </c>
      <c r="J2072" s="14" t="str">
        <f>IFERROR(__xludf.DUMMYFUNCTION("""COMPUTED_VALUE"""),"Delivered*Packaging: Secure and intact")</f>
        <v>Delivered*Packaging: Secure and intact</v>
      </c>
      <c r="K2072" s="14" t="str">
        <f>IFERROR(__xludf.DUMMYFUNCTION("split(E2072,""+"")"),"Cold Coffee")</f>
        <v>Cold Coffee</v>
      </c>
      <c r="L2072" s="14" t="str">
        <f>IFERROR(__xludf.DUMMYFUNCTION("""COMPUTED_VALUE"""),"1*Vivek Kumar")</f>
        <v>1*Vivek Kumar</v>
      </c>
      <c r="M2072" s="14">
        <f>IFERROR(__xludf.DUMMYFUNCTION("SPLIT(L2072,""*"")"),1.0)</f>
        <v>1</v>
      </c>
      <c r="N2072" s="14" t="str">
        <f>IFERROR(__xludf.DUMMYFUNCTION("""COMPUTED_VALUE"""),"Vivek Kumar")</f>
        <v>Vivek Kumar</v>
      </c>
      <c r="O2072" s="14" t="str">
        <f>IFERROR(__xludf.DUMMYFUNCTION("split(J2072,""*"")"),"Delivered")</f>
        <v>Delivered</v>
      </c>
      <c r="P2072" s="14" t="str">
        <f>IFERROR(__xludf.DUMMYFUNCTION("""COMPUTED_VALUE"""),"Packaging: Secure and intact")</f>
        <v>Packaging: Secure and intact</v>
      </c>
      <c r="Q2072" s="14" t="str">
        <f>IFERROR(__xludf.DUMMYFUNCTION("split(P2072,"":"")"),"Packaging")</f>
        <v>Packaging</v>
      </c>
      <c r="R2072" s="14" t="str">
        <f>IFERROR(__xludf.DUMMYFUNCTION("""COMPUTED_VALUE""")," Secure and intact")</f>
        <v> Secure and intact</v>
      </c>
      <c r="S2072" s="14" t="str">
        <f t="shared" ref="S2072:U2072" si="4147">trim(B2072)</f>
        <v>ord_82048</v>
      </c>
      <c r="T2072" s="14" t="str">
        <f t="shared" si="4147"/>
        <v>Pallavi Ghosh</v>
      </c>
      <c r="U2072" s="14" t="str">
        <f t="shared" si="4147"/>
        <v>Bandra</v>
      </c>
      <c r="V2072" s="14" t="str">
        <f t="shared" si="4"/>
        <v>Cold Coffee</v>
      </c>
      <c r="W2072" s="14">
        <f t="shared" si="5"/>
        <v>1</v>
      </c>
      <c r="X2072" s="14" t="str">
        <f t="shared" si="6"/>
        <v>Vivek Kumar</v>
      </c>
      <c r="Y2072" s="15">
        <f t="shared" si="7"/>
        <v>45122</v>
      </c>
      <c r="Z2072" s="14" t="str">
        <f t="shared" si="8"/>
        <v>UPI</v>
      </c>
      <c r="AA2072" s="14" t="str">
        <f t="shared" si="9"/>
        <v>Delivered</v>
      </c>
      <c r="AB2072" s="14" t="str">
        <f t="shared" ref="AB2072:AC2072" si="4148">trim(Q2072)</f>
        <v>Packaging</v>
      </c>
      <c r="AC2072" s="14" t="str">
        <f t="shared" si="4148"/>
        <v>Secure and intact</v>
      </c>
      <c r="AD2072" s="8"/>
    </row>
    <row r="2073">
      <c r="A2073" s="14" t="str">
        <f>IFERROR(__xludf.DUMMYFUNCTION("""COMPUTED_VALUE"""),"//ord_82049//Pallavi Ghosh//Bandra//Veg Puff+4*Vivek Kumar/1/9/2023//Credit Card//Delivered*Satisfied with the Delivery: Timely and quality")</f>
        <v>//ord_82049//Pallavi Ghosh//Bandra//Veg Puff+4*Vivek Kumar/1/9/2023//Credit Card//Delivered*Satisfied with the Delivery: Timely and quality</v>
      </c>
      <c r="B2073" s="14" t="str">
        <f>IFERROR(__xludf.DUMMYFUNCTION("split(A2073,""//"")"),"ord_82049")</f>
        <v>ord_82049</v>
      </c>
      <c r="C2073" s="14" t="str">
        <f>IFERROR(__xludf.DUMMYFUNCTION("""COMPUTED_VALUE"""),"Pallavi Ghosh")</f>
        <v>Pallavi Ghosh</v>
      </c>
      <c r="D2073" s="14" t="str">
        <f>IFERROR(__xludf.DUMMYFUNCTION("""COMPUTED_VALUE"""),"Bandra")</f>
        <v>Bandra</v>
      </c>
      <c r="E2073" s="14" t="str">
        <f>IFERROR(__xludf.DUMMYFUNCTION("""COMPUTED_VALUE"""),"Veg Puff+4*Vivek Kumar")</f>
        <v>Veg Puff+4*Vivek Kumar</v>
      </c>
      <c r="F2073" s="14">
        <f>IFERROR(__xludf.DUMMYFUNCTION("""COMPUTED_VALUE"""),1.0)</f>
        <v>1</v>
      </c>
      <c r="G2073" s="14">
        <f>IFERROR(__xludf.DUMMYFUNCTION("""COMPUTED_VALUE"""),9.0)</f>
        <v>9</v>
      </c>
      <c r="H2073" s="14">
        <f>IFERROR(__xludf.DUMMYFUNCTION("""COMPUTED_VALUE"""),2023.0)</f>
        <v>2023</v>
      </c>
      <c r="I2073" s="14" t="str">
        <f>IFERROR(__xludf.DUMMYFUNCTION("""COMPUTED_VALUE"""),"Credit Card")</f>
        <v>Credit Card</v>
      </c>
      <c r="J2073" s="14" t="str">
        <f>IFERROR(__xludf.DUMMYFUNCTION("""COMPUTED_VALUE"""),"Delivered*Satisfied with the Delivery: Timely and quality")</f>
        <v>Delivered*Satisfied with the Delivery: Timely and quality</v>
      </c>
      <c r="K2073" s="14" t="str">
        <f>IFERROR(__xludf.DUMMYFUNCTION("split(E2073,""+"")"),"Veg Puff")</f>
        <v>Veg Puff</v>
      </c>
      <c r="L2073" s="14" t="str">
        <f>IFERROR(__xludf.DUMMYFUNCTION("""COMPUTED_VALUE"""),"4*Vivek Kumar")</f>
        <v>4*Vivek Kumar</v>
      </c>
      <c r="M2073" s="14">
        <f>IFERROR(__xludf.DUMMYFUNCTION("SPLIT(L2073,""*"")"),4.0)</f>
        <v>4</v>
      </c>
      <c r="N2073" s="14" t="str">
        <f>IFERROR(__xludf.DUMMYFUNCTION("""COMPUTED_VALUE"""),"Vivek Kumar")</f>
        <v>Vivek Kumar</v>
      </c>
      <c r="O2073" s="14" t="str">
        <f>IFERROR(__xludf.DUMMYFUNCTION("split(J2073,""*"")"),"Delivered")</f>
        <v>Delivered</v>
      </c>
      <c r="P2073" s="14" t="str">
        <f>IFERROR(__xludf.DUMMYFUNCTION("""COMPUTED_VALUE"""),"Satisfied with the Delivery: Timely and quality")</f>
        <v>Satisfied with the Delivery: Timely and quality</v>
      </c>
      <c r="Q2073" s="14" t="str">
        <f>IFERROR(__xludf.DUMMYFUNCTION("split(P2073,"":"")"),"Satisfied with the Delivery")</f>
        <v>Satisfied with the Delivery</v>
      </c>
      <c r="R2073" s="14" t="str">
        <f>IFERROR(__xludf.DUMMYFUNCTION("""COMPUTED_VALUE""")," Timely and quality")</f>
        <v> Timely and quality</v>
      </c>
      <c r="S2073" s="14" t="str">
        <f t="shared" ref="S2073:U2073" si="4149">trim(B2073)</f>
        <v>ord_82049</v>
      </c>
      <c r="T2073" s="14" t="str">
        <f t="shared" si="4149"/>
        <v>Pallavi Ghosh</v>
      </c>
      <c r="U2073" s="14" t="str">
        <f t="shared" si="4149"/>
        <v>Bandra</v>
      </c>
      <c r="V2073" s="14" t="str">
        <f t="shared" si="4"/>
        <v>Veg Puff</v>
      </c>
      <c r="W2073" s="14">
        <f t="shared" si="5"/>
        <v>4</v>
      </c>
      <c r="X2073" s="14" t="str">
        <f t="shared" si="6"/>
        <v>Vivek Kumar</v>
      </c>
      <c r="Y2073" s="15">
        <f t="shared" si="7"/>
        <v>44935</v>
      </c>
      <c r="Z2073" s="14" t="str">
        <f t="shared" si="8"/>
        <v>Credit Card</v>
      </c>
      <c r="AA2073" s="14" t="str">
        <f t="shared" si="9"/>
        <v>Delivered</v>
      </c>
      <c r="AB2073" s="14" t="str">
        <f t="shared" ref="AB2073:AC2073" si="4150">trim(Q2073)</f>
        <v>Satisfied with the Delivery</v>
      </c>
      <c r="AC2073" s="14" t="str">
        <f t="shared" si="4150"/>
        <v>Timely and quality</v>
      </c>
      <c r="AD2073" s="8"/>
    </row>
    <row r="2074">
      <c r="A2074" s="14" t="str">
        <f>IFERROR(__xludf.DUMMYFUNCTION("""COMPUTED_VALUE"""),"//ord_82050//Parth Goel//Juhu//Tomato+2*Vivek Kumar/9/11/2023//COD//Delivered*Customer Service: Seamless and easy")</f>
        <v>//ord_82050//Parth Goel//Juhu//Tomato+2*Vivek Kumar/9/11/2023//COD//Delivered*Customer Service: Seamless and easy</v>
      </c>
      <c r="B2074" s="14" t="str">
        <f>IFERROR(__xludf.DUMMYFUNCTION("split(A2074,""//"")"),"ord_82050")</f>
        <v>ord_82050</v>
      </c>
      <c r="C2074" s="14" t="str">
        <f>IFERROR(__xludf.DUMMYFUNCTION("""COMPUTED_VALUE"""),"Parth Goel")</f>
        <v>Parth Goel</v>
      </c>
      <c r="D2074" s="14" t="str">
        <f>IFERROR(__xludf.DUMMYFUNCTION("""COMPUTED_VALUE"""),"Juhu")</f>
        <v>Juhu</v>
      </c>
      <c r="E2074" s="14" t="str">
        <f>IFERROR(__xludf.DUMMYFUNCTION("""COMPUTED_VALUE"""),"Tomato+2*Vivek Kumar")</f>
        <v>Tomato+2*Vivek Kumar</v>
      </c>
      <c r="F2074" s="14">
        <f>IFERROR(__xludf.DUMMYFUNCTION("""COMPUTED_VALUE"""),9.0)</f>
        <v>9</v>
      </c>
      <c r="G2074" s="14">
        <f>IFERROR(__xludf.DUMMYFUNCTION("""COMPUTED_VALUE"""),11.0)</f>
        <v>11</v>
      </c>
      <c r="H2074" s="14">
        <f>IFERROR(__xludf.DUMMYFUNCTION("""COMPUTED_VALUE"""),2023.0)</f>
        <v>2023</v>
      </c>
      <c r="I2074" s="14" t="str">
        <f>IFERROR(__xludf.DUMMYFUNCTION("""COMPUTED_VALUE"""),"COD")</f>
        <v>COD</v>
      </c>
      <c r="J2074" s="14" t="str">
        <f>IFERROR(__xludf.DUMMYFUNCTION("""COMPUTED_VALUE"""),"Delivered*Customer Service: Seamless and easy")</f>
        <v>Delivered*Customer Service: Seamless and easy</v>
      </c>
      <c r="K2074" s="14" t="str">
        <f>IFERROR(__xludf.DUMMYFUNCTION("split(E2074,""+"")"),"Tomato")</f>
        <v>Tomato</v>
      </c>
      <c r="L2074" s="14" t="str">
        <f>IFERROR(__xludf.DUMMYFUNCTION("""COMPUTED_VALUE"""),"2*Vivek Kumar")</f>
        <v>2*Vivek Kumar</v>
      </c>
      <c r="M2074" s="14">
        <f>IFERROR(__xludf.DUMMYFUNCTION("SPLIT(L2074,""*"")"),2.0)</f>
        <v>2</v>
      </c>
      <c r="N2074" s="14" t="str">
        <f>IFERROR(__xludf.DUMMYFUNCTION("""COMPUTED_VALUE"""),"Vivek Kumar")</f>
        <v>Vivek Kumar</v>
      </c>
      <c r="O2074" s="14" t="str">
        <f>IFERROR(__xludf.DUMMYFUNCTION("split(J2074,""*"")"),"Delivered")</f>
        <v>Delivered</v>
      </c>
      <c r="P2074" s="14" t="str">
        <f>IFERROR(__xludf.DUMMYFUNCTION("""COMPUTED_VALUE"""),"Customer Service: Seamless and easy")</f>
        <v>Customer Service: Seamless and easy</v>
      </c>
      <c r="Q2074" s="14" t="str">
        <f>IFERROR(__xludf.DUMMYFUNCTION("split(P2074,"":"")"),"Customer Service")</f>
        <v>Customer Service</v>
      </c>
      <c r="R2074" s="14" t="str">
        <f>IFERROR(__xludf.DUMMYFUNCTION("""COMPUTED_VALUE""")," Seamless and easy")</f>
        <v> Seamless and easy</v>
      </c>
      <c r="S2074" s="14" t="str">
        <f t="shared" ref="S2074:U2074" si="4151">trim(B2074)</f>
        <v>ord_82050</v>
      </c>
      <c r="T2074" s="14" t="str">
        <f t="shared" si="4151"/>
        <v>Parth Goel</v>
      </c>
      <c r="U2074" s="14" t="str">
        <f t="shared" si="4151"/>
        <v>Juhu</v>
      </c>
      <c r="V2074" s="14" t="str">
        <f t="shared" si="4"/>
        <v>Tomato</v>
      </c>
      <c r="W2074" s="14">
        <f t="shared" si="5"/>
        <v>2</v>
      </c>
      <c r="X2074" s="14" t="str">
        <f t="shared" si="6"/>
        <v>Vivek Kumar</v>
      </c>
      <c r="Y2074" s="15">
        <f t="shared" si="7"/>
        <v>45180</v>
      </c>
      <c r="Z2074" s="14" t="str">
        <f t="shared" si="8"/>
        <v>COD</v>
      </c>
      <c r="AA2074" s="14" t="str">
        <f t="shared" si="9"/>
        <v>Delivered</v>
      </c>
      <c r="AB2074" s="14" t="str">
        <f t="shared" ref="AB2074:AC2074" si="4152">trim(Q2074)</f>
        <v>Customer Service</v>
      </c>
      <c r="AC2074" s="14" t="str">
        <f t="shared" si="4152"/>
        <v>Seamless and easy</v>
      </c>
      <c r="AD2074" s="8"/>
    </row>
    <row r="2075">
      <c r="A2075" s="14" t="str">
        <f>IFERROR(__xludf.DUMMYFUNCTION("""COMPUTED_VALUE"""),"//ord_82051//Sanjay Nair//Dadar//Chicken Puff+2*Ramesh S/11/15/2023//COD//Delivered*Delivery Experience: Quick and professional")</f>
        <v>//ord_82051//Sanjay Nair//Dadar//Chicken Puff+2*Ramesh S/11/15/2023//COD//Delivered*Delivery Experience: Quick and professional</v>
      </c>
      <c r="B2075" s="14" t="str">
        <f>IFERROR(__xludf.DUMMYFUNCTION("split(A2075,""//"")"),"ord_82051")</f>
        <v>ord_82051</v>
      </c>
      <c r="C2075" s="14" t="str">
        <f>IFERROR(__xludf.DUMMYFUNCTION("""COMPUTED_VALUE"""),"Sanjay Nair")</f>
        <v>Sanjay Nair</v>
      </c>
      <c r="D2075" s="14" t="str">
        <f>IFERROR(__xludf.DUMMYFUNCTION("""COMPUTED_VALUE"""),"Dadar")</f>
        <v>Dadar</v>
      </c>
      <c r="E2075" s="14" t="str">
        <f>IFERROR(__xludf.DUMMYFUNCTION("""COMPUTED_VALUE"""),"Chicken Puff+2*Ramesh S")</f>
        <v>Chicken Puff+2*Ramesh S</v>
      </c>
      <c r="F2075" s="14">
        <f>IFERROR(__xludf.DUMMYFUNCTION("""COMPUTED_VALUE"""),11.0)</f>
        <v>11</v>
      </c>
      <c r="G2075" s="14">
        <f>IFERROR(__xludf.DUMMYFUNCTION("""COMPUTED_VALUE"""),15.0)</f>
        <v>15</v>
      </c>
      <c r="H2075" s="14">
        <f>IFERROR(__xludf.DUMMYFUNCTION("""COMPUTED_VALUE"""),2023.0)</f>
        <v>2023</v>
      </c>
      <c r="I2075" s="14" t="str">
        <f>IFERROR(__xludf.DUMMYFUNCTION("""COMPUTED_VALUE"""),"COD")</f>
        <v>COD</v>
      </c>
      <c r="J2075" s="14" t="str">
        <f>IFERROR(__xludf.DUMMYFUNCTION("""COMPUTED_VALUE"""),"Delivered*Delivery Experience: Quick and professional")</f>
        <v>Delivered*Delivery Experience: Quick and professional</v>
      </c>
      <c r="K2075" s="14" t="str">
        <f>IFERROR(__xludf.DUMMYFUNCTION("split(E2075,""+"")"),"Chicken Puff")</f>
        <v>Chicken Puff</v>
      </c>
      <c r="L2075" s="14" t="str">
        <f>IFERROR(__xludf.DUMMYFUNCTION("""COMPUTED_VALUE"""),"2*Ramesh S")</f>
        <v>2*Ramesh S</v>
      </c>
      <c r="M2075" s="14">
        <f>IFERROR(__xludf.DUMMYFUNCTION("SPLIT(L2075,""*"")"),2.0)</f>
        <v>2</v>
      </c>
      <c r="N2075" s="14" t="str">
        <f>IFERROR(__xludf.DUMMYFUNCTION("""COMPUTED_VALUE"""),"Ramesh S")</f>
        <v>Ramesh S</v>
      </c>
      <c r="O2075" s="14" t="str">
        <f>IFERROR(__xludf.DUMMYFUNCTION("split(J2075,""*"")"),"Delivered")</f>
        <v>Delivered</v>
      </c>
      <c r="P2075" s="14" t="str">
        <f>IFERROR(__xludf.DUMMYFUNCTION("""COMPUTED_VALUE"""),"Delivery Experience: Quick and professional")</f>
        <v>Delivery Experience: Quick and professional</v>
      </c>
      <c r="Q2075" s="14" t="str">
        <f>IFERROR(__xludf.DUMMYFUNCTION("split(P2075,"":"")"),"Delivery Experience")</f>
        <v>Delivery Experience</v>
      </c>
      <c r="R2075" s="14" t="str">
        <f>IFERROR(__xludf.DUMMYFUNCTION("""COMPUTED_VALUE""")," Quick and professional")</f>
        <v> Quick and professional</v>
      </c>
      <c r="S2075" s="14" t="str">
        <f t="shared" ref="S2075:U2075" si="4153">trim(B2075)</f>
        <v>ord_82051</v>
      </c>
      <c r="T2075" s="14" t="str">
        <f t="shared" si="4153"/>
        <v>Sanjay Nair</v>
      </c>
      <c r="U2075" s="14" t="str">
        <f t="shared" si="4153"/>
        <v>Dadar</v>
      </c>
      <c r="V2075" s="14" t="str">
        <f t="shared" si="4"/>
        <v>Chicken Puff</v>
      </c>
      <c r="W2075" s="14">
        <f t="shared" si="5"/>
        <v>2</v>
      </c>
      <c r="X2075" s="14" t="str">
        <f t="shared" si="6"/>
        <v>Ramesh S</v>
      </c>
      <c r="Y2075" s="15">
        <f t="shared" si="7"/>
        <v>45245</v>
      </c>
      <c r="Z2075" s="14" t="str">
        <f t="shared" si="8"/>
        <v>COD</v>
      </c>
      <c r="AA2075" s="14" t="str">
        <f t="shared" si="9"/>
        <v>Delivered</v>
      </c>
      <c r="AB2075" s="14" t="str">
        <f t="shared" ref="AB2075:AC2075" si="4154">trim(Q2075)</f>
        <v>Delivery Experience</v>
      </c>
      <c r="AC2075" s="14" t="str">
        <f t="shared" si="4154"/>
        <v>Quick and professional</v>
      </c>
      <c r="AD2075" s="8"/>
    </row>
    <row r="2076">
      <c r="A2076" s="14" t="str">
        <f>IFERROR(__xludf.DUMMYFUNCTION("""COMPUTED_VALUE"""),"//ord_82052//Mohit Malhotra//Lower Parel//Rasmalai+1*Manju Ajay/2/16/2023//Credit Card//Delivered*Convenience: Easy tracking")</f>
        <v>//ord_82052//Mohit Malhotra//Lower Parel//Rasmalai+1*Manju Ajay/2/16/2023//Credit Card//Delivered*Convenience: Easy tracking</v>
      </c>
      <c r="B2076" s="14" t="str">
        <f>IFERROR(__xludf.DUMMYFUNCTION("split(A2076,""//"")"),"ord_82052")</f>
        <v>ord_82052</v>
      </c>
      <c r="C2076" s="14" t="str">
        <f>IFERROR(__xludf.DUMMYFUNCTION("""COMPUTED_VALUE"""),"Mohit Malhotra")</f>
        <v>Mohit Malhotra</v>
      </c>
      <c r="D2076" s="14" t="str">
        <f>IFERROR(__xludf.DUMMYFUNCTION("""COMPUTED_VALUE"""),"Lower Parel")</f>
        <v>Lower Parel</v>
      </c>
      <c r="E2076" s="14" t="str">
        <f>IFERROR(__xludf.DUMMYFUNCTION("""COMPUTED_VALUE"""),"Rasmalai+1*Manju Ajay")</f>
        <v>Rasmalai+1*Manju Ajay</v>
      </c>
      <c r="F2076" s="14">
        <f>IFERROR(__xludf.DUMMYFUNCTION("""COMPUTED_VALUE"""),2.0)</f>
        <v>2</v>
      </c>
      <c r="G2076" s="14">
        <f>IFERROR(__xludf.DUMMYFUNCTION("""COMPUTED_VALUE"""),16.0)</f>
        <v>16</v>
      </c>
      <c r="H2076" s="14">
        <f>IFERROR(__xludf.DUMMYFUNCTION("""COMPUTED_VALUE"""),2023.0)</f>
        <v>2023</v>
      </c>
      <c r="I2076" s="14" t="str">
        <f>IFERROR(__xludf.DUMMYFUNCTION("""COMPUTED_VALUE"""),"Credit Card")</f>
        <v>Credit Card</v>
      </c>
      <c r="J2076" s="14" t="str">
        <f>IFERROR(__xludf.DUMMYFUNCTION("""COMPUTED_VALUE"""),"Delivered*Convenience: Easy tracking")</f>
        <v>Delivered*Convenience: Easy tracking</v>
      </c>
      <c r="K2076" s="14" t="str">
        <f>IFERROR(__xludf.DUMMYFUNCTION("split(E2076,""+"")"),"Rasmalai")</f>
        <v>Rasmalai</v>
      </c>
      <c r="L2076" s="14" t="str">
        <f>IFERROR(__xludf.DUMMYFUNCTION("""COMPUTED_VALUE"""),"1*Manju Ajay")</f>
        <v>1*Manju Ajay</v>
      </c>
      <c r="M2076" s="14">
        <f>IFERROR(__xludf.DUMMYFUNCTION("SPLIT(L2076,""*"")"),1.0)</f>
        <v>1</v>
      </c>
      <c r="N2076" s="14" t="str">
        <f>IFERROR(__xludf.DUMMYFUNCTION("""COMPUTED_VALUE"""),"Manju Ajay")</f>
        <v>Manju Ajay</v>
      </c>
      <c r="O2076" s="14" t="str">
        <f>IFERROR(__xludf.DUMMYFUNCTION("split(J2076,""*"")"),"Delivered")</f>
        <v>Delivered</v>
      </c>
      <c r="P2076" s="14" t="str">
        <f>IFERROR(__xludf.DUMMYFUNCTION("""COMPUTED_VALUE"""),"Convenience: Easy tracking")</f>
        <v>Convenience: Easy tracking</v>
      </c>
      <c r="Q2076" s="14" t="str">
        <f>IFERROR(__xludf.DUMMYFUNCTION("split(P2076,"":"")"),"Convenience")</f>
        <v>Convenience</v>
      </c>
      <c r="R2076" s="14" t="str">
        <f>IFERROR(__xludf.DUMMYFUNCTION("""COMPUTED_VALUE""")," Easy tracking")</f>
        <v> Easy tracking</v>
      </c>
      <c r="S2076" s="14" t="str">
        <f t="shared" ref="S2076:U2076" si="4155">trim(B2076)</f>
        <v>ord_82052</v>
      </c>
      <c r="T2076" s="14" t="str">
        <f t="shared" si="4155"/>
        <v>Mohit Malhotra</v>
      </c>
      <c r="U2076" s="14" t="str">
        <f t="shared" si="4155"/>
        <v>Lower Parel</v>
      </c>
      <c r="V2076" s="14" t="str">
        <f t="shared" si="4"/>
        <v>Rasmalai</v>
      </c>
      <c r="W2076" s="14">
        <f t="shared" si="5"/>
        <v>1</v>
      </c>
      <c r="X2076" s="14" t="str">
        <f t="shared" si="6"/>
        <v>Manju Ajay</v>
      </c>
      <c r="Y2076" s="15">
        <f t="shared" si="7"/>
        <v>44973</v>
      </c>
      <c r="Z2076" s="14" t="str">
        <f t="shared" si="8"/>
        <v>Credit Card</v>
      </c>
      <c r="AA2076" s="14" t="str">
        <f t="shared" si="9"/>
        <v>Delivered</v>
      </c>
      <c r="AB2076" s="14" t="str">
        <f t="shared" ref="AB2076:AC2076" si="4156">trim(Q2076)</f>
        <v>Convenience</v>
      </c>
      <c r="AC2076" s="14" t="str">
        <f t="shared" si="4156"/>
        <v>Easy tracking</v>
      </c>
      <c r="AD2076" s="8"/>
    </row>
    <row r="2077">
      <c r="A2077" s="14" t="str">
        <f>IFERROR(__xludf.DUMMYFUNCTION("""COMPUTED_VALUE"""),"//ord_82053//Aditi Iyer//Dadar//Papaya+2*Ram Gopal/9/18/2023//Online Payment//Delivered*Overall Satisfaction: Great service will order again")</f>
        <v>//ord_82053//Aditi Iyer//Dadar//Papaya+2*Ram Gopal/9/18/2023//Online Payment//Delivered*Overall Satisfaction: Great service will order again</v>
      </c>
      <c r="B2077" s="14" t="str">
        <f>IFERROR(__xludf.DUMMYFUNCTION("split(A2077,""//"")"),"ord_82053")</f>
        <v>ord_82053</v>
      </c>
      <c r="C2077" s="14" t="str">
        <f>IFERROR(__xludf.DUMMYFUNCTION("""COMPUTED_VALUE"""),"Aditi Iyer")</f>
        <v>Aditi Iyer</v>
      </c>
      <c r="D2077" s="14" t="str">
        <f>IFERROR(__xludf.DUMMYFUNCTION("""COMPUTED_VALUE"""),"Dadar")</f>
        <v>Dadar</v>
      </c>
      <c r="E2077" s="14" t="str">
        <f>IFERROR(__xludf.DUMMYFUNCTION("""COMPUTED_VALUE"""),"Papaya+2*Ram Gopal")</f>
        <v>Papaya+2*Ram Gopal</v>
      </c>
      <c r="F2077" s="14">
        <f>IFERROR(__xludf.DUMMYFUNCTION("""COMPUTED_VALUE"""),9.0)</f>
        <v>9</v>
      </c>
      <c r="G2077" s="14">
        <f>IFERROR(__xludf.DUMMYFUNCTION("""COMPUTED_VALUE"""),18.0)</f>
        <v>18</v>
      </c>
      <c r="H2077" s="14">
        <f>IFERROR(__xludf.DUMMYFUNCTION("""COMPUTED_VALUE"""),2023.0)</f>
        <v>2023</v>
      </c>
      <c r="I2077" s="14" t="str">
        <f>IFERROR(__xludf.DUMMYFUNCTION("""COMPUTED_VALUE"""),"Online Payment")</f>
        <v>Online Payment</v>
      </c>
      <c r="J2077" s="14" t="str">
        <f>IFERROR(__xludf.DUMMYFUNCTION("""COMPUTED_VALUE"""),"Delivered*Overall Satisfaction: Great service will order again")</f>
        <v>Delivered*Overall Satisfaction: Great service will order again</v>
      </c>
      <c r="K2077" s="14" t="str">
        <f>IFERROR(__xludf.DUMMYFUNCTION("split(E2077,""+"")"),"Papaya")</f>
        <v>Papaya</v>
      </c>
      <c r="L2077" s="14" t="str">
        <f>IFERROR(__xludf.DUMMYFUNCTION("""COMPUTED_VALUE"""),"2*Ram Gopal")</f>
        <v>2*Ram Gopal</v>
      </c>
      <c r="M2077" s="14">
        <f>IFERROR(__xludf.DUMMYFUNCTION("SPLIT(L2077,""*"")"),2.0)</f>
        <v>2</v>
      </c>
      <c r="N2077" s="14" t="str">
        <f>IFERROR(__xludf.DUMMYFUNCTION("""COMPUTED_VALUE"""),"Ram Gopal")</f>
        <v>Ram Gopal</v>
      </c>
      <c r="O2077" s="14" t="str">
        <f>IFERROR(__xludf.DUMMYFUNCTION("split(J2077,""*"")"),"Delivered")</f>
        <v>Delivered</v>
      </c>
      <c r="P2077" s="14" t="str">
        <f>IFERROR(__xludf.DUMMYFUNCTION("""COMPUTED_VALUE"""),"Overall Satisfaction: Great service will order again")</f>
        <v>Overall Satisfaction: Great service will order again</v>
      </c>
      <c r="Q2077" s="14" t="str">
        <f>IFERROR(__xludf.DUMMYFUNCTION("split(P2077,"":"")"),"Overall Satisfaction")</f>
        <v>Overall Satisfaction</v>
      </c>
      <c r="R2077" s="14" t="str">
        <f>IFERROR(__xludf.DUMMYFUNCTION("""COMPUTED_VALUE""")," Great service will order again")</f>
        <v> Great service will order again</v>
      </c>
      <c r="S2077" s="14" t="str">
        <f t="shared" ref="S2077:U2077" si="4157">trim(B2077)</f>
        <v>ord_82053</v>
      </c>
      <c r="T2077" s="14" t="str">
        <f t="shared" si="4157"/>
        <v>Aditi Iyer</v>
      </c>
      <c r="U2077" s="14" t="str">
        <f t="shared" si="4157"/>
        <v>Dadar</v>
      </c>
      <c r="V2077" s="14" t="str">
        <f t="shared" si="4"/>
        <v>Papaya</v>
      </c>
      <c r="W2077" s="14">
        <f t="shared" si="5"/>
        <v>2</v>
      </c>
      <c r="X2077" s="14" t="str">
        <f t="shared" si="6"/>
        <v>Ram Gopal</v>
      </c>
      <c r="Y2077" s="15">
        <f t="shared" si="7"/>
        <v>45187</v>
      </c>
      <c r="Z2077" s="14" t="str">
        <f t="shared" si="8"/>
        <v>Online Payment</v>
      </c>
      <c r="AA2077" s="14" t="str">
        <f t="shared" si="9"/>
        <v>Delivered</v>
      </c>
      <c r="AB2077" s="14" t="str">
        <f t="shared" ref="AB2077:AC2077" si="4158">trim(Q2077)</f>
        <v>Overall Satisfaction</v>
      </c>
      <c r="AC2077" s="14" t="str">
        <f t="shared" si="4158"/>
        <v>Great service will order again</v>
      </c>
      <c r="AD2077" s="8"/>
    </row>
    <row r="2078">
      <c r="A2078" s="14" t="str">
        <f>IFERROR(__xludf.DUMMYFUNCTION("""COMPUTED_VALUE"""),"//ord_82054//Arvind Kulkarni//Juhu//Potato+1*Not Assigned/8/11/2023//Credit Card//Cancelled*App Glitches:Slow Loading Time")</f>
        <v>//ord_82054//Arvind Kulkarni//Juhu//Potato+1*Not Assigned/8/11/2023//Credit Card//Cancelled*App Glitches:Slow Loading Time</v>
      </c>
      <c r="B2078" s="14" t="str">
        <f>IFERROR(__xludf.DUMMYFUNCTION("split(A2078,""//"")"),"ord_82054")</f>
        <v>ord_82054</v>
      </c>
      <c r="C2078" s="14" t="str">
        <f>IFERROR(__xludf.DUMMYFUNCTION("""COMPUTED_VALUE"""),"Arvind Kulkarni")</f>
        <v>Arvind Kulkarni</v>
      </c>
      <c r="D2078" s="14" t="str">
        <f>IFERROR(__xludf.DUMMYFUNCTION("""COMPUTED_VALUE"""),"Juhu")</f>
        <v>Juhu</v>
      </c>
      <c r="E2078" s="14" t="str">
        <f>IFERROR(__xludf.DUMMYFUNCTION("""COMPUTED_VALUE"""),"Potato+1*Not Assigned")</f>
        <v>Potato+1*Not Assigned</v>
      </c>
      <c r="F2078" s="14">
        <f>IFERROR(__xludf.DUMMYFUNCTION("""COMPUTED_VALUE"""),8.0)</f>
        <v>8</v>
      </c>
      <c r="G2078" s="14">
        <f>IFERROR(__xludf.DUMMYFUNCTION("""COMPUTED_VALUE"""),11.0)</f>
        <v>11</v>
      </c>
      <c r="H2078" s="14">
        <f>IFERROR(__xludf.DUMMYFUNCTION("""COMPUTED_VALUE"""),2023.0)</f>
        <v>2023</v>
      </c>
      <c r="I2078" s="14" t="str">
        <f>IFERROR(__xludf.DUMMYFUNCTION("""COMPUTED_VALUE"""),"Credit Card")</f>
        <v>Credit Card</v>
      </c>
      <c r="J2078" s="14" t="str">
        <f>IFERROR(__xludf.DUMMYFUNCTION("""COMPUTED_VALUE"""),"Cancelled*App Glitches:Slow Loading Time")</f>
        <v>Cancelled*App Glitches:Slow Loading Time</v>
      </c>
      <c r="K2078" s="14" t="str">
        <f>IFERROR(__xludf.DUMMYFUNCTION("split(E2078,""+"")"),"Potato")</f>
        <v>Potato</v>
      </c>
      <c r="L2078" s="14" t="str">
        <f>IFERROR(__xludf.DUMMYFUNCTION("""COMPUTED_VALUE"""),"1*Not Assigned")</f>
        <v>1*Not Assigned</v>
      </c>
      <c r="M2078" s="14">
        <f>IFERROR(__xludf.DUMMYFUNCTION("SPLIT(L2078,""*"")"),1.0)</f>
        <v>1</v>
      </c>
      <c r="N2078" s="14" t="str">
        <f>IFERROR(__xludf.DUMMYFUNCTION("""COMPUTED_VALUE"""),"Not Assigned")</f>
        <v>Not Assigned</v>
      </c>
      <c r="O2078" s="14" t="str">
        <f>IFERROR(__xludf.DUMMYFUNCTION("split(J2078,""*"")"),"Cancelled")</f>
        <v>Cancelled</v>
      </c>
      <c r="P2078" s="14" t="str">
        <f>IFERROR(__xludf.DUMMYFUNCTION("""COMPUTED_VALUE"""),"App Glitches:Slow Loading Time")</f>
        <v>App Glitches:Slow Loading Time</v>
      </c>
      <c r="Q2078" s="14" t="str">
        <f>IFERROR(__xludf.DUMMYFUNCTION("split(P2078,"":"")"),"App Glitches")</f>
        <v>App Glitches</v>
      </c>
      <c r="R2078" s="14" t="str">
        <f>IFERROR(__xludf.DUMMYFUNCTION("""COMPUTED_VALUE"""),"Slow Loading Time")</f>
        <v>Slow Loading Time</v>
      </c>
      <c r="S2078" s="14" t="str">
        <f t="shared" ref="S2078:U2078" si="4159">trim(B2078)</f>
        <v>ord_82054</v>
      </c>
      <c r="T2078" s="14" t="str">
        <f t="shared" si="4159"/>
        <v>Arvind Kulkarni</v>
      </c>
      <c r="U2078" s="14" t="str">
        <f t="shared" si="4159"/>
        <v>Juhu</v>
      </c>
      <c r="V2078" s="14" t="str">
        <f t="shared" si="4"/>
        <v>Potato</v>
      </c>
      <c r="W2078" s="14">
        <f t="shared" si="5"/>
        <v>1</v>
      </c>
      <c r="X2078" s="14" t="str">
        <f t="shared" si="6"/>
        <v>Not Assigned</v>
      </c>
      <c r="Y2078" s="15">
        <f t="shared" si="7"/>
        <v>45149</v>
      </c>
      <c r="Z2078" s="14" t="str">
        <f t="shared" si="8"/>
        <v>Credit Card</v>
      </c>
      <c r="AA2078" s="14" t="str">
        <f t="shared" si="9"/>
        <v>Cancelled</v>
      </c>
      <c r="AB2078" s="14" t="str">
        <f t="shared" ref="AB2078:AC2078" si="4160">trim(Q2078)</f>
        <v>App Glitches</v>
      </c>
      <c r="AC2078" s="14" t="str">
        <f t="shared" si="4160"/>
        <v>Slow Loading Time</v>
      </c>
      <c r="AD2078" s="8"/>
    </row>
    <row r="2079">
      <c r="A2079" s="14" t="str">
        <f>IFERROR(__xludf.DUMMYFUNCTION("""COMPUTED_VALUE"""),"//ord_82055//Mohit Malhotra//Lower Parel//Banana+2*Ramesh S/3/4/2023//Credit Card//Delivered*On-time Delivery: Delivered on time")</f>
        <v>//ord_82055//Mohit Malhotra//Lower Parel//Banana+2*Ramesh S/3/4/2023//Credit Card//Delivered*On-time Delivery: Delivered on time</v>
      </c>
      <c r="B2079" s="14" t="str">
        <f>IFERROR(__xludf.DUMMYFUNCTION("split(A2079,""//"")"),"ord_82055")</f>
        <v>ord_82055</v>
      </c>
      <c r="C2079" s="14" t="str">
        <f>IFERROR(__xludf.DUMMYFUNCTION("""COMPUTED_VALUE"""),"Mohit Malhotra")</f>
        <v>Mohit Malhotra</v>
      </c>
      <c r="D2079" s="14" t="str">
        <f>IFERROR(__xludf.DUMMYFUNCTION("""COMPUTED_VALUE"""),"Lower Parel")</f>
        <v>Lower Parel</v>
      </c>
      <c r="E2079" s="14" t="str">
        <f>IFERROR(__xludf.DUMMYFUNCTION("""COMPUTED_VALUE"""),"Banana+2*Ramesh S")</f>
        <v>Banana+2*Ramesh S</v>
      </c>
      <c r="F2079" s="14">
        <f>IFERROR(__xludf.DUMMYFUNCTION("""COMPUTED_VALUE"""),3.0)</f>
        <v>3</v>
      </c>
      <c r="G2079" s="14">
        <f>IFERROR(__xludf.DUMMYFUNCTION("""COMPUTED_VALUE"""),4.0)</f>
        <v>4</v>
      </c>
      <c r="H2079" s="14">
        <f>IFERROR(__xludf.DUMMYFUNCTION("""COMPUTED_VALUE"""),2023.0)</f>
        <v>2023</v>
      </c>
      <c r="I2079" s="14" t="str">
        <f>IFERROR(__xludf.DUMMYFUNCTION("""COMPUTED_VALUE"""),"Credit Card")</f>
        <v>Credit Card</v>
      </c>
      <c r="J2079" s="14" t="str">
        <f>IFERROR(__xludf.DUMMYFUNCTION("""COMPUTED_VALUE"""),"Delivered*On-time Delivery: Delivered on time")</f>
        <v>Delivered*On-time Delivery: Delivered on time</v>
      </c>
      <c r="K2079" s="14" t="str">
        <f>IFERROR(__xludf.DUMMYFUNCTION("split(E2079,""+"")"),"Banana")</f>
        <v>Banana</v>
      </c>
      <c r="L2079" s="14" t="str">
        <f>IFERROR(__xludf.DUMMYFUNCTION("""COMPUTED_VALUE"""),"2*Ramesh S")</f>
        <v>2*Ramesh S</v>
      </c>
      <c r="M2079" s="14">
        <f>IFERROR(__xludf.DUMMYFUNCTION("SPLIT(L2079,""*"")"),2.0)</f>
        <v>2</v>
      </c>
      <c r="N2079" s="14" t="str">
        <f>IFERROR(__xludf.DUMMYFUNCTION("""COMPUTED_VALUE"""),"Ramesh S")</f>
        <v>Ramesh S</v>
      </c>
      <c r="O2079" s="14" t="str">
        <f>IFERROR(__xludf.DUMMYFUNCTION("split(J2079,""*"")"),"Delivered")</f>
        <v>Delivered</v>
      </c>
      <c r="P2079" s="14" t="str">
        <f>IFERROR(__xludf.DUMMYFUNCTION("""COMPUTED_VALUE"""),"On-time Delivery: Delivered on time")</f>
        <v>On-time Delivery: Delivered on time</v>
      </c>
      <c r="Q2079" s="14" t="str">
        <f>IFERROR(__xludf.DUMMYFUNCTION("split(P2079,"":"")"),"On-time Delivery")</f>
        <v>On-time Delivery</v>
      </c>
      <c r="R2079" s="14" t="str">
        <f>IFERROR(__xludf.DUMMYFUNCTION("""COMPUTED_VALUE""")," Delivered on time")</f>
        <v> Delivered on time</v>
      </c>
      <c r="S2079" s="14" t="str">
        <f t="shared" ref="S2079:U2079" si="4161">trim(B2079)</f>
        <v>ord_82055</v>
      </c>
      <c r="T2079" s="14" t="str">
        <f t="shared" si="4161"/>
        <v>Mohit Malhotra</v>
      </c>
      <c r="U2079" s="14" t="str">
        <f t="shared" si="4161"/>
        <v>Lower Parel</v>
      </c>
      <c r="V2079" s="14" t="str">
        <f t="shared" si="4"/>
        <v>Banana</v>
      </c>
      <c r="W2079" s="14">
        <f t="shared" si="5"/>
        <v>2</v>
      </c>
      <c r="X2079" s="14" t="str">
        <f t="shared" si="6"/>
        <v>Ramesh S</v>
      </c>
      <c r="Y2079" s="15">
        <f t="shared" si="7"/>
        <v>44989</v>
      </c>
      <c r="Z2079" s="14" t="str">
        <f t="shared" si="8"/>
        <v>Credit Card</v>
      </c>
      <c r="AA2079" s="14" t="str">
        <f t="shared" si="9"/>
        <v>Delivered</v>
      </c>
      <c r="AB2079" s="14" t="str">
        <f t="shared" ref="AB2079:AC2079" si="4162">trim(Q2079)</f>
        <v>On-time Delivery</v>
      </c>
      <c r="AC2079" s="14" t="str">
        <f t="shared" si="4162"/>
        <v>Delivered on time</v>
      </c>
      <c r="AD2079" s="8"/>
    </row>
    <row r="2080">
      <c r="A2080" s="14" t="str">
        <f>IFERROR(__xludf.DUMMYFUNCTION("""COMPUTED_VALUE"""),"//ord_82056//Tanishq Bansal//Powai//Onion+2*Ram Gopal/2/21/2023//Online Payment//Delivered*Quality of Items: Perfect condition")</f>
        <v>//ord_82056//Tanishq Bansal//Powai//Onion+2*Ram Gopal/2/21/2023//Online Payment//Delivered*Quality of Items: Perfect condition</v>
      </c>
      <c r="B2080" s="14" t="str">
        <f>IFERROR(__xludf.DUMMYFUNCTION("split(A2080,""//"")"),"ord_82056")</f>
        <v>ord_82056</v>
      </c>
      <c r="C2080" s="14" t="str">
        <f>IFERROR(__xludf.DUMMYFUNCTION("""COMPUTED_VALUE"""),"Tanishq Bansal")</f>
        <v>Tanishq Bansal</v>
      </c>
      <c r="D2080" s="14" t="str">
        <f>IFERROR(__xludf.DUMMYFUNCTION("""COMPUTED_VALUE"""),"Powai")</f>
        <v>Powai</v>
      </c>
      <c r="E2080" s="14" t="str">
        <f>IFERROR(__xludf.DUMMYFUNCTION("""COMPUTED_VALUE"""),"Onion+2*Ram Gopal")</f>
        <v>Onion+2*Ram Gopal</v>
      </c>
      <c r="F2080" s="14">
        <f>IFERROR(__xludf.DUMMYFUNCTION("""COMPUTED_VALUE"""),2.0)</f>
        <v>2</v>
      </c>
      <c r="G2080" s="14">
        <f>IFERROR(__xludf.DUMMYFUNCTION("""COMPUTED_VALUE"""),21.0)</f>
        <v>21</v>
      </c>
      <c r="H2080" s="14">
        <f>IFERROR(__xludf.DUMMYFUNCTION("""COMPUTED_VALUE"""),2023.0)</f>
        <v>2023</v>
      </c>
      <c r="I2080" s="14" t="str">
        <f>IFERROR(__xludf.DUMMYFUNCTION("""COMPUTED_VALUE"""),"Online Payment")</f>
        <v>Online Payment</v>
      </c>
      <c r="J2080" s="14" t="str">
        <f>IFERROR(__xludf.DUMMYFUNCTION("""COMPUTED_VALUE"""),"Delivered*Quality of Items: Perfect condition")</f>
        <v>Delivered*Quality of Items: Perfect condition</v>
      </c>
      <c r="K2080" s="14" t="str">
        <f>IFERROR(__xludf.DUMMYFUNCTION("split(E2080,""+"")"),"Onion")</f>
        <v>Onion</v>
      </c>
      <c r="L2080" s="14" t="str">
        <f>IFERROR(__xludf.DUMMYFUNCTION("""COMPUTED_VALUE"""),"2*Ram Gopal")</f>
        <v>2*Ram Gopal</v>
      </c>
      <c r="M2080" s="14">
        <f>IFERROR(__xludf.DUMMYFUNCTION("SPLIT(L2080,""*"")"),2.0)</f>
        <v>2</v>
      </c>
      <c r="N2080" s="14" t="str">
        <f>IFERROR(__xludf.DUMMYFUNCTION("""COMPUTED_VALUE"""),"Ram Gopal")</f>
        <v>Ram Gopal</v>
      </c>
      <c r="O2080" s="14" t="str">
        <f>IFERROR(__xludf.DUMMYFUNCTION("split(J2080,""*"")"),"Delivered")</f>
        <v>Delivered</v>
      </c>
      <c r="P2080" s="14" t="str">
        <f>IFERROR(__xludf.DUMMYFUNCTION("""COMPUTED_VALUE"""),"Quality of Items: Perfect condition")</f>
        <v>Quality of Items: Perfect condition</v>
      </c>
      <c r="Q2080" s="14" t="str">
        <f>IFERROR(__xludf.DUMMYFUNCTION("split(P2080,"":"")"),"Quality of Items")</f>
        <v>Quality of Items</v>
      </c>
      <c r="R2080" s="14" t="str">
        <f>IFERROR(__xludf.DUMMYFUNCTION("""COMPUTED_VALUE""")," Perfect condition")</f>
        <v> Perfect condition</v>
      </c>
      <c r="S2080" s="14" t="str">
        <f t="shared" ref="S2080:U2080" si="4163">trim(B2080)</f>
        <v>ord_82056</v>
      </c>
      <c r="T2080" s="14" t="str">
        <f t="shared" si="4163"/>
        <v>Tanishq Bansal</v>
      </c>
      <c r="U2080" s="14" t="str">
        <f t="shared" si="4163"/>
        <v>Powai</v>
      </c>
      <c r="V2080" s="14" t="str">
        <f t="shared" si="4"/>
        <v>Onion</v>
      </c>
      <c r="W2080" s="14">
        <f t="shared" si="5"/>
        <v>2</v>
      </c>
      <c r="X2080" s="14" t="str">
        <f t="shared" si="6"/>
        <v>Ram Gopal</v>
      </c>
      <c r="Y2080" s="15">
        <f t="shared" si="7"/>
        <v>44978</v>
      </c>
      <c r="Z2080" s="14" t="str">
        <f t="shared" si="8"/>
        <v>Online Payment</v>
      </c>
      <c r="AA2080" s="14" t="str">
        <f t="shared" si="9"/>
        <v>Delivered</v>
      </c>
      <c r="AB2080" s="14" t="str">
        <f t="shared" ref="AB2080:AC2080" si="4164">trim(Q2080)</f>
        <v>Quality of Items</v>
      </c>
      <c r="AC2080" s="14" t="str">
        <f t="shared" si="4164"/>
        <v>Perfect condition</v>
      </c>
      <c r="AD2080" s="8"/>
    </row>
    <row r="2081">
      <c r="A2081" s="14" t="str">
        <f>IFERROR(__xludf.DUMMYFUNCTION("""COMPUTED_VALUE"""),"//ord_82057//Arvind Kulkarni//Juhu//Papaya+1*Venu R/2/9/2023//Online Payment//Delivered*On-time Delivery: Delivered on time")</f>
        <v>//ord_82057//Arvind Kulkarni//Juhu//Papaya+1*Venu R/2/9/2023//Online Payment//Delivered*On-time Delivery: Delivered on time</v>
      </c>
      <c r="B2081" s="14" t="str">
        <f>IFERROR(__xludf.DUMMYFUNCTION("split(A2081,""//"")"),"ord_82057")</f>
        <v>ord_82057</v>
      </c>
      <c r="C2081" s="14" t="str">
        <f>IFERROR(__xludf.DUMMYFUNCTION("""COMPUTED_VALUE"""),"Arvind Kulkarni")</f>
        <v>Arvind Kulkarni</v>
      </c>
      <c r="D2081" s="14" t="str">
        <f>IFERROR(__xludf.DUMMYFUNCTION("""COMPUTED_VALUE"""),"Juhu")</f>
        <v>Juhu</v>
      </c>
      <c r="E2081" s="14" t="str">
        <f>IFERROR(__xludf.DUMMYFUNCTION("""COMPUTED_VALUE"""),"Papaya+1*Venu R")</f>
        <v>Papaya+1*Venu R</v>
      </c>
      <c r="F2081" s="14">
        <f>IFERROR(__xludf.DUMMYFUNCTION("""COMPUTED_VALUE"""),2.0)</f>
        <v>2</v>
      </c>
      <c r="G2081" s="14">
        <f>IFERROR(__xludf.DUMMYFUNCTION("""COMPUTED_VALUE"""),9.0)</f>
        <v>9</v>
      </c>
      <c r="H2081" s="14">
        <f>IFERROR(__xludf.DUMMYFUNCTION("""COMPUTED_VALUE"""),2023.0)</f>
        <v>2023</v>
      </c>
      <c r="I2081" s="14" t="str">
        <f>IFERROR(__xludf.DUMMYFUNCTION("""COMPUTED_VALUE"""),"Online Payment")</f>
        <v>Online Payment</v>
      </c>
      <c r="J2081" s="14" t="str">
        <f>IFERROR(__xludf.DUMMYFUNCTION("""COMPUTED_VALUE"""),"Delivered*On-time Delivery: Delivered on time")</f>
        <v>Delivered*On-time Delivery: Delivered on time</v>
      </c>
      <c r="K2081" s="14" t="str">
        <f>IFERROR(__xludf.DUMMYFUNCTION("split(E2081,""+"")"),"Papaya")</f>
        <v>Papaya</v>
      </c>
      <c r="L2081" s="14" t="str">
        <f>IFERROR(__xludf.DUMMYFUNCTION("""COMPUTED_VALUE"""),"1*Venu R")</f>
        <v>1*Venu R</v>
      </c>
      <c r="M2081" s="14">
        <f>IFERROR(__xludf.DUMMYFUNCTION("SPLIT(L2081,""*"")"),1.0)</f>
        <v>1</v>
      </c>
      <c r="N2081" s="14" t="str">
        <f>IFERROR(__xludf.DUMMYFUNCTION("""COMPUTED_VALUE"""),"Venu R")</f>
        <v>Venu R</v>
      </c>
      <c r="O2081" s="14" t="str">
        <f>IFERROR(__xludf.DUMMYFUNCTION("split(J2081,""*"")"),"Delivered")</f>
        <v>Delivered</v>
      </c>
      <c r="P2081" s="14" t="str">
        <f>IFERROR(__xludf.DUMMYFUNCTION("""COMPUTED_VALUE"""),"On-time Delivery: Delivered on time")</f>
        <v>On-time Delivery: Delivered on time</v>
      </c>
      <c r="Q2081" s="14" t="str">
        <f>IFERROR(__xludf.DUMMYFUNCTION("split(P2081,"":"")"),"On-time Delivery")</f>
        <v>On-time Delivery</v>
      </c>
      <c r="R2081" s="14" t="str">
        <f>IFERROR(__xludf.DUMMYFUNCTION("""COMPUTED_VALUE""")," Delivered on time")</f>
        <v> Delivered on time</v>
      </c>
      <c r="S2081" s="14" t="str">
        <f t="shared" ref="S2081:U2081" si="4165">trim(B2081)</f>
        <v>ord_82057</v>
      </c>
      <c r="T2081" s="14" t="str">
        <f t="shared" si="4165"/>
        <v>Arvind Kulkarni</v>
      </c>
      <c r="U2081" s="14" t="str">
        <f t="shared" si="4165"/>
        <v>Juhu</v>
      </c>
      <c r="V2081" s="14" t="str">
        <f t="shared" si="4"/>
        <v>Papaya</v>
      </c>
      <c r="W2081" s="14">
        <f t="shared" si="5"/>
        <v>1</v>
      </c>
      <c r="X2081" s="14" t="str">
        <f t="shared" si="6"/>
        <v>Venu R</v>
      </c>
      <c r="Y2081" s="15">
        <f t="shared" si="7"/>
        <v>44966</v>
      </c>
      <c r="Z2081" s="14" t="str">
        <f t="shared" si="8"/>
        <v>Online Payment</v>
      </c>
      <c r="AA2081" s="14" t="str">
        <f t="shared" si="9"/>
        <v>Delivered</v>
      </c>
      <c r="AB2081" s="14" t="str">
        <f t="shared" ref="AB2081:AC2081" si="4166">trim(Q2081)</f>
        <v>On-time Delivery</v>
      </c>
      <c r="AC2081" s="14" t="str">
        <f t="shared" si="4166"/>
        <v>Delivered on time</v>
      </c>
      <c r="AD2081" s="8"/>
    </row>
    <row r="2082">
      <c r="A2082" s="14" t="str">
        <f>IFERROR(__xludf.DUMMYFUNCTION("""COMPUTED_VALUE"""),"//ord_82058//Sakshi Tandon//Colaba//Guava+1*Ramesh S/6/4/2023//UPI//Delivered*Quality of Items: Perfect condition")</f>
        <v>//ord_82058//Sakshi Tandon//Colaba//Guava+1*Ramesh S/6/4/2023//UPI//Delivered*Quality of Items: Perfect condition</v>
      </c>
      <c r="B2082" s="14" t="str">
        <f>IFERROR(__xludf.DUMMYFUNCTION("split(A2082,""//"")"),"ord_82058")</f>
        <v>ord_82058</v>
      </c>
      <c r="C2082" s="14" t="str">
        <f>IFERROR(__xludf.DUMMYFUNCTION("""COMPUTED_VALUE"""),"Sakshi Tandon")</f>
        <v>Sakshi Tandon</v>
      </c>
      <c r="D2082" s="14" t="str">
        <f>IFERROR(__xludf.DUMMYFUNCTION("""COMPUTED_VALUE"""),"Colaba")</f>
        <v>Colaba</v>
      </c>
      <c r="E2082" s="14" t="str">
        <f>IFERROR(__xludf.DUMMYFUNCTION("""COMPUTED_VALUE"""),"Guava+1*Ramesh S")</f>
        <v>Guava+1*Ramesh S</v>
      </c>
      <c r="F2082" s="14">
        <f>IFERROR(__xludf.DUMMYFUNCTION("""COMPUTED_VALUE"""),6.0)</f>
        <v>6</v>
      </c>
      <c r="G2082" s="14">
        <f>IFERROR(__xludf.DUMMYFUNCTION("""COMPUTED_VALUE"""),4.0)</f>
        <v>4</v>
      </c>
      <c r="H2082" s="14">
        <f>IFERROR(__xludf.DUMMYFUNCTION("""COMPUTED_VALUE"""),2023.0)</f>
        <v>2023</v>
      </c>
      <c r="I2082" s="14" t="str">
        <f>IFERROR(__xludf.DUMMYFUNCTION("""COMPUTED_VALUE"""),"UPI")</f>
        <v>UPI</v>
      </c>
      <c r="J2082" s="14" t="str">
        <f>IFERROR(__xludf.DUMMYFUNCTION("""COMPUTED_VALUE"""),"Delivered*Quality of Items: Perfect condition")</f>
        <v>Delivered*Quality of Items: Perfect condition</v>
      </c>
      <c r="K2082" s="14" t="str">
        <f>IFERROR(__xludf.DUMMYFUNCTION("split(E2082,""+"")"),"Guava")</f>
        <v>Guava</v>
      </c>
      <c r="L2082" s="14" t="str">
        <f>IFERROR(__xludf.DUMMYFUNCTION("""COMPUTED_VALUE"""),"1*Ramesh S")</f>
        <v>1*Ramesh S</v>
      </c>
      <c r="M2082" s="14">
        <f>IFERROR(__xludf.DUMMYFUNCTION("SPLIT(L2082,""*"")"),1.0)</f>
        <v>1</v>
      </c>
      <c r="N2082" s="14" t="str">
        <f>IFERROR(__xludf.DUMMYFUNCTION("""COMPUTED_VALUE"""),"Ramesh S")</f>
        <v>Ramesh S</v>
      </c>
      <c r="O2082" s="14" t="str">
        <f>IFERROR(__xludf.DUMMYFUNCTION("split(J2082,""*"")"),"Delivered")</f>
        <v>Delivered</v>
      </c>
      <c r="P2082" s="14" t="str">
        <f>IFERROR(__xludf.DUMMYFUNCTION("""COMPUTED_VALUE"""),"Quality of Items: Perfect condition")</f>
        <v>Quality of Items: Perfect condition</v>
      </c>
      <c r="Q2082" s="14" t="str">
        <f>IFERROR(__xludf.DUMMYFUNCTION("split(P2082,"":"")"),"Quality of Items")</f>
        <v>Quality of Items</v>
      </c>
      <c r="R2082" s="14" t="str">
        <f>IFERROR(__xludf.DUMMYFUNCTION("""COMPUTED_VALUE""")," Perfect condition")</f>
        <v> Perfect condition</v>
      </c>
      <c r="S2082" s="14" t="str">
        <f t="shared" ref="S2082:U2082" si="4167">trim(B2082)</f>
        <v>ord_82058</v>
      </c>
      <c r="T2082" s="14" t="str">
        <f t="shared" si="4167"/>
        <v>Sakshi Tandon</v>
      </c>
      <c r="U2082" s="14" t="str">
        <f t="shared" si="4167"/>
        <v>Colaba</v>
      </c>
      <c r="V2082" s="14" t="str">
        <f t="shared" si="4"/>
        <v>Guava</v>
      </c>
      <c r="W2082" s="14">
        <f t="shared" si="5"/>
        <v>1</v>
      </c>
      <c r="X2082" s="14" t="str">
        <f t="shared" si="6"/>
        <v>Ramesh S</v>
      </c>
      <c r="Y2082" s="15">
        <f t="shared" si="7"/>
        <v>45081</v>
      </c>
      <c r="Z2082" s="14" t="str">
        <f t="shared" si="8"/>
        <v>UPI</v>
      </c>
      <c r="AA2082" s="14" t="str">
        <f t="shared" si="9"/>
        <v>Delivered</v>
      </c>
      <c r="AB2082" s="14" t="str">
        <f t="shared" ref="AB2082:AC2082" si="4168">trim(Q2082)</f>
        <v>Quality of Items</v>
      </c>
      <c r="AC2082" s="14" t="str">
        <f t="shared" si="4168"/>
        <v>Perfect condition</v>
      </c>
      <c r="AD2082" s="8"/>
    </row>
    <row r="2083">
      <c r="A2083" s="14" t="str">
        <f>IFERROR(__xludf.DUMMYFUNCTION("""COMPUTED_VALUE"""),"//ord_10117//Aarohi Kapoor//Bandra//Orange+1*Nithin Lal/2/7/2023//Credit Card//Delivered*Overall Satisfaction: Great service will order again")</f>
        <v>//ord_10117//Aarohi Kapoor//Bandra//Orange+1*Nithin Lal/2/7/2023//Credit Card//Delivered*Overall Satisfaction: Great service will order again</v>
      </c>
      <c r="B2083" s="14" t="str">
        <f>IFERROR(__xludf.DUMMYFUNCTION("split(A2083,""//"")"),"ord_10117")</f>
        <v>ord_10117</v>
      </c>
      <c r="C2083" s="14" t="str">
        <f>IFERROR(__xludf.DUMMYFUNCTION("""COMPUTED_VALUE"""),"Aarohi Kapoor")</f>
        <v>Aarohi Kapoor</v>
      </c>
      <c r="D2083" s="14" t="str">
        <f>IFERROR(__xludf.DUMMYFUNCTION("""COMPUTED_VALUE"""),"Bandra")</f>
        <v>Bandra</v>
      </c>
      <c r="E2083" s="14" t="str">
        <f>IFERROR(__xludf.DUMMYFUNCTION("""COMPUTED_VALUE"""),"Orange+1*Nithin Lal")</f>
        <v>Orange+1*Nithin Lal</v>
      </c>
      <c r="F2083" s="14">
        <f>IFERROR(__xludf.DUMMYFUNCTION("""COMPUTED_VALUE"""),2.0)</f>
        <v>2</v>
      </c>
      <c r="G2083" s="14">
        <f>IFERROR(__xludf.DUMMYFUNCTION("""COMPUTED_VALUE"""),7.0)</f>
        <v>7</v>
      </c>
      <c r="H2083" s="14">
        <f>IFERROR(__xludf.DUMMYFUNCTION("""COMPUTED_VALUE"""),2023.0)</f>
        <v>2023</v>
      </c>
      <c r="I2083" s="14" t="str">
        <f>IFERROR(__xludf.DUMMYFUNCTION("""COMPUTED_VALUE"""),"Credit Card")</f>
        <v>Credit Card</v>
      </c>
      <c r="J2083" s="14" t="str">
        <f>IFERROR(__xludf.DUMMYFUNCTION("""COMPUTED_VALUE"""),"Delivered*Overall Satisfaction: Great service will order again")</f>
        <v>Delivered*Overall Satisfaction: Great service will order again</v>
      </c>
      <c r="K2083" s="14" t="str">
        <f>IFERROR(__xludf.DUMMYFUNCTION("split(E2083,""+"")"),"Orange")</f>
        <v>Orange</v>
      </c>
      <c r="L2083" s="14" t="str">
        <f>IFERROR(__xludf.DUMMYFUNCTION("""COMPUTED_VALUE"""),"1*Nithin Lal")</f>
        <v>1*Nithin Lal</v>
      </c>
      <c r="M2083" s="14">
        <f>IFERROR(__xludf.DUMMYFUNCTION("SPLIT(L2083,""*"")"),1.0)</f>
        <v>1</v>
      </c>
      <c r="N2083" s="14" t="str">
        <f>IFERROR(__xludf.DUMMYFUNCTION("""COMPUTED_VALUE"""),"Nithin Lal")</f>
        <v>Nithin Lal</v>
      </c>
      <c r="O2083" s="14" t="str">
        <f>IFERROR(__xludf.DUMMYFUNCTION("split(J2083,""*"")"),"Delivered")</f>
        <v>Delivered</v>
      </c>
      <c r="P2083" s="14" t="str">
        <f>IFERROR(__xludf.DUMMYFUNCTION("""COMPUTED_VALUE"""),"Overall Satisfaction: Great service will order again")</f>
        <v>Overall Satisfaction: Great service will order again</v>
      </c>
      <c r="Q2083" s="14" t="str">
        <f>IFERROR(__xludf.DUMMYFUNCTION("split(P2083,"":"")"),"Overall Satisfaction")</f>
        <v>Overall Satisfaction</v>
      </c>
      <c r="R2083" s="14" t="str">
        <f>IFERROR(__xludf.DUMMYFUNCTION("""COMPUTED_VALUE""")," Great service will order again")</f>
        <v> Great service will order again</v>
      </c>
      <c r="S2083" s="14" t="str">
        <f t="shared" ref="S2083:U2083" si="4169">trim(B2083)</f>
        <v>ord_10117</v>
      </c>
      <c r="T2083" s="14" t="str">
        <f t="shared" si="4169"/>
        <v>Aarohi Kapoor</v>
      </c>
      <c r="U2083" s="14" t="str">
        <f t="shared" si="4169"/>
        <v>Bandra</v>
      </c>
      <c r="V2083" s="14" t="str">
        <f t="shared" si="4"/>
        <v>Orange</v>
      </c>
      <c r="W2083" s="14">
        <f t="shared" si="5"/>
        <v>1</v>
      </c>
      <c r="X2083" s="14" t="str">
        <f t="shared" si="6"/>
        <v>Nithin Lal</v>
      </c>
      <c r="Y2083" s="15">
        <f t="shared" si="7"/>
        <v>44964</v>
      </c>
      <c r="Z2083" s="14" t="str">
        <f t="shared" si="8"/>
        <v>Credit Card</v>
      </c>
      <c r="AA2083" s="14" t="str">
        <f t="shared" si="9"/>
        <v>Delivered</v>
      </c>
      <c r="AB2083" s="14" t="str">
        <f t="shared" ref="AB2083:AC2083" si="4170">trim(Q2083)</f>
        <v>Overall Satisfaction</v>
      </c>
      <c r="AC2083" s="14" t="str">
        <f t="shared" si="4170"/>
        <v>Great service will order again</v>
      </c>
      <c r="AD2083" s="8"/>
    </row>
    <row r="2084">
      <c r="A2084" s="14" t="str">
        <f>IFERROR(__xludf.DUMMYFUNCTION("""COMPUTED_VALUE"""),"//ord_10126//Kritika Shetty//Malad//Banana+2*Vivek Kumar/12/16/2023//Online Payment//Delivered*On-time Delivery: Delivered on time")</f>
        <v>//ord_10126//Kritika Shetty//Malad//Banana+2*Vivek Kumar/12/16/2023//Online Payment//Delivered*On-time Delivery: Delivered on time</v>
      </c>
      <c r="B2084" s="14" t="str">
        <f>IFERROR(__xludf.DUMMYFUNCTION("split(A2084,""//"")"),"ord_10126")</f>
        <v>ord_10126</v>
      </c>
      <c r="C2084" s="14" t="str">
        <f>IFERROR(__xludf.DUMMYFUNCTION("""COMPUTED_VALUE"""),"Kritika Shetty")</f>
        <v>Kritika Shetty</v>
      </c>
      <c r="D2084" s="14" t="str">
        <f>IFERROR(__xludf.DUMMYFUNCTION("""COMPUTED_VALUE"""),"Malad")</f>
        <v>Malad</v>
      </c>
      <c r="E2084" s="14" t="str">
        <f>IFERROR(__xludf.DUMMYFUNCTION("""COMPUTED_VALUE"""),"Banana+2*Vivek Kumar")</f>
        <v>Banana+2*Vivek Kumar</v>
      </c>
      <c r="F2084" s="14">
        <f>IFERROR(__xludf.DUMMYFUNCTION("""COMPUTED_VALUE"""),12.0)</f>
        <v>12</v>
      </c>
      <c r="G2084" s="14">
        <f>IFERROR(__xludf.DUMMYFUNCTION("""COMPUTED_VALUE"""),16.0)</f>
        <v>16</v>
      </c>
      <c r="H2084" s="14">
        <f>IFERROR(__xludf.DUMMYFUNCTION("""COMPUTED_VALUE"""),2023.0)</f>
        <v>2023</v>
      </c>
      <c r="I2084" s="14" t="str">
        <f>IFERROR(__xludf.DUMMYFUNCTION("""COMPUTED_VALUE"""),"Online Payment")</f>
        <v>Online Payment</v>
      </c>
      <c r="J2084" s="14" t="str">
        <f>IFERROR(__xludf.DUMMYFUNCTION("""COMPUTED_VALUE"""),"Delivered*On-time Delivery: Delivered on time")</f>
        <v>Delivered*On-time Delivery: Delivered on time</v>
      </c>
      <c r="K2084" s="14" t="str">
        <f>IFERROR(__xludf.DUMMYFUNCTION("split(E2084,""+"")"),"Banana")</f>
        <v>Banana</v>
      </c>
      <c r="L2084" s="14" t="str">
        <f>IFERROR(__xludf.DUMMYFUNCTION("""COMPUTED_VALUE"""),"2*Vivek Kumar")</f>
        <v>2*Vivek Kumar</v>
      </c>
      <c r="M2084" s="14">
        <f>IFERROR(__xludf.DUMMYFUNCTION("SPLIT(L2084,""*"")"),2.0)</f>
        <v>2</v>
      </c>
      <c r="N2084" s="14" t="str">
        <f>IFERROR(__xludf.DUMMYFUNCTION("""COMPUTED_VALUE"""),"Vivek Kumar")</f>
        <v>Vivek Kumar</v>
      </c>
      <c r="O2084" s="14" t="str">
        <f>IFERROR(__xludf.DUMMYFUNCTION("split(J2084,""*"")"),"Delivered")</f>
        <v>Delivered</v>
      </c>
      <c r="P2084" s="14" t="str">
        <f>IFERROR(__xludf.DUMMYFUNCTION("""COMPUTED_VALUE"""),"On-time Delivery: Delivered on time")</f>
        <v>On-time Delivery: Delivered on time</v>
      </c>
      <c r="Q2084" s="14" t="str">
        <f>IFERROR(__xludf.DUMMYFUNCTION("split(P2084,"":"")"),"On-time Delivery")</f>
        <v>On-time Delivery</v>
      </c>
      <c r="R2084" s="14" t="str">
        <f>IFERROR(__xludf.DUMMYFUNCTION("""COMPUTED_VALUE""")," Delivered on time")</f>
        <v> Delivered on time</v>
      </c>
      <c r="S2084" s="14" t="str">
        <f t="shared" ref="S2084:U2084" si="4171">trim(B2084)</f>
        <v>ord_10126</v>
      </c>
      <c r="T2084" s="14" t="str">
        <f t="shared" si="4171"/>
        <v>Kritika Shetty</v>
      </c>
      <c r="U2084" s="14" t="str">
        <f t="shared" si="4171"/>
        <v>Malad</v>
      </c>
      <c r="V2084" s="14" t="str">
        <f t="shared" si="4"/>
        <v>Banana</v>
      </c>
      <c r="W2084" s="14">
        <f t="shared" si="5"/>
        <v>2</v>
      </c>
      <c r="X2084" s="14" t="str">
        <f t="shared" si="6"/>
        <v>Vivek Kumar</v>
      </c>
      <c r="Y2084" s="15">
        <f t="shared" si="7"/>
        <v>45276</v>
      </c>
      <c r="Z2084" s="14" t="str">
        <f t="shared" si="8"/>
        <v>Online Payment</v>
      </c>
      <c r="AA2084" s="14" t="str">
        <f t="shared" si="9"/>
        <v>Delivered</v>
      </c>
      <c r="AB2084" s="14" t="str">
        <f t="shared" ref="AB2084:AC2084" si="4172">trim(Q2084)</f>
        <v>On-time Delivery</v>
      </c>
      <c r="AC2084" s="14" t="str">
        <f t="shared" si="4172"/>
        <v>Delivered on time</v>
      </c>
      <c r="AD2084" s="8"/>
    </row>
    <row r="2085">
      <c r="A2085" s="14" t="str">
        <f>IFERROR(__xludf.DUMMYFUNCTION("""COMPUTED_VALUE"""),"//ord_82059//Pallavi Ghosh//Bandra//Potato+2*Shine Thomas/7/22/2023//Credit Card//Delivered*Packaging: Secure and intact")</f>
        <v>//ord_82059//Pallavi Ghosh//Bandra//Potato+2*Shine Thomas/7/22/2023//Credit Card//Delivered*Packaging: Secure and intact</v>
      </c>
      <c r="B2085" s="14" t="str">
        <f>IFERROR(__xludf.DUMMYFUNCTION("split(A2085,""//"")"),"ord_82059")</f>
        <v>ord_82059</v>
      </c>
      <c r="C2085" s="14" t="str">
        <f>IFERROR(__xludf.DUMMYFUNCTION("""COMPUTED_VALUE"""),"Pallavi Ghosh")</f>
        <v>Pallavi Ghosh</v>
      </c>
      <c r="D2085" s="14" t="str">
        <f>IFERROR(__xludf.DUMMYFUNCTION("""COMPUTED_VALUE"""),"Bandra")</f>
        <v>Bandra</v>
      </c>
      <c r="E2085" s="14" t="str">
        <f>IFERROR(__xludf.DUMMYFUNCTION("""COMPUTED_VALUE"""),"Potato+2*Shine Thomas")</f>
        <v>Potato+2*Shine Thomas</v>
      </c>
      <c r="F2085" s="14">
        <f>IFERROR(__xludf.DUMMYFUNCTION("""COMPUTED_VALUE"""),7.0)</f>
        <v>7</v>
      </c>
      <c r="G2085" s="14">
        <f>IFERROR(__xludf.DUMMYFUNCTION("""COMPUTED_VALUE"""),22.0)</f>
        <v>22</v>
      </c>
      <c r="H2085" s="14">
        <f>IFERROR(__xludf.DUMMYFUNCTION("""COMPUTED_VALUE"""),2023.0)</f>
        <v>2023</v>
      </c>
      <c r="I2085" s="14" t="str">
        <f>IFERROR(__xludf.DUMMYFUNCTION("""COMPUTED_VALUE"""),"Credit Card")</f>
        <v>Credit Card</v>
      </c>
      <c r="J2085" s="14" t="str">
        <f>IFERROR(__xludf.DUMMYFUNCTION("""COMPUTED_VALUE"""),"Delivered*Packaging: Secure and intact")</f>
        <v>Delivered*Packaging: Secure and intact</v>
      </c>
      <c r="K2085" s="14" t="str">
        <f>IFERROR(__xludf.DUMMYFUNCTION("split(E2085,""+"")"),"Potato")</f>
        <v>Potato</v>
      </c>
      <c r="L2085" s="14" t="str">
        <f>IFERROR(__xludf.DUMMYFUNCTION("""COMPUTED_VALUE"""),"2*Shine Thomas")</f>
        <v>2*Shine Thomas</v>
      </c>
      <c r="M2085" s="14">
        <f>IFERROR(__xludf.DUMMYFUNCTION("SPLIT(L2085,""*"")"),2.0)</f>
        <v>2</v>
      </c>
      <c r="N2085" s="14" t="str">
        <f>IFERROR(__xludf.DUMMYFUNCTION("""COMPUTED_VALUE"""),"Shine Thomas")</f>
        <v>Shine Thomas</v>
      </c>
      <c r="O2085" s="14" t="str">
        <f>IFERROR(__xludf.DUMMYFUNCTION("split(J2085,""*"")"),"Delivered")</f>
        <v>Delivered</v>
      </c>
      <c r="P2085" s="14" t="str">
        <f>IFERROR(__xludf.DUMMYFUNCTION("""COMPUTED_VALUE"""),"Packaging: Secure and intact")</f>
        <v>Packaging: Secure and intact</v>
      </c>
      <c r="Q2085" s="14" t="str">
        <f>IFERROR(__xludf.DUMMYFUNCTION("split(P2085,"":"")"),"Packaging")</f>
        <v>Packaging</v>
      </c>
      <c r="R2085" s="14" t="str">
        <f>IFERROR(__xludf.DUMMYFUNCTION("""COMPUTED_VALUE""")," Secure and intact")</f>
        <v> Secure and intact</v>
      </c>
      <c r="S2085" s="14" t="str">
        <f t="shared" ref="S2085:U2085" si="4173">trim(B2085)</f>
        <v>ord_82059</v>
      </c>
      <c r="T2085" s="14" t="str">
        <f t="shared" si="4173"/>
        <v>Pallavi Ghosh</v>
      </c>
      <c r="U2085" s="14" t="str">
        <f t="shared" si="4173"/>
        <v>Bandra</v>
      </c>
      <c r="V2085" s="14" t="str">
        <f t="shared" si="4"/>
        <v>Potato</v>
      </c>
      <c r="W2085" s="14">
        <f t="shared" si="5"/>
        <v>2</v>
      </c>
      <c r="X2085" s="14" t="str">
        <f t="shared" si="6"/>
        <v>Shine Thomas</v>
      </c>
      <c r="Y2085" s="15">
        <f t="shared" si="7"/>
        <v>45129</v>
      </c>
      <c r="Z2085" s="14" t="str">
        <f t="shared" si="8"/>
        <v>Credit Card</v>
      </c>
      <c r="AA2085" s="14" t="str">
        <f t="shared" si="9"/>
        <v>Delivered</v>
      </c>
      <c r="AB2085" s="14" t="str">
        <f t="shared" ref="AB2085:AC2085" si="4174">trim(Q2085)</f>
        <v>Packaging</v>
      </c>
      <c r="AC2085" s="14" t="str">
        <f t="shared" si="4174"/>
        <v>Secure and intact</v>
      </c>
      <c r="AD2085" s="8"/>
    </row>
    <row r="2086">
      <c r="A2086" s="14" t="str">
        <f>IFERROR(__xludf.DUMMYFUNCTION("""COMPUTED_VALUE"""),"//ord_82060//Tanishq Bansal//Powai//Papaya+1*Vivek Kumar/2/8/2023//Credit Card//Delivered*Satisfied with the Delivery: Timely and quality")</f>
        <v>//ord_82060//Tanishq Bansal//Powai//Papaya+1*Vivek Kumar/2/8/2023//Credit Card//Delivered*Satisfied with the Delivery: Timely and quality</v>
      </c>
      <c r="B2086" s="14" t="str">
        <f>IFERROR(__xludf.DUMMYFUNCTION("split(A2086,""//"")"),"ord_82060")</f>
        <v>ord_82060</v>
      </c>
      <c r="C2086" s="14" t="str">
        <f>IFERROR(__xludf.DUMMYFUNCTION("""COMPUTED_VALUE"""),"Tanishq Bansal")</f>
        <v>Tanishq Bansal</v>
      </c>
      <c r="D2086" s="14" t="str">
        <f>IFERROR(__xludf.DUMMYFUNCTION("""COMPUTED_VALUE"""),"Powai")</f>
        <v>Powai</v>
      </c>
      <c r="E2086" s="14" t="str">
        <f>IFERROR(__xludf.DUMMYFUNCTION("""COMPUTED_VALUE"""),"Papaya+1*Vivek Kumar")</f>
        <v>Papaya+1*Vivek Kumar</v>
      </c>
      <c r="F2086" s="14">
        <f>IFERROR(__xludf.DUMMYFUNCTION("""COMPUTED_VALUE"""),2.0)</f>
        <v>2</v>
      </c>
      <c r="G2086" s="14">
        <f>IFERROR(__xludf.DUMMYFUNCTION("""COMPUTED_VALUE"""),8.0)</f>
        <v>8</v>
      </c>
      <c r="H2086" s="14">
        <f>IFERROR(__xludf.DUMMYFUNCTION("""COMPUTED_VALUE"""),2023.0)</f>
        <v>2023</v>
      </c>
      <c r="I2086" s="14" t="str">
        <f>IFERROR(__xludf.DUMMYFUNCTION("""COMPUTED_VALUE"""),"Credit Card")</f>
        <v>Credit Card</v>
      </c>
      <c r="J2086" s="14" t="str">
        <f>IFERROR(__xludf.DUMMYFUNCTION("""COMPUTED_VALUE"""),"Delivered*Satisfied with the Delivery: Timely and quality")</f>
        <v>Delivered*Satisfied with the Delivery: Timely and quality</v>
      </c>
      <c r="K2086" s="14" t="str">
        <f>IFERROR(__xludf.DUMMYFUNCTION("split(E2086,""+"")"),"Papaya")</f>
        <v>Papaya</v>
      </c>
      <c r="L2086" s="14" t="str">
        <f>IFERROR(__xludf.DUMMYFUNCTION("""COMPUTED_VALUE"""),"1*Vivek Kumar")</f>
        <v>1*Vivek Kumar</v>
      </c>
      <c r="M2086" s="14">
        <f>IFERROR(__xludf.DUMMYFUNCTION("SPLIT(L2086,""*"")"),1.0)</f>
        <v>1</v>
      </c>
      <c r="N2086" s="14" t="str">
        <f>IFERROR(__xludf.DUMMYFUNCTION("""COMPUTED_VALUE"""),"Vivek Kumar")</f>
        <v>Vivek Kumar</v>
      </c>
      <c r="O2086" s="14" t="str">
        <f>IFERROR(__xludf.DUMMYFUNCTION("split(J2086,""*"")"),"Delivered")</f>
        <v>Delivered</v>
      </c>
      <c r="P2086" s="14" t="str">
        <f>IFERROR(__xludf.DUMMYFUNCTION("""COMPUTED_VALUE"""),"Satisfied with the Delivery: Timely and quality")</f>
        <v>Satisfied with the Delivery: Timely and quality</v>
      </c>
      <c r="Q2086" s="14" t="str">
        <f>IFERROR(__xludf.DUMMYFUNCTION("split(P2086,"":"")"),"Satisfied with the Delivery")</f>
        <v>Satisfied with the Delivery</v>
      </c>
      <c r="R2086" s="14" t="str">
        <f>IFERROR(__xludf.DUMMYFUNCTION("""COMPUTED_VALUE""")," Timely and quality")</f>
        <v> Timely and quality</v>
      </c>
      <c r="S2086" s="14" t="str">
        <f t="shared" ref="S2086:U2086" si="4175">trim(B2086)</f>
        <v>ord_82060</v>
      </c>
      <c r="T2086" s="14" t="str">
        <f t="shared" si="4175"/>
        <v>Tanishq Bansal</v>
      </c>
      <c r="U2086" s="14" t="str">
        <f t="shared" si="4175"/>
        <v>Powai</v>
      </c>
      <c r="V2086" s="14" t="str">
        <f t="shared" si="4"/>
        <v>Papaya</v>
      </c>
      <c r="W2086" s="14">
        <f t="shared" si="5"/>
        <v>1</v>
      </c>
      <c r="X2086" s="14" t="str">
        <f t="shared" si="6"/>
        <v>Vivek Kumar</v>
      </c>
      <c r="Y2086" s="15">
        <f t="shared" si="7"/>
        <v>44965</v>
      </c>
      <c r="Z2086" s="14" t="str">
        <f t="shared" si="8"/>
        <v>Credit Card</v>
      </c>
      <c r="AA2086" s="14" t="str">
        <f t="shared" si="9"/>
        <v>Delivered</v>
      </c>
      <c r="AB2086" s="14" t="str">
        <f t="shared" ref="AB2086:AC2086" si="4176">trim(Q2086)</f>
        <v>Satisfied with the Delivery</v>
      </c>
      <c r="AC2086" s="14" t="str">
        <f t="shared" si="4176"/>
        <v>Timely and quality</v>
      </c>
      <c r="AD2086" s="8"/>
    </row>
    <row r="2087">
      <c r="A2087" s="14" t="str">
        <f>IFERROR(__xludf.DUMMYFUNCTION("""COMPUTED_VALUE"""),"//ord_82061//Ritika Dutta//Lower Parel//Orange+2*Venu R/9/10/2023//Online Payment//Delivered*Customer Service: Seamless and easy")</f>
        <v>//ord_82061//Ritika Dutta//Lower Parel//Orange+2*Venu R/9/10/2023//Online Payment//Delivered*Customer Service: Seamless and easy</v>
      </c>
      <c r="B2087" s="14" t="str">
        <f>IFERROR(__xludf.DUMMYFUNCTION("split(A2087,""//"")"),"ord_82061")</f>
        <v>ord_82061</v>
      </c>
      <c r="C2087" s="14" t="str">
        <f>IFERROR(__xludf.DUMMYFUNCTION("""COMPUTED_VALUE"""),"Ritika Dutta")</f>
        <v>Ritika Dutta</v>
      </c>
      <c r="D2087" s="14" t="str">
        <f>IFERROR(__xludf.DUMMYFUNCTION("""COMPUTED_VALUE"""),"Lower Parel")</f>
        <v>Lower Parel</v>
      </c>
      <c r="E2087" s="14" t="str">
        <f>IFERROR(__xludf.DUMMYFUNCTION("""COMPUTED_VALUE"""),"Orange+2*Venu R")</f>
        <v>Orange+2*Venu R</v>
      </c>
      <c r="F2087" s="14">
        <f>IFERROR(__xludf.DUMMYFUNCTION("""COMPUTED_VALUE"""),9.0)</f>
        <v>9</v>
      </c>
      <c r="G2087" s="14">
        <f>IFERROR(__xludf.DUMMYFUNCTION("""COMPUTED_VALUE"""),10.0)</f>
        <v>10</v>
      </c>
      <c r="H2087" s="14">
        <f>IFERROR(__xludf.DUMMYFUNCTION("""COMPUTED_VALUE"""),2023.0)</f>
        <v>2023</v>
      </c>
      <c r="I2087" s="14" t="str">
        <f>IFERROR(__xludf.DUMMYFUNCTION("""COMPUTED_VALUE"""),"Online Payment")</f>
        <v>Online Payment</v>
      </c>
      <c r="J2087" s="14" t="str">
        <f>IFERROR(__xludf.DUMMYFUNCTION("""COMPUTED_VALUE"""),"Delivered*Customer Service: Seamless and easy")</f>
        <v>Delivered*Customer Service: Seamless and easy</v>
      </c>
      <c r="K2087" s="14" t="str">
        <f>IFERROR(__xludf.DUMMYFUNCTION("split(E2087,""+"")"),"Orange")</f>
        <v>Orange</v>
      </c>
      <c r="L2087" s="14" t="str">
        <f>IFERROR(__xludf.DUMMYFUNCTION("""COMPUTED_VALUE"""),"2*Venu R")</f>
        <v>2*Venu R</v>
      </c>
      <c r="M2087" s="14">
        <f>IFERROR(__xludf.DUMMYFUNCTION("SPLIT(L2087,""*"")"),2.0)</f>
        <v>2</v>
      </c>
      <c r="N2087" s="14" t="str">
        <f>IFERROR(__xludf.DUMMYFUNCTION("""COMPUTED_VALUE"""),"Venu R")</f>
        <v>Venu R</v>
      </c>
      <c r="O2087" s="14" t="str">
        <f>IFERROR(__xludf.DUMMYFUNCTION("split(J2087,""*"")"),"Delivered")</f>
        <v>Delivered</v>
      </c>
      <c r="P2087" s="14" t="str">
        <f>IFERROR(__xludf.DUMMYFUNCTION("""COMPUTED_VALUE"""),"Customer Service: Seamless and easy")</f>
        <v>Customer Service: Seamless and easy</v>
      </c>
      <c r="Q2087" s="14" t="str">
        <f>IFERROR(__xludf.DUMMYFUNCTION("split(P2087,"":"")"),"Customer Service")</f>
        <v>Customer Service</v>
      </c>
      <c r="R2087" s="14" t="str">
        <f>IFERROR(__xludf.DUMMYFUNCTION("""COMPUTED_VALUE""")," Seamless and easy")</f>
        <v> Seamless and easy</v>
      </c>
      <c r="S2087" s="14" t="str">
        <f t="shared" ref="S2087:U2087" si="4177">trim(B2087)</f>
        <v>ord_82061</v>
      </c>
      <c r="T2087" s="14" t="str">
        <f t="shared" si="4177"/>
        <v>Ritika Dutta</v>
      </c>
      <c r="U2087" s="14" t="str">
        <f t="shared" si="4177"/>
        <v>Lower Parel</v>
      </c>
      <c r="V2087" s="14" t="str">
        <f t="shared" si="4"/>
        <v>Orange</v>
      </c>
      <c r="W2087" s="14">
        <f t="shared" si="5"/>
        <v>2</v>
      </c>
      <c r="X2087" s="14" t="str">
        <f t="shared" si="6"/>
        <v>Venu R</v>
      </c>
      <c r="Y2087" s="15">
        <f t="shared" si="7"/>
        <v>45179</v>
      </c>
      <c r="Z2087" s="14" t="str">
        <f t="shared" si="8"/>
        <v>Online Payment</v>
      </c>
      <c r="AA2087" s="14" t="str">
        <f t="shared" si="9"/>
        <v>Delivered</v>
      </c>
      <c r="AB2087" s="14" t="str">
        <f t="shared" ref="AB2087:AC2087" si="4178">trim(Q2087)</f>
        <v>Customer Service</v>
      </c>
      <c r="AC2087" s="14" t="str">
        <f t="shared" si="4178"/>
        <v>Seamless and easy</v>
      </c>
      <c r="AD2087" s="8"/>
    </row>
    <row r="2088">
      <c r="A2088" s="14" t="str">
        <f>IFERROR(__xludf.DUMMYFUNCTION("""COMPUTED_VALUE"""),"//ord_82062//Ritika Dutta//Lower Parel//Papaya+2*Ram Gopal/2/14/2023//Credit Card//Delivered*Delivery Experience: Quick and professional")</f>
        <v>//ord_82062//Ritika Dutta//Lower Parel//Papaya+2*Ram Gopal/2/14/2023//Credit Card//Delivered*Delivery Experience: Quick and professional</v>
      </c>
      <c r="B2088" s="14" t="str">
        <f>IFERROR(__xludf.DUMMYFUNCTION("split(A2088,""//"")"),"ord_82062")</f>
        <v>ord_82062</v>
      </c>
      <c r="C2088" s="14" t="str">
        <f>IFERROR(__xludf.DUMMYFUNCTION("""COMPUTED_VALUE"""),"Ritika Dutta")</f>
        <v>Ritika Dutta</v>
      </c>
      <c r="D2088" s="14" t="str">
        <f>IFERROR(__xludf.DUMMYFUNCTION("""COMPUTED_VALUE"""),"Lower Parel")</f>
        <v>Lower Parel</v>
      </c>
      <c r="E2088" s="14" t="str">
        <f>IFERROR(__xludf.DUMMYFUNCTION("""COMPUTED_VALUE"""),"Papaya+2*Ram Gopal")</f>
        <v>Papaya+2*Ram Gopal</v>
      </c>
      <c r="F2088" s="14">
        <f>IFERROR(__xludf.DUMMYFUNCTION("""COMPUTED_VALUE"""),2.0)</f>
        <v>2</v>
      </c>
      <c r="G2088" s="14">
        <f>IFERROR(__xludf.DUMMYFUNCTION("""COMPUTED_VALUE"""),14.0)</f>
        <v>14</v>
      </c>
      <c r="H2088" s="14">
        <f>IFERROR(__xludf.DUMMYFUNCTION("""COMPUTED_VALUE"""),2023.0)</f>
        <v>2023</v>
      </c>
      <c r="I2088" s="14" t="str">
        <f>IFERROR(__xludf.DUMMYFUNCTION("""COMPUTED_VALUE"""),"Credit Card")</f>
        <v>Credit Card</v>
      </c>
      <c r="J2088" s="14" t="str">
        <f>IFERROR(__xludf.DUMMYFUNCTION("""COMPUTED_VALUE"""),"Delivered*Delivery Experience: Quick and professional")</f>
        <v>Delivered*Delivery Experience: Quick and professional</v>
      </c>
      <c r="K2088" s="14" t="str">
        <f>IFERROR(__xludf.DUMMYFUNCTION("split(E2088,""+"")"),"Papaya")</f>
        <v>Papaya</v>
      </c>
      <c r="L2088" s="14" t="str">
        <f>IFERROR(__xludf.DUMMYFUNCTION("""COMPUTED_VALUE"""),"2*Ram Gopal")</f>
        <v>2*Ram Gopal</v>
      </c>
      <c r="M2088" s="14">
        <f>IFERROR(__xludf.DUMMYFUNCTION("SPLIT(L2088,""*"")"),2.0)</f>
        <v>2</v>
      </c>
      <c r="N2088" s="14" t="str">
        <f>IFERROR(__xludf.DUMMYFUNCTION("""COMPUTED_VALUE"""),"Ram Gopal")</f>
        <v>Ram Gopal</v>
      </c>
      <c r="O2088" s="14" t="str">
        <f>IFERROR(__xludf.DUMMYFUNCTION("split(J2088,""*"")"),"Delivered")</f>
        <v>Delivered</v>
      </c>
      <c r="P2088" s="14" t="str">
        <f>IFERROR(__xludf.DUMMYFUNCTION("""COMPUTED_VALUE"""),"Delivery Experience: Quick and professional")</f>
        <v>Delivery Experience: Quick and professional</v>
      </c>
      <c r="Q2088" s="14" t="str">
        <f>IFERROR(__xludf.DUMMYFUNCTION("split(P2088,"":"")"),"Delivery Experience")</f>
        <v>Delivery Experience</v>
      </c>
      <c r="R2088" s="14" t="str">
        <f>IFERROR(__xludf.DUMMYFUNCTION("""COMPUTED_VALUE""")," Quick and professional")</f>
        <v> Quick and professional</v>
      </c>
      <c r="S2088" s="14" t="str">
        <f t="shared" ref="S2088:U2088" si="4179">trim(B2088)</f>
        <v>ord_82062</v>
      </c>
      <c r="T2088" s="14" t="str">
        <f t="shared" si="4179"/>
        <v>Ritika Dutta</v>
      </c>
      <c r="U2088" s="14" t="str">
        <f t="shared" si="4179"/>
        <v>Lower Parel</v>
      </c>
      <c r="V2088" s="14" t="str">
        <f t="shared" si="4"/>
        <v>Papaya</v>
      </c>
      <c r="W2088" s="14">
        <f t="shared" si="5"/>
        <v>2</v>
      </c>
      <c r="X2088" s="14" t="str">
        <f t="shared" si="6"/>
        <v>Ram Gopal</v>
      </c>
      <c r="Y2088" s="15">
        <f t="shared" si="7"/>
        <v>44971</v>
      </c>
      <c r="Z2088" s="14" t="str">
        <f t="shared" si="8"/>
        <v>Credit Card</v>
      </c>
      <c r="AA2088" s="14" t="str">
        <f t="shared" si="9"/>
        <v>Delivered</v>
      </c>
      <c r="AB2088" s="14" t="str">
        <f t="shared" ref="AB2088:AC2088" si="4180">trim(Q2088)</f>
        <v>Delivery Experience</v>
      </c>
      <c r="AC2088" s="14" t="str">
        <f t="shared" si="4180"/>
        <v>Quick and professional</v>
      </c>
      <c r="AD2088" s="8"/>
    </row>
    <row r="2089">
      <c r="A2089" s="14" t="str">
        <f>IFERROR(__xludf.DUMMYFUNCTION("""COMPUTED_VALUE"""),"//ord_82063//Simran Bhatt//Juhu//Tomato+2*Ram Gopal/9/3/2023//UPI//Delivered*Convenience: Easy tracking")</f>
        <v>//ord_82063//Simran Bhatt//Juhu//Tomato+2*Ram Gopal/9/3/2023//UPI//Delivered*Convenience: Easy tracking</v>
      </c>
      <c r="B2089" s="14" t="str">
        <f>IFERROR(__xludf.DUMMYFUNCTION("split(A2089,""//"")"),"ord_82063")</f>
        <v>ord_82063</v>
      </c>
      <c r="C2089" s="14" t="str">
        <f>IFERROR(__xludf.DUMMYFUNCTION("""COMPUTED_VALUE"""),"Simran Bhatt")</f>
        <v>Simran Bhatt</v>
      </c>
      <c r="D2089" s="14" t="str">
        <f>IFERROR(__xludf.DUMMYFUNCTION("""COMPUTED_VALUE"""),"Juhu")</f>
        <v>Juhu</v>
      </c>
      <c r="E2089" s="14" t="str">
        <f>IFERROR(__xludf.DUMMYFUNCTION("""COMPUTED_VALUE"""),"Tomato+2*Ram Gopal")</f>
        <v>Tomato+2*Ram Gopal</v>
      </c>
      <c r="F2089" s="14">
        <f>IFERROR(__xludf.DUMMYFUNCTION("""COMPUTED_VALUE"""),9.0)</f>
        <v>9</v>
      </c>
      <c r="G2089" s="14">
        <f>IFERROR(__xludf.DUMMYFUNCTION("""COMPUTED_VALUE"""),3.0)</f>
        <v>3</v>
      </c>
      <c r="H2089" s="14">
        <f>IFERROR(__xludf.DUMMYFUNCTION("""COMPUTED_VALUE"""),2023.0)</f>
        <v>2023</v>
      </c>
      <c r="I2089" s="14" t="str">
        <f>IFERROR(__xludf.DUMMYFUNCTION("""COMPUTED_VALUE"""),"UPI")</f>
        <v>UPI</v>
      </c>
      <c r="J2089" s="14" t="str">
        <f>IFERROR(__xludf.DUMMYFUNCTION("""COMPUTED_VALUE"""),"Delivered*Convenience: Easy tracking")</f>
        <v>Delivered*Convenience: Easy tracking</v>
      </c>
      <c r="K2089" s="14" t="str">
        <f>IFERROR(__xludf.DUMMYFUNCTION("split(E2089,""+"")"),"Tomato")</f>
        <v>Tomato</v>
      </c>
      <c r="L2089" s="14" t="str">
        <f>IFERROR(__xludf.DUMMYFUNCTION("""COMPUTED_VALUE"""),"2*Ram Gopal")</f>
        <v>2*Ram Gopal</v>
      </c>
      <c r="M2089" s="14">
        <f>IFERROR(__xludf.DUMMYFUNCTION("SPLIT(L2089,""*"")"),2.0)</f>
        <v>2</v>
      </c>
      <c r="N2089" s="14" t="str">
        <f>IFERROR(__xludf.DUMMYFUNCTION("""COMPUTED_VALUE"""),"Ram Gopal")</f>
        <v>Ram Gopal</v>
      </c>
      <c r="O2089" s="14" t="str">
        <f>IFERROR(__xludf.DUMMYFUNCTION("split(J2089,""*"")"),"Delivered")</f>
        <v>Delivered</v>
      </c>
      <c r="P2089" s="14" t="str">
        <f>IFERROR(__xludf.DUMMYFUNCTION("""COMPUTED_VALUE"""),"Convenience: Easy tracking")</f>
        <v>Convenience: Easy tracking</v>
      </c>
      <c r="Q2089" s="14" t="str">
        <f>IFERROR(__xludf.DUMMYFUNCTION("split(P2089,"":"")"),"Convenience")</f>
        <v>Convenience</v>
      </c>
      <c r="R2089" s="14" t="str">
        <f>IFERROR(__xludf.DUMMYFUNCTION("""COMPUTED_VALUE""")," Easy tracking")</f>
        <v> Easy tracking</v>
      </c>
      <c r="S2089" s="14" t="str">
        <f t="shared" ref="S2089:U2089" si="4181">trim(B2089)</f>
        <v>ord_82063</v>
      </c>
      <c r="T2089" s="14" t="str">
        <f t="shared" si="4181"/>
        <v>Simran Bhatt</v>
      </c>
      <c r="U2089" s="14" t="str">
        <f t="shared" si="4181"/>
        <v>Juhu</v>
      </c>
      <c r="V2089" s="14" t="str">
        <f t="shared" si="4"/>
        <v>Tomato</v>
      </c>
      <c r="W2089" s="14">
        <f t="shared" si="5"/>
        <v>2</v>
      </c>
      <c r="X2089" s="14" t="str">
        <f t="shared" si="6"/>
        <v>Ram Gopal</v>
      </c>
      <c r="Y2089" s="15">
        <f t="shared" si="7"/>
        <v>45172</v>
      </c>
      <c r="Z2089" s="14" t="str">
        <f t="shared" si="8"/>
        <v>UPI</v>
      </c>
      <c r="AA2089" s="14" t="str">
        <f t="shared" si="9"/>
        <v>Delivered</v>
      </c>
      <c r="AB2089" s="14" t="str">
        <f t="shared" ref="AB2089:AC2089" si="4182">trim(Q2089)</f>
        <v>Convenience</v>
      </c>
      <c r="AC2089" s="14" t="str">
        <f t="shared" si="4182"/>
        <v>Easy tracking</v>
      </c>
      <c r="AD2089" s="8"/>
    </row>
    <row r="2090">
      <c r="A2090" s="14" t="str">
        <f>IFERROR(__xludf.DUMMYFUNCTION("""COMPUTED_VALUE"""),"//ord_82064//Sakshi Tandon//Colaba//Tiramisu+3*Ramesh S/1/1/2023//Credit Card//Delivered*Overall Satisfaction: Great service will order again")</f>
        <v>//ord_82064//Sakshi Tandon//Colaba//Tiramisu+3*Ramesh S/1/1/2023//Credit Card//Delivered*Overall Satisfaction: Great service will order again</v>
      </c>
      <c r="B2090" s="14" t="str">
        <f>IFERROR(__xludf.DUMMYFUNCTION("split(A2090,""//"")"),"ord_82064")</f>
        <v>ord_82064</v>
      </c>
      <c r="C2090" s="14" t="str">
        <f>IFERROR(__xludf.DUMMYFUNCTION("""COMPUTED_VALUE"""),"Sakshi Tandon")</f>
        <v>Sakshi Tandon</v>
      </c>
      <c r="D2090" s="14" t="str">
        <f>IFERROR(__xludf.DUMMYFUNCTION("""COMPUTED_VALUE"""),"Colaba")</f>
        <v>Colaba</v>
      </c>
      <c r="E2090" s="14" t="str">
        <f>IFERROR(__xludf.DUMMYFUNCTION("""COMPUTED_VALUE"""),"Tiramisu+3*Ramesh S")</f>
        <v>Tiramisu+3*Ramesh S</v>
      </c>
      <c r="F2090" s="14">
        <f>IFERROR(__xludf.DUMMYFUNCTION("""COMPUTED_VALUE"""),1.0)</f>
        <v>1</v>
      </c>
      <c r="G2090" s="14">
        <f>IFERROR(__xludf.DUMMYFUNCTION("""COMPUTED_VALUE"""),1.0)</f>
        <v>1</v>
      </c>
      <c r="H2090" s="14">
        <f>IFERROR(__xludf.DUMMYFUNCTION("""COMPUTED_VALUE"""),2023.0)</f>
        <v>2023</v>
      </c>
      <c r="I2090" s="14" t="str">
        <f>IFERROR(__xludf.DUMMYFUNCTION("""COMPUTED_VALUE"""),"Credit Card")</f>
        <v>Credit Card</v>
      </c>
      <c r="J2090" s="14" t="str">
        <f>IFERROR(__xludf.DUMMYFUNCTION("""COMPUTED_VALUE"""),"Delivered*Overall Satisfaction: Great service will order again")</f>
        <v>Delivered*Overall Satisfaction: Great service will order again</v>
      </c>
      <c r="K2090" s="14" t="str">
        <f>IFERROR(__xludf.DUMMYFUNCTION("split(E2090,""+"")"),"Tiramisu")</f>
        <v>Tiramisu</v>
      </c>
      <c r="L2090" s="14" t="str">
        <f>IFERROR(__xludf.DUMMYFUNCTION("""COMPUTED_VALUE"""),"3*Ramesh S")</f>
        <v>3*Ramesh S</v>
      </c>
      <c r="M2090" s="14">
        <f>IFERROR(__xludf.DUMMYFUNCTION("SPLIT(L2090,""*"")"),3.0)</f>
        <v>3</v>
      </c>
      <c r="N2090" s="14" t="str">
        <f>IFERROR(__xludf.DUMMYFUNCTION("""COMPUTED_VALUE"""),"Ramesh S")</f>
        <v>Ramesh S</v>
      </c>
      <c r="O2090" s="14" t="str">
        <f>IFERROR(__xludf.DUMMYFUNCTION("split(J2090,""*"")"),"Delivered")</f>
        <v>Delivered</v>
      </c>
      <c r="P2090" s="14" t="str">
        <f>IFERROR(__xludf.DUMMYFUNCTION("""COMPUTED_VALUE"""),"Overall Satisfaction: Great service will order again")</f>
        <v>Overall Satisfaction: Great service will order again</v>
      </c>
      <c r="Q2090" s="14" t="str">
        <f>IFERROR(__xludf.DUMMYFUNCTION("split(P2090,"":"")"),"Overall Satisfaction")</f>
        <v>Overall Satisfaction</v>
      </c>
      <c r="R2090" s="14" t="str">
        <f>IFERROR(__xludf.DUMMYFUNCTION("""COMPUTED_VALUE""")," Great service will order again")</f>
        <v> Great service will order again</v>
      </c>
      <c r="S2090" s="14" t="str">
        <f t="shared" ref="S2090:U2090" si="4183">trim(B2090)</f>
        <v>ord_82064</v>
      </c>
      <c r="T2090" s="14" t="str">
        <f t="shared" si="4183"/>
        <v>Sakshi Tandon</v>
      </c>
      <c r="U2090" s="14" t="str">
        <f t="shared" si="4183"/>
        <v>Colaba</v>
      </c>
      <c r="V2090" s="14" t="str">
        <f t="shared" si="4"/>
        <v>Tiramisu</v>
      </c>
      <c r="W2090" s="14">
        <f t="shared" si="5"/>
        <v>3</v>
      </c>
      <c r="X2090" s="14" t="str">
        <f t="shared" si="6"/>
        <v>Ramesh S</v>
      </c>
      <c r="Y2090" s="15">
        <f t="shared" si="7"/>
        <v>44927</v>
      </c>
      <c r="Z2090" s="14" t="str">
        <f t="shared" si="8"/>
        <v>Credit Card</v>
      </c>
      <c r="AA2090" s="14" t="str">
        <f t="shared" si="9"/>
        <v>Delivered</v>
      </c>
      <c r="AB2090" s="14" t="str">
        <f t="shared" ref="AB2090:AC2090" si="4184">trim(Q2090)</f>
        <v>Overall Satisfaction</v>
      </c>
      <c r="AC2090" s="14" t="str">
        <f t="shared" si="4184"/>
        <v>Great service will order again</v>
      </c>
      <c r="AD2090" s="8"/>
    </row>
    <row r="2091">
      <c r="A2091" s="14" t="str">
        <f>IFERROR(__xludf.DUMMYFUNCTION("""COMPUTED_VALUE"""),"//ord_82065//Pranav Joshi//Andheri//Tomato+1*Nithin Lal/8/7/2023//Online Payment//Delivered*On-time Delivery: Delivered on time")</f>
        <v>//ord_82065//Pranav Joshi//Andheri//Tomato+1*Nithin Lal/8/7/2023//Online Payment//Delivered*On-time Delivery: Delivered on time</v>
      </c>
      <c r="B2091" s="14" t="str">
        <f>IFERROR(__xludf.DUMMYFUNCTION("split(A2091,""//"")"),"ord_82065")</f>
        <v>ord_82065</v>
      </c>
      <c r="C2091" s="14" t="str">
        <f>IFERROR(__xludf.DUMMYFUNCTION("""COMPUTED_VALUE"""),"Pranav Joshi")</f>
        <v>Pranav Joshi</v>
      </c>
      <c r="D2091" s="14" t="str">
        <f>IFERROR(__xludf.DUMMYFUNCTION("""COMPUTED_VALUE"""),"Andheri")</f>
        <v>Andheri</v>
      </c>
      <c r="E2091" s="14" t="str">
        <f>IFERROR(__xludf.DUMMYFUNCTION("""COMPUTED_VALUE"""),"Tomato+1*Nithin Lal")</f>
        <v>Tomato+1*Nithin Lal</v>
      </c>
      <c r="F2091" s="14">
        <f>IFERROR(__xludf.DUMMYFUNCTION("""COMPUTED_VALUE"""),8.0)</f>
        <v>8</v>
      </c>
      <c r="G2091" s="14">
        <f>IFERROR(__xludf.DUMMYFUNCTION("""COMPUTED_VALUE"""),7.0)</f>
        <v>7</v>
      </c>
      <c r="H2091" s="14">
        <f>IFERROR(__xludf.DUMMYFUNCTION("""COMPUTED_VALUE"""),2023.0)</f>
        <v>2023</v>
      </c>
      <c r="I2091" s="14" t="str">
        <f>IFERROR(__xludf.DUMMYFUNCTION("""COMPUTED_VALUE"""),"Online Payment")</f>
        <v>Online Payment</v>
      </c>
      <c r="J2091" s="14" t="str">
        <f>IFERROR(__xludf.DUMMYFUNCTION("""COMPUTED_VALUE"""),"Delivered*On-time Delivery: Delivered on time")</f>
        <v>Delivered*On-time Delivery: Delivered on time</v>
      </c>
      <c r="K2091" s="14" t="str">
        <f>IFERROR(__xludf.DUMMYFUNCTION("split(E2091,""+"")"),"Tomato")</f>
        <v>Tomato</v>
      </c>
      <c r="L2091" s="14" t="str">
        <f>IFERROR(__xludf.DUMMYFUNCTION("""COMPUTED_VALUE"""),"1*Nithin Lal")</f>
        <v>1*Nithin Lal</v>
      </c>
      <c r="M2091" s="14">
        <f>IFERROR(__xludf.DUMMYFUNCTION("SPLIT(L2091,""*"")"),1.0)</f>
        <v>1</v>
      </c>
      <c r="N2091" s="14" t="str">
        <f>IFERROR(__xludf.DUMMYFUNCTION("""COMPUTED_VALUE"""),"Nithin Lal")</f>
        <v>Nithin Lal</v>
      </c>
      <c r="O2091" s="14" t="str">
        <f>IFERROR(__xludf.DUMMYFUNCTION("split(J2091,""*"")"),"Delivered")</f>
        <v>Delivered</v>
      </c>
      <c r="P2091" s="14" t="str">
        <f>IFERROR(__xludf.DUMMYFUNCTION("""COMPUTED_VALUE"""),"On-time Delivery: Delivered on time")</f>
        <v>On-time Delivery: Delivered on time</v>
      </c>
      <c r="Q2091" s="14" t="str">
        <f>IFERROR(__xludf.DUMMYFUNCTION("split(P2091,"":"")"),"On-time Delivery")</f>
        <v>On-time Delivery</v>
      </c>
      <c r="R2091" s="14" t="str">
        <f>IFERROR(__xludf.DUMMYFUNCTION("""COMPUTED_VALUE""")," Delivered on time")</f>
        <v> Delivered on time</v>
      </c>
      <c r="S2091" s="14" t="str">
        <f t="shared" ref="S2091:U2091" si="4185">trim(B2091)</f>
        <v>ord_82065</v>
      </c>
      <c r="T2091" s="14" t="str">
        <f t="shared" si="4185"/>
        <v>Pranav Joshi</v>
      </c>
      <c r="U2091" s="14" t="str">
        <f t="shared" si="4185"/>
        <v>Andheri</v>
      </c>
      <c r="V2091" s="14" t="str">
        <f t="shared" si="4"/>
        <v>Tomato</v>
      </c>
      <c r="W2091" s="14">
        <f t="shared" si="5"/>
        <v>1</v>
      </c>
      <c r="X2091" s="14" t="str">
        <f t="shared" si="6"/>
        <v>Nithin Lal</v>
      </c>
      <c r="Y2091" s="15">
        <f t="shared" si="7"/>
        <v>45145</v>
      </c>
      <c r="Z2091" s="14" t="str">
        <f t="shared" si="8"/>
        <v>Online Payment</v>
      </c>
      <c r="AA2091" s="14" t="str">
        <f t="shared" si="9"/>
        <v>Delivered</v>
      </c>
      <c r="AB2091" s="14" t="str">
        <f t="shared" ref="AB2091:AC2091" si="4186">trim(Q2091)</f>
        <v>On-time Delivery</v>
      </c>
      <c r="AC2091" s="14" t="str">
        <f t="shared" si="4186"/>
        <v>Delivered on time</v>
      </c>
      <c r="AD2091" s="8"/>
    </row>
    <row r="2092">
      <c r="A2092" s="14" t="str">
        <f>IFERROR(__xludf.DUMMYFUNCTION("""COMPUTED_VALUE"""),"//ord_82066//Nitin Sehgal//Bandra//Sweet Corn+2*Sita T/6/12/2023//COD//Delivered*Quality of Items: Perfect condition")</f>
        <v>//ord_82066//Nitin Sehgal//Bandra//Sweet Corn+2*Sita T/6/12/2023//COD//Delivered*Quality of Items: Perfect condition</v>
      </c>
      <c r="B2092" s="14" t="str">
        <f>IFERROR(__xludf.DUMMYFUNCTION("split(A2092,""//"")"),"ord_82066")</f>
        <v>ord_82066</v>
      </c>
      <c r="C2092" s="14" t="str">
        <f>IFERROR(__xludf.DUMMYFUNCTION("""COMPUTED_VALUE"""),"Nitin Sehgal")</f>
        <v>Nitin Sehgal</v>
      </c>
      <c r="D2092" s="14" t="str">
        <f>IFERROR(__xludf.DUMMYFUNCTION("""COMPUTED_VALUE"""),"Bandra")</f>
        <v>Bandra</v>
      </c>
      <c r="E2092" s="14" t="str">
        <f>IFERROR(__xludf.DUMMYFUNCTION("""COMPUTED_VALUE"""),"Sweet Corn+2*Sita T")</f>
        <v>Sweet Corn+2*Sita T</v>
      </c>
      <c r="F2092" s="14">
        <f>IFERROR(__xludf.DUMMYFUNCTION("""COMPUTED_VALUE"""),6.0)</f>
        <v>6</v>
      </c>
      <c r="G2092" s="14">
        <f>IFERROR(__xludf.DUMMYFUNCTION("""COMPUTED_VALUE"""),12.0)</f>
        <v>12</v>
      </c>
      <c r="H2092" s="14">
        <f>IFERROR(__xludf.DUMMYFUNCTION("""COMPUTED_VALUE"""),2023.0)</f>
        <v>2023</v>
      </c>
      <c r="I2092" s="14" t="str">
        <f>IFERROR(__xludf.DUMMYFUNCTION("""COMPUTED_VALUE"""),"COD")</f>
        <v>COD</v>
      </c>
      <c r="J2092" s="14" t="str">
        <f>IFERROR(__xludf.DUMMYFUNCTION("""COMPUTED_VALUE"""),"Delivered*Quality of Items: Perfect condition")</f>
        <v>Delivered*Quality of Items: Perfect condition</v>
      </c>
      <c r="K2092" s="14" t="str">
        <f>IFERROR(__xludf.DUMMYFUNCTION("split(E2092,""+"")"),"Sweet Corn")</f>
        <v>Sweet Corn</v>
      </c>
      <c r="L2092" s="14" t="str">
        <f>IFERROR(__xludf.DUMMYFUNCTION("""COMPUTED_VALUE"""),"2*Sita T")</f>
        <v>2*Sita T</v>
      </c>
      <c r="M2092" s="14">
        <f>IFERROR(__xludf.DUMMYFUNCTION("SPLIT(L2092,""*"")"),2.0)</f>
        <v>2</v>
      </c>
      <c r="N2092" s="14" t="str">
        <f>IFERROR(__xludf.DUMMYFUNCTION("""COMPUTED_VALUE"""),"Sita T")</f>
        <v>Sita T</v>
      </c>
      <c r="O2092" s="14" t="str">
        <f>IFERROR(__xludf.DUMMYFUNCTION("split(J2092,""*"")"),"Delivered")</f>
        <v>Delivered</v>
      </c>
      <c r="P2092" s="14" t="str">
        <f>IFERROR(__xludf.DUMMYFUNCTION("""COMPUTED_VALUE"""),"Quality of Items: Perfect condition")</f>
        <v>Quality of Items: Perfect condition</v>
      </c>
      <c r="Q2092" s="14" t="str">
        <f>IFERROR(__xludf.DUMMYFUNCTION("split(P2092,"":"")"),"Quality of Items")</f>
        <v>Quality of Items</v>
      </c>
      <c r="R2092" s="14" t="str">
        <f>IFERROR(__xludf.DUMMYFUNCTION("""COMPUTED_VALUE""")," Perfect condition")</f>
        <v> Perfect condition</v>
      </c>
      <c r="S2092" s="14" t="str">
        <f t="shared" ref="S2092:U2092" si="4187">trim(B2092)</f>
        <v>ord_82066</v>
      </c>
      <c r="T2092" s="14" t="str">
        <f t="shared" si="4187"/>
        <v>Nitin Sehgal</v>
      </c>
      <c r="U2092" s="14" t="str">
        <f t="shared" si="4187"/>
        <v>Bandra</v>
      </c>
      <c r="V2092" s="14" t="str">
        <f t="shared" si="4"/>
        <v>Sweet Corn</v>
      </c>
      <c r="W2092" s="14">
        <f t="shared" si="5"/>
        <v>2</v>
      </c>
      <c r="X2092" s="14" t="str">
        <f t="shared" si="6"/>
        <v>Sita T</v>
      </c>
      <c r="Y2092" s="15">
        <f t="shared" si="7"/>
        <v>45089</v>
      </c>
      <c r="Z2092" s="14" t="str">
        <f t="shared" si="8"/>
        <v>COD</v>
      </c>
      <c r="AA2092" s="14" t="str">
        <f t="shared" si="9"/>
        <v>Delivered</v>
      </c>
      <c r="AB2092" s="14" t="str">
        <f t="shared" ref="AB2092:AC2092" si="4188">trim(Q2092)</f>
        <v>Quality of Items</v>
      </c>
      <c r="AC2092" s="14" t="str">
        <f t="shared" si="4188"/>
        <v>Perfect condition</v>
      </c>
      <c r="AD2092" s="8"/>
    </row>
    <row r="2093">
      <c r="A2093" s="14" t="str">
        <f>IFERROR(__xludf.DUMMYFUNCTION("""COMPUTED_VALUE"""),"//ord_82067//Aarohi Kapoor//Bandra//Chilli Cheese Toast+3*Vivek Kumar/5/3/2023//Online Payment//Delivered*On-time Delivery: Delivered on time")</f>
        <v>//ord_82067//Aarohi Kapoor//Bandra//Chilli Cheese Toast+3*Vivek Kumar/5/3/2023//Online Payment//Delivered*On-time Delivery: Delivered on time</v>
      </c>
      <c r="B2093" s="14" t="str">
        <f>IFERROR(__xludf.DUMMYFUNCTION("split(A2093,""//"")"),"ord_82067")</f>
        <v>ord_82067</v>
      </c>
      <c r="C2093" s="14" t="str">
        <f>IFERROR(__xludf.DUMMYFUNCTION("""COMPUTED_VALUE"""),"Aarohi Kapoor")</f>
        <v>Aarohi Kapoor</v>
      </c>
      <c r="D2093" s="14" t="str">
        <f>IFERROR(__xludf.DUMMYFUNCTION("""COMPUTED_VALUE"""),"Bandra")</f>
        <v>Bandra</v>
      </c>
      <c r="E2093" s="14" t="str">
        <f>IFERROR(__xludf.DUMMYFUNCTION("""COMPUTED_VALUE"""),"Chilli Cheese Toast+3*Vivek Kumar")</f>
        <v>Chilli Cheese Toast+3*Vivek Kumar</v>
      </c>
      <c r="F2093" s="14">
        <f>IFERROR(__xludf.DUMMYFUNCTION("""COMPUTED_VALUE"""),5.0)</f>
        <v>5</v>
      </c>
      <c r="G2093" s="14">
        <f>IFERROR(__xludf.DUMMYFUNCTION("""COMPUTED_VALUE"""),3.0)</f>
        <v>3</v>
      </c>
      <c r="H2093" s="14">
        <f>IFERROR(__xludf.DUMMYFUNCTION("""COMPUTED_VALUE"""),2023.0)</f>
        <v>2023</v>
      </c>
      <c r="I2093" s="14" t="str">
        <f>IFERROR(__xludf.DUMMYFUNCTION("""COMPUTED_VALUE"""),"Online Payment")</f>
        <v>Online Payment</v>
      </c>
      <c r="J2093" s="14" t="str">
        <f>IFERROR(__xludf.DUMMYFUNCTION("""COMPUTED_VALUE"""),"Delivered*On-time Delivery: Delivered on time")</f>
        <v>Delivered*On-time Delivery: Delivered on time</v>
      </c>
      <c r="K2093" s="14" t="str">
        <f>IFERROR(__xludf.DUMMYFUNCTION("split(E2093,""+"")"),"Chilli Cheese Toast")</f>
        <v>Chilli Cheese Toast</v>
      </c>
      <c r="L2093" s="14" t="str">
        <f>IFERROR(__xludf.DUMMYFUNCTION("""COMPUTED_VALUE"""),"3*Vivek Kumar")</f>
        <v>3*Vivek Kumar</v>
      </c>
      <c r="M2093" s="14">
        <f>IFERROR(__xludf.DUMMYFUNCTION("SPLIT(L2093,""*"")"),3.0)</f>
        <v>3</v>
      </c>
      <c r="N2093" s="14" t="str">
        <f>IFERROR(__xludf.DUMMYFUNCTION("""COMPUTED_VALUE"""),"Vivek Kumar")</f>
        <v>Vivek Kumar</v>
      </c>
      <c r="O2093" s="14" t="str">
        <f>IFERROR(__xludf.DUMMYFUNCTION("split(J2093,""*"")"),"Delivered")</f>
        <v>Delivered</v>
      </c>
      <c r="P2093" s="14" t="str">
        <f>IFERROR(__xludf.DUMMYFUNCTION("""COMPUTED_VALUE"""),"On-time Delivery: Delivered on time")</f>
        <v>On-time Delivery: Delivered on time</v>
      </c>
      <c r="Q2093" s="14" t="str">
        <f>IFERROR(__xludf.DUMMYFUNCTION("split(P2093,"":"")"),"On-time Delivery")</f>
        <v>On-time Delivery</v>
      </c>
      <c r="R2093" s="14" t="str">
        <f>IFERROR(__xludf.DUMMYFUNCTION("""COMPUTED_VALUE""")," Delivered on time")</f>
        <v> Delivered on time</v>
      </c>
      <c r="S2093" s="14" t="str">
        <f t="shared" ref="S2093:U2093" si="4189">trim(B2093)</f>
        <v>ord_82067</v>
      </c>
      <c r="T2093" s="14" t="str">
        <f t="shared" si="4189"/>
        <v>Aarohi Kapoor</v>
      </c>
      <c r="U2093" s="14" t="str">
        <f t="shared" si="4189"/>
        <v>Bandra</v>
      </c>
      <c r="V2093" s="14" t="str">
        <f t="shared" si="4"/>
        <v>Chilli Cheese Toast</v>
      </c>
      <c r="W2093" s="14">
        <f t="shared" si="5"/>
        <v>3</v>
      </c>
      <c r="X2093" s="14" t="str">
        <f t="shared" si="6"/>
        <v>Vivek Kumar</v>
      </c>
      <c r="Y2093" s="15">
        <f t="shared" si="7"/>
        <v>45049</v>
      </c>
      <c r="Z2093" s="14" t="str">
        <f t="shared" si="8"/>
        <v>Online Payment</v>
      </c>
      <c r="AA2093" s="14" t="str">
        <f t="shared" si="9"/>
        <v>Delivered</v>
      </c>
      <c r="AB2093" s="14" t="str">
        <f t="shared" ref="AB2093:AC2093" si="4190">trim(Q2093)</f>
        <v>On-time Delivery</v>
      </c>
      <c r="AC2093" s="14" t="str">
        <f t="shared" si="4190"/>
        <v>Delivered on time</v>
      </c>
      <c r="AD2093" s="8"/>
    </row>
    <row r="2094">
      <c r="A2094" s="14" t="str">
        <f>IFERROR(__xludf.DUMMYFUNCTION("""COMPUTED_VALUE"""),"//ord_82068//Arvind Kulkarni//Juhu//Tomato+2*Vivek Kumar/1/29/2023//Online Payment//Delivered*Quality of Items: Perfect condition")</f>
        <v>//ord_82068//Arvind Kulkarni//Juhu//Tomato+2*Vivek Kumar/1/29/2023//Online Payment//Delivered*Quality of Items: Perfect condition</v>
      </c>
      <c r="B2094" s="14" t="str">
        <f>IFERROR(__xludf.DUMMYFUNCTION("split(A2094,""//"")"),"ord_82068")</f>
        <v>ord_82068</v>
      </c>
      <c r="C2094" s="14" t="str">
        <f>IFERROR(__xludf.DUMMYFUNCTION("""COMPUTED_VALUE"""),"Arvind Kulkarni")</f>
        <v>Arvind Kulkarni</v>
      </c>
      <c r="D2094" s="14" t="str">
        <f>IFERROR(__xludf.DUMMYFUNCTION("""COMPUTED_VALUE"""),"Juhu")</f>
        <v>Juhu</v>
      </c>
      <c r="E2094" s="14" t="str">
        <f>IFERROR(__xludf.DUMMYFUNCTION("""COMPUTED_VALUE"""),"Tomato+2*Vivek Kumar")</f>
        <v>Tomato+2*Vivek Kumar</v>
      </c>
      <c r="F2094" s="14">
        <f>IFERROR(__xludf.DUMMYFUNCTION("""COMPUTED_VALUE"""),1.0)</f>
        <v>1</v>
      </c>
      <c r="G2094" s="14">
        <f>IFERROR(__xludf.DUMMYFUNCTION("""COMPUTED_VALUE"""),29.0)</f>
        <v>29</v>
      </c>
      <c r="H2094" s="14">
        <f>IFERROR(__xludf.DUMMYFUNCTION("""COMPUTED_VALUE"""),2023.0)</f>
        <v>2023</v>
      </c>
      <c r="I2094" s="14" t="str">
        <f>IFERROR(__xludf.DUMMYFUNCTION("""COMPUTED_VALUE"""),"Online Payment")</f>
        <v>Online Payment</v>
      </c>
      <c r="J2094" s="14" t="str">
        <f>IFERROR(__xludf.DUMMYFUNCTION("""COMPUTED_VALUE"""),"Delivered*Quality of Items: Perfect condition")</f>
        <v>Delivered*Quality of Items: Perfect condition</v>
      </c>
      <c r="K2094" s="14" t="str">
        <f>IFERROR(__xludf.DUMMYFUNCTION("split(E2094,""+"")"),"Tomato")</f>
        <v>Tomato</v>
      </c>
      <c r="L2094" s="14" t="str">
        <f>IFERROR(__xludf.DUMMYFUNCTION("""COMPUTED_VALUE"""),"2*Vivek Kumar")</f>
        <v>2*Vivek Kumar</v>
      </c>
      <c r="M2094" s="14">
        <f>IFERROR(__xludf.DUMMYFUNCTION("SPLIT(L2094,""*"")"),2.0)</f>
        <v>2</v>
      </c>
      <c r="N2094" s="14" t="str">
        <f>IFERROR(__xludf.DUMMYFUNCTION("""COMPUTED_VALUE"""),"Vivek Kumar")</f>
        <v>Vivek Kumar</v>
      </c>
      <c r="O2094" s="14" t="str">
        <f>IFERROR(__xludf.DUMMYFUNCTION("split(J2094,""*"")"),"Delivered")</f>
        <v>Delivered</v>
      </c>
      <c r="P2094" s="14" t="str">
        <f>IFERROR(__xludf.DUMMYFUNCTION("""COMPUTED_VALUE"""),"Quality of Items: Perfect condition")</f>
        <v>Quality of Items: Perfect condition</v>
      </c>
      <c r="Q2094" s="14" t="str">
        <f>IFERROR(__xludf.DUMMYFUNCTION("split(P2094,"":"")"),"Quality of Items")</f>
        <v>Quality of Items</v>
      </c>
      <c r="R2094" s="14" t="str">
        <f>IFERROR(__xludf.DUMMYFUNCTION("""COMPUTED_VALUE""")," Perfect condition")</f>
        <v> Perfect condition</v>
      </c>
      <c r="S2094" s="14" t="str">
        <f t="shared" ref="S2094:U2094" si="4191">trim(B2094)</f>
        <v>ord_82068</v>
      </c>
      <c r="T2094" s="14" t="str">
        <f t="shared" si="4191"/>
        <v>Arvind Kulkarni</v>
      </c>
      <c r="U2094" s="14" t="str">
        <f t="shared" si="4191"/>
        <v>Juhu</v>
      </c>
      <c r="V2094" s="14" t="str">
        <f t="shared" si="4"/>
        <v>Tomato</v>
      </c>
      <c r="W2094" s="14">
        <f t="shared" si="5"/>
        <v>2</v>
      </c>
      <c r="X2094" s="14" t="str">
        <f t="shared" si="6"/>
        <v>Vivek Kumar</v>
      </c>
      <c r="Y2094" s="15">
        <f t="shared" si="7"/>
        <v>44955</v>
      </c>
      <c r="Z2094" s="14" t="str">
        <f t="shared" si="8"/>
        <v>Online Payment</v>
      </c>
      <c r="AA2094" s="14" t="str">
        <f t="shared" si="9"/>
        <v>Delivered</v>
      </c>
      <c r="AB2094" s="14" t="str">
        <f t="shared" ref="AB2094:AC2094" si="4192">trim(Q2094)</f>
        <v>Quality of Items</v>
      </c>
      <c r="AC2094" s="14" t="str">
        <f t="shared" si="4192"/>
        <v>Perfect condition</v>
      </c>
      <c r="AD2094" s="8"/>
    </row>
    <row r="2095">
      <c r="A2095" s="14" t="str">
        <f>IFERROR(__xludf.DUMMYFUNCTION("""COMPUTED_VALUE"""),"//ord_82069//Kritika Shetty//Malad//Veg Puff+4*Ramesh S/8/7/2023//UPI//Delivered*Packaging: Secure and intact")</f>
        <v>//ord_82069//Kritika Shetty//Malad//Veg Puff+4*Ramesh S/8/7/2023//UPI//Delivered*Packaging: Secure and intact</v>
      </c>
      <c r="B2095" s="14" t="str">
        <f>IFERROR(__xludf.DUMMYFUNCTION("split(A2095,""//"")"),"ord_82069")</f>
        <v>ord_82069</v>
      </c>
      <c r="C2095" s="14" t="str">
        <f>IFERROR(__xludf.DUMMYFUNCTION("""COMPUTED_VALUE"""),"Kritika Shetty")</f>
        <v>Kritika Shetty</v>
      </c>
      <c r="D2095" s="14" t="str">
        <f>IFERROR(__xludf.DUMMYFUNCTION("""COMPUTED_VALUE"""),"Malad")</f>
        <v>Malad</v>
      </c>
      <c r="E2095" s="14" t="str">
        <f>IFERROR(__xludf.DUMMYFUNCTION("""COMPUTED_VALUE"""),"Veg Puff+4*Ramesh S")</f>
        <v>Veg Puff+4*Ramesh S</v>
      </c>
      <c r="F2095" s="14">
        <f>IFERROR(__xludf.DUMMYFUNCTION("""COMPUTED_VALUE"""),8.0)</f>
        <v>8</v>
      </c>
      <c r="G2095" s="14">
        <f>IFERROR(__xludf.DUMMYFUNCTION("""COMPUTED_VALUE"""),7.0)</f>
        <v>7</v>
      </c>
      <c r="H2095" s="14">
        <f>IFERROR(__xludf.DUMMYFUNCTION("""COMPUTED_VALUE"""),2023.0)</f>
        <v>2023</v>
      </c>
      <c r="I2095" s="14" t="str">
        <f>IFERROR(__xludf.DUMMYFUNCTION("""COMPUTED_VALUE"""),"UPI")</f>
        <v>UPI</v>
      </c>
      <c r="J2095" s="14" t="str">
        <f>IFERROR(__xludf.DUMMYFUNCTION("""COMPUTED_VALUE"""),"Delivered*Packaging: Secure and intact")</f>
        <v>Delivered*Packaging: Secure and intact</v>
      </c>
      <c r="K2095" s="14" t="str">
        <f>IFERROR(__xludf.DUMMYFUNCTION("split(E2095,""+"")"),"Veg Puff")</f>
        <v>Veg Puff</v>
      </c>
      <c r="L2095" s="14" t="str">
        <f>IFERROR(__xludf.DUMMYFUNCTION("""COMPUTED_VALUE"""),"4*Ramesh S")</f>
        <v>4*Ramesh S</v>
      </c>
      <c r="M2095" s="14">
        <f>IFERROR(__xludf.DUMMYFUNCTION("SPLIT(L2095,""*"")"),4.0)</f>
        <v>4</v>
      </c>
      <c r="N2095" s="14" t="str">
        <f>IFERROR(__xludf.DUMMYFUNCTION("""COMPUTED_VALUE"""),"Ramesh S")</f>
        <v>Ramesh S</v>
      </c>
      <c r="O2095" s="14" t="str">
        <f>IFERROR(__xludf.DUMMYFUNCTION("split(J2095,""*"")"),"Delivered")</f>
        <v>Delivered</v>
      </c>
      <c r="P2095" s="14" t="str">
        <f>IFERROR(__xludf.DUMMYFUNCTION("""COMPUTED_VALUE"""),"Packaging: Secure and intact")</f>
        <v>Packaging: Secure and intact</v>
      </c>
      <c r="Q2095" s="14" t="str">
        <f>IFERROR(__xludf.DUMMYFUNCTION("split(P2095,"":"")"),"Packaging")</f>
        <v>Packaging</v>
      </c>
      <c r="R2095" s="14" t="str">
        <f>IFERROR(__xludf.DUMMYFUNCTION("""COMPUTED_VALUE""")," Secure and intact")</f>
        <v> Secure and intact</v>
      </c>
      <c r="S2095" s="14" t="str">
        <f t="shared" ref="S2095:U2095" si="4193">trim(B2095)</f>
        <v>ord_82069</v>
      </c>
      <c r="T2095" s="14" t="str">
        <f t="shared" si="4193"/>
        <v>Kritika Shetty</v>
      </c>
      <c r="U2095" s="14" t="str">
        <f t="shared" si="4193"/>
        <v>Malad</v>
      </c>
      <c r="V2095" s="14" t="str">
        <f t="shared" si="4"/>
        <v>Veg Puff</v>
      </c>
      <c r="W2095" s="14">
        <f t="shared" si="5"/>
        <v>4</v>
      </c>
      <c r="X2095" s="14" t="str">
        <f t="shared" si="6"/>
        <v>Ramesh S</v>
      </c>
      <c r="Y2095" s="15">
        <f t="shared" si="7"/>
        <v>45145</v>
      </c>
      <c r="Z2095" s="14" t="str">
        <f t="shared" si="8"/>
        <v>UPI</v>
      </c>
      <c r="AA2095" s="14" t="str">
        <f t="shared" si="9"/>
        <v>Delivered</v>
      </c>
      <c r="AB2095" s="14" t="str">
        <f t="shared" ref="AB2095:AC2095" si="4194">trim(Q2095)</f>
        <v>Packaging</v>
      </c>
      <c r="AC2095" s="14" t="str">
        <f t="shared" si="4194"/>
        <v>Secure and intact</v>
      </c>
      <c r="AD2095" s="8"/>
    </row>
    <row r="2096">
      <c r="A2096" s="14" t="str">
        <f>IFERROR(__xludf.DUMMYFUNCTION("""COMPUTED_VALUE"""),"//ord_82070//Sahil Desai//Colaba//Papaya+2*Shine Thomas/9/19/2023//Online Payment//Delivered*Satisfied with the Delivery: Timely and quality")</f>
        <v>//ord_82070//Sahil Desai//Colaba//Papaya+2*Shine Thomas/9/19/2023//Online Payment//Delivered*Satisfied with the Delivery: Timely and quality</v>
      </c>
      <c r="B2096" s="14" t="str">
        <f>IFERROR(__xludf.DUMMYFUNCTION("split(A2096,""//"")"),"ord_82070")</f>
        <v>ord_82070</v>
      </c>
      <c r="C2096" s="14" t="str">
        <f>IFERROR(__xludf.DUMMYFUNCTION("""COMPUTED_VALUE"""),"Sahil Desai")</f>
        <v>Sahil Desai</v>
      </c>
      <c r="D2096" s="14" t="str">
        <f>IFERROR(__xludf.DUMMYFUNCTION("""COMPUTED_VALUE"""),"Colaba")</f>
        <v>Colaba</v>
      </c>
      <c r="E2096" s="14" t="str">
        <f>IFERROR(__xludf.DUMMYFUNCTION("""COMPUTED_VALUE"""),"Papaya+2*Shine Thomas")</f>
        <v>Papaya+2*Shine Thomas</v>
      </c>
      <c r="F2096" s="14">
        <f>IFERROR(__xludf.DUMMYFUNCTION("""COMPUTED_VALUE"""),9.0)</f>
        <v>9</v>
      </c>
      <c r="G2096" s="14">
        <f>IFERROR(__xludf.DUMMYFUNCTION("""COMPUTED_VALUE"""),19.0)</f>
        <v>19</v>
      </c>
      <c r="H2096" s="14">
        <f>IFERROR(__xludf.DUMMYFUNCTION("""COMPUTED_VALUE"""),2023.0)</f>
        <v>2023</v>
      </c>
      <c r="I2096" s="14" t="str">
        <f>IFERROR(__xludf.DUMMYFUNCTION("""COMPUTED_VALUE"""),"Online Payment")</f>
        <v>Online Payment</v>
      </c>
      <c r="J2096" s="14" t="str">
        <f>IFERROR(__xludf.DUMMYFUNCTION("""COMPUTED_VALUE"""),"Delivered*Satisfied with the Delivery: Timely and quality")</f>
        <v>Delivered*Satisfied with the Delivery: Timely and quality</v>
      </c>
      <c r="K2096" s="14" t="str">
        <f>IFERROR(__xludf.DUMMYFUNCTION("split(E2096,""+"")"),"Papaya")</f>
        <v>Papaya</v>
      </c>
      <c r="L2096" s="14" t="str">
        <f>IFERROR(__xludf.DUMMYFUNCTION("""COMPUTED_VALUE"""),"2*Shine Thomas")</f>
        <v>2*Shine Thomas</v>
      </c>
      <c r="M2096" s="14">
        <f>IFERROR(__xludf.DUMMYFUNCTION("SPLIT(L2096,""*"")"),2.0)</f>
        <v>2</v>
      </c>
      <c r="N2096" s="14" t="str">
        <f>IFERROR(__xludf.DUMMYFUNCTION("""COMPUTED_VALUE"""),"Shine Thomas")</f>
        <v>Shine Thomas</v>
      </c>
      <c r="O2096" s="14" t="str">
        <f>IFERROR(__xludf.DUMMYFUNCTION("split(J2096,""*"")"),"Delivered")</f>
        <v>Delivered</v>
      </c>
      <c r="P2096" s="14" t="str">
        <f>IFERROR(__xludf.DUMMYFUNCTION("""COMPUTED_VALUE"""),"Satisfied with the Delivery: Timely and quality")</f>
        <v>Satisfied with the Delivery: Timely and quality</v>
      </c>
      <c r="Q2096" s="14" t="str">
        <f>IFERROR(__xludf.DUMMYFUNCTION("split(P2096,"":"")"),"Satisfied with the Delivery")</f>
        <v>Satisfied with the Delivery</v>
      </c>
      <c r="R2096" s="14" t="str">
        <f>IFERROR(__xludf.DUMMYFUNCTION("""COMPUTED_VALUE""")," Timely and quality")</f>
        <v> Timely and quality</v>
      </c>
      <c r="S2096" s="14" t="str">
        <f t="shared" ref="S2096:U2096" si="4195">trim(B2096)</f>
        <v>ord_82070</v>
      </c>
      <c r="T2096" s="14" t="str">
        <f t="shared" si="4195"/>
        <v>Sahil Desai</v>
      </c>
      <c r="U2096" s="14" t="str">
        <f t="shared" si="4195"/>
        <v>Colaba</v>
      </c>
      <c r="V2096" s="14" t="str">
        <f t="shared" si="4"/>
        <v>Papaya</v>
      </c>
      <c r="W2096" s="14">
        <f t="shared" si="5"/>
        <v>2</v>
      </c>
      <c r="X2096" s="14" t="str">
        <f t="shared" si="6"/>
        <v>Shine Thomas</v>
      </c>
      <c r="Y2096" s="15">
        <f t="shared" si="7"/>
        <v>45188</v>
      </c>
      <c r="Z2096" s="14" t="str">
        <f t="shared" si="8"/>
        <v>Online Payment</v>
      </c>
      <c r="AA2096" s="14" t="str">
        <f t="shared" si="9"/>
        <v>Delivered</v>
      </c>
      <c r="AB2096" s="14" t="str">
        <f t="shared" ref="AB2096:AC2096" si="4196">trim(Q2096)</f>
        <v>Satisfied with the Delivery</v>
      </c>
      <c r="AC2096" s="14" t="str">
        <f t="shared" si="4196"/>
        <v>Timely and quality</v>
      </c>
      <c r="AD2096" s="8"/>
    </row>
    <row r="2097">
      <c r="A2097" s="14" t="str">
        <f>IFERROR(__xludf.DUMMYFUNCTION("""COMPUTED_VALUE"""),"//ord_82071//Ishaan Chaturvedi//Bandra//Banana+1*Nithin Lal/4/15/2023//UPI//Delivered*Customer Service: Seamless and easy")</f>
        <v>//ord_82071//Ishaan Chaturvedi//Bandra//Banana+1*Nithin Lal/4/15/2023//UPI//Delivered*Customer Service: Seamless and easy</v>
      </c>
      <c r="B2097" s="14" t="str">
        <f>IFERROR(__xludf.DUMMYFUNCTION("split(A2097,""//"")"),"ord_82071")</f>
        <v>ord_82071</v>
      </c>
      <c r="C2097" s="14" t="str">
        <f>IFERROR(__xludf.DUMMYFUNCTION("""COMPUTED_VALUE"""),"Ishaan Chaturvedi")</f>
        <v>Ishaan Chaturvedi</v>
      </c>
      <c r="D2097" s="14" t="str">
        <f>IFERROR(__xludf.DUMMYFUNCTION("""COMPUTED_VALUE"""),"Bandra")</f>
        <v>Bandra</v>
      </c>
      <c r="E2097" s="14" t="str">
        <f>IFERROR(__xludf.DUMMYFUNCTION("""COMPUTED_VALUE"""),"Banana+1*Nithin Lal")</f>
        <v>Banana+1*Nithin Lal</v>
      </c>
      <c r="F2097" s="14">
        <f>IFERROR(__xludf.DUMMYFUNCTION("""COMPUTED_VALUE"""),4.0)</f>
        <v>4</v>
      </c>
      <c r="G2097" s="14">
        <f>IFERROR(__xludf.DUMMYFUNCTION("""COMPUTED_VALUE"""),15.0)</f>
        <v>15</v>
      </c>
      <c r="H2097" s="14">
        <f>IFERROR(__xludf.DUMMYFUNCTION("""COMPUTED_VALUE"""),2023.0)</f>
        <v>2023</v>
      </c>
      <c r="I2097" s="14" t="str">
        <f>IFERROR(__xludf.DUMMYFUNCTION("""COMPUTED_VALUE"""),"UPI")</f>
        <v>UPI</v>
      </c>
      <c r="J2097" s="14" t="str">
        <f>IFERROR(__xludf.DUMMYFUNCTION("""COMPUTED_VALUE"""),"Delivered*Customer Service: Seamless and easy")</f>
        <v>Delivered*Customer Service: Seamless and easy</v>
      </c>
      <c r="K2097" s="14" t="str">
        <f>IFERROR(__xludf.DUMMYFUNCTION("split(E2097,""+"")"),"Banana")</f>
        <v>Banana</v>
      </c>
      <c r="L2097" s="14" t="str">
        <f>IFERROR(__xludf.DUMMYFUNCTION("""COMPUTED_VALUE"""),"1*Nithin Lal")</f>
        <v>1*Nithin Lal</v>
      </c>
      <c r="M2097" s="14">
        <f>IFERROR(__xludf.DUMMYFUNCTION("SPLIT(L2097,""*"")"),1.0)</f>
        <v>1</v>
      </c>
      <c r="N2097" s="14" t="str">
        <f>IFERROR(__xludf.DUMMYFUNCTION("""COMPUTED_VALUE"""),"Nithin Lal")</f>
        <v>Nithin Lal</v>
      </c>
      <c r="O2097" s="14" t="str">
        <f>IFERROR(__xludf.DUMMYFUNCTION("split(J2097,""*"")"),"Delivered")</f>
        <v>Delivered</v>
      </c>
      <c r="P2097" s="14" t="str">
        <f>IFERROR(__xludf.DUMMYFUNCTION("""COMPUTED_VALUE"""),"Customer Service: Seamless and easy")</f>
        <v>Customer Service: Seamless and easy</v>
      </c>
      <c r="Q2097" s="14" t="str">
        <f>IFERROR(__xludf.DUMMYFUNCTION("split(P2097,"":"")"),"Customer Service")</f>
        <v>Customer Service</v>
      </c>
      <c r="R2097" s="14" t="str">
        <f>IFERROR(__xludf.DUMMYFUNCTION("""COMPUTED_VALUE""")," Seamless and easy")</f>
        <v> Seamless and easy</v>
      </c>
      <c r="S2097" s="14" t="str">
        <f t="shared" ref="S2097:U2097" si="4197">trim(B2097)</f>
        <v>ord_82071</v>
      </c>
      <c r="T2097" s="14" t="str">
        <f t="shared" si="4197"/>
        <v>Ishaan Chaturvedi</v>
      </c>
      <c r="U2097" s="14" t="str">
        <f t="shared" si="4197"/>
        <v>Bandra</v>
      </c>
      <c r="V2097" s="14" t="str">
        <f t="shared" si="4"/>
        <v>Banana</v>
      </c>
      <c r="W2097" s="14">
        <f t="shared" si="5"/>
        <v>1</v>
      </c>
      <c r="X2097" s="14" t="str">
        <f t="shared" si="6"/>
        <v>Nithin Lal</v>
      </c>
      <c r="Y2097" s="15">
        <f t="shared" si="7"/>
        <v>45031</v>
      </c>
      <c r="Z2097" s="14" t="str">
        <f t="shared" si="8"/>
        <v>UPI</v>
      </c>
      <c r="AA2097" s="14" t="str">
        <f t="shared" si="9"/>
        <v>Delivered</v>
      </c>
      <c r="AB2097" s="14" t="str">
        <f t="shared" ref="AB2097:AC2097" si="4198">trim(Q2097)</f>
        <v>Customer Service</v>
      </c>
      <c r="AC2097" s="14" t="str">
        <f t="shared" si="4198"/>
        <v>Seamless and easy</v>
      </c>
      <c r="AD2097" s="8"/>
    </row>
    <row r="2098">
      <c r="A2098" s="14" t="str">
        <f>IFERROR(__xludf.DUMMYFUNCTION("""COMPUTED_VALUE"""),"//ord_82072//Sakshi Tandon//Colaba//Guava+2*Vivek Kumar/12/11/2023//Credit Card//Delivered*Delivery Experience: Quick and professional")</f>
        <v>//ord_82072//Sakshi Tandon//Colaba//Guava+2*Vivek Kumar/12/11/2023//Credit Card//Delivered*Delivery Experience: Quick and professional</v>
      </c>
      <c r="B2098" s="14" t="str">
        <f>IFERROR(__xludf.DUMMYFUNCTION("split(A2098,""//"")"),"ord_82072")</f>
        <v>ord_82072</v>
      </c>
      <c r="C2098" s="14" t="str">
        <f>IFERROR(__xludf.DUMMYFUNCTION("""COMPUTED_VALUE"""),"Sakshi Tandon")</f>
        <v>Sakshi Tandon</v>
      </c>
      <c r="D2098" s="14" t="str">
        <f>IFERROR(__xludf.DUMMYFUNCTION("""COMPUTED_VALUE"""),"Colaba")</f>
        <v>Colaba</v>
      </c>
      <c r="E2098" s="14" t="str">
        <f>IFERROR(__xludf.DUMMYFUNCTION("""COMPUTED_VALUE"""),"Guava+2*Vivek Kumar")</f>
        <v>Guava+2*Vivek Kumar</v>
      </c>
      <c r="F2098" s="14">
        <f>IFERROR(__xludf.DUMMYFUNCTION("""COMPUTED_VALUE"""),12.0)</f>
        <v>12</v>
      </c>
      <c r="G2098" s="14">
        <f>IFERROR(__xludf.DUMMYFUNCTION("""COMPUTED_VALUE"""),11.0)</f>
        <v>11</v>
      </c>
      <c r="H2098" s="14">
        <f>IFERROR(__xludf.DUMMYFUNCTION("""COMPUTED_VALUE"""),2023.0)</f>
        <v>2023</v>
      </c>
      <c r="I2098" s="14" t="str">
        <f>IFERROR(__xludf.DUMMYFUNCTION("""COMPUTED_VALUE"""),"Credit Card")</f>
        <v>Credit Card</v>
      </c>
      <c r="J2098" s="14" t="str">
        <f>IFERROR(__xludf.DUMMYFUNCTION("""COMPUTED_VALUE"""),"Delivered*Delivery Experience: Quick and professional")</f>
        <v>Delivered*Delivery Experience: Quick and professional</v>
      </c>
      <c r="K2098" s="14" t="str">
        <f>IFERROR(__xludf.DUMMYFUNCTION("split(E2098,""+"")"),"Guava")</f>
        <v>Guava</v>
      </c>
      <c r="L2098" s="14" t="str">
        <f>IFERROR(__xludf.DUMMYFUNCTION("""COMPUTED_VALUE"""),"2*Vivek Kumar")</f>
        <v>2*Vivek Kumar</v>
      </c>
      <c r="M2098" s="14">
        <f>IFERROR(__xludf.DUMMYFUNCTION("SPLIT(L2098,""*"")"),2.0)</f>
        <v>2</v>
      </c>
      <c r="N2098" s="14" t="str">
        <f>IFERROR(__xludf.DUMMYFUNCTION("""COMPUTED_VALUE"""),"Vivek Kumar")</f>
        <v>Vivek Kumar</v>
      </c>
      <c r="O2098" s="14" t="str">
        <f>IFERROR(__xludf.DUMMYFUNCTION("split(J2098,""*"")"),"Delivered")</f>
        <v>Delivered</v>
      </c>
      <c r="P2098" s="14" t="str">
        <f>IFERROR(__xludf.DUMMYFUNCTION("""COMPUTED_VALUE"""),"Delivery Experience: Quick and professional")</f>
        <v>Delivery Experience: Quick and professional</v>
      </c>
      <c r="Q2098" s="14" t="str">
        <f>IFERROR(__xludf.DUMMYFUNCTION("split(P2098,"":"")"),"Delivery Experience")</f>
        <v>Delivery Experience</v>
      </c>
      <c r="R2098" s="14" t="str">
        <f>IFERROR(__xludf.DUMMYFUNCTION("""COMPUTED_VALUE""")," Quick and professional")</f>
        <v> Quick and professional</v>
      </c>
      <c r="S2098" s="14" t="str">
        <f t="shared" ref="S2098:U2098" si="4199">trim(B2098)</f>
        <v>ord_82072</v>
      </c>
      <c r="T2098" s="14" t="str">
        <f t="shared" si="4199"/>
        <v>Sakshi Tandon</v>
      </c>
      <c r="U2098" s="14" t="str">
        <f t="shared" si="4199"/>
        <v>Colaba</v>
      </c>
      <c r="V2098" s="14" t="str">
        <f t="shared" si="4"/>
        <v>Guava</v>
      </c>
      <c r="W2098" s="14">
        <f t="shared" si="5"/>
        <v>2</v>
      </c>
      <c r="X2098" s="14" t="str">
        <f t="shared" si="6"/>
        <v>Vivek Kumar</v>
      </c>
      <c r="Y2098" s="15">
        <f t="shared" si="7"/>
        <v>45271</v>
      </c>
      <c r="Z2098" s="14" t="str">
        <f t="shared" si="8"/>
        <v>Credit Card</v>
      </c>
      <c r="AA2098" s="14" t="str">
        <f t="shared" si="9"/>
        <v>Delivered</v>
      </c>
      <c r="AB2098" s="14" t="str">
        <f t="shared" ref="AB2098:AC2098" si="4200">trim(Q2098)</f>
        <v>Delivery Experience</v>
      </c>
      <c r="AC2098" s="14" t="str">
        <f t="shared" si="4200"/>
        <v>Quick and professional</v>
      </c>
      <c r="AD2098" s="8"/>
    </row>
    <row r="2099">
      <c r="A2099" s="14" t="str">
        <f>IFERROR(__xludf.DUMMYFUNCTION("""COMPUTED_VALUE"""),"//ord_82073//Dev Chauhan//Bandra//Juice+4*Nithin Lal/7/5/2023//Online Payment//Delivered*Convenience: Easy tracking")</f>
        <v>//ord_82073//Dev Chauhan//Bandra//Juice+4*Nithin Lal/7/5/2023//Online Payment//Delivered*Convenience: Easy tracking</v>
      </c>
      <c r="B2099" s="14" t="str">
        <f>IFERROR(__xludf.DUMMYFUNCTION("split(A2099,""//"")"),"ord_82073")</f>
        <v>ord_82073</v>
      </c>
      <c r="C2099" s="14" t="str">
        <f>IFERROR(__xludf.DUMMYFUNCTION("""COMPUTED_VALUE"""),"Dev Chauhan")</f>
        <v>Dev Chauhan</v>
      </c>
      <c r="D2099" s="14" t="str">
        <f>IFERROR(__xludf.DUMMYFUNCTION("""COMPUTED_VALUE"""),"Bandra")</f>
        <v>Bandra</v>
      </c>
      <c r="E2099" s="14" t="str">
        <f>IFERROR(__xludf.DUMMYFUNCTION("""COMPUTED_VALUE"""),"Juice+4*Nithin Lal")</f>
        <v>Juice+4*Nithin Lal</v>
      </c>
      <c r="F2099" s="14">
        <f>IFERROR(__xludf.DUMMYFUNCTION("""COMPUTED_VALUE"""),7.0)</f>
        <v>7</v>
      </c>
      <c r="G2099" s="14">
        <f>IFERROR(__xludf.DUMMYFUNCTION("""COMPUTED_VALUE"""),5.0)</f>
        <v>5</v>
      </c>
      <c r="H2099" s="14">
        <f>IFERROR(__xludf.DUMMYFUNCTION("""COMPUTED_VALUE"""),2023.0)</f>
        <v>2023</v>
      </c>
      <c r="I2099" s="14" t="str">
        <f>IFERROR(__xludf.DUMMYFUNCTION("""COMPUTED_VALUE"""),"Online Payment")</f>
        <v>Online Payment</v>
      </c>
      <c r="J2099" s="14" t="str">
        <f>IFERROR(__xludf.DUMMYFUNCTION("""COMPUTED_VALUE"""),"Delivered*Convenience: Easy tracking")</f>
        <v>Delivered*Convenience: Easy tracking</v>
      </c>
      <c r="K2099" s="14" t="str">
        <f>IFERROR(__xludf.DUMMYFUNCTION("split(E2099,""+"")"),"Juice")</f>
        <v>Juice</v>
      </c>
      <c r="L2099" s="14" t="str">
        <f>IFERROR(__xludf.DUMMYFUNCTION("""COMPUTED_VALUE"""),"4*Nithin Lal")</f>
        <v>4*Nithin Lal</v>
      </c>
      <c r="M2099" s="14">
        <f>IFERROR(__xludf.DUMMYFUNCTION("SPLIT(L2099,""*"")"),4.0)</f>
        <v>4</v>
      </c>
      <c r="N2099" s="14" t="str">
        <f>IFERROR(__xludf.DUMMYFUNCTION("""COMPUTED_VALUE"""),"Nithin Lal")</f>
        <v>Nithin Lal</v>
      </c>
      <c r="O2099" s="14" t="str">
        <f>IFERROR(__xludf.DUMMYFUNCTION("split(J2099,""*"")"),"Delivered")</f>
        <v>Delivered</v>
      </c>
      <c r="P2099" s="14" t="str">
        <f>IFERROR(__xludf.DUMMYFUNCTION("""COMPUTED_VALUE"""),"Convenience: Easy tracking")</f>
        <v>Convenience: Easy tracking</v>
      </c>
      <c r="Q2099" s="14" t="str">
        <f>IFERROR(__xludf.DUMMYFUNCTION("split(P2099,"":"")"),"Convenience")</f>
        <v>Convenience</v>
      </c>
      <c r="R2099" s="14" t="str">
        <f>IFERROR(__xludf.DUMMYFUNCTION("""COMPUTED_VALUE""")," Easy tracking")</f>
        <v> Easy tracking</v>
      </c>
      <c r="S2099" s="14" t="str">
        <f t="shared" ref="S2099:U2099" si="4201">trim(B2099)</f>
        <v>ord_82073</v>
      </c>
      <c r="T2099" s="14" t="str">
        <f t="shared" si="4201"/>
        <v>Dev Chauhan</v>
      </c>
      <c r="U2099" s="14" t="str">
        <f t="shared" si="4201"/>
        <v>Bandra</v>
      </c>
      <c r="V2099" s="14" t="str">
        <f t="shared" si="4"/>
        <v>Juice</v>
      </c>
      <c r="W2099" s="14">
        <f t="shared" si="5"/>
        <v>4</v>
      </c>
      <c r="X2099" s="14" t="str">
        <f t="shared" si="6"/>
        <v>Nithin Lal</v>
      </c>
      <c r="Y2099" s="15">
        <f t="shared" si="7"/>
        <v>45112</v>
      </c>
      <c r="Z2099" s="14" t="str">
        <f t="shared" si="8"/>
        <v>Online Payment</v>
      </c>
      <c r="AA2099" s="14" t="str">
        <f t="shared" si="9"/>
        <v>Delivered</v>
      </c>
      <c r="AB2099" s="14" t="str">
        <f t="shared" ref="AB2099:AC2099" si="4202">trim(Q2099)</f>
        <v>Convenience</v>
      </c>
      <c r="AC2099" s="14" t="str">
        <f t="shared" si="4202"/>
        <v>Easy tracking</v>
      </c>
      <c r="AD2099" s="8"/>
    </row>
    <row r="2100">
      <c r="A2100" s="14" t="str">
        <f>IFERROR(__xludf.DUMMYFUNCTION("""COMPUTED_VALUE"""),"//ord_82074//Aditya Basu//Juhu//Popcorn+4*Tanvi Jain/4/2/2023//UPI//Delivered*Overall Satisfaction: Great service will order again")</f>
        <v>//ord_82074//Aditya Basu//Juhu//Popcorn+4*Tanvi Jain/4/2/2023//UPI//Delivered*Overall Satisfaction: Great service will order again</v>
      </c>
      <c r="B2100" s="14" t="str">
        <f>IFERROR(__xludf.DUMMYFUNCTION("split(A2100,""//"")"),"ord_82074")</f>
        <v>ord_82074</v>
      </c>
      <c r="C2100" s="14" t="str">
        <f>IFERROR(__xludf.DUMMYFUNCTION("""COMPUTED_VALUE"""),"Aditya Basu")</f>
        <v>Aditya Basu</v>
      </c>
      <c r="D2100" s="14" t="str">
        <f>IFERROR(__xludf.DUMMYFUNCTION("""COMPUTED_VALUE"""),"Juhu")</f>
        <v>Juhu</v>
      </c>
      <c r="E2100" s="14" t="str">
        <f>IFERROR(__xludf.DUMMYFUNCTION("""COMPUTED_VALUE"""),"Popcorn+4*Tanvi Jain")</f>
        <v>Popcorn+4*Tanvi Jain</v>
      </c>
      <c r="F2100" s="14">
        <f>IFERROR(__xludf.DUMMYFUNCTION("""COMPUTED_VALUE"""),4.0)</f>
        <v>4</v>
      </c>
      <c r="G2100" s="14">
        <f>IFERROR(__xludf.DUMMYFUNCTION("""COMPUTED_VALUE"""),2.0)</f>
        <v>2</v>
      </c>
      <c r="H2100" s="14">
        <f>IFERROR(__xludf.DUMMYFUNCTION("""COMPUTED_VALUE"""),2023.0)</f>
        <v>2023</v>
      </c>
      <c r="I2100" s="14" t="str">
        <f>IFERROR(__xludf.DUMMYFUNCTION("""COMPUTED_VALUE"""),"UPI")</f>
        <v>UPI</v>
      </c>
      <c r="J2100" s="14" t="str">
        <f>IFERROR(__xludf.DUMMYFUNCTION("""COMPUTED_VALUE"""),"Delivered*Overall Satisfaction: Great service will order again")</f>
        <v>Delivered*Overall Satisfaction: Great service will order again</v>
      </c>
      <c r="K2100" s="14" t="str">
        <f>IFERROR(__xludf.DUMMYFUNCTION("split(E2100,""+"")"),"Popcorn")</f>
        <v>Popcorn</v>
      </c>
      <c r="L2100" s="14" t="str">
        <f>IFERROR(__xludf.DUMMYFUNCTION("""COMPUTED_VALUE"""),"4*Tanvi Jain")</f>
        <v>4*Tanvi Jain</v>
      </c>
      <c r="M2100" s="14">
        <f>IFERROR(__xludf.DUMMYFUNCTION("SPLIT(L2100,""*"")"),4.0)</f>
        <v>4</v>
      </c>
      <c r="N2100" s="14" t="str">
        <f>IFERROR(__xludf.DUMMYFUNCTION("""COMPUTED_VALUE"""),"Tanvi Jain")</f>
        <v>Tanvi Jain</v>
      </c>
      <c r="O2100" s="14" t="str">
        <f>IFERROR(__xludf.DUMMYFUNCTION("split(J2100,""*"")"),"Delivered")</f>
        <v>Delivered</v>
      </c>
      <c r="P2100" s="14" t="str">
        <f>IFERROR(__xludf.DUMMYFUNCTION("""COMPUTED_VALUE"""),"Overall Satisfaction: Great service will order again")</f>
        <v>Overall Satisfaction: Great service will order again</v>
      </c>
      <c r="Q2100" s="14" t="str">
        <f>IFERROR(__xludf.DUMMYFUNCTION("split(P2100,"":"")"),"Overall Satisfaction")</f>
        <v>Overall Satisfaction</v>
      </c>
      <c r="R2100" s="14" t="str">
        <f>IFERROR(__xludf.DUMMYFUNCTION("""COMPUTED_VALUE""")," Great service will order again")</f>
        <v> Great service will order again</v>
      </c>
      <c r="S2100" s="14" t="str">
        <f t="shared" ref="S2100:U2100" si="4203">trim(B2100)</f>
        <v>ord_82074</v>
      </c>
      <c r="T2100" s="14" t="str">
        <f t="shared" si="4203"/>
        <v>Aditya Basu</v>
      </c>
      <c r="U2100" s="14" t="str">
        <f t="shared" si="4203"/>
        <v>Juhu</v>
      </c>
      <c r="V2100" s="14" t="str">
        <f t="shared" si="4"/>
        <v>Popcorn</v>
      </c>
      <c r="W2100" s="14">
        <f t="shared" si="5"/>
        <v>4</v>
      </c>
      <c r="X2100" s="14" t="str">
        <f t="shared" si="6"/>
        <v>Tanvi Jain</v>
      </c>
      <c r="Y2100" s="15">
        <f t="shared" si="7"/>
        <v>45018</v>
      </c>
      <c r="Z2100" s="14" t="str">
        <f t="shared" si="8"/>
        <v>UPI</v>
      </c>
      <c r="AA2100" s="14" t="str">
        <f t="shared" si="9"/>
        <v>Delivered</v>
      </c>
      <c r="AB2100" s="14" t="str">
        <f t="shared" ref="AB2100:AC2100" si="4204">trim(Q2100)</f>
        <v>Overall Satisfaction</v>
      </c>
      <c r="AC2100" s="14" t="str">
        <f t="shared" si="4204"/>
        <v>Great service will order again</v>
      </c>
      <c r="AD2100" s="8"/>
    </row>
    <row r="2101">
      <c r="A2101" s="14" t="str">
        <f>IFERROR(__xludf.DUMMYFUNCTION("""COMPUTED_VALUE"""),"//ord_82075//Parth Goel//Juhu//Tomato+2*Tanvi Jain/4/18/2023//Online Payment//Delivered*On-time Delivery: Delivered on time")</f>
        <v>//ord_82075//Parth Goel//Juhu//Tomato+2*Tanvi Jain/4/18/2023//Online Payment//Delivered*On-time Delivery: Delivered on time</v>
      </c>
      <c r="B2101" s="14" t="str">
        <f>IFERROR(__xludf.DUMMYFUNCTION("split(A2101,""//"")"),"ord_82075")</f>
        <v>ord_82075</v>
      </c>
      <c r="C2101" s="14" t="str">
        <f>IFERROR(__xludf.DUMMYFUNCTION("""COMPUTED_VALUE"""),"Parth Goel")</f>
        <v>Parth Goel</v>
      </c>
      <c r="D2101" s="14" t="str">
        <f>IFERROR(__xludf.DUMMYFUNCTION("""COMPUTED_VALUE"""),"Juhu")</f>
        <v>Juhu</v>
      </c>
      <c r="E2101" s="14" t="str">
        <f>IFERROR(__xludf.DUMMYFUNCTION("""COMPUTED_VALUE"""),"Tomato+2*Tanvi Jain")</f>
        <v>Tomato+2*Tanvi Jain</v>
      </c>
      <c r="F2101" s="14">
        <f>IFERROR(__xludf.DUMMYFUNCTION("""COMPUTED_VALUE"""),4.0)</f>
        <v>4</v>
      </c>
      <c r="G2101" s="14">
        <f>IFERROR(__xludf.DUMMYFUNCTION("""COMPUTED_VALUE"""),18.0)</f>
        <v>18</v>
      </c>
      <c r="H2101" s="14">
        <f>IFERROR(__xludf.DUMMYFUNCTION("""COMPUTED_VALUE"""),2023.0)</f>
        <v>2023</v>
      </c>
      <c r="I2101" s="14" t="str">
        <f>IFERROR(__xludf.DUMMYFUNCTION("""COMPUTED_VALUE"""),"Online Payment")</f>
        <v>Online Payment</v>
      </c>
      <c r="J2101" s="14" t="str">
        <f>IFERROR(__xludf.DUMMYFUNCTION("""COMPUTED_VALUE"""),"Delivered*On-time Delivery: Delivered on time")</f>
        <v>Delivered*On-time Delivery: Delivered on time</v>
      </c>
      <c r="K2101" s="14" t="str">
        <f>IFERROR(__xludf.DUMMYFUNCTION("split(E2101,""+"")"),"Tomato")</f>
        <v>Tomato</v>
      </c>
      <c r="L2101" s="14" t="str">
        <f>IFERROR(__xludf.DUMMYFUNCTION("""COMPUTED_VALUE"""),"2*Tanvi Jain")</f>
        <v>2*Tanvi Jain</v>
      </c>
      <c r="M2101" s="14">
        <f>IFERROR(__xludf.DUMMYFUNCTION("SPLIT(L2101,""*"")"),2.0)</f>
        <v>2</v>
      </c>
      <c r="N2101" s="14" t="str">
        <f>IFERROR(__xludf.DUMMYFUNCTION("""COMPUTED_VALUE"""),"Tanvi Jain")</f>
        <v>Tanvi Jain</v>
      </c>
      <c r="O2101" s="14" t="str">
        <f>IFERROR(__xludf.DUMMYFUNCTION("split(J2101,""*"")"),"Delivered")</f>
        <v>Delivered</v>
      </c>
      <c r="P2101" s="14" t="str">
        <f>IFERROR(__xludf.DUMMYFUNCTION("""COMPUTED_VALUE"""),"On-time Delivery: Delivered on time")</f>
        <v>On-time Delivery: Delivered on time</v>
      </c>
      <c r="Q2101" s="14" t="str">
        <f>IFERROR(__xludf.DUMMYFUNCTION("split(P2101,"":"")"),"On-time Delivery")</f>
        <v>On-time Delivery</v>
      </c>
      <c r="R2101" s="14" t="str">
        <f>IFERROR(__xludf.DUMMYFUNCTION("""COMPUTED_VALUE""")," Delivered on time")</f>
        <v> Delivered on time</v>
      </c>
      <c r="S2101" s="14" t="str">
        <f t="shared" ref="S2101:U2101" si="4205">trim(B2101)</f>
        <v>ord_82075</v>
      </c>
      <c r="T2101" s="14" t="str">
        <f t="shared" si="4205"/>
        <v>Parth Goel</v>
      </c>
      <c r="U2101" s="14" t="str">
        <f t="shared" si="4205"/>
        <v>Juhu</v>
      </c>
      <c r="V2101" s="14" t="str">
        <f t="shared" si="4"/>
        <v>Tomato</v>
      </c>
      <c r="W2101" s="14">
        <f t="shared" si="5"/>
        <v>2</v>
      </c>
      <c r="X2101" s="14" t="str">
        <f t="shared" si="6"/>
        <v>Tanvi Jain</v>
      </c>
      <c r="Y2101" s="15">
        <f t="shared" si="7"/>
        <v>45034</v>
      </c>
      <c r="Z2101" s="14" t="str">
        <f t="shared" si="8"/>
        <v>Online Payment</v>
      </c>
      <c r="AA2101" s="14" t="str">
        <f t="shared" si="9"/>
        <v>Delivered</v>
      </c>
      <c r="AB2101" s="14" t="str">
        <f t="shared" ref="AB2101:AC2101" si="4206">trim(Q2101)</f>
        <v>On-time Delivery</v>
      </c>
      <c r="AC2101" s="14" t="str">
        <f t="shared" si="4206"/>
        <v>Delivered on time</v>
      </c>
      <c r="AD2101" s="8"/>
    </row>
    <row r="2102">
      <c r="A2102" s="14" t="str">
        <f>IFERROR(__xludf.DUMMYFUNCTION("""COMPUTED_VALUE"""),"//ord_82076//Aditi Iyer//Dadar//Potato+2*Aman Kumar/5/26/2023//UPI//Delivered*Quality of Items: Perfect condition")</f>
        <v>//ord_82076//Aditi Iyer//Dadar//Potato+2*Aman Kumar/5/26/2023//UPI//Delivered*Quality of Items: Perfect condition</v>
      </c>
      <c r="B2102" s="14" t="str">
        <f>IFERROR(__xludf.DUMMYFUNCTION("split(A2102,""//"")"),"ord_82076")</f>
        <v>ord_82076</v>
      </c>
      <c r="C2102" s="14" t="str">
        <f>IFERROR(__xludf.DUMMYFUNCTION("""COMPUTED_VALUE"""),"Aditi Iyer")</f>
        <v>Aditi Iyer</v>
      </c>
      <c r="D2102" s="14" t="str">
        <f>IFERROR(__xludf.DUMMYFUNCTION("""COMPUTED_VALUE"""),"Dadar")</f>
        <v>Dadar</v>
      </c>
      <c r="E2102" s="14" t="str">
        <f>IFERROR(__xludf.DUMMYFUNCTION("""COMPUTED_VALUE"""),"Potato+2*Aman Kumar")</f>
        <v>Potato+2*Aman Kumar</v>
      </c>
      <c r="F2102" s="14">
        <f>IFERROR(__xludf.DUMMYFUNCTION("""COMPUTED_VALUE"""),5.0)</f>
        <v>5</v>
      </c>
      <c r="G2102" s="14">
        <f>IFERROR(__xludf.DUMMYFUNCTION("""COMPUTED_VALUE"""),26.0)</f>
        <v>26</v>
      </c>
      <c r="H2102" s="14">
        <f>IFERROR(__xludf.DUMMYFUNCTION("""COMPUTED_VALUE"""),2023.0)</f>
        <v>2023</v>
      </c>
      <c r="I2102" s="14" t="str">
        <f>IFERROR(__xludf.DUMMYFUNCTION("""COMPUTED_VALUE"""),"UPI")</f>
        <v>UPI</v>
      </c>
      <c r="J2102" s="14" t="str">
        <f>IFERROR(__xludf.DUMMYFUNCTION("""COMPUTED_VALUE"""),"Delivered*Quality of Items: Perfect condition")</f>
        <v>Delivered*Quality of Items: Perfect condition</v>
      </c>
      <c r="K2102" s="14" t="str">
        <f>IFERROR(__xludf.DUMMYFUNCTION("split(E2102,""+"")"),"Potato")</f>
        <v>Potato</v>
      </c>
      <c r="L2102" s="14" t="str">
        <f>IFERROR(__xludf.DUMMYFUNCTION("""COMPUTED_VALUE"""),"2*Aman Kumar")</f>
        <v>2*Aman Kumar</v>
      </c>
      <c r="M2102" s="14">
        <f>IFERROR(__xludf.DUMMYFUNCTION("SPLIT(L2102,""*"")"),2.0)</f>
        <v>2</v>
      </c>
      <c r="N2102" s="14" t="str">
        <f>IFERROR(__xludf.DUMMYFUNCTION("""COMPUTED_VALUE"""),"Aman Kumar")</f>
        <v>Aman Kumar</v>
      </c>
      <c r="O2102" s="14" t="str">
        <f>IFERROR(__xludf.DUMMYFUNCTION("split(J2102,""*"")"),"Delivered")</f>
        <v>Delivered</v>
      </c>
      <c r="P2102" s="14" t="str">
        <f>IFERROR(__xludf.DUMMYFUNCTION("""COMPUTED_VALUE"""),"Quality of Items: Perfect condition")</f>
        <v>Quality of Items: Perfect condition</v>
      </c>
      <c r="Q2102" s="14" t="str">
        <f>IFERROR(__xludf.DUMMYFUNCTION("split(P2102,"":"")"),"Quality of Items")</f>
        <v>Quality of Items</v>
      </c>
      <c r="R2102" s="14" t="str">
        <f>IFERROR(__xludf.DUMMYFUNCTION("""COMPUTED_VALUE""")," Perfect condition")</f>
        <v> Perfect condition</v>
      </c>
      <c r="S2102" s="14" t="str">
        <f t="shared" ref="S2102:U2102" si="4207">trim(B2102)</f>
        <v>ord_82076</v>
      </c>
      <c r="T2102" s="14" t="str">
        <f t="shared" si="4207"/>
        <v>Aditi Iyer</v>
      </c>
      <c r="U2102" s="14" t="str">
        <f t="shared" si="4207"/>
        <v>Dadar</v>
      </c>
      <c r="V2102" s="14" t="str">
        <f t="shared" si="4"/>
        <v>Potato</v>
      </c>
      <c r="W2102" s="14">
        <f t="shared" si="5"/>
        <v>2</v>
      </c>
      <c r="X2102" s="14" t="str">
        <f t="shared" si="6"/>
        <v>Aman Kumar</v>
      </c>
      <c r="Y2102" s="15">
        <f t="shared" si="7"/>
        <v>45072</v>
      </c>
      <c r="Z2102" s="14" t="str">
        <f t="shared" si="8"/>
        <v>UPI</v>
      </c>
      <c r="AA2102" s="14" t="str">
        <f t="shared" si="9"/>
        <v>Delivered</v>
      </c>
      <c r="AB2102" s="14" t="str">
        <f t="shared" ref="AB2102:AC2102" si="4208">trim(Q2102)</f>
        <v>Quality of Items</v>
      </c>
      <c r="AC2102" s="14" t="str">
        <f t="shared" si="4208"/>
        <v>Perfect condition</v>
      </c>
      <c r="AD2102" s="8"/>
    </row>
    <row r="2103">
      <c r="A2103" s="14" t="str">
        <f>IFERROR(__xludf.DUMMYFUNCTION("""COMPUTED_VALUE"""),"//ord_82077//Pallavi Ghosh//Bandra//Chocolate Mousse+5*Priya Joshi/1/9/2023//Online Payment//Delivered*On-time Delivery: Delivered on time")</f>
        <v>//ord_82077//Pallavi Ghosh//Bandra//Chocolate Mousse+5*Priya Joshi/1/9/2023//Online Payment//Delivered*On-time Delivery: Delivered on time</v>
      </c>
      <c r="B2103" s="14" t="str">
        <f>IFERROR(__xludf.DUMMYFUNCTION("split(A2103,""//"")"),"ord_82077")</f>
        <v>ord_82077</v>
      </c>
      <c r="C2103" s="14" t="str">
        <f>IFERROR(__xludf.DUMMYFUNCTION("""COMPUTED_VALUE"""),"Pallavi Ghosh")</f>
        <v>Pallavi Ghosh</v>
      </c>
      <c r="D2103" s="14" t="str">
        <f>IFERROR(__xludf.DUMMYFUNCTION("""COMPUTED_VALUE"""),"Bandra")</f>
        <v>Bandra</v>
      </c>
      <c r="E2103" s="14" t="str">
        <f>IFERROR(__xludf.DUMMYFUNCTION("""COMPUTED_VALUE"""),"Chocolate Mousse+5*Priya Joshi")</f>
        <v>Chocolate Mousse+5*Priya Joshi</v>
      </c>
      <c r="F2103" s="14">
        <f>IFERROR(__xludf.DUMMYFUNCTION("""COMPUTED_VALUE"""),1.0)</f>
        <v>1</v>
      </c>
      <c r="G2103" s="14">
        <f>IFERROR(__xludf.DUMMYFUNCTION("""COMPUTED_VALUE"""),9.0)</f>
        <v>9</v>
      </c>
      <c r="H2103" s="14">
        <f>IFERROR(__xludf.DUMMYFUNCTION("""COMPUTED_VALUE"""),2023.0)</f>
        <v>2023</v>
      </c>
      <c r="I2103" s="14" t="str">
        <f>IFERROR(__xludf.DUMMYFUNCTION("""COMPUTED_VALUE"""),"Online Payment")</f>
        <v>Online Payment</v>
      </c>
      <c r="J2103" s="14" t="str">
        <f>IFERROR(__xludf.DUMMYFUNCTION("""COMPUTED_VALUE"""),"Delivered*On-time Delivery: Delivered on time")</f>
        <v>Delivered*On-time Delivery: Delivered on time</v>
      </c>
      <c r="K2103" s="14" t="str">
        <f>IFERROR(__xludf.DUMMYFUNCTION("split(E2103,""+"")"),"Chocolate Mousse")</f>
        <v>Chocolate Mousse</v>
      </c>
      <c r="L2103" s="14" t="str">
        <f>IFERROR(__xludf.DUMMYFUNCTION("""COMPUTED_VALUE"""),"5*Priya Joshi")</f>
        <v>5*Priya Joshi</v>
      </c>
      <c r="M2103" s="14">
        <f>IFERROR(__xludf.DUMMYFUNCTION("SPLIT(L2103,""*"")"),5.0)</f>
        <v>5</v>
      </c>
      <c r="N2103" s="14" t="str">
        <f>IFERROR(__xludf.DUMMYFUNCTION("""COMPUTED_VALUE"""),"Priya Joshi")</f>
        <v>Priya Joshi</v>
      </c>
      <c r="O2103" s="14" t="str">
        <f>IFERROR(__xludf.DUMMYFUNCTION("split(J2103,""*"")"),"Delivered")</f>
        <v>Delivered</v>
      </c>
      <c r="P2103" s="14" t="str">
        <f>IFERROR(__xludf.DUMMYFUNCTION("""COMPUTED_VALUE"""),"On-time Delivery: Delivered on time")</f>
        <v>On-time Delivery: Delivered on time</v>
      </c>
      <c r="Q2103" s="14" t="str">
        <f>IFERROR(__xludf.DUMMYFUNCTION("split(P2103,"":"")"),"On-time Delivery")</f>
        <v>On-time Delivery</v>
      </c>
      <c r="R2103" s="14" t="str">
        <f>IFERROR(__xludf.DUMMYFUNCTION("""COMPUTED_VALUE""")," Delivered on time")</f>
        <v> Delivered on time</v>
      </c>
      <c r="S2103" s="14" t="str">
        <f t="shared" ref="S2103:U2103" si="4209">trim(B2103)</f>
        <v>ord_82077</v>
      </c>
      <c r="T2103" s="14" t="str">
        <f t="shared" si="4209"/>
        <v>Pallavi Ghosh</v>
      </c>
      <c r="U2103" s="14" t="str">
        <f t="shared" si="4209"/>
        <v>Bandra</v>
      </c>
      <c r="V2103" s="14" t="str">
        <f t="shared" si="4"/>
        <v>Chocolate Mousse</v>
      </c>
      <c r="W2103" s="14">
        <f t="shared" si="5"/>
        <v>5</v>
      </c>
      <c r="X2103" s="14" t="str">
        <f t="shared" si="6"/>
        <v>Priya Joshi</v>
      </c>
      <c r="Y2103" s="15">
        <f t="shared" si="7"/>
        <v>44935</v>
      </c>
      <c r="Z2103" s="14" t="str">
        <f t="shared" si="8"/>
        <v>Online Payment</v>
      </c>
      <c r="AA2103" s="14" t="str">
        <f t="shared" si="9"/>
        <v>Delivered</v>
      </c>
      <c r="AB2103" s="14" t="str">
        <f t="shared" ref="AB2103:AC2103" si="4210">trim(Q2103)</f>
        <v>On-time Delivery</v>
      </c>
      <c r="AC2103" s="14" t="str">
        <f t="shared" si="4210"/>
        <v>Delivered on time</v>
      </c>
      <c r="AD2103" s="8"/>
    </row>
    <row r="2104">
      <c r="A2104" s="14" t="str">
        <f>IFERROR(__xludf.DUMMYFUNCTION("""COMPUTED_VALUE"""),"//ord_82078//Ishita Banerjee//Juhu//Chocolate Mousse+3*Not Assigned/5/6/2023//Online Payment//Cancelled*Out of Stock")</f>
        <v>//ord_82078//Ishita Banerjee//Juhu//Chocolate Mousse+3*Not Assigned/5/6/2023//Online Payment//Cancelled*Out of Stock</v>
      </c>
      <c r="B2104" s="14" t="str">
        <f>IFERROR(__xludf.DUMMYFUNCTION("split(A2104,""//"")"),"ord_82078")</f>
        <v>ord_82078</v>
      </c>
      <c r="C2104" s="14" t="str">
        <f>IFERROR(__xludf.DUMMYFUNCTION("""COMPUTED_VALUE"""),"Ishita Banerjee")</f>
        <v>Ishita Banerjee</v>
      </c>
      <c r="D2104" s="14" t="str">
        <f>IFERROR(__xludf.DUMMYFUNCTION("""COMPUTED_VALUE"""),"Juhu")</f>
        <v>Juhu</v>
      </c>
      <c r="E2104" s="14" t="str">
        <f>IFERROR(__xludf.DUMMYFUNCTION("""COMPUTED_VALUE"""),"Chocolate Mousse+3*Not Assigned")</f>
        <v>Chocolate Mousse+3*Not Assigned</v>
      </c>
      <c r="F2104" s="14">
        <f>IFERROR(__xludf.DUMMYFUNCTION("""COMPUTED_VALUE"""),5.0)</f>
        <v>5</v>
      </c>
      <c r="G2104" s="14">
        <f>IFERROR(__xludf.DUMMYFUNCTION("""COMPUTED_VALUE"""),6.0)</f>
        <v>6</v>
      </c>
      <c r="H2104" s="14">
        <f>IFERROR(__xludf.DUMMYFUNCTION("""COMPUTED_VALUE"""),2023.0)</f>
        <v>2023</v>
      </c>
      <c r="I2104" s="14" t="str">
        <f>IFERROR(__xludf.DUMMYFUNCTION("""COMPUTED_VALUE"""),"Online Payment")</f>
        <v>Online Payment</v>
      </c>
      <c r="J2104" s="14" t="str">
        <f>IFERROR(__xludf.DUMMYFUNCTION("""COMPUTED_VALUE"""),"Cancelled*Out of Stock")</f>
        <v>Cancelled*Out of Stock</v>
      </c>
      <c r="K2104" s="14" t="str">
        <f>IFERROR(__xludf.DUMMYFUNCTION("split(E2104,""+"")"),"Chocolate Mousse")</f>
        <v>Chocolate Mousse</v>
      </c>
      <c r="L2104" s="14" t="str">
        <f>IFERROR(__xludf.DUMMYFUNCTION("""COMPUTED_VALUE"""),"3*Not Assigned")</f>
        <v>3*Not Assigned</v>
      </c>
      <c r="M2104" s="14">
        <f>IFERROR(__xludf.DUMMYFUNCTION("SPLIT(L2104,""*"")"),3.0)</f>
        <v>3</v>
      </c>
      <c r="N2104" s="14" t="str">
        <f>IFERROR(__xludf.DUMMYFUNCTION("""COMPUTED_VALUE"""),"Not Assigned")</f>
        <v>Not Assigned</v>
      </c>
      <c r="O2104" s="14" t="str">
        <f>IFERROR(__xludf.DUMMYFUNCTION("split(J2104,""*"")"),"Cancelled")</f>
        <v>Cancelled</v>
      </c>
      <c r="P2104" s="14" t="str">
        <f>IFERROR(__xludf.DUMMYFUNCTION("""COMPUTED_VALUE"""),"Out of Stock")</f>
        <v>Out of Stock</v>
      </c>
      <c r="Q2104" s="14" t="str">
        <f>IFERROR(__xludf.DUMMYFUNCTION("split(P2104,"":"")"),"Out of Stock")</f>
        <v>Out of Stock</v>
      </c>
      <c r="R2104" s="14"/>
      <c r="S2104" s="14" t="str">
        <f t="shared" ref="S2104:U2104" si="4211">trim(B2104)</f>
        <v>ord_82078</v>
      </c>
      <c r="T2104" s="14" t="str">
        <f t="shared" si="4211"/>
        <v>Ishita Banerjee</v>
      </c>
      <c r="U2104" s="14" t="str">
        <f t="shared" si="4211"/>
        <v>Juhu</v>
      </c>
      <c r="V2104" s="14" t="str">
        <f t="shared" si="4"/>
        <v>Chocolate Mousse</v>
      </c>
      <c r="W2104" s="14">
        <f t="shared" si="5"/>
        <v>3</v>
      </c>
      <c r="X2104" s="14" t="str">
        <f t="shared" si="6"/>
        <v>Not Assigned</v>
      </c>
      <c r="Y2104" s="15">
        <f t="shared" si="7"/>
        <v>45052</v>
      </c>
      <c r="Z2104" s="14" t="str">
        <f t="shared" si="8"/>
        <v>Online Payment</v>
      </c>
      <c r="AA2104" s="14" t="str">
        <f t="shared" si="9"/>
        <v>Cancelled</v>
      </c>
      <c r="AB2104" s="14" t="str">
        <f t="shared" ref="AB2104:AC2104" si="4212">trim(Q2104)</f>
        <v>Out of Stock</v>
      </c>
      <c r="AC2104" s="14" t="str">
        <f t="shared" si="4212"/>
        <v/>
      </c>
      <c r="AD2104" s="8"/>
    </row>
    <row r="2105">
      <c r="A2105" s="14" t="str">
        <f>IFERROR(__xludf.DUMMYFUNCTION("""COMPUTED_VALUE"""),"//ord_82079//Tanishq Bansal//Powai//Cold Coffee+4*Sandeep Kumar/9/24/2023//COD//Delivered*Quality of Items: Perfect condition")</f>
        <v>//ord_82079//Tanishq Bansal//Powai//Cold Coffee+4*Sandeep Kumar/9/24/2023//COD//Delivered*Quality of Items: Perfect condition</v>
      </c>
      <c r="B2105" s="14" t="str">
        <f>IFERROR(__xludf.DUMMYFUNCTION("split(A2105,""//"")"),"ord_82079")</f>
        <v>ord_82079</v>
      </c>
      <c r="C2105" s="14" t="str">
        <f>IFERROR(__xludf.DUMMYFUNCTION("""COMPUTED_VALUE"""),"Tanishq Bansal")</f>
        <v>Tanishq Bansal</v>
      </c>
      <c r="D2105" s="14" t="str">
        <f>IFERROR(__xludf.DUMMYFUNCTION("""COMPUTED_VALUE"""),"Powai")</f>
        <v>Powai</v>
      </c>
      <c r="E2105" s="14" t="str">
        <f>IFERROR(__xludf.DUMMYFUNCTION("""COMPUTED_VALUE"""),"Cold Coffee+4*Sandeep Kumar")</f>
        <v>Cold Coffee+4*Sandeep Kumar</v>
      </c>
      <c r="F2105" s="14">
        <f>IFERROR(__xludf.DUMMYFUNCTION("""COMPUTED_VALUE"""),9.0)</f>
        <v>9</v>
      </c>
      <c r="G2105" s="14">
        <f>IFERROR(__xludf.DUMMYFUNCTION("""COMPUTED_VALUE"""),24.0)</f>
        <v>24</v>
      </c>
      <c r="H2105" s="14">
        <f>IFERROR(__xludf.DUMMYFUNCTION("""COMPUTED_VALUE"""),2023.0)</f>
        <v>2023</v>
      </c>
      <c r="I2105" s="14" t="str">
        <f>IFERROR(__xludf.DUMMYFUNCTION("""COMPUTED_VALUE"""),"COD")</f>
        <v>COD</v>
      </c>
      <c r="J2105" s="14" t="str">
        <f>IFERROR(__xludf.DUMMYFUNCTION("""COMPUTED_VALUE"""),"Delivered*Quality of Items: Perfect condition")</f>
        <v>Delivered*Quality of Items: Perfect condition</v>
      </c>
      <c r="K2105" s="14" t="str">
        <f>IFERROR(__xludf.DUMMYFUNCTION("split(E2105,""+"")"),"Cold Coffee")</f>
        <v>Cold Coffee</v>
      </c>
      <c r="L2105" s="14" t="str">
        <f>IFERROR(__xludf.DUMMYFUNCTION("""COMPUTED_VALUE"""),"4*Sandeep Kumar")</f>
        <v>4*Sandeep Kumar</v>
      </c>
      <c r="M2105" s="14">
        <f>IFERROR(__xludf.DUMMYFUNCTION("SPLIT(L2105,""*"")"),4.0)</f>
        <v>4</v>
      </c>
      <c r="N2105" s="14" t="str">
        <f>IFERROR(__xludf.DUMMYFUNCTION("""COMPUTED_VALUE"""),"Sandeep Kumar")</f>
        <v>Sandeep Kumar</v>
      </c>
      <c r="O2105" s="14" t="str">
        <f>IFERROR(__xludf.DUMMYFUNCTION("split(J2105,""*"")"),"Delivered")</f>
        <v>Delivered</v>
      </c>
      <c r="P2105" s="14" t="str">
        <f>IFERROR(__xludf.DUMMYFUNCTION("""COMPUTED_VALUE"""),"Quality of Items: Perfect condition")</f>
        <v>Quality of Items: Perfect condition</v>
      </c>
      <c r="Q2105" s="14" t="str">
        <f>IFERROR(__xludf.DUMMYFUNCTION("split(P2105,"":"")"),"Quality of Items")</f>
        <v>Quality of Items</v>
      </c>
      <c r="R2105" s="14" t="str">
        <f>IFERROR(__xludf.DUMMYFUNCTION("""COMPUTED_VALUE""")," Perfect condition")</f>
        <v> Perfect condition</v>
      </c>
      <c r="S2105" s="14" t="str">
        <f t="shared" ref="S2105:U2105" si="4213">trim(B2105)</f>
        <v>ord_82079</v>
      </c>
      <c r="T2105" s="14" t="str">
        <f t="shared" si="4213"/>
        <v>Tanishq Bansal</v>
      </c>
      <c r="U2105" s="14" t="str">
        <f t="shared" si="4213"/>
        <v>Powai</v>
      </c>
      <c r="V2105" s="14" t="str">
        <f t="shared" si="4"/>
        <v>Cold Coffee</v>
      </c>
      <c r="W2105" s="14">
        <f t="shared" si="5"/>
        <v>4</v>
      </c>
      <c r="X2105" s="14" t="str">
        <f t="shared" si="6"/>
        <v>Sandeep Kumar</v>
      </c>
      <c r="Y2105" s="15">
        <f t="shared" si="7"/>
        <v>45193</v>
      </c>
      <c r="Z2105" s="14" t="str">
        <f t="shared" si="8"/>
        <v>COD</v>
      </c>
      <c r="AA2105" s="14" t="str">
        <f t="shared" si="9"/>
        <v>Delivered</v>
      </c>
      <c r="AB2105" s="14" t="str">
        <f t="shared" ref="AB2105:AC2105" si="4214">trim(Q2105)</f>
        <v>Quality of Items</v>
      </c>
      <c r="AC2105" s="14" t="str">
        <f t="shared" si="4214"/>
        <v>Perfect condition</v>
      </c>
      <c r="AD2105" s="8"/>
    </row>
    <row r="2106">
      <c r="A2106" s="14" t="str">
        <f>IFERROR(__xludf.DUMMYFUNCTION("""COMPUTED_VALUE"""),"//ord_82080//Ishaan Chaturvedi//Bandra//Banana+2*Priya Joshi/6/5/2023//Credit Card//Delivered*Packaging: Secure and intact")</f>
        <v>//ord_82080//Ishaan Chaturvedi//Bandra//Banana+2*Priya Joshi/6/5/2023//Credit Card//Delivered*Packaging: Secure and intact</v>
      </c>
      <c r="B2106" s="14" t="str">
        <f>IFERROR(__xludf.DUMMYFUNCTION("split(A2106,""//"")"),"ord_82080")</f>
        <v>ord_82080</v>
      </c>
      <c r="C2106" s="14" t="str">
        <f>IFERROR(__xludf.DUMMYFUNCTION("""COMPUTED_VALUE"""),"Ishaan Chaturvedi")</f>
        <v>Ishaan Chaturvedi</v>
      </c>
      <c r="D2106" s="14" t="str">
        <f>IFERROR(__xludf.DUMMYFUNCTION("""COMPUTED_VALUE"""),"Bandra")</f>
        <v>Bandra</v>
      </c>
      <c r="E2106" s="14" t="str">
        <f>IFERROR(__xludf.DUMMYFUNCTION("""COMPUTED_VALUE"""),"Banana+2*Priya Joshi")</f>
        <v>Banana+2*Priya Joshi</v>
      </c>
      <c r="F2106" s="14">
        <f>IFERROR(__xludf.DUMMYFUNCTION("""COMPUTED_VALUE"""),6.0)</f>
        <v>6</v>
      </c>
      <c r="G2106" s="14">
        <f>IFERROR(__xludf.DUMMYFUNCTION("""COMPUTED_VALUE"""),5.0)</f>
        <v>5</v>
      </c>
      <c r="H2106" s="14">
        <f>IFERROR(__xludf.DUMMYFUNCTION("""COMPUTED_VALUE"""),2023.0)</f>
        <v>2023</v>
      </c>
      <c r="I2106" s="14" t="str">
        <f>IFERROR(__xludf.DUMMYFUNCTION("""COMPUTED_VALUE"""),"Credit Card")</f>
        <v>Credit Card</v>
      </c>
      <c r="J2106" s="14" t="str">
        <f>IFERROR(__xludf.DUMMYFUNCTION("""COMPUTED_VALUE"""),"Delivered*Packaging: Secure and intact")</f>
        <v>Delivered*Packaging: Secure and intact</v>
      </c>
      <c r="K2106" s="14" t="str">
        <f>IFERROR(__xludf.DUMMYFUNCTION("split(E2106,""+"")"),"Banana")</f>
        <v>Banana</v>
      </c>
      <c r="L2106" s="14" t="str">
        <f>IFERROR(__xludf.DUMMYFUNCTION("""COMPUTED_VALUE"""),"2*Priya Joshi")</f>
        <v>2*Priya Joshi</v>
      </c>
      <c r="M2106" s="14">
        <f>IFERROR(__xludf.DUMMYFUNCTION("SPLIT(L2106,""*"")"),2.0)</f>
        <v>2</v>
      </c>
      <c r="N2106" s="14" t="str">
        <f>IFERROR(__xludf.DUMMYFUNCTION("""COMPUTED_VALUE"""),"Priya Joshi")</f>
        <v>Priya Joshi</v>
      </c>
      <c r="O2106" s="14" t="str">
        <f>IFERROR(__xludf.DUMMYFUNCTION("split(J2106,""*"")"),"Delivered")</f>
        <v>Delivered</v>
      </c>
      <c r="P2106" s="14" t="str">
        <f>IFERROR(__xludf.DUMMYFUNCTION("""COMPUTED_VALUE"""),"Packaging: Secure and intact")</f>
        <v>Packaging: Secure and intact</v>
      </c>
      <c r="Q2106" s="14" t="str">
        <f>IFERROR(__xludf.DUMMYFUNCTION("split(P2106,"":"")"),"Packaging")</f>
        <v>Packaging</v>
      </c>
      <c r="R2106" s="14" t="str">
        <f>IFERROR(__xludf.DUMMYFUNCTION("""COMPUTED_VALUE""")," Secure and intact")</f>
        <v> Secure and intact</v>
      </c>
      <c r="S2106" s="14" t="str">
        <f t="shared" ref="S2106:U2106" si="4215">trim(B2106)</f>
        <v>ord_82080</v>
      </c>
      <c r="T2106" s="14" t="str">
        <f t="shared" si="4215"/>
        <v>Ishaan Chaturvedi</v>
      </c>
      <c r="U2106" s="14" t="str">
        <f t="shared" si="4215"/>
        <v>Bandra</v>
      </c>
      <c r="V2106" s="14" t="str">
        <f t="shared" si="4"/>
        <v>Banana</v>
      </c>
      <c r="W2106" s="14">
        <f t="shared" si="5"/>
        <v>2</v>
      </c>
      <c r="X2106" s="14" t="str">
        <f t="shared" si="6"/>
        <v>Priya Joshi</v>
      </c>
      <c r="Y2106" s="15">
        <f t="shared" si="7"/>
        <v>45082</v>
      </c>
      <c r="Z2106" s="14" t="str">
        <f t="shared" si="8"/>
        <v>Credit Card</v>
      </c>
      <c r="AA2106" s="14" t="str">
        <f t="shared" si="9"/>
        <v>Delivered</v>
      </c>
      <c r="AB2106" s="14" t="str">
        <f t="shared" ref="AB2106:AC2106" si="4216">trim(Q2106)</f>
        <v>Packaging</v>
      </c>
      <c r="AC2106" s="14" t="str">
        <f t="shared" si="4216"/>
        <v>Secure and intact</v>
      </c>
      <c r="AD2106" s="8"/>
    </row>
    <row r="2107">
      <c r="A2107" s="14" t="str">
        <f>IFERROR(__xludf.DUMMYFUNCTION("""COMPUTED_VALUE"""),"//ord_82081//Tanishq Bansal//Powai//Papaya+1*Sandeep Kumar/10/16/2023//Online Payment//Delivered*Satisfied with the Delivery: Timely and quality")</f>
        <v>//ord_82081//Tanishq Bansal//Powai//Papaya+1*Sandeep Kumar/10/16/2023//Online Payment//Delivered*Satisfied with the Delivery: Timely and quality</v>
      </c>
      <c r="B2107" s="14" t="str">
        <f>IFERROR(__xludf.DUMMYFUNCTION("split(A2107,""//"")"),"ord_82081")</f>
        <v>ord_82081</v>
      </c>
      <c r="C2107" s="14" t="str">
        <f>IFERROR(__xludf.DUMMYFUNCTION("""COMPUTED_VALUE"""),"Tanishq Bansal")</f>
        <v>Tanishq Bansal</v>
      </c>
      <c r="D2107" s="14" t="str">
        <f>IFERROR(__xludf.DUMMYFUNCTION("""COMPUTED_VALUE"""),"Powai")</f>
        <v>Powai</v>
      </c>
      <c r="E2107" s="14" t="str">
        <f>IFERROR(__xludf.DUMMYFUNCTION("""COMPUTED_VALUE"""),"Papaya+1*Sandeep Kumar")</f>
        <v>Papaya+1*Sandeep Kumar</v>
      </c>
      <c r="F2107" s="14">
        <f>IFERROR(__xludf.DUMMYFUNCTION("""COMPUTED_VALUE"""),10.0)</f>
        <v>10</v>
      </c>
      <c r="G2107" s="14">
        <f>IFERROR(__xludf.DUMMYFUNCTION("""COMPUTED_VALUE"""),16.0)</f>
        <v>16</v>
      </c>
      <c r="H2107" s="14">
        <f>IFERROR(__xludf.DUMMYFUNCTION("""COMPUTED_VALUE"""),2023.0)</f>
        <v>2023</v>
      </c>
      <c r="I2107" s="14" t="str">
        <f>IFERROR(__xludf.DUMMYFUNCTION("""COMPUTED_VALUE"""),"Online Payment")</f>
        <v>Online Payment</v>
      </c>
      <c r="J2107" s="14" t="str">
        <f>IFERROR(__xludf.DUMMYFUNCTION("""COMPUTED_VALUE"""),"Delivered*Satisfied with the Delivery: Timely and quality")</f>
        <v>Delivered*Satisfied with the Delivery: Timely and quality</v>
      </c>
      <c r="K2107" s="14" t="str">
        <f>IFERROR(__xludf.DUMMYFUNCTION("split(E2107,""+"")"),"Papaya")</f>
        <v>Papaya</v>
      </c>
      <c r="L2107" s="14" t="str">
        <f>IFERROR(__xludf.DUMMYFUNCTION("""COMPUTED_VALUE"""),"1*Sandeep Kumar")</f>
        <v>1*Sandeep Kumar</v>
      </c>
      <c r="M2107" s="14">
        <f>IFERROR(__xludf.DUMMYFUNCTION("SPLIT(L2107,""*"")"),1.0)</f>
        <v>1</v>
      </c>
      <c r="N2107" s="14" t="str">
        <f>IFERROR(__xludf.DUMMYFUNCTION("""COMPUTED_VALUE"""),"Sandeep Kumar")</f>
        <v>Sandeep Kumar</v>
      </c>
      <c r="O2107" s="14" t="str">
        <f>IFERROR(__xludf.DUMMYFUNCTION("split(J2107,""*"")"),"Delivered")</f>
        <v>Delivered</v>
      </c>
      <c r="P2107" s="14" t="str">
        <f>IFERROR(__xludf.DUMMYFUNCTION("""COMPUTED_VALUE"""),"Satisfied with the Delivery: Timely and quality")</f>
        <v>Satisfied with the Delivery: Timely and quality</v>
      </c>
      <c r="Q2107" s="14" t="str">
        <f>IFERROR(__xludf.DUMMYFUNCTION("split(P2107,"":"")"),"Satisfied with the Delivery")</f>
        <v>Satisfied with the Delivery</v>
      </c>
      <c r="R2107" s="14" t="str">
        <f>IFERROR(__xludf.DUMMYFUNCTION("""COMPUTED_VALUE""")," Timely and quality")</f>
        <v> Timely and quality</v>
      </c>
      <c r="S2107" s="14" t="str">
        <f t="shared" ref="S2107:U2107" si="4217">trim(B2107)</f>
        <v>ord_82081</v>
      </c>
      <c r="T2107" s="14" t="str">
        <f t="shared" si="4217"/>
        <v>Tanishq Bansal</v>
      </c>
      <c r="U2107" s="14" t="str">
        <f t="shared" si="4217"/>
        <v>Powai</v>
      </c>
      <c r="V2107" s="14" t="str">
        <f t="shared" si="4"/>
        <v>Papaya</v>
      </c>
      <c r="W2107" s="14">
        <f t="shared" si="5"/>
        <v>1</v>
      </c>
      <c r="X2107" s="14" t="str">
        <f t="shared" si="6"/>
        <v>Sandeep Kumar</v>
      </c>
      <c r="Y2107" s="15">
        <f t="shared" si="7"/>
        <v>45215</v>
      </c>
      <c r="Z2107" s="14" t="str">
        <f t="shared" si="8"/>
        <v>Online Payment</v>
      </c>
      <c r="AA2107" s="14" t="str">
        <f t="shared" si="9"/>
        <v>Delivered</v>
      </c>
      <c r="AB2107" s="14" t="str">
        <f t="shared" ref="AB2107:AC2107" si="4218">trim(Q2107)</f>
        <v>Satisfied with the Delivery</v>
      </c>
      <c r="AC2107" s="14" t="str">
        <f t="shared" si="4218"/>
        <v>Timely and quality</v>
      </c>
      <c r="AD2107" s="8"/>
    </row>
    <row r="2108">
      <c r="A2108" s="14" t="str">
        <f>IFERROR(__xludf.DUMMYFUNCTION("""COMPUTED_VALUE"""),"//ord_82082//Tanishq Bansal//Powai//Popcorn+4*Sandeep Kumar/3/12/2023//Credit Card//Delivered*Customer Service: Seamless and easy")</f>
        <v>//ord_82082//Tanishq Bansal//Powai//Popcorn+4*Sandeep Kumar/3/12/2023//Credit Card//Delivered*Customer Service: Seamless and easy</v>
      </c>
      <c r="B2108" s="14" t="str">
        <f>IFERROR(__xludf.DUMMYFUNCTION("split(A2108,""//"")"),"ord_82082")</f>
        <v>ord_82082</v>
      </c>
      <c r="C2108" s="14" t="str">
        <f>IFERROR(__xludf.DUMMYFUNCTION("""COMPUTED_VALUE"""),"Tanishq Bansal")</f>
        <v>Tanishq Bansal</v>
      </c>
      <c r="D2108" s="14" t="str">
        <f>IFERROR(__xludf.DUMMYFUNCTION("""COMPUTED_VALUE"""),"Powai")</f>
        <v>Powai</v>
      </c>
      <c r="E2108" s="14" t="str">
        <f>IFERROR(__xludf.DUMMYFUNCTION("""COMPUTED_VALUE"""),"Popcorn+4*Sandeep Kumar")</f>
        <v>Popcorn+4*Sandeep Kumar</v>
      </c>
      <c r="F2108" s="14">
        <f>IFERROR(__xludf.DUMMYFUNCTION("""COMPUTED_VALUE"""),3.0)</f>
        <v>3</v>
      </c>
      <c r="G2108" s="14">
        <f>IFERROR(__xludf.DUMMYFUNCTION("""COMPUTED_VALUE"""),12.0)</f>
        <v>12</v>
      </c>
      <c r="H2108" s="14">
        <f>IFERROR(__xludf.DUMMYFUNCTION("""COMPUTED_VALUE"""),2023.0)</f>
        <v>2023</v>
      </c>
      <c r="I2108" s="14" t="str">
        <f>IFERROR(__xludf.DUMMYFUNCTION("""COMPUTED_VALUE"""),"Credit Card")</f>
        <v>Credit Card</v>
      </c>
      <c r="J2108" s="14" t="str">
        <f>IFERROR(__xludf.DUMMYFUNCTION("""COMPUTED_VALUE"""),"Delivered*Customer Service: Seamless and easy")</f>
        <v>Delivered*Customer Service: Seamless and easy</v>
      </c>
      <c r="K2108" s="14" t="str">
        <f>IFERROR(__xludf.DUMMYFUNCTION("split(E2108,""+"")"),"Popcorn")</f>
        <v>Popcorn</v>
      </c>
      <c r="L2108" s="14" t="str">
        <f>IFERROR(__xludf.DUMMYFUNCTION("""COMPUTED_VALUE"""),"4*Sandeep Kumar")</f>
        <v>4*Sandeep Kumar</v>
      </c>
      <c r="M2108" s="14">
        <f>IFERROR(__xludf.DUMMYFUNCTION("SPLIT(L2108,""*"")"),4.0)</f>
        <v>4</v>
      </c>
      <c r="N2108" s="14" t="str">
        <f>IFERROR(__xludf.DUMMYFUNCTION("""COMPUTED_VALUE"""),"Sandeep Kumar")</f>
        <v>Sandeep Kumar</v>
      </c>
      <c r="O2108" s="14" t="str">
        <f>IFERROR(__xludf.DUMMYFUNCTION("split(J2108,""*"")"),"Delivered")</f>
        <v>Delivered</v>
      </c>
      <c r="P2108" s="14" t="str">
        <f>IFERROR(__xludf.DUMMYFUNCTION("""COMPUTED_VALUE"""),"Customer Service: Seamless and easy")</f>
        <v>Customer Service: Seamless and easy</v>
      </c>
      <c r="Q2108" s="14" t="str">
        <f>IFERROR(__xludf.DUMMYFUNCTION("split(P2108,"":"")"),"Customer Service")</f>
        <v>Customer Service</v>
      </c>
      <c r="R2108" s="14" t="str">
        <f>IFERROR(__xludf.DUMMYFUNCTION("""COMPUTED_VALUE""")," Seamless and easy")</f>
        <v> Seamless and easy</v>
      </c>
      <c r="S2108" s="14" t="str">
        <f t="shared" ref="S2108:U2108" si="4219">trim(B2108)</f>
        <v>ord_82082</v>
      </c>
      <c r="T2108" s="14" t="str">
        <f t="shared" si="4219"/>
        <v>Tanishq Bansal</v>
      </c>
      <c r="U2108" s="14" t="str">
        <f t="shared" si="4219"/>
        <v>Powai</v>
      </c>
      <c r="V2108" s="14" t="str">
        <f t="shared" si="4"/>
        <v>Popcorn</v>
      </c>
      <c r="W2108" s="14">
        <f t="shared" si="5"/>
        <v>4</v>
      </c>
      <c r="X2108" s="14" t="str">
        <f t="shared" si="6"/>
        <v>Sandeep Kumar</v>
      </c>
      <c r="Y2108" s="15">
        <f t="shared" si="7"/>
        <v>44997</v>
      </c>
      <c r="Z2108" s="14" t="str">
        <f t="shared" si="8"/>
        <v>Credit Card</v>
      </c>
      <c r="AA2108" s="14" t="str">
        <f t="shared" si="9"/>
        <v>Delivered</v>
      </c>
      <c r="AB2108" s="14" t="str">
        <f t="shared" ref="AB2108:AC2108" si="4220">trim(Q2108)</f>
        <v>Customer Service</v>
      </c>
      <c r="AC2108" s="14" t="str">
        <f t="shared" si="4220"/>
        <v>Seamless and easy</v>
      </c>
      <c r="AD2108" s="8"/>
    </row>
    <row r="2109">
      <c r="A2109" s="14" t="str">
        <f>IFERROR(__xludf.DUMMYFUNCTION("""COMPUTED_VALUE"""),"//ord_82083//Mehul Thakkar//Malad//Papaya+2*Not Assigned/11/29/2023//Credit Card//Cancelled*High Delivery Fees")</f>
        <v>//ord_82083//Mehul Thakkar//Malad//Papaya+2*Not Assigned/11/29/2023//Credit Card//Cancelled*High Delivery Fees</v>
      </c>
      <c r="B2109" s="14" t="str">
        <f>IFERROR(__xludf.DUMMYFUNCTION("split(A2109,""//"")"),"ord_82083")</f>
        <v>ord_82083</v>
      </c>
      <c r="C2109" s="14" t="str">
        <f>IFERROR(__xludf.DUMMYFUNCTION("""COMPUTED_VALUE"""),"Mehul Thakkar")</f>
        <v>Mehul Thakkar</v>
      </c>
      <c r="D2109" s="14" t="str">
        <f>IFERROR(__xludf.DUMMYFUNCTION("""COMPUTED_VALUE"""),"Malad")</f>
        <v>Malad</v>
      </c>
      <c r="E2109" s="14" t="str">
        <f>IFERROR(__xludf.DUMMYFUNCTION("""COMPUTED_VALUE"""),"Papaya+2*Not Assigned")</f>
        <v>Papaya+2*Not Assigned</v>
      </c>
      <c r="F2109" s="14">
        <f>IFERROR(__xludf.DUMMYFUNCTION("""COMPUTED_VALUE"""),11.0)</f>
        <v>11</v>
      </c>
      <c r="G2109" s="14">
        <f>IFERROR(__xludf.DUMMYFUNCTION("""COMPUTED_VALUE"""),29.0)</f>
        <v>29</v>
      </c>
      <c r="H2109" s="14">
        <f>IFERROR(__xludf.DUMMYFUNCTION("""COMPUTED_VALUE"""),2023.0)</f>
        <v>2023</v>
      </c>
      <c r="I2109" s="14" t="str">
        <f>IFERROR(__xludf.DUMMYFUNCTION("""COMPUTED_VALUE"""),"Credit Card")</f>
        <v>Credit Card</v>
      </c>
      <c r="J2109" s="14" t="str">
        <f>IFERROR(__xludf.DUMMYFUNCTION("""COMPUTED_VALUE"""),"Cancelled*High Delivery Fees")</f>
        <v>Cancelled*High Delivery Fees</v>
      </c>
      <c r="K2109" s="14" t="str">
        <f>IFERROR(__xludf.DUMMYFUNCTION("split(E2109,""+"")"),"Papaya")</f>
        <v>Papaya</v>
      </c>
      <c r="L2109" s="14" t="str">
        <f>IFERROR(__xludf.DUMMYFUNCTION("""COMPUTED_VALUE"""),"2*Not Assigned")</f>
        <v>2*Not Assigned</v>
      </c>
      <c r="M2109" s="14">
        <f>IFERROR(__xludf.DUMMYFUNCTION("SPLIT(L2109,""*"")"),2.0)</f>
        <v>2</v>
      </c>
      <c r="N2109" s="14" t="str">
        <f>IFERROR(__xludf.DUMMYFUNCTION("""COMPUTED_VALUE"""),"Not Assigned")</f>
        <v>Not Assigned</v>
      </c>
      <c r="O2109" s="14" t="str">
        <f>IFERROR(__xludf.DUMMYFUNCTION("split(J2109,""*"")"),"Cancelled")</f>
        <v>Cancelled</v>
      </c>
      <c r="P2109" s="14" t="str">
        <f>IFERROR(__xludf.DUMMYFUNCTION("""COMPUTED_VALUE"""),"High Delivery Fees")</f>
        <v>High Delivery Fees</v>
      </c>
      <c r="Q2109" s="14" t="str">
        <f>IFERROR(__xludf.DUMMYFUNCTION("split(P2109,"":"")"),"High Delivery Fees")</f>
        <v>High Delivery Fees</v>
      </c>
      <c r="R2109" s="14"/>
      <c r="S2109" s="14" t="str">
        <f t="shared" ref="S2109:U2109" si="4221">trim(B2109)</f>
        <v>ord_82083</v>
      </c>
      <c r="T2109" s="14" t="str">
        <f t="shared" si="4221"/>
        <v>Mehul Thakkar</v>
      </c>
      <c r="U2109" s="14" t="str">
        <f t="shared" si="4221"/>
        <v>Malad</v>
      </c>
      <c r="V2109" s="14" t="str">
        <f t="shared" si="4"/>
        <v>Papaya</v>
      </c>
      <c r="W2109" s="14">
        <f t="shared" si="5"/>
        <v>2</v>
      </c>
      <c r="X2109" s="14" t="str">
        <f t="shared" si="6"/>
        <v>Not Assigned</v>
      </c>
      <c r="Y2109" s="15">
        <f t="shared" si="7"/>
        <v>45259</v>
      </c>
      <c r="Z2109" s="14" t="str">
        <f t="shared" si="8"/>
        <v>Credit Card</v>
      </c>
      <c r="AA2109" s="14" t="str">
        <f t="shared" si="9"/>
        <v>Cancelled</v>
      </c>
      <c r="AB2109" s="14" t="str">
        <f t="shared" ref="AB2109:AC2109" si="4222">trim(Q2109)</f>
        <v>High Delivery Fees</v>
      </c>
      <c r="AC2109" s="14" t="str">
        <f t="shared" si="4222"/>
        <v/>
      </c>
      <c r="AD2109" s="8"/>
    </row>
    <row r="2110">
      <c r="A2110" s="14" t="str">
        <f>IFERROR(__xludf.DUMMYFUNCTION("""COMPUTED_VALUE"""),"//ord_82084//Sanjay Nair//Dadar//Papaya+2*Aman Kumar/6/28/2023//Credit Card//Delivered*Delivery Experience: Quick and professional")</f>
        <v>//ord_82084//Sanjay Nair//Dadar//Papaya+2*Aman Kumar/6/28/2023//Credit Card//Delivered*Delivery Experience: Quick and professional</v>
      </c>
      <c r="B2110" s="14" t="str">
        <f>IFERROR(__xludf.DUMMYFUNCTION("split(A2110,""//"")"),"ord_82084")</f>
        <v>ord_82084</v>
      </c>
      <c r="C2110" s="14" t="str">
        <f>IFERROR(__xludf.DUMMYFUNCTION("""COMPUTED_VALUE"""),"Sanjay Nair")</f>
        <v>Sanjay Nair</v>
      </c>
      <c r="D2110" s="14" t="str">
        <f>IFERROR(__xludf.DUMMYFUNCTION("""COMPUTED_VALUE"""),"Dadar")</f>
        <v>Dadar</v>
      </c>
      <c r="E2110" s="14" t="str">
        <f>IFERROR(__xludf.DUMMYFUNCTION("""COMPUTED_VALUE"""),"Papaya+2*Aman Kumar")</f>
        <v>Papaya+2*Aman Kumar</v>
      </c>
      <c r="F2110" s="14">
        <f>IFERROR(__xludf.DUMMYFUNCTION("""COMPUTED_VALUE"""),6.0)</f>
        <v>6</v>
      </c>
      <c r="G2110" s="14">
        <f>IFERROR(__xludf.DUMMYFUNCTION("""COMPUTED_VALUE"""),28.0)</f>
        <v>28</v>
      </c>
      <c r="H2110" s="14">
        <f>IFERROR(__xludf.DUMMYFUNCTION("""COMPUTED_VALUE"""),2023.0)</f>
        <v>2023</v>
      </c>
      <c r="I2110" s="14" t="str">
        <f>IFERROR(__xludf.DUMMYFUNCTION("""COMPUTED_VALUE"""),"Credit Card")</f>
        <v>Credit Card</v>
      </c>
      <c r="J2110" s="14" t="str">
        <f>IFERROR(__xludf.DUMMYFUNCTION("""COMPUTED_VALUE"""),"Delivered*Delivery Experience: Quick and professional")</f>
        <v>Delivered*Delivery Experience: Quick and professional</v>
      </c>
      <c r="K2110" s="14" t="str">
        <f>IFERROR(__xludf.DUMMYFUNCTION("split(E2110,""+"")"),"Papaya")</f>
        <v>Papaya</v>
      </c>
      <c r="L2110" s="14" t="str">
        <f>IFERROR(__xludf.DUMMYFUNCTION("""COMPUTED_VALUE"""),"2*Aman Kumar")</f>
        <v>2*Aman Kumar</v>
      </c>
      <c r="M2110" s="14">
        <f>IFERROR(__xludf.DUMMYFUNCTION("SPLIT(L2110,""*"")"),2.0)</f>
        <v>2</v>
      </c>
      <c r="N2110" s="14" t="str">
        <f>IFERROR(__xludf.DUMMYFUNCTION("""COMPUTED_VALUE"""),"Aman Kumar")</f>
        <v>Aman Kumar</v>
      </c>
      <c r="O2110" s="14" t="str">
        <f>IFERROR(__xludf.DUMMYFUNCTION("split(J2110,""*"")"),"Delivered")</f>
        <v>Delivered</v>
      </c>
      <c r="P2110" s="14" t="str">
        <f>IFERROR(__xludf.DUMMYFUNCTION("""COMPUTED_VALUE"""),"Delivery Experience: Quick and professional")</f>
        <v>Delivery Experience: Quick and professional</v>
      </c>
      <c r="Q2110" s="14" t="str">
        <f>IFERROR(__xludf.DUMMYFUNCTION("split(P2110,"":"")"),"Delivery Experience")</f>
        <v>Delivery Experience</v>
      </c>
      <c r="R2110" s="14" t="str">
        <f>IFERROR(__xludf.DUMMYFUNCTION("""COMPUTED_VALUE""")," Quick and professional")</f>
        <v> Quick and professional</v>
      </c>
      <c r="S2110" s="14" t="str">
        <f t="shared" ref="S2110:U2110" si="4223">trim(B2110)</f>
        <v>ord_82084</v>
      </c>
      <c r="T2110" s="14" t="str">
        <f t="shared" si="4223"/>
        <v>Sanjay Nair</v>
      </c>
      <c r="U2110" s="14" t="str">
        <f t="shared" si="4223"/>
        <v>Dadar</v>
      </c>
      <c r="V2110" s="14" t="str">
        <f t="shared" si="4"/>
        <v>Papaya</v>
      </c>
      <c r="W2110" s="14">
        <f t="shared" si="5"/>
        <v>2</v>
      </c>
      <c r="X2110" s="14" t="str">
        <f t="shared" si="6"/>
        <v>Aman Kumar</v>
      </c>
      <c r="Y2110" s="15">
        <f t="shared" si="7"/>
        <v>45105</v>
      </c>
      <c r="Z2110" s="14" t="str">
        <f t="shared" si="8"/>
        <v>Credit Card</v>
      </c>
      <c r="AA2110" s="14" t="str">
        <f t="shared" si="9"/>
        <v>Delivered</v>
      </c>
      <c r="AB2110" s="14" t="str">
        <f t="shared" ref="AB2110:AC2110" si="4224">trim(Q2110)</f>
        <v>Delivery Experience</v>
      </c>
      <c r="AC2110" s="14" t="str">
        <f t="shared" si="4224"/>
        <v>Quick and professional</v>
      </c>
      <c r="AD2110" s="8"/>
    </row>
    <row r="2111">
      <c r="A2111" s="14" t="str">
        <f>IFERROR(__xludf.DUMMYFUNCTION("""COMPUTED_VALUE"""),"//ord_82085//Aditi Iyer//Dadar//Veg Puff+3*Aman Kumar/11/4/2023//COD//Delivered*Convenience: Easy tracking")</f>
        <v>//ord_82085//Aditi Iyer//Dadar//Veg Puff+3*Aman Kumar/11/4/2023//COD//Delivered*Convenience: Easy tracking</v>
      </c>
      <c r="B2111" s="14" t="str">
        <f>IFERROR(__xludf.DUMMYFUNCTION("split(A2111,""//"")"),"ord_82085")</f>
        <v>ord_82085</v>
      </c>
      <c r="C2111" s="14" t="str">
        <f>IFERROR(__xludf.DUMMYFUNCTION("""COMPUTED_VALUE"""),"Aditi Iyer")</f>
        <v>Aditi Iyer</v>
      </c>
      <c r="D2111" s="14" t="str">
        <f>IFERROR(__xludf.DUMMYFUNCTION("""COMPUTED_VALUE"""),"Dadar")</f>
        <v>Dadar</v>
      </c>
      <c r="E2111" s="14" t="str">
        <f>IFERROR(__xludf.DUMMYFUNCTION("""COMPUTED_VALUE"""),"Veg Puff+3*Aman Kumar")</f>
        <v>Veg Puff+3*Aman Kumar</v>
      </c>
      <c r="F2111" s="14">
        <f>IFERROR(__xludf.DUMMYFUNCTION("""COMPUTED_VALUE"""),11.0)</f>
        <v>11</v>
      </c>
      <c r="G2111" s="14">
        <f>IFERROR(__xludf.DUMMYFUNCTION("""COMPUTED_VALUE"""),4.0)</f>
        <v>4</v>
      </c>
      <c r="H2111" s="14">
        <f>IFERROR(__xludf.DUMMYFUNCTION("""COMPUTED_VALUE"""),2023.0)</f>
        <v>2023</v>
      </c>
      <c r="I2111" s="14" t="str">
        <f>IFERROR(__xludf.DUMMYFUNCTION("""COMPUTED_VALUE"""),"COD")</f>
        <v>COD</v>
      </c>
      <c r="J2111" s="14" t="str">
        <f>IFERROR(__xludf.DUMMYFUNCTION("""COMPUTED_VALUE"""),"Delivered*Convenience: Easy tracking")</f>
        <v>Delivered*Convenience: Easy tracking</v>
      </c>
      <c r="K2111" s="14" t="str">
        <f>IFERROR(__xludf.DUMMYFUNCTION("split(E2111,""+"")"),"Veg Puff")</f>
        <v>Veg Puff</v>
      </c>
      <c r="L2111" s="14" t="str">
        <f>IFERROR(__xludf.DUMMYFUNCTION("""COMPUTED_VALUE"""),"3*Aman Kumar")</f>
        <v>3*Aman Kumar</v>
      </c>
      <c r="M2111" s="14">
        <f>IFERROR(__xludf.DUMMYFUNCTION("SPLIT(L2111,""*"")"),3.0)</f>
        <v>3</v>
      </c>
      <c r="N2111" s="14" t="str">
        <f>IFERROR(__xludf.DUMMYFUNCTION("""COMPUTED_VALUE"""),"Aman Kumar")</f>
        <v>Aman Kumar</v>
      </c>
      <c r="O2111" s="14" t="str">
        <f>IFERROR(__xludf.DUMMYFUNCTION("split(J2111,""*"")"),"Delivered")</f>
        <v>Delivered</v>
      </c>
      <c r="P2111" s="14" t="str">
        <f>IFERROR(__xludf.DUMMYFUNCTION("""COMPUTED_VALUE"""),"Convenience: Easy tracking")</f>
        <v>Convenience: Easy tracking</v>
      </c>
      <c r="Q2111" s="14" t="str">
        <f>IFERROR(__xludf.DUMMYFUNCTION("split(P2111,"":"")"),"Convenience")</f>
        <v>Convenience</v>
      </c>
      <c r="R2111" s="14" t="str">
        <f>IFERROR(__xludf.DUMMYFUNCTION("""COMPUTED_VALUE""")," Easy tracking")</f>
        <v> Easy tracking</v>
      </c>
      <c r="S2111" s="14" t="str">
        <f t="shared" ref="S2111:U2111" si="4225">trim(B2111)</f>
        <v>ord_82085</v>
      </c>
      <c r="T2111" s="14" t="str">
        <f t="shared" si="4225"/>
        <v>Aditi Iyer</v>
      </c>
      <c r="U2111" s="14" t="str">
        <f t="shared" si="4225"/>
        <v>Dadar</v>
      </c>
      <c r="V2111" s="14" t="str">
        <f t="shared" si="4"/>
        <v>Veg Puff</v>
      </c>
      <c r="W2111" s="14">
        <f t="shared" si="5"/>
        <v>3</v>
      </c>
      <c r="X2111" s="14" t="str">
        <f t="shared" si="6"/>
        <v>Aman Kumar</v>
      </c>
      <c r="Y2111" s="15">
        <f t="shared" si="7"/>
        <v>45234</v>
      </c>
      <c r="Z2111" s="14" t="str">
        <f t="shared" si="8"/>
        <v>COD</v>
      </c>
      <c r="AA2111" s="14" t="str">
        <f t="shared" si="9"/>
        <v>Delivered</v>
      </c>
      <c r="AB2111" s="14" t="str">
        <f t="shared" ref="AB2111:AC2111" si="4226">trim(Q2111)</f>
        <v>Convenience</v>
      </c>
      <c r="AC2111" s="14" t="str">
        <f t="shared" si="4226"/>
        <v>Easy tracking</v>
      </c>
      <c r="AD2111" s="8"/>
    </row>
    <row r="2112">
      <c r="A2112" s="14" t="str">
        <f>IFERROR(__xludf.DUMMYFUNCTION("""COMPUTED_VALUE"""),"//ord_82086//Pallavi Ghosh//Bandra//Juice+5*Priya Joshi/8/13/2023//Online Payment//Delivered*Overall Satisfaction: Great service will order again")</f>
        <v>//ord_82086//Pallavi Ghosh//Bandra//Juice+5*Priya Joshi/8/13/2023//Online Payment//Delivered*Overall Satisfaction: Great service will order again</v>
      </c>
      <c r="B2112" s="14" t="str">
        <f>IFERROR(__xludf.DUMMYFUNCTION("split(A2112,""//"")"),"ord_82086")</f>
        <v>ord_82086</v>
      </c>
      <c r="C2112" s="14" t="str">
        <f>IFERROR(__xludf.DUMMYFUNCTION("""COMPUTED_VALUE"""),"Pallavi Ghosh")</f>
        <v>Pallavi Ghosh</v>
      </c>
      <c r="D2112" s="14" t="str">
        <f>IFERROR(__xludf.DUMMYFUNCTION("""COMPUTED_VALUE"""),"Bandra")</f>
        <v>Bandra</v>
      </c>
      <c r="E2112" s="14" t="str">
        <f>IFERROR(__xludf.DUMMYFUNCTION("""COMPUTED_VALUE"""),"Juice+5*Priya Joshi")</f>
        <v>Juice+5*Priya Joshi</v>
      </c>
      <c r="F2112" s="14">
        <f>IFERROR(__xludf.DUMMYFUNCTION("""COMPUTED_VALUE"""),8.0)</f>
        <v>8</v>
      </c>
      <c r="G2112" s="14">
        <f>IFERROR(__xludf.DUMMYFUNCTION("""COMPUTED_VALUE"""),13.0)</f>
        <v>13</v>
      </c>
      <c r="H2112" s="14">
        <f>IFERROR(__xludf.DUMMYFUNCTION("""COMPUTED_VALUE"""),2023.0)</f>
        <v>2023</v>
      </c>
      <c r="I2112" s="14" t="str">
        <f>IFERROR(__xludf.DUMMYFUNCTION("""COMPUTED_VALUE"""),"Online Payment")</f>
        <v>Online Payment</v>
      </c>
      <c r="J2112" s="14" t="str">
        <f>IFERROR(__xludf.DUMMYFUNCTION("""COMPUTED_VALUE"""),"Delivered*Overall Satisfaction: Great service will order again")</f>
        <v>Delivered*Overall Satisfaction: Great service will order again</v>
      </c>
      <c r="K2112" s="14" t="str">
        <f>IFERROR(__xludf.DUMMYFUNCTION("split(E2112,""+"")"),"Juice")</f>
        <v>Juice</v>
      </c>
      <c r="L2112" s="14" t="str">
        <f>IFERROR(__xludf.DUMMYFUNCTION("""COMPUTED_VALUE"""),"5*Priya Joshi")</f>
        <v>5*Priya Joshi</v>
      </c>
      <c r="M2112" s="14">
        <f>IFERROR(__xludf.DUMMYFUNCTION("SPLIT(L2112,""*"")"),5.0)</f>
        <v>5</v>
      </c>
      <c r="N2112" s="14" t="str">
        <f>IFERROR(__xludf.DUMMYFUNCTION("""COMPUTED_VALUE"""),"Priya Joshi")</f>
        <v>Priya Joshi</v>
      </c>
      <c r="O2112" s="14" t="str">
        <f>IFERROR(__xludf.DUMMYFUNCTION("split(J2112,""*"")"),"Delivered")</f>
        <v>Delivered</v>
      </c>
      <c r="P2112" s="14" t="str">
        <f>IFERROR(__xludf.DUMMYFUNCTION("""COMPUTED_VALUE"""),"Overall Satisfaction: Great service will order again")</f>
        <v>Overall Satisfaction: Great service will order again</v>
      </c>
      <c r="Q2112" s="14" t="str">
        <f>IFERROR(__xludf.DUMMYFUNCTION("split(P2112,"":"")"),"Overall Satisfaction")</f>
        <v>Overall Satisfaction</v>
      </c>
      <c r="R2112" s="14" t="str">
        <f>IFERROR(__xludf.DUMMYFUNCTION("""COMPUTED_VALUE""")," Great service will order again")</f>
        <v> Great service will order again</v>
      </c>
      <c r="S2112" s="14" t="str">
        <f t="shared" ref="S2112:U2112" si="4227">trim(B2112)</f>
        <v>ord_82086</v>
      </c>
      <c r="T2112" s="14" t="str">
        <f t="shared" si="4227"/>
        <v>Pallavi Ghosh</v>
      </c>
      <c r="U2112" s="14" t="str">
        <f t="shared" si="4227"/>
        <v>Bandra</v>
      </c>
      <c r="V2112" s="14" t="str">
        <f t="shared" si="4"/>
        <v>Juice</v>
      </c>
      <c r="W2112" s="14">
        <f t="shared" si="5"/>
        <v>5</v>
      </c>
      <c r="X2112" s="14" t="str">
        <f t="shared" si="6"/>
        <v>Priya Joshi</v>
      </c>
      <c r="Y2112" s="15">
        <f t="shared" si="7"/>
        <v>45151</v>
      </c>
      <c r="Z2112" s="14" t="str">
        <f t="shared" si="8"/>
        <v>Online Payment</v>
      </c>
      <c r="AA2112" s="14" t="str">
        <f t="shared" si="9"/>
        <v>Delivered</v>
      </c>
      <c r="AB2112" s="14" t="str">
        <f t="shared" ref="AB2112:AC2112" si="4228">trim(Q2112)</f>
        <v>Overall Satisfaction</v>
      </c>
      <c r="AC2112" s="14" t="str">
        <f t="shared" si="4228"/>
        <v>Great service will order again</v>
      </c>
      <c r="AD2112" s="8"/>
    </row>
    <row r="2113">
      <c r="A2113" s="14" t="str">
        <f>IFERROR(__xludf.DUMMYFUNCTION("""COMPUTED_VALUE"""),"//ord_82087//Siya Reddy//Juhu//Rasmalai+3*Tanvi Jain/4/13/2023//Online Payment//Delivered*On-time Delivery: Delivered on time")</f>
        <v>//ord_82087//Siya Reddy//Juhu//Rasmalai+3*Tanvi Jain/4/13/2023//Online Payment//Delivered*On-time Delivery: Delivered on time</v>
      </c>
      <c r="B2113" s="14" t="str">
        <f>IFERROR(__xludf.DUMMYFUNCTION("split(A2113,""//"")"),"ord_82087")</f>
        <v>ord_82087</v>
      </c>
      <c r="C2113" s="14" t="str">
        <f>IFERROR(__xludf.DUMMYFUNCTION("""COMPUTED_VALUE"""),"Siya Reddy")</f>
        <v>Siya Reddy</v>
      </c>
      <c r="D2113" s="14" t="str">
        <f>IFERROR(__xludf.DUMMYFUNCTION("""COMPUTED_VALUE"""),"Juhu")</f>
        <v>Juhu</v>
      </c>
      <c r="E2113" s="14" t="str">
        <f>IFERROR(__xludf.DUMMYFUNCTION("""COMPUTED_VALUE"""),"Rasmalai+3*Tanvi Jain")</f>
        <v>Rasmalai+3*Tanvi Jain</v>
      </c>
      <c r="F2113" s="14">
        <f>IFERROR(__xludf.DUMMYFUNCTION("""COMPUTED_VALUE"""),4.0)</f>
        <v>4</v>
      </c>
      <c r="G2113" s="14">
        <f>IFERROR(__xludf.DUMMYFUNCTION("""COMPUTED_VALUE"""),13.0)</f>
        <v>13</v>
      </c>
      <c r="H2113" s="14">
        <f>IFERROR(__xludf.DUMMYFUNCTION("""COMPUTED_VALUE"""),2023.0)</f>
        <v>2023</v>
      </c>
      <c r="I2113" s="14" t="str">
        <f>IFERROR(__xludf.DUMMYFUNCTION("""COMPUTED_VALUE"""),"Online Payment")</f>
        <v>Online Payment</v>
      </c>
      <c r="J2113" s="14" t="str">
        <f>IFERROR(__xludf.DUMMYFUNCTION("""COMPUTED_VALUE"""),"Delivered*On-time Delivery: Delivered on time")</f>
        <v>Delivered*On-time Delivery: Delivered on time</v>
      </c>
      <c r="K2113" s="14" t="str">
        <f>IFERROR(__xludf.DUMMYFUNCTION("split(E2113,""+"")"),"Rasmalai")</f>
        <v>Rasmalai</v>
      </c>
      <c r="L2113" s="14" t="str">
        <f>IFERROR(__xludf.DUMMYFUNCTION("""COMPUTED_VALUE"""),"3*Tanvi Jain")</f>
        <v>3*Tanvi Jain</v>
      </c>
      <c r="M2113" s="14">
        <f>IFERROR(__xludf.DUMMYFUNCTION("SPLIT(L2113,""*"")"),3.0)</f>
        <v>3</v>
      </c>
      <c r="N2113" s="14" t="str">
        <f>IFERROR(__xludf.DUMMYFUNCTION("""COMPUTED_VALUE"""),"Tanvi Jain")</f>
        <v>Tanvi Jain</v>
      </c>
      <c r="O2113" s="14" t="str">
        <f>IFERROR(__xludf.DUMMYFUNCTION("split(J2113,""*"")"),"Delivered")</f>
        <v>Delivered</v>
      </c>
      <c r="P2113" s="14" t="str">
        <f>IFERROR(__xludf.DUMMYFUNCTION("""COMPUTED_VALUE"""),"On-time Delivery: Delivered on time")</f>
        <v>On-time Delivery: Delivered on time</v>
      </c>
      <c r="Q2113" s="14" t="str">
        <f>IFERROR(__xludf.DUMMYFUNCTION("split(P2113,"":"")"),"On-time Delivery")</f>
        <v>On-time Delivery</v>
      </c>
      <c r="R2113" s="14" t="str">
        <f>IFERROR(__xludf.DUMMYFUNCTION("""COMPUTED_VALUE""")," Delivered on time")</f>
        <v> Delivered on time</v>
      </c>
      <c r="S2113" s="14" t="str">
        <f t="shared" ref="S2113:U2113" si="4229">trim(B2113)</f>
        <v>ord_82087</v>
      </c>
      <c r="T2113" s="14" t="str">
        <f t="shared" si="4229"/>
        <v>Siya Reddy</v>
      </c>
      <c r="U2113" s="14" t="str">
        <f t="shared" si="4229"/>
        <v>Juhu</v>
      </c>
      <c r="V2113" s="14" t="str">
        <f t="shared" si="4"/>
        <v>Rasmalai</v>
      </c>
      <c r="W2113" s="14">
        <f t="shared" si="5"/>
        <v>3</v>
      </c>
      <c r="X2113" s="14" t="str">
        <f t="shared" si="6"/>
        <v>Tanvi Jain</v>
      </c>
      <c r="Y2113" s="15">
        <f t="shared" si="7"/>
        <v>45029</v>
      </c>
      <c r="Z2113" s="14" t="str">
        <f t="shared" si="8"/>
        <v>Online Payment</v>
      </c>
      <c r="AA2113" s="14" t="str">
        <f t="shared" si="9"/>
        <v>Delivered</v>
      </c>
      <c r="AB2113" s="14" t="str">
        <f t="shared" ref="AB2113:AC2113" si="4230">trim(Q2113)</f>
        <v>On-time Delivery</v>
      </c>
      <c r="AC2113" s="14" t="str">
        <f t="shared" si="4230"/>
        <v>Delivered on time</v>
      </c>
      <c r="AD2113" s="8"/>
    </row>
    <row r="2114">
      <c r="A2114" s="14" t="str">
        <f>IFERROR(__xludf.DUMMYFUNCTION("""COMPUTED_VALUE"""),"//ord_82088//Sanjay Nair//Dadar//Orange+2*Aman Kumar/1/27/2023//COD//Delivered*Quality of Items: Perfect condition")</f>
        <v>//ord_82088//Sanjay Nair//Dadar//Orange+2*Aman Kumar/1/27/2023//COD//Delivered*Quality of Items: Perfect condition</v>
      </c>
      <c r="B2114" s="14" t="str">
        <f>IFERROR(__xludf.DUMMYFUNCTION("split(A2114,""//"")"),"ord_82088")</f>
        <v>ord_82088</v>
      </c>
      <c r="C2114" s="14" t="str">
        <f>IFERROR(__xludf.DUMMYFUNCTION("""COMPUTED_VALUE"""),"Sanjay Nair")</f>
        <v>Sanjay Nair</v>
      </c>
      <c r="D2114" s="14" t="str">
        <f>IFERROR(__xludf.DUMMYFUNCTION("""COMPUTED_VALUE"""),"Dadar")</f>
        <v>Dadar</v>
      </c>
      <c r="E2114" s="14" t="str">
        <f>IFERROR(__xludf.DUMMYFUNCTION("""COMPUTED_VALUE"""),"Orange+2*Aman Kumar")</f>
        <v>Orange+2*Aman Kumar</v>
      </c>
      <c r="F2114" s="14">
        <f>IFERROR(__xludf.DUMMYFUNCTION("""COMPUTED_VALUE"""),1.0)</f>
        <v>1</v>
      </c>
      <c r="G2114" s="14">
        <f>IFERROR(__xludf.DUMMYFUNCTION("""COMPUTED_VALUE"""),27.0)</f>
        <v>27</v>
      </c>
      <c r="H2114" s="14">
        <f>IFERROR(__xludf.DUMMYFUNCTION("""COMPUTED_VALUE"""),2023.0)</f>
        <v>2023</v>
      </c>
      <c r="I2114" s="14" t="str">
        <f>IFERROR(__xludf.DUMMYFUNCTION("""COMPUTED_VALUE"""),"COD")</f>
        <v>COD</v>
      </c>
      <c r="J2114" s="14" t="str">
        <f>IFERROR(__xludf.DUMMYFUNCTION("""COMPUTED_VALUE"""),"Delivered*Quality of Items: Perfect condition")</f>
        <v>Delivered*Quality of Items: Perfect condition</v>
      </c>
      <c r="K2114" s="14" t="str">
        <f>IFERROR(__xludf.DUMMYFUNCTION("split(E2114,""+"")"),"Orange")</f>
        <v>Orange</v>
      </c>
      <c r="L2114" s="14" t="str">
        <f>IFERROR(__xludf.DUMMYFUNCTION("""COMPUTED_VALUE"""),"2*Aman Kumar")</f>
        <v>2*Aman Kumar</v>
      </c>
      <c r="M2114" s="14">
        <f>IFERROR(__xludf.DUMMYFUNCTION("SPLIT(L2114,""*"")"),2.0)</f>
        <v>2</v>
      </c>
      <c r="N2114" s="14" t="str">
        <f>IFERROR(__xludf.DUMMYFUNCTION("""COMPUTED_VALUE"""),"Aman Kumar")</f>
        <v>Aman Kumar</v>
      </c>
      <c r="O2114" s="14" t="str">
        <f>IFERROR(__xludf.DUMMYFUNCTION("split(J2114,""*"")"),"Delivered")</f>
        <v>Delivered</v>
      </c>
      <c r="P2114" s="14" t="str">
        <f>IFERROR(__xludf.DUMMYFUNCTION("""COMPUTED_VALUE"""),"Quality of Items: Perfect condition")</f>
        <v>Quality of Items: Perfect condition</v>
      </c>
      <c r="Q2114" s="14" t="str">
        <f>IFERROR(__xludf.DUMMYFUNCTION("split(P2114,"":"")"),"Quality of Items")</f>
        <v>Quality of Items</v>
      </c>
      <c r="R2114" s="14" t="str">
        <f>IFERROR(__xludf.DUMMYFUNCTION("""COMPUTED_VALUE""")," Perfect condition")</f>
        <v> Perfect condition</v>
      </c>
      <c r="S2114" s="14" t="str">
        <f t="shared" ref="S2114:U2114" si="4231">trim(B2114)</f>
        <v>ord_82088</v>
      </c>
      <c r="T2114" s="14" t="str">
        <f t="shared" si="4231"/>
        <v>Sanjay Nair</v>
      </c>
      <c r="U2114" s="14" t="str">
        <f t="shared" si="4231"/>
        <v>Dadar</v>
      </c>
      <c r="V2114" s="14" t="str">
        <f t="shared" si="4"/>
        <v>Orange</v>
      </c>
      <c r="W2114" s="14">
        <f t="shared" si="5"/>
        <v>2</v>
      </c>
      <c r="X2114" s="14" t="str">
        <f t="shared" si="6"/>
        <v>Aman Kumar</v>
      </c>
      <c r="Y2114" s="15">
        <f t="shared" si="7"/>
        <v>44953</v>
      </c>
      <c r="Z2114" s="14" t="str">
        <f t="shared" si="8"/>
        <v>COD</v>
      </c>
      <c r="AA2114" s="14" t="str">
        <f t="shared" si="9"/>
        <v>Delivered</v>
      </c>
      <c r="AB2114" s="14" t="str">
        <f t="shared" ref="AB2114:AC2114" si="4232">trim(Q2114)</f>
        <v>Quality of Items</v>
      </c>
      <c r="AC2114" s="14" t="str">
        <f t="shared" si="4232"/>
        <v>Perfect condition</v>
      </c>
      <c r="AD2114" s="8"/>
    </row>
    <row r="2115">
      <c r="A2115" s="14" t="str">
        <f>IFERROR(__xludf.DUMMYFUNCTION("""COMPUTED_VALUE"""),"//ord_82089//Arvind Kulkarni//Juhu//Sweet Corn+1*Tanvi Jain/3/30/2023//Credit Card//Delivered*On-time Delivery: Delivered on time")</f>
        <v>//ord_82089//Arvind Kulkarni//Juhu//Sweet Corn+1*Tanvi Jain/3/30/2023//Credit Card//Delivered*On-time Delivery: Delivered on time</v>
      </c>
      <c r="B2115" s="14" t="str">
        <f>IFERROR(__xludf.DUMMYFUNCTION("split(A2115,""//"")"),"ord_82089")</f>
        <v>ord_82089</v>
      </c>
      <c r="C2115" s="14" t="str">
        <f>IFERROR(__xludf.DUMMYFUNCTION("""COMPUTED_VALUE"""),"Arvind Kulkarni")</f>
        <v>Arvind Kulkarni</v>
      </c>
      <c r="D2115" s="14" t="str">
        <f>IFERROR(__xludf.DUMMYFUNCTION("""COMPUTED_VALUE"""),"Juhu")</f>
        <v>Juhu</v>
      </c>
      <c r="E2115" s="14" t="str">
        <f>IFERROR(__xludf.DUMMYFUNCTION("""COMPUTED_VALUE"""),"Sweet Corn+1*Tanvi Jain")</f>
        <v>Sweet Corn+1*Tanvi Jain</v>
      </c>
      <c r="F2115" s="14">
        <f>IFERROR(__xludf.DUMMYFUNCTION("""COMPUTED_VALUE"""),3.0)</f>
        <v>3</v>
      </c>
      <c r="G2115" s="14">
        <f>IFERROR(__xludf.DUMMYFUNCTION("""COMPUTED_VALUE"""),30.0)</f>
        <v>30</v>
      </c>
      <c r="H2115" s="14">
        <f>IFERROR(__xludf.DUMMYFUNCTION("""COMPUTED_VALUE"""),2023.0)</f>
        <v>2023</v>
      </c>
      <c r="I2115" s="14" t="str">
        <f>IFERROR(__xludf.DUMMYFUNCTION("""COMPUTED_VALUE"""),"Credit Card")</f>
        <v>Credit Card</v>
      </c>
      <c r="J2115" s="14" t="str">
        <f>IFERROR(__xludf.DUMMYFUNCTION("""COMPUTED_VALUE"""),"Delivered*On-time Delivery: Delivered on time")</f>
        <v>Delivered*On-time Delivery: Delivered on time</v>
      </c>
      <c r="K2115" s="14" t="str">
        <f>IFERROR(__xludf.DUMMYFUNCTION("split(E2115,""+"")"),"Sweet Corn")</f>
        <v>Sweet Corn</v>
      </c>
      <c r="L2115" s="14" t="str">
        <f>IFERROR(__xludf.DUMMYFUNCTION("""COMPUTED_VALUE"""),"1*Tanvi Jain")</f>
        <v>1*Tanvi Jain</v>
      </c>
      <c r="M2115" s="14">
        <f>IFERROR(__xludf.DUMMYFUNCTION("SPLIT(L2115,""*"")"),1.0)</f>
        <v>1</v>
      </c>
      <c r="N2115" s="14" t="str">
        <f>IFERROR(__xludf.DUMMYFUNCTION("""COMPUTED_VALUE"""),"Tanvi Jain")</f>
        <v>Tanvi Jain</v>
      </c>
      <c r="O2115" s="14" t="str">
        <f>IFERROR(__xludf.DUMMYFUNCTION("split(J2115,""*"")"),"Delivered")</f>
        <v>Delivered</v>
      </c>
      <c r="P2115" s="14" t="str">
        <f>IFERROR(__xludf.DUMMYFUNCTION("""COMPUTED_VALUE"""),"On-time Delivery: Delivered on time")</f>
        <v>On-time Delivery: Delivered on time</v>
      </c>
      <c r="Q2115" s="14" t="str">
        <f>IFERROR(__xludf.DUMMYFUNCTION("split(P2115,"":"")"),"On-time Delivery")</f>
        <v>On-time Delivery</v>
      </c>
      <c r="R2115" s="14" t="str">
        <f>IFERROR(__xludf.DUMMYFUNCTION("""COMPUTED_VALUE""")," Delivered on time")</f>
        <v> Delivered on time</v>
      </c>
      <c r="S2115" s="14" t="str">
        <f t="shared" ref="S2115:U2115" si="4233">trim(B2115)</f>
        <v>ord_82089</v>
      </c>
      <c r="T2115" s="14" t="str">
        <f t="shared" si="4233"/>
        <v>Arvind Kulkarni</v>
      </c>
      <c r="U2115" s="14" t="str">
        <f t="shared" si="4233"/>
        <v>Juhu</v>
      </c>
      <c r="V2115" s="14" t="str">
        <f t="shared" si="4"/>
        <v>Sweet Corn</v>
      </c>
      <c r="W2115" s="14">
        <f t="shared" si="5"/>
        <v>1</v>
      </c>
      <c r="X2115" s="14" t="str">
        <f t="shared" si="6"/>
        <v>Tanvi Jain</v>
      </c>
      <c r="Y2115" s="15">
        <f t="shared" si="7"/>
        <v>45015</v>
      </c>
      <c r="Z2115" s="14" t="str">
        <f t="shared" si="8"/>
        <v>Credit Card</v>
      </c>
      <c r="AA2115" s="14" t="str">
        <f t="shared" si="9"/>
        <v>Delivered</v>
      </c>
      <c r="AB2115" s="14" t="str">
        <f t="shared" ref="AB2115:AC2115" si="4234">trim(Q2115)</f>
        <v>On-time Delivery</v>
      </c>
      <c r="AC2115" s="14" t="str">
        <f t="shared" si="4234"/>
        <v>Delivered on time</v>
      </c>
      <c r="AD2115" s="8"/>
    </row>
    <row r="2116">
      <c r="A2116" s="14" t="str">
        <f>IFERROR(__xludf.DUMMYFUNCTION("""COMPUTED_VALUE"""),"//ord_82090//Riya Chakraborty//Juhu//Orange+2*Tanvi Jain/9/12/2023//Credit Card//Delivered*Quality of Items: Perfect condition")</f>
        <v>//ord_82090//Riya Chakraborty//Juhu//Orange+2*Tanvi Jain/9/12/2023//Credit Card//Delivered*Quality of Items: Perfect condition</v>
      </c>
      <c r="B2116" s="14" t="str">
        <f>IFERROR(__xludf.DUMMYFUNCTION("split(A2116,""//"")"),"ord_82090")</f>
        <v>ord_82090</v>
      </c>
      <c r="C2116" s="14" t="str">
        <f>IFERROR(__xludf.DUMMYFUNCTION("""COMPUTED_VALUE"""),"Riya Chakraborty")</f>
        <v>Riya Chakraborty</v>
      </c>
      <c r="D2116" s="14" t="str">
        <f>IFERROR(__xludf.DUMMYFUNCTION("""COMPUTED_VALUE"""),"Juhu")</f>
        <v>Juhu</v>
      </c>
      <c r="E2116" s="14" t="str">
        <f>IFERROR(__xludf.DUMMYFUNCTION("""COMPUTED_VALUE"""),"Orange+2*Tanvi Jain")</f>
        <v>Orange+2*Tanvi Jain</v>
      </c>
      <c r="F2116" s="14">
        <f>IFERROR(__xludf.DUMMYFUNCTION("""COMPUTED_VALUE"""),9.0)</f>
        <v>9</v>
      </c>
      <c r="G2116" s="14">
        <f>IFERROR(__xludf.DUMMYFUNCTION("""COMPUTED_VALUE"""),12.0)</f>
        <v>12</v>
      </c>
      <c r="H2116" s="14">
        <f>IFERROR(__xludf.DUMMYFUNCTION("""COMPUTED_VALUE"""),2023.0)</f>
        <v>2023</v>
      </c>
      <c r="I2116" s="14" t="str">
        <f>IFERROR(__xludf.DUMMYFUNCTION("""COMPUTED_VALUE"""),"Credit Card")</f>
        <v>Credit Card</v>
      </c>
      <c r="J2116" s="14" t="str">
        <f>IFERROR(__xludf.DUMMYFUNCTION("""COMPUTED_VALUE"""),"Delivered*Quality of Items: Perfect condition")</f>
        <v>Delivered*Quality of Items: Perfect condition</v>
      </c>
      <c r="K2116" s="14" t="str">
        <f>IFERROR(__xludf.DUMMYFUNCTION("split(E2116,""+"")"),"Orange")</f>
        <v>Orange</v>
      </c>
      <c r="L2116" s="14" t="str">
        <f>IFERROR(__xludf.DUMMYFUNCTION("""COMPUTED_VALUE"""),"2*Tanvi Jain")</f>
        <v>2*Tanvi Jain</v>
      </c>
      <c r="M2116" s="14">
        <f>IFERROR(__xludf.DUMMYFUNCTION("SPLIT(L2116,""*"")"),2.0)</f>
        <v>2</v>
      </c>
      <c r="N2116" s="14" t="str">
        <f>IFERROR(__xludf.DUMMYFUNCTION("""COMPUTED_VALUE"""),"Tanvi Jain")</f>
        <v>Tanvi Jain</v>
      </c>
      <c r="O2116" s="14" t="str">
        <f>IFERROR(__xludf.DUMMYFUNCTION("split(J2116,""*"")"),"Delivered")</f>
        <v>Delivered</v>
      </c>
      <c r="P2116" s="14" t="str">
        <f>IFERROR(__xludf.DUMMYFUNCTION("""COMPUTED_VALUE"""),"Quality of Items: Perfect condition")</f>
        <v>Quality of Items: Perfect condition</v>
      </c>
      <c r="Q2116" s="14" t="str">
        <f>IFERROR(__xludf.DUMMYFUNCTION("split(P2116,"":"")"),"Quality of Items")</f>
        <v>Quality of Items</v>
      </c>
      <c r="R2116" s="14" t="str">
        <f>IFERROR(__xludf.DUMMYFUNCTION("""COMPUTED_VALUE""")," Perfect condition")</f>
        <v> Perfect condition</v>
      </c>
      <c r="S2116" s="14" t="str">
        <f t="shared" ref="S2116:U2116" si="4235">trim(B2116)</f>
        <v>ord_82090</v>
      </c>
      <c r="T2116" s="14" t="str">
        <f t="shared" si="4235"/>
        <v>Riya Chakraborty</v>
      </c>
      <c r="U2116" s="14" t="str">
        <f t="shared" si="4235"/>
        <v>Juhu</v>
      </c>
      <c r="V2116" s="14" t="str">
        <f t="shared" si="4"/>
        <v>Orange</v>
      </c>
      <c r="W2116" s="14">
        <f t="shared" si="5"/>
        <v>2</v>
      </c>
      <c r="X2116" s="14" t="str">
        <f t="shared" si="6"/>
        <v>Tanvi Jain</v>
      </c>
      <c r="Y2116" s="15">
        <f t="shared" si="7"/>
        <v>45181</v>
      </c>
      <c r="Z2116" s="14" t="str">
        <f t="shared" si="8"/>
        <v>Credit Card</v>
      </c>
      <c r="AA2116" s="14" t="str">
        <f t="shared" si="9"/>
        <v>Delivered</v>
      </c>
      <c r="AB2116" s="14" t="str">
        <f t="shared" ref="AB2116:AC2116" si="4236">trim(Q2116)</f>
        <v>Quality of Items</v>
      </c>
      <c r="AC2116" s="14" t="str">
        <f t="shared" si="4236"/>
        <v>Perfect condition</v>
      </c>
      <c r="AD2116" s="8"/>
    </row>
    <row r="2117">
      <c r="A2117" s="14" t="str">
        <f>IFERROR(__xludf.DUMMYFUNCTION("""COMPUTED_VALUE"""),"//ord_82091//Mehul Thakkar//Malad//Tiramisu+4*Not Assigned/1/25/2023//Online Payment//Cancelled*High Delivery Fees")</f>
        <v>//ord_82091//Mehul Thakkar//Malad//Tiramisu+4*Not Assigned/1/25/2023//Online Payment//Cancelled*High Delivery Fees</v>
      </c>
      <c r="B2117" s="14" t="str">
        <f>IFERROR(__xludf.DUMMYFUNCTION("split(A2117,""//"")"),"ord_82091")</f>
        <v>ord_82091</v>
      </c>
      <c r="C2117" s="14" t="str">
        <f>IFERROR(__xludf.DUMMYFUNCTION("""COMPUTED_VALUE"""),"Mehul Thakkar")</f>
        <v>Mehul Thakkar</v>
      </c>
      <c r="D2117" s="14" t="str">
        <f>IFERROR(__xludf.DUMMYFUNCTION("""COMPUTED_VALUE"""),"Malad")</f>
        <v>Malad</v>
      </c>
      <c r="E2117" s="14" t="str">
        <f>IFERROR(__xludf.DUMMYFUNCTION("""COMPUTED_VALUE"""),"Tiramisu+4*Not Assigned")</f>
        <v>Tiramisu+4*Not Assigned</v>
      </c>
      <c r="F2117" s="14">
        <f>IFERROR(__xludf.DUMMYFUNCTION("""COMPUTED_VALUE"""),1.0)</f>
        <v>1</v>
      </c>
      <c r="G2117" s="14">
        <f>IFERROR(__xludf.DUMMYFUNCTION("""COMPUTED_VALUE"""),25.0)</f>
        <v>25</v>
      </c>
      <c r="H2117" s="14">
        <f>IFERROR(__xludf.DUMMYFUNCTION("""COMPUTED_VALUE"""),2023.0)</f>
        <v>2023</v>
      </c>
      <c r="I2117" s="14" t="str">
        <f>IFERROR(__xludf.DUMMYFUNCTION("""COMPUTED_VALUE"""),"Online Payment")</f>
        <v>Online Payment</v>
      </c>
      <c r="J2117" s="14" t="str">
        <f>IFERROR(__xludf.DUMMYFUNCTION("""COMPUTED_VALUE"""),"Cancelled*High Delivery Fees")</f>
        <v>Cancelled*High Delivery Fees</v>
      </c>
      <c r="K2117" s="14" t="str">
        <f>IFERROR(__xludf.DUMMYFUNCTION("split(E2117,""+"")"),"Tiramisu")</f>
        <v>Tiramisu</v>
      </c>
      <c r="L2117" s="14" t="str">
        <f>IFERROR(__xludf.DUMMYFUNCTION("""COMPUTED_VALUE"""),"4*Not Assigned")</f>
        <v>4*Not Assigned</v>
      </c>
      <c r="M2117" s="14">
        <f>IFERROR(__xludf.DUMMYFUNCTION("SPLIT(L2117,""*"")"),4.0)</f>
        <v>4</v>
      </c>
      <c r="N2117" s="14" t="str">
        <f>IFERROR(__xludf.DUMMYFUNCTION("""COMPUTED_VALUE"""),"Not Assigned")</f>
        <v>Not Assigned</v>
      </c>
      <c r="O2117" s="14" t="str">
        <f>IFERROR(__xludf.DUMMYFUNCTION("split(J2117,""*"")"),"Cancelled")</f>
        <v>Cancelled</v>
      </c>
      <c r="P2117" s="14" t="str">
        <f>IFERROR(__xludf.DUMMYFUNCTION("""COMPUTED_VALUE"""),"High Delivery Fees")</f>
        <v>High Delivery Fees</v>
      </c>
      <c r="Q2117" s="14" t="str">
        <f>IFERROR(__xludf.DUMMYFUNCTION("split(P2117,"":"")"),"High Delivery Fees")</f>
        <v>High Delivery Fees</v>
      </c>
      <c r="R2117" s="14"/>
      <c r="S2117" s="14" t="str">
        <f t="shared" ref="S2117:U2117" si="4237">trim(B2117)</f>
        <v>ord_82091</v>
      </c>
      <c r="T2117" s="14" t="str">
        <f t="shared" si="4237"/>
        <v>Mehul Thakkar</v>
      </c>
      <c r="U2117" s="14" t="str">
        <f t="shared" si="4237"/>
        <v>Malad</v>
      </c>
      <c r="V2117" s="14" t="str">
        <f t="shared" si="4"/>
        <v>Tiramisu</v>
      </c>
      <c r="W2117" s="14">
        <f t="shared" si="5"/>
        <v>4</v>
      </c>
      <c r="X2117" s="14" t="str">
        <f t="shared" si="6"/>
        <v>Not Assigned</v>
      </c>
      <c r="Y2117" s="15">
        <f t="shared" si="7"/>
        <v>44951</v>
      </c>
      <c r="Z2117" s="14" t="str">
        <f t="shared" si="8"/>
        <v>Online Payment</v>
      </c>
      <c r="AA2117" s="14" t="str">
        <f t="shared" si="9"/>
        <v>Cancelled</v>
      </c>
      <c r="AB2117" s="14" t="str">
        <f t="shared" ref="AB2117:AC2117" si="4238">trim(Q2117)</f>
        <v>High Delivery Fees</v>
      </c>
      <c r="AC2117" s="14" t="str">
        <f t="shared" si="4238"/>
        <v/>
      </c>
      <c r="AD2117" s="8"/>
    </row>
    <row r="2118">
      <c r="A2118" s="14" t="str">
        <f>IFERROR(__xludf.DUMMYFUNCTION("""COMPUTED_VALUE"""),"//ord_82092//Tanishq Bansal//Bandra//Popcorn+5*Priya Joshi/1/6/2023//UPI//Delivered*Packaging: Secure and intact")</f>
        <v>//ord_82092//Tanishq Bansal//Bandra//Popcorn+5*Priya Joshi/1/6/2023//UPI//Delivered*Packaging: Secure and intact</v>
      </c>
      <c r="B2118" s="14" t="str">
        <f>IFERROR(__xludf.DUMMYFUNCTION("split(A2118,""//"")"),"ord_82092")</f>
        <v>ord_82092</v>
      </c>
      <c r="C2118" s="14" t="str">
        <f>IFERROR(__xludf.DUMMYFUNCTION("""COMPUTED_VALUE"""),"Tanishq Bansal")</f>
        <v>Tanishq Bansal</v>
      </c>
      <c r="D2118" s="14" t="str">
        <f>IFERROR(__xludf.DUMMYFUNCTION("""COMPUTED_VALUE"""),"Bandra")</f>
        <v>Bandra</v>
      </c>
      <c r="E2118" s="14" t="str">
        <f>IFERROR(__xludf.DUMMYFUNCTION("""COMPUTED_VALUE"""),"Popcorn+5*Priya Joshi")</f>
        <v>Popcorn+5*Priya Joshi</v>
      </c>
      <c r="F2118" s="14">
        <f>IFERROR(__xludf.DUMMYFUNCTION("""COMPUTED_VALUE"""),1.0)</f>
        <v>1</v>
      </c>
      <c r="G2118" s="14">
        <f>IFERROR(__xludf.DUMMYFUNCTION("""COMPUTED_VALUE"""),6.0)</f>
        <v>6</v>
      </c>
      <c r="H2118" s="14">
        <f>IFERROR(__xludf.DUMMYFUNCTION("""COMPUTED_VALUE"""),2023.0)</f>
        <v>2023</v>
      </c>
      <c r="I2118" s="14" t="str">
        <f>IFERROR(__xludf.DUMMYFUNCTION("""COMPUTED_VALUE"""),"UPI")</f>
        <v>UPI</v>
      </c>
      <c r="J2118" s="14" t="str">
        <f>IFERROR(__xludf.DUMMYFUNCTION("""COMPUTED_VALUE"""),"Delivered*Packaging: Secure and intact")</f>
        <v>Delivered*Packaging: Secure and intact</v>
      </c>
      <c r="K2118" s="14" t="str">
        <f>IFERROR(__xludf.DUMMYFUNCTION("split(E2118,""+"")"),"Popcorn")</f>
        <v>Popcorn</v>
      </c>
      <c r="L2118" s="14" t="str">
        <f>IFERROR(__xludf.DUMMYFUNCTION("""COMPUTED_VALUE"""),"5*Priya Joshi")</f>
        <v>5*Priya Joshi</v>
      </c>
      <c r="M2118" s="14">
        <f>IFERROR(__xludf.DUMMYFUNCTION("SPLIT(L2118,""*"")"),5.0)</f>
        <v>5</v>
      </c>
      <c r="N2118" s="14" t="str">
        <f>IFERROR(__xludf.DUMMYFUNCTION("""COMPUTED_VALUE"""),"Priya Joshi")</f>
        <v>Priya Joshi</v>
      </c>
      <c r="O2118" s="14" t="str">
        <f>IFERROR(__xludf.DUMMYFUNCTION("split(J2118,""*"")"),"Delivered")</f>
        <v>Delivered</v>
      </c>
      <c r="P2118" s="14" t="str">
        <f>IFERROR(__xludf.DUMMYFUNCTION("""COMPUTED_VALUE"""),"Packaging: Secure and intact")</f>
        <v>Packaging: Secure and intact</v>
      </c>
      <c r="Q2118" s="14" t="str">
        <f>IFERROR(__xludf.DUMMYFUNCTION("split(P2118,"":"")"),"Packaging")</f>
        <v>Packaging</v>
      </c>
      <c r="R2118" s="14" t="str">
        <f>IFERROR(__xludf.DUMMYFUNCTION("""COMPUTED_VALUE""")," Secure and intact")</f>
        <v> Secure and intact</v>
      </c>
      <c r="S2118" s="14" t="str">
        <f t="shared" ref="S2118:U2118" si="4239">trim(B2118)</f>
        <v>ord_82092</v>
      </c>
      <c r="T2118" s="14" t="str">
        <f t="shared" si="4239"/>
        <v>Tanishq Bansal</v>
      </c>
      <c r="U2118" s="14" t="str">
        <f t="shared" si="4239"/>
        <v>Bandra</v>
      </c>
      <c r="V2118" s="14" t="str">
        <f t="shared" si="4"/>
        <v>Popcorn</v>
      </c>
      <c r="W2118" s="14">
        <f t="shared" si="5"/>
        <v>5</v>
      </c>
      <c r="X2118" s="14" t="str">
        <f t="shared" si="6"/>
        <v>Priya Joshi</v>
      </c>
      <c r="Y2118" s="15">
        <f t="shared" si="7"/>
        <v>44932</v>
      </c>
      <c r="Z2118" s="14" t="str">
        <f t="shared" si="8"/>
        <v>UPI</v>
      </c>
      <c r="AA2118" s="14" t="str">
        <f t="shared" si="9"/>
        <v>Delivered</v>
      </c>
      <c r="AB2118" s="14" t="str">
        <f t="shared" ref="AB2118:AC2118" si="4240">trim(Q2118)</f>
        <v>Packaging</v>
      </c>
      <c r="AC2118" s="14" t="str">
        <f t="shared" si="4240"/>
        <v>Secure and intact</v>
      </c>
      <c r="AD2118" s="8"/>
    </row>
    <row r="2119">
      <c r="A2119" s="14" t="str">
        <f>IFERROR(__xludf.DUMMYFUNCTION("""COMPUTED_VALUE"""),"//ord_82093//Riya Chakraborty//Juhu//Rasmalai+8*Tanvi Jain/1/25/2023//Credit Card//Delivered*Satisfied with the Delivery: Timely and quality")</f>
        <v>//ord_82093//Riya Chakraborty//Juhu//Rasmalai+8*Tanvi Jain/1/25/2023//Credit Card//Delivered*Satisfied with the Delivery: Timely and quality</v>
      </c>
      <c r="B2119" s="14" t="str">
        <f>IFERROR(__xludf.DUMMYFUNCTION("split(A2119,""//"")"),"ord_82093")</f>
        <v>ord_82093</v>
      </c>
      <c r="C2119" s="14" t="str">
        <f>IFERROR(__xludf.DUMMYFUNCTION("""COMPUTED_VALUE"""),"Riya Chakraborty")</f>
        <v>Riya Chakraborty</v>
      </c>
      <c r="D2119" s="14" t="str">
        <f>IFERROR(__xludf.DUMMYFUNCTION("""COMPUTED_VALUE"""),"Juhu")</f>
        <v>Juhu</v>
      </c>
      <c r="E2119" s="14" t="str">
        <f>IFERROR(__xludf.DUMMYFUNCTION("""COMPUTED_VALUE"""),"Rasmalai+8*Tanvi Jain")</f>
        <v>Rasmalai+8*Tanvi Jain</v>
      </c>
      <c r="F2119" s="14">
        <f>IFERROR(__xludf.DUMMYFUNCTION("""COMPUTED_VALUE"""),1.0)</f>
        <v>1</v>
      </c>
      <c r="G2119" s="14">
        <f>IFERROR(__xludf.DUMMYFUNCTION("""COMPUTED_VALUE"""),25.0)</f>
        <v>25</v>
      </c>
      <c r="H2119" s="14">
        <f>IFERROR(__xludf.DUMMYFUNCTION("""COMPUTED_VALUE"""),2023.0)</f>
        <v>2023</v>
      </c>
      <c r="I2119" s="14" t="str">
        <f>IFERROR(__xludf.DUMMYFUNCTION("""COMPUTED_VALUE"""),"Credit Card")</f>
        <v>Credit Card</v>
      </c>
      <c r="J2119" s="14" t="str">
        <f>IFERROR(__xludf.DUMMYFUNCTION("""COMPUTED_VALUE"""),"Delivered*Satisfied with the Delivery: Timely and quality")</f>
        <v>Delivered*Satisfied with the Delivery: Timely and quality</v>
      </c>
      <c r="K2119" s="14" t="str">
        <f>IFERROR(__xludf.DUMMYFUNCTION("split(E2119,""+"")"),"Rasmalai")</f>
        <v>Rasmalai</v>
      </c>
      <c r="L2119" s="14" t="str">
        <f>IFERROR(__xludf.DUMMYFUNCTION("""COMPUTED_VALUE"""),"8*Tanvi Jain")</f>
        <v>8*Tanvi Jain</v>
      </c>
      <c r="M2119" s="14">
        <f>IFERROR(__xludf.DUMMYFUNCTION("SPLIT(L2119,""*"")"),8.0)</f>
        <v>8</v>
      </c>
      <c r="N2119" s="14" t="str">
        <f>IFERROR(__xludf.DUMMYFUNCTION("""COMPUTED_VALUE"""),"Tanvi Jain")</f>
        <v>Tanvi Jain</v>
      </c>
      <c r="O2119" s="14" t="str">
        <f>IFERROR(__xludf.DUMMYFUNCTION("split(J2119,""*"")"),"Delivered")</f>
        <v>Delivered</v>
      </c>
      <c r="P2119" s="14" t="str">
        <f>IFERROR(__xludf.DUMMYFUNCTION("""COMPUTED_VALUE"""),"Satisfied with the Delivery: Timely and quality")</f>
        <v>Satisfied with the Delivery: Timely and quality</v>
      </c>
      <c r="Q2119" s="14" t="str">
        <f>IFERROR(__xludf.DUMMYFUNCTION("split(P2119,"":"")"),"Satisfied with the Delivery")</f>
        <v>Satisfied with the Delivery</v>
      </c>
      <c r="R2119" s="14" t="str">
        <f>IFERROR(__xludf.DUMMYFUNCTION("""COMPUTED_VALUE""")," Timely and quality")</f>
        <v> Timely and quality</v>
      </c>
      <c r="S2119" s="14" t="str">
        <f t="shared" ref="S2119:U2119" si="4241">trim(B2119)</f>
        <v>ord_82093</v>
      </c>
      <c r="T2119" s="14" t="str">
        <f t="shared" si="4241"/>
        <v>Riya Chakraborty</v>
      </c>
      <c r="U2119" s="14" t="str">
        <f t="shared" si="4241"/>
        <v>Juhu</v>
      </c>
      <c r="V2119" s="14" t="str">
        <f t="shared" si="4"/>
        <v>Rasmalai</v>
      </c>
      <c r="W2119" s="14">
        <f t="shared" si="5"/>
        <v>8</v>
      </c>
      <c r="X2119" s="14" t="str">
        <f t="shared" si="6"/>
        <v>Tanvi Jain</v>
      </c>
      <c r="Y2119" s="15">
        <f t="shared" si="7"/>
        <v>44951</v>
      </c>
      <c r="Z2119" s="14" t="str">
        <f t="shared" si="8"/>
        <v>Credit Card</v>
      </c>
      <c r="AA2119" s="14" t="str">
        <f t="shared" si="9"/>
        <v>Delivered</v>
      </c>
      <c r="AB2119" s="14" t="str">
        <f t="shared" ref="AB2119:AC2119" si="4242">trim(Q2119)</f>
        <v>Satisfied with the Delivery</v>
      </c>
      <c r="AC2119" s="14" t="str">
        <f t="shared" si="4242"/>
        <v>Timely and quality</v>
      </c>
      <c r="AD2119" s="8"/>
    </row>
    <row r="2120">
      <c r="A2120" s="14" t="str">
        <f>IFERROR(__xludf.DUMMYFUNCTION("""COMPUTED_VALUE"""),"//ord_82094//Diya Arora//Lower Parel//Orange+1*Kiran Mehta/1/17/2023//UPI//Delivered*Customer Service: Seamless and easy")</f>
        <v>//ord_82094//Diya Arora//Lower Parel//Orange+1*Kiran Mehta/1/17/2023//UPI//Delivered*Customer Service: Seamless and easy</v>
      </c>
      <c r="B2120" s="14" t="str">
        <f>IFERROR(__xludf.DUMMYFUNCTION("split(A2120,""//"")"),"ord_82094")</f>
        <v>ord_82094</v>
      </c>
      <c r="C2120" s="14" t="str">
        <f>IFERROR(__xludf.DUMMYFUNCTION("""COMPUTED_VALUE"""),"Diya Arora")</f>
        <v>Diya Arora</v>
      </c>
      <c r="D2120" s="14" t="str">
        <f>IFERROR(__xludf.DUMMYFUNCTION("""COMPUTED_VALUE"""),"Lower Parel")</f>
        <v>Lower Parel</v>
      </c>
      <c r="E2120" s="14" t="str">
        <f>IFERROR(__xludf.DUMMYFUNCTION("""COMPUTED_VALUE"""),"Orange+1*Kiran Mehta")</f>
        <v>Orange+1*Kiran Mehta</v>
      </c>
      <c r="F2120" s="14">
        <f>IFERROR(__xludf.DUMMYFUNCTION("""COMPUTED_VALUE"""),1.0)</f>
        <v>1</v>
      </c>
      <c r="G2120" s="14">
        <f>IFERROR(__xludf.DUMMYFUNCTION("""COMPUTED_VALUE"""),17.0)</f>
        <v>17</v>
      </c>
      <c r="H2120" s="14">
        <f>IFERROR(__xludf.DUMMYFUNCTION("""COMPUTED_VALUE"""),2023.0)</f>
        <v>2023</v>
      </c>
      <c r="I2120" s="14" t="str">
        <f>IFERROR(__xludf.DUMMYFUNCTION("""COMPUTED_VALUE"""),"UPI")</f>
        <v>UPI</v>
      </c>
      <c r="J2120" s="14" t="str">
        <f>IFERROR(__xludf.DUMMYFUNCTION("""COMPUTED_VALUE"""),"Delivered*Customer Service: Seamless and easy")</f>
        <v>Delivered*Customer Service: Seamless and easy</v>
      </c>
      <c r="K2120" s="14" t="str">
        <f>IFERROR(__xludf.DUMMYFUNCTION("split(E2120,""+"")"),"Orange")</f>
        <v>Orange</v>
      </c>
      <c r="L2120" s="14" t="str">
        <f>IFERROR(__xludf.DUMMYFUNCTION("""COMPUTED_VALUE"""),"1*Kiran Mehta")</f>
        <v>1*Kiran Mehta</v>
      </c>
      <c r="M2120" s="14">
        <f>IFERROR(__xludf.DUMMYFUNCTION("SPLIT(L2120,""*"")"),1.0)</f>
        <v>1</v>
      </c>
      <c r="N2120" s="14" t="str">
        <f>IFERROR(__xludf.DUMMYFUNCTION("""COMPUTED_VALUE"""),"Kiran Mehta")</f>
        <v>Kiran Mehta</v>
      </c>
      <c r="O2120" s="14" t="str">
        <f>IFERROR(__xludf.DUMMYFUNCTION("split(J2120,""*"")"),"Delivered")</f>
        <v>Delivered</v>
      </c>
      <c r="P2120" s="14" t="str">
        <f>IFERROR(__xludf.DUMMYFUNCTION("""COMPUTED_VALUE"""),"Customer Service: Seamless and easy")</f>
        <v>Customer Service: Seamless and easy</v>
      </c>
      <c r="Q2120" s="14" t="str">
        <f>IFERROR(__xludf.DUMMYFUNCTION("split(P2120,"":"")"),"Customer Service")</f>
        <v>Customer Service</v>
      </c>
      <c r="R2120" s="14" t="str">
        <f>IFERROR(__xludf.DUMMYFUNCTION("""COMPUTED_VALUE""")," Seamless and easy")</f>
        <v> Seamless and easy</v>
      </c>
      <c r="S2120" s="14" t="str">
        <f t="shared" ref="S2120:U2120" si="4243">trim(B2120)</f>
        <v>ord_82094</v>
      </c>
      <c r="T2120" s="14" t="str">
        <f t="shared" si="4243"/>
        <v>Diya Arora</v>
      </c>
      <c r="U2120" s="14" t="str">
        <f t="shared" si="4243"/>
        <v>Lower Parel</v>
      </c>
      <c r="V2120" s="14" t="str">
        <f t="shared" si="4"/>
        <v>Orange</v>
      </c>
      <c r="W2120" s="14">
        <f t="shared" si="5"/>
        <v>1</v>
      </c>
      <c r="X2120" s="14" t="str">
        <f t="shared" si="6"/>
        <v>Kiran Mehta</v>
      </c>
      <c r="Y2120" s="15">
        <f t="shared" si="7"/>
        <v>44943</v>
      </c>
      <c r="Z2120" s="14" t="str">
        <f t="shared" si="8"/>
        <v>UPI</v>
      </c>
      <c r="AA2120" s="14" t="str">
        <f t="shared" si="9"/>
        <v>Delivered</v>
      </c>
      <c r="AB2120" s="14" t="str">
        <f t="shared" ref="AB2120:AC2120" si="4244">trim(Q2120)</f>
        <v>Customer Service</v>
      </c>
      <c r="AC2120" s="14" t="str">
        <f t="shared" si="4244"/>
        <v>Seamless and easy</v>
      </c>
      <c r="AD2120" s="8"/>
    </row>
    <row r="2121">
      <c r="A2121" s="14" t="str">
        <f>IFERROR(__xludf.DUMMYFUNCTION("""COMPUTED_VALUE"""),"//ord_82095//Anaya Rao//Colaba//Onion+2*Nikhil Deshmukh/2/17/2023//UPI//Delivered*Delivery Experience: Quick and professional")</f>
        <v>//ord_82095//Anaya Rao//Colaba//Onion+2*Nikhil Deshmukh/2/17/2023//UPI//Delivered*Delivery Experience: Quick and professional</v>
      </c>
      <c r="B2121" s="14" t="str">
        <f>IFERROR(__xludf.DUMMYFUNCTION("split(A2121,""//"")"),"ord_82095")</f>
        <v>ord_82095</v>
      </c>
      <c r="C2121" s="14" t="str">
        <f>IFERROR(__xludf.DUMMYFUNCTION("""COMPUTED_VALUE"""),"Anaya Rao")</f>
        <v>Anaya Rao</v>
      </c>
      <c r="D2121" s="14" t="str">
        <f>IFERROR(__xludf.DUMMYFUNCTION("""COMPUTED_VALUE"""),"Colaba")</f>
        <v>Colaba</v>
      </c>
      <c r="E2121" s="14" t="str">
        <f>IFERROR(__xludf.DUMMYFUNCTION("""COMPUTED_VALUE"""),"Onion+2*Nikhil Deshmukh")</f>
        <v>Onion+2*Nikhil Deshmukh</v>
      </c>
      <c r="F2121" s="14">
        <f>IFERROR(__xludf.DUMMYFUNCTION("""COMPUTED_VALUE"""),2.0)</f>
        <v>2</v>
      </c>
      <c r="G2121" s="14">
        <f>IFERROR(__xludf.DUMMYFUNCTION("""COMPUTED_VALUE"""),17.0)</f>
        <v>17</v>
      </c>
      <c r="H2121" s="14">
        <f>IFERROR(__xludf.DUMMYFUNCTION("""COMPUTED_VALUE"""),2023.0)</f>
        <v>2023</v>
      </c>
      <c r="I2121" s="14" t="str">
        <f>IFERROR(__xludf.DUMMYFUNCTION("""COMPUTED_VALUE"""),"UPI")</f>
        <v>UPI</v>
      </c>
      <c r="J2121" s="14" t="str">
        <f>IFERROR(__xludf.DUMMYFUNCTION("""COMPUTED_VALUE"""),"Delivered*Delivery Experience: Quick and professional")</f>
        <v>Delivered*Delivery Experience: Quick and professional</v>
      </c>
      <c r="K2121" s="14" t="str">
        <f>IFERROR(__xludf.DUMMYFUNCTION("split(E2121,""+"")"),"Onion")</f>
        <v>Onion</v>
      </c>
      <c r="L2121" s="14" t="str">
        <f>IFERROR(__xludf.DUMMYFUNCTION("""COMPUTED_VALUE"""),"2*Nikhil Deshmukh")</f>
        <v>2*Nikhil Deshmukh</v>
      </c>
      <c r="M2121" s="14">
        <f>IFERROR(__xludf.DUMMYFUNCTION("SPLIT(L2121,""*"")"),2.0)</f>
        <v>2</v>
      </c>
      <c r="N2121" s="14" t="str">
        <f>IFERROR(__xludf.DUMMYFUNCTION("""COMPUTED_VALUE"""),"Nikhil Deshmukh")</f>
        <v>Nikhil Deshmukh</v>
      </c>
      <c r="O2121" s="14" t="str">
        <f>IFERROR(__xludf.DUMMYFUNCTION("split(J2121,""*"")"),"Delivered")</f>
        <v>Delivered</v>
      </c>
      <c r="P2121" s="14" t="str">
        <f>IFERROR(__xludf.DUMMYFUNCTION("""COMPUTED_VALUE"""),"Delivery Experience: Quick and professional")</f>
        <v>Delivery Experience: Quick and professional</v>
      </c>
      <c r="Q2121" s="14" t="str">
        <f>IFERROR(__xludf.DUMMYFUNCTION("split(P2121,"":"")"),"Delivery Experience")</f>
        <v>Delivery Experience</v>
      </c>
      <c r="R2121" s="14" t="str">
        <f>IFERROR(__xludf.DUMMYFUNCTION("""COMPUTED_VALUE""")," Quick and professional")</f>
        <v> Quick and professional</v>
      </c>
      <c r="S2121" s="14" t="str">
        <f t="shared" ref="S2121:U2121" si="4245">trim(B2121)</f>
        <v>ord_82095</v>
      </c>
      <c r="T2121" s="14" t="str">
        <f t="shared" si="4245"/>
        <v>Anaya Rao</v>
      </c>
      <c r="U2121" s="14" t="str">
        <f t="shared" si="4245"/>
        <v>Colaba</v>
      </c>
      <c r="V2121" s="14" t="str">
        <f t="shared" si="4"/>
        <v>Onion</v>
      </c>
      <c r="W2121" s="14">
        <f t="shared" si="5"/>
        <v>2</v>
      </c>
      <c r="X2121" s="14" t="str">
        <f t="shared" si="6"/>
        <v>Nikhil Deshmukh</v>
      </c>
      <c r="Y2121" s="15">
        <f t="shared" si="7"/>
        <v>44974</v>
      </c>
      <c r="Z2121" s="14" t="str">
        <f t="shared" si="8"/>
        <v>UPI</v>
      </c>
      <c r="AA2121" s="14" t="str">
        <f t="shared" si="9"/>
        <v>Delivered</v>
      </c>
      <c r="AB2121" s="14" t="str">
        <f t="shared" ref="AB2121:AC2121" si="4246">trim(Q2121)</f>
        <v>Delivery Experience</v>
      </c>
      <c r="AC2121" s="14" t="str">
        <f t="shared" si="4246"/>
        <v>Quick and professional</v>
      </c>
      <c r="AD2121" s="8"/>
    </row>
    <row r="2122">
      <c r="A2122" s="14" t="str">
        <f>IFERROR(__xludf.DUMMYFUNCTION("""COMPUTED_VALUE"""),"//ord_82096//Simran Bhatt//Juhu//Icecream+3*Tanvi Jain/12/28/2023//Online Payment//Delivered*Convenience: Easy tracking")</f>
        <v>//ord_82096//Simran Bhatt//Juhu//Icecream+3*Tanvi Jain/12/28/2023//Online Payment//Delivered*Convenience: Easy tracking</v>
      </c>
      <c r="B2122" s="14" t="str">
        <f>IFERROR(__xludf.DUMMYFUNCTION("split(A2122,""//"")"),"ord_82096")</f>
        <v>ord_82096</v>
      </c>
      <c r="C2122" s="14" t="str">
        <f>IFERROR(__xludf.DUMMYFUNCTION("""COMPUTED_VALUE"""),"Simran Bhatt")</f>
        <v>Simran Bhatt</v>
      </c>
      <c r="D2122" s="14" t="str">
        <f>IFERROR(__xludf.DUMMYFUNCTION("""COMPUTED_VALUE"""),"Juhu")</f>
        <v>Juhu</v>
      </c>
      <c r="E2122" s="14" t="str">
        <f>IFERROR(__xludf.DUMMYFUNCTION("""COMPUTED_VALUE"""),"Icecream+3*Tanvi Jain")</f>
        <v>Icecream+3*Tanvi Jain</v>
      </c>
      <c r="F2122" s="14">
        <f>IFERROR(__xludf.DUMMYFUNCTION("""COMPUTED_VALUE"""),12.0)</f>
        <v>12</v>
      </c>
      <c r="G2122" s="14">
        <f>IFERROR(__xludf.DUMMYFUNCTION("""COMPUTED_VALUE"""),28.0)</f>
        <v>28</v>
      </c>
      <c r="H2122" s="14">
        <f>IFERROR(__xludf.DUMMYFUNCTION("""COMPUTED_VALUE"""),2023.0)</f>
        <v>2023</v>
      </c>
      <c r="I2122" s="14" t="str">
        <f>IFERROR(__xludf.DUMMYFUNCTION("""COMPUTED_VALUE"""),"Online Payment")</f>
        <v>Online Payment</v>
      </c>
      <c r="J2122" s="14" t="str">
        <f>IFERROR(__xludf.DUMMYFUNCTION("""COMPUTED_VALUE"""),"Delivered*Convenience: Easy tracking")</f>
        <v>Delivered*Convenience: Easy tracking</v>
      </c>
      <c r="K2122" s="14" t="str">
        <f>IFERROR(__xludf.DUMMYFUNCTION("split(E2122,""+"")"),"Icecream")</f>
        <v>Icecream</v>
      </c>
      <c r="L2122" s="14" t="str">
        <f>IFERROR(__xludf.DUMMYFUNCTION("""COMPUTED_VALUE"""),"3*Tanvi Jain")</f>
        <v>3*Tanvi Jain</v>
      </c>
      <c r="M2122" s="14">
        <f>IFERROR(__xludf.DUMMYFUNCTION("SPLIT(L2122,""*"")"),3.0)</f>
        <v>3</v>
      </c>
      <c r="N2122" s="14" t="str">
        <f>IFERROR(__xludf.DUMMYFUNCTION("""COMPUTED_VALUE"""),"Tanvi Jain")</f>
        <v>Tanvi Jain</v>
      </c>
      <c r="O2122" s="14" t="str">
        <f>IFERROR(__xludf.DUMMYFUNCTION("split(J2122,""*"")"),"Delivered")</f>
        <v>Delivered</v>
      </c>
      <c r="P2122" s="14" t="str">
        <f>IFERROR(__xludf.DUMMYFUNCTION("""COMPUTED_VALUE"""),"Convenience: Easy tracking")</f>
        <v>Convenience: Easy tracking</v>
      </c>
      <c r="Q2122" s="14" t="str">
        <f>IFERROR(__xludf.DUMMYFUNCTION("split(P2122,"":"")"),"Convenience")</f>
        <v>Convenience</v>
      </c>
      <c r="R2122" s="14" t="str">
        <f>IFERROR(__xludf.DUMMYFUNCTION("""COMPUTED_VALUE""")," Easy tracking")</f>
        <v> Easy tracking</v>
      </c>
      <c r="S2122" s="14" t="str">
        <f t="shared" ref="S2122:U2122" si="4247">trim(B2122)</f>
        <v>ord_82096</v>
      </c>
      <c r="T2122" s="14" t="str">
        <f t="shared" si="4247"/>
        <v>Simran Bhatt</v>
      </c>
      <c r="U2122" s="14" t="str">
        <f t="shared" si="4247"/>
        <v>Juhu</v>
      </c>
      <c r="V2122" s="14" t="str">
        <f t="shared" si="4"/>
        <v>Icecream</v>
      </c>
      <c r="W2122" s="14">
        <f t="shared" si="5"/>
        <v>3</v>
      </c>
      <c r="X2122" s="14" t="str">
        <f t="shared" si="6"/>
        <v>Tanvi Jain</v>
      </c>
      <c r="Y2122" s="15">
        <f t="shared" si="7"/>
        <v>45288</v>
      </c>
      <c r="Z2122" s="14" t="str">
        <f t="shared" si="8"/>
        <v>Online Payment</v>
      </c>
      <c r="AA2122" s="14" t="str">
        <f t="shared" si="9"/>
        <v>Delivered</v>
      </c>
      <c r="AB2122" s="14" t="str">
        <f t="shared" ref="AB2122:AC2122" si="4248">trim(Q2122)</f>
        <v>Convenience</v>
      </c>
      <c r="AC2122" s="14" t="str">
        <f t="shared" si="4248"/>
        <v>Easy tracking</v>
      </c>
      <c r="AD2122" s="8"/>
    </row>
    <row r="2123">
      <c r="A2123" s="14" t="str">
        <f>IFERROR(__xludf.DUMMYFUNCTION("""COMPUTED_VALUE"""),"//ord_82097//Ritika Dutta//Lower Parel//Papaya+2*Kiran Mehta/7/27/2023//Credit Card//Delivered*Overall Satisfaction: Great service will order again")</f>
        <v>//ord_82097//Ritika Dutta//Lower Parel//Papaya+2*Kiran Mehta/7/27/2023//Credit Card//Delivered*Overall Satisfaction: Great service will order again</v>
      </c>
      <c r="B2123" s="14" t="str">
        <f>IFERROR(__xludf.DUMMYFUNCTION("split(A2123,""//"")"),"ord_82097")</f>
        <v>ord_82097</v>
      </c>
      <c r="C2123" s="14" t="str">
        <f>IFERROR(__xludf.DUMMYFUNCTION("""COMPUTED_VALUE"""),"Ritika Dutta")</f>
        <v>Ritika Dutta</v>
      </c>
      <c r="D2123" s="14" t="str">
        <f>IFERROR(__xludf.DUMMYFUNCTION("""COMPUTED_VALUE"""),"Lower Parel")</f>
        <v>Lower Parel</v>
      </c>
      <c r="E2123" s="14" t="str">
        <f>IFERROR(__xludf.DUMMYFUNCTION("""COMPUTED_VALUE"""),"Papaya+2*Kiran Mehta")</f>
        <v>Papaya+2*Kiran Mehta</v>
      </c>
      <c r="F2123" s="14">
        <f>IFERROR(__xludf.DUMMYFUNCTION("""COMPUTED_VALUE"""),7.0)</f>
        <v>7</v>
      </c>
      <c r="G2123" s="14">
        <f>IFERROR(__xludf.DUMMYFUNCTION("""COMPUTED_VALUE"""),27.0)</f>
        <v>27</v>
      </c>
      <c r="H2123" s="14">
        <f>IFERROR(__xludf.DUMMYFUNCTION("""COMPUTED_VALUE"""),2023.0)</f>
        <v>2023</v>
      </c>
      <c r="I2123" s="14" t="str">
        <f>IFERROR(__xludf.DUMMYFUNCTION("""COMPUTED_VALUE"""),"Credit Card")</f>
        <v>Credit Card</v>
      </c>
      <c r="J2123" s="14" t="str">
        <f>IFERROR(__xludf.DUMMYFUNCTION("""COMPUTED_VALUE"""),"Delivered*Overall Satisfaction: Great service will order again")</f>
        <v>Delivered*Overall Satisfaction: Great service will order again</v>
      </c>
      <c r="K2123" s="14" t="str">
        <f>IFERROR(__xludf.DUMMYFUNCTION("split(E2123,""+"")"),"Papaya")</f>
        <v>Papaya</v>
      </c>
      <c r="L2123" s="14" t="str">
        <f>IFERROR(__xludf.DUMMYFUNCTION("""COMPUTED_VALUE"""),"2*Kiran Mehta")</f>
        <v>2*Kiran Mehta</v>
      </c>
      <c r="M2123" s="14">
        <f>IFERROR(__xludf.DUMMYFUNCTION("SPLIT(L2123,""*"")"),2.0)</f>
        <v>2</v>
      </c>
      <c r="N2123" s="14" t="str">
        <f>IFERROR(__xludf.DUMMYFUNCTION("""COMPUTED_VALUE"""),"Kiran Mehta")</f>
        <v>Kiran Mehta</v>
      </c>
      <c r="O2123" s="14" t="str">
        <f>IFERROR(__xludf.DUMMYFUNCTION("split(J2123,""*"")"),"Delivered")</f>
        <v>Delivered</v>
      </c>
      <c r="P2123" s="14" t="str">
        <f>IFERROR(__xludf.DUMMYFUNCTION("""COMPUTED_VALUE"""),"Overall Satisfaction: Great service will order again")</f>
        <v>Overall Satisfaction: Great service will order again</v>
      </c>
      <c r="Q2123" s="14" t="str">
        <f>IFERROR(__xludf.DUMMYFUNCTION("split(P2123,"":"")"),"Overall Satisfaction")</f>
        <v>Overall Satisfaction</v>
      </c>
      <c r="R2123" s="14" t="str">
        <f>IFERROR(__xludf.DUMMYFUNCTION("""COMPUTED_VALUE""")," Great service will order again")</f>
        <v> Great service will order again</v>
      </c>
      <c r="S2123" s="14" t="str">
        <f t="shared" ref="S2123:U2123" si="4249">trim(B2123)</f>
        <v>ord_82097</v>
      </c>
      <c r="T2123" s="14" t="str">
        <f t="shared" si="4249"/>
        <v>Ritika Dutta</v>
      </c>
      <c r="U2123" s="14" t="str">
        <f t="shared" si="4249"/>
        <v>Lower Parel</v>
      </c>
      <c r="V2123" s="14" t="str">
        <f t="shared" si="4"/>
        <v>Papaya</v>
      </c>
      <c r="W2123" s="14">
        <f t="shared" si="5"/>
        <v>2</v>
      </c>
      <c r="X2123" s="14" t="str">
        <f t="shared" si="6"/>
        <v>Kiran Mehta</v>
      </c>
      <c r="Y2123" s="15">
        <f t="shared" si="7"/>
        <v>45134</v>
      </c>
      <c r="Z2123" s="14" t="str">
        <f t="shared" si="8"/>
        <v>Credit Card</v>
      </c>
      <c r="AA2123" s="14" t="str">
        <f t="shared" si="9"/>
        <v>Delivered</v>
      </c>
      <c r="AB2123" s="14" t="str">
        <f t="shared" ref="AB2123:AC2123" si="4250">trim(Q2123)</f>
        <v>Overall Satisfaction</v>
      </c>
      <c r="AC2123" s="14" t="str">
        <f t="shared" si="4250"/>
        <v>Great service will order again</v>
      </c>
      <c r="AD2123" s="8"/>
    </row>
    <row r="2124">
      <c r="A2124" s="14" t="str">
        <f>IFERROR(__xludf.DUMMYFUNCTION("""COMPUTED_VALUE"""),"//ord_82098//Pranav Joshi//Andheri//Banana+2*Rohan Yadav/12/18/2023//UPI//Delivered*On-time Delivery: Delivered on time")</f>
        <v>//ord_82098//Pranav Joshi//Andheri//Banana+2*Rohan Yadav/12/18/2023//UPI//Delivered*On-time Delivery: Delivered on time</v>
      </c>
      <c r="B2124" s="14" t="str">
        <f>IFERROR(__xludf.DUMMYFUNCTION("split(A2124,""//"")"),"ord_82098")</f>
        <v>ord_82098</v>
      </c>
      <c r="C2124" s="14" t="str">
        <f>IFERROR(__xludf.DUMMYFUNCTION("""COMPUTED_VALUE"""),"Pranav Joshi")</f>
        <v>Pranav Joshi</v>
      </c>
      <c r="D2124" s="14" t="str">
        <f>IFERROR(__xludf.DUMMYFUNCTION("""COMPUTED_VALUE"""),"Andheri")</f>
        <v>Andheri</v>
      </c>
      <c r="E2124" s="14" t="str">
        <f>IFERROR(__xludf.DUMMYFUNCTION("""COMPUTED_VALUE"""),"Banana+2*Rohan Yadav")</f>
        <v>Banana+2*Rohan Yadav</v>
      </c>
      <c r="F2124" s="14">
        <f>IFERROR(__xludf.DUMMYFUNCTION("""COMPUTED_VALUE"""),12.0)</f>
        <v>12</v>
      </c>
      <c r="G2124" s="14">
        <f>IFERROR(__xludf.DUMMYFUNCTION("""COMPUTED_VALUE"""),18.0)</f>
        <v>18</v>
      </c>
      <c r="H2124" s="14">
        <f>IFERROR(__xludf.DUMMYFUNCTION("""COMPUTED_VALUE"""),2023.0)</f>
        <v>2023</v>
      </c>
      <c r="I2124" s="14" t="str">
        <f>IFERROR(__xludf.DUMMYFUNCTION("""COMPUTED_VALUE"""),"UPI")</f>
        <v>UPI</v>
      </c>
      <c r="J2124" s="14" t="str">
        <f>IFERROR(__xludf.DUMMYFUNCTION("""COMPUTED_VALUE"""),"Delivered*On-time Delivery: Delivered on time")</f>
        <v>Delivered*On-time Delivery: Delivered on time</v>
      </c>
      <c r="K2124" s="14" t="str">
        <f>IFERROR(__xludf.DUMMYFUNCTION("split(E2124,""+"")"),"Banana")</f>
        <v>Banana</v>
      </c>
      <c r="L2124" s="14" t="str">
        <f>IFERROR(__xludf.DUMMYFUNCTION("""COMPUTED_VALUE"""),"2*Rohan Yadav")</f>
        <v>2*Rohan Yadav</v>
      </c>
      <c r="M2124" s="14">
        <f>IFERROR(__xludf.DUMMYFUNCTION("SPLIT(L2124,""*"")"),2.0)</f>
        <v>2</v>
      </c>
      <c r="N2124" s="14" t="str">
        <f>IFERROR(__xludf.DUMMYFUNCTION("""COMPUTED_VALUE"""),"Rohan Yadav")</f>
        <v>Rohan Yadav</v>
      </c>
      <c r="O2124" s="14" t="str">
        <f>IFERROR(__xludf.DUMMYFUNCTION("split(J2124,""*"")"),"Delivered")</f>
        <v>Delivered</v>
      </c>
      <c r="P2124" s="14" t="str">
        <f>IFERROR(__xludf.DUMMYFUNCTION("""COMPUTED_VALUE"""),"On-time Delivery: Delivered on time")</f>
        <v>On-time Delivery: Delivered on time</v>
      </c>
      <c r="Q2124" s="14" t="str">
        <f>IFERROR(__xludf.DUMMYFUNCTION("split(P2124,"":"")"),"On-time Delivery")</f>
        <v>On-time Delivery</v>
      </c>
      <c r="R2124" s="14" t="str">
        <f>IFERROR(__xludf.DUMMYFUNCTION("""COMPUTED_VALUE""")," Delivered on time")</f>
        <v> Delivered on time</v>
      </c>
      <c r="S2124" s="14" t="str">
        <f t="shared" ref="S2124:U2124" si="4251">trim(B2124)</f>
        <v>ord_82098</v>
      </c>
      <c r="T2124" s="14" t="str">
        <f t="shared" si="4251"/>
        <v>Pranav Joshi</v>
      </c>
      <c r="U2124" s="14" t="str">
        <f t="shared" si="4251"/>
        <v>Andheri</v>
      </c>
      <c r="V2124" s="14" t="str">
        <f t="shared" si="4"/>
        <v>Banana</v>
      </c>
      <c r="W2124" s="14">
        <f t="shared" si="5"/>
        <v>2</v>
      </c>
      <c r="X2124" s="14" t="str">
        <f t="shared" si="6"/>
        <v>Rohan Yadav</v>
      </c>
      <c r="Y2124" s="15">
        <f t="shared" si="7"/>
        <v>45278</v>
      </c>
      <c r="Z2124" s="14" t="str">
        <f t="shared" si="8"/>
        <v>UPI</v>
      </c>
      <c r="AA2124" s="14" t="str">
        <f t="shared" si="9"/>
        <v>Delivered</v>
      </c>
      <c r="AB2124" s="14" t="str">
        <f t="shared" ref="AB2124:AC2124" si="4252">trim(Q2124)</f>
        <v>On-time Delivery</v>
      </c>
      <c r="AC2124" s="14" t="str">
        <f t="shared" si="4252"/>
        <v>Delivered on time</v>
      </c>
      <c r="AD2124" s="8"/>
    </row>
    <row r="2125">
      <c r="A2125" s="14" t="str">
        <f>IFERROR(__xludf.DUMMYFUNCTION("""COMPUTED_VALUE"""),"//ord_82099//Mohit Malhotra//Lower Parel//Veg Puff+5*Kiran Mehta/12/27/2023//Online Payment//Delivered*Quality of Items: Perfect condition")</f>
        <v>//ord_82099//Mohit Malhotra//Lower Parel//Veg Puff+5*Kiran Mehta/12/27/2023//Online Payment//Delivered*Quality of Items: Perfect condition</v>
      </c>
      <c r="B2125" s="14" t="str">
        <f>IFERROR(__xludf.DUMMYFUNCTION("split(A2125,""//"")"),"ord_82099")</f>
        <v>ord_82099</v>
      </c>
      <c r="C2125" s="14" t="str">
        <f>IFERROR(__xludf.DUMMYFUNCTION("""COMPUTED_VALUE"""),"Mohit Malhotra")</f>
        <v>Mohit Malhotra</v>
      </c>
      <c r="D2125" s="14" t="str">
        <f>IFERROR(__xludf.DUMMYFUNCTION("""COMPUTED_VALUE"""),"Lower Parel")</f>
        <v>Lower Parel</v>
      </c>
      <c r="E2125" s="14" t="str">
        <f>IFERROR(__xludf.DUMMYFUNCTION("""COMPUTED_VALUE"""),"Veg Puff+5*Kiran Mehta")</f>
        <v>Veg Puff+5*Kiran Mehta</v>
      </c>
      <c r="F2125" s="14">
        <f>IFERROR(__xludf.DUMMYFUNCTION("""COMPUTED_VALUE"""),12.0)</f>
        <v>12</v>
      </c>
      <c r="G2125" s="14">
        <f>IFERROR(__xludf.DUMMYFUNCTION("""COMPUTED_VALUE"""),27.0)</f>
        <v>27</v>
      </c>
      <c r="H2125" s="14">
        <f>IFERROR(__xludf.DUMMYFUNCTION("""COMPUTED_VALUE"""),2023.0)</f>
        <v>2023</v>
      </c>
      <c r="I2125" s="14" t="str">
        <f>IFERROR(__xludf.DUMMYFUNCTION("""COMPUTED_VALUE"""),"Online Payment")</f>
        <v>Online Payment</v>
      </c>
      <c r="J2125" s="14" t="str">
        <f>IFERROR(__xludf.DUMMYFUNCTION("""COMPUTED_VALUE"""),"Delivered*Quality of Items: Perfect condition")</f>
        <v>Delivered*Quality of Items: Perfect condition</v>
      </c>
      <c r="K2125" s="14" t="str">
        <f>IFERROR(__xludf.DUMMYFUNCTION("split(E2125,""+"")"),"Veg Puff")</f>
        <v>Veg Puff</v>
      </c>
      <c r="L2125" s="14" t="str">
        <f>IFERROR(__xludf.DUMMYFUNCTION("""COMPUTED_VALUE"""),"5*Kiran Mehta")</f>
        <v>5*Kiran Mehta</v>
      </c>
      <c r="M2125" s="14">
        <f>IFERROR(__xludf.DUMMYFUNCTION("SPLIT(L2125,""*"")"),5.0)</f>
        <v>5</v>
      </c>
      <c r="N2125" s="14" t="str">
        <f>IFERROR(__xludf.DUMMYFUNCTION("""COMPUTED_VALUE"""),"Kiran Mehta")</f>
        <v>Kiran Mehta</v>
      </c>
      <c r="O2125" s="14" t="str">
        <f>IFERROR(__xludf.DUMMYFUNCTION("split(J2125,""*"")"),"Delivered")</f>
        <v>Delivered</v>
      </c>
      <c r="P2125" s="14" t="str">
        <f>IFERROR(__xludf.DUMMYFUNCTION("""COMPUTED_VALUE"""),"Quality of Items: Perfect condition")</f>
        <v>Quality of Items: Perfect condition</v>
      </c>
      <c r="Q2125" s="14" t="str">
        <f>IFERROR(__xludf.DUMMYFUNCTION("split(P2125,"":"")"),"Quality of Items")</f>
        <v>Quality of Items</v>
      </c>
      <c r="R2125" s="14" t="str">
        <f>IFERROR(__xludf.DUMMYFUNCTION("""COMPUTED_VALUE""")," Perfect condition")</f>
        <v> Perfect condition</v>
      </c>
      <c r="S2125" s="14" t="str">
        <f t="shared" ref="S2125:U2125" si="4253">trim(B2125)</f>
        <v>ord_82099</v>
      </c>
      <c r="T2125" s="14" t="str">
        <f t="shared" si="4253"/>
        <v>Mohit Malhotra</v>
      </c>
      <c r="U2125" s="14" t="str">
        <f t="shared" si="4253"/>
        <v>Lower Parel</v>
      </c>
      <c r="V2125" s="14" t="str">
        <f t="shared" si="4"/>
        <v>Veg Puff</v>
      </c>
      <c r="W2125" s="14">
        <f t="shared" si="5"/>
        <v>5</v>
      </c>
      <c r="X2125" s="14" t="str">
        <f t="shared" si="6"/>
        <v>Kiran Mehta</v>
      </c>
      <c r="Y2125" s="15">
        <f t="shared" si="7"/>
        <v>45287</v>
      </c>
      <c r="Z2125" s="14" t="str">
        <f t="shared" si="8"/>
        <v>Online Payment</v>
      </c>
      <c r="AA2125" s="14" t="str">
        <f t="shared" si="9"/>
        <v>Delivered</v>
      </c>
      <c r="AB2125" s="14" t="str">
        <f t="shared" ref="AB2125:AC2125" si="4254">trim(Q2125)</f>
        <v>Quality of Items</v>
      </c>
      <c r="AC2125" s="14" t="str">
        <f t="shared" si="4254"/>
        <v>Perfect condition</v>
      </c>
      <c r="AD2125" s="8"/>
    </row>
    <row r="2126">
      <c r="A2126" s="14" t="str">
        <f>IFERROR(__xludf.DUMMYFUNCTION("""COMPUTED_VALUE"""),"//ord_82100//Aarohi Kapoor//Bandra//Icecream+1*Priya Joshi/11/15/2023//Credit Card//Delivered*On-time Delivery: Delivered on time")</f>
        <v>//ord_82100//Aarohi Kapoor//Bandra//Icecream+1*Priya Joshi/11/15/2023//Credit Card//Delivered*On-time Delivery: Delivered on time</v>
      </c>
      <c r="B2126" s="14" t="str">
        <f>IFERROR(__xludf.DUMMYFUNCTION("split(A2126,""//"")"),"ord_82100")</f>
        <v>ord_82100</v>
      </c>
      <c r="C2126" s="14" t="str">
        <f>IFERROR(__xludf.DUMMYFUNCTION("""COMPUTED_VALUE"""),"Aarohi Kapoor")</f>
        <v>Aarohi Kapoor</v>
      </c>
      <c r="D2126" s="14" t="str">
        <f>IFERROR(__xludf.DUMMYFUNCTION("""COMPUTED_VALUE"""),"Bandra")</f>
        <v>Bandra</v>
      </c>
      <c r="E2126" s="14" t="str">
        <f>IFERROR(__xludf.DUMMYFUNCTION("""COMPUTED_VALUE"""),"Icecream+1*Priya Joshi")</f>
        <v>Icecream+1*Priya Joshi</v>
      </c>
      <c r="F2126" s="14">
        <f>IFERROR(__xludf.DUMMYFUNCTION("""COMPUTED_VALUE"""),11.0)</f>
        <v>11</v>
      </c>
      <c r="G2126" s="14">
        <f>IFERROR(__xludf.DUMMYFUNCTION("""COMPUTED_VALUE"""),15.0)</f>
        <v>15</v>
      </c>
      <c r="H2126" s="14">
        <f>IFERROR(__xludf.DUMMYFUNCTION("""COMPUTED_VALUE"""),2023.0)</f>
        <v>2023</v>
      </c>
      <c r="I2126" s="14" t="str">
        <f>IFERROR(__xludf.DUMMYFUNCTION("""COMPUTED_VALUE"""),"Credit Card")</f>
        <v>Credit Card</v>
      </c>
      <c r="J2126" s="14" t="str">
        <f>IFERROR(__xludf.DUMMYFUNCTION("""COMPUTED_VALUE"""),"Delivered*On-time Delivery: Delivered on time")</f>
        <v>Delivered*On-time Delivery: Delivered on time</v>
      </c>
      <c r="K2126" s="14" t="str">
        <f>IFERROR(__xludf.DUMMYFUNCTION("split(E2126,""+"")"),"Icecream")</f>
        <v>Icecream</v>
      </c>
      <c r="L2126" s="14" t="str">
        <f>IFERROR(__xludf.DUMMYFUNCTION("""COMPUTED_VALUE"""),"1*Priya Joshi")</f>
        <v>1*Priya Joshi</v>
      </c>
      <c r="M2126" s="14">
        <f>IFERROR(__xludf.DUMMYFUNCTION("SPLIT(L2126,""*"")"),1.0)</f>
        <v>1</v>
      </c>
      <c r="N2126" s="14" t="str">
        <f>IFERROR(__xludf.DUMMYFUNCTION("""COMPUTED_VALUE"""),"Priya Joshi")</f>
        <v>Priya Joshi</v>
      </c>
      <c r="O2126" s="14" t="str">
        <f>IFERROR(__xludf.DUMMYFUNCTION("split(J2126,""*"")"),"Delivered")</f>
        <v>Delivered</v>
      </c>
      <c r="P2126" s="14" t="str">
        <f>IFERROR(__xludf.DUMMYFUNCTION("""COMPUTED_VALUE"""),"On-time Delivery: Delivered on time")</f>
        <v>On-time Delivery: Delivered on time</v>
      </c>
      <c r="Q2126" s="14" t="str">
        <f>IFERROR(__xludf.DUMMYFUNCTION("split(P2126,"":"")"),"On-time Delivery")</f>
        <v>On-time Delivery</v>
      </c>
      <c r="R2126" s="14" t="str">
        <f>IFERROR(__xludf.DUMMYFUNCTION("""COMPUTED_VALUE""")," Delivered on time")</f>
        <v> Delivered on time</v>
      </c>
      <c r="S2126" s="14" t="str">
        <f t="shared" ref="S2126:U2126" si="4255">trim(B2126)</f>
        <v>ord_82100</v>
      </c>
      <c r="T2126" s="14" t="str">
        <f t="shared" si="4255"/>
        <v>Aarohi Kapoor</v>
      </c>
      <c r="U2126" s="14" t="str">
        <f t="shared" si="4255"/>
        <v>Bandra</v>
      </c>
      <c r="V2126" s="14" t="str">
        <f t="shared" si="4"/>
        <v>Icecream</v>
      </c>
      <c r="W2126" s="14">
        <f t="shared" si="5"/>
        <v>1</v>
      </c>
      <c r="X2126" s="14" t="str">
        <f t="shared" si="6"/>
        <v>Priya Joshi</v>
      </c>
      <c r="Y2126" s="15">
        <f t="shared" si="7"/>
        <v>45245</v>
      </c>
      <c r="Z2126" s="14" t="str">
        <f t="shared" si="8"/>
        <v>Credit Card</v>
      </c>
      <c r="AA2126" s="14" t="str">
        <f t="shared" si="9"/>
        <v>Delivered</v>
      </c>
      <c r="AB2126" s="14" t="str">
        <f t="shared" ref="AB2126:AC2126" si="4256">trim(Q2126)</f>
        <v>On-time Delivery</v>
      </c>
      <c r="AC2126" s="14" t="str">
        <f t="shared" si="4256"/>
        <v>Delivered on time</v>
      </c>
      <c r="AD2126" s="8"/>
    </row>
    <row r="2127">
      <c r="A2127" s="14" t="str">
        <f>IFERROR(__xludf.DUMMYFUNCTION("""COMPUTED_VALUE"""),"//ord_82101//Siya Reddy//Juhu//Chilli Cheese Toast+2*Not Assigned/8/26/2023//UPI//Cancelled*App Glitches:Slow Loading Time")</f>
        <v>//ord_82101//Siya Reddy//Juhu//Chilli Cheese Toast+2*Not Assigned/8/26/2023//UPI//Cancelled*App Glitches:Slow Loading Time</v>
      </c>
      <c r="B2127" s="14" t="str">
        <f>IFERROR(__xludf.DUMMYFUNCTION("split(A2127,""//"")"),"ord_82101")</f>
        <v>ord_82101</v>
      </c>
      <c r="C2127" s="14" t="str">
        <f>IFERROR(__xludf.DUMMYFUNCTION("""COMPUTED_VALUE"""),"Siya Reddy")</f>
        <v>Siya Reddy</v>
      </c>
      <c r="D2127" s="14" t="str">
        <f>IFERROR(__xludf.DUMMYFUNCTION("""COMPUTED_VALUE"""),"Juhu")</f>
        <v>Juhu</v>
      </c>
      <c r="E2127" s="14" t="str">
        <f>IFERROR(__xludf.DUMMYFUNCTION("""COMPUTED_VALUE"""),"Chilli Cheese Toast+2*Not Assigned")</f>
        <v>Chilli Cheese Toast+2*Not Assigned</v>
      </c>
      <c r="F2127" s="14">
        <f>IFERROR(__xludf.DUMMYFUNCTION("""COMPUTED_VALUE"""),8.0)</f>
        <v>8</v>
      </c>
      <c r="G2127" s="14">
        <f>IFERROR(__xludf.DUMMYFUNCTION("""COMPUTED_VALUE"""),26.0)</f>
        <v>26</v>
      </c>
      <c r="H2127" s="14">
        <f>IFERROR(__xludf.DUMMYFUNCTION("""COMPUTED_VALUE"""),2023.0)</f>
        <v>2023</v>
      </c>
      <c r="I2127" s="14" t="str">
        <f>IFERROR(__xludf.DUMMYFUNCTION("""COMPUTED_VALUE"""),"UPI")</f>
        <v>UPI</v>
      </c>
      <c r="J2127" s="14" t="str">
        <f>IFERROR(__xludf.DUMMYFUNCTION("""COMPUTED_VALUE"""),"Cancelled*App Glitches:Slow Loading Time")</f>
        <v>Cancelled*App Glitches:Slow Loading Time</v>
      </c>
      <c r="K2127" s="14" t="str">
        <f>IFERROR(__xludf.DUMMYFUNCTION("split(E2127,""+"")"),"Chilli Cheese Toast")</f>
        <v>Chilli Cheese Toast</v>
      </c>
      <c r="L2127" s="14" t="str">
        <f>IFERROR(__xludf.DUMMYFUNCTION("""COMPUTED_VALUE"""),"2*Not Assigned")</f>
        <v>2*Not Assigned</v>
      </c>
      <c r="M2127" s="14">
        <f>IFERROR(__xludf.DUMMYFUNCTION("SPLIT(L2127,""*"")"),2.0)</f>
        <v>2</v>
      </c>
      <c r="N2127" s="14" t="str">
        <f>IFERROR(__xludf.DUMMYFUNCTION("""COMPUTED_VALUE"""),"Not Assigned")</f>
        <v>Not Assigned</v>
      </c>
      <c r="O2127" s="14" t="str">
        <f>IFERROR(__xludf.DUMMYFUNCTION("split(J2127,""*"")"),"Cancelled")</f>
        <v>Cancelled</v>
      </c>
      <c r="P2127" s="14" t="str">
        <f>IFERROR(__xludf.DUMMYFUNCTION("""COMPUTED_VALUE"""),"App Glitches:Slow Loading Time")</f>
        <v>App Glitches:Slow Loading Time</v>
      </c>
      <c r="Q2127" s="14" t="str">
        <f>IFERROR(__xludf.DUMMYFUNCTION("split(P2127,"":"")"),"App Glitches")</f>
        <v>App Glitches</v>
      </c>
      <c r="R2127" s="14" t="str">
        <f>IFERROR(__xludf.DUMMYFUNCTION("""COMPUTED_VALUE"""),"Slow Loading Time")</f>
        <v>Slow Loading Time</v>
      </c>
      <c r="S2127" s="14" t="str">
        <f t="shared" ref="S2127:U2127" si="4257">trim(B2127)</f>
        <v>ord_82101</v>
      </c>
      <c r="T2127" s="14" t="str">
        <f t="shared" si="4257"/>
        <v>Siya Reddy</v>
      </c>
      <c r="U2127" s="14" t="str">
        <f t="shared" si="4257"/>
        <v>Juhu</v>
      </c>
      <c r="V2127" s="14" t="str">
        <f t="shared" si="4"/>
        <v>Chilli Cheese Toast</v>
      </c>
      <c r="W2127" s="14">
        <f t="shared" si="5"/>
        <v>2</v>
      </c>
      <c r="X2127" s="14" t="str">
        <f t="shared" si="6"/>
        <v>Not Assigned</v>
      </c>
      <c r="Y2127" s="15">
        <f t="shared" si="7"/>
        <v>45164</v>
      </c>
      <c r="Z2127" s="14" t="str">
        <f t="shared" si="8"/>
        <v>UPI</v>
      </c>
      <c r="AA2127" s="14" t="str">
        <f t="shared" si="9"/>
        <v>Cancelled</v>
      </c>
      <c r="AB2127" s="14" t="str">
        <f t="shared" ref="AB2127:AC2127" si="4258">trim(Q2127)</f>
        <v>App Glitches</v>
      </c>
      <c r="AC2127" s="14" t="str">
        <f t="shared" si="4258"/>
        <v>Slow Loading Time</v>
      </c>
      <c r="AD2127" s="8"/>
    </row>
    <row r="2128">
      <c r="A2128" s="14" t="str">
        <f>IFERROR(__xludf.DUMMYFUNCTION("""COMPUTED_VALUE"""),"//ord_82102//Diya Arora//Lower Parel//Orange+1*Kiran Mehta/8/3/2023//Credit Card//Delivered*Quality of Items: Perfect condition")</f>
        <v>//ord_82102//Diya Arora//Lower Parel//Orange+1*Kiran Mehta/8/3/2023//Credit Card//Delivered*Quality of Items: Perfect condition</v>
      </c>
      <c r="B2128" s="14" t="str">
        <f>IFERROR(__xludf.DUMMYFUNCTION("split(A2128,""//"")"),"ord_82102")</f>
        <v>ord_82102</v>
      </c>
      <c r="C2128" s="14" t="str">
        <f>IFERROR(__xludf.DUMMYFUNCTION("""COMPUTED_VALUE"""),"Diya Arora")</f>
        <v>Diya Arora</v>
      </c>
      <c r="D2128" s="14" t="str">
        <f>IFERROR(__xludf.DUMMYFUNCTION("""COMPUTED_VALUE"""),"Lower Parel")</f>
        <v>Lower Parel</v>
      </c>
      <c r="E2128" s="14" t="str">
        <f>IFERROR(__xludf.DUMMYFUNCTION("""COMPUTED_VALUE"""),"Orange+1*Kiran Mehta")</f>
        <v>Orange+1*Kiran Mehta</v>
      </c>
      <c r="F2128" s="14">
        <f>IFERROR(__xludf.DUMMYFUNCTION("""COMPUTED_VALUE"""),8.0)</f>
        <v>8</v>
      </c>
      <c r="G2128" s="14">
        <f>IFERROR(__xludf.DUMMYFUNCTION("""COMPUTED_VALUE"""),3.0)</f>
        <v>3</v>
      </c>
      <c r="H2128" s="14">
        <f>IFERROR(__xludf.DUMMYFUNCTION("""COMPUTED_VALUE"""),2023.0)</f>
        <v>2023</v>
      </c>
      <c r="I2128" s="14" t="str">
        <f>IFERROR(__xludf.DUMMYFUNCTION("""COMPUTED_VALUE"""),"Credit Card")</f>
        <v>Credit Card</v>
      </c>
      <c r="J2128" s="14" t="str">
        <f>IFERROR(__xludf.DUMMYFUNCTION("""COMPUTED_VALUE"""),"Delivered*Quality of Items: Perfect condition")</f>
        <v>Delivered*Quality of Items: Perfect condition</v>
      </c>
      <c r="K2128" s="14" t="str">
        <f>IFERROR(__xludf.DUMMYFUNCTION("split(E2128,""+"")"),"Orange")</f>
        <v>Orange</v>
      </c>
      <c r="L2128" s="14" t="str">
        <f>IFERROR(__xludf.DUMMYFUNCTION("""COMPUTED_VALUE"""),"1*Kiran Mehta")</f>
        <v>1*Kiran Mehta</v>
      </c>
      <c r="M2128" s="14">
        <f>IFERROR(__xludf.DUMMYFUNCTION("SPLIT(L2128,""*"")"),1.0)</f>
        <v>1</v>
      </c>
      <c r="N2128" s="14" t="str">
        <f>IFERROR(__xludf.DUMMYFUNCTION("""COMPUTED_VALUE"""),"Kiran Mehta")</f>
        <v>Kiran Mehta</v>
      </c>
      <c r="O2128" s="14" t="str">
        <f>IFERROR(__xludf.DUMMYFUNCTION("split(J2128,""*"")"),"Delivered")</f>
        <v>Delivered</v>
      </c>
      <c r="P2128" s="14" t="str">
        <f>IFERROR(__xludf.DUMMYFUNCTION("""COMPUTED_VALUE"""),"Quality of Items: Perfect condition")</f>
        <v>Quality of Items: Perfect condition</v>
      </c>
      <c r="Q2128" s="14" t="str">
        <f>IFERROR(__xludf.DUMMYFUNCTION("split(P2128,"":"")"),"Quality of Items")</f>
        <v>Quality of Items</v>
      </c>
      <c r="R2128" s="14" t="str">
        <f>IFERROR(__xludf.DUMMYFUNCTION("""COMPUTED_VALUE""")," Perfect condition")</f>
        <v> Perfect condition</v>
      </c>
      <c r="S2128" s="14" t="str">
        <f t="shared" ref="S2128:U2128" si="4259">trim(B2128)</f>
        <v>ord_82102</v>
      </c>
      <c r="T2128" s="14" t="str">
        <f t="shared" si="4259"/>
        <v>Diya Arora</v>
      </c>
      <c r="U2128" s="14" t="str">
        <f t="shared" si="4259"/>
        <v>Lower Parel</v>
      </c>
      <c r="V2128" s="14" t="str">
        <f t="shared" si="4"/>
        <v>Orange</v>
      </c>
      <c r="W2128" s="14">
        <f t="shared" si="5"/>
        <v>1</v>
      </c>
      <c r="X2128" s="14" t="str">
        <f t="shared" si="6"/>
        <v>Kiran Mehta</v>
      </c>
      <c r="Y2128" s="15">
        <f t="shared" si="7"/>
        <v>45141</v>
      </c>
      <c r="Z2128" s="14" t="str">
        <f t="shared" si="8"/>
        <v>Credit Card</v>
      </c>
      <c r="AA2128" s="14" t="str">
        <f t="shared" si="9"/>
        <v>Delivered</v>
      </c>
      <c r="AB2128" s="14" t="str">
        <f t="shared" ref="AB2128:AC2128" si="4260">trim(Q2128)</f>
        <v>Quality of Items</v>
      </c>
      <c r="AC2128" s="14" t="str">
        <f t="shared" si="4260"/>
        <v>Perfect condition</v>
      </c>
      <c r="AD2128" s="8"/>
    </row>
    <row r="2129">
      <c r="A2129" s="14" t="str">
        <f>IFERROR(__xludf.DUMMYFUNCTION("""COMPUTED_VALUE"""),"//ord_82103//Aarohi Kapoor//Bandra//Onion+2*Priya Joshi/9/14/2023//Credit Card//Delivered*Packaging: Secure and intact")</f>
        <v>//ord_82103//Aarohi Kapoor//Bandra//Onion+2*Priya Joshi/9/14/2023//Credit Card//Delivered*Packaging: Secure and intact</v>
      </c>
      <c r="B2129" s="14" t="str">
        <f>IFERROR(__xludf.DUMMYFUNCTION("split(A2129,""//"")"),"ord_82103")</f>
        <v>ord_82103</v>
      </c>
      <c r="C2129" s="14" t="str">
        <f>IFERROR(__xludf.DUMMYFUNCTION("""COMPUTED_VALUE"""),"Aarohi Kapoor")</f>
        <v>Aarohi Kapoor</v>
      </c>
      <c r="D2129" s="14" t="str">
        <f>IFERROR(__xludf.DUMMYFUNCTION("""COMPUTED_VALUE"""),"Bandra")</f>
        <v>Bandra</v>
      </c>
      <c r="E2129" s="14" t="str">
        <f>IFERROR(__xludf.DUMMYFUNCTION("""COMPUTED_VALUE"""),"Onion+2*Priya Joshi")</f>
        <v>Onion+2*Priya Joshi</v>
      </c>
      <c r="F2129" s="14">
        <f>IFERROR(__xludf.DUMMYFUNCTION("""COMPUTED_VALUE"""),9.0)</f>
        <v>9</v>
      </c>
      <c r="G2129" s="14">
        <f>IFERROR(__xludf.DUMMYFUNCTION("""COMPUTED_VALUE"""),14.0)</f>
        <v>14</v>
      </c>
      <c r="H2129" s="14">
        <f>IFERROR(__xludf.DUMMYFUNCTION("""COMPUTED_VALUE"""),2023.0)</f>
        <v>2023</v>
      </c>
      <c r="I2129" s="14" t="str">
        <f>IFERROR(__xludf.DUMMYFUNCTION("""COMPUTED_VALUE"""),"Credit Card")</f>
        <v>Credit Card</v>
      </c>
      <c r="J2129" s="14" t="str">
        <f>IFERROR(__xludf.DUMMYFUNCTION("""COMPUTED_VALUE"""),"Delivered*Packaging: Secure and intact")</f>
        <v>Delivered*Packaging: Secure and intact</v>
      </c>
      <c r="K2129" s="14" t="str">
        <f>IFERROR(__xludf.DUMMYFUNCTION("split(E2129,""+"")"),"Onion")</f>
        <v>Onion</v>
      </c>
      <c r="L2129" s="14" t="str">
        <f>IFERROR(__xludf.DUMMYFUNCTION("""COMPUTED_VALUE"""),"2*Priya Joshi")</f>
        <v>2*Priya Joshi</v>
      </c>
      <c r="M2129" s="14">
        <f>IFERROR(__xludf.DUMMYFUNCTION("SPLIT(L2129,""*"")"),2.0)</f>
        <v>2</v>
      </c>
      <c r="N2129" s="14" t="str">
        <f>IFERROR(__xludf.DUMMYFUNCTION("""COMPUTED_VALUE"""),"Priya Joshi")</f>
        <v>Priya Joshi</v>
      </c>
      <c r="O2129" s="14" t="str">
        <f>IFERROR(__xludf.DUMMYFUNCTION("split(J2129,""*"")"),"Delivered")</f>
        <v>Delivered</v>
      </c>
      <c r="P2129" s="14" t="str">
        <f>IFERROR(__xludf.DUMMYFUNCTION("""COMPUTED_VALUE"""),"Packaging: Secure and intact")</f>
        <v>Packaging: Secure and intact</v>
      </c>
      <c r="Q2129" s="14" t="str">
        <f>IFERROR(__xludf.DUMMYFUNCTION("split(P2129,"":"")"),"Packaging")</f>
        <v>Packaging</v>
      </c>
      <c r="R2129" s="14" t="str">
        <f>IFERROR(__xludf.DUMMYFUNCTION("""COMPUTED_VALUE""")," Secure and intact")</f>
        <v> Secure and intact</v>
      </c>
      <c r="S2129" s="14" t="str">
        <f t="shared" ref="S2129:U2129" si="4261">trim(B2129)</f>
        <v>ord_82103</v>
      </c>
      <c r="T2129" s="14" t="str">
        <f t="shared" si="4261"/>
        <v>Aarohi Kapoor</v>
      </c>
      <c r="U2129" s="14" t="str">
        <f t="shared" si="4261"/>
        <v>Bandra</v>
      </c>
      <c r="V2129" s="14" t="str">
        <f t="shared" si="4"/>
        <v>Onion</v>
      </c>
      <c r="W2129" s="14">
        <f t="shared" si="5"/>
        <v>2</v>
      </c>
      <c r="X2129" s="14" t="str">
        <f t="shared" si="6"/>
        <v>Priya Joshi</v>
      </c>
      <c r="Y2129" s="15">
        <f t="shared" si="7"/>
        <v>45183</v>
      </c>
      <c r="Z2129" s="14" t="str">
        <f t="shared" si="8"/>
        <v>Credit Card</v>
      </c>
      <c r="AA2129" s="14" t="str">
        <f t="shared" si="9"/>
        <v>Delivered</v>
      </c>
      <c r="AB2129" s="14" t="str">
        <f t="shared" ref="AB2129:AC2129" si="4262">trim(Q2129)</f>
        <v>Packaging</v>
      </c>
      <c r="AC2129" s="14" t="str">
        <f t="shared" si="4262"/>
        <v>Secure and intact</v>
      </c>
      <c r="AD2129" s="8"/>
    </row>
    <row r="2130">
      <c r="A2130" s="14" t="str">
        <f>IFERROR(__xludf.DUMMYFUNCTION("""COMPUTED_VALUE"""),"//ord_82104//Omkar Mishra//Powai//Tiramisu+3*Sandeep Kumar/5/5/2023//Online Payment//Delivered*Satisfied with the Delivery: Timely and quality")</f>
        <v>//ord_82104//Omkar Mishra//Powai//Tiramisu+3*Sandeep Kumar/5/5/2023//Online Payment//Delivered*Satisfied with the Delivery: Timely and quality</v>
      </c>
      <c r="B2130" s="14" t="str">
        <f>IFERROR(__xludf.DUMMYFUNCTION("split(A2130,""//"")"),"ord_82104")</f>
        <v>ord_82104</v>
      </c>
      <c r="C2130" s="14" t="str">
        <f>IFERROR(__xludf.DUMMYFUNCTION("""COMPUTED_VALUE"""),"Omkar Mishra")</f>
        <v>Omkar Mishra</v>
      </c>
      <c r="D2130" s="14" t="str">
        <f>IFERROR(__xludf.DUMMYFUNCTION("""COMPUTED_VALUE"""),"Powai")</f>
        <v>Powai</v>
      </c>
      <c r="E2130" s="14" t="str">
        <f>IFERROR(__xludf.DUMMYFUNCTION("""COMPUTED_VALUE"""),"Tiramisu+3*Sandeep Kumar")</f>
        <v>Tiramisu+3*Sandeep Kumar</v>
      </c>
      <c r="F2130" s="14">
        <f>IFERROR(__xludf.DUMMYFUNCTION("""COMPUTED_VALUE"""),5.0)</f>
        <v>5</v>
      </c>
      <c r="G2130" s="14">
        <f>IFERROR(__xludf.DUMMYFUNCTION("""COMPUTED_VALUE"""),5.0)</f>
        <v>5</v>
      </c>
      <c r="H2130" s="14">
        <f>IFERROR(__xludf.DUMMYFUNCTION("""COMPUTED_VALUE"""),2023.0)</f>
        <v>2023</v>
      </c>
      <c r="I2130" s="14" t="str">
        <f>IFERROR(__xludf.DUMMYFUNCTION("""COMPUTED_VALUE"""),"Online Payment")</f>
        <v>Online Payment</v>
      </c>
      <c r="J2130" s="14" t="str">
        <f>IFERROR(__xludf.DUMMYFUNCTION("""COMPUTED_VALUE"""),"Delivered*Satisfied with the Delivery: Timely and quality")</f>
        <v>Delivered*Satisfied with the Delivery: Timely and quality</v>
      </c>
      <c r="K2130" s="14" t="str">
        <f>IFERROR(__xludf.DUMMYFUNCTION("split(E2130,""+"")"),"Tiramisu")</f>
        <v>Tiramisu</v>
      </c>
      <c r="L2130" s="14" t="str">
        <f>IFERROR(__xludf.DUMMYFUNCTION("""COMPUTED_VALUE"""),"3*Sandeep Kumar")</f>
        <v>3*Sandeep Kumar</v>
      </c>
      <c r="M2130" s="14">
        <f>IFERROR(__xludf.DUMMYFUNCTION("SPLIT(L2130,""*"")"),3.0)</f>
        <v>3</v>
      </c>
      <c r="N2130" s="14" t="str">
        <f>IFERROR(__xludf.DUMMYFUNCTION("""COMPUTED_VALUE"""),"Sandeep Kumar")</f>
        <v>Sandeep Kumar</v>
      </c>
      <c r="O2130" s="14" t="str">
        <f>IFERROR(__xludf.DUMMYFUNCTION("split(J2130,""*"")"),"Delivered")</f>
        <v>Delivered</v>
      </c>
      <c r="P2130" s="14" t="str">
        <f>IFERROR(__xludf.DUMMYFUNCTION("""COMPUTED_VALUE"""),"Satisfied with the Delivery: Timely and quality")</f>
        <v>Satisfied with the Delivery: Timely and quality</v>
      </c>
      <c r="Q2130" s="14" t="str">
        <f>IFERROR(__xludf.DUMMYFUNCTION("split(P2130,"":"")"),"Satisfied with the Delivery")</f>
        <v>Satisfied with the Delivery</v>
      </c>
      <c r="R2130" s="14" t="str">
        <f>IFERROR(__xludf.DUMMYFUNCTION("""COMPUTED_VALUE""")," Timely and quality")</f>
        <v> Timely and quality</v>
      </c>
      <c r="S2130" s="14" t="str">
        <f t="shared" ref="S2130:U2130" si="4263">trim(B2130)</f>
        <v>ord_82104</v>
      </c>
      <c r="T2130" s="14" t="str">
        <f t="shared" si="4263"/>
        <v>Omkar Mishra</v>
      </c>
      <c r="U2130" s="14" t="str">
        <f t="shared" si="4263"/>
        <v>Powai</v>
      </c>
      <c r="V2130" s="14" t="str">
        <f t="shared" si="4"/>
        <v>Tiramisu</v>
      </c>
      <c r="W2130" s="14">
        <f t="shared" si="5"/>
        <v>3</v>
      </c>
      <c r="X2130" s="14" t="str">
        <f t="shared" si="6"/>
        <v>Sandeep Kumar</v>
      </c>
      <c r="Y2130" s="15">
        <f t="shared" si="7"/>
        <v>45051</v>
      </c>
      <c r="Z2130" s="14" t="str">
        <f t="shared" si="8"/>
        <v>Online Payment</v>
      </c>
      <c r="AA2130" s="14" t="str">
        <f t="shared" si="9"/>
        <v>Delivered</v>
      </c>
      <c r="AB2130" s="14" t="str">
        <f t="shared" ref="AB2130:AC2130" si="4264">trim(Q2130)</f>
        <v>Satisfied with the Delivery</v>
      </c>
      <c r="AC2130" s="14" t="str">
        <f t="shared" si="4264"/>
        <v>Timely and quality</v>
      </c>
      <c r="AD2130" s="8"/>
    </row>
    <row r="2131">
      <c r="A2131" s="14" t="str">
        <f>IFERROR(__xludf.DUMMYFUNCTION("""COMPUTED_VALUE"""),"//ord_82105//Mohit Malhotra//Lower Parel//Chilli Cheese Toast+2*Kiran Mehta/11/23/2023//Online Payment//Delivered*Customer Service: Seamless and easy")</f>
        <v>//ord_82105//Mohit Malhotra//Lower Parel//Chilli Cheese Toast+2*Kiran Mehta/11/23/2023//Online Payment//Delivered*Customer Service: Seamless and easy</v>
      </c>
      <c r="B2131" s="14" t="str">
        <f>IFERROR(__xludf.DUMMYFUNCTION("split(A2131,""//"")"),"ord_82105")</f>
        <v>ord_82105</v>
      </c>
      <c r="C2131" s="14" t="str">
        <f>IFERROR(__xludf.DUMMYFUNCTION("""COMPUTED_VALUE"""),"Mohit Malhotra")</f>
        <v>Mohit Malhotra</v>
      </c>
      <c r="D2131" s="14" t="str">
        <f>IFERROR(__xludf.DUMMYFUNCTION("""COMPUTED_VALUE"""),"Lower Parel")</f>
        <v>Lower Parel</v>
      </c>
      <c r="E2131" s="14" t="str">
        <f>IFERROR(__xludf.DUMMYFUNCTION("""COMPUTED_VALUE"""),"Chilli Cheese Toast+2*Kiran Mehta")</f>
        <v>Chilli Cheese Toast+2*Kiran Mehta</v>
      </c>
      <c r="F2131" s="14">
        <f>IFERROR(__xludf.DUMMYFUNCTION("""COMPUTED_VALUE"""),11.0)</f>
        <v>11</v>
      </c>
      <c r="G2131" s="14">
        <f>IFERROR(__xludf.DUMMYFUNCTION("""COMPUTED_VALUE"""),23.0)</f>
        <v>23</v>
      </c>
      <c r="H2131" s="14">
        <f>IFERROR(__xludf.DUMMYFUNCTION("""COMPUTED_VALUE"""),2023.0)</f>
        <v>2023</v>
      </c>
      <c r="I2131" s="14" t="str">
        <f>IFERROR(__xludf.DUMMYFUNCTION("""COMPUTED_VALUE"""),"Online Payment")</f>
        <v>Online Payment</v>
      </c>
      <c r="J2131" s="14" t="str">
        <f>IFERROR(__xludf.DUMMYFUNCTION("""COMPUTED_VALUE"""),"Delivered*Customer Service: Seamless and easy")</f>
        <v>Delivered*Customer Service: Seamless and easy</v>
      </c>
      <c r="K2131" s="14" t="str">
        <f>IFERROR(__xludf.DUMMYFUNCTION("split(E2131,""+"")"),"Chilli Cheese Toast")</f>
        <v>Chilli Cheese Toast</v>
      </c>
      <c r="L2131" s="14" t="str">
        <f>IFERROR(__xludf.DUMMYFUNCTION("""COMPUTED_VALUE"""),"2*Kiran Mehta")</f>
        <v>2*Kiran Mehta</v>
      </c>
      <c r="M2131" s="14">
        <f>IFERROR(__xludf.DUMMYFUNCTION("SPLIT(L2131,""*"")"),2.0)</f>
        <v>2</v>
      </c>
      <c r="N2131" s="14" t="str">
        <f>IFERROR(__xludf.DUMMYFUNCTION("""COMPUTED_VALUE"""),"Kiran Mehta")</f>
        <v>Kiran Mehta</v>
      </c>
      <c r="O2131" s="14" t="str">
        <f>IFERROR(__xludf.DUMMYFUNCTION("split(J2131,""*"")"),"Delivered")</f>
        <v>Delivered</v>
      </c>
      <c r="P2131" s="14" t="str">
        <f>IFERROR(__xludf.DUMMYFUNCTION("""COMPUTED_VALUE"""),"Customer Service: Seamless and easy")</f>
        <v>Customer Service: Seamless and easy</v>
      </c>
      <c r="Q2131" s="14" t="str">
        <f>IFERROR(__xludf.DUMMYFUNCTION("split(P2131,"":"")"),"Customer Service")</f>
        <v>Customer Service</v>
      </c>
      <c r="R2131" s="14" t="str">
        <f>IFERROR(__xludf.DUMMYFUNCTION("""COMPUTED_VALUE""")," Seamless and easy")</f>
        <v> Seamless and easy</v>
      </c>
      <c r="S2131" s="14" t="str">
        <f t="shared" ref="S2131:U2131" si="4265">trim(B2131)</f>
        <v>ord_82105</v>
      </c>
      <c r="T2131" s="14" t="str">
        <f t="shared" si="4265"/>
        <v>Mohit Malhotra</v>
      </c>
      <c r="U2131" s="14" t="str">
        <f t="shared" si="4265"/>
        <v>Lower Parel</v>
      </c>
      <c r="V2131" s="14" t="str">
        <f t="shared" si="4"/>
        <v>Chilli Cheese Toast</v>
      </c>
      <c r="W2131" s="14">
        <f t="shared" si="5"/>
        <v>2</v>
      </c>
      <c r="X2131" s="14" t="str">
        <f t="shared" si="6"/>
        <v>Kiran Mehta</v>
      </c>
      <c r="Y2131" s="15">
        <f t="shared" si="7"/>
        <v>45253</v>
      </c>
      <c r="Z2131" s="14" t="str">
        <f t="shared" si="8"/>
        <v>Online Payment</v>
      </c>
      <c r="AA2131" s="14" t="str">
        <f t="shared" si="9"/>
        <v>Delivered</v>
      </c>
      <c r="AB2131" s="14" t="str">
        <f t="shared" ref="AB2131:AC2131" si="4266">trim(Q2131)</f>
        <v>Customer Service</v>
      </c>
      <c r="AC2131" s="14" t="str">
        <f t="shared" si="4266"/>
        <v>Seamless and easy</v>
      </c>
      <c r="AD2131" s="8"/>
    </row>
    <row r="2132">
      <c r="A2132" s="14" t="str">
        <f>IFERROR(__xludf.DUMMYFUNCTION("""COMPUTED_VALUE"""),"//ord_82106//Aarav Mehta//Andheri//Guava+2*Rohan Yadav/4/5/2023//Credit Card//Delivered*Delivery Experience: Quick and professional")</f>
        <v>//ord_82106//Aarav Mehta//Andheri//Guava+2*Rohan Yadav/4/5/2023//Credit Card//Delivered*Delivery Experience: Quick and professional</v>
      </c>
      <c r="B2132" s="14" t="str">
        <f>IFERROR(__xludf.DUMMYFUNCTION("split(A2132,""//"")"),"ord_82106")</f>
        <v>ord_82106</v>
      </c>
      <c r="C2132" s="14" t="str">
        <f>IFERROR(__xludf.DUMMYFUNCTION("""COMPUTED_VALUE"""),"Aarav Mehta")</f>
        <v>Aarav Mehta</v>
      </c>
      <c r="D2132" s="14" t="str">
        <f>IFERROR(__xludf.DUMMYFUNCTION("""COMPUTED_VALUE"""),"Andheri")</f>
        <v>Andheri</v>
      </c>
      <c r="E2132" s="14" t="str">
        <f>IFERROR(__xludf.DUMMYFUNCTION("""COMPUTED_VALUE"""),"Guava+2*Rohan Yadav")</f>
        <v>Guava+2*Rohan Yadav</v>
      </c>
      <c r="F2132" s="14">
        <f>IFERROR(__xludf.DUMMYFUNCTION("""COMPUTED_VALUE"""),4.0)</f>
        <v>4</v>
      </c>
      <c r="G2132" s="14">
        <f>IFERROR(__xludf.DUMMYFUNCTION("""COMPUTED_VALUE"""),5.0)</f>
        <v>5</v>
      </c>
      <c r="H2132" s="14">
        <f>IFERROR(__xludf.DUMMYFUNCTION("""COMPUTED_VALUE"""),2023.0)</f>
        <v>2023</v>
      </c>
      <c r="I2132" s="14" t="str">
        <f>IFERROR(__xludf.DUMMYFUNCTION("""COMPUTED_VALUE"""),"Credit Card")</f>
        <v>Credit Card</v>
      </c>
      <c r="J2132" s="14" t="str">
        <f>IFERROR(__xludf.DUMMYFUNCTION("""COMPUTED_VALUE"""),"Delivered*Delivery Experience: Quick and professional")</f>
        <v>Delivered*Delivery Experience: Quick and professional</v>
      </c>
      <c r="K2132" s="14" t="str">
        <f>IFERROR(__xludf.DUMMYFUNCTION("split(E2132,""+"")"),"Guava")</f>
        <v>Guava</v>
      </c>
      <c r="L2132" s="14" t="str">
        <f>IFERROR(__xludf.DUMMYFUNCTION("""COMPUTED_VALUE"""),"2*Rohan Yadav")</f>
        <v>2*Rohan Yadav</v>
      </c>
      <c r="M2132" s="14">
        <f>IFERROR(__xludf.DUMMYFUNCTION("SPLIT(L2132,""*"")"),2.0)</f>
        <v>2</v>
      </c>
      <c r="N2132" s="14" t="str">
        <f>IFERROR(__xludf.DUMMYFUNCTION("""COMPUTED_VALUE"""),"Rohan Yadav")</f>
        <v>Rohan Yadav</v>
      </c>
      <c r="O2132" s="14" t="str">
        <f>IFERROR(__xludf.DUMMYFUNCTION("split(J2132,""*"")"),"Delivered")</f>
        <v>Delivered</v>
      </c>
      <c r="P2132" s="14" t="str">
        <f>IFERROR(__xludf.DUMMYFUNCTION("""COMPUTED_VALUE"""),"Delivery Experience: Quick and professional")</f>
        <v>Delivery Experience: Quick and professional</v>
      </c>
      <c r="Q2132" s="14" t="str">
        <f>IFERROR(__xludf.DUMMYFUNCTION("split(P2132,"":"")"),"Delivery Experience")</f>
        <v>Delivery Experience</v>
      </c>
      <c r="R2132" s="14" t="str">
        <f>IFERROR(__xludf.DUMMYFUNCTION("""COMPUTED_VALUE""")," Quick and professional")</f>
        <v> Quick and professional</v>
      </c>
      <c r="S2132" s="14" t="str">
        <f t="shared" ref="S2132:U2132" si="4267">trim(B2132)</f>
        <v>ord_82106</v>
      </c>
      <c r="T2132" s="14" t="str">
        <f t="shared" si="4267"/>
        <v>Aarav Mehta</v>
      </c>
      <c r="U2132" s="14" t="str">
        <f t="shared" si="4267"/>
        <v>Andheri</v>
      </c>
      <c r="V2132" s="14" t="str">
        <f t="shared" si="4"/>
        <v>Guava</v>
      </c>
      <c r="W2132" s="14">
        <f t="shared" si="5"/>
        <v>2</v>
      </c>
      <c r="X2132" s="14" t="str">
        <f t="shared" si="6"/>
        <v>Rohan Yadav</v>
      </c>
      <c r="Y2132" s="15">
        <f t="shared" si="7"/>
        <v>45021</v>
      </c>
      <c r="Z2132" s="14" t="str">
        <f t="shared" si="8"/>
        <v>Credit Card</v>
      </c>
      <c r="AA2132" s="14" t="str">
        <f t="shared" si="9"/>
        <v>Delivered</v>
      </c>
      <c r="AB2132" s="14" t="str">
        <f t="shared" ref="AB2132:AC2132" si="4268">trim(Q2132)</f>
        <v>Delivery Experience</v>
      </c>
      <c r="AC2132" s="14" t="str">
        <f t="shared" si="4268"/>
        <v>Quick and professional</v>
      </c>
      <c r="AD2132" s="8"/>
    </row>
    <row r="2133">
      <c r="A2133" s="14" t="str">
        <f>IFERROR(__xludf.DUMMYFUNCTION("""COMPUTED_VALUE"""),"//ord_82107//Omkar Mishra//Powai//Tiramisu+1*Sandeep Kumar/12/28/2023//Credit Card//Delivered*Convenience: Easy tracking")</f>
        <v>//ord_82107//Omkar Mishra//Powai//Tiramisu+1*Sandeep Kumar/12/28/2023//Credit Card//Delivered*Convenience: Easy tracking</v>
      </c>
      <c r="B2133" s="14" t="str">
        <f>IFERROR(__xludf.DUMMYFUNCTION("split(A2133,""//"")"),"ord_82107")</f>
        <v>ord_82107</v>
      </c>
      <c r="C2133" s="14" t="str">
        <f>IFERROR(__xludf.DUMMYFUNCTION("""COMPUTED_VALUE"""),"Omkar Mishra")</f>
        <v>Omkar Mishra</v>
      </c>
      <c r="D2133" s="14" t="str">
        <f>IFERROR(__xludf.DUMMYFUNCTION("""COMPUTED_VALUE"""),"Powai")</f>
        <v>Powai</v>
      </c>
      <c r="E2133" s="14" t="str">
        <f>IFERROR(__xludf.DUMMYFUNCTION("""COMPUTED_VALUE"""),"Tiramisu+1*Sandeep Kumar")</f>
        <v>Tiramisu+1*Sandeep Kumar</v>
      </c>
      <c r="F2133" s="14">
        <f>IFERROR(__xludf.DUMMYFUNCTION("""COMPUTED_VALUE"""),12.0)</f>
        <v>12</v>
      </c>
      <c r="G2133" s="14">
        <f>IFERROR(__xludf.DUMMYFUNCTION("""COMPUTED_VALUE"""),28.0)</f>
        <v>28</v>
      </c>
      <c r="H2133" s="14">
        <f>IFERROR(__xludf.DUMMYFUNCTION("""COMPUTED_VALUE"""),2023.0)</f>
        <v>2023</v>
      </c>
      <c r="I2133" s="14" t="str">
        <f>IFERROR(__xludf.DUMMYFUNCTION("""COMPUTED_VALUE"""),"Credit Card")</f>
        <v>Credit Card</v>
      </c>
      <c r="J2133" s="14" t="str">
        <f>IFERROR(__xludf.DUMMYFUNCTION("""COMPUTED_VALUE"""),"Delivered*Convenience: Easy tracking")</f>
        <v>Delivered*Convenience: Easy tracking</v>
      </c>
      <c r="K2133" s="14" t="str">
        <f>IFERROR(__xludf.DUMMYFUNCTION("split(E2133,""+"")"),"Tiramisu")</f>
        <v>Tiramisu</v>
      </c>
      <c r="L2133" s="14" t="str">
        <f>IFERROR(__xludf.DUMMYFUNCTION("""COMPUTED_VALUE"""),"1*Sandeep Kumar")</f>
        <v>1*Sandeep Kumar</v>
      </c>
      <c r="M2133" s="14">
        <f>IFERROR(__xludf.DUMMYFUNCTION("SPLIT(L2133,""*"")"),1.0)</f>
        <v>1</v>
      </c>
      <c r="N2133" s="14" t="str">
        <f>IFERROR(__xludf.DUMMYFUNCTION("""COMPUTED_VALUE"""),"Sandeep Kumar")</f>
        <v>Sandeep Kumar</v>
      </c>
      <c r="O2133" s="14" t="str">
        <f>IFERROR(__xludf.DUMMYFUNCTION("split(J2133,""*"")"),"Delivered")</f>
        <v>Delivered</v>
      </c>
      <c r="P2133" s="14" t="str">
        <f>IFERROR(__xludf.DUMMYFUNCTION("""COMPUTED_VALUE"""),"Convenience: Easy tracking")</f>
        <v>Convenience: Easy tracking</v>
      </c>
      <c r="Q2133" s="14" t="str">
        <f>IFERROR(__xludf.DUMMYFUNCTION("split(P2133,"":"")"),"Convenience")</f>
        <v>Convenience</v>
      </c>
      <c r="R2133" s="14" t="str">
        <f>IFERROR(__xludf.DUMMYFUNCTION("""COMPUTED_VALUE""")," Easy tracking")</f>
        <v> Easy tracking</v>
      </c>
      <c r="S2133" s="14" t="str">
        <f t="shared" ref="S2133:U2133" si="4269">trim(B2133)</f>
        <v>ord_82107</v>
      </c>
      <c r="T2133" s="14" t="str">
        <f t="shared" si="4269"/>
        <v>Omkar Mishra</v>
      </c>
      <c r="U2133" s="14" t="str">
        <f t="shared" si="4269"/>
        <v>Powai</v>
      </c>
      <c r="V2133" s="14" t="str">
        <f t="shared" si="4"/>
        <v>Tiramisu</v>
      </c>
      <c r="W2133" s="14">
        <f t="shared" si="5"/>
        <v>1</v>
      </c>
      <c r="X2133" s="14" t="str">
        <f t="shared" si="6"/>
        <v>Sandeep Kumar</v>
      </c>
      <c r="Y2133" s="15">
        <f t="shared" si="7"/>
        <v>45288</v>
      </c>
      <c r="Z2133" s="14" t="str">
        <f t="shared" si="8"/>
        <v>Credit Card</v>
      </c>
      <c r="AA2133" s="14" t="str">
        <f t="shared" si="9"/>
        <v>Delivered</v>
      </c>
      <c r="AB2133" s="14" t="str">
        <f t="shared" ref="AB2133:AC2133" si="4270">trim(Q2133)</f>
        <v>Convenience</v>
      </c>
      <c r="AC2133" s="14" t="str">
        <f t="shared" si="4270"/>
        <v>Easy tracking</v>
      </c>
      <c r="AD2133" s="8"/>
    </row>
    <row r="2134">
      <c r="A2134" s="14" t="str">
        <f>IFERROR(__xludf.DUMMYFUNCTION("""COMPUTED_VALUE"""),"//ord_82108//Aditi Iyer//Dadar//Veg Puff+1*Aman Kumar/4/15/2023//Online Payment//Delivered*Overall Satisfaction: Great service will order again")</f>
        <v>//ord_82108//Aditi Iyer//Dadar//Veg Puff+1*Aman Kumar/4/15/2023//Online Payment//Delivered*Overall Satisfaction: Great service will order again</v>
      </c>
      <c r="B2134" s="14" t="str">
        <f>IFERROR(__xludf.DUMMYFUNCTION("split(A2134,""//"")"),"ord_82108")</f>
        <v>ord_82108</v>
      </c>
      <c r="C2134" s="14" t="str">
        <f>IFERROR(__xludf.DUMMYFUNCTION("""COMPUTED_VALUE"""),"Aditi Iyer")</f>
        <v>Aditi Iyer</v>
      </c>
      <c r="D2134" s="14" t="str">
        <f>IFERROR(__xludf.DUMMYFUNCTION("""COMPUTED_VALUE"""),"Dadar")</f>
        <v>Dadar</v>
      </c>
      <c r="E2134" s="14" t="str">
        <f>IFERROR(__xludf.DUMMYFUNCTION("""COMPUTED_VALUE"""),"Veg Puff+1*Aman Kumar")</f>
        <v>Veg Puff+1*Aman Kumar</v>
      </c>
      <c r="F2134" s="14">
        <f>IFERROR(__xludf.DUMMYFUNCTION("""COMPUTED_VALUE"""),4.0)</f>
        <v>4</v>
      </c>
      <c r="G2134" s="14">
        <f>IFERROR(__xludf.DUMMYFUNCTION("""COMPUTED_VALUE"""),15.0)</f>
        <v>15</v>
      </c>
      <c r="H2134" s="14">
        <f>IFERROR(__xludf.DUMMYFUNCTION("""COMPUTED_VALUE"""),2023.0)</f>
        <v>2023</v>
      </c>
      <c r="I2134" s="14" t="str">
        <f>IFERROR(__xludf.DUMMYFUNCTION("""COMPUTED_VALUE"""),"Online Payment")</f>
        <v>Online Payment</v>
      </c>
      <c r="J2134" s="14" t="str">
        <f>IFERROR(__xludf.DUMMYFUNCTION("""COMPUTED_VALUE"""),"Delivered*Overall Satisfaction: Great service will order again")</f>
        <v>Delivered*Overall Satisfaction: Great service will order again</v>
      </c>
      <c r="K2134" s="14" t="str">
        <f>IFERROR(__xludf.DUMMYFUNCTION("split(E2134,""+"")"),"Veg Puff")</f>
        <v>Veg Puff</v>
      </c>
      <c r="L2134" s="14" t="str">
        <f>IFERROR(__xludf.DUMMYFUNCTION("""COMPUTED_VALUE"""),"1*Aman Kumar")</f>
        <v>1*Aman Kumar</v>
      </c>
      <c r="M2134" s="14">
        <f>IFERROR(__xludf.DUMMYFUNCTION("SPLIT(L2134,""*"")"),1.0)</f>
        <v>1</v>
      </c>
      <c r="N2134" s="14" t="str">
        <f>IFERROR(__xludf.DUMMYFUNCTION("""COMPUTED_VALUE"""),"Aman Kumar")</f>
        <v>Aman Kumar</v>
      </c>
      <c r="O2134" s="14" t="str">
        <f>IFERROR(__xludf.DUMMYFUNCTION("split(J2134,""*"")"),"Delivered")</f>
        <v>Delivered</v>
      </c>
      <c r="P2134" s="14" t="str">
        <f>IFERROR(__xludf.DUMMYFUNCTION("""COMPUTED_VALUE"""),"Overall Satisfaction: Great service will order again")</f>
        <v>Overall Satisfaction: Great service will order again</v>
      </c>
      <c r="Q2134" s="14" t="str">
        <f>IFERROR(__xludf.DUMMYFUNCTION("split(P2134,"":"")"),"Overall Satisfaction")</f>
        <v>Overall Satisfaction</v>
      </c>
      <c r="R2134" s="14" t="str">
        <f>IFERROR(__xludf.DUMMYFUNCTION("""COMPUTED_VALUE""")," Great service will order again")</f>
        <v> Great service will order again</v>
      </c>
      <c r="S2134" s="14" t="str">
        <f t="shared" ref="S2134:U2134" si="4271">trim(B2134)</f>
        <v>ord_82108</v>
      </c>
      <c r="T2134" s="14" t="str">
        <f t="shared" si="4271"/>
        <v>Aditi Iyer</v>
      </c>
      <c r="U2134" s="14" t="str">
        <f t="shared" si="4271"/>
        <v>Dadar</v>
      </c>
      <c r="V2134" s="14" t="str">
        <f t="shared" si="4"/>
        <v>Veg Puff</v>
      </c>
      <c r="W2134" s="14">
        <f t="shared" si="5"/>
        <v>1</v>
      </c>
      <c r="X2134" s="14" t="str">
        <f t="shared" si="6"/>
        <v>Aman Kumar</v>
      </c>
      <c r="Y2134" s="15">
        <f t="shared" si="7"/>
        <v>45031</v>
      </c>
      <c r="Z2134" s="14" t="str">
        <f t="shared" si="8"/>
        <v>Online Payment</v>
      </c>
      <c r="AA2134" s="14" t="str">
        <f t="shared" si="9"/>
        <v>Delivered</v>
      </c>
      <c r="AB2134" s="14" t="str">
        <f t="shared" ref="AB2134:AC2134" si="4272">trim(Q2134)</f>
        <v>Overall Satisfaction</v>
      </c>
      <c r="AC2134" s="14" t="str">
        <f t="shared" si="4272"/>
        <v>Great service will order again</v>
      </c>
      <c r="AD2134" s="8"/>
    </row>
    <row r="2135">
      <c r="A2135" s="14" t="str">
        <f>IFERROR(__xludf.DUMMYFUNCTION("""COMPUTED_VALUE"""),"//ord_82109//Sakshi Tandon//Colaba//Popcorn+3*Manju Ajay/3/12/2023//UPI//Delivered*On-time Delivery: Delivered on time")</f>
        <v>//ord_82109//Sakshi Tandon//Colaba//Popcorn+3*Manju Ajay/3/12/2023//UPI//Delivered*On-time Delivery: Delivered on time</v>
      </c>
      <c r="B2135" s="14" t="str">
        <f>IFERROR(__xludf.DUMMYFUNCTION("split(A2135,""//"")"),"ord_82109")</f>
        <v>ord_82109</v>
      </c>
      <c r="C2135" s="14" t="str">
        <f>IFERROR(__xludf.DUMMYFUNCTION("""COMPUTED_VALUE"""),"Sakshi Tandon")</f>
        <v>Sakshi Tandon</v>
      </c>
      <c r="D2135" s="14" t="str">
        <f>IFERROR(__xludf.DUMMYFUNCTION("""COMPUTED_VALUE"""),"Colaba")</f>
        <v>Colaba</v>
      </c>
      <c r="E2135" s="14" t="str">
        <f>IFERROR(__xludf.DUMMYFUNCTION("""COMPUTED_VALUE"""),"Popcorn+3*Manju Ajay")</f>
        <v>Popcorn+3*Manju Ajay</v>
      </c>
      <c r="F2135" s="14">
        <f>IFERROR(__xludf.DUMMYFUNCTION("""COMPUTED_VALUE"""),3.0)</f>
        <v>3</v>
      </c>
      <c r="G2135" s="14">
        <f>IFERROR(__xludf.DUMMYFUNCTION("""COMPUTED_VALUE"""),12.0)</f>
        <v>12</v>
      </c>
      <c r="H2135" s="14">
        <f>IFERROR(__xludf.DUMMYFUNCTION("""COMPUTED_VALUE"""),2023.0)</f>
        <v>2023</v>
      </c>
      <c r="I2135" s="14" t="str">
        <f>IFERROR(__xludf.DUMMYFUNCTION("""COMPUTED_VALUE"""),"UPI")</f>
        <v>UPI</v>
      </c>
      <c r="J2135" s="14" t="str">
        <f>IFERROR(__xludf.DUMMYFUNCTION("""COMPUTED_VALUE"""),"Delivered*On-time Delivery: Delivered on time")</f>
        <v>Delivered*On-time Delivery: Delivered on time</v>
      </c>
      <c r="K2135" s="14" t="str">
        <f>IFERROR(__xludf.DUMMYFUNCTION("split(E2135,""+"")"),"Popcorn")</f>
        <v>Popcorn</v>
      </c>
      <c r="L2135" s="14" t="str">
        <f>IFERROR(__xludf.DUMMYFUNCTION("""COMPUTED_VALUE"""),"3*Manju Ajay")</f>
        <v>3*Manju Ajay</v>
      </c>
      <c r="M2135" s="14">
        <f>IFERROR(__xludf.DUMMYFUNCTION("SPLIT(L2135,""*"")"),3.0)</f>
        <v>3</v>
      </c>
      <c r="N2135" s="14" t="str">
        <f>IFERROR(__xludf.DUMMYFUNCTION("""COMPUTED_VALUE"""),"Manju Ajay")</f>
        <v>Manju Ajay</v>
      </c>
      <c r="O2135" s="14" t="str">
        <f>IFERROR(__xludf.DUMMYFUNCTION("split(J2135,""*"")"),"Delivered")</f>
        <v>Delivered</v>
      </c>
      <c r="P2135" s="14" t="str">
        <f>IFERROR(__xludf.DUMMYFUNCTION("""COMPUTED_VALUE"""),"On-time Delivery: Delivered on time")</f>
        <v>On-time Delivery: Delivered on time</v>
      </c>
      <c r="Q2135" s="14" t="str">
        <f>IFERROR(__xludf.DUMMYFUNCTION("split(P2135,"":"")"),"On-time Delivery")</f>
        <v>On-time Delivery</v>
      </c>
      <c r="R2135" s="14" t="str">
        <f>IFERROR(__xludf.DUMMYFUNCTION("""COMPUTED_VALUE""")," Delivered on time")</f>
        <v> Delivered on time</v>
      </c>
      <c r="S2135" s="14" t="str">
        <f t="shared" ref="S2135:U2135" si="4273">trim(B2135)</f>
        <v>ord_82109</v>
      </c>
      <c r="T2135" s="14" t="str">
        <f t="shared" si="4273"/>
        <v>Sakshi Tandon</v>
      </c>
      <c r="U2135" s="14" t="str">
        <f t="shared" si="4273"/>
        <v>Colaba</v>
      </c>
      <c r="V2135" s="14" t="str">
        <f t="shared" si="4"/>
        <v>Popcorn</v>
      </c>
      <c r="W2135" s="14">
        <f t="shared" si="5"/>
        <v>3</v>
      </c>
      <c r="X2135" s="14" t="str">
        <f t="shared" si="6"/>
        <v>Manju Ajay</v>
      </c>
      <c r="Y2135" s="15">
        <f t="shared" si="7"/>
        <v>44997</v>
      </c>
      <c r="Z2135" s="14" t="str">
        <f t="shared" si="8"/>
        <v>UPI</v>
      </c>
      <c r="AA2135" s="14" t="str">
        <f t="shared" si="9"/>
        <v>Delivered</v>
      </c>
      <c r="AB2135" s="14" t="str">
        <f t="shared" ref="AB2135:AC2135" si="4274">trim(Q2135)</f>
        <v>On-time Delivery</v>
      </c>
      <c r="AC2135" s="14" t="str">
        <f t="shared" si="4274"/>
        <v>Delivered on time</v>
      </c>
      <c r="AD2135" s="8"/>
    </row>
    <row r="2136">
      <c r="A2136" s="14" t="str">
        <f>IFERROR(__xludf.DUMMYFUNCTION("""COMPUTED_VALUE"""),"//ord_82110//Aditi Iyer//Dadar//Orange+1*Nithin Lal/4/3/2023//Online Payment//Delivered*Quality of Items: Perfect condition")</f>
        <v>//ord_82110//Aditi Iyer//Dadar//Orange+1*Nithin Lal/4/3/2023//Online Payment//Delivered*Quality of Items: Perfect condition</v>
      </c>
      <c r="B2136" s="14" t="str">
        <f>IFERROR(__xludf.DUMMYFUNCTION("split(A2136,""//"")"),"ord_82110")</f>
        <v>ord_82110</v>
      </c>
      <c r="C2136" s="14" t="str">
        <f>IFERROR(__xludf.DUMMYFUNCTION("""COMPUTED_VALUE"""),"Aditi Iyer")</f>
        <v>Aditi Iyer</v>
      </c>
      <c r="D2136" s="14" t="str">
        <f>IFERROR(__xludf.DUMMYFUNCTION("""COMPUTED_VALUE"""),"Dadar")</f>
        <v>Dadar</v>
      </c>
      <c r="E2136" s="14" t="str">
        <f>IFERROR(__xludf.DUMMYFUNCTION("""COMPUTED_VALUE"""),"Orange+1*Nithin Lal")</f>
        <v>Orange+1*Nithin Lal</v>
      </c>
      <c r="F2136" s="14">
        <f>IFERROR(__xludf.DUMMYFUNCTION("""COMPUTED_VALUE"""),4.0)</f>
        <v>4</v>
      </c>
      <c r="G2136" s="14">
        <f>IFERROR(__xludf.DUMMYFUNCTION("""COMPUTED_VALUE"""),3.0)</f>
        <v>3</v>
      </c>
      <c r="H2136" s="14">
        <f>IFERROR(__xludf.DUMMYFUNCTION("""COMPUTED_VALUE"""),2023.0)</f>
        <v>2023</v>
      </c>
      <c r="I2136" s="14" t="str">
        <f>IFERROR(__xludf.DUMMYFUNCTION("""COMPUTED_VALUE"""),"Online Payment")</f>
        <v>Online Payment</v>
      </c>
      <c r="J2136" s="14" t="str">
        <f>IFERROR(__xludf.DUMMYFUNCTION("""COMPUTED_VALUE"""),"Delivered*Quality of Items: Perfect condition")</f>
        <v>Delivered*Quality of Items: Perfect condition</v>
      </c>
      <c r="K2136" s="14" t="str">
        <f>IFERROR(__xludf.DUMMYFUNCTION("split(E2136,""+"")"),"Orange")</f>
        <v>Orange</v>
      </c>
      <c r="L2136" s="14" t="str">
        <f>IFERROR(__xludf.DUMMYFUNCTION("""COMPUTED_VALUE"""),"1*Nithin Lal")</f>
        <v>1*Nithin Lal</v>
      </c>
      <c r="M2136" s="14">
        <f>IFERROR(__xludf.DUMMYFUNCTION("SPLIT(L2136,""*"")"),1.0)</f>
        <v>1</v>
      </c>
      <c r="N2136" s="14" t="str">
        <f>IFERROR(__xludf.DUMMYFUNCTION("""COMPUTED_VALUE"""),"Nithin Lal")</f>
        <v>Nithin Lal</v>
      </c>
      <c r="O2136" s="14" t="str">
        <f>IFERROR(__xludf.DUMMYFUNCTION("split(J2136,""*"")"),"Delivered")</f>
        <v>Delivered</v>
      </c>
      <c r="P2136" s="14" t="str">
        <f>IFERROR(__xludf.DUMMYFUNCTION("""COMPUTED_VALUE"""),"Quality of Items: Perfect condition")</f>
        <v>Quality of Items: Perfect condition</v>
      </c>
      <c r="Q2136" s="14" t="str">
        <f>IFERROR(__xludf.DUMMYFUNCTION("split(P2136,"":"")"),"Quality of Items")</f>
        <v>Quality of Items</v>
      </c>
      <c r="R2136" s="14" t="str">
        <f>IFERROR(__xludf.DUMMYFUNCTION("""COMPUTED_VALUE""")," Perfect condition")</f>
        <v> Perfect condition</v>
      </c>
      <c r="S2136" s="14" t="str">
        <f t="shared" ref="S2136:U2136" si="4275">trim(B2136)</f>
        <v>ord_82110</v>
      </c>
      <c r="T2136" s="14" t="str">
        <f t="shared" si="4275"/>
        <v>Aditi Iyer</v>
      </c>
      <c r="U2136" s="14" t="str">
        <f t="shared" si="4275"/>
        <v>Dadar</v>
      </c>
      <c r="V2136" s="14" t="str">
        <f t="shared" si="4"/>
        <v>Orange</v>
      </c>
      <c r="W2136" s="14">
        <f t="shared" si="5"/>
        <v>1</v>
      </c>
      <c r="X2136" s="14" t="str">
        <f t="shared" si="6"/>
        <v>Nithin Lal</v>
      </c>
      <c r="Y2136" s="15">
        <f t="shared" si="7"/>
        <v>45019</v>
      </c>
      <c r="Z2136" s="14" t="str">
        <f t="shared" si="8"/>
        <v>Online Payment</v>
      </c>
      <c r="AA2136" s="14" t="str">
        <f t="shared" si="9"/>
        <v>Delivered</v>
      </c>
      <c r="AB2136" s="14" t="str">
        <f t="shared" ref="AB2136:AC2136" si="4276">trim(Q2136)</f>
        <v>Quality of Items</v>
      </c>
      <c r="AC2136" s="14" t="str">
        <f t="shared" si="4276"/>
        <v>Perfect condition</v>
      </c>
      <c r="AD2136" s="8"/>
    </row>
    <row r="2137">
      <c r="A2137" s="14" t="str">
        <f>IFERROR(__xludf.DUMMYFUNCTION("""COMPUTED_VALUE"""),"//ord_82111//Sanjay Nair//Dadar//Popcorn+2*Manju Ajay/2/27/2023//UPI//Delivered*On-time Delivery: Delivered on time")</f>
        <v>//ord_82111//Sanjay Nair//Dadar//Popcorn+2*Manju Ajay/2/27/2023//UPI//Delivered*On-time Delivery: Delivered on time</v>
      </c>
      <c r="B2137" s="14" t="str">
        <f>IFERROR(__xludf.DUMMYFUNCTION("split(A2137,""//"")"),"ord_82111")</f>
        <v>ord_82111</v>
      </c>
      <c r="C2137" s="14" t="str">
        <f>IFERROR(__xludf.DUMMYFUNCTION("""COMPUTED_VALUE"""),"Sanjay Nair")</f>
        <v>Sanjay Nair</v>
      </c>
      <c r="D2137" s="14" t="str">
        <f>IFERROR(__xludf.DUMMYFUNCTION("""COMPUTED_VALUE"""),"Dadar")</f>
        <v>Dadar</v>
      </c>
      <c r="E2137" s="14" t="str">
        <f>IFERROR(__xludf.DUMMYFUNCTION("""COMPUTED_VALUE"""),"Popcorn+2*Manju Ajay")</f>
        <v>Popcorn+2*Manju Ajay</v>
      </c>
      <c r="F2137" s="14">
        <f>IFERROR(__xludf.DUMMYFUNCTION("""COMPUTED_VALUE"""),2.0)</f>
        <v>2</v>
      </c>
      <c r="G2137" s="14">
        <f>IFERROR(__xludf.DUMMYFUNCTION("""COMPUTED_VALUE"""),27.0)</f>
        <v>27</v>
      </c>
      <c r="H2137" s="14">
        <f>IFERROR(__xludf.DUMMYFUNCTION("""COMPUTED_VALUE"""),2023.0)</f>
        <v>2023</v>
      </c>
      <c r="I2137" s="14" t="str">
        <f>IFERROR(__xludf.DUMMYFUNCTION("""COMPUTED_VALUE"""),"UPI")</f>
        <v>UPI</v>
      </c>
      <c r="J2137" s="14" t="str">
        <f>IFERROR(__xludf.DUMMYFUNCTION("""COMPUTED_VALUE"""),"Delivered*On-time Delivery: Delivered on time")</f>
        <v>Delivered*On-time Delivery: Delivered on time</v>
      </c>
      <c r="K2137" s="14" t="str">
        <f>IFERROR(__xludf.DUMMYFUNCTION("split(E2137,""+"")"),"Popcorn")</f>
        <v>Popcorn</v>
      </c>
      <c r="L2137" s="14" t="str">
        <f>IFERROR(__xludf.DUMMYFUNCTION("""COMPUTED_VALUE"""),"2*Manju Ajay")</f>
        <v>2*Manju Ajay</v>
      </c>
      <c r="M2137" s="14">
        <f>IFERROR(__xludf.DUMMYFUNCTION("SPLIT(L2137,""*"")"),2.0)</f>
        <v>2</v>
      </c>
      <c r="N2137" s="14" t="str">
        <f>IFERROR(__xludf.DUMMYFUNCTION("""COMPUTED_VALUE"""),"Manju Ajay")</f>
        <v>Manju Ajay</v>
      </c>
      <c r="O2137" s="14" t="str">
        <f>IFERROR(__xludf.DUMMYFUNCTION("split(J2137,""*"")"),"Delivered")</f>
        <v>Delivered</v>
      </c>
      <c r="P2137" s="14" t="str">
        <f>IFERROR(__xludf.DUMMYFUNCTION("""COMPUTED_VALUE"""),"On-time Delivery: Delivered on time")</f>
        <v>On-time Delivery: Delivered on time</v>
      </c>
      <c r="Q2137" s="14" t="str">
        <f>IFERROR(__xludf.DUMMYFUNCTION("split(P2137,"":"")"),"On-time Delivery")</f>
        <v>On-time Delivery</v>
      </c>
      <c r="R2137" s="14" t="str">
        <f>IFERROR(__xludf.DUMMYFUNCTION("""COMPUTED_VALUE""")," Delivered on time")</f>
        <v> Delivered on time</v>
      </c>
      <c r="S2137" s="14" t="str">
        <f t="shared" ref="S2137:U2137" si="4277">trim(B2137)</f>
        <v>ord_82111</v>
      </c>
      <c r="T2137" s="14" t="str">
        <f t="shared" si="4277"/>
        <v>Sanjay Nair</v>
      </c>
      <c r="U2137" s="14" t="str">
        <f t="shared" si="4277"/>
        <v>Dadar</v>
      </c>
      <c r="V2137" s="14" t="str">
        <f t="shared" si="4"/>
        <v>Popcorn</v>
      </c>
      <c r="W2137" s="14">
        <f t="shared" si="5"/>
        <v>2</v>
      </c>
      <c r="X2137" s="14" t="str">
        <f t="shared" si="6"/>
        <v>Manju Ajay</v>
      </c>
      <c r="Y2137" s="15">
        <f t="shared" si="7"/>
        <v>44984</v>
      </c>
      <c r="Z2137" s="14" t="str">
        <f t="shared" si="8"/>
        <v>UPI</v>
      </c>
      <c r="AA2137" s="14" t="str">
        <f t="shared" si="9"/>
        <v>Delivered</v>
      </c>
      <c r="AB2137" s="14" t="str">
        <f t="shared" ref="AB2137:AC2137" si="4278">trim(Q2137)</f>
        <v>On-time Delivery</v>
      </c>
      <c r="AC2137" s="14" t="str">
        <f t="shared" si="4278"/>
        <v>Delivered on time</v>
      </c>
      <c r="AD2137" s="8"/>
    </row>
    <row r="2138">
      <c r="A2138" s="14" t="str">
        <f>IFERROR(__xludf.DUMMYFUNCTION("""COMPUTED_VALUE"""),"//ord_82112//Aarohi Kapoor//Bandra//Veg Puff+1*Manju Ajay/8/10/2023//Online Payment//Delivered*Quality of Items: Perfect condition")</f>
        <v>//ord_82112//Aarohi Kapoor//Bandra//Veg Puff+1*Manju Ajay/8/10/2023//Online Payment//Delivered*Quality of Items: Perfect condition</v>
      </c>
      <c r="B2138" s="14" t="str">
        <f>IFERROR(__xludf.DUMMYFUNCTION("split(A2138,""//"")"),"ord_82112")</f>
        <v>ord_82112</v>
      </c>
      <c r="C2138" s="14" t="str">
        <f>IFERROR(__xludf.DUMMYFUNCTION("""COMPUTED_VALUE"""),"Aarohi Kapoor")</f>
        <v>Aarohi Kapoor</v>
      </c>
      <c r="D2138" s="14" t="str">
        <f>IFERROR(__xludf.DUMMYFUNCTION("""COMPUTED_VALUE"""),"Bandra")</f>
        <v>Bandra</v>
      </c>
      <c r="E2138" s="14" t="str">
        <f>IFERROR(__xludf.DUMMYFUNCTION("""COMPUTED_VALUE"""),"Veg Puff+1*Manju Ajay")</f>
        <v>Veg Puff+1*Manju Ajay</v>
      </c>
      <c r="F2138" s="14">
        <f>IFERROR(__xludf.DUMMYFUNCTION("""COMPUTED_VALUE"""),8.0)</f>
        <v>8</v>
      </c>
      <c r="G2138" s="14">
        <f>IFERROR(__xludf.DUMMYFUNCTION("""COMPUTED_VALUE"""),10.0)</f>
        <v>10</v>
      </c>
      <c r="H2138" s="14">
        <f>IFERROR(__xludf.DUMMYFUNCTION("""COMPUTED_VALUE"""),2023.0)</f>
        <v>2023</v>
      </c>
      <c r="I2138" s="14" t="str">
        <f>IFERROR(__xludf.DUMMYFUNCTION("""COMPUTED_VALUE"""),"Online Payment")</f>
        <v>Online Payment</v>
      </c>
      <c r="J2138" s="14" t="str">
        <f>IFERROR(__xludf.DUMMYFUNCTION("""COMPUTED_VALUE"""),"Delivered*Quality of Items: Perfect condition")</f>
        <v>Delivered*Quality of Items: Perfect condition</v>
      </c>
      <c r="K2138" s="14" t="str">
        <f>IFERROR(__xludf.DUMMYFUNCTION("split(E2138,""+"")"),"Veg Puff")</f>
        <v>Veg Puff</v>
      </c>
      <c r="L2138" s="14" t="str">
        <f>IFERROR(__xludf.DUMMYFUNCTION("""COMPUTED_VALUE"""),"1*Manju Ajay")</f>
        <v>1*Manju Ajay</v>
      </c>
      <c r="M2138" s="14">
        <f>IFERROR(__xludf.DUMMYFUNCTION("SPLIT(L2138,""*"")"),1.0)</f>
        <v>1</v>
      </c>
      <c r="N2138" s="14" t="str">
        <f>IFERROR(__xludf.DUMMYFUNCTION("""COMPUTED_VALUE"""),"Manju Ajay")</f>
        <v>Manju Ajay</v>
      </c>
      <c r="O2138" s="14" t="str">
        <f>IFERROR(__xludf.DUMMYFUNCTION("split(J2138,""*"")"),"Delivered")</f>
        <v>Delivered</v>
      </c>
      <c r="P2138" s="14" t="str">
        <f>IFERROR(__xludf.DUMMYFUNCTION("""COMPUTED_VALUE"""),"Quality of Items: Perfect condition")</f>
        <v>Quality of Items: Perfect condition</v>
      </c>
      <c r="Q2138" s="14" t="str">
        <f>IFERROR(__xludf.DUMMYFUNCTION("split(P2138,"":"")"),"Quality of Items")</f>
        <v>Quality of Items</v>
      </c>
      <c r="R2138" s="14" t="str">
        <f>IFERROR(__xludf.DUMMYFUNCTION("""COMPUTED_VALUE""")," Perfect condition")</f>
        <v> Perfect condition</v>
      </c>
      <c r="S2138" s="14" t="str">
        <f t="shared" ref="S2138:U2138" si="4279">trim(B2138)</f>
        <v>ord_82112</v>
      </c>
      <c r="T2138" s="14" t="str">
        <f t="shared" si="4279"/>
        <v>Aarohi Kapoor</v>
      </c>
      <c r="U2138" s="14" t="str">
        <f t="shared" si="4279"/>
        <v>Bandra</v>
      </c>
      <c r="V2138" s="14" t="str">
        <f t="shared" si="4"/>
        <v>Veg Puff</v>
      </c>
      <c r="W2138" s="14">
        <f t="shared" si="5"/>
        <v>1</v>
      </c>
      <c r="X2138" s="14" t="str">
        <f t="shared" si="6"/>
        <v>Manju Ajay</v>
      </c>
      <c r="Y2138" s="15">
        <f t="shared" si="7"/>
        <v>45148</v>
      </c>
      <c r="Z2138" s="14" t="str">
        <f t="shared" si="8"/>
        <v>Online Payment</v>
      </c>
      <c r="AA2138" s="14" t="str">
        <f t="shared" si="9"/>
        <v>Delivered</v>
      </c>
      <c r="AB2138" s="14" t="str">
        <f t="shared" ref="AB2138:AC2138" si="4280">trim(Q2138)</f>
        <v>Quality of Items</v>
      </c>
      <c r="AC2138" s="14" t="str">
        <f t="shared" si="4280"/>
        <v>Perfect condition</v>
      </c>
      <c r="AD2138" s="8"/>
    </row>
    <row r="2139">
      <c r="A2139" s="14" t="str">
        <f>IFERROR(__xludf.DUMMYFUNCTION("""COMPUTED_VALUE"""),"//ord_82113//Aarohi Kapoor//Bandra//Guava+2*Vivek Kumar/3/26/2023//Credit Card//Delivered*Packaging: Secure and intact")</f>
        <v>//ord_82113//Aarohi Kapoor//Bandra//Guava+2*Vivek Kumar/3/26/2023//Credit Card//Delivered*Packaging: Secure and intact</v>
      </c>
      <c r="B2139" s="14" t="str">
        <f>IFERROR(__xludf.DUMMYFUNCTION("split(A2139,""//"")"),"ord_82113")</f>
        <v>ord_82113</v>
      </c>
      <c r="C2139" s="14" t="str">
        <f>IFERROR(__xludf.DUMMYFUNCTION("""COMPUTED_VALUE"""),"Aarohi Kapoor")</f>
        <v>Aarohi Kapoor</v>
      </c>
      <c r="D2139" s="14" t="str">
        <f>IFERROR(__xludf.DUMMYFUNCTION("""COMPUTED_VALUE"""),"Bandra")</f>
        <v>Bandra</v>
      </c>
      <c r="E2139" s="14" t="str">
        <f>IFERROR(__xludf.DUMMYFUNCTION("""COMPUTED_VALUE"""),"Guava+2*Vivek Kumar")</f>
        <v>Guava+2*Vivek Kumar</v>
      </c>
      <c r="F2139" s="14">
        <f>IFERROR(__xludf.DUMMYFUNCTION("""COMPUTED_VALUE"""),3.0)</f>
        <v>3</v>
      </c>
      <c r="G2139" s="14">
        <f>IFERROR(__xludf.DUMMYFUNCTION("""COMPUTED_VALUE"""),26.0)</f>
        <v>26</v>
      </c>
      <c r="H2139" s="14">
        <f>IFERROR(__xludf.DUMMYFUNCTION("""COMPUTED_VALUE"""),2023.0)</f>
        <v>2023</v>
      </c>
      <c r="I2139" s="14" t="str">
        <f>IFERROR(__xludf.DUMMYFUNCTION("""COMPUTED_VALUE"""),"Credit Card")</f>
        <v>Credit Card</v>
      </c>
      <c r="J2139" s="14" t="str">
        <f>IFERROR(__xludf.DUMMYFUNCTION("""COMPUTED_VALUE"""),"Delivered*Packaging: Secure and intact")</f>
        <v>Delivered*Packaging: Secure and intact</v>
      </c>
      <c r="K2139" s="14" t="str">
        <f>IFERROR(__xludf.DUMMYFUNCTION("split(E2139,""+"")"),"Guava")</f>
        <v>Guava</v>
      </c>
      <c r="L2139" s="14" t="str">
        <f>IFERROR(__xludf.DUMMYFUNCTION("""COMPUTED_VALUE"""),"2*Vivek Kumar")</f>
        <v>2*Vivek Kumar</v>
      </c>
      <c r="M2139" s="14">
        <f>IFERROR(__xludf.DUMMYFUNCTION("SPLIT(L2139,""*"")"),2.0)</f>
        <v>2</v>
      </c>
      <c r="N2139" s="14" t="str">
        <f>IFERROR(__xludf.DUMMYFUNCTION("""COMPUTED_VALUE"""),"Vivek Kumar")</f>
        <v>Vivek Kumar</v>
      </c>
      <c r="O2139" s="14" t="str">
        <f>IFERROR(__xludf.DUMMYFUNCTION("split(J2139,""*"")"),"Delivered")</f>
        <v>Delivered</v>
      </c>
      <c r="P2139" s="14" t="str">
        <f>IFERROR(__xludf.DUMMYFUNCTION("""COMPUTED_VALUE"""),"Packaging: Secure and intact")</f>
        <v>Packaging: Secure and intact</v>
      </c>
      <c r="Q2139" s="14" t="str">
        <f>IFERROR(__xludf.DUMMYFUNCTION("split(P2139,"":"")"),"Packaging")</f>
        <v>Packaging</v>
      </c>
      <c r="R2139" s="14" t="str">
        <f>IFERROR(__xludf.DUMMYFUNCTION("""COMPUTED_VALUE""")," Secure and intact")</f>
        <v> Secure and intact</v>
      </c>
      <c r="S2139" s="14" t="str">
        <f t="shared" ref="S2139:U2139" si="4281">trim(B2139)</f>
        <v>ord_82113</v>
      </c>
      <c r="T2139" s="14" t="str">
        <f t="shared" si="4281"/>
        <v>Aarohi Kapoor</v>
      </c>
      <c r="U2139" s="14" t="str">
        <f t="shared" si="4281"/>
        <v>Bandra</v>
      </c>
      <c r="V2139" s="14" t="str">
        <f t="shared" si="4"/>
        <v>Guava</v>
      </c>
      <c r="W2139" s="14">
        <f t="shared" si="5"/>
        <v>2</v>
      </c>
      <c r="X2139" s="14" t="str">
        <f t="shared" si="6"/>
        <v>Vivek Kumar</v>
      </c>
      <c r="Y2139" s="15">
        <f t="shared" si="7"/>
        <v>45011</v>
      </c>
      <c r="Z2139" s="14" t="str">
        <f t="shared" si="8"/>
        <v>Credit Card</v>
      </c>
      <c r="AA2139" s="14" t="str">
        <f t="shared" si="9"/>
        <v>Delivered</v>
      </c>
      <c r="AB2139" s="14" t="str">
        <f t="shared" ref="AB2139:AC2139" si="4282">trim(Q2139)</f>
        <v>Packaging</v>
      </c>
      <c r="AC2139" s="14" t="str">
        <f t="shared" si="4282"/>
        <v>Secure and intact</v>
      </c>
      <c r="AD2139" s="8"/>
    </row>
    <row r="2140">
      <c r="A2140" s="14" t="str">
        <f>IFERROR(__xludf.DUMMYFUNCTION("""COMPUTED_VALUE"""),"//ord_82114//Siya Reddy//Juhu//Cucumber+1*Vivek Kumar/4/4/2023//Credit Card//Cancelled*Delayed Delivery:Heavy Traffic")</f>
        <v>//ord_82114//Siya Reddy//Juhu//Cucumber+1*Vivek Kumar/4/4/2023//Credit Card//Cancelled*Delayed Delivery:Heavy Traffic</v>
      </c>
      <c r="B2140" s="14" t="str">
        <f>IFERROR(__xludf.DUMMYFUNCTION("split(A2140,""//"")"),"ord_82114")</f>
        <v>ord_82114</v>
      </c>
      <c r="C2140" s="14" t="str">
        <f>IFERROR(__xludf.DUMMYFUNCTION("""COMPUTED_VALUE"""),"Siya Reddy")</f>
        <v>Siya Reddy</v>
      </c>
      <c r="D2140" s="14" t="str">
        <f>IFERROR(__xludf.DUMMYFUNCTION("""COMPUTED_VALUE"""),"Juhu")</f>
        <v>Juhu</v>
      </c>
      <c r="E2140" s="14" t="str">
        <f>IFERROR(__xludf.DUMMYFUNCTION("""COMPUTED_VALUE"""),"Cucumber+1*Vivek Kumar")</f>
        <v>Cucumber+1*Vivek Kumar</v>
      </c>
      <c r="F2140" s="14">
        <f>IFERROR(__xludf.DUMMYFUNCTION("""COMPUTED_VALUE"""),4.0)</f>
        <v>4</v>
      </c>
      <c r="G2140" s="14">
        <f>IFERROR(__xludf.DUMMYFUNCTION("""COMPUTED_VALUE"""),4.0)</f>
        <v>4</v>
      </c>
      <c r="H2140" s="14">
        <f>IFERROR(__xludf.DUMMYFUNCTION("""COMPUTED_VALUE"""),2023.0)</f>
        <v>2023</v>
      </c>
      <c r="I2140" s="14" t="str">
        <f>IFERROR(__xludf.DUMMYFUNCTION("""COMPUTED_VALUE"""),"Credit Card")</f>
        <v>Credit Card</v>
      </c>
      <c r="J2140" s="14" t="str">
        <f>IFERROR(__xludf.DUMMYFUNCTION("""COMPUTED_VALUE"""),"Cancelled*Delayed Delivery:Heavy Traffic")</f>
        <v>Cancelled*Delayed Delivery:Heavy Traffic</v>
      </c>
      <c r="K2140" s="14" t="str">
        <f>IFERROR(__xludf.DUMMYFUNCTION("split(E2140,""+"")"),"Cucumber")</f>
        <v>Cucumber</v>
      </c>
      <c r="L2140" s="14" t="str">
        <f>IFERROR(__xludf.DUMMYFUNCTION("""COMPUTED_VALUE"""),"1*Vivek Kumar")</f>
        <v>1*Vivek Kumar</v>
      </c>
      <c r="M2140" s="14">
        <f>IFERROR(__xludf.DUMMYFUNCTION("SPLIT(L2140,""*"")"),1.0)</f>
        <v>1</v>
      </c>
      <c r="N2140" s="14" t="str">
        <f>IFERROR(__xludf.DUMMYFUNCTION("""COMPUTED_VALUE"""),"Vivek Kumar")</f>
        <v>Vivek Kumar</v>
      </c>
      <c r="O2140" s="14" t="str">
        <f>IFERROR(__xludf.DUMMYFUNCTION("split(J2140,""*"")"),"Cancelled")</f>
        <v>Cancelled</v>
      </c>
      <c r="P2140" s="14" t="str">
        <f>IFERROR(__xludf.DUMMYFUNCTION("""COMPUTED_VALUE"""),"Delayed Delivery:Heavy Traffic")</f>
        <v>Delayed Delivery:Heavy Traffic</v>
      </c>
      <c r="Q2140" s="14" t="str">
        <f>IFERROR(__xludf.DUMMYFUNCTION("split(P2140,"":"")"),"Delayed Delivery")</f>
        <v>Delayed Delivery</v>
      </c>
      <c r="R2140" s="14" t="str">
        <f>IFERROR(__xludf.DUMMYFUNCTION("""COMPUTED_VALUE"""),"Heavy Traffic")</f>
        <v>Heavy Traffic</v>
      </c>
      <c r="S2140" s="14" t="str">
        <f t="shared" ref="S2140:U2140" si="4283">trim(B2140)</f>
        <v>ord_82114</v>
      </c>
      <c r="T2140" s="14" t="str">
        <f t="shared" si="4283"/>
        <v>Siya Reddy</v>
      </c>
      <c r="U2140" s="14" t="str">
        <f t="shared" si="4283"/>
        <v>Juhu</v>
      </c>
      <c r="V2140" s="14" t="str">
        <f t="shared" si="4"/>
        <v>Cucumber</v>
      </c>
      <c r="W2140" s="14">
        <f t="shared" si="5"/>
        <v>1</v>
      </c>
      <c r="X2140" s="14" t="str">
        <f t="shared" si="6"/>
        <v>Vivek Kumar</v>
      </c>
      <c r="Y2140" s="15">
        <f t="shared" si="7"/>
        <v>45020</v>
      </c>
      <c r="Z2140" s="14" t="str">
        <f t="shared" si="8"/>
        <v>Credit Card</v>
      </c>
      <c r="AA2140" s="14" t="str">
        <f t="shared" si="9"/>
        <v>Cancelled</v>
      </c>
      <c r="AB2140" s="14" t="str">
        <f t="shared" ref="AB2140:AC2140" si="4284">trim(Q2140)</f>
        <v>Delayed Delivery</v>
      </c>
      <c r="AC2140" s="14" t="str">
        <f t="shared" si="4284"/>
        <v>Heavy Traffic</v>
      </c>
      <c r="AD2140" s="8"/>
    </row>
    <row r="2141">
      <c r="A2141" s="14" t="str">
        <f>IFERROR(__xludf.DUMMYFUNCTION("""COMPUTED_VALUE"""),"//ord_82115//Kritika Shetty//Malad//Sweet Corn+2*Ramesh S/12/11/2023//UPI//Delivered*Satisfied with the Delivery: Timely and quality")</f>
        <v>//ord_82115//Kritika Shetty//Malad//Sweet Corn+2*Ramesh S/12/11/2023//UPI//Delivered*Satisfied with the Delivery: Timely and quality</v>
      </c>
      <c r="B2141" s="14" t="str">
        <f>IFERROR(__xludf.DUMMYFUNCTION("split(A2141,""//"")"),"ord_82115")</f>
        <v>ord_82115</v>
      </c>
      <c r="C2141" s="14" t="str">
        <f>IFERROR(__xludf.DUMMYFUNCTION("""COMPUTED_VALUE"""),"Kritika Shetty")</f>
        <v>Kritika Shetty</v>
      </c>
      <c r="D2141" s="14" t="str">
        <f>IFERROR(__xludf.DUMMYFUNCTION("""COMPUTED_VALUE"""),"Malad")</f>
        <v>Malad</v>
      </c>
      <c r="E2141" s="14" t="str">
        <f>IFERROR(__xludf.DUMMYFUNCTION("""COMPUTED_VALUE"""),"Sweet Corn+2*Ramesh S")</f>
        <v>Sweet Corn+2*Ramesh S</v>
      </c>
      <c r="F2141" s="14">
        <f>IFERROR(__xludf.DUMMYFUNCTION("""COMPUTED_VALUE"""),12.0)</f>
        <v>12</v>
      </c>
      <c r="G2141" s="14">
        <f>IFERROR(__xludf.DUMMYFUNCTION("""COMPUTED_VALUE"""),11.0)</f>
        <v>11</v>
      </c>
      <c r="H2141" s="14">
        <f>IFERROR(__xludf.DUMMYFUNCTION("""COMPUTED_VALUE"""),2023.0)</f>
        <v>2023</v>
      </c>
      <c r="I2141" s="14" t="str">
        <f>IFERROR(__xludf.DUMMYFUNCTION("""COMPUTED_VALUE"""),"UPI")</f>
        <v>UPI</v>
      </c>
      <c r="J2141" s="14" t="str">
        <f>IFERROR(__xludf.DUMMYFUNCTION("""COMPUTED_VALUE"""),"Delivered*Satisfied with the Delivery: Timely and quality")</f>
        <v>Delivered*Satisfied with the Delivery: Timely and quality</v>
      </c>
      <c r="K2141" s="14" t="str">
        <f>IFERROR(__xludf.DUMMYFUNCTION("split(E2141,""+"")"),"Sweet Corn")</f>
        <v>Sweet Corn</v>
      </c>
      <c r="L2141" s="14" t="str">
        <f>IFERROR(__xludf.DUMMYFUNCTION("""COMPUTED_VALUE"""),"2*Ramesh S")</f>
        <v>2*Ramesh S</v>
      </c>
      <c r="M2141" s="14">
        <f>IFERROR(__xludf.DUMMYFUNCTION("SPLIT(L2141,""*"")"),2.0)</f>
        <v>2</v>
      </c>
      <c r="N2141" s="14" t="str">
        <f>IFERROR(__xludf.DUMMYFUNCTION("""COMPUTED_VALUE"""),"Ramesh S")</f>
        <v>Ramesh S</v>
      </c>
      <c r="O2141" s="14" t="str">
        <f>IFERROR(__xludf.DUMMYFUNCTION("split(J2141,""*"")"),"Delivered")</f>
        <v>Delivered</v>
      </c>
      <c r="P2141" s="14" t="str">
        <f>IFERROR(__xludf.DUMMYFUNCTION("""COMPUTED_VALUE"""),"Satisfied with the Delivery: Timely and quality")</f>
        <v>Satisfied with the Delivery: Timely and quality</v>
      </c>
      <c r="Q2141" s="14" t="str">
        <f>IFERROR(__xludf.DUMMYFUNCTION("split(P2141,"":"")"),"Satisfied with the Delivery")</f>
        <v>Satisfied with the Delivery</v>
      </c>
      <c r="R2141" s="14" t="str">
        <f>IFERROR(__xludf.DUMMYFUNCTION("""COMPUTED_VALUE""")," Timely and quality")</f>
        <v> Timely and quality</v>
      </c>
      <c r="S2141" s="14" t="str">
        <f t="shared" ref="S2141:U2141" si="4285">trim(B2141)</f>
        <v>ord_82115</v>
      </c>
      <c r="T2141" s="14" t="str">
        <f t="shared" si="4285"/>
        <v>Kritika Shetty</v>
      </c>
      <c r="U2141" s="14" t="str">
        <f t="shared" si="4285"/>
        <v>Malad</v>
      </c>
      <c r="V2141" s="14" t="str">
        <f t="shared" si="4"/>
        <v>Sweet Corn</v>
      </c>
      <c r="W2141" s="14">
        <f t="shared" si="5"/>
        <v>2</v>
      </c>
      <c r="X2141" s="14" t="str">
        <f t="shared" si="6"/>
        <v>Ramesh S</v>
      </c>
      <c r="Y2141" s="15">
        <f t="shared" si="7"/>
        <v>45271</v>
      </c>
      <c r="Z2141" s="14" t="str">
        <f t="shared" si="8"/>
        <v>UPI</v>
      </c>
      <c r="AA2141" s="14" t="str">
        <f t="shared" si="9"/>
        <v>Delivered</v>
      </c>
      <c r="AB2141" s="14" t="str">
        <f t="shared" ref="AB2141:AC2141" si="4286">trim(Q2141)</f>
        <v>Satisfied with the Delivery</v>
      </c>
      <c r="AC2141" s="14" t="str">
        <f t="shared" si="4286"/>
        <v>Timely and quality</v>
      </c>
      <c r="AD2141" s="8"/>
    </row>
    <row r="2142">
      <c r="A2142" s="14" t="str">
        <f>IFERROR(__xludf.DUMMYFUNCTION("""COMPUTED_VALUE"""),"//ord_82116//Anaya Rao//Malad//Icecream+1*Shine Thomas/3/13/2023//Credit Card//Delivered*Customer Service: Seamless and easy")</f>
        <v>//ord_82116//Anaya Rao//Malad//Icecream+1*Shine Thomas/3/13/2023//Credit Card//Delivered*Customer Service: Seamless and easy</v>
      </c>
      <c r="B2142" s="14" t="str">
        <f>IFERROR(__xludf.DUMMYFUNCTION("split(A2142,""//"")"),"ord_82116")</f>
        <v>ord_82116</v>
      </c>
      <c r="C2142" s="14" t="str">
        <f>IFERROR(__xludf.DUMMYFUNCTION("""COMPUTED_VALUE"""),"Anaya Rao")</f>
        <v>Anaya Rao</v>
      </c>
      <c r="D2142" s="14" t="str">
        <f>IFERROR(__xludf.DUMMYFUNCTION("""COMPUTED_VALUE"""),"Malad")</f>
        <v>Malad</v>
      </c>
      <c r="E2142" s="14" t="str">
        <f>IFERROR(__xludf.DUMMYFUNCTION("""COMPUTED_VALUE"""),"Icecream+1*Shine Thomas")</f>
        <v>Icecream+1*Shine Thomas</v>
      </c>
      <c r="F2142" s="14">
        <f>IFERROR(__xludf.DUMMYFUNCTION("""COMPUTED_VALUE"""),3.0)</f>
        <v>3</v>
      </c>
      <c r="G2142" s="14">
        <f>IFERROR(__xludf.DUMMYFUNCTION("""COMPUTED_VALUE"""),13.0)</f>
        <v>13</v>
      </c>
      <c r="H2142" s="14">
        <f>IFERROR(__xludf.DUMMYFUNCTION("""COMPUTED_VALUE"""),2023.0)</f>
        <v>2023</v>
      </c>
      <c r="I2142" s="14" t="str">
        <f>IFERROR(__xludf.DUMMYFUNCTION("""COMPUTED_VALUE"""),"Credit Card")</f>
        <v>Credit Card</v>
      </c>
      <c r="J2142" s="14" t="str">
        <f>IFERROR(__xludf.DUMMYFUNCTION("""COMPUTED_VALUE"""),"Delivered*Customer Service: Seamless and easy")</f>
        <v>Delivered*Customer Service: Seamless and easy</v>
      </c>
      <c r="K2142" s="14" t="str">
        <f>IFERROR(__xludf.DUMMYFUNCTION("split(E2142,""+"")"),"Icecream")</f>
        <v>Icecream</v>
      </c>
      <c r="L2142" s="14" t="str">
        <f>IFERROR(__xludf.DUMMYFUNCTION("""COMPUTED_VALUE"""),"1*Shine Thomas")</f>
        <v>1*Shine Thomas</v>
      </c>
      <c r="M2142" s="14">
        <f>IFERROR(__xludf.DUMMYFUNCTION("SPLIT(L2142,""*"")"),1.0)</f>
        <v>1</v>
      </c>
      <c r="N2142" s="14" t="str">
        <f>IFERROR(__xludf.DUMMYFUNCTION("""COMPUTED_VALUE"""),"Shine Thomas")</f>
        <v>Shine Thomas</v>
      </c>
      <c r="O2142" s="14" t="str">
        <f>IFERROR(__xludf.DUMMYFUNCTION("split(J2142,""*"")"),"Delivered")</f>
        <v>Delivered</v>
      </c>
      <c r="P2142" s="14" t="str">
        <f>IFERROR(__xludf.DUMMYFUNCTION("""COMPUTED_VALUE"""),"Customer Service: Seamless and easy")</f>
        <v>Customer Service: Seamless and easy</v>
      </c>
      <c r="Q2142" s="14" t="str">
        <f>IFERROR(__xludf.DUMMYFUNCTION("split(P2142,"":"")"),"Customer Service")</f>
        <v>Customer Service</v>
      </c>
      <c r="R2142" s="14" t="str">
        <f>IFERROR(__xludf.DUMMYFUNCTION("""COMPUTED_VALUE""")," Seamless and easy")</f>
        <v> Seamless and easy</v>
      </c>
      <c r="S2142" s="14" t="str">
        <f t="shared" ref="S2142:U2142" si="4287">trim(B2142)</f>
        <v>ord_82116</v>
      </c>
      <c r="T2142" s="14" t="str">
        <f t="shared" si="4287"/>
        <v>Anaya Rao</v>
      </c>
      <c r="U2142" s="14" t="str">
        <f t="shared" si="4287"/>
        <v>Malad</v>
      </c>
      <c r="V2142" s="14" t="str">
        <f t="shared" si="4"/>
        <v>Icecream</v>
      </c>
      <c r="W2142" s="14">
        <f t="shared" si="5"/>
        <v>1</v>
      </c>
      <c r="X2142" s="14" t="str">
        <f t="shared" si="6"/>
        <v>Shine Thomas</v>
      </c>
      <c r="Y2142" s="15">
        <f t="shared" si="7"/>
        <v>44998</v>
      </c>
      <c r="Z2142" s="14" t="str">
        <f t="shared" si="8"/>
        <v>Credit Card</v>
      </c>
      <c r="AA2142" s="14" t="str">
        <f t="shared" si="9"/>
        <v>Delivered</v>
      </c>
      <c r="AB2142" s="14" t="str">
        <f t="shared" ref="AB2142:AC2142" si="4288">trim(Q2142)</f>
        <v>Customer Service</v>
      </c>
      <c r="AC2142" s="14" t="str">
        <f t="shared" si="4288"/>
        <v>Seamless and easy</v>
      </c>
      <c r="AD2142" s="8"/>
    </row>
    <row r="2143">
      <c r="A2143" s="14" t="str">
        <f>IFERROR(__xludf.DUMMYFUNCTION("""COMPUTED_VALUE"""),"//ord_82117//Anaya Rao//Malad//Chilli Cheese Toast+4*Shine Thomas/10/20/2023//UPI//Delivered*Delivery Experience: Quick and professional")</f>
        <v>//ord_82117//Anaya Rao//Malad//Chilli Cheese Toast+4*Shine Thomas/10/20/2023//UPI//Delivered*Delivery Experience: Quick and professional</v>
      </c>
      <c r="B2143" s="14" t="str">
        <f>IFERROR(__xludf.DUMMYFUNCTION("split(A2143,""//"")"),"ord_82117")</f>
        <v>ord_82117</v>
      </c>
      <c r="C2143" s="14" t="str">
        <f>IFERROR(__xludf.DUMMYFUNCTION("""COMPUTED_VALUE"""),"Anaya Rao")</f>
        <v>Anaya Rao</v>
      </c>
      <c r="D2143" s="14" t="str">
        <f>IFERROR(__xludf.DUMMYFUNCTION("""COMPUTED_VALUE"""),"Malad")</f>
        <v>Malad</v>
      </c>
      <c r="E2143" s="14" t="str">
        <f>IFERROR(__xludf.DUMMYFUNCTION("""COMPUTED_VALUE"""),"Chilli Cheese Toast+4*Shine Thomas")</f>
        <v>Chilli Cheese Toast+4*Shine Thomas</v>
      </c>
      <c r="F2143" s="14">
        <f>IFERROR(__xludf.DUMMYFUNCTION("""COMPUTED_VALUE"""),10.0)</f>
        <v>10</v>
      </c>
      <c r="G2143" s="14">
        <f>IFERROR(__xludf.DUMMYFUNCTION("""COMPUTED_VALUE"""),20.0)</f>
        <v>20</v>
      </c>
      <c r="H2143" s="14">
        <f>IFERROR(__xludf.DUMMYFUNCTION("""COMPUTED_VALUE"""),2023.0)</f>
        <v>2023</v>
      </c>
      <c r="I2143" s="14" t="str">
        <f>IFERROR(__xludf.DUMMYFUNCTION("""COMPUTED_VALUE"""),"UPI")</f>
        <v>UPI</v>
      </c>
      <c r="J2143" s="14" t="str">
        <f>IFERROR(__xludf.DUMMYFUNCTION("""COMPUTED_VALUE"""),"Delivered*Delivery Experience: Quick and professional")</f>
        <v>Delivered*Delivery Experience: Quick and professional</v>
      </c>
      <c r="K2143" s="14" t="str">
        <f>IFERROR(__xludf.DUMMYFUNCTION("split(E2143,""+"")"),"Chilli Cheese Toast")</f>
        <v>Chilli Cheese Toast</v>
      </c>
      <c r="L2143" s="14" t="str">
        <f>IFERROR(__xludf.DUMMYFUNCTION("""COMPUTED_VALUE"""),"4*Shine Thomas")</f>
        <v>4*Shine Thomas</v>
      </c>
      <c r="M2143" s="14">
        <f>IFERROR(__xludf.DUMMYFUNCTION("SPLIT(L2143,""*"")"),4.0)</f>
        <v>4</v>
      </c>
      <c r="N2143" s="14" t="str">
        <f>IFERROR(__xludf.DUMMYFUNCTION("""COMPUTED_VALUE"""),"Shine Thomas")</f>
        <v>Shine Thomas</v>
      </c>
      <c r="O2143" s="14" t="str">
        <f>IFERROR(__xludf.DUMMYFUNCTION("split(J2143,""*"")"),"Delivered")</f>
        <v>Delivered</v>
      </c>
      <c r="P2143" s="14" t="str">
        <f>IFERROR(__xludf.DUMMYFUNCTION("""COMPUTED_VALUE"""),"Delivery Experience: Quick and professional")</f>
        <v>Delivery Experience: Quick and professional</v>
      </c>
      <c r="Q2143" s="14" t="str">
        <f>IFERROR(__xludf.DUMMYFUNCTION("split(P2143,"":"")"),"Delivery Experience")</f>
        <v>Delivery Experience</v>
      </c>
      <c r="R2143" s="14" t="str">
        <f>IFERROR(__xludf.DUMMYFUNCTION("""COMPUTED_VALUE""")," Quick and professional")</f>
        <v> Quick and professional</v>
      </c>
      <c r="S2143" s="14" t="str">
        <f t="shared" ref="S2143:U2143" si="4289">trim(B2143)</f>
        <v>ord_82117</v>
      </c>
      <c r="T2143" s="14" t="str">
        <f t="shared" si="4289"/>
        <v>Anaya Rao</v>
      </c>
      <c r="U2143" s="14" t="str">
        <f t="shared" si="4289"/>
        <v>Malad</v>
      </c>
      <c r="V2143" s="14" t="str">
        <f t="shared" si="4"/>
        <v>Chilli Cheese Toast</v>
      </c>
      <c r="W2143" s="14">
        <f t="shared" si="5"/>
        <v>4</v>
      </c>
      <c r="X2143" s="14" t="str">
        <f t="shared" si="6"/>
        <v>Shine Thomas</v>
      </c>
      <c r="Y2143" s="15">
        <f t="shared" si="7"/>
        <v>45219</v>
      </c>
      <c r="Z2143" s="14" t="str">
        <f t="shared" si="8"/>
        <v>UPI</v>
      </c>
      <c r="AA2143" s="14" t="str">
        <f t="shared" si="9"/>
        <v>Delivered</v>
      </c>
      <c r="AB2143" s="14" t="str">
        <f t="shared" ref="AB2143:AC2143" si="4290">trim(Q2143)</f>
        <v>Delivery Experience</v>
      </c>
      <c r="AC2143" s="14" t="str">
        <f t="shared" si="4290"/>
        <v>Quick and professional</v>
      </c>
      <c r="AD2143" s="8"/>
    </row>
    <row r="2144">
      <c r="A2144" s="14" t="str">
        <f>IFERROR(__xludf.DUMMYFUNCTION("""COMPUTED_VALUE"""),"//ord_82118//Anaya Rao//Colaba//Onion+1*Shine Thomas/4/26/2023//UPI//Delivered*Convenience: Easy tracking")</f>
        <v>//ord_82118//Anaya Rao//Colaba//Onion+1*Shine Thomas/4/26/2023//UPI//Delivered*Convenience: Easy tracking</v>
      </c>
      <c r="B2144" s="14" t="str">
        <f>IFERROR(__xludf.DUMMYFUNCTION("split(A2144,""//"")"),"ord_82118")</f>
        <v>ord_82118</v>
      </c>
      <c r="C2144" s="14" t="str">
        <f>IFERROR(__xludf.DUMMYFUNCTION("""COMPUTED_VALUE"""),"Anaya Rao")</f>
        <v>Anaya Rao</v>
      </c>
      <c r="D2144" s="14" t="str">
        <f>IFERROR(__xludf.DUMMYFUNCTION("""COMPUTED_VALUE"""),"Colaba")</f>
        <v>Colaba</v>
      </c>
      <c r="E2144" s="14" t="str">
        <f>IFERROR(__xludf.DUMMYFUNCTION("""COMPUTED_VALUE"""),"Onion+1*Shine Thomas")</f>
        <v>Onion+1*Shine Thomas</v>
      </c>
      <c r="F2144" s="14">
        <f>IFERROR(__xludf.DUMMYFUNCTION("""COMPUTED_VALUE"""),4.0)</f>
        <v>4</v>
      </c>
      <c r="G2144" s="14">
        <f>IFERROR(__xludf.DUMMYFUNCTION("""COMPUTED_VALUE"""),26.0)</f>
        <v>26</v>
      </c>
      <c r="H2144" s="14">
        <f>IFERROR(__xludf.DUMMYFUNCTION("""COMPUTED_VALUE"""),2023.0)</f>
        <v>2023</v>
      </c>
      <c r="I2144" s="14" t="str">
        <f>IFERROR(__xludf.DUMMYFUNCTION("""COMPUTED_VALUE"""),"UPI")</f>
        <v>UPI</v>
      </c>
      <c r="J2144" s="14" t="str">
        <f>IFERROR(__xludf.DUMMYFUNCTION("""COMPUTED_VALUE"""),"Delivered*Convenience: Easy tracking")</f>
        <v>Delivered*Convenience: Easy tracking</v>
      </c>
      <c r="K2144" s="14" t="str">
        <f>IFERROR(__xludf.DUMMYFUNCTION("split(E2144,""+"")"),"Onion")</f>
        <v>Onion</v>
      </c>
      <c r="L2144" s="14" t="str">
        <f>IFERROR(__xludf.DUMMYFUNCTION("""COMPUTED_VALUE"""),"1*Shine Thomas")</f>
        <v>1*Shine Thomas</v>
      </c>
      <c r="M2144" s="14">
        <f>IFERROR(__xludf.DUMMYFUNCTION("SPLIT(L2144,""*"")"),1.0)</f>
        <v>1</v>
      </c>
      <c r="N2144" s="14" t="str">
        <f>IFERROR(__xludf.DUMMYFUNCTION("""COMPUTED_VALUE"""),"Shine Thomas")</f>
        <v>Shine Thomas</v>
      </c>
      <c r="O2144" s="14" t="str">
        <f>IFERROR(__xludf.DUMMYFUNCTION("split(J2144,""*"")"),"Delivered")</f>
        <v>Delivered</v>
      </c>
      <c r="P2144" s="14" t="str">
        <f>IFERROR(__xludf.DUMMYFUNCTION("""COMPUTED_VALUE"""),"Convenience: Easy tracking")</f>
        <v>Convenience: Easy tracking</v>
      </c>
      <c r="Q2144" s="14" t="str">
        <f>IFERROR(__xludf.DUMMYFUNCTION("split(P2144,"":"")"),"Convenience")</f>
        <v>Convenience</v>
      </c>
      <c r="R2144" s="14" t="str">
        <f>IFERROR(__xludf.DUMMYFUNCTION("""COMPUTED_VALUE""")," Easy tracking")</f>
        <v> Easy tracking</v>
      </c>
      <c r="S2144" s="14" t="str">
        <f t="shared" ref="S2144:U2144" si="4291">trim(B2144)</f>
        <v>ord_82118</v>
      </c>
      <c r="T2144" s="14" t="str">
        <f t="shared" si="4291"/>
        <v>Anaya Rao</v>
      </c>
      <c r="U2144" s="14" t="str">
        <f t="shared" si="4291"/>
        <v>Colaba</v>
      </c>
      <c r="V2144" s="14" t="str">
        <f t="shared" si="4"/>
        <v>Onion</v>
      </c>
      <c r="W2144" s="14">
        <f t="shared" si="5"/>
        <v>1</v>
      </c>
      <c r="X2144" s="14" t="str">
        <f t="shared" si="6"/>
        <v>Shine Thomas</v>
      </c>
      <c r="Y2144" s="15">
        <f t="shared" si="7"/>
        <v>45042</v>
      </c>
      <c r="Z2144" s="14" t="str">
        <f t="shared" si="8"/>
        <v>UPI</v>
      </c>
      <c r="AA2144" s="14" t="str">
        <f t="shared" si="9"/>
        <v>Delivered</v>
      </c>
      <c r="AB2144" s="14" t="str">
        <f t="shared" ref="AB2144:AC2144" si="4292">trim(Q2144)</f>
        <v>Convenience</v>
      </c>
      <c r="AC2144" s="14" t="str">
        <f t="shared" si="4292"/>
        <v>Easy tracking</v>
      </c>
      <c r="AD2144" s="8"/>
    </row>
    <row r="2145">
      <c r="A2145" s="14" t="str">
        <f>IFERROR(__xludf.DUMMYFUNCTION("""COMPUTED_VALUE"""),"//ord_82119//Ishaan Chaturvedi//Bandra//Tiramisu+5*Nithin Lal/8/17/2023//Online Payment//Delivered*Overall Satisfaction: Great service will order again")</f>
        <v>//ord_82119//Ishaan Chaturvedi//Bandra//Tiramisu+5*Nithin Lal/8/17/2023//Online Payment//Delivered*Overall Satisfaction: Great service will order again</v>
      </c>
      <c r="B2145" s="14" t="str">
        <f>IFERROR(__xludf.DUMMYFUNCTION("split(A2145,""//"")"),"ord_82119")</f>
        <v>ord_82119</v>
      </c>
      <c r="C2145" s="14" t="str">
        <f>IFERROR(__xludf.DUMMYFUNCTION("""COMPUTED_VALUE"""),"Ishaan Chaturvedi")</f>
        <v>Ishaan Chaturvedi</v>
      </c>
      <c r="D2145" s="14" t="str">
        <f>IFERROR(__xludf.DUMMYFUNCTION("""COMPUTED_VALUE"""),"Bandra")</f>
        <v>Bandra</v>
      </c>
      <c r="E2145" s="14" t="str">
        <f>IFERROR(__xludf.DUMMYFUNCTION("""COMPUTED_VALUE"""),"Tiramisu+5*Nithin Lal")</f>
        <v>Tiramisu+5*Nithin Lal</v>
      </c>
      <c r="F2145" s="14">
        <f>IFERROR(__xludf.DUMMYFUNCTION("""COMPUTED_VALUE"""),8.0)</f>
        <v>8</v>
      </c>
      <c r="G2145" s="14">
        <f>IFERROR(__xludf.DUMMYFUNCTION("""COMPUTED_VALUE"""),17.0)</f>
        <v>17</v>
      </c>
      <c r="H2145" s="14">
        <f>IFERROR(__xludf.DUMMYFUNCTION("""COMPUTED_VALUE"""),2023.0)</f>
        <v>2023</v>
      </c>
      <c r="I2145" s="14" t="str">
        <f>IFERROR(__xludf.DUMMYFUNCTION("""COMPUTED_VALUE"""),"Online Payment")</f>
        <v>Online Payment</v>
      </c>
      <c r="J2145" s="14" t="str">
        <f>IFERROR(__xludf.DUMMYFUNCTION("""COMPUTED_VALUE"""),"Delivered*Overall Satisfaction: Great service will order again")</f>
        <v>Delivered*Overall Satisfaction: Great service will order again</v>
      </c>
      <c r="K2145" s="14" t="str">
        <f>IFERROR(__xludf.DUMMYFUNCTION("split(E2145,""+"")"),"Tiramisu")</f>
        <v>Tiramisu</v>
      </c>
      <c r="L2145" s="14" t="str">
        <f>IFERROR(__xludf.DUMMYFUNCTION("""COMPUTED_VALUE"""),"5*Nithin Lal")</f>
        <v>5*Nithin Lal</v>
      </c>
      <c r="M2145" s="14">
        <f>IFERROR(__xludf.DUMMYFUNCTION("SPLIT(L2145,""*"")"),5.0)</f>
        <v>5</v>
      </c>
      <c r="N2145" s="14" t="str">
        <f>IFERROR(__xludf.DUMMYFUNCTION("""COMPUTED_VALUE"""),"Nithin Lal")</f>
        <v>Nithin Lal</v>
      </c>
      <c r="O2145" s="14" t="str">
        <f>IFERROR(__xludf.DUMMYFUNCTION("split(J2145,""*"")"),"Delivered")</f>
        <v>Delivered</v>
      </c>
      <c r="P2145" s="14" t="str">
        <f>IFERROR(__xludf.DUMMYFUNCTION("""COMPUTED_VALUE"""),"Overall Satisfaction: Great service will order again")</f>
        <v>Overall Satisfaction: Great service will order again</v>
      </c>
      <c r="Q2145" s="14" t="str">
        <f>IFERROR(__xludf.DUMMYFUNCTION("split(P2145,"":"")"),"Overall Satisfaction")</f>
        <v>Overall Satisfaction</v>
      </c>
      <c r="R2145" s="14" t="str">
        <f>IFERROR(__xludf.DUMMYFUNCTION("""COMPUTED_VALUE""")," Great service will order again")</f>
        <v> Great service will order again</v>
      </c>
      <c r="S2145" s="14" t="str">
        <f t="shared" ref="S2145:U2145" si="4293">trim(B2145)</f>
        <v>ord_82119</v>
      </c>
      <c r="T2145" s="14" t="str">
        <f t="shared" si="4293"/>
        <v>Ishaan Chaturvedi</v>
      </c>
      <c r="U2145" s="14" t="str">
        <f t="shared" si="4293"/>
        <v>Bandra</v>
      </c>
      <c r="V2145" s="14" t="str">
        <f t="shared" si="4"/>
        <v>Tiramisu</v>
      </c>
      <c r="W2145" s="14">
        <f t="shared" si="5"/>
        <v>5</v>
      </c>
      <c r="X2145" s="14" t="str">
        <f t="shared" si="6"/>
        <v>Nithin Lal</v>
      </c>
      <c r="Y2145" s="15">
        <f t="shared" si="7"/>
        <v>45155</v>
      </c>
      <c r="Z2145" s="14" t="str">
        <f t="shared" si="8"/>
        <v>Online Payment</v>
      </c>
      <c r="AA2145" s="14" t="str">
        <f t="shared" si="9"/>
        <v>Delivered</v>
      </c>
      <c r="AB2145" s="14" t="str">
        <f t="shared" ref="AB2145:AC2145" si="4294">trim(Q2145)</f>
        <v>Overall Satisfaction</v>
      </c>
      <c r="AC2145" s="14" t="str">
        <f t="shared" si="4294"/>
        <v>Great service will order again</v>
      </c>
      <c r="AD2145" s="8"/>
    </row>
    <row r="2146">
      <c r="A2146" s="14" t="str">
        <f>IFERROR(__xludf.DUMMYFUNCTION("""COMPUTED_VALUE"""),"//ord_82120//Mohit Malhotra//Lower Parel//Juice+1*Vivek Kumar/3/25/2023//UPI//Delivered*On-time Delivery: Delivered on time")</f>
        <v>//ord_82120//Mohit Malhotra//Lower Parel//Juice+1*Vivek Kumar/3/25/2023//UPI//Delivered*On-time Delivery: Delivered on time</v>
      </c>
      <c r="B2146" s="14" t="str">
        <f>IFERROR(__xludf.DUMMYFUNCTION("split(A2146,""//"")"),"ord_82120")</f>
        <v>ord_82120</v>
      </c>
      <c r="C2146" s="14" t="str">
        <f>IFERROR(__xludf.DUMMYFUNCTION("""COMPUTED_VALUE"""),"Mohit Malhotra")</f>
        <v>Mohit Malhotra</v>
      </c>
      <c r="D2146" s="14" t="str">
        <f>IFERROR(__xludf.DUMMYFUNCTION("""COMPUTED_VALUE"""),"Lower Parel")</f>
        <v>Lower Parel</v>
      </c>
      <c r="E2146" s="14" t="str">
        <f>IFERROR(__xludf.DUMMYFUNCTION("""COMPUTED_VALUE"""),"Juice+1*Vivek Kumar")</f>
        <v>Juice+1*Vivek Kumar</v>
      </c>
      <c r="F2146" s="14">
        <f>IFERROR(__xludf.DUMMYFUNCTION("""COMPUTED_VALUE"""),3.0)</f>
        <v>3</v>
      </c>
      <c r="G2146" s="14">
        <f>IFERROR(__xludf.DUMMYFUNCTION("""COMPUTED_VALUE"""),25.0)</f>
        <v>25</v>
      </c>
      <c r="H2146" s="14">
        <f>IFERROR(__xludf.DUMMYFUNCTION("""COMPUTED_VALUE"""),2023.0)</f>
        <v>2023</v>
      </c>
      <c r="I2146" s="14" t="str">
        <f>IFERROR(__xludf.DUMMYFUNCTION("""COMPUTED_VALUE"""),"UPI")</f>
        <v>UPI</v>
      </c>
      <c r="J2146" s="14" t="str">
        <f>IFERROR(__xludf.DUMMYFUNCTION("""COMPUTED_VALUE"""),"Delivered*On-time Delivery: Delivered on time")</f>
        <v>Delivered*On-time Delivery: Delivered on time</v>
      </c>
      <c r="K2146" s="14" t="str">
        <f>IFERROR(__xludf.DUMMYFUNCTION("split(E2146,""+"")"),"Juice")</f>
        <v>Juice</v>
      </c>
      <c r="L2146" s="14" t="str">
        <f>IFERROR(__xludf.DUMMYFUNCTION("""COMPUTED_VALUE"""),"1*Vivek Kumar")</f>
        <v>1*Vivek Kumar</v>
      </c>
      <c r="M2146" s="14">
        <f>IFERROR(__xludf.DUMMYFUNCTION("SPLIT(L2146,""*"")"),1.0)</f>
        <v>1</v>
      </c>
      <c r="N2146" s="14" t="str">
        <f>IFERROR(__xludf.DUMMYFUNCTION("""COMPUTED_VALUE"""),"Vivek Kumar")</f>
        <v>Vivek Kumar</v>
      </c>
      <c r="O2146" s="14" t="str">
        <f>IFERROR(__xludf.DUMMYFUNCTION("split(J2146,""*"")"),"Delivered")</f>
        <v>Delivered</v>
      </c>
      <c r="P2146" s="14" t="str">
        <f>IFERROR(__xludf.DUMMYFUNCTION("""COMPUTED_VALUE"""),"On-time Delivery: Delivered on time")</f>
        <v>On-time Delivery: Delivered on time</v>
      </c>
      <c r="Q2146" s="14" t="str">
        <f>IFERROR(__xludf.DUMMYFUNCTION("split(P2146,"":"")"),"On-time Delivery")</f>
        <v>On-time Delivery</v>
      </c>
      <c r="R2146" s="14" t="str">
        <f>IFERROR(__xludf.DUMMYFUNCTION("""COMPUTED_VALUE""")," Delivered on time")</f>
        <v> Delivered on time</v>
      </c>
      <c r="S2146" s="14" t="str">
        <f t="shared" ref="S2146:U2146" si="4295">trim(B2146)</f>
        <v>ord_82120</v>
      </c>
      <c r="T2146" s="14" t="str">
        <f t="shared" si="4295"/>
        <v>Mohit Malhotra</v>
      </c>
      <c r="U2146" s="14" t="str">
        <f t="shared" si="4295"/>
        <v>Lower Parel</v>
      </c>
      <c r="V2146" s="14" t="str">
        <f t="shared" si="4"/>
        <v>Juice</v>
      </c>
      <c r="W2146" s="14">
        <f t="shared" si="5"/>
        <v>1</v>
      </c>
      <c r="X2146" s="14" t="str">
        <f t="shared" si="6"/>
        <v>Vivek Kumar</v>
      </c>
      <c r="Y2146" s="15">
        <f t="shared" si="7"/>
        <v>45010</v>
      </c>
      <c r="Z2146" s="14" t="str">
        <f t="shared" si="8"/>
        <v>UPI</v>
      </c>
      <c r="AA2146" s="14" t="str">
        <f t="shared" si="9"/>
        <v>Delivered</v>
      </c>
      <c r="AB2146" s="14" t="str">
        <f t="shared" ref="AB2146:AC2146" si="4296">trim(Q2146)</f>
        <v>On-time Delivery</v>
      </c>
      <c r="AC2146" s="14" t="str">
        <f t="shared" si="4296"/>
        <v>Delivered on time</v>
      </c>
      <c r="AD2146" s="8"/>
    </row>
    <row r="2147">
      <c r="A2147" s="14" t="str">
        <f>IFERROR(__xludf.DUMMYFUNCTION("""COMPUTED_VALUE"""),"//ord_82121//Parth Goel//Juhu//Apple+1*Ram Gopal/11/30/2023//Online Payment//Delivered*Quality of Items: Perfect condition")</f>
        <v>//ord_82121//Parth Goel//Juhu//Apple+1*Ram Gopal/11/30/2023//Online Payment//Delivered*Quality of Items: Perfect condition</v>
      </c>
      <c r="B2147" s="14" t="str">
        <f>IFERROR(__xludf.DUMMYFUNCTION("split(A2147,""//"")"),"ord_82121")</f>
        <v>ord_82121</v>
      </c>
      <c r="C2147" s="14" t="str">
        <f>IFERROR(__xludf.DUMMYFUNCTION("""COMPUTED_VALUE"""),"Parth Goel")</f>
        <v>Parth Goel</v>
      </c>
      <c r="D2147" s="14" t="str">
        <f>IFERROR(__xludf.DUMMYFUNCTION("""COMPUTED_VALUE"""),"Juhu")</f>
        <v>Juhu</v>
      </c>
      <c r="E2147" s="14" t="str">
        <f>IFERROR(__xludf.DUMMYFUNCTION("""COMPUTED_VALUE"""),"Apple+1*Ram Gopal")</f>
        <v>Apple+1*Ram Gopal</v>
      </c>
      <c r="F2147" s="14">
        <f>IFERROR(__xludf.DUMMYFUNCTION("""COMPUTED_VALUE"""),11.0)</f>
        <v>11</v>
      </c>
      <c r="G2147" s="14">
        <f>IFERROR(__xludf.DUMMYFUNCTION("""COMPUTED_VALUE"""),30.0)</f>
        <v>30</v>
      </c>
      <c r="H2147" s="14">
        <f>IFERROR(__xludf.DUMMYFUNCTION("""COMPUTED_VALUE"""),2023.0)</f>
        <v>2023</v>
      </c>
      <c r="I2147" s="14" t="str">
        <f>IFERROR(__xludf.DUMMYFUNCTION("""COMPUTED_VALUE"""),"Online Payment")</f>
        <v>Online Payment</v>
      </c>
      <c r="J2147" s="14" t="str">
        <f>IFERROR(__xludf.DUMMYFUNCTION("""COMPUTED_VALUE"""),"Delivered*Quality of Items: Perfect condition")</f>
        <v>Delivered*Quality of Items: Perfect condition</v>
      </c>
      <c r="K2147" s="14" t="str">
        <f>IFERROR(__xludf.DUMMYFUNCTION("split(E2147,""+"")"),"Apple")</f>
        <v>Apple</v>
      </c>
      <c r="L2147" s="14" t="str">
        <f>IFERROR(__xludf.DUMMYFUNCTION("""COMPUTED_VALUE"""),"1*Ram Gopal")</f>
        <v>1*Ram Gopal</v>
      </c>
      <c r="M2147" s="14">
        <f>IFERROR(__xludf.DUMMYFUNCTION("SPLIT(L2147,""*"")"),1.0)</f>
        <v>1</v>
      </c>
      <c r="N2147" s="14" t="str">
        <f>IFERROR(__xludf.DUMMYFUNCTION("""COMPUTED_VALUE"""),"Ram Gopal")</f>
        <v>Ram Gopal</v>
      </c>
      <c r="O2147" s="14" t="str">
        <f>IFERROR(__xludf.DUMMYFUNCTION("split(J2147,""*"")"),"Delivered")</f>
        <v>Delivered</v>
      </c>
      <c r="P2147" s="14" t="str">
        <f>IFERROR(__xludf.DUMMYFUNCTION("""COMPUTED_VALUE"""),"Quality of Items: Perfect condition")</f>
        <v>Quality of Items: Perfect condition</v>
      </c>
      <c r="Q2147" s="14" t="str">
        <f>IFERROR(__xludf.DUMMYFUNCTION("split(P2147,"":"")"),"Quality of Items")</f>
        <v>Quality of Items</v>
      </c>
      <c r="R2147" s="14" t="str">
        <f>IFERROR(__xludf.DUMMYFUNCTION("""COMPUTED_VALUE""")," Perfect condition")</f>
        <v> Perfect condition</v>
      </c>
      <c r="S2147" s="14" t="str">
        <f t="shared" ref="S2147:U2147" si="4297">trim(B2147)</f>
        <v>ord_82121</v>
      </c>
      <c r="T2147" s="14" t="str">
        <f t="shared" si="4297"/>
        <v>Parth Goel</v>
      </c>
      <c r="U2147" s="14" t="str">
        <f t="shared" si="4297"/>
        <v>Juhu</v>
      </c>
      <c r="V2147" s="14" t="str">
        <f t="shared" si="4"/>
        <v>Apple</v>
      </c>
      <c r="W2147" s="14">
        <f t="shared" si="5"/>
        <v>1</v>
      </c>
      <c r="X2147" s="14" t="str">
        <f t="shared" si="6"/>
        <v>Ram Gopal</v>
      </c>
      <c r="Y2147" s="15">
        <f t="shared" si="7"/>
        <v>45260</v>
      </c>
      <c r="Z2147" s="14" t="str">
        <f t="shared" si="8"/>
        <v>Online Payment</v>
      </c>
      <c r="AA2147" s="14" t="str">
        <f t="shared" si="9"/>
        <v>Delivered</v>
      </c>
      <c r="AB2147" s="14" t="str">
        <f t="shared" ref="AB2147:AC2147" si="4298">trim(Q2147)</f>
        <v>Quality of Items</v>
      </c>
      <c r="AC2147" s="14" t="str">
        <f t="shared" si="4298"/>
        <v>Perfect condition</v>
      </c>
      <c r="AD2147" s="8"/>
    </row>
    <row r="2148">
      <c r="A2148" s="14" t="str">
        <f>IFERROR(__xludf.DUMMYFUNCTION("""COMPUTED_VALUE"""),"//ord_82122//Pallavi Ghosh//Bandra//Chicken Puff+4*Ramesh S/5/16/2023//Credit Card//Delivered*On-time Delivery: Delivered on time")</f>
        <v>//ord_82122//Pallavi Ghosh//Bandra//Chicken Puff+4*Ramesh S/5/16/2023//Credit Card//Delivered*On-time Delivery: Delivered on time</v>
      </c>
      <c r="B2148" s="14" t="str">
        <f>IFERROR(__xludf.DUMMYFUNCTION("split(A2148,""//"")"),"ord_82122")</f>
        <v>ord_82122</v>
      </c>
      <c r="C2148" s="14" t="str">
        <f>IFERROR(__xludf.DUMMYFUNCTION("""COMPUTED_VALUE"""),"Pallavi Ghosh")</f>
        <v>Pallavi Ghosh</v>
      </c>
      <c r="D2148" s="14" t="str">
        <f>IFERROR(__xludf.DUMMYFUNCTION("""COMPUTED_VALUE"""),"Bandra")</f>
        <v>Bandra</v>
      </c>
      <c r="E2148" s="14" t="str">
        <f>IFERROR(__xludf.DUMMYFUNCTION("""COMPUTED_VALUE"""),"Chicken Puff+4*Ramesh S")</f>
        <v>Chicken Puff+4*Ramesh S</v>
      </c>
      <c r="F2148" s="14">
        <f>IFERROR(__xludf.DUMMYFUNCTION("""COMPUTED_VALUE"""),5.0)</f>
        <v>5</v>
      </c>
      <c r="G2148" s="14">
        <f>IFERROR(__xludf.DUMMYFUNCTION("""COMPUTED_VALUE"""),16.0)</f>
        <v>16</v>
      </c>
      <c r="H2148" s="14">
        <f>IFERROR(__xludf.DUMMYFUNCTION("""COMPUTED_VALUE"""),2023.0)</f>
        <v>2023</v>
      </c>
      <c r="I2148" s="14" t="str">
        <f>IFERROR(__xludf.DUMMYFUNCTION("""COMPUTED_VALUE"""),"Credit Card")</f>
        <v>Credit Card</v>
      </c>
      <c r="J2148" s="14" t="str">
        <f>IFERROR(__xludf.DUMMYFUNCTION("""COMPUTED_VALUE"""),"Delivered*On-time Delivery: Delivered on time")</f>
        <v>Delivered*On-time Delivery: Delivered on time</v>
      </c>
      <c r="K2148" s="14" t="str">
        <f>IFERROR(__xludf.DUMMYFUNCTION("split(E2148,""+"")"),"Chicken Puff")</f>
        <v>Chicken Puff</v>
      </c>
      <c r="L2148" s="14" t="str">
        <f>IFERROR(__xludf.DUMMYFUNCTION("""COMPUTED_VALUE"""),"4*Ramesh S")</f>
        <v>4*Ramesh S</v>
      </c>
      <c r="M2148" s="14">
        <f>IFERROR(__xludf.DUMMYFUNCTION("SPLIT(L2148,""*"")"),4.0)</f>
        <v>4</v>
      </c>
      <c r="N2148" s="14" t="str">
        <f>IFERROR(__xludf.DUMMYFUNCTION("""COMPUTED_VALUE"""),"Ramesh S")</f>
        <v>Ramesh S</v>
      </c>
      <c r="O2148" s="14" t="str">
        <f>IFERROR(__xludf.DUMMYFUNCTION("split(J2148,""*"")"),"Delivered")</f>
        <v>Delivered</v>
      </c>
      <c r="P2148" s="14" t="str">
        <f>IFERROR(__xludf.DUMMYFUNCTION("""COMPUTED_VALUE"""),"On-time Delivery: Delivered on time")</f>
        <v>On-time Delivery: Delivered on time</v>
      </c>
      <c r="Q2148" s="14" t="str">
        <f>IFERROR(__xludf.DUMMYFUNCTION("split(P2148,"":"")"),"On-time Delivery")</f>
        <v>On-time Delivery</v>
      </c>
      <c r="R2148" s="14" t="str">
        <f>IFERROR(__xludf.DUMMYFUNCTION("""COMPUTED_VALUE""")," Delivered on time")</f>
        <v> Delivered on time</v>
      </c>
      <c r="S2148" s="14" t="str">
        <f t="shared" ref="S2148:U2148" si="4299">trim(B2148)</f>
        <v>ord_82122</v>
      </c>
      <c r="T2148" s="14" t="str">
        <f t="shared" si="4299"/>
        <v>Pallavi Ghosh</v>
      </c>
      <c r="U2148" s="14" t="str">
        <f t="shared" si="4299"/>
        <v>Bandra</v>
      </c>
      <c r="V2148" s="14" t="str">
        <f t="shared" si="4"/>
        <v>Chicken Puff</v>
      </c>
      <c r="W2148" s="14">
        <f t="shared" si="5"/>
        <v>4</v>
      </c>
      <c r="X2148" s="14" t="str">
        <f t="shared" si="6"/>
        <v>Ramesh S</v>
      </c>
      <c r="Y2148" s="15">
        <f t="shared" si="7"/>
        <v>45062</v>
      </c>
      <c r="Z2148" s="14" t="str">
        <f t="shared" si="8"/>
        <v>Credit Card</v>
      </c>
      <c r="AA2148" s="14" t="str">
        <f t="shared" si="9"/>
        <v>Delivered</v>
      </c>
      <c r="AB2148" s="14" t="str">
        <f t="shared" ref="AB2148:AC2148" si="4300">trim(Q2148)</f>
        <v>On-time Delivery</v>
      </c>
      <c r="AC2148" s="14" t="str">
        <f t="shared" si="4300"/>
        <v>Delivered on time</v>
      </c>
      <c r="AD2148" s="8"/>
    </row>
    <row r="2149">
      <c r="A2149" s="14" t="str">
        <f>IFERROR(__xludf.DUMMYFUNCTION("""COMPUTED_VALUE"""),"//ord_82123//Tanishq Bansal//Powai//Banana+2*Vivek Kumar/9/9/2023//Online Payment//Delivered*Quality of Items: Perfect condition")</f>
        <v>//ord_82123//Tanishq Bansal//Powai//Banana+2*Vivek Kumar/9/9/2023//Online Payment//Delivered*Quality of Items: Perfect condition</v>
      </c>
      <c r="B2149" s="14" t="str">
        <f>IFERROR(__xludf.DUMMYFUNCTION("split(A2149,""//"")"),"ord_82123")</f>
        <v>ord_82123</v>
      </c>
      <c r="C2149" s="14" t="str">
        <f>IFERROR(__xludf.DUMMYFUNCTION("""COMPUTED_VALUE"""),"Tanishq Bansal")</f>
        <v>Tanishq Bansal</v>
      </c>
      <c r="D2149" s="14" t="str">
        <f>IFERROR(__xludf.DUMMYFUNCTION("""COMPUTED_VALUE"""),"Powai")</f>
        <v>Powai</v>
      </c>
      <c r="E2149" s="14" t="str">
        <f>IFERROR(__xludf.DUMMYFUNCTION("""COMPUTED_VALUE"""),"Banana+2*Vivek Kumar")</f>
        <v>Banana+2*Vivek Kumar</v>
      </c>
      <c r="F2149" s="14">
        <f>IFERROR(__xludf.DUMMYFUNCTION("""COMPUTED_VALUE"""),9.0)</f>
        <v>9</v>
      </c>
      <c r="G2149" s="14">
        <f>IFERROR(__xludf.DUMMYFUNCTION("""COMPUTED_VALUE"""),9.0)</f>
        <v>9</v>
      </c>
      <c r="H2149" s="14">
        <f>IFERROR(__xludf.DUMMYFUNCTION("""COMPUTED_VALUE"""),2023.0)</f>
        <v>2023</v>
      </c>
      <c r="I2149" s="14" t="str">
        <f>IFERROR(__xludf.DUMMYFUNCTION("""COMPUTED_VALUE"""),"Online Payment")</f>
        <v>Online Payment</v>
      </c>
      <c r="J2149" s="14" t="str">
        <f>IFERROR(__xludf.DUMMYFUNCTION("""COMPUTED_VALUE"""),"Delivered*Quality of Items: Perfect condition")</f>
        <v>Delivered*Quality of Items: Perfect condition</v>
      </c>
      <c r="K2149" s="14" t="str">
        <f>IFERROR(__xludf.DUMMYFUNCTION("split(E2149,""+"")"),"Banana")</f>
        <v>Banana</v>
      </c>
      <c r="L2149" s="14" t="str">
        <f>IFERROR(__xludf.DUMMYFUNCTION("""COMPUTED_VALUE"""),"2*Vivek Kumar")</f>
        <v>2*Vivek Kumar</v>
      </c>
      <c r="M2149" s="14">
        <f>IFERROR(__xludf.DUMMYFUNCTION("SPLIT(L2149,""*"")"),2.0)</f>
        <v>2</v>
      </c>
      <c r="N2149" s="14" t="str">
        <f>IFERROR(__xludf.DUMMYFUNCTION("""COMPUTED_VALUE"""),"Vivek Kumar")</f>
        <v>Vivek Kumar</v>
      </c>
      <c r="O2149" s="14" t="str">
        <f>IFERROR(__xludf.DUMMYFUNCTION("split(J2149,""*"")"),"Delivered")</f>
        <v>Delivered</v>
      </c>
      <c r="P2149" s="14" t="str">
        <f>IFERROR(__xludf.DUMMYFUNCTION("""COMPUTED_VALUE"""),"Quality of Items: Perfect condition")</f>
        <v>Quality of Items: Perfect condition</v>
      </c>
      <c r="Q2149" s="14" t="str">
        <f>IFERROR(__xludf.DUMMYFUNCTION("split(P2149,"":"")"),"Quality of Items")</f>
        <v>Quality of Items</v>
      </c>
      <c r="R2149" s="14" t="str">
        <f>IFERROR(__xludf.DUMMYFUNCTION("""COMPUTED_VALUE""")," Perfect condition")</f>
        <v> Perfect condition</v>
      </c>
      <c r="S2149" s="14" t="str">
        <f t="shared" ref="S2149:U2149" si="4301">trim(B2149)</f>
        <v>ord_82123</v>
      </c>
      <c r="T2149" s="14" t="str">
        <f t="shared" si="4301"/>
        <v>Tanishq Bansal</v>
      </c>
      <c r="U2149" s="14" t="str">
        <f t="shared" si="4301"/>
        <v>Powai</v>
      </c>
      <c r="V2149" s="14" t="str">
        <f t="shared" si="4"/>
        <v>Banana</v>
      </c>
      <c r="W2149" s="14">
        <f t="shared" si="5"/>
        <v>2</v>
      </c>
      <c r="X2149" s="14" t="str">
        <f t="shared" si="6"/>
        <v>Vivek Kumar</v>
      </c>
      <c r="Y2149" s="15">
        <f t="shared" si="7"/>
        <v>45178</v>
      </c>
      <c r="Z2149" s="14" t="str">
        <f t="shared" si="8"/>
        <v>Online Payment</v>
      </c>
      <c r="AA2149" s="14" t="str">
        <f t="shared" si="9"/>
        <v>Delivered</v>
      </c>
      <c r="AB2149" s="14" t="str">
        <f t="shared" ref="AB2149:AC2149" si="4302">trim(Q2149)</f>
        <v>Quality of Items</v>
      </c>
      <c r="AC2149" s="14" t="str">
        <f t="shared" si="4302"/>
        <v>Perfect condition</v>
      </c>
      <c r="AD2149" s="8"/>
    </row>
    <row r="2150">
      <c r="A2150" s="14" t="str">
        <f>IFERROR(__xludf.DUMMYFUNCTION("""COMPUTED_VALUE"""),"//ord_82124//Ishaan Chaturvedi//Bandra//Rasmalai+2*Venu R/12/30/2023//Credit Card//Delivered*Packaging: Secure and intact")</f>
        <v>//ord_82124//Ishaan Chaturvedi//Bandra//Rasmalai+2*Venu R/12/30/2023//Credit Card//Delivered*Packaging: Secure and intact</v>
      </c>
      <c r="B2150" s="14" t="str">
        <f>IFERROR(__xludf.DUMMYFUNCTION("split(A2150,""//"")"),"ord_82124")</f>
        <v>ord_82124</v>
      </c>
      <c r="C2150" s="14" t="str">
        <f>IFERROR(__xludf.DUMMYFUNCTION("""COMPUTED_VALUE"""),"Ishaan Chaturvedi")</f>
        <v>Ishaan Chaturvedi</v>
      </c>
      <c r="D2150" s="14" t="str">
        <f>IFERROR(__xludf.DUMMYFUNCTION("""COMPUTED_VALUE"""),"Bandra")</f>
        <v>Bandra</v>
      </c>
      <c r="E2150" s="14" t="str">
        <f>IFERROR(__xludf.DUMMYFUNCTION("""COMPUTED_VALUE"""),"Rasmalai+2*Venu R")</f>
        <v>Rasmalai+2*Venu R</v>
      </c>
      <c r="F2150" s="14">
        <f>IFERROR(__xludf.DUMMYFUNCTION("""COMPUTED_VALUE"""),12.0)</f>
        <v>12</v>
      </c>
      <c r="G2150" s="14">
        <f>IFERROR(__xludf.DUMMYFUNCTION("""COMPUTED_VALUE"""),30.0)</f>
        <v>30</v>
      </c>
      <c r="H2150" s="14">
        <f>IFERROR(__xludf.DUMMYFUNCTION("""COMPUTED_VALUE"""),2023.0)</f>
        <v>2023</v>
      </c>
      <c r="I2150" s="14" t="str">
        <f>IFERROR(__xludf.DUMMYFUNCTION("""COMPUTED_VALUE"""),"Credit Card")</f>
        <v>Credit Card</v>
      </c>
      <c r="J2150" s="14" t="str">
        <f>IFERROR(__xludf.DUMMYFUNCTION("""COMPUTED_VALUE"""),"Delivered*Packaging: Secure and intact")</f>
        <v>Delivered*Packaging: Secure and intact</v>
      </c>
      <c r="K2150" s="14" t="str">
        <f>IFERROR(__xludf.DUMMYFUNCTION("split(E2150,""+"")"),"Rasmalai")</f>
        <v>Rasmalai</v>
      </c>
      <c r="L2150" s="14" t="str">
        <f>IFERROR(__xludf.DUMMYFUNCTION("""COMPUTED_VALUE"""),"2*Venu R")</f>
        <v>2*Venu R</v>
      </c>
      <c r="M2150" s="14">
        <f>IFERROR(__xludf.DUMMYFUNCTION("SPLIT(L2150,""*"")"),2.0)</f>
        <v>2</v>
      </c>
      <c r="N2150" s="14" t="str">
        <f>IFERROR(__xludf.DUMMYFUNCTION("""COMPUTED_VALUE"""),"Venu R")</f>
        <v>Venu R</v>
      </c>
      <c r="O2150" s="14" t="str">
        <f>IFERROR(__xludf.DUMMYFUNCTION("split(J2150,""*"")"),"Delivered")</f>
        <v>Delivered</v>
      </c>
      <c r="P2150" s="14" t="str">
        <f>IFERROR(__xludf.DUMMYFUNCTION("""COMPUTED_VALUE"""),"Packaging: Secure and intact")</f>
        <v>Packaging: Secure and intact</v>
      </c>
      <c r="Q2150" s="14" t="str">
        <f>IFERROR(__xludf.DUMMYFUNCTION("split(P2150,"":"")"),"Packaging")</f>
        <v>Packaging</v>
      </c>
      <c r="R2150" s="14" t="str">
        <f>IFERROR(__xludf.DUMMYFUNCTION("""COMPUTED_VALUE""")," Secure and intact")</f>
        <v> Secure and intact</v>
      </c>
      <c r="S2150" s="14" t="str">
        <f t="shared" ref="S2150:U2150" si="4303">trim(B2150)</f>
        <v>ord_82124</v>
      </c>
      <c r="T2150" s="14" t="str">
        <f t="shared" si="4303"/>
        <v>Ishaan Chaturvedi</v>
      </c>
      <c r="U2150" s="14" t="str">
        <f t="shared" si="4303"/>
        <v>Bandra</v>
      </c>
      <c r="V2150" s="14" t="str">
        <f t="shared" si="4"/>
        <v>Rasmalai</v>
      </c>
      <c r="W2150" s="14">
        <f t="shared" si="5"/>
        <v>2</v>
      </c>
      <c r="X2150" s="14" t="str">
        <f t="shared" si="6"/>
        <v>Venu R</v>
      </c>
      <c r="Y2150" s="15">
        <f t="shared" si="7"/>
        <v>45290</v>
      </c>
      <c r="Z2150" s="14" t="str">
        <f t="shared" si="8"/>
        <v>Credit Card</v>
      </c>
      <c r="AA2150" s="14" t="str">
        <f t="shared" si="9"/>
        <v>Delivered</v>
      </c>
      <c r="AB2150" s="14" t="str">
        <f t="shared" ref="AB2150:AC2150" si="4304">trim(Q2150)</f>
        <v>Packaging</v>
      </c>
      <c r="AC2150" s="14" t="str">
        <f t="shared" si="4304"/>
        <v>Secure and intact</v>
      </c>
      <c r="AD2150" s="8"/>
    </row>
    <row r="2151">
      <c r="A2151" s="14" t="str">
        <f>IFERROR(__xludf.DUMMYFUNCTION("""COMPUTED_VALUE"""),"//ord_82125//Mehul Thakkar//Malad//Tomato+2*Not Assigned/12/5/2023//Credit Card//Cancelled*App Glitches: Payment Button Malfunction")</f>
        <v>//ord_82125//Mehul Thakkar//Malad//Tomato+2*Not Assigned/12/5/2023//Credit Card//Cancelled*App Glitches: Payment Button Malfunction</v>
      </c>
      <c r="B2151" s="14" t="str">
        <f>IFERROR(__xludf.DUMMYFUNCTION("split(A2151,""//"")"),"ord_82125")</f>
        <v>ord_82125</v>
      </c>
      <c r="C2151" s="14" t="str">
        <f>IFERROR(__xludf.DUMMYFUNCTION("""COMPUTED_VALUE"""),"Mehul Thakkar")</f>
        <v>Mehul Thakkar</v>
      </c>
      <c r="D2151" s="14" t="str">
        <f>IFERROR(__xludf.DUMMYFUNCTION("""COMPUTED_VALUE"""),"Malad")</f>
        <v>Malad</v>
      </c>
      <c r="E2151" s="14" t="str">
        <f>IFERROR(__xludf.DUMMYFUNCTION("""COMPUTED_VALUE"""),"Tomato+2*Not Assigned")</f>
        <v>Tomato+2*Not Assigned</v>
      </c>
      <c r="F2151" s="14">
        <f>IFERROR(__xludf.DUMMYFUNCTION("""COMPUTED_VALUE"""),12.0)</f>
        <v>12</v>
      </c>
      <c r="G2151" s="14">
        <f>IFERROR(__xludf.DUMMYFUNCTION("""COMPUTED_VALUE"""),5.0)</f>
        <v>5</v>
      </c>
      <c r="H2151" s="14">
        <f>IFERROR(__xludf.DUMMYFUNCTION("""COMPUTED_VALUE"""),2023.0)</f>
        <v>2023</v>
      </c>
      <c r="I2151" s="14" t="str">
        <f>IFERROR(__xludf.DUMMYFUNCTION("""COMPUTED_VALUE"""),"Credit Card")</f>
        <v>Credit Card</v>
      </c>
      <c r="J2151" s="14" t="str">
        <f>IFERROR(__xludf.DUMMYFUNCTION("""COMPUTED_VALUE"""),"Cancelled*App Glitches: Payment Button Malfunction")</f>
        <v>Cancelled*App Glitches: Payment Button Malfunction</v>
      </c>
      <c r="K2151" s="14" t="str">
        <f>IFERROR(__xludf.DUMMYFUNCTION("split(E2151,""+"")"),"Tomato")</f>
        <v>Tomato</v>
      </c>
      <c r="L2151" s="14" t="str">
        <f>IFERROR(__xludf.DUMMYFUNCTION("""COMPUTED_VALUE"""),"2*Not Assigned")</f>
        <v>2*Not Assigned</v>
      </c>
      <c r="M2151" s="14">
        <f>IFERROR(__xludf.DUMMYFUNCTION("SPLIT(L2151,""*"")"),2.0)</f>
        <v>2</v>
      </c>
      <c r="N2151" s="14" t="str">
        <f>IFERROR(__xludf.DUMMYFUNCTION("""COMPUTED_VALUE"""),"Not Assigned")</f>
        <v>Not Assigned</v>
      </c>
      <c r="O2151" s="14" t="str">
        <f>IFERROR(__xludf.DUMMYFUNCTION("split(J2151,""*"")"),"Cancelled")</f>
        <v>Cancelled</v>
      </c>
      <c r="P2151" s="14" t="str">
        <f>IFERROR(__xludf.DUMMYFUNCTION("""COMPUTED_VALUE"""),"App Glitches: Payment Button Malfunction")</f>
        <v>App Glitches: Payment Button Malfunction</v>
      </c>
      <c r="Q2151" s="14" t="str">
        <f>IFERROR(__xludf.DUMMYFUNCTION("split(P2151,"":"")"),"App Glitches")</f>
        <v>App Glitches</v>
      </c>
      <c r="R2151" s="14" t="str">
        <f>IFERROR(__xludf.DUMMYFUNCTION("""COMPUTED_VALUE""")," Payment Button Malfunction")</f>
        <v> Payment Button Malfunction</v>
      </c>
      <c r="S2151" s="14" t="str">
        <f t="shared" ref="S2151:U2151" si="4305">trim(B2151)</f>
        <v>ord_82125</v>
      </c>
      <c r="T2151" s="14" t="str">
        <f t="shared" si="4305"/>
        <v>Mehul Thakkar</v>
      </c>
      <c r="U2151" s="14" t="str">
        <f t="shared" si="4305"/>
        <v>Malad</v>
      </c>
      <c r="V2151" s="14" t="str">
        <f t="shared" si="4"/>
        <v>Tomato</v>
      </c>
      <c r="W2151" s="14">
        <f t="shared" si="5"/>
        <v>2</v>
      </c>
      <c r="X2151" s="14" t="str">
        <f t="shared" si="6"/>
        <v>Not Assigned</v>
      </c>
      <c r="Y2151" s="15">
        <f t="shared" si="7"/>
        <v>45265</v>
      </c>
      <c r="Z2151" s="14" t="str">
        <f t="shared" si="8"/>
        <v>Credit Card</v>
      </c>
      <c r="AA2151" s="14" t="str">
        <f t="shared" si="9"/>
        <v>Cancelled</v>
      </c>
      <c r="AB2151" s="14" t="str">
        <f t="shared" ref="AB2151:AC2151" si="4306">trim(Q2151)</f>
        <v>App Glitches</v>
      </c>
      <c r="AC2151" s="14" t="str">
        <f t="shared" si="4306"/>
        <v>Payment Button Malfunction</v>
      </c>
      <c r="AD2151" s="8"/>
    </row>
    <row r="2152">
      <c r="A2152" s="14" t="str">
        <f>IFERROR(__xludf.DUMMYFUNCTION("""COMPUTED_VALUE"""),"//ord_82126//Arvind Kulkarni//Juhu//Chicken Puff+5*Shine Thomas/7/12/2023//UPI//Delivered*Satisfied with the Delivery: Timely and quality")</f>
        <v>//ord_82126//Arvind Kulkarni//Juhu//Chicken Puff+5*Shine Thomas/7/12/2023//UPI//Delivered*Satisfied with the Delivery: Timely and quality</v>
      </c>
      <c r="B2152" s="14" t="str">
        <f>IFERROR(__xludf.DUMMYFUNCTION("split(A2152,""//"")"),"ord_82126")</f>
        <v>ord_82126</v>
      </c>
      <c r="C2152" s="14" t="str">
        <f>IFERROR(__xludf.DUMMYFUNCTION("""COMPUTED_VALUE"""),"Arvind Kulkarni")</f>
        <v>Arvind Kulkarni</v>
      </c>
      <c r="D2152" s="14" t="str">
        <f>IFERROR(__xludf.DUMMYFUNCTION("""COMPUTED_VALUE"""),"Juhu")</f>
        <v>Juhu</v>
      </c>
      <c r="E2152" s="14" t="str">
        <f>IFERROR(__xludf.DUMMYFUNCTION("""COMPUTED_VALUE"""),"Chicken Puff+5*Shine Thomas")</f>
        <v>Chicken Puff+5*Shine Thomas</v>
      </c>
      <c r="F2152" s="14">
        <f>IFERROR(__xludf.DUMMYFUNCTION("""COMPUTED_VALUE"""),7.0)</f>
        <v>7</v>
      </c>
      <c r="G2152" s="14">
        <f>IFERROR(__xludf.DUMMYFUNCTION("""COMPUTED_VALUE"""),12.0)</f>
        <v>12</v>
      </c>
      <c r="H2152" s="14">
        <f>IFERROR(__xludf.DUMMYFUNCTION("""COMPUTED_VALUE"""),2023.0)</f>
        <v>2023</v>
      </c>
      <c r="I2152" s="14" t="str">
        <f>IFERROR(__xludf.DUMMYFUNCTION("""COMPUTED_VALUE"""),"UPI")</f>
        <v>UPI</v>
      </c>
      <c r="J2152" s="14" t="str">
        <f>IFERROR(__xludf.DUMMYFUNCTION("""COMPUTED_VALUE"""),"Delivered*Satisfied with the Delivery: Timely and quality")</f>
        <v>Delivered*Satisfied with the Delivery: Timely and quality</v>
      </c>
      <c r="K2152" s="14" t="str">
        <f>IFERROR(__xludf.DUMMYFUNCTION("split(E2152,""+"")"),"Chicken Puff")</f>
        <v>Chicken Puff</v>
      </c>
      <c r="L2152" s="14" t="str">
        <f>IFERROR(__xludf.DUMMYFUNCTION("""COMPUTED_VALUE"""),"5*Shine Thomas")</f>
        <v>5*Shine Thomas</v>
      </c>
      <c r="M2152" s="14">
        <f>IFERROR(__xludf.DUMMYFUNCTION("SPLIT(L2152,""*"")"),5.0)</f>
        <v>5</v>
      </c>
      <c r="N2152" s="14" t="str">
        <f>IFERROR(__xludf.DUMMYFUNCTION("""COMPUTED_VALUE"""),"Shine Thomas")</f>
        <v>Shine Thomas</v>
      </c>
      <c r="O2152" s="14" t="str">
        <f>IFERROR(__xludf.DUMMYFUNCTION("split(J2152,""*"")"),"Delivered")</f>
        <v>Delivered</v>
      </c>
      <c r="P2152" s="14" t="str">
        <f>IFERROR(__xludf.DUMMYFUNCTION("""COMPUTED_VALUE"""),"Satisfied with the Delivery: Timely and quality")</f>
        <v>Satisfied with the Delivery: Timely and quality</v>
      </c>
      <c r="Q2152" s="14" t="str">
        <f>IFERROR(__xludf.DUMMYFUNCTION("split(P2152,"":"")"),"Satisfied with the Delivery")</f>
        <v>Satisfied with the Delivery</v>
      </c>
      <c r="R2152" s="14" t="str">
        <f>IFERROR(__xludf.DUMMYFUNCTION("""COMPUTED_VALUE""")," Timely and quality")</f>
        <v> Timely and quality</v>
      </c>
      <c r="S2152" s="14" t="str">
        <f t="shared" ref="S2152:U2152" si="4307">trim(B2152)</f>
        <v>ord_82126</v>
      </c>
      <c r="T2152" s="14" t="str">
        <f t="shared" si="4307"/>
        <v>Arvind Kulkarni</v>
      </c>
      <c r="U2152" s="14" t="str">
        <f t="shared" si="4307"/>
        <v>Juhu</v>
      </c>
      <c r="V2152" s="14" t="str">
        <f t="shared" si="4"/>
        <v>Chicken Puff</v>
      </c>
      <c r="W2152" s="14">
        <f t="shared" si="5"/>
        <v>5</v>
      </c>
      <c r="X2152" s="14" t="str">
        <f t="shared" si="6"/>
        <v>Shine Thomas</v>
      </c>
      <c r="Y2152" s="15">
        <f t="shared" si="7"/>
        <v>45119</v>
      </c>
      <c r="Z2152" s="14" t="str">
        <f t="shared" si="8"/>
        <v>UPI</v>
      </c>
      <c r="AA2152" s="14" t="str">
        <f t="shared" si="9"/>
        <v>Delivered</v>
      </c>
      <c r="AB2152" s="14" t="str">
        <f t="shared" ref="AB2152:AC2152" si="4308">trim(Q2152)</f>
        <v>Satisfied with the Delivery</v>
      </c>
      <c r="AC2152" s="14" t="str">
        <f t="shared" si="4308"/>
        <v>Timely and quality</v>
      </c>
      <c r="AD2152" s="8"/>
    </row>
    <row r="2153">
      <c r="A2153" s="14" t="str">
        <f>IFERROR(__xludf.DUMMYFUNCTION("""COMPUTED_VALUE"""),"//ord_82127//Omkar Mishra//Powai//Cucumber+2*Ramesh S/8/2/2023//UPI//Delivered*Customer Service: Seamless and easy")</f>
        <v>//ord_82127//Omkar Mishra//Powai//Cucumber+2*Ramesh S/8/2/2023//UPI//Delivered*Customer Service: Seamless and easy</v>
      </c>
      <c r="B2153" s="14" t="str">
        <f>IFERROR(__xludf.DUMMYFUNCTION("split(A2153,""//"")"),"ord_82127")</f>
        <v>ord_82127</v>
      </c>
      <c r="C2153" s="14" t="str">
        <f>IFERROR(__xludf.DUMMYFUNCTION("""COMPUTED_VALUE"""),"Omkar Mishra")</f>
        <v>Omkar Mishra</v>
      </c>
      <c r="D2153" s="14" t="str">
        <f>IFERROR(__xludf.DUMMYFUNCTION("""COMPUTED_VALUE"""),"Powai")</f>
        <v>Powai</v>
      </c>
      <c r="E2153" s="14" t="str">
        <f>IFERROR(__xludf.DUMMYFUNCTION("""COMPUTED_VALUE"""),"Cucumber+2*Ramesh S")</f>
        <v>Cucumber+2*Ramesh S</v>
      </c>
      <c r="F2153" s="14">
        <f>IFERROR(__xludf.DUMMYFUNCTION("""COMPUTED_VALUE"""),8.0)</f>
        <v>8</v>
      </c>
      <c r="G2153" s="14">
        <f>IFERROR(__xludf.DUMMYFUNCTION("""COMPUTED_VALUE"""),2.0)</f>
        <v>2</v>
      </c>
      <c r="H2153" s="14">
        <f>IFERROR(__xludf.DUMMYFUNCTION("""COMPUTED_VALUE"""),2023.0)</f>
        <v>2023</v>
      </c>
      <c r="I2153" s="14" t="str">
        <f>IFERROR(__xludf.DUMMYFUNCTION("""COMPUTED_VALUE"""),"UPI")</f>
        <v>UPI</v>
      </c>
      <c r="J2153" s="14" t="str">
        <f>IFERROR(__xludf.DUMMYFUNCTION("""COMPUTED_VALUE"""),"Delivered*Customer Service: Seamless and easy")</f>
        <v>Delivered*Customer Service: Seamless and easy</v>
      </c>
      <c r="K2153" s="14" t="str">
        <f>IFERROR(__xludf.DUMMYFUNCTION("split(E2153,""+"")"),"Cucumber")</f>
        <v>Cucumber</v>
      </c>
      <c r="L2153" s="14" t="str">
        <f>IFERROR(__xludf.DUMMYFUNCTION("""COMPUTED_VALUE"""),"2*Ramesh S")</f>
        <v>2*Ramesh S</v>
      </c>
      <c r="M2153" s="14">
        <f>IFERROR(__xludf.DUMMYFUNCTION("SPLIT(L2153,""*"")"),2.0)</f>
        <v>2</v>
      </c>
      <c r="N2153" s="14" t="str">
        <f>IFERROR(__xludf.DUMMYFUNCTION("""COMPUTED_VALUE"""),"Ramesh S")</f>
        <v>Ramesh S</v>
      </c>
      <c r="O2153" s="14" t="str">
        <f>IFERROR(__xludf.DUMMYFUNCTION("split(J2153,""*"")"),"Delivered")</f>
        <v>Delivered</v>
      </c>
      <c r="P2153" s="14" t="str">
        <f>IFERROR(__xludf.DUMMYFUNCTION("""COMPUTED_VALUE"""),"Customer Service: Seamless and easy")</f>
        <v>Customer Service: Seamless and easy</v>
      </c>
      <c r="Q2153" s="14" t="str">
        <f>IFERROR(__xludf.DUMMYFUNCTION("split(P2153,"":"")"),"Customer Service")</f>
        <v>Customer Service</v>
      </c>
      <c r="R2153" s="14" t="str">
        <f>IFERROR(__xludf.DUMMYFUNCTION("""COMPUTED_VALUE""")," Seamless and easy")</f>
        <v> Seamless and easy</v>
      </c>
      <c r="S2153" s="14" t="str">
        <f t="shared" ref="S2153:U2153" si="4309">trim(B2153)</f>
        <v>ord_82127</v>
      </c>
      <c r="T2153" s="14" t="str">
        <f t="shared" si="4309"/>
        <v>Omkar Mishra</v>
      </c>
      <c r="U2153" s="14" t="str">
        <f t="shared" si="4309"/>
        <v>Powai</v>
      </c>
      <c r="V2153" s="14" t="str">
        <f t="shared" si="4"/>
        <v>Cucumber</v>
      </c>
      <c r="W2153" s="14">
        <f t="shared" si="5"/>
        <v>2</v>
      </c>
      <c r="X2153" s="14" t="str">
        <f t="shared" si="6"/>
        <v>Ramesh S</v>
      </c>
      <c r="Y2153" s="15">
        <f t="shared" si="7"/>
        <v>45140</v>
      </c>
      <c r="Z2153" s="14" t="str">
        <f t="shared" si="8"/>
        <v>UPI</v>
      </c>
      <c r="AA2153" s="14" t="str">
        <f t="shared" si="9"/>
        <v>Delivered</v>
      </c>
      <c r="AB2153" s="14" t="str">
        <f t="shared" ref="AB2153:AC2153" si="4310">trim(Q2153)</f>
        <v>Customer Service</v>
      </c>
      <c r="AC2153" s="14" t="str">
        <f t="shared" si="4310"/>
        <v>Seamless and easy</v>
      </c>
      <c r="AD2153" s="8"/>
    </row>
    <row r="2154">
      <c r="A2154" s="14" t="str">
        <f>IFERROR(__xludf.DUMMYFUNCTION("""COMPUTED_VALUE"""),"//ord_82128//Anaya Rao//Colaba//Sweet Corn+1*Venu R/12/8/2023//UPI//Delivered*Delivery Experience: Quick and professional")</f>
        <v>//ord_82128//Anaya Rao//Colaba//Sweet Corn+1*Venu R/12/8/2023//UPI//Delivered*Delivery Experience: Quick and professional</v>
      </c>
      <c r="B2154" s="14" t="str">
        <f>IFERROR(__xludf.DUMMYFUNCTION("split(A2154,""//"")"),"ord_82128")</f>
        <v>ord_82128</v>
      </c>
      <c r="C2154" s="14" t="str">
        <f>IFERROR(__xludf.DUMMYFUNCTION("""COMPUTED_VALUE"""),"Anaya Rao")</f>
        <v>Anaya Rao</v>
      </c>
      <c r="D2154" s="14" t="str">
        <f>IFERROR(__xludf.DUMMYFUNCTION("""COMPUTED_VALUE"""),"Colaba")</f>
        <v>Colaba</v>
      </c>
      <c r="E2154" s="14" t="str">
        <f>IFERROR(__xludf.DUMMYFUNCTION("""COMPUTED_VALUE"""),"Sweet Corn+1*Venu R")</f>
        <v>Sweet Corn+1*Venu R</v>
      </c>
      <c r="F2154" s="14">
        <f>IFERROR(__xludf.DUMMYFUNCTION("""COMPUTED_VALUE"""),12.0)</f>
        <v>12</v>
      </c>
      <c r="G2154" s="14">
        <f>IFERROR(__xludf.DUMMYFUNCTION("""COMPUTED_VALUE"""),8.0)</f>
        <v>8</v>
      </c>
      <c r="H2154" s="14">
        <f>IFERROR(__xludf.DUMMYFUNCTION("""COMPUTED_VALUE"""),2023.0)</f>
        <v>2023</v>
      </c>
      <c r="I2154" s="14" t="str">
        <f>IFERROR(__xludf.DUMMYFUNCTION("""COMPUTED_VALUE"""),"UPI")</f>
        <v>UPI</v>
      </c>
      <c r="J2154" s="14" t="str">
        <f>IFERROR(__xludf.DUMMYFUNCTION("""COMPUTED_VALUE"""),"Delivered*Delivery Experience: Quick and professional")</f>
        <v>Delivered*Delivery Experience: Quick and professional</v>
      </c>
      <c r="K2154" s="14" t="str">
        <f>IFERROR(__xludf.DUMMYFUNCTION("split(E2154,""+"")"),"Sweet Corn")</f>
        <v>Sweet Corn</v>
      </c>
      <c r="L2154" s="14" t="str">
        <f>IFERROR(__xludf.DUMMYFUNCTION("""COMPUTED_VALUE"""),"1*Venu R")</f>
        <v>1*Venu R</v>
      </c>
      <c r="M2154" s="14">
        <f>IFERROR(__xludf.DUMMYFUNCTION("SPLIT(L2154,""*"")"),1.0)</f>
        <v>1</v>
      </c>
      <c r="N2154" s="14" t="str">
        <f>IFERROR(__xludf.DUMMYFUNCTION("""COMPUTED_VALUE"""),"Venu R")</f>
        <v>Venu R</v>
      </c>
      <c r="O2154" s="14" t="str">
        <f>IFERROR(__xludf.DUMMYFUNCTION("split(J2154,""*"")"),"Delivered")</f>
        <v>Delivered</v>
      </c>
      <c r="P2154" s="14" t="str">
        <f>IFERROR(__xludf.DUMMYFUNCTION("""COMPUTED_VALUE"""),"Delivery Experience: Quick and professional")</f>
        <v>Delivery Experience: Quick and professional</v>
      </c>
      <c r="Q2154" s="14" t="str">
        <f>IFERROR(__xludf.DUMMYFUNCTION("split(P2154,"":"")"),"Delivery Experience")</f>
        <v>Delivery Experience</v>
      </c>
      <c r="R2154" s="14" t="str">
        <f>IFERROR(__xludf.DUMMYFUNCTION("""COMPUTED_VALUE""")," Quick and professional")</f>
        <v> Quick and professional</v>
      </c>
      <c r="S2154" s="14" t="str">
        <f t="shared" ref="S2154:U2154" si="4311">trim(B2154)</f>
        <v>ord_82128</v>
      </c>
      <c r="T2154" s="14" t="str">
        <f t="shared" si="4311"/>
        <v>Anaya Rao</v>
      </c>
      <c r="U2154" s="14" t="str">
        <f t="shared" si="4311"/>
        <v>Colaba</v>
      </c>
      <c r="V2154" s="14" t="str">
        <f t="shared" si="4"/>
        <v>Sweet Corn</v>
      </c>
      <c r="W2154" s="14">
        <f t="shared" si="5"/>
        <v>1</v>
      </c>
      <c r="X2154" s="14" t="str">
        <f t="shared" si="6"/>
        <v>Venu R</v>
      </c>
      <c r="Y2154" s="15">
        <f t="shared" si="7"/>
        <v>45268</v>
      </c>
      <c r="Z2154" s="14" t="str">
        <f t="shared" si="8"/>
        <v>UPI</v>
      </c>
      <c r="AA2154" s="14" t="str">
        <f t="shared" si="9"/>
        <v>Delivered</v>
      </c>
      <c r="AB2154" s="14" t="str">
        <f t="shared" ref="AB2154:AC2154" si="4312">trim(Q2154)</f>
        <v>Delivery Experience</v>
      </c>
      <c r="AC2154" s="14" t="str">
        <f t="shared" si="4312"/>
        <v>Quick and professional</v>
      </c>
      <c r="AD2154" s="8"/>
    </row>
    <row r="2155">
      <c r="A2155" s="14" t="str">
        <f>IFERROR(__xludf.DUMMYFUNCTION("""COMPUTED_VALUE"""),"//ord_82129//Arvind Kulkarni//Juhu//Popcorn+2*Tanvi Jain/3/15/2023//UPI//Cancelled*Delayed Delivery:Bad Weather Conditions ")</f>
        <v>//ord_82129//Arvind Kulkarni//Juhu//Popcorn+2*Tanvi Jain/3/15/2023//UPI//Cancelled*Delayed Delivery:Bad Weather Conditions </v>
      </c>
      <c r="B2155" s="14" t="str">
        <f>IFERROR(__xludf.DUMMYFUNCTION("split(A2155,""//"")"),"ord_82129")</f>
        <v>ord_82129</v>
      </c>
      <c r="C2155" s="14" t="str">
        <f>IFERROR(__xludf.DUMMYFUNCTION("""COMPUTED_VALUE"""),"Arvind Kulkarni")</f>
        <v>Arvind Kulkarni</v>
      </c>
      <c r="D2155" s="14" t="str">
        <f>IFERROR(__xludf.DUMMYFUNCTION("""COMPUTED_VALUE"""),"Juhu")</f>
        <v>Juhu</v>
      </c>
      <c r="E2155" s="14" t="str">
        <f>IFERROR(__xludf.DUMMYFUNCTION("""COMPUTED_VALUE"""),"Popcorn+2*Tanvi Jain")</f>
        <v>Popcorn+2*Tanvi Jain</v>
      </c>
      <c r="F2155" s="14">
        <f>IFERROR(__xludf.DUMMYFUNCTION("""COMPUTED_VALUE"""),3.0)</f>
        <v>3</v>
      </c>
      <c r="G2155" s="14">
        <f>IFERROR(__xludf.DUMMYFUNCTION("""COMPUTED_VALUE"""),15.0)</f>
        <v>15</v>
      </c>
      <c r="H2155" s="14">
        <f>IFERROR(__xludf.DUMMYFUNCTION("""COMPUTED_VALUE"""),2023.0)</f>
        <v>2023</v>
      </c>
      <c r="I2155" s="14" t="str">
        <f>IFERROR(__xludf.DUMMYFUNCTION("""COMPUTED_VALUE"""),"UPI")</f>
        <v>UPI</v>
      </c>
      <c r="J2155" s="14" t="str">
        <f>IFERROR(__xludf.DUMMYFUNCTION("""COMPUTED_VALUE"""),"Cancelled*Delayed Delivery:Bad Weather Conditions ")</f>
        <v>Cancelled*Delayed Delivery:Bad Weather Conditions </v>
      </c>
      <c r="K2155" s="14" t="str">
        <f>IFERROR(__xludf.DUMMYFUNCTION("split(E2155,""+"")"),"Popcorn")</f>
        <v>Popcorn</v>
      </c>
      <c r="L2155" s="14" t="str">
        <f>IFERROR(__xludf.DUMMYFUNCTION("""COMPUTED_VALUE"""),"2*Tanvi Jain")</f>
        <v>2*Tanvi Jain</v>
      </c>
      <c r="M2155" s="14">
        <f>IFERROR(__xludf.DUMMYFUNCTION("SPLIT(L2155,""*"")"),2.0)</f>
        <v>2</v>
      </c>
      <c r="N2155" s="14" t="str">
        <f>IFERROR(__xludf.DUMMYFUNCTION("""COMPUTED_VALUE"""),"Tanvi Jain")</f>
        <v>Tanvi Jain</v>
      </c>
      <c r="O2155" s="14" t="str">
        <f>IFERROR(__xludf.DUMMYFUNCTION("split(J2155,""*"")"),"Cancelled")</f>
        <v>Cancelled</v>
      </c>
      <c r="P2155" s="14" t="str">
        <f>IFERROR(__xludf.DUMMYFUNCTION("""COMPUTED_VALUE"""),"Delayed Delivery:Bad Weather Conditions ")</f>
        <v>Delayed Delivery:Bad Weather Conditions </v>
      </c>
      <c r="Q2155" s="14" t="str">
        <f>IFERROR(__xludf.DUMMYFUNCTION("split(P2155,"":"")"),"Delayed Delivery")</f>
        <v>Delayed Delivery</v>
      </c>
      <c r="R2155" s="14" t="str">
        <f>IFERROR(__xludf.DUMMYFUNCTION("""COMPUTED_VALUE"""),"Bad Weather Conditions ")</f>
        <v>Bad Weather Conditions </v>
      </c>
      <c r="S2155" s="14" t="str">
        <f t="shared" ref="S2155:U2155" si="4313">trim(B2155)</f>
        <v>ord_82129</v>
      </c>
      <c r="T2155" s="14" t="str">
        <f t="shared" si="4313"/>
        <v>Arvind Kulkarni</v>
      </c>
      <c r="U2155" s="14" t="str">
        <f t="shared" si="4313"/>
        <v>Juhu</v>
      </c>
      <c r="V2155" s="14" t="str">
        <f t="shared" si="4"/>
        <v>Popcorn</v>
      </c>
      <c r="W2155" s="14">
        <f t="shared" si="5"/>
        <v>2</v>
      </c>
      <c r="X2155" s="14" t="str">
        <f t="shared" si="6"/>
        <v>Tanvi Jain</v>
      </c>
      <c r="Y2155" s="15">
        <f t="shared" si="7"/>
        <v>45000</v>
      </c>
      <c r="Z2155" s="14" t="str">
        <f t="shared" si="8"/>
        <v>UPI</v>
      </c>
      <c r="AA2155" s="14" t="str">
        <f t="shared" si="9"/>
        <v>Cancelled</v>
      </c>
      <c r="AB2155" s="14" t="str">
        <f t="shared" ref="AB2155:AC2155" si="4314">trim(Q2155)</f>
        <v>Delayed Delivery</v>
      </c>
      <c r="AC2155" s="14" t="str">
        <f t="shared" si="4314"/>
        <v>Bad Weather Conditions</v>
      </c>
      <c r="AD2155" s="8"/>
    </row>
    <row r="2156">
      <c r="A2156" s="14" t="str">
        <f>IFERROR(__xludf.DUMMYFUNCTION("""COMPUTED_VALUE"""),"//ord_82130//Aarohi Kapoor//Bandra//Rasmalai+1*Ramesh S/12/8/2023//UPI//Delivered*Convenience: Easy tracking")</f>
        <v>//ord_82130//Aarohi Kapoor//Bandra//Rasmalai+1*Ramesh S/12/8/2023//UPI//Delivered*Convenience: Easy tracking</v>
      </c>
      <c r="B2156" s="14" t="str">
        <f>IFERROR(__xludf.DUMMYFUNCTION("split(A2156,""//"")"),"ord_82130")</f>
        <v>ord_82130</v>
      </c>
      <c r="C2156" s="14" t="str">
        <f>IFERROR(__xludf.DUMMYFUNCTION("""COMPUTED_VALUE"""),"Aarohi Kapoor")</f>
        <v>Aarohi Kapoor</v>
      </c>
      <c r="D2156" s="14" t="str">
        <f>IFERROR(__xludf.DUMMYFUNCTION("""COMPUTED_VALUE"""),"Bandra")</f>
        <v>Bandra</v>
      </c>
      <c r="E2156" s="14" t="str">
        <f>IFERROR(__xludf.DUMMYFUNCTION("""COMPUTED_VALUE"""),"Rasmalai+1*Ramesh S")</f>
        <v>Rasmalai+1*Ramesh S</v>
      </c>
      <c r="F2156" s="14">
        <f>IFERROR(__xludf.DUMMYFUNCTION("""COMPUTED_VALUE"""),12.0)</f>
        <v>12</v>
      </c>
      <c r="G2156" s="14">
        <f>IFERROR(__xludf.DUMMYFUNCTION("""COMPUTED_VALUE"""),8.0)</f>
        <v>8</v>
      </c>
      <c r="H2156" s="14">
        <f>IFERROR(__xludf.DUMMYFUNCTION("""COMPUTED_VALUE"""),2023.0)</f>
        <v>2023</v>
      </c>
      <c r="I2156" s="14" t="str">
        <f>IFERROR(__xludf.DUMMYFUNCTION("""COMPUTED_VALUE"""),"UPI")</f>
        <v>UPI</v>
      </c>
      <c r="J2156" s="14" t="str">
        <f>IFERROR(__xludf.DUMMYFUNCTION("""COMPUTED_VALUE"""),"Delivered*Convenience: Easy tracking")</f>
        <v>Delivered*Convenience: Easy tracking</v>
      </c>
      <c r="K2156" s="14" t="str">
        <f>IFERROR(__xludf.DUMMYFUNCTION("split(E2156,""+"")"),"Rasmalai")</f>
        <v>Rasmalai</v>
      </c>
      <c r="L2156" s="14" t="str">
        <f>IFERROR(__xludf.DUMMYFUNCTION("""COMPUTED_VALUE"""),"1*Ramesh S")</f>
        <v>1*Ramesh S</v>
      </c>
      <c r="M2156" s="14">
        <f>IFERROR(__xludf.DUMMYFUNCTION("SPLIT(L2156,""*"")"),1.0)</f>
        <v>1</v>
      </c>
      <c r="N2156" s="14" t="str">
        <f>IFERROR(__xludf.DUMMYFUNCTION("""COMPUTED_VALUE"""),"Ramesh S")</f>
        <v>Ramesh S</v>
      </c>
      <c r="O2156" s="14" t="str">
        <f>IFERROR(__xludf.DUMMYFUNCTION("split(J2156,""*"")"),"Delivered")</f>
        <v>Delivered</v>
      </c>
      <c r="P2156" s="14" t="str">
        <f>IFERROR(__xludf.DUMMYFUNCTION("""COMPUTED_VALUE"""),"Convenience: Easy tracking")</f>
        <v>Convenience: Easy tracking</v>
      </c>
      <c r="Q2156" s="14" t="str">
        <f>IFERROR(__xludf.DUMMYFUNCTION("split(P2156,"":"")"),"Convenience")</f>
        <v>Convenience</v>
      </c>
      <c r="R2156" s="14" t="str">
        <f>IFERROR(__xludf.DUMMYFUNCTION("""COMPUTED_VALUE""")," Easy tracking")</f>
        <v> Easy tracking</v>
      </c>
      <c r="S2156" s="14" t="str">
        <f t="shared" ref="S2156:U2156" si="4315">trim(B2156)</f>
        <v>ord_82130</v>
      </c>
      <c r="T2156" s="14" t="str">
        <f t="shared" si="4315"/>
        <v>Aarohi Kapoor</v>
      </c>
      <c r="U2156" s="14" t="str">
        <f t="shared" si="4315"/>
        <v>Bandra</v>
      </c>
      <c r="V2156" s="14" t="str">
        <f t="shared" si="4"/>
        <v>Rasmalai</v>
      </c>
      <c r="W2156" s="14">
        <f t="shared" si="5"/>
        <v>1</v>
      </c>
      <c r="X2156" s="14" t="str">
        <f t="shared" si="6"/>
        <v>Ramesh S</v>
      </c>
      <c r="Y2156" s="15">
        <f t="shared" si="7"/>
        <v>45268</v>
      </c>
      <c r="Z2156" s="14" t="str">
        <f t="shared" si="8"/>
        <v>UPI</v>
      </c>
      <c r="AA2156" s="14" t="str">
        <f t="shared" si="9"/>
        <v>Delivered</v>
      </c>
      <c r="AB2156" s="14" t="str">
        <f t="shared" ref="AB2156:AC2156" si="4316">trim(Q2156)</f>
        <v>Convenience</v>
      </c>
      <c r="AC2156" s="14" t="str">
        <f t="shared" si="4316"/>
        <v>Easy tracking</v>
      </c>
      <c r="AD2156" s="8"/>
    </row>
    <row r="2157">
      <c r="A2157" s="14" t="str">
        <f>IFERROR(__xludf.DUMMYFUNCTION("""COMPUTED_VALUE"""),"//ord_82131//Mohit Malhotra//Lower Parel//Tomato+2*Vivek Kumar/9/27/2023//Online Payment//Delivered*Overall Satisfaction: Great service will order again")</f>
        <v>//ord_82131//Mohit Malhotra//Lower Parel//Tomato+2*Vivek Kumar/9/27/2023//Online Payment//Delivered*Overall Satisfaction: Great service will order again</v>
      </c>
      <c r="B2157" s="14" t="str">
        <f>IFERROR(__xludf.DUMMYFUNCTION("split(A2157,""//"")"),"ord_82131")</f>
        <v>ord_82131</v>
      </c>
      <c r="C2157" s="14" t="str">
        <f>IFERROR(__xludf.DUMMYFUNCTION("""COMPUTED_VALUE"""),"Mohit Malhotra")</f>
        <v>Mohit Malhotra</v>
      </c>
      <c r="D2157" s="14" t="str">
        <f>IFERROR(__xludf.DUMMYFUNCTION("""COMPUTED_VALUE"""),"Lower Parel")</f>
        <v>Lower Parel</v>
      </c>
      <c r="E2157" s="14" t="str">
        <f>IFERROR(__xludf.DUMMYFUNCTION("""COMPUTED_VALUE"""),"Tomato+2*Vivek Kumar")</f>
        <v>Tomato+2*Vivek Kumar</v>
      </c>
      <c r="F2157" s="14">
        <f>IFERROR(__xludf.DUMMYFUNCTION("""COMPUTED_VALUE"""),9.0)</f>
        <v>9</v>
      </c>
      <c r="G2157" s="14">
        <f>IFERROR(__xludf.DUMMYFUNCTION("""COMPUTED_VALUE"""),27.0)</f>
        <v>27</v>
      </c>
      <c r="H2157" s="14">
        <f>IFERROR(__xludf.DUMMYFUNCTION("""COMPUTED_VALUE"""),2023.0)</f>
        <v>2023</v>
      </c>
      <c r="I2157" s="14" t="str">
        <f>IFERROR(__xludf.DUMMYFUNCTION("""COMPUTED_VALUE"""),"Online Payment")</f>
        <v>Online Payment</v>
      </c>
      <c r="J2157" s="14" t="str">
        <f>IFERROR(__xludf.DUMMYFUNCTION("""COMPUTED_VALUE"""),"Delivered*Overall Satisfaction: Great service will order again")</f>
        <v>Delivered*Overall Satisfaction: Great service will order again</v>
      </c>
      <c r="K2157" s="14" t="str">
        <f>IFERROR(__xludf.DUMMYFUNCTION("split(E2157,""+"")"),"Tomato")</f>
        <v>Tomato</v>
      </c>
      <c r="L2157" s="14" t="str">
        <f>IFERROR(__xludf.DUMMYFUNCTION("""COMPUTED_VALUE"""),"2*Vivek Kumar")</f>
        <v>2*Vivek Kumar</v>
      </c>
      <c r="M2157" s="14">
        <f>IFERROR(__xludf.DUMMYFUNCTION("SPLIT(L2157,""*"")"),2.0)</f>
        <v>2</v>
      </c>
      <c r="N2157" s="14" t="str">
        <f>IFERROR(__xludf.DUMMYFUNCTION("""COMPUTED_VALUE"""),"Vivek Kumar")</f>
        <v>Vivek Kumar</v>
      </c>
      <c r="O2157" s="14" t="str">
        <f>IFERROR(__xludf.DUMMYFUNCTION("split(J2157,""*"")"),"Delivered")</f>
        <v>Delivered</v>
      </c>
      <c r="P2157" s="14" t="str">
        <f>IFERROR(__xludf.DUMMYFUNCTION("""COMPUTED_VALUE"""),"Overall Satisfaction: Great service will order again")</f>
        <v>Overall Satisfaction: Great service will order again</v>
      </c>
      <c r="Q2157" s="14" t="str">
        <f>IFERROR(__xludf.DUMMYFUNCTION("split(P2157,"":"")"),"Overall Satisfaction")</f>
        <v>Overall Satisfaction</v>
      </c>
      <c r="R2157" s="14" t="str">
        <f>IFERROR(__xludf.DUMMYFUNCTION("""COMPUTED_VALUE""")," Great service will order again")</f>
        <v> Great service will order again</v>
      </c>
      <c r="S2157" s="14" t="str">
        <f t="shared" ref="S2157:U2157" si="4317">trim(B2157)</f>
        <v>ord_82131</v>
      </c>
      <c r="T2157" s="14" t="str">
        <f t="shared" si="4317"/>
        <v>Mohit Malhotra</v>
      </c>
      <c r="U2157" s="14" t="str">
        <f t="shared" si="4317"/>
        <v>Lower Parel</v>
      </c>
      <c r="V2157" s="14" t="str">
        <f t="shared" si="4"/>
        <v>Tomato</v>
      </c>
      <c r="W2157" s="14">
        <f t="shared" si="5"/>
        <v>2</v>
      </c>
      <c r="X2157" s="14" t="str">
        <f t="shared" si="6"/>
        <v>Vivek Kumar</v>
      </c>
      <c r="Y2157" s="15">
        <f t="shared" si="7"/>
        <v>45196</v>
      </c>
      <c r="Z2157" s="14" t="str">
        <f t="shared" si="8"/>
        <v>Online Payment</v>
      </c>
      <c r="AA2157" s="14" t="str">
        <f t="shared" si="9"/>
        <v>Delivered</v>
      </c>
      <c r="AB2157" s="14" t="str">
        <f t="shared" ref="AB2157:AC2157" si="4318">trim(Q2157)</f>
        <v>Overall Satisfaction</v>
      </c>
      <c r="AC2157" s="14" t="str">
        <f t="shared" si="4318"/>
        <v>Great service will order again</v>
      </c>
      <c r="AD2157" s="8"/>
    </row>
    <row r="2158">
      <c r="A2158" s="14" t="str">
        <f>IFERROR(__xludf.DUMMYFUNCTION("""COMPUTED_VALUE"""),"//ord_82132//Mohit Malhotra//Lower Parel//Icecream+5*Ram Gopal/12/21/2023//UPI//Delivered*On-time Delivery: Delivered on time")</f>
        <v>//ord_82132//Mohit Malhotra//Lower Parel//Icecream+5*Ram Gopal/12/21/2023//UPI//Delivered*On-time Delivery: Delivered on time</v>
      </c>
      <c r="B2158" s="14" t="str">
        <f>IFERROR(__xludf.DUMMYFUNCTION("split(A2158,""//"")"),"ord_82132")</f>
        <v>ord_82132</v>
      </c>
      <c r="C2158" s="14" t="str">
        <f>IFERROR(__xludf.DUMMYFUNCTION("""COMPUTED_VALUE"""),"Mohit Malhotra")</f>
        <v>Mohit Malhotra</v>
      </c>
      <c r="D2158" s="14" t="str">
        <f>IFERROR(__xludf.DUMMYFUNCTION("""COMPUTED_VALUE"""),"Lower Parel")</f>
        <v>Lower Parel</v>
      </c>
      <c r="E2158" s="14" t="str">
        <f>IFERROR(__xludf.DUMMYFUNCTION("""COMPUTED_VALUE"""),"Icecream+5*Ram Gopal")</f>
        <v>Icecream+5*Ram Gopal</v>
      </c>
      <c r="F2158" s="14">
        <f>IFERROR(__xludf.DUMMYFUNCTION("""COMPUTED_VALUE"""),12.0)</f>
        <v>12</v>
      </c>
      <c r="G2158" s="14">
        <f>IFERROR(__xludf.DUMMYFUNCTION("""COMPUTED_VALUE"""),21.0)</f>
        <v>21</v>
      </c>
      <c r="H2158" s="14">
        <f>IFERROR(__xludf.DUMMYFUNCTION("""COMPUTED_VALUE"""),2023.0)</f>
        <v>2023</v>
      </c>
      <c r="I2158" s="14" t="str">
        <f>IFERROR(__xludf.DUMMYFUNCTION("""COMPUTED_VALUE"""),"UPI")</f>
        <v>UPI</v>
      </c>
      <c r="J2158" s="14" t="str">
        <f>IFERROR(__xludf.DUMMYFUNCTION("""COMPUTED_VALUE"""),"Delivered*On-time Delivery: Delivered on time")</f>
        <v>Delivered*On-time Delivery: Delivered on time</v>
      </c>
      <c r="K2158" s="14" t="str">
        <f>IFERROR(__xludf.DUMMYFUNCTION("split(E2158,""+"")"),"Icecream")</f>
        <v>Icecream</v>
      </c>
      <c r="L2158" s="14" t="str">
        <f>IFERROR(__xludf.DUMMYFUNCTION("""COMPUTED_VALUE"""),"5*Ram Gopal")</f>
        <v>5*Ram Gopal</v>
      </c>
      <c r="M2158" s="14">
        <f>IFERROR(__xludf.DUMMYFUNCTION("SPLIT(L2158,""*"")"),5.0)</f>
        <v>5</v>
      </c>
      <c r="N2158" s="14" t="str">
        <f>IFERROR(__xludf.DUMMYFUNCTION("""COMPUTED_VALUE"""),"Ram Gopal")</f>
        <v>Ram Gopal</v>
      </c>
      <c r="O2158" s="14" t="str">
        <f>IFERROR(__xludf.DUMMYFUNCTION("split(J2158,""*"")"),"Delivered")</f>
        <v>Delivered</v>
      </c>
      <c r="P2158" s="14" t="str">
        <f>IFERROR(__xludf.DUMMYFUNCTION("""COMPUTED_VALUE"""),"On-time Delivery: Delivered on time")</f>
        <v>On-time Delivery: Delivered on time</v>
      </c>
      <c r="Q2158" s="14" t="str">
        <f>IFERROR(__xludf.DUMMYFUNCTION("split(P2158,"":"")"),"On-time Delivery")</f>
        <v>On-time Delivery</v>
      </c>
      <c r="R2158" s="14" t="str">
        <f>IFERROR(__xludf.DUMMYFUNCTION("""COMPUTED_VALUE""")," Delivered on time")</f>
        <v> Delivered on time</v>
      </c>
      <c r="S2158" s="14" t="str">
        <f t="shared" ref="S2158:U2158" si="4319">trim(B2158)</f>
        <v>ord_82132</v>
      </c>
      <c r="T2158" s="14" t="str">
        <f t="shared" si="4319"/>
        <v>Mohit Malhotra</v>
      </c>
      <c r="U2158" s="14" t="str">
        <f t="shared" si="4319"/>
        <v>Lower Parel</v>
      </c>
      <c r="V2158" s="14" t="str">
        <f t="shared" si="4"/>
        <v>Icecream</v>
      </c>
      <c r="W2158" s="14">
        <f t="shared" si="5"/>
        <v>5</v>
      </c>
      <c r="X2158" s="14" t="str">
        <f t="shared" si="6"/>
        <v>Ram Gopal</v>
      </c>
      <c r="Y2158" s="15">
        <f t="shared" si="7"/>
        <v>45281</v>
      </c>
      <c r="Z2158" s="14" t="str">
        <f t="shared" si="8"/>
        <v>UPI</v>
      </c>
      <c r="AA2158" s="14" t="str">
        <f t="shared" si="9"/>
        <v>Delivered</v>
      </c>
      <c r="AB2158" s="14" t="str">
        <f t="shared" ref="AB2158:AC2158" si="4320">trim(Q2158)</f>
        <v>On-time Delivery</v>
      </c>
      <c r="AC2158" s="14" t="str">
        <f t="shared" si="4320"/>
        <v>Delivered on time</v>
      </c>
      <c r="AD2158" s="8"/>
    </row>
    <row r="2159">
      <c r="A2159" s="14" t="str">
        <f>IFERROR(__xludf.DUMMYFUNCTION("""COMPUTED_VALUE"""),"//ord_82133//Parth Goel//Juhu//Popcorn+3*Ram Gopal/8/23/2023//UPI//Delivered*Quality of Items: Perfect condition")</f>
        <v>//ord_82133//Parth Goel//Juhu//Popcorn+3*Ram Gopal/8/23/2023//UPI//Delivered*Quality of Items: Perfect condition</v>
      </c>
      <c r="B2159" s="14" t="str">
        <f>IFERROR(__xludf.DUMMYFUNCTION("split(A2159,""//"")"),"ord_82133")</f>
        <v>ord_82133</v>
      </c>
      <c r="C2159" s="14" t="str">
        <f>IFERROR(__xludf.DUMMYFUNCTION("""COMPUTED_VALUE"""),"Parth Goel")</f>
        <v>Parth Goel</v>
      </c>
      <c r="D2159" s="14" t="str">
        <f>IFERROR(__xludf.DUMMYFUNCTION("""COMPUTED_VALUE"""),"Juhu")</f>
        <v>Juhu</v>
      </c>
      <c r="E2159" s="14" t="str">
        <f>IFERROR(__xludf.DUMMYFUNCTION("""COMPUTED_VALUE"""),"Popcorn+3*Ram Gopal")</f>
        <v>Popcorn+3*Ram Gopal</v>
      </c>
      <c r="F2159" s="14">
        <f>IFERROR(__xludf.DUMMYFUNCTION("""COMPUTED_VALUE"""),8.0)</f>
        <v>8</v>
      </c>
      <c r="G2159" s="14">
        <f>IFERROR(__xludf.DUMMYFUNCTION("""COMPUTED_VALUE"""),23.0)</f>
        <v>23</v>
      </c>
      <c r="H2159" s="14">
        <f>IFERROR(__xludf.DUMMYFUNCTION("""COMPUTED_VALUE"""),2023.0)</f>
        <v>2023</v>
      </c>
      <c r="I2159" s="14" t="str">
        <f>IFERROR(__xludf.DUMMYFUNCTION("""COMPUTED_VALUE"""),"UPI")</f>
        <v>UPI</v>
      </c>
      <c r="J2159" s="14" t="str">
        <f>IFERROR(__xludf.DUMMYFUNCTION("""COMPUTED_VALUE"""),"Delivered*Quality of Items: Perfect condition")</f>
        <v>Delivered*Quality of Items: Perfect condition</v>
      </c>
      <c r="K2159" s="14" t="str">
        <f>IFERROR(__xludf.DUMMYFUNCTION("split(E2159,""+"")"),"Popcorn")</f>
        <v>Popcorn</v>
      </c>
      <c r="L2159" s="14" t="str">
        <f>IFERROR(__xludf.DUMMYFUNCTION("""COMPUTED_VALUE"""),"3*Ram Gopal")</f>
        <v>3*Ram Gopal</v>
      </c>
      <c r="M2159" s="14">
        <f>IFERROR(__xludf.DUMMYFUNCTION("SPLIT(L2159,""*"")"),3.0)</f>
        <v>3</v>
      </c>
      <c r="N2159" s="14" t="str">
        <f>IFERROR(__xludf.DUMMYFUNCTION("""COMPUTED_VALUE"""),"Ram Gopal")</f>
        <v>Ram Gopal</v>
      </c>
      <c r="O2159" s="14" t="str">
        <f>IFERROR(__xludf.DUMMYFUNCTION("split(J2159,""*"")"),"Delivered")</f>
        <v>Delivered</v>
      </c>
      <c r="P2159" s="14" t="str">
        <f>IFERROR(__xludf.DUMMYFUNCTION("""COMPUTED_VALUE"""),"Quality of Items: Perfect condition")</f>
        <v>Quality of Items: Perfect condition</v>
      </c>
      <c r="Q2159" s="14" t="str">
        <f>IFERROR(__xludf.DUMMYFUNCTION("split(P2159,"":"")"),"Quality of Items")</f>
        <v>Quality of Items</v>
      </c>
      <c r="R2159" s="14" t="str">
        <f>IFERROR(__xludf.DUMMYFUNCTION("""COMPUTED_VALUE""")," Perfect condition")</f>
        <v> Perfect condition</v>
      </c>
      <c r="S2159" s="14" t="str">
        <f t="shared" ref="S2159:U2159" si="4321">trim(B2159)</f>
        <v>ord_82133</v>
      </c>
      <c r="T2159" s="14" t="str">
        <f t="shared" si="4321"/>
        <v>Parth Goel</v>
      </c>
      <c r="U2159" s="14" t="str">
        <f t="shared" si="4321"/>
        <v>Juhu</v>
      </c>
      <c r="V2159" s="14" t="str">
        <f t="shared" si="4"/>
        <v>Popcorn</v>
      </c>
      <c r="W2159" s="14">
        <f t="shared" si="5"/>
        <v>3</v>
      </c>
      <c r="X2159" s="14" t="str">
        <f t="shared" si="6"/>
        <v>Ram Gopal</v>
      </c>
      <c r="Y2159" s="15">
        <f t="shared" si="7"/>
        <v>45161</v>
      </c>
      <c r="Z2159" s="14" t="str">
        <f t="shared" si="8"/>
        <v>UPI</v>
      </c>
      <c r="AA2159" s="14" t="str">
        <f t="shared" si="9"/>
        <v>Delivered</v>
      </c>
      <c r="AB2159" s="14" t="str">
        <f t="shared" ref="AB2159:AC2159" si="4322">trim(Q2159)</f>
        <v>Quality of Items</v>
      </c>
      <c r="AC2159" s="14" t="str">
        <f t="shared" si="4322"/>
        <v>Perfect condition</v>
      </c>
      <c r="AD2159" s="8"/>
    </row>
    <row r="2160">
      <c r="A2160" s="14" t="str">
        <f>IFERROR(__xludf.DUMMYFUNCTION("""COMPUTED_VALUE"""),"//ord_82134//Siya Reddy//Juhu//Papaya+1*Ramesh S/11/28/2023//Credit Card//Delivered*On-time Delivery: Delivered on time")</f>
        <v>//ord_82134//Siya Reddy//Juhu//Papaya+1*Ramesh S/11/28/2023//Credit Card//Delivered*On-time Delivery: Delivered on time</v>
      </c>
      <c r="B2160" s="14" t="str">
        <f>IFERROR(__xludf.DUMMYFUNCTION("split(A2160,""//"")"),"ord_82134")</f>
        <v>ord_82134</v>
      </c>
      <c r="C2160" s="14" t="str">
        <f>IFERROR(__xludf.DUMMYFUNCTION("""COMPUTED_VALUE"""),"Siya Reddy")</f>
        <v>Siya Reddy</v>
      </c>
      <c r="D2160" s="14" t="str">
        <f>IFERROR(__xludf.DUMMYFUNCTION("""COMPUTED_VALUE"""),"Juhu")</f>
        <v>Juhu</v>
      </c>
      <c r="E2160" s="14" t="str">
        <f>IFERROR(__xludf.DUMMYFUNCTION("""COMPUTED_VALUE"""),"Papaya+1*Ramesh S")</f>
        <v>Papaya+1*Ramesh S</v>
      </c>
      <c r="F2160" s="14">
        <f>IFERROR(__xludf.DUMMYFUNCTION("""COMPUTED_VALUE"""),11.0)</f>
        <v>11</v>
      </c>
      <c r="G2160" s="14">
        <f>IFERROR(__xludf.DUMMYFUNCTION("""COMPUTED_VALUE"""),28.0)</f>
        <v>28</v>
      </c>
      <c r="H2160" s="14">
        <f>IFERROR(__xludf.DUMMYFUNCTION("""COMPUTED_VALUE"""),2023.0)</f>
        <v>2023</v>
      </c>
      <c r="I2160" s="14" t="str">
        <f>IFERROR(__xludf.DUMMYFUNCTION("""COMPUTED_VALUE"""),"Credit Card")</f>
        <v>Credit Card</v>
      </c>
      <c r="J2160" s="14" t="str">
        <f>IFERROR(__xludf.DUMMYFUNCTION("""COMPUTED_VALUE"""),"Delivered*On-time Delivery: Delivered on time")</f>
        <v>Delivered*On-time Delivery: Delivered on time</v>
      </c>
      <c r="K2160" s="14" t="str">
        <f>IFERROR(__xludf.DUMMYFUNCTION("split(E2160,""+"")"),"Papaya")</f>
        <v>Papaya</v>
      </c>
      <c r="L2160" s="14" t="str">
        <f>IFERROR(__xludf.DUMMYFUNCTION("""COMPUTED_VALUE"""),"1*Ramesh S")</f>
        <v>1*Ramesh S</v>
      </c>
      <c r="M2160" s="14">
        <f>IFERROR(__xludf.DUMMYFUNCTION("SPLIT(L2160,""*"")"),1.0)</f>
        <v>1</v>
      </c>
      <c r="N2160" s="14" t="str">
        <f>IFERROR(__xludf.DUMMYFUNCTION("""COMPUTED_VALUE"""),"Ramesh S")</f>
        <v>Ramesh S</v>
      </c>
      <c r="O2160" s="14" t="str">
        <f>IFERROR(__xludf.DUMMYFUNCTION("split(J2160,""*"")"),"Delivered")</f>
        <v>Delivered</v>
      </c>
      <c r="P2160" s="14" t="str">
        <f>IFERROR(__xludf.DUMMYFUNCTION("""COMPUTED_VALUE"""),"On-time Delivery: Delivered on time")</f>
        <v>On-time Delivery: Delivered on time</v>
      </c>
      <c r="Q2160" s="14" t="str">
        <f>IFERROR(__xludf.DUMMYFUNCTION("split(P2160,"":"")"),"On-time Delivery")</f>
        <v>On-time Delivery</v>
      </c>
      <c r="R2160" s="14" t="str">
        <f>IFERROR(__xludf.DUMMYFUNCTION("""COMPUTED_VALUE""")," Delivered on time")</f>
        <v> Delivered on time</v>
      </c>
      <c r="S2160" s="14" t="str">
        <f t="shared" ref="S2160:U2160" si="4323">trim(B2160)</f>
        <v>ord_82134</v>
      </c>
      <c r="T2160" s="14" t="str">
        <f t="shared" si="4323"/>
        <v>Siya Reddy</v>
      </c>
      <c r="U2160" s="14" t="str">
        <f t="shared" si="4323"/>
        <v>Juhu</v>
      </c>
      <c r="V2160" s="14" t="str">
        <f t="shared" si="4"/>
        <v>Papaya</v>
      </c>
      <c r="W2160" s="14">
        <f t="shared" si="5"/>
        <v>1</v>
      </c>
      <c r="X2160" s="14" t="str">
        <f t="shared" si="6"/>
        <v>Ramesh S</v>
      </c>
      <c r="Y2160" s="15">
        <f t="shared" si="7"/>
        <v>45258</v>
      </c>
      <c r="Z2160" s="14" t="str">
        <f t="shared" si="8"/>
        <v>Credit Card</v>
      </c>
      <c r="AA2160" s="14" t="str">
        <f t="shared" si="9"/>
        <v>Delivered</v>
      </c>
      <c r="AB2160" s="14" t="str">
        <f t="shared" ref="AB2160:AC2160" si="4324">trim(Q2160)</f>
        <v>On-time Delivery</v>
      </c>
      <c r="AC2160" s="14" t="str">
        <f t="shared" si="4324"/>
        <v>Delivered on time</v>
      </c>
      <c r="AD2160" s="8"/>
    </row>
    <row r="2161">
      <c r="A2161" s="14" t="str">
        <f>IFERROR(__xludf.DUMMYFUNCTION("""COMPUTED_VALUE"""),"//ord_82135//Diya Arora//Lower Parel//Chilli Cheese Toast+4*Ramesh S/4/22/2023//Credit Card//Delivered*Quality of Items: Perfect condition")</f>
        <v>//ord_82135//Diya Arora//Lower Parel//Chilli Cheese Toast+4*Ramesh S/4/22/2023//Credit Card//Delivered*Quality of Items: Perfect condition</v>
      </c>
      <c r="B2161" s="14" t="str">
        <f>IFERROR(__xludf.DUMMYFUNCTION("split(A2161,""//"")"),"ord_82135")</f>
        <v>ord_82135</v>
      </c>
      <c r="C2161" s="14" t="str">
        <f>IFERROR(__xludf.DUMMYFUNCTION("""COMPUTED_VALUE"""),"Diya Arora")</f>
        <v>Diya Arora</v>
      </c>
      <c r="D2161" s="14" t="str">
        <f>IFERROR(__xludf.DUMMYFUNCTION("""COMPUTED_VALUE"""),"Lower Parel")</f>
        <v>Lower Parel</v>
      </c>
      <c r="E2161" s="14" t="str">
        <f>IFERROR(__xludf.DUMMYFUNCTION("""COMPUTED_VALUE"""),"Chilli Cheese Toast+4*Ramesh S")</f>
        <v>Chilli Cheese Toast+4*Ramesh S</v>
      </c>
      <c r="F2161" s="14">
        <f>IFERROR(__xludf.DUMMYFUNCTION("""COMPUTED_VALUE"""),4.0)</f>
        <v>4</v>
      </c>
      <c r="G2161" s="14">
        <f>IFERROR(__xludf.DUMMYFUNCTION("""COMPUTED_VALUE"""),22.0)</f>
        <v>22</v>
      </c>
      <c r="H2161" s="14">
        <f>IFERROR(__xludf.DUMMYFUNCTION("""COMPUTED_VALUE"""),2023.0)</f>
        <v>2023</v>
      </c>
      <c r="I2161" s="14" t="str">
        <f>IFERROR(__xludf.DUMMYFUNCTION("""COMPUTED_VALUE"""),"Credit Card")</f>
        <v>Credit Card</v>
      </c>
      <c r="J2161" s="14" t="str">
        <f>IFERROR(__xludf.DUMMYFUNCTION("""COMPUTED_VALUE"""),"Delivered*Quality of Items: Perfect condition")</f>
        <v>Delivered*Quality of Items: Perfect condition</v>
      </c>
      <c r="K2161" s="14" t="str">
        <f>IFERROR(__xludf.DUMMYFUNCTION("split(E2161,""+"")"),"Chilli Cheese Toast")</f>
        <v>Chilli Cheese Toast</v>
      </c>
      <c r="L2161" s="14" t="str">
        <f>IFERROR(__xludf.DUMMYFUNCTION("""COMPUTED_VALUE"""),"4*Ramesh S")</f>
        <v>4*Ramesh S</v>
      </c>
      <c r="M2161" s="14">
        <f>IFERROR(__xludf.DUMMYFUNCTION("SPLIT(L2161,""*"")"),4.0)</f>
        <v>4</v>
      </c>
      <c r="N2161" s="14" t="str">
        <f>IFERROR(__xludf.DUMMYFUNCTION("""COMPUTED_VALUE"""),"Ramesh S")</f>
        <v>Ramesh S</v>
      </c>
      <c r="O2161" s="14" t="str">
        <f>IFERROR(__xludf.DUMMYFUNCTION("split(J2161,""*"")"),"Delivered")</f>
        <v>Delivered</v>
      </c>
      <c r="P2161" s="14" t="str">
        <f>IFERROR(__xludf.DUMMYFUNCTION("""COMPUTED_VALUE"""),"Quality of Items: Perfect condition")</f>
        <v>Quality of Items: Perfect condition</v>
      </c>
      <c r="Q2161" s="14" t="str">
        <f>IFERROR(__xludf.DUMMYFUNCTION("split(P2161,"":"")"),"Quality of Items")</f>
        <v>Quality of Items</v>
      </c>
      <c r="R2161" s="14" t="str">
        <f>IFERROR(__xludf.DUMMYFUNCTION("""COMPUTED_VALUE""")," Perfect condition")</f>
        <v> Perfect condition</v>
      </c>
      <c r="S2161" s="14" t="str">
        <f t="shared" ref="S2161:U2161" si="4325">trim(B2161)</f>
        <v>ord_82135</v>
      </c>
      <c r="T2161" s="14" t="str">
        <f t="shared" si="4325"/>
        <v>Diya Arora</v>
      </c>
      <c r="U2161" s="14" t="str">
        <f t="shared" si="4325"/>
        <v>Lower Parel</v>
      </c>
      <c r="V2161" s="14" t="str">
        <f t="shared" si="4"/>
        <v>Chilli Cheese Toast</v>
      </c>
      <c r="W2161" s="14">
        <f t="shared" si="5"/>
        <v>4</v>
      </c>
      <c r="X2161" s="14" t="str">
        <f t="shared" si="6"/>
        <v>Ramesh S</v>
      </c>
      <c r="Y2161" s="15">
        <f t="shared" si="7"/>
        <v>45038</v>
      </c>
      <c r="Z2161" s="14" t="str">
        <f t="shared" si="8"/>
        <v>Credit Card</v>
      </c>
      <c r="AA2161" s="14" t="str">
        <f t="shared" si="9"/>
        <v>Delivered</v>
      </c>
      <c r="AB2161" s="14" t="str">
        <f t="shared" ref="AB2161:AC2161" si="4326">trim(Q2161)</f>
        <v>Quality of Items</v>
      </c>
      <c r="AC2161" s="14" t="str">
        <f t="shared" si="4326"/>
        <v>Perfect condition</v>
      </c>
      <c r="AD2161" s="8"/>
    </row>
    <row r="2162">
      <c r="A2162" s="14" t="str">
        <f>IFERROR(__xludf.DUMMYFUNCTION("""COMPUTED_VALUE"""),"//ord_82136//Aditi Iyer//Dadar//Onion+1*Ram Gopal/10/7/2023//UPI//Delivered*Packaging: Secure and intact")</f>
        <v>//ord_82136//Aditi Iyer//Dadar//Onion+1*Ram Gopal/10/7/2023//UPI//Delivered*Packaging: Secure and intact</v>
      </c>
      <c r="B2162" s="14" t="str">
        <f>IFERROR(__xludf.DUMMYFUNCTION("split(A2162,""//"")"),"ord_82136")</f>
        <v>ord_82136</v>
      </c>
      <c r="C2162" s="14" t="str">
        <f>IFERROR(__xludf.DUMMYFUNCTION("""COMPUTED_VALUE"""),"Aditi Iyer")</f>
        <v>Aditi Iyer</v>
      </c>
      <c r="D2162" s="14" t="str">
        <f>IFERROR(__xludf.DUMMYFUNCTION("""COMPUTED_VALUE"""),"Dadar")</f>
        <v>Dadar</v>
      </c>
      <c r="E2162" s="14" t="str">
        <f>IFERROR(__xludf.DUMMYFUNCTION("""COMPUTED_VALUE"""),"Onion+1*Ram Gopal")</f>
        <v>Onion+1*Ram Gopal</v>
      </c>
      <c r="F2162" s="14">
        <f>IFERROR(__xludf.DUMMYFUNCTION("""COMPUTED_VALUE"""),10.0)</f>
        <v>10</v>
      </c>
      <c r="G2162" s="14">
        <f>IFERROR(__xludf.DUMMYFUNCTION("""COMPUTED_VALUE"""),7.0)</f>
        <v>7</v>
      </c>
      <c r="H2162" s="14">
        <f>IFERROR(__xludf.DUMMYFUNCTION("""COMPUTED_VALUE"""),2023.0)</f>
        <v>2023</v>
      </c>
      <c r="I2162" s="14" t="str">
        <f>IFERROR(__xludf.DUMMYFUNCTION("""COMPUTED_VALUE"""),"UPI")</f>
        <v>UPI</v>
      </c>
      <c r="J2162" s="14" t="str">
        <f>IFERROR(__xludf.DUMMYFUNCTION("""COMPUTED_VALUE"""),"Delivered*Packaging: Secure and intact")</f>
        <v>Delivered*Packaging: Secure and intact</v>
      </c>
      <c r="K2162" s="14" t="str">
        <f>IFERROR(__xludf.DUMMYFUNCTION("split(E2162,""+"")"),"Onion")</f>
        <v>Onion</v>
      </c>
      <c r="L2162" s="14" t="str">
        <f>IFERROR(__xludf.DUMMYFUNCTION("""COMPUTED_VALUE"""),"1*Ram Gopal")</f>
        <v>1*Ram Gopal</v>
      </c>
      <c r="M2162" s="14">
        <f>IFERROR(__xludf.DUMMYFUNCTION("SPLIT(L2162,""*"")"),1.0)</f>
        <v>1</v>
      </c>
      <c r="N2162" s="14" t="str">
        <f>IFERROR(__xludf.DUMMYFUNCTION("""COMPUTED_VALUE"""),"Ram Gopal")</f>
        <v>Ram Gopal</v>
      </c>
      <c r="O2162" s="14" t="str">
        <f>IFERROR(__xludf.DUMMYFUNCTION("split(J2162,""*"")"),"Delivered")</f>
        <v>Delivered</v>
      </c>
      <c r="P2162" s="14" t="str">
        <f>IFERROR(__xludf.DUMMYFUNCTION("""COMPUTED_VALUE"""),"Packaging: Secure and intact")</f>
        <v>Packaging: Secure and intact</v>
      </c>
      <c r="Q2162" s="14" t="str">
        <f>IFERROR(__xludf.DUMMYFUNCTION("split(P2162,"":"")"),"Packaging")</f>
        <v>Packaging</v>
      </c>
      <c r="R2162" s="14" t="str">
        <f>IFERROR(__xludf.DUMMYFUNCTION("""COMPUTED_VALUE""")," Secure and intact")</f>
        <v> Secure and intact</v>
      </c>
      <c r="S2162" s="14" t="str">
        <f t="shared" ref="S2162:U2162" si="4327">trim(B2162)</f>
        <v>ord_82136</v>
      </c>
      <c r="T2162" s="14" t="str">
        <f t="shared" si="4327"/>
        <v>Aditi Iyer</v>
      </c>
      <c r="U2162" s="14" t="str">
        <f t="shared" si="4327"/>
        <v>Dadar</v>
      </c>
      <c r="V2162" s="14" t="str">
        <f t="shared" si="4"/>
        <v>Onion</v>
      </c>
      <c r="W2162" s="14">
        <f t="shared" si="5"/>
        <v>1</v>
      </c>
      <c r="X2162" s="14" t="str">
        <f t="shared" si="6"/>
        <v>Ram Gopal</v>
      </c>
      <c r="Y2162" s="15">
        <f t="shared" si="7"/>
        <v>45206</v>
      </c>
      <c r="Z2162" s="14" t="str">
        <f t="shared" si="8"/>
        <v>UPI</v>
      </c>
      <c r="AA2162" s="14" t="str">
        <f t="shared" si="9"/>
        <v>Delivered</v>
      </c>
      <c r="AB2162" s="14" t="str">
        <f t="shared" ref="AB2162:AC2162" si="4328">trim(Q2162)</f>
        <v>Packaging</v>
      </c>
      <c r="AC2162" s="14" t="str">
        <f t="shared" si="4328"/>
        <v>Secure and intact</v>
      </c>
      <c r="AD2162" s="8"/>
    </row>
    <row r="2163">
      <c r="A2163" s="14" t="str">
        <f>IFERROR(__xludf.DUMMYFUNCTION("""COMPUTED_VALUE"""),"//ord_82137//Diya Arora//Lower Parel//Apple+2*Manju Ajay/2/13/2023//UPI//Delivered*Satisfied with the Delivery: Timely and quality")</f>
        <v>//ord_82137//Diya Arora//Lower Parel//Apple+2*Manju Ajay/2/13/2023//UPI//Delivered*Satisfied with the Delivery: Timely and quality</v>
      </c>
      <c r="B2163" s="14" t="str">
        <f>IFERROR(__xludf.DUMMYFUNCTION("split(A2163,""//"")"),"ord_82137")</f>
        <v>ord_82137</v>
      </c>
      <c r="C2163" s="14" t="str">
        <f>IFERROR(__xludf.DUMMYFUNCTION("""COMPUTED_VALUE"""),"Diya Arora")</f>
        <v>Diya Arora</v>
      </c>
      <c r="D2163" s="14" t="str">
        <f>IFERROR(__xludf.DUMMYFUNCTION("""COMPUTED_VALUE"""),"Lower Parel")</f>
        <v>Lower Parel</v>
      </c>
      <c r="E2163" s="14" t="str">
        <f>IFERROR(__xludf.DUMMYFUNCTION("""COMPUTED_VALUE"""),"Apple+2*Manju Ajay")</f>
        <v>Apple+2*Manju Ajay</v>
      </c>
      <c r="F2163" s="14">
        <f>IFERROR(__xludf.DUMMYFUNCTION("""COMPUTED_VALUE"""),2.0)</f>
        <v>2</v>
      </c>
      <c r="G2163" s="14">
        <f>IFERROR(__xludf.DUMMYFUNCTION("""COMPUTED_VALUE"""),13.0)</f>
        <v>13</v>
      </c>
      <c r="H2163" s="14">
        <f>IFERROR(__xludf.DUMMYFUNCTION("""COMPUTED_VALUE"""),2023.0)</f>
        <v>2023</v>
      </c>
      <c r="I2163" s="14" t="str">
        <f>IFERROR(__xludf.DUMMYFUNCTION("""COMPUTED_VALUE"""),"UPI")</f>
        <v>UPI</v>
      </c>
      <c r="J2163" s="14" t="str">
        <f>IFERROR(__xludf.DUMMYFUNCTION("""COMPUTED_VALUE"""),"Delivered*Satisfied with the Delivery: Timely and quality")</f>
        <v>Delivered*Satisfied with the Delivery: Timely and quality</v>
      </c>
      <c r="K2163" s="14" t="str">
        <f>IFERROR(__xludf.DUMMYFUNCTION("split(E2163,""+"")"),"Apple")</f>
        <v>Apple</v>
      </c>
      <c r="L2163" s="14" t="str">
        <f>IFERROR(__xludf.DUMMYFUNCTION("""COMPUTED_VALUE"""),"2*Manju Ajay")</f>
        <v>2*Manju Ajay</v>
      </c>
      <c r="M2163" s="14">
        <f>IFERROR(__xludf.DUMMYFUNCTION("SPLIT(L2163,""*"")"),2.0)</f>
        <v>2</v>
      </c>
      <c r="N2163" s="14" t="str">
        <f>IFERROR(__xludf.DUMMYFUNCTION("""COMPUTED_VALUE"""),"Manju Ajay")</f>
        <v>Manju Ajay</v>
      </c>
      <c r="O2163" s="14" t="str">
        <f>IFERROR(__xludf.DUMMYFUNCTION("split(J2163,""*"")"),"Delivered")</f>
        <v>Delivered</v>
      </c>
      <c r="P2163" s="14" t="str">
        <f>IFERROR(__xludf.DUMMYFUNCTION("""COMPUTED_VALUE"""),"Satisfied with the Delivery: Timely and quality")</f>
        <v>Satisfied with the Delivery: Timely and quality</v>
      </c>
      <c r="Q2163" s="14" t="str">
        <f>IFERROR(__xludf.DUMMYFUNCTION("split(P2163,"":"")"),"Satisfied with the Delivery")</f>
        <v>Satisfied with the Delivery</v>
      </c>
      <c r="R2163" s="14" t="str">
        <f>IFERROR(__xludf.DUMMYFUNCTION("""COMPUTED_VALUE""")," Timely and quality")</f>
        <v> Timely and quality</v>
      </c>
      <c r="S2163" s="14" t="str">
        <f t="shared" ref="S2163:U2163" si="4329">trim(B2163)</f>
        <v>ord_82137</v>
      </c>
      <c r="T2163" s="14" t="str">
        <f t="shared" si="4329"/>
        <v>Diya Arora</v>
      </c>
      <c r="U2163" s="14" t="str">
        <f t="shared" si="4329"/>
        <v>Lower Parel</v>
      </c>
      <c r="V2163" s="14" t="str">
        <f t="shared" si="4"/>
        <v>Apple</v>
      </c>
      <c r="W2163" s="14">
        <f t="shared" si="5"/>
        <v>2</v>
      </c>
      <c r="X2163" s="14" t="str">
        <f t="shared" si="6"/>
        <v>Manju Ajay</v>
      </c>
      <c r="Y2163" s="15">
        <f t="shared" si="7"/>
        <v>44970</v>
      </c>
      <c r="Z2163" s="14" t="str">
        <f t="shared" si="8"/>
        <v>UPI</v>
      </c>
      <c r="AA2163" s="14" t="str">
        <f t="shared" si="9"/>
        <v>Delivered</v>
      </c>
      <c r="AB2163" s="14" t="str">
        <f t="shared" ref="AB2163:AC2163" si="4330">trim(Q2163)</f>
        <v>Satisfied with the Delivery</v>
      </c>
      <c r="AC2163" s="14" t="str">
        <f t="shared" si="4330"/>
        <v>Timely and quality</v>
      </c>
      <c r="AD2163" s="8"/>
    </row>
    <row r="2164">
      <c r="A2164" s="14" t="str">
        <f>IFERROR(__xludf.DUMMYFUNCTION("""COMPUTED_VALUE"""),"//ord_82138//Mehul Thakkar//Dadar//Sweet Corn+2*Ram Gopal/4/3/2023//Credit Card//Delivered*Customer Service: Seamless and easy")</f>
        <v>//ord_82138//Mehul Thakkar//Dadar//Sweet Corn+2*Ram Gopal/4/3/2023//Credit Card//Delivered*Customer Service: Seamless and easy</v>
      </c>
      <c r="B2164" s="14" t="str">
        <f>IFERROR(__xludf.DUMMYFUNCTION("split(A2164,""//"")"),"ord_82138")</f>
        <v>ord_82138</v>
      </c>
      <c r="C2164" s="14" t="str">
        <f>IFERROR(__xludf.DUMMYFUNCTION("""COMPUTED_VALUE"""),"Mehul Thakkar")</f>
        <v>Mehul Thakkar</v>
      </c>
      <c r="D2164" s="14" t="str">
        <f>IFERROR(__xludf.DUMMYFUNCTION("""COMPUTED_VALUE"""),"Dadar")</f>
        <v>Dadar</v>
      </c>
      <c r="E2164" s="14" t="str">
        <f>IFERROR(__xludf.DUMMYFUNCTION("""COMPUTED_VALUE"""),"Sweet Corn+2*Ram Gopal")</f>
        <v>Sweet Corn+2*Ram Gopal</v>
      </c>
      <c r="F2164" s="14">
        <f>IFERROR(__xludf.DUMMYFUNCTION("""COMPUTED_VALUE"""),4.0)</f>
        <v>4</v>
      </c>
      <c r="G2164" s="14">
        <f>IFERROR(__xludf.DUMMYFUNCTION("""COMPUTED_VALUE"""),3.0)</f>
        <v>3</v>
      </c>
      <c r="H2164" s="14">
        <f>IFERROR(__xludf.DUMMYFUNCTION("""COMPUTED_VALUE"""),2023.0)</f>
        <v>2023</v>
      </c>
      <c r="I2164" s="14" t="str">
        <f>IFERROR(__xludf.DUMMYFUNCTION("""COMPUTED_VALUE"""),"Credit Card")</f>
        <v>Credit Card</v>
      </c>
      <c r="J2164" s="14" t="str">
        <f>IFERROR(__xludf.DUMMYFUNCTION("""COMPUTED_VALUE"""),"Delivered*Customer Service: Seamless and easy")</f>
        <v>Delivered*Customer Service: Seamless and easy</v>
      </c>
      <c r="K2164" s="14" t="str">
        <f>IFERROR(__xludf.DUMMYFUNCTION("split(E2164,""+"")"),"Sweet Corn")</f>
        <v>Sweet Corn</v>
      </c>
      <c r="L2164" s="14" t="str">
        <f>IFERROR(__xludf.DUMMYFUNCTION("""COMPUTED_VALUE"""),"2*Ram Gopal")</f>
        <v>2*Ram Gopal</v>
      </c>
      <c r="M2164" s="14">
        <f>IFERROR(__xludf.DUMMYFUNCTION("SPLIT(L2164,""*"")"),2.0)</f>
        <v>2</v>
      </c>
      <c r="N2164" s="14" t="str">
        <f>IFERROR(__xludf.DUMMYFUNCTION("""COMPUTED_VALUE"""),"Ram Gopal")</f>
        <v>Ram Gopal</v>
      </c>
      <c r="O2164" s="14" t="str">
        <f>IFERROR(__xludf.DUMMYFUNCTION("split(J2164,""*"")"),"Delivered")</f>
        <v>Delivered</v>
      </c>
      <c r="P2164" s="14" t="str">
        <f>IFERROR(__xludf.DUMMYFUNCTION("""COMPUTED_VALUE"""),"Customer Service: Seamless and easy")</f>
        <v>Customer Service: Seamless and easy</v>
      </c>
      <c r="Q2164" s="14" t="str">
        <f>IFERROR(__xludf.DUMMYFUNCTION("split(P2164,"":"")"),"Customer Service")</f>
        <v>Customer Service</v>
      </c>
      <c r="R2164" s="14" t="str">
        <f>IFERROR(__xludf.DUMMYFUNCTION("""COMPUTED_VALUE""")," Seamless and easy")</f>
        <v> Seamless and easy</v>
      </c>
      <c r="S2164" s="14" t="str">
        <f t="shared" ref="S2164:U2164" si="4331">trim(B2164)</f>
        <v>ord_82138</v>
      </c>
      <c r="T2164" s="14" t="str">
        <f t="shared" si="4331"/>
        <v>Mehul Thakkar</v>
      </c>
      <c r="U2164" s="14" t="str">
        <f t="shared" si="4331"/>
        <v>Dadar</v>
      </c>
      <c r="V2164" s="14" t="str">
        <f t="shared" si="4"/>
        <v>Sweet Corn</v>
      </c>
      <c r="W2164" s="14">
        <f t="shared" si="5"/>
        <v>2</v>
      </c>
      <c r="X2164" s="14" t="str">
        <f t="shared" si="6"/>
        <v>Ram Gopal</v>
      </c>
      <c r="Y2164" s="15">
        <f t="shared" si="7"/>
        <v>45019</v>
      </c>
      <c r="Z2164" s="14" t="str">
        <f t="shared" si="8"/>
        <v>Credit Card</v>
      </c>
      <c r="AA2164" s="14" t="str">
        <f t="shared" si="9"/>
        <v>Delivered</v>
      </c>
      <c r="AB2164" s="14" t="str">
        <f t="shared" ref="AB2164:AC2164" si="4332">trim(Q2164)</f>
        <v>Customer Service</v>
      </c>
      <c r="AC2164" s="14" t="str">
        <f t="shared" si="4332"/>
        <v>Seamless and easy</v>
      </c>
      <c r="AD2164" s="8"/>
    </row>
    <row r="2165">
      <c r="A2165" s="14" t="str">
        <f>IFERROR(__xludf.DUMMYFUNCTION("""COMPUTED_VALUE"""),"//ord_82139//Aditi Iyer//Bandra//Sweet Corn+2*Manju Ajay/11/10/2023//Online Payment//Delivered*Delivery Experience: Quick and professional")</f>
        <v>//ord_82139//Aditi Iyer//Bandra//Sweet Corn+2*Manju Ajay/11/10/2023//Online Payment//Delivered*Delivery Experience: Quick and professional</v>
      </c>
      <c r="B2165" s="14" t="str">
        <f>IFERROR(__xludf.DUMMYFUNCTION("split(A2165,""//"")"),"ord_82139")</f>
        <v>ord_82139</v>
      </c>
      <c r="C2165" s="14" t="str">
        <f>IFERROR(__xludf.DUMMYFUNCTION("""COMPUTED_VALUE"""),"Aditi Iyer")</f>
        <v>Aditi Iyer</v>
      </c>
      <c r="D2165" s="14" t="str">
        <f>IFERROR(__xludf.DUMMYFUNCTION("""COMPUTED_VALUE"""),"Bandra")</f>
        <v>Bandra</v>
      </c>
      <c r="E2165" s="14" t="str">
        <f>IFERROR(__xludf.DUMMYFUNCTION("""COMPUTED_VALUE"""),"Sweet Corn+2*Manju Ajay")</f>
        <v>Sweet Corn+2*Manju Ajay</v>
      </c>
      <c r="F2165" s="14">
        <f>IFERROR(__xludf.DUMMYFUNCTION("""COMPUTED_VALUE"""),11.0)</f>
        <v>11</v>
      </c>
      <c r="G2165" s="14">
        <f>IFERROR(__xludf.DUMMYFUNCTION("""COMPUTED_VALUE"""),10.0)</f>
        <v>10</v>
      </c>
      <c r="H2165" s="14">
        <f>IFERROR(__xludf.DUMMYFUNCTION("""COMPUTED_VALUE"""),2023.0)</f>
        <v>2023</v>
      </c>
      <c r="I2165" s="14" t="str">
        <f>IFERROR(__xludf.DUMMYFUNCTION("""COMPUTED_VALUE"""),"Online Payment")</f>
        <v>Online Payment</v>
      </c>
      <c r="J2165" s="14" t="str">
        <f>IFERROR(__xludf.DUMMYFUNCTION("""COMPUTED_VALUE"""),"Delivered*Delivery Experience: Quick and professional")</f>
        <v>Delivered*Delivery Experience: Quick and professional</v>
      </c>
      <c r="K2165" s="14" t="str">
        <f>IFERROR(__xludf.DUMMYFUNCTION("split(E2165,""+"")"),"Sweet Corn")</f>
        <v>Sweet Corn</v>
      </c>
      <c r="L2165" s="14" t="str">
        <f>IFERROR(__xludf.DUMMYFUNCTION("""COMPUTED_VALUE"""),"2*Manju Ajay")</f>
        <v>2*Manju Ajay</v>
      </c>
      <c r="M2165" s="14">
        <f>IFERROR(__xludf.DUMMYFUNCTION("SPLIT(L2165,""*"")"),2.0)</f>
        <v>2</v>
      </c>
      <c r="N2165" s="14" t="str">
        <f>IFERROR(__xludf.DUMMYFUNCTION("""COMPUTED_VALUE"""),"Manju Ajay")</f>
        <v>Manju Ajay</v>
      </c>
      <c r="O2165" s="14" t="str">
        <f>IFERROR(__xludf.DUMMYFUNCTION("split(J2165,""*"")"),"Delivered")</f>
        <v>Delivered</v>
      </c>
      <c r="P2165" s="14" t="str">
        <f>IFERROR(__xludf.DUMMYFUNCTION("""COMPUTED_VALUE"""),"Delivery Experience: Quick and professional")</f>
        <v>Delivery Experience: Quick and professional</v>
      </c>
      <c r="Q2165" s="14" t="str">
        <f>IFERROR(__xludf.DUMMYFUNCTION("split(P2165,"":"")"),"Delivery Experience")</f>
        <v>Delivery Experience</v>
      </c>
      <c r="R2165" s="14" t="str">
        <f>IFERROR(__xludf.DUMMYFUNCTION("""COMPUTED_VALUE""")," Quick and professional")</f>
        <v> Quick and professional</v>
      </c>
      <c r="S2165" s="14" t="str">
        <f t="shared" ref="S2165:U2165" si="4333">trim(B2165)</f>
        <v>ord_82139</v>
      </c>
      <c r="T2165" s="14" t="str">
        <f t="shared" si="4333"/>
        <v>Aditi Iyer</v>
      </c>
      <c r="U2165" s="14" t="str">
        <f t="shared" si="4333"/>
        <v>Bandra</v>
      </c>
      <c r="V2165" s="14" t="str">
        <f t="shared" si="4"/>
        <v>Sweet Corn</v>
      </c>
      <c r="W2165" s="14">
        <f t="shared" si="5"/>
        <v>2</v>
      </c>
      <c r="X2165" s="14" t="str">
        <f t="shared" si="6"/>
        <v>Manju Ajay</v>
      </c>
      <c r="Y2165" s="15">
        <f t="shared" si="7"/>
        <v>45240</v>
      </c>
      <c r="Z2165" s="14" t="str">
        <f t="shared" si="8"/>
        <v>Online Payment</v>
      </c>
      <c r="AA2165" s="14" t="str">
        <f t="shared" si="9"/>
        <v>Delivered</v>
      </c>
      <c r="AB2165" s="14" t="str">
        <f t="shared" ref="AB2165:AC2165" si="4334">trim(Q2165)</f>
        <v>Delivery Experience</v>
      </c>
      <c r="AC2165" s="14" t="str">
        <f t="shared" si="4334"/>
        <v>Quick and professional</v>
      </c>
      <c r="AD2165" s="8"/>
    </row>
    <row r="2166">
      <c r="A2166" s="14" t="str">
        <f>IFERROR(__xludf.DUMMYFUNCTION("""COMPUTED_VALUE"""),"//ord_82140//Mehul Thakkar//Malad//Chilli Cheese Toast+1*Not Assigned/2/26/2023//Credit Card//Cancelled*App Glitches:Slow Loading Time")</f>
        <v>//ord_82140//Mehul Thakkar//Malad//Chilli Cheese Toast+1*Not Assigned/2/26/2023//Credit Card//Cancelled*App Glitches:Slow Loading Time</v>
      </c>
      <c r="B2166" s="14" t="str">
        <f>IFERROR(__xludf.DUMMYFUNCTION("split(A2166,""//"")"),"ord_82140")</f>
        <v>ord_82140</v>
      </c>
      <c r="C2166" s="14" t="str">
        <f>IFERROR(__xludf.DUMMYFUNCTION("""COMPUTED_VALUE"""),"Mehul Thakkar")</f>
        <v>Mehul Thakkar</v>
      </c>
      <c r="D2166" s="14" t="str">
        <f>IFERROR(__xludf.DUMMYFUNCTION("""COMPUTED_VALUE"""),"Malad")</f>
        <v>Malad</v>
      </c>
      <c r="E2166" s="14" t="str">
        <f>IFERROR(__xludf.DUMMYFUNCTION("""COMPUTED_VALUE"""),"Chilli Cheese Toast+1*Not Assigned")</f>
        <v>Chilli Cheese Toast+1*Not Assigned</v>
      </c>
      <c r="F2166" s="14">
        <f>IFERROR(__xludf.DUMMYFUNCTION("""COMPUTED_VALUE"""),2.0)</f>
        <v>2</v>
      </c>
      <c r="G2166" s="14">
        <f>IFERROR(__xludf.DUMMYFUNCTION("""COMPUTED_VALUE"""),26.0)</f>
        <v>26</v>
      </c>
      <c r="H2166" s="14">
        <f>IFERROR(__xludf.DUMMYFUNCTION("""COMPUTED_VALUE"""),2023.0)</f>
        <v>2023</v>
      </c>
      <c r="I2166" s="14" t="str">
        <f>IFERROR(__xludf.DUMMYFUNCTION("""COMPUTED_VALUE"""),"Credit Card")</f>
        <v>Credit Card</v>
      </c>
      <c r="J2166" s="14" t="str">
        <f>IFERROR(__xludf.DUMMYFUNCTION("""COMPUTED_VALUE"""),"Cancelled*App Glitches:Slow Loading Time")</f>
        <v>Cancelled*App Glitches:Slow Loading Time</v>
      </c>
      <c r="K2166" s="14" t="str">
        <f>IFERROR(__xludf.DUMMYFUNCTION("split(E2166,""+"")"),"Chilli Cheese Toast")</f>
        <v>Chilli Cheese Toast</v>
      </c>
      <c r="L2166" s="14" t="str">
        <f>IFERROR(__xludf.DUMMYFUNCTION("""COMPUTED_VALUE"""),"1*Not Assigned")</f>
        <v>1*Not Assigned</v>
      </c>
      <c r="M2166" s="14">
        <f>IFERROR(__xludf.DUMMYFUNCTION("SPLIT(L2166,""*"")"),1.0)</f>
        <v>1</v>
      </c>
      <c r="N2166" s="14" t="str">
        <f>IFERROR(__xludf.DUMMYFUNCTION("""COMPUTED_VALUE"""),"Not Assigned")</f>
        <v>Not Assigned</v>
      </c>
      <c r="O2166" s="14" t="str">
        <f>IFERROR(__xludf.DUMMYFUNCTION("split(J2166,""*"")"),"Cancelled")</f>
        <v>Cancelled</v>
      </c>
      <c r="P2166" s="14" t="str">
        <f>IFERROR(__xludf.DUMMYFUNCTION("""COMPUTED_VALUE"""),"App Glitches:Slow Loading Time")</f>
        <v>App Glitches:Slow Loading Time</v>
      </c>
      <c r="Q2166" s="14" t="str">
        <f>IFERROR(__xludf.DUMMYFUNCTION("split(P2166,"":"")"),"App Glitches")</f>
        <v>App Glitches</v>
      </c>
      <c r="R2166" s="14" t="str">
        <f>IFERROR(__xludf.DUMMYFUNCTION("""COMPUTED_VALUE"""),"Slow Loading Time")</f>
        <v>Slow Loading Time</v>
      </c>
      <c r="S2166" s="14" t="str">
        <f t="shared" ref="S2166:U2166" si="4335">trim(B2166)</f>
        <v>ord_82140</v>
      </c>
      <c r="T2166" s="14" t="str">
        <f t="shared" si="4335"/>
        <v>Mehul Thakkar</v>
      </c>
      <c r="U2166" s="14" t="str">
        <f t="shared" si="4335"/>
        <v>Malad</v>
      </c>
      <c r="V2166" s="14" t="str">
        <f t="shared" si="4"/>
        <v>Chilli Cheese Toast</v>
      </c>
      <c r="W2166" s="14">
        <f t="shared" si="5"/>
        <v>1</v>
      </c>
      <c r="X2166" s="14" t="str">
        <f t="shared" si="6"/>
        <v>Not Assigned</v>
      </c>
      <c r="Y2166" s="15">
        <f t="shared" si="7"/>
        <v>44983</v>
      </c>
      <c r="Z2166" s="14" t="str">
        <f t="shared" si="8"/>
        <v>Credit Card</v>
      </c>
      <c r="AA2166" s="14" t="str">
        <f t="shared" si="9"/>
        <v>Cancelled</v>
      </c>
      <c r="AB2166" s="14" t="str">
        <f t="shared" ref="AB2166:AC2166" si="4336">trim(Q2166)</f>
        <v>App Glitches</v>
      </c>
      <c r="AC2166" s="14" t="str">
        <f t="shared" si="4336"/>
        <v>Slow Loading Time</v>
      </c>
      <c r="AD2166" s="8"/>
    </row>
    <row r="2167">
      <c r="A2167" s="14" t="str">
        <f>IFERROR(__xludf.DUMMYFUNCTION("""COMPUTED_VALUE"""),"//ord_82141//Diya Arora//Lower Parel//Cold Coffee+5*Shine Thomas/12/14/2023//Credit Card//Delivered*Convenience: Easy tracking")</f>
        <v>//ord_82141//Diya Arora//Lower Parel//Cold Coffee+5*Shine Thomas/12/14/2023//Credit Card//Delivered*Convenience: Easy tracking</v>
      </c>
      <c r="B2167" s="14" t="str">
        <f>IFERROR(__xludf.DUMMYFUNCTION("split(A2167,""//"")"),"ord_82141")</f>
        <v>ord_82141</v>
      </c>
      <c r="C2167" s="14" t="str">
        <f>IFERROR(__xludf.DUMMYFUNCTION("""COMPUTED_VALUE"""),"Diya Arora")</f>
        <v>Diya Arora</v>
      </c>
      <c r="D2167" s="14" t="str">
        <f>IFERROR(__xludf.DUMMYFUNCTION("""COMPUTED_VALUE"""),"Lower Parel")</f>
        <v>Lower Parel</v>
      </c>
      <c r="E2167" s="14" t="str">
        <f>IFERROR(__xludf.DUMMYFUNCTION("""COMPUTED_VALUE"""),"Cold Coffee+5*Shine Thomas")</f>
        <v>Cold Coffee+5*Shine Thomas</v>
      </c>
      <c r="F2167" s="14">
        <f>IFERROR(__xludf.DUMMYFUNCTION("""COMPUTED_VALUE"""),12.0)</f>
        <v>12</v>
      </c>
      <c r="G2167" s="14">
        <f>IFERROR(__xludf.DUMMYFUNCTION("""COMPUTED_VALUE"""),14.0)</f>
        <v>14</v>
      </c>
      <c r="H2167" s="14">
        <f>IFERROR(__xludf.DUMMYFUNCTION("""COMPUTED_VALUE"""),2023.0)</f>
        <v>2023</v>
      </c>
      <c r="I2167" s="14" t="str">
        <f>IFERROR(__xludf.DUMMYFUNCTION("""COMPUTED_VALUE"""),"Credit Card")</f>
        <v>Credit Card</v>
      </c>
      <c r="J2167" s="14" t="str">
        <f>IFERROR(__xludf.DUMMYFUNCTION("""COMPUTED_VALUE"""),"Delivered*Convenience: Easy tracking")</f>
        <v>Delivered*Convenience: Easy tracking</v>
      </c>
      <c r="K2167" s="14" t="str">
        <f>IFERROR(__xludf.DUMMYFUNCTION("split(E2167,""+"")"),"Cold Coffee")</f>
        <v>Cold Coffee</v>
      </c>
      <c r="L2167" s="14" t="str">
        <f>IFERROR(__xludf.DUMMYFUNCTION("""COMPUTED_VALUE"""),"5*Shine Thomas")</f>
        <v>5*Shine Thomas</v>
      </c>
      <c r="M2167" s="14">
        <f>IFERROR(__xludf.DUMMYFUNCTION("SPLIT(L2167,""*"")"),5.0)</f>
        <v>5</v>
      </c>
      <c r="N2167" s="14" t="str">
        <f>IFERROR(__xludf.DUMMYFUNCTION("""COMPUTED_VALUE"""),"Shine Thomas")</f>
        <v>Shine Thomas</v>
      </c>
      <c r="O2167" s="14" t="str">
        <f>IFERROR(__xludf.DUMMYFUNCTION("split(J2167,""*"")"),"Delivered")</f>
        <v>Delivered</v>
      </c>
      <c r="P2167" s="14" t="str">
        <f>IFERROR(__xludf.DUMMYFUNCTION("""COMPUTED_VALUE"""),"Convenience: Easy tracking")</f>
        <v>Convenience: Easy tracking</v>
      </c>
      <c r="Q2167" s="14" t="str">
        <f>IFERROR(__xludf.DUMMYFUNCTION("split(P2167,"":"")"),"Convenience")</f>
        <v>Convenience</v>
      </c>
      <c r="R2167" s="14" t="str">
        <f>IFERROR(__xludf.DUMMYFUNCTION("""COMPUTED_VALUE""")," Easy tracking")</f>
        <v> Easy tracking</v>
      </c>
      <c r="S2167" s="14" t="str">
        <f t="shared" ref="S2167:U2167" si="4337">trim(B2167)</f>
        <v>ord_82141</v>
      </c>
      <c r="T2167" s="14" t="str">
        <f t="shared" si="4337"/>
        <v>Diya Arora</v>
      </c>
      <c r="U2167" s="14" t="str">
        <f t="shared" si="4337"/>
        <v>Lower Parel</v>
      </c>
      <c r="V2167" s="14" t="str">
        <f t="shared" si="4"/>
        <v>Cold Coffee</v>
      </c>
      <c r="W2167" s="14">
        <f t="shared" si="5"/>
        <v>5</v>
      </c>
      <c r="X2167" s="14" t="str">
        <f t="shared" si="6"/>
        <v>Shine Thomas</v>
      </c>
      <c r="Y2167" s="15">
        <f t="shared" si="7"/>
        <v>45274</v>
      </c>
      <c r="Z2167" s="14" t="str">
        <f t="shared" si="8"/>
        <v>Credit Card</v>
      </c>
      <c r="AA2167" s="14" t="str">
        <f t="shared" si="9"/>
        <v>Delivered</v>
      </c>
      <c r="AB2167" s="14" t="str">
        <f t="shared" ref="AB2167:AC2167" si="4338">trim(Q2167)</f>
        <v>Convenience</v>
      </c>
      <c r="AC2167" s="14" t="str">
        <f t="shared" si="4338"/>
        <v>Easy tracking</v>
      </c>
      <c r="AD2167" s="8"/>
    </row>
    <row r="2168">
      <c r="A2168" s="14" t="str">
        <f>IFERROR(__xludf.DUMMYFUNCTION("""COMPUTED_VALUE"""),"//ord_82142//Mehul Thakkar//Malad//Onion+1*Ram Gopal/2/28/2023//UPI//Cancelled*Delayed Delivery:Heavy Traffic")</f>
        <v>//ord_82142//Mehul Thakkar//Malad//Onion+1*Ram Gopal/2/28/2023//UPI//Cancelled*Delayed Delivery:Heavy Traffic</v>
      </c>
      <c r="B2168" s="14" t="str">
        <f>IFERROR(__xludf.DUMMYFUNCTION("split(A2168,""//"")"),"ord_82142")</f>
        <v>ord_82142</v>
      </c>
      <c r="C2168" s="14" t="str">
        <f>IFERROR(__xludf.DUMMYFUNCTION("""COMPUTED_VALUE"""),"Mehul Thakkar")</f>
        <v>Mehul Thakkar</v>
      </c>
      <c r="D2168" s="14" t="str">
        <f>IFERROR(__xludf.DUMMYFUNCTION("""COMPUTED_VALUE"""),"Malad")</f>
        <v>Malad</v>
      </c>
      <c r="E2168" s="14" t="str">
        <f>IFERROR(__xludf.DUMMYFUNCTION("""COMPUTED_VALUE"""),"Onion+1*Ram Gopal")</f>
        <v>Onion+1*Ram Gopal</v>
      </c>
      <c r="F2168" s="14">
        <f>IFERROR(__xludf.DUMMYFUNCTION("""COMPUTED_VALUE"""),2.0)</f>
        <v>2</v>
      </c>
      <c r="G2168" s="14">
        <f>IFERROR(__xludf.DUMMYFUNCTION("""COMPUTED_VALUE"""),28.0)</f>
        <v>28</v>
      </c>
      <c r="H2168" s="14">
        <f>IFERROR(__xludf.DUMMYFUNCTION("""COMPUTED_VALUE"""),2023.0)</f>
        <v>2023</v>
      </c>
      <c r="I2168" s="14" t="str">
        <f>IFERROR(__xludf.DUMMYFUNCTION("""COMPUTED_VALUE"""),"UPI")</f>
        <v>UPI</v>
      </c>
      <c r="J2168" s="14" t="str">
        <f>IFERROR(__xludf.DUMMYFUNCTION("""COMPUTED_VALUE"""),"Cancelled*Delayed Delivery:Heavy Traffic")</f>
        <v>Cancelled*Delayed Delivery:Heavy Traffic</v>
      </c>
      <c r="K2168" s="14" t="str">
        <f>IFERROR(__xludf.DUMMYFUNCTION("split(E2168,""+"")"),"Onion")</f>
        <v>Onion</v>
      </c>
      <c r="L2168" s="14" t="str">
        <f>IFERROR(__xludf.DUMMYFUNCTION("""COMPUTED_VALUE"""),"1*Ram Gopal")</f>
        <v>1*Ram Gopal</v>
      </c>
      <c r="M2168" s="14">
        <f>IFERROR(__xludf.DUMMYFUNCTION("SPLIT(L2168,""*"")"),1.0)</f>
        <v>1</v>
      </c>
      <c r="N2168" s="14" t="str">
        <f>IFERROR(__xludf.DUMMYFUNCTION("""COMPUTED_VALUE"""),"Ram Gopal")</f>
        <v>Ram Gopal</v>
      </c>
      <c r="O2168" s="14" t="str">
        <f>IFERROR(__xludf.DUMMYFUNCTION("split(J2168,""*"")"),"Cancelled")</f>
        <v>Cancelled</v>
      </c>
      <c r="P2168" s="14" t="str">
        <f>IFERROR(__xludf.DUMMYFUNCTION("""COMPUTED_VALUE"""),"Delayed Delivery:Heavy Traffic")</f>
        <v>Delayed Delivery:Heavy Traffic</v>
      </c>
      <c r="Q2168" s="14" t="str">
        <f>IFERROR(__xludf.DUMMYFUNCTION("split(P2168,"":"")"),"Delayed Delivery")</f>
        <v>Delayed Delivery</v>
      </c>
      <c r="R2168" s="14" t="str">
        <f>IFERROR(__xludf.DUMMYFUNCTION("""COMPUTED_VALUE"""),"Heavy Traffic")</f>
        <v>Heavy Traffic</v>
      </c>
      <c r="S2168" s="14" t="str">
        <f t="shared" ref="S2168:U2168" si="4339">trim(B2168)</f>
        <v>ord_82142</v>
      </c>
      <c r="T2168" s="14" t="str">
        <f t="shared" si="4339"/>
        <v>Mehul Thakkar</v>
      </c>
      <c r="U2168" s="14" t="str">
        <f t="shared" si="4339"/>
        <v>Malad</v>
      </c>
      <c r="V2168" s="14" t="str">
        <f t="shared" si="4"/>
        <v>Onion</v>
      </c>
      <c r="W2168" s="14">
        <f t="shared" si="5"/>
        <v>1</v>
      </c>
      <c r="X2168" s="14" t="str">
        <f t="shared" si="6"/>
        <v>Ram Gopal</v>
      </c>
      <c r="Y2168" s="15">
        <f t="shared" si="7"/>
        <v>44985</v>
      </c>
      <c r="Z2168" s="14" t="str">
        <f t="shared" si="8"/>
        <v>UPI</v>
      </c>
      <c r="AA2168" s="14" t="str">
        <f t="shared" si="9"/>
        <v>Cancelled</v>
      </c>
      <c r="AB2168" s="14" t="str">
        <f t="shared" ref="AB2168:AC2168" si="4340">trim(Q2168)</f>
        <v>Delayed Delivery</v>
      </c>
      <c r="AC2168" s="14" t="str">
        <f t="shared" si="4340"/>
        <v>Heavy Traffic</v>
      </c>
      <c r="AD2168" s="8"/>
    </row>
    <row r="2169">
      <c r="A2169" s="14" t="str">
        <f>IFERROR(__xludf.DUMMYFUNCTION("""COMPUTED_VALUE"""),"//ord_82143//Tanishq Bansal//Bandra//Icecream+4*Shine Thomas/12/29/2023//Credit Card//Delivered*Overall Satisfaction: Great service will order again")</f>
        <v>//ord_82143//Tanishq Bansal//Bandra//Icecream+4*Shine Thomas/12/29/2023//Credit Card//Delivered*Overall Satisfaction: Great service will order again</v>
      </c>
      <c r="B2169" s="14" t="str">
        <f>IFERROR(__xludf.DUMMYFUNCTION("split(A2169,""//"")"),"ord_82143")</f>
        <v>ord_82143</v>
      </c>
      <c r="C2169" s="14" t="str">
        <f>IFERROR(__xludf.DUMMYFUNCTION("""COMPUTED_VALUE"""),"Tanishq Bansal")</f>
        <v>Tanishq Bansal</v>
      </c>
      <c r="D2169" s="14" t="str">
        <f>IFERROR(__xludf.DUMMYFUNCTION("""COMPUTED_VALUE"""),"Bandra")</f>
        <v>Bandra</v>
      </c>
      <c r="E2169" s="14" t="str">
        <f>IFERROR(__xludf.DUMMYFUNCTION("""COMPUTED_VALUE"""),"Icecream+4*Shine Thomas")</f>
        <v>Icecream+4*Shine Thomas</v>
      </c>
      <c r="F2169" s="14">
        <f>IFERROR(__xludf.DUMMYFUNCTION("""COMPUTED_VALUE"""),12.0)</f>
        <v>12</v>
      </c>
      <c r="G2169" s="14">
        <f>IFERROR(__xludf.DUMMYFUNCTION("""COMPUTED_VALUE"""),29.0)</f>
        <v>29</v>
      </c>
      <c r="H2169" s="14">
        <f>IFERROR(__xludf.DUMMYFUNCTION("""COMPUTED_VALUE"""),2023.0)</f>
        <v>2023</v>
      </c>
      <c r="I2169" s="14" t="str">
        <f>IFERROR(__xludf.DUMMYFUNCTION("""COMPUTED_VALUE"""),"Credit Card")</f>
        <v>Credit Card</v>
      </c>
      <c r="J2169" s="14" t="str">
        <f>IFERROR(__xludf.DUMMYFUNCTION("""COMPUTED_VALUE"""),"Delivered*Overall Satisfaction: Great service will order again")</f>
        <v>Delivered*Overall Satisfaction: Great service will order again</v>
      </c>
      <c r="K2169" s="14" t="str">
        <f>IFERROR(__xludf.DUMMYFUNCTION("split(E2169,""+"")"),"Icecream")</f>
        <v>Icecream</v>
      </c>
      <c r="L2169" s="14" t="str">
        <f>IFERROR(__xludf.DUMMYFUNCTION("""COMPUTED_VALUE"""),"4*Shine Thomas")</f>
        <v>4*Shine Thomas</v>
      </c>
      <c r="M2169" s="14">
        <f>IFERROR(__xludf.DUMMYFUNCTION("SPLIT(L2169,""*"")"),4.0)</f>
        <v>4</v>
      </c>
      <c r="N2169" s="14" t="str">
        <f>IFERROR(__xludf.DUMMYFUNCTION("""COMPUTED_VALUE"""),"Shine Thomas")</f>
        <v>Shine Thomas</v>
      </c>
      <c r="O2169" s="14" t="str">
        <f>IFERROR(__xludf.DUMMYFUNCTION("split(J2169,""*"")"),"Delivered")</f>
        <v>Delivered</v>
      </c>
      <c r="P2169" s="14" t="str">
        <f>IFERROR(__xludf.DUMMYFUNCTION("""COMPUTED_VALUE"""),"Overall Satisfaction: Great service will order again")</f>
        <v>Overall Satisfaction: Great service will order again</v>
      </c>
      <c r="Q2169" s="14" t="str">
        <f>IFERROR(__xludf.DUMMYFUNCTION("split(P2169,"":"")"),"Overall Satisfaction")</f>
        <v>Overall Satisfaction</v>
      </c>
      <c r="R2169" s="14" t="str">
        <f>IFERROR(__xludf.DUMMYFUNCTION("""COMPUTED_VALUE""")," Great service will order again")</f>
        <v> Great service will order again</v>
      </c>
      <c r="S2169" s="14" t="str">
        <f t="shared" ref="S2169:U2169" si="4341">trim(B2169)</f>
        <v>ord_82143</v>
      </c>
      <c r="T2169" s="14" t="str">
        <f t="shared" si="4341"/>
        <v>Tanishq Bansal</v>
      </c>
      <c r="U2169" s="14" t="str">
        <f t="shared" si="4341"/>
        <v>Bandra</v>
      </c>
      <c r="V2169" s="14" t="str">
        <f t="shared" si="4"/>
        <v>Icecream</v>
      </c>
      <c r="W2169" s="14">
        <f t="shared" si="5"/>
        <v>4</v>
      </c>
      <c r="X2169" s="14" t="str">
        <f t="shared" si="6"/>
        <v>Shine Thomas</v>
      </c>
      <c r="Y2169" s="15">
        <f t="shared" si="7"/>
        <v>45289</v>
      </c>
      <c r="Z2169" s="14" t="str">
        <f t="shared" si="8"/>
        <v>Credit Card</v>
      </c>
      <c r="AA2169" s="14" t="str">
        <f t="shared" si="9"/>
        <v>Delivered</v>
      </c>
      <c r="AB2169" s="14" t="str">
        <f t="shared" ref="AB2169:AC2169" si="4342">trim(Q2169)</f>
        <v>Overall Satisfaction</v>
      </c>
      <c r="AC2169" s="14" t="str">
        <f t="shared" si="4342"/>
        <v>Great service will order again</v>
      </c>
      <c r="AD2169" s="8"/>
    </row>
    <row r="2170">
      <c r="A2170" s="14" t="str">
        <f>IFERROR(__xludf.DUMMYFUNCTION("""COMPUTED_VALUE"""),"//ord_82144//Tanishq Bansal//Bandra//Chocolate Mousse+4*Vivek Kumar/8/1/2023//Online Payment//Delivered*On-time Delivery: Delivered on time")</f>
        <v>//ord_82144//Tanishq Bansal//Bandra//Chocolate Mousse+4*Vivek Kumar/8/1/2023//Online Payment//Delivered*On-time Delivery: Delivered on time</v>
      </c>
      <c r="B2170" s="14" t="str">
        <f>IFERROR(__xludf.DUMMYFUNCTION("split(A2170,""//"")"),"ord_82144")</f>
        <v>ord_82144</v>
      </c>
      <c r="C2170" s="14" t="str">
        <f>IFERROR(__xludf.DUMMYFUNCTION("""COMPUTED_VALUE"""),"Tanishq Bansal")</f>
        <v>Tanishq Bansal</v>
      </c>
      <c r="D2170" s="14" t="str">
        <f>IFERROR(__xludf.DUMMYFUNCTION("""COMPUTED_VALUE"""),"Bandra")</f>
        <v>Bandra</v>
      </c>
      <c r="E2170" s="14" t="str">
        <f>IFERROR(__xludf.DUMMYFUNCTION("""COMPUTED_VALUE"""),"Chocolate Mousse+4*Vivek Kumar")</f>
        <v>Chocolate Mousse+4*Vivek Kumar</v>
      </c>
      <c r="F2170" s="14">
        <f>IFERROR(__xludf.DUMMYFUNCTION("""COMPUTED_VALUE"""),8.0)</f>
        <v>8</v>
      </c>
      <c r="G2170" s="14">
        <f>IFERROR(__xludf.DUMMYFUNCTION("""COMPUTED_VALUE"""),1.0)</f>
        <v>1</v>
      </c>
      <c r="H2170" s="14">
        <f>IFERROR(__xludf.DUMMYFUNCTION("""COMPUTED_VALUE"""),2023.0)</f>
        <v>2023</v>
      </c>
      <c r="I2170" s="14" t="str">
        <f>IFERROR(__xludf.DUMMYFUNCTION("""COMPUTED_VALUE"""),"Online Payment")</f>
        <v>Online Payment</v>
      </c>
      <c r="J2170" s="14" t="str">
        <f>IFERROR(__xludf.DUMMYFUNCTION("""COMPUTED_VALUE"""),"Delivered*On-time Delivery: Delivered on time")</f>
        <v>Delivered*On-time Delivery: Delivered on time</v>
      </c>
      <c r="K2170" s="14" t="str">
        <f>IFERROR(__xludf.DUMMYFUNCTION("split(E2170,""+"")"),"Chocolate Mousse")</f>
        <v>Chocolate Mousse</v>
      </c>
      <c r="L2170" s="14" t="str">
        <f>IFERROR(__xludf.DUMMYFUNCTION("""COMPUTED_VALUE"""),"4*Vivek Kumar")</f>
        <v>4*Vivek Kumar</v>
      </c>
      <c r="M2170" s="14">
        <f>IFERROR(__xludf.DUMMYFUNCTION("SPLIT(L2170,""*"")"),4.0)</f>
        <v>4</v>
      </c>
      <c r="N2170" s="14" t="str">
        <f>IFERROR(__xludf.DUMMYFUNCTION("""COMPUTED_VALUE"""),"Vivek Kumar")</f>
        <v>Vivek Kumar</v>
      </c>
      <c r="O2170" s="14" t="str">
        <f>IFERROR(__xludf.DUMMYFUNCTION("split(J2170,""*"")"),"Delivered")</f>
        <v>Delivered</v>
      </c>
      <c r="P2170" s="14" t="str">
        <f>IFERROR(__xludf.DUMMYFUNCTION("""COMPUTED_VALUE"""),"On-time Delivery: Delivered on time")</f>
        <v>On-time Delivery: Delivered on time</v>
      </c>
      <c r="Q2170" s="14" t="str">
        <f>IFERROR(__xludf.DUMMYFUNCTION("split(P2170,"":"")"),"On-time Delivery")</f>
        <v>On-time Delivery</v>
      </c>
      <c r="R2170" s="14" t="str">
        <f>IFERROR(__xludf.DUMMYFUNCTION("""COMPUTED_VALUE""")," Delivered on time")</f>
        <v> Delivered on time</v>
      </c>
      <c r="S2170" s="14" t="str">
        <f t="shared" ref="S2170:U2170" si="4343">trim(B2170)</f>
        <v>ord_82144</v>
      </c>
      <c r="T2170" s="14" t="str">
        <f t="shared" si="4343"/>
        <v>Tanishq Bansal</v>
      </c>
      <c r="U2170" s="14" t="str">
        <f t="shared" si="4343"/>
        <v>Bandra</v>
      </c>
      <c r="V2170" s="14" t="str">
        <f t="shared" si="4"/>
        <v>Chocolate Mousse</v>
      </c>
      <c r="W2170" s="14">
        <f t="shared" si="5"/>
        <v>4</v>
      </c>
      <c r="X2170" s="14" t="str">
        <f t="shared" si="6"/>
        <v>Vivek Kumar</v>
      </c>
      <c r="Y2170" s="15">
        <f t="shared" si="7"/>
        <v>45139</v>
      </c>
      <c r="Z2170" s="14" t="str">
        <f t="shared" si="8"/>
        <v>Online Payment</v>
      </c>
      <c r="AA2170" s="14" t="str">
        <f t="shared" si="9"/>
        <v>Delivered</v>
      </c>
      <c r="AB2170" s="14" t="str">
        <f t="shared" ref="AB2170:AC2170" si="4344">trim(Q2170)</f>
        <v>On-time Delivery</v>
      </c>
      <c r="AC2170" s="14" t="str">
        <f t="shared" si="4344"/>
        <v>Delivered on time</v>
      </c>
      <c r="AD2170" s="8"/>
    </row>
    <row r="2171">
      <c r="A2171" s="14" t="str">
        <f>IFERROR(__xludf.DUMMYFUNCTION("""COMPUTED_VALUE"""),"//ord_82145//Diya Arora//Lower Parel//Potato+1*Vivek Kumar/7/30/2023//Credit Card//Delivered*Quality of Items: Perfect condition")</f>
        <v>//ord_82145//Diya Arora//Lower Parel//Potato+1*Vivek Kumar/7/30/2023//Credit Card//Delivered*Quality of Items: Perfect condition</v>
      </c>
      <c r="B2171" s="14" t="str">
        <f>IFERROR(__xludf.DUMMYFUNCTION("split(A2171,""//"")"),"ord_82145")</f>
        <v>ord_82145</v>
      </c>
      <c r="C2171" s="14" t="str">
        <f>IFERROR(__xludf.DUMMYFUNCTION("""COMPUTED_VALUE"""),"Diya Arora")</f>
        <v>Diya Arora</v>
      </c>
      <c r="D2171" s="14" t="str">
        <f>IFERROR(__xludf.DUMMYFUNCTION("""COMPUTED_VALUE"""),"Lower Parel")</f>
        <v>Lower Parel</v>
      </c>
      <c r="E2171" s="14" t="str">
        <f>IFERROR(__xludf.DUMMYFUNCTION("""COMPUTED_VALUE"""),"Potato+1*Vivek Kumar")</f>
        <v>Potato+1*Vivek Kumar</v>
      </c>
      <c r="F2171" s="14">
        <f>IFERROR(__xludf.DUMMYFUNCTION("""COMPUTED_VALUE"""),7.0)</f>
        <v>7</v>
      </c>
      <c r="G2171" s="14">
        <f>IFERROR(__xludf.DUMMYFUNCTION("""COMPUTED_VALUE"""),30.0)</f>
        <v>30</v>
      </c>
      <c r="H2171" s="14">
        <f>IFERROR(__xludf.DUMMYFUNCTION("""COMPUTED_VALUE"""),2023.0)</f>
        <v>2023</v>
      </c>
      <c r="I2171" s="14" t="str">
        <f>IFERROR(__xludf.DUMMYFUNCTION("""COMPUTED_VALUE"""),"Credit Card")</f>
        <v>Credit Card</v>
      </c>
      <c r="J2171" s="14" t="str">
        <f>IFERROR(__xludf.DUMMYFUNCTION("""COMPUTED_VALUE"""),"Delivered*Quality of Items: Perfect condition")</f>
        <v>Delivered*Quality of Items: Perfect condition</v>
      </c>
      <c r="K2171" s="14" t="str">
        <f>IFERROR(__xludf.DUMMYFUNCTION("split(E2171,""+"")"),"Potato")</f>
        <v>Potato</v>
      </c>
      <c r="L2171" s="14" t="str">
        <f>IFERROR(__xludf.DUMMYFUNCTION("""COMPUTED_VALUE"""),"1*Vivek Kumar")</f>
        <v>1*Vivek Kumar</v>
      </c>
      <c r="M2171" s="14">
        <f>IFERROR(__xludf.DUMMYFUNCTION("SPLIT(L2171,""*"")"),1.0)</f>
        <v>1</v>
      </c>
      <c r="N2171" s="14" t="str">
        <f>IFERROR(__xludf.DUMMYFUNCTION("""COMPUTED_VALUE"""),"Vivek Kumar")</f>
        <v>Vivek Kumar</v>
      </c>
      <c r="O2171" s="14" t="str">
        <f>IFERROR(__xludf.DUMMYFUNCTION("split(J2171,""*"")"),"Delivered")</f>
        <v>Delivered</v>
      </c>
      <c r="P2171" s="14" t="str">
        <f>IFERROR(__xludf.DUMMYFUNCTION("""COMPUTED_VALUE"""),"Quality of Items: Perfect condition")</f>
        <v>Quality of Items: Perfect condition</v>
      </c>
      <c r="Q2171" s="14" t="str">
        <f>IFERROR(__xludf.DUMMYFUNCTION("split(P2171,"":"")"),"Quality of Items")</f>
        <v>Quality of Items</v>
      </c>
      <c r="R2171" s="14" t="str">
        <f>IFERROR(__xludf.DUMMYFUNCTION("""COMPUTED_VALUE""")," Perfect condition")</f>
        <v> Perfect condition</v>
      </c>
      <c r="S2171" s="14" t="str">
        <f t="shared" ref="S2171:U2171" si="4345">trim(B2171)</f>
        <v>ord_82145</v>
      </c>
      <c r="T2171" s="14" t="str">
        <f t="shared" si="4345"/>
        <v>Diya Arora</v>
      </c>
      <c r="U2171" s="14" t="str">
        <f t="shared" si="4345"/>
        <v>Lower Parel</v>
      </c>
      <c r="V2171" s="14" t="str">
        <f t="shared" si="4"/>
        <v>Potato</v>
      </c>
      <c r="W2171" s="14">
        <f t="shared" si="5"/>
        <v>1</v>
      </c>
      <c r="X2171" s="14" t="str">
        <f t="shared" si="6"/>
        <v>Vivek Kumar</v>
      </c>
      <c r="Y2171" s="15">
        <f t="shared" si="7"/>
        <v>45137</v>
      </c>
      <c r="Z2171" s="14" t="str">
        <f t="shared" si="8"/>
        <v>Credit Card</v>
      </c>
      <c r="AA2171" s="14" t="str">
        <f t="shared" si="9"/>
        <v>Delivered</v>
      </c>
      <c r="AB2171" s="14" t="str">
        <f t="shared" ref="AB2171:AC2171" si="4346">trim(Q2171)</f>
        <v>Quality of Items</v>
      </c>
      <c r="AC2171" s="14" t="str">
        <f t="shared" si="4346"/>
        <v>Perfect condition</v>
      </c>
      <c r="AD2171" s="8"/>
    </row>
    <row r="2172">
      <c r="A2172" s="14" t="str">
        <f>IFERROR(__xludf.DUMMYFUNCTION("""COMPUTED_VALUE"""),"//ord_82146//Mehul Thakkar//Malad//Onion+2*Not Assigned/9/10/2023//Credit Card//Cancelled*App Glitches:Error Messages")</f>
        <v>//ord_82146//Mehul Thakkar//Malad//Onion+2*Not Assigned/9/10/2023//Credit Card//Cancelled*App Glitches:Error Messages</v>
      </c>
      <c r="B2172" s="14" t="str">
        <f>IFERROR(__xludf.DUMMYFUNCTION("split(A2172,""//"")"),"ord_82146")</f>
        <v>ord_82146</v>
      </c>
      <c r="C2172" s="14" t="str">
        <f>IFERROR(__xludf.DUMMYFUNCTION("""COMPUTED_VALUE"""),"Mehul Thakkar")</f>
        <v>Mehul Thakkar</v>
      </c>
      <c r="D2172" s="14" t="str">
        <f>IFERROR(__xludf.DUMMYFUNCTION("""COMPUTED_VALUE"""),"Malad")</f>
        <v>Malad</v>
      </c>
      <c r="E2172" s="14" t="str">
        <f>IFERROR(__xludf.DUMMYFUNCTION("""COMPUTED_VALUE"""),"Onion+2*Not Assigned")</f>
        <v>Onion+2*Not Assigned</v>
      </c>
      <c r="F2172" s="14">
        <f>IFERROR(__xludf.DUMMYFUNCTION("""COMPUTED_VALUE"""),9.0)</f>
        <v>9</v>
      </c>
      <c r="G2172" s="14">
        <f>IFERROR(__xludf.DUMMYFUNCTION("""COMPUTED_VALUE"""),10.0)</f>
        <v>10</v>
      </c>
      <c r="H2172" s="14">
        <f>IFERROR(__xludf.DUMMYFUNCTION("""COMPUTED_VALUE"""),2023.0)</f>
        <v>2023</v>
      </c>
      <c r="I2172" s="14" t="str">
        <f>IFERROR(__xludf.DUMMYFUNCTION("""COMPUTED_VALUE"""),"Credit Card")</f>
        <v>Credit Card</v>
      </c>
      <c r="J2172" s="14" t="str">
        <f>IFERROR(__xludf.DUMMYFUNCTION("""COMPUTED_VALUE"""),"Cancelled*App Glitches:Error Messages")</f>
        <v>Cancelled*App Glitches:Error Messages</v>
      </c>
      <c r="K2172" s="14" t="str">
        <f>IFERROR(__xludf.DUMMYFUNCTION("split(E2172,""+"")"),"Onion")</f>
        <v>Onion</v>
      </c>
      <c r="L2172" s="14" t="str">
        <f>IFERROR(__xludf.DUMMYFUNCTION("""COMPUTED_VALUE"""),"2*Not Assigned")</f>
        <v>2*Not Assigned</v>
      </c>
      <c r="M2172" s="14">
        <f>IFERROR(__xludf.DUMMYFUNCTION("SPLIT(L2172,""*"")"),2.0)</f>
        <v>2</v>
      </c>
      <c r="N2172" s="14" t="str">
        <f>IFERROR(__xludf.DUMMYFUNCTION("""COMPUTED_VALUE"""),"Not Assigned")</f>
        <v>Not Assigned</v>
      </c>
      <c r="O2172" s="14" t="str">
        <f>IFERROR(__xludf.DUMMYFUNCTION("split(J2172,""*"")"),"Cancelled")</f>
        <v>Cancelled</v>
      </c>
      <c r="P2172" s="14" t="str">
        <f>IFERROR(__xludf.DUMMYFUNCTION("""COMPUTED_VALUE"""),"App Glitches:Error Messages")</f>
        <v>App Glitches:Error Messages</v>
      </c>
      <c r="Q2172" s="14" t="str">
        <f>IFERROR(__xludf.DUMMYFUNCTION("split(P2172,"":"")"),"App Glitches")</f>
        <v>App Glitches</v>
      </c>
      <c r="R2172" s="14" t="str">
        <f>IFERROR(__xludf.DUMMYFUNCTION("""COMPUTED_VALUE"""),"Error Messages")</f>
        <v>Error Messages</v>
      </c>
      <c r="S2172" s="14" t="str">
        <f t="shared" ref="S2172:U2172" si="4347">trim(B2172)</f>
        <v>ord_82146</v>
      </c>
      <c r="T2172" s="14" t="str">
        <f t="shared" si="4347"/>
        <v>Mehul Thakkar</v>
      </c>
      <c r="U2172" s="14" t="str">
        <f t="shared" si="4347"/>
        <v>Malad</v>
      </c>
      <c r="V2172" s="14" t="str">
        <f t="shared" si="4"/>
        <v>Onion</v>
      </c>
      <c r="W2172" s="14">
        <f t="shared" si="5"/>
        <v>2</v>
      </c>
      <c r="X2172" s="14" t="str">
        <f t="shared" si="6"/>
        <v>Not Assigned</v>
      </c>
      <c r="Y2172" s="15">
        <f t="shared" si="7"/>
        <v>45179</v>
      </c>
      <c r="Z2172" s="14" t="str">
        <f t="shared" si="8"/>
        <v>Credit Card</v>
      </c>
      <c r="AA2172" s="14" t="str">
        <f t="shared" si="9"/>
        <v>Cancelled</v>
      </c>
      <c r="AB2172" s="14" t="str">
        <f t="shared" ref="AB2172:AC2172" si="4348">trim(Q2172)</f>
        <v>App Glitches</v>
      </c>
      <c r="AC2172" s="14" t="str">
        <f t="shared" si="4348"/>
        <v>Error Messages</v>
      </c>
      <c r="AD2172" s="8"/>
    </row>
    <row r="2173">
      <c r="A2173" s="14" t="str">
        <f>IFERROR(__xludf.DUMMYFUNCTION("""COMPUTED_VALUE"""),"//ord_82147//Sahil Desai//Colaba//Papaya+2*Shine Thomas/11/6/2023//UPI//Delivered*On-time Delivery: Delivered on time")</f>
        <v>//ord_82147//Sahil Desai//Colaba//Papaya+2*Shine Thomas/11/6/2023//UPI//Delivered*On-time Delivery: Delivered on time</v>
      </c>
      <c r="B2173" s="14" t="str">
        <f>IFERROR(__xludf.DUMMYFUNCTION("split(A2173,""//"")"),"ord_82147")</f>
        <v>ord_82147</v>
      </c>
      <c r="C2173" s="14" t="str">
        <f>IFERROR(__xludf.DUMMYFUNCTION("""COMPUTED_VALUE"""),"Sahil Desai")</f>
        <v>Sahil Desai</v>
      </c>
      <c r="D2173" s="14" t="str">
        <f>IFERROR(__xludf.DUMMYFUNCTION("""COMPUTED_VALUE"""),"Colaba")</f>
        <v>Colaba</v>
      </c>
      <c r="E2173" s="14" t="str">
        <f>IFERROR(__xludf.DUMMYFUNCTION("""COMPUTED_VALUE"""),"Papaya+2*Shine Thomas")</f>
        <v>Papaya+2*Shine Thomas</v>
      </c>
      <c r="F2173" s="14">
        <f>IFERROR(__xludf.DUMMYFUNCTION("""COMPUTED_VALUE"""),11.0)</f>
        <v>11</v>
      </c>
      <c r="G2173" s="14">
        <f>IFERROR(__xludf.DUMMYFUNCTION("""COMPUTED_VALUE"""),6.0)</f>
        <v>6</v>
      </c>
      <c r="H2173" s="14">
        <f>IFERROR(__xludf.DUMMYFUNCTION("""COMPUTED_VALUE"""),2023.0)</f>
        <v>2023</v>
      </c>
      <c r="I2173" s="14" t="str">
        <f>IFERROR(__xludf.DUMMYFUNCTION("""COMPUTED_VALUE"""),"UPI")</f>
        <v>UPI</v>
      </c>
      <c r="J2173" s="14" t="str">
        <f>IFERROR(__xludf.DUMMYFUNCTION("""COMPUTED_VALUE"""),"Delivered*On-time Delivery: Delivered on time")</f>
        <v>Delivered*On-time Delivery: Delivered on time</v>
      </c>
      <c r="K2173" s="14" t="str">
        <f>IFERROR(__xludf.DUMMYFUNCTION("split(E2173,""+"")"),"Papaya")</f>
        <v>Papaya</v>
      </c>
      <c r="L2173" s="14" t="str">
        <f>IFERROR(__xludf.DUMMYFUNCTION("""COMPUTED_VALUE"""),"2*Shine Thomas")</f>
        <v>2*Shine Thomas</v>
      </c>
      <c r="M2173" s="14">
        <f>IFERROR(__xludf.DUMMYFUNCTION("SPLIT(L2173,""*"")"),2.0)</f>
        <v>2</v>
      </c>
      <c r="N2173" s="14" t="str">
        <f>IFERROR(__xludf.DUMMYFUNCTION("""COMPUTED_VALUE"""),"Shine Thomas")</f>
        <v>Shine Thomas</v>
      </c>
      <c r="O2173" s="14" t="str">
        <f>IFERROR(__xludf.DUMMYFUNCTION("split(J2173,""*"")"),"Delivered")</f>
        <v>Delivered</v>
      </c>
      <c r="P2173" s="14" t="str">
        <f>IFERROR(__xludf.DUMMYFUNCTION("""COMPUTED_VALUE"""),"On-time Delivery: Delivered on time")</f>
        <v>On-time Delivery: Delivered on time</v>
      </c>
      <c r="Q2173" s="14" t="str">
        <f>IFERROR(__xludf.DUMMYFUNCTION("split(P2173,"":"")"),"On-time Delivery")</f>
        <v>On-time Delivery</v>
      </c>
      <c r="R2173" s="14" t="str">
        <f>IFERROR(__xludf.DUMMYFUNCTION("""COMPUTED_VALUE""")," Delivered on time")</f>
        <v> Delivered on time</v>
      </c>
      <c r="S2173" s="14" t="str">
        <f t="shared" ref="S2173:U2173" si="4349">trim(B2173)</f>
        <v>ord_82147</v>
      </c>
      <c r="T2173" s="14" t="str">
        <f t="shared" si="4349"/>
        <v>Sahil Desai</v>
      </c>
      <c r="U2173" s="14" t="str">
        <f t="shared" si="4349"/>
        <v>Colaba</v>
      </c>
      <c r="V2173" s="14" t="str">
        <f t="shared" si="4"/>
        <v>Papaya</v>
      </c>
      <c r="W2173" s="14">
        <f t="shared" si="5"/>
        <v>2</v>
      </c>
      <c r="X2173" s="14" t="str">
        <f t="shared" si="6"/>
        <v>Shine Thomas</v>
      </c>
      <c r="Y2173" s="15">
        <f t="shared" si="7"/>
        <v>45236</v>
      </c>
      <c r="Z2173" s="14" t="str">
        <f t="shared" si="8"/>
        <v>UPI</v>
      </c>
      <c r="AA2173" s="14" t="str">
        <f t="shared" si="9"/>
        <v>Delivered</v>
      </c>
      <c r="AB2173" s="14" t="str">
        <f t="shared" ref="AB2173:AC2173" si="4350">trim(Q2173)</f>
        <v>On-time Delivery</v>
      </c>
      <c r="AC2173" s="14" t="str">
        <f t="shared" si="4350"/>
        <v>Delivered on time</v>
      </c>
      <c r="AD2173" s="8"/>
    </row>
    <row r="2174">
      <c r="A2174" s="14" t="str">
        <f>IFERROR(__xludf.DUMMYFUNCTION("""COMPUTED_VALUE"""),"//ord_82148//Aarohi Kapoor//Bandra//Tiramisu+3*Nithin Lal/12/20/2023//Online Payment//Delivered*Quality of Items: Perfect condition")</f>
        <v>//ord_82148//Aarohi Kapoor//Bandra//Tiramisu+3*Nithin Lal/12/20/2023//Online Payment//Delivered*Quality of Items: Perfect condition</v>
      </c>
      <c r="B2174" s="14" t="str">
        <f>IFERROR(__xludf.DUMMYFUNCTION("split(A2174,""//"")"),"ord_82148")</f>
        <v>ord_82148</v>
      </c>
      <c r="C2174" s="14" t="str">
        <f>IFERROR(__xludf.DUMMYFUNCTION("""COMPUTED_VALUE"""),"Aarohi Kapoor")</f>
        <v>Aarohi Kapoor</v>
      </c>
      <c r="D2174" s="14" t="str">
        <f>IFERROR(__xludf.DUMMYFUNCTION("""COMPUTED_VALUE"""),"Bandra")</f>
        <v>Bandra</v>
      </c>
      <c r="E2174" s="14" t="str">
        <f>IFERROR(__xludf.DUMMYFUNCTION("""COMPUTED_VALUE"""),"Tiramisu+3*Nithin Lal")</f>
        <v>Tiramisu+3*Nithin Lal</v>
      </c>
      <c r="F2174" s="14">
        <f>IFERROR(__xludf.DUMMYFUNCTION("""COMPUTED_VALUE"""),12.0)</f>
        <v>12</v>
      </c>
      <c r="G2174" s="14">
        <f>IFERROR(__xludf.DUMMYFUNCTION("""COMPUTED_VALUE"""),20.0)</f>
        <v>20</v>
      </c>
      <c r="H2174" s="14">
        <f>IFERROR(__xludf.DUMMYFUNCTION("""COMPUTED_VALUE"""),2023.0)</f>
        <v>2023</v>
      </c>
      <c r="I2174" s="14" t="str">
        <f>IFERROR(__xludf.DUMMYFUNCTION("""COMPUTED_VALUE"""),"Online Payment")</f>
        <v>Online Payment</v>
      </c>
      <c r="J2174" s="14" t="str">
        <f>IFERROR(__xludf.DUMMYFUNCTION("""COMPUTED_VALUE"""),"Delivered*Quality of Items: Perfect condition")</f>
        <v>Delivered*Quality of Items: Perfect condition</v>
      </c>
      <c r="K2174" s="14" t="str">
        <f>IFERROR(__xludf.DUMMYFUNCTION("split(E2174,""+"")"),"Tiramisu")</f>
        <v>Tiramisu</v>
      </c>
      <c r="L2174" s="14" t="str">
        <f>IFERROR(__xludf.DUMMYFUNCTION("""COMPUTED_VALUE"""),"3*Nithin Lal")</f>
        <v>3*Nithin Lal</v>
      </c>
      <c r="M2174" s="14">
        <f>IFERROR(__xludf.DUMMYFUNCTION("SPLIT(L2174,""*"")"),3.0)</f>
        <v>3</v>
      </c>
      <c r="N2174" s="14" t="str">
        <f>IFERROR(__xludf.DUMMYFUNCTION("""COMPUTED_VALUE"""),"Nithin Lal")</f>
        <v>Nithin Lal</v>
      </c>
      <c r="O2174" s="14" t="str">
        <f>IFERROR(__xludf.DUMMYFUNCTION("split(J2174,""*"")"),"Delivered")</f>
        <v>Delivered</v>
      </c>
      <c r="P2174" s="14" t="str">
        <f>IFERROR(__xludf.DUMMYFUNCTION("""COMPUTED_VALUE"""),"Quality of Items: Perfect condition")</f>
        <v>Quality of Items: Perfect condition</v>
      </c>
      <c r="Q2174" s="14" t="str">
        <f>IFERROR(__xludf.DUMMYFUNCTION("split(P2174,"":"")"),"Quality of Items")</f>
        <v>Quality of Items</v>
      </c>
      <c r="R2174" s="14" t="str">
        <f>IFERROR(__xludf.DUMMYFUNCTION("""COMPUTED_VALUE""")," Perfect condition")</f>
        <v> Perfect condition</v>
      </c>
      <c r="S2174" s="14" t="str">
        <f t="shared" ref="S2174:U2174" si="4351">trim(B2174)</f>
        <v>ord_82148</v>
      </c>
      <c r="T2174" s="14" t="str">
        <f t="shared" si="4351"/>
        <v>Aarohi Kapoor</v>
      </c>
      <c r="U2174" s="14" t="str">
        <f t="shared" si="4351"/>
        <v>Bandra</v>
      </c>
      <c r="V2174" s="14" t="str">
        <f t="shared" si="4"/>
        <v>Tiramisu</v>
      </c>
      <c r="W2174" s="14">
        <f t="shared" si="5"/>
        <v>3</v>
      </c>
      <c r="X2174" s="14" t="str">
        <f t="shared" si="6"/>
        <v>Nithin Lal</v>
      </c>
      <c r="Y2174" s="15">
        <f t="shared" si="7"/>
        <v>45280</v>
      </c>
      <c r="Z2174" s="14" t="str">
        <f t="shared" si="8"/>
        <v>Online Payment</v>
      </c>
      <c r="AA2174" s="14" t="str">
        <f t="shared" si="9"/>
        <v>Delivered</v>
      </c>
      <c r="AB2174" s="14" t="str">
        <f t="shared" ref="AB2174:AC2174" si="4352">trim(Q2174)</f>
        <v>Quality of Items</v>
      </c>
      <c r="AC2174" s="14" t="str">
        <f t="shared" si="4352"/>
        <v>Perfect condition</v>
      </c>
      <c r="AD2174" s="8"/>
    </row>
    <row r="2175">
      <c r="A2175" s="14" t="str">
        <f>IFERROR(__xludf.DUMMYFUNCTION("""COMPUTED_VALUE"""),"//ord_82149//Ishaan Chaturvedi//Bandra//Icecream+1*Vivek Kumar/12/13/2023//UPI//Delivered*Packaging: Secure and intact")</f>
        <v>//ord_82149//Ishaan Chaturvedi//Bandra//Icecream+1*Vivek Kumar/12/13/2023//UPI//Delivered*Packaging: Secure and intact</v>
      </c>
      <c r="B2175" s="14" t="str">
        <f>IFERROR(__xludf.DUMMYFUNCTION("split(A2175,""//"")"),"ord_82149")</f>
        <v>ord_82149</v>
      </c>
      <c r="C2175" s="14" t="str">
        <f>IFERROR(__xludf.DUMMYFUNCTION("""COMPUTED_VALUE"""),"Ishaan Chaturvedi")</f>
        <v>Ishaan Chaturvedi</v>
      </c>
      <c r="D2175" s="14" t="str">
        <f>IFERROR(__xludf.DUMMYFUNCTION("""COMPUTED_VALUE"""),"Bandra")</f>
        <v>Bandra</v>
      </c>
      <c r="E2175" s="14" t="str">
        <f>IFERROR(__xludf.DUMMYFUNCTION("""COMPUTED_VALUE"""),"Icecream+1*Vivek Kumar")</f>
        <v>Icecream+1*Vivek Kumar</v>
      </c>
      <c r="F2175" s="14">
        <f>IFERROR(__xludf.DUMMYFUNCTION("""COMPUTED_VALUE"""),12.0)</f>
        <v>12</v>
      </c>
      <c r="G2175" s="14">
        <f>IFERROR(__xludf.DUMMYFUNCTION("""COMPUTED_VALUE"""),13.0)</f>
        <v>13</v>
      </c>
      <c r="H2175" s="14">
        <f>IFERROR(__xludf.DUMMYFUNCTION("""COMPUTED_VALUE"""),2023.0)</f>
        <v>2023</v>
      </c>
      <c r="I2175" s="14" t="str">
        <f>IFERROR(__xludf.DUMMYFUNCTION("""COMPUTED_VALUE"""),"UPI")</f>
        <v>UPI</v>
      </c>
      <c r="J2175" s="14" t="str">
        <f>IFERROR(__xludf.DUMMYFUNCTION("""COMPUTED_VALUE"""),"Delivered*Packaging: Secure and intact")</f>
        <v>Delivered*Packaging: Secure and intact</v>
      </c>
      <c r="K2175" s="14" t="str">
        <f>IFERROR(__xludf.DUMMYFUNCTION("split(E2175,""+"")"),"Icecream")</f>
        <v>Icecream</v>
      </c>
      <c r="L2175" s="14" t="str">
        <f>IFERROR(__xludf.DUMMYFUNCTION("""COMPUTED_VALUE"""),"1*Vivek Kumar")</f>
        <v>1*Vivek Kumar</v>
      </c>
      <c r="M2175" s="14">
        <f>IFERROR(__xludf.DUMMYFUNCTION("SPLIT(L2175,""*"")"),1.0)</f>
        <v>1</v>
      </c>
      <c r="N2175" s="14" t="str">
        <f>IFERROR(__xludf.DUMMYFUNCTION("""COMPUTED_VALUE"""),"Vivek Kumar")</f>
        <v>Vivek Kumar</v>
      </c>
      <c r="O2175" s="14" t="str">
        <f>IFERROR(__xludf.DUMMYFUNCTION("split(J2175,""*"")"),"Delivered")</f>
        <v>Delivered</v>
      </c>
      <c r="P2175" s="14" t="str">
        <f>IFERROR(__xludf.DUMMYFUNCTION("""COMPUTED_VALUE"""),"Packaging: Secure and intact")</f>
        <v>Packaging: Secure and intact</v>
      </c>
      <c r="Q2175" s="14" t="str">
        <f>IFERROR(__xludf.DUMMYFUNCTION("split(P2175,"":"")"),"Packaging")</f>
        <v>Packaging</v>
      </c>
      <c r="R2175" s="14" t="str">
        <f>IFERROR(__xludf.DUMMYFUNCTION("""COMPUTED_VALUE""")," Secure and intact")</f>
        <v> Secure and intact</v>
      </c>
      <c r="S2175" s="14" t="str">
        <f t="shared" ref="S2175:U2175" si="4353">trim(B2175)</f>
        <v>ord_82149</v>
      </c>
      <c r="T2175" s="14" t="str">
        <f t="shared" si="4353"/>
        <v>Ishaan Chaturvedi</v>
      </c>
      <c r="U2175" s="14" t="str">
        <f t="shared" si="4353"/>
        <v>Bandra</v>
      </c>
      <c r="V2175" s="14" t="str">
        <f t="shared" si="4"/>
        <v>Icecream</v>
      </c>
      <c r="W2175" s="14">
        <f t="shared" si="5"/>
        <v>1</v>
      </c>
      <c r="X2175" s="14" t="str">
        <f t="shared" si="6"/>
        <v>Vivek Kumar</v>
      </c>
      <c r="Y2175" s="15">
        <f t="shared" si="7"/>
        <v>45273</v>
      </c>
      <c r="Z2175" s="14" t="str">
        <f t="shared" si="8"/>
        <v>UPI</v>
      </c>
      <c r="AA2175" s="14" t="str">
        <f t="shared" si="9"/>
        <v>Delivered</v>
      </c>
      <c r="AB2175" s="14" t="str">
        <f t="shared" ref="AB2175:AC2175" si="4354">trim(Q2175)</f>
        <v>Packaging</v>
      </c>
      <c r="AC2175" s="14" t="str">
        <f t="shared" si="4354"/>
        <v>Secure and intact</v>
      </c>
      <c r="AD2175" s="8"/>
    </row>
    <row r="2176">
      <c r="A2176" s="14" t="str">
        <f>IFERROR(__xludf.DUMMYFUNCTION("""COMPUTED_VALUE"""),"//ord_82150//Mohit Malhotra//Lower Parel//Papaya+1*Vivek Kumar/6/6/2023//UPI//Delivered*Satisfied with the Delivery: Timely and quality")</f>
        <v>//ord_82150//Mohit Malhotra//Lower Parel//Papaya+1*Vivek Kumar/6/6/2023//UPI//Delivered*Satisfied with the Delivery: Timely and quality</v>
      </c>
      <c r="B2176" s="14" t="str">
        <f>IFERROR(__xludf.DUMMYFUNCTION("split(A2176,""//"")"),"ord_82150")</f>
        <v>ord_82150</v>
      </c>
      <c r="C2176" s="14" t="str">
        <f>IFERROR(__xludf.DUMMYFUNCTION("""COMPUTED_VALUE"""),"Mohit Malhotra")</f>
        <v>Mohit Malhotra</v>
      </c>
      <c r="D2176" s="14" t="str">
        <f>IFERROR(__xludf.DUMMYFUNCTION("""COMPUTED_VALUE"""),"Lower Parel")</f>
        <v>Lower Parel</v>
      </c>
      <c r="E2176" s="14" t="str">
        <f>IFERROR(__xludf.DUMMYFUNCTION("""COMPUTED_VALUE"""),"Papaya+1*Vivek Kumar")</f>
        <v>Papaya+1*Vivek Kumar</v>
      </c>
      <c r="F2176" s="14">
        <f>IFERROR(__xludf.DUMMYFUNCTION("""COMPUTED_VALUE"""),6.0)</f>
        <v>6</v>
      </c>
      <c r="G2176" s="14">
        <f>IFERROR(__xludf.DUMMYFUNCTION("""COMPUTED_VALUE"""),6.0)</f>
        <v>6</v>
      </c>
      <c r="H2176" s="14">
        <f>IFERROR(__xludf.DUMMYFUNCTION("""COMPUTED_VALUE"""),2023.0)</f>
        <v>2023</v>
      </c>
      <c r="I2176" s="14" t="str">
        <f>IFERROR(__xludf.DUMMYFUNCTION("""COMPUTED_VALUE"""),"UPI")</f>
        <v>UPI</v>
      </c>
      <c r="J2176" s="14" t="str">
        <f>IFERROR(__xludf.DUMMYFUNCTION("""COMPUTED_VALUE"""),"Delivered*Satisfied with the Delivery: Timely and quality")</f>
        <v>Delivered*Satisfied with the Delivery: Timely and quality</v>
      </c>
      <c r="K2176" s="14" t="str">
        <f>IFERROR(__xludf.DUMMYFUNCTION("split(E2176,""+"")"),"Papaya")</f>
        <v>Papaya</v>
      </c>
      <c r="L2176" s="14" t="str">
        <f>IFERROR(__xludf.DUMMYFUNCTION("""COMPUTED_VALUE"""),"1*Vivek Kumar")</f>
        <v>1*Vivek Kumar</v>
      </c>
      <c r="M2176" s="14">
        <f>IFERROR(__xludf.DUMMYFUNCTION("SPLIT(L2176,""*"")"),1.0)</f>
        <v>1</v>
      </c>
      <c r="N2176" s="14" t="str">
        <f>IFERROR(__xludf.DUMMYFUNCTION("""COMPUTED_VALUE"""),"Vivek Kumar")</f>
        <v>Vivek Kumar</v>
      </c>
      <c r="O2176" s="14" t="str">
        <f>IFERROR(__xludf.DUMMYFUNCTION("split(J2176,""*"")"),"Delivered")</f>
        <v>Delivered</v>
      </c>
      <c r="P2176" s="14" t="str">
        <f>IFERROR(__xludf.DUMMYFUNCTION("""COMPUTED_VALUE"""),"Satisfied with the Delivery: Timely and quality")</f>
        <v>Satisfied with the Delivery: Timely and quality</v>
      </c>
      <c r="Q2176" s="14" t="str">
        <f>IFERROR(__xludf.DUMMYFUNCTION("split(P2176,"":"")"),"Satisfied with the Delivery")</f>
        <v>Satisfied with the Delivery</v>
      </c>
      <c r="R2176" s="14" t="str">
        <f>IFERROR(__xludf.DUMMYFUNCTION("""COMPUTED_VALUE""")," Timely and quality")</f>
        <v> Timely and quality</v>
      </c>
      <c r="S2176" s="14" t="str">
        <f t="shared" ref="S2176:U2176" si="4355">trim(B2176)</f>
        <v>ord_82150</v>
      </c>
      <c r="T2176" s="14" t="str">
        <f t="shared" si="4355"/>
        <v>Mohit Malhotra</v>
      </c>
      <c r="U2176" s="14" t="str">
        <f t="shared" si="4355"/>
        <v>Lower Parel</v>
      </c>
      <c r="V2176" s="14" t="str">
        <f t="shared" si="4"/>
        <v>Papaya</v>
      </c>
      <c r="W2176" s="14">
        <f t="shared" si="5"/>
        <v>1</v>
      </c>
      <c r="X2176" s="14" t="str">
        <f t="shared" si="6"/>
        <v>Vivek Kumar</v>
      </c>
      <c r="Y2176" s="15">
        <f t="shared" si="7"/>
        <v>45083</v>
      </c>
      <c r="Z2176" s="14" t="str">
        <f t="shared" si="8"/>
        <v>UPI</v>
      </c>
      <c r="AA2176" s="14" t="str">
        <f t="shared" si="9"/>
        <v>Delivered</v>
      </c>
      <c r="AB2176" s="14" t="str">
        <f t="shared" ref="AB2176:AC2176" si="4356">trim(Q2176)</f>
        <v>Satisfied with the Delivery</v>
      </c>
      <c r="AC2176" s="14" t="str">
        <f t="shared" si="4356"/>
        <v>Timely and quality</v>
      </c>
      <c r="AD2176" s="8"/>
    </row>
    <row r="2177">
      <c r="A2177" s="14" t="str">
        <f>IFERROR(__xludf.DUMMYFUNCTION("""COMPUTED_VALUE"""),"//ord_82151//Mohit Malhotra//Lower Parel//Cucumber+1*Ram Gopal/10/13/2023//Online Payment//Delivered*Customer Service: Seamless and easy")</f>
        <v>//ord_82151//Mohit Malhotra//Lower Parel//Cucumber+1*Ram Gopal/10/13/2023//Online Payment//Delivered*Customer Service: Seamless and easy</v>
      </c>
      <c r="B2177" s="14" t="str">
        <f>IFERROR(__xludf.DUMMYFUNCTION("split(A2177,""//"")"),"ord_82151")</f>
        <v>ord_82151</v>
      </c>
      <c r="C2177" s="14" t="str">
        <f>IFERROR(__xludf.DUMMYFUNCTION("""COMPUTED_VALUE"""),"Mohit Malhotra")</f>
        <v>Mohit Malhotra</v>
      </c>
      <c r="D2177" s="14" t="str">
        <f>IFERROR(__xludf.DUMMYFUNCTION("""COMPUTED_VALUE"""),"Lower Parel")</f>
        <v>Lower Parel</v>
      </c>
      <c r="E2177" s="14" t="str">
        <f>IFERROR(__xludf.DUMMYFUNCTION("""COMPUTED_VALUE"""),"Cucumber+1*Ram Gopal")</f>
        <v>Cucumber+1*Ram Gopal</v>
      </c>
      <c r="F2177" s="14">
        <f>IFERROR(__xludf.DUMMYFUNCTION("""COMPUTED_VALUE"""),10.0)</f>
        <v>10</v>
      </c>
      <c r="G2177" s="14">
        <f>IFERROR(__xludf.DUMMYFUNCTION("""COMPUTED_VALUE"""),13.0)</f>
        <v>13</v>
      </c>
      <c r="H2177" s="14">
        <f>IFERROR(__xludf.DUMMYFUNCTION("""COMPUTED_VALUE"""),2023.0)</f>
        <v>2023</v>
      </c>
      <c r="I2177" s="14" t="str">
        <f>IFERROR(__xludf.DUMMYFUNCTION("""COMPUTED_VALUE"""),"Online Payment")</f>
        <v>Online Payment</v>
      </c>
      <c r="J2177" s="14" t="str">
        <f>IFERROR(__xludf.DUMMYFUNCTION("""COMPUTED_VALUE"""),"Delivered*Customer Service: Seamless and easy")</f>
        <v>Delivered*Customer Service: Seamless and easy</v>
      </c>
      <c r="K2177" s="14" t="str">
        <f>IFERROR(__xludf.DUMMYFUNCTION("split(E2177,""+"")"),"Cucumber")</f>
        <v>Cucumber</v>
      </c>
      <c r="L2177" s="14" t="str">
        <f>IFERROR(__xludf.DUMMYFUNCTION("""COMPUTED_VALUE"""),"1*Ram Gopal")</f>
        <v>1*Ram Gopal</v>
      </c>
      <c r="M2177" s="14">
        <f>IFERROR(__xludf.DUMMYFUNCTION("SPLIT(L2177,""*"")"),1.0)</f>
        <v>1</v>
      </c>
      <c r="N2177" s="14" t="str">
        <f>IFERROR(__xludf.DUMMYFUNCTION("""COMPUTED_VALUE"""),"Ram Gopal")</f>
        <v>Ram Gopal</v>
      </c>
      <c r="O2177" s="14" t="str">
        <f>IFERROR(__xludf.DUMMYFUNCTION("split(J2177,""*"")"),"Delivered")</f>
        <v>Delivered</v>
      </c>
      <c r="P2177" s="14" t="str">
        <f>IFERROR(__xludf.DUMMYFUNCTION("""COMPUTED_VALUE"""),"Customer Service: Seamless and easy")</f>
        <v>Customer Service: Seamless and easy</v>
      </c>
      <c r="Q2177" s="14" t="str">
        <f>IFERROR(__xludf.DUMMYFUNCTION("split(P2177,"":"")"),"Customer Service")</f>
        <v>Customer Service</v>
      </c>
      <c r="R2177" s="14" t="str">
        <f>IFERROR(__xludf.DUMMYFUNCTION("""COMPUTED_VALUE""")," Seamless and easy")</f>
        <v> Seamless and easy</v>
      </c>
      <c r="S2177" s="14" t="str">
        <f t="shared" ref="S2177:U2177" si="4357">trim(B2177)</f>
        <v>ord_82151</v>
      </c>
      <c r="T2177" s="14" t="str">
        <f t="shared" si="4357"/>
        <v>Mohit Malhotra</v>
      </c>
      <c r="U2177" s="14" t="str">
        <f t="shared" si="4357"/>
        <v>Lower Parel</v>
      </c>
      <c r="V2177" s="14" t="str">
        <f t="shared" si="4"/>
        <v>Cucumber</v>
      </c>
      <c r="W2177" s="14">
        <f t="shared" si="5"/>
        <v>1</v>
      </c>
      <c r="X2177" s="14" t="str">
        <f t="shared" si="6"/>
        <v>Ram Gopal</v>
      </c>
      <c r="Y2177" s="15">
        <f t="shared" si="7"/>
        <v>45212</v>
      </c>
      <c r="Z2177" s="14" t="str">
        <f t="shared" si="8"/>
        <v>Online Payment</v>
      </c>
      <c r="AA2177" s="14" t="str">
        <f t="shared" si="9"/>
        <v>Delivered</v>
      </c>
      <c r="AB2177" s="14" t="str">
        <f t="shared" ref="AB2177:AC2177" si="4358">trim(Q2177)</f>
        <v>Customer Service</v>
      </c>
      <c r="AC2177" s="14" t="str">
        <f t="shared" si="4358"/>
        <v>Seamless and easy</v>
      </c>
      <c r="AD2177" s="8"/>
    </row>
    <row r="2178">
      <c r="A2178" s="14" t="str">
        <f>IFERROR(__xludf.DUMMYFUNCTION("""COMPUTED_VALUE"""),"//ord_82152//Diya Arora//Lower Parel//Juice+4*Ram Gopal/10/12/2023//Online Payment//Delivered*Delivery Experience: Quick and professional")</f>
        <v>//ord_82152//Diya Arora//Lower Parel//Juice+4*Ram Gopal/10/12/2023//Online Payment//Delivered*Delivery Experience: Quick and professional</v>
      </c>
      <c r="B2178" s="14" t="str">
        <f>IFERROR(__xludf.DUMMYFUNCTION("split(A2178,""//"")"),"ord_82152")</f>
        <v>ord_82152</v>
      </c>
      <c r="C2178" s="14" t="str">
        <f>IFERROR(__xludf.DUMMYFUNCTION("""COMPUTED_VALUE"""),"Diya Arora")</f>
        <v>Diya Arora</v>
      </c>
      <c r="D2178" s="14" t="str">
        <f>IFERROR(__xludf.DUMMYFUNCTION("""COMPUTED_VALUE"""),"Lower Parel")</f>
        <v>Lower Parel</v>
      </c>
      <c r="E2178" s="14" t="str">
        <f>IFERROR(__xludf.DUMMYFUNCTION("""COMPUTED_VALUE"""),"Juice+4*Ram Gopal")</f>
        <v>Juice+4*Ram Gopal</v>
      </c>
      <c r="F2178" s="14">
        <f>IFERROR(__xludf.DUMMYFUNCTION("""COMPUTED_VALUE"""),10.0)</f>
        <v>10</v>
      </c>
      <c r="G2178" s="14">
        <f>IFERROR(__xludf.DUMMYFUNCTION("""COMPUTED_VALUE"""),12.0)</f>
        <v>12</v>
      </c>
      <c r="H2178" s="14">
        <f>IFERROR(__xludf.DUMMYFUNCTION("""COMPUTED_VALUE"""),2023.0)</f>
        <v>2023</v>
      </c>
      <c r="I2178" s="14" t="str">
        <f>IFERROR(__xludf.DUMMYFUNCTION("""COMPUTED_VALUE"""),"Online Payment")</f>
        <v>Online Payment</v>
      </c>
      <c r="J2178" s="14" t="str">
        <f>IFERROR(__xludf.DUMMYFUNCTION("""COMPUTED_VALUE"""),"Delivered*Delivery Experience: Quick and professional")</f>
        <v>Delivered*Delivery Experience: Quick and professional</v>
      </c>
      <c r="K2178" s="14" t="str">
        <f>IFERROR(__xludf.DUMMYFUNCTION("split(E2178,""+"")"),"Juice")</f>
        <v>Juice</v>
      </c>
      <c r="L2178" s="14" t="str">
        <f>IFERROR(__xludf.DUMMYFUNCTION("""COMPUTED_VALUE"""),"4*Ram Gopal")</f>
        <v>4*Ram Gopal</v>
      </c>
      <c r="M2178" s="14">
        <f>IFERROR(__xludf.DUMMYFUNCTION("SPLIT(L2178,""*"")"),4.0)</f>
        <v>4</v>
      </c>
      <c r="N2178" s="14" t="str">
        <f>IFERROR(__xludf.DUMMYFUNCTION("""COMPUTED_VALUE"""),"Ram Gopal")</f>
        <v>Ram Gopal</v>
      </c>
      <c r="O2178" s="14" t="str">
        <f>IFERROR(__xludf.DUMMYFUNCTION("split(J2178,""*"")"),"Delivered")</f>
        <v>Delivered</v>
      </c>
      <c r="P2178" s="14" t="str">
        <f>IFERROR(__xludf.DUMMYFUNCTION("""COMPUTED_VALUE"""),"Delivery Experience: Quick and professional")</f>
        <v>Delivery Experience: Quick and professional</v>
      </c>
      <c r="Q2178" s="14" t="str">
        <f>IFERROR(__xludf.DUMMYFUNCTION("split(P2178,"":"")"),"Delivery Experience")</f>
        <v>Delivery Experience</v>
      </c>
      <c r="R2178" s="14" t="str">
        <f>IFERROR(__xludf.DUMMYFUNCTION("""COMPUTED_VALUE""")," Quick and professional")</f>
        <v> Quick and professional</v>
      </c>
      <c r="S2178" s="14" t="str">
        <f t="shared" ref="S2178:U2178" si="4359">trim(B2178)</f>
        <v>ord_82152</v>
      </c>
      <c r="T2178" s="14" t="str">
        <f t="shared" si="4359"/>
        <v>Diya Arora</v>
      </c>
      <c r="U2178" s="14" t="str">
        <f t="shared" si="4359"/>
        <v>Lower Parel</v>
      </c>
      <c r="V2178" s="14" t="str">
        <f t="shared" si="4"/>
        <v>Juice</v>
      </c>
      <c r="W2178" s="14">
        <f t="shared" si="5"/>
        <v>4</v>
      </c>
      <c r="X2178" s="14" t="str">
        <f t="shared" si="6"/>
        <v>Ram Gopal</v>
      </c>
      <c r="Y2178" s="15">
        <f t="shared" si="7"/>
        <v>45211</v>
      </c>
      <c r="Z2178" s="14" t="str">
        <f t="shared" si="8"/>
        <v>Online Payment</v>
      </c>
      <c r="AA2178" s="14" t="str">
        <f t="shared" si="9"/>
        <v>Delivered</v>
      </c>
      <c r="AB2178" s="14" t="str">
        <f t="shared" ref="AB2178:AC2178" si="4360">trim(Q2178)</f>
        <v>Delivery Experience</v>
      </c>
      <c r="AC2178" s="14" t="str">
        <f t="shared" si="4360"/>
        <v>Quick and professional</v>
      </c>
      <c r="AD2178" s="8"/>
    </row>
    <row r="2179">
      <c r="A2179" s="14" t="str">
        <f>IFERROR(__xludf.DUMMYFUNCTION("""COMPUTED_VALUE"""),"//ord_82153//Arvind Kulkarni//Juhu//Popcorn+3*Tanvi Jain/2/4/2023//UPI//Cancelled*Delayed Delivery:Bad Weather Conditions ")</f>
        <v>//ord_82153//Arvind Kulkarni//Juhu//Popcorn+3*Tanvi Jain/2/4/2023//UPI//Cancelled*Delayed Delivery:Bad Weather Conditions </v>
      </c>
      <c r="B2179" s="14" t="str">
        <f>IFERROR(__xludf.DUMMYFUNCTION("split(A2179,""//"")"),"ord_82153")</f>
        <v>ord_82153</v>
      </c>
      <c r="C2179" s="14" t="str">
        <f>IFERROR(__xludf.DUMMYFUNCTION("""COMPUTED_VALUE"""),"Arvind Kulkarni")</f>
        <v>Arvind Kulkarni</v>
      </c>
      <c r="D2179" s="14" t="str">
        <f>IFERROR(__xludf.DUMMYFUNCTION("""COMPUTED_VALUE"""),"Juhu")</f>
        <v>Juhu</v>
      </c>
      <c r="E2179" s="14" t="str">
        <f>IFERROR(__xludf.DUMMYFUNCTION("""COMPUTED_VALUE"""),"Popcorn+3*Tanvi Jain")</f>
        <v>Popcorn+3*Tanvi Jain</v>
      </c>
      <c r="F2179" s="14">
        <f>IFERROR(__xludf.DUMMYFUNCTION("""COMPUTED_VALUE"""),2.0)</f>
        <v>2</v>
      </c>
      <c r="G2179" s="14">
        <f>IFERROR(__xludf.DUMMYFUNCTION("""COMPUTED_VALUE"""),4.0)</f>
        <v>4</v>
      </c>
      <c r="H2179" s="14">
        <f>IFERROR(__xludf.DUMMYFUNCTION("""COMPUTED_VALUE"""),2023.0)</f>
        <v>2023</v>
      </c>
      <c r="I2179" s="14" t="str">
        <f>IFERROR(__xludf.DUMMYFUNCTION("""COMPUTED_VALUE"""),"UPI")</f>
        <v>UPI</v>
      </c>
      <c r="J2179" s="14" t="str">
        <f>IFERROR(__xludf.DUMMYFUNCTION("""COMPUTED_VALUE"""),"Cancelled*Delayed Delivery:Bad Weather Conditions ")</f>
        <v>Cancelled*Delayed Delivery:Bad Weather Conditions </v>
      </c>
      <c r="K2179" s="14" t="str">
        <f>IFERROR(__xludf.DUMMYFUNCTION("split(E2179,""+"")"),"Popcorn")</f>
        <v>Popcorn</v>
      </c>
      <c r="L2179" s="14" t="str">
        <f>IFERROR(__xludf.DUMMYFUNCTION("""COMPUTED_VALUE"""),"3*Tanvi Jain")</f>
        <v>3*Tanvi Jain</v>
      </c>
      <c r="M2179" s="14">
        <f>IFERROR(__xludf.DUMMYFUNCTION("SPLIT(L2179,""*"")"),3.0)</f>
        <v>3</v>
      </c>
      <c r="N2179" s="14" t="str">
        <f>IFERROR(__xludf.DUMMYFUNCTION("""COMPUTED_VALUE"""),"Tanvi Jain")</f>
        <v>Tanvi Jain</v>
      </c>
      <c r="O2179" s="14" t="str">
        <f>IFERROR(__xludf.DUMMYFUNCTION("split(J2179,""*"")"),"Cancelled")</f>
        <v>Cancelled</v>
      </c>
      <c r="P2179" s="14" t="str">
        <f>IFERROR(__xludf.DUMMYFUNCTION("""COMPUTED_VALUE"""),"Delayed Delivery:Bad Weather Conditions ")</f>
        <v>Delayed Delivery:Bad Weather Conditions </v>
      </c>
      <c r="Q2179" s="14" t="str">
        <f>IFERROR(__xludf.DUMMYFUNCTION("split(P2179,"":"")"),"Delayed Delivery")</f>
        <v>Delayed Delivery</v>
      </c>
      <c r="R2179" s="14" t="str">
        <f>IFERROR(__xludf.DUMMYFUNCTION("""COMPUTED_VALUE"""),"Bad Weather Conditions ")</f>
        <v>Bad Weather Conditions </v>
      </c>
      <c r="S2179" s="14" t="str">
        <f t="shared" ref="S2179:U2179" si="4361">trim(B2179)</f>
        <v>ord_82153</v>
      </c>
      <c r="T2179" s="14" t="str">
        <f t="shared" si="4361"/>
        <v>Arvind Kulkarni</v>
      </c>
      <c r="U2179" s="14" t="str">
        <f t="shared" si="4361"/>
        <v>Juhu</v>
      </c>
      <c r="V2179" s="14" t="str">
        <f t="shared" si="4"/>
        <v>Popcorn</v>
      </c>
      <c r="W2179" s="14">
        <f t="shared" si="5"/>
        <v>3</v>
      </c>
      <c r="X2179" s="14" t="str">
        <f t="shared" si="6"/>
        <v>Tanvi Jain</v>
      </c>
      <c r="Y2179" s="15">
        <f t="shared" si="7"/>
        <v>44961</v>
      </c>
      <c r="Z2179" s="14" t="str">
        <f t="shared" si="8"/>
        <v>UPI</v>
      </c>
      <c r="AA2179" s="14" t="str">
        <f t="shared" si="9"/>
        <v>Cancelled</v>
      </c>
      <c r="AB2179" s="14" t="str">
        <f t="shared" ref="AB2179:AC2179" si="4362">trim(Q2179)</f>
        <v>Delayed Delivery</v>
      </c>
      <c r="AC2179" s="14" t="str">
        <f t="shared" si="4362"/>
        <v>Bad Weather Conditions</v>
      </c>
      <c r="AD2179" s="8"/>
    </row>
    <row r="2180">
      <c r="A2180" s="14" t="str">
        <f>IFERROR(__xludf.DUMMYFUNCTION("""COMPUTED_VALUE"""),"//ord_82154//Anaya Rao//Colaba//Papaya+1*Ramesh S/12/28/2023//UPI//Delivered*Convenience: Easy tracking")</f>
        <v>//ord_82154//Anaya Rao//Colaba//Papaya+1*Ramesh S/12/28/2023//UPI//Delivered*Convenience: Easy tracking</v>
      </c>
      <c r="B2180" s="14" t="str">
        <f>IFERROR(__xludf.DUMMYFUNCTION("split(A2180,""//"")"),"ord_82154")</f>
        <v>ord_82154</v>
      </c>
      <c r="C2180" s="14" t="str">
        <f>IFERROR(__xludf.DUMMYFUNCTION("""COMPUTED_VALUE"""),"Anaya Rao")</f>
        <v>Anaya Rao</v>
      </c>
      <c r="D2180" s="14" t="str">
        <f>IFERROR(__xludf.DUMMYFUNCTION("""COMPUTED_VALUE"""),"Colaba")</f>
        <v>Colaba</v>
      </c>
      <c r="E2180" s="14" t="str">
        <f>IFERROR(__xludf.DUMMYFUNCTION("""COMPUTED_VALUE"""),"Papaya+1*Ramesh S")</f>
        <v>Papaya+1*Ramesh S</v>
      </c>
      <c r="F2180" s="14">
        <f>IFERROR(__xludf.DUMMYFUNCTION("""COMPUTED_VALUE"""),12.0)</f>
        <v>12</v>
      </c>
      <c r="G2180" s="14">
        <f>IFERROR(__xludf.DUMMYFUNCTION("""COMPUTED_VALUE"""),28.0)</f>
        <v>28</v>
      </c>
      <c r="H2180" s="14">
        <f>IFERROR(__xludf.DUMMYFUNCTION("""COMPUTED_VALUE"""),2023.0)</f>
        <v>2023</v>
      </c>
      <c r="I2180" s="14" t="str">
        <f>IFERROR(__xludf.DUMMYFUNCTION("""COMPUTED_VALUE"""),"UPI")</f>
        <v>UPI</v>
      </c>
      <c r="J2180" s="14" t="str">
        <f>IFERROR(__xludf.DUMMYFUNCTION("""COMPUTED_VALUE"""),"Delivered*Convenience: Easy tracking")</f>
        <v>Delivered*Convenience: Easy tracking</v>
      </c>
      <c r="K2180" s="14" t="str">
        <f>IFERROR(__xludf.DUMMYFUNCTION("split(E2180,""+"")"),"Papaya")</f>
        <v>Papaya</v>
      </c>
      <c r="L2180" s="14" t="str">
        <f>IFERROR(__xludf.DUMMYFUNCTION("""COMPUTED_VALUE"""),"1*Ramesh S")</f>
        <v>1*Ramesh S</v>
      </c>
      <c r="M2180" s="14">
        <f>IFERROR(__xludf.DUMMYFUNCTION("SPLIT(L2180,""*"")"),1.0)</f>
        <v>1</v>
      </c>
      <c r="N2180" s="14" t="str">
        <f>IFERROR(__xludf.DUMMYFUNCTION("""COMPUTED_VALUE"""),"Ramesh S")</f>
        <v>Ramesh S</v>
      </c>
      <c r="O2180" s="14" t="str">
        <f>IFERROR(__xludf.DUMMYFUNCTION("split(J2180,""*"")"),"Delivered")</f>
        <v>Delivered</v>
      </c>
      <c r="P2180" s="14" t="str">
        <f>IFERROR(__xludf.DUMMYFUNCTION("""COMPUTED_VALUE"""),"Convenience: Easy tracking")</f>
        <v>Convenience: Easy tracking</v>
      </c>
      <c r="Q2180" s="14" t="str">
        <f>IFERROR(__xludf.DUMMYFUNCTION("split(P2180,"":"")"),"Convenience")</f>
        <v>Convenience</v>
      </c>
      <c r="R2180" s="14" t="str">
        <f>IFERROR(__xludf.DUMMYFUNCTION("""COMPUTED_VALUE""")," Easy tracking")</f>
        <v> Easy tracking</v>
      </c>
      <c r="S2180" s="14" t="str">
        <f t="shared" ref="S2180:U2180" si="4363">trim(B2180)</f>
        <v>ord_82154</v>
      </c>
      <c r="T2180" s="14" t="str">
        <f t="shared" si="4363"/>
        <v>Anaya Rao</v>
      </c>
      <c r="U2180" s="14" t="str">
        <f t="shared" si="4363"/>
        <v>Colaba</v>
      </c>
      <c r="V2180" s="14" t="str">
        <f t="shared" si="4"/>
        <v>Papaya</v>
      </c>
      <c r="W2180" s="14">
        <f t="shared" si="5"/>
        <v>1</v>
      </c>
      <c r="X2180" s="14" t="str">
        <f t="shared" si="6"/>
        <v>Ramesh S</v>
      </c>
      <c r="Y2180" s="15">
        <f t="shared" si="7"/>
        <v>45288</v>
      </c>
      <c r="Z2180" s="14" t="str">
        <f t="shared" si="8"/>
        <v>UPI</v>
      </c>
      <c r="AA2180" s="14" t="str">
        <f t="shared" si="9"/>
        <v>Delivered</v>
      </c>
      <c r="AB2180" s="14" t="str">
        <f t="shared" ref="AB2180:AC2180" si="4364">trim(Q2180)</f>
        <v>Convenience</v>
      </c>
      <c r="AC2180" s="14" t="str">
        <f t="shared" si="4364"/>
        <v>Easy tracking</v>
      </c>
      <c r="AD2180" s="8"/>
    </row>
    <row r="2181">
      <c r="A2181" s="14" t="str">
        <f>IFERROR(__xludf.DUMMYFUNCTION("""COMPUTED_VALUE"""),"//ord_82155//Mohit Malhotra//Lower Parel//Apple+1*Nithin Lal/12/23/2023//UPI//Delivered*Overall Satisfaction: Great service will order again")</f>
        <v>//ord_82155//Mohit Malhotra//Lower Parel//Apple+1*Nithin Lal/12/23/2023//UPI//Delivered*Overall Satisfaction: Great service will order again</v>
      </c>
      <c r="B2181" s="14" t="str">
        <f>IFERROR(__xludf.DUMMYFUNCTION("split(A2181,""//"")"),"ord_82155")</f>
        <v>ord_82155</v>
      </c>
      <c r="C2181" s="14" t="str">
        <f>IFERROR(__xludf.DUMMYFUNCTION("""COMPUTED_VALUE"""),"Mohit Malhotra")</f>
        <v>Mohit Malhotra</v>
      </c>
      <c r="D2181" s="14" t="str">
        <f>IFERROR(__xludf.DUMMYFUNCTION("""COMPUTED_VALUE"""),"Lower Parel")</f>
        <v>Lower Parel</v>
      </c>
      <c r="E2181" s="14" t="str">
        <f>IFERROR(__xludf.DUMMYFUNCTION("""COMPUTED_VALUE"""),"Apple+1*Nithin Lal")</f>
        <v>Apple+1*Nithin Lal</v>
      </c>
      <c r="F2181" s="14">
        <f>IFERROR(__xludf.DUMMYFUNCTION("""COMPUTED_VALUE"""),12.0)</f>
        <v>12</v>
      </c>
      <c r="G2181" s="14">
        <f>IFERROR(__xludf.DUMMYFUNCTION("""COMPUTED_VALUE"""),23.0)</f>
        <v>23</v>
      </c>
      <c r="H2181" s="14">
        <f>IFERROR(__xludf.DUMMYFUNCTION("""COMPUTED_VALUE"""),2023.0)</f>
        <v>2023</v>
      </c>
      <c r="I2181" s="14" t="str">
        <f>IFERROR(__xludf.DUMMYFUNCTION("""COMPUTED_VALUE"""),"UPI")</f>
        <v>UPI</v>
      </c>
      <c r="J2181" s="14" t="str">
        <f>IFERROR(__xludf.DUMMYFUNCTION("""COMPUTED_VALUE"""),"Delivered*Overall Satisfaction: Great service will order again")</f>
        <v>Delivered*Overall Satisfaction: Great service will order again</v>
      </c>
      <c r="K2181" s="14" t="str">
        <f>IFERROR(__xludf.DUMMYFUNCTION("split(E2181,""+"")"),"Apple")</f>
        <v>Apple</v>
      </c>
      <c r="L2181" s="14" t="str">
        <f>IFERROR(__xludf.DUMMYFUNCTION("""COMPUTED_VALUE"""),"1*Nithin Lal")</f>
        <v>1*Nithin Lal</v>
      </c>
      <c r="M2181" s="14">
        <f>IFERROR(__xludf.DUMMYFUNCTION("SPLIT(L2181,""*"")"),1.0)</f>
        <v>1</v>
      </c>
      <c r="N2181" s="14" t="str">
        <f>IFERROR(__xludf.DUMMYFUNCTION("""COMPUTED_VALUE"""),"Nithin Lal")</f>
        <v>Nithin Lal</v>
      </c>
      <c r="O2181" s="14" t="str">
        <f>IFERROR(__xludf.DUMMYFUNCTION("split(J2181,""*"")"),"Delivered")</f>
        <v>Delivered</v>
      </c>
      <c r="P2181" s="14" t="str">
        <f>IFERROR(__xludf.DUMMYFUNCTION("""COMPUTED_VALUE"""),"Overall Satisfaction: Great service will order again")</f>
        <v>Overall Satisfaction: Great service will order again</v>
      </c>
      <c r="Q2181" s="14" t="str">
        <f>IFERROR(__xludf.DUMMYFUNCTION("split(P2181,"":"")"),"Overall Satisfaction")</f>
        <v>Overall Satisfaction</v>
      </c>
      <c r="R2181" s="14" t="str">
        <f>IFERROR(__xludf.DUMMYFUNCTION("""COMPUTED_VALUE""")," Great service will order again")</f>
        <v> Great service will order again</v>
      </c>
      <c r="S2181" s="14" t="str">
        <f t="shared" ref="S2181:U2181" si="4365">trim(B2181)</f>
        <v>ord_82155</v>
      </c>
      <c r="T2181" s="14" t="str">
        <f t="shared" si="4365"/>
        <v>Mohit Malhotra</v>
      </c>
      <c r="U2181" s="14" t="str">
        <f t="shared" si="4365"/>
        <v>Lower Parel</v>
      </c>
      <c r="V2181" s="14" t="str">
        <f t="shared" si="4"/>
        <v>Apple</v>
      </c>
      <c r="W2181" s="14">
        <f t="shared" si="5"/>
        <v>1</v>
      </c>
      <c r="X2181" s="14" t="str">
        <f t="shared" si="6"/>
        <v>Nithin Lal</v>
      </c>
      <c r="Y2181" s="15">
        <f t="shared" si="7"/>
        <v>45283</v>
      </c>
      <c r="Z2181" s="14" t="str">
        <f t="shared" si="8"/>
        <v>UPI</v>
      </c>
      <c r="AA2181" s="14" t="str">
        <f t="shared" si="9"/>
        <v>Delivered</v>
      </c>
      <c r="AB2181" s="14" t="str">
        <f t="shared" ref="AB2181:AC2181" si="4366">trim(Q2181)</f>
        <v>Overall Satisfaction</v>
      </c>
      <c r="AC2181" s="14" t="str">
        <f t="shared" si="4366"/>
        <v>Great service will order again</v>
      </c>
      <c r="AD2181" s="8"/>
    </row>
    <row r="2182">
      <c r="A2182" s="14" t="str">
        <f>IFERROR(__xludf.DUMMYFUNCTION("""COMPUTED_VALUE"""),"//ord_82156//Kritika Shetty//Malad//Onion+2*Ram Gopal/5/26/2023//UPI//Cancelled*Delayed Delivery:Heavy Traffic")</f>
        <v>//ord_82156//Kritika Shetty//Malad//Onion+2*Ram Gopal/5/26/2023//UPI//Cancelled*Delayed Delivery:Heavy Traffic</v>
      </c>
      <c r="B2182" s="14" t="str">
        <f>IFERROR(__xludf.DUMMYFUNCTION("split(A2182,""//"")"),"ord_82156")</f>
        <v>ord_82156</v>
      </c>
      <c r="C2182" s="14" t="str">
        <f>IFERROR(__xludf.DUMMYFUNCTION("""COMPUTED_VALUE"""),"Kritika Shetty")</f>
        <v>Kritika Shetty</v>
      </c>
      <c r="D2182" s="14" t="str">
        <f>IFERROR(__xludf.DUMMYFUNCTION("""COMPUTED_VALUE"""),"Malad")</f>
        <v>Malad</v>
      </c>
      <c r="E2182" s="14" t="str">
        <f>IFERROR(__xludf.DUMMYFUNCTION("""COMPUTED_VALUE"""),"Onion+2*Ram Gopal")</f>
        <v>Onion+2*Ram Gopal</v>
      </c>
      <c r="F2182" s="14">
        <f>IFERROR(__xludf.DUMMYFUNCTION("""COMPUTED_VALUE"""),5.0)</f>
        <v>5</v>
      </c>
      <c r="G2182" s="14">
        <f>IFERROR(__xludf.DUMMYFUNCTION("""COMPUTED_VALUE"""),26.0)</f>
        <v>26</v>
      </c>
      <c r="H2182" s="14">
        <f>IFERROR(__xludf.DUMMYFUNCTION("""COMPUTED_VALUE"""),2023.0)</f>
        <v>2023</v>
      </c>
      <c r="I2182" s="14" t="str">
        <f>IFERROR(__xludf.DUMMYFUNCTION("""COMPUTED_VALUE"""),"UPI")</f>
        <v>UPI</v>
      </c>
      <c r="J2182" s="14" t="str">
        <f>IFERROR(__xludf.DUMMYFUNCTION("""COMPUTED_VALUE"""),"Cancelled*Delayed Delivery:Heavy Traffic")</f>
        <v>Cancelled*Delayed Delivery:Heavy Traffic</v>
      </c>
      <c r="K2182" s="14" t="str">
        <f>IFERROR(__xludf.DUMMYFUNCTION("split(E2182,""+"")"),"Onion")</f>
        <v>Onion</v>
      </c>
      <c r="L2182" s="14" t="str">
        <f>IFERROR(__xludf.DUMMYFUNCTION("""COMPUTED_VALUE"""),"2*Ram Gopal")</f>
        <v>2*Ram Gopal</v>
      </c>
      <c r="M2182" s="14">
        <f>IFERROR(__xludf.DUMMYFUNCTION("SPLIT(L2182,""*"")"),2.0)</f>
        <v>2</v>
      </c>
      <c r="N2182" s="14" t="str">
        <f>IFERROR(__xludf.DUMMYFUNCTION("""COMPUTED_VALUE"""),"Ram Gopal")</f>
        <v>Ram Gopal</v>
      </c>
      <c r="O2182" s="14" t="str">
        <f>IFERROR(__xludf.DUMMYFUNCTION("split(J2182,""*"")"),"Cancelled")</f>
        <v>Cancelled</v>
      </c>
      <c r="P2182" s="14" t="str">
        <f>IFERROR(__xludf.DUMMYFUNCTION("""COMPUTED_VALUE"""),"Delayed Delivery:Heavy Traffic")</f>
        <v>Delayed Delivery:Heavy Traffic</v>
      </c>
      <c r="Q2182" s="14" t="str">
        <f>IFERROR(__xludf.DUMMYFUNCTION("split(P2182,"":"")"),"Delayed Delivery")</f>
        <v>Delayed Delivery</v>
      </c>
      <c r="R2182" s="14" t="str">
        <f>IFERROR(__xludf.DUMMYFUNCTION("""COMPUTED_VALUE"""),"Heavy Traffic")</f>
        <v>Heavy Traffic</v>
      </c>
      <c r="S2182" s="14" t="str">
        <f t="shared" ref="S2182:U2182" si="4367">trim(B2182)</f>
        <v>ord_82156</v>
      </c>
      <c r="T2182" s="14" t="str">
        <f t="shared" si="4367"/>
        <v>Kritika Shetty</v>
      </c>
      <c r="U2182" s="14" t="str">
        <f t="shared" si="4367"/>
        <v>Malad</v>
      </c>
      <c r="V2182" s="14" t="str">
        <f t="shared" si="4"/>
        <v>Onion</v>
      </c>
      <c r="W2182" s="14">
        <f t="shared" si="5"/>
        <v>2</v>
      </c>
      <c r="X2182" s="14" t="str">
        <f t="shared" si="6"/>
        <v>Ram Gopal</v>
      </c>
      <c r="Y2182" s="15">
        <f t="shared" si="7"/>
        <v>45072</v>
      </c>
      <c r="Z2182" s="14" t="str">
        <f t="shared" si="8"/>
        <v>UPI</v>
      </c>
      <c r="AA2182" s="14" t="str">
        <f t="shared" si="9"/>
        <v>Cancelled</v>
      </c>
      <c r="AB2182" s="14" t="str">
        <f t="shared" ref="AB2182:AC2182" si="4368">trim(Q2182)</f>
        <v>Delayed Delivery</v>
      </c>
      <c r="AC2182" s="14" t="str">
        <f t="shared" si="4368"/>
        <v>Heavy Traffic</v>
      </c>
      <c r="AD2182" s="8"/>
    </row>
    <row r="2183">
      <c r="A2183" s="14" t="str">
        <f>IFERROR(__xludf.DUMMYFUNCTION("""COMPUTED_VALUE"""),"//ord_82157//Pranav Joshi//Andheri//Popcorn+3*Shine Thomas/3/1/2023//UPI//Delivered*On-time Delivery: Delivered on time")</f>
        <v>//ord_82157//Pranav Joshi//Andheri//Popcorn+3*Shine Thomas/3/1/2023//UPI//Delivered*On-time Delivery: Delivered on time</v>
      </c>
      <c r="B2183" s="14" t="str">
        <f>IFERROR(__xludf.DUMMYFUNCTION("split(A2183,""//"")"),"ord_82157")</f>
        <v>ord_82157</v>
      </c>
      <c r="C2183" s="14" t="str">
        <f>IFERROR(__xludf.DUMMYFUNCTION("""COMPUTED_VALUE"""),"Pranav Joshi")</f>
        <v>Pranav Joshi</v>
      </c>
      <c r="D2183" s="14" t="str">
        <f>IFERROR(__xludf.DUMMYFUNCTION("""COMPUTED_VALUE"""),"Andheri")</f>
        <v>Andheri</v>
      </c>
      <c r="E2183" s="14" t="str">
        <f>IFERROR(__xludf.DUMMYFUNCTION("""COMPUTED_VALUE"""),"Popcorn+3*Shine Thomas")</f>
        <v>Popcorn+3*Shine Thomas</v>
      </c>
      <c r="F2183" s="14">
        <f>IFERROR(__xludf.DUMMYFUNCTION("""COMPUTED_VALUE"""),3.0)</f>
        <v>3</v>
      </c>
      <c r="G2183" s="14">
        <f>IFERROR(__xludf.DUMMYFUNCTION("""COMPUTED_VALUE"""),1.0)</f>
        <v>1</v>
      </c>
      <c r="H2183" s="14">
        <f>IFERROR(__xludf.DUMMYFUNCTION("""COMPUTED_VALUE"""),2023.0)</f>
        <v>2023</v>
      </c>
      <c r="I2183" s="14" t="str">
        <f>IFERROR(__xludf.DUMMYFUNCTION("""COMPUTED_VALUE"""),"UPI")</f>
        <v>UPI</v>
      </c>
      <c r="J2183" s="14" t="str">
        <f>IFERROR(__xludf.DUMMYFUNCTION("""COMPUTED_VALUE"""),"Delivered*On-time Delivery: Delivered on time")</f>
        <v>Delivered*On-time Delivery: Delivered on time</v>
      </c>
      <c r="K2183" s="14" t="str">
        <f>IFERROR(__xludf.DUMMYFUNCTION("split(E2183,""+"")"),"Popcorn")</f>
        <v>Popcorn</v>
      </c>
      <c r="L2183" s="14" t="str">
        <f>IFERROR(__xludf.DUMMYFUNCTION("""COMPUTED_VALUE"""),"3*Shine Thomas")</f>
        <v>3*Shine Thomas</v>
      </c>
      <c r="M2183" s="14">
        <f>IFERROR(__xludf.DUMMYFUNCTION("SPLIT(L2183,""*"")"),3.0)</f>
        <v>3</v>
      </c>
      <c r="N2183" s="14" t="str">
        <f>IFERROR(__xludf.DUMMYFUNCTION("""COMPUTED_VALUE"""),"Shine Thomas")</f>
        <v>Shine Thomas</v>
      </c>
      <c r="O2183" s="14" t="str">
        <f>IFERROR(__xludf.DUMMYFUNCTION("split(J2183,""*"")"),"Delivered")</f>
        <v>Delivered</v>
      </c>
      <c r="P2183" s="14" t="str">
        <f>IFERROR(__xludf.DUMMYFUNCTION("""COMPUTED_VALUE"""),"On-time Delivery: Delivered on time")</f>
        <v>On-time Delivery: Delivered on time</v>
      </c>
      <c r="Q2183" s="14" t="str">
        <f>IFERROR(__xludf.DUMMYFUNCTION("split(P2183,"":"")"),"On-time Delivery")</f>
        <v>On-time Delivery</v>
      </c>
      <c r="R2183" s="14" t="str">
        <f>IFERROR(__xludf.DUMMYFUNCTION("""COMPUTED_VALUE""")," Delivered on time")</f>
        <v> Delivered on time</v>
      </c>
      <c r="S2183" s="14" t="str">
        <f t="shared" ref="S2183:U2183" si="4369">trim(B2183)</f>
        <v>ord_82157</v>
      </c>
      <c r="T2183" s="14" t="str">
        <f t="shared" si="4369"/>
        <v>Pranav Joshi</v>
      </c>
      <c r="U2183" s="14" t="str">
        <f t="shared" si="4369"/>
        <v>Andheri</v>
      </c>
      <c r="V2183" s="14" t="str">
        <f t="shared" si="4"/>
        <v>Popcorn</v>
      </c>
      <c r="W2183" s="14">
        <f t="shared" si="5"/>
        <v>3</v>
      </c>
      <c r="X2183" s="14" t="str">
        <f t="shared" si="6"/>
        <v>Shine Thomas</v>
      </c>
      <c r="Y2183" s="15">
        <f t="shared" si="7"/>
        <v>44986</v>
      </c>
      <c r="Z2183" s="14" t="str">
        <f t="shared" si="8"/>
        <v>UPI</v>
      </c>
      <c r="AA2183" s="14" t="str">
        <f t="shared" si="9"/>
        <v>Delivered</v>
      </c>
      <c r="AB2183" s="14" t="str">
        <f t="shared" ref="AB2183:AC2183" si="4370">trim(Q2183)</f>
        <v>On-time Delivery</v>
      </c>
      <c r="AC2183" s="14" t="str">
        <f t="shared" si="4370"/>
        <v>Delivered on time</v>
      </c>
      <c r="AD2183" s="8"/>
    </row>
    <row r="2184">
      <c r="A2184" s="14" t="str">
        <f>IFERROR(__xludf.DUMMYFUNCTION("""COMPUTED_VALUE"""),"//ord_82158//Arvind Kulkarni//Juhu//Cucumber+2*Sita T/6/28/2023//UPI//Delivered*Quality of Items: Perfect condition")</f>
        <v>//ord_82158//Arvind Kulkarni//Juhu//Cucumber+2*Sita T/6/28/2023//UPI//Delivered*Quality of Items: Perfect condition</v>
      </c>
      <c r="B2184" s="14" t="str">
        <f>IFERROR(__xludf.DUMMYFUNCTION("split(A2184,""//"")"),"ord_82158")</f>
        <v>ord_82158</v>
      </c>
      <c r="C2184" s="14" t="str">
        <f>IFERROR(__xludf.DUMMYFUNCTION("""COMPUTED_VALUE"""),"Arvind Kulkarni")</f>
        <v>Arvind Kulkarni</v>
      </c>
      <c r="D2184" s="14" t="str">
        <f>IFERROR(__xludf.DUMMYFUNCTION("""COMPUTED_VALUE"""),"Juhu")</f>
        <v>Juhu</v>
      </c>
      <c r="E2184" s="14" t="str">
        <f>IFERROR(__xludf.DUMMYFUNCTION("""COMPUTED_VALUE"""),"Cucumber+2*Sita T")</f>
        <v>Cucumber+2*Sita T</v>
      </c>
      <c r="F2184" s="14">
        <f>IFERROR(__xludf.DUMMYFUNCTION("""COMPUTED_VALUE"""),6.0)</f>
        <v>6</v>
      </c>
      <c r="G2184" s="14">
        <f>IFERROR(__xludf.DUMMYFUNCTION("""COMPUTED_VALUE"""),28.0)</f>
        <v>28</v>
      </c>
      <c r="H2184" s="14">
        <f>IFERROR(__xludf.DUMMYFUNCTION("""COMPUTED_VALUE"""),2023.0)</f>
        <v>2023</v>
      </c>
      <c r="I2184" s="14" t="str">
        <f>IFERROR(__xludf.DUMMYFUNCTION("""COMPUTED_VALUE"""),"UPI")</f>
        <v>UPI</v>
      </c>
      <c r="J2184" s="14" t="str">
        <f>IFERROR(__xludf.DUMMYFUNCTION("""COMPUTED_VALUE"""),"Delivered*Quality of Items: Perfect condition")</f>
        <v>Delivered*Quality of Items: Perfect condition</v>
      </c>
      <c r="K2184" s="14" t="str">
        <f>IFERROR(__xludf.DUMMYFUNCTION("split(E2184,""+"")"),"Cucumber")</f>
        <v>Cucumber</v>
      </c>
      <c r="L2184" s="14" t="str">
        <f>IFERROR(__xludf.DUMMYFUNCTION("""COMPUTED_VALUE"""),"2*Sita T")</f>
        <v>2*Sita T</v>
      </c>
      <c r="M2184" s="14">
        <f>IFERROR(__xludf.DUMMYFUNCTION("SPLIT(L2184,""*"")"),2.0)</f>
        <v>2</v>
      </c>
      <c r="N2184" s="14" t="str">
        <f>IFERROR(__xludf.DUMMYFUNCTION("""COMPUTED_VALUE"""),"Sita T")</f>
        <v>Sita T</v>
      </c>
      <c r="O2184" s="14" t="str">
        <f>IFERROR(__xludf.DUMMYFUNCTION("split(J2184,""*"")"),"Delivered")</f>
        <v>Delivered</v>
      </c>
      <c r="P2184" s="14" t="str">
        <f>IFERROR(__xludf.DUMMYFUNCTION("""COMPUTED_VALUE"""),"Quality of Items: Perfect condition")</f>
        <v>Quality of Items: Perfect condition</v>
      </c>
      <c r="Q2184" s="14" t="str">
        <f>IFERROR(__xludf.DUMMYFUNCTION("split(P2184,"":"")"),"Quality of Items")</f>
        <v>Quality of Items</v>
      </c>
      <c r="R2184" s="14" t="str">
        <f>IFERROR(__xludf.DUMMYFUNCTION("""COMPUTED_VALUE""")," Perfect condition")</f>
        <v> Perfect condition</v>
      </c>
      <c r="S2184" s="14" t="str">
        <f t="shared" ref="S2184:U2184" si="4371">trim(B2184)</f>
        <v>ord_82158</v>
      </c>
      <c r="T2184" s="14" t="str">
        <f t="shared" si="4371"/>
        <v>Arvind Kulkarni</v>
      </c>
      <c r="U2184" s="14" t="str">
        <f t="shared" si="4371"/>
        <v>Juhu</v>
      </c>
      <c r="V2184" s="14" t="str">
        <f t="shared" si="4"/>
        <v>Cucumber</v>
      </c>
      <c r="W2184" s="14">
        <f t="shared" si="5"/>
        <v>2</v>
      </c>
      <c r="X2184" s="14" t="str">
        <f t="shared" si="6"/>
        <v>Sita T</v>
      </c>
      <c r="Y2184" s="15">
        <f t="shared" si="7"/>
        <v>45105</v>
      </c>
      <c r="Z2184" s="14" t="str">
        <f t="shared" si="8"/>
        <v>UPI</v>
      </c>
      <c r="AA2184" s="14" t="str">
        <f t="shared" si="9"/>
        <v>Delivered</v>
      </c>
      <c r="AB2184" s="14" t="str">
        <f t="shared" ref="AB2184:AC2184" si="4372">trim(Q2184)</f>
        <v>Quality of Items</v>
      </c>
      <c r="AC2184" s="14" t="str">
        <f t="shared" si="4372"/>
        <v>Perfect condition</v>
      </c>
      <c r="AD2184" s="8"/>
    </row>
    <row r="2185">
      <c r="A2185" s="14" t="str">
        <f>IFERROR(__xludf.DUMMYFUNCTION("""COMPUTED_VALUE"""),"//ord_82159//Mehul Thakkar//Malad//Orange+1*Tanvi Jain/4/4/2023//UPI//Cancelled*Delayed Delivery:High Order Volume")</f>
        <v>//ord_82159//Mehul Thakkar//Malad//Orange+1*Tanvi Jain/4/4/2023//UPI//Cancelled*Delayed Delivery:High Order Volume</v>
      </c>
      <c r="B2185" s="14" t="str">
        <f>IFERROR(__xludf.DUMMYFUNCTION("split(A2185,""//"")"),"ord_82159")</f>
        <v>ord_82159</v>
      </c>
      <c r="C2185" s="14" t="str">
        <f>IFERROR(__xludf.DUMMYFUNCTION("""COMPUTED_VALUE"""),"Mehul Thakkar")</f>
        <v>Mehul Thakkar</v>
      </c>
      <c r="D2185" s="14" t="str">
        <f>IFERROR(__xludf.DUMMYFUNCTION("""COMPUTED_VALUE"""),"Malad")</f>
        <v>Malad</v>
      </c>
      <c r="E2185" s="14" t="str">
        <f>IFERROR(__xludf.DUMMYFUNCTION("""COMPUTED_VALUE"""),"Orange+1*Tanvi Jain")</f>
        <v>Orange+1*Tanvi Jain</v>
      </c>
      <c r="F2185" s="14">
        <f>IFERROR(__xludf.DUMMYFUNCTION("""COMPUTED_VALUE"""),4.0)</f>
        <v>4</v>
      </c>
      <c r="G2185" s="14">
        <f>IFERROR(__xludf.DUMMYFUNCTION("""COMPUTED_VALUE"""),4.0)</f>
        <v>4</v>
      </c>
      <c r="H2185" s="14">
        <f>IFERROR(__xludf.DUMMYFUNCTION("""COMPUTED_VALUE"""),2023.0)</f>
        <v>2023</v>
      </c>
      <c r="I2185" s="14" t="str">
        <f>IFERROR(__xludf.DUMMYFUNCTION("""COMPUTED_VALUE"""),"UPI")</f>
        <v>UPI</v>
      </c>
      <c r="J2185" s="14" t="str">
        <f>IFERROR(__xludf.DUMMYFUNCTION("""COMPUTED_VALUE"""),"Cancelled*Delayed Delivery:High Order Volume")</f>
        <v>Cancelled*Delayed Delivery:High Order Volume</v>
      </c>
      <c r="K2185" s="14" t="str">
        <f>IFERROR(__xludf.DUMMYFUNCTION("split(E2185,""+"")"),"Orange")</f>
        <v>Orange</v>
      </c>
      <c r="L2185" s="14" t="str">
        <f>IFERROR(__xludf.DUMMYFUNCTION("""COMPUTED_VALUE"""),"1*Tanvi Jain")</f>
        <v>1*Tanvi Jain</v>
      </c>
      <c r="M2185" s="14">
        <f>IFERROR(__xludf.DUMMYFUNCTION("SPLIT(L2185,""*"")"),1.0)</f>
        <v>1</v>
      </c>
      <c r="N2185" s="14" t="str">
        <f>IFERROR(__xludf.DUMMYFUNCTION("""COMPUTED_VALUE"""),"Tanvi Jain")</f>
        <v>Tanvi Jain</v>
      </c>
      <c r="O2185" s="14" t="str">
        <f>IFERROR(__xludf.DUMMYFUNCTION("split(J2185,""*"")"),"Cancelled")</f>
        <v>Cancelled</v>
      </c>
      <c r="P2185" s="14" t="str">
        <f>IFERROR(__xludf.DUMMYFUNCTION("""COMPUTED_VALUE"""),"Delayed Delivery:High Order Volume")</f>
        <v>Delayed Delivery:High Order Volume</v>
      </c>
      <c r="Q2185" s="14" t="str">
        <f>IFERROR(__xludf.DUMMYFUNCTION("split(P2185,"":"")"),"Delayed Delivery")</f>
        <v>Delayed Delivery</v>
      </c>
      <c r="R2185" s="14" t="str">
        <f>IFERROR(__xludf.DUMMYFUNCTION("""COMPUTED_VALUE"""),"High Order Volume")</f>
        <v>High Order Volume</v>
      </c>
      <c r="S2185" s="14" t="str">
        <f t="shared" ref="S2185:U2185" si="4373">trim(B2185)</f>
        <v>ord_82159</v>
      </c>
      <c r="T2185" s="14" t="str">
        <f t="shared" si="4373"/>
        <v>Mehul Thakkar</v>
      </c>
      <c r="U2185" s="14" t="str">
        <f t="shared" si="4373"/>
        <v>Malad</v>
      </c>
      <c r="V2185" s="14" t="str">
        <f t="shared" si="4"/>
        <v>Orange</v>
      </c>
      <c r="W2185" s="14">
        <f t="shared" si="5"/>
        <v>1</v>
      </c>
      <c r="X2185" s="14" t="str">
        <f t="shared" si="6"/>
        <v>Tanvi Jain</v>
      </c>
      <c r="Y2185" s="15">
        <f t="shared" si="7"/>
        <v>45020</v>
      </c>
      <c r="Z2185" s="14" t="str">
        <f t="shared" si="8"/>
        <v>UPI</v>
      </c>
      <c r="AA2185" s="14" t="str">
        <f t="shared" si="9"/>
        <v>Cancelled</v>
      </c>
      <c r="AB2185" s="14" t="str">
        <f t="shared" ref="AB2185:AC2185" si="4374">trim(Q2185)</f>
        <v>Delayed Delivery</v>
      </c>
      <c r="AC2185" s="14" t="str">
        <f t="shared" si="4374"/>
        <v>High Order Volume</v>
      </c>
      <c r="AD2185" s="8"/>
    </row>
    <row r="2186">
      <c r="A2186" s="14" t="str">
        <f>IFERROR(__xludf.DUMMYFUNCTION("""COMPUTED_VALUE"""),"//ord_82160//Pallavi Ghosh//Bandra//Rasmalai+4*Shine Thomas/7/11/2023//UPI//Delivered*On-time Delivery: Delivered on time")</f>
        <v>//ord_82160//Pallavi Ghosh//Bandra//Rasmalai+4*Shine Thomas/7/11/2023//UPI//Delivered*On-time Delivery: Delivered on time</v>
      </c>
      <c r="B2186" s="14" t="str">
        <f>IFERROR(__xludf.DUMMYFUNCTION("split(A2186,""//"")"),"ord_82160")</f>
        <v>ord_82160</v>
      </c>
      <c r="C2186" s="14" t="str">
        <f>IFERROR(__xludf.DUMMYFUNCTION("""COMPUTED_VALUE"""),"Pallavi Ghosh")</f>
        <v>Pallavi Ghosh</v>
      </c>
      <c r="D2186" s="14" t="str">
        <f>IFERROR(__xludf.DUMMYFUNCTION("""COMPUTED_VALUE"""),"Bandra")</f>
        <v>Bandra</v>
      </c>
      <c r="E2186" s="14" t="str">
        <f>IFERROR(__xludf.DUMMYFUNCTION("""COMPUTED_VALUE"""),"Rasmalai+4*Shine Thomas")</f>
        <v>Rasmalai+4*Shine Thomas</v>
      </c>
      <c r="F2186" s="14">
        <f>IFERROR(__xludf.DUMMYFUNCTION("""COMPUTED_VALUE"""),7.0)</f>
        <v>7</v>
      </c>
      <c r="G2186" s="14">
        <f>IFERROR(__xludf.DUMMYFUNCTION("""COMPUTED_VALUE"""),11.0)</f>
        <v>11</v>
      </c>
      <c r="H2186" s="14">
        <f>IFERROR(__xludf.DUMMYFUNCTION("""COMPUTED_VALUE"""),2023.0)</f>
        <v>2023</v>
      </c>
      <c r="I2186" s="14" t="str">
        <f>IFERROR(__xludf.DUMMYFUNCTION("""COMPUTED_VALUE"""),"UPI")</f>
        <v>UPI</v>
      </c>
      <c r="J2186" s="14" t="str">
        <f>IFERROR(__xludf.DUMMYFUNCTION("""COMPUTED_VALUE"""),"Delivered*On-time Delivery: Delivered on time")</f>
        <v>Delivered*On-time Delivery: Delivered on time</v>
      </c>
      <c r="K2186" s="14" t="str">
        <f>IFERROR(__xludf.DUMMYFUNCTION("split(E2186,""+"")"),"Rasmalai")</f>
        <v>Rasmalai</v>
      </c>
      <c r="L2186" s="14" t="str">
        <f>IFERROR(__xludf.DUMMYFUNCTION("""COMPUTED_VALUE"""),"4*Shine Thomas")</f>
        <v>4*Shine Thomas</v>
      </c>
      <c r="M2186" s="14">
        <f>IFERROR(__xludf.DUMMYFUNCTION("SPLIT(L2186,""*"")"),4.0)</f>
        <v>4</v>
      </c>
      <c r="N2186" s="14" t="str">
        <f>IFERROR(__xludf.DUMMYFUNCTION("""COMPUTED_VALUE"""),"Shine Thomas")</f>
        <v>Shine Thomas</v>
      </c>
      <c r="O2186" s="14" t="str">
        <f>IFERROR(__xludf.DUMMYFUNCTION("split(J2186,""*"")"),"Delivered")</f>
        <v>Delivered</v>
      </c>
      <c r="P2186" s="14" t="str">
        <f>IFERROR(__xludf.DUMMYFUNCTION("""COMPUTED_VALUE"""),"On-time Delivery: Delivered on time")</f>
        <v>On-time Delivery: Delivered on time</v>
      </c>
      <c r="Q2186" s="14" t="str">
        <f>IFERROR(__xludf.DUMMYFUNCTION("split(P2186,"":"")"),"On-time Delivery")</f>
        <v>On-time Delivery</v>
      </c>
      <c r="R2186" s="14" t="str">
        <f>IFERROR(__xludf.DUMMYFUNCTION("""COMPUTED_VALUE""")," Delivered on time")</f>
        <v> Delivered on time</v>
      </c>
      <c r="S2186" s="14" t="str">
        <f t="shared" ref="S2186:U2186" si="4375">trim(B2186)</f>
        <v>ord_82160</v>
      </c>
      <c r="T2186" s="14" t="str">
        <f t="shared" si="4375"/>
        <v>Pallavi Ghosh</v>
      </c>
      <c r="U2186" s="14" t="str">
        <f t="shared" si="4375"/>
        <v>Bandra</v>
      </c>
      <c r="V2186" s="14" t="str">
        <f t="shared" si="4"/>
        <v>Rasmalai</v>
      </c>
      <c r="W2186" s="14">
        <f t="shared" si="5"/>
        <v>4</v>
      </c>
      <c r="X2186" s="14" t="str">
        <f t="shared" si="6"/>
        <v>Shine Thomas</v>
      </c>
      <c r="Y2186" s="15">
        <f t="shared" si="7"/>
        <v>45118</v>
      </c>
      <c r="Z2186" s="14" t="str">
        <f t="shared" si="8"/>
        <v>UPI</v>
      </c>
      <c r="AA2186" s="14" t="str">
        <f t="shared" si="9"/>
        <v>Delivered</v>
      </c>
      <c r="AB2186" s="14" t="str">
        <f t="shared" ref="AB2186:AC2186" si="4376">trim(Q2186)</f>
        <v>On-time Delivery</v>
      </c>
      <c r="AC2186" s="14" t="str">
        <f t="shared" si="4376"/>
        <v>Delivered on time</v>
      </c>
      <c r="AD2186" s="8"/>
    </row>
    <row r="2187">
      <c r="A2187" s="14" t="str">
        <f>IFERROR(__xludf.DUMMYFUNCTION("""COMPUTED_VALUE"""),"//ord_82161//Sanjay Nair//Dadar//Veg Puff+4*Vivek Kumar/12/3/2023//Online Payment//Delivered*Quality of Items: Perfect condition")</f>
        <v>//ord_82161//Sanjay Nair//Dadar//Veg Puff+4*Vivek Kumar/12/3/2023//Online Payment//Delivered*Quality of Items: Perfect condition</v>
      </c>
      <c r="B2187" s="14" t="str">
        <f>IFERROR(__xludf.DUMMYFUNCTION("split(A2187,""//"")"),"ord_82161")</f>
        <v>ord_82161</v>
      </c>
      <c r="C2187" s="14" t="str">
        <f>IFERROR(__xludf.DUMMYFUNCTION("""COMPUTED_VALUE"""),"Sanjay Nair")</f>
        <v>Sanjay Nair</v>
      </c>
      <c r="D2187" s="14" t="str">
        <f>IFERROR(__xludf.DUMMYFUNCTION("""COMPUTED_VALUE"""),"Dadar")</f>
        <v>Dadar</v>
      </c>
      <c r="E2187" s="14" t="str">
        <f>IFERROR(__xludf.DUMMYFUNCTION("""COMPUTED_VALUE"""),"Veg Puff+4*Vivek Kumar")</f>
        <v>Veg Puff+4*Vivek Kumar</v>
      </c>
      <c r="F2187" s="14">
        <f>IFERROR(__xludf.DUMMYFUNCTION("""COMPUTED_VALUE"""),12.0)</f>
        <v>12</v>
      </c>
      <c r="G2187" s="14">
        <f>IFERROR(__xludf.DUMMYFUNCTION("""COMPUTED_VALUE"""),3.0)</f>
        <v>3</v>
      </c>
      <c r="H2187" s="14">
        <f>IFERROR(__xludf.DUMMYFUNCTION("""COMPUTED_VALUE"""),2023.0)</f>
        <v>2023</v>
      </c>
      <c r="I2187" s="14" t="str">
        <f>IFERROR(__xludf.DUMMYFUNCTION("""COMPUTED_VALUE"""),"Online Payment")</f>
        <v>Online Payment</v>
      </c>
      <c r="J2187" s="14" t="str">
        <f>IFERROR(__xludf.DUMMYFUNCTION("""COMPUTED_VALUE"""),"Delivered*Quality of Items: Perfect condition")</f>
        <v>Delivered*Quality of Items: Perfect condition</v>
      </c>
      <c r="K2187" s="14" t="str">
        <f>IFERROR(__xludf.DUMMYFUNCTION("split(E2187,""+"")"),"Veg Puff")</f>
        <v>Veg Puff</v>
      </c>
      <c r="L2187" s="14" t="str">
        <f>IFERROR(__xludf.DUMMYFUNCTION("""COMPUTED_VALUE"""),"4*Vivek Kumar")</f>
        <v>4*Vivek Kumar</v>
      </c>
      <c r="M2187" s="14">
        <f>IFERROR(__xludf.DUMMYFUNCTION("SPLIT(L2187,""*"")"),4.0)</f>
        <v>4</v>
      </c>
      <c r="N2187" s="14" t="str">
        <f>IFERROR(__xludf.DUMMYFUNCTION("""COMPUTED_VALUE"""),"Vivek Kumar")</f>
        <v>Vivek Kumar</v>
      </c>
      <c r="O2187" s="14" t="str">
        <f>IFERROR(__xludf.DUMMYFUNCTION("split(J2187,""*"")"),"Delivered")</f>
        <v>Delivered</v>
      </c>
      <c r="P2187" s="14" t="str">
        <f>IFERROR(__xludf.DUMMYFUNCTION("""COMPUTED_VALUE"""),"Quality of Items: Perfect condition")</f>
        <v>Quality of Items: Perfect condition</v>
      </c>
      <c r="Q2187" s="14" t="str">
        <f>IFERROR(__xludf.DUMMYFUNCTION("split(P2187,"":"")"),"Quality of Items")</f>
        <v>Quality of Items</v>
      </c>
      <c r="R2187" s="14" t="str">
        <f>IFERROR(__xludf.DUMMYFUNCTION("""COMPUTED_VALUE""")," Perfect condition")</f>
        <v> Perfect condition</v>
      </c>
      <c r="S2187" s="14" t="str">
        <f t="shared" ref="S2187:U2187" si="4377">trim(B2187)</f>
        <v>ord_82161</v>
      </c>
      <c r="T2187" s="14" t="str">
        <f t="shared" si="4377"/>
        <v>Sanjay Nair</v>
      </c>
      <c r="U2187" s="14" t="str">
        <f t="shared" si="4377"/>
        <v>Dadar</v>
      </c>
      <c r="V2187" s="14" t="str">
        <f t="shared" si="4"/>
        <v>Veg Puff</v>
      </c>
      <c r="W2187" s="14">
        <f t="shared" si="5"/>
        <v>4</v>
      </c>
      <c r="X2187" s="14" t="str">
        <f t="shared" si="6"/>
        <v>Vivek Kumar</v>
      </c>
      <c r="Y2187" s="15">
        <f t="shared" si="7"/>
        <v>45263</v>
      </c>
      <c r="Z2187" s="14" t="str">
        <f t="shared" si="8"/>
        <v>Online Payment</v>
      </c>
      <c r="AA2187" s="14" t="str">
        <f t="shared" si="9"/>
        <v>Delivered</v>
      </c>
      <c r="AB2187" s="14" t="str">
        <f t="shared" ref="AB2187:AC2187" si="4378">trim(Q2187)</f>
        <v>Quality of Items</v>
      </c>
      <c r="AC2187" s="14" t="str">
        <f t="shared" si="4378"/>
        <v>Perfect condition</v>
      </c>
      <c r="AD2187" s="8"/>
    </row>
    <row r="2188">
      <c r="A2188" s="14" t="str">
        <f>IFERROR(__xludf.DUMMYFUNCTION("""COMPUTED_VALUE"""),"//ord_82162//Dev Chauhan//Bandra//Onion+2*Manju Ajay/2/26/2023//UPI//Delivered*Packaging: Secure and intact")</f>
        <v>//ord_82162//Dev Chauhan//Bandra//Onion+2*Manju Ajay/2/26/2023//UPI//Delivered*Packaging: Secure and intact</v>
      </c>
      <c r="B2188" s="14" t="str">
        <f>IFERROR(__xludf.DUMMYFUNCTION("split(A2188,""//"")"),"ord_82162")</f>
        <v>ord_82162</v>
      </c>
      <c r="C2188" s="14" t="str">
        <f>IFERROR(__xludf.DUMMYFUNCTION("""COMPUTED_VALUE"""),"Dev Chauhan")</f>
        <v>Dev Chauhan</v>
      </c>
      <c r="D2188" s="14" t="str">
        <f>IFERROR(__xludf.DUMMYFUNCTION("""COMPUTED_VALUE"""),"Bandra")</f>
        <v>Bandra</v>
      </c>
      <c r="E2188" s="14" t="str">
        <f>IFERROR(__xludf.DUMMYFUNCTION("""COMPUTED_VALUE"""),"Onion+2*Manju Ajay")</f>
        <v>Onion+2*Manju Ajay</v>
      </c>
      <c r="F2188" s="14">
        <f>IFERROR(__xludf.DUMMYFUNCTION("""COMPUTED_VALUE"""),2.0)</f>
        <v>2</v>
      </c>
      <c r="G2188" s="14">
        <f>IFERROR(__xludf.DUMMYFUNCTION("""COMPUTED_VALUE"""),26.0)</f>
        <v>26</v>
      </c>
      <c r="H2188" s="14">
        <f>IFERROR(__xludf.DUMMYFUNCTION("""COMPUTED_VALUE"""),2023.0)</f>
        <v>2023</v>
      </c>
      <c r="I2188" s="14" t="str">
        <f>IFERROR(__xludf.DUMMYFUNCTION("""COMPUTED_VALUE"""),"UPI")</f>
        <v>UPI</v>
      </c>
      <c r="J2188" s="14" t="str">
        <f>IFERROR(__xludf.DUMMYFUNCTION("""COMPUTED_VALUE"""),"Delivered*Packaging: Secure and intact")</f>
        <v>Delivered*Packaging: Secure and intact</v>
      </c>
      <c r="K2188" s="14" t="str">
        <f>IFERROR(__xludf.DUMMYFUNCTION("split(E2188,""+"")"),"Onion")</f>
        <v>Onion</v>
      </c>
      <c r="L2188" s="14" t="str">
        <f>IFERROR(__xludf.DUMMYFUNCTION("""COMPUTED_VALUE"""),"2*Manju Ajay")</f>
        <v>2*Manju Ajay</v>
      </c>
      <c r="M2188" s="14">
        <f>IFERROR(__xludf.DUMMYFUNCTION("SPLIT(L2188,""*"")"),2.0)</f>
        <v>2</v>
      </c>
      <c r="N2188" s="14" t="str">
        <f>IFERROR(__xludf.DUMMYFUNCTION("""COMPUTED_VALUE"""),"Manju Ajay")</f>
        <v>Manju Ajay</v>
      </c>
      <c r="O2188" s="14" t="str">
        <f>IFERROR(__xludf.DUMMYFUNCTION("split(J2188,""*"")"),"Delivered")</f>
        <v>Delivered</v>
      </c>
      <c r="P2188" s="14" t="str">
        <f>IFERROR(__xludf.DUMMYFUNCTION("""COMPUTED_VALUE"""),"Packaging: Secure and intact")</f>
        <v>Packaging: Secure and intact</v>
      </c>
      <c r="Q2188" s="14" t="str">
        <f>IFERROR(__xludf.DUMMYFUNCTION("split(P2188,"":"")"),"Packaging")</f>
        <v>Packaging</v>
      </c>
      <c r="R2188" s="14" t="str">
        <f>IFERROR(__xludf.DUMMYFUNCTION("""COMPUTED_VALUE""")," Secure and intact")</f>
        <v> Secure and intact</v>
      </c>
      <c r="S2188" s="14" t="str">
        <f t="shared" ref="S2188:U2188" si="4379">trim(B2188)</f>
        <v>ord_82162</v>
      </c>
      <c r="T2188" s="14" t="str">
        <f t="shared" si="4379"/>
        <v>Dev Chauhan</v>
      </c>
      <c r="U2188" s="14" t="str">
        <f t="shared" si="4379"/>
        <v>Bandra</v>
      </c>
      <c r="V2188" s="14" t="str">
        <f t="shared" si="4"/>
        <v>Onion</v>
      </c>
      <c r="W2188" s="14">
        <f t="shared" si="5"/>
        <v>2</v>
      </c>
      <c r="X2188" s="14" t="str">
        <f t="shared" si="6"/>
        <v>Manju Ajay</v>
      </c>
      <c r="Y2188" s="15">
        <f t="shared" si="7"/>
        <v>44983</v>
      </c>
      <c r="Z2188" s="14" t="str">
        <f t="shared" si="8"/>
        <v>UPI</v>
      </c>
      <c r="AA2188" s="14" t="str">
        <f t="shared" si="9"/>
        <v>Delivered</v>
      </c>
      <c r="AB2188" s="14" t="str">
        <f t="shared" ref="AB2188:AC2188" si="4380">trim(Q2188)</f>
        <v>Packaging</v>
      </c>
      <c r="AC2188" s="14" t="str">
        <f t="shared" si="4380"/>
        <v>Secure and intact</v>
      </c>
      <c r="AD2188" s="8"/>
    </row>
    <row r="2189">
      <c r="A2189" s="14" t="str">
        <f>IFERROR(__xludf.DUMMYFUNCTION("""COMPUTED_VALUE"""),"//ord_82163//Omkar Mishra//Powai//Cucumber+1*Vivek Kumar/12/23/2023//UPI//Delivered*Satisfied with the Delivery: Timely and quality")</f>
        <v>//ord_82163//Omkar Mishra//Powai//Cucumber+1*Vivek Kumar/12/23/2023//UPI//Delivered*Satisfied with the Delivery: Timely and quality</v>
      </c>
      <c r="B2189" s="14" t="str">
        <f>IFERROR(__xludf.DUMMYFUNCTION("split(A2189,""//"")"),"ord_82163")</f>
        <v>ord_82163</v>
      </c>
      <c r="C2189" s="14" t="str">
        <f>IFERROR(__xludf.DUMMYFUNCTION("""COMPUTED_VALUE"""),"Omkar Mishra")</f>
        <v>Omkar Mishra</v>
      </c>
      <c r="D2189" s="14" t="str">
        <f>IFERROR(__xludf.DUMMYFUNCTION("""COMPUTED_VALUE"""),"Powai")</f>
        <v>Powai</v>
      </c>
      <c r="E2189" s="14" t="str">
        <f>IFERROR(__xludf.DUMMYFUNCTION("""COMPUTED_VALUE"""),"Cucumber+1*Vivek Kumar")</f>
        <v>Cucumber+1*Vivek Kumar</v>
      </c>
      <c r="F2189" s="14">
        <f>IFERROR(__xludf.DUMMYFUNCTION("""COMPUTED_VALUE"""),12.0)</f>
        <v>12</v>
      </c>
      <c r="G2189" s="14">
        <f>IFERROR(__xludf.DUMMYFUNCTION("""COMPUTED_VALUE"""),23.0)</f>
        <v>23</v>
      </c>
      <c r="H2189" s="14">
        <f>IFERROR(__xludf.DUMMYFUNCTION("""COMPUTED_VALUE"""),2023.0)</f>
        <v>2023</v>
      </c>
      <c r="I2189" s="14" t="str">
        <f>IFERROR(__xludf.DUMMYFUNCTION("""COMPUTED_VALUE"""),"UPI")</f>
        <v>UPI</v>
      </c>
      <c r="J2189" s="14" t="str">
        <f>IFERROR(__xludf.DUMMYFUNCTION("""COMPUTED_VALUE"""),"Delivered*Satisfied with the Delivery: Timely and quality")</f>
        <v>Delivered*Satisfied with the Delivery: Timely and quality</v>
      </c>
      <c r="K2189" s="14" t="str">
        <f>IFERROR(__xludf.DUMMYFUNCTION("split(E2189,""+"")"),"Cucumber")</f>
        <v>Cucumber</v>
      </c>
      <c r="L2189" s="14" t="str">
        <f>IFERROR(__xludf.DUMMYFUNCTION("""COMPUTED_VALUE"""),"1*Vivek Kumar")</f>
        <v>1*Vivek Kumar</v>
      </c>
      <c r="M2189" s="14">
        <f>IFERROR(__xludf.DUMMYFUNCTION("SPLIT(L2189,""*"")"),1.0)</f>
        <v>1</v>
      </c>
      <c r="N2189" s="14" t="str">
        <f>IFERROR(__xludf.DUMMYFUNCTION("""COMPUTED_VALUE"""),"Vivek Kumar")</f>
        <v>Vivek Kumar</v>
      </c>
      <c r="O2189" s="14" t="str">
        <f>IFERROR(__xludf.DUMMYFUNCTION("split(J2189,""*"")"),"Delivered")</f>
        <v>Delivered</v>
      </c>
      <c r="P2189" s="14" t="str">
        <f>IFERROR(__xludf.DUMMYFUNCTION("""COMPUTED_VALUE"""),"Satisfied with the Delivery: Timely and quality")</f>
        <v>Satisfied with the Delivery: Timely and quality</v>
      </c>
      <c r="Q2189" s="14" t="str">
        <f>IFERROR(__xludf.DUMMYFUNCTION("split(P2189,"":"")"),"Satisfied with the Delivery")</f>
        <v>Satisfied with the Delivery</v>
      </c>
      <c r="R2189" s="14" t="str">
        <f>IFERROR(__xludf.DUMMYFUNCTION("""COMPUTED_VALUE""")," Timely and quality")</f>
        <v> Timely and quality</v>
      </c>
      <c r="S2189" s="14" t="str">
        <f t="shared" ref="S2189:U2189" si="4381">trim(B2189)</f>
        <v>ord_82163</v>
      </c>
      <c r="T2189" s="14" t="str">
        <f t="shared" si="4381"/>
        <v>Omkar Mishra</v>
      </c>
      <c r="U2189" s="14" t="str">
        <f t="shared" si="4381"/>
        <v>Powai</v>
      </c>
      <c r="V2189" s="14" t="str">
        <f t="shared" si="4"/>
        <v>Cucumber</v>
      </c>
      <c r="W2189" s="14">
        <f t="shared" si="5"/>
        <v>1</v>
      </c>
      <c r="X2189" s="14" t="str">
        <f t="shared" si="6"/>
        <v>Vivek Kumar</v>
      </c>
      <c r="Y2189" s="15">
        <f t="shared" si="7"/>
        <v>45283</v>
      </c>
      <c r="Z2189" s="14" t="str">
        <f t="shared" si="8"/>
        <v>UPI</v>
      </c>
      <c r="AA2189" s="14" t="str">
        <f t="shared" si="9"/>
        <v>Delivered</v>
      </c>
      <c r="AB2189" s="14" t="str">
        <f t="shared" ref="AB2189:AC2189" si="4382">trim(Q2189)</f>
        <v>Satisfied with the Delivery</v>
      </c>
      <c r="AC2189" s="14" t="str">
        <f t="shared" si="4382"/>
        <v>Timely and quality</v>
      </c>
      <c r="AD2189" s="8"/>
    </row>
    <row r="2190">
      <c r="A2190" s="14" t="str">
        <f>IFERROR(__xludf.DUMMYFUNCTION("""COMPUTED_VALUE"""),"//ord_82164//Ishita Banerjee//Juhu//Papaya+2*Venu R/7/23/2023//UPI//Delivered*Customer Service: Seamless and easy")</f>
        <v>//ord_82164//Ishita Banerjee//Juhu//Papaya+2*Venu R/7/23/2023//UPI//Delivered*Customer Service: Seamless and easy</v>
      </c>
      <c r="B2190" s="14" t="str">
        <f>IFERROR(__xludf.DUMMYFUNCTION("split(A2190,""//"")"),"ord_82164")</f>
        <v>ord_82164</v>
      </c>
      <c r="C2190" s="14" t="str">
        <f>IFERROR(__xludf.DUMMYFUNCTION("""COMPUTED_VALUE"""),"Ishita Banerjee")</f>
        <v>Ishita Banerjee</v>
      </c>
      <c r="D2190" s="14" t="str">
        <f>IFERROR(__xludf.DUMMYFUNCTION("""COMPUTED_VALUE"""),"Juhu")</f>
        <v>Juhu</v>
      </c>
      <c r="E2190" s="14" t="str">
        <f>IFERROR(__xludf.DUMMYFUNCTION("""COMPUTED_VALUE"""),"Papaya+2*Venu R")</f>
        <v>Papaya+2*Venu R</v>
      </c>
      <c r="F2190" s="14">
        <f>IFERROR(__xludf.DUMMYFUNCTION("""COMPUTED_VALUE"""),7.0)</f>
        <v>7</v>
      </c>
      <c r="G2190" s="14">
        <f>IFERROR(__xludf.DUMMYFUNCTION("""COMPUTED_VALUE"""),23.0)</f>
        <v>23</v>
      </c>
      <c r="H2190" s="14">
        <f>IFERROR(__xludf.DUMMYFUNCTION("""COMPUTED_VALUE"""),2023.0)</f>
        <v>2023</v>
      </c>
      <c r="I2190" s="14" t="str">
        <f>IFERROR(__xludf.DUMMYFUNCTION("""COMPUTED_VALUE"""),"UPI")</f>
        <v>UPI</v>
      </c>
      <c r="J2190" s="14" t="str">
        <f>IFERROR(__xludf.DUMMYFUNCTION("""COMPUTED_VALUE"""),"Delivered*Customer Service: Seamless and easy")</f>
        <v>Delivered*Customer Service: Seamless and easy</v>
      </c>
      <c r="K2190" s="14" t="str">
        <f>IFERROR(__xludf.DUMMYFUNCTION("split(E2190,""+"")"),"Papaya")</f>
        <v>Papaya</v>
      </c>
      <c r="L2190" s="14" t="str">
        <f>IFERROR(__xludf.DUMMYFUNCTION("""COMPUTED_VALUE"""),"2*Venu R")</f>
        <v>2*Venu R</v>
      </c>
      <c r="M2190" s="14">
        <f>IFERROR(__xludf.DUMMYFUNCTION("SPLIT(L2190,""*"")"),2.0)</f>
        <v>2</v>
      </c>
      <c r="N2190" s="14" t="str">
        <f>IFERROR(__xludf.DUMMYFUNCTION("""COMPUTED_VALUE"""),"Venu R")</f>
        <v>Venu R</v>
      </c>
      <c r="O2190" s="14" t="str">
        <f>IFERROR(__xludf.DUMMYFUNCTION("split(J2190,""*"")"),"Delivered")</f>
        <v>Delivered</v>
      </c>
      <c r="P2190" s="14" t="str">
        <f>IFERROR(__xludf.DUMMYFUNCTION("""COMPUTED_VALUE"""),"Customer Service: Seamless and easy")</f>
        <v>Customer Service: Seamless and easy</v>
      </c>
      <c r="Q2190" s="14" t="str">
        <f>IFERROR(__xludf.DUMMYFUNCTION("split(P2190,"":"")"),"Customer Service")</f>
        <v>Customer Service</v>
      </c>
      <c r="R2190" s="14" t="str">
        <f>IFERROR(__xludf.DUMMYFUNCTION("""COMPUTED_VALUE""")," Seamless and easy")</f>
        <v> Seamless and easy</v>
      </c>
      <c r="S2190" s="14" t="str">
        <f t="shared" ref="S2190:U2190" si="4383">trim(B2190)</f>
        <v>ord_82164</v>
      </c>
      <c r="T2190" s="14" t="str">
        <f t="shared" si="4383"/>
        <v>Ishita Banerjee</v>
      </c>
      <c r="U2190" s="14" t="str">
        <f t="shared" si="4383"/>
        <v>Juhu</v>
      </c>
      <c r="V2190" s="14" t="str">
        <f t="shared" si="4"/>
        <v>Papaya</v>
      </c>
      <c r="W2190" s="14">
        <f t="shared" si="5"/>
        <v>2</v>
      </c>
      <c r="X2190" s="14" t="str">
        <f t="shared" si="6"/>
        <v>Venu R</v>
      </c>
      <c r="Y2190" s="15">
        <f t="shared" si="7"/>
        <v>45130</v>
      </c>
      <c r="Z2190" s="14" t="str">
        <f t="shared" si="8"/>
        <v>UPI</v>
      </c>
      <c r="AA2190" s="14" t="str">
        <f t="shared" si="9"/>
        <v>Delivered</v>
      </c>
      <c r="AB2190" s="14" t="str">
        <f t="shared" ref="AB2190:AC2190" si="4384">trim(Q2190)</f>
        <v>Customer Service</v>
      </c>
      <c r="AC2190" s="14" t="str">
        <f t="shared" si="4384"/>
        <v>Seamless and easy</v>
      </c>
      <c r="AD2190" s="8"/>
    </row>
    <row r="2191">
      <c r="A2191" s="14" t="str">
        <f>IFERROR(__xludf.DUMMYFUNCTION("""COMPUTED_VALUE"""),"//ord_82165//Pranav Joshi//Andheri//Sweet Corn+2*Ramesh S/11/4/2023//Credit Card//Delivered*Delivery Experience: Quick and professional")</f>
        <v>//ord_82165//Pranav Joshi//Andheri//Sweet Corn+2*Ramesh S/11/4/2023//Credit Card//Delivered*Delivery Experience: Quick and professional</v>
      </c>
      <c r="B2191" s="14" t="str">
        <f>IFERROR(__xludf.DUMMYFUNCTION("split(A2191,""//"")"),"ord_82165")</f>
        <v>ord_82165</v>
      </c>
      <c r="C2191" s="14" t="str">
        <f>IFERROR(__xludf.DUMMYFUNCTION("""COMPUTED_VALUE"""),"Pranav Joshi")</f>
        <v>Pranav Joshi</v>
      </c>
      <c r="D2191" s="14" t="str">
        <f>IFERROR(__xludf.DUMMYFUNCTION("""COMPUTED_VALUE"""),"Andheri")</f>
        <v>Andheri</v>
      </c>
      <c r="E2191" s="14" t="str">
        <f>IFERROR(__xludf.DUMMYFUNCTION("""COMPUTED_VALUE"""),"Sweet Corn+2*Ramesh S")</f>
        <v>Sweet Corn+2*Ramesh S</v>
      </c>
      <c r="F2191" s="14">
        <f>IFERROR(__xludf.DUMMYFUNCTION("""COMPUTED_VALUE"""),11.0)</f>
        <v>11</v>
      </c>
      <c r="G2191" s="14">
        <f>IFERROR(__xludf.DUMMYFUNCTION("""COMPUTED_VALUE"""),4.0)</f>
        <v>4</v>
      </c>
      <c r="H2191" s="14">
        <f>IFERROR(__xludf.DUMMYFUNCTION("""COMPUTED_VALUE"""),2023.0)</f>
        <v>2023</v>
      </c>
      <c r="I2191" s="14" t="str">
        <f>IFERROR(__xludf.DUMMYFUNCTION("""COMPUTED_VALUE"""),"Credit Card")</f>
        <v>Credit Card</v>
      </c>
      <c r="J2191" s="14" t="str">
        <f>IFERROR(__xludf.DUMMYFUNCTION("""COMPUTED_VALUE"""),"Delivered*Delivery Experience: Quick and professional")</f>
        <v>Delivered*Delivery Experience: Quick and professional</v>
      </c>
      <c r="K2191" s="14" t="str">
        <f>IFERROR(__xludf.DUMMYFUNCTION("split(E2191,""+"")"),"Sweet Corn")</f>
        <v>Sweet Corn</v>
      </c>
      <c r="L2191" s="14" t="str">
        <f>IFERROR(__xludf.DUMMYFUNCTION("""COMPUTED_VALUE"""),"2*Ramesh S")</f>
        <v>2*Ramesh S</v>
      </c>
      <c r="M2191" s="14">
        <f>IFERROR(__xludf.DUMMYFUNCTION("SPLIT(L2191,""*"")"),2.0)</f>
        <v>2</v>
      </c>
      <c r="N2191" s="14" t="str">
        <f>IFERROR(__xludf.DUMMYFUNCTION("""COMPUTED_VALUE"""),"Ramesh S")</f>
        <v>Ramesh S</v>
      </c>
      <c r="O2191" s="14" t="str">
        <f>IFERROR(__xludf.DUMMYFUNCTION("split(J2191,""*"")"),"Delivered")</f>
        <v>Delivered</v>
      </c>
      <c r="P2191" s="14" t="str">
        <f>IFERROR(__xludf.DUMMYFUNCTION("""COMPUTED_VALUE"""),"Delivery Experience: Quick and professional")</f>
        <v>Delivery Experience: Quick and professional</v>
      </c>
      <c r="Q2191" s="14" t="str">
        <f>IFERROR(__xludf.DUMMYFUNCTION("split(P2191,"":"")"),"Delivery Experience")</f>
        <v>Delivery Experience</v>
      </c>
      <c r="R2191" s="14" t="str">
        <f>IFERROR(__xludf.DUMMYFUNCTION("""COMPUTED_VALUE""")," Quick and professional")</f>
        <v> Quick and professional</v>
      </c>
      <c r="S2191" s="14" t="str">
        <f t="shared" ref="S2191:U2191" si="4385">trim(B2191)</f>
        <v>ord_82165</v>
      </c>
      <c r="T2191" s="14" t="str">
        <f t="shared" si="4385"/>
        <v>Pranav Joshi</v>
      </c>
      <c r="U2191" s="14" t="str">
        <f t="shared" si="4385"/>
        <v>Andheri</v>
      </c>
      <c r="V2191" s="14" t="str">
        <f t="shared" si="4"/>
        <v>Sweet Corn</v>
      </c>
      <c r="W2191" s="14">
        <f t="shared" si="5"/>
        <v>2</v>
      </c>
      <c r="X2191" s="14" t="str">
        <f t="shared" si="6"/>
        <v>Ramesh S</v>
      </c>
      <c r="Y2191" s="15">
        <f t="shared" si="7"/>
        <v>45234</v>
      </c>
      <c r="Z2191" s="14" t="str">
        <f t="shared" si="8"/>
        <v>Credit Card</v>
      </c>
      <c r="AA2191" s="14" t="str">
        <f t="shared" si="9"/>
        <v>Delivered</v>
      </c>
      <c r="AB2191" s="14" t="str">
        <f t="shared" ref="AB2191:AC2191" si="4386">trim(Q2191)</f>
        <v>Delivery Experience</v>
      </c>
      <c r="AC2191" s="14" t="str">
        <f t="shared" si="4386"/>
        <v>Quick and professional</v>
      </c>
      <c r="AD2191" s="8"/>
    </row>
    <row r="2192">
      <c r="A2192" s="14" t="str">
        <f>IFERROR(__xludf.DUMMYFUNCTION("""COMPUTED_VALUE"""),"//ord_82166//Kritika Shetty//Malad//Guava+2*Sita T/12/5/2023//Online Payment//Delivered*Convenience: Easy tracking")</f>
        <v>//ord_82166//Kritika Shetty//Malad//Guava+2*Sita T/12/5/2023//Online Payment//Delivered*Convenience: Easy tracking</v>
      </c>
      <c r="B2192" s="14" t="str">
        <f>IFERROR(__xludf.DUMMYFUNCTION("split(A2192,""//"")"),"ord_82166")</f>
        <v>ord_82166</v>
      </c>
      <c r="C2192" s="14" t="str">
        <f>IFERROR(__xludf.DUMMYFUNCTION("""COMPUTED_VALUE"""),"Kritika Shetty")</f>
        <v>Kritika Shetty</v>
      </c>
      <c r="D2192" s="14" t="str">
        <f>IFERROR(__xludf.DUMMYFUNCTION("""COMPUTED_VALUE"""),"Malad")</f>
        <v>Malad</v>
      </c>
      <c r="E2192" s="14" t="str">
        <f>IFERROR(__xludf.DUMMYFUNCTION("""COMPUTED_VALUE"""),"Guava+2*Sita T")</f>
        <v>Guava+2*Sita T</v>
      </c>
      <c r="F2192" s="14">
        <f>IFERROR(__xludf.DUMMYFUNCTION("""COMPUTED_VALUE"""),12.0)</f>
        <v>12</v>
      </c>
      <c r="G2192" s="14">
        <f>IFERROR(__xludf.DUMMYFUNCTION("""COMPUTED_VALUE"""),5.0)</f>
        <v>5</v>
      </c>
      <c r="H2192" s="14">
        <f>IFERROR(__xludf.DUMMYFUNCTION("""COMPUTED_VALUE"""),2023.0)</f>
        <v>2023</v>
      </c>
      <c r="I2192" s="14" t="str">
        <f>IFERROR(__xludf.DUMMYFUNCTION("""COMPUTED_VALUE"""),"Online Payment")</f>
        <v>Online Payment</v>
      </c>
      <c r="J2192" s="14" t="str">
        <f>IFERROR(__xludf.DUMMYFUNCTION("""COMPUTED_VALUE"""),"Delivered*Convenience: Easy tracking")</f>
        <v>Delivered*Convenience: Easy tracking</v>
      </c>
      <c r="K2192" s="14" t="str">
        <f>IFERROR(__xludf.DUMMYFUNCTION("split(E2192,""+"")"),"Guava")</f>
        <v>Guava</v>
      </c>
      <c r="L2192" s="14" t="str">
        <f>IFERROR(__xludf.DUMMYFUNCTION("""COMPUTED_VALUE"""),"2*Sita T")</f>
        <v>2*Sita T</v>
      </c>
      <c r="M2192" s="14">
        <f>IFERROR(__xludf.DUMMYFUNCTION("SPLIT(L2192,""*"")"),2.0)</f>
        <v>2</v>
      </c>
      <c r="N2192" s="14" t="str">
        <f>IFERROR(__xludf.DUMMYFUNCTION("""COMPUTED_VALUE"""),"Sita T")</f>
        <v>Sita T</v>
      </c>
      <c r="O2192" s="14" t="str">
        <f>IFERROR(__xludf.DUMMYFUNCTION("split(J2192,""*"")"),"Delivered")</f>
        <v>Delivered</v>
      </c>
      <c r="P2192" s="14" t="str">
        <f>IFERROR(__xludf.DUMMYFUNCTION("""COMPUTED_VALUE"""),"Convenience: Easy tracking")</f>
        <v>Convenience: Easy tracking</v>
      </c>
      <c r="Q2192" s="14" t="str">
        <f>IFERROR(__xludf.DUMMYFUNCTION("split(P2192,"":"")"),"Convenience")</f>
        <v>Convenience</v>
      </c>
      <c r="R2192" s="14" t="str">
        <f>IFERROR(__xludf.DUMMYFUNCTION("""COMPUTED_VALUE""")," Easy tracking")</f>
        <v> Easy tracking</v>
      </c>
      <c r="S2192" s="14" t="str">
        <f t="shared" ref="S2192:U2192" si="4387">trim(B2192)</f>
        <v>ord_82166</v>
      </c>
      <c r="T2192" s="14" t="str">
        <f t="shared" si="4387"/>
        <v>Kritika Shetty</v>
      </c>
      <c r="U2192" s="14" t="str">
        <f t="shared" si="4387"/>
        <v>Malad</v>
      </c>
      <c r="V2192" s="14" t="str">
        <f t="shared" si="4"/>
        <v>Guava</v>
      </c>
      <c r="W2192" s="14">
        <f t="shared" si="5"/>
        <v>2</v>
      </c>
      <c r="X2192" s="14" t="str">
        <f t="shared" si="6"/>
        <v>Sita T</v>
      </c>
      <c r="Y2192" s="15">
        <f t="shared" si="7"/>
        <v>45265</v>
      </c>
      <c r="Z2192" s="14" t="str">
        <f t="shared" si="8"/>
        <v>Online Payment</v>
      </c>
      <c r="AA2192" s="14" t="str">
        <f t="shared" si="9"/>
        <v>Delivered</v>
      </c>
      <c r="AB2192" s="14" t="str">
        <f t="shared" ref="AB2192:AC2192" si="4388">trim(Q2192)</f>
        <v>Convenience</v>
      </c>
      <c r="AC2192" s="14" t="str">
        <f t="shared" si="4388"/>
        <v>Easy tracking</v>
      </c>
      <c r="AD2192" s="8"/>
    </row>
    <row r="2193">
      <c r="A2193" s="14" t="str">
        <f>IFERROR(__xludf.DUMMYFUNCTION("""COMPUTED_VALUE"""),"//ord_82167//Parth Goel//Juhu//Sweet Corn+2*Shine Thomas/2/24/2023//UPI//Delivered*Overall Satisfaction: Great service will order again")</f>
        <v>//ord_82167//Parth Goel//Juhu//Sweet Corn+2*Shine Thomas/2/24/2023//UPI//Delivered*Overall Satisfaction: Great service will order again</v>
      </c>
      <c r="B2193" s="14" t="str">
        <f>IFERROR(__xludf.DUMMYFUNCTION("split(A2193,""//"")"),"ord_82167")</f>
        <v>ord_82167</v>
      </c>
      <c r="C2193" s="14" t="str">
        <f>IFERROR(__xludf.DUMMYFUNCTION("""COMPUTED_VALUE"""),"Parth Goel")</f>
        <v>Parth Goel</v>
      </c>
      <c r="D2193" s="14" t="str">
        <f>IFERROR(__xludf.DUMMYFUNCTION("""COMPUTED_VALUE"""),"Juhu")</f>
        <v>Juhu</v>
      </c>
      <c r="E2193" s="14" t="str">
        <f>IFERROR(__xludf.DUMMYFUNCTION("""COMPUTED_VALUE"""),"Sweet Corn+2*Shine Thomas")</f>
        <v>Sweet Corn+2*Shine Thomas</v>
      </c>
      <c r="F2193" s="14">
        <f>IFERROR(__xludf.DUMMYFUNCTION("""COMPUTED_VALUE"""),2.0)</f>
        <v>2</v>
      </c>
      <c r="G2193" s="14">
        <f>IFERROR(__xludf.DUMMYFUNCTION("""COMPUTED_VALUE"""),24.0)</f>
        <v>24</v>
      </c>
      <c r="H2193" s="14">
        <f>IFERROR(__xludf.DUMMYFUNCTION("""COMPUTED_VALUE"""),2023.0)</f>
        <v>2023</v>
      </c>
      <c r="I2193" s="14" t="str">
        <f>IFERROR(__xludf.DUMMYFUNCTION("""COMPUTED_VALUE"""),"UPI")</f>
        <v>UPI</v>
      </c>
      <c r="J2193" s="14" t="str">
        <f>IFERROR(__xludf.DUMMYFUNCTION("""COMPUTED_VALUE"""),"Delivered*Overall Satisfaction: Great service will order again")</f>
        <v>Delivered*Overall Satisfaction: Great service will order again</v>
      </c>
      <c r="K2193" s="14" t="str">
        <f>IFERROR(__xludf.DUMMYFUNCTION("split(E2193,""+"")"),"Sweet Corn")</f>
        <v>Sweet Corn</v>
      </c>
      <c r="L2193" s="14" t="str">
        <f>IFERROR(__xludf.DUMMYFUNCTION("""COMPUTED_VALUE"""),"2*Shine Thomas")</f>
        <v>2*Shine Thomas</v>
      </c>
      <c r="M2193" s="14">
        <f>IFERROR(__xludf.DUMMYFUNCTION("SPLIT(L2193,""*"")"),2.0)</f>
        <v>2</v>
      </c>
      <c r="N2193" s="14" t="str">
        <f>IFERROR(__xludf.DUMMYFUNCTION("""COMPUTED_VALUE"""),"Shine Thomas")</f>
        <v>Shine Thomas</v>
      </c>
      <c r="O2193" s="14" t="str">
        <f>IFERROR(__xludf.DUMMYFUNCTION("split(J2193,""*"")"),"Delivered")</f>
        <v>Delivered</v>
      </c>
      <c r="P2193" s="14" t="str">
        <f>IFERROR(__xludf.DUMMYFUNCTION("""COMPUTED_VALUE"""),"Overall Satisfaction: Great service will order again")</f>
        <v>Overall Satisfaction: Great service will order again</v>
      </c>
      <c r="Q2193" s="14" t="str">
        <f>IFERROR(__xludf.DUMMYFUNCTION("split(P2193,"":"")"),"Overall Satisfaction")</f>
        <v>Overall Satisfaction</v>
      </c>
      <c r="R2193" s="14" t="str">
        <f>IFERROR(__xludf.DUMMYFUNCTION("""COMPUTED_VALUE""")," Great service will order again")</f>
        <v> Great service will order again</v>
      </c>
      <c r="S2193" s="14" t="str">
        <f t="shared" ref="S2193:U2193" si="4389">trim(B2193)</f>
        <v>ord_82167</v>
      </c>
      <c r="T2193" s="14" t="str">
        <f t="shared" si="4389"/>
        <v>Parth Goel</v>
      </c>
      <c r="U2193" s="14" t="str">
        <f t="shared" si="4389"/>
        <v>Juhu</v>
      </c>
      <c r="V2193" s="14" t="str">
        <f t="shared" si="4"/>
        <v>Sweet Corn</v>
      </c>
      <c r="W2193" s="14">
        <f t="shared" si="5"/>
        <v>2</v>
      </c>
      <c r="X2193" s="14" t="str">
        <f t="shared" si="6"/>
        <v>Shine Thomas</v>
      </c>
      <c r="Y2193" s="15">
        <f t="shared" si="7"/>
        <v>44981</v>
      </c>
      <c r="Z2193" s="14" t="str">
        <f t="shared" si="8"/>
        <v>UPI</v>
      </c>
      <c r="AA2193" s="14" t="str">
        <f t="shared" si="9"/>
        <v>Delivered</v>
      </c>
      <c r="AB2193" s="14" t="str">
        <f t="shared" ref="AB2193:AC2193" si="4390">trim(Q2193)</f>
        <v>Overall Satisfaction</v>
      </c>
      <c r="AC2193" s="14" t="str">
        <f t="shared" si="4390"/>
        <v>Great service will order again</v>
      </c>
      <c r="AD2193" s="8"/>
    </row>
    <row r="2194">
      <c r="A2194" s="14" t="str">
        <f>IFERROR(__xludf.DUMMYFUNCTION("""COMPUTED_VALUE"""),"//ord_82168//Sakshi Tandon//Colaba//Chicken Puff+4*Ramesh S/8/18/2023//UPI//Delivered*On-time Delivery: Delivered on time")</f>
        <v>//ord_82168//Sakshi Tandon//Colaba//Chicken Puff+4*Ramesh S/8/18/2023//UPI//Delivered*On-time Delivery: Delivered on time</v>
      </c>
      <c r="B2194" s="14" t="str">
        <f>IFERROR(__xludf.DUMMYFUNCTION("split(A2194,""//"")"),"ord_82168")</f>
        <v>ord_82168</v>
      </c>
      <c r="C2194" s="14" t="str">
        <f>IFERROR(__xludf.DUMMYFUNCTION("""COMPUTED_VALUE"""),"Sakshi Tandon")</f>
        <v>Sakshi Tandon</v>
      </c>
      <c r="D2194" s="14" t="str">
        <f>IFERROR(__xludf.DUMMYFUNCTION("""COMPUTED_VALUE"""),"Colaba")</f>
        <v>Colaba</v>
      </c>
      <c r="E2194" s="14" t="str">
        <f>IFERROR(__xludf.DUMMYFUNCTION("""COMPUTED_VALUE"""),"Chicken Puff+4*Ramesh S")</f>
        <v>Chicken Puff+4*Ramesh S</v>
      </c>
      <c r="F2194" s="14">
        <f>IFERROR(__xludf.DUMMYFUNCTION("""COMPUTED_VALUE"""),8.0)</f>
        <v>8</v>
      </c>
      <c r="G2194" s="14">
        <f>IFERROR(__xludf.DUMMYFUNCTION("""COMPUTED_VALUE"""),18.0)</f>
        <v>18</v>
      </c>
      <c r="H2194" s="14">
        <f>IFERROR(__xludf.DUMMYFUNCTION("""COMPUTED_VALUE"""),2023.0)</f>
        <v>2023</v>
      </c>
      <c r="I2194" s="14" t="str">
        <f>IFERROR(__xludf.DUMMYFUNCTION("""COMPUTED_VALUE"""),"UPI")</f>
        <v>UPI</v>
      </c>
      <c r="J2194" s="14" t="str">
        <f>IFERROR(__xludf.DUMMYFUNCTION("""COMPUTED_VALUE"""),"Delivered*On-time Delivery: Delivered on time")</f>
        <v>Delivered*On-time Delivery: Delivered on time</v>
      </c>
      <c r="K2194" s="14" t="str">
        <f>IFERROR(__xludf.DUMMYFUNCTION("split(E2194,""+"")"),"Chicken Puff")</f>
        <v>Chicken Puff</v>
      </c>
      <c r="L2194" s="14" t="str">
        <f>IFERROR(__xludf.DUMMYFUNCTION("""COMPUTED_VALUE"""),"4*Ramesh S")</f>
        <v>4*Ramesh S</v>
      </c>
      <c r="M2194" s="14">
        <f>IFERROR(__xludf.DUMMYFUNCTION("SPLIT(L2194,""*"")"),4.0)</f>
        <v>4</v>
      </c>
      <c r="N2194" s="14" t="str">
        <f>IFERROR(__xludf.DUMMYFUNCTION("""COMPUTED_VALUE"""),"Ramesh S")</f>
        <v>Ramesh S</v>
      </c>
      <c r="O2194" s="14" t="str">
        <f>IFERROR(__xludf.DUMMYFUNCTION("split(J2194,""*"")"),"Delivered")</f>
        <v>Delivered</v>
      </c>
      <c r="P2194" s="14" t="str">
        <f>IFERROR(__xludf.DUMMYFUNCTION("""COMPUTED_VALUE"""),"On-time Delivery: Delivered on time")</f>
        <v>On-time Delivery: Delivered on time</v>
      </c>
      <c r="Q2194" s="14" t="str">
        <f>IFERROR(__xludf.DUMMYFUNCTION("split(P2194,"":"")"),"On-time Delivery")</f>
        <v>On-time Delivery</v>
      </c>
      <c r="R2194" s="14" t="str">
        <f>IFERROR(__xludf.DUMMYFUNCTION("""COMPUTED_VALUE""")," Delivered on time")</f>
        <v> Delivered on time</v>
      </c>
      <c r="S2194" s="14" t="str">
        <f t="shared" ref="S2194:U2194" si="4391">trim(B2194)</f>
        <v>ord_82168</v>
      </c>
      <c r="T2194" s="14" t="str">
        <f t="shared" si="4391"/>
        <v>Sakshi Tandon</v>
      </c>
      <c r="U2194" s="14" t="str">
        <f t="shared" si="4391"/>
        <v>Colaba</v>
      </c>
      <c r="V2194" s="14" t="str">
        <f t="shared" si="4"/>
        <v>Chicken Puff</v>
      </c>
      <c r="W2194" s="14">
        <f t="shared" si="5"/>
        <v>4</v>
      </c>
      <c r="X2194" s="14" t="str">
        <f t="shared" si="6"/>
        <v>Ramesh S</v>
      </c>
      <c r="Y2194" s="15">
        <f t="shared" si="7"/>
        <v>45156</v>
      </c>
      <c r="Z2194" s="14" t="str">
        <f t="shared" si="8"/>
        <v>UPI</v>
      </c>
      <c r="AA2194" s="14" t="str">
        <f t="shared" si="9"/>
        <v>Delivered</v>
      </c>
      <c r="AB2194" s="14" t="str">
        <f t="shared" ref="AB2194:AC2194" si="4392">trim(Q2194)</f>
        <v>On-time Delivery</v>
      </c>
      <c r="AC2194" s="14" t="str">
        <f t="shared" si="4392"/>
        <v>Delivered on time</v>
      </c>
      <c r="AD2194" s="8"/>
    </row>
    <row r="2195">
      <c r="A2195" s="14" t="str">
        <f>IFERROR(__xludf.DUMMYFUNCTION("""COMPUTED_VALUE"""),"//ord_82169//Mehul Thakkar//Malad//Sweet Corn+1*Nithin Lal/4/17/2023//Online Payment//Cancelled*Delayed Delivery:Bad Weather Conditions ")</f>
        <v>//ord_82169//Mehul Thakkar//Malad//Sweet Corn+1*Nithin Lal/4/17/2023//Online Payment//Cancelled*Delayed Delivery:Bad Weather Conditions </v>
      </c>
      <c r="B2195" s="14" t="str">
        <f>IFERROR(__xludf.DUMMYFUNCTION("split(A2195,""//"")"),"ord_82169")</f>
        <v>ord_82169</v>
      </c>
      <c r="C2195" s="14" t="str">
        <f>IFERROR(__xludf.DUMMYFUNCTION("""COMPUTED_VALUE"""),"Mehul Thakkar")</f>
        <v>Mehul Thakkar</v>
      </c>
      <c r="D2195" s="14" t="str">
        <f>IFERROR(__xludf.DUMMYFUNCTION("""COMPUTED_VALUE"""),"Malad")</f>
        <v>Malad</v>
      </c>
      <c r="E2195" s="14" t="str">
        <f>IFERROR(__xludf.DUMMYFUNCTION("""COMPUTED_VALUE"""),"Sweet Corn+1*Nithin Lal")</f>
        <v>Sweet Corn+1*Nithin Lal</v>
      </c>
      <c r="F2195" s="14">
        <f>IFERROR(__xludf.DUMMYFUNCTION("""COMPUTED_VALUE"""),4.0)</f>
        <v>4</v>
      </c>
      <c r="G2195" s="14">
        <f>IFERROR(__xludf.DUMMYFUNCTION("""COMPUTED_VALUE"""),17.0)</f>
        <v>17</v>
      </c>
      <c r="H2195" s="14">
        <f>IFERROR(__xludf.DUMMYFUNCTION("""COMPUTED_VALUE"""),2023.0)</f>
        <v>2023</v>
      </c>
      <c r="I2195" s="14" t="str">
        <f>IFERROR(__xludf.DUMMYFUNCTION("""COMPUTED_VALUE"""),"Online Payment")</f>
        <v>Online Payment</v>
      </c>
      <c r="J2195" s="14" t="str">
        <f>IFERROR(__xludf.DUMMYFUNCTION("""COMPUTED_VALUE"""),"Cancelled*Delayed Delivery:Bad Weather Conditions ")</f>
        <v>Cancelled*Delayed Delivery:Bad Weather Conditions </v>
      </c>
      <c r="K2195" s="14" t="str">
        <f>IFERROR(__xludf.DUMMYFUNCTION("split(E2195,""+"")"),"Sweet Corn")</f>
        <v>Sweet Corn</v>
      </c>
      <c r="L2195" s="14" t="str">
        <f>IFERROR(__xludf.DUMMYFUNCTION("""COMPUTED_VALUE"""),"1*Nithin Lal")</f>
        <v>1*Nithin Lal</v>
      </c>
      <c r="M2195" s="14">
        <f>IFERROR(__xludf.DUMMYFUNCTION("SPLIT(L2195,""*"")"),1.0)</f>
        <v>1</v>
      </c>
      <c r="N2195" s="14" t="str">
        <f>IFERROR(__xludf.DUMMYFUNCTION("""COMPUTED_VALUE"""),"Nithin Lal")</f>
        <v>Nithin Lal</v>
      </c>
      <c r="O2195" s="14" t="str">
        <f>IFERROR(__xludf.DUMMYFUNCTION("split(J2195,""*"")"),"Cancelled")</f>
        <v>Cancelled</v>
      </c>
      <c r="P2195" s="14" t="str">
        <f>IFERROR(__xludf.DUMMYFUNCTION("""COMPUTED_VALUE"""),"Delayed Delivery:Bad Weather Conditions ")</f>
        <v>Delayed Delivery:Bad Weather Conditions </v>
      </c>
      <c r="Q2195" s="14" t="str">
        <f>IFERROR(__xludf.DUMMYFUNCTION("split(P2195,"":"")"),"Delayed Delivery")</f>
        <v>Delayed Delivery</v>
      </c>
      <c r="R2195" s="14" t="str">
        <f>IFERROR(__xludf.DUMMYFUNCTION("""COMPUTED_VALUE"""),"Bad Weather Conditions ")</f>
        <v>Bad Weather Conditions </v>
      </c>
      <c r="S2195" s="14" t="str">
        <f t="shared" ref="S2195:U2195" si="4393">trim(B2195)</f>
        <v>ord_82169</v>
      </c>
      <c r="T2195" s="14" t="str">
        <f t="shared" si="4393"/>
        <v>Mehul Thakkar</v>
      </c>
      <c r="U2195" s="14" t="str">
        <f t="shared" si="4393"/>
        <v>Malad</v>
      </c>
      <c r="V2195" s="14" t="str">
        <f t="shared" si="4"/>
        <v>Sweet Corn</v>
      </c>
      <c r="W2195" s="14">
        <f t="shared" si="5"/>
        <v>1</v>
      </c>
      <c r="X2195" s="14" t="str">
        <f t="shared" si="6"/>
        <v>Nithin Lal</v>
      </c>
      <c r="Y2195" s="15">
        <f t="shared" si="7"/>
        <v>45033</v>
      </c>
      <c r="Z2195" s="14" t="str">
        <f t="shared" si="8"/>
        <v>Online Payment</v>
      </c>
      <c r="AA2195" s="14" t="str">
        <f t="shared" si="9"/>
        <v>Cancelled</v>
      </c>
      <c r="AB2195" s="14" t="str">
        <f t="shared" ref="AB2195:AC2195" si="4394">trim(Q2195)</f>
        <v>Delayed Delivery</v>
      </c>
      <c r="AC2195" s="14" t="str">
        <f t="shared" si="4394"/>
        <v>Bad Weather Conditions</v>
      </c>
      <c r="AD2195" s="8"/>
    </row>
    <row r="2196">
      <c r="A2196" s="14" t="str">
        <f>IFERROR(__xludf.DUMMYFUNCTION("""COMPUTED_VALUE"""),"//ord_82170//Pranav Joshi//Andheri//Cold Coffee+3*Shine Thomas/12/9/2023//Credit Card//Delivered*Quality of Items: Perfect condition")</f>
        <v>//ord_82170//Pranav Joshi//Andheri//Cold Coffee+3*Shine Thomas/12/9/2023//Credit Card//Delivered*Quality of Items: Perfect condition</v>
      </c>
      <c r="B2196" s="14" t="str">
        <f>IFERROR(__xludf.DUMMYFUNCTION("split(A2196,""//"")"),"ord_82170")</f>
        <v>ord_82170</v>
      </c>
      <c r="C2196" s="14" t="str">
        <f>IFERROR(__xludf.DUMMYFUNCTION("""COMPUTED_VALUE"""),"Pranav Joshi")</f>
        <v>Pranav Joshi</v>
      </c>
      <c r="D2196" s="14" t="str">
        <f>IFERROR(__xludf.DUMMYFUNCTION("""COMPUTED_VALUE"""),"Andheri")</f>
        <v>Andheri</v>
      </c>
      <c r="E2196" s="14" t="str">
        <f>IFERROR(__xludf.DUMMYFUNCTION("""COMPUTED_VALUE"""),"Cold Coffee+3*Shine Thomas")</f>
        <v>Cold Coffee+3*Shine Thomas</v>
      </c>
      <c r="F2196" s="14">
        <f>IFERROR(__xludf.DUMMYFUNCTION("""COMPUTED_VALUE"""),12.0)</f>
        <v>12</v>
      </c>
      <c r="G2196" s="14">
        <f>IFERROR(__xludf.DUMMYFUNCTION("""COMPUTED_VALUE"""),9.0)</f>
        <v>9</v>
      </c>
      <c r="H2196" s="14">
        <f>IFERROR(__xludf.DUMMYFUNCTION("""COMPUTED_VALUE"""),2023.0)</f>
        <v>2023</v>
      </c>
      <c r="I2196" s="14" t="str">
        <f>IFERROR(__xludf.DUMMYFUNCTION("""COMPUTED_VALUE"""),"Credit Card")</f>
        <v>Credit Card</v>
      </c>
      <c r="J2196" s="14" t="str">
        <f>IFERROR(__xludf.DUMMYFUNCTION("""COMPUTED_VALUE"""),"Delivered*Quality of Items: Perfect condition")</f>
        <v>Delivered*Quality of Items: Perfect condition</v>
      </c>
      <c r="K2196" s="14" t="str">
        <f>IFERROR(__xludf.DUMMYFUNCTION("split(E2196,""+"")"),"Cold Coffee")</f>
        <v>Cold Coffee</v>
      </c>
      <c r="L2196" s="14" t="str">
        <f>IFERROR(__xludf.DUMMYFUNCTION("""COMPUTED_VALUE"""),"3*Shine Thomas")</f>
        <v>3*Shine Thomas</v>
      </c>
      <c r="M2196" s="14">
        <f>IFERROR(__xludf.DUMMYFUNCTION("SPLIT(L2196,""*"")"),3.0)</f>
        <v>3</v>
      </c>
      <c r="N2196" s="14" t="str">
        <f>IFERROR(__xludf.DUMMYFUNCTION("""COMPUTED_VALUE"""),"Shine Thomas")</f>
        <v>Shine Thomas</v>
      </c>
      <c r="O2196" s="14" t="str">
        <f>IFERROR(__xludf.DUMMYFUNCTION("split(J2196,""*"")"),"Delivered")</f>
        <v>Delivered</v>
      </c>
      <c r="P2196" s="14" t="str">
        <f>IFERROR(__xludf.DUMMYFUNCTION("""COMPUTED_VALUE"""),"Quality of Items: Perfect condition")</f>
        <v>Quality of Items: Perfect condition</v>
      </c>
      <c r="Q2196" s="14" t="str">
        <f>IFERROR(__xludf.DUMMYFUNCTION("split(P2196,"":"")"),"Quality of Items")</f>
        <v>Quality of Items</v>
      </c>
      <c r="R2196" s="14" t="str">
        <f>IFERROR(__xludf.DUMMYFUNCTION("""COMPUTED_VALUE""")," Perfect condition")</f>
        <v> Perfect condition</v>
      </c>
      <c r="S2196" s="14" t="str">
        <f t="shared" ref="S2196:U2196" si="4395">trim(B2196)</f>
        <v>ord_82170</v>
      </c>
      <c r="T2196" s="14" t="str">
        <f t="shared" si="4395"/>
        <v>Pranav Joshi</v>
      </c>
      <c r="U2196" s="14" t="str">
        <f t="shared" si="4395"/>
        <v>Andheri</v>
      </c>
      <c r="V2196" s="14" t="str">
        <f t="shared" si="4"/>
        <v>Cold Coffee</v>
      </c>
      <c r="W2196" s="14">
        <f t="shared" si="5"/>
        <v>3</v>
      </c>
      <c r="X2196" s="14" t="str">
        <f t="shared" si="6"/>
        <v>Shine Thomas</v>
      </c>
      <c r="Y2196" s="15">
        <f t="shared" si="7"/>
        <v>45269</v>
      </c>
      <c r="Z2196" s="14" t="str">
        <f t="shared" si="8"/>
        <v>Credit Card</v>
      </c>
      <c r="AA2196" s="14" t="str">
        <f t="shared" si="9"/>
        <v>Delivered</v>
      </c>
      <c r="AB2196" s="14" t="str">
        <f t="shared" ref="AB2196:AC2196" si="4396">trim(Q2196)</f>
        <v>Quality of Items</v>
      </c>
      <c r="AC2196" s="14" t="str">
        <f t="shared" si="4396"/>
        <v>Perfect condition</v>
      </c>
      <c r="AD2196" s="8"/>
    </row>
    <row r="2197">
      <c r="A2197" s="14" t="str">
        <f>IFERROR(__xludf.DUMMYFUNCTION("""COMPUTED_VALUE"""),"//ord_82171//Dev Chauhan//Bandra//Banana+2*Sita T/12/21/2023//Online Payment//Delivered*On-time Delivery: Delivered on time")</f>
        <v>//ord_82171//Dev Chauhan//Bandra//Banana+2*Sita T/12/21/2023//Online Payment//Delivered*On-time Delivery: Delivered on time</v>
      </c>
      <c r="B2197" s="14" t="str">
        <f>IFERROR(__xludf.DUMMYFUNCTION("split(A2197,""//"")"),"ord_82171")</f>
        <v>ord_82171</v>
      </c>
      <c r="C2197" s="14" t="str">
        <f>IFERROR(__xludf.DUMMYFUNCTION("""COMPUTED_VALUE"""),"Dev Chauhan")</f>
        <v>Dev Chauhan</v>
      </c>
      <c r="D2197" s="14" t="str">
        <f>IFERROR(__xludf.DUMMYFUNCTION("""COMPUTED_VALUE"""),"Bandra")</f>
        <v>Bandra</v>
      </c>
      <c r="E2197" s="14" t="str">
        <f>IFERROR(__xludf.DUMMYFUNCTION("""COMPUTED_VALUE"""),"Banana+2*Sita T")</f>
        <v>Banana+2*Sita T</v>
      </c>
      <c r="F2197" s="14">
        <f>IFERROR(__xludf.DUMMYFUNCTION("""COMPUTED_VALUE"""),12.0)</f>
        <v>12</v>
      </c>
      <c r="G2197" s="14">
        <f>IFERROR(__xludf.DUMMYFUNCTION("""COMPUTED_VALUE"""),21.0)</f>
        <v>21</v>
      </c>
      <c r="H2197" s="14">
        <f>IFERROR(__xludf.DUMMYFUNCTION("""COMPUTED_VALUE"""),2023.0)</f>
        <v>2023</v>
      </c>
      <c r="I2197" s="14" t="str">
        <f>IFERROR(__xludf.DUMMYFUNCTION("""COMPUTED_VALUE"""),"Online Payment")</f>
        <v>Online Payment</v>
      </c>
      <c r="J2197" s="14" t="str">
        <f>IFERROR(__xludf.DUMMYFUNCTION("""COMPUTED_VALUE"""),"Delivered*On-time Delivery: Delivered on time")</f>
        <v>Delivered*On-time Delivery: Delivered on time</v>
      </c>
      <c r="K2197" s="14" t="str">
        <f>IFERROR(__xludf.DUMMYFUNCTION("split(E2197,""+"")"),"Banana")</f>
        <v>Banana</v>
      </c>
      <c r="L2197" s="14" t="str">
        <f>IFERROR(__xludf.DUMMYFUNCTION("""COMPUTED_VALUE"""),"2*Sita T")</f>
        <v>2*Sita T</v>
      </c>
      <c r="M2197" s="14">
        <f>IFERROR(__xludf.DUMMYFUNCTION("SPLIT(L2197,""*"")"),2.0)</f>
        <v>2</v>
      </c>
      <c r="N2197" s="14" t="str">
        <f>IFERROR(__xludf.DUMMYFUNCTION("""COMPUTED_VALUE"""),"Sita T")</f>
        <v>Sita T</v>
      </c>
      <c r="O2197" s="14" t="str">
        <f>IFERROR(__xludf.DUMMYFUNCTION("split(J2197,""*"")"),"Delivered")</f>
        <v>Delivered</v>
      </c>
      <c r="P2197" s="14" t="str">
        <f>IFERROR(__xludf.DUMMYFUNCTION("""COMPUTED_VALUE"""),"On-time Delivery: Delivered on time")</f>
        <v>On-time Delivery: Delivered on time</v>
      </c>
      <c r="Q2197" s="14" t="str">
        <f>IFERROR(__xludf.DUMMYFUNCTION("split(P2197,"":"")"),"On-time Delivery")</f>
        <v>On-time Delivery</v>
      </c>
      <c r="R2197" s="14" t="str">
        <f>IFERROR(__xludf.DUMMYFUNCTION("""COMPUTED_VALUE""")," Delivered on time")</f>
        <v> Delivered on time</v>
      </c>
      <c r="S2197" s="14" t="str">
        <f t="shared" ref="S2197:U2197" si="4397">trim(B2197)</f>
        <v>ord_82171</v>
      </c>
      <c r="T2197" s="14" t="str">
        <f t="shared" si="4397"/>
        <v>Dev Chauhan</v>
      </c>
      <c r="U2197" s="14" t="str">
        <f t="shared" si="4397"/>
        <v>Bandra</v>
      </c>
      <c r="V2197" s="14" t="str">
        <f t="shared" si="4"/>
        <v>Banana</v>
      </c>
      <c r="W2197" s="14">
        <f t="shared" si="5"/>
        <v>2</v>
      </c>
      <c r="X2197" s="14" t="str">
        <f t="shared" si="6"/>
        <v>Sita T</v>
      </c>
      <c r="Y2197" s="15">
        <f t="shared" si="7"/>
        <v>45281</v>
      </c>
      <c r="Z2197" s="14" t="str">
        <f t="shared" si="8"/>
        <v>Online Payment</v>
      </c>
      <c r="AA2197" s="14" t="str">
        <f t="shared" si="9"/>
        <v>Delivered</v>
      </c>
      <c r="AB2197" s="14" t="str">
        <f t="shared" ref="AB2197:AC2197" si="4398">trim(Q2197)</f>
        <v>On-time Delivery</v>
      </c>
      <c r="AC2197" s="14" t="str">
        <f t="shared" si="4398"/>
        <v>Delivered on time</v>
      </c>
      <c r="AD2197" s="8"/>
    </row>
    <row r="2198">
      <c r="A2198" s="14" t="str">
        <f>IFERROR(__xludf.DUMMYFUNCTION("""COMPUTED_VALUE"""),"//ord_82172//Anaya Rao//Colaba//Chicken Puff+2*Vivek Kumar/10/2/2023//UPI//Delivered*Quality of Items: Perfect condition")</f>
        <v>//ord_82172//Anaya Rao//Colaba//Chicken Puff+2*Vivek Kumar/10/2/2023//UPI//Delivered*Quality of Items: Perfect condition</v>
      </c>
      <c r="B2198" s="14" t="str">
        <f>IFERROR(__xludf.DUMMYFUNCTION("split(A2198,""//"")"),"ord_82172")</f>
        <v>ord_82172</v>
      </c>
      <c r="C2198" s="14" t="str">
        <f>IFERROR(__xludf.DUMMYFUNCTION("""COMPUTED_VALUE"""),"Anaya Rao")</f>
        <v>Anaya Rao</v>
      </c>
      <c r="D2198" s="14" t="str">
        <f>IFERROR(__xludf.DUMMYFUNCTION("""COMPUTED_VALUE"""),"Colaba")</f>
        <v>Colaba</v>
      </c>
      <c r="E2198" s="14" t="str">
        <f>IFERROR(__xludf.DUMMYFUNCTION("""COMPUTED_VALUE"""),"Chicken Puff+2*Vivek Kumar")</f>
        <v>Chicken Puff+2*Vivek Kumar</v>
      </c>
      <c r="F2198" s="14">
        <f>IFERROR(__xludf.DUMMYFUNCTION("""COMPUTED_VALUE"""),10.0)</f>
        <v>10</v>
      </c>
      <c r="G2198" s="14">
        <f>IFERROR(__xludf.DUMMYFUNCTION("""COMPUTED_VALUE"""),2.0)</f>
        <v>2</v>
      </c>
      <c r="H2198" s="14">
        <f>IFERROR(__xludf.DUMMYFUNCTION("""COMPUTED_VALUE"""),2023.0)</f>
        <v>2023</v>
      </c>
      <c r="I2198" s="14" t="str">
        <f>IFERROR(__xludf.DUMMYFUNCTION("""COMPUTED_VALUE"""),"UPI")</f>
        <v>UPI</v>
      </c>
      <c r="J2198" s="14" t="str">
        <f>IFERROR(__xludf.DUMMYFUNCTION("""COMPUTED_VALUE"""),"Delivered*Quality of Items: Perfect condition")</f>
        <v>Delivered*Quality of Items: Perfect condition</v>
      </c>
      <c r="K2198" s="14" t="str">
        <f>IFERROR(__xludf.DUMMYFUNCTION("split(E2198,""+"")"),"Chicken Puff")</f>
        <v>Chicken Puff</v>
      </c>
      <c r="L2198" s="14" t="str">
        <f>IFERROR(__xludf.DUMMYFUNCTION("""COMPUTED_VALUE"""),"2*Vivek Kumar")</f>
        <v>2*Vivek Kumar</v>
      </c>
      <c r="M2198" s="14">
        <f>IFERROR(__xludf.DUMMYFUNCTION("SPLIT(L2198,""*"")"),2.0)</f>
        <v>2</v>
      </c>
      <c r="N2198" s="14" t="str">
        <f>IFERROR(__xludf.DUMMYFUNCTION("""COMPUTED_VALUE"""),"Vivek Kumar")</f>
        <v>Vivek Kumar</v>
      </c>
      <c r="O2198" s="14" t="str">
        <f>IFERROR(__xludf.DUMMYFUNCTION("split(J2198,""*"")"),"Delivered")</f>
        <v>Delivered</v>
      </c>
      <c r="P2198" s="14" t="str">
        <f>IFERROR(__xludf.DUMMYFUNCTION("""COMPUTED_VALUE"""),"Quality of Items: Perfect condition")</f>
        <v>Quality of Items: Perfect condition</v>
      </c>
      <c r="Q2198" s="14" t="str">
        <f>IFERROR(__xludf.DUMMYFUNCTION("split(P2198,"":"")"),"Quality of Items")</f>
        <v>Quality of Items</v>
      </c>
      <c r="R2198" s="14" t="str">
        <f>IFERROR(__xludf.DUMMYFUNCTION("""COMPUTED_VALUE""")," Perfect condition")</f>
        <v> Perfect condition</v>
      </c>
      <c r="S2198" s="14" t="str">
        <f t="shared" ref="S2198:U2198" si="4399">trim(B2198)</f>
        <v>ord_82172</v>
      </c>
      <c r="T2198" s="14" t="str">
        <f t="shared" si="4399"/>
        <v>Anaya Rao</v>
      </c>
      <c r="U2198" s="14" t="str">
        <f t="shared" si="4399"/>
        <v>Colaba</v>
      </c>
      <c r="V2198" s="14" t="str">
        <f t="shared" si="4"/>
        <v>Chicken Puff</v>
      </c>
      <c r="W2198" s="14">
        <f t="shared" si="5"/>
        <v>2</v>
      </c>
      <c r="X2198" s="14" t="str">
        <f t="shared" si="6"/>
        <v>Vivek Kumar</v>
      </c>
      <c r="Y2198" s="15">
        <f t="shared" si="7"/>
        <v>45201</v>
      </c>
      <c r="Z2198" s="14" t="str">
        <f t="shared" si="8"/>
        <v>UPI</v>
      </c>
      <c r="AA2198" s="14" t="str">
        <f t="shared" si="9"/>
        <v>Delivered</v>
      </c>
      <c r="AB2198" s="14" t="str">
        <f t="shared" ref="AB2198:AC2198" si="4400">trim(Q2198)</f>
        <v>Quality of Items</v>
      </c>
      <c r="AC2198" s="14" t="str">
        <f t="shared" si="4400"/>
        <v>Perfect condition</v>
      </c>
      <c r="AD2198" s="8"/>
    </row>
    <row r="2199">
      <c r="A2199" s="14" t="str">
        <f>IFERROR(__xludf.DUMMYFUNCTION("""COMPUTED_VALUE"""),"//ord_82173//Ishaan Chaturvedi//Bandra//Orange+1*Nithin Lal/8/23/2023//Credit Card//Delivered*Packaging: Secure and intact")</f>
        <v>//ord_82173//Ishaan Chaturvedi//Bandra//Orange+1*Nithin Lal/8/23/2023//Credit Card//Delivered*Packaging: Secure and intact</v>
      </c>
      <c r="B2199" s="14" t="str">
        <f>IFERROR(__xludf.DUMMYFUNCTION("split(A2199,""//"")"),"ord_82173")</f>
        <v>ord_82173</v>
      </c>
      <c r="C2199" s="14" t="str">
        <f>IFERROR(__xludf.DUMMYFUNCTION("""COMPUTED_VALUE"""),"Ishaan Chaturvedi")</f>
        <v>Ishaan Chaturvedi</v>
      </c>
      <c r="D2199" s="14" t="str">
        <f>IFERROR(__xludf.DUMMYFUNCTION("""COMPUTED_VALUE"""),"Bandra")</f>
        <v>Bandra</v>
      </c>
      <c r="E2199" s="14" t="str">
        <f>IFERROR(__xludf.DUMMYFUNCTION("""COMPUTED_VALUE"""),"Orange+1*Nithin Lal")</f>
        <v>Orange+1*Nithin Lal</v>
      </c>
      <c r="F2199" s="14">
        <f>IFERROR(__xludf.DUMMYFUNCTION("""COMPUTED_VALUE"""),8.0)</f>
        <v>8</v>
      </c>
      <c r="G2199" s="14">
        <f>IFERROR(__xludf.DUMMYFUNCTION("""COMPUTED_VALUE"""),23.0)</f>
        <v>23</v>
      </c>
      <c r="H2199" s="14">
        <f>IFERROR(__xludf.DUMMYFUNCTION("""COMPUTED_VALUE"""),2023.0)</f>
        <v>2023</v>
      </c>
      <c r="I2199" s="14" t="str">
        <f>IFERROR(__xludf.DUMMYFUNCTION("""COMPUTED_VALUE"""),"Credit Card")</f>
        <v>Credit Card</v>
      </c>
      <c r="J2199" s="14" t="str">
        <f>IFERROR(__xludf.DUMMYFUNCTION("""COMPUTED_VALUE"""),"Delivered*Packaging: Secure and intact")</f>
        <v>Delivered*Packaging: Secure and intact</v>
      </c>
      <c r="K2199" s="14" t="str">
        <f>IFERROR(__xludf.DUMMYFUNCTION("split(E2199,""+"")"),"Orange")</f>
        <v>Orange</v>
      </c>
      <c r="L2199" s="14" t="str">
        <f>IFERROR(__xludf.DUMMYFUNCTION("""COMPUTED_VALUE"""),"1*Nithin Lal")</f>
        <v>1*Nithin Lal</v>
      </c>
      <c r="M2199" s="14">
        <f>IFERROR(__xludf.DUMMYFUNCTION("SPLIT(L2199,""*"")"),1.0)</f>
        <v>1</v>
      </c>
      <c r="N2199" s="14" t="str">
        <f>IFERROR(__xludf.DUMMYFUNCTION("""COMPUTED_VALUE"""),"Nithin Lal")</f>
        <v>Nithin Lal</v>
      </c>
      <c r="O2199" s="14" t="str">
        <f>IFERROR(__xludf.DUMMYFUNCTION("split(J2199,""*"")"),"Delivered")</f>
        <v>Delivered</v>
      </c>
      <c r="P2199" s="14" t="str">
        <f>IFERROR(__xludf.DUMMYFUNCTION("""COMPUTED_VALUE"""),"Packaging: Secure and intact")</f>
        <v>Packaging: Secure and intact</v>
      </c>
      <c r="Q2199" s="14" t="str">
        <f>IFERROR(__xludf.DUMMYFUNCTION("split(P2199,"":"")"),"Packaging")</f>
        <v>Packaging</v>
      </c>
      <c r="R2199" s="14" t="str">
        <f>IFERROR(__xludf.DUMMYFUNCTION("""COMPUTED_VALUE""")," Secure and intact")</f>
        <v> Secure and intact</v>
      </c>
      <c r="S2199" s="14" t="str">
        <f t="shared" ref="S2199:U2199" si="4401">trim(B2199)</f>
        <v>ord_82173</v>
      </c>
      <c r="T2199" s="14" t="str">
        <f t="shared" si="4401"/>
        <v>Ishaan Chaturvedi</v>
      </c>
      <c r="U2199" s="14" t="str">
        <f t="shared" si="4401"/>
        <v>Bandra</v>
      </c>
      <c r="V2199" s="14" t="str">
        <f t="shared" si="4"/>
        <v>Orange</v>
      </c>
      <c r="W2199" s="14">
        <f t="shared" si="5"/>
        <v>1</v>
      </c>
      <c r="X2199" s="14" t="str">
        <f t="shared" si="6"/>
        <v>Nithin Lal</v>
      </c>
      <c r="Y2199" s="15">
        <f t="shared" si="7"/>
        <v>45161</v>
      </c>
      <c r="Z2199" s="14" t="str">
        <f t="shared" si="8"/>
        <v>Credit Card</v>
      </c>
      <c r="AA2199" s="14" t="str">
        <f t="shared" si="9"/>
        <v>Delivered</v>
      </c>
      <c r="AB2199" s="14" t="str">
        <f t="shared" ref="AB2199:AC2199" si="4402">trim(Q2199)</f>
        <v>Packaging</v>
      </c>
      <c r="AC2199" s="14" t="str">
        <f t="shared" si="4402"/>
        <v>Secure and intact</v>
      </c>
      <c r="AD2199" s="8"/>
    </row>
    <row r="2200">
      <c r="A2200" s="14" t="str">
        <f>IFERROR(__xludf.DUMMYFUNCTION("""COMPUTED_VALUE"""),"//ord_82174//Ishita Banerjee//Juhu//Sweet Corn+1*Nikhil Deshmukh/4/12/2023//Credit Card//Cancelled*Delayed Delivery:Heavy Traffic")</f>
        <v>//ord_82174//Ishita Banerjee//Juhu//Sweet Corn+1*Nikhil Deshmukh/4/12/2023//Credit Card//Cancelled*Delayed Delivery:Heavy Traffic</v>
      </c>
      <c r="B2200" s="14" t="str">
        <f>IFERROR(__xludf.DUMMYFUNCTION("split(A2200,""//"")"),"ord_82174")</f>
        <v>ord_82174</v>
      </c>
      <c r="C2200" s="14" t="str">
        <f>IFERROR(__xludf.DUMMYFUNCTION("""COMPUTED_VALUE"""),"Ishita Banerjee")</f>
        <v>Ishita Banerjee</v>
      </c>
      <c r="D2200" s="14" t="str">
        <f>IFERROR(__xludf.DUMMYFUNCTION("""COMPUTED_VALUE"""),"Juhu")</f>
        <v>Juhu</v>
      </c>
      <c r="E2200" s="14" t="str">
        <f>IFERROR(__xludf.DUMMYFUNCTION("""COMPUTED_VALUE"""),"Sweet Corn+1*Nikhil Deshmukh")</f>
        <v>Sweet Corn+1*Nikhil Deshmukh</v>
      </c>
      <c r="F2200" s="14">
        <f>IFERROR(__xludf.DUMMYFUNCTION("""COMPUTED_VALUE"""),4.0)</f>
        <v>4</v>
      </c>
      <c r="G2200" s="14">
        <f>IFERROR(__xludf.DUMMYFUNCTION("""COMPUTED_VALUE"""),12.0)</f>
        <v>12</v>
      </c>
      <c r="H2200" s="14">
        <f>IFERROR(__xludf.DUMMYFUNCTION("""COMPUTED_VALUE"""),2023.0)</f>
        <v>2023</v>
      </c>
      <c r="I2200" s="14" t="str">
        <f>IFERROR(__xludf.DUMMYFUNCTION("""COMPUTED_VALUE"""),"Credit Card")</f>
        <v>Credit Card</v>
      </c>
      <c r="J2200" s="14" t="str">
        <f>IFERROR(__xludf.DUMMYFUNCTION("""COMPUTED_VALUE"""),"Cancelled*Delayed Delivery:Heavy Traffic")</f>
        <v>Cancelled*Delayed Delivery:Heavy Traffic</v>
      </c>
      <c r="K2200" s="14" t="str">
        <f>IFERROR(__xludf.DUMMYFUNCTION("split(E2200,""+"")"),"Sweet Corn")</f>
        <v>Sweet Corn</v>
      </c>
      <c r="L2200" s="14" t="str">
        <f>IFERROR(__xludf.DUMMYFUNCTION("""COMPUTED_VALUE"""),"1*Nikhil Deshmukh")</f>
        <v>1*Nikhil Deshmukh</v>
      </c>
      <c r="M2200" s="14">
        <f>IFERROR(__xludf.DUMMYFUNCTION("SPLIT(L2200,""*"")"),1.0)</f>
        <v>1</v>
      </c>
      <c r="N2200" s="14" t="str">
        <f>IFERROR(__xludf.DUMMYFUNCTION("""COMPUTED_VALUE"""),"Nikhil Deshmukh")</f>
        <v>Nikhil Deshmukh</v>
      </c>
      <c r="O2200" s="14" t="str">
        <f>IFERROR(__xludf.DUMMYFUNCTION("split(J2200,""*"")"),"Cancelled")</f>
        <v>Cancelled</v>
      </c>
      <c r="P2200" s="14" t="str">
        <f>IFERROR(__xludf.DUMMYFUNCTION("""COMPUTED_VALUE"""),"Delayed Delivery:Heavy Traffic")</f>
        <v>Delayed Delivery:Heavy Traffic</v>
      </c>
      <c r="Q2200" s="14" t="str">
        <f>IFERROR(__xludf.DUMMYFUNCTION("split(P2200,"":"")"),"Delayed Delivery")</f>
        <v>Delayed Delivery</v>
      </c>
      <c r="R2200" s="14" t="str">
        <f>IFERROR(__xludf.DUMMYFUNCTION("""COMPUTED_VALUE"""),"Heavy Traffic")</f>
        <v>Heavy Traffic</v>
      </c>
      <c r="S2200" s="14" t="str">
        <f t="shared" ref="S2200:U2200" si="4403">trim(B2200)</f>
        <v>ord_82174</v>
      </c>
      <c r="T2200" s="14" t="str">
        <f t="shared" si="4403"/>
        <v>Ishita Banerjee</v>
      </c>
      <c r="U2200" s="14" t="str">
        <f t="shared" si="4403"/>
        <v>Juhu</v>
      </c>
      <c r="V2200" s="14" t="str">
        <f t="shared" si="4"/>
        <v>Sweet Corn</v>
      </c>
      <c r="W2200" s="14">
        <f t="shared" si="5"/>
        <v>1</v>
      </c>
      <c r="X2200" s="14" t="str">
        <f t="shared" si="6"/>
        <v>Nikhil Deshmukh</v>
      </c>
      <c r="Y2200" s="15">
        <f t="shared" si="7"/>
        <v>45028</v>
      </c>
      <c r="Z2200" s="14" t="str">
        <f t="shared" si="8"/>
        <v>Credit Card</v>
      </c>
      <c r="AA2200" s="14" t="str">
        <f t="shared" si="9"/>
        <v>Cancelled</v>
      </c>
      <c r="AB2200" s="14" t="str">
        <f t="shared" ref="AB2200:AC2200" si="4404">trim(Q2200)</f>
        <v>Delayed Delivery</v>
      </c>
      <c r="AC2200" s="14" t="str">
        <f t="shared" si="4404"/>
        <v>Heavy Traffic</v>
      </c>
      <c r="AD2200" s="8"/>
    </row>
    <row r="2201">
      <c r="A2201" s="14" t="str">
        <f>IFERROR(__xludf.DUMMYFUNCTION("""COMPUTED_VALUE"""),"//ord_82175//Aditi Iyer//Dadar//Orange+2*Ramesh S/5/15/2023//Credit Card//Delivered*Satisfied with the Delivery: Timely and quality")</f>
        <v>//ord_82175//Aditi Iyer//Dadar//Orange+2*Ramesh S/5/15/2023//Credit Card//Delivered*Satisfied with the Delivery: Timely and quality</v>
      </c>
      <c r="B2201" s="14" t="str">
        <f>IFERROR(__xludf.DUMMYFUNCTION("split(A2201,""//"")"),"ord_82175")</f>
        <v>ord_82175</v>
      </c>
      <c r="C2201" s="14" t="str">
        <f>IFERROR(__xludf.DUMMYFUNCTION("""COMPUTED_VALUE"""),"Aditi Iyer")</f>
        <v>Aditi Iyer</v>
      </c>
      <c r="D2201" s="14" t="str">
        <f>IFERROR(__xludf.DUMMYFUNCTION("""COMPUTED_VALUE"""),"Dadar")</f>
        <v>Dadar</v>
      </c>
      <c r="E2201" s="14" t="str">
        <f>IFERROR(__xludf.DUMMYFUNCTION("""COMPUTED_VALUE"""),"Orange+2*Ramesh S")</f>
        <v>Orange+2*Ramesh S</v>
      </c>
      <c r="F2201" s="14">
        <f>IFERROR(__xludf.DUMMYFUNCTION("""COMPUTED_VALUE"""),5.0)</f>
        <v>5</v>
      </c>
      <c r="G2201" s="14">
        <f>IFERROR(__xludf.DUMMYFUNCTION("""COMPUTED_VALUE"""),15.0)</f>
        <v>15</v>
      </c>
      <c r="H2201" s="14">
        <f>IFERROR(__xludf.DUMMYFUNCTION("""COMPUTED_VALUE"""),2023.0)</f>
        <v>2023</v>
      </c>
      <c r="I2201" s="14" t="str">
        <f>IFERROR(__xludf.DUMMYFUNCTION("""COMPUTED_VALUE"""),"Credit Card")</f>
        <v>Credit Card</v>
      </c>
      <c r="J2201" s="14" t="str">
        <f>IFERROR(__xludf.DUMMYFUNCTION("""COMPUTED_VALUE"""),"Delivered*Satisfied with the Delivery: Timely and quality")</f>
        <v>Delivered*Satisfied with the Delivery: Timely and quality</v>
      </c>
      <c r="K2201" s="14" t="str">
        <f>IFERROR(__xludf.DUMMYFUNCTION("split(E2201,""+"")"),"Orange")</f>
        <v>Orange</v>
      </c>
      <c r="L2201" s="14" t="str">
        <f>IFERROR(__xludf.DUMMYFUNCTION("""COMPUTED_VALUE"""),"2*Ramesh S")</f>
        <v>2*Ramesh S</v>
      </c>
      <c r="M2201" s="14">
        <f>IFERROR(__xludf.DUMMYFUNCTION("SPLIT(L2201,""*"")"),2.0)</f>
        <v>2</v>
      </c>
      <c r="N2201" s="14" t="str">
        <f>IFERROR(__xludf.DUMMYFUNCTION("""COMPUTED_VALUE"""),"Ramesh S")</f>
        <v>Ramesh S</v>
      </c>
      <c r="O2201" s="14" t="str">
        <f>IFERROR(__xludf.DUMMYFUNCTION("split(J2201,""*"")"),"Delivered")</f>
        <v>Delivered</v>
      </c>
      <c r="P2201" s="14" t="str">
        <f>IFERROR(__xludf.DUMMYFUNCTION("""COMPUTED_VALUE"""),"Satisfied with the Delivery: Timely and quality")</f>
        <v>Satisfied with the Delivery: Timely and quality</v>
      </c>
      <c r="Q2201" s="14" t="str">
        <f>IFERROR(__xludf.DUMMYFUNCTION("split(P2201,"":"")"),"Satisfied with the Delivery")</f>
        <v>Satisfied with the Delivery</v>
      </c>
      <c r="R2201" s="14" t="str">
        <f>IFERROR(__xludf.DUMMYFUNCTION("""COMPUTED_VALUE""")," Timely and quality")</f>
        <v> Timely and quality</v>
      </c>
      <c r="S2201" s="14" t="str">
        <f t="shared" ref="S2201:U2201" si="4405">trim(B2201)</f>
        <v>ord_82175</v>
      </c>
      <c r="T2201" s="14" t="str">
        <f t="shared" si="4405"/>
        <v>Aditi Iyer</v>
      </c>
      <c r="U2201" s="14" t="str">
        <f t="shared" si="4405"/>
        <v>Dadar</v>
      </c>
      <c r="V2201" s="14" t="str">
        <f t="shared" si="4"/>
        <v>Orange</v>
      </c>
      <c r="W2201" s="14">
        <f t="shared" si="5"/>
        <v>2</v>
      </c>
      <c r="X2201" s="14" t="str">
        <f t="shared" si="6"/>
        <v>Ramesh S</v>
      </c>
      <c r="Y2201" s="15">
        <f t="shared" si="7"/>
        <v>45061</v>
      </c>
      <c r="Z2201" s="14" t="str">
        <f t="shared" si="8"/>
        <v>Credit Card</v>
      </c>
      <c r="AA2201" s="14" t="str">
        <f t="shared" si="9"/>
        <v>Delivered</v>
      </c>
      <c r="AB2201" s="14" t="str">
        <f t="shared" ref="AB2201:AC2201" si="4406">trim(Q2201)</f>
        <v>Satisfied with the Delivery</v>
      </c>
      <c r="AC2201" s="14" t="str">
        <f t="shared" si="4406"/>
        <v>Timely and quality</v>
      </c>
      <c r="AD2201" s="8"/>
    </row>
    <row r="2202">
      <c r="A2202" s="14" t="str">
        <f>IFERROR(__xludf.DUMMYFUNCTION("""COMPUTED_VALUE"""),"//ord_82176//Siya Reddy//Juhu//Cucumber+2*Not Assigned/3/30/2023//Online Payment//Cancelled*High Delivery Fees")</f>
        <v>//ord_82176//Siya Reddy//Juhu//Cucumber+2*Not Assigned/3/30/2023//Online Payment//Cancelled*High Delivery Fees</v>
      </c>
      <c r="B2202" s="14" t="str">
        <f>IFERROR(__xludf.DUMMYFUNCTION("split(A2202,""//"")"),"ord_82176")</f>
        <v>ord_82176</v>
      </c>
      <c r="C2202" s="14" t="str">
        <f>IFERROR(__xludf.DUMMYFUNCTION("""COMPUTED_VALUE"""),"Siya Reddy")</f>
        <v>Siya Reddy</v>
      </c>
      <c r="D2202" s="14" t="str">
        <f>IFERROR(__xludf.DUMMYFUNCTION("""COMPUTED_VALUE"""),"Juhu")</f>
        <v>Juhu</v>
      </c>
      <c r="E2202" s="14" t="str">
        <f>IFERROR(__xludf.DUMMYFUNCTION("""COMPUTED_VALUE"""),"Cucumber+2*Not Assigned")</f>
        <v>Cucumber+2*Not Assigned</v>
      </c>
      <c r="F2202" s="14">
        <f>IFERROR(__xludf.DUMMYFUNCTION("""COMPUTED_VALUE"""),3.0)</f>
        <v>3</v>
      </c>
      <c r="G2202" s="14">
        <f>IFERROR(__xludf.DUMMYFUNCTION("""COMPUTED_VALUE"""),30.0)</f>
        <v>30</v>
      </c>
      <c r="H2202" s="14">
        <f>IFERROR(__xludf.DUMMYFUNCTION("""COMPUTED_VALUE"""),2023.0)</f>
        <v>2023</v>
      </c>
      <c r="I2202" s="14" t="str">
        <f>IFERROR(__xludf.DUMMYFUNCTION("""COMPUTED_VALUE"""),"Online Payment")</f>
        <v>Online Payment</v>
      </c>
      <c r="J2202" s="14" t="str">
        <f>IFERROR(__xludf.DUMMYFUNCTION("""COMPUTED_VALUE"""),"Cancelled*High Delivery Fees")</f>
        <v>Cancelled*High Delivery Fees</v>
      </c>
      <c r="K2202" s="14" t="str">
        <f>IFERROR(__xludf.DUMMYFUNCTION("split(E2202,""+"")"),"Cucumber")</f>
        <v>Cucumber</v>
      </c>
      <c r="L2202" s="14" t="str">
        <f>IFERROR(__xludf.DUMMYFUNCTION("""COMPUTED_VALUE"""),"2*Not Assigned")</f>
        <v>2*Not Assigned</v>
      </c>
      <c r="M2202" s="14">
        <f>IFERROR(__xludf.DUMMYFUNCTION("SPLIT(L2202,""*"")"),2.0)</f>
        <v>2</v>
      </c>
      <c r="N2202" s="14" t="str">
        <f>IFERROR(__xludf.DUMMYFUNCTION("""COMPUTED_VALUE"""),"Not Assigned")</f>
        <v>Not Assigned</v>
      </c>
      <c r="O2202" s="14" t="str">
        <f>IFERROR(__xludf.DUMMYFUNCTION("split(J2202,""*"")"),"Cancelled")</f>
        <v>Cancelled</v>
      </c>
      <c r="P2202" s="14" t="str">
        <f>IFERROR(__xludf.DUMMYFUNCTION("""COMPUTED_VALUE"""),"High Delivery Fees")</f>
        <v>High Delivery Fees</v>
      </c>
      <c r="Q2202" s="14" t="str">
        <f>IFERROR(__xludf.DUMMYFUNCTION("split(P2202,"":"")"),"High Delivery Fees")</f>
        <v>High Delivery Fees</v>
      </c>
      <c r="R2202" s="14"/>
      <c r="S2202" s="14" t="str">
        <f t="shared" ref="S2202:U2202" si="4407">trim(B2202)</f>
        <v>ord_82176</v>
      </c>
      <c r="T2202" s="14" t="str">
        <f t="shared" si="4407"/>
        <v>Siya Reddy</v>
      </c>
      <c r="U2202" s="14" t="str">
        <f t="shared" si="4407"/>
        <v>Juhu</v>
      </c>
      <c r="V2202" s="14" t="str">
        <f t="shared" si="4"/>
        <v>Cucumber</v>
      </c>
      <c r="W2202" s="14">
        <f t="shared" si="5"/>
        <v>2</v>
      </c>
      <c r="X2202" s="14" t="str">
        <f t="shared" si="6"/>
        <v>Not Assigned</v>
      </c>
      <c r="Y2202" s="15">
        <f t="shared" si="7"/>
        <v>45015</v>
      </c>
      <c r="Z2202" s="14" t="str">
        <f t="shared" si="8"/>
        <v>Online Payment</v>
      </c>
      <c r="AA2202" s="14" t="str">
        <f t="shared" si="9"/>
        <v>Cancelled</v>
      </c>
      <c r="AB2202" s="14" t="str">
        <f t="shared" ref="AB2202:AC2202" si="4408">trim(Q2202)</f>
        <v>High Delivery Fees</v>
      </c>
      <c r="AC2202" s="14" t="str">
        <f t="shared" si="4408"/>
        <v/>
      </c>
      <c r="AD2202" s="8"/>
    </row>
    <row r="2203">
      <c r="A2203" s="14" t="str">
        <f>IFERROR(__xludf.DUMMYFUNCTION("""COMPUTED_VALUE"""),"//ord_82177//Sanjay Nair//Dadar//Veg Puff+1*Ramesh S/12/14/2023//UPI//Delivered*Customer Service: Seamless and easy")</f>
        <v>//ord_82177//Sanjay Nair//Dadar//Veg Puff+1*Ramesh S/12/14/2023//UPI//Delivered*Customer Service: Seamless and easy</v>
      </c>
      <c r="B2203" s="14" t="str">
        <f>IFERROR(__xludf.DUMMYFUNCTION("split(A2203,""//"")"),"ord_82177")</f>
        <v>ord_82177</v>
      </c>
      <c r="C2203" s="14" t="str">
        <f>IFERROR(__xludf.DUMMYFUNCTION("""COMPUTED_VALUE"""),"Sanjay Nair")</f>
        <v>Sanjay Nair</v>
      </c>
      <c r="D2203" s="14" t="str">
        <f>IFERROR(__xludf.DUMMYFUNCTION("""COMPUTED_VALUE"""),"Dadar")</f>
        <v>Dadar</v>
      </c>
      <c r="E2203" s="14" t="str">
        <f>IFERROR(__xludf.DUMMYFUNCTION("""COMPUTED_VALUE"""),"Veg Puff+1*Ramesh S")</f>
        <v>Veg Puff+1*Ramesh S</v>
      </c>
      <c r="F2203" s="14">
        <f>IFERROR(__xludf.DUMMYFUNCTION("""COMPUTED_VALUE"""),12.0)</f>
        <v>12</v>
      </c>
      <c r="G2203" s="14">
        <f>IFERROR(__xludf.DUMMYFUNCTION("""COMPUTED_VALUE"""),14.0)</f>
        <v>14</v>
      </c>
      <c r="H2203" s="14">
        <f>IFERROR(__xludf.DUMMYFUNCTION("""COMPUTED_VALUE"""),2023.0)</f>
        <v>2023</v>
      </c>
      <c r="I2203" s="14" t="str">
        <f>IFERROR(__xludf.DUMMYFUNCTION("""COMPUTED_VALUE"""),"UPI")</f>
        <v>UPI</v>
      </c>
      <c r="J2203" s="14" t="str">
        <f>IFERROR(__xludf.DUMMYFUNCTION("""COMPUTED_VALUE"""),"Delivered*Customer Service: Seamless and easy")</f>
        <v>Delivered*Customer Service: Seamless and easy</v>
      </c>
      <c r="K2203" s="14" t="str">
        <f>IFERROR(__xludf.DUMMYFUNCTION("split(E2203,""+"")"),"Veg Puff")</f>
        <v>Veg Puff</v>
      </c>
      <c r="L2203" s="14" t="str">
        <f>IFERROR(__xludf.DUMMYFUNCTION("""COMPUTED_VALUE"""),"1*Ramesh S")</f>
        <v>1*Ramesh S</v>
      </c>
      <c r="M2203" s="14">
        <f>IFERROR(__xludf.DUMMYFUNCTION("SPLIT(L2203,""*"")"),1.0)</f>
        <v>1</v>
      </c>
      <c r="N2203" s="14" t="str">
        <f>IFERROR(__xludf.DUMMYFUNCTION("""COMPUTED_VALUE"""),"Ramesh S")</f>
        <v>Ramesh S</v>
      </c>
      <c r="O2203" s="14" t="str">
        <f>IFERROR(__xludf.DUMMYFUNCTION("split(J2203,""*"")"),"Delivered")</f>
        <v>Delivered</v>
      </c>
      <c r="P2203" s="14" t="str">
        <f>IFERROR(__xludf.DUMMYFUNCTION("""COMPUTED_VALUE"""),"Customer Service: Seamless and easy")</f>
        <v>Customer Service: Seamless and easy</v>
      </c>
      <c r="Q2203" s="14" t="str">
        <f>IFERROR(__xludf.DUMMYFUNCTION("split(P2203,"":"")"),"Customer Service")</f>
        <v>Customer Service</v>
      </c>
      <c r="R2203" s="14" t="str">
        <f>IFERROR(__xludf.DUMMYFUNCTION("""COMPUTED_VALUE""")," Seamless and easy")</f>
        <v> Seamless and easy</v>
      </c>
      <c r="S2203" s="14" t="str">
        <f t="shared" ref="S2203:U2203" si="4409">trim(B2203)</f>
        <v>ord_82177</v>
      </c>
      <c r="T2203" s="14" t="str">
        <f t="shared" si="4409"/>
        <v>Sanjay Nair</v>
      </c>
      <c r="U2203" s="14" t="str">
        <f t="shared" si="4409"/>
        <v>Dadar</v>
      </c>
      <c r="V2203" s="14" t="str">
        <f t="shared" si="4"/>
        <v>Veg Puff</v>
      </c>
      <c r="W2203" s="14">
        <f t="shared" si="5"/>
        <v>1</v>
      </c>
      <c r="X2203" s="14" t="str">
        <f t="shared" si="6"/>
        <v>Ramesh S</v>
      </c>
      <c r="Y2203" s="15">
        <f t="shared" si="7"/>
        <v>45274</v>
      </c>
      <c r="Z2203" s="14" t="str">
        <f t="shared" si="8"/>
        <v>UPI</v>
      </c>
      <c r="AA2203" s="14" t="str">
        <f t="shared" si="9"/>
        <v>Delivered</v>
      </c>
      <c r="AB2203" s="14" t="str">
        <f t="shared" ref="AB2203:AC2203" si="4410">trim(Q2203)</f>
        <v>Customer Service</v>
      </c>
      <c r="AC2203" s="14" t="str">
        <f t="shared" si="4410"/>
        <v>Seamless and easy</v>
      </c>
      <c r="AD2203" s="8"/>
    </row>
    <row r="2204">
      <c r="A2204" s="14" t="str">
        <f>IFERROR(__xludf.DUMMYFUNCTION("""COMPUTED_VALUE"""),"//ord_82178//Pranav Joshi//Andheri//Veg Puff+2*Manju Ajay/12/3/2023//UPI//Delivered*Delivery Experience: Quick and professional")</f>
        <v>//ord_82178//Pranav Joshi//Andheri//Veg Puff+2*Manju Ajay/12/3/2023//UPI//Delivered*Delivery Experience: Quick and professional</v>
      </c>
      <c r="B2204" s="14" t="str">
        <f>IFERROR(__xludf.DUMMYFUNCTION("split(A2204,""//"")"),"ord_82178")</f>
        <v>ord_82178</v>
      </c>
      <c r="C2204" s="14" t="str">
        <f>IFERROR(__xludf.DUMMYFUNCTION("""COMPUTED_VALUE"""),"Pranav Joshi")</f>
        <v>Pranav Joshi</v>
      </c>
      <c r="D2204" s="14" t="str">
        <f>IFERROR(__xludf.DUMMYFUNCTION("""COMPUTED_VALUE"""),"Andheri")</f>
        <v>Andheri</v>
      </c>
      <c r="E2204" s="14" t="str">
        <f>IFERROR(__xludf.DUMMYFUNCTION("""COMPUTED_VALUE"""),"Veg Puff+2*Manju Ajay")</f>
        <v>Veg Puff+2*Manju Ajay</v>
      </c>
      <c r="F2204" s="14">
        <f>IFERROR(__xludf.DUMMYFUNCTION("""COMPUTED_VALUE"""),12.0)</f>
        <v>12</v>
      </c>
      <c r="G2204" s="14">
        <f>IFERROR(__xludf.DUMMYFUNCTION("""COMPUTED_VALUE"""),3.0)</f>
        <v>3</v>
      </c>
      <c r="H2204" s="14">
        <f>IFERROR(__xludf.DUMMYFUNCTION("""COMPUTED_VALUE"""),2023.0)</f>
        <v>2023</v>
      </c>
      <c r="I2204" s="14" t="str">
        <f>IFERROR(__xludf.DUMMYFUNCTION("""COMPUTED_VALUE"""),"UPI")</f>
        <v>UPI</v>
      </c>
      <c r="J2204" s="14" t="str">
        <f>IFERROR(__xludf.DUMMYFUNCTION("""COMPUTED_VALUE"""),"Delivered*Delivery Experience: Quick and professional")</f>
        <v>Delivered*Delivery Experience: Quick and professional</v>
      </c>
      <c r="K2204" s="14" t="str">
        <f>IFERROR(__xludf.DUMMYFUNCTION("split(E2204,""+"")"),"Veg Puff")</f>
        <v>Veg Puff</v>
      </c>
      <c r="L2204" s="14" t="str">
        <f>IFERROR(__xludf.DUMMYFUNCTION("""COMPUTED_VALUE"""),"2*Manju Ajay")</f>
        <v>2*Manju Ajay</v>
      </c>
      <c r="M2204" s="14">
        <f>IFERROR(__xludf.DUMMYFUNCTION("SPLIT(L2204,""*"")"),2.0)</f>
        <v>2</v>
      </c>
      <c r="N2204" s="14" t="str">
        <f>IFERROR(__xludf.DUMMYFUNCTION("""COMPUTED_VALUE"""),"Manju Ajay")</f>
        <v>Manju Ajay</v>
      </c>
      <c r="O2204" s="14" t="str">
        <f>IFERROR(__xludf.DUMMYFUNCTION("split(J2204,""*"")"),"Delivered")</f>
        <v>Delivered</v>
      </c>
      <c r="P2204" s="14" t="str">
        <f>IFERROR(__xludf.DUMMYFUNCTION("""COMPUTED_VALUE"""),"Delivery Experience: Quick and professional")</f>
        <v>Delivery Experience: Quick and professional</v>
      </c>
      <c r="Q2204" s="14" t="str">
        <f>IFERROR(__xludf.DUMMYFUNCTION("split(P2204,"":"")"),"Delivery Experience")</f>
        <v>Delivery Experience</v>
      </c>
      <c r="R2204" s="14" t="str">
        <f>IFERROR(__xludf.DUMMYFUNCTION("""COMPUTED_VALUE""")," Quick and professional")</f>
        <v> Quick and professional</v>
      </c>
      <c r="S2204" s="14" t="str">
        <f t="shared" ref="S2204:U2204" si="4411">trim(B2204)</f>
        <v>ord_82178</v>
      </c>
      <c r="T2204" s="14" t="str">
        <f t="shared" si="4411"/>
        <v>Pranav Joshi</v>
      </c>
      <c r="U2204" s="14" t="str">
        <f t="shared" si="4411"/>
        <v>Andheri</v>
      </c>
      <c r="V2204" s="14" t="str">
        <f t="shared" si="4"/>
        <v>Veg Puff</v>
      </c>
      <c r="W2204" s="14">
        <f t="shared" si="5"/>
        <v>2</v>
      </c>
      <c r="X2204" s="14" t="str">
        <f t="shared" si="6"/>
        <v>Manju Ajay</v>
      </c>
      <c r="Y2204" s="15">
        <f t="shared" si="7"/>
        <v>45263</v>
      </c>
      <c r="Z2204" s="14" t="str">
        <f t="shared" si="8"/>
        <v>UPI</v>
      </c>
      <c r="AA2204" s="14" t="str">
        <f t="shared" si="9"/>
        <v>Delivered</v>
      </c>
      <c r="AB2204" s="14" t="str">
        <f t="shared" ref="AB2204:AC2204" si="4412">trim(Q2204)</f>
        <v>Delivery Experience</v>
      </c>
      <c r="AC2204" s="14" t="str">
        <f t="shared" si="4412"/>
        <v>Quick and professional</v>
      </c>
      <c r="AD2204" s="8"/>
    </row>
    <row r="2205">
      <c r="A2205" s="14" t="str">
        <f>IFERROR(__xludf.DUMMYFUNCTION("""COMPUTED_VALUE"""),"//ord_82179//Sakshi Tandon//Colaba//Popcorn+1*Sita T/2/10/2023//UPI//Delivered*Convenience: Easy tracking")</f>
        <v>//ord_82179//Sakshi Tandon//Colaba//Popcorn+1*Sita T/2/10/2023//UPI//Delivered*Convenience: Easy tracking</v>
      </c>
      <c r="B2205" s="14" t="str">
        <f>IFERROR(__xludf.DUMMYFUNCTION("split(A2205,""//"")"),"ord_82179")</f>
        <v>ord_82179</v>
      </c>
      <c r="C2205" s="14" t="str">
        <f>IFERROR(__xludf.DUMMYFUNCTION("""COMPUTED_VALUE"""),"Sakshi Tandon")</f>
        <v>Sakshi Tandon</v>
      </c>
      <c r="D2205" s="14" t="str">
        <f>IFERROR(__xludf.DUMMYFUNCTION("""COMPUTED_VALUE"""),"Colaba")</f>
        <v>Colaba</v>
      </c>
      <c r="E2205" s="14" t="str">
        <f>IFERROR(__xludf.DUMMYFUNCTION("""COMPUTED_VALUE"""),"Popcorn+1*Sita T")</f>
        <v>Popcorn+1*Sita T</v>
      </c>
      <c r="F2205" s="14">
        <f>IFERROR(__xludf.DUMMYFUNCTION("""COMPUTED_VALUE"""),2.0)</f>
        <v>2</v>
      </c>
      <c r="G2205" s="14">
        <f>IFERROR(__xludf.DUMMYFUNCTION("""COMPUTED_VALUE"""),10.0)</f>
        <v>10</v>
      </c>
      <c r="H2205" s="14">
        <f>IFERROR(__xludf.DUMMYFUNCTION("""COMPUTED_VALUE"""),2023.0)</f>
        <v>2023</v>
      </c>
      <c r="I2205" s="14" t="str">
        <f>IFERROR(__xludf.DUMMYFUNCTION("""COMPUTED_VALUE"""),"UPI")</f>
        <v>UPI</v>
      </c>
      <c r="J2205" s="14" t="str">
        <f>IFERROR(__xludf.DUMMYFUNCTION("""COMPUTED_VALUE"""),"Delivered*Convenience: Easy tracking")</f>
        <v>Delivered*Convenience: Easy tracking</v>
      </c>
      <c r="K2205" s="14" t="str">
        <f>IFERROR(__xludf.DUMMYFUNCTION("split(E2205,""+"")"),"Popcorn")</f>
        <v>Popcorn</v>
      </c>
      <c r="L2205" s="14" t="str">
        <f>IFERROR(__xludf.DUMMYFUNCTION("""COMPUTED_VALUE"""),"1*Sita T")</f>
        <v>1*Sita T</v>
      </c>
      <c r="M2205" s="14">
        <f>IFERROR(__xludf.DUMMYFUNCTION("SPLIT(L2205,""*"")"),1.0)</f>
        <v>1</v>
      </c>
      <c r="N2205" s="14" t="str">
        <f>IFERROR(__xludf.DUMMYFUNCTION("""COMPUTED_VALUE"""),"Sita T")</f>
        <v>Sita T</v>
      </c>
      <c r="O2205" s="14" t="str">
        <f>IFERROR(__xludf.DUMMYFUNCTION("split(J2205,""*"")"),"Delivered")</f>
        <v>Delivered</v>
      </c>
      <c r="P2205" s="14" t="str">
        <f>IFERROR(__xludf.DUMMYFUNCTION("""COMPUTED_VALUE"""),"Convenience: Easy tracking")</f>
        <v>Convenience: Easy tracking</v>
      </c>
      <c r="Q2205" s="14" t="str">
        <f>IFERROR(__xludf.DUMMYFUNCTION("split(P2205,"":"")"),"Convenience")</f>
        <v>Convenience</v>
      </c>
      <c r="R2205" s="14" t="str">
        <f>IFERROR(__xludf.DUMMYFUNCTION("""COMPUTED_VALUE""")," Easy tracking")</f>
        <v> Easy tracking</v>
      </c>
      <c r="S2205" s="14" t="str">
        <f t="shared" ref="S2205:U2205" si="4413">trim(B2205)</f>
        <v>ord_82179</v>
      </c>
      <c r="T2205" s="14" t="str">
        <f t="shared" si="4413"/>
        <v>Sakshi Tandon</v>
      </c>
      <c r="U2205" s="14" t="str">
        <f t="shared" si="4413"/>
        <v>Colaba</v>
      </c>
      <c r="V2205" s="14" t="str">
        <f t="shared" si="4"/>
        <v>Popcorn</v>
      </c>
      <c r="W2205" s="14">
        <f t="shared" si="5"/>
        <v>1</v>
      </c>
      <c r="X2205" s="14" t="str">
        <f t="shared" si="6"/>
        <v>Sita T</v>
      </c>
      <c r="Y2205" s="15">
        <f t="shared" si="7"/>
        <v>44967</v>
      </c>
      <c r="Z2205" s="14" t="str">
        <f t="shared" si="8"/>
        <v>UPI</v>
      </c>
      <c r="AA2205" s="14" t="str">
        <f t="shared" si="9"/>
        <v>Delivered</v>
      </c>
      <c r="AB2205" s="14" t="str">
        <f t="shared" ref="AB2205:AC2205" si="4414">trim(Q2205)</f>
        <v>Convenience</v>
      </c>
      <c r="AC2205" s="14" t="str">
        <f t="shared" si="4414"/>
        <v>Easy tracking</v>
      </c>
      <c r="AD2205" s="8"/>
    </row>
    <row r="2206">
      <c r="A2206" s="14" t="str">
        <f>IFERROR(__xludf.DUMMYFUNCTION("""COMPUTED_VALUE"""),"//ord_82180//Aarav Mehta//Andheri//Juice+4*Nithin Lal/12/1/2023//Online Payment//Delivered*Overall Satisfaction: Great service will order again")</f>
        <v>//ord_82180//Aarav Mehta//Andheri//Juice+4*Nithin Lal/12/1/2023//Online Payment//Delivered*Overall Satisfaction: Great service will order again</v>
      </c>
      <c r="B2206" s="14" t="str">
        <f>IFERROR(__xludf.DUMMYFUNCTION("split(A2206,""//"")"),"ord_82180")</f>
        <v>ord_82180</v>
      </c>
      <c r="C2206" s="14" t="str">
        <f>IFERROR(__xludf.DUMMYFUNCTION("""COMPUTED_VALUE"""),"Aarav Mehta")</f>
        <v>Aarav Mehta</v>
      </c>
      <c r="D2206" s="14" t="str">
        <f>IFERROR(__xludf.DUMMYFUNCTION("""COMPUTED_VALUE"""),"Andheri")</f>
        <v>Andheri</v>
      </c>
      <c r="E2206" s="14" t="str">
        <f>IFERROR(__xludf.DUMMYFUNCTION("""COMPUTED_VALUE"""),"Juice+4*Nithin Lal")</f>
        <v>Juice+4*Nithin Lal</v>
      </c>
      <c r="F2206" s="14">
        <f>IFERROR(__xludf.DUMMYFUNCTION("""COMPUTED_VALUE"""),12.0)</f>
        <v>12</v>
      </c>
      <c r="G2206" s="14">
        <f>IFERROR(__xludf.DUMMYFUNCTION("""COMPUTED_VALUE"""),1.0)</f>
        <v>1</v>
      </c>
      <c r="H2206" s="14">
        <f>IFERROR(__xludf.DUMMYFUNCTION("""COMPUTED_VALUE"""),2023.0)</f>
        <v>2023</v>
      </c>
      <c r="I2206" s="14" t="str">
        <f>IFERROR(__xludf.DUMMYFUNCTION("""COMPUTED_VALUE"""),"Online Payment")</f>
        <v>Online Payment</v>
      </c>
      <c r="J2206" s="14" t="str">
        <f>IFERROR(__xludf.DUMMYFUNCTION("""COMPUTED_VALUE"""),"Delivered*Overall Satisfaction: Great service will order again")</f>
        <v>Delivered*Overall Satisfaction: Great service will order again</v>
      </c>
      <c r="K2206" s="14" t="str">
        <f>IFERROR(__xludf.DUMMYFUNCTION("split(E2206,""+"")"),"Juice")</f>
        <v>Juice</v>
      </c>
      <c r="L2206" s="14" t="str">
        <f>IFERROR(__xludf.DUMMYFUNCTION("""COMPUTED_VALUE"""),"4*Nithin Lal")</f>
        <v>4*Nithin Lal</v>
      </c>
      <c r="M2206" s="14">
        <f>IFERROR(__xludf.DUMMYFUNCTION("SPLIT(L2206,""*"")"),4.0)</f>
        <v>4</v>
      </c>
      <c r="N2206" s="14" t="str">
        <f>IFERROR(__xludf.DUMMYFUNCTION("""COMPUTED_VALUE"""),"Nithin Lal")</f>
        <v>Nithin Lal</v>
      </c>
      <c r="O2206" s="14" t="str">
        <f>IFERROR(__xludf.DUMMYFUNCTION("split(J2206,""*"")"),"Delivered")</f>
        <v>Delivered</v>
      </c>
      <c r="P2206" s="14" t="str">
        <f>IFERROR(__xludf.DUMMYFUNCTION("""COMPUTED_VALUE"""),"Overall Satisfaction: Great service will order again")</f>
        <v>Overall Satisfaction: Great service will order again</v>
      </c>
      <c r="Q2206" s="14" t="str">
        <f>IFERROR(__xludf.DUMMYFUNCTION("split(P2206,"":"")"),"Overall Satisfaction")</f>
        <v>Overall Satisfaction</v>
      </c>
      <c r="R2206" s="14" t="str">
        <f>IFERROR(__xludf.DUMMYFUNCTION("""COMPUTED_VALUE""")," Great service will order again")</f>
        <v> Great service will order again</v>
      </c>
      <c r="S2206" s="14" t="str">
        <f t="shared" ref="S2206:U2206" si="4415">trim(B2206)</f>
        <v>ord_82180</v>
      </c>
      <c r="T2206" s="14" t="str">
        <f t="shared" si="4415"/>
        <v>Aarav Mehta</v>
      </c>
      <c r="U2206" s="14" t="str">
        <f t="shared" si="4415"/>
        <v>Andheri</v>
      </c>
      <c r="V2206" s="14" t="str">
        <f t="shared" si="4"/>
        <v>Juice</v>
      </c>
      <c r="W2206" s="14">
        <f t="shared" si="5"/>
        <v>4</v>
      </c>
      <c r="X2206" s="14" t="str">
        <f t="shared" si="6"/>
        <v>Nithin Lal</v>
      </c>
      <c r="Y2206" s="15">
        <f t="shared" si="7"/>
        <v>45261</v>
      </c>
      <c r="Z2206" s="14" t="str">
        <f t="shared" si="8"/>
        <v>Online Payment</v>
      </c>
      <c r="AA2206" s="14" t="str">
        <f t="shared" si="9"/>
        <v>Delivered</v>
      </c>
      <c r="AB2206" s="14" t="str">
        <f t="shared" ref="AB2206:AC2206" si="4416">trim(Q2206)</f>
        <v>Overall Satisfaction</v>
      </c>
      <c r="AC2206" s="14" t="str">
        <f t="shared" si="4416"/>
        <v>Great service will order again</v>
      </c>
      <c r="AD2206" s="8"/>
    </row>
    <row r="2207">
      <c r="A2207" s="14" t="str">
        <f>IFERROR(__xludf.DUMMYFUNCTION("""COMPUTED_VALUE"""),"//ord_82181//Omkar Mishra//Powai//Onion+1*Sita T/11/13/2023//Credit Card//Delivered*On-time Delivery: Delivered on time")</f>
        <v>//ord_82181//Omkar Mishra//Powai//Onion+1*Sita T/11/13/2023//Credit Card//Delivered*On-time Delivery: Delivered on time</v>
      </c>
      <c r="B2207" s="14" t="str">
        <f>IFERROR(__xludf.DUMMYFUNCTION("split(A2207,""//"")"),"ord_82181")</f>
        <v>ord_82181</v>
      </c>
      <c r="C2207" s="14" t="str">
        <f>IFERROR(__xludf.DUMMYFUNCTION("""COMPUTED_VALUE"""),"Omkar Mishra")</f>
        <v>Omkar Mishra</v>
      </c>
      <c r="D2207" s="14" t="str">
        <f>IFERROR(__xludf.DUMMYFUNCTION("""COMPUTED_VALUE"""),"Powai")</f>
        <v>Powai</v>
      </c>
      <c r="E2207" s="14" t="str">
        <f>IFERROR(__xludf.DUMMYFUNCTION("""COMPUTED_VALUE"""),"Onion+1*Sita T")</f>
        <v>Onion+1*Sita T</v>
      </c>
      <c r="F2207" s="14">
        <f>IFERROR(__xludf.DUMMYFUNCTION("""COMPUTED_VALUE"""),11.0)</f>
        <v>11</v>
      </c>
      <c r="G2207" s="14">
        <f>IFERROR(__xludf.DUMMYFUNCTION("""COMPUTED_VALUE"""),13.0)</f>
        <v>13</v>
      </c>
      <c r="H2207" s="14">
        <f>IFERROR(__xludf.DUMMYFUNCTION("""COMPUTED_VALUE"""),2023.0)</f>
        <v>2023</v>
      </c>
      <c r="I2207" s="14" t="str">
        <f>IFERROR(__xludf.DUMMYFUNCTION("""COMPUTED_VALUE"""),"Credit Card")</f>
        <v>Credit Card</v>
      </c>
      <c r="J2207" s="14" t="str">
        <f>IFERROR(__xludf.DUMMYFUNCTION("""COMPUTED_VALUE"""),"Delivered*On-time Delivery: Delivered on time")</f>
        <v>Delivered*On-time Delivery: Delivered on time</v>
      </c>
      <c r="K2207" s="14" t="str">
        <f>IFERROR(__xludf.DUMMYFUNCTION("split(E2207,""+"")"),"Onion")</f>
        <v>Onion</v>
      </c>
      <c r="L2207" s="14" t="str">
        <f>IFERROR(__xludf.DUMMYFUNCTION("""COMPUTED_VALUE"""),"1*Sita T")</f>
        <v>1*Sita T</v>
      </c>
      <c r="M2207" s="14">
        <f>IFERROR(__xludf.DUMMYFUNCTION("SPLIT(L2207,""*"")"),1.0)</f>
        <v>1</v>
      </c>
      <c r="N2207" s="14" t="str">
        <f>IFERROR(__xludf.DUMMYFUNCTION("""COMPUTED_VALUE"""),"Sita T")</f>
        <v>Sita T</v>
      </c>
      <c r="O2207" s="14" t="str">
        <f>IFERROR(__xludf.DUMMYFUNCTION("split(J2207,""*"")"),"Delivered")</f>
        <v>Delivered</v>
      </c>
      <c r="P2207" s="14" t="str">
        <f>IFERROR(__xludf.DUMMYFUNCTION("""COMPUTED_VALUE"""),"On-time Delivery: Delivered on time")</f>
        <v>On-time Delivery: Delivered on time</v>
      </c>
      <c r="Q2207" s="14" t="str">
        <f>IFERROR(__xludf.DUMMYFUNCTION("split(P2207,"":"")"),"On-time Delivery")</f>
        <v>On-time Delivery</v>
      </c>
      <c r="R2207" s="14" t="str">
        <f>IFERROR(__xludf.DUMMYFUNCTION("""COMPUTED_VALUE""")," Delivered on time")</f>
        <v> Delivered on time</v>
      </c>
      <c r="S2207" s="14" t="str">
        <f t="shared" ref="S2207:U2207" si="4417">trim(B2207)</f>
        <v>ord_82181</v>
      </c>
      <c r="T2207" s="14" t="str">
        <f t="shared" si="4417"/>
        <v>Omkar Mishra</v>
      </c>
      <c r="U2207" s="14" t="str">
        <f t="shared" si="4417"/>
        <v>Powai</v>
      </c>
      <c r="V2207" s="14" t="str">
        <f t="shared" si="4"/>
        <v>Onion</v>
      </c>
      <c r="W2207" s="14">
        <f t="shared" si="5"/>
        <v>1</v>
      </c>
      <c r="X2207" s="14" t="str">
        <f t="shared" si="6"/>
        <v>Sita T</v>
      </c>
      <c r="Y2207" s="15">
        <f t="shared" si="7"/>
        <v>45243</v>
      </c>
      <c r="Z2207" s="14" t="str">
        <f t="shared" si="8"/>
        <v>Credit Card</v>
      </c>
      <c r="AA2207" s="14" t="str">
        <f t="shared" si="9"/>
        <v>Delivered</v>
      </c>
      <c r="AB2207" s="14" t="str">
        <f t="shared" ref="AB2207:AC2207" si="4418">trim(Q2207)</f>
        <v>On-time Delivery</v>
      </c>
      <c r="AC2207" s="14" t="str">
        <f t="shared" si="4418"/>
        <v>Delivered on time</v>
      </c>
      <c r="AD2207" s="8"/>
    </row>
    <row r="2208">
      <c r="A2208" s="14" t="str">
        <f>IFERROR(__xludf.DUMMYFUNCTION("""COMPUTED_VALUE"""),"//ord_82182//Mohit Malhotra//Lower Parel//Cold Coffee+2*Not Assigned/11/21/2023//Credit Card//Cancelled*Out of Stock")</f>
        <v>//ord_82182//Mohit Malhotra//Lower Parel//Cold Coffee+2*Not Assigned/11/21/2023//Credit Card//Cancelled*Out of Stock</v>
      </c>
      <c r="B2208" s="14" t="str">
        <f>IFERROR(__xludf.DUMMYFUNCTION("split(A2208,""//"")"),"ord_82182")</f>
        <v>ord_82182</v>
      </c>
      <c r="C2208" s="14" t="str">
        <f>IFERROR(__xludf.DUMMYFUNCTION("""COMPUTED_VALUE"""),"Mohit Malhotra")</f>
        <v>Mohit Malhotra</v>
      </c>
      <c r="D2208" s="14" t="str">
        <f>IFERROR(__xludf.DUMMYFUNCTION("""COMPUTED_VALUE"""),"Lower Parel")</f>
        <v>Lower Parel</v>
      </c>
      <c r="E2208" s="14" t="str">
        <f>IFERROR(__xludf.DUMMYFUNCTION("""COMPUTED_VALUE"""),"Cold Coffee+2*Not Assigned")</f>
        <v>Cold Coffee+2*Not Assigned</v>
      </c>
      <c r="F2208" s="14">
        <f>IFERROR(__xludf.DUMMYFUNCTION("""COMPUTED_VALUE"""),11.0)</f>
        <v>11</v>
      </c>
      <c r="G2208" s="14">
        <f>IFERROR(__xludf.DUMMYFUNCTION("""COMPUTED_VALUE"""),21.0)</f>
        <v>21</v>
      </c>
      <c r="H2208" s="14">
        <f>IFERROR(__xludf.DUMMYFUNCTION("""COMPUTED_VALUE"""),2023.0)</f>
        <v>2023</v>
      </c>
      <c r="I2208" s="14" t="str">
        <f>IFERROR(__xludf.DUMMYFUNCTION("""COMPUTED_VALUE"""),"Credit Card")</f>
        <v>Credit Card</v>
      </c>
      <c r="J2208" s="14" t="str">
        <f>IFERROR(__xludf.DUMMYFUNCTION("""COMPUTED_VALUE"""),"Cancelled*Out of Stock")</f>
        <v>Cancelled*Out of Stock</v>
      </c>
      <c r="K2208" s="14" t="str">
        <f>IFERROR(__xludf.DUMMYFUNCTION("split(E2208,""+"")"),"Cold Coffee")</f>
        <v>Cold Coffee</v>
      </c>
      <c r="L2208" s="14" t="str">
        <f>IFERROR(__xludf.DUMMYFUNCTION("""COMPUTED_VALUE"""),"2*Not Assigned")</f>
        <v>2*Not Assigned</v>
      </c>
      <c r="M2208" s="14">
        <f>IFERROR(__xludf.DUMMYFUNCTION("SPLIT(L2208,""*"")"),2.0)</f>
        <v>2</v>
      </c>
      <c r="N2208" s="14" t="str">
        <f>IFERROR(__xludf.DUMMYFUNCTION("""COMPUTED_VALUE"""),"Not Assigned")</f>
        <v>Not Assigned</v>
      </c>
      <c r="O2208" s="14" t="str">
        <f>IFERROR(__xludf.DUMMYFUNCTION("split(J2208,""*"")"),"Cancelled")</f>
        <v>Cancelled</v>
      </c>
      <c r="P2208" s="14" t="str">
        <f>IFERROR(__xludf.DUMMYFUNCTION("""COMPUTED_VALUE"""),"Out of Stock")</f>
        <v>Out of Stock</v>
      </c>
      <c r="Q2208" s="14" t="str">
        <f>IFERROR(__xludf.DUMMYFUNCTION("split(P2208,"":"")"),"Out of Stock")</f>
        <v>Out of Stock</v>
      </c>
      <c r="R2208" s="14"/>
      <c r="S2208" s="14" t="str">
        <f t="shared" ref="S2208:U2208" si="4419">trim(B2208)</f>
        <v>ord_82182</v>
      </c>
      <c r="T2208" s="14" t="str">
        <f t="shared" si="4419"/>
        <v>Mohit Malhotra</v>
      </c>
      <c r="U2208" s="14" t="str">
        <f t="shared" si="4419"/>
        <v>Lower Parel</v>
      </c>
      <c r="V2208" s="14" t="str">
        <f t="shared" si="4"/>
        <v>Cold Coffee</v>
      </c>
      <c r="W2208" s="14">
        <f t="shared" si="5"/>
        <v>2</v>
      </c>
      <c r="X2208" s="14" t="str">
        <f t="shared" si="6"/>
        <v>Not Assigned</v>
      </c>
      <c r="Y2208" s="15">
        <f t="shared" si="7"/>
        <v>45251</v>
      </c>
      <c r="Z2208" s="14" t="str">
        <f t="shared" si="8"/>
        <v>Credit Card</v>
      </c>
      <c r="AA2208" s="14" t="str">
        <f t="shared" si="9"/>
        <v>Cancelled</v>
      </c>
      <c r="AB2208" s="14" t="str">
        <f t="shared" ref="AB2208:AC2208" si="4420">trim(Q2208)</f>
        <v>Out of Stock</v>
      </c>
      <c r="AC2208" s="14" t="str">
        <f t="shared" si="4420"/>
        <v/>
      </c>
      <c r="AD2208" s="8"/>
    </row>
    <row r="2209">
      <c r="A2209" s="14" t="str">
        <f>IFERROR(__xludf.DUMMYFUNCTION("""COMPUTED_VALUE"""),"//ord_82183//Ishaan Chaturvedi//Bandra//Chicken Puff+2*Ram Gopal/9/22/2023//Credit Card//Cancelled*Delayed Delivery:Bad Weather Conditions ")</f>
        <v>//ord_82183//Ishaan Chaturvedi//Bandra//Chicken Puff+2*Ram Gopal/9/22/2023//Credit Card//Cancelled*Delayed Delivery:Bad Weather Conditions </v>
      </c>
      <c r="B2209" s="14" t="str">
        <f>IFERROR(__xludf.DUMMYFUNCTION("split(A2209,""//"")"),"ord_82183")</f>
        <v>ord_82183</v>
      </c>
      <c r="C2209" s="14" t="str">
        <f>IFERROR(__xludf.DUMMYFUNCTION("""COMPUTED_VALUE"""),"Ishaan Chaturvedi")</f>
        <v>Ishaan Chaturvedi</v>
      </c>
      <c r="D2209" s="14" t="str">
        <f>IFERROR(__xludf.DUMMYFUNCTION("""COMPUTED_VALUE"""),"Bandra")</f>
        <v>Bandra</v>
      </c>
      <c r="E2209" s="14" t="str">
        <f>IFERROR(__xludf.DUMMYFUNCTION("""COMPUTED_VALUE"""),"Chicken Puff+2*Ram Gopal")</f>
        <v>Chicken Puff+2*Ram Gopal</v>
      </c>
      <c r="F2209" s="14">
        <f>IFERROR(__xludf.DUMMYFUNCTION("""COMPUTED_VALUE"""),9.0)</f>
        <v>9</v>
      </c>
      <c r="G2209" s="14">
        <f>IFERROR(__xludf.DUMMYFUNCTION("""COMPUTED_VALUE"""),22.0)</f>
        <v>22</v>
      </c>
      <c r="H2209" s="14">
        <f>IFERROR(__xludf.DUMMYFUNCTION("""COMPUTED_VALUE"""),2023.0)</f>
        <v>2023</v>
      </c>
      <c r="I2209" s="14" t="str">
        <f>IFERROR(__xludf.DUMMYFUNCTION("""COMPUTED_VALUE"""),"Credit Card")</f>
        <v>Credit Card</v>
      </c>
      <c r="J2209" s="14" t="str">
        <f>IFERROR(__xludf.DUMMYFUNCTION("""COMPUTED_VALUE"""),"Cancelled*Delayed Delivery:Bad Weather Conditions ")</f>
        <v>Cancelled*Delayed Delivery:Bad Weather Conditions </v>
      </c>
      <c r="K2209" s="14" t="str">
        <f>IFERROR(__xludf.DUMMYFUNCTION("split(E2209,""+"")"),"Chicken Puff")</f>
        <v>Chicken Puff</v>
      </c>
      <c r="L2209" s="14" t="str">
        <f>IFERROR(__xludf.DUMMYFUNCTION("""COMPUTED_VALUE"""),"2*Ram Gopal")</f>
        <v>2*Ram Gopal</v>
      </c>
      <c r="M2209" s="14">
        <f>IFERROR(__xludf.DUMMYFUNCTION("SPLIT(L2209,""*"")"),2.0)</f>
        <v>2</v>
      </c>
      <c r="N2209" s="14" t="str">
        <f>IFERROR(__xludf.DUMMYFUNCTION("""COMPUTED_VALUE"""),"Ram Gopal")</f>
        <v>Ram Gopal</v>
      </c>
      <c r="O2209" s="14" t="str">
        <f>IFERROR(__xludf.DUMMYFUNCTION("split(J2209,""*"")"),"Cancelled")</f>
        <v>Cancelled</v>
      </c>
      <c r="P2209" s="14" t="str">
        <f>IFERROR(__xludf.DUMMYFUNCTION("""COMPUTED_VALUE"""),"Delayed Delivery:Bad Weather Conditions ")</f>
        <v>Delayed Delivery:Bad Weather Conditions </v>
      </c>
      <c r="Q2209" s="14" t="str">
        <f>IFERROR(__xludf.DUMMYFUNCTION("split(P2209,"":"")"),"Delayed Delivery")</f>
        <v>Delayed Delivery</v>
      </c>
      <c r="R2209" s="14" t="str">
        <f>IFERROR(__xludf.DUMMYFUNCTION("""COMPUTED_VALUE"""),"Bad Weather Conditions ")</f>
        <v>Bad Weather Conditions </v>
      </c>
      <c r="S2209" s="14" t="str">
        <f t="shared" ref="S2209:U2209" si="4421">trim(B2209)</f>
        <v>ord_82183</v>
      </c>
      <c r="T2209" s="14" t="str">
        <f t="shared" si="4421"/>
        <v>Ishaan Chaturvedi</v>
      </c>
      <c r="U2209" s="14" t="str">
        <f t="shared" si="4421"/>
        <v>Bandra</v>
      </c>
      <c r="V2209" s="14" t="str">
        <f t="shared" si="4"/>
        <v>Chicken Puff</v>
      </c>
      <c r="W2209" s="14">
        <f t="shared" si="5"/>
        <v>2</v>
      </c>
      <c r="X2209" s="14" t="str">
        <f t="shared" si="6"/>
        <v>Ram Gopal</v>
      </c>
      <c r="Y2209" s="15">
        <f t="shared" si="7"/>
        <v>45191</v>
      </c>
      <c r="Z2209" s="14" t="str">
        <f t="shared" si="8"/>
        <v>Credit Card</v>
      </c>
      <c r="AA2209" s="14" t="str">
        <f t="shared" si="9"/>
        <v>Cancelled</v>
      </c>
      <c r="AB2209" s="14" t="str">
        <f t="shared" ref="AB2209:AC2209" si="4422">trim(Q2209)</f>
        <v>Delayed Delivery</v>
      </c>
      <c r="AC2209" s="14" t="str">
        <f t="shared" si="4422"/>
        <v>Bad Weather Conditions</v>
      </c>
      <c r="AD2209" s="8"/>
    </row>
    <row r="2210">
      <c r="A2210" s="14" t="str">
        <f>IFERROR(__xludf.DUMMYFUNCTION("""COMPUTED_VALUE"""),"//ord_82184//Parth Goel//Juhu//Chocolate Mousse+4*Kiran Mehta/7/26/2023//Credit Card//Cancelled*Delayed Delivery:Bad Weather Conditions ")</f>
        <v>//ord_82184//Parth Goel//Juhu//Chocolate Mousse+4*Kiran Mehta/7/26/2023//Credit Card//Cancelled*Delayed Delivery:Bad Weather Conditions </v>
      </c>
      <c r="B2210" s="14" t="str">
        <f>IFERROR(__xludf.DUMMYFUNCTION("split(A2210,""//"")"),"ord_82184")</f>
        <v>ord_82184</v>
      </c>
      <c r="C2210" s="14" t="str">
        <f>IFERROR(__xludf.DUMMYFUNCTION("""COMPUTED_VALUE"""),"Parth Goel")</f>
        <v>Parth Goel</v>
      </c>
      <c r="D2210" s="14" t="str">
        <f>IFERROR(__xludf.DUMMYFUNCTION("""COMPUTED_VALUE"""),"Juhu")</f>
        <v>Juhu</v>
      </c>
      <c r="E2210" s="14" t="str">
        <f>IFERROR(__xludf.DUMMYFUNCTION("""COMPUTED_VALUE"""),"Chocolate Mousse+4*Kiran Mehta")</f>
        <v>Chocolate Mousse+4*Kiran Mehta</v>
      </c>
      <c r="F2210" s="14">
        <f>IFERROR(__xludf.DUMMYFUNCTION("""COMPUTED_VALUE"""),7.0)</f>
        <v>7</v>
      </c>
      <c r="G2210" s="14">
        <f>IFERROR(__xludf.DUMMYFUNCTION("""COMPUTED_VALUE"""),26.0)</f>
        <v>26</v>
      </c>
      <c r="H2210" s="14">
        <f>IFERROR(__xludf.DUMMYFUNCTION("""COMPUTED_VALUE"""),2023.0)</f>
        <v>2023</v>
      </c>
      <c r="I2210" s="14" t="str">
        <f>IFERROR(__xludf.DUMMYFUNCTION("""COMPUTED_VALUE"""),"Credit Card")</f>
        <v>Credit Card</v>
      </c>
      <c r="J2210" s="14" t="str">
        <f>IFERROR(__xludf.DUMMYFUNCTION("""COMPUTED_VALUE"""),"Cancelled*Delayed Delivery:Bad Weather Conditions ")</f>
        <v>Cancelled*Delayed Delivery:Bad Weather Conditions </v>
      </c>
      <c r="K2210" s="14" t="str">
        <f>IFERROR(__xludf.DUMMYFUNCTION("split(E2210,""+"")"),"Chocolate Mousse")</f>
        <v>Chocolate Mousse</v>
      </c>
      <c r="L2210" s="14" t="str">
        <f>IFERROR(__xludf.DUMMYFUNCTION("""COMPUTED_VALUE"""),"4*Kiran Mehta")</f>
        <v>4*Kiran Mehta</v>
      </c>
      <c r="M2210" s="14">
        <f>IFERROR(__xludf.DUMMYFUNCTION("SPLIT(L2210,""*"")"),4.0)</f>
        <v>4</v>
      </c>
      <c r="N2210" s="14" t="str">
        <f>IFERROR(__xludf.DUMMYFUNCTION("""COMPUTED_VALUE"""),"Kiran Mehta")</f>
        <v>Kiran Mehta</v>
      </c>
      <c r="O2210" s="14" t="str">
        <f>IFERROR(__xludf.DUMMYFUNCTION("split(J2210,""*"")"),"Cancelled")</f>
        <v>Cancelled</v>
      </c>
      <c r="P2210" s="14" t="str">
        <f>IFERROR(__xludf.DUMMYFUNCTION("""COMPUTED_VALUE"""),"Delayed Delivery:Bad Weather Conditions ")</f>
        <v>Delayed Delivery:Bad Weather Conditions </v>
      </c>
      <c r="Q2210" s="14" t="str">
        <f>IFERROR(__xludf.DUMMYFUNCTION("split(P2210,"":"")"),"Delayed Delivery")</f>
        <v>Delayed Delivery</v>
      </c>
      <c r="R2210" s="14" t="str">
        <f>IFERROR(__xludf.DUMMYFUNCTION("""COMPUTED_VALUE"""),"Bad Weather Conditions ")</f>
        <v>Bad Weather Conditions </v>
      </c>
      <c r="S2210" s="14" t="str">
        <f t="shared" ref="S2210:U2210" si="4423">trim(B2210)</f>
        <v>ord_82184</v>
      </c>
      <c r="T2210" s="14" t="str">
        <f t="shared" si="4423"/>
        <v>Parth Goel</v>
      </c>
      <c r="U2210" s="14" t="str">
        <f t="shared" si="4423"/>
        <v>Juhu</v>
      </c>
      <c r="V2210" s="14" t="str">
        <f t="shared" si="4"/>
        <v>Chocolate Mousse</v>
      </c>
      <c r="W2210" s="14">
        <f t="shared" si="5"/>
        <v>4</v>
      </c>
      <c r="X2210" s="14" t="str">
        <f t="shared" si="6"/>
        <v>Kiran Mehta</v>
      </c>
      <c r="Y2210" s="15">
        <f t="shared" si="7"/>
        <v>45133</v>
      </c>
      <c r="Z2210" s="14" t="str">
        <f t="shared" si="8"/>
        <v>Credit Card</v>
      </c>
      <c r="AA2210" s="14" t="str">
        <f t="shared" si="9"/>
        <v>Cancelled</v>
      </c>
      <c r="AB2210" s="14" t="str">
        <f t="shared" ref="AB2210:AC2210" si="4424">trim(Q2210)</f>
        <v>Delayed Delivery</v>
      </c>
      <c r="AC2210" s="14" t="str">
        <f t="shared" si="4424"/>
        <v>Bad Weather Conditions</v>
      </c>
      <c r="AD2210" s="8"/>
    </row>
    <row r="2211">
      <c r="A2211" s="14" t="str">
        <f>IFERROR(__xludf.DUMMYFUNCTION("""COMPUTED_VALUE"""),"//ord_82185//Aarav Mehta//Andheri//Guava+1*Ramesh S/2/2/2023//Online Payment//Cancelled*Delayed Delivery:Heavy Traffic")</f>
        <v>//ord_82185//Aarav Mehta//Andheri//Guava+1*Ramesh S/2/2/2023//Online Payment//Cancelled*Delayed Delivery:Heavy Traffic</v>
      </c>
      <c r="B2211" s="14" t="str">
        <f>IFERROR(__xludf.DUMMYFUNCTION("split(A2211,""//"")"),"ord_82185")</f>
        <v>ord_82185</v>
      </c>
      <c r="C2211" s="14" t="str">
        <f>IFERROR(__xludf.DUMMYFUNCTION("""COMPUTED_VALUE"""),"Aarav Mehta")</f>
        <v>Aarav Mehta</v>
      </c>
      <c r="D2211" s="14" t="str">
        <f>IFERROR(__xludf.DUMMYFUNCTION("""COMPUTED_VALUE"""),"Andheri")</f>
        <v>Andheri</v>
      </c>
      <c r="E2211" s="14" t="str">
        <f>IFERROR(__xludf.DUMMYFUNCTION("""COMPUTED_VALUE"""),"Guava+1*Ramesh S")</f>
        <v>Guava+1*Ramesh S</v>
      </c>
      <c r="F2211" s="14">
        <f>IFERROR(__xludf.DUMMYFUNCTION("""COMPUTED_VALUE"""),2.0)</f>
        <v>2</v>
      </c>
      <c r="G2211" s="14">
        <f>IFERROR(__xludf.DUMMYFUNCTION("""COMPUTED_VALUE"""),2.0)</f>
        <v>2</v>
      </c>
      <c r="H2211" s="14">
        <f>IFERROR(__xludf.DUMMYFUNCTION("""COMPUTED_VALUE"""),2023.0)</f>
        <v>2023</v>
      </c>
      <c r="I2211" s="14" t="str">
        <f>IFERROR(__xludf.DUMMYFUNCTION("""COMPUTED_VALUE"""),"Online Payment")</f>
        <v>Online Payment</v>
      </c>
      <c r="J2211" s="14" t="str">
        <f>IFERROR(__xludf.DUMMYFUNCTION("""COMPUTED_VALUE"""),"Cancelled*Delayed Delivery:Heavy Traffic")</f>
        <v>Cancelled*Delayed Delivery:Heavy Traffic</v>
      </c>
      <c r="K2211" s="14" t="str">
        <f>IFERROR(__xludf.DUMMYFUNCTION("split(E2211,""+"")"),"Guava")</f>
        <v>Guava</v>
      </c>
      <c r="L2211" s="14" t="str">
        <f>IFERROR(__xludf.DUMMYFUNCTION("""COMPUTED_VALUE"""),"1*Ramesh S")</f>
        <v>1*Ramesh S</v>
      </c>
      <c r="M2211" s="14">
        <f>IFERROR(__xludf.DUMMYFUNCTION("SPLIT(L2211,""*"")"),1.0)</f>
        <v>1</v>
      </c>
      <c r="N2211" s="14" t="str">
        <f>IFERROR(__xludf.DUMMYFUNCTION("""COMPUTED_VALUE"""),"Ramesh S")</f>
        <v>Ramesh S</v>
      </c>
      <c r="O2211" s="14" t="str">
        <f>IFERROR(__xludf.DUMMYFUNCTION("split(J2211,""*"")"),"Cancelled")</f>
        <v>Cancelled</v>
      </c>
      <c r="P2211" s="14" t="str">
        <f>IFERROR(__xludf.DUMMYFUNCTION("""COMPUTED_VALUE"""),"Delayed Delivery:Heavy Traffic")</f>
        <v>Delayed Delivery:Heavy Traffic</v>
      </c>
      <c r="Q2211" s="14" t="str">
        <f>IFERROR(__xludf.DUMMYFUNCTION("split(P2211,"":"")"),"Delayed Delivery")</f>
        <v>Delayed Delivery</v>
      </c>
      <c r="R2211" s="14" t="str">
        <f>IFERROR(__xludf.DUMMYFUNCTION("""COMPUTED_VALUE"""),"Heavy Traffic")</f>
        <v>Heavy Traffic</v>
      </c>
      <c r="S2211" s="14" t="str">
        <f t="shared" ref="S2211:U2211" si="4425">trim(B2211)</f>
        <v>ord_82185</v>
      </c>
      <c r="T2211" s="14" t="str">
        <f t="shared" si="4425"/>
        <v>Aarav Mehta</v>
      </c>
      <c r="U2211" s="14" t="str">
        <f t="shared" si="4425"/>
        <v>Andheri</v>
      </c>
      <c r="V2211" s="14" t="str">
        <f t="shared" si="4"/>
        <v>Guava</v>
      </c>
      <c r="W2211" s="14">
        <f t="shared" si="5"/>
        <v>1</v>
      </c>
      <c r="X2211" s="14" t="str">
        <f t="shared" si="6"/>
        <v>Ramesh S</v>
      </c>
      <c r="Y2211" s="15">
        <f t="shared" si="7"/>
        <v>44959</v>
      </c>
      <c r="Z2211" s="14" t="str">
        <f t="shared" si="8"/>
        <v>Online Payment</v>
      </c>
      <c r="AA2211" s="14" t="str">
        <f t="shared" si="9"/>
        <v>Cancelled</v>
      </c>
      <c r="AB2211" s="14" t="str">
        <f t="shared" ref="AB2211:AC2211" si="4426">trim(Q2211)</f>
        <v>Delayed Delivery</v>
      </c>
      <c r="AC2211" s="14" t="str">
        <f t="shared" si="4426"/>
        <v>Heavy Traffic</v>
      </c>
      <c r="AD2211" s="8"/>
    </row>
    <row r="2212">
      <c r="A2212" s="14" t="str">
        <f>IFERROR(__xludf.DUMMYFUNCTION("""COMPUTED_VALUE"""),"//ord_82186//Arvind Kulkarni//Juhu//Tiramisu+4*Rohan Yadav/2/10/2023//Online Payment//Cancelled*Delayed Delivery:Heavy Traffic")</f>
        <v>//ord_82186//Arvind Kulkarni//Juhu//Tiramisu+4*Rohan Yadav/2/10/2023//Online Payment//Cancelled*Delayed Delivery:Heavy Traffic</v>
      </c>
      <c r="B2212" s="14" t="str">
        <f>IFERROR(__xludf.DUMMYFUNCTION("split(A2212,""//"")"),"ord_82186")</f>
        <v>ord_82186</v>
      </c>
      <c r="C2212" s="14" t="str">
        <f>IFERROR(__xludf.DUMMYFUNCTION("""COMPUTED_VALUE"""),"Arvind Kulkarni")</f>
        <v>Arvind Kulkarni</v>
      </c>
      <c r="D2212" s="14" t="str">
        <f>IFERROR(__xludf.DUMMYFUNCTION("""COMPUTED_VALUE"""),"Juhu")</f>
        <v>Juhu</v>
      </c>
      <c r="E2212" s="14" t="str">
        <f>IFERROR(__xludf.DUMMYFUNCTION("""COMPUTED_VALUE"""),"Tiramisu+4*Rohan Yadav")</f>
        <v>Tiramisu+4*Rohan Yadav</v>
      </c>
      <c r="F2212" s="14">
        <f>IFERROR(__xludf.DUMMYFUNCTION("""COMPUTED_VALUE"""),2.0)</f>
        <v>2</v>
      </c>
      <c r="G2212" s="14">
        <f>IFERROR(__xludf.DUMMYFUNCTION("""COMPUTED_VALUE"""),10.0)</f>
        <v>10</v>
      </c>
      <c r="H2212" s="14">
        <f>IFERROR(__xludf.DUMMYFUNCTION("""COMPUTED_VALUE"""),2023.0)</f>
        <v>2023</v>
      </c>
      <c r="I2212" s="14" t="str">
        <f>IFERROR(__xludf.DUMMYFUNCTION("""COMPUTED_VALUE"""),"Online Payment")</f>
        <v>Online Payment</v>
      </c>
      <c r="J2212" s="14" t="str">
        <f>IFERROR(__xludf.DUMMYFUNCTION("""COMPUTED_VALUE"""),"Cancelled*Delayed Delivery:Heavy Traffic")</f>
        <v>Cancelled*Delayed Delivery:Heavy Traffic</v>
      </c>
      <c r="K2212" s="14" t="str">
        <f>IFERROR(__xludf.DUMMYFUNCTION("split(E2212,""+"")"),"Tiramisu")</f>
        <v>Tiramisu</v>
      </c>
      <c r="L2212" s="14" t="str">
        <f>IFERROR(__xludf.DUMMYFUNCTION("""COMPUTED_VALUE"""),"4*Rohan Yadav")</f>
        <v>4*Rohan Yadav</v>
      </c>
      <c r="M2212" s="14">
        <f>IFERROR(__xludf.DUMMYFUNCTION("SPLIT(L2212,""*"")"),4.0)</f>
        <v>4</v>
      </c>
      <c r="N2212" s="14" t="str">
        <f>IFERROR(__xludf.DUMMYFUNCTION("""COMPUTED_VALUE"""),"Rohan Yadav")</f>
        <v>Rohan Yadav</v>
      </c>
      <c r="O2212" s="14" t="str">
        <f>IFERROR(__xludf.DUMMYFUNCTION("split(J2212,""*"")"),"Cancelled")</f>
        <v>Cancelled</v>
      </c>
      <c r="P2212" s="14" t="str">
        <f>IFERROR(__xludf.DUMMYFUNCTION("""COMPUTED_VALUE"""),"Delayed Delivery:Heavy Traffic")</f>
        <v>Delayed Delivery:Heavy Traffic</v>
      </c>
      <c r="Q2212" s="14" t="str">
        <f>IFERROR(__xludf.DUMMYFUNCTION("split(P2212,"":"")"),"Delayed Delivery")</f>
        <v>Delayed Delivery</v>
      </c>
      <c r="R2212" s="14" t="str">
        <f>IFERROR(__xludf.DUMMYFUNCTION("""COMPUTED_VALUE"""),"Heavy Traffic")</f>
        <v>Heavy Traffic</v>
      </c>
      <c r="S2212" s="14" t="str">
        <f t="shared" ref="S2212:U2212" si="4427">trim(B2212)</f>
        <v>ord_82186</v>
      </c>
      <c r="T2212" s="14" t="str">
        <f t="shared" si="4427"/>
        <v>Arvind Kulkarni</v>
      </c>
      <c r="U2212" s="14" t="str">
        <f t="shared" si="4427"/>
        <v>Juhu</v>
      </c>
      <c r="V2212" s="14" t="str">
        <f t="shared" si="4"/>
        <v>Tiramisu</v>
      </c>
      <c r="W2212" s="14">
        <f t="shared" si="5"/>
        <v>4</v>
      </c>
      <c r="X2212" s="14" t="str">
        <f t="shared" si="6"/>
        <v>Rohan Yadav</v>
      </c>
      <c r="Y2212" s="15">
        <f t="shared" si="7"/>
        <v>44967</v>
      </c>
      <c r="Z2212" s="14" t="str">
        <f t="shared" si="8"/>
        <v>Online Payment</v>
      </c>
      <c r="AA2212" s="14" t="str">
        <f t="shared" si="9"/>
        <v>Cancelled</v>
      </c>
      <c r="AB2212" s="14" t="str">
        <f t="shared" ref="AB2212:AC2212" si="4428">trim(Q2212)</f>
        <v>Delayed Delivery</v>
      </c>
      <c r="AC2212" s="14" t="str">
        <f t="shared" si="4428"/>
        <v>Heavy Traffic</v>
      </c>
      <c r="AD2212" s="8"/>
    </row>
    <row r="2213">
      <c r="A2213" s="14" t="str">
        <f>IFERROR(__xludf.DUMMYFUNCTION("""COMPUTED_VALUE"""),"//ord_82187//Ishaan Chaturvedi//Bandra//Guava+2*Ramesh S/11/20/2023//UPI//Delivered*Quality of Items: Perfect condition")</f>
        <v>//ord_82187//Ishaan Chaturvedi//Bandra//Guava+2*Ramesh S/11/20/2023//UPI//Delivered*Quality of Items: Perfect condition</v>
      </c>
      <c r="B2213" s="14" t="str">
        <f>IFERROR(__xludf.DUMMYFUNCTION("split(A2213,""//"")"),"ord_82187")</f>
        <v>ord_82187</v>
      </c>
      <c r="C2213" s="14" t="str">
        <f>IFERROR(__xludf.DUMMYFUNCTION("""COMPUTED_VALUE"""),"Ishaan Chaturvedi")</f>
        <v>Ishaan Chaturvedi</v>
      </c>
      <c r="D2213" s="14" t="str">
        <f>IFERROR(__xludf.DUMMYFUNCTION("""COMPUTED_VALUE"""),"Bandra")</f>
        <v>Bandra</v>
      </c>
      <c r="E2213" s="14" t="str">
        <f>IFERROR(__xludf.DUMMYFUNCTION("""COMPUTED_VALUE"""),"Guava+2*Ramesh S")</f>
        <v>Guava+2*Ramesh S</v>
      </c>
      <c r="F2213" s="14">
        <f>IFERROR(__xludf.DUMMYFUNCTION("""COMPUTED_VALUE"""),11.0)</f>
        <v>11</v>
      </c>
      <c r="G2213" s="14">
        <f>IFERROR(__xludf.DUMMYFUNCTION("""COMPUTED_VALUE"""),20.0)</f>
        <v>20</v>
      </c>
      <c r="H2213" s="14">
        <f>IFERROR(__xludf.DUMMYFUNCTION("""COMPUTED_VALUE"""),2023.0)</f>
        <v>2023</v>
      </c>
      <c r="I2213" s="14" t="str">
        <f>IFERROR(__xludf.DUMMYFUNCTION("""COMPUTED_VALUE"""),"UPI")</f>
        <v>UPI</v>
      </c>
      <c r="J2213" s="14" t="str">
        <f>IFERROR(__xludf.DUMMYFUNCTION("""COMPUTED_VALUE"""),"Delivered*Quality of Items: Perfect condition")</f>
        <v>Delivered*Quality of Items: Perfect condition</v>
      </c>
      <c r="K2213" s="14" t="str">
        <f>IFERROR(__xludf.DUMMYFUNCTION("split(E2213,""+"")"),"Guava")</f>
        <v>Guava</v>
      </c>
      <c r="L2213" s="14" t="str">
        <f>IFERROR(__xludf.DUMMYFUNCTION("""COMPUTED_VALUE"""),"2*Ramesh S")</f>
        <v>2*Ramesh S</v>
      </c>
      <c r="M2213" s="14">
        <f>IFERROR(__xludf.DUMMYFUNCTION("SPLIT(L2213,""*"")"),2.0)</f>
        <v>2</v>
      </c>
      <c r="N2213" s="14" t="str">
        <f>IFERROR(__xludf.DUMMYFUNCTION("""COMPUTED_VALUE"""),"Ramesh S")</f>
        <v>Ramesh S</v>
      </c>
      <c r="O2213" s="14" t="str">
        <f>IFERROR(__xludf.DUMMYFUNCTION("split(J2213,""*"")"),"Delivered")</f>
        <v>Delivered</v>
      </c>
      <c r="P2213" s="14" t="str">
        <f>IFERROR(__xludf.DUMMYFUNCTION("""COMPUTED_VALUE"""),"Quality of Items: Perfect condition")</f>
        <v>Quality of Items: Perfect condition</v>
      </c>
      <c r="Q2213" s="14" t="str">
        <f>IFERROR(__xludf.DUMMYFUNCTION("split(P2213,"":"")"),"Quality of Items")</f>
        <v>Quality of Items</v>
      </c>
      <c r="R2213" s="14" t="str">
        <f>IFERROR(__xludf.DUMMYFUNCTION("""COMPUTED_VALUE""")," Perfect condition")</f>
        <v> Perfect condition</v>
      </c>
      <c r="S2213" s="14" t="str">
        <f t="shared" ref="S2213:U2213" si="4429">trim(B2213)</f>
        <v>ord_82187</v>
      </c>
      <c r="T2213" s="14" t="str">
        <f t="shared" si="4429"/>
        <v>Ishaan Chaturvedi</v>
      </c>
      <c r="U2213" s="14" t="str">
        <f t="shared" si="4429"/>
        <v>Bandra</v>
      </c>
      <c r="V2213" s="14" t="str">
        <f t="shared" si="4"/>
        <v>Guava</v>
      </c>
      <c r="W2213" s="14">
        <f t="shared" si="5"/>
        <v>2</v>
      </c>
      <c r="X2213" s="14" t="str">
        <f t="shared" si="6"/>
        <v>Ramesh S</v>
      </c>
      <c r="Y2213" s="15">
        <f t="shared" si="7"/>
        <v>45250</v>
      </c>
      <c r="Z2213" s="14" t="str">
        <f t="shared" si="8"/>
        <v>UPI</v>
      </c>
      <c r="AA2213" s="14" t="str">
        <f t="shared" si="9"/>
        <v>Delivered</v>
      </c>
      <c r="AB2213" s="14" t="str">
        <f t="shared" ref="AB2213:AC2213" si="4430">trim(Q2213)</f>
        <v>Quality of Items</v>
      </c>
      <c r="AC2213" s="14" t="str">
        <f t="shared" si="4430"/>
        <v>Perfect condition</v>
      </c>
      <c r="AD2213" s="8"/>
    </row>
    <row r="2214">
      <c r="A2214" s="14" t="str">
        <f>IFERROR(__xludf.DUMMYFUNCTION("""COMPUTED_VALUE"""),"//ord_82188//Tanishq Bansal//Bandra//Juice+5*Vivek Kumar/5/18/2023//Online Payment//Delivered*On-time Delivery: Delivered on time")</f>
        <v>//ord_82188//Tanishq Bansal//Bandra//Juice+5*Vivek Kumar/5/18/2023//Online Payment//Delivered*On-time Delivery: Delivered on time</v>
      </c>
      <c r="B2214" s="14" t="str">
        <f>IFERROR(__xludf.DUMMYFUNCTION("split(A2214,""//"")"),"ord_82188")</f>
        <v>ord_82188</v>
      </c>
      <c r="C2214" s="14" t="str">
        <f>IFERROR(__xludf.DUMMYFUNCTION("""COMPUTED_VALUE"""),"Tanishq Bansal")</f>
        <v>Tanishq Bansal</v>
      </c>
      <c r="D2214" s="14" t="str">
        <f>IFERROR(__xludf.DUMMYFUNCTION("""COMPUTED_VALUE"""),"Bandra")</f>
        <v>Bandra</v>
      </c>
      <c r="E2214" s="14" t="str">
        <f>IFERROR(__xludf.DUMMYFUNCTION("""COMPUTED_VALUE"""),"Juice+5*Vivek Kumar")</f>
        <v>Juice+5*Vivek Kumar</v>
      </c>
      <c r="F2214" s="14">
        <f>IFERROR(__xludf.DUMMYFUNCTION("""COMPUTED_VALUE"""),5.0)</f>
        <v>5</v>
      </c>
      <c r="G2214" s="14">
        <f>IFERROR(__xludf.DUMMYFUNCTION("""COMPUTED_VALUE"""),18.0)</f>
        <v>18</v>
      </c>
      <c r="H2214" s="14">
        <f>IFERROR(__xludf.DUMMYFUNCTION("""COMPUTED_VALUE"""),2023.0)</f>
        <v>2023</v>
      </c>
      <c r="I2214" s="14" t="str">
        <f>IFERROR(__xludf.DUMMYFUNCTION("""COMPUTED_VALUE"""),"Online Payment")</f>
        <v>Online Payment</v>
      </c>
      <c r="J2214" s="14" t="str">
        <f>IFERROR(__xludf.DUMMYFUNCTION("""COMPUTED_VALUE"""),"Delivered*On-time Delivery: Delivered on time")</f>
        <v>Delivered*On-time Delivery: Delivered on time</v>
      </c>
      <c r="K2214" s="14" t="str">
        <f>IFERROR(__xludf.DUMMYFUNCTION("split(E2214,""+"")"),"Juice")</f>
        <v>Juice</v>
      </c>
      <c r="L2214" s="14" t="str">
        <f>IFERROR(__xludf.DUMMYFUNCTION("""COMPUTED_VALUE"""),"5*Vivek Kumar")</f>
        <v>5*Vivek Kumar</v>
      </c>
      <c r="M2214" s="14">
        <f>IFERROR(__xludf.DUMMYFUNCTION("SPLIT(L2214,""*"")"),5.0)</f>
        <v>5</v>
      </c>
      <c r="N2214" s="14" t="str">
        <f>IFERROR(__xludf.DUMMYFUNCTION("""COMPUTED_VALUE"""),"Vivek Kumar")</f>
        <v>Vivek Kumar</v>
      </c>
      <c r="O2214" s="14" t="str">
        <f>IFERROR(__xludf.DUMMYFUNCTION("split(J2214,""*"")"),"Delivered")</f>
        <v>Delivered</v>
      </c>
      <c r="P2214" s="14" t="str">
        <f>IFERROR(__xludf.DUMMYFUNCTION("""COMPUTED_VALUE"""),"On-time Delivery: Delivered on time")</f>
        <v>On-time Delivery: Delivered on time</v>
      </c>
      <c r="Q2214" s="14" t="str">
        <f>IFERROR(__xludf.DUMMYFUNCTION("split(P2214,"":"")"),"On-time Delivery")</f>
        <v>On-time Delivery</v>
      </c>
      <c r="R2214" s="14" t="str">
        <f>IFERROR(__xludf.DUMMYFUNCTION("""COMPUTED_VALUE""")," Delivered on time")</f>
        <v> Delivered on time</v>
      </c>
      <c r="S2214" s="14" t="str">
        <f t="shared" ref="S2214:U2214" si="4431">trim(B2214)</f>
        <v>ord_82188</v>
      </c>
      <c r="T2214" s="14" t="str">
        <f t="shared" si="4431"/>
        <v>Tanishq Bansal</v>
      </c>
      <c r="U2214" s="14" t="str">
        <f t="shared" si="4431"/>
        <v>Bandra</v>
      </c>
      <c r="V2214" s="14" t="str">
        <f t="shared" si="4"/>
        <v>Juice</v>
      </c>
      <c r="W2214" s="14">
        <f t="shared" si="5"/>
        <v>5</v>
      </c>
      <c r="X2214" s="14" t="str">
        <f t="shared" si="6"/>
        <v>Vivek Kumar</v>
      </c>
      <c r="Y2214" s="15">
        <f t="shared" si="7"/>
        <v>45064</v>
      </c>
      <c r="Z2214" s="14" t="str">
        <f t="shared" si="8"/>
        <v>Online Payment</v>
      </c>
      <c r="AA2214" s="14" t="str">
        <f t="shared" si="9"/>
        <v>Delivered</v>
      </c>
      <c r="AB2214" s="14" t="str">
        <f t="shared" ref="AB2214:AC2214" si="4432">trim(Q2214)</f>
        <v>On-time Delivery</v>
      </c>
      <c r="AC2214" s="14" t="str">
        <f t="shared" si="4432"/>
        <v>Delivered on time</v>
      </c>
      <c r="AD2214" s="8"/>
    </row>
    <row r="2215">
      <c r="A2215" s="14" t="str">
        <f>IFERROR(__xludf.DUMMYFUNCTION("""COMPUTED_VALUE"""),"//ord_82189//Ritika Dutta//Lower Parel//Popcorn+2*Vivek Kumar/9/16/2023//UPI//Delivered*Quality of Items: Perfect condition")</f>
        <v>//ord_82189//Ritika Dutta//Lower Parel//Popcorn+2*Vivek Kumar/9/16/2023//UPI//Delivered*Quality of Items: Perfect condition</v>
      </c>
      <c r="B2215" s="14" t="str">
        <f>IFERROR(__xludf.DUMMYFUNCTION("split(A2215,""//"")"),"ord_82189")</f>
        <v>ord_82189</v>
      </c>
      <c r="C2215" s="14" t="str">
        <f>IFERROR(__xludf.DUMMYFUNCTION("""COMPUTED_VALUE"""),"Ritika Dutta")</f>
        <v>Ritika Dutta</v>
      </c>
      <c r="D2215" s="14" t="str">
        <f>IFERROR(__xludf.DUMMYFUNCTION("""COMPUTED_VALUE"""),"Lower Parel")</f>
        <v>Lower Parel</v>
      </c>
      <c r="E2215" s="14" t="str">
        <f>IFERROR(__xludf.DUMMYFUNCTION("""COMPUTED_VALUE"""),"Popcorn+2*Vivek Kumar")</f>
        <v>Popcorn+2*Vivek Kumar</v>
      </c>
      <c r="F2215" s="14">
        <f>IFERROR(__xludf.DUMMYFUNCTION("""COMPUTED_VALUE"""),9.0)</f>
        <v>9</v>
      </c>
      <c r="G2215" s="14">
        <f>IFERROR(__xludf.DUMMYFUNCTION("""COMPUTED_VALUE"""),16.0)</f>
        <v>16</v>
      </c>
      <c r="H2215" s="14">
        <f>IFERROR(__xludf.DUMMYFUNCTION("""COMPUTED_VALUE"""),2023.0)</f>
        <v>2023</v>
      </c>
      <c r="I2215" s="14" t="str">
        <f>IFERROR(__xludf.DUMMYFUNCTION("""COMPUTED_VALUE"""),"UPI")</f>
        <v>UPI</v>
      </c>
      <c r="J2215" s="14" t="str">
        <f>IFERROR(__xludf.DUMMYFUNCTION("""COMPUTED_VALUE"""),"Delivered*Quality of Items: Perfect condition")</f>
        <v>Delivered*Quality of Items: Perfect condition</v>
      </c>
      <c r="K2215" s="14" t="str">
        <f>IFERROR(__xludf.DUMMYFUNCTION("split(E2215,""+"")"),"Popcorn")</f>
        <v>Popcorn</v>
      </c>
      <c r="L2215" s="14" t="str">
        <f>IFERROR(__xludf.DUMMYFUNCTION("""COMPUTED_VALUE"""),"2*Vivek Kumar")</f>
        <v>2*Vivek Kumar</v>
      </c>
      <c r="M2215" s="14">
        <f>IFERROR(__xludf.DUMMYFUNCTION("SPLIT(L2215,""*"")"),2.0)</f>
        <v>2</v>
      </c>
      <c r="N2215" s="14" t="str">
        <f>IFERROR(__xludf.DUMMYFUNCTION("""COMPUTED_VALUE"""),"Vivek Kumar")</f>
        <v>Vivek Kumar</v>
      </c>
      <c r="O2215" s="14" t="str">
        <f>IFERROR(__xludf.DUMMYFUNCTION("split(J2215,""*"")"),"Delivered")</f>
        <v>Delivered</v>
      </c>
      <c r="P2215" s="14" t="str">
        <f>IFERROR(__xludf.DUMMYFUNCTION("""COMPUTED_VALUE"""),"Quality of Items: Perfect condition")</f>
        <v>Quality of Items: Perfect condition</v>
      </c>
      <c r="Q2215" s="14" t="str">
        <f>IFERROR(__xludf.DUMMYFUNCTION("split(P2215,"":"")"),"Quality of Items")</f>
        <v>Quality of Items</v>
      </c>
      <c r="R2215" s="14" t="str">
        <f>IFERROR(__xludf.DUMMYFUNCTION("""COMPUTED_VALUE""")," Perfect condition")</f>
        <v> Perfect condition</v>
      </c>
      <c r="S2215" s="14" t="str">
        <f t="shared" ref="S2215:U2215" si="4433">trim(B2215)</f>
        <v>ord_82189</v>
      </c>
      <c r="T2215" s="14" t="str">
        <f t="shared" si="4433"/>
        <v>Ritika Dutta</v>
      </c>
      <c r="U2215" s="14" t="str">
        <f t="shared" si="4433"/>
        <v>Lower Parel</v>
      </c>
      <c r="V2215" s="14" t="str">
        <f t="shared" si="4"/>
        <v>Popcorn</v>
      </c>
      <c r="W2215" s="14">
        <f t="shared" si="5"/>
        <v>2</v>
      </c>
      <c r="X2215" s="14" t="str">
        <f t="shared" si="6"/>
        <v>Vivek Kumar</v>
      </c>
      <c r="Y2215" s="15">
        <f t="shared" si="7"/>
        <v>45185</v>
      </c>
      <c r="Z2215" s="14" t="str">
        <f t="shared" si="8"/>
        <v>UPI</v>
      </c>
      <c r="AA2215" s="14" t="str">
        <f t="shared" si="9"/>
        <v>Delivered</v>
      </c>
      <c r="AB2215" s="14" t="str">
        <f t="shared" ref="AB2215:AC2215" si="4434">trim(Q2215)</f>
        <v>Quality of Items</v>
      </c>
      <c r="AC2215" s="14" t="str">
        <f t="shared" si="4434"/>
        <v>Perfect condition</v>
      </c>
      <c r="AD2215" s="8"/>
    </row>
    <row r="2216">
      <c r="A2216" s="14" t="str">
        <f>IFERROR(__xludf.DUMMYFUNCTION("""COMPUTED_VALUE"""),"//ord_82190//Shruti Aggarwal//Colaba//Papaya+2*Ram Gopal/10/22/2023//UPI//Delivered*Packaging: Secure and intact")</f>
        <v>//ord_82190//Shruti Aggarwal//Colaba//Papaya+2*Ram Gopal/10/22/2023//UPI//Delivered*Packaging: Secure and intact</v>
      </c>
      <c r="B2216" s="14" t="str">
        <f>IFERROR(__xludf.DUMMYFUNCTION("split(A2216,""//"")"),"ord_82190")</f>
        <v>ord_82190</v>
      </c>
      <c r="C2216" s="14" t="str">
        <f>IFERROR(__xludf.DUMMYFUNCTION("""COMPUTED_VALUE"""),"Shruti Aggarwal")</f>
        <v>Shruti Aggarwal</v>
      </c>
      <c r="D2216" s="14" t="str">
        <f>IFERROR(__xludf.DUMMYFUNCTION("""COMPUTED_VALUE"""),"Colaba")</f>
        <v>Colaba</v>
      </c>
      <c r="E2216" s="14" t="str">
        <f>IFERROR(__xludf.DUMMYFUNCTION("""COMPUTED_VALUE"""),"Papaya+2*Ram Gopal")</f>
        <v>Papaya+2*Ram Gopal</v>
      </c>
      <c r="F2216" s="14">
        <f>IFERROR(__xludf.DUMMYFUNCTION("""COMPUTED_VALUE"""),10.0)</f>
        <v>10</v>
      </c>
      <c r="G2216" s="14">
        <f>IFERROR(__xludf.DUMMYFUNCTION("""COMPUTED_VALUE"""),22.0)</f>
        <v>22</v>
      </c>
      <c r="H2216" s="14">
        <f>IFERROR(__xludf.DUMMYFUNCTION("""COMPUTED_VALUE"""),2023.0)</f>
        <v>2023</v>
      </c>
      <c r="I2216" s="14" t="str">
        <f>IFERROR(__xludf.DUMMYFUNCTION("""COMPUTED_VALUE"""),"UPI")</f>
        <v>UPI</v>
      </c>
      <c r="J2216" s="14" t="str">
        <f>IFERROR(__xludf.DUMMYFUNCTION("""COMPUTED_VALUE"""),"Delivered*Packaging: Secure and intact")</f>
        <v>Delivered*Packaging: Secure and intact</v>
      </c>
      <c r="K2216" s="14" t="str">
        <f>IFERROR(__xludf.DUMMYFUNCTION("split(E2216,""+"")"),"Papaya")</f>
        <v>Papaya</v>
      </c>
      <c r="L2216" s="14" t="str">
        <f>IFERROR(__xludf.DUMMYFUNCTION("""COMPUTED_VALUE"""),"2*Ram Gopal")</f>
        <v>2*Ram Gopal</v>
      </c>
      <c r="M2216" s="14">
        <f>IFERROR(__xludf.DUMMYFUNCTION("SPLIT(L2216,""*"")"),2.0)</f>
        <v>2</v>
      </c>
      <c r="N2216" s="14" t="str">
        <f>IFERROR(__xludf.DUMMYFUNCTION("""COMPUTED_VALUE"""),"Ram Gopal")</f>
        <v>Ram Gopal</v>
      </c>
      <c r="O2216" s="14" t="str">
        <f>IFERROR(__xludf.DUMMYFUNCTION("split(J2216,""*"")"),"Delivered")</f>
        <v>Delivered</v>
      </c>
      <c r="P2216" s="14" t="str">
        <f>IFERROR(__xludf.DUMMYFUNCTION("""COMPUTED_VALUE"""),"Packaging: Secure and intact")</f>
        <v>Packaging: Secure and intact</v>
      </c>
      <c r="Q2216" s="14" t="str">
        <f>IFERROR(__xludf.DUMMYFUNCTION("split(P2216,"":"")"),"Packaging")</f>
        <v>Packaging</v>
      </c>
      <c r="R2216" s="14" t="str">
        <f>IFERROR(__xludf.DUMMYFUNCTION("""COMPUTED_VALUE""")," Secure and intact")</f>
        <v> Secure and intact</v>
      </c>
      <c r="S2216" s="14" t="str">
        <f t="shared" ref="S2216:U2216" si="4435">trim(B2216)</f>
        <v>ord_82190</v>
      </c>
      <c r="T2216" s="14" t="str">
        <f t="shared" si="4435"/>
        <v>Shruti Aggarwal</v>
      </c>
      <c r="U2216" s="14" t="str">
        <f t="shared" si="4435"/>
        <v>Colaba</v>
      </c>
      <c r="V2216" s="14" t="str">
        <f t="shared" si="4"/>
        <v>Papaya</v>
      </c>
      <c r="W2216" s="14">
        <f t="shared" si="5"/>
        <v>2</v>
      </c>
      <c r="X2216" s="14" t="str">
        <f t="shared" si="6"/>
        <v>Ram Gopal</v>
      </c>
      <c r="Y2216" s="15">
        <f t="shared" si="7"/>
        <v>45221</v>
      </c>
      <c r="Z2216" s="14" t="str">
        <f t="shared" si="8"/>
        <v>UPI</v>
      </c>
      <c r="AA2216" s="14" t="str">
        <f t="shared" si="9"/>
        <v>Delivered</v>
      </c>
      <c r="AB2216" s="14" t="str">
        <f t="shared" ref="AB2216:AC2216" si="4436">trim(Q2216)</f>
        <v>Packaging</v>
      </c>
      <c r="AC2216" s="14" t="str">
        <f t="shared" si="4436"/>
        <v>Secure and intact</v>
      </c>
      <c r="AD2216" s="8"/>
    </row>
    <row r="2217">
      <c r="A2217" s="14" t="str">
        <f>IFERROR(__xludf.DUMMYFUNCTION("""COMPUTED_VALUE"""),"//ord_82191//Kavya Menon//Andheri//Apple+3*Nithin Lal/12/12/2023//UPI//Delivered*Satisfied with the Delivery: Timely and quality")</f>
        <v>//ord_82191//Kavya Menon//Andheri//Apple+3*Nithin Lal/12/12/2023//UPI//Delivered*Satisfied with the Delivery: Timely and quality</v>
      </c>
      <c r="B2217" s="14" t="str">
        <f>IFERROR(__xludf.DUMMYFUNCTION("split(A2217,""//"")"),"ord_82191")</f>
        <v>ord_82191</v>
      </c>
      <c r="C2217" s="14" t="str">
        <f>IFERROR(__xludf.DUMMYFUNCTION("""COMPUTED_VALUE"""),"Kavya Menon")</f>
        <v>Kavya Menon</v>
      </c>
      <c r="D2217" s="14" t="str">
        <f>IFERROR(__xludf.DUMMYFUNCTION("""COMPUTED_VALUE"""),"Andheri")</f>
        <v>Andheri</v>
      </c>
      <c r="E2217" s="14" t="str">
        <f>IFERROR(__xludf.DUMMYFUNCTION("""COMPUTED_VALUE"""),"Apple+3*Nithin Lal")</f>
        <v>Apple+3*Nithin Lal</v>
      </c>
      <c r="F2217" s="14">
        <f>IFERROR(__xludf.DUMMYFUNCTION("""COMPUTED_VALUE"""),12.0)</f>
        <v>12</v>
      </c>
      <c r="G2217" s="14">
        <f>IFERROR(__xludf.DUMMYFUNCTION("""COMPUTED_VALUE"""),12.0)</f>
        <v>12</v>
      </c>
      <c r="H2217" s="14">
        <f>IFERROR(__xludf.DUMMYFUNCTION("""COMPUTED_VALUE"""),2023.0)</f>
        <v>2023</v>
      </c>
      <c r="I2217" s="14" t="str">
        <f>IFERROR(__xludf.DUMMYFUNCTION("""COMPUTED_VALUE"""),"UPI")</f>
        <v>UPI</v>
      </c>
      <c r="J2217" s="14" t="str">
        <f>IFERROR(__xludf.DUMMYFUNCTION("""COMPUTED_VALUE"""),"Delivered*Satisfied with the Delivery: Timely and quality")</f>
        <v>Delivered*Satisfied with the Delivery: Timely and quality</v>
      </c>
      <c r="K2217" s="14" t="str">
        <f>IFERROR(__xludf.DUMMYFUNCTION("split(E2217,""+"")"),"Apple")</f>
        <v>Apple</v>
      </c>
      <c r="L2217" s="14" t="str">
        <f>IFERROR(__xludf.DUMMYFUNCTION("""COMPUTED_VALUE"""),"3*Nithin Lal")</f>
        <v>3*Nithin Lal</v>
      </c>
      <c r="M2217" s="14">
        <f>IFERROR(__xludf.DUMMYFUNCTION("SPLIT(L2217,""*"")"),3.0)</f>
        <v>3</v>
      </c>
      <c r="N2217" s="14" t="str">
        <f>IFERROR(__xludf.DUMMYFUNCTION("""COMPUTED_VALUE"""),"Nithin Lal")</f>
        <v>Nithin Lal</v>
      </c>
      <c r="O2217" s="14" t="str">
        <f>IFERROR(__xludf.DUMMYFUNCTION("split(J2217,""*"")"),"Delivered")</f>
        <v>Delivered</v>
      </c>
      <c r="P2217" s="14" t="str">
        <f>IFERROR(__xludf.DUMMYFUNCTION("""COMPUTED_VALUE"""),"Satisfied with the Delivery: Timely and quality")</f>
        <v>Satisfied with the Delivery: Timely and quality</v>
      </c>
      <c r="Q2217" s="14" t="str">
        <f>IFERROR(__xludf.DUMMYFUNCTION("split(P2217,"":"")"),"Satisfied with the Delivery")</f>
        <v>Satisfied with the Delivery</v>
      </c>
      <c r="R2217" s="14" t="str">
        <f>IFERROR(__xludf.DUMMYFUNCTION("""COMPUTED_VALUE""")," Timely and quality")</f>
        <v> Timely and quality</v>
      </c>
      <c r="S2217" s="14" t="str">
        <f t="shared" ref="S2217:U2217" si="4437">trim(B2217)</f>
        <v>ord_82191</v>
      </c>
      <c r="T2217" s="14" t="str">
        <f t="shared" si="4437"/>
        <v>Kavya Menon</v>
      </c>
      <c r="U2217" s="14" t="str">
        <f t="shared" si="4437"/>
        <v>Andheri</v>
      </c>
      <c r="V2217" s="14" t="str">
        <f t="shared" si="4"/>
        <v>Apple</v>
      </c>
      <c r="W2217" s="14">
        <f t="shared" si="5"/>
        <v>3</v>
      </c>
      <c r="X2217" s="14" t="str">
        <f t="shared" si="6"/>
        <v>Nithin Lal</v>
      </c>
      <c r="Y2217" s="15">
        <f t="shared" si="7"/>
        <v>45272</v>
      </c>
      <c r="Z2217" s="14" t="str">
        <f t="shared" si="8"/>
        <v>UPI</v>
      </c>
      <c r="AA2217" s="14" t="str">
        <f t="shared" si="9"/>
        <v>Delivered</v>
      </c>
      <c r="AB2217" s="14" t="str">
        <f t="shared" ref="AB2217:AC2217" si="4438">trim(Q2217)</f>
        <v>Satisfied with the Delivery</v>
      </c>
      <c r="AC2217" s="14" t="str">
        <f t="shared" si="4438"/>
        <v>Timely and quality</v>
      </c>
      <c r="AD2217" s="8"/>
    </row>
    <row r="2218">
      <c r="A2218" s="14" t="str">
        <f>IFERROR(__xludf.DUMMYFUNCTION("""COMPUTED_VALUE"""),"//ord_82192//Kunal Sharma//Powai//Onion+3*Sita T/8/24/2023//Online Payment//Delivered*Customer Service: Seamless and easy")</f>
        <v>//ord_82192//Kunal Sharma//Powai//Onion+3*Sita T/8/24/2023//Online Payment//Delivered*Customer Service: Seamless and easy</v>
      </c>
      <c r="B2218" s="14" t="str">
        <f>IFERROR(__xludf.DUMMYFUNCTION("split(A2218,""//"")"),"ord_82192")</f>
        <v>ord_82192</v>
      </c>
      <c r="C2218" s="14" t="str">
        <f>IFERROR(__xludf.DUMMYFUNCTION("""COMPUTED_VALUE"""),"Kunal Sharma")</f>
        <v>Kunal Sharma</v>
      </c>
      <c r="D2218" s="14" t="str">
        <f>IFERROR(__xludf.DUMMYFUNCTION("""COMPUTED_VALUE"""),"Powai")</f>
        <v>Powai</v>
      </c>
      <c r="E2218" s="14" t="str">
        <f>IFERROR(__xludf.DUMMYFUNCTION("""COMPUTED_VALUE"""),"Onion+3*Sita T")</f>
        <v>Onion+3*Sita T</v>
      </c>
      <c r="F2218" s="14">
        <f>IFERROR(__xludf.DUMMYFUNCTION("""COMPUTED_VALUE"""),8.0)</f>
        <v>8</v>
      </c>
      <c r="G2218" s="14">
        <f>IFERROR(__xludf.DUMMYFUNCTION("""COMPUTED_VALUE"""),24.0)</f>
        <v>24</v>
      </c>
      <c r="H2218" s="14">
        <f>IFERROR(__xludf.DUMMYFUNCTION("""COMPUTED_VALUE"""),2023.0)</f>
        <v>2023</v>
      </c>
      <c r="I2218" s="14" t="str">
        <f>IFERROR(__xludf.DUMMYFUNCTION("""COMPUTED_VALUE"""),"Online Payment")</f>
        <v>Online Payment</v>
      </c>
      <c r="J2218" s="14" t="str">
        <f>IFERROR(__xludf.DUMMYFUNCTION("""COMPUTED_VALUE"""),"Delivered*Customer Service: Seamless and easy")</f>
        <v>Delivered*Customer Service: Seamless and easy</v>
      </c>
      <c r="K2218" s="14" t="str">
        <f>IFERROR(__xludf.DUMMYFUNCTION("split(E2218,""+"")"),"Onion")</f>
        <v>Onion</v>
      </c>
      <c r="L2218" s="14" t="str">
        <f>IFERROR(__xludf.DUMMYFUNCTION("""COMPUTED_VALUE"""),"3*Sita T")</f>
        <v>3*Sita T</v>
      </c>
      <c r="M2218" s="14">
        <f>IFERROR(__xludf.DUMMYFUNCTION("SPLIT(L2218,""*"")"),3.0)</f>
        <v>3</v>
      </c>
      <c r="N2218" s="14" t="str">
        <f>IFERROR(__xludf.DUMMYFUNCTION("""COMPUTED_VALUE"""),"Sita T")</f>
        <v>Sita T</v>
      </c>
      <c r="O2218" s="14" t="str">
        <f>IFERROR(__xludf.DUMMYFUNCTION("split(J2218,""*"")"),"Delivered")</f>
        <v>Delivered</v>
      </c>
      <c r="P2218" s="14" t="str">
        <f>IFERROR(__xludf.DUMMYFUNCTION("""COMPUTED_VALUE"""),"Customer Service: Seamless and easy")</f>
        <v>Customer Service: Seamless and easy</v>
      </c>
      <c r="Q2218" s="14" t="str">
        <f>IFERROR(__xludf.DUMMYFUNCTION("split(P2218,"":"")"),"Customer Service")</f>
        <v>Customer Service</v>
      </c>
      <c r="R2218" s="14" t="str">
        <f>IFERROR(__xludf.DUMMYFUNCTION("""COMPUTED_VALUE""")," Seamless and easy")</f>
        <v> Seamless and easy</v>
      </c>
      <c r="S2218" s="14" t="str">
        <f t="shared" ref="S2218:U2218" si="4439">trim(B2218)</f>
        <v>ord_82192</v>
      </c>
      <c r="T2218" s="14" t="str">
        <f t="shared" si="4439"/>
        <v>Kunal Sharma</v>
      </c>
      <c r="U2218" s="14" t="str">
        <f t="shared" si="4439"/>
        <v>Powai</v>
      </c>
      <c r="V2218" s="14" t="str">
        <f t="shared" si="4"/>
        <v>Onion</v>
      </c>
      <c r="W2218" s="14">
        <f t="shared" si="5"/>
        <v>3</v>
      </c>
      <c r="X2218" s="14" t="str">
        <f t="shared" si="6"/>
        <v>Sita T</v>
      </c>
      <c r="Y2218" s="15">
        <f t="shared" si="7"/>
        <v>45162</v>
      </c>
      <c r="Z2218" s="14" t="str">
        <f t="shared" si="8"/>
        <v>Online Payment</v>
      </c>
      <c r="AA2218" s="14" t="str">
        <f t="shared" si="9"/>
        <v>Delivered</v>
      </c>
      <c r="AB2218" s="14" t="str">
        <f t="shared" ref="AB2218:AC2218" si="4440">trim(Q2218)</f>
        <v>Customer Service</v>
      </c>
      <c r="AC2218" s="14" t="str">
        <f t="shared" si="4440"/>
        <v>Seamless and easy</v>
      </c>
      <c r="AD2218" s="8"/>
    </row>
    <row r="2219">
      <c r="A2219" s="14" t="str">
        <f>IFERROR(__xludf.DUMMYFUNCTION("""COMPUTED_VALUE"""),"//ord_82193//Mehul Thakkar//Dadar//Cucumber+1*Venu R/11/15/2023//Credit Card//Delivered*Delivery Experience: Quick and professional")</f>
        <v>//ord_82193//Mehul Thakkar//Dadar//Cucumber+1*Venu R/11/15/2023//Credit Card//Delivered*Delivery Experience: Quick and professional</v>
      </c>
      <c r="B2219" s="14" t="str">
        <f>IFERROR(__xludf.DUMMYFUNCTION("split(A2219,""//"")"),"ord_82193")</f>
        <v>ord_82193</v>
      </c>
      <c r="C2219" s="14" t="str">
        <f>IFERROR(__xludf.DUMMYFUNCTION("""COMPUTED_VALUE"""),"Mehul Thakkar")</f>
        <v>Mehul Thakkar</v>
      </c>
      <c r="D2219" s="14" t="str">
        <f>IFERROR(__xludf.DUMMYFUNCTION("""COMPUTED_VALUE"""),"Dadar")</f>
        <v>Dadar</v>
      </c>
      <c r="E2219" s="14" t="str">
        <f>IFERROR(__xludf.DUMMYFUNCTION("""COMPUTED_VALUE"""),"Cucumber+1*Venu R")</f>
        <v>Cucumber+1*Venu R</v>
      </c>
      <c r="F2219" s="14">
        <f>IFERROR(__xludf.DUMMYFUNCTION("""COMPUTED_VALUE"""),11.0)</f>
        <v>11</v>
      </c>
      <c r="G2219" s="14">
        <f>IFERROR(__xludf.DUMMYFUNCTION("""COMPUTED_VALUE"""),15.0)</f>
        <v>15</v>
      </c>
      <c r="H2219" s="14">
        <f>IFERROR(__xludf.DUMMYFUNCTION("""COMPUTED_VALUE"""),2023.0)</f>
        <v>2023</v>
      </c>
      <c r="I2219" s="14" t="str">
        <f>IFERROR(__xludf.DUMMYFUNCTION("""COMPUTED_VALUE"""),"Credit Card")</f>
        <v>Credit Card</v>
      </c>
      <c r="J2219" s="14" t="str">
        <f>IFERROR(__xludf.DUMMYFUNCTION("""COMPUTED_VALUE"""),"Delivered*Delivery Experience: Quick and professional")</f>
        <v>Delivered*Delivery Experience: Quick and professional</v>
      </c>
      <c r="K2219" s="14" t="str">
        <f>IFERROR(__xludf.DUMMYFUNCTION("split(E2219,""+"")"),"Cucumber")</f>
        <v>Cucumber</v>
      </c>
      <c r="L2219" s="14" t="str">
        <f>IFERROR(__xludf.DUMMYFUNCTION("""COMPUTED_VALUE"""),"1*Venu R")</f>
        <v>1*Venu R</v>
      </c>
      <c r="M2219" s="14">
        <f>IFERROR(__xludf.DUMMYFUNCTION("SPLIT(L2219,""*"")"),1.0)</f>
        <v>1</v>
      </c>
      <c r="N2219" s="14" t="str">
        <f>IFERROR(__xludf.DUMMYFUNCTION("""COMPUTED_VALUE"""),"Venu R")</f>
        <v>Venu R</v>
      </c>
      <c r="O2219" s="14" t="str">
        <f>IFERROR(__xludf.DUMMYFUNCTION("split(J2219,""*"")"),"Delivered")</f>
        <v>Delivered</v>
      </c>
      <c r="P2219" s="14" t="str">
        <f>IFERROR(__xludf.DUMMYFUNCTION("""COMPUTED_VALUE"""),"Delivery Experience: Quick and professional")</f>
        <v>Delivery Experience: Quick and professional</v>
      </c>
      <c r="Q2219" s="14" t="str">
        <f>IFERROR(__xludf.DUMMYFUNCTION("split(P2219,"":"")"),"Delivery Experience")</f>
        <v>Delivery Experience</v>
      </c>
      <c r="R2219" s="14" t="str">
        <f>IFERROR(__xludf.DUMMYFUNCTION("""COMPUTED_VALUE""")," Quick and professional")</f>
        <v> Quick and professional</v>
      </c>
      <c r="S2219" s="14" t="str">
        <f t="shared" ref="S2219:U2219" si="4441">trim(B2219)</f>
        <v>ord_82193</v>
      </c>
      <c r="T2219" s="14" t="str">
        <f t="shared" si="4441"/>
        <v>Mehul Thakkar</v>
      </c>
      <c r="U2219" s="14" t="str">
        <f t="shared" si="4441"/>
        <v>Dadar</v>
      </c>
      <c r="V2219" s="14" t="str">
        <f t="shared" si="4"/>
        <v>Cucumber</v>
      </c>
      <c r="W2219" s="14">
        <f t="shared" si="5"/>
        <v>1</v>
      </c>
      <c r="X2219" s="14" t="str">
        <f t="shared" si="6"/>
        <v>Venu R</v>
      </c>
      <c r="Y2219" s="15">
        <f t="shared" si="7"/>
        <v>45245</v>
      </c>
      <c r="Z2219" s="14" t="str">
        <f t="shared" si="8"/>
        <v>Credit Card</v>
      </c>
      <c r="AA2219" s="14" t="str">
        <f t="shared" si="9"/>
        <v>Delivered</v>
      </c>
      <c r="AB2219" s="14" t="str">
        <f t="shared" ref="AB2219:AC2219" si="4442">trim(Q2219)</f>
        <v>Delivery Experience</v>
      </c>
      <c r="AC2219" s="14" t="str">
        <f t="shared" si="4442"/>
        <v>Quick and professional</v>
      </c>
      <c r="AD2219" s="8"/>
    </row>
    <row r="2220">
      <c r="A2220" s="14" t="str">
        <f>IFERROR(__xludf.DUMMYFUNCTION("""COMPUTED_VALUE"""),"//ord_82194//Simran Bhatt//Juhu//Orange+1*Manju Ajay/7/29/2023//UPI//Delivered*Convenience: Easy tracking")</f>
        <v>//ord_82194//Simran Bhatt//Juhu//Orange+1*Manju Ajay/7/29/2023//UPI//Delivered*Convenience: Easy tracking</v>
      </c>
      <c r="B2220" s="14" t="str">
        <f>IFERROR(__xludf.DUMMYFUNCTION("split(A2220,""//"")"),"ord_82194")</f>
        <v>ord_82194</v>
      </c>
      <c r="C2220" s="14" t="str">
        <f>IFERROR(__xludf.DUMMYFUNCTION("""COMPUTED_VALUE"""),"Simran Bhatt")</f>
        <v>Simran Bhatt</v>
      </c>
      <c r="D2220" s="14" t="str">
        <f>IFERROR(__xludf.DUMMYFUNCTION("""COMPUTED_VALUE"""),"Juhu")</f>
        <v>Juhu</v>
      </c>
      <c r="E2220" s="14" t="str">
        <f>IFERROR(__xludf.DUMMYFUNCTION("""COMPUTED_VALUE"""),"Orange+1*Manju Ajay")</f>
        <v>Orange+1*Manju Ajay</v>
      </c>
      <c r="F2220" s="14">
        <f>IFERROR(__xludf.DUMMYFUNCTION("""COMPUTED_VALUE"""),7.0)</f>
        <v>7</v>
      </c>
      <c r="G2220" s="14">
        <f>IFERROR(__xludf.DUMMYFUNCTION("""COMPUTED_VALUE"""),29.0)</f>
        <v>29</v>
      </c>
      <c r="H2220" s="14">
        <f>IFERROR(__xludf.DUMMYFUNCTION("""COMPUTED_VALUE"""),2023.0)</f>
        <v>2023</v>
      </c>
      <c r="I2220" s="14" t="str">
        <f>IFERROR(__xludf.DUMMYFUNCTION("""COMPUTED_VALUE"""),"UPI")</f>
        <v>UPI</v>
      </c>
      <c r="J2220" s="14" t="str">
        <f>IFERROR(__xludf.DUMMYFUNCTION("""COMPUTED_VALUE"""),"Delivered*Convenience: Easy tracking")</f>
        <v>Delivered*Convenience: Easy tracking</v>
      </c>
      <c r="K2220" s="14" t="str">
        <f>IFERROR(__xludf.DUMMYFUNCTION("split(E2220,""+"")"),"Orange")</f>
        <v>Orange</v>
      </c>
      <c r="L2220" s="14" t="str">
        <f>IFERROR(__xludf.DUMMYFUNCTION("""COMPUTED_VALUE"""),"1*Manju Ajay")</f>
        <v>1*Manju Ajay</v>
      </c>
      <c r="M2220" s="14">
        <f>IFERROR(__xludf.DUMMYFUNCTION("SPLIT(L2220,""*"")"),1.0)</f>
        <v>1</v>
      </c>
      <c r="N2220" s="14" t="str">
        <f>IFERROR(__xludf.DUMMYFUNCTION("""COMPUTED_VALUE"""),"Manju Ajay")</f>
        <v>Manju Ajay</v>
      </c>
      <c r="O2220" s="14" t="str">
        <f>IFERROR(__xludf.DUMMYFUNCTION("split(J2220,""*"")"),"Delivered")</f>
        <v>Delivered</v>
      </c>
      <c r="P2220" s="14" t="str">
        <f>IFERROR(__xludf.DUMMYFUNCTION("""COMPUTED_VALUE"""),"Convenience: Easy tracking")</f>
        <v>Convenience: Easy tracking</v>
      </c>
      <c r="Q2220" s="14" t="str">
        <f>IFERROR(__xludf.DUMMYFUNCTION("split(P2220,"":"")"),"Convenience")</f>
        <v>Convenience</v>
      </c>
      <c r="R2220" s="14" t="str">
        <f>IFERROR(__xludf.DUMMYFUNCTION("""COMPUTED_VALUE""")," Easy tracking")</f>
        <v> Easy tracking</v>
      </c>
      <c r="S2220" s="14" t="str">
        <f t="shared" ref="S2220:U2220" si="4443">trim(B2220)</f>
        <v>ord_82194</v>
      </c>
      <c r="T2220" s="14" t="str">
        <f t="shared" si="4443"/>
        <v>Simran Bhatt</v>
      </c>
      <c r="U2220" s="14" t="str">
        <f t="shared" si="4443"/>
        <v>Juhu</v>
      </c>
      <c r="V2220" s="14" t="str">
        <f t="shared" si="4"/>
        <v>Orange</v>
      </c>
      <c r="W2220" s="14">
        <f t="shared" si="5"/>
        <v>1</v>
      </c>
      <c r="X2220" s="14" t="str">
        <f t="shared" si="6"/>
        <v>Manju Ajay</v>
      </c>
      <c r="Y2220" s="15">
        <f t="shared" si="7"/>
        <v>45136</v>
      </c>
      <c r="Z2220" s="14" t="str">
        <f t="shared" si="8"/>
        <v>UPI</v>
      </c>
      <c r="AA2220" s="14" t="str">
        <f t="shared" si="9"/>
        <v>Delivered</v>
      </c>
      <c r="AB2220" s="14" t="str">
        <f t="shared" ref="AB2220:AC2220" si="4444">trim(Q2220)</f>
        <v>Convenience</v>
      </c>
      <c r="AC2220" s="14" t="str">
        <f t="shared" si="4444"/>
        <v>Easy tracking</v>
      </c>
      <c r="AD2220" s="8"/>
    </row>
    <row r="2221">
      <c r="A2221" s="14" t="str">
        <f>IFERROR(__xludf.DUMMYFUNCTION("""COMPUTED_VALUE"""),"//ord_82195//Ritika Dutta//Lower Parel//Juice+7*Ramesh S/12/26/2023//Online Payment//Delivered*Overall Satisfaction: Great service will order again")</f>
        <v>//ord_82195//Ritika Dutta//Lower Parel//Juice+7*Ramesh S/12/26/2023//Online Payment//Delivered*Overall Satisfaction: Great service will order again</v>
      </c>
      <c r="B2221" s="14" t="str">
        <f>IFERROR(__xludf.DUMMYFUNCTION("split(A2221,""//"")"),"ord_82195")</f>
        <v>ord_82195</v>
      </c>
      <c r="C2221" s="14" t="str">
        <f>IFERROR(__xludf.DUMMYFUNCTION("""COMPUTED_VALUE"""),"Ritika Dutta")</f>
        <v>Ritika Dutta</v>
      </c>
      <c r="D2221" s="14" t="str">
        <f>IFERROR(__xludf.DUMMYFUNCTION("""COMPUTED_VALUE"""),"Lower Parel")</f>
        <v>Lower Parel</v>
      </c>
      <c r="E2221" s="14" t="str">
        <f>IFERROR(__xludf.DUMMYFUNCTION("""COMPUTED_VALUE"""),"Juice+7*Ramesh S")</f>
        <v>Juice+7*Ramesh S</v>
      </c>
      <c r="F2221" s="14">
        <f>IFERROR(__xludf.DUMMYFUNCTION("""COMPUTED_VALUE"""),12.0)</f>
        <v>12</v>
      </c>
      <c r="G2221" s="14">
        <f>IFERROR(__xludf.DUMMYFUNCTION("""COMPUTED_VALUE"""),26.0)</f>
        <v>26</v>
      </c>
      <c r="H2221" s="14">
        <f>IFERROR(__xludf.DUMMYFUNCTION("""COMPUTED_VALUE"""),2023.0)</f>
        <v>2023</v>
      </c>
      <c r="I2221" s="14" t="str">
        <f>IFERROR(__xludf.DUMMYFUNCTION("""COMPUTED_VALUE"""),"Online Payment")</f>
        <v>Online Payment</v>
      </c>
      <c r="J2221" s="14" t="str">
        <f>IFERROR(__xludf.DUMMYFUNCTION("""COMPUTED_VALUE"""),"Delivered*Overall Satisfaction: Great service will order again")</f>
        <v>Delivered*Overall Satisfaction: Great service will order again</v>
      </c>
      <c r="K2221" s="14" t="str">
        <f>IFERROR(__xludf.DUMMYFUNCTION("split(E2221,""+"")"),"Juice")</f>
        <v>Juice</v>
      </c>
      <c r="L2221" s="14" t="str">
        <f>IFERROR(__xludf.DUMMYFUNCTION("""COMPUTED_VALUE"""),"7*Ramesh S")</f>
        <v>7*Ramesh S</v>
      </c>
      <c r="M2221" s="14">
        <f>IFERROR(__xludf.DUMMYFUNCTION("SPLIT(L2221,""*"")"),7.0)</f>
        <v>7</v>
      </c>
      <c r="N2221" s="14" t="str">
        <f>IFERROR(__xludf.DUMMYFUNCTION("""COMPUTED_VALUE"""),"Ramesh S")</f>
        <v>Ramesh S</v>
      </c>
      <c r="O2221" s="14" t="str">
        <f>IFERROR(__xludf.DUMMYFUNCTION("split(J2221,""*"")"),"Delivered")</f>
        <v>Delivered</v>
      </c>
      <c r="P2221" s="14" t="str">
        <f>IFERROR(__xludf.DUMMYFUNCTION("""COMPUTED_VALUE"""),"Overall Satisfaction: Great service will order again")</f>
        <v>Overall Satisfaction: Great service will order again</v>
      </c>
      <c r="Q2221" s="14" t="str">
        <f>IFERROR(__xludf.DUMMYFUNCTION("split(P2221,"":"")"),"Overall Satisfaction")</f>
        <v>Overall Satisfaction</v>
      </c>
      <c r="R2221" s="14" t="str">
        <f>IFERROR(__xludf.DUMMYFUNCTION("""COMPUTED_VALUE""")," Great service will order again")</f>
        <v> Great service will order again</v>
      </c>
      <c r="S2221" s="14" t="str">
        <f t="shared" ref="S2221:U2221" si="4445">trim(B2221)</f>
        <v>ord_82195</v>
      </c>
      <c r="T2221" s="14" t="str">
        <f t="shared" si="4445"/>
        <v>Ritika Dutta</v>
      </c>
      <c r="U2221" s="14" t="str">
        <f t="shared" si="4445"/>
        <v>Lower Parel</v>
      </c>
      <c r="V2221" s="14" t="str">
        <f t="shared" si="4"/>
        <v>Juice</v>
      </c>
      <c r="W2221" s="14">
        <f t="shared" si="5"/>
        <v>7</v>
      </c>
      <c r="X2221" s="14" t="str">
        <f t="shared" si="6"/>
        <v>Ramesh S</v>
      </c>
      <c r="Y2221" s="15">
        <f t="shared" si="7"/>
        <v>45286</v>
      </c>
      <c r="Z2221" s="14" t="str">
        <f t="shared" si="8"/>
        <v>Online Payment</v>
      </c>
      <c r="AA2221" s="14" t="str">
        <f t="shared" si="9"/>
        <v>Delivered</v>
      </c>
      <c r="AB2221" s="14" t="str">
        <f t="shared" ref="AB2221:AC2221" si="4446">trim(Q2221)</f>
        <v>Overall Satisfaction</v>
      </c>
      <c r="AC2221" s="14" t="str">
        <f t="shared" si="4446"/>
        <v>Great service will order again</v>
      </c>
      <c r="AD2221" s="8"/>
    </row>
    <row r="2222">
      <c r="A2222" s="14" t="str">
        <f>IFERROR(__xludf.DUMMYFUNCTION("""COMPUTED_VALUE"""),"//ord_82196//Aditi Iyer//Bandra//Rasmalai+5*Ram Gopal/2/9/2023//Credit Card//Delivered*On-time Delivery: Delivered on time")</f>
        <v>//ord_82196//Aditi Iyer//Bandra//Rasmalai+5*Ram Gopal/2/9/2023//Credit Card//Delivered*On-time Delivery: Delivered on time</v>
      </c>
      <c r="B2222" s="14" t="str">
        <f>IFERROR(__xludf.DUMMYFUNCTION("split(A2222,""//"")"),"ord_82196")</f>
        <v>ord_82196</v>
      </c>
      <c r="C2222" s="14" t="str">
        <f>IFERROR(__xludf.DUMMYFUNCTION("""COMPUTED_VALUE"""),"Aditi Iyer")</f>
        <v>Aditi Iyer</v>
      </c>
      <c r="D2222" s="14" t="str">
        <f>IFERROR(__xludf.DUMMYFUNCTION("""COMPUTED_VALUE"""),"Bandra")</f>
        <v>Bandra</v>
      </c>
      <c r="E2222" s="14" t="str">
        <f>IFERROR(__xludf.DUMMYFUNCTION("""COMPUTED_VALUE"""),"Rasmalai+5*Ram Gopal")</f>
        <v>Rasmalai+5*Ram Gopal</v>
      </c>
      <c r="F2222" s="14">
        <f>IFERROR(__xludf.DUMMYFUNCTION("""COMPUTED_VALUE"""),2.0)</f>
        <v>2</v>
      </c>
      <c r="G2222" s="14">
        <f>IFERROR(__xludf.DUMMYFUNCTION("""COMPUTED_VALUE"""),9.0)</f>
        <v>9</v>
      </c>
      <c r="H2222" s="14">
        <f>IFERROR(__xludf.DUMMYFUNCTION("""COMPUTED_VALUE"""),2023.0)</f>
        <v>2023</v>
      </c>
      <c r="I2222" s="14" t="str">
        <f>IFERROR(__xludf.DUMMYFUNCTION("""COMPUTED_VALUE"""),"Credit Card")</f>
        <v>Credit Card</v>
      </c>
      <c r="J2222" s="14" t="str">
        <f>IFERROR(__xludf.DUMMYFUNCTION("""COMPUTED_VALUE"""),"Delivered*On-time Delivery: Delivered on time")</f>
        <v>Delivered*On-time Delivery: Delivered on time</v>
      </c>
      <c r="K2222" s="14" t="str">
        <f>IFERROR(__xludf.DUMMYFUNCTION("split(E2222,""+"")"),"Rasmalai")</f>
        <v>Rasmalai</v>
      </c>
      <c r="L2222" s="14" t="str">
        <f>IFERROR(__xludf.DUMMYFUNCTION("""COMPUTED_VALUE"""),"5*Ram Gopal")</f>
        <v>5*Ram Gopal</v>
      </c>
      <c r="M2222" s="14">
        <f>IFERROR(__xludf.DUMMYFUNCTION("SPLIT(L2222,""*"")"),5.0)</f>
        <v>5</v>
      </c>
      <c r="N2222" s="14" t="str">
        <f>IFERROR(__xludf.DUMMYFUNCTION("""COMPUTED_VALUE"""),"Ram Gopal")</f>
        <v>Ram Gopal</v>
      </c>
      <c r="O2222" s="14" t="str">
        <f>IFERROR(__xludf.DUMMYFUNCTION("split(J2222,""*"")"),"Delivered")</f>
        <v>Delivered</v>
      </c>
      <c r="P2222" s="14" t="str">
        <f>IFERROR(__xludf.DUMMYFUNCTION("""COMPUTED_VALUE"""),"On-time Delivery: Delivered on time")</f>
        <v>On-time Delivery: Delivered on time</v>
      </c>
      <c r="Q2222" s="14" t="str">
        <f>IFERROR(__xludf.DUMMYFUNCTION("split(P2222,"":"")"),"On-time Delivery")</f>
        <v>On-time Delivery</v>
      </c>
      <c r="R2222" s="14" t="str">
        <f>IFERROR(__xludf.DUMMYFUNCTION("""COMPUTED_VALUE""")," Delivered on time")</f>
        <v> Delivered on time</v>
      </c>
      <c r="S2222" s="14" t="str">
        <f t="shared" ref="S2222:U2222" si="4447">trim(B2222)</f>
        <v>ord_82196</v>
      </c>
      <c r="T2222" s="14" t="str">
        <f t="shared" si="4447"/>
        <v>Aditi Iyer</v>
      </c>
      <c r="U2222" s="14" t="str">
        <f t="shared" si="4447"/>
        <v>Bandra</v>
      </c>
      <c r="V2222" s="14" t="str">
        <f t="shared" si="4"/>
        <v>Rasmalai</v>
      </c>
      <c r="W2222" s="14">
        <f t="shared" si="5"/>
        <v>5</v>
      </c>
      <c r="X2222" s="14" t="str">
        <f t="shared" si="6"/>
        <v>Ram Gopal</v>
      </c>
      <c r="Y2222" s="15">
        <f t="shared" si="7"/>
        <v>44966</v>
      </c>
      <c r="Z2222" s="14" t="str">
        <f t="shared" si="8"/>
        <v>Credit Card</v>
      </c>
      <c r="AA2222" s="14" t="str">
        <f t="shared" si="9"/>
        <v>Delivered</v>
      </c>
      <c r="AB2222" s="14" t="str">
        <f t="shared" ref="AB2222:AC2222" si="4448">trim(Q2222)</f>
        <v>On-time Delivery</v>
      </c>
      <c r="AC2222" s="14" t="str">
        <f t="shared" si="4448"/>
        <v>Delivered on time</v>
      </c>
      <c r="AD2222" s="8"/>
    </row>
    <row r="2223">
      <c r="A2223" s="14" t="str">
        <f>IFERROR(__xludf.DUMMYFUNCTION("""COMPUTED_VALUE"""),"//ord_82197//Sana Malik//Juhu//Veg Puff+6*Vivek Kumar/11/6/2023//Online Payment//Delivered*Quality of Items: Perfect condition")</f>
        <v>//ord_82197//Sana Malik//Juhu//Veg Puff+6*Vivek Kumar/11/6/2023//Online Payment//Delivered*Quality of Items: Perfect condition</v>
      </c>
      <c r="B2223" s="14" t="str">
        <f>IFERROR(__xludf.DUMMYFUNCTION("split(A2223,""//"")"),"ord_82197")</f>
        <v>ord_82197</v>
      </c>
      <c r="C2223" s="14" t="str">
        <f>IFERROR(__xludf.DUMMYFUNCTION("""COMPUTED_VALUE"""),"Sana Malik")</f>
        <v>Sana Malik</v>
      </c>
      <c r="D2223" s="14" t="str">
        <f>IFERROR(__xludf.DUMMYFUNCTION("""COMPUTED_VALUE"""),"Juhu")</f>
        <v>Juhu</v>
      </c>
      <c r="E2223" s="14" t="str">
        <f>IFERROR(__xludf.DUMMYFUNCTION("""COMPUTED_VALUE"""),"Veg Puff+6*Vivek Kumar")</f>
        <v>Veg Puff+6*Vivek Kumar</v>
      </c>
      <c r="F2223" s="14">
        <f>IFERROR(__xludf.DUMMYFUNCTION("""COMPUTED_VALUE"""),11.0)</f>
        <v>11</v>
      </c>
      <c r="G2223" s="14">
        <f>IFERROR(__xludf.DUMMYFUNCTION("""COMPUTED_VALUE"""),6.0)</f>
        <v>6</v>
      </c>
      <c r="H2223" s="14">
        <f>IFERROR(__xludf.DUMMYFUNCTION("""COMPUTED_VALUE"""),2023.0)</f>
        <v>2023</v>
      </c>
      <c r="I2223" s="14" t="str">
        <f>IFERROR(__xludf.DUMMYFUNCTION("""COMPUTED_VALUE"""),"Online Payment")</f>
        <v>Online Payment</v>
      </c>
      <c r="J2223" s="14" t="str">
        <f>IFERROR(__xludf.DUMMYFUNCTION("""COMPUTED_VALUE"""),"Delivered*Quality of Items: Perfect condition")</f>
        <v>Delivered*Quality of Items: Perfect condition</v>
      </c>
      <c r="K2223" s="14" t="str">
        <f>IFERROR(__xludf.DUMMYFUNCTION("split(E2223,""+"")"),"Veg Puff")</f>
        <v>Veg Puff</v>
      </c>
      <c r="L2223" s="14" t="str">
        <f>IFERROR(__xludf.DUMMYFUNCTION("""COMPUTED_VALUE"""),"6*Vivek Kumar")</f>
        <v>6*Vivek Kumar</v>
      </c>
      <c r="M2223" s="14">
        <f>IFERROR(__xludf.DUMMYFUNCTION("SPLIT(L2223,""*"")"),6.0)</f>
        <v>6</v>
      </c>
      <c r="N2223" s="14" t="str">
        <f>IFERROR(__xludf.DUMMYFUNCTION("""COMPUTED_VALUE"""),"Vivek Kumar")</f>
        <v>Vivek Kumar</v>
      </c>
      <c r="O2223" s="14" t="str">
        <f>IFERROR(__xludf.DUMMYFUNCTION("split(J2223,""*"")"),"Delivered")</f>
        <v>Delivered</v>
      </c>
      <c r="P2223" s="14" t="str">
        <f>IFERROR(__xludf.DUMMYFUNCTION("""COMPUTED_VALUE"""),"Quality of Items: Perfect condition")</f>
        <v>Quality of Items: Perfect condition</v>
      </c>
      <c r="Q2223" s="14" t="str">
        <f>IFERROR(__xludf.DUMMYFUNCTION("split(P2223,"":"")"),"Quality of Items")</f>
        <v>Quality of Items</v>
      </c>
      <c r="R2223" s="14" t="str">
        <f>IFERROR(__xludf.DUMMYFUNCTION("""COMPUTED_VALUE""")," Perfect condition")</f>
        <v> Perfect condition</v>
      </c>
      <c r="S2223" s="14" t="str">
        <f t="shared" ref="S2223:U2223" si="4449">trim(B2223)</f>
        <v>ord_82197</v>
      </c>
      <c r="T2223" s="14" t="str">
        <f t="shared" si="4449"/>
        <v>Sana Malik</v>
      </c>
      <c r="U2223" s="14" t="str">
        <f t="shared" si="4449"/>
        <v>Juhu</v>
      </c>
      <c r="V2223" s="14" t="str">
        <f t="shared" si="4"/>
        <v>Veg Puff</v>
      </c>
      <c r="W2223" s="14">
        <f t="shared" si="5"/>
        <v>6</v>
      </c>
      <c r="X2223" s="14" t="str">
        <f t="shared" si="6"/>
        <v>Vivek Kumar</v>
      </c>
      <c r="Y2223" s="15">
        <f t="shared" si="7"/>
        <v>45236</v>
      </c>
      <c r="Z2223" s="14" t="str">
        <f t="shared" si="8"/>
        <v>Online Payment</v>
      </c>
      <c r="AA2223" s="14" t="str">
        <f t="shared" si="9"/>
        <v>Delivered</v>
      </c>
      <c r="AB2223" s="14" t="str">
        <f t="shared" ref="AB2223:AC2223" si="4450">trim(Q2223)</f>
        <v>Quality of Items</v>
      </c>
      <c r="AC2223" s="14" t="str">
        <f t="shared" si="4450"/>
        <v>Perfect condition</v>
      </c>
      <c r="AD2223" s="8"/>
    </row>
    <row r="2224">
      <c r="A2224" s="14" t="str">
        <f>IFERROR(__xludf.DUMMYFUNCTION("""COMPUTED_VALUE"""),"//ord_82198//Harsh Vardhan//Bandra//Tiramisu+2*Ramesh S/6/2/2023//Online Payment//Delivered*On-time Delivery: Delivered on time")</f>
        <v>//ord_82198//Harsh Vardhan//Bandra//Tiramisu+2*Ramesh S/6/2/2023//Online Payment//Delivered*On-time Delivery: Delivered on time</v>
      </c>
      <c r="B2224" s="14" t="str">
        <f>IFERROR(__xludf.DUMMYFUNCTION("split(A2224,""//"")"),"ord_82198")</f>
        <v>ord_82198</v>
      </c>
      <c r="C2224" s="14" t="str">
        <f>IFERROR(__xludf.DUMMYFUNCTION("""COMPUTED_VALUE"""),"Harsh Vardhan")</f>
        <v>Harsh Vardhan</v>
      </c>
      <c r="D2224" s="14" t="str">
        <f>IFERROR(__xludf.DUMMYFUNCTION("""COMPUTED_VALUE"""),"Bandra")</f>
        <v>Bandra</v>
      </c>
      <c r="E2224" s="14" t="str">
        <f>IFERROR(__xludf.DUMMYFUNCTION("""COMPUTED_VALUE"""),"Tiramisu+2*Ramesh S")</f>
        <v>Tiramisu+2*Ramesh S</v>
      </c>
      <c r="F2224" s="14">
        <f>IFERROR(__xludf.DUMMYFUNCTION("""COMPUTED_VALUE"""),6.0)</f>
        <v>6</v>
      </c>
      <c r="G2224" s="14">
        <f>IFERROR(__xludf.DUMMYFUNCTION("""COMPUTED_VALUE"""),2.0)</f>
        <v>2</v>
      </c>
      <c r="H2224" s="14">
        <f>IFERROR(__xludf.DUMMYFUNCTION("""COMPUTED_VALUE"""),2023.0)</f>
        <v>2023</v>
      </c>
      <c r="I2224" s="14" t="str">
        <f>IFERROR(__xludf.DUMMYFUNCTION("""COMPUTED_VALUE"""),"Online Payment")</f>
        <v>Online Payment</v>
      </c>
      <c r="J2224" s="14" t="str">
        <f>IFERROR(__xludf.DUMMYFUNCTION("""COMPUTED_VALUE"""),"Delivered*On-time Delivery: Delivered on time")</f>
        <v>Delivered*On-time Delivery: Delivered on time</v>
      </c>
      <c r="K2224" s="14" t="str">
        <f>IFERROR(__xludf.DUMMYFUNCTION("split(E2224,""+"")"),"Tiramisu")</f>
        <v>Tiramisu</v>
      </c>
      <c r="L2224" s="14" t="str">
        <f>IFERROR(__xludf.DUMMYFUNCTION("""COMPUTED_VALUE"""),"2*Ramesh S")</f>
        <v>2*Ramesh S</v>
      </c>
      <c r="M2224" s="14">
        <f>IFERROR(__xludf.DUMMYFUNCTION("SPLIT(L2224,""*"")"),2.0)</f>
        <v>2</v>
      </c>
      <c r="N2224" s="14" t="str">
        <f>IFERROR(__xludf.DUMMYFUNCTION("""COMPUTED_VALUE"""),"Ramesh S")</f>
        <v>Ramesh S</v>
      </c>
      <c r="O2224" s="14" t="str">
        <f>IFERROR(__xludf.DUMMYFUNCTION("split(J2224,""*"")"),"Delivered")</f>
        <v>Delivered</v>
      </c>
      <c r="P2224" s="14" t="str">
        <f>IFERROR(__xludf.DUMMYFUNCTION("""COMPUTED_VALUE"""),"On-time Delivery: Delivered on time")</f>
        <v>On-time Delivery: Delivered on time</v>
      </c>
      <c r="Q2224" s="14" t="str">
        <f>IFERROR(__xludf.DUMMYFUNCTION("split(P2224,"":"")"),"On-time Delivery")</f>
        <v>On-time Delivery</v>
      </c>
      <c r="R2224" s="14" t="str">
        <f>IFERROR(__xludf.DUMMYFUNCTION("""COMPUTED_VALUE""")," Delivered on time")</f>
        <v> Delivered on time</v>
      </c>
      <c r="S2224" s="14" t="str">
        <f t="shared" ref="S2224:U2224" si="4451">trim(B2224)</f>
        <v>ord_82198</v>
      </c>
      <c r="T2224" s="14" t="str">
        <f t="shared" si="4451"/>
        <v>Harsh Vardhan</v>
      </c>
      <c r="U2224" s="14" t="str">
        <f t="shared" si="4451"/>
        <v>Bandra</v>
      </c>
      <c r="V2224" s="14" t="str">
        <f t="shared" si="4"/>
        <v>Tiramisu</v>
      </c>
      <c r="W2224" s="14">
        <f t="shared" si="5"/>
        <v>2</v>
      </c>
      <c r="X2224" s="14" t="str">
        <f t="shared" si="6"/>
        <v>Ramesh S</v>
      </c>
      <c r="Y2224" s="15">
        <f t="shared" si="7"/>
        <v>45079</v>
      </c>
      <c r="Z2224" s="14" t="str">
        <f t="shared" si="8"/>
        <v>Online Payment</v>
      </c>
      <c r="AA2224" s="14" t="str">
        <f t="shared" si="9"/>
        <v>Delivered</v>
      </c>
      <c r="AB2224" s="14" t="str">
        <f t="shared" ref="AB2224:AC2224" si="4452">trim(Q2224)</f>
        <v>On-time Delivery</v>
      </c>
      <c r="AC2224" s="14" t="str">
        <f t="shared" si="4452"/>
        <v>Delivered on time</v>
      </c>
      <c r="AD2224" s="8"/>
    </row>
    <row r="2225">
      <c r="A2225" s="14" t="str">
        <f>IFERROR(__xludf.DUMMYFUNCTION("""COMPUTED_VALUE"""),"//ord_82199//Yash Verma//Lower Parel//Cucumber+2*Vivek Kumar/6/10/2023//UPI//Delivered*Quality of Items: Perfect condition")</f>
        <v>//ord_82199//Yash Verma//Lower Parel//Cucumber+2*Vivek Kumar/6/10/2023//UPI//Delivered*Quality of Items: Perfect condition</v>
      </c>
      <c r="B2225" s="14" t="str">
        <f>IFERROR(__xludf.DUMMYFUNCTION("split(A2225,""//"")"),"ord_82199")</f>
        <v>ord_82199</v>
      </c>
      <c r="C2225" s="14" t="str">
        <f>IFERROR(__xludf.DUMMYFUNCTION("""COMPUTED_VALUE"""),"Yash Verma")</f>
        <v>Yash Verma</v>
      </c>
      <c r="D2225" s="14" t="str">
        <f>IFERROR(__xludf.DUMMYFUNCTION("""COMPUTED_VALUE"""),"Lower Parel")</f>
        <v>Lower Parel</v>
      </c>
      <c r="E2225" s="14" t="str">
        <f>IFERROR(__xludf.DUMMYFUNCTION("""COMPUTED_VALUE"""),"Cucumber+2*Vivek Kumar")</f>
        <v>Cucumber+2*Vivek Kumar</v>
      </c>
      <c r="F2225" s="14">
        <f>IFERROR(__xludf.DUMMYFUNCTION("""COMPUTED_VALUE"""),6.0)</f>
        <v>6</v>
      </c>
      <c r="G2225" s="14">
        <f>IFERROR(__xludf.DUMMYFUNCTION("""COMPUTED_VALUE"""),10.0)</f>
        <v>10</v>
      </c>
      <c r="H2225" s="14">
        <f>IFERROR(__xludf.DUMMYFUNCTION("""COMPUTED_VALUE"""),2023.0)</f>
        <v>2023</v>
      </c>
      <c r="I2225" s="14" t="str">
        <f>IFERROR(__xludf.DUMMYFUNCTION("""COMPUTED_VALUE"""),"UPI")</f>
        <v>UPI</v>
      </c>
      <c r="J2225" s="14" t="str">
        <f>IFERROR(__xludf.DUMMYFUNCTION("""COMPUTED_VALUE"""),"Delivered*Quality of Items: Perfect condition")</f>
        <v>Delivered*Quality of Items: Perfect condition</v>
      </c>
      <c r="K2225" s="14" t="str">
        <f>IFERROR(__xludf.DUMMYFUNCTION("split(E2225,""+"")"),"Cucumber")</f>
        <v>Cucumber</v>
      </c>
      <c r="L2225" s="14" t="str">
        <f>IFERROR(__xludf.DUMMYFUNCTION("""COMPUTED_VALUE"""),"2*Vivek Kumar")</f>
        <v>2*Vivek Kumar</v>
      </c>
      <c r="M2225" s="14">
        <f>IFERROR(__xludf.DUMMYFUNCTION("SPLIT(L2225,""*"")"),2.0)</f>
        <v>2</v>
      </c>
      <c r="N2225" s="14" t="str">
        <f>IFERROR(__xludf.DUMMYFUNCTION("""COMPUTED_VALUE"""),"Vivek Kumar")</f>
        <v>Vivek Kumar</v>
      </c>
      <c r="O2225" s="14" t="str">
        <f>IFERROR(__xludf.DUMMYFUNCTION("split(J2225,""*"")"),"Delivered")</f>
        <v>Delivered</v>
      </c>
      <c r="P2225" s="14" t="str">
        <f>IFERROR(__xludf.DUMMYFUNCTION("""COMPUTED_VALUE"""),"Quality of Items: Perfect condition")</f>
        <v>Quality of Items: Perfect condition</v>
      </c>
      <c r="Q2225" s="14" t="str">
        <f>IFERROR(__xludf.DUMMYFUNCTION("split(P2225,"":"")"),"Quality of Items")</f>
        <v>Quality of Items</v>
      </c>
      <c r="R2225" s="14" t="str">
        <f>IFERROR(__xludf.DUMMYFUNCTION("""COMPUTED_VALUE""")," Perfect condition")</f>
        <v> Perfect condition</v>
      </c>
      <c r="S2225" s="14" t="str">
        <f t="shared" ref="S2225:U2225" si="4453">trim(B2225)</f>
        <v>ord_82199</v>
      </c>
      <c r="T2225" s="14" t="str">
        <f t="shared" si="4453"/>
        <v>Yash Verma</v>
      </c>
      <c r="U2225" s="14" t="str">
        <f t="shared" si="4453"/>
        <v>Lower Parel</v>
      </c>
      <c r="V2225" s="14" t="str">
        <f t="shared" si="4"/>
        <v>Cucumber</v>
      </c>
      <c r="W2225" s="14">
        <f t="shared" si="5"/>
        <v>2</v>
      </c>
      <c r="X2225" s="14" t="str">
        <f t="shared" si="6"/>
        <v>Vivek Kumar</v>
      </c>
      <c r="Y2225" s="15">
        <f t="shared" si="7"/>
        <v>45087</v>
      </c>
      <c r="Z2225" s="14" t="str">
        <f t="shared" si="8"/>
        <v>UPI</v>
      </c>
      <c r="AA2225" s="14" t="str">
        <f t="shared" si="9"/>
        <v>Delivered</v>
      </c>
      <c r="AB2225" s="14" t="str">
        <f t="shared" ref="AB2225:AC2225" si="4454">trim(Q2225)</f>
        <v>Quality of Items</v>
      </c>
      <c r="AC2225" s="14" t="str">
        <f t="shared" si="4454"/>
        <v>Perfect condition</v>
      </c>
      <c r="AD2225" s="8"/>
    </row>
    <row r="2226">
      <c r="A2226" s="14" t="str">
        <f>IFERROR(__xludf.DUMMYFUNCTION("""COMPUTED_VALUE"""),"//ord_82200//Yash Verma//Colaba//Papaya+2*Ram Gopal/5/9/2023//UPI//Delivered*Packaging: Secure and intact")</f>
        <v>//ord_82200//Yash Verma//Colaba//Papaya+2*Ram Gopal/5/9/2023//UPI//Delivered*Packaging: Secure and intact</v>
      </c>
      <c r="B2226" s="14" t="str">
        <f>IFERROR(__xludf.DUMMYFUNCTION("split(A2226,""//"")"),"ord_82200")</f>
        <v>ord_82200</v>
      </c>
      <c r="C2226" s="14" t="str">
        <f>IFERROR(__xludf.DUMMYFUNCTION("""COMPUTED_VALUE"""),"Yash Verma")</f>
        <v>Yash Verma</v>
      </c>
      <c r="D2226" s="14" t="str">
        <f>IFERROR(__xludf.DUMMYFUNCTION("""COMPUTED_VALUE"""),"Colaba")</f>
        <v>Colaba</v>
      </c>
      <c r="E2226" s="14" t="str">
        <f>IFERROR(__xludf.DUMMYFUNCTION("""COMPUTED_VALUE"""),"Papaya+2*Ram Gopal")</f>
        <v>Papaya+2*Ram Gopal</v>
      </c>
      <c r="F2226" s="14">
        <f>IFERROR(__xludf.DUMMYFUNCTION("""COMPUTED_VALUE"""),5.0)</f>
        <v>5</v>
      </c>
      <c r="G2226" s="14">
        <f>IFERROR(__xludf.DUMMYFUNCTION("""COMPUTED_VALUE"""),9.0)</f>
        <v>9</v>
      </c>
      <c r="H2226" s="14">
        <f>IFERROR(__xludf.DUMMYFUNCTION("""COMPUTED_VALUE"""),2023.0)</f>
        <v>2023</v>
      </c>
      <c r="I2226" s="14" t="str">
        <f>IFERROR(__xludf.DUMMYFUNCTION("""COMPUTED_VALUE"""),"UPI")</f>
        <v>UPI</v>
      </c>
      <c r="J2226" s="14" t="str">
        <f>IFERROR(__xludf.DUMMYFUNCTION("""COMPUTED_VALUE"""),"Delivered*Packaging: Secure and intact")</f>
        <v>Delivered*Packaging: Secure and intact</v>
      </c>
      <c r="K2226" s="14" t="str">
        <f>IFERROR(__xludf.DUMMYFUNCTION("split(E2226,""+"")"),"Papaya")</f>
        <v>Papaya</v>
      </c>
      <c r="L2226" s="14" t="str">
        <f>IFERROR(__xludf.DUMMYFUNCTION("""COMPUTED_VALUE"""),"2*Ram Gopal")</f>
        <v>2*Ram Gopal</v>
      </c>
      <c r="M2226" s="14">
        <f>IFERROR(__xludf.DUMMYFUNCTION("SPLIT(L2226,""*"")"),2.0)</f>
        <v>2</v>
      </c>
      <c r="N2226" s="14" t="str">
        <f>IFERROR(__xludf.DUMMYFUNCTION("""COMPUTED_VALUE"""),"Ram Gopal")</f>
        <v>Ram Gopal</v>
      </c>
      <c r="O2226" s="14" t="str">
        <f>IFERROR(__xludf.DUMMYFUNCTION("split(J2226,""*"")"),"Delivered")</f>
        <v>Delivered</v>
      </c>
      <c r="P2226" s="14" t="str">
        <f>IFERROR(__xludf.DUMMYFUNCTION("""COMPUTED_VALUE"""),"Packaging: Secure and intact")</f>
        <v>Packaging: Secure and intact</v>
      </c>
      <c r="Q2226" s="14" t="str">
        <f>IFERROR(__xludf.DUMMYFUNCTION("split(P2226,"":"")"),"Packaging")</f>
        <v>Packaging</v>
      </c>
      <c r="R2226" s="14" t="str">
        <f>IFERROR(__xludf.DUMMYFUNCTION("""COMPUTED_VALUE""")," Secure and intact")</f>
        <v> Secure and intact</v>
      </c>
      <c r="S2226" s="14" t="str">
        <f t="shared" ref="S2226:U2226" si="4455">trim(B2226)</f>
        <v>ord_82200</v>
      </c>
      <c r="T2226" s="14" t="str">
        <f t="shared" si="4455"/>
        <v>Yash Verma</v>
      </c>
      <c r="U2226" s="14" t="str">
        <f t="shared" si="4455"/>
        <v>Colaba</v>
      </c>
      <c r="V2226" s="14" t="str">
        <f t="shared" si="4"/>
        <v>Papaya</v>
      </c>
      <c r="W2226" s="14">
        <f t="shared" si="5"/>
        <v>2</v>
      </c>
      <c r="X2226" s="14" t="str">
        <f t="shared" si="6"/>
        <v>Ram Gopal</v>
      </c>
      <c r="Y2226" s="15">
        <f t="shared" si="7"/>
        <v>45055</v>
      </c>
      <c r="Z2226" s="14" t="str">
        <f t="shared" si="8"/>
        <v>UPI</v>
      </c>
      <c r="AA2226" s="14" t="str">
        <f t="shared" si="9"/>
        <v>Delivered</v>
      </c>
      <c r="AB2226" s="14" t="str">
        <f t="shared" ref="AB2226:AC2226" si="4456">trim(Q2226)</f>
        <v>Packaging</v>
      </c>
      <c r="AC2226" s="14" t="str">
        <f t="shared" si="4456"/>
        <v>Secure and intact</v>
      </c>
      <c r="AD2226" s="8"/>
    </row>
    <row r="2227">
      <c r="A2227" s="14" t="str">
        <f>IFERROR(__xludf.DUMMYFUNCTION("""COMPUTED_VALUE"""),"//ord_82201//Leena Das//Andheri//Sweet Corn+2*Nithin Lal/6/25/2023//UPI//Delivered*Satisfied with the Delivery: Timely and quality")</f>
        <v>//ord_82201//Leena Das//Andheri//Sweet Corn+2*Nithin Lal/6/25/2023//UPI//Delivered*Satisfied with the Delivery: Timely and quality</v>
      </c>
      <c r="B2227" s="14" t="str">
        <f>IFERROR(__xludf.DUMMYFUNCTION("split(A2227,""//"")"),"ord_82201")</f>
        <v>ord_82201</v>
      </c>
      <c r="C2227" s="14" t="str">
        <f>IFERROR(__xludf.DUMMYFUNCTION("""COMPUTED_VALUE"""),"Leena Das")</f>
        <v>Leena Das</v>
      </c>
      <c r="D2227" s="14" t="str">
        <f>IFERROR(__xludf.DUMMYFUNCTION("""COMPUTED_VALUE"""),"Andheri")</f>
        <v>Andheri</v>
      </c>
      <c r="E2227" s="14" t="str">
        <f>IFERROR(__xludf.DUMMYFUNCTION("""COMPUTED_VALUE"""),"Sweet Corn+2*Nithin Lal")</f>
        <v>Sweet Corn+2*Nithin Lal</v>
      </c>
      <c r="F2227" s="14">
        <f>IFERROR(__xludf.DUMMYFUNCTION("""COMPUTED_VALUE"""),6.0)</f>
        <v>6</v>
      </c>
      <c r="G2227" s="14">
        <f>IFERROR(__xludf.DUMMYFUNCTION("""COMPUTED_VALUE"""),25.0)</f>
        <v>25</v>
      </c>
      <c r="H2227" s="14">
        <f>IFERROR(__xludf.DUMMYFUNCTION("""COMPUTED_VALUE"""),2023.0)</f>
        <v>2023</v>
      </c>
      <c r="I2227" s="14" t="str">
        <f>IFERROR(__xludf.DUMMYFUNCTION("""COMPUTED_VALUE"""),"UPI")</f>
        <v>UPI</v>
      </c>
      <c r="J2227" s="14" t="str">
        <f>IFERROR(__xludf.DUMMYFUNCTION("""COMPUTED_VALUE"""),"Delivered*Satisfied with the Delivery: Timely and quality")</f>
        <v>Delivered*Satisfied with the Delivery: Timely and quality</v>
      </c>
      <c r="K2227" s="14" t="str">
        <f>IFERROR(__xludf.DUMMYFUNCTION("split(E2227,""+"")"),"Sweet Corn")</f>
        <v>Sweet Corn</v>
      </c>
      <c r="L2227" s="14" t="str">
        <f>IFERROR(__xludf.DUMMYFUNCTION("""COMPUTED_VALUE"""),"2*Nithin Lal")</f>
        <v>2*Nithin Lal</v>
      </c>
      <c r="M2227" s="14">
        <f>IFERROR(__xludf.DUMMYFUNCTION("SPLIT(L2227,""*"")"),2.0)</f>
        <v>2</v>
      </c>
      <c r="N2227" s="14" t="str">
        <f>IFERROR(__xludf.DUMMYFUNCTION("""COMPUTED_VALUE"""),"Nithin Lal")</f>
        <v>Nithin Lal</v>
      </c>
      <c r="O2227" s="14" t="str">
        <f>IFERROR(__xludf.DUMMYFUNCTION("split(J2227,""*"")"),"Delivered")</f>
        <v>Delivered</v>
      </c>
      <c r="P2227" s="14" t="str">
        <f>IFERROR(__xludf.DUMMYFUNCTION("""COMPUTED_VALUE"""),"Satisfied with the Delivery: Timely and quality")</f>
        <v>Satisfied with the Delivery: Timely and quality</v>
      </c>
      <c r="Q2227" s="14" t="str">
        <f>IFERROR(__xludf.DUMMYFUNCTION("split(P2227,"":"")"),"Satisfied with the Delivery")</f>
        <v>Satisfied with the Delivery</v>
      </c>
      <c r="R2227" s="14" t="str">
        <f>IFERROR(__xludf.DUMMYFUNCTION("""COMPUTED_VALUE""")," Timely and quality")</f>
        <v> Timely and quality</v>
      </c>
      <c r="S2227" s="14" t="str">
        <f t="shared" ref="S2227:U2227" si="4457">trim(B2227)</f>
        <v>ord_82201</v>
      </c>
      <c r="T2227" s="14" t="str">
        <f t="shared" si="4457"/>
        <v>Leena Das</v>
      </c>
      <c r="U2227" s="14" t="str">
        <f t="shared" si="4457"/>
        <v>Andheri</v>
      </c>
      <c r="V2227" s="14" t="str">
        <f t="shared" si="4"/>
        <v>Sweet Corn</v>
      </c>
      <c r="W2227" s="14">
        <f t="shared" si="5"/>
        <v>2</v>
      </c>
      <c r="X2227" s="14" t="str">
        <f t="shared" si="6"/>
        <v>Nithin Lal</v>
      </c>
      <c r="Y2227" s="15">
        <f t="shared" si="7"/>
        <v>45102</v>
      </c>
      <c r="Z2227" s="14" t="str">
        <f t="shared" si="8"/>
        <v>UPI</v>
      </c>
      <c r="AA2227" s="14" t="str">
        <f t="shared" si="9"/>
        <v>Delivered</v>
      </c>
      <c r="AB2227" s="14" t="str">
        <f t="shared" ref="AB2227:AC2227" si="4458">trim(Q2227)</f>
        <v>Satisfied with the Delivery</v>
      </c>
      <c r="AC2227" s="14" t="str">
        <f t="shared" si="4458"/>
        <v>Timely and quality</v>
      </c>
      <c r="AD2227" s="8"/>
    </row>
    <row r="2228">
      <c r="A2228" s="14" t="str">
        <f>IFERROR(__xludf.DUMMYFUNCTION("""COMPUTED_VALUE"""),"//ord_82202//Sana Malik//Powai//Guava+2*Sita T/6/29/2023//UPI//Delivered*Customer Service: Seamless and easy")</f>
        <v>//ord_82202//Sana Malik//Powai//Guava+2*Sita T/6/29/2023//UPI//Delivered*Customer Service: Seamless and easy</v>
      </c>
      <c r="B2228" s="14" t="str">
        <f>IFERROR(__xludf.DUMMYFUNCTION("split(A2228,""//"")"),"ord_82202")</f>
        <v>ord_82202</v>
      </c>
      <c r="C2228" s="14" t="str">
        <f>IFERROR(__xludf.DUMMYFUNCTION("""COMPUTED_VALUE"""),"Sana Malik")</f>
        <v>Sana Malik</v>
      </c>
      <c r="D2228" s="14" t="str">
        <f>IFERROR(__xludf.DUMMYFUNCTION("""COMPUTED_VALUE"""),"Powai")</f>
        <v>Powai</v>
      </c>
      <c r="E2228" s="14" t="str">
        <f>IFERROR(__xludf.DUMMYFUNCTION("""COMPUTED_VALUE"""),"Guava+2*Sita T")</f>
        <v>Guava+2*Sita T</v>
      </c>
      <c r="F2228" s="14">
        <f>IFERROR(__xludf.DUMMYFUNCTION("""COMPUTED_VALUE"""),6.0)</f>
        <v>6</v>
      </c>
      <c r="G2228" s="14">
        <f>IFERROR(__xludf.DUMMYFUNCTION("""COMPUTED_VALUE"""),29.0)</f>
        <v>29</v>
      </c>
      <c r="H2228" s="14">
        <f>IFERROR(__xludf.DUMMYFUNCTION("""COMPUTED_VALUE"""),2023.0)</f>
        <v>2023</v>
      </c>
      <c r="I2228" s="14" t="str">
        <f>IFERROR(__xludf.DUMMYFUNCTION("""COMPUTED_VALUE"""),"UPI")</f>
        <v>UPI</v>
      </c>
      <c r="J2228" s="14" t="str">
        <f>IFERROR(__xludf.DUMMYFUNCTION("""COMPUTED_VALUE"""),"Delivered*Customer Service: Seamless and easy")</f>
        <v>Delivered*Customer Service: Seamless and easy</v>
      </c>
      <c r="K2228" s="14" t="str">
        <f>IFERROR(__xludf.DUMMYFUNCTION("split(E2228,""+"")"),"Guava")</f>
        <v>Guava</v>
      </c>
      <c r="L2228" s="14" t="str">
        <f>IFERROR(__xludf.DUMMYFUNCTION("""COMPUTED_VALUE"""),"2*Sita T")</f>
        <v>2*Sita T</v>
      </c>
      <c r="M2228" s="14">
        <f>IFERROR(__xludf.DUMMYFUNCTION("SPLIT(L2228,""*"")"),2.0)</f>
        <v>2</v>
      </c>
      <c r="N2228" s="14" t="str">
        <f>IFERROR(__xludf.DUMMYFUNCTION("""COMPUTED_VALUE"""),"Sita T")</f>
        <v>Sita T</v>
      </c>
      <c r="O2228" s="14" t="str">
        <f>IFERROR(__xludf.DUMMYFUNCTION("split(J2228,""*"")"),"Delivered")</f>
        <v>Delivered</v>
      </c>
      <c r="P2228" s="14" t="str">
        <f>IFERROR(__xludf.DUMMYFUNCTION("""COMPUTED_VALUE"""),"Customer Service: Seamless and easy")</f>
        <v>Customer Service: Seamless and easy</v>
      </c>
      <c r="Q2228" s="14" t="str">
        <f>IFERROR(__xludf.DUMMYFUNCTION("split(P2228,"":"")"),"Customer Service")</f>
        <v>Customer Service</v>
      </c>
      <c r="R2228" s="14" t="str">
        <f>IFERROR(__xludf.DUMMYFUNCTION("""COMPUTED_VALUE""")," Seamless and easy")</f>
        <v> Seamless and easy</v>
      </c>
      <c r="S2228" s="14" t="str">
        <f t="shared" ref="S2228:U2228" si="4459">trim(B2228)</f>
        <v>ord_82202</v>
      </c>
      <c r="T2228" s="14" t="str">
        <f t="shared" si="4459"/>
        <v>Sana Malik</v>
      </c>
      <c r="U2228" s="14" t="str">
        <f t="shared" si="4459"/>
        <v>Powai</v>
      </c>
      <c r="V2228" s="14" t="str">
        <f t="shared" si="4"/>
        <v>Guava</v>
      </c>
      <c r="W2228" s="14">
        <f t="shared" si="5"/>
        <v>2</v>
      </c>
      <c r="X2228" s="14" t="str">
        <f t="shared" si="6"/>
        <v>Sita T</v>
      </c>
      <c r="Y2228" s="15">
        <f t="shared" si="7"/>
        <v>45106</v>
      </c>
      <c r="Z2228" s="14" t="str">
        <f t="shared" si="8"/>
        <v>UPI</v>
      </c>
      <c r="AA2228" s="14" t="str">
        <f t="shared" si="9"/>
        <v>Delivered</v>
      </c>
      <c r="AB2228" s="14" t="str">
        <f t="shared" ref="AB2228:AC2228" si="4460">trim(Q2228)</f>
        <v>Customer Service</v>
      </c>
      <c r="AC2228" s="14" t="str">
        <f t="shared" si="4460"/>
        <v>Seamless and easy</v>
      </c>
      <c r="AD2228" s="8"/>
    </row>
    <row r="2229">
      <c r="A2229" s="14" t="str">
        <f>IFERROR(__xludf.DUMMYFUNCTION("""COMPUTED_VALUE"""),"//ord_82203//Aditya Basu//Juhu//Popcorn+5*Venu R/11/9/2023//UPI//Delivered*Delivery Experience: Quick and professional")</f>
        <v>//ord_82203//Aditya Basu//Juhu//Popcorn+5*Venu R/11/9/2023//UPI//Delivered*Delivery Experience: Quick and professional</v>
      </c>
      <c r="B2229" s="14" t="str">
        <f>IFERROR(__xludf.DUMMYFUNCTION("split(A2229,""//"")"),"ord_82203")</f>
        <v>ord_82203</v>
      </c>
      <c r="C2229" s="14" t="str">
        <f>IFERROR(__xludf.DUMMYFUNCTION("""COMPUTED_VALUE"""),"Aditya Basu")</f>
        <v>Aditya Basu</v>
      </c>
      <c r="D2229" s="14" t="str">
        <f>IFERROR(__xludf.DUMMYFUNCTION("""COMPUTED_VALUE"""),"Juhu")</f>
        <v>Juhu</v>
      </c>
      <c r="E2229" s="14" t="str">
        <f>IFERROR(__xludf.DUMMYFUNCTION("""COMPUTED_VALUE"""),"Popcorn+5*Venu R")</f>
        <v>Popcorn+5*Venu R</v>
      </c>
      <c r="F2229" s="14">
        <f>IFERROR(__xludf.DUMMYFUNCTION("""COMPUTED_VALUE"""),11.0)</f>
        <v>11</v>
      </c>
      <c r="G2229" s="14">
        <f>IFERROR(__xludf.DUMMYFUNCTION("""COMPUTED_VALUE"""),9.0)</f>
        <v>9</v>
      </c>
      <c r="H2229" s="14">
        <f>IFERROR(__xludf.DUMMYFUNCTION("""COMPUTED_VALUE"""),2023.0)</f>
        <v>2023</v>
      </c>
      <c r="I2229" s="14" t="str">
        <f>IFERROR(__xludf.DUMMYFUNCTION("""COMPUTED_VALUE"""),"UPI")</f>
        <v>UPI</v>
      </c>
      <c r="J2229" s="14" t="str">
        <f>IFERROR(__xludf.DUMMYFUNCTION("""COMPUTED_VALUE"""),"Delivered*Delivery Experience: Quick and professional")</f>
        <v>Delivered*Delivery Experience: Quick and professional</v>
      </c>
      <c r="K2229" s="14" t="str">
        <f>IFERROR(__xludf.DUMMYFUNCTION("split(E2229,""+"")"),"Popcorn")</f>
        <v>Popcorn</v>
      </c>
      <c r="L2229" s="14" t="str">
        <f>IFERROR(__xludf.DUMMYFUNCTION("""COMPUTED_VALUE"""),"5*Venu R")</f>
        <v>5*Venu R</v>
      </c>
      <c r="M2229" s="14">
        <f>IFERROR(__xludf.DUMMYFUNCTION("SPLIT(L2229,""*"")"),5.0)</f>
        <v>5</v>
      </c>
      <c r="N2229" s="14" t="str">
        <f>IFERROR(__xludf.DUMMYFUNCTION("""COMPUTED_VALUE"""),"Venu R")</f>
        <v>Venu R</v>
      </c>
      <c r="O2229" s="14" t="str">
        <f>IFERROR(__xludf.DUMMYFUNCTION("split(J2229,""*"")"),"Delivered")</f>
        <v>Delivered</v>
      </c>
      <c r="P2229" s="14" t="str">
        <f>IFERROR(__xludf.DUMMYFUNCTION("""COMPUTED_VALUE"""),"Delivery Experience: Quick and professional")</f>
        <v>Delivery Experience: Quick and professional</v>
      </c>
      <c r="Q2229" s="14" t="str">
        <f>IFERROR(__xludf.DUMMYFUNCTION("split(P2229,"":"")"),"Delivery Experience")</f>
        <v>Delivery Experience</v>
      </c>
      <c r="R2229" s="14" t="str">
        <f>IFERROR(__xludf.DUMMYFUNCTION("""COMPUTED_VALUE""")," Quick and professional")</f>
        <v> Quick and professional</v>
      </c>
      <c r="S2229" s="14" t="str">
        <f t="shared" ref="S2229:U2229" si="4461">trim(B2229)</f>
        <v>ord_82203</v>
      </c>
      <c r="T2229" s="14" t="str">
        <f t="shared" si="4461"/>
        <v>Aditya Basu</v>
      </c>
      <c r="U2229" s="14" t="str">
        <f t="shared" si="4461"/>
        <v>Juhu</v>
      </c>
      <c r="V2229" s="14" t="str">
        <f t="shared" si="4"/>
        <v>Popcorn</v>
      </c>
      <c r="W2229" s="14">
        <f t="shared" si="5"/>
        <v>5</v>
      </c>
      <c r="X2229" s="14" t="str">
        <f t="shared" si="6"/>
        <v>Venu R</v>
      </c>
      <c r="Y2229" s="15">
        <f t="shared" si="7"/>
        <v>45239</v>
      </c>
      <c r="Z2229" s="14" t="str">
        <f t="shared" si="8"/>
        <v>UPI</v>
      </c>
      <c r="AA2229" s="14" t="str">
        <f t="shared" si="9"/>
        <v>Delivered</v>
      </c>
      <c r="AB2229" s="14" t="str">
        <f t="shared" ref="AB2229:AC2229" si="4462">trim(Q2229)</f>
        <v>Delivery Experience</v>
      </c>
      <c r="AC2229" s="14" t="str">
        <f t="shared" si="4462"/>
        <v>Quick and professional</v>
      </c>
      <c r="AD2229" s="8"/>
    </row>
    <row r="2230">
      <c r="A2230" s="14" t="str">
        <f>IFERROR(__xludf.DUMMYFUNCTION("""COMPUTED_VALUE"""),"//ord_82204//Riya Chakraborty//Juhu//Orange+2*Ramesh S/12/1/2023//Credit Card//Delivered*Convenience: Easy tracking")</f>
        <v>//ord_82204//Riya Chakraborty//Juhu//Orange+2*Ramesh S/12/1/2023//Credit Card//Delivered*Convenience: Easy tracking</v>
      </c>
      <c r="B2230" s="14" t="str">
        <f>IFERROR(__xludf.DUMMYFUNCTION("split(A2230,""//"")"),"ord_82204")</f>
        <v>ord_82204</v>
      </c>
      <c r="C2230" s="14" t="str">
        <f>IFERROR(__xludf.DUMMYFUNCTION("""COMPUTED_VALUE"""),"Riya Chakraborty")</f>
        <v>Riya Chakraborty</v>
      </c>
      <c r="D2230" s="14" t="str">
        <f>IFERROR(__xludf.DUMMYFUNCTION("""COMPUTED_VALUE"""),"Juhu")</f>
        <v>Juhu</v>
      </c>
      <c r="E2230" s="14" t="str">
        <f>IFERROR(__xludf.DUMMYFUNCTION("""COMPUTED_VALUE"""),"Orange+2*Ramesh S")</f>
        <v>Orange+2*Ramesh S</v>
      </c>
      <c r="F2230" s="14">
        <f>IFERROR(__xludf.DUMMYFUNCTION("""COMPUTED_VALUE"""),12.0)</f>
        <v>12</v>
      </c>
      <c r="G2230" s="14">
        <f>IFERROR(__xludf.DUMMYFUNCTION("""COMPUTED_VALUE"""),1.0)</f>
        <v>1</v>
      </c>
      <c r="H2230" s="14">
        <f>IFERROR(__xludf.DUMMYFUNCTION("""COMPUTED_VALUE"""),2023.0)</f>
        <v>2023</v>
      </c>
      <c r="I2230" s="14" t="str">
        <f>IFERROR(__xludf.DUMMYFUNCTION("""COMPUTED_VALUE"""),"Credit Card")</f>
        <v>Credit Card</v>
      </c>
      <c r="J2230" s="14" t="str">
        <f>IFERROR(__xludf.DUMMYFUNCTION("""COMPUTED_VALUE"""),"Delivered*Convenience: Easy tracking")</f>
        <v>Delivered*Convenience: Easy tracking</v>
      </c>
      <c r="K2230" s="14" t="str">
        <f>IFERROR(__xludf.DUMMYFUNCTION("split(E2230,""+"")"),"Orange")</f>
        <v>Orange</v>
      </c>
      <c r="L2230" s="14" t="str">
        <f>IFERROR(__xludf.DUMMYFUNCTION("""COMPUTED_VALUE"""),"2*Ramesh S")</f>
        <v>2*Ramesh S</v>
      </c>
      <c r="M2230" s="14">
        <f>IFERROR(__xludf.DUMMYFUNCTION("SPLIT(L2230,""*"")"),2.0)</f>
        <v>2</v>
      </c>
      <c r="N2230" s="14" t="str">
        <f>IFERROR(__xludf.DUMMYFUNCTION("""COMPUTED_VALUE"""),"Ramesh S")</f>
        <v>Ramesh S</v>
      </c>
      <c r="O2230" s="14" t="str">
        <f>IFERROR(__xludf.DUMMYFUNCTION("split(J2230,""*"")"),"Delivered")</f>
        <v>Delivered</v>
      </c>
      <c r="P2230" s="14" t="str">
        <f>IFERROR(__xludf.DUMMYFUNCTION("""COMPUTED_VALUE"""),"Convenience: Easy tracking")</f>
        <v>Convenience: Easy tracking</v>
      </c>
      <c r="Q2230" s="14" t="str">
        <f>IFERROR(__xludf.DUMMYFUNCTION("split(P2230,"":"")"),"Convenience")</f>
        <v>Convenience</v>
      </c>
      <c r="R2230" s="14" t="str">
        <f>IFERROR(__xludf.DUMMYFUNCTION("""COMPUTED_VALUE""")," Easy tracking")</f>
        <v> Easy tracking</v>
      </c>
      <c r="S2230" s="14" t="str">
        <f t="shared" ref="S2230:U2230" si="4463">trim(B2230)</f>
        <v>ord_82204</v>
      </c>
      <c r="T2230" s="14" t="str">
        <f t="shared" si="4463"/>
        <v>Riya Chakraborty</v>
      </c>
      <c r="U2230" s="14" t="str">
        <f t="shared" si="4463"/>
        <v>Juhu</v>
      </c>
      <c r="V2230" s="14" t="str">
        <f t="shared" si="4"/>
        <v>Orange</v>
      </c>
      <c r="W2230" s="14">
        <f t="shared" si="5"/>
        <v>2</v>
      </c>
      <c r="X2230" s="14" t="str">
        <f t="shared" si="6"/>
        <v>Ramesh S</v>
      </c>
      <c r="Y2230" s="15">
        <f t="shared" si="7"/>
        <v>45261</v>
      </c>
      <c r="Z2230" s="14" t="str">
        <f t="shared" si="8"/>
        <v>Credit Card</v>
      </c>
      <c r="AA2230" s="14" t="str">
        <f t="shared" si="9"/>
        <v>Delivered</v>
      </c>
      <c r="AB2230" s="14" t="str">
        <f t="shared" ref="AB2230:AC2230" si="4464">trim(Q2230)</f>
        <v>Convenience</v>
      </c>
      <c r="AC2230" s="14" t="str">
        <f t="shared" si="4464"/>
        <v>Easy tracking</v>
      </c>
      <c r="AD2230" s="8"/>
    </row>
    <row r="2231">
      <c r="A2231" s="14" t="str">
        <f>IFERROR(__xludf.DUMMYFUNCTION("""COMPUTED_VALUE"""),"//ord_82205//Omkar Mishra//Powai//Banana+1*Ramesh S/8/5/2023//UPI//Delivered*Overall Satisfaction: Great service will order again")</f>
        <v>//ord_82205//Omkar Mishra//Powai//Banana+1*Ramesh S/8/5/2023//UPI//Delivered*Overall Satisfaction: Great service will order again</v>
      </c>
      <c r="B2231" s="14" t="str">
        <f>IFERROR(__xludf.DUMMYFUNCTION("split(A2231,""//"")"),"ord_82205")</f>
        <v>ord_82205</v>
      </c>
      <c r="C2231" s="14" t="str">
        <f>IFERROR(__xludf.DUMMYFUNCTION("""COMPUTED_VALUE"""),"Omkar Mishra")</f>
        <v>Omkar Mishra</v>
      </c>
      <c r="D2231" s="14" t="str">
        <f>IFERROR(__xludf.DUMMYFUNCTION("""COMPUTED_VALUE"""),"Powai")</f>
        <v>Powai</v>
      </c>
      <c r="E2231" s="14" t="str">
        <f>IFERROR(__xludf.DUMMYFUNCTION("""COMPUTED_VALUE"""),"Banana+1*Ramesh S")</f>
        <v>Banana+1*Ramesh S</v>
      </c>
      <c r="F2231" s="14">
        <f>IFERROR(__xludf.DUMMYFUNCTION("""COMPUTED_VALUE"""),8.0)</f>
        <v>8</v>
      </c>
      <c r="G2231" s="14">
        <f>IFERROR(__xludf.DUMMYFUNCTION("""COMPUTED_VALUE"""),5.0)</f>
        <v>5</v>
      </c>
      <c r="H2231" s="14">
        <f>IFERROR(__xludf.DUMMYFUNCTION("""COMPUTED_VALUE"""),2023.0)</f>
        <v>2023</v>
      </c>
      <c r="I2231" s="14" t="str">
        <f>IFERROR(__xludf.DUMMYFUNCTION("""COMPUTED_VALUE"""),"UPI")</f>
        <v>UPI</v>
      </c>
      <c r="J2231" s="14" t="str">
        <f>IFERROR(__xludf.DUMMYFUNCTION("""COMPUTED_VALUE"""),"Delivered*Overall Satisfaction: Great service will order again")</f>
        <v>Delivered*Overall Satisfaction: Great service will order again</v>
      </c>
      <c r="K2231" s="14" t="str">
        <f>IFERROR(__xludf.DUMMYFUNCTION("split(E2231,""+"")"),"Banana")</f>
        <v>Banana</v>
      </c>
      <c r="L2231" s="14" t="str">
        <f>IFERROR(__xludf.DUMMYFUNCTION("""COMPUTED_VALUE"""),"1*Ramesh S")</f>
        <v>1*Ramesh S</v>
      </c>
      <c r="M2231" s="14">
        <f>IFERROR(__xludf.DUMMYFUNCTION("SPLIT(L2231,""*"")"),1.0)</f>
        <v>1</v>
      </c>
      <c r="N2231" s="14" t="str">
        <f>IFERROR(__xludf.DUMMYFUNCTION("""COMPUTED_VALUE"""),"Ramesh S")</f>
        <v>Ramesh S</v>
      </c>
      <c r="O2231" s="14" t="str">
        <f>IFERROR(__xludf.DUMMYFUNCTION("split(J2231,""*"")"),"Delivered")</f>
        <v>Delivered</v>
      </c>
      <c r="P2231" s="14" t="str">
        <f>IFERROR(__xludf.DUMMYFUNCTION("""COMPUTED_VALUE"""),"Overall Satisfaction: Great service will order again")</f>
        <v>Overall Satisfaction: Great service will order again</v>
      </c>
      <c r="Q2231" s="14" t="str">
        <f>IFERROR(__xludf.DUMMYFUNCTION("split(P2231,"":"")"),"Overall Satisfaction")</f>
        <v>Overall Satisfaction</v>
      </c>
      <c r="R2231" s="14" t="str">
        <f>IFERROR(__xludf.DUMMYFUNCTION("""COMPUTED_VALUE""")," Great service will order again")</f>
        <v> Great service will order again</v>
      </c>
      <c r="S2231" s="14" t="str">
        <f t="shared" ref="S2231:U2231" si="4465">trim(B2231)</f>
        <v>ord_82205</v>
      </c>
      <c r="T2231" s="14" t="str">
        <f t="shared" si="4465"/>
        <v>Omkar Mishra</v>
      </c>
      <c r="U2231" s="14" t="str">
        <f t="shared" si="4465"/>
        <v>Powai</v>
      </c>
      <c r="V2231" s="14" t="str">
        <f t="shared" si="4"/>
        <v>Banana</v>
      </c>
      <c r="W2231" s="14">
        <f t="shared" si="5"/>
        <v>1</v>
      </c>
      <c r="X2231" s="14" t="str">
        <f t="shared" si="6"/>
        <v>Ramesh S</v>
      </c>
      <c r="Y2231" s="15">
        <f t="shared" si="7"/>
        <v>45143</v>
      </c>
      <c r="Z2231" s="14" t="str">
        <f t="shared" si="8"/>
        <v>UPI</v>
      </c>
      <c r="AA2231" s="14" t="str">
        <f t="shared" si="9"/>
        <v>Delivered</v>
      </c>
      <c r="AB2231" s="14" t="str">
        <f t="shared" ref="AB2231:AC2231" si="4466">trim(Q2231)</f>
        <v>Overall Satisfaction</v>
      </c>
      <c r="AC2231" s="14" t="str">
        <f t="shared" si="4466"/>
        <v>Great service will order again</v>
      </c>
      <c r="AD2231" s="8"/>
    </row>
    <row r="2232">
      <c r="A2232" s="14" t="str">
        <f>IFERROR(__xludf.DUMMYFUNCTION("""COMPUTED_VALUE"""),"//ord_82206//Aarohi Kapoor//Bandra//Orange+2*Venu R/12/3/2023//UPI//Delivered*On-time Delivery: Delivered on time")</f>
        <v>//ord_82206//Aarohi Kapoor//Bandra//Orange+2*Venu R/12/3/2023//UPI//Delivered*On-time Delivery: Delivered on time</v>
      </c>
      <c r="B2232" s="14" t="str">
        <f>IFERROR(__xludf.DUMMYFUNCTION("split(A2232,""//"")"),"ord_82206")</f>
        <v>ord_82206</v>
      </c>
      <c r="C2232" s="14" t="str">
        <f>IFERROR(__xludf.DUMMYFUNCTION("""COMPUTED_VALUE"""),"Aarohi Kapoor")</f>
        <v>Aarohi Kapoor</v>
      </c>
      <c r="D2232" s="14" t="str">
        <f>IFERROR(__xludf.DUMMYFUNCTION("""COMPUTED_VALUE"""),"Bandra")</f>
        <v>Bandra</v>
      </c>
      <c r="E2232" s="14" t="str">
        <f>IFERROR(__xludf.DUMMYFUNCTION("""COMPUTED_VALUE"""),"Orange+2*Venu R")</f>
        <v>Orange+2*Venu R</v>
      </c>
      <c r="F2232" s="14">
        <f>IFERROR(__xludf.DUMMYFUNCTION("""COMPUTED_VALUE"""),12.0)</f>
        <v>12</v>
      </c>
      <c r="G2232" s="14">
        <f>IFERROR(__xludf.DUMMYFUNCTION("""COMPUTED_VALUE"""),3.0)</f>
        <v>3</v>
      </c>
      <c r="H2232" s="14">
        <f>IFERROR(__xludf.DUMMYFUNCTION("""COMPUTED_VALUE"""),2023.0)</f>
        <v>2023</v>
      </c>
      <c r="I2232" s="14" t="str">
        <f>IFERROR(__xludf.DUMMYFUNCTION("""COMPUTED_VALUE"""),"UPI")</f>
        <v>UPI</v>
      </c>
      <c r="J2232" s="14" t="str">
        <f>IFERROR(__xludf.DUMMYFUNCTION("""COMPUTED_VALUE"""),"Delivered*On-time Delivery: Delivered on time")</f>
        <v>Delivered*On-time Delivery: Delivered on time</v>
      </c>
      <c r="K2232" s="14" t="str">
        <f>IFERROR(__xludf.DUMMYFUNCTION("split(E2232,""+"")"),"Orange")</f>
        <v>Orange</v>
      </c>
      <c r="L2232" s="14" t="str">
        <f>IFERROR(__xludf.DUMMYFUNCTION("""COMPUTED_VALUE"""),"2*Venu R")</f>
        <v>2*Venu R</v>
      </c>
      <c r="M2232" s="14">
        <f>IFERROR(__xludf.DUMMYFUNCTION("SPLIT(L2232,""*"")"),2.0)</f>
        <v>2</v>
      </c>
      <c r="N2232" s="14" t="str">
        <f>IFERROR(__xludf.DUMMYFUNCTION("""COMPUTED_VALUE"""),"Venu R")</f>
        <v>Venu R</v>
      </c>
      <c r="O2232" s="14" t="str">
        <f>IFERROR(__xludf.DUMMYFUNCTION("split(J2232,""*"")"),"Delivered")</f>
        <v>Delivered</v>
      </c>
      <c r="P2232" s="14" t="str">
        <f>IFERROR(__xludf.DUMMYFUNCTION("""COMPUTED_VALUE"""),"On-time Delivery: Delivered on time")</f>
        <v>On-time Delivery: Delivered on time</v>
      </c>
      <c r="Q2232" s="14" t="str">
        <f>IFERROR(__xludf.DUMMYFUNCTION("split(P2232,"":"")"),"On-time Delivery")</f>
        <v>On-time Delivery</v>
      </c>
      <c r="R2232" s="14" t="str">
        <f>IFERROR(__xludf.DUMMYFUNCTION("""COMPUTED_VALUE""")," Delivered on time")</f>
        <v> Delivered on time</v>
      </c>
      <c r="S2232" s="14" t="str">
        <f t="shared" ref="S2232:U2232" si="4467">trim(B2232)</f>
        <v>ord_82206</v>
      </c>
      <c r="T2232" s="14" t="str">
        <f t="shared" si="4467"/>
        <v>Aarohi Kapoor</v>
      </c>
      <c r="U2232" s="14" t="str">
        <f t="shared" si="4467"/>
        <v>Bandra</v>
      </c>
      <c r="V2232" s="14" t="str">
        <f t="shared" si="4"/>
        <v>Orange</v>
      </c>
      <c r="W2232" s="14">
        <f t="shared" si="5"/>
        <v>2</v>
      </c>
      <c r="X2232" s="14" t="str">
        <f t="shared" si="6"/>
        <v>Venu R</v>
      </c>
      <c r="Y2232" s="15">
        <f t="shared" si="7"/>
        <v>45263</v>
      </c>
      <c r="Z2232" s="14" t="str">
        <f t="shared" si="8"/>
        <v>UPI</v>
      </c>
      <c r="AA2232" s="14" t="str">
        <f t="shared" si="9"/>
        <v>Delivered</v>
      </c>
      <c r="AB2232" s="14" t="str">
        <f t="shared" ref="AB2232:AC2232" si="4468">trim(Q2232)</f>
        <v>On-time Delivery</v>
      </c>
      <c r="AC2232" s="14" t="str">
        <f t="shared" si="4468"/>
        <v>Delivered on time</v>
      </c>
      <c r="AD2232" s="8"/>
    </row>
    <row r="2233">
      <c r="A2233" s="14" t="str">
        <f>IFERROR(__xludf.DUMMYFUNCTION("""COMPUTED_VALUE"""),"//ord_82207//Sakshi Tandon//Colaba//Chicken Puff+5*Vivek Kumar/11/10/2023//UPI//Delivered*Quality of Items: Perfect condition")</f>
        <v>//ord_82207//Sakshi Tandon//Colaba//Chicken Puff+5*Vivek Kumar/11/10/2023//UPI//Delivered*Quality of Items: Perfect condition</v>
      </c>
      <c r="B2233" s="14" t="str">
        <f>IFERROR(__xludf.DUMMYFUNCTION("split(A2233,""//"")"),"ord_82207")</f>
        <v>ord_82207</v>
      </c>
      <c r="C2233" s="14" t="str">
        <f>IFERROR(__xludf.DUMMYFUNCTION("""COMPUTED_VALUE"""),"Sakshi Tandon")</f>
        <v>Sakshi Tandon</v>
      </c>
      <c r="D2233" s="14" t="str">
        <f>IFERROR(__xludf.DUMMYFUNCTION("""COMPUTED_VALUE"""),"Colaba")</f>
        <v>Colaba</v>
      </c>
      <c r="E2233" s="14" t="str">
        <f>IFERROR(__xludf.DUMMYFUNCTION("""COMPUTED_VALUE"""),"Chicken Puff+5*Vivek Kumar")</f>
        <v>Chicken Puff+5*Vivek Kumar</v>
      </c>
      <c r="F2233" s="14">
        <f>IFERROR(__xludf.DUMMYFUNCTION("""COMPUTED_VALUE"""),11.0)</f>
        <v>11</v>
      </c>
      <c r="G2233" s="14">
        <f>IFERROR(__xludf.DUMMYFUNCTION("""COMPUTED_VALUE"""),10.0)</f>
        <v>10</v>
      </c>
      <c r="H2233" s="14">
        <f>IFERROR(__xludf.DUMMYFUNCTION("""COMPUTED_VALUE"""),2023.0)</f>
        <v>2023</v>
      </c>
      <c r="I2233" s="14" t="str">
        <f>IFERROR(__xludf.DUMMYFUNCTION("""COMPUTED_VALUE"""),"UPI")</f>
        <v>UPI</v>
      </c>
      <c r="J2233" s="14" t="str">
        <f>IFERROR(__xludf.DUMMYFUNCTION("""COMPUTED_VALUE"""),"Delivered*Quality of Items: Perfect condition")</f>
        <v>Delivered*Quality of Items: Perfect condition</v>
      </c>
      <c r="K2233" s="14" t="str">
        <f>IFERROR(__xludf.DUMMYFUNCTION("split(E2233,""+"")"),"Chicken Puff")</f>
        <v>Chicken Puff</v>
      </c>
      <c r="L2233" s="14" t="str">
        <f>IFERROR(__xludf.DUMMYFUNCTION("""COMPUTED_VALUE"""),"5*Vivek Kumar")</f>
        <v>5*Vivek Kumar</v>
      </c>
      <c r="M2233" s="14">
        <f>IFERROR(__xludf.DUMMYFUNCTION("SPLIT(L2233,""*"")"),5.0)</f>
        <v>5</v>
      </c>
      <c r="N2233" s="14" t="str">
        <f>IFERROR(__xludf.DUMMYFUNCTION("""COMPUTED_VALUE"""),"Vivek Kumar")</f>
        <v>Vivek Kumar</v>
      </c>
      <c r="O2233" s="14" t="str">
        <f>IFERROR(__xludf.DUMMYFUNCTION("split(J2233,""*"")"),"Delivered")</f>
        <v>Delivered</v>
      </c>
      <c r="P2233" s="14" t="str">
        <f>IFERROR(__xludf.DUMMYFUNCTION("""COMPUTED_VALUE"""),"Quality of Items: Perfect condition")</f>
        <v>Quality of Items: Perfect condition</v>
      </c>
      <c r="Q2233" s="14" t="str">
        <f>IFERROR(__xludf.DUMMYFUNCTION("split(P2233,"":"")"),"Quality of Items")</f>
        <v>Quality of Items</v>
      </c>
      <c r="R2233" s="14" t="str">
        <f>IFERROR(__xludf.DUMMYFUNCTION("""COMPUTED_VALUE""")," Perfect condition")</f>
        <v> Perfect condition</v>
      </c>
      <c r="S2233" s="14" t="str">
        <f t="shared" ref="S2233:U2233" si="4469">trim(B2233)</f>
        <v>ord_82207</v>
      </c>
      <c r="T2233" s="14" t="str">
        <f t="shared" si="4469"/>
        <v>Sakshi Tandon</v>
      </c>
      <c r="U2233" s="14" t="str">
        <f t="shared" si="4469"/>
        <v>Colaba</v>
      </c>
      <c r="V2233" s="14" t="str">
        <f t="shared" si="4"/>
        <v>Chicken Puff</v>
      </c>
      <c r="W2233" s="14">
        <f t="shared" si="5"/>
        <v>5</v>
      </c>
      <c r="X2233" s="14" t="str">
        <f t="shared" si="6"/>
        <v>Vivek Kumar</v>
      </c>
      <c r="Y2233" s="15">
        <f t="shared" si="7"/>
        <v>45240</v>
      </c>
      <c r="Z2233" s="14" t="str">
        <f t="shared" si="8"/>
        <v>UPI</v>
      </c>
      <c r="AA2233" s="14" t="str">
        <f t="shared" si="9"/>
        <v>Delivered</v>
      </c>
      <c r="AB2233" s="14" t="str">
        <f t="shared" ref="AB2233:AC2233" si="4470">trim(Q2233)</f>
        <v>Quality of Items</v>
      </c>
      <c r="AC2233" s="14" t="str">
        <f t="shared" si="4470"/>
        <v>Perfect condition</v>
      </c>
      <c r="AD2233" s="8"/>
    </row>
    <row r="2234">
      <c r="A2234" s="14" t="str">
        <f>IFERROR(__xludf.DUMMYFUNCTION("""COMPUTED_VALUE"""),"//ord_82208//Mehul Thakkar//Malad//Tomato+1*Nithin Lal/12/12/2023//UPI//Delivered*On-time Delivery: Delivered on time")</f>
        <v>//ord_82208//Mehul Thakkar//Malad//Tomato+1*Nithin Lal/12/12/2023//UPI//Delivered*On-time Delivery: Delivered on time</v>
      </c>
      <c r="B2234" s="14" t="str">
        <f>IFERROR(__xludf.DUMMYFUNCTION("split(A2234,""//"")"),"ord_82208")</f>
        <v>ord_82208</v>
      </c>
      <c r="C2234" s="14" t="str">
        <f>IFERROR(__xludf.DUMMYFUNCTION("""COMPUTED_VALUE"""),"Mehul Thakkar")</f>
        <v>Mehul Thakkar</v>
      </c>
      <c r="D2234" s="14" t="str">
        <f>IFERROR(__xludf.DUMMYFUNCTION("""COMPUTED_VALUE"""),"Malad")</f>
        <v>Malad</v>
      </c>
      <c r="E2234" s="14" t="str">
        <f>IFERROR(__xludf.DUMMYFUNCTION("""COMPUTED_VALUE"""),"Tomato+1*Nithin Lal")</f>
        <v>Tomato+1*Nithin Lal</v>
      </c>
      <c r="F2234" s="14">
        <f>IFERROR(__xludf.DUMMYFUNCTION("""COMPUTED_VALUE"""),12.0)</f>
        <v>12</v>
      </c>
      <c r="G2234" s="14">
        <f>IFERROR(__xludf.DUMMYFUNCTION("""COMPUTED_VALUE"""),12.0)</f>
        <v>12</v>
      </c>
      <c r="H2234" s="14">
        <f>IFERROR(__xludf.DUMMYFUNCTION("""COMPUTED_VALUE"""),2023.0)</f>
        <v>2023</v>
      </c>
      <c r="I2234" s="14" t="str">
        <f>IFERROR(__xludf.DUMMYFUNCTION("""COMPUTED_VALUE"""),"UPI")</f>
        <v>UPI</v>
      </c>
      <c r="J2234" s="14" t="str">
        <f>IFERROR(__xludf.DUMMYFUNCTION("""COMPUTED_VALUE"""),"Delivered*On-time Delivery: Delivered on time")</f>
        <v>Delivered*On-time Delivery: Delivered on time</v>
      </c>
      <c r="K2234" s="14" t="str">
        <f>IFERROR(__xludf.DUMMYFUNCTION("split(E2234,""+"")"),"Tomato")</f>
        <v>Tomato</v>
      </c>
      <c r="L2234" s="14" t="str">
        <f>IFERROR(__xludf.DUMMYFUNCTION("""COMPUTED_VALUE"""),"1*Nithin Lal")</f>
        <v>1*Nithin Lal</v>
      </c>
      <c r="M2234" s="14">
        <f>IFERROR(__xludf.DUMMYFUNCTION("SPLIT(L2234,""*"")"),1.0)</f>
        <v>1</v>
      </c>
      <c r="N2234" s="14" t="str">
        <f>IFERROR(__xludf.DUMMYFUNCTION("""COMPUTED_VALUE"""),"Nithin Lal")</f>
        <v>Nithin Lal</v>
      </c>
      <c r="O2234" s="14" t="str">
        <f>IFERROR(__xludf.DUMMYFUNCTION("split(J2234,""*"")"),"Delivered")</f>
        <v>Delivered</v>
      </c>
      <c r="P2234" s="14" t="str">
        <f>IFERROR(__xludf.DUMMYFUNCTION("""COMPUTED_VALUE"""),"On-time Delivery: Delivered on time")</f>
        <v>On-time Delivery: Delivered on time</v>
      </c>
      <c r="Q2234" s="14" t="str">
        <f>IFERROR(__xludf.DUMMYFUNCTION("split(P2234,"":"")"),"On-time Delivery")</f>
        <v>On-time Delivery</v>
      </c>
      <c r="R2234" s="14" t="str">
        <f>IFERROR(__xludf.DUMMYFUNCTION("""COMPUTED_VALUE""")," Delivered on time")</f>
        <v> Delivered on time</v>
      </c>
      <c r="S2234" s="14" t="str">
        <f t="shared" ref="S2234:U2234" si="4471">trim(B2234)</f>
        <v>ord_82208</v>
      </c>
      <c r="T2234" s="14" t="str">
        <f t="shared" si="4471"/>
        <v>Mehul Thakkar</v>
      </c>
      <c r="U2234" s="14" t="str">
        <f t="shared" si="4471"/>
        <v>Malad</v>
      </c>
      <c r="V2234" s="14" t="str">
        <f t="shared" si="4"/>
        <v>Tomato</v>
      </c>
      <c r="W2234" s="14">
        <f t="shared" si="5"/>
        <v>1</v>
      </c>
      <c r="X2234" s="14" t="str">
        <f t="shared" si="6"/>
        <v>Nithin Lal</v>
      </c>
      <c r="Y2234" s="15">
        <f t="shared" si="7"/>
        <v>45272</v>
      </c>
      <c r="Z2234" s="14" t="str">
        <f t="shared" si="8"/>
        <v>UPI</v>
      </c>
      <c r="AA2234" s="14" t="str">
        <f t="shared" si="9"/>
        <v>Delivered</v>
      </c>
      <c r="AB2234" s="14" t="str">
        <f t="shared" ref="AB2234:AC2234" si="4472">trim(Q2234)</f>
        <v>On-time Delivery</v>
      </c>
      <c r="AC2234" s="14" t="str">
        <f t="shared" si="4472"/>
        <v>Delivered on time</v>
      </c>
      <c r="AD2234" s="8"/>
    </row>
    <row r="2235">
      <c r="A2235" s="14" t="str">
        <f>IFERROR(__xludf.DUMMYFUNCTION("""COMPUTED_VALUE"""),"//ord_82209//Aditya Rao//Lower Parel//Popcorn+3*Kiran Mehta/9/21/2023//Credit Card//Delivered*Quality of Items: Perfect condition")</f>
        <v>//ord_82209//Aditya Rao//Lower Parel//Popcorn+3*Kiran Mehta/9/21/2023//Credit Card//Delivered*Quality of Items: Perfect condition</v>
      </c>
      <c r="B2235" s="14" t="str">
        <f>IFERROR(__xludf.DUMMYFUNCTION("split(A2235,""//"")"),"ord_82209")</f>
        <v>ord_82209</v>
      </c>
      <c r="C2235" s="14" t="str">
        <f>IFERROR(__xludf.DUMMYFUNCTION("""COMPUTED_VALUE"""),"Aditya Rao")</f>
        <v>Aditya Rao</v>
      </c>
      <c r="D2235" s="14" t="str">
        <f>IFERROR(__xludf.DUMMYFUNCTION("""COMPUTED_VALUE"""),"Lower Parel")</f>
        <v>Lower Parel</v>
      </c>
      <c r="E2235" s="14" t="str">
        <f>IFERROR(__xludf.DUMMYFUNCTION("""COMPUTED_VALUE"""),"Popcorn+3*Kiran Mehta")</f>
        <v>Popcorn+3*Kiran Mehta</v>
      </c>
      <c r="F2235" s="14">
        <f>IFERROR(__xludf.DUMMYFUNCTION("""COMPUTED_VALUE"""),9.0)</f>
        <v>9</v>
      </c>
      <c r="G2235" s="14">
        <f>IFERROR(__xludf.DUMMYFUNCTION("""COMPUTED_VALUE"""),21.0)</f>
        <v>21</v>
      </c>
      <c r="H2235" s="14">
        <f>IFERROR(__xludf.DUMMYFUNCTION("""COMPUTED_VALUE"""),2023.0)</f>
        <v>2023</v>
      </c>
      <c r="I2235" s="14" t="str">
        <f>IFERROR(__xludf.DUMMYFUNCTION("""COMPUTED_VALUE"""),"Credit Card")</f>
        <v>Credit Card</v>
      </c>
      <c r="J2235" s="14" t="str">
        <f>IFERROR(__xludf.DUMMYFUNCTION("""COMPUTED_VALUE"""),"Delivered*Quality of Items: Perfect condition")</f>
        <v>Delivered*Quality of Items: Perfect condition</v>
      </c>
      <c r="K2235" s="14" t="str">
        <f>IFERROR(__xludf.DUMMYFUNCTION("split(E2235,""+"")"),"Popcorn")</f>
        <v>Popcorn</v>
      </c>
      <c r="L2235" s="14" t="str">
        <f>IFERROR(__xludf.DUMMYFUNCTION("""COMPUTED_VALUE"""),"3*Kiran Mehta")</f>
        <v>3*Kiran Mehta</v>
      </c>
      <c r="M2235" s="14">
        <f>IFERROR(__xludf.DUMMYFUNCTION("SPLIT(L2235,""*"")"),3.0)</f>
        <v>3</v>
      </c>
      <c r="N2235" s="14" t="str">
        <f>IFERROR(__xludf.DUMMYFUNCTION("""COMPUTED_VALUE"""),"Kiran Mehta")</f>
        <v>Kiran Mehta</v>
      </c>
      <c r="O2235" s="14" t="str">
        <f>IFERROR(__xludf.DUMMYFUNCTION("split(J2235,""*"")"),"Delivered")</f>
        <v>Delivered</v>
      </c>
      <c r="P2235" s="14" t="str">
        <f>IFERROR(__xludf.DUMMYFUNCTION("""COMPUTED_VALUE"""),"Quality of Items: Perfect condition")</f>
        <v>Quality of Items: Perfect condition</v>
      </c>
      <c r="Q2235" s="14" t="str">
        <f>IFERROR(__xludf.DUMMYFUNCTION("split(P2235,"":"")"),"Quality of Items")</f>
        <v>Quality of Items</v>
      </c>
      <c r="R2235" s="14" t="str">
        <f>IFERROR(__xludf.DUMMYFUNCTION("""COMPUTED_VALUE""")," Perfect condition")</f>
        <v> Perfect condition</v>
      </c>
      <c r="S2235" s="14" t="str">
        <f t="shared" ref="S2235:U2235" si="4473">trim(B2235)</f>
        <v>ord_82209</v>
      </c>
      <c r="T2235" s="14" t="str">
        <f t="shared" si="4473"/>
        <v>Aditya Rao</v>
      </c>
      <c r="U2235" s="14" t="str">
        <f t="shared" si="4473"/>
        <v>Lower Parel</v>
      </c>
      <c r="V2235" s="14" t="str">
        <f t="shared" si="4"/>
        <v>Popcorn</v>
      </c>
      <c r="W2235" s="14">
        <f t="shared" si="5"/>
        <v>3</v>
      </c>
      <c r="X2235" s="14" t="str">
        <f t="shared" si="6"/>
        <v>Kiran Mehta</v>
      </c>
      <c r="Y2235" s="15">
        <f t="shared" si="7"/>
        <v>45190</v>
      </c>
      <c r="Z2235" s="14" t="str">
        <f t="shared" si="8"/>
        <v>Credit Card</v>
      </c>
      <c r="AA2235" s="14" t="str">
        <f t="shared" si="9"/>
        <v>Delivered</v>
      </c>
      <c r="AB2235" s="14" t="str">
        <f t="shared" ref="AB2235:AC2235" si="4474">trim(Q2235)</f>
        <v>Quality of Items</v>
      </c>
      <c r="AC2235" s="14" t="str">
        <f t="shared" si="4474"/>
        <v>Perfect condition</v>
      </c>
      <c r="AD2235" s="8"/>
    </row>
    <row r="2236">
      <c r="A2236" s="14" t="str">
        <f>IFERROR(__xludf.DUMMYFUNCTION("""COMPUTED_VALUE"""),"//ord_82210//Sanjay Nair//Dadar//Chicken Puff+4*Ram Gopal/8/8/2023//Online Payment//Cancelled*Delayed Delivery:Bad Weather Conditions ")</f>
        <v>//ord_82210//Sanjay Nair//Dadar//Chicken Puff+4*Ram Gopal/8/8/2023//Online Payment//Cancelled*Delayed Delivery:Bad Weather Conditions </v>
      </c>
      <c r="B2236" s="14" t="str">
        <f>IFERROR(__xludf.DUMMYFUNCTION("split(A2236,""//"")"),"ord_82210")</f>
        <v>ord_82210</v>
      </c>
      <c r="C2236" s="14" t="str">
        <f>IFERROR(__xludf.DUMMYFUNCTION("""COMPUTED_VALUE"""),"Sanjay Nair")</f>
        <v>Sanjay Nair</v>
      </c>
      <c r="D2236" s="14" t="str">
        <f>IFERROR(__xludf.DUMMYFUNCTION("""COMPUTED_VALUE"""),"Dadar")</f>
        <v>Dadar</v>
      </c>
      <c r="E2236" s="14" t="str">
        <f>IFERROR(__xludf.DUMMYFUNCTION("""COMPUTED_VALUE"""),"Chicken Puff+4*Ram Gopal")</f>
        <v>Chicken Puff+4*Ram Gopal</v>
      </c>
      <c r="F2236" s="14">
        <f>IFERROR(__xludf.DUMMYFUNCTION("""COMPUTED_VALUE"""),8.0)</f>
        <v>8</v>
      </c>
      <c r="G2236" s="14">
        <f>IFERROR(__xludf.DUMMYFUNCTION("""COMPUTED_VALUE"""),8.0)</f>
        <v>8</v>
      </c>
      <c r="H2236" s="14">
        <f>IFERROR(__xludf.DUMMYFUNCTION("""COMPUTED_VALUE"""),2023.0)</f>
        <v>2023</v>
      </c>
      <c r="I2236" s="14" t="str">
        <f>IFERROR(__xludf.DUMMYFUNCTION("""COMPUTED_VALUE"""),"Online Payment")</f>
        <v>Online Payment</v>
      </c>
      <c r="J2236" s="14" t="str">
        <f>IFERROR(__xludf.DUMMYFUNCTION("""COMPUTED_VALUE"""),"Cancelled*Delayed Delivery:Bad Weather Conditions ")</f>
        <v>Cancelled*Delayed Delivery:Bad Weather Conditions </v>
      </c>
      <c r="K2236" s="14" t="str">
        <f>IFERROR(__xludf.DUMMYFUNCTION("split(E2236,""+"")"),"Chicken Puff")</f>
        <v>Chicken Puff</v>
      </c>
      <c r="L2236" s="14" t="str">
        <f>IFERROR(__xludf.DUMMYFUNCTION("""COMPUTED_VALUE"""),"4*Ram Gopal")</f>
        <v>4*Ram Gopal</v>
      </c>
      <c r="M2236" s="14">
        <f>IFERROR(__xludf.DUMMYFUNCTION("SPLIT(L2236,""*"")"),4.0)</f>
        <v>4</v>
      </c>
      <c r="N2236" s="14" t="str">
        <f>IFERROR(__xludf.DUMMYFUNCTION("""COMPUTED_VALUE"""),"Ram Gopal")</f>
        <v>Ram Gopal</v>
      </c>
      <c r="O2236" s="14" t="str">
        <f>IFERROR(__xludf.DUMMYFUNCTION("split(J2236,""*"")"),"Cancelled")</f>
        <v>Cancelled</v>
      </c>
      <c r="P2236" s="14" t="str">
        <f>IFERROR(__xludf.DUMMYFUNCTION("""COMPUTED_VALUE"""),"Delayed Delivery:Bad Weather Conditions ")</f>
        <v>Delayed Delivery:Bad Weather Conditions </v>
      </c>
      <c r="Q2236" s="14" t="str">
        <f>IFERROR(__xludf.DUMMYFUNCTION("split(P2236,"":"")"),"Delayed Delivery")</f>
        <v>Delayed Delivery</v>
      </c>
      <c r="R2236" s="14" t="str">
        <f>IFERROR(__xludf.DUMMYFUNCTION("""COMPUTED_VALUE"""),"Bad Weather Conditions ")</f>
        <v>Bad Weather Conditions </v>
      </c>
      <c r="S2236" s="14" t="str">
        <f t="shared" ref="S2236:U2236" si="4475">trim(B2236)</f>
        <v>ord_82210</v>
      </c>
      <c r="T2236" s="14" t="str">
        <f t="shared" si="4475"/>
        <v>Sanjay Nair</v>
      </c>
      <c r="U2236" s="14" t="str">
        <f t="shared" si="4475"/>
        <v>Dadar</v>
      </c>
      <c r="V2236" s="14" t="str">
        <f t="shared" si="4"/>
        <v>Chicken Puff</v>
      </c>
      <c r="W2236" s="14">
        <f t="shared" si="5"/>
        <v>4</v>
      </c>
      <c r="X2236" s="14" t="str">
        <f t="shared" si="6"/>
        <v>Ram Gopal</v>
      </c>
      <c r="Y2236" s="15">
        <f t="shared" si="7"/>
        <v>45146</v>
      </c>
      <c r="Z2236" s="14" t="str">
        <f t="shared" si="8"/>
        <v>Online Payment</v>
      </c>
      <c r="AA2236" s="14" t="str">
        <f t="shared" si="9"/>
        <v>Cancelled</v>
      </c>
      <c r="AB2236" s="14" t="str">
        <f t="shared" ref="AB2236:AC2236" si="4476">trim(Q2236)</f>
        <v>Delayed Delivery</v>
      </c>
      <c r="AC2236" s="14" t="str">
        <f t="shared" si="4476"/>
        <v>Bad Weather Conditions</v>
      </c>
      <c r="AD2236" s="8"/>
    </row>
    <row r="2237">
      <c r="A2237" s="14" t="str">
        <f>IFERROR(__xludf.DUMMYFUNCTION("""COMPUTED_VALUE"""),"//ord_82211//Sahil Desai//Colaba//Juice+9*Nikhil Deshmukh/8/4/2023//Online Payment//Delivered*Packaging: Secure and intact")</f>
        <v>//ord_82211//Sahil Desai//Colaba//Juice+9*Nikhil Deshmukh/8/4/2023//Online Payment//Delivered*Packaging: Secure and intact</v>
      </c>
      <c r="B2237" s="14" t="str">
        <f>IFERROR(__xludf.DUMMYFUNCTION("split(A2237,""//"")"),"ord_82211")</f>
        <v>ord_82211</v>
      </c>
      <c r="C2237" s="14" t="str">
        <f>IFERROR(__xludf.DUMMYFUNCTION("""COMPUTED_VALUE"""),"Sahil Desai")</f>
        <v>Sahil Desai</v>
      </c>
      <c r="D2237" s="14" t="str">
        <f>IFERROR(__xludf.DUMMYFUNCTION("""COMPUTED_VALUE"""),"Colaba")</f>
        <v>Colaba</v>
      </c>
      <c r="E2237" s="14" t="str">
        <f>IFERROR(__xludf.DUMMYFUNCTION("""COMPUTED_VALUE"""),"Juice+9*Nikhil Deshmukh")</f>
        <v>Juice+9*Nikhil Deshmukh</v>
      </c>
      <c r="F2237" s="14">
        <f>IFERROR(__xludf.DUMMYFUNCTION("""COMPUTED_VALUE"""),8.0)</f>
        <v>8</v>
      </c>
      <c r="G2237" s="14">
        <f>IFERROR(__xludf.DUMMYFUNCTION("""COMPUTED_VALUE"""),4.0)</f>
        <v>4</v>
      </c>
      <c r="H2237" s="14">
        <f>IFERROR(__xludf.DUMMYFUNCTION("""COMPUTED_VALUE"""),2023.0)</f>
        <v>2023</v>
      </c>
      <c r="I2237" s="14" t="str">
        <f>IFERROR(__xludf.DUMMYFUNCTION("""COMPUTED_VALUE"""),"Online Payment")</f>
        <v>Online Payment</v>
      </c>
      <c r="J2237" s="14" t="str">
        <f>IFERROR(__xludf.DUMMYFUNCTION("""COMPUTED_VALUE"""),"Delivered*Packaging: Secure and intact")</f>
        <v>Delivered*Packaging: Secure and intact</v>
      </c>
      <c r="K2237" s="14" t="str">
        <f>IFERROR(__xludf.DUMMYFUNCTION("split(E2237,""+"")"),"Juice")</f>
        <v>Juice</v>
      </c>
      <c r="L2237" s="14" t="str">
        <f>IFERROR(__xludf.DUMMYFUNCTION("""COMPUTED_VALUE"""),"9*Nikhil Deshmukh")</f>
        <v>9*Nikhil Deshmukh</v>
      </c>
      <c r="M2237" s="14">
        <f>IFERROR(__xludf.DUMMYFUNCTION("SPLIT(L2237,""*"")"),9.0)</f>
        <v>9</v>
      </c>
      <c r="N2237" s="14" t="str">
        <f>IFERROR(__xludf.DUMMYFUNCTION("""COMPUTED_VALUE"""),"Nikhil Deshmukh")</f>
        <v>Nikhil Deshmukh</v>
      </c>
      <c r="O2237" s="14" t="str">
        <f>IFERROR(__xludf.DUMMYFUNCTION("split(J2237,""*"")"),"Delivered")</f>
        <v>Delivered</v>
      </c>
      <c r="P2237" s="14" t="str">
        <f>IFERROR(__xludf.DUMMYFUNCTION("""COMPUTED_VALUE"""),"Packaging: Secure and intact")</f>
        <v>Packaging: Secure and intact</v>
      </c>
      <c r="Q2237" s="14" t="str">
        <f>IFERROR(__xludf.DUMMYFUNCTION("split(P2237,"":"")"),"Packaging")</f>
        <v>Packaging</v>
      </c>
      <c r="R2237" s="14" t="str">
        <f>IFERROR(__xludf.DUMMYFUNCTION("""COMPUTED_VALUE""")," Secure and intact")</f>
        <v> Secure and intact</v>
      </c>
      <c r="S2237" s="14" t="str">
        <f t="shared" ref="S2237:U2237" si="4477">trim(B2237)</f>
        <v>ord_82211</v>
      </c>
      <c r="T2237" s="14" t="str">
        <f t="shared" si="4477"/>
        <v>Sahil Desai</v>
      </c>
      <c r="U2237" s="14" t="str">
        <f t="shared" si="4477"/>
        <v>Colaba</v>
      </c>
      <c r="V2237" s="14" t="str">
        <f t="shared" si="4"/>
        <v>Juice</v>
      </c>
      <c r="W2237" s="14">
        <f t="shared" si="5"/>
        <v>9</v>
      </c>
      <c r="X2237" s="14" t="str">
        <f t="shared" si="6"/>
        <v>Nikhil Deshmukh</v>
      </c>
      <c r="Y2237" s="15">
        <f t="shared" si="7"/>
        <v>45142</v>
      </c>
      <c r="Z2237" s="14" t="str">
        <f t="shared" si="8"/>
        <v>Online Payment</v>
      </c>
      <c r="AA2237" s="14" t="str">
        <f t="shared" si="9"/>
        <v>Delivered</v>
      </c>
      <c r="AB2237" s="14" t="str">
        <f t="shared" ref="AB2237:AC2237" si="4478">trim(Q2237)</f>
        <v>Packaging</v>
      </c>
      <c r="AC2237" s="14" t="str">
        <f t="shared" si="4478"/>
        <v>Secure and intact</v>
      </c>
      <c r="AD2237" s="8"/>
    </row>
    <row r="2238">
      <c r="A2238" s="14" t="str">
        <f>IFERROR(__xludf.DUMMYFUNCTION("""COMPUTED_VALUE"""),"//ord_82212//Mehul Thakkar//Dadar//Papaya+1*Aman Kumar/3/28/2023//Credit Card//Delivered*Satisfied with the Delivery: Timely and quality")</f>
        <v>//ord_82212//Mehul Thakkar//Dadar//Papaya+1*Aman Kumar/3/28/2023//Credit Card//Delivered*Satisfied with the Delivery: Timely and quality</v>
      </c>
      <c r="B2238" s="14" t="str">
        <f>IFERROR(__xludf.DUMMYFUNCTION("split(A2238,""//"")"),"ord_82212")</f>
        <v>ord_82212</v>
      </c>
      <c r="C2238" s="14" t="str">
        <f>IFERROR(__xludf.DUMMYFUNCTION("""COMPUTED_VALUE"""),"Mehul Thakkar")</f>
        <v>Mehul Thakkar</v>
      </c>
      <c r="D2238" s="14" t="str">
        <f>IFERROR(__xludf.DUMMYFUNCTION("""COMPUTED_VALUE"""),"Dadar")</f>
        <v>Dadar</v>
      </c>
      <c r="E2238" s="14" t="str">
        <f>IFERROR(__xludf.DUMMYFUNCTION("""COMPUTED_VALUE"""),"Papaya+1*Aman Kumar")</f>
        <v>Papaya+1*Aman Kumar</v>
      </c>
      <c r="F2238" s="14">
        <f>IFERROR(__xludf.DUMMYFUNCTION("""COMPUTED_VALUE"""),3.0)</f>
        <v>3</v>
      </c>
      <c r="G2238" s="14">
        <f>IFERROR(__xludf.DUMMYFUNCTION("""COMPUTED_VALUE"""),28.0)</f>
        <v>28</v>
      </c>
      <c r="H2238" s="14">
        <f>IFERROR(__xludf.DUMMYFUNCTION("""COMPUTED_VALUE"""),2023.0)</f>
        <v>2023</v>
      </c>
      <c r="I2238" s="14" t="str">
        <f>IFERROR(__xludf.DUMMYFUNCTION("""COMPUTED_VALUE"""),"Credit Card")</f>
        <v>Credit Card</v>
      </c>
      <c r="J2238" s="14" t="str">
        <f>IFERROR(__xludf.DUMMYFUNCTION("""COMPUTED_VALUE"""),"Delivered*Satisfied with the Delivery: Timely and quality")</f>
        <v>Delivered*Satisfied with the Delivery: Timely and quality</v>
      </c>
      <c r="K2238" s="14" t="str">
        <f>IFERROR(__xludf.DUMMYFUNCTION("split(E2238,""+"")"),"Papaya")</f>
        <v>Papaya</v>
      </c>
      <c r="L2238" s="14" t="str">
        <f>IFERROR(__xludf.DUMMYFUNCTION("""COMPUTED_VALUE"""),"1*Aman Kumar")</f>
        <v>1*Aman Kumar</v>
      </c>
      <c r="M2238" s="14">
        <f>IFERROR(__xludf.DUMMYFUNCTION("SPLIT(L2238,""*"")"),1.0)</f>
        <v>1</v>
      </c>
      <c r="N2238" s="14" t="str">
        <f>IFERROR(__xludf.DUMMYFUNCTION("""COMPUTED_VALUE"""),"Aman Kumar")</f>
        <v>Aman Kumar</v>
      </c>
      <c r="O2238" s="14" t="str">
        <f>IFERROR(__xludf.DUMMYFUNCTION("split(J2238,""*"")"),"Delivered")</f>
        <v>Delivered</v>
      </c>
      <c r="P2238" s="14" t="str">
        <f>IFERROR(__xludf.DUMMYFUNCTION("""COMPUTED_VALUE"""),"Satisfied with the Delivery: Timely and quality")</f>
        <v>Satisfied with the Delivery: Timely and quality</v>
      </c>
      <c r="Q2238" s="14" t="str">
        <f>IFERROR(__xludf.DUMMYFUNCTION("split(P2238,"":"")"),"Satisfied with the Delivery")</f>
        <v>Satisfied with the Delivery</v>
      </c>
      <c r="R2238" s="14" t="str">
        <f>IFERROR(__xludf.DUMMYFUNCTION("""COMPUTED_VALUE""")," Timely and quality")</f>
        <v> Timely and quality</v>
      </c>
      <c r="S2238" s="14" t="str">
        <f t="shared" ref="S2238:U2238" si="4479">trim(B2238)</f>
        <v>ord_82212</v>
      </c>
      <c r="T2238" s="14" t="str">
        <f t="shared" si="4479"/>
        <v>Mehul Thakkar</v>
      </c>
      <c r="U2238" s="14" t="str">
        <f t="shared" si="4479"/>
        <v>Dadar</v>
      </c>
      <c r="V2238" s="14" t="str">
        <f t="shared" si="4"/>
        <v>Papaya</v>
      </c>
      <c r="W2238" s="14">
        <f t="shared" si="5"/>
        <v>1</v>
      </c>
      <c r="X2238" s="14" t="str">
        <f t="shared" si="6"/>
        <v>Aman Kumar</v>
      </c>
      <c r="Y2238" s="15">
        <f t="shared" si="7"/>
        <v>45013</v>
      </c>
      <c r="Z2238" s="14" t="str">
        <f t="shared" si="8"/>
        <v>Credit Card</v>
      </c>
      <c r="AA2238" s="14" t="str">
        <f t="shared" si="9"/>
        <v>Delivered</v>
      </c>
      <c r="AB2238" s="14" t="str">
        <f t="shared" ref="AB2238:AC2238" si="4480">trim(Q2238)</f>
        <v>Satisfied with the Delivery</v>
      </c>
      <c r="AC2238" s="14" t="str">
        <f t="shared" si="4480"/>
        <v>Timely and quality</v>
      </c>
      <c r="AD2238" s="8"/>
    </row>
    <row r="2239">
      <c r="A2239" s="14" t="str">
        <f>IFERROR(__xludf.DUMMYFUNCTION("""COMPUTED_VALUE"""),"//ord_82213//Aarav Mehta//Andheri//Icecream+3*Not Assigned/12/13/2023//UPI//Cancelled*App Glitches: Payment Button Malfunction")</f>
        <v>//ord_82213//Aarav Mehta//Andheri//Icecream+3*Not Assigned/12/13/2023//UPI//Cancelled*App Glitches: Payment Button Malfunction</v>
      </c>
      <c r="B2239" s="14" t="str">
        <f>IFERROR(__xludf.DUMMYFUNCTION("split(A2239,""//"")"),"ord_82213")</f>
        <v>ord_82213</v>
      </c>
      <c r="C2239" s="14" t="str">
        <f>IFERROR(__xludf.DUMMYFUNCTION("""COMPUTED_VALUE"""),"Aarav Mehta")</f>
        <v>Aarav Mehta</v>
      </c>
      <c r="D2239" s="14" t="str">
        <f>IFERROR(__xludf.DUMMYFUNCTION("""COMPUTED_VALUE"""),"Andheri")</f>
        <v>Andheri</v>
      </c>
      <c r="E2239" s="14" t="str">
        <f>IFERROR(__xludf.DUMMYFUNCTION("""COMPUTED_VALUE"""),"Icecream+3*Not Assigned")</f>
        <v>Icecream+3*Not Assigned</v>
      </c>
      <c r="F2239" s="14">
        <f>IFERROR(__xludf.DUMMYFUNCTION("""COMPUTED_VALUE"""),12.0)</f>
        <v>12</v>
      </c>
      <c r="G2239" s="14">
        <f>IFERROR(__xludf.DUMMYFUNCTION("""COMPUTED_VALUE"""),13.0)</f>
        <v>13</v>
      </c>
      <c r="H2239" s="14">
        <f>IFERROR(__xludf.DUMMYFUNCTION("""COMPUTED_VALUE"""),2023.0)</f>
        <v>2023</v>
      </c>
      <c r="I2239" s="14" t="str">
        <f>IFERROR(__xludf.DUMMYFUNCTION("""COMPUTED_VALUE"""),"UPI")</f>
        <v>UPI</v>
      </c>
      <c r="J2239" s="14" t="str">
        <f>IFERROR(__xludf.DUMMYFUNCTION("""COMPUTED_VALUE"""),"Cancelled*App Glitches: Payment Button Malfunction")</f>
        <v>Cancelled*App Glitches: Payment Button Malfunction</v>
      </c>
      <c r="K2239" s="14" t="str">
        <f>IFERROR(__xludf.DUMMYFUNCTION("split(E2239,""+"")"),"Icecream")</f>
        <v>Icecream</v>
      </c>
      <c r="L2239" s="14" t="str">
        <f>IFERROR(__xludf.DUMMYFUNCTION("""COMPUTED_VALUE"""),"3*Not Assigned")</f>
        <v>3*Not Assigned</v>
      </c>
      <c r="M2239" s="14">
        <f>IFERROR(__xludf.DUMMYFUNCTION("SPLIT(L2239,""*"")"),3.0)</f>
        <v>3</v>
      </c>
      <c r="N2239" s="14" t="str">
        <f>IFERROR(__xludf.DUMMYFUNCTION("""COMPUTED_VALUE"""),"Not Assigned")</f>
        <v>Not Assigned</v>
      </c>
      <c r="O2239" s="14" t="str">
        <f>IFERROR(__xludf.DUMMYFUNCTION("split(J2239,""*"")"),"Cancelled")</f>
        <v>Cancelled</v>
      </c>
      <c r="P2239" s="14" t="str">
        <f>IFERROR(__xludf.DUMMYFUNCTION("""COMPUTED_VALUE"""),"App Glitches: Payment Button Malfunction")</f>
        <v>App Glitches: Payment Button Malfunction</v>
      </c>
      <c r="Q2239" s="14" t="str">
        <f>IFERROR(__xludf.DUMMYFUNCTION("split(P2239,"":"")"),"App Glitches")</f>
        <v>App Glitches</v>
      </c>
      <c r="R2239" s="14" t="str">
        <f>IFERROR(__xludf.DUMMYFUNCTION("""COMPUTED_VALUE""")," Payment Button Malfunction")</f>
        <v> Payment Button Malfunction</v>
      </c>
      <c r="S2239" s="14" t="str">
        <f t="shared" ref="S2239:U2239" si="4481">trim(B2239)</f>
        <v>ord_82213</v>
      </c>
      <c r="T2239" s="14" t="str">
        <f t="shared" si="4481"/>
        <v>Aarav Mehta</v>
      </c>
      <c r="U2239" s="14" t="str">
        <f t="shared" si="4481"/>
        <v>Andheri</v>
      </c>
      <c r="V2239" s="14" t="str">
        <f t="shared" si="4"/>
        <v>Icecream</v>
      </c>
      <c r="W2239" s="14">
        <f t="shared" si="5"/>
        <v>3</v>
      </c>
      <c r="X2239" s="14" t="str">
        <f t="shared" si="6"/>
        <v>Not Assigned</v>
      </c>
      <c r="Y2239" s="15">
        <f t="shared" si="7"/>
        <v>45273</v>
      </c>
      <c r="Z2239" s="14" t="str">
        <f t="shared" si="8"/>
        <v>UPI</v>
      </c>
      <c r="AA2239" s="14" t="str">
        <f t="shared" si="9"/>
        <v>Cancelled</v>
      </c>
      <c r="AB2239" s="14" t="str">
        <f t="shared" ref="AB2239:AC2239" si="4482">trim(Q2239)</f>
        <v>App Glitches</v>
      </c>
      <c r="AC2239" s="14" t="str">
        <f t="shared" si="4482"/>
        <v>Payment Button Malfunction</v>
      </c>
      <c r="AD2239" s="8"/>
    </row>
    <row r="2240">
      <c r="A2240" s="14" t="str">
        <f>IFERROR(__xludf.DUMMYFUNCTION("""COMPUTED_VALUE"""),"//ord_82214//Mehul Thakkar//Malad//Orange+2*Neha Shah/5/10/2023//UPI//Delivered*Customer Service: Seamless and easy")</f>
        <v>//ord_82214//Mehul Thakkar//Malad//Orange+2*Neha Shah/5/10/2023//UPI//Delivered*Customer Service: Seamless and easy</v>
      </c>
      <c r="B2240" s="14" t="str">
        <f>IFERROR(__xludf.DUMMYFUNCTION("split(A2240,""//"")"),"ord_82214")</f>
        <v>ord_82214</v>
      </c>
      <c r="C2240" s="14" t="str">
        <f>IFERROR(__xludf.DUMMYFUNCTION("""COMPUTED_VALUE"""),"Mehul Thakkar")</f>
        <v>Mehul Thakkar</v>
      </c>
      <c r="D2240" s="14" t="str">
        <f>IFERROR(__xludf.DUMMYFUNCTION("""COMPUTED_VALUE"""),"Malad")</f>
        <v>Malad</v>
      </c>
      <c r="E2240" s="14" t="str">
        <f>IFERROR(__xludf.DUMMYFUNCTION("""COMPUTED_VALUE"""),"Orange+2*Neha Shah")</f>
        <v>Orange+2*Neha Shah</v>
      </c>
      <c r="F2240" s="14">
        <f>IFERROR(__xludf.DUMMYFUNCTION("""COMPUTED_VALUE"""),5.0)</f>
        <v>5</v>
      </c>
      <c r="G2240" s="14">
        <f>IFERROR(__xludf.DUMMYFUNCTION("""COMPUTED_VALUE"""),10.0)</f>
        <v>10</v>
      </c>
      <c r="H2240" s="14">
        <f>IFERROR(__xludf.DUMMYFUNCTION("""COMPUTED_VALUE"""),2023.0)</f>
        <v>2023</v>
      </c>
      <c r="I2240" s="14" t="str">
        <f>IFERROR(__xludf.DUMMYFUNCTION("""COMPUTED_VALUE"""),"UPI")</f>
        <v>UPI</v>
      </c>
      <c r="J2240" s="14" t="str">
        <f>IFERROR(__xludf.DUMMYFUNCTION("""COMPUTED_VALUE"""),"Delivered*Customer Service: Seamless and easy")</f>
        <v>Delivered*Customer Service: Seamless and easy</v>
      </c>
      <c r="K2240" s="14" t="str">
        <f>IFERROR(__xludf.DUMMYFUNCTION("split(E2240,""+"")"),"Orange")</f>
        <v>Orange</v>
      </c>
      <c r="L2240" s="14" t="str">
        <f>IFERROR(__xludf.DUMMYFUNCTION("""COMPUTED_VALUE"""),"2*Neha Shah")</f>
        <v>2*Neha Shah</v>
      </c>
      <c r="M2240" s="14">
        <f>IFERROR(__xludf.DUMMYFUNCTION("SPLIT(L2240,""*"")"),2.0)</f>
        <v>2</v>
      </c>
      <c r="N2240" s="14" t="str">
        <f>IFERROR(__xludf.DUMMYFUNCTION("""COMPUTED_VALUE"""),"Neha Shah")</f>
        <v>Neha Shah</v>
      </c>
      <c r="O2240" s="14" t="str">
        <f>IFERROR(__xludf.DUMMYFUNCTION("split(J2240,""*"")"),"Delivered")</f>
        <v>Delivered</v>
      </c>
      <c r="P2240" s="14" t="str">
        <f>IFERROR(__xludf.DUMMYFUNCTION("""COMPUTED_VALUE"""),"Customer Service: Seamless and easy")</f>
        <v>Customer Service: Seamless and easy</v>
      </c>
      <c r="Q2240" s="14" t="str">
        <f>IFERROR(__xludf.DUMMYFUNCTION("split(P2240,"":"")"),"Customer Service")</f>
        <v>Customer Service</v>
      </c>
      <c r="R2240" s="14" t="str">
        <f>IFERROR(__xludf.DUMMYFUNCTION("""COMPUTED_VALUE""")," Seamless and easy")</f>
        <v> Seamless and easy</v>
      </c>
      <c r="S2240" s="14" t="str">
        <f t="shared" ref="S2240:U2240" si="4483">trim(B2240)</f>
        <v>ord_82214</v>
      </c>
      <c r="T2240" s="14" t="str">
        <f t="shared" si="4483"/>
        <v>Mehul Thakkar</v>
      </c>
      <c r="U2240" s="14" t="str">
        <f t="shared" si="4483"/>
        <v>Malad</v>
      </c>
      <c r="V2240" s="14" t="str">
        <f t="shared" si="4"/>
        <v>Orange</v>
      </c>
      <c r="W2240" s="14">
        <f t="shared" si="5"/>
        <v>2</v>
      </c>
      <c r="X2240" s="14" t="str">
        <f t="shared" si="6"/>
        <v>Neha Shah</v>
      </c>
      <c r="Y2240" s="15">
        <f t="shared" si="7"/>
        <v>45056</v>
      </c>
      <c r="Z2240" s="14" t="str">
        <f t="shared" si="8"/>
        <v>UPI</v>
      </c>
      <c r="AA2240" s="14" t="str">
        <f t="shared" si="9"/>
        <v>Delivered</v>
      </c>
      <c r="AB2240" s="14" t="str">
        <f t="shared" ref="AB2240:AC2240" si="4484">trim(Q2240)</f>
        <v>Customer Service</v>
      </c>
      <c r="AC2240" s="14" t="str">
        <f t="shared" si="4484"/>
        <v>Seamless and easy</v>
      </c>
      <c r="AD2240" s="8"/>
    </row>
    <row r="2241">
      <c r="A2241" s="14" t="str">
        <f>IFERROR(__xludf.DUMMYFUNCTION("""COMPUTED_VALUE"""),"//ord_82215//Arvind Kulkarni//Juhu//Icecream+5*Not Assigned/4/22/2023//Credit Card//Cancelled*App Glitches:Slow Loading Time")</f>
        <v>//ord_82215//Arvind Kulkarni//Juhu//Icecream+5*Not Assigned/4/22/2023//Credit Card//Cancelled*App Glitches:Slow Loading Time</v>
      </c>
      <c r="B2241" s="14" t="str">
        <f>IFERROR(__xludf.DUMMYFUNCTION("split(A2241,""//"")"),"ord_82215")</f>
        <v>ord_82215</v>
      </c>
      <c r="C2241" s="14" t="str">
        <f>IFERROR(__xludf.DUMMYFUNCTION("""COMPUTED_VALUE"""),"Arvind Kulkarni")</f>
        <v>Arvind Kulkarni</v>
      </c>
      <c r="D2241" s="14" t="str">
        <f>IFERROR(__xludf.DUMMYFUNCTION("""COMPUTED_VALUE"""),"Juhu")</f>
        <v>Juhu</v>
      </c>
      <c r="E2241" s="14" t="str">
        <f>IFERROR(__xludf.DUMMYFUNCTION("""COMPUTED_VALUE"""),"Icecream+5*Not Assigned")</f>
        <v>Icecream+5*Not Assigned</v>
      </c>
      <c r="F2241" s="14">
        <f>IFERROR(__xludf.DUMMYFUNCTION("""COMPUTED_VALUE"""),4.0)</f>
        <v>4</v>
      </c>
      <c r="G2241" s="14">
        <f>IFERROR(__xludf.DUMMYFUNCTION("""COMPUTED_VALUE"""),22.0)</f>
        <v>22</v>
      </c>
      <c r="H2241" s="14">
        <f>IFERROR(__xludf.DUMMYFUNCTION("""COMPUTED_VALUE"""),2023.0)</f>
        <v>2023</v>
      </c>
      <c r="I2241" s="14" t="str">
        <f>IFERROR(__xludf.DUMMYFUNCTION("""COMPUTED_VALUE"""),"Credit Card")</f>
        <v>Credit Card</v>
      </c>
      <c r="J2241" s="14" t="str">
        <f>IFERROR(__xludf.DUMMYFUNCTION("""COMPUTED_VALUE"""),"Cancelled*App Glitches:Slow Loading Time")</f>
        <v>Cancelled*App Glitches:Slow Loading Time</v>
      </c>
      <c r="K2241" s="14" t="str">
        <f>IFERROR(__xludf.DUMMYFUNCTION("split(E2241,""+"")"),"Icecream")</f>
        <v>Icecream</v>
      </c>
      <c r="L2241" s="14" t="str">
        <f>IFERROR(__xludf.DUMMYFUNCTION("""COMPUTED_VALUE"""),"5*Not Assigned")</f>
        <v>5*Not Assigned</v>
      </c>
      <c r="M2241" s="14">
        <f>IFERROR(__xludf.DUMMYFUNCTION("SPLIT(L2241,""*"")"),5.0)</f>
        <v>5</v>
      </c>
      <c r="N2241" s="14" t="str">
        <f>IFERROR(__xludf.DUMMYFUNCTION("""COMPUTED_VALUE"""),"Not Assigned")</f>
        <v>Not Assigned</v>
      </c>
      <c r="O2241" s="14" t="str">
        <f>IFERROR(__xludf.DUMMYFUNCTION("split(J2241,""*"")"),"Cancelled")</f>
        <v>Cancelled</v>
      </c>
      <c r="P2241" s="14" t="str">
        <f>IFERROR(__xludf.DUMMYFUNCTION("""COMPUTED_VALUE"""),"App Glitches:Slow Loading Time")</f>
        <v>App Glitches:Slow Loading Time</v>
      </c>
      <c r="Q2241" s="14" t="str">
        <f>IFERROR(__xludf.DUMMYFUNCTION("split(P2241,"":"")"),"App Glitches")</f>
        <v>App Glitches</v>
      </c>
      <c r="R2241" s="14" t="str">
        <f>IFERROR(__xludf.DUMMYFUNCTION("""COMPUTED_VALUE"""),"Slow Loading Time")</f>
        <v>Slow Loading Time</v>
      </c>
      <c r="S2241" s="14" t="str">
        <f t="shared" ref="S2241:U2241" si="4485">trim(B2241)</f>
        <v>ord_82215</v>
      </c>
      <c r="T2241" s="14" t="str">
        <f t="shared" si="4485"/>
        <v>Arvind Kulkarni</v>
      </c>
      <c r="U2241" s="14" t="str">
        <f t="shared" si="4485"/>
        <v>Juhu</v>
      </c>
      <c r="V2241" s="14" t="str">
        <f t="shared" si="4"/>
        <v>Icecream</v>
      </c>
      <c r="W2241" s="14">
        <f t="shared" si="5"/>
        <v>5</v>
      </c>
      <c r="X2241" s="14" t="str">
        <f t="shared" si="6"/>
        <v>Not Assigned</v>
      </c>
      <c r="Y2241" s="15">
        <f t="shared" si="7"/>
        <v>45038</v>
      </c>
      <c r="Z2241" s="14" t="str">
        <f t="shared" si="8"/>
        <v>Credit Card</v>
      </c>
      <c r="AA2241" s="14" t="str">
        <f t="shared" si="9"/>
        <v>Cancelled</v>
      </c>
      <c r="AB2241" s="14" t="str">
        <f t="shared" ref="AB2241:AC2241" si="4486">trim(Q2241)</f>
        <v>App Glitches</v>
      </c>
      <c r="AC2241" s="14" t="str">
        <f t="shared" si="4486"/>
        <v>Slow Loading Time</v>
      </c>
      <c r="AD2241" s="8"/>
    </row>
    <row r="2242">
      <c r="A2242" s="14" t="str">
        <f>IFERROR(__xludf.DUMMYFUNCTION("""COMPUTED_VALUE"""),"//ord_82216//Dev Chauhan//Bandra//Onion+1*Priya Joshi/12/5/2023//Online Payment//Delivered*Delivery Experience: Quick and professional")</f>
        <v>//ord_82216//Dev Chauhan//Bandra//Onion+1*Priya Joshi/12/5/2023//Online Payment//Delivered*Delivery Experience: Quick and professional</v>
      </c>
      <c r="B2242" s="14" t="str">
        <f>IFERROR(__xludf.DUMMYFUNCTION("split(A2242,""//"")"),"ord_82216")</f>
        <v>ord_82216</v>
      </c>
      <c r="C2242" s="14" t="str">
        <f>IFERROR(__xludf.DUMMYFUNCTION("""COMPUTED_VALUE"""),"Dev Chauhan")</f>
        <v>Dev Chauhan</v>
      </c>
      <c r="D2242" s="14" t="str">
        <f>IFERROR(__xludf.DUMMYFUNCTION("""COMPUTED_VALUE"""),"Bandra")</f>
        <v>Bandra</v>
      </c>
      <c r="E2242" s="14" t="str">
        <f>IFERROR(__xludf.DUMMYFUNCTION("""COMPUTED_VALUE"""),"Onion+1*Priya Joshi")</f>
        <v>Onion+1*Priya Joshi</v>
      </c>
      <c r="F2242" s="14">
        <f>IFERROR(__xludf.DUMMYFUNCTION("""COMPUTED_VALUE"""),12.0)</f>
        <v>12</v>
      </c>
      <c r="G2242" s="14">
        <f>IFERROR(__xludf.DUMMYFUNCTION("""COMPUTED_VALUE"""),5.0)</f>
        <v>5</v>
      </c>
      <c r="H2242" s="14">
        <f>IFERROR(__xludf.DUMMYFUNCTION("""COMPUTED_VALUE"""),2023.0)</f>
        <v>2023</v>
      </c>
      <c r="I2242" s="14" t="str">
        <f>IFERROR(__xludf.DUMMYFUNCTION("""COMPUTED_VALUE"""),"Online Payment")</f>
        <v>Online Payment</v>
      </c>
      <c r="J2242" s="14" t="str">
        <f>IFERROR(__xludf.DUMMYFUNCTION("""COMPUTED_VALUE"""),"Delivered*Delivery Experience: Quick and professional")</f>
        <v>Delivered*Delivery Experience: Quick and professional</v>
      </c>
      <c r="K2242" s="14" t="str">
        <f>IFERROR(__xludf.DUMMYFUNCTION("split(E2242,""+"")"),"Onion")</f>
        <v>Onion</v>
      </c>
      <c r="L2242" s="14" t="str">
        <f>IFERROR(__xludf.DUMMYFUNCTION("""COMPUTED_VALUE"""),"1*Priya Joshi")</f>
        <v>1*Priya Joshi</v>
      </c>
      <c r="M2242" s="14">
        <f>IFERROR(__xludf.DUMMYFUNCTION("SPLIT(L2242,""*"")"),1.0)</f>
        <v>1</v>
      </c>
      <c r="N2242" s="14" t="str">
        <f>IFERROR(__xludf.DUMMYFUNCTION("""COMPUTED_VALUE"""),"Priya Joshi")</f>
        <v>Priya Joshi</v>
      </c>
      <c r="O2242" s="14" t="str">
        <f>IFERROR(__xludf.DUMMYFUNCTION("split(J2242,""*"")"),"Delivered")</f>
        <v>Delivered</v>
      </c>
      <c r="P2242" s="14" t="str">
        <f>IFERROR(__xludf.DUMMYFUNCTION("""COMPUTED_VALUE"""),"Delivery Experience: Quick and professional")</f>
        <v>Delivery Experience: Quick and professional</v>
      </c>
      <c r="Q2242" s="14" t="str">
        <f>IFERROR(__xludf.DUMMYFUNCTION("split(P2242,"":"")"),"Delivery Experience")</f>
        <v>Delivery Experience</v>
      </c>
      <c r="R2242" s="14" t="str">
        <f>IFERROR(__xludf.DUMMYFUNCTION("""COMPUTED_VALUE""")," Quick and professional")</f>
        <v> Quick and professional</v>
      </c>
      <c r="S2242" s="14" t="str">
        <f t="shared" ref="S2242:U2242" si="4487">trim(B2242)</f>
        <v>ord_82216</v>
      </c>
      <c r="T2242" s="14" t="str">
        <f t="shared" si="4487"/>
        <v>Dev Chauhan</v>
      </c>
      <c r="U2242" s="14" t="str">
        <f t="shared" si="4487"/>
        <v>Bandra</v>
      </c>
      <c r="V2242" s="14" t="str">
        <f t="shared" si="4"/>
        <v>Onion</v>
      </c>
      <c r="W2242" s="14">
        <f t="shared" si="5"/>
        <v>1</v>
      </c>
      <c r="X2242" s="14" t="str">
        <f t="shared" si="6"/>
        <v>Priya Joshi</v>
      </c>
      <c r="Y2242" s="15">
        <f t="shared" si="7"/>
        <v>45265</v>
      </c>
      <c r="Z2242" s="14" t="str">
        <f t="shared" si="8"/>
        <v>Online Payment</v>
      </c>
      <c r="AA2242" s="14" t="str">
        <f t="shared" si="9"/>
        <v>Delivered</v>
      </c>
      <c r="AB2242" s="14" t="str">
        <f t="shared" ref="AB2242:AC2242" si="4488">trim(Q2242)</f>
        <v>Delivery Experience</v>
      </c>
      <c r="AC2242" s="14" t="str">
        <f t="shared" si="4488"/>
        <v>Quick and professional</v>
      </c>
      <c r="AD2242" s="8"/>
    </row>
    <row r="2243">
      <c r="A2243" s="14" t="str">
        <f>IFERROR(__xludf.DUMMYFUNCTION("""COMPUTED_VALUE"""),"//ord_82217//Sakshi Tandon//Colaba//Banana+1*Not Assigned/8/18/2023//UPI//Cancelled*App Glitches: Payment Button Malfunction")</f>
        <v>//ord_82217//Sakshi Tandon//Colaba//Banana+1*Not Assigned/8/18/2023//UPI//Cancelled*App Glitches: Payment Button Malfunction</v>
      </c>
      <c r="B2243" s="14" t="str">
        <f>IFERROR(__xludf.DUMMYFUNCTION("split(A2243,""//"")"),"ord_82217")</f>
        <v>ord_82217</v>
      </c>
      <c r="C2243" s="14" t="str">
        <f>IFERROR(__xludf.DUMMYFUNCTION("""COMPUTED_VALUE"""),"Sakshi Tandon")</f>
        <v>Sakshi Tandon</v>
      </c>
      <c r="D2243" s="14" t="str">
        <f>IFERROR(__xludf.DUMMYFUNCTION("""COMPUTED_VALUE"""),"Colaba")</f>
        <v>Colaba</v>
      </c>
      <c r="E2243" s="14" t="str">
        <f>IFERROR(__xludf.DUMMYFUNCTION("""COMPUTED_VALUE"""),"Banana+1*Not Assigned")</f>
        <v>Banana+1*Not Assigned</v>
      </c>
      <c r="F2243" s="14">
        <f>IFERROR(__xludf.DUMMYFUNCTION("""COMPUTED_VALUE"""),8.0)</f>
        <v>8</v>
      </c>
      <c r="G2243" s="14">
        <f>IFERROR(__xludf.DUMMYFUNCTION("""COMPUTED_VALUE"""),18.0)</f>
        <v>18</v>
      </c>
      <c r="H2243" s="14">
        <f>IFERROR(__xludf.DUMMYFUNCTION("""COMPUTED_VALUE"""),2023.0)</f>
        <v>2023</v>
      </c>
      <c r="I2243" s="14" t="str">
        <f>IFERROR(__xludf.DUMMYFUNCTION("""COMPUTED_VALUE"""),"UPI")</f>
        <v>UPI</v>
      </c>
      <c r="J2243" s="14" t="str">
        <f>IFERROR(__xludf.DUMMYFUNCTION("""COMPUTED_VALUE"""),"Cancelled*App Glitches: Payment Button Malfunction")</f>
        <v>Cancelled*App Glitches: Payment Button Malfunction</v>
      </c>
      <c r="K2243" s="14" t="str">
        <f>IFERROR(__xludf.DUMMYFUNCTION("split(E2243,""+"")"),"Banana")</f>
        <v>Banana</v>
      </c>
      <c r="L2243" s="14" t="str">
        <f>IFERROR(__xludf.DUMMYFUNCTION("""COMPUTED_VALUE"""),"1*Not Assigned")</f>
        <v>1*Not Assigned</v>
      </c>
      <c r="M2243" s="14">
        <f>IFERROR(__xludf.DUMMYFUNCTION("SPLIT(L2243,""*"")"),1.0)</f>
        <v>1</v>
      </c>
      <c r="N2243" s="14" t="str">
        <f>IFERROR(__xludf.DUMMYFUNCTION("""COMPUTED_VALUE"""),"Not Assigned")</f>
        <v>Not Assigned</v>
      </c>
      <c r="O2243" s="14" t="str">
        <f>IFERROR(__xludf.DUMMYFUNCTION("split(J2243,""*"")"),"Cancelled")</f>
        <v>Cancelled</v>
      </c>
      <c r="P2243" s="14" t="str">
        <f>IFERROR(__xludf.DUMMYFUNCTION("""COMPUTED_VALUE"""),"App Glitches: Payment Button Malfunction")</f>
        <v>App Glitches: Payment Button Malfunction</v>
      </c>
      <c r="Q2243" s="14" t="str">
        <f>IFERROR(__xludf.DUMMYFUNCTION("split(P2243,"":"")"),"App Glitches")</f>
        <v>App Glitches</v>
      </c>
      <c r="R2243" s="14" t="str">
        <f>IFERROR(__xludf.DUMMYFUNCTION("""COMPUTED_VALUE""")," Payment Button Malfunction")</f>
        <v> Payment Button Malfunction</v>
      </c>
      <c r="S2243" s="14" t="str">
        <f t="shared" ref="S2243:U2243" si="4489">trim(B2243)</f>
        <v>ord_82217</v>
      </c>
      <c r="T2243" s="14" t="str">
        <f t="shared" si="4489"/>
        <v>Sakshi Tandon</v>
      </c>
      <c r="U2243" s="14" t="str">
        <f t="shared" si="4489"/>
        <v>Colaba</v>
      </c>
      <c r="V2243" s="14" t="str">
        <f t="shared" si="4"/>
        <v>Banana</v>
      </c>
      <c r="W2243" s="14">
        <f t="shared" si="5"/>
        <v>1</v>
      </c>
      <c r="X2243" s="14" t="str">
        <f t="shared" si="6"/>
        <v>Not Assigned</v>
      </c>
      <c r="Y2243" s="15">
        <f t="shared" si="7"/>
        <v>45156</v>
      </c>
      <c r="Z2243" s="14" t="str">
        <f t="shared" si="8"/>
        <v>UPI</v>
      </c>
      <c r="AA2243" s="14" t="str">
        <f t="shared" si="9"/>
        <v>Cancelled</v>
      </c>
      <c r="AB2243" s="14" t="str">
        <f t="shared" ref="AB2243:AC2243" si="4490">trim(Q2243)</f>
        <v>App Glitches</v>
      </c>
      <c r="AC2243" s="14" t="str">
        <f t="shared" si="4490"/>
        <v>Payment Button Malfunction</v>
      </c>
      <c r="AD2243" s="8"/>
    </row>
    <row r="2244">
      <c r="A2244" s="14" t="str">
        <f>IFERROR(__xludf.DUMMYFUNCTION("""COMPUTED_VALUE"""),"//ord_82218//Mehul Thakkar//Dadar//Chicken Puff+3*Aman Kumar/3/8/2023//Credit Card//Delivered*Convenience: Easy tracking")</f>
        <v>//ord_82218//Mehul Thakkar//Dadar//Chicken Puff+3*Aman Kumar/3/8/2023//Credit Card//Delivered*Convenience: Easy tracking</v>
      </c>
      <c r="B2244" s="14" t="str">
        <f>IFERROR(__xludf.DUMMYFUNCTION("split(A2244,""//"")"),"ord_82218")</f>
        <v>ord_82218</v>
      </c>
      <c r="C2244" s="14" t="str">
        <f>IFERROR(__xludf.DUMMYFUNCTION("""COMPUTED_VALUE"""),"Mehul Thakkar")</f>
        <v>Mehul Thakkar</v>
      </c>
      <c r="D2244" s="14" t="str">
        <f>IFERROR(__xludf.DUMMYFUNCTION("""COMPUTED_VALUE"""),"Dadar")</f>
        <v>Dadar</v>
      </c>
      <c r="E2244" s="14" t="str">
        <f>IFERROR(__xludf.DUMMYFUNCTION("""COMPUTED_VALUE"""),"Chicken Puff+3*Aman Kumar")</f>
        <v>Chicken Puff+3*Aman Kumar</v>
      </c>
      <c r="F2244" s="14">
        <f>IFERROR(__xludf.DUMMYFUNCTION("""COMPUTED_VALUE"""),3.0)</f>
        <v>3</v>
      </c>
      <c r="G2244" s="14">
        <f>IFERROR(__xludf.DUMMYFUNCTION("""COMPUTED_VALUE"""),8.0)</f>
        <v>8</v>
      </c>
      <c r="H2244" s="14">
        <f>IFERROR(__xludf.DUMMYFUNCTION("""COMPUTED_VALUE"""),2023.0)</f>
        <v>2023</v>
      </c>
      <c r="I2244" s="14" t="str">
        <f>IFERROR(__xludf.DUMMYFUNCTION("""COMPUTED_VALUE"""),"Credit Card")</f>
        <v>Credit Card</v>
      </c>
      <c r="J2244" s="14" t="str">
        <f>IFERROR(__xludf.DUMMYFUNCTION("""COMPUTED_VALUE"""),"Delivered*Convenience: Easy tracking")</f>
        <v>Delivered*Convenience: Easy tracking</v>
      </c>
      <c r="K2244" s="14" t="str">
        <f>IFERROR(__xludf.DUMMYFUNCTION("split(E2244,""+"")"),"Chicken Puff")</f>
        <v>Chicken Puff</v>
      </c>
      <c r="L2244" s="14" t="str">
        <f>IFERROR(__xludf.DUMMYFUNCTION("""COMPUTED_VALUE"""),"3*Aman Kumar")</f>
        <v>3*Aman Kumar</v>
      </c>
      <c r="M2244" s="14">
        <f>IFERROR(__xludf.DUMMYFUNCTION("SPLIT(L2244,""*"")"),3.0)</f>
        <v>3</v>
      </c>
      <c r="N2244" s="14" t="str">
        <f>IFERROR(__xludf.DUMMYFUNCTION("""COMPUTED_VALUE"""),"Aman Kumar")</f>
        <v>Aman Kumar</v>
      </c>
      <c r="O2244" s="14" t="str">
        <f>IFERROR(__xludf.DUMMYFUNCTION("split(J2244,""*"")"),"Delivered")</f>
        <v>Delivered</v>
      </c>
      <c r="P2244" s="14" t="str">
        <f>IFERROR(__xludf.DUMMYFUNCTION("""COMPUTED_VALUE"""),"Convenience: Easy tracking")</f>
        <v>Convenience: Easy tracking</v>
      </c>
      <c r="Q2244" s="14" t="str">
        <f>IFERROR(__xludf.DUMMYFUNCTION("split(P2244,"":"")"),"Convenience")</f>
        <v>Convenience</v>
      </c>
      <c r="R2244" s="14" t="str">
        <f>IFERROR(__xludf.DUMMYFUNCTION("""COMPUTED_VALUE""")," Easy tracking")</f>
        <v> Easy tracking</v>
      </c>
      <c r="S2244" s="14" t="str">
        <f t="shared" ref="S2244:U2244" si="4491">trim(B2244)</f>
        <v>ord_82218</v>
      </c>
      <c r="T2244" s="14" t="str">
        <f t="shared" si="4491"/>
        <v>Mehul Thakkar</v>
      </c>
      <c r="U2244" s="14" t="str">
        <f t="shared" si="4491"/>
        <v>Dadar</v>
      </c>
      <c r="V2244" s="14" t="str">
        <f t="shared" si="4"/>
        <v>Chicken Puff</v>
      </c>
      <c r="W2244" s="14">
        <f t="shared" si="5"/>
        <v>3</v>
      </c>
      <c r="X2244" s="14" t="str">
        <f t="shared" si="6"/>
        <v>Aman Kumar</v>
      </c>
      <c r="Y2244" s="15">
        <f t="shared" si="7"/>
        <v>44993</v>
      </c>
      <c r="Z2244" s="14" t="str">
        <f t="shared" si="8"/>
        <v>Credit Card</v>
      </c>
      <c r="AA2244" s="14" t="str">
        <f t="shared" si="9"/>
        <v>Delivered</v>
      </c>
      <c r="AB2244" s="14" t="str">
        <f t="shared" ref="AB2244:AC2244" si="4492">trim(Q2244)</f>
        <v>Convenience</v>
      </c>
      <c r="AC2244" s="14" t="str">
        <f t="shared" si="4492"/>
        <v>Easy tracking</v>
      </c>
      <c r="AD2244" s="8"/>
    </row>
    <row r="2245">
      <c r="A2245" s="14" t="str">
        <f>IFERROR(__xludf.DUMMYFUNCTION("""COMPUTED_VALUE"""),"//ord_92219//Ritika Dutta//Lower Parel//Icecream+8*Kiran Mehta/4/15/2023//Online Payment//Delivered*Overall Satisfaction: Great service will order again")</f>
        <v>//ord_92219//Ritika Dutta//Lower Parel//Icecream+8*Kiran Mehta/4/15/2023//Online Payment//Delivered*Overall Satisfaction: Great service will order again</v>
      </c>
      <c r="B2245" s="14" t="str">
        <f>IFERROR(__xludf.DUMMYFUNCTION("split(A2245,""//"")"),"ord_92219")</f>
        <v>ord_92219</v>
      </c>
      <c r="C2245" s="14" t="str">
        <f>IFERROR(__xludf.DUMMYFUNCTION("""COMPUTED_VALUE"""),"Ritika Dutta")</f>
        <v>Ritika Dutta</v>
      </c>
      <c r="D2245" s="14" t="str">
        <f>IFERROR(__xludf.DUMMYFUNCTION("""COMPUTED_VALUE"""),"Lower Parel")</f>
        <v>Lower Parel</v>
      </c>
      <c r="E2245" s="14" t="str">
        <f>IFERROR(__xludf.DUMMYFUNCTION("""COMPUTED_VALUE"""),"Icecream+8*Kiran Mehta")</f>
        <v>Icecream+8*Kiran Mehta</v>
      </c>
      <c r="F2245" s="14">
        <f>IFERROR(__xludf.DUMMYFUNCTION("""COMPUTED_VALUE"""),4.0)</f>
        <v>4</v>
      </c>
      <c r="G2245" s="14">
        <f>IFERROR(__xludf.DUMMYFUNCTION("""COMPUTED_VALUE"""),15.0)</f>
        <v>15</v>
      </c>
      <c r="H2245" s="14">
        <f>IFERROR(__xludf.DUMMYFUNCTION("""COMPUTED_VALUE"""),2023.0)</f>
        <v>2023</v>
      </c>
      <c r="I2245" s="14" t="str">
        <f>IFERROR(__xludf.DUMMYFUNCTION("""COMPUTED_VALUE"""),"Online Payment")</f>
        <v>Online Payment</v>
      </c>
      <c r="J2245" s="14" t="str">
        <f>IFERROR(__xludf.DUMMYFUNCTION("""COMPUTED_VALUE"""),"Delivered*Overall Satisfaction: Great service will order again")</f>
        <v>Delivered*Overall Satisfaction: Great service will order again</v>
      </c>
      <c r="K2245" s="14" t="str">
        <f>IFERROR(__xludf.DUMMYFUNCTION("split(E2245,""+"")"),"Icecream")</f>
        <v>Icecream</v>
      </c>
      <c r="L2245" s="14" t="str">
        <f>IFERROR(__xludf.DUMMYFUNCTION("""COMPUTED_VALUE"""),"8*Kiran Mehta")</f>
        <v>8*Kiran Mehta</v>
      </c>
      <c r="M2245" s="14">
        <f>IFERROR(__xludf.DUMMYFUNCTION("SPLIT(L2245,""*"")"),8.0)</f>
        <v>8</v>
      </c>
      <c r="N2245" s="14" t="str">
        <f>IFERROR(__xludf.DUMMYFUNCTION("""COMPUTED_VALUE"""),"Kiran Mehta")</f>
        <v>Kiran Mehta</v>
      </c>
      <c r="O2245" s="14" t="str">
        <f>IFERROR(__xludf.DUMMYFUNCTION("split(J2245,""*"")"),"Delivered")</f>
        <v>Delivered</v>
      </c>
      <c r="P2245" s="14" t="str">
        <f>IFERROR(__xludf.DUMMYFUNCTION("""COMPUTED_VALUE"""),"Overall Satisfaction: Great service will order again")</f>
        <v>Overall Satisfaction: Great service will order again</v>
      </c>
      <c r="Q2245" s="14" t="str">
        <f>IFERROR(__xludf.DUMMYFUNCTION("split(P2245,"":"")"),"Overall Satisfaction")</f>
        <v>Overall Satisfaction</v>
      </c>
      <c r="R2245" s="14" t="str">
        <f>IFERROR(__xludf.DUMMYFUNCTION("""COMPUTED_VALUE""")," Great service will order again")</f>
        <v> Great service will order again</v>
      </c>
      <c r="S2245" s="14" t="str">
        <f t="shared" ref="S2245:U2245" si="4493">trim(B2245)</f>
        <v>ord_92219</v>
      </c>
      <c r="T2245" s="14" t="str">
        <f t="shared" si="4493"/>
        <v>Ritika Dutta</v>
      </c>
      <c r="U2245" s="14" t="str">
        <f t="shared" si="4493"/>
        <v>Lower Parel</v>
      </c>
      <c r="V2245" s="14" t="str">
        <f t="shared" si="4"/>
        <v>Icecream</v>
      </c>
      <c r="W2245" s="14">
        <f t="shared" si="5"/>
        <v>8</v>
      </c>
      <c r="X2245" s="14" t="str">
        <f t="shared" si="6"/>
        <v>Kiran Mehta</v>
      </c>
      <c r="Y2245" s="15">
        <f t="shared" si="7"/>
        <v>45031</v>
      </c>
      <c r="Z2245" s="14" t="str">
        <f t="shared" si="8"/>
        <v>Online Payment</v>
      </c>
      <c r="AA2245" s="14" t="str">
        <f t="shared" si="9"/>
        <v>Delivered</v>
      </c>
      <c r="AB2245" s="14" t="str">
        <f t="shared" ref="AB2245:AC2245" si="4494">trim(Q2245)</f>
        <v>Overall Satisfaction</v>
      </c>
      <c r="AC2245" s="14" t="str">
        <f t="shared" si="4494"/>
        <v>Great service will order again</v>
      </c>
      <c r="AD2245" s="8"/>
    </row>
    <row r="2246">
      <c r="A2246" s="14" t="str">
        <f>IFERROR(__xludf.DUMMYFUNCTION("""COMPUTED_VALUE"""),"//ord_92220//Ishita Banerjee//Juhu//Cucumber+1*Tanvi Jain/9/29/2023//Online Payment//Delivered*On-time Delivery: Delivered on time")</f>
        <v>//ord_92220//Ishita Banerjee//Juhu//Cucumber+1*Tanvi Jain/9/29/2023//Online Payment//Delivered*On-time Delivery: Delivered on time</v>
      </c>
      <c r="B2246" s="14" t="str">
        <f>IFERROR(__xludf.DUMMYFUNCTION("split(A2246,""//"")"),"ord_92220")</f>
        <v>ord_92220</v>
      </c>
      <c r="C2246" s="14" t="str">
        <f>IFERROR(__xludf.DUMMYFUNCTION("""COMPUTED_VALUE"""),"Ishita Banerjee")</f>
        <v>Ishita Banerjee</v>
      </c>
      <c r="D2246" s="14" t="str">
        <f>IFERROR(__xludf.DUMMYFUNCTION("""COMPUTED_VALUE"""),"Juhu")</f>
        <v>Juhu</v>
      </c>
      <c r="E2246" s="14" t="str">
        <f>IFERROR(__xludf.DUMMYFUNCTION("""COMPUTED_VALUE"""),"Cucumber+1*Tanvi Jain")</f>
        <v>Cucumber+1*Tanvi Jain</v>
      </c>
      <c r="F2246" s="14">
        <f>IFERROR(__xludf.DUMMYFUNCTION("""COMPUTED_VALUE"""),9.0)</f>
        <v>9</v>
      </c>
      <c r="G2246" s="14">
        <f>IFERROR(__xludf.DUMMYFUNCTION("""COMPUTED_VALUE"""),29.0)</f>
        <v>29</v>
      </c>
      <c r="H2246" s="14">
        <f>IFERROR(__xludf.DUMMYFUNCTION("""COMPUTED_VALUE"""),2023.0)</f>
        <v>2023</v>
      </c>
      <c r="I2246" s="14" t="str">
        <f>IFERROR(__xludf.DUMMYFUNCTION("""COMPUTED_VALUE"""),"Online Payment")</f>
        <v>Online Payment</v>
      </c>
      <c r="J2246" s="14" t="str">
        <f>IFERROR(__xludf.DUMMYFUNCTION("""COMPUTED_VALUE"""),"Delivered*On-time Delivery: Delivered on time")</f>
        <v>Delivered*On-time Delivery: Delivered on time</v>
      </c>
      <c r="K2246" s="14" t="str">
        <f>IFERROR(__xludf.DUMMYFUNCTION("split(E2246,""+"")"),"Cucumber")</f>
        <v>Cucumber</v>
      </c>
      <c r="L2246" s="14" t="str">
        <f>IFERROR(__xludf.DUMMYFUNCTION("""COMPUTED_VALUE"""),"1*Tanvi Jain")</f>
        <v>1*Tanvi Jain</v>
      </c>
      <c r="M2246" s="14">
        <f>IFERROR(__xludf.DUMMYFUNCTION("SPLIT(L2246,""*"")"),1.0)</f>
        <v>1</v>
      </c>
      <c r="N2246" s="14" t="str">
        <f>IFERROR(__xludf.DUMMYFUNCTION("""COMPUTED_VALUE"""),"Tanvi Jain")</f>
        <v>Tanvi Jain</v>
      </c>
      <c r="O2246" s="14" t="str">
        <f>IFERROR(__xludf.DUMMYFUNCTION("split(J2246,""*"")"),"Delivered")</f>
        <v>Delivered</v>
      </c>
      <c r="P2246" s="14" t="str">
        <f>IFERROR(__xludf.DUMMYFUNCTION("""COMPUTED_VALUE"""),"On-time Delivery: Delivered on time")</f>
        <v>On-time Delivery: Delivered on time</v>
      </c>
      <c r="Q2246" s="14" t="str">
        <f>IFERROR(__xludf.DUMMYFUNCTION("split(P2246,"":"")"),"On-time Delivery")</f>
        <v>On-time Delivery</v>
      </c>
      <c r="R2246" s="14" t="str">
        <f>IFERROR(__xludf.DUMMYFUNCTION("""COMPUTED_VALUE""")," Delivered on time")</f>
        <v> Delivered on time</v>
      </c>
      <c r="S2246" s="14" t="str">
        <f t="shared" ref="S2246:U2246" si="4495">trim(B2246)</f>
        <v>ord_92220</v>
      </c>
      <c r="T2246" s="14" t="str">
        <f t="shared" si="4495"/>
        <v>Ishita Banerjee</v>
      </c>
      <c r="U2246" s="14" t="str">
        <f t="shared" si="4495"/>
        <v>Juhu</v>
      </c>
      <c r="V2246" s="14" t="str">
        <f t="shared" si="4"/>
        <v>Cucumber</v>
      </c>
      <c r="W2246" s="14">
        <f t="shared" si="5"/>
        <v>1</v>
      </c>
      <c r="X2246" s="14" t="str">
        <f t="shared" si="6"/>
        <v>Tanvi Jain</v>
      </c>
      <c r="Y2246" s="15">
        <f t="shared" si="7"/>
        <v>45198</v>
      </c>
      <c r="Z2246" s="14" t="str">
        <f t="shared" si="8"/>
        <v>Online Payment</v>
      </c>
      <c r="AA2246" s="14" t="str">
        <f t="shared" si="9"/>
        <v>Delivered</v>
      </c>
      <c r="AB2246" s="14" t="str">
        <f t="shared" ref="AB2246:AC2246" si="4496">trim(Q2246)</f>
        <v>On-time Delivery</v>
      </c>
      <c r="AC2246" s="14" t="str">
        <f t="shared" si="4496"/>
        <v>Delivered on time</v>
      </c>
      <c r="AD2246" s="8"/>
    </row>
    <row r="2247">
      <c r="A2247" s="14" t="str">
        <f>IFERROR(__xludf.DUMMYFUNCTION("""COMPUTED_VALUE"""),"//ord_92221//Sana Malik//Juhu//Chocolate Mousse+7*Tanvi Jain/10/24/2023//Online Payment//Delivered*Quality of Items: Perfect condition")</f>
        <v>//ord_92221//Sana Malik//Juhu//Chocolate Mousse+7*Tanvi Jain/10/24/2023//Online Payment//Delivered*Quality of Items: Perfect condition</v>
      </c>
      <c r="B2247" s="14" t="str">
        <f>IFERROR(__xludf.DUMMYFUNCTION("split(A2247,""//"")"),"ord_92221")</f>
        <v>ord_92221</v>
      </c>
      <c r="C2247" s="14" t="str">
        <f>IFERROR(__xludf.DUMMYFUNCTION("""COMPUTED_VALUE"""),"Sana Malik")</f>
        <v>Sana Malik</v>
      </c>
      <c r="D2247" s="14" t="str">
        <f>IFERROR(__xludf.DUMMYFUNCTION("""COMPUTED_VALUE"""),"Juhu")</f>
        <v>Juhu</v>
      </c>
      <c r="E2247" s="14" t="str">
        <f>IFERROR(__xludf.DUMMYFUNCTION("""COMPUTED_VALUE"""),"Chocolate Mousse+7*Tanvi Jain")</f>
        <v>Chocolate Mousse+7*Tanvi Jain</v>
      </c>
      <c r="F2247" s="14">
        <f>IFERROR(__xludf.DUMMYFUNCTION("""COMPUTED_VALUE"""),10.0)</f>
        <v>10</v>
      </c>
      <c r="G2247" s="14">
        <f>IFERROR(__xludf.DUMMYFUNCTION("""COMPUTED_VALUE"""),24.0)</f>
        <v>24</v>
      </c>
      <c r="H2247" s="14">
        <f>IFERROR(__xludf.DUMMYFUNCTION("""COMPUTED_VALUE"""),2023.0)</f>
        <v>2023</v>
      </c>
      <c r="I2247" s="14" t="str">
        <f>IFERROR(__xludf.DUMMYFUNCTION("""COMPUTED_VALUE"""),"Online Payment")</f>
        <v>Online Payment</v>
      </c>
      <c r="J2247" s="14" t="str">
        <f>IFERROR(__xludf.DUMMYFUNCTION("""COMPUTED_VALUE"""),"Delivered*Quality of Items: Perfect condition")</f>
        <v>Delivered*Quality of Items: Perfect condition</v>
      </c>
      <c r="K2247" s="14" t="str">
        <f>IFERROR(__xludf.DUMMYFUNCTION("split(E2247,""+"")"),"Chocolate Mousse")</f>
        <v>Chocolate Mousse</v>
      </c>
      <c r="L2247" s="14" t="str">
        <f>IFERROR(__xludf.DUMMYFUNCTION("""COMPUTED_VALUE"""),"7*Tanvi Jain")</f>
        <v>7*Tanvi Jain</v>
      </c>
      <c r="M2247" s="14">
        <f>IFERROR(__xludf.DUMMYFUNCTION("SPLIT(L2247,""*"")"),7.0)</f>
        <v>7</v>
      </c>
      <c r="N2247" s="14" t="str">
        <f>IFERROR(__xludf.DUMMYFUNCTION("""COMPUTED_VALUE"""),"Tanvi Jain")</f>
        <v>Tanvi Jain</v>
      </c>
      <c r="O2247" s="14" t="str">
        <f>IFERROR(__xludf.DUMMYFUNCTION("split(J2247,""*"")"),"Delivered")</f>
        <v>Delivered</v>
      </c>
      <c r="P2247" s="14" t="str">
        <f>IFERROR(__xludf.DUMMYFUNCTION("""COMPUTED_VALUE"""),"Quality of Items: Perfect condition")</f>
        <v>Quality of Items: Perfect condition</v>
      </c>
      <c r="Q2247" s="14" t="str">
        <f>IFERROR(__xludf.DUMMYFUNCTION("split(P2247,"":"")"),"Quality of Items")</f>
        <v>Quality of Items</v>
      </c>
      <c r="R2247" s="14" t="str">
        <f>IFERROR(__xludf.DUMMYFUNCTION("""COMPUTED_VALUE""")," Perfect condition")</f>
        <v> Perfect condition</v>
      </c>
      <c r="S2247" s="14" t="str">
        <f t="shared" ref="S2247:U2247" si="4497">trim(B2247)</f>
        <v>ord_92221</v>
      </c>
      <c r="T2247" s="14" t="str">
        <f t="shared" si="4497"/>
        <v>Sana Malik</v>
      </c>
      <c r="U2247" s="14" t="str">
        <f t="shared" si="4497"/>
        <v>Juhu</v>
      </c>
      <c r="V2247" s="14" t="str">
        <f t="shared" si="4"/>
        <v>Chocolate Mousse</v>
      </c>
      <c r="W2247" s="14">
        <f t="shared" si="5"/>
        <v>7</v>
      </c>
      <c r="X2247" s="14" t="str">
        <f t="shared" si="6"/>
        <v>Tanvi Jain</v>
      </c>
      <c r="Y2247" s="15">
        <f t="shared" si="7"/>
        <v>45223</v>
      </c>
      <c r="Z2247" s="14" t="str">
        <f t="shared" si="8"/>
        <v>Online Payment</v>
      </c>
      <c r="AA2247" s="14" t="str">
        <f t="shared" si="9"/>
        <v>Delivered</v>
      </c>
      <c r="AB2247" s="14" t="str">
        <f t="shared" ref="AB2247:AC2247" si="4498">trim(Q2247)</f>
        <v>Quality of Items</v>
      </c>
      <c r="AC2247" s="14" t="str">
        <f t="shared" si="4498"/>
        <v>Perfect condition</v>
      </c>
      <c r="AD2247" s="8"/>
    </row>
    <row r="2248">
      <c r="A2248" s="14" t="str">
        <f>IFERROR(__xludf.DUMMYFUNCTION("""COMPUTED_VALUE"""),"//ord_92222//Pranav Joshi//Andheri//Rasmalai+1*Rohan Yadav/8/16/2023//UPI//Delivered*On-time Delivery: Delivered on time")</f>
        <v>//ord_92222//Pranav Joshi//Andheri//Rasmalai+1*Rohan Yadav/8/16/2023//UPI//Delivered*On-time Delivery: Delivered on time</v>
      </c>
      <c r="B2248" s="14" t="str">
        <f>IFERROR(__xludf.DUMMYFUNCTION("split(A2248,""//"")"),"ord_92222")</f>
        <v>ord_92222</v>
      </c>
      <c r="C2248" s="14" t="str">
        <f>IFERROR(__xludf.DUMMYFUNCTION("""COMPUTED_VALUE"""),"Pranav Joshi")</f>
        <v>Pranav Joshi</v>
      </c>
      <c r="D2248" s="14" t="str">
        <f>IFERROR(__xludf.DUMMYFUNCTION("""COMPUTED_VALUE"""),"Andheri")</f>
        <v>Andheri</v>
      </c>
      <c r="E2248" s="14" t="str">
        <f>IFERROR(__xludf.DUMMYFUNCTION("""COMPUTED_VALUE"""),"Rasmalai+1*Rohan Yadav")</f>
        <v>Rasmalai+1*Rohan Yadav</v>
      </c>
      <c r="F2248" s="14">
        <f>IFERROR(__xludf.DUMMYFUNCTION("""COMPUTED_VALUE"""),8.0)</f>
        <v>8</v>
      </c>
      <c r="G2248" s="14">
        <f>IFERROR(__xludf.DUMMYFUNCTION("""COMPUTED_VALUE"""),16.0)</f>
        <v>16</v>
      </c>
      <c r="H2248" s="14">
        <f>IFERROR(__xludf.DUMMYFUNCTION("""COMPUTED_VALUE"""),2023.0)</f>
        <v>2023</v>
      </c>
      <c r="I2248" s="14" t="str">
        <f>IFERROR(__xludf.DUMMYFUNCTION("""COMPUTED_VALUE"""),"UPI")</f>
        <v>UPI</v>
      </c>
      <c r="J2248" s="14" t="str">
        <f>IFERROR(__xludf.DUMMYFUNCTION("""COMPUTED_VALUE"""),"Delivered*On-time Delivery: Delivered on time")</f>
        <v>Delivered*On-time Delivery: Delivered on time</v>
      </c>
      <c r="K2248" s="14" t="str">
        <f>IFERROR(__xludf.DUMMYFUNCTION("split(E2248,""+"")"),"Rasmalai")</f>
        <v>Rasmalai</v>
      </c>
      <c r="L2248" s="14" t="str">
        <f>IFERROR(__xludf.DUMMYFUNCTION("""COMPUTED_VALUE"""),"1*Rohan Yadav")</f>
        <v>1*Rohan Yadav</v>
      </c>
      <c r="M2248" s="14">
        <f>IFERROR(__xludf.DUMMYFUNCTION("SPLIT(L2248,""*"")"),1.0)</f>
        <v>1</v>
      </c>
      <c r="N2248" s="14" t="str">
        <f>IFERROR(__xludf.DUMMYFUNCTION("""COMPUTED_VALUE"""),"Rohan Yadav")</f>
        <v>Rohan Yadav</v>
      </c>
      <c r="O2248" s="14" t="str">
        <f>IFERROR(__xludf.DUMMYFUNCTION("split(J2248,""*"")"),"Delivered")</f>
        <v>Delivered</v>
      </c>
      <c r="P2248" s="14" t="str">
        <f>IFERROR(__xludf.DUMMYFUNCTION("""COMPUTED_VALUE"""),"On-time Delivery: Delivered on time")</f>
        <v>On-time Delivery: Delivered on time</v>
      </c>
      <c r="Q2248" s="14" t="str">
        <f>IFERROR(__xludf.DUMMYFUNCTION("split(P2248,"":"")"),"On-time Delivery")</f>
        <v>On-time Delivery</v>
      </c>
      <c r="R2248" s="14" t="str">
        <f>IFERROR(__xludf.DUMMYFUNCTION("""COMPUTED_VALUE""")," Delivered on time")</f>
        <v> Delivered on time</v>
      </c>
      <c r="S2248" s="14" t="str">
        <f t="shared" ref="S2248:U2248" si="4499">trim(B2248)</f>
        <v>ord_92222</v>
      </c>
      <c r="T2248" s="14" t="str">
        <f t="shared" si="4499"/>
        <v>Pranav Joshi</v>
      </c>
      <c r="U2248" s="14" t="str">
        <f t="shared" si="4499"/>
        <v>Andheri</v>
      </c>
      <c r="V2248" s="14" t="str">
        <f t="shared" si="4"/>
        <v>Rasmalai</v>
      </c>
      <c r="W2248" s="14">
        <f t="shared" si="5"/>
        <v>1</v>
      </c>
      <c r="X2248" s="14" t="str">
        <f t="shared" si="6"/>
        <v>Rohan Yadav</v>
      </c>
      <c r="Y2248" s="15">
        <f t="shared" si="7"/>
        <v>45154</v>
      </c>
      <c r="Z2248" s="14" t="str">
        <f t="shared" si="8"/>
        <v>UPI</v>
      </c>
      <c r="AA2248" s="14" t="str">
        <f t="shared" si="9"/>
        <v>Delivered</v>
      </c>
      <c r="AB2248" s="14" t="str">
        <f t="shared" ref="AB2248:AC2248" si="4500">trim(Q2248)</f>
        <v>On-time Delivery</v>
      </c>
      <c r="AC2248" s="14" t="str">
        <f t="shared" si="4500"/>
        <v>Delivered on time</v>
      </c>
      <c r="AD2248" s="8"/>
    </row>
    <row r="2249">
      <c r="A2249" s="14" t="str">
        <f>IFERROR(__xludf.DUMMYFUNCTION("""COMPUTED_VALUE"""),"//ord_92223//Mohit Malhotra//Lower Parel//Veg Puff+3*Kiran Mehta/3/7/2023//UPI//Delivered*Quality of Items: Perfect condition")</f>
        <v>//ord_92223//Mohit Malhotra//Lower Parel//Veg Puff+3*Kiran Mehta/3/7/2023//UPI//Delivered*Quality of Items: Perfect condition</v>
      </c>
      <c r="B2249" s="14" t="str">
        <f>IFERROR(__xludf.DUMMYFUNCTION("split(A2249,""//"")"),"ord_92223")</f>
        <v>ord_92223</v>
      </c>
      <c r="C2249" s="14" t="str">
        <f>IFERROR(__xludf.DUMMYFUNCTION("""COMPUTED_VALUE"""),"Mohit Malhotra")</f>
        <v>Mohit Malhotra</v>
      </c>
      <c r="D2249" s="14" t="str">
        <f>IFERROR(__xludf.DUMMYFUNCTION("""COMPUTED_VALUE"""),"Lower Parel")</f>
        <v>Lower Parel</v>
      </c>
      <c r="E2249" s="14" t="str">
        <f>IFERROR(__xludf.DUMMYFUNCTION("""COMPUTED_VALUE"""),"Veg Puff+3*Kiran Mehta")</f>
        <v>Veg Puff+3*Kiran Mehta</v>
      </c>
      <c r="F2249" s="14">
        <f>IFERROR(__xludf.DUMMYFUNCTION("""COMPUTED_VALUE"""),3.0)</f>
        <v>3</v>
      </c>
      <c r="G2249" s="14">
        <f>IFERROR(__xludf.DUMMYFUNCTION("""COMPUTED_VALUE"""),7.0)</f>
        <v>7</v>
      </c>
      <c r="H2249" s="14">
        <f>IFERROR(__xludf.DUMMYFUNCTION("""COMPUTED_VALUE"""),2023.0)</f>
        <v>2023</v>
      </c>
      <c r="I2249" s="14" t="str">
        <f>IFERROR(__xludf.DUMMYFUNCTION("""COMPUTED_VALUE"""),"UPI")</f>
        <v>UPI</v>
      </c>
      <c r="J2249" s="14" t="str">
        <f>IFERROR(__xludf.DUMMYFUNCTION("""COMPUTED_VALUE"""),"Delivered*Quality of Items: Perfect condition")</f>
        <v>Delivered*Quality of Items: Perfect condition</v>
      </c>
      <c r="K2249" s="14" t="str">
        <f>IFERROR(__xludf.DUMMYFUNCTION("split(E2249,""+"")"),"Veg Puff")</f>
        <v>Veg Puff</v>
      </c>
      <c r="L2249" s="14" t="str">
        <f>IFERROR(__xludf.DUMMYFUNCTION("""COMPUTED_VALUE"""),"3*Kiran Mehta")</f>
        <v>3*Kiran Mehta</v>
      </c>
      <c r="M2249" s="14">
        <f>IFERROR(__xludf.DUMMYFUNCTION("SPLIT(L2249,""*"")"),3.0)</f>
        <v>3</v>
      </c>
      <c r="N2249" s="14" t="str">
        <f>IFERROR(__xludf.DUMMYFUNCTION("""COMPUTED_VALUE"""),"Kiran Mehta")</f>
        <v>Kiran Mehta</v>
      </c>
      <c r="O2249" s="14" t="str">
        <f>IFERROR(__xludf.DUMMYFUNCTION("split(J2249,""*"")"),"Delivered")</f>
        <v>Delivered</v>
      </c>
      <c r="P2249" s="14" t="str">
        <f>IFERROR(__xludf.DUMMYFUNCTION("""COMPUTED_VALUE"""),"Quality of Items: Perfect condition")</f>
        <v>Quality of Items: Perfect condition</v>
      </c>
      <c r="Q2249" s="14" t="str">
        <f>IFERROR(__xludf.DUMMYFUNCTION("split(P2249,"":"")"),"Quality of Items")</f>
        <v>Quality of Items</v>
      </c>
      <c r="R2249" s="14" t="str">
        <f>IFERROR(__xludf.DUMMYFUNCTION("""COMPUTED_VALUE""")," Perfect condition")</f>
        <v> Perfect condition</v>
      </c>
      <c r="S2249" s="14" t="str">
        <f t="shared" ref="S2249:U2249" si="4501">trim(B2249)</f>
        <v>ord_92223</v>
      </c>
      <c r="T2249" s="14" t="str">
        <f t="shared" si="4501"/>
        <v>Mohit Malhotra</v>
      </c>
      <c r="U2249" s="14" t="str">
        <f t="shared" si="4501"/>
        <v>Lower Parel</v>
      </c>
      <c r="V2249" s="14" t="str">
        <f t="shared" si="4"/>
        <v>Veg Puff</v>
      </c>
      <c r="W2249" s="14">
        <f t="shared" si="5"/>
        <v>3</v>
      </c>
      <c r="X2249" s="14" t="str">
        <f t="shared" si="6"/>
        <v>Kiran Mehta</v>
      </c>
      <c r="Y2249" s="15">
        <f t="shared" si="7"/>
        <v>44992</v>
      </c>
      <c r="Z2249" s="14" t="str">
        <f t="shared" si="8"/>
        <v>UPI</v>
      </c>
      <c r="AA2249" s="14" t="str">
        <f t="shared" si="9"/>
        <v>Delivered</v>
      </c>
      <c r="AB2249" s="14" t="str">
        <f t="shared" ref="AB2249:AC2249" si="4502">trim(Q2249)</f>
        <v>Quality of Items</v>
      </c>
      <c r="AC2249" s="14" t="str">
        <f t="shared" si="4502"/>
        <v>Perfect condition</v>
      </c>
      <c r="AD2249" s="8"/>
    </row>
    <row r="2250">
      <c r="A2250" s="14" t="str">
        <f>IFERROR(__xludf.DUMMYFUNCTION("""COMPUTED_VALUE"""),"//ord_92224//Mehul Thakkar//Dadar//Sweet Corn+1*Aman Kumar/11/20/2023//Credit Card//Delivered*Packaging: Secure and intact")</f>
        <v>//ord_92224//Mehul Thakkar//Dadar//Sweet Corn+1*Aman Kumar/11/20/2023//Credit Card//Delivered*Packaging: Secure and intact</v>
      </c>
      <c r="B2250" s="14" t="str">
        <f>IFERROR(__xludf.DUMMYFUNCTION("split(A2250,""//"")"),"ord_92224")</f>
        <v>ord_92224</v>
      </c>
      <c r="C2250" s="14" t="str">
        <f>IFERROR(__xludf.DUMMYFUNCTION("""COMPUTED_VALUE"""),"Mehul Thakkar")</f>
        <v>Mehul Thakkar</v>
      </c>
      <c r="D2250" s="14" t="str">
        <f>IFERROR(__xludf.DUMMYFUNCTION("""COMPUTED_VALUE"""),"Dadar")</f>
        <v>Dadar</v>
      </c>
      <c r="E2250" s="14" t="str">
        <f>IFERROR(__xludf.DUMMYFUNCTION("""COMPUTED_VALUE"""),"Sweet Corn+1*Aman Kumar")</f>
        <v>Sweet Corn+1*Aman Kumar</v>
      </c>
      <c r="F2250" s="14">
        <f>IFERROR(__xludf.DUMMYFUNCTION("""COMPUTED_VALUE"""),11.0)</f>
        <v>11</v>
      </c>
      <c r="G2250" s="14">
        <f>IFERROR(__xludf.DUMMYFUNCTION("""COMPUTED_VALUE"""),20.0)</f>
        <v>20</v>
      </c>
      <c r="H2250" s="14">
        <f>IFERROR(__xludf.DUMMYFUNCTION("""COMPUTED_VALUE"""),2023.0)</f>
        <v>2023</v>
      </c>
      <c r="I2250" s="14" t="str">
        <f>IFERROR(__xludf.DUMMYFUNCTION("""COMPUTED_VALUE"""),"Credit Card")</f>
        <v>Credit Card</v>
      </c>
      <c r="J2250" s="14" t="str">
        <f>IFERROR(__xludf.DUMMYFUNCTION("""COMPUTED_VALUE"""),"Delivered*Packaging: Secure and intact")</f>
        <v>Delivered*Packaging: Secure and intact</v>
      </c>
      <c r="K2250" s="14" t="str">
        <f>IFERROR(__xludf.DUMMYFUNCTION("split(E2250,""+"")"),"Sweet Corn")</f>
        <v>Sweet Corn</v>
      </c>
      <c r="L2250" s="14" t="str">
        <f>IFERROR(__xludf.DUMMYFUNCTION("""COMPUTED_VALUE"""),"1*Aman Kumar")</f>
        <v>1*Aman Kumar</v>
      </c>
      <c r="M2250" s="14">
        <f>IFERROR(__xludf.DUMMYFUNCTION("SPLIT(L2250,""*"")"),1.0)</f>
        <v>1</v>
      </c>
      <c r="N2250" s="14" t="str">
        <f>IFERROR(__xludf.DUMMYFUNCTION("""COMPUTED_VALUE"""),"Aman Kumar")</f>
        <v>Aman Kumar</v>
      </c>
      <c r="O2250" s="14" t="str">
        <f>IFERROR(__xludf.DUMMYFUNCTION("split(J2250,""*"")"),"Delivered")</f>
        <v>Delivered</v>
      </c>
      <c r="P2250" s="14" t="str">
        <f>IFERROR(__xludf.DUMMYFUNCTION("""COMPUTED_VALUE"""),"Packaging: Secure and intact")</f>
        <v>Packaging: Secure and intact</v>
      </c>
      <c r="Q2250" s="14" t="str">
        <f>IFERROR(__xludf.DUMMYFUNCTION("split(P2250,"":"")"),"Packaging")</f>
        <v>Packaging</v>
      </c>
      <c r="R2250" s="14" t="str">
        <f>IFERROR(__xludf.DUMMYFUNCTION("""COMPUTED_VALUE""")," Secure and intact")</f>
        <v> Secure and intact</v>
      </c>
      <c r="S2250" s="14" t="str">
        <f t="shared" ref="S2250:U2250" si="4503">trim(B2250)</f>
        <v>ord_92224</v>
      </c>
      <c r="T2250" s="14" t="str">
        <f t="shared" si="4503"/>
        <v>Mehul Thakkar</v>
      </c>
      <c r="U2250" s="14" t="str">
        <f t="shared" si="4503"/>
        <v>Dadar</v>
      </c>
      <c r="V2250" s="14" t="str">
        <f t="shared" si="4"/>
        <v>Sweet Corn</v>
      </c>
      <c r="W2250" s="14">
        <f t="shared" si="5"/>
        <v>1</v>
      </c>
      <c r="X2250" s="14" t="str">
        <f t="shared" si="6"/>
        <v>Aman Kumar</v>
      </c>
      <c r="Y2250" s="15">
        <f t="shared" si="7"/>
        <v>45250</v>
      </c>
      <c r="Z2250" s="14" t="str">
        <f t="shared" si="8"/>
        <v>Credit Card</v>
      </c>
      <c r="AA2250" s="14" t="str">
        <f t="shared" si="9"/>
        <v>Delivered</v>
      </c>
      <c r="AB2250" s="14" t="str">
        <f t="shared" ref="AB2250:AC2250" si="4504">trim(Q2250)</f>
        <v>Packaging</v>
      </c>
      <c r="AC2250" s="14" t="str">
        <f t="shared" si="4504"/>
        <v>Secure and intact</v>
      </c>
      <c r="AD2250" s="8"/>
    </row>
    <row r="2251">
      <c r="A2251" s="14" t="str">
        <f>IFERROR(__xludf.DUMMYFUNCTION("""COMPUTED_VALUE"""),"//ord_92225//Yash Verma//Colaba//Tomato+2*Nikhil Deshmukh/3/27/2023//Credit Card//Delivered*Satisfied with the Delivery: Timely and quality")</f>
        <v>//ord_92225//Yash Verma//Colaba//Tomato+2*Nikhil Deshmukh/3/27/2023//Credit Card//Delivered*Satisfied with the Delivery: Timely and quality</v>
      </c>
      <c r="B2251" s="14" t="str">
        <f>IFERROR(__xludf.DUMMYFUNCTION("split(A2251,""//"")"),"ord_92225")</f>
        <v>ord_92225</v>
      </c>
      <c r="C2251" s="14" t="str">
        <f>IFERROR(__xludf.DUMMYFUNCTION("""COMPUTED_VALUE"""),"Yash Verma")</f>
        <v>Yash Verma</v>
      </c>
      <c r="D2251" s="14" t="str">
        <f>IFERROR(__xludf.DUMMYFUNCTION("""COMPUTED_VALUE"""),"Colaba")</f>
        <v>Colaba</v>
      </c>
      <c r="E2251" s="14" t="str">
        <f>IFERROR(__xludf.DUMMYFUNCTION("""COMPUTED_VALUE"""),"Tomato+2*Nikhil Deshmukh")</f>
        <v>Tomato+2*Nikhil Deshmukh</v>
      </c>
      <c r="F2251" s="14">
        <f>IFERROR(__xludf.DUMMYFUNCTION("""COMPUTED_VALUE"""),3.0)</f>
        <v>3</v>
      </c>
      <c r="G2251" s="14">
        <f>IFERROR(__xludf.DUMMYFUNCTION("""COMPUTED_VALUE"""),27.0)</f>
        <v>27</v>
      </c>
      <c r="H2251" s="14">
        <f>IFERROR(__xludf.DUMMYFUNCTION("""COMPUTED_VALUE"""),2023.0)</f>
        <v>2023</v>
      </c>
      <c r="I2251" s="14" t="str">
        <f>IFERROR(__xludf.DUMMYFUNCTION("""COMPUTED_VALUE"""),"Credit Card")</f>
        <v>Credit Card</v>
      </c>
      <c r="J2251" s="14" t="str">
        <f>IFERROR(__xludf.DUMMYFUNCTION("""COMPUTED_VALUE"""),"Delivered*Satisfied with the Delivery: Timely and quality")</f>
        <v>Delivered*Satisfied with the Delivery: Timely and quality</v>
      </c>
      <c r="K2251" s="14" t="str">
        <f>IFERROR(__xludf.DUMMYFUNCTION("split(E2251,""+"")"),"Tomato")</f>
        <v>Tomato</v>
      </c>
      <c r="L2251" s="14" t="str">
        <f>IFERROR(__xludf.DUMMYFUNCTION("""COMPUTED_VALUE"""),"2*Nikhil Deshmukh")</f>
        <v>2*Nikhil Deshmukh</v>
      </c>
      <c r="M2251" s="14">
        <f>IFERROR(__xludf.DUMMYFUNCTION("SPLIT(L2251,""*"")"),2.0)</f>
        <v>2</v>
      </c>
      <c r="N2251" s="14" t="str">
        <f>IFERROR(__xludf.DUMMYFUNCTION("""COMPUTED_VALUE"""),"Nikhil Deshmukh")</f>
        <v>Nikhil Deshmukh</v>
      </c>
      <c r="O2251" s="14" t="str">
        <f>IFERROR(__xludf.DUMMYFUNCTION("split(J2251,""*"")"),"Delivered")</f>
        <v>Delivered</v>
      </c>
      <c r="P2251" s="14" t="str">
        <f>IFERROR(__xludf.DUMMYFUNCTION("""COMPUTED_VALUE"""),"Satisfied with the Delivery: Timely and quality")</f>
        <v>Satisfied with the Delivery: Timely and quality</v>
      </c>
      <c r="Q2251" s="14" t="str">
        <f>IFERROR(__xludf.DUMMYFUNCTION("split(P2251,"":"")"),"Satisfied with the Delivery")</f>
        <v>Satisfied with the Delivery</v>
      </c>
      <c r="R2251" s="14" t="str">
        <f>IFERROR(__xludf.DUMMYFUNCTION("""COMPUTED_VALUE""")," Timely and quality")</f>
        <v> Timely and quality</v>
      </c>
      <c r="S2251" s="14" t="str">
        <f t="shared" ref="S2251:U2251" si="4505">trim(B2251)</f>
        <v>ord_92225</v>
      </c>
      <c r="T2251" s="14" t="str">
        <f t="shared" si="4505"/>
        <v>Yash Verma</v>
      </c>
      <c r="U2251" s="14" t="str">
        <f t="shared" si="4505"/>
        <v>Colaba</v>
      </c>
      <c r="V2251" s="14" t="str">
        <f t="shared" si="4"/>
        <v>Tomato</v>
      </c>
      <c r="W2251" s="14">
        <f t="shared" si="5"/>
        <v>2</v>
      </c>
      <c r="X2251" s="14" t="str">
        <f t="shared" si="6"/>
        <v>Nikhil Deshmukh</v>
      </c>
      <c r="Y2251" s="15">
        <f t="shared" si="7"/>
        <v>45012</v>
      </c>
      <c r="Z2251" s="14" t="str">
        <f t="shared" si="8"/>
        <v>Credit Card</v>
      </c>
      <c r="AA2251" s="14" t="str">
        <f t="shared" si="9"/>
        <v>Delivered</v>
      </c>
      <c r="AB2251" s="14" t="str">
        <f t="shared" ref="AB2251:AC2251" si="4506">trim(Q2251)</f>
        <v>Satisfied with the Delivery</v>
      </c>
      <c r="AC2251" s="14" t="str">
        <f t="shared" si="4506"/>
        <v>Timely and quality</v>
      </c>
      <c r="AD2251" s="8"/>
    </row>
    <row r="2252">
      <c r="A2252" s="14" t="str">
        <f>IFERROR(__xludf.DUMMYFUNCTION("""COMPUTED_VALUE"""),"//ord_92226//Sana Malik//Juhu//Popcorn+7*Tanvi Jain/9/9/2023//Online Payment//Delivered*Customer Service: Seamless and easy")</f>
        <v>//ord_92226//Sana Malik//Juhu//Popcorn+7*Tanvi Jain/9/9/2023//Online Payment//Delivered*Customer Service: Seamless and easy</v>
      </c>
      <c r="B2252" s="14" t="str">
        <f>IFERROR(__xludf.DUMMYFUNCTION("split(A2252,""//"")"),"ord_92226")</f>
        <v>ord_92226</v>
      </c>
      <c r="C2252" s="14" t="str">
        <f>IFERROR(__xludf.DUMMYFUNCTION("""COMPUTED_VALUE"""),"Sana Malik")</f>
        <v>Sana Malik</v>
      </c>
      <c r="D2252" s="14" t="str">
        <f>IFERROR(__xludf.DUMMYFUNCTION("""COMPUTED_VALUE"""),"Juhu")</f>
        <v>Juhu</v>
      </c>
      <c r="E2252" s="14" t="str">
        <f>IFERROR(__xludf.DUMMYFUNCTION("""COMPUTED_VALUE"""),"Popcorn+7*Tanvi Jain")</f>
        <v>Popcorn+7*Tanvi Jain</v>
      </c>
      <c r="F2252" s="14">
        <f>IFERROR(__xludf.DUMMYFUNCTION("""COMPUTED_VALUE"""),9.0)</f>
        <v>9</v>
      </c>
      <c r="G2252" s="14">
        <f>IFERROR(__xludf.DUMMYFUNCTION("""COMPUTED_VALUE"""),9.0)</f>
        <v>9</v>
      </c>
      <c r="H2252" s="14">
        <f>IFERROR(__xludf.DUMMYFUNCTION("""COMPUTED_VALUE"""),2023.0)</f>
        <v>2023</v>
      </c>
      <c r="I2252" s="14" t="str">
        <f>IFERROR(__xludf.DUMMYFUNCTION("""COMPUTED_VALUE"""),"Online Payment")</f>
        <v>Online Payment</v>
      </c>
      <c r="J2252" s="14" t="str">
        <f>IFERROR(__xludf.DUMMYFUNCTION("""COMPUTED_VALUE"""),"Delivered*Customer Service: Seamless and easy")</f>
        <v>Delivered*Customer Service: Seamless and easy</v>
      </c>
      <c r="K2252" s="14" t="str">
        <f>IFERROR(__xludf.DUMMYFUNCTION("split(E2252,""+"")"),"Popcorn")</f>
        <v>Popcorn</v>
      </c>
      <c r="L2252" s="14" t="str">
        <f>IFERROR(__xludf.DUMMYFUNCTION("""COMPUTED_VALUE"""),"7*Tanvi Jain")</f>
        <v>7*Tanvi Jain</v>
      </c>
      <c r="M2252" s="14">
        <f>IFERROR(__xludf.DUMMYFUNCTION("SPLIT(L2252,""*"")"),7.0)</f>
        <v>7</v>
      </c>
      <c r="N2252" s="14" t="str">
        <f>IFERROR(__xludf.DUMMYFUNCTION("""COMPUTED_VALUE"""),"Tanvi Jain")</f>
        <v>Tanvi Jain</v>
      </c>
      <c r="O2252" s="14" t="str">
        <f>IFERROR(__xludf.DUMMYFUNCTION("split(J2252,""*"")"),"Delivered")</f>
        <v>Delivered</v>
      </c>
      <c r="P2252" s="14" t="str">
        <f>IFERROR(__xludf.DUMMYFUNCTION("""COMPUTED_VALUE"""),"Customer Service: Seamless and easy")</f>
        <v>Customer Service: Seamless and easy</v>
      </c>
      <c r="Q2252" s="14" t="str">
        <f>IFERROR(__xludf.DUMMYFUNCTION("split(P2252,"":"")"),"Customer Service")</f>
        <v>Customer Service</v>
      </c>
      <c r="R2252" s="14" t="str">
        <f>IFERROR(__xludf.DUMMYFUNCTION("""COMPUTED_VALUE""")," Seamless and easy")</f>
        <v> Seamless and easy</v>
      </c>
      <c r="S2252" s="14" t="str">
        <f t="shared" ref="S2252:U2252" si="4507">trim(B2252)</f>
        <v>ord_92226</v>
      </c>
      <c r="T2252" s="14" t="str">
        <f t="shared" si="4507"/>
        <v>Sana Malik</v>
      </c>
      <c r="U2252" s="14" t="str">
        <f t="shared" si="4507"/>
        <v>Juhu</v>
      </c>
      <c r="V2252" s="14" t="str">
        <f t="shared" si="4"/>
        <v>Popcorn</v>
      </c>
      <c r="W2252" s="14">
        <f t="shared" si="5"/>
        <v>7</v>
      </c>
      <c r="X2252" s="14" t="str">
        <f t="shared" si="6"/>
        <v>Tanvi Jain</v>
      </c>
      <c r="Y2252" s="15">
        <f t="shared" si="7"/>
        <v>45178</v>
      </c>
      <c r="Z2252" s="14" t="str">
        <f t="shared" si="8"/>
        <v>Online Payment</v>
      </c>
      <c r="AA2252" s="14" t="str">
        <f t="shared" si="9"/>
        <v>Delivered</v>
      </c>
      <c r="AB2252" s="14" t="str">
        <f t="shared" ref="AB2252:AC2252" si="4508">trim(Q2252)</f>
        <v>Customer Service</v>
      </c>
      <c r="AC2252" s="14" t="str">
        <f t="shared" si="4508"/>
        <v>Seamless and easy</v>
      </c>
      <c r="AD2252" s="8"/>
    </row>
    <row r="2253">
      <c r="A2253" s="14" t="str">
        <f>IFERROR(__xludf.DUMMYFUNCTION("""COMPUTED_VALUE"""),"//ord_92227//Yash Verma//Colaba//Orange+2*Nikhil Deshmukh/12/2/2023//Credit Card//Delivered*Delivery Experience: Quick and professional")</f>
        <v>//ord_92227//Yash Verma//Colaba//Orange+2*Nikhil Deshmukh/12/2/2023//Credit Card//Delivered*Delivery Experience: Quick and professional</v>
      </c>
      <c r="B2253" s="14" t="str">
        <f>IFERROR(__xludf.DUMMYFUNCTION("split(A2253,""//"")"),"ord_92227")</f>
        <v>ord_92227</v>
      </c>
      <c r="C2253" s="14" t="str">
        <f>IFERROR(__xludf.DUMMYFUNCTION("""COMPUTED_VALUE"""),"Yash Verma")</f>
        <v>Yash Verma</v>
      </c>
      <c r="D2253" s="14" t="str">
        <f>IFERROR(__xludf.DUMMYFUNCTION("""COMPUTED_VALUE"""),"Colaba")</f>
        <v>Colaba</v>
      </c>
      <c r="E2253" s="14" t="str">
        <f>IFERROR(__xludf.DUMMYFUNCTION("""COMPUTED_VALUE"""),"Orange+2*Nikhil Deshmukh")</f>
        <v>Orange+2*Nikhil Deshmukh</v>
      </c>
      <c r="F2253" s="14">
        <f>IFERROR(__xludf.DUMMYFUNCTION("""COMPUTED_VALUE"""),12.0)</f>
        <v>12</v>
      </c>
      <c r="G2253" s="14">
        <f>IFERROR(__xludf.DUMMYFUNCTION("""COMPUTED_VALUE"""),2.0)</f>
        <v>2</v>
      </c>
      <c r="H2253" s="14">
        <f>IFERROR(__xludf.DUMMYFUNCTION("""COMPUTED_VALUE"""),2023.0)</f>
        <v>2023</v>
      </c>
      <c r="I2253" s="14" t="str">
        <f>IFERROR(__xludf.DUMMYFUNCTION("""COMPUTED_VALUE"""),"Credit Card")</f>
        <v>Credit Card</v>
      </c>
      <c r="J2253" s="14" t="str">
        <f>IFERROR(__xludf.DUMMYFUNCTION("""COMPUTED_VALUE"""),"Delivered*Delivery Experience: Quick and professional")</f>
        <v>Delivered*Delivery Experience: Quick and professional</v>
      </c>
      <c r="K2253" s="14" t="str">
        <f>IFERROR(__xludf.DUMMYFUNCTION("split(E2253,""+"")"),"Orange")</f>
        <v>Orange</v>
      </c>
      <c r="L2253" s="14" t="str">
        <f>IFERROR(__xludf.DUMMYFUNCTION("""COMPUTED_VALUE"""),"2*Nikhil Deshmukh")</f>
        <v>2*Nikhil Deshmukh</v>
      </c>
      <c r="M2253" s="14">
        <f>IFERROR(__xludf.DUMMYFUNCTION("SPLIT(L2253,""*"")"),2.0)</f>
        <v>2</v>
      </c>
      <c r="N2253" s="14" t="str">
        <f>IFERROR(__xludf.DUMMYFUNCTION("""COMPUTED_VALUE"""),"Nikhil Deshmukh")</f>
        <v>Nikhil Deshmukh</v>
      </c>
      <c r="O2253" s="14" t="str">
        <f>IFERROR(__xludf.DUMMYFUNCTION("split(J2253,""*"")"),"Delivered")</f>
        <v>Delivered</v>
      </c>
      <c r="P2253" s="14" t="str">
        <f>IFERROR(__xludf.DUMMYFUNCTION("""COMPUTED_VALUE"""),"Delivery Experience: Quick and professional")</f>
        <v>Delivery Experience: Quick and professional</v>
      </c>
      <c r="Q2253" s="14" t="str">
        <f>IFERROR(__xludf.DUMMYFUNCTION("split(P2253,"":"")"),"Delivery Experience")</f>
        <v>Delivery Experience</v>
      </c>
      <c r="R2253" s="14" t="str">
        <f>IFERROR(__xludf.DUMMYFUNCTION("""COMPUTED_VALUE""")," Quick and professional")</f>
        <v> Quick and professional</v>
      </c>
      <c r="S2253" s="14" t="str">
        <f t="shared" ref="S2253:U2253" si="4509">trim(B2253)</f>
        <v>ord_92227</v>
      </c>
      <c r="T2253" s="14" t="str">
        <f t="shared" si="4509"/>
        <v>Yash Verma</v>
      </c>
      <c r="U2253" s="14" t="str">
        <f t="shared" si="4509"/>
        <v>Colaba</v>
      </c>
      <c r="V2253" s="14" t="str">
        <f t="shared" si="4"/>
        <v>Orange</v>
      </c>
      <c r="W2253" s="14">
        <f t="shared" si="5"/>
        <v>2</v>
      </c>
      <c r="X2253" s="14" t="str">
        <f t="shared" si="6"/>
        <v>Nikhil Deshmukh</v>
      </c>
      <c r="Y2253" s="15">
        <f t="shared" si="7"/>
        <v>45262</v>
      </c>
      <c r="Z2253" s="14" t="str">
        <f t="shared" si="8"/>
        <v>Credit Card</v>
      </c>
      <c r="AA2253" s="14" t="str">
        <f t="shared" si="9"/>
        <v>Delivered</v>
      </c>
      <c r="AB2253" s="14" t="str">
        <f t="shared" ref="AB2253:AC2253" si="4510">trim(Q2253)</f>
        <v>Delivery Experience</v>
      </c>
      <c r="AC2253" s="14" t="str">
        <f t="shared" si="4510"/>
        <v>Quick and professional</v>
      </c>
      <c r="AD2253" s="8"/>
    </row>
    <row r="2254">
      <c r="A2254" s="14" t="str">
        <f>IFERROR(__xludf.DUMMYFUNCTION("""COMPUTED_VALUE"""),"//ord_92228//Aditya Rao//Lower Parel//Rasmalai+5*Kiran Mehta/4/13/2023//Online Payment//Delivered*Convenience: Easy tracking")</f>
        <v>//ord_92228//Aditya Rao//Lower Parel//Rasmalai+5*Kiran Mehta/4/13/2023//Online Payment//Delivered*Convenience: Easy tracking</v>
      </c>
      <c r="B2254" s="14" t="str">
        <f>IFERROR(__xludf.DUMMYFUNCTION("split(A2254,""//"")"),"ord_92228")</f>
        <v>ord_92228</v>
      </c>
      <c r="C2254" s="14" t="str">
        <f>IFERROR(__xludf.DUMMYFUNCTION("""COMPUTED_VALUE"""),"Aditya Rao")</f>
        <v>Aditya Rao</v>
      </c>
      <c r="D2254" s="14" t="str">
        <f>IFERROR(__xludf.DUMMYFUNCTION("""COMPUTED_VALUE"""),"Lower Parel")</f>
        <v>Lower Parel</v>
      </c>
      <c r="E2254" s="14" t="str">
        <f>IFERROR(__xludf.DUMMYFUNCTION("""COMPUTED_VALUE"""),"Rasmalai+5*Kiran Mehta")</f>
        <v>Rasmalai+5*Kiran Mehta</v>
      </c>
      <c r="F2254" s="14">
        <f>IFERROR(__xludf.DUMMYFUNCTION("""COMPUTED_VALUE"""),4.0)</f>
        <v>4</v>
      </c>
      <c r="G2254" s="14">
        <f>IFERROR(__xludf.DUMMYFUNCTION("""COMPUTED_VALUE"""),13.0)</f>
        <v>13</v>
      </c>
      <c r="H2254" s="14">
        <f>IFERROR(__xludf.DUMMYFUNCTION("""COMPUTED_VALUE"""),2023.0)</f>
        <v>2023</v>
      </c>
      <c r="I2254" s="14" t="str">
        <f>IFERROR(__xludf.DUMMYFUNCTION("""COMPUTED_VALUE"""),"Online Payment")</f>
        <v>Online Payment</v>
      </c>
      <c r="J2254" s="14" t="str">
        <f>IFERROR(__xludf.DUMMYFUNCTION("""COMPUTED_VALUE"""),"Delivered*Convenience: Easy tracking")</f>
        <v>Delivered*Convenience: Easy tracking</v>
      </c>
      <c r="K2254" s="14" t="str">
        <f>IFERROR(__xludf.DUMMYFUNCTION("split(E2254,""+"")"),"Rasmalai")</f>
        <v>Rasmalai</v>
      </c>
      <c r="L2254" s="14" t="str">
        <f>IFERROR(__xludf.DUMMYFUNCTION("""COMPUTED_VALUE"""),"5*Kiran Mehta")</f>
        <v>5*Kiran Mehta</v>
      </c>
      <c r="M2254" s="14">
        <f>IFERROR(__xludf.DUMMYFUNCTION("SPLIT(L2254,""*"")"),5.0)</f>
        <v>5</v>
      </c>
      <c r="N2254" s="14" t="str">
        <f>IFERROR(__xludf.DUMMYFUNCTION("""COMPUTED_VALUE"""),"Kiran Mehta")</f>
        <v>Kiran Mehta</v>
      </c>
      <c r="O2254" s="14" t="str">
        <f>IFERROR(__xludf.DUMMYFUNCTION("split(J2254,""*"")"),"Delivered")</f>
        <v>Delivered</v>
      </c>
      <c r="P2254" s="14" t="str">
        <f>IFERROR(__xludf.DUMMYFUNCTION("""COMPUTED_VALUE"""),"Convenience: Easy tracking")</f>
        <v>Convenience: Easy tracking</v>
      </c>
      <c r="Q2254" s="14" t="str">
        <f>IFERROR(__xludf.DUMMYFUNCTION("split(P2254,"":"")"),"Convenience")</f>
        <v>Convenience</v>
      </c>
      <c r="R2254" s="14" t="str">
        <f>IFERROR(__xludf.DUMMYFUNCTION("""COMPUTED_VALUE""")," Easy tracking")</f>
        <v> Easy tracking</v>
      </c>
      <c r="S2254" s="14" t="str">
        <f t="shared" ref="S2254:U2254" si="4511">trim(B2254)</f>
        <v>ord_92228</v>
      </c>
      <c r="T2254" s="14" t="str">
        <f t="shared" si="4511"/>
        <v>Aditya Rao</v>
      </c>
      <c r="U2254" s="14" t="str">
        <f t="shared" si="4511"/>
        <v>Lower Parel</v>
      </c>
      <c r="V2254" s="14" t="str">
        <f t="shared" si="4"/>
        <v>Rasmalai</v>
      </c>
      <c r="W2254" s="14">
        <f t="shared" si="5"/>
        <v>5</v>
      </c>
      <c r="X2254" s="14" t="str">
        <f t="shared" si="6"/>
        <v>Kiran Mehta</v>
      </c>
      <c r="Y2254" s="15">
        <f t="shared" si="7"/>
        <v>45029</v>
      </c>
      <c r="Z2254" s="14" t="str">
        <f t="shared" si="8"/>
        <v>Online Payment</v>
      </c>
      <c r="AA2254" s="14" t="str">
        <f t="shared" si="9"/>
        <v>Delivered</v>
      </c>
      <c r="AB2254" s="14" t="str">
        <f t="shared" ref="AB2254:AC2254" si="4512">trim(Q2254)</f>
        <v>Convenience</v>
      </c>
      <c r="AC2254" s="14" t="str">
        <f t="shared" si="4512"/>
        <v>Easy tracking</v>
      </c>
      <c r="AD2254" s="8"/>
    </row>
    <row r="2255">
      <c r="A2255" s="14" t="str">
        <f>IFERROR(__xludf.DUMMYFUNCTION("""COMPUTED_VALUE"""),"//ord_92229//Nitin Sehgal//Bandra//Cold Coffee+4*Priya Joshi/12/6/2023//Online Payment//Delivered*Overall Satisfaction: Great service will order again")</f>
        <v>//ord_92229//Nitin Sehgal//Bandra//Cold Coffee+4*Priya Joshi/12/6/2023//Online Payment//Delivered*Overall Satisfaction: Great service will order again</v>
      </c>
      <c r="B2255" s="14" t="str">
        <f>IFERROR(__xludf.DUMMYFUNCTION("split(A2255,""//"")"),"ord_92229")</f>
        <v>ord_92229</v>
      </c>
      <c r="C2255" s="14" t="str">
        <f>IFERROR(__xludf.DUMMYFUNCTION("""COMPUTED_VALUE"""),"Nitin Sehgal")</f>
        <v>Nitin Sehgal</v>
      </c>
      <c r="D2255" s="14" t="str">
        <f>IFERROR(__xludf.DUMMYFUNCTION("""COMPUTED_VALUE"""),"Bandra")</f>
        <v>Bandra</v>
      </c>
      <c r="E2255" s="14" t="str">
        <f>IFERROR(__xludf.DUMMYFUNCTION("""COMPUTED_VALUE"""),"Cold Coffee+4*Priya Joshi")</f>
        <v>Cold Coffee+4*Priya Joshi</v>
      </c>
      <c r="F2255" s="14">
        <f>IFERROR(__xludf.DUMMYFUNCTION("""COMPUTED_VALUE"""),12.0)</f>
        <v>12</v>
      </c>
      <c r="G2255" s="14">
        <f>IFERROR(__xludf.DUMMYFUNCTION("""COMPUTED_VALUE"""),6.0)</f>
        <v>6</v>
      </c>
      <c r="H2255" s="14">
        <f>IFERROR(__xludf.DUMMYFUNCTION("""COMPUTED_VALUE"""),2023.0)</f>
        <v>2023</v>
      </c>
      <c r="I2255" s="14" t="str">
        <f>IFERROR(__xludf.DUMMYFUNCTION("""COMPUTED_VALUE"""),"Online Payment")</f>
        <v>Online Payment</v>
      </c>
      <c r="J2255" s="14" t="str">
        <f>IFERROR(__xludf.DUMMYFUNCTION("""COMPUTED_VALUE"""),"Delivered*Overall Satisfaction: Great service will order again")</f>
        <v>Delivered*Overall Satisfaction: Great service will order again</v>
      </c>
      <c r="K2255" s="14" t="str">
        <f>IFERROR(__xludf.DUMMYFUNCTION("split(E2255,""+"")"),"Cold Coffee")</f>
        <v>Cold Coffee</v>
      </c>
      <c r="L2255" s="14" t="str">
        <f>IFERROR(__xludf.DUMMYFUNCTION("""COMPUTED_VALUE"""),"4*Priya Joshi")</f>
        <v>4*Priya Joshi</v>
      </c>
      <c r="M2255" s="14">
        <f>IFERROR(__xludf.DUMMYFUNCTION("SPLIT(L2255,""*"")"),4.0)</f>
        <v>4</v>
      </c>
      <c r="N2255" s="14" t="str">
        <f>IFERROR(__xludf.DUMMYFUNCTION("""COMPUTED_VALUE"""),"Priya Joshi")</f>
        <v>Priya Joshi</v>
      </c>
      <c r="O2255" s="14" t="str">
        <f>IFERROR(__xludf.DUMMYFUNCTION("split(J2255,""*"")"),"Delivered")</f>
        <v>Delivered</v>
      </c>
      <c r="P2255" s="14" t="str">
        <f>IFERROR(__xludf.DUMMYFUNCTION("""COMPUTED_VALUE"""),"Overall Satisfaction: Great service will order again")</f>
        <v>Overall Satisfaction: Great service will order again</v>
      </c>
      <c r="Q2255" s="14" t="str">
        <f>IFERROR(__xludf.DUMMYFUNCTION("split(P2255,"":"")"),"Overall Satisfaction")</f>
        <v>Overall Satisfaction</v>
      </c>
      <c r="R2255" s="14" t="str">
        <f>IFERROR(__xludf.DUMMYFUNCTION("""COMPUTED_VALUE""")," Great service will order again")</f>
        <v> Great service will order again</v>
      </c>
      <c r="S2255" s="14" t="str">
        <f t="shared" ref="S2255:U2255" si="4513">trim(B2255)</f>
        <v>ord_92229</v>
      </c>
      <c r="T2255" s="14" t="str">
        <f t="shared" si="4513"/>
        <v>Nitin Sehgal</v>
      </c>
      <c r="U2255" s="14" t="str">
        <f t="shared" si="4513"/>
        <v>Bandra</v>
      </c>
      <c r="V2255" s="14" t="str">
        <f t="shared" si="4"/>
        <v>Cold Coffee</v>
      </c>
      <c r="W2255" s="14">
        <f t="shared" si="5"/>
        <v>4</v>
      </c>
      <c r="X2255" s="14" t="str">
        <f t="shared" si="6"/>
        <v>Priya Joshi</v>
      </c>
      <c r="Y2255" s="15">
        <f t="shared" si="7"/>
        <v>45266</v>
      </c>
      <c r="Z2255" s="14" t="str">
        <f t="shared" si="8"/>
        <v>Online Payment</v>
      </c>
      <c r="AA2255" s="14" t="str">
        <f t="shared" si="9"/>
        <v>Delivered</v>
      </c>
      <c r="AB2255" s="14" t="str">
        <f t="shared" ref="AB2255:AC2255" si="4514">trim(Q2255)</f>
        <v>Overall Satisfaction</v>
      </c>
      <c r="AC2255" s="14" t="str">
        <f t="shared" si="4514"/>
        <v>Great service will order again</v>
      </c>
      <c r="AD2255" s="8"/>
    </row>
    <row r="2256">
      <c r="A2256" s="14" t="str">
        <f>IFERROR(__xludf.DUMMYFUNCTION("""COMPUTED_VALUE"""),"//ord_92230//Riya Chakraborty//Juhu//Papaya+2*Tanvi Jain/2/19/2023//Credit Card//Delivered*On-time Delivery: Delivered on time")</f>
        <v>//ord_92230//Riya Chakraborty//Juhu//Papaya+2*Tanvi Jain/2/19/2023//Credit Card//Delivered*On-time Delivery: Delivered on time</v>
      </c>
      <c r="B2256" s="14" t="str">
        <f>IFERROR(__xludf.DUMMYFUNCTION("split(A2256,""//"")"),"ord_92230")</f>
        <v>ord_92230</v>
      </c>
      <c r="C2256" s="14" t="str">
        <f>IFERROR(__xludf.DUMMYFUNCTION("""COMPUTED_VALUE"""),"Riya Chakraborty")</f>
        <v>Riya Chakraborty</v>
      </c>
      <c r="D2256" s="14" t="str">
        <f>IFERROR(__xludf.DUMMYFUNCTION("""COMPUTED_VALUE"""),"Juhu")</f>
        <v>Juhu</v>
      </c>
      <c r="E2256" s="14" t="str">
        <f>IFERROR(__xludf.DUMMYFUNCTION("""COMPUTED_VALUE"""),"Papaya+2*Tanvi Jain")</f>
        <v>Papaya+2*Tanvi Jain</v>
      </c>
      <c r="F2256" s="14">
        <f>IFERROR(__xludf.DUMMYFUNCTION("""COMPUTED_VALUE"""),2.0)</f>
        <v>2</v>
      </c>
      <c r="G2256" s="14">
        <f>IFERROR(__xludf.DUMMYFUNCTION("""COMPUTED_VALUE"""),19.0)</f>
        <v>19</v>
      </c>
      <c r="H2256" s="14">
        <f>IFERROR(__xludf.DUMMYFUNCTION("""COMPUTED_VALUE"""),2023.0)</f>
        <v>2023</v>
      </c>
      <c r="I2256" s="14" t="str">
        <f>IFERROR(__xludf.DUMMYFUNCTION("""COMPUTED_VALUE"""),"Credit Card")</f>
        <v>Credit Card</v>
      </c>
      <c r="J2256" s="14" t="str">
        <f>IFERROR(__xludf.DUMMYFUNCTION("""COMPUTED_VALUE"""),"Delivered*On-time Delivery: Delivered on time")</f>
        <v>Delivered*On-time Delivery: Delivered on time</v>
      </c>
      <c r="K2256" s="14" t="str">
        <f>IFERROR(__xludf.DUMMYFUNCTION("split(E2256,""+"")"),"Papaya")</f>
        <v>Papaya</v>
      </c>
      <c r="L2256" s="14" t="str">
        <f>IFERROR(__xludf.DUMMYFUNCTION("""COMPUTED_VALUE"""),"2*Tanvi Jain")</f>
        <v>2*Tanvi Jain</v>
      </c>
      <c r="M2256" s="14">
        <f>IFERROR(__xludf.DUMMYFUNCTION("SPLIT(L2256,""*"")"),2.0)</f>
        <v>2</v>
      </c>
      <c r="N2256" s="14" t="str">
        <f>IFERROR(__xludf.DUMMYFUNCTION("""COMPUTED_VALUE"""),"Tanvi Jain")</f>
        <v>Tanvi Jain</v>
      </c>
      <c r="O2256" s="14" t="str">
        <f>IFERROR(__xludf.DUMMYFUNCTION("split(J2256,""*"")"),"Delivered")</f>
        <v>Delivered</v>
      </c>
      <c r="P2256" s="14" t="str">
        <f>IFERROR(__xludf.DUMMYFUNCTION("""COMPUTED_VALUE"""),"On-time Delivery: Delivered on time")</f>
        <v>On-time Delivery: Delivered on time</v>
      </c>
      <c r="Q2256" s="14" t="str">
        <f>IFERROR(__xludf.DUMMYFUNCTION("split(P2256,"":"")"),"On-time Delivery")</f>
        <v>On-time Delivery</v>
      </c>
      <c r="R2256" s="14" t="str">
        <f>IFERROR(__xludf.DUMMYFUNCTION("""COMPUTED_VALUE""")," Delivered on time")</f>
        <v> Delivered on time</v>
      </c>
      <c r="S2256" s="14" t="str">
        <f t="shared" ref="S2256:U2256" si="4515">trim(B2256)</f>
        <v>ord_92230</v>
      </c>
      <c r="T2256" s="14" t="str">
        <f t="shared" si="4515"/>
        <v>Riya Chakraborty</v>
      </c>
      <c r="U2256" s="14" t="str">
        <f t="shared" si="4515"/>
        <v>Juhu</v>
      </c>
      <c r="V2256" s="14" t="str">
        <f t="shared" si="4"/>
        <v>Papaya</v>
      </c>
      <c r="W2256" s="14">
        <f t="shared" si="5"/>
        <v>2</v>
      </c>
      <c r="X2256" s="14" t="str">
        <f t="shared" si="6"/>
        <v>Tanvi Jain</v>
      </c>
      <c r="Y2256" s="15">
        <f t="shared" si="7"/>
        <v>44976</v>
      </c>
      <c r="Z2256" s="14" t="str">
        <f t="shared" si="8"/>
        <v>Credit Card</v>
      </c>
      <c r="AA2256" s="14" t="str">
        <f t="shared" si="9"/>
        <v>Delivered</v>
      </c>
      <c r="AB2256" s="14" t="str">
        <f t="shared" ref="AB2256:AC2256" si="4516">trim(Q2256)</f>
        <v>On-time Delivery</v>
      </c>
      <c r="AC2256" s="14" t="str">
        <f t="shared" si="4516"/>
        <v>Delivered on time</v>
      </c>
      <c r="AD2256" s="8"/>
    </row>
    <row r="2257">
      <c r="A2257" s="14" t="str">
        <f>IFERROR(__xludf.DUMMYFUNCTION("""COMPUTED_VALUE"""),"//ord_92231//Aditya Basu//Juhu//Cucumber+2*Tanvi Jain/11/6/2023//UPI//Delivered*Quality of Items: Perfect condition")</f>
        <v>//ord_92231//Aditya Basu//Juhu//Cucumber+2*Tanvi Jain/11/6/2023//UPI//Delivered*Quality of Items: Perfect condition</v>
      </c>
      <c r="B2257" s="14" t="str">
        <f>IFERROR(__xludf.DUMMYFUNCTION("split(A2257,""//"")"),"ord_92231")</f>
        <v>ord_92231</v>
      </c>
      <c r="C2257" s="14" t="str">
        <f>IFERROR(__xludf.DUMMYFUNCTION("""COMPUTED_VALUE"""),"Aditya Basu")</f>
        <v>Aditya Basu</v>
      </c>
      <c r="D2257" s="14" t="str">
        <f>IFERROR(__xludf.DUMMYFUNCTION("""COMPUTED_VALUE"""),"Juhu")</f>
        <v>Juhu</v>
      </c>
      <c r="E2257" s="14" t="str">
        <f>IFERROR(__xludf.DUMMYFUNCTION("""COMPUTED_VALUE"""),"Cucumber+2*Tanvi Jain")</f>
        <v>Cucumber+2*Tanvi Jain</v>
      </c>
      <c r="F2257" s="14">
        <f>IFERROR(__xludf.DUMMYFUNCTION("""COMPUTED_VALUE"""),11.0)</f>
        <v>11</v>
      </c>
      <c r="G2257" s="14">
        <f>IFERROR(__xludf.DUMMYFUNCTION("""COMPUTED_VALUE"""),6.0)</f>
        <v>6</v>
      </c>
      <c r="H2257" s="14">
        <f>IFERROR(__xludf.DUMMYFUNCTION("""COMPUTED_VALUE"""),2023.0)</f>
        <v>2023</v>
      </c>
      <c r="I2257" s="14" t="str">
        <f>IFERROR(__xludf.DUMMYFUNCTION("""COMPUTED_VALUE"""),"UPI")</f>
        <v>UPI</v>
      </c>
      <c r="J2257" s="14" t="str">
        <f>IFERROR(__xludf.DUMMYFUNCTION("""COMPUTED_VALUE"""),"Delivered*Quality of Items: Perfect condition")</f>
        <v>Delivered*Quality of Items: Perfect condition</v>
      </c>
      <c r="K2257" s="14" t="str">
        <f>IFERROR(__xludf.DUMMYFUNCTION("split(E2257,""+"")"),"Cucumber")</f>
        <v>Cucumber</v>
      </c>
      <c r="L2257" s="14" t="str">
        <f>IFERROR(__xludf.DUMMYFUNCTION("""COMPUTED_VALUE"""),"2*Tanvi Jain")</f>
        <v>2*Tanvi Jain</v>
      </c>
      <c r="M2257" s="14">
        <f>IFERROR(__xludf.DUMMYFUNCTION("SPLIT(L2257,""*"")"),2.0)</f>
        <v>2</v>
      </c>
      <c r="N2257" s="14" t="str">
        <f>IFERROR(__xludf.DUMMYFUNCTION("""COMPUTED_VALUE"""),"Tanvi Jain")</f>
        <v>Tanvi Jain</v>
      </c>
      <c r="O2257" s="14" t="str">
        <f>IFERROR(__xludf.DUMMYFUNCTION("split(J2257,""*"")"),"Delivered")</f>
        <v>Delivered</v>
      </c>
      <c r="P2257" s="14" t="str">
        <f>IFERROR(__xludf.DUMMYFUNCTION("""COMPUTED_VALUE"""),"Quality of Items: Perfect condition")</f>
        <v>Quality of Items: Perfect condition</v>
      </c>
      <c r="Q2257" s="14" t="str">
        <f>IFERROR(__xludf.DUMMYFUNCTION("split(P2257,"":"")"),"Quality of Items")</f>
        <v>Quality of Items</v>
      </c>
      <c r="R2257" s="14" t="str">
        <f>IFERROR(__xludf.DUMMYFUNCTION("""COMPUTED_VALUE""")," Perfect condition")</f>
        <v> Perfect condition</v>
      </c>
      <c r="S2257" s="14" t="str">
        <f t="shared" ref="S2257:U2257" si="4517">trim(B2257)</f>
        <v>ord_92231</v>
      </c>
      <c r="T2257" s="14" t="str">
        <f t="shared" si="4517"/>
        <v>Aditya Basu</v>
      </c>
      <c r="U2257" s="14" t="str">
        <f t="shared" si="4517"/>
        <v>Juhu</v>
      </c>
      <c r="V2257" s="14" t="str">
        <f t="shared" si="4"/>
        <v>Cucumber</v>
      </c>
      <c r="W2257" s="14">
        <f t="shared" si="5"/>
        <v>2</v>
      </c>
      <c r="X2257" s="14" t="str">
        <f t="shared" si="6"/>
        <v>Tanvi Jain</v>
      </c>
      <c r="Y2257" s="15">
        <f t="shared" si="7"/>
        <v>45236</v>
      </c>
      <c r="Z2257" s="14" t="str">
        <f t="shared" si="8"/>
        <v>UPI</v>
      </c>
      <c r="AA2257" s="14" t="str">
        <f t="shared" si="9"/>
        <v>Delivered</v>
      </c>
      <c r="AB2257" s="14" t="str">
        <f t="shared" ref="AB2257:AC2257" si="4518">trim(Q2257)</f>
        <v>Quality of Items</v>
      </c>
      <c r="AC2257" s="14" t="str">
        <f t="shared" si="4518"/>
        <v>Perfect condition</v>
      </c>
      <c r="AD2257" s="8"/>
    </row>
    <row r="2258">
      <c r="A2258" s="14" t="str">
        <f>IFERROR(__xludf.DUMMYFUNCTION("""COMPUTED_VALUE"""),"//ord_92232//Tanishq Bansal//Bandra//Tomato+1*Priya Joshi/7/19/2023//Online Payment//Delivered*On-time Delivery: Delivered on time")</f>
        <v>//ord_92232//Tanishq Bansal//Bandra//Tomato+1*Priya Joshi/7/19/2023//Online Payment//Delivered*On-time Delivery: Delivered on time</v>
      </c>
      <c r="B2258" s="14" t="str">
        <f>IFERROR(__xludf.DUMMYFUNCTION("split(A2258,""//"")"),"ord_92232")</f>
        <v>ord_92232</v>
      </c>
      <c r="C2258" s="14" t="str">
        <f>IFERROR(__xludf.DUMMYFUNCTION("""COMPUTED_VALUE"""),"Tanishq Bansal")</f>
        <v>Tanishq Bansal</v>
      </c>
      <c r="D2258" s="14" t="str">
        <f>IFERROR(__xludf.DUMMYFUNCTION("""COMPUTED_VALUE"""),"Bandra")</f>
        <v>Bandra</v>
      </c>
      <c r="E2258" s="14" t="str">
        <f>IFERROR(__xludf.DUMMYFUNCTION("""COMPUTED_VALUE"""),"Tomato+1*Priya Joshi")</f>
        <v>Tomato+1*Priya Joshi</v>
      </c>
      <c r="F2258" s="14">
        <f>IFERROR(__xludf.DUMMYFUNCTION("""COMPUTED_VALUE"""),7.0)</f>
        <v>7</v>
      </c>
      <c r="G2258" s="14">
        <f>IFERROR(__xludf.DUMMYFUNCTION("""COMPUTED_VALUE"""),19.0)</f>
        <v>19</v>
      </c>
      <c r="H2258" s="14">
        <f>IFERROR(__xludf.DUMMYFUNCTION("""COMPUTED_VALUE"""),2023.0)</f>
        <v>2023</v>
      </c>
      <c r="I2258" s="14" t="str">
        <f>IFERROR(__xludf.DUMMYFUNCTION("""COMPUTED_VALUE"""),"Online Payment")</f>
        <v>Online Payment</v>
      </c>
      <c r="J2258" s="14" t="str">
        <f>IFERROR(__xludf.DUMMYFUNCTION("""COMPUTED_VALUE"""),"Delivered*On-time Delivery: Delivered on time")</f>
        <v>Delivered*On-time Delivery: Delivered on time</v>
      </c>
      <c r="K2258" s="14" t="str">
        <f>IFERROR(__xludf.DUMMYFUNCTION("split(E2258,""+"")"),"Tomato")</f>
        <v>Tomato</v>
      </c>
      <c r="L2258" s="14" t="str">
        <f>IFERROR(__xludf.DUMMYFUNCTION("""COMPUTED_VALUE"""),"1*Priya Joshi")</f>
        <v>1*Priya Joshi</v>
      </c>
      <c r="M2258" s="14">
        <f>IFERROR(__xludf.DUMMYFUNCTION("SPLIT(L2258,""*"")"),1.0)</f>
        <v>1</v>
      </c>
      <c r="N2258" s="14" t="str">
        <f>IFERROR(__xludf.DUMMYFUNCTION("""COMPUTED_VALUE"""),"Priya Joshi")</f>
        <v>Priya Joshi</v>
      </c>
      <c r="O2258" s="14" t="str">
        <f>IFERROR(__xludf.DUMMYFUNCTION("split(J2258,""*"")"),"Delivered")</f>
        <v>Delivered</v>
      </c>
      <c r="P2258" s="14" t="str">
        <f>IFERROR(__xludf.DUMMYFUNCTION("""COMPUTED_VALUE"""),"On-time Delivery: Delivered on time")</f>
        <v>On-time Delivery: Delivered on time</v>
      </c>
      <c r="Q2258" s="14" t="str">
        <f>IFERROR(__xludf.DUMMYFUNCTION("split(P2258,"":"")"),"On-time Delivery")</f>
        <v>On-time Delivery</v>
      </c>
      <c r="R2258" s="14" t="str">
        <f>IFERROR(__xludf.DUMMYFUNCTION("""COMPUTED_VALUE""")," Delivered on time")</f>
        <v> Delivered on time</v>
      </c>
      <c r="S2258" s="14" t="str">
        <f t="shared" ref="S2258:U2258" si="4519">trim(B2258)</f>
        <v>ord_92232</v>
      </c>
      <c r="T2258" s="14" t="str">
        <f t="shared" si="4519"/>
        <v>Tanishq Bansal</v>
      </c>
      <c r="U2258" s="14" t="str">
        <f t="shared" si="4519"/>
        <v>Bandra</v>
      </c>
      <c r="V2258" s="14" t="str">
        <f t="shared" si="4"/>
        <v>Tomato</v>
      </c>
      <c r="W2258" s="14">
        <f t="shared" si="5"/>
        <v>1</v>
      </c>
      <c r="X2258" s="14" t="str">
        <f t="shared" si="6"/>
        <v>Priya Joshi</v>
      </c>
      <c r="Y2258" s="15">
        <f t="shared" si="7"/>
        <v>45126</v>
      </c>
      <c r="Z2258" s="14" t="str">
        <f t="shared" si="8"/>
        <v>Online Payment</v>
      </c>
      <c r="AA2258" s="14" t="str">
        <f t="shared" si="9"/>
        <v>Delivered</v>
      </c>
      <c r="AB2258" s="14" t="str">
        <f t="shared" ref="AB2258:AC2258" si="4520">trim(Q2258)</f>
        <v>On-time Delivery</v>
      </c>
      <c r="AC2258" s="14" t="str">
        <f t="shared" si="4520"/>
        <v>Delivered on time</v>
      </c>
      <c r="AD2258" s="8"/>
    </row>
    <row r="2259">
      <c r="A2259" s="14" t="str">
        <f>IFERROR(__xludf.DUMMYFUNCTION("""COMPUTED_VALUE"""),"//ord_92233//Ritika Dutta//Lower Parel//Apple+2*Kiran Mehta/9/29/2023//UPI//Delivered*Quality of Items: Perfect condition")</f>
        <v>//ord_92233//Ritika Dutta//Lower Parel//Apple+2*Kiran Mehta/9/29/2023//UPI//Delivered*Quality of Items: Perfect condition</v>
      </c>
      <c r="B2259" s="14" t="str">
        <f>IFERROR(__xludf.DUMMYFUNCTION("split(A2259,""//"")"),"ord_92233")</f>
        <v>ord_92233</v>
      </c>
      <c r="C2259" s="14" t="str">
        <f>IFERROR(__xludf.DUMMYFUNCTION("""COMPUTED_VALUE"""),"Ritika Dutta")</f>
        <v>Ritika Dutta</v>
      </c>
      <c r="D2259" s="14" t="str">
        <f>IFERROR(__xludf.DUMMYFUNCTION("""COMPUTED_VALUE"""),"Lower Parel")</f>
        <v>Lower Parel</v>
      </c>
      <c r="E2259" s="14" t="str">
        <f>IFERROR(__xludf.DUMMYFUNCTION("""COMPUTED_VALUE"""),"Apple+2*Kiran Mehta")</f>
        <v>Apple+2*Kiran Mehta</v>
      </c>
      <c r="F2259" s="14">
        <f>IFERROR(__xludf.DUMMYFUNCTION("""COMPUTED_VALUE"""),9.0)</f>
        <v>9</v>
      </c>
      <c r="G2259" s="14">
        <f>IFERROR(__xludf.DUMMYFUNCTION("""COMPUTED_VALUE"""),29.0)</f>
        <v>29</v>
      </c>
      <c r="H2259" s="14">
        <f>IFERROR(__xludf.DUMMYFUNCTION("""COMPUTED_VALUE"""),2023.0)</f>
        <v>2023</v>
      </c>
      <c r="I2259" s="14" t="str">
        <f>IFERROR(__xludf.DUMMYFUNCTION("""COMPUTED_VALUE"""),"UPI")</f>
        <v>UPI</v>
      </c>
      <c r="J2259" s="14" t="str">
        <f>IFERROR(__xludf.DUMMYFUNCTION("""COMPUTED_VALUE"""),"Delivered*Quality of Items: Perfect condition")</f>
        <v>Delivered*Quality of Items: Perfect condition</v>
      </c>
      <c r="K2259" s="14" t="str">
        <f>IFERROR(__xludf.DUMMYFUNCTION("split(E2259,""+"")"),"Apple")</f>
        <v>Apple</v>
      </c>
      <c r="L2259" s="14" t="str">
        <f>IFERROR(__xludf.DUMMYFUNCTION("""COMPUTED_VALUE"""),"2*Kiran Mehta")</f>
        <v>2*Kiran Mehta</v>
      </c>
      <c r="M2259" s="14">
        <f>IFERROR(__xludf.DUMMYFUNCTION("SPLIT(L2259,""*"")"),2.0)</f>
        <v>2</v>
      </c>
      <c r="N2259" s="14" t="str">
        <f>IFERROR(__xludf.DUMMYFUNCTION("""COMPUTED_VALUE"""),"Kiran Mehta")</f>
        <v>Kiran Mehta</v>
      </c>
      <c r="O2259" s="14" t="str">
        <f>IFERROR(__xludf.DUMMYFUNCTION("split(J2259,""*"")"),"Delivered")</f>
        <v>Delivered</v>
      </c>
      <c r="P2259" s="14" t="str">
        <f>IFERROR(__xludf.DUMMYFUNCTION("""COMPUTED_VALUE"""),"Quality of Items: Perfect condition")</f>
        <v>Quality of Items: Perfect condition</v>
      </c>
      <c r="Q2259" s="14" t="str">
        <f>IFERROR(__xludf.DUMMYFUNCTION("split(P2259,"":"")"),"Quality of Items")</f>
        <v>Quality of Items</v>
      </c>
      <c r="R2259" s="14" t="str">
        <f>IFERROR(__xludf.DUMMYFUNCTION("""COMPUTED_VALUE""")," Perfect condition")</f>
        <v> Perfect condition</v>
      </c>
      <c r="S2259" s="14" t="str">
        <f t="shared" ref="S2259:U2259" si="4521">trim(B2259)</f>
        <v>ord_92233</v>
      </c>
      <c r="T2259" s="14" t="str">
        <f t="shared" si="4521"/>
        <v>Ritika Dutta</v>
      </c>
      <c r="U2259" s="14" t="str">
        <f t="shared" si="4521"/>
        <v>Lower Parel</v>
      </c>
      <c r="V2259" s="14" t="str">
        <f t="shared" si="4"/>
        <v>Apple</v>
      </c>
      <c r="W2259" s="14">
        <f t="shared" si="5"/>
        <v>2</v>
      </c>
      <c r="X2259" s="14" t="str">
        <f t="shared" si="6"/>
        <v>Kiran Mehta</v>
      </c>
      <c r="Y2259" s="15">
        <f t="shared" si="7"/>
        <v>45198</v>
      </c>
      <c r="Z2259" s="14" t="str">
        <f t="shared" si="8"/>
        <v>UPI</v>
      </c>
      <c r="AA2259" s="14" t="str">
        <f t="shared" si="9"/>
        <v>Delivered</v>
      </c>
      <c r="AB2259" s="14" t="str">
        <f t="shared" ref="AB2259:AC2259" si="4522">trim(Q2259)</f>
        <v>Quality of Items</v>
      </c>
      <c r="AC2259" s="14" t="str">
        <f t="shared" si="4522"/>
        <v>Perfect condition</v>
      </c>
      <c r="AD2259" s="8"/>
    </row>
    <row r="2260">
      <c r="A2260" s="14" t="str">
        <f>IFERROR(__xludf.DUMMYFUNCTION("""COMPUTED_VALUE"""),"//ord_92234//Simran Bhatt//Juhu//Sweet Corn+2*Tanvi Jain/3/22/2023//UPI//Delivered*Packaging: Secure and intact")</f>
        <v>//ord_92234//Simran Bhatt//Juhu//Sweet Corn+2*Tanvi Jain/3/22/2023//UPI//Delivered*Packaging: Secure and intact</v>
      </c>
      <c r="B2260" s="14" t="str">
        <f>IFERROR(__xludf.DUMMYFUNCTION("split(A2260,""//"")"),"ord_92234")</f>
        <v>ord_92234</v>
      </c>
      <c r="C2260" s="14" t="str">
        <f>IFERROR(__xludf.DUMMYFUNCTION("""COMPUTED_VALUE"""),"Simran Bhatt")</f>
        <v>Simran Bhatt</v>
      </c>
      <c r="D2260" s="14" t="str">
        <f>IFERROR(__xludf.DUMMYFUNCTION("""COMPUTED_VALUE"""),"Juhu")</f>
        <v>Juhu</v>
      </c>
      <c r="E2260" s="14" t="str">
        <f>IFERROR(__xludf.DUMMYFUNCTION("""COMPUTED_VALUE"""),"Sweet Corn+2*Tanvi Jain")</f>
        <v>Sweet Corn+2*Tanvi Jain</v>
      </c>
      <c r="F2260" s="14">
        <f>IFERROR(__xludf.DUMMYFUNCTION("""COMPUTED_VALUE"""),3.0)</f>
        <v>3</v>
      </c>
      <c r="G2260" s="14">
        <f>IFERROR(__xludf.DUMMYFUNCTION("""COMPUTED_VALUE"""),22.0)</f>
        <v>22</v>
      </c>
      <c r="H2260" s="14">
        <f>IFERROR(__xludf.DUMMYFUNCTION("""COMPUTED_VALUE"""),2023.0)</f>
        <v>2023</v>
      </c>
      <c r="I2260" s="14" t="str">
        <f>IFERROR(__xludf.DUMMYFUNCTION("""COMPUTED_VALUE"""),"UPI")</f>
        <v>UPI</v>
      </c>
      <c r="J2260" s="14" t="str">
        <f>IFERROR(__xludf.DUMMYFUNCTION("""COMPUTED_VALUE"""),"Delivered*Packaging: Secure and intact")</f>
        <v>Delivered*Packaging: Secure and intact</v>
      </c>
      <c r="K2260" s="14" t="str">
        <f>IFERROR(__xludf.DUMMYFUNCTION("split(E2260,""+"")"),"Sweet Corn")</f>
        <v>Sweet Corn</v>
      </c>
      <c r="L2260" s="14" t="str">
        <f>IFERROR(__xludf.DUMMYFUNCTION("""COMPUTED_VALUE"""),"2*Tanvi Jain")</f>
        <v>2*Tanvi Jain</v>
      </c>
      <c r="M2260" s="14">
        <f>IFERROR(__xludf.DUMMYFUNCTION("SPLIT(L2260,""*"")"),2.0)</f>
        <v>2</v>
      </c>
      <c r="N2260" s="14" t="str">
        <f>IFERROR(__xludf.DUMMYFUNCTION("""COMPUTED_VALUE"""),"Tanvi Jain")</f>
        <v>Tanvi Jain</v>
      </c>
      <c r="O2260" s="14" t="str">
        <f>IFERROR(__xludf.DUMMYFUNCTION("split(J2260,""*"")"),"Delivered")</f>
        <v>Delivered</v>
      </c>
      <c r="P2260" s="14" t="str">
        <f>IFERROR(__xludf.DUMMYFUNCTION("""COMPUTED_VALUE"""),"Packaging: Secure and intact")</f>
        <v>Packaging: Secure and intact</v>
      </c>
      <c r="Q2260" s="14" t="str">
        <f>IFERROR(__xludf.DUMMYFUNCTION("split(P2260,"":"")"),"Packaging")</f>
        <v>Packaging</v>
      </c>
      <c r="R2260" s="14" t="str">
        <f>IFERROR(__xludf.DUMMYFUNCTION("""COMPUTED_VALUE""")," Secure and intact")</f>
        <v> Secure and intact</v>
      </c>
      <c r="S2260" s="14" t="str">
        <f t="shared" ref="S2260:U2260" si="4523">trim(B2260)</f>
        <v>ord_92234</v>
      </c>
      <c r="T2260" s="14" t="str">
        <f t="shared" si="4523"/>
        <v>Simran Bhatt</v>
      </c>
      <c r="U2260" s="14" t="str">
        <f t="shared" si="4523"/>
        <v>Juhu</v>
      </c>
      <c r="V2260" s="14" t="str">
        <f t="shared" si="4"/>
        <v>Sweet Corn</v>
      </c>
      <c r="W2260" s="14">
        <f t="shared" si="5"/>
        <v>2</v>
      </c>
      <c r="X2260" s="14" t="str">
        <f t="shared" si="6"/>
        <v>Tanvi Jain</v>
      </c>
      <c r="Y2260" s="15">
        <f t="shared" si="7"/>
        <v>45007</v>
      </c>
      <c r="Z2260" s="14" t="str">
        <f t="shared" si="8"/>
        <v>UPI</v>
      </c>
      <c r="AA2260" s="14" t="str">
        <f t="shared" si="9"/>
        <v>Delivered</v>
      </c>
      <c r="AB2260" s="14" t="str">
        <f t="shared" ref="AB2260:AC2260" si="4524">trim(Q2260)</f>
        <v>Packaging</v>
      </c>
      <c r="AC2260" s="14" t="str">
        <f t="shared" si="4524"/>
        <v>Secure and intact</v>
      </c>
      <c r="AD2260" s="8"/>
    </row>
    <row r="2261">
      <c r="A2261" s="14" t="str">
        <f>IFERROR(__xludf.DUMMYFUNCTION("""COMPUTED_VALUE"""),"//ord_92235//Anaya Rao//Malad//Tiramisu+1*Neha Shah/12/19/2023//UPI//Delivered*Satisfied with the Delivery: Timely and quality")</f>
        <v>//ord_92235//Anaya Rao//Malad//Tiramisu+1*Neha Shah/12/19/2023//UPI//Delivered*Satisfied with the Delivery: Timely and quality</v>
      </c>
      <c r="B2261" s="14" t="str">
        <f>IFERROR(__xludf.DUMMYFUNCTION("split(A2261,""//"")"),"ord_92235")</f>
        <v>ord_92235</v>
      </c>
      <c r="C2261" s="14" t="str">
        <f>IFERROR(__xludf.DUMMYFUNCTION("""COMPUTED_VALUE"""),"Anaya Rao")</f>
        <v>Anaya Rao</v>
      </c>
      <c r="D2261" s="14" t="str">
        <f>IFERROR(__xludf.DUMMYFUNCTION("""COMPUTED_VALUE"""),"Malad")</f>
        <v>Malad</v>
      </c>
      <c r="E2261" s="14" t="str">
        <f>IFERROR(__xludf.DUMMYFUNCTION("""COMPUTED_VALUE"""),"Tiramisu+1*Neha Shah")</f>
        <v>Tiramisu+1*Neha Shah</v>
      </c>
      <c r="F2261" s="14">
        <f>IFERROR(__xludf.DUMMYFUNCTION("""COMPUTED_VALUE"""),12.0)</f>
        <v>12</v>
      </c>
      <c r="G2261" s="14">
        <f>IFERROR(__xludf.DUMMYFUNCTION("""COMPUTED_VALUE"""),19.0)</f>
        <v>19</v>
      </c>
      <c r="H2261" s="14">
        <f>IFERROR(__xludf.DUMMYFUNCTION("""COMPUTED_VALUE"""),2023.0)</f>
        <v>2023</v>
      </c>
      <c r="I2261" s="14" t="str">
        <f>IFERROR(__xludf.DUMMYFUNCTION("""COMPUTED_VALUE"""),"UPI")</f>
        <v>UPI</v>
      </c>
      <c r="J2261" s="14" t="str">
        <f>IFERROR(__xludf.DUMMYFUNCTION("""COMPUTED_VALUE"""),"Delivered*Satisfied with the Delivery: Timely and quality")</f>
        <v>Delivered*Satisfied with the Delivery: Timely and quality</v>
      </c>
      <c r="K2261" s="14" t="str">
        <f>IFERROR(__xludf.DUMMYFUNCTION("split(E2261,""+"")"),"Tiramisu")</f>
        <v>Tiramisu</v>
      </c>
      <c r="L2261" s="14" t="str">
        <f>IFERROR(__xludf.DUMMYFUNCTION("""COMPUTED_VALUE"""),"1*Neha Shah")</f>
        <v>1*Neha Shah</v>
      </c>
      <c r="M2261" s="14">
        <f>IFERROR(__xludf.DUMMYFUNCTION("SPLIT(L2261,""*"")"),1.0)</f>
        <v>1</v>
      </c>
      <c r="N2261" s="14" t="str">
        <f>IFERROR(__xludf.DUMMYFUNCTION("""COMPUTED_VALUE"""),"Neha Shah")</f>
        <v>Neha Shah</v>
      </c>
      <c r="O2261" s="14" t="str">
        <f>IFERROR(__xludf.DUMMYFUNCTION("split(J2261,""*"")"),"Delivered")</f>
        <v>Delivered</v>
      </c>
      <c r="P2261" s="14" t="str">
        <f>IFERROR(__xludf.DUMMYFUNCTION("""COMPUTED_VALUE"""),"Satisfied with the Delivery: Timely and quality")</f>
        <v>Satisfied with the Delivery: Timely and quality</v>
      </c>
      <c r="Q2261" s="14" t="str">
        <f>IFERROR(__xludf.DUMMYFUNCTION("split(P2261,"":"")"),"Satisfied with the Delivery")</f>
        <v>Satisfied with the Delivery</v>
      </c>
      <c r="R2261" s="14" t="str">
        <f>IFERROR(__xludf.DUMMYFUNCTION("""COMPUTED_VALUE""")," Timely and quality")</f>
        <v> Timely and quality</v>
      </c>
      <c r="S2261" s="14" t="str">
        <f t="shared" ref="S2261:U2261" si="4525">trim(B2261)</f>
        <v>ord_92235</v>
      </c>
      <c r="T2261" s="14" t="str">
        <f t="shared" si="4525"/>
        <v>Anaya Rao</v>
      </c>
      <c r="U2261" s="14" t="str">
        <f t="shared" si="4525"/>
        <v>Malad</v>
      </c>
      <c r="V2261" s="14" t="str">
        <f t="shared" si="4"/>
        <v>Tiramisu</v>
      </c>
      <c r="W2261" s="14">
        <f t="shared" si="5"/>
        <v>1</v>
      </c>
      <c r="X2261" s="14" t="str">
        <f t="shared" si="6"/>
        <v>Neha Shah</v>
      </c>
      <c r="Y2261" s="15">
        <f t="shared" si="7"/>
        <v>45279</v>
      </c>
      <c r="Z2261" s="14" t="str">
        <f t="shared" si="8"/>
        <v>UPI</v>
      </c>
      <c r="AA2261" s="14" t="str">
        <f t="shared" si="9"/>
        <v>Delivered</v>
      </c>
      <c r="AB2261" s="14" t="str">
        <f t="shared" ref="AB2261:AC2261" si="4526">trim(Q2261)</f>
        <v>Satisfied with the Delivery</v>
      </c>
      <c r="AC2261" s="14" t="str">
        <f t="shared" si="4526"/>
        <v>Timely and quality</v>
      </c>
      <c r="AD2261" s="8"/>
    </row>
    <row r="2262">
      <c r="A2262" s="14" t="str">
        <f>IFERROR(__xludf.DUMMYFUNCTION("""COMPUTED_VALUE"""),"//ord_92236//Yash Verma//Colaba//Sweet Corn+3*Nikhil Deshmukh/2/15/2023//UPI//Delivered*Customer Service: Seamless and easy")</f>
        <v>//ord_92236//Yash Verma//Colaba//Sweet Corn+3*Nikhil Deshmukh/2/15/2023//UPI//Delivered*Customer Service: Seamless and easy</v>
      </c>
      <c r="B2262" s="14" t="str">
        <f>IFERROR(__xludf.DUMMYFUNCTION("split(A2262,""//"")"),"ord_92236")</f>
        <v>ord_92236</v>
      </c>
      <c r="C2262" s="14" t="str">
        <f>IFERROR(__xludf.DUMMYFUNCTION("""COMPUTED_VALUE"""),"Yash Verma")</f>
        <v>Yash Verma</v>
      </c>
      <c r="D2262" s="14" t="str">
        <f>IFERROR(__xludf.DUMMYFUNCTION("""COMPUTED_VALUE"""),"Colaba")</f>
        <v>Colaba</v>
      </c>
      <c r="E2262" s="14" t="str">
        <f>IFERROR(__xludf.DUMMYFUNCTION("""COMPUTED_VALUE"""),"Sweet Corn+3*Nikhil Deshmukh")</f>
        <v>Sweet Corn+3*Nikhil Deshmukh</v>
      </c>
      <c r="F2262" s="14">
        <f>IFERROR(__xludf.DUMMYFUNCTION("""COMPUTED_VALUE"""),2.0)</f>
        <v>2</v>
      </c>
      <c r="G2262" s="14">
        <f>IFERROR(__xludf.DUMMYFUNCTION("""COMPUTED_VALUE"""),15.0)</f>
        <v>15</v>
      </c>
      <c r="H2262" s="14">
        <f>IFERROR(__xludf.DUMMYFUNCTION("""COMPUTED_VALUE"""),2023.0)</f>
        <v>2023</v>
      </c>
      <c r="I2262" s="14" t="str">
        <f>IFERROR(__xludf.DUMMYFUNCTION("""COMPUTED_VALUE"""),"UPI")</f>
        <v>UPI</v>
      </c>
      <c r="J2262" s="14" t="str">
        <f>IFERROR(__xludf.DUMMYFUNCTION("""COMPUTED_VALUE"""),"Delivered*Customer Service: Seamless and easy")</f>
        <v>Delivered*Customer Service: Seamless and easy</v>
      </c>
      <c r="K2262" s="14" t="str">
        <f>IFERROR(__xludf.DUMMYFUNCTION("split(E2262,""+"")"),"Sweet Corn")</f>
        <v>Sweet Corn</v>
      </c>
      <c r="L2262" s="14" t="str">
        <f>IFERROR(__xludf.DUMMYFUNCTION("""COMPUTED_VALUE"""),"3*Nikhil Deshmukh")</f>
        <v>3*Nikhil Deshmukh</v>
      </c>
      <c r="M2262" s="14">
        <f>IFERROR(__xludf.DUMMYFUNCTION("SPLIT(L2262,""*"")"),3.0)</f>
        <v>3</v>
      </c>
      <c r="N2262" s="14" t="str">
        <f>IFERROR(__xludf.DUMMYFUNCTION("""COMPUTED_VALUE"""),"Nikhil Deshmukh")</f>
        <v>Nikhil Deshmukh</v>
      </c>
      <c r="O2262" s="14" t="str">
        <f>IFERROR(__xludf.DUMMYFUNCTION("split(J2262,""*"")"),"Delivered")</f>
        <v>Delivered</v>
      </c>
      <c r="P2262" s="14" t="str">
        <f>IFERROR(__xludf.DUMMYFUNCTION("""COMPUTED_VALUE"""),"Customer Service: Seamless and easy")</f>
        <v>Customer Service: Seamless and easy</v>
      </c>
      <c r="Q2262" s="14" t="str">
        <f>IFERROR(__xludf.DUMMYFUNCTION("split(P2262,"":"")"),"Customer Service")</f>
        <v>Customer Service</v>
      </c>
      <c r="R2262" s="14" t="str">
        <f>IFERROR(__xludf.DUMMYFUNCTION("""COMPUTED_VALUE""")," Seamless and easy")</f>
        <v> Seamless and easy</v>
      </c>
      <c r="S2262" s="14" t="str">
        <f t="shared" ref="S2262:U2262" si="4527">trim(B2262)</f>
        <v>ord_92236</v>
      </c>
      <c r="T2262" s="14" t="str">
        <f t="shared" si="4527"/>
        <v>Yash Verma</v>
      </c>
      <c r="U2262" s="14" t="str">
        <f t="shared" si="4527"/>
        <v>Colaba</v>
      </c>
      <c r="V2262" s="14" t="str">
        <f t="shared" si="4"/>
        <v>Sweet Corn</v>
      </c>
      <c r="W2262" s="14">
        <f t="shared" si="5"/>
        <v>3</v>
      </c>
      <c r="X2262" s="14" t="str">
        <f t="shared" si="6"/>
        <v>Nikhil Deshmukh</v>
      </c>
      <c r="Y2262" s="15">
        <f t="shared" si="7"/>
        <v>44972</v>
      </c>
      <c r="Z2262" s="14" t="str">
        <f t="shared" si="8"/>
        <v>UPI</v>
      </c>
      <c r="AA2262" s="14" t="str">
        <f t="shared" si="9"/>
        <v>Delivered</v>
      </c>
      <c r="AB2262" s="14" t="str">
        <f t="shared" ref="AB2262:AC2262" si="4528">trim(Q2262)</f>
        <v>Customer Service</v>
      </c>
      <c r="AC2262" s="14" t="str">
        <f t="shared" si="4528"/>
        <v>Seamless and easy</v>
      </c>
      <c r="AD2262" s="8"/>
    </row>
    <row r="2263">
      <c r="A2263" s="14" t="str">
        <f>IFERROR(__xludf.DUMMYFUNCTION("""COMPUTED_VALUE"""),"//ord_92237//Leena Das//Andheri//Orange+2*Rohan Yadav/2/9/2023//UPI//Delivered*Delivery Experience: Quick and professional")</f>
        <v>//ord_92237//Leena Das//Andheri//Orange+2*Rohan Yadav/2/9/2023//UPI//Delivered*Delivery Experience: Quick and professional</v>
      </c>
      <c r="B2263" s="14" t="str">
        <f>IFERROR(__xludf.DUMMYFUNCTION("split(A2263,""//"")"),"ord_92237")</f>
        <v>ord_92237</v>
      </c>
      <c r="C2263" s="14" t="str">
        <f>IFERROR(__xludf.DUMMYFUNCTION("""COMPUTED_VALUE"""),"Leena Das")</f>
        <v>Leena Das</v>
      </c>
      <c r="D2263" s="14" t="str">
        <f>IFERROR(__xludf.DUMMYFUNCTION("""COMPUTED_VALUE"""),"Andheri")</f>
        <v>Andheri</v>
      </c>
      <c r="E2263" s="14" t="str">
        <f>IFERROR(__xludf.DUMMYFUNCTION("""COMPUTED_VALUE"""),"Orange+2*Rohan Yadav")</f>
        <v>Orange+2*Rohan Yadav</v>
      </c>
      <c r="F2263" s="14">
        <f>IFERROR(__xludf.DUMMYFUNCTION("""COMPUTED_VALUE"""),2.0)</f>
        <v>2</v>
      </c>
      <c r="G2263" s="14">
        <f>IFERROR(__xludf.DUMMYFUNCTION("""COMPUTED_VALUE"""),9.0)</f>
        <v>9</v>
      </c>
      <c r="H2263" s="14">
        <f>IFERROR(__xludf.DUMMYFUNCTION("""COMPUTED_VALUE"""),2023.0)</f>
        <v>2023</v>
      </c>
      <c r="I2263" s="14" t="str">
        <f>IFERROR(__xludf.DUMMYFUNCTION("""COMPUTED_VALUE"""),"UPI")</f>
        <v>UPI</v>
      </c>
      <c r="J2263" s="14" t="str">
        <f>IFERROR(__xludf.DUMMYFUNCTION("""COMPUTED_VALUE"""),"Delivered*Delivery Experience: Quick and professional")</f>
        <v>Delivered*Delivery Experience: Quick and professional</v>
      </c>
      <c r="K2263" s="14" t="str">
        <f>IFERROR(__xludf.DUMMYFUNCTION("split(E2263,""+"")"),"Orange")</f>
        <v>Orange</v>
      </c>
      <c r="L2263" s="14" t="str">
        <f>IFERROR(__xludf.DUMMYFUNCTION("""COMPUTED_VALUE"""),"2*Rohan Yadav")</f>
        <v>2*Rohan Yadav</v>
      </c>
      <c r="M2263" s="14">
        <f>IFERROR(__xludf.DUMMYFUNCTION("SPLIT(L2263,""*"")"),2.0)</f>
        <v>2</v>
      </c>
      <c r="N2263" s="14" t="str">
        <f>IFERROR(__xludf.DUMMYFUNCTION("""COMPUTED_VALUE"""),"Rohan Yadav")</f>
        <v>Rohan Yadav</v>
      </c>
      <c r="O2263" s="14" t="str">
        <f>IFERROR(__xludf.DUMMYFUNCTION("split(J2263,""*"")"),"Delivered")</f>
        <v>Delivered</v>
      </c>
      <c r="P2263" s="14" t="str">
        <f>IFERROR(__xludf.DUMMYFUNCTION("""COMPUTED_VALUE"""),"Delivery Experience: Quick and professional")</f>
        <v>Delivery Experience: Quick and professional</v>
      </c>
      <c r="Q2263" s="14" t="str">
        <f>IFERROR(__xludf.DUMMYFUNCTION("split(P2263,"":"")"),"Delivery Experience")</f>
        <v>Delivery Experience</v>
      </c>
      <c r="R2263" s="14" t="str">
        <f>IFERROR(__xludf.DUMMYFUNCTION("""COMPUTED_VALUE""")," Quick and professional")</f>
        <v> Quick and professional</v>
      </c>
      <c r="S2263" s="14" t="str">
        <f t="shared" ref="S2263:U2263" si="4529">trim(B2263)</f>
        <v>ord_92237</v>
      </c>
      <c r="T2263" s="14" t="str">
        <f t="shared" si="4529"/>
        <v>Leena Das</v>
      </c>
      <c r="U2263" s="14" t="str">
        <f t="shared" si="4529"/>
        <v>Andheri</v>
      </c>
      <c r="V2263" s="14" t="str">
        <f t="shared" si="4"/>
        <v>Orange</v>
      </c>
      <c r="W2263" s="14">
        <f t="shared" si="5"/>
        <v>2</v>
      </c>
      <c r="X2263" s="14" t="str">
        <f t="shared" si="6"/>
        <v>Rohan Yadav</v>
      </c>
      <c r="Y2263" s="15">
        <f t="shared" si="7"/>
        <v>44966</v>
      </c>
      <c r="Z2263" s="14" t="str">
        <f t="shared" si="8"/>
        <v>UPI</v>
      </c>
      <c r="AA2263" s="14" t="str">
        <f t="shared" si="9"/>
        <v>Delivered</v>
      </c>
      <c r="AB2263" s="14" t="str">
        <f t="shared" ref="AB2263:AC2263" si="4530">trim(Q2263)</f>
        <v>Delivery Experience</v>
      </c>
      <c r="AC2263" s="14" t="str">
        <f t="shared" si="4530"/>
        <v>Quick and professional</v>
      </c>
      <c r="AD2263" s="8"/>
    </row>
    <row r="2264">
      <c r="A2264" s="14" t="str">
        <f>IFERROR(__xludf.DUMMYFUNCTION("""COMPUTED_VALUE"""),"//ord_82238//Yash Verma//Lower Parel//Rasmalai+5*Kiran Mehta/12/25/2023//UPI//Delivered*Convenience: Easy tracking")</f>
        <v>//ord_82238//Yash Verma//Lower Parel//Rasmalai+5*Kiran Mehta/12/25/2023//UPI//Delivered*Convenience: Easy tracking</v>
      </c>
      <c r="B2264" s="14" t="str">
        <f>IFERROR(__xludf.DUMMYFUNCTION("split(A2264,""//"")"),"ord_82238")</f>
        <v>ord_82238</v>
      </c>
      <c r="C2264" s="14" t="str">
        <f>IFERROR(__xludf.DUMMYFUNCTION("""COMPUTED_VALUE"""),"Yash Verma")</f>
        <v>Yash Verma</v>
      </c>
      <c r="D2264" s="14" t="str">
        <f>IFERROR(__xludf.DUMMYFUNCTION("""COMPUTED_VALUE"""),"Lower Parel")</f>
        <v>Lower Parel</v>
      </c>
      <c r="E2264" s="14" t="str">
        <f>IFERROR(__xludf.DUMMYFUNCTION("""COMPUTED_VALUE"""),"Rasmalai+5*Kiran Mehta")</f>
        <v>Rasmalai+5*Kiran Mehta</v>
      </c>
      <c r="F2264" s="14">
        <f>IFERROR(__xludf.DUMMYFUNCTION("""COMPUTED_VALUE"""),12.0)</f>
        <v>12</v>
      </c>
      <c r="G2264" s="14">
        <f>IFERROR(__xludf.DUMMYFUNCTION("""COMPUTED_VALUE"""),25.0)</f>
        <v>25</v>
      </c>
      <c r="H2264" s="14">
        <f>IFERROR(__xludf.DUMMYFUNCTION("""COMPUTED_VALUE"""),2023.0)</f>
        <v>2023</v>
      </c>
      <c r="I2264" s="14" t="str">
        <f>IFERROR(__xludf.DUMMYFUNCTION("""COMPUTED_VALUE"""),"UPI")</f>
        <v>UPI</v>
      </c>
      <c r="J2264" s="14" t="str">
        <f>IFERROR(__xludf.DUMMYFUNCTION("""COMPUTED_VALUE"""),"Delivered*Convenience: Easy tracking")</f>
        <v>Delivered*Convenience: Easy tracking</v>
      </c>
      <c r="K2264" s="14" t="str">
        <f>IFERROR(__xludf.DUMMYFUNCTION("split(E2264,""+"")"),"Rasmalai")</f>
        <v>Rasmalai</v>
      </c>
      <c r="L2264" s="14" t="str">
        <f>IFERROR(__xludf.DUMMYFUNCTION("""COMPUTED_VALUE"""),"5*Kiran Mehta")</f>
        <v>5*Kiran Mehta</v>
      </c>
      <c r="M2264" s="14">
        <f>IFERROR(__xludf.DUMMYFUNCTION("SPLIT(L2264,""*"")"),5.0)</f>
        <v>5</v>
      </c>
      <c r="N2264" s="14" t="str">
        <f>IFERROR(__xludf.DUMMYFUNCTION("""COMPUTED_VALUE"""),"Kiran Mehta")</f>
        <v>Kiran Mehta</v>
      </c>
      <c r="O2264" s="14" t="str">
        <f>IFERROR(__xludf.DUMMYFUNCTION("split(J2264,""*"")"),"Delivered")</f>
        <v>Delivered</v>
      </c>
      <c r="P2264" s="14" t="str">
        <f>IFERROR(__xludf.DUMMYFUNCTION("""COMPUTED_VALUE"""),"Convenience: Easy tracking")</f>
        <v>Convenience: Easy tracking</v>
      </c>
      <c r="Q2264" s="14" t="str">
        <f>IFERROR(__xludf.DUMMYFUNCTION("split(P2264,"":"")"),"Convenience")</f>
        <v>Convenience</v>
      </c>
      <c r="R2264" s="14" t="str">
        <f>IFERROR(__xludf.DUMMYFUNCTION("""COMPUTED_VALUE""")," Easy tracking")</f>
        <v> Easy tracking</v>
      </c>
      <c r="S2264" s="14" t="str">
        <f t="shared" ref="S2264:U2264" si="4531">trim(B2264)</f>
        <v>ord_82238</v>
      </c>
      <c r="T2264" s="14" t="str">
        <f t="shared" si="4531"/>
        <v>Yash Verma</v>
      </c>
      <c r="U2264" s="14" t="str">
        <f t="shared" si="4531"/>
        <v>Lower Parel</v>
      </c>
      <c r="V2264" s="14" t="str">
        <f t="shared" si="4"/>
        <v>Rasmalai</v>
      </c>
      <c r="W2264" s="14">
        <f t="shared" si="5"/>
        <v>5</v>
      </c>
      <c r="X2264" s="14" t="str">
        <f t="shared" si="6"/>
        <v>Kiran Mehta</v>
      </c>
      <c r="Y2264" s="15">
        <f t="shared" si="7"/>
        <v>45285</v>
      </c>
      <c r="Z2264" s="14" t="str">
        <f t="shared" si="8"/>
        <v>UPI</v>
      </c>
      <c r="AA2264" s="14" t="str">
        <f t="shared" si="9"/>
        <v>Delivered</v>
      </c>
      <c r="AB2264" s="14" t="str">
        <f t="shared" ref="AB2264:AC2264" si="4532">trim(Q2264)</f>
        <v>Convenience</v>
      </c>
      <c r="AC2264" s="14" t="str">
        <f t="shared" si="4532"/>
        <v>Easy tracking</v>
      </c>
      <c r="AD2264" s="8"/>
    </row>
    <row r="2265">
      <c r="A2265" s="14" t="str">
        <f>IFERROR(__xludf.DUMMYFUNCTION("""COMPUTED_VALUE"""),"//ord_92238//Diya Arora//Lower Parel//Onion+2*Kiran Mehta/9/20/2023//UPI//Delivered*Delivery Experience: Quick and professional")</f>
        <v>//ord_92238//Diya Arora//Lower Parel//Onion+2*Kiran Mehta/9/20/2023//UPI//Delivered*Delivery Experience: Quick and professional</v>
      </c>
      <c r="B2265" s="14" t="str">
        <f>IFERROR(__xludf.DUMMYFUNCTION("split(A2265,""//"")"),"ord_92238")</f>
        <v>ord_92238</v>
      </c>
      <c r="C2265" s="14" t="str">
        <f>IFERROR(__xludf.DUMMYFUNCTION("""COMPUTED_VALUE"""),"Diya Arora")</f>
        <v>Diya Arora</v>
      </c>
      <c r="D2265" s="14" t="str">
        <f>IFERROR(__xludf.DUMMYFUNCTION("""COMPUTED_VALUE"""),"Lower Parel")</f>
        <v>Lower Parel</v>
      </c>
      <c r="E2265" s="14" t="str">
        <f>IFERROR(__xludf.DUMMYFUNCTION("""COMPUTED_VALUE"""),"Onion+2*Kiran Mehta")</f>
        <v>Onion+2*Kiran Mehta</v>
      </c>
      <c r="F2265" s="14">
        <f>IFERROR(__xludf.DUMMYFUNCTION("""COMPUTED_VALUE"""),9.0)</f>
        <v>9</v>
      </c>
      <c r="G2265" s="14">
        <f>IFERROR(__xludf.DUMMYFUNCTION("""COMPUTED_VALUE"""),20.0)</f>
        <v>20</v>
      </c>
      <c r="H2265" s="14">
        <f>IFERROR(__xludf.DUMMYFUNCTION("""COMPUTED_VALUE"""),2023.0)</f>
        <v>2023</v>
      </c>
      <c r="I2265" s="14" t="str">
        <f>IFERROR(__xludf.DUMMYFUNCTION("""COMPUTED_VALUE"""),"UPI")</f>
        <v>UPI</v>
      </c>
      <c r="J2265" s="14" t="str">
        <f>IFERROR(__xludf.DUMMYFUNCTION("""COMPUTED_VALUE"""),"Delivered*Delivery Experience: Quick and professional")</f>
        <v>Delivered*Delivery Experience: Quick and professional</v>
      </c>
      <c r="K2265" s="14" t="str">
        <f>IFERROR(__xludf.DUMMYFUNCTION("split(E2265,""+"")"),"Onion")</f>
        <v>Onion</v>
      </c>
      <c r="L2265" s="14" t="str">
        <f>IFERROR(__xludf.DUMMYFUNCTION("""COMPUTED_VALUE"""),"2*Kiran Mehta")</f>
        <v>2*Kiran Mehta</v>
      </c>
      <c r="M2265" s="14">
        <f>IFERROR(__xludf.DUMMYFUNCTION("SPLIT(L2265,""*"")"),2.0)</f>
        <v>2</v>
      </c>
      <c r="N2265" s="14" t="str">
        <f>IFERROR(__xludf.DUMMYFUNCTION("""COMPUTED_VALUE"""),"Kiran Mehta")</f>
        <v>Kiran Mehta</v>
      </c>
      <c r="O2265" s="14" t="str">
        <f>IFERROR(__xludf.DUMMYFUNCTION("split(J2265,""*"")"),"Delivered")</f>
        <v>Delivered</v>
      </c>
      <c r="P2265" s="14" t="str">
        <f>IFERROR(__xludf.DUMMYFUNCTION("""COMPUTED_VALUE"""),"Delivery Experience: Quick and professional")</f>
        <v>Delivery Experience: Quick and professional</v>
      </c>
      <c r="Q2265" s="14" t="str">
        <f>IFERROR(__xludf.DUMMYFUNCTION("split(P2265,"":"")"),"Delivery Experience")</f>
        <v>Delivery Experience</v>
      </c>
      <c r="R2265" s="14" t="str">
        <f>IFERROR(__xludf.DUMMYFUNCTION("""COMPUTED_VALUE""")," Quick and professional")</f>
        <v> Quick and professional</v>
      </c>
      <c r="S2265" s="14" t="str">
        <f t="shared" ref="S2265:U2265" si="4533">trim(B2265)</f>
        <v>ord_92238</v>
      </c>
      <c r="T2265" s="14" t="str">
        <f t="shared" si="4533"/>
        <v>Diya Arora</v>
      </c>
      <c r="U2265" s="14" t="str">
        <f t="shared" si="4533"/>
        <v>Lower Parel</v>
      </c>
      <c r="V2265" s="14" t="str">
        <f t="shared" si="4"/>
        <v>Onion</v>
      </c>
      <c r="W2265" s="14">
        <f t="shared" si="5"/>
        <v>2</v>
      </c>
      <c r="X2265" s="14" t="str">
        <f t="shared" si="6"/>
        <v>Kiran Mehta</v>
      </c>
      <c r="Y2265" s="15">
        <f t="shared" si="7"/>
        <v>45189</v>
      </c>
      <c r="Z2265" s="14" t="str">
        <f t="shared" si="8"/>
        <v>UPI</v>
      </c>
      <c r="AA2265" s="14" t="str">
        <f t="shared" si="9"/>
        <v>Delivered</v>
      </c>
      <c r="AB2265" s="14" t="str">
        <f t="shared" ref="AB2265:AC2265" si="4534">trim(Q2265)</f>
        <v>Delivery Experience</v>
      </c>
      <c r="AC2265" s="14" t="str">
        <f t="shared" si="4534"/>
        <v>Quick and professional</v>
      </c>
      <c r="AD2265" s="8"/>
    </row>
    <row r="2266">
      <c r="A2266" s="14" t="str">
        <f>IFERROR(__xludf.DUMMYFUNCTION("""COMPUTED_VALUE"""),"//ord_92239//Mohit Malhotra//Lower Parel//Tomato+2*Kiran Mehta/7/16/2023//UPI//Delivered*Overall Satisfaction: Great service will order again")</f>
        <v>//ord_92239//Mohit Malhotra//Lower Parel//Tomato+2*Kiran Mehta/7/16/2023//UPI//Delivered*Overall Satisfaction: Great service will order again</v>
      </c>
      <c r="B2266" s="14" t="str">
        <f>IFERROR(__xludf.DUMMYFUNCTION("split(A2266,""//"")"),"ord_92239")</f>
        <v>ord_92239</v>
      </c>
      <c r="C2266" s="14" t="str">
        <f>IFERROR(__xludf.DUMMYFUNCTION("""COMPUTED_VALUE"""),"Mohit Malhotra")</f>
        <v>Mohit Malhotra</v>
      </c>
      <c r="D2266" s="14" t="str">
        <f>IFERROR(__xludf.DUMMYFUNCTION("""COMPUTED_VALUE"""),"Lower Parel")</f>
        <v>Lower Parel</v>
      </c>
      <c r="E2266" s="14" t="str">
        <f>IFERROR(__xludf.DUMMYFUNCTION("""COMPUTED_VALUE"""),"Tomato+2*Kiran Mehta")</f>
        <v>Tomato+2*Kiran Mehta</v>
      </c>
      <c r="F2266" s="14">
        <f>IFERROR(__xludf.DUMMYFUNCTION("""COMPUTED_VALUE"""),7.0)</f>
        <v>7</v>
      </c>
      <c r="G2266" s="14">
        <f>IFERROR(__xludf.DUMMYFUNCTION("""COMPUTED_VALUE"""),16.0)</f>
        <v>16</v>
      </c>
      <c r="H2266" s="14">
        <f>IFERROR(__xludf.DUMMYFUNCTION("""COMPUTED_VALUE"""),2023.0)</f>
        <v>2023</v>
      </c>
      <c r="I2266" s="14" t="str">
        <f>IFERROR(__xludf.DUMMYFUNCTION("""COMPUTED_VALUE"""),"UPI")</f>
        <v>UPI</v>
      </c>
      <c r="J2266" s="14" t="str">
        <f>IFERROR(__xludf.DUMMYFUNCTION("""COMPUTED_VALUE"""),"Delivered*Overall Satisfaction: Great service will order again")</f>
        <v>Delivered*Overall Satisfaction: Great service will order again</v>
      </c>
      <c r="K2266" s="14" t="str">
        <f>IFERROR(__xludf.DUMMYFUNCTION("split(E2266,""+"")"),"Tomato")</f>
        <v>Tomato</v>
      </c>
      <c r="L2266" s="14" t="str">
        <f>IFERROR(__xludf.DUMMYFUNCTION("""COMPUTED_VALUE"""),"2*Kiran Mehta")</f>
        <v>2*Kiran Mehta</v>
      </c>
      <c r="M2266" s="14">
        <f>IFERROR(__xludf.DUMMYFUNCTION("SPLIT(L2266,""*"")"),2.0)</f>
        <v>2</v>
      </c>
      <c r="N2266" s="14" t="str">
        <f>IFERROR(__xludf.DUMMYFUNCTION("""COMPUTED_VALUE"""),"Kiran Mehta")</f>
        <v>Kiran Mehta</v>
      </c>
      <c r="O2266" s="14" t="str">
        <f>IFERROR(__xludf.DUMMYFUNCTION("split(J2266,""*"")"),"Delivered")</f>
        <v>Delivered</v>
      </c>
      <c r="P2266" s="14" t="str">
        <f>IFERROR(__xludf.DUMMYFUNCTION("""COMPUTED_VALUE"""),"Overall Satisfaction: Great service will order again")</f>
        <v>Overall Satisfaction: Great service will order again</v>
      </c>
      <c r="Q2266" s="14" t="str">
        <f>IFERROR(__xludf.DUMMYFUNCTION("split(P2266,"":"")"),"Overall Satisfaction")</f>
        <v>Overall Satisfaction</v>
      </c>
      <c r="R2266" s="14" t="str">
        <f>IFERROR(__xludf.DUMMYFUNCTION("""COMPUTED_VALUE""")," Great service will order again")</f>
        <v> Great service will order again</v>
      </c>
      <c r="S2266" s="14" t="str">
        <f t="shared" ref="S2266:U2266" si="4535">trim(B2266)</f>
        <v>ord_92239</v>
      </c>
      <c r="T2266" s="14" t="str">
        <f t="shared" si="4535"/>
        <v>Mohit Malhotra</v>
      </c>
      <c r="U2266" s="14" t="str">
        <f t="shared" si="4535"/>
        <v>Lower Parel</v>
      </c>
      <c r="V2266" s="14" t="str">
        <f t="shared" si="4"/>
        <v>Tomato</v>
      </c>
      <c r="W2266" s="14">
        <f t="shared" si="5"/>
        <v>2</v>
      </c>
      <c r="X2266" s="14" t="str">
        <f t="shared" si="6"/>
        <v>Kiran Mehta</v>
      </c>
      <c r="Y2266" s="15">
        <f t="shared" si="7"/>
        <v>45123</v>
      </c>
      <c r="Z2266" s="14" t="str">
        <f t="shared" si="8"/>
        <v>UPI</v>
      </c>
      <c r="AA2266" s="14" t="str">
        <f t="shared" si="9"/>
        <v>Delivered</v>
      </c>
      <c r="AB2266" s="14" t="str">
        <f t="shared" ref="AB2266:AC2266" si="4536">trim(Q2266)</f>
        <v>Overall Satisfaction</v>
      </c>
      <c r="AC2266" s="14" t="str">
        <f t="shared" si="4536"/>
        <v>Great service will order again</v>
      </c>
      <c r="AD2266" s="8"/>
    </row>
    <row r="2267">
      <c r="A2267" s="14" t="str">
        <f>IFERROR(__xludf.DUMMYFUNCTION("""COMPUTED_VALUE"""),"//ord_92240//Tanishq Bansal//Powai//Guava+2*Sandeep Kumar/8/19/2023//UPI//Delivered*On-time Delivery: Delivered on time")</f>
        <v>//ord_92240//Tanishq Bansal//Powai//Guava+2*Sandeep Kumar/8/19/2023//UPI//Delivered*On-time Delivery: Delivered on time</v>
      </c>
      <c r="B2267" s="14" t="str">
        <f>IFERROR(__xludf.DUMMYFUNCTION("split(A2267,""//"")"),"ord_92240")</f>
        <v>ord_92240</v>
      </c>
      <c r="C2267" s="14" t="str">
        <f>IFERROR(__xludf.DUMMYFUNCTION("""COMPUTED_VALUE"""),"Tanishq Bansal")</f>
        <v>Tanishq Bansal</v>
      </c>
      <c r="D2267" s="14" t="str">
        <f>IFERROR(__xludf.DUMMYFUNCTION("""COMPUTED_VALUE"""),"Powai")</f>
        <v>Powai</v>
      </c>
      <c r="E2267" s="14" t="str">
        <f>IFERROR(__xludf.DUMMYFUNCTION("""COMPUTED_VALUE"""),"Guava+2*Sandeep Kumar")</f>
        <v>Guava+2*Sandeep Kumar</v>
      </c>
      <c r="F2267" s="14">
        <f>IFERROR(__xludf.DUMMYFUNCTION("""COMPUTED_VALUE"""),8.0)</f>
        <v>8</v>
      </c>
      <c r="G2267" s="14">
        <f>IFERROR(__xludf.DUMMYFUNCTION("""COMPUTED_VALUE"""),19.0)</f>
        <v>19</v>
      </c>
      <c r="H2267" s="14">
        <f>IFERROR(__xludf.DUMMYFUNCTION("""COMPUTED_VALUE"""),2023.0)</f>
        <v>2023</v>
      </c>
      <c r="I2267" s="14" t="str">
        <f>IFERROR(__xludf.DUMMYFUNCTION("""COMPUTED_VALUE"""),"UPI")</f>
        <v>UPI</v>
      </c>
      <c r="J2267" s="14" t="str">
        <f>IFERROR(__xludf.DUMMYFUNCTION("""COMPUTED_VALUE"""),"Delivered*On-time Delivery: Delivered on time")</f>
        <v>Delivered*On-time Delivery: Delivered on time</v>
      </c>
      <c r="K2267" s="14" t="str">
        <f>IFERROR(__xludf.DUMMYFUNCTION("split(E2267,""+"")"),"Guava")</f>
        <v>Guava</v>
      </c>
      <c r="L2267" s="14" t="str">
        <f>IFERROR(__xludf.DUMMYFUNCTION("""COMPUTED_VALUE"""),"2*Sandeep Kumar")</f>
        <v>2*Sandeep Kumar</v>
      </c>
      <c r="M2267" s="14">
        <f>IFERROR(__xludf.DUMMYFUNCTION("SPLIT(L2267,""*"")"),2.0)</f>
        <v>2</v>
      </c>
      <c r="N2267" s="14" t="str">
        <f>IFERROR(__xludf.DUMMYFUNCTION("""COMPUTED_VALUE"""),"Sandeep Kumar")</f>
        <v>Sandeep Kumar</v>
      </c>
      <c r="O2267" s="14" t="str">
        <f>IFERROR(__xludf.DUMMYFUNCTION("split(J2267,""*"")"),"Delivered")</f>
        <v>Delivered</v>
      </c>
      <c r="P2267" s="14" t="str">
        <f>IFERROR(__xludf.DUMMYFUNCTION("""COMPUTED_VALUE"""),"On-time Delivery: Delivered on time")</f>
        <v>On-time Delivery: Delivered on time</v>
      </c>
      <c r="Q2267" s="14" t="str">
        <f>IFERROR(__xludf.DUMMYFUNCTION("split(P2267,"":"")"),"On-time Delivery")</f>
        <v>On-time Delivery</v>
      </c>
      <c r="R2267" s="14" t="str">
        <f>IFERROR(__xludf.DUMMYFUNCTION("""COMPUTED_VALUE""")," Delivered on time")</f>
        <v> Delivered on time</v>
      </c>
      <c r="S2267" s="14" t="str">
        <f t="shared" ref="S2267:U2267" si="4537">trim(B2267)</f>
        <v>ord_92240</v>
      </c>
      <c r="T2267" s="14" t="str">
        <f t="shared" si="4537"/>
        <v>Tanishq Bansal</v>
      </c>
      <c r="U2267" s="14" t="str">
        <f t="shared" si="4537"/>
        <v>Powai</v>
      </c>
      <c r="V2267" s="14" t="str">
        <f t="shared" si="4"/>
        <v>Guava</v>
      </c>
      <c r="W2267" s="14">
        <f t="shared" si="5"/>
        <v>2</v>
      </c>
      <c r="X2267" s="14" t="str">
        <f t="shared" si="6"/>
        <v>Sandeep Kumar</v>
      </c>
      <c r="Y2267" s="15">
        <f t="shared" si="7"/>
        <v>45157</v>
      </c>
      <c r="Z2267" s="14" t="str">
        <f t="shared" si="8"/>
        <v>UPI</v>
      </c>
      <c r="AA2267" s="14" t="str">
        <f t="shared" si="9"/>
        <v>Delivered</v>
      </c>
      <c r="AB2267" s="14" t="str">
        <f t="shared" ref="AB2267:AC2267" si="4538">trim(Q2267)</f>
        <v>On-time Delivery</v>
      </c>
      <c r="AC2267" s="14" t="str">
        <f t="shared" si="4538"/>
        <v>Delivered on time</v>
      </c>
      <c r="AD2267" s="8"/>
    </row>
    <row r="2268">
      <c r="A2268" s="14" t="str">
        <f>IFERROR(__xludf.DUMMYFUNCTION("""COMPUTED_VALUE"""),"//ord_92241//Aditi Iyer//Dadar//Cucumber+2*Aman Kumar/10/29/2023//UPI//Delivered*Quality of Items: Perfect condition")</f>
        <v>//ord_92241//Aditi Iyer//Dadar//Cucumber+2*Aman Kumar/10/29/2023//UPI//Delivered*Quality of Items: Perfect condition</v>
      </c>
      <c r="B2268" s="14" t="str">
        <f>IFERROR(__xludf.DUMMYFUNCTION("split(A2268,""//"")"),"ord_92241")</f>
        <v>ord_92241</v>
      </c>
      <c r="C2268" s="14" t="str">
        <f>IFERROR(__xludf.DUMMYFUNCTION("""COMPUTED_VALUE"""),"Aditi Iyer")</f>
        <v>Aditi Iyer</v>
      </c>
      <c r="D2268" s="14" t="str">
        <f>IFERROR(__xludf.DUMMYFUNCTION("""COMPUTED_VALUE"""),"Dadar")</f>
        <v>Dadar</v>
      </c>
      <c r="E2268" s="14" t="str">
        <f>IFERROR(__xludf.DUMMYFUNCTION("""COMPUTED_VALUE"""),"Cucumber+2*Aman Kumar")</f>
        <v>Cucumber+2*Aman Kumar</v>
      </c>
      <c r="F2268" s="14">
        <f>IFERROR(__xludf.DUMMYFUNCTION("""COMPUTED_VALUE"""),10.0)</f>
        <v>10</v>
      </c>
      <c r="G2268" s="14">
        <f>IFERROR(__xludf.DUMMYFUNCTION("""COMPUTED_VALUE"""),29.0)</f>
        <v>29</v>
      </c>
      <c r="H2268" s="14">
        <f>IFERROR(__xludf.DUMMYFUNCTION("""COMPUTED_VALUE"""),2023.0)</f>
        <v>2023</v>
      </c>
      <c r="I2268" s="14" t="str">
        <f>IFERROR(__xludf.DUMMYFUNCTION("""COMPUTED_VALUE"""),"UPI")</f>
        <v>UPI</v>
      </c>
      <c r="J2268" s="14" t="str">
        <f>IFERROR(__xludf.DUMMYFUNCTION("""COMPUTED_VALUE"""),"Delivered*Quality of Items: Perfect condition")</f>
        <v>Delivered*Quality of Items: Perfect condition</v>
      </c>
      <c r="K2268" s="14" t="str">
        <f>IFERROR(__xludf.DUMMYFUNCTION("split(E2268,""+"")"),"Cucumber")</f>
        <v>Cucumber</v>
      </c>
      <c r="L2268" s="14" t="str">
        <f>IFERROR(__xludf.DUMMYFUNCTION("""COMPUTED_VALUE"""),"2*Aman Kumar")</f>
        <v>2*Aman Kumar</v>
      </c>
      <c r="M2268" s="14">
        <f>IFERROR(__xludf.DUMMYFUNCTION("SPLIT(L2268,""*"")"),2.0)</f>
        <v>2</v>
      </c>
      <c r="N2268" s="14" t="str">
        <f>IFERROR(__xludf.DUMMYFUNCTION("""COMPUTED_VALUE"""),"Aman Kumar")</f>
        <v>Aman Kumar</v>
      </c>
      <c r="O2268" s="14" t="str">
        <f>IFERROR(__xludf.DUMMYFUNCTION("split(J2268,""*"")"),"Delivered")</f>
        <v>Delivered</v>
      </c>
      <c r="P2268" s="14" t="str">
        <f>IFERROR(__xludf.DUMMYFUNCTION("""COMPUTED_VALUE"""),"Quality of Items: Perfect condition")</f>
        <v>Quality of Items: Perfect condition</v>
      </c>
      <c r="Q2268" s="14" t="str">
        <f>IFERROR(__xludf.DUMMYFUNCTION("split(P2268,"":"")"),"Quality of Items")</f>
        <v>Quality of Items</v>
      </c>
      <c r="R2268" s="14" t="str">
        <f>IFERROR(__xludf.DUMMYFUNCTION("""COMPUTED_VALUE""")," Perfect condition")</f>
        <v> Perfect condition</v>
      </c>
      <c r="S2268" s="14" t="str">
        <f t="shared" ref="S2268:U2268" si="4539">trim(B2268)</f>
        <v>ord_92241</v>
      </c>
      <c r="T2268" s="14" t="str">
        <f t="shared" si="4539"/>
        <v>Aditi Iyer</v>
      </c>
      <c r="U2268" s="14" t="str">
        <f t="shared" si="4539"/>
        <v>Dadar</v>
      </c>
      <c r="V2268" s="14" t="str">
        <f t="shared" si="4"/>
        <v>Cucumber</v>
      </c>
      <c r="W2268" s="14">
        <f t="shared" si="5"/>
        <v>2</v>
      </c>
      <c r="X2268" s="14" t="str">
        <f t="shared" si="6"/>
        <v>Aman Kumar</v>
      </c>
      <c r="Y2268" s="15">
        <f t="shared" si="7"/>
        <v>45228</v>
      </c>
      <c r="Z2268" s="14" t="str">
        <f t="shared" si="8"/>
        <v>UPI</v>
      </c>
      <c r="AA2268" s="14" t="str">
        <f t="shared" si="9"/>
        <v>Delivered</v>
      </c>
      <c r="AB2268" s="14" t="str">
        <f t="shared" ref="AB2268:AC2268" si="4540">trim(Q2268)</f>
        <v>Quality of Items</v>
      </c>
      <c r="AC2268" s="14" t="str">
        <f t="shared" si="4540"/>
        <v>Perfect condition</v>
      </c>
      <c r="AD2268" s="8"/>
    </row>
    <row r="2269">
      <c r="A2269" s="14" t="str">
        <f>IFERROR(__xludf.DUMMYFUNCTION("""COMPUTED_VALUE"""),"//ord_92242//Ishaan Chaturvedi//Bandra//Potato+1*Priya Joshi/7/11/2023//Online Payment//Delivered*Packaging: Secure and intact")</f>
        <v>//ord_92242//Ishaan Chaturvedi//Bandra//Potato+1*Priya Joshi/7/11/2023//Online Payment//Delivered*Packaging: Secure and intact</v>
      </c>
      <c r="B2269" s="14" t="str">
        <f>IFERROR(__xludf.DUMMYFUNCTION("split(A2269,""//"")"),"ord_92242")</f>
        <v>ord_92242</v>
      </c>
      <c r="C2269" s="14" t="str">
        <f>IFERROR(__xludf.DUMMYFUNCTION("""COMPUTED_VALUE"""),"Ishaan Chaturvedi")</f>
        <v>Ishaan Chaturvedi</v>
      </c>
      <c r="D2269" s="14" t="str">
        <f>IFERROR(__xludf.DUMMYFUNCTION("""COMPUTED_VALUE"""),"Bandra")</f>
        <v>Bandra</v>
      </c>
      <c r="E2269" s="14" t="str">
        <f>IFERROR(__xludf.DUMMYFUNCTION("""COMPUTED_VALUE"""),"Potato+1*Priya Joshi")</f>
        <v>Potato+1*Priya Joshi</v>
      </c>
      <c r="F2269" s="14">
        <f>IFERROR(__xludf.DUMMYFUNCTION("""COMPUTED_VALUE"""),7.0)</f>
        <v>7</v>
      </c>
      <c r="G2269" s="14">
        <f>IFERROR(__xludf.DUMMYFUNCTION("""COMPUTED_VALUE"""),11.0)</f>
        <v>11</v>
      </c>
      <c r="H2269" s="14">
        <f>IFERROR(__xludf.DUMMYFUNCTION("""COMPUTED_VALUE"""),2023.0)</f>
        <v>2023</v>
      </c>
      <c r="I2269" s="14" t="str">
        <f>IFERROR(__xludf.DUMMYFUNCTION("""COMPUTED_VALUE"""),"Online Payment")</f>
        <v>Online Payment</v>
      </c>
      <c r="J2269" s="14" t="str">
        <f>IFERROR(__xludf.DUMMYFUNCTION("""COMPUTED_VALUE"""),"Delivered*Packaging: Secure and intact")</f>
        <v>Delivered*Packaging: Secure and intact</v>
      </c>
      <c r="K2269" s="14" t="str">
        <f>IFERROR(__xludf.DUMMYFUNCTION("split(E2269,""+"")"),"Potato")</f>
        <v>Potato</v>
      </c>
      <c r="L2269" s="14" t="str">
        <f>IFERROR(__xludf.DUMMYFUNCTION("""COMPUTED_VALUE"""),"1*Priya Joshi")</f>
        <v>1*Priya Joshi</v>
      </c>
      <c r="M2269" s="14">
        <f>IFERROR(__xludf.DUMMYFUNCTION("SPLIT(L2269,""*"")"),1.0)</f>
        <v>1</v>
      </c>
      <c r="N2269" s="14" t="str">
        <f>IFERROR(__xludf.DUMMYFUNCTION("""COMPUTED_VALUE"""),"Priya Joshi")</f>
        <v>Priya Joshi</v>
      </c>
      <c r="O2269" s="14" t="str">
        <f>IFERROR(__xludf.DUMMYFUNCTION("split(J2269,""*"")"),"Delivered")</f>
        <v>Delivered</v>
      </c>
      <c r="P2269" s="14" t="str">
        <f>IFERROR(__xludf.DUMMYFUNCTION("""COMPUTED_VALUE"""),"Packaging: Secure and intact")</f>
        <v>Packaging: Secure and intact</v>
      </c>
      <c r="Q2269" s="14" t="str">
        <f>IFERROR(__xludf.DUMMYFUNCTION("split(P2269,"":"")"),"Packaging")</f>
        <v>Packaging</v>
      </c>
      <c r="R2269" s="14" t="str">
        <f>IFERROR(__xludf.DUMMYFUNCTION("""COMPUTED_VALUE""")," Secure and intact")</f>
        <v> Secure and intact</v>
      </c>
      <c r="S2269" s="14" t="str">
        <f t="shared" ref="S2269:U2269" si="4541">trim(B2269)</f>
        <v>ord_92242</v>
      </c>
      <c r="T2269" s="14" t="str">
        <f t="shared" si="4541"/>
        <v>Ishaan Chaturvedi</v>
      </c>
      <c r="U2269" s="14" t="str">
        <f t="shared" si="4541"/>
        <v>Bandra</v>
      </c>
      <c r="V2269" s="14" t="str">
        <f t="shared" si="4"/>
        <v>Potato</v>
      </c>
      <c r="W2269" s="14">
        <f t="shared" si="5"/>
        <v>1</v>
      </c>
      <c r="X2269" s="14" t="str">
        <f t="shared" si="6"/>
        <v>Priya Joshi</v>
      </c>
      <c r="Y2269" s="15">
        <f t="shared" si="7"/>
        <v>45118</v>
      </c>
      <c r="Z2269" s="14" t="str">
        <f t="shared" si="8"/>
        <v>Online Payment</v>
      </c>
      <c r="AA2269" s="14" t="str">
        <f t="shared" si="9"/>
        <v>Delivered</v>
      </c>
      <c r="AB2269" s="14" t="str">
        <f t="shared" ref="AB2269:AC2269" si="4542">trim(Q2269)</f>
        <v>Packaging</v>
      </c>
      <c r="AC2269" s="14" t="str">
        <f t="shared" si="4542"/>
        <v>Secure and intact</v>
      </c>
      <c r="AD2269" s="8"/>
    </row>
    <row r="2270">
      <c r="A2270" s="14" t="str">
        <f>IFERROR(__xludf.DUMMYFUNCTION("""COMPUTED_VALUE"""),"//ord_92243//Pranav Joshi//Andheri//Sweet Corn+1*Vivek Kumar/6/27/2023//Online Payment//Delivered*Satisfied with the Delivery: Timely and quality")</f>
        <v>//ord_92243//Pranav Joshi//Andheri//Sweet Corn+1*Vivek Kumar/6/27/2023//Online Payment//Delivered*Satisfied with the Delivery: Timely and quality</v>
      </c>
      <c r="B2270" s="14" t="str">
        <f>IFERROR(__xludf.DUMMYFUNCTION("split(A2270,""//"")"),"ord_92243")</f>
        <v>ord_92243</v>
      </c>
      <c r="C2270" s="14" t="str">
        <f>IFERROR(__xludf.DUMMYFUNCTION("""COMPUTED_VALUE"""),"Pranav Joshi")</f>
        <v>Pranav Joshi</v>
      </c>
      <c r="D2270" s="14" t="str">
        <f>IFERROR(__xludf.DUMMYFUNCTION("""COMPUTED_VALUE"""),"Andheri")</f>
        <v>Andheri</v>
      </c>
      <c r="E2270" s="14" t="str">
        <f>IFERROR(__xludf.DUMMYFUNCTION("""COMPUTED_VALUE"""),"Sweet Corn+1*Vivek Kumar")</f>
        <v>Sweet Corn+1*Vivek Kumar</v>
      </c>
      <c r="F2270" s="14">
        <f>IFERROR(__xludf.DUMMYFUNCTION("""COMPUTED_VALUE"""),6.0)</f>
        <v>6</v>
      </c>
      <c r="G2270" s="14">
        <f>IFERROR(__xludf.DUMMYFUNCTION("""COMPUTED_VALUE"""),27.0)</f>
        <v>27</v>
      </c>
      <c r="H2270" s="14">
        <f>IFERROR(__xludf.DUMMYFUNCTION("""COMPUTED_VALUE"""),2023.0)</f>
        <v>2023</v>
      </c>
      <c r="I2270" s="14" t="str">
        <f>IFERROR(__xludf.DUMMYFUNCTION("""COMPUTED_VALUE"""),"Online Payment")</f>
        <v>Online Payment</v>
      </c>
      <c r="J2270" s="14" t="str">
        <f>IFERROR(__xludf.DUMMYFUNCTION("""COMPUTED_VALUE"""),"Delivered*Satisfied with the Delivery: Timely and quality")</f>
        <v>Delivered*Satisfied with the Delivery: Timely and quality</v>
      </c>
      <c r="K2270" s="14" t="str">
        <f>IFERROR(__xludf.DUMMYFUNCTION("split(E2270,""+"")"),"Sweet Corn")</f>
        <v>Sweet Corn</v>
      </c>
      <c r="L2270" s="14" t="str">
        <f>IFERROR(__xludf.DUMMYFUNCTION("""COMPUTED_VALUE"""),"1*Vivek Kumar")</f>
        <v>1*Vivek Kumar</v>
      </c>
      <c r="M2270" s="14">
        <f>IFERROR(__xludf.DUMMYFUNCTION("SPLIT(L2270,""*"")"),1.0)</f>
        <v>1</v>
      </c>
      <c r="N2270" s="14" t="str">
        <f>IFERROR(__xludf.DUMMYFUNCTION("""COMPUTED_VALUE"""),"Vivek Kumar")</f>
        <v>Vivek Kumar</v>
      </c>
      <c r="O2270" s="14" t="str">
        <f>IFERROR(__xludf.DUMMYFUNCTION("split(J2270,""*"")"),"Delivered")</f>
        <v>Delivered</v>
      </c>
      <c r="P2270" s="14" t="str">
        <f>IFERROR(__xludf.DUMMYFUNCTION("""COMPUTED_VALUE"""),"Satisfied with the Delivery: Timely and quality")</f>
        <v>Satisfied with the Delivery: Timely and quality</v>
      </c>
      <c r="Q2270" s="14" t="str">
        <f>IFERROR(__xludf.DUMMYFUNCTION("split(P2270,"":"")"),"Satisfied with the Delivery")</f>
        <v>Satisfied with the Delivery</v>
      </c>
      <c r="R2270" s="14" t="str">
        <f>IFERROR(__xludf.DUMMYFUNCTION("""COMPUTED_VALUE""")," Timely and quality")</f>
        <v> Timely and quality</v>
      </c>
      <c r="S2270" s="14" t="str">
        <f t="shared" ref="S2270:U2270" si="4543">trim(B2270)</f>
        <v>ord_92243</v>
      </c>
      <c r="T2270" s="14" t="str">
        <f t="shared" si="4543"/>
        <v>Pranav Joshi</v>
      </c>
      <c r="U2270" s="14" t="str">
        <f t="shared" si="4543"/>
        <v>Andheri</v>
      </c>
      <c r="V2270" s="14" t="str">
        <f t="shared" si="4"/>
        <v>Sweet Corn</v>
      </c>
      <c r="W2270" s="14">
        <f t="shared" si="5"/>
        <v>1</v>
      </c>
      <c r="X2270" s="14" t="str">
        <f t="shared" si="6"/>
        <v>Vivek Kumar</v>
      </c>
      <c r="Y2270" s="15">
        <f t="shared" si="7"/>
        <v>45104</v>
      </c>
      <c r="Z2270" s="14" t="str">
        <f t="shared" si="8"/>
        <v>Online Payment</v>
      </c>
      <c r="AA2270" s="14" t="str">
        <f t="shared" si="9"/>
        <v>Delivered</v>
      </c>
      <c r="AB2270" s="14" t="str">
        <f t="shared" ref="AB2270:AC2270" si="4544">trim(Q2270)</f>
        <v>Satisfied with the Delivery</v>
      </c>
      <c r="AC2270" s="14" t="str">
        <f t="shared" si="4544"/>
        <v>Timely and quality</v>
      </c>
      <c r="AD2270" s="8"/>
    </row>
    <row r="2271">
      <c r="A2271" s="14" t="str">
        <f>IFERROR(__xludf.DUMMYFUNCTION("""COMPUTED_VALUE"""),"//ord_92244//Dev Chauhan//Bandra//Sweet Corn+2*Sita T/10/21/2023//Credit Card//Delivered*Customer Service: Seamless and easy")</f>
        <v>//ord_92244//Dev Chauhan//Bandra//Sweet Corn+2*Sita T/10/21/2023//Credit Card//Delivered*Customer Service: Seamless and easy</v>
      </c>
      <c r="B2271" s="14" t="str">
        <f>IFERROR(__xludf.DUMMYFUNCTION("split(A2271,""//"")"),"ord_92244")</f>
        <v>ord_92244</v>
      </c>
      <c r="C2271" s="14" t="str">
        <f>IFERROR(__xludf.DUMMYFUNCTION("""COMPUTED_VALUE"""),"Dev Chauhan")</f>
        <v>Dev Chauhan</v>
      </c>
      <c r="D2271" s="14" t="str">
        <f>IFERROR(__xludf.DUMMYFUNCTION("""COMPUTED_VALUE"""),"Bandra")</f>
        <v>Bandra</v>
      </c>
      <c r="E2271" s="14" t="str">
        <f>IFERROR(__xludf.DUMMYFUNCTION("""COMPUTED_VALUE"""),"Sweet Corn+2*Sita T")</f>
        <v>Sweet Corn+2*Sita T</v>
      </c>
      <c r="F2271" s="14">
        <f>IFERROR(__xludf.DUMMYFUNCTION("""COMPUTED_VALUE"""),10.0)</f>
        <v>10</v>
      </c>
      <c r="G2271" s="14">
        <f>IFERROR(__xludf.DUMMYFUNCTION("""COMPUTED_VALUE"""),21.0)</f>
        <v>21</v>
      </c>
      <c r="H2271" s="14">
        <f>IFERROR(__xludf.DUMMYFUNCTION("""COMPUTED_VALUE"""),2023.0)</f>
        <v>2023</v>
      </c>
      <c r="I2271" s="14" t="str">
        <f>IFERROR(__xludf.DUMMYFUNCTION("""COMPUTED_VALUE"""),"Credit Card")</f>
        <v>Credit Card</v>
      </c>
      <c r="J2271" s="14" t="str">
        <f>IFERROR(__xludf.DUMMYFUNCTION("""COMPUTED_VALUE"""),"Delivered*Customer Service: Seamless and easy")</f>
        <v>Delivered*Customer Service: Seamless and easy</v>
      </c>
      <c r="K2271" s="14" t="str">
        <f>IFERROR(__xludf.DUMMYFUNCTION("split(E2271,""+"")"),"Sweet Corn")</f>
        <v>Sweet Corn</v>
      </c>
      <c r="L2271" s="14" t="str">
        <f>IFERROR(__xludf.DUMMYFUNCTION("""COMPUTED_VALUE"""),"2*Sita T")</f>
        <v>2*Sita T</v>
      </c>
      <c r="M2271" s="14">
        <f>IFERROR(__xludf.DUMMYFUNCTION("SPLIT(L2271,""*"")"),2.0)</f>
        <v>2</v>
      </c>
      <c r="N2271" s="14" t="str">
        <f>IFERROR(__xludf.DUMMYFUNCTION("""COMPUTED_VALUE"""),"Sita T")</f>
        <v>Sita T</v>
      </c>
      <c r="O2271" s="14" t="str">
        <f>IFERROR(__xludf.DUMMYFUNCTION("split(J2271,""*"")"),"Delivered")</f>
        <v>Delivered</v>
      </c>
      <c r="P2271" s="14" t="str">
        <f>IFERROR(__xludf.DUMMYFUNCTION("""COMPUTED_VALUE"""),"Customer Service: Seamless and easy")</f>
        <v>Customer Service: Seamless and easy</v>
      </c>
      <c r="Q2271" s="14" t="str">
        <f>IFERROR(__xludf.DUMMYFUNCTION("split(P2271,"":"")"),"Customer Service")</f>
        <v>Customer Service</v>
      </c>
      <c r="R2271" s="14" t="str">
        <f>IFERROR(__xludf.DUMMYFUNCTION("""COMPUTED_VALUE""")," Seamless and easy")</f>
        <v> Seamless and easy</v>
      </c>
      <c r="S2271" s="14" t="str">
        <f t="shared" ref="S2271:U2271" si="4545">trim(B2271)</f>
        <v>ord_92244</v>
      </c>
      <c r="T2271" s="14" t="str">
        <f t="shared" si="4545"/>
        <v>Dev Chauhan</v>
      </c>
      <c r="U2271" s="14" t="str">
        <f t="shared" si="4545"/>
        <v>Bandra</v>
      </c>
      <c r="V2271" s="14" t="str">
        <f t="shared" si="4"/>
        <v>Sweet Corn</v>
      </c>
      <c r="W2271" s="14">
        <f t="shared" si="5"/>
        <v>2</v>
      </c>
      <c r="X2271" s="14" t="str">
        <f t="shared" si="6"/>
        <v>Sita T</v>
      </c>
      <c r="Y2271" s="15">
        <f t="shared" si="7"/>
        <v>45220</v>
      </c>
      <c r="Z2271" s="14" t="str">
        <f t="shared" si="8"/>
        <v>Credit Card</v>
      </c>
      <c r="AA2271" s="14" t="str">
        <f t="shared" si="9"/>
        <v>Delivered</v>
      </c>
      <c r="AB2271" s="14" t="str">
        <f t="shared" ref="AB2271:AC2271" si="4546">trim(Q2271)</f>
        <v>Customer Service</v>
      </c>
      <c r="AC2271" s="14" t="str">
        <f t="shared" si="4546"/>
        <v>Seamless and easy</v>
      </c>
      <c r="AD2271" s="8"/>
    </row>
    <row r="2272">
      <c r="A2272" s="14" t="str">
        <f>IFERROR(__xludf.DUMMYFUNCTION("""COMPUTED_VALUE"""),"//ord_92245//Pallavi Ghosh//Bandra//Orange+2*Vivek Kumar/12/26/2023//Credit Card//Delivered*Delivery Experience: Quick and professional")</f>
        <v>//ord_92245//Pallavi Ghosh//Bandra//Orange+2*Vivek Kumar/12/26/2023//Credit Card//Delivered*Delivery Experience: Quick and professional</v>
      </c>
      <c r="B2272" s="14" t="str">
        <f>IFERROR(__xludf.DUMMYFUNCTION("split(A2272,""//"")"),"ord_92245")</f>
        <v>ord_92245</v>
      </c>
      <c r="C2272" s="14" t="str">
        <f>IFERROR(__xludf.DUMMYFUNCTION("""COMPUTED_VALUE"""),"Pallavi Ghosh")</f>
        <v>Pallavi Ghosh</v>
      </c>
      <c r="D2272" s="14" t="str">
        <f>IFERROR(__xludf.DUMMYFUNCTION("""COMPUTED_VALUE"""),"Bandra")</f>
        <v>Bandra</v>
      </c>
      <c r="E2272" s="14" t="str">
        <f>IFERROR(__xludf.DUMMYFUNCTION("""COMPUTED_VALUE"""),"Orange+2*Vivek Kumar")</f>
        <v>Orange+2*Vivek Kumar</v>
      </c>
      <c r="F2272" s="14">
        <f>IFERROR(__xludf.DUMMYFUNCTION("""COMPUTED_VALUE"""),12.0)</f>
        <v>12</v>
      </c>
      <c r="G2272" s="14">
        <f>IFERROR(__xludf.DUMMYFUNCTION("""COMPUTED_VALUE"""),26.0)</f>
        <v>26</v>
      </c>
      <c r="H2272" s="14">
        <f>IFERROR(__xludf.DUMMYFUNCTION("""COMPUTED_VALUE"""),2023.0)</f>
        <v>2023</v>
      </c>
      <c r="I2272" s="14" t="str">
        <f>IFERROR(__xludf.DUMMYFUNCTION("""COMPUTED_VALUE"""),"Credit Card")</f>
        <v>Credit Card</v>
      </c>
      <c r="J2272" s="14" t="str">
        <f>IFERROR(__xludf.DUMMYFUNCTION("""COMPUTED_VALUE"""),"Delivered*Delivery Experience: Quick and professional")</f>
        <v>Delivered*Delivery Experience: Quick and professional</v>
      </c>
      <c r="K2272" s="14" t="str">
        <f>IFERROR(__xludf.DUMMYFUNCTION("split(E2272,""+"")"),"Orange")</f>
        <v>Orange</v>
      </c>
      <c r="L2272" s="14" t="str">
        <f>IFERROR(__xludf.DUMMYFUNCTION("""COMPUTED_VALUE"""),"2*Vivek Kumar")</f>
        <v>2*Vivek Kumar</v>
      </c>
      <c r="M2272" s="14">
        <f>IFERROR(__xludf.DUMMYFUNCTION("SPLIT(L2272,""*"")"),2.0)</f>
        <v>2</v>
      </c>
      <c r="N2272" s="14" t="str">
        <f>IFERROR(__xludf.DUMMYFUNCTION("""COMPUTED_VALUE"""),"Vivek Kumar")</f>
        <v>Vivek Kumar</v>
      </c>
      <c r="O2272" s="14" t="str">
        <f>IFERROR(__xludf.DUMMYFUNCTION("split(J2272,""*"")"),"Delivered")</f>
        <v>Delivered</v>
      </c>
      <c r="P2272" s="14" t="str">
        <f>IFERROR(__xludf.DUMMYFUNCTION("""COMPUTED_VALUE"""),"Delivery Experience: Quick and professional")</f>
        <v>Delivery Experience: Quick and professional</v>
      </c>
      <c r="Q2272" s="14" t="str">
        <f>IFERROR(__xludf.DUMMYFUNCTION("split(P2272,"":"")"),"Delivery Experience")</f>
        <v>Delivery Experience</v>
      </c>
      <c r="R2272" s="14" t="str">
        <f>IFERROR(__xludf.DUMMYFUNCTION("""COMPUTED_VALUE""")," Quick and professional")</f>
        <v> Quick and professional</v>
      </c>
      <c r="S2272" s="14" t="str">
        <f t="shared" ref="S2272:U2272" si="4547">trim(B2272)</f>
        <v>ord_92245</v>
      </c>
      <c r="T2272" s="14" t="str">
        <f t="shared" si="4547"/>
        <v>Pallavi Ghosh</v>
      </c>
      <c r="U2272" s="14" t="str">
        <f t="shared" si="4547"/>
        <v>Bandra</v>
      </c>
      <c r="V2272" s="14" t="str">
        <f t="shared" si="4"/>
        <v>Orange</v>
      </c>
      <c r="W2272" s="14">
        <f t="shared" si="5"/>
        <v>2</v>
      </c>
      <c r="X2272" s="14" t="str">
        <f t="shared" si="6"/>
        <v>Vivek Kumar</v>
      </c>
      <c r="Y2272" s="15">
        <f t="shared" si="7"/>
        <v>45286</v>
      </c>
      <c r="Z2272" s="14" t="str">
        <f t="shared" si="8"/>
        <v>Credit Card</v>
      </c>
      <c r="AA2272" s="14" t="str">
        <f t="shared" si="9"/>
        <v>Delivered</v>
      </c>
      <c r="AB2272" s="14" t="str">
        <f t="shared" ref="AB2272:AC2272" si="4548">trim(Q2272)</f>
        <v>Delivery Experience</v>
      </c>
      <c r="AC2272" s="14" t="str">
        <f t="shared" si="4548"/>
        <v>Quick and professional</v>
      </c>
      <c r="AD2272" s="8"/>
    </row>
    <row r="2273">
      <c r="A2273" s="14" t="str">
        <f>IFERROR(__xludf.DUMMYFUNCTION("""COMPUTED_VALUE"""),"//ord_92246//Anaya Rao//Colaba//Tomato+1*Vivek Kumar/7/10/2023//UPI//Delivered*On-time Delivery: Delivered on time")</f>
        <v>//ord_92246//Anaya Rao//Colaba//Tomato+1*Vivek Kumar/7/10/2023//UPI//Delivered*On-time Delivery: Delivered on time</v>
      </c>
      <c r="B2273" s="14" t="str">
        <f>IFERROR(__xludf.DUMMYFUNCTION("split(A2273,""//"")"),"ord_92246")</f>
        <v>ord_92246</v>
      </c>
      <c r="C2273" s="14" t="str">
        <f>IFERROR(__xludf.DUMMYFUNCTION("""COMPUTED_VALUE"""),"Anaya Rao")</f>
        <v>Anaya Rao</v>
      </c>
      <c r="D2273" s="14" t="str">
        <f>IFERROR(__xludf.DUMMYFUNCTION("""COMPUTED_VALUE"""),"Colaba")</f>
        <v>Colaba</v>
      </c>
      <c r="E2273" s="14" t="str">
        <f>IFERROR(__xludf.DUMMYFUNCTION("""COMPUTED_VALUE"""),"Tomato+1*Vivek Kumar")</f>
        <v>Tomato+1*Vivek Kumar</v>
      </c>
      <c r="F2273" s="14">
        <f>IFERROR(__xludf.DUMMYFUNCTION("""COMPUTED_VALUE"""),7.0)</f>
        <v>7</v>
      </c>
      <c r="G2273" s="14">
        <f>IFERROR(__xludf.DUMMYFUNCTION("""COMPUTED_VALUE"""),10.0)</f>
        <v>10</v>
      </c>
      <c r="H2273" s="14">
        <f>IFERROR(__xludf.DUMMYFUNCTION("""COMPUTED_VALUE"""),2023.0)</f>
        <v>2023</v>
      </c>
      <c r="I2273" s="14" t="str">
        <f>IFERROR(__xludf.DUMMYFUNCTION("""COMPUTED_VALUE"""),"UPI")</f>
        <v>UPI</v>
      </c>
      <c r="J2273" s="14" t="str">
        <f>IFERROR(__xludf.DUMMYFUNCTION("""COMPUTED_VALUE"""),"Delivered*On-time Delivery: Delivered on time")</f>
        <v>Delivered*On-time Delivery: Delivered on time</v>
      </c>
      <c r="K2273" s="14" t="str">
        <f>IFERROR(__xludf.DUMMYFUNCTION("split(E2273,""+"")"),"Tomato")</f>
        <v>Tomato</v>
      </c>
      <c r="L2273" s="14" t="str">
        <f>IFERROR(__xludf.DUMMYFUNCTION("""COMPUTED_VALUE"""),"1*Vivek Kumar")</f>
        <v>1*Vivek Kumar</v>
      </c>
      <c r="M2273" s="14">
        <f>IFERROR(__xludf.DUMMYFUNCTION("SPLIT(L2273,""*"")"),1.0)</f>
        <v>1</v>
      </c>
      <c r="N2273" s="14" t="str">
        <f>IFERROR(__xludf.DUMMYFUNCTION("""COMPUTED_VALUE"""),"Vivek Kumar")</f>
        <v>Vivek Kumar</v>
      </c>
      <c r="O2273" s="14" t="str">
        <f>IFERROR(__xludf.DUMMYFUNCTION("split(J2273,""*"")"),"Delivered")</f>
        <v>Delivered</v>
      </c>
      <c r="P2273" s="14" t="str">
        <f>IFERROR(__xludf.DUMMYFUNCTION("""COMPUTED_VALUE"""),"On-time Delivery: Delivered on time")</f>
        <v>On-time Delivery: Delivered on time</v>
      </c>
      <c r="Q2273" s="14" t="str">
        <f>IFERROR(__xludf.DUMMYFUNCTION("split(P2273,"":"")"),"On-time Delivery")</f>
        <v>On-time Delivery</v>
      </c>
      <c r="R2273" s="14" t="str">
        <f>IFERROR(__xludf.DUMMYFUNCTION("""COMPUTED_VALUE""")," Delivered on time")</f>
        <v> Delivered on time</v>
      </c>
      <c r="S2273" s="14" t="str">
        <f t="shared" ref="S2273:U2273" si="4549">trim(B2273)</f>
        <v>ord_92246</v>
      </c>
      <c r="T2273" s="14" t="str">
        <f t="shared" si="4549"/>
        <v>Anaya Rao</v>
      </c>
      <c r="U2273" s="14" t="str">
        <f t="shared" si="4549"/>
        <v>Colaba</v>
      </c>
      <c r="V2273" s="14" t="str">
        <f t="shared" si="4"/>
        <v>Tomato</v>
      </c>
      <c r="W2273" s="14">
        <f t="shared" si="5"/>
        <v>1</v>
      </c>
      <c r="X2273" s="14" t="str">
        <f t="shared" si="6"/>
        <v>Vivek Kumar</v>
      </c>
      <c r="Y2273" s="15">
        <f t="shared" si="7"/>
        <v>45117</v>
      </c>
      <c r="Z2273" s="14" t="str">
        <f t="shared" si="8"/>
        <v>UPI</v>
      </c>
      <c r="AA2273" s="14" t="str">
        <f t="shared" si="9"/>
        <v>Delivered</v>
      </c>
      <c r="AB2273" s="14" t="str">
        <f t="shared" ref="AB2273:AC2273" si="4550">trim(Q2273)</f>
        <v>On-time Delivery</v>
      </c>
      <c r="AC2273" s="14" t="str">
        <f t="shared" si="4550"/>
        <v>Delivered on time</v>
      </c>
      <c r="AD2273" s="8"/>
    </row>
    <row r="2274">
      <c r="A2274" s="14" t="str">
        <f>IFERROR(__xludf.DUMMYFUNCTION("""COMPUTED_VALUE"""),"//ord_92247//Diya Arora//Lower Parel//Onion+1*Nithin Lal/11/30/2023//UPI//Delivered*Satisfied with the Delivery: Timely and quality")</f>
        <v>//ord_92247//Diya Arora//Lower Parel//Onion+1*Nithin Lal/11/30/2023//UPI//Delivered*Satisfied with the Delivery: Timely and quality</v>
      </c>
      <c r="B2274" s="14" t="str">
        <f>IFERROR(__xludf.DUMMYFUNCTION("split(A2274,""//"")"),"ord_92247")</f>
        <v>ord_92247</v>
      </c>
      <c r="C2274" s="14" t="str">
        <f>IFERROR(__xludf.DUMMYFUNCTION("""COMPUTED_VALUE"""),"Diya Arora")</f>
        <v>Diya Arora</v>
      </c>
      <c r="D2274" s="14" t="str">
        <f>IFERROR(__xludf.DUMMYFUNCTION("""COMPUTED_VALUE"""),"Lower Parel")</f>
        <v>Lower Parel</v>
      </c>
      <c r="E2274" s="14" t="str">
        <f>IFERROR(__xludf.DUMMYFUNCTION("""COMPUTED_VALUE"""),"Onion+1*Nithin Lal")</f>
        <v>Onion+1*Nithin Lal</v>
      </c>
      <c r="F2274" s="14">
        <f>IFERROR(__xludf.DUMMYFUNCTION("""COMPUTED_VALUE"""),11.0)</f>
        <v>11</v>
      </c>
      <c r="G2274" s="14">
        <f>IFERROR(__xludf.DUMMYFUNCTION("""COMPUTED_VALUE"""),30.0)</f>
        <v>30</v>
      </c>
      <c r="H2274" s="14">
        <f>IFERROR(__xludf.DUMMYFUNCTION("""COMPUTED_VALUE"""),2023.0)</f>
        <v>2023</v>
      </c>
      <c r="I2274" s="14" t="str">
        <f>IFERROR(__xludf.DUMMYFUNCTION("""COMPUTED_VALUE"""),"UPI")</f>
        <v>UPI</v>
      </c>
      <c r="J2274" s="14" t="str">
        <f>IFERROR(__xludf.DUMMYFUNCTION("""COMPUTED_VALUE"""),"Delivered*Satisfied with the Delivery: Timely and quality")</f>
        <v>Delivered*Satisfied with the Delivery: Timely and quality</v>
      </c>
      <c r="K2274" s="14" t="str">
        <f>IFERROR(__xludf.DUMMYFUNCTION("split(E2274,""+"")"),"Onion")</f>
        <v>Onion</v>
      </c>
      <c r="L2274" s="14" t="str">
        <f>IFERROR(__xludf.DUMMYFUNCTION("""COMPUTED_VALUE"""),"1*Nithin Lal")</f>
        <v>1*Nithin Lal</v>
      </c>
      <c r="M2274" s="14">
        <f>IFERROR(__xludf.DUMMYFUNCTION("SPLIT(L2274,""*"")"),1.0)</f>
        <v>1</v>
      </c>
      <c r="N2274" s="14" t="str">
        <f>IFERROR(__xludf.DUMMYFUNCTION("""COMPUTED_VALUE"""),"Nithin Lal")</f>
        <v>Nithin Lal</v>
      </c>
      <c r="O2274" s="14" t="str">
        <f>IFERROR(__xludf.DUMMYFUNCTION("split(J2274,""*"")"),"Delivered")</f>
        <v>Delivered</v>
      </c>
      <c r="P2274" s="14" t="str">
        <f>IFERROR(__xludf.DUMMYFUNCTION("""COMPUTED_VALUE"""),"Satisfied with the Delivery: Timely and quality")</f>
        <v>Satisfied with the Delivery: Timely and quality</v>
      </c>
      <c r="Q2274" s="14" t="str">
        <f>IFERROR(__xludf.DUMMYFUNCTION("split(P2274,"":"")"),"Satisfied with the Delivery")</f>
        <v>Satisfied with the Delivery</v>
      </c>
      <c r="R2274" s="14" t="str">
        <f>IFERROR(__xludf.DUMMYFUNCTION("""COMPUTED_VALUE""")," Timely and quality")</f>
        <v> Timely and quality</v>
      </c>
      <c r="S2274" s="14" t="str">
        <f t="shared" ref="S2274:U2274" si="4551">trim(B2274)</f>
        <v>ord_92247</v>
      </c>
      <c r="T2274" s="14" t="str">
        <f t="shared" si="4551"/>
        <v>Diya Arora</v>
      </c>
      <c r="U2274" s="14" t="str">
        <f t="shared" si="4551"/>
        <v>Lower Parel</v>
      </c>
      <c r="V2274" s="14" t="str">
        <f t="shared" si="4"/>
        <v>Onion</v>
      </c>
      <c r="W2274" s="14">
        <f t="shared" si="5"/>
        <v>1</v>
      </c>
      <c r="X2274" s="14" t="str">
        <f t="shared" si="6"/>
        <v>Nithin Lal</v>
      </c>
      <c r="Y2274" s="15">
        <f t="shared" si="7"/>
        <v>45260</v>
      </c>
      <c r="Z2274" s="14" t="str">
        <f t="shared" si="8"/>
        <v>UPI</v>
      </c>
      <c r="AA2274" s="14" t="str">
        <f t="shared" si="9"/>
        <v>Delivered</v>
      </c>
      <c r="AB2274" s="14" t="str">
        <f t="shared" ref="AB2274:AC2274" si="4552">trim(Q2274)</f>
        <v>Satisfied with the Delivery</v>
      </c>
      <c r="AC2274" s="14" t="str">
        <f t="shared" si="4552"/>
        <v>Timely and quality</v>
      </c>
      <c r="AD2274" s="8"/>
    </row>
    <row r="2275">
      <c r="A2275" s="14" t="str">
        <f>IFERROR(__xludf.DUMMYFUNCTION("""COMPUTED_VALUE"""),"//ord_92248//Dev Chauhan//Bandra//Papaya+1*Ram Gopal/11/12/2023//UPI//Delivered*On-time Delivery: Delivered on time")</f>
        <v>//ord_92248//Dev Chauhan//Bandra//Papaya+1*Ram Gopal/11/12/2023//UPI//Delivered*On-time Delivery: Delivered on time</v>
      </c>
      <c r="B2275" s="14" t="str">
        <f>IFERROR(__xludf.DUMMYFUNCTION("split(A2275,""//"")"),"ord_92248")</f>
        <v>ord_92248</v>
      </c>
      <c r="C2275" s="14" t="str">
        <f>IFERROR(__xludf.DUMMYFUNCTION("""COMPUTED_VALUE"""),"Dev Chauhan")</f>
        <v>Dev Chauhan</v>
      </c>
      <c r="D2275" s="14" t="str">
        <f>IFERROR(__xludf.DUMMYFUNCTION("""COMPUTED_VALUE"""),"Bandra")</f>
        <v>Bandra</v>
      </c>
      <c r="E2275" s="14" t="str">
        <f>IFERROR(__xludf.DUMMYFUNCTION("""COMPUTED_VALUE"""),"Papaya+1*Ram Gopal")</f>
        <v>Papaya+1*Ram Gopal</v>
      </c>
      <c r="F2275" s="14">
        <f>IFERROR(__xludf.DUMMYFUNCTION("""COMPUTED_VALUE"""),11.0)</f>
        <v>11</v>
      </c>
      <c r="G2275" s="14">
        <f>IFERROR(__xludf.DUMMYFUNCTION("""COMPUTED_VALUE"""),12.0)</f>
        <v>12</v>
      </c>
      <c r="H2275" s="14">
        <f>IFERROR(__xludf.DUMMYFUNCTION("""COMPUTED_VALUE"""),2023.0)</f>
        <v>2023</v>
      </c>
      <c r="I2275" s="14" t="str">
        <f>IFERROR(__xludf.DUMMYFUNCTION("""COMPUTED_VALUE"""),"UPI")</f>
        <v>UPI</v>
      </c>
      <c r="J2275" s="14" t="str">
        <f>IFERROR(__xludf.DUMMYFUNCTION("""COMPUTED_VALUE"""),"Delivered*On-time Delivery: Delivered on time")</f>
        <v>Delivered*On-time Delivery: Delivered on time</v>
      </c>
      <c r="K2275" s="14" t="str">
        <f>IFERROR(__xludf.DUMMYFUNCTION("split(E2275,""+"")"),"Papaya")</f>
        <v>Papaya</v>
      </c>
      <c r="L2275" s="14" t="str">
        <f>IFERROR(__xludf.DUMMYFUNCTION("""COMPUTED_VALUE"""),"1*Ram Gopal")</f>
        <v>1*Ram Gopal</v>
      </c>
      <c r="M2275" s="14">
        <f>IFERROR(__xludf.DUMMYFUNCTION("SPLIT(L2275,""*"")"),1.0)</f>
        <v>1</v>
      </c>
      <c r="N2275" s="14" t="str">
        <f>IFERROR(__xludf.DUMMYFUNCTION("""COMPUTED_VALUE"""),"Ram Gopal")</f>
        <v>Ram Gopal</v>
      </c>
      <c r="O2275" s="14" t="str">
        <f>IFERROR(__xludf.DUMMYFUNCTION("split(J2275,""*"")"),"Delivered")</f>
        <v>Delivered</v>
      </c>
      <c r="P2275" s="14" t="str">
        <f>IFERROR(__xludf.DUMMYFUNCTION("""COMPUTED_VALUE"""),"On-time Delivery: Delivered on time")</f>
        <v>On-time Delivery: Delivered on time</v>
      </c>
      <c r="Q2275" s="14" t="str">
        <f>IFERROR(__xludf.DUMMYFUNCTION("split(P2275,"":"")"),"On-time Delivery")</f>
        <v>On-time Delivery</v>
      </c>
      <c r="R2275" s="14" t="str">
        <f>IFERROR(__xludf.DUMMYFUNCTION("""COMPUTED_VALUE""")," Delivered on time")</f>
        <v> Delivered on time</v>
      </c>
      <c r="S2275" s="14" t="str">
        <f t="shared" ref="S2275:U2275" si="4553">trim(B2275)</f>
        <v>ord_92248</v>
      </c>
      <c r="T2275" s="14" t="str">
        <f t="shared" si="4553"/>
        <v>Dev Chauhan</v>
      </c>
      <c r="U2275" s="14" t="str">
        <f t="shared" si="4553"/>
        <v>Bandra</v>
      </c>
      <c r="V2275" s="14" t="str">
        <f t="shared" si="4"/>
        <v>Papaya</v>
      </c>
      <c r="W2275" s="14">
        <f t="shared" si="5"/>
        <v>1</v>
      </c>
      <c r="X2275" s="14" t="str">
        <f t="shared" si="6"/>
        <v>Ram Gopal</v>
      </c>
      <c r="Y2275" s="15">
        <f t="shared" si="7"/>
        <v>45242</v>
      </c>
      <c r="Z2275" s="14" t="str">
        <f t="shared" si="8"/>
        <v>UPI</v>
      </c>
      <c r="AA2275" s="14" t="str">
        <f t="shared" si="9"/>
        <v>Delivered</v>
      </c>
      <c r="AB2275" s="14" t="str">
        <f t="shared" ref="AB2275:AC2275" si="4554">trim(Q2275)</f>
        <v>On-time Delivery</v>
      </c>
      <c r="AC2275" s="14" t="str">
        <f t="shared" si="4554"/>
        <v>Delivered on time</v>
      </c>
      <c r="AD2275" s="8"/>
    </row>
    <row r="2276">
      <c r="A2276" s="14" t="str">
        <f>IFERROR(__xludf.DUMMYFUNCTION("""COMPUTED_VALUE"""),"//ord_92249//Aarav Mehta//Andheri//Apple+1*Vivek Kumar/7/20/2023//UPI//Delivered*Quality of Items: Perfect condition")</f>
        <v>//ord_92249//Aarav Mehta//Andheri//Apple+1*Vivek Kumar/7/20/2023//UPI//Delivered*Quality of Items: Perfect condition</v>
      </c>
      <c r="B2276" s="14" t="str">
        <f>IFERROR(__xludf.DUMMYFUNCTION("split(A2276,""//"")"),"ord_92249")</f>
        <v>ord_92249</v>
      </c>
      <c r="C2276" s="14" t="str">
        <f>IFERROR(__xludf.DUMMYFUNCTION("""COMPUTED_VALUE"""),"Aarav Mehta")</f>
        <v>Aarav Mehta</v>
      </c>
      <c r="D2276" s="14" t="str">
        <f>IFERROR(__xludf.DUMMYFUNCTION("""COMPUTED_VALUE"""),"Andheri")</f>
        <v>Andheri</v>
      </c>
      <c r="E2276" s="14" t="str">
        <f>IFERROR(__xludf.DUMMYFUNCTION("""COMPUTED_VALUE"""),"Apple+1*Vivek Kumar")</f>
        <v>Apple+1*Vivek Kumar</v>
      </c>
      <c r="F2276" s="14">
        <f>IFERROR(__xludf.DUMMYFUNCTION("""COMPUTED_VALUE"""),7.0)</f>
        <v>7</v>
      </c>
      <c r="G2276" s="14">
        <f>IFERROR(__xludf.DUMMYFUNCTION("""COMPUTED_VALUE"""),20.0)</f>
        <v>20</v>
      </c>
      <c r="H2276" s="14">
        <f>IFERROR(__xludf.DUMMYFUNCTION("""COMPUTED_VALUE"""),2023.0)</f>
        <v>2023</v>
      </c>
      <c r="I2276" s="14" t="str">
        <f>IFERROR(__xludf.DUMMYFUNCTION("""COMPUTED_VALUE"""),"UPI")</f>
        <v>UPI</v>
      </c>
      <c r="J2276" s="14" t="str">
        <f>IFERROR(__xludf.DUMMYFUNCTION("""COMPUTED_VALUE"""),"Delivered*Quality of Items: Perfect condition")</f>
        <v>Delivered*Quality of Items: Perfect condition</v>
      </c>
      <c r="K2276" s="14" t="str">
        <f>IFERROR(__xludf.DUMMYFUNCTION("split(E2276,""+"")"),"Apple")</f>
        <v>Apple</v>
      </c>
      <c r="L2276" s="14" t="str">
        <f>IFERROR(__xludf.DUMMYFUNCTION("""COMPUTED_VALUE"""),"1*Vivek Kumar")</f>
        <v>1*Vivek Kumar</v>
      </c>
      <c r="M2276" s="14">
        <f>IFERROR(__xludf.DUMMYFUNCTION("SPLIT(L2276,""*"")"),1.0)</f>
        <v>1</v>
      </c>
      <c r="N2276" s="14" t="str">
        <f>IFERROR(__xludf.DUMMYFUNCTION("""COMPUTED_VALUE"""),"Vivek Kumar")</f>
        <v>Vivek Kumar</v>
      </c>
      <c r="O2276" s="14" t="str">
        <f>IFERROR(__xludf.DUMMYFUNCTION("split(J2276,""*"")"),"Delivered")</f>
        <v>Delivered</v>
      </c>
      <c r="P2276" s="14" t="str">
        <f>IFERROR(__xludf.DUMMYFUNCTION("""COMPUTED_VALUE"""),"Quality of Items: Perfect condition")</f>
        <v>Quality of Items: Perfect condition</v>
      </c>
      <c r="Q2276" s="14" t="str">
        <f>IFERROR(__xludf.DUMMYFUNCTION("split(P2276,"":"")"),"Quality of Items")</f>
        <v>Quality of Items</v>
      </c>
      <c r="R2276" s="14" t="str">
        <f>IFERROR(__xludf.DUMMYFUNCTION("""COMPUTED_VALUE""")," Perfect condition")</f>
        <v> Perfect condition</v>
      </c>
      <c r="S2276" s="14" t="str">
        <f t="shared" ref="S2276:U2276" si="4555">trim(B2276)</f>
        <v>ord_92249</v>
      </c>
      <c r="T2276" s="14" t="str">
        <f t="shared" si="4555"/>
        <v>Aarav Mehta</v>
      </c>
      <c r="U2276" s="14" t="str">
        <f t="shared" si="4555"/>
        <v>Andheri</v>
      </c>
      <c r="V2276" s="14" t="str">
        <f t="shared" si="4"/>
        <v>Apple</v>
      </c>
      <c r="W2276" s="14">
        <f t="shared" si="5"/>
        <v>1</v>
      </c>
      <c r="X2276" s="14" t="str">
        <f t="shared" si="6"/>
        <v>Vivek Kumar</v>
      </c>
      <c r="Y2276" s="15">
        <f t="shared" si="7"/>
        <v>45127</v>
      </c>
      <c r="Z2276" s="14" t="str">
        <f t="shared" si="8"/>
        <v>UPI</v>
      </c>
      <c r="AA2276" s="14" t="str">
        <f t="shared" si="9"/>
        <v>Delivered</v>
      </c>
      <c r="AB2276" s="14" t="str">
        <f t="shared" ref="AB2276:AC2276" si="4556">trim(Q2276)</f>
        <v>Quality of Items</v>
      </c>
      <c r="AC2276" s="14" t="str">
        <f t="shared" si="4556"/>
        <v>Perfect condition</v>
      </c>
      <c r="AD2276" s="8"/>
    </row>
    <row r="2277">
      <c r="A2277" s="14" t="str">
        <f>IFERROR(__xludf.DUMMYFUNCTION("""COMPUTED_VALUE"""),"//ord_92250//Dev Chauhan//Bandra//Orange+2*Sita T/9/24/2023//Credit Card//Delivered*Quality of Items: Perfect condition")</f>
        <v>//ord_92250//Dev Chauhan//Bandra//Orange+2*Sita T/9/24/2023//Credit Card//Delivered*Quality of Items: Perfect condition</v>
      </c>
      <c r="B2277" s="14" t="str">
        <f>IFERROR(__xludf.DUMMYFUNCTION("split(A2277,""//"")"),"ord_92250")</f>
        <v>ord_92250</v>
      </c>
      <c r="C2277" s="14" t="str">
        <f>IFERROR(__xludf.DUMMYFUNCTION("""COMPUTED_VALUE"""),"Dev Chauhan")</f>
        <v>Dev Chauhan</v>
      </c>
      <c r="D2277" s="14" t="str">
        <f>IFERROR(__xludf.DUMMYFUNCTION("""COMPUTED_VALUE"""),"Bandra")</f>
        <v>Bandra</v>
      </c>
      <c r="E2277" s="14" t="str">
        <f>IFERROR(__xludf.DUMMYFUNCTION("""COMPUTED_VALUE"""),"Orange+2*Sita T")</f>
        <v>Orange+2*Sita T</v>
      </c>
      <c r="F2277" s="14">
        <f>IFERROR(__xludf.DUMMYFUNCTION("""COMPUTED_VALUE"""),9.0)</f>
        <v>9</v>
      </c>
      <c r="G2277" s="14">
        <f>IFERROR(__xludf.DUMMYFUNCTION("""COMPUTED_VALUE"""),24.0)</f>
        <v>24</v>
      </c>
      <c r="H2277" s="14">
        <f>IFERROR(__xludf.DUMMYFUNCTION("""COMPUTED_VALUE"""),2023.0)</f>
        <v>2023</v>
      </c>
      <c r="I2277" s="14" t="str">
        <f>IFERROR(__xludf.DUMMYFUNCTION("""COMPUTED_VALUE"""),"Credit Card")</f>
        <v>Credit Card</v>
      </c>
      <c r="J2277" s="14" t="str">
        <f>IFERROR(__xludf.DUMMYFUNCTION("""COMPUTED_VALUE"""),"Delivered*Quality of Items: Perfect condition")</f>
        <v>Delivered*Quality of Items: Perfect condition</v>
      </c>
      <c r="K2277" s="14" t="str">
        <f>IFERROR(__xludf.DUMMYFUNCTION("split(E2277,""+"")"),"Orange")</f>
        <v>Orange</v>
      </c>
      <c r="L2277" s="14" t="str">
        <f>IFERROR(__xludf.DUMMYFUNCTION("""COMPUTED_VALUE"""),"2*Sita T")</f>
        <v>2*Sita T</v>
      </c>
      <c r="M2277" s="14">
        <f>IFERROR(__xludf.DUMMYFUNCTION("SPLIT(L2277,""*"")"),2.0)</f>
        <v>2</v>
      </c>
      <c r="N2277" s="14" t="str">
        <f>IFERROR(__xludf.DUMMYFUNCTION("""COMPUTED_VALUE"""),"Sita T")</f>
        <v>Sita T</v>
      </c>
      <c r="O2277" s="14" t="str">
        <f>IFERROR(__xludf.DUMMYFUNCTION("split(J2277,""*"")"),"Delivered")</f>
        <v>Delivered</v>
      </c>
      <c r="P2277" s="14" t="str">
        <f>IFERROR(__xludf.DUMMYFUNCTION("""COMPUTED_VALUE"""),"Quality of Items: Perfect condition")</f>
        <v>Quality of Items: Perfect condition</v>
      </c>
      <c r="Q2277" s="14" t="str">
        <f>IFERROR(__xludf.DUMMYFUNCTION("split(P2277,"":"")"),"Quality of Items")</f>
        <v>Quality of Items</v>
      </c>
      <c r="R2277" s="14" t="str">
        <f>IFERROR(__xludf.DUMMYFUNCTION("""COMPUTED_VALUE""")," Perfect condition")</f>
        <v> Perfect condition</v>
      </c>
      <c r="S2277" s="14" t="str">
        <f t="shared" ref="S2277:U2277" si="4557">trim(B2277)</f>
        <v>ord_92250</v>
      </c>
      <c r="T2277" s="14" t="str">
        <f t="shared" si="4557"/>
        <v>Dev Chauhan</v>
      </c>
      <c r="U2277" s="14" t="str">
        <f t="shared" si="4557"/>
        <v>Bandra</v>
      </c>
      <c r="V2277" s="14" t="str">
        <f t="shared" si="4"/>
        <v>Orange</v>
      </c>
      <c r="W2277" s="14">
        <f t="shared" si="5"/>
        <v>2</v>
      </c>
      <c r="X2277" s="14" t="str">
        <f t="shared" si="6"/>
        <v>Sita T</v>
      </c>
      <c r="Y2277" s="15">
        <f t="shared" si="7"/>
        <v>45193</v>
      </c>
      <c r="Z2277" s="14" t="str">
        <f t="shared" si="8"/>
        <v>Credit Card</v>
      </c>
      <c r="AA2277" s="14" t="str">
        <f t="shared" si="9"/>
        <v>Delivered</v>
      </c>
      <c r="AB2277" s="14" t="str">
        <f t="shared" ref="AB2277:AC2277" si="4558">trim(Q2277)</f>
        <v>Quality of Items</v>
      </c>
      <c r="AC2277" s="14" t="str">
        <f t="shared" si="4558"/>
        <v>Perfect condition</v>
      </c>
      <c r="AD2277" s="8"/>
    </row>
    <row r="2278">
      <c r="A2278" s="14" t="str">
        <f>IFERROR(__xludf.DUMMYFUNCTION("""COMPUTED_VALUE"""),"//ord_92251//Dev Chauhan//Bandra//Cucumber+1*Vivek Kumar/10/4/2023//Online Payment//Delivered*Packaging: Secure and intact")</f>
        <v>//ord_92251//Dev Chauhan//Bandra//Cucumber+1*Vivek Kumar/10/4/2023//Online Payment//Delivered*Packaging: Secure and intact</v>
      </c>
      <c r="B2278" s="14" t="str">
        <f>IFERROR(__xludf.DUMMYFUNCTION("split(A2278,""//"")"),"ord_92251")</f>
        <v>ord_92251</v>
      </c>
      <c r="C2278" s="14" t="str">
        <f>IFERROR(__xludf.DUMMYFUNCTION("""COMPUTED_VALUE"""),"Dev Chauhan")</f>
        <v>Dev Chauhan</v>
      </c>
      <c r="D2278" s="14" t="str">
        <f>IFERROR(__xludf.DUMMYFUNCTION("""COMPUTED_VALUE"""),"Bandra")</f>
        <v>Bandra</v>
      </c>
      <c r="E2278" s="14" t="str">
        <f>IFERROR(__xludf.DUMMYFUNCTION("""COMPUTED_VALUE"""),"Cucumber+1*Vivek Kumar")</f>
        <v>Cucumber+1*Vivek Kumar</v>
      </c>
      <c r="F2278" s="14">
        <f>IFERROR(__xludf.DUMMYFUNCTION("""COMPUTED_VALUE"""),10.0)</f>
        <v>10</v>
      </c>
      <c r="G2278" s="14">
        <f>IFERROR(__xludf.DUMMYFUNCTION("""COMPUTED_VALUE"""),4.0)</f>
        <v>4</v>
      </c>
      <c r="H2278" s="14">
        <f>IFERROR(__xludf.DUMMYFUNCTION("""COMPUTED_VALUE"""),2023.0)</f>
        <v>2023</v>
      </c>
      <c r="I2278" s="14" t="str">
        <f>IFERROR(__xludf.DUMMYFUNCTION("""COMPUTED_VALUE"""),"Online Payment")</f>
        <v>Online Payment</v>
      </c>
      <c r="J2278" s="14" t="str">
        <f>IFERROR(__xludf.DUMMYFUNCTION("""COMPUTED_VALUE"""),"Delivered*Packaging: Secure and intact")</f>
        <v>Delivered*Packaging: Secure and intact</v>
      </c>
      <c r="K2278" s="14" t="str">
        <f>IFERROR(__xludf.DUMMYFUNCTION("split(E2278,""+"")"),"Cucumber")</f>
        <v>Cucumber</v>
      </c>
      <c r="L2278" s="14" t="str">
        <f>IFERROR(__xludf.DUMMYFUNCTION("""COMPUTED_VALUE"""),"1*Vivek Kumar")</f>
        <v>1*Vivek Kumar</v>
      </c>
      <c r="M2278" s="14">
        <f>IFERROR(__xludf.DUMMYFUNCTION("SPLIT(L2278,""*"")"),1.0)</f>
        <v>1</v>
      </c>
      <c r="N2278" s="14" t="str">
        <f>IFERROR(__xludf.DUMMYFUNCTION("""COMPUTED_VALUE"""),"Vivek Kumar")</f>
        <v>Vivek Kumar</v>
      </c>
      <c r="O2278" s="14" t="str">
        <f>IFERROR(__xludf.DUMMYFUNCTION("split(J2278,""*"")"),"Delivered")</f>
        <v>Delivered</v>
      </c>
      <c r="P2278" s="14" t="str">
        <f>IFERROR(__xludf.DUMMYFUNCTION("""COMPUTED_VALUE"""),"Packaging: Secure and intact")</f>
        <v>Packaging: Secure and intact</v>
      </c>
      <c r="Q2278" s="14" t="str">
        <f>IFERROR(__xludf.DUMMYFUNCTION("split(P2278,"":"")"),"Packaging")</f>
        <v>Packaging</v>
      </c>
      <c r="R2278" s="14" t="str">
        <f>IFERROR(__xludf.DUMMYFUNCTION("""COMPUTED_VALUE""")," Secure and intact")</f>
        <v> Secure and intact</v>
      </c>
      <c r="S2278" s="14" t="str">
        <f t="shared" ref="S2278:U2278" si="4559">trim(B2278)</f>
        <v>ord_92251</v>
      </c>
      <c r="T2278" s="14" t="str">
        <f t="shared" si="4559"/>
        <v>Dev Chauhan</v>
      </c>
      <c r="U2278" s="14" t="str">
        <f t="shared" si="4559"/>
        <v>Bandra</v>
      </c>
      <c r="V2278" s="14" t="str">
        <f t="shared" si="4"/>
        <v>Cucumber</v>
      </c>
      <c r="W2278" s="14">
        <f t="shared" si="5"/>
        <v>1</v>
      </c>
      <c r="X2278" s="14" t="str">
        <f t="shared" si="6"/>
        <v>Vivek Kumar</v>
      </c>
      <c r="Y2278" s="15">
        <f t="shared" si="7"/>
        <v>45203</v>
      </c>
      <c r="Z2278" s="14" t="str">
        <f t="shared" si="8"/>
        <v>Online Payment</v>
      </c>
      <c r="AA2278" s="14" t="str">
        <f t="shared" si="9"/>
        <v>Delivered</v>
      </c>
      <c r="AB2278" s="14" t="str">
        <f t="shared" ref="AB2278:AC2278" si="4560">trim(Q2278)</f>
        <v>Packaging</v>
      </c>
      <c r="AC2278" s="14" t="str">
        <f t="shared" si="4560"/>
        <v>Secure and intact</v>
      </c>
      <c r="AD2278" s="8"/>
    </row>
    <row r="2279">
      <c r="A2279" s="14" t="str">
        <f>IFERROR(__xludf.DUMMYFUNCTION("""COMPUTED_VALUE"""),"//ord_92252//Simran Bhatt//Juhu//Orange+2*Vivek Kumar/9/22/2023//Credit Card//Delivered*Satisfied with the Delivery: Timely and quality")</f>
        <v>//ord_92252//Simran Bhatt//Juhu//Orange+2*Vivek Kumar/9/22/2023//Credit Card//Delivered*Satisfied with the Delivery: Timely and quality</v>
      </c>
      <c r="B2279" s="14" t="str">
        <f>IFERROR(__xludf.DUMMYFUNCTION("split(A2279,""//"")"),"ord_92252")</f>
        <v>ord_92252</v>
      </c>
      <c r="C2279" s="14" t="str">
        <f>IFERROR(__xludf.DUMMYFUNCTION("""COMPUTED_VALUE"""),"Simran Bhatt")</f>
        <v>Simran Bhatt</v>
      </c>
      <c r="D2279" s="14" t="str">
        <f>IFERROR(__xludf.DUMMYFUNCTION("""COMPUTED_VALUE"""),"Juhu")</f>
        <v>Juhu</v>
      </c>
      <c r="E2279" s="14" t="str">
        <f>IFERROR(__xludf.DUMMYFUNCTION("""COMPUTED_VALUE"""),"Orange+2*Vivek Kumar")</f>
        <v>Orange+2*Vivek Kumar</v>
      </c>
      <c r="F2279" s="14">
        <f>IFERROR(__xludf.DUMMYFUNCTION("""COMPUTED_VALUE"""),9.0)</f>
        <v>9</v>
      </c>
      <c r="G2279" s="14">
        <f>IFERROR(__xludf.DUMMYFUNCTION("""COMPUTED_VALUE"""),22.0)</f>
        <v>22</v>
      </c>
      <c r="H2279" s="14">
        <f>IFERROR(__xludf.DUMMYFUNCTION("""COMPUTED_VALUE"""),2023.0)</f>
        <v>2023</v>
      </c>
      <c r="I2279" s="14" t="str">
        <f>IFERROR(__xludf.DUMMYFUNCTION("""COMPUTED_VALUE"""),"Credit Card")</f>
        <v>Credit Card</v>
      </c>
      <c r="J2279" s="14" t="str">
        <f>IFERROR(__xludf.DUMMYFUNCTION("""COMPUTED_VALUE"""),"Delivered*Satisfied with the Delivery: Timely and quality")</f>
        <v>Delivered*Satisfied with the Delivery: Timely and quality</v>
      </c>
      <c r="K2279" s="14" t="str">
        <f>IFERROR(__xludf.DUMMYFUNCTION("split(E2279,""+"")"),"Orange")</f>
        <v>Orange</v>
      </c>
      <c r="L2279" s="14" t="str">
        <f>IFERROR(__xludf.DUMMYFUNCTION("""COMPUTED_VALUE"""),"2*Vivek Kumar")</f>
        <v>2*Vivek Kumar</v>
      </c>
      <c r="M2279" s="14">
        <f>IFERROR(__xludf.DUMMYFUNCTION("SPLIT(L2279,""*"")"),2.0)</f>
        <v>2</v>
      </c>
      <c r="N2279" s="14" t="str">
        <f>IFERROR(__xludf.DUMMYFUNCTION("""COMPUTED_VALUE"""),"Vivek Kumar")</f>
        <v>Vivek Kumar</v>
      </c>
      <c r="O2279" s="14" t="str">
        <f>IFERROR(__xludf.DUMMYFUNCTION("split(J2279,""*"")"),"Delivered")</f>
        <v>Delivered</v>
      </c>
      <c r="P2279" s="14" t="str">
        <f>IFERROR(__xludf.DUMMYFUNCTION("""COMPUTED_VALUE"""),"Satisfied with the Delivery: Timely and quality")</f>
        <v>Satisfied with the Delivery: Timely and quality</v>
      </c>
      <c r="Q2279" s="14" t="str">
        <f>IFERROR(__xludf.DUMMYFUNCTION("split(P2279,"":"")"),"Satisfied with the Delivery")</f>
        <v>Satisfied with the Delivery</v>
      </c>
      <c r="R2279" s="14" t="str">
        <f>IFERROR(__xludf.DUMMYFUNCTION("""COMPUTED_VALUE""")," Timely and quality")</f>
        <v> Timely and quality</v>
      </c>
      <c r="S2279" s="14" t="str">
        <f t="shared" ref="S2279:U2279" si="4561">trim(B2279)</f>
        <v>ord_92252</v>
      </c>
      <c r="T2279" s="14" t="str">
        <f t="shared" si="4561"/>
        <v>Simran Bhatt</v>
      </c>
      <c r="U2279" s="14" t="str">
        <f t="shared" si="4561"/>
        <v>Juhu</v>
      </c>
      <c r="V2279" s="14" t="str">
        <f t="shared" si="4"/>
        <v>Orange</v>
      </c>
      <c r="W2279" s="14">
        <f t="shared" si="5"/>
        <v>2</v>
      </c>
      <c r="X2279" s="14" t="str">
        <f t="shared" si="6"/>
        <v>Vivek Kumar</v>
      </c>
      <c r="Y2279" s="15">
        <f t="shared" si="7"/>
        <v>45191</v>
      </c>
      <c r="Z2279" s="14" t="str">
        <f t="shared" si="8"/>
        <v>Credit Card</v>
      </c>
      <c r="AA2279" s="14" t="str">
        <f t="shared" si="9"/>
        <v>Delivered</v>
      </c>
      <c r="AB2279" s="14" t="str">
        <f t="shared" ref="AB2279:AC2279" si="4562">trim(Q2279)</f>
        <v>Satisfied with the Delivery</v>
      </c>
      <c r="AC2279" s="14" t="str">
        <f t="shared" si="4562"/>
        <v>Timely and quality</v>
      </c>
      <c r="AD2279" s="8"/>
    </row>
    <row r="2280">
      <c r="A2280" s="14" t="str">
        <f>IFERROR(__xludf.DUMMYFUNCTION("""COMPUTED_VALUE"""),"//ord_92253//Ishita Banerjee//Juhu//Banana+2*Ramesh S/11/13/2023//UPI//Delivered*Convenience: Easy tracking")</f>
        <v>//ord_92253//Ishita Banerjee//Juhu//Banana+2*Ramesh S/11/13/2023//UPI//Delivered*Convenience: Easy tracking</v>
      </c>
      <c r="B2280" s="14" t="str">
        <f>IFERROR(__xludf.DUMMYFUNCTION("split(A2280,""//"")"),"ord_92253")</f>
        <v>ord_92253</v>
      </c>
      <c r="C2280" s="14" t="str">
        <f>IFERROR(__xludf.DUMMYFUNCTION("""COMPUTED_VALUE"""),"Ishita Banerjee")</f>
        <v>Ishita Banerjee</v>
      </c>
      <c r="D2280" s="14" t="str">
        <f>IFERROR(__xludf.DUMMYFUNCTION("""COMPUTED_VALUE"""),"Juhu")</f>
        <v>Juhu</v>
      </c>
      <c r="E2280" s="14" t="str">
        <f>IFERROR(__xludf.DUMMYFUNCTION("""COMPUTED_VALUE"""),"Banana+2*Ramesh S")</f>
        <v>Banana+2*Ramesh S</v>
      </c>
      <c r="F2280" s="14">
        <f>IFERROR(__xludf.DUMMYFUNCTION("""COMPUTED_VALUE"""),11.0)</f>
        <v>11</v>
      </c>
      <c r="G2280" s="14">
        <f>IFERROR(__xludf.DUMMYFUNCTION("""COMPUTED_VALUE"""),13.0)</f>
        <v>13</v>
      </c>
      <c r="H2280" s="14">
        <f>IFERROR(__xludf.DUMMYFUNCTION("""COMPUTED_VALUE"""),2023.0)</f>
        <v>2023</v>
      </c>
      <c r="I2280" s="14" t="str">
        <f>IFERROR(__xludf.DUMMYFUNCTION("""COMPUTED_VALUE"""),"UPI")</f>
        <v>UPI</v>
      </c>
      <c r="J2280" s="14" t="str">
        <f>IFERROR(__xludf.DUMMYFUNCTION("""COMPUTED_VALUE"""),"Delivered*Convenience: Easy tracking")</f>
        <v>Delivered*Convenience: Easy tracking</v>
      </c>
      <c r="K2280" s="14" t="str">
        <f>IFERROR(__xludf.DUMMYFUNCTION("split(E2280,""+"")"),"Banana")</f>
        <v>Banana</v>
      </c>
      <c r="L2280" s="14" t="str">
        <f>IFERROR(__xludf.DUMMYFUNCTION("""COMPUTED_VALUE"""),"2*Ramesh S")</f>
        <v>2*Ramesh S</v>
      </c>
      <c r="M2280" s="14">
        <f>IFERROR(__xludf.DUMMYFUNCTION("SPLIT(L2280,""*"")"),2.0)</f>
        <v>2</v>
      </c>
      <c r="N2280" s="14" t="str">
        <f>IFERROR(__xludf.DUMMYFUNCTION("""COMPUTED_VALUE"""),"Ramesh S")</f>
        <v>Ramesh S</v>
      </c>
      <c r="O2280" s="14" t="str">
        <f>IFERROR(__xludf.DUMMYFUNCTION("split(J2280,""*"")"),"Delivered")</f>
        <v>Delivered</v>
      </c>
      <c r="P2280" s="14" t="str">
        <f>IFERROR(__xludf.DUMMYFUNCTION("""COMPUTED_VALUE"""),"Convenience: Easy tracking")</f>
        <v>Convenience: Easy tracking</v>
      </c>
      <c r="Q2280" s="14" t="str">
        <f>IFERROR(__xludf.DUMMYFUNCTION("split(P2280,"":"")"),"Convenience")</f>
        <v>Convenience</v>
      </c>
      <c r="R2280" s="14" t="str">
        <f>IFERROR(__xludf.DUMMYFUNCTION("""COMPUTED_VALUE""")," Easy tracking")</f>
        <v> Easy tracking</v>
      </c>
      <c r="S2280" s="14" t="str">
        <f t="shared" ref="S2280:U2280" si="4563">trim(B2280)</f>
        <v>ord_92253</v>
      </c>
      <c r="T2280" s="14" t="str">
        <f t="shared" si="4563"/>
        <v>Ishita Banerjee</v>
      </c>
      <c r="U2280" s="14" t="str">
        <f t="shared" si="4563"/>
        <v>Juhu</v>
      </c>
      <c r="V2280" s="14" t="str">
        <f t="shared" si="4"/>
        <v>Banana</v>
      </c>
      <c r="W2280" s="14">
        <f t="shared" si="5"/>
        <v>2</v>
      </c>
      <c r="X2280" s="14" t="str">
        <f t="shared" si="6"/>
        <v>Ramesh S</v>
      </c>
      <c r="Y2280" s="15">
        <f t="shared" si="7"/>
        <v>45243</v>
      </c>
      <c r="Z2280" s="14" t="str">
        <f t="shared" si="8"/>
        <v>UPI</v>
      </c>
      <c r="AA2280" s="14" t="str">
        <f t="shared" si="9"/>
        <v>Delivered</v>
      </c>
      <c r="AB2280" s="14" t="str">
        <f t="shared" ref="AB2280:AC2280" si="4564">trim(Q2280)</f>
        <v>Convenience</v>
      </c>
      <c r="AC2280" s="14" t="str">
        <f t="shared" si="4564"/>
        <v>Easy tracking</v>
      </c>
      <c r="AD2280" s="8"/>
    </row>
    <row r="2281">
      <c r="A2281" s="14" t="str">
        <f>IFERROR(__xludf.DUMMYFUNCTION("""COMPUTED_VALUE"""),"//ord_92254//Omkar Mishra//Powai//Sweet Corn+2*Ramesh S/7/11/2023//Credit Card//Delivered*Overall Satisfaction: Great service will order again")</f>
        <v>//ord_92254//Omkar Mishra//Powai//Sweet Corn+2*Ramesh S/7/11/2023//Credit Card//Delivered*Overall Satisfaction: Great service will order again</v>
      </c>
      <c r="B2281" s="14" t="str">
        <f>IFERROR(__xludf.DUMMYFUNCTION("split(A2281,""//"")"),"ord_92254")</f>
        <v>ord_92254</v>
      </c>
      <c r="C2281" s="14" t="str">
        <f>IFERROR(__xludf.DUMMYFUNCTION("""COMPUTED_VALUE"""),"Omkar Mishra")</f>
        <v>Omkar Mishra</v>
      </c>
      <c r="D2281" s="14" t="str">
        <f>IFERROR(__xludf.DUMMYFUNCTION("""COMPUTED_VALUE"""),"Powai")</f>
        <v>Powai</v>
      </c>
      <c r="E2281" s="14" t="str">
        <f>IFERROR(__xludf.DUMMYFUNCTION("""COMPUTED_VALUE"""),"Sweet Corn+2*Ramesh S")</f>
        <v>Sweet Corn+2*Ramesh S</v>
      </c>
      <c r="F2281" s="14">
        <f>IFERROR(__xludf.DUMMYFUNCTION("""COMPUTED_VALUE"""),7.0)</f>
        <v>7</v>
      </c>
      <c r="G2281" s="14">
        <f>IFERROR(__xludf.DUMMYFUNCTION("""COMPUTED_VALUE"""),11.0)</f>
        <v>11</v>
      </c>
      <c r="H2281" s="14">
        <f>IFERROR(__xludf.DUMMYFUNCTION("""COMPUTED_VALUE"""),2023.0)</f>
        <v>2023</v>
      </c>
      <c r="I2281" s="14" t="str">
        <f>IFERROR(__xludf.DUMMYFUNCTION("""COMPUTED_VALUE"""),"Credit Card")</f>
        <v>Credit Card</v>
      </c>
      <c r="J2281" s="14" t="str">
        <f>IFERROR(__xludf.DUMMYFUNCTION("""COMPUTED_VALUE"""),"Delivered*Overall Satisfaction: Great service will order again")</f>
        <v>Delivered*Overall Satisfaction: Great service will order again</v>
      </c>
      <c r="K2281" s="14" t="str">
        <f>IFERROR(__xludf.DUMMYFUNCTION("split(E2281,""+"")"),"Sweet Corn")</f>
        <v>Sweet Corn</v>
      </c>
      <c r="L2281" s="14" t="str">
        <f>IFERROR(__xludf.DUMMYFUNCTION("""COMPUTED_VALUE"""),"2*Ramesh S")</f>
        <v>2*Ramesh S</v>
      </c>
      <c r="M2281" s="14">
        <f>IFERROR(__xludf.DUMMYFUNCTION("SPLIT(L2281,""*"")"),2.0)</f>
        <v>2</v>
      </c>
      <c r="N2281" s="14" t="str">
        <f>IFERROR(__xludf.DUMMYFUNCTION("""COMPUTED_VALUE"""),"Ramesh S")</f>
        <v>Ramesh S</v>
      </c>
      <c r="O2281" s="14" t="str">
        <f>IFERROR(__xludf.DUMMYFUNCTION("split(J2281,""*"")"),"Delivered")</f>
        <v>Delivered</v>
      </c>
      <c r="P2281" s="14" t="str">
        <f>IFERROR(__xludf.DUMMYFUNCTION("""COMPUTED_VALUE"""),"Overall Satisfaction: Great service will order again")</f>
        <v>Overall Satisfaction: Great service will order again</v>
      </c>
      <c r="Q2281" s="14" t="str">
        <f>IFERROR(__xludf.DUMMYFUNCTION("split(P2281,"":"")"),"Overall Satisfaction")</f>
        <v>Overall Satisfaction</v>
      </c>
      <c r="R2281" s="14" t="str">
        <f>IFERROR(__xludf.DUMMYFUNCTION("""COMPUTED_VALUE""")," Great service will order again")</f>
        <v> Great service will order again</v>
      </c>
      <c r="S2281" s="14" t="str">
        <f t="shared" ref="S2281:U2281" si="4565">trim(B2281)</f>
        <v>ord_92254</v>
      </c>
      <c r="T2281" s="14" t="str">
        <f t="shared" si="4565"/>
        <v>Omkar Mishra</v>
      </c>
      <c r="U2281" s="14" t="str">
        <f t="shared" si="4565"/>
        <v>Powai</v>
      </c>
      <c r="V2281" s="14" t="str">
        <f t="shared" si="4"/>
        <v>Sweet Corn</v>
      </c>
      <c r="W2281" s="14">
        <f t="shared" si="5"/>
        <v>2</v>
      </c>
      <c r="X2281" s="14" t="str">
        <f t="shared" si="6"/>
        <v>Ramesh S</v>
      </c>
      <c r="Y2281" s="15">
        <f t="shared" si="7"/>
        <v>45118</v>
      </c>
      <c r="Z2281" s="14" t="str">
        <f t="shared" si="8"/>
        <v>Credit Card</v>
      </c>
      <c r="AA2281" s="14" t="str">
        <f t="shared" si="9"/>
        <v>Delivered</v>
      </c>
      <c r="AB2281" s="14" t="str">
        <f t="shared" ref="AB2281:AC2281" si="4566">trim(Q2281)</f>
        <v>Overall Satisfaction</v>
      </c>
      <c r="AC2281" s="14" t="str">
        <f t="shared" si="4566"/>
        <v>Great service will order again</v>
      </c>
      <c r="AD2281" s="8"/>
    </row>
    <row r="2282">
      <c r="A2282" s="14" t="str">
        <f>IFERROR(__xludf.DUMMYFUNCTION("""COMPUTED_VALUE"""),"//ord_92255//Omkar Mishra//Powai//Banana+1*Venu R/9/4/2023//UPI//Delivered*Quality of Items: Perfect condition")</f>
        <v>//ord_92255//Omkar Mishra//Powai//Banana+1*Venu R/9/4/2023//UPI//Delivered*Quality of Items: Perfect condition</v>
      </c>
      <c r="B2282" s="14" t="str">
        <f>IFERROR(__xludf.DUMMYFUNCTION("split(A2282,""//"")"),"ord_92255")</f>
        <v>ord_92255</v>
      </c>
      <c r="C2282" s="14" t="str">
        <f>IFERROR(__xludf.DUMMYFUNCTION("""COMPUTED_VALUE"""),"Omkar Mishra")</f>
        <v>Omkar Mishra</v>
      </c>
      <c r="D2282" s="14" t="str">
        <f>IFERROR(__xludf.DUMMYFUNCTION("""COMPUTED_VALUE"""),"Powai")</f>
        <v>Powai</v>
      </c>
      <c r="E2282" s="14" t="str">
        <f>IFERROR(__xludf.DUMMYFUNCTION("""COMPUTED_VALUE"""),"Banana+1*Venu R")</f>
        <v>Banana+1*Venu R</v>
      </c>
      <c r="F2282" s="14">
        <f>IFERROR(__xludf.DUMMYFUNCTION("""COMPUTED_VALUE"""),9.0)</f>
        <v>9</v>
      </c>
      <c r="G2282" s="14">
        <f>IFERROR(__xludf.DUMMYFUNCTION("""COMPUTED_VALUE"""),4.0)</f>
        <v>4</v>
      </c>
      <c r="H2282" s="14">
        <f>IFERROR(__xludf.DUMMYFUNCTION("""COMPUTED_VALUE"""),2023.0)</f>
        <v>2023</v>
      </c>
      <c r="I2282" s="14" t="str">
        <f>IFERROR(__xludf.DUMMYFUNCTION("""COMPUTED_VALUE"""),"UPI")</f>
        <v>UPI</v>
      </c>
      <c r="J2282" s="14" t="str">
        <f>IFERROR(__xludf.DUMMYFUNCTION("""COMPUTED_VALUE"""),"Delivered*Quality of Items: Perfect condition")</f>
        <v>Delivered*Quality of Items: Perfect condition</v>
      </c>
      <c r="K2282" s="14" t="str">
        <f>IFERROR(__xludf.DUMMYFUNCTION("split(E2282,""+"")"),"Banana")</f>
        <v>Banana</v>
      </c>
      <c r="L2282" s="14" t="str">
        <f>IFERROR(__xludf.DUMMYFUNCTION("""COMPUTED_VALUE"""),"1*Venu R")</f>
        <v>1*Venu R</v>
      </c>
      <c r="M2282" s="14">
        <f>IFERROR(__xludf.DUMMYFUNCTION("SPLIT(L2282,""*"")"),1.0)</f>
        <v>1</v>
      </c>
      <c r="N2282" s="14" t="str">
        <f>IFERROR(__xludf.DUMMYFUNCTION("""COMPUTED_VALUE"""),"Venu R")</f>
        <v>Venu R</v>
      </c>
      <c r="O2282" s="14" t="str">
        <f>IFERROR(__xludf.DUMMYFUNCTION("split(J2282,""*"")"),"Delivered")</f>
        <v>Delivered</v>
      </c>
      <c r="P2282" s="14" t="str">
        <f>IFERROR(__xludf.DUMMYFUNCTION("""COMPUTED_VALUE"""),"Quality of Items: Perfect condition")</f>
        <v>Quality of Items: Perfect condition</v>
      </c>
      <c r="Q2282" s="14" t="str">
        <f>IFERROR(__xludf.DUMMYFUNCTION("split(P2282,"":"")"),"Quality of Items")</f>
        <v>Quality of Items</v>
      </c>
      <c r="R2282" s="14" t="str">
        <f>IFERROR(__xludf.DUMMYFUNCTION("""COMPUTED_VALUE""")," Perfect condition")</f>
        <v> Perfect condition</v>
      </c>
      <c r="S2282" s="14" t="str">
        <f t="shared" ref="S2282:U2282" si="4567">trim(B2282)</f>
        <v>ord_92255</v>
      </c>
      <c r="T2282" s="14" t="str">
        <f t="shared" si="4567"/>
        <v>Omkar Mishra</v>
      </c>
      <c r="U2282" s="14" t="str">
        <f t="shared" si="4567"/>
        <v>Powai</v>
      </c>
      <c r="V2282" s="14" t="str">
        <f t="shared" si="4"/>
        <v>Banana</v>
      </c>
      <c r="W2282" s="14">
        <f t="shared" si="5"/>
        <v>1</v>
      </c>
      <c r="X2282" s="14" t="str">
        <f t="shared" si="6"/>
        <v>Venu R</v>
      </c>
      <c r="Y2282" s="15">
        <f t="shared" si="7"/>
        <v>45173</v>
      </c>
      <c r="Z2282" s="14" t="str">
        <f t="shared" si="8"/>
        <v>UPI</v>
      </c>
      <c r="AA2282" s="14" t="str">
        <f t="shared" si="9"/>
        <v>Delivered</v>
      </c>
      <c r="AB2282" s="14" t="str">
        <f t="shared" ref="AB2282:AC2282" si="4568">trim(Q2282)</f>
        <v>Quality of Items</v>
      </c>
      <c r="AC2282" s="14" t="str">
        <f t="shared" si="4568"/>
        <v>Perfect condition</v>
      </c>
      <c r="AD2282" s="8"/>
    </row>
    <row r="2283">
      <c r="A2283" s="14" t="str">
        <f>IFERROR(__xludf.DUMMYFUNCTION("""COMPUTED_VALUE"""),"//ord_92256//Sanjay Nair//Dadar//Potato+1*Venu R/11/15/2023//UPI//Delivered*Packaging: Secure and intact")</f>
        <v>//ord_92256//Sanjay Nair//Dadar//Potato+1*Venu R/11/15/2023//UPI//Delivered*Packaging: Secure and intact</v>
      </c>
      <c r="B2283" s="14" t="str">
        <f>IFERROR(__xludf.DUMMYFUNCTION("split(A2283,""//"")"),"ord_92256")</f>
        <v>ord_92256</v>
      </c>
      <c r="C2283" s="14" t="str">
        <f>IFERROR(__xludf.DUMMYFUNCTION("""COMPUTED_VALUE"""),"Sanjay Nair")</f>
        <v>Sanjay Nair</v>
      </c>
      <c r="D2283" s="14" t="str">
        <f>IFERROR(__xludf.DUMMYFUNCTION("""COMPUTED_VALUE"""),"Dadar")</f>
        <v>Dadar</v>
      </c>
      <c r="E2283" s="14" t="str">
        <f>IFERROR(__xludf.DUMMYFUNCTION("""COMPUTED_VALUE"""),"Potato+1*Venu R")</f>
        <v>Potato+1*Venu R</v>
      </c>
      <c r="F2283" s="14">
        <f>IFERROR(__xludf.DUMMYFUNCTION("""COMPUTED_VALUE"""),11.0)</f>
        <v>11</v>
      </c>
      <c r="G2283" s="14">
        <f>IFERROR(__xludf.DUMMYFUNCTION("""COMPUTED_VALUE"""),15.0)</f>
        <v>15</v>
      </c>
      <c r="H2283" s="14">
        <f>IFERROR(__xludf.DUMMYFUNCTION("""COMPUTED_VALUE"""),2023.0)</f>
        <v>2023</v>
      </c>
      <c r="I2283" s="14" t="str">
        <f>IFERROR(__xludf.DUMMYFUNCTION("""COMPUTED_VALUE"""),"UPI")</f>
        <v>UPI</v>
      </c>
      <c r="J2283" s="14" t="str">
        <f>IFERROR(__xludf.DUMMYFUNCTION("""COMPUTED_VALUE"""),"Delivered*Packaging: Secure and intact")</f>
        <v>Delivered*Packaging: Secure and intact</v>
      </c>
      <c r="K2283" s="14" t="str">
        <f>IFERROR(__xludf.DUMMYFUNCTION("split(E2283,""+"")"),"Potato")</f>
        <v>Potato</v>
      </c>
      <c r="L2283" s="14" t="str">
        <f>IFERROR(__xludf.DUMMYFUNCTION("""COMPUTED_VALUE"""),"1*Venu R")</f>
        <v>1*Venu R</v>
      </c>
      <c r="M2283" s="14">
        <f>IFERROR(__xludf.DUMMYFUNCTION("SPLIT(L2283,""*"")"),1.0)</f>
        <v>1</v>
      </c>
      <c r="N2283" s="14" t="str">
        <f>IFERROR(__xludf.DUMMYFUNCTION("""COMPUTED_VALUE"""),"Venu R")</f>
        <v>Venu R</v>
      </c>
      <c r="O2283" s="14" t="str">
        <f>IFERROR(__xludf.DUMMYFUNCTION("split(J2283,""*"")"),"Delivered")</f>
        <v>Delivered</v>
      </c>
      <c r="P2283" s="14" t="str">
        <f>IFERROR(__xludf.DUMMYFUNCTION("""COMPUTED_VALUE"""),"Packaging: Secure and intact")</f>
        <v>Packaging: Secure and intact</v>
      </c>
      <c r="Q2283" s="14" t="str">
        <f>IFERROR(__xludf.DUMMYFUNCTION("split(P2283,"":"")"),"Packaging")</f>
        <v>Packaging</v>
      </c>
      <c r="R2283" s="14" t="str">
        <f>IFERROR(__xludf.DUMMYFUNCTION("""COMPUTED_VALUE""")," Secure and intact")</f>
        <v> Secure and intact</v>
      </c>
      <c r="S2283" s="14" t="str">
        <f t="shared" ref="S2283:U2283" si="4569">trim(B2283)</f>
        <v>ord_92256</v>
      </c>
      <c r="T2283" s="14" t="str">
        <f t="shared" si="4569"/>
        <v>Sanjay Nair</v>
      </c>
      <c r="U2283" s="14" t="str">
        <f t="shared" si="4569"/>
        <v>Dadar</v>
      </c>
      <c r="V2283" s="14" t="str">
        <f t="shared" si="4"/>
        <v>Potato</v>
      </c>
      <c r="W2283" s="14">
        <f t="shared" si="5"/>
        <v>1</v>
      </c>
      <c r="X2283" s="14" t="str">
        <f t="shared" si="6"/>
        <v>Venu R</v>
      </c>
      <c r="Y2283" s="15">
        <f t="shared" si="7"/>
        <v>45245</v>
      </c>
      <c r="Z2283" s="14" t="str">
        <f t="shared" si="8"/>
        <v>UPI</v>
      </c>
      <c r="AA2283" s="14" t="str">
        <f t="shared" si="9"/>
        <v>Delivered</v>
      </c>
      <c r="AB2283" s="14" t="str">
        <f t="shared" ref="AB2283:AC2283" si="4570">trim(Q2283)</f>
        <v>Packaging</v>
      </c>
      <c r="AC2283" s="14" t="str">
        <f t="shared" si="4570"/>
        <v>Secure and intact</v>
      </c>
      <c r="AD2283" s="8"/>
    </row>
    <row r="2284">
      <c r="A2284" s="14" t="str">
        <f>IFERROR(__xludf.DUMMYFUNCTION("""COMPUTED_VALUE"""),"//ord_92257//Tanishq Bansal//Powai//Guava+2*Manju Ajay/6/13/2023//UPI//Delivered*Customer Service: Seamless and easy")</f>
        <v>//ord_92257//Tanishq Bansal//Powai//Guava+2*Manju Ajay/6/13/2023//UPI//Delivered*Customer Service: Seamless and easy</v>
      </c>
      <c r="B2284" s="14" t="str">
        <f>IFERROR(__xludf.DUMMYFUNCTION("split(A2284,""//"")"),"ord_92257")</f>
        <v>ord_92257</v>
      </c>
      <c r="C2284" s="14" t="str">
        <f>IFERROR(__xludf.DUMMYFUNCTION("""COMPUTED_VALUE"""),"Tanishq Bansal")</f>
        <v>Tanishq Bansal</v>
      </c>
      <c r="D2284" s="14" t="str">
        <f>IFERROR(__xludf.DUMMYFUNCTION("""COMPUTED_VALUE"""),"Powai")</f>
        <v>Powai</v>
      </c>
      <c r="E2284" s="14" t="str">
        <f>IFERROR(__xludf.DUMMYFUNCTION("""COMPUTED_VALUE"""),"Guava+2*Manju Ajay")</f>
        <v>Guava+2*Manju Ajay</v>
      </c>
      <c r="F2284" s="14">
        <f>IFERROR(__xludf.DUMMYFUNCTION("""COMPUTED_VALUE"""),6.0)</f>
        <v>6</v>
      </c>
      <c r="G2284" s="14">
        <f>IFERROR(__xludf.DUMMYFUNCTION("""COMPUTED_VALUE"""),13.0)</f>
        <v>13</v>
      </c>
      <c r="H2284" s="14">
        <f>IFERROR(__xludf.DUMMYFUNCTION("""COMPUTED_VALUE"""),2023.0)</f>
        <v>2023</v>
      </c>
      <c r="I2284" s="14" t="str">
        <f>IFERROR(__xludf.DUMMYFUNCTION("""COMPUTED_VALUE"""),"UPI")</f>
        <v>UPI</v>
      </c>
      <c r="J2284" s="14" t="str">
        <f>IFERROR(__xludf.DUMMYFUNCTION("""COMPUTED_VALUE"""),"Delivered*Customer Service: Seamless and easy")</f>
        <v>Delivered*Customer Service: Seamless and easy</v>
      </c>
      <c r="K2284" s="14" t="str">
        <f>IFERROR(__xludf.DUMMYFUNCTION("split(E2284,""+"")"),"Guava")</f>
        <v>Guava</v>
      </c>
      <c r="L2284" s="14" t="str">
        <f>IFERROR(__xludf.DUMMYFUNCTION("""COMPUTED_VALUE"""),"2*Manju Ajay")</f>
        <v>2*Manju Ajay</v>
      </c>
      <c r="M2284" s="14">
        <f>IFERROR(__xludf.DUMMYFUNCTION("SPLIT(L2284,""*"")"),2.0)</f>
        <v>2</v>
      </c>
      <c r="N2284" s="14" t="str">
        <f>IFERROR(__xludf.DUMMYFUNCTION("""COMPUTED_VALUE"""),"Manju Ajay")</f>
        <v>Manju Ajay</v>
      </c>
      <c r="O2284" s="14" t="str">
        <f>IFERROR(__xludf.DUMMYFUNCTION("split(J2284,""*"")"),"Delivered")</f>
        <v>Delivered</v>
      </c>
      <c r="P2284" s="14" t="str">
        <f>IFERROR(__xludf.DUMMYFUNCTION("""COMPUTED_VALUE"""),"Customer Service: Seamless and easy")</f>
        <v>Customer Service: Seamless and easy</v>
      </c>
      <c r="Q2284" s="14" t="str">
        <f>IFERROR(__xludf.DUMMYFUNCTION("split(P2284,"":"")"),"Customer Service")</f>
        <v>Customer Service</v>
      </c>
      <c r="R2284" s="14" t="str">
        <f>IFERROR(__xludf.DUMMYFUNCTION("""COMPUTED_VALUE""")," Seamless and easy")</f>
        <v> Seamless and easy</v>
      </c>
      <c r="S2284" s="14" t="str">
        <f t="shared" ref="S2284:U2284" si="4571">trim(B2284)</f>
        <v>ord_92257</v>
      </c>
      <c r="T2284" s="14" t="str">
        <f t="shared" si="4571"/>
        <v>Tanishq Bansal</v>
      </c>
      <c r="U2284" s="14" t="str">
        <f t="shared" si="4571"/>
        <v>Powai</v>
      </c>
      <c r="V2284" s="14" t="str">
        <f t="shared" si="4"/>
        <v>Guava</v>
      </c>
      <c r="W2284" s="14">
        <f t="shared" si="5"/>
        <v>2</v>
      </c>
      <c r="X2284" s="14" t="str">
        <f t="shared" si="6"/>
        <v>Manju Ajay</v>
      </c>
      <c r="Y2284" s="15">
        <f t="shared" si="7"/>
        <v>45090</v>
      </c>
      <c r="Z2284" s="14" t="str">
        <f t="shared" si="8"/>
        <v>UPI</v>
      </c>
      <c r="AA2284" s="14" t="str">
        <f t="shared" si="9"/>
        <v>Delivered</v>
      </c>
      <c r="AB2284" s="14" t="str">
        <f t="shared" ref="AB2284:AC2284" si="4572">trim(Q2284)</f>
        <v>Customer Service</v>
      </c>
      <c r="AC2284" s="14" t="str">
        <f t="shared" si="4572"/>
        <v>Seamless and easy</v>
      </c>
      <c r="AD2284" s="8"/>
    </row>
    <row r="2285">
      <c r="A2285" s="14" t="str">
        <f>IFERROR(__xludf.DUMMYFUNCTION("""COMPUTED_VALUE"""),"//ord_92258//Aditya Basu//Juhu//Tomato+3*Venu R/7/29/2023//Online Payment//Delivered*Convenience: Easy tracking")</f>
        <v>//ord_92258//Aditya Basu//Juhu//Tomato+3*Venu R/7/29/2023//Online Payment//Delivered*Convenience: Easy tracking</v>
      </c>
      <c r="B2285" s="14" t="str">
        <f>IFERROR(__xludf.DUMMYFUNCTION("split(A2285,""//"")"),"ord_92258")</f>
        <v>ord_92258</v>
      </c>
      <c r="C2285" s="14" t="str">
        <f>IFERROR(__xludf.DUMMYFUNCTION("""COMPUTED_VALUE"""),"Aditya Basu")</f>
        <v>Aditya Basu</v>
      </c>
      <c r="D2285" s="14" t="str">
        <f>IFERROR(__xludf.DUMMYFUNCTION("""COMPUTED_VALUE"""),"Juhu")</f>
        <v>Juhu</v>
      </c>
      <c r="E2285" s="14" t="str">
        <f>IFERROR(__xludf.DUMMYFUNCTION("""COMPUTED_VALUE"""),"Tomato+3*Venu R")</f>
        <v>Tomato+3*Venu R</v>
      </c>
      <c r="F2285" s="14">
        <f>IFERROR(__xludf.DUMMYFUNCTION("""COMPUTED_VALUE"""),7.0)</f>
        <v>7</v>
      </c>
      <c r="G2285" s="14">
        <f>IFERROR(__xludf.DUMMYFUNCTION("""COMPUTED_VALUE"""),29.0)</f>
        <v>29</v>
      </c>
      <c r="H2285" s="14">
        <f>IFERROR(__xludf.DUMMYFUNCTION("""COMPUTED_VALUE"""),2023.0)</f>
        <v>2023</v>
      </c>
      <c r="I2285" s="14" t="str">
        <f>IFERROR(__xludf.DUMMYFUNCTION("""COMPUTED_VALUE"""),"Online Payment")</f>
        <v>Online Payment</v>
      </c>
      <c r="J2285" s="14" t="str">
        <f>IFERROR(__xludf.DUMMYFUNCTION("""COMPUTED_VALUE"""),"Delivered*Convenience: Easy tracking")</f>
        <v>Delivered*Convenience: Easy tracking</v>
      </c>
      <c r="K2285" s="14" t="str">
        <f>IFERROR(__xludf.DUMMYFUNCTION("split(E2285,""+"")"),"Tomato")</f>
        <v>Tomato</v>
      </c>
      <c r="L2285" s="14" t="str">
        <f>IFERROR(__xludf.DUMMYFUNCTION("""COMPUTED_VALUE"""),"3*Venu R")</f>
        <v>3*Venu R</v>
      </c>
      <c r="M2285" s="14">
        <f>IFERROR(__xludf.DUMMYFUNCTION("SPLIT(L2285,""*"")"),3.0)</f>
        <v>3</v>
      </c>
      <c r="N2285" s="14" t="str">
        <f>IFERROR(__xludf.DUMMYFUNCTION("""COMPUTED_VALUE"""),"Venu R")</f>
        <v>Venu R</v>
      </c>
      <c r="O2285" s="14" t="str">
        <f>IFERROR(__xludf.DUMMYFUNCTION("split(J2285,""*"")"),"Delivered")</f>
        <v>Delivered</v>
      </c>
      <c r="P2285" s="14" t="str">
        <f>IFERROR(__xludf.DUMMYFUNCTION("""COMPUTED_VALUE"""),"Convenience: Easy tracking")</f>
        <v>Convenience: Easy tracking</v>
      </c>
      <c r="Q2285" s="14" t="str">
        <f>IFERROR(__xludf.DUMMYFUNCTION("split(P2285,"":"")"),"Convenience")</f>
        <v>Convenience</v>
      </c>
      <c r="R2285" s="14" t="str">
        <f>IFERROR(__xludf.DUMMYFUNCTION("""COMPUTED_VALUE""")," Easy tracking")</f>
        <v> Easy tracking</v>
      </c>
      <c r="S2285" s="14" t="str">
        <f t="shared" ref="S2285:U2285" si="4573">trim(B2285)</f>
        <v>ord_92258</v>
      </c>
      <c r="T2285" s="14" t="str">
        <f t="shared" si="4573"/>
        <v>Aditya Basu</v>
      </c>
      <c r="U2285" s="14" t="str">
        <f t="shared" si="4573"/>
        <v>Juhu</v>
      </c>
      <c r="V2285" s="14" t="str">
        <f t="shared" si="4"/>
        <v>Tomato</v>
      </c>
      <c r="W2285" s="14">
        <f t="shared" si="5"/>
        <v>3</v>
      </c>
      <c r="X2285" s="14" t="str">
        <f t="shared" si="6"/>
        <v>Venu R</v>
      </c>
      <c r="Y2285" s="15">
        <f t="shared" si="7"/>
        <v>45136</v>
      </c>
      <c r="Z2285" s="14" t="str">
        <f t="shared" si="8"/>
        <v>Online Payment</v>
      </c>
      <c r="AA2285" s="14" t="str">
        <f t="shared" si="9"/>
        <v>Delivered</v>
      </c>
      <c r="AB2285" s="14" t="str">
        <f t="shared" ref="AB2285:AC2285" si="4574">trim(Q2285)</f>
        <v>Convenience</v>
      </c>
      <c r="AC2285" s="14" t="str">
        <f t="shared" si="4574"/>
        <v>Easy tracking</v>
      </c>
      <c r="AD2285" s="8"/>
    </row>
    <row r="2286">
      <c r="A2286" s="14" t="str">
        <f>IFERROR(__xludf.DUMMYFUNCTION("""COMPUTED_VALUE"""),"//ord_92259//Sakshi Tandon//Colaba//Orange+2*Ramesh S/8/5/2023//UPI//Delivered*Overall Satisfaction: Great service will order again")</f>
        <v>//ord_92259//Sakshi Tandon//Colaba//Orange+2*Ramesh S/8/5/2023//UPI//Delivered*Overall Satisfaction: Great service will order again</v>
      </c>
      <c r="B2286" s="14" t="str">
        <f>IFERROR(__xludf.DUMMYFUNCTION("split(A2286,""//"")"),"ord_92259")</f>
        <v>ord_92259</v>
      </c>
      <c r="C2286" s="14" t="str">
        <f>IFERROR(__xludf.DUMMYFUNCTION("""COMPUTED_VALUE"""),"Sakshi Tandon")</f>
        <v>Sakshi Tandon</v>
      </c>
      <c r="D2286" s="14" t="str">
        <f>IFERROR(__xludf.DUMMYFUNCTION("""COMPUTED_VALUE"""),"Colaba")</f>
        <v>Colaba</v>
      </c>
      <c r="E2286" s="14" t="str">
        <f>IFERROR(__xludf.DUMMYFUNCTION("""COMPUTED_VALUE"""),"Orange+2*Ramesh S")</f>
        <v>Orange+2*Ramesh S</v>
      </c>
      <c r="F2286" s="14">
        <f>IFERROR(__xludf.DUMMYFUNCTION("""COMPUTED_VALUE"""),8.0)</f>
        <v>8</v>
      </c>
      <c r="G2286" s="14">
        <f>IFERROR(__xludf.DUMMYFUNCTION("""COMPUTED_VALUE"""),5.0)</f>
        <v>5</v>
      </c>
      <c r="H2286" s="14">
        <f>IFERROR(__xludf.DUMMYFUNCTION("""COMPUTED_VALUE"""),2023.0)</f>
        <v>2023</v>
      </c>
      <c r="I2286" s="14" t="str">
        <f>IFERROR(__xludf.DUMMYFUNCTION("""COMPUTED_VALUE"""),"UPI")</f>
        <v>UPI</v>
      </c>
      <c r="J2286" s="14" t="str">
        <f>IFERROR(__xludf.DUMMYFUNCTION("""COMPUTED_VALUE"""),"Delivered*Overall Satisfaction: Great service will order again")</f>
        <v>Delivered*Overall Satisfaction: Great service will order again</v>
      </c>
      <c r="K2286" s="14" t="str">
        <f>IFERROR(__xludf.DUMMYFUNCTION("split(E2286,""+"")"),"Orange")</f>
        <v>Orange</v>
      </c>
      <c r="L2286" s="14" t="str">
        <f>IFERROR(__xludf.DUMMYFUNCTION("""COMPUTED_VALUE"""),"2*Ramesh S")</f>
        <v>2*Ramesh S</v>
      </c>
      <c r="M2286" s="14">
        <f>IFERROR(__xludf.DUMMYFUNCTION("SPLIT(L2286,""*"")"),2.0)</f>
        <v>2</v>
      </c>
      <c r="N2286" s="14" t="str">
        <f>IFERROR(__xludf.DUMMYFUNCTION("""COMPUTED_VALUE"""),"Ramesh S")</f>
        <v>Ramesh S</v>
      </c>
      <c r="O2286" s="14" t="str">
        <f>IFERROR(__xludf.DUMMYFUNCTION("split(J2286,""*"")"),"Delivered")</f>
        <v>Delivered</v>
      </c>
      <c r="P2286" s="14" t="str">
        <f>IFERROR(__xludf.DUMMYFUNCTION("""COMPUTED_VALUE"""),"Overall Satisfaction: Great service will order again")</f>
        <v>Overall Satisfaction: Great service will order again</v>
      </c>
      <c r="Q2286" s="14" t="str">
        <f>IFERROR(__xludf.DUMMYFUNCTION("split(P2286,"":"")"),"Overall Satisfaction")</f>
        <v>Overall Satisfaction</v>
      </c>
      <c r="R2286" s="14" t="str">
        <f>IFERROR(__xludf.DUMMYFUNCTION("""COMPUTED_VALUE""")," Great service will order again")</f>
        <v> Great service will order again</v>
      </c>
      <c r="S2286" s="14" t="str">
        <f t="shared" ref="S2286:U2286" si="4575">trim(B2286)</f>
        <v>ord_92259</v>
      </c>
      <c r="T2286" s="14" t="str">
        <f t="shared" si="4575"/>
        <v>Sakshi Tandon</v>
      </c>
      <c r="U2286" s="14" t="str">
        <f t="shared" si="4575"/>
        <v>Colaba</v>
      </c>
      <c r="V2286" s="14" t="str">
        <f t="shared" si="4"/>
        <v>Orange</v>
      </c>
      <c r="W2286" s="14">
        <f t="shared" si="5"/>
        <v>2</v>
      </c>
      <c r="X2286" s="14" t="str">
        <f t="shared" si="6"/>
        <v>Ramesh S</v>
      </c>
      <c r="Y2286" s="15">
        <f t="shared" si="7"/>
        <v>45143</v>
      </c>
      <c r="Z2286" s="14" t="str">
        <f t="shared" si="8"/>
        <v>UPI</v>
      </c>
      <c r="AA2286" s="14" t="str">
        <f t="shared" si="9"/>
        <v>Delivered</v>
      </c>
      <c r="AB2286" s="14" t="str">
        <f t="shared" ref="AB2286:AC2286" si="4576">trim(Q2286)</f>
        <v>Overall Satisfaction</v>
      </c>
      <c r="AC2286" s="14" t="str">
        <f t="shared" si="4576"/>
        <v>Great service will order again</v>
      </c>
      <c r="AD2286" s="8"/>
    </row>
    <row r="2287">
      <c r="A2287" s="14" t="str">
        <f>IFERROR(__xludf.DUMMYFUNCTION("""COMPUTED_VALUE"""),"//ord_92260//Arvind Kulkarni//Juhu//Potato+1*Nithin Lal/7/27/2023//Credit Card//Delivered*Quality of Items: Perfect condition")</f>
        <v>//ord_92260//Arvind Kulkarni//Juhu//Potato+1*Nithin Lal/7/27/2023//Credit Card//Delivered*Quality of Items: Perfect condition</v>
      </c>
      <c r="B2287" s="14" t="str">
        <f>IFERROR(__xludf.DUMMYFUNCTION("split(A2287,""//"")"),"ord_92260")</f>
        <v>ord_92260</v>
      </c>
      <c r="C2287" s="14" t="str">
        <f>IFERROR(__xludf.DUMMYFUNCTION("""COMPUTED_VALUE"""),"Arvind Kulkarni")</f>
        <v>Arvind Kulkarni</v>
      </c>
      <c r="D2287" s="14" t="str">
        <f>IFERROR(__xludf.DUMMYFUNCTION("""COMPUTED_VALUE"""),"Juhu")</f>
        <v>Juhu</v>
      </c>
      <c r="E2287" s="14" t="str">
        <f>IFERROR(__xludf.DUMMYFUNCTION("""COMPUTED_VALUE"""),"Potato+1*Nithin Lal")</f>
        <v>Potato+1*Nithin Lal</v>
      </c>
      <c r="F2287" s="14">
        <f>IFERROR(__xludf.DUMMYFUNCTION("""COMPUTED_VALUE"""),7.0)</f>
        <v>7</v>
      </c>
      <c r="G2287" s="14">
        <f>IFERROR(__xludf.DUMMYFUNCTION("""COMPUTED_VALUE"""),27.0)</f>
        <v>27</v>
      </c>
      <c r="H2287" s="14">
        <f>IFERROR(__xludf.DUMMYFUNCTION("""COMPUTED_VALUE"""),2023.0)</f>
        <v>2023</v>
      </c>
      <c r="I2287" s="14" t="str">
        <f>IFERROR(__xludf.DUMMYFUNCTION("""COMPUTED_VALUE"""),"Credit Card")</f>
        <v>Credit Card</v>
      </c>
      <c r="J2287" s="14" t="str">
        <f>IFERROR(__xludf.DUMMYFUNCTION("""COMPUTED_VALUE"""),"Delivered*Quality of Items: Perfect condition")</f>
        <v>Delivered*Quality of Items: Perfect condition</v>
      </c>
      <c r="K2287" s="14" t="str">
        <f>IFERROR(__xludf.DUMMYFUNCTION("split(E2287,""+"")"),"Potato")</f>
        <v>Potato</v>
      </c>
      <c r="L2287" s="14" t="str">
        <f>IFERROR(__xludf.DUMMYFUNCTION("""COMPUTED_VALUE"""),"1*Nithin Lal")</f>
        <v>1*Nithin Lal</v>
      </c>
      <c r="M2287" s="14">
        <f>IFERROR(__xludf.DUMMYFUNCTION("SPLIT(L2287,""*"")"),1.0)</f>
        <v>1</v>
      </c>
      <c r="N2287" s="14" t="str">
        <f>IFERROR(__xludf.DUMMYFUNCTION("""COMPUTED_VALUE"""),"Nithin Lal")</f>
        <v>Nithin Lal</v>
      </c>
      <c r="O2287" s="14" t="str">
        <f>IFERROR(__xludf.DUMMYFUNCTION("split(J2287,""*"")"),"Delivered")</f>
        <v>Delivered</v>
      </c>
      <c r="P2287" s="14" t="str">
        <f>IFERROR(__xludf.DUMMYFUNCTION("""COMPUTED_VALUE"""),"Quality of Items: Perfect condition")</f>
        <v>Quality of Items: Perfect condition</v>
      </c>
      <c r="Q2287" s="14" t="str">
        <f>IFERROR(__xludf.DUMMYFUNCTION("split(P2287,"":"")"),"Quality of Items")</f>
        <v>Quality of Items</v>
      </c>
      <c r="R2287" s="14" t="str">
        <f>IFERROR(__xludf.DUMMYFUNCTION("""COMPUTED_VALUE""")," Perfect condition")</f>
        <v> Perfect condition</v>
      </c>
      <c r="S2287" s="14" t="str">
        <f t="shared" ref="S2287:U2287" si="4577">trim(B2287)</f>
        <v>ord_92260</v>
      </c>
      <c r="T2287" s="14" t="str">
        <f t="shared" si="4577"/>
        <v>Arvind Kulkarni</v>
      </c>
      <c r="U2287" s="14" t="str">
        <f t="shared" si="4577"/>
        <v>Juhu</v>
      </c>
      <c r="V2287" s="14" t="str">
        <f t="shared" si="4"/>
        <v>Potato</v>
      </c>
      <c r="W2287" s="14">
        <f t="shared" si="5"/>
        <v>1</v>
      </c>
      <c r="X2287" s="14" t="str">
        <f t="shared" si="6"/>
        <v>Nithin Lal</v>
      </c>
      <c r="Y2287" s="15">
        <f t="shared" si="7"/>
        <v>45134</v>
      </c>
      <c r="Z2287" s="14" t="str">
        <f t="shared" si="8"/>
        <v>Credit Card</v>
      </c>
      <c r="AA2287" s="14" t="str">
        <f t="shared" si="9"/>
        <v>Delivered</v>
      </c>
      <c r="AB2287" s="14" t="str">
        <f t="shared" ref="AB2287:AC2287" si="4578">trim(Q2287)</f>
        <v>Quality of Items</v>
      </c>
      <c r="AC2287" s="14" t="str">
        <f t="shared" si="4578"/>
        <v>Perfect condition</v>
      </c>
      <c r="AD2287" s="8"/>
    </row>
    <row r="2288">
      <c r="A2288" s="14" t="str">
        <f>IFERROR(__xludf.DUMMYFUNCTION("""COMPUTED_VALUE"""),"//ord_92261//Diya Arora//Lower Parel//Apple+2*Ramesh S/7/16/2023//UPI//Delivered*On-time Delivery: Delivered on time")</f>
        <v>//ord_92261//Diya Arora//Lower Parel//Apple+2*Ramesh S/7/16/2023//UPI//Delivered*On-time Delivery: Delivered on time</v>
      </c>
      <c r="B2288" s="14" t="str">
        <f>IFERROR(__xludf.DUMMYFUNCTION("split(A2288,""//"")"),"ord_92261")</f>
        <v>ord_92261</v>
      </c>
      <c r="C2288" s="14" t="str">
        <f>IFERROR(__xludf.DUMMYFUNCTION("""COMPUTED_VALUE"""),"Diya Arora")</f>
        <v>Diya Arora</v>
      </c>
      <c r="D2288" s="14" t="str">
        <f>IFERROR(__xludf.DUMMYFUNCTION("""COMPUTED_VALUE"""),"Lower Parel")</f>
        <v>Lower Parel</v>
      </c>
      <c r="E2288" s="14" t="str">
        <f>IFERROR(__xludf.DUMMYFUNCTION("""COMPUTED_VALUE"""),"Apple+2*Ramesh S")</f>
        <v>Apple+2*Ramesh S</v>
      </c>
      <c r="F2288" s="14">
        <f>IFERROR(__xludf.DUMMYFUNCTION("""COMPUTED_VALUE"""),7.0)</f>
        <v>7</v>
      </c>
      <c r="G2288" s="14">
        <f>IFERROR(__xludf.DUMMYFUNCTION("""COMPUTED_VALUE"""),16.0)</f>
        <v>16</v>
      </c>
      <c r="H2288" s="14">
        <f>IFERROR(__xludf.DUMMYFUNCTION("""COMPUTED_VALUE"""),2023.0)</f>
        <v>2023</v>
      </c>
      <c r="I2288" s="14" t="str">
        <f>IFERROR(__xludf.DUMMYFUNCTION("""COMPUTED_VALUE"""),"UPI")</f>
        <v>UPI</v>
      </c>
      <c r="J2288" s="14" t="str">
        <f>IFERROR(__xludf.DUMMYFUNCTION("""COMPUTED_VALUE"""),"Delivered*On-time Delivery: Delivered on time")</f>
        <v>Delivered*On-time Delivery: Delivered on time</v>
      </c>
      <c r="K2288" s="14" t="str">
        <f>IFERROR(__xludf.DUMMYFUNCTION("split(E2288,""+"")"),"Apple")</f>
        <v>Apple</v>
      </c>
      <c r="L2288" s="14" t="str">
        <f>IFERROR(__xludf.DUMMYFUNCTION("""COMPUTED_VALUE"""),"2*Ramesh S")</f>
        <v>2*Ramesh S</v>
      </c>
      <c r="M2288" s="14">
        <f>IFERROR(__xludf.DUMMYFUNCTION("SPLIT(L2288,""*"")"),2.0)</f>
        <v>2</v>
      </c>
      <c r="N2288" s="14" t="str">
        <f>IFERROR(__xludf.DUMMYFUNCTION("""COMPUTED_VALUE"""),"Ramesh S")</f>
        <v>Ramesh S</v>
      </c>
      <c r="O2288" s="14" t="str">
        <f>IFERROR(__xludf.DUMMYFUNCTION("split(J2288,""*"")"),"Delivered")</f>
        <v>Delivered</v>
      </c>
      <c r="P2288" s="14" t="str">
        <f>IFERROR(__xludf.DUMMYFUNCTION("""COMPUTED_VALUE"""),"On-time Delivery: Delivered on time")</f>
        <v>On-time Delivery: Delivered on time</v>
      </c>
      <c r="Q2288" s="14" t="str">
        <f>IFERROR(__xludf.DUMMYFUNCTION("split(P2288,"":"")"),"On-time Delivery")</f>
        <v>On-time Delivery</v>
      </c>
      <c r="R2288" s="14" t="str">
        <f>IFERROR(__xludf.DUMMYFUNCTION("""COMPUTED_VALUE""")," Delivered on time")</f>
        <v> Delivered on time</v>
      </c>
      <c r="S2288" s="14" t="str">
        <f t="shared" ref="S2288:U2288" si="4579">trim(B2288)</f>
        <v>ord_92261</v>
      </c>
      <c r="T2288" s="14" t="str">
        <f t="shared" si="4579"/>
        <v>Diya Arora</v>
      </c>
      <c r="U2288" s="14" t="str">
        <f t="shared" si="4579"/>
        <v>Lower Parel</v>
      </c>
      <c r="V2288" s="14" t="str">
        <f t="shared" si="4"/>
        <v>Apple</v>
      </c>
      <c r="W2288" s="14">
        <f t="shared" si="5"/>
        <v>2</v>
      </c>
      <c r="X2288" s="14" t="str">
        <f t="shared" si="6"/>
        <v>Ramesh S</v>
      </c>
      <c r="Y2288" s="15">
        <f t="shared" si="7"/>
        <v>45123</v>
      </c>
      <c r="Z2288" s="14" t="str">
        <f t="shared" si="8"/>
        <v>UPI</v>
      </c>
      <c r="AA2288" s="14" t="str">
        <f t="shared" si="9"/>
        <v>Delivered</v>
      </c>
      <c r="AB2288" s="14" t="str">
        <f t="shared" ref="AB2288:AC2288" si="4580">trim(Q2288)</f>
        <v>On-time Delivery</v>
      </c>
      <c r="AC2288" s="14" t="str">
        <f t="shared" si="4580"/>
        <v>Delivered on time</v>
      </c>
      <c r="AD2288" s="8"/>
    </row>
    <row r="2289">
      <c r="A2289" s="14" t="str">
        <f>IFERROR(__xludf.DUMMYFUNCTION("""COMPUTED_VALUE"""),"//ord_92262//Simran Bhatt//Juhu//Papaya+2*Ram Gopal/9/17/2023//UPI//Delivered*Quality of Items: Perfect condition")</f>
        <v>//ord_92262//Simran Bhatt//Juhu//Papaya+2*Ram Gopal/9/17/2023//UPI//Delivered*Quality of Items: Perfect condition</v>
      </c>
      <c r="B2289" s="14" t="str">
        <f>IFERROR(__xludf.DUMMYFUNCTION("split(A2289,""//"")"),"ord_92262")</f>
        <v>ord_92262</v>
      </c>
      <c r="C2289" s="14" t="str">
        <f>IFERROR(__xludf.DUMMYFUNCTION("""COMPUTED_VALUE"""),"Simran Bhatt")</f>
        <v>Simran Bhatt</v>
      </c>
      <c r="D2289" s="14" t="str">
        <f>IFERROR(__xludf.DUMMYFUNCTION("""COMPUTED_VALUE"""),"Juhu")</f>
        <v>Juhu</v>
      </c>
      <c r="E2289" s="14" t="str">
        <f>IFERROR(__xludf.DUMMYFUNCTION("""COMPUTED_VALUE"""),"Papaya+2*Ram Gopal")</f>
        <v>Papaya+2*Ram Gopal</v>
      </c>
      <c r="F2289" s="14">
        <f>IFERROR(__xludf.DUMMYFUNCTION("""COMPUTED_VALUE"""),9.0)</f>
        <v>9</v>
      </c>
      <c r="G2289" s="14">
        <f>IFERROR(__xludf.DUMMYFUNCTION("""COMPUTED_VALUE"""),17.0)</f>
        <v>17</v>
      </c>
      <c r="H2289" s="14">
        <f>IFERROR(__xludf.DUMMYFUNCTION("""COMPUTED_VALUE"""),2023.0)</f>
        <v>2023</v>
      </c>
      <c r="I2289" s="14" t="str">
        <f>IFERROR(__xludf.DUMMYFUNCTION("""COMPUTED_VALUE"""),"UPI")</f>
        <v>UPI</v>
      </c>
      <c r="J2289" s="14" t="str">
        <f>IFERROR(__xludf.DUMMYFUNCTION("""COMPUTED_VALUE"""),"Delivered*Quality of Items: Perfect condition")</f>
        <v>Delivered*Quality of Items: Perfect condition</v>
      </c>
      <c r="K2289" s="14" t="str">
        <f>IFERROR(__xludf.DUMMYFUNCTION("split(E2289,""+"")"),"Papaya")</f>
        <v>Papaya</v>
      </c>
      <c r="L2289" s="14" t="str">
        <f>IFERROR(__xludf.DUMMYFUNCTION("""COMPUTED_VALUE"""),"2*Ram Gopal")</f>
        <v>2*Ram Gopal</v>
      </c>
      <c r="M2289" s="14">
        <f>IFERROR(__xludf.DUMMYFUNCTION("SPLIT(L2289,""*"")"),2.0)</f>
        <v>2</v>
      </c>
      <c r="N2289" s="14" t="str">
        <f>IFERROR(__xludf.DUMMYFUNCTION("""COMPUTED_VALUE"""),"Ram Gopal")</f>
        <v>Ram Gopal</v>
      </c>
      <c r="O2289" s="14" t="str">
        <f>IFERROR(__xludf.DUMMYFUNCTION("split(J2289,""*"")"),"Delivered")</f>
        <v>Delivered</v>
      </c>
      <c r="P2289" s="14" t="str">
        <f>IFERROR(__xludf.DUMMYFUNCTION("""COMPUTED_VALUE"""),"Quality of Items: Perfect condition")</f>
        <v>Quality of Items: Perfect condition</v>
      </c>
      <c r="Q2289" s="14" t="str">
        <f>IFERROR(__xludf.DUMMYFUNCTION("split(P2289,"":"")"),"Quality of Items")</f>
        <v>Quality of Items</v>
      </c>
      <c r="R2289" s="14" t="str">
        <f>IFERROR(__xludf.DUMMYFUNCTION("""COMPUTED_VALUE""")," Perfect condition")</f>
        <v> Perfect condition</v>
      </c>
      <c r="S2289" s="14" t="str">
        <f t="shared" ref="S2289:U2289" si="4581">trim(B2289)</f>
        <v>ord_92262</v>
      </c>
      <c r="T2289" s="14" t="str">
        <f t="shared" si="4581"/>
        <v>Simran Bhatt</v>
      </c>
      <c r="U2289" s="14" t="str">
        <f t="shared" si="4581"/>
        <v>Juhu</v>
      </c>
      <c r="V2289" s="14" t="str">
        <f t="shared" si="4"/>
        <v>Papaya</v>
      </c>
      <c r="W2289" s="14">
        <f t="shared" si="5"/>
        <v>2</v>
      </c>
      <c r="X2289" s="14" t="str">
        <f t="shared" si="6"/>
        <v>Ram Gopal</v>
      </c>
      <c r="Y2289" s="15">
        <f t="shared" si="7"/>
        <v>45186</v>
      </c>
      <c r="Z2289" s="14" t="str">
        <f t="shared" si="8"/>
        <v>UPI</v>
      </c>
      <c r="AA2289" s="14" t="str">
        <f t="shared" si="9"/>
        <v>Delivered</v>
      </c>
      <c r="AB2289" s="14" t="str">
        <f t="shared" ref="AB2289:AC2289" si="4582">trim(Q2289)</f>
        <v>Quality of Items</v>
      </c>
      <c r="AC2289" s="14" t="str">
        <f t="shared" si="4582"/>
        <v>Perfect condition</v>
      </c>
      <c r="AD2289" s="8"/>
    </row>
    <row r="2290">
      <c r="A2290" s="14" t="str">
        <f>IFERROR(__xludf.DUMMYFUNCTION("""COMPUTED_VALUE"""),"//ord_92263//Tanishq Bansal//Powai//Guava+1*Ramesh S/6/3/2023//Credit Card//Delivered*Satisfied with the Delivery: Timely and quality")</f>
        <v>//ord_92263//Tanishq Bansal//Powai//Guava+1*Ramesh S/6/3/2023//Credit Card//Delivered*Satisfied with the Delivery: Timely and quality</v>
      </c>
      <c r="B2290" s="14" t="str">
        <f>IFERROR(__xludf.DUMMYFUNCTION("split(A2290,""//"")"),"ord_92263")</f>
        <v>ord_92263</v>
      </c>
      <c r="C2290" s="14" t="str">
        <f>IFERROR(__xludf.DUMMYFUNCTION("""COMPUTED_VALUE"""),"Tanishq Bansal")</f>
        <v>Tanishq Bansal</v>
      </c>
      <c r="D2290" s="14" t="str">
        <f>IFERROR(__xludf.DUMMYFUNCTION("""COMPUTED_VALUE"""),"Powai")</f>
        <v>Powai</v>
      </c>
      <c r="E2290" s="14" t="str">
        <f>IFERROR(__xludf.DUMMYFUNCTION("""COMPUTED_VALUE"""),"Guava+1*Ramesh S")</f>
        <v>Guava+1*Ramesh S</v>
      </c>
      <c r="F2290" s="14">
        <f>IFERROR(__xludf.DUMMYFUNCTION("""COMPUTED_VALUE"""),6.0)</f>
        <v>6</v>
      </c>
      <c r="G2290" s="14">
        <f>IFERROR(__xludf.DUMMYFUNCTION("""COMPUTED_VALUE"""),3.0)</f>
        <v>3</v>
      </c>
      <c r="H2290" s="14">
        <f>IFERROR(__xludf.DUMMYFUNCTION("""COMPUTED_VALUE"""),2023.0)</f>
        <v>2023</v>
      </c>
      <c r="I2290" s="14" t="str">
        <f>IFERROR(__xludf.DUMMYFUNCTION("""COMPUTED_VALUE"""),"Credit Card")</f>
        <v>Credit Card</v>
      </c>
      <c r="J2290" s="14" t="str">
        <f>IFERROR(__xludf.DUMMYFUNCTION("""COMPUTED_VALUE"""),"Delivered*Satisfied with the Delivery: Timely and quality")</f>
        <v>Delivered*Satisfied with the Delivery: Timely and quality</v>
      </c>
      <c r="K2290" s="14" t="str">
        <f>IFERROR(__xludf.DUMMYFUNCTION("split(E2290,""+"")"),"Guava")</f>
        <v>Guava</v>
      </c>
      <c r="L2290" s="14" t="str">
        <f>IFERROR(__xludf.DUMMYFUNCTION("""COMPUTED_VALUE"""),"1*Ramesh S")</f>
        <v>1*Ramesh S</v>
      </c>
      <c r="M2290" s="14">
        <f>IFERROR(__xludf.DUMMYFUNCTION("SPLIT(L2290,""*"")"),1.0)</f>
        <v>1</v>
      </c>
      <c r="N2290" s="14" t="str">
        <f>IFERROR(__xludf.DUMMYFUNCTION("""COMPUTED_VALUE"""),"Ramesh S")</f>
        <v>Ramesh S</v>
      </c>
      <c r="O2290" s="14" t="str">
        <f>IFERROR(__xludf.DUMMYFUNCTION("split(J2290,""*"")"),"Delivered")</f>
        <v>Delivered</v>
      </c>
      <c r="P2290" s="14" t="str">
        <f>IFERROR(__xludf.DUMMYFUNCTION("""COMPUTED_VALUE"""),"Satisfied with the Delivery: Timely and quality")</f>
        <v>Satisfied with the Delivery: Timely and quality</v>
      </c>
      <c r="Q2290" s="14" t="str">
        <f>IFERROR(__xludf.DUMMYFUNCTION("split(P2290,"":"")"),"Satisfied with the Delivery")</f>
        <v>Satisfied with the Delivery</v>
      </c>
      <c r="R2290" s="14" t="str">
        <f>IFERROR(__xludf.DUMMYFUNCTION("""COMPUTED_VALUE""")," Timely and quality")</f>
        <v> Timely and quality</v>
      </c>
      <c r="S2290" s="14" t="str">
        <f t="shared" ref="S2290:U2290" si="4583">trim(B2290)</f>
        <v>ord_92263</v>
      </c>
      <c r="T2290" s="14" t="str">
        <f t="shared" si="4583"/>
        <v>Tanishq Bansal</v>
      </c>
      <c r="U2290" s="14" t="str">
        <f t="shared" si="4583"/>
        <v>Powai</v>
      </c>
      <c r="V2290" s="14" t="str">
        <f t="shared" si="4"/>
        <v>Guava</v>
      </c>
      <c r="W2290" s="14">
        <f t="shared" si="5"/>
        <v>1</v>
      </c>
      <c r="X2290" s="14" t="str">
        <f t="shared" si="6"/>
        <v>Ramesh S</v>
      </c>
      <c r="Y2290" s="15">
        <f t="shared" si="7"/>
        <v>45080</v>
      </c>
      <c r="Z2290" s="14" t="str">
        <f t="shared" si="8"/>
        <v>Credit Card</v>
      </c>
      <c r="AA2290" s="14" t="str">
        <f t="shared" si="9"/>
        <v>Delivered</v>
      </c>
      <c r="AB2290" s="14" t="str">
        <f t="shared" ref="AB2290:AC2290" si="4584">trim(Q2290)</f>
        <v>Satisfied with the Delivery</v>
      </c>
      <c r="AC2290" s="14" t="str">
        <f t="shared" si="4584"/>
        <v>Timely and quality</v>
      </c>
      <c r="AD2290" s="8"/>
    </row>
    <row r="2291">
      <c r="A2291" s="14" t="str">
        <f>IFERROR(__xludf.DUMMYFUNCTION("""COMPUTED_VALUE"""),"//ord_92264//Aditi Iyer//Dadar//Orange+2*Venu R/9/1/2023//Online Payment//Delivered*Customer Service: Seamless and easy")</f>
        <v>//ord_92264//Aditi Iyer//Dadar//Orange+2*Venu R/9/1/2023//Online Payment//Delivered*Customer Service: Seamless and easy</v>
      </c>
      <c r="B2291" s="14" t="str">
        <f>IFERROR(__xludf.DUMMYFUNCTION("split(A2291,""//"")"),"ord_92264")</f>
        <v>ord_92264</v>
      </c>
      <c r="C2291" s="14" t="str">
        <f>IFERROR(__xludf.DUMMYFUNCTION("""COMPUTED_VALUE"""),"Aditi Iyer")</f>
        <v>Aditi Iyer</v>
      </c>
      <c r="D2291" s="14" t="str">
        <f>IFERROR(__xludf.DUMMYFUNCTION("""COMPUTED_VALUE"""),"Dadar")</f>
        <v>Dadar</v>
      </c>
      <c r="E2291" s="14" t="str">
        <f>IFERROR(__xludf.DUMMYFUNCTION("""COMPUTED_VALUE"""),"Orange+2*Venu R")</f>
        <v>Orange+2*Venu R</v>
      </c>
      <c r="F2291" s="14">
        <f>IFERROR(__xludf.DUMMYFUNCTION("""COMPUTED_VALUE"""),9.0)</f>
        <v>9</v>
      </c>
      <c r="G2291" s="14">
        <f>IFERROR(__xludf.DUMMYFUNCTION("""COMPUTED_VALUE"""),1.0)</f>
        <v>1</v>
      </c>
      <c r="H2291" s="14">
        <f>IFERROR(__xludf.DUMMYFUNCTION("""COMPUTED_VALUE"""),2023.0)</f>
        <v>2023</v>
      </c>
      <c r="I2291" s="14" t="str">
        <f>IFERROR(__xludf.DUMMYFUNCTION("""COMPUTED_VALUE"""),"Online Payment")</f>
        <v>Online Payment</v>
      </c>
      <c r="J2291" s="14" t="str">
        <f>IFERROR(__xludf.DUMMYFUNCTION("""COMPUTED_VALUE"""),"Delivered*Customer Service: Seamless and easy")</f>
        <v>Delivered*Customer Service: Seamless and easy</v>
      </c>
      <c r="K2291" s="14" t="str">
        <f>IFERROR(__xludf.DUMMYFUNCTION("split(E2291,""+"")"),"Orange")</f>
        <v>Orange</v>
      </c>
      <c r="L2291" s="14" t="str">
        <f>IFERROR(__xludf.DUMMYFUNCTION("""COMPUTED_VALUE"""),"2*Venu R")</f>
        <v>2*Venu R</v>
      </c>
      <c r="M2291" s="14">
        <f>IFERROR(__xludf.DUMMYFUNCTION("SPLIT(L2291,""*"")"),2.0)</f>
        <v>2</v>
      </c>
      <c r="N2291" s="14" t="str">
        <f>IFERROR(__xludf.DUMMYFUNCTION("""COMPUTED_VALUE"""),"Venu R")</f>
        <v>Venu R</v>
      </c>
      <c r="O2291" s="14" t="str">
        <f>IFERROR(__xludf.DUMMYFUNCTION("split(J2291,""*"")"),"Delivered")</f>
        <v>Delivered</v>
      </c>
      <c r="P2291" s="14" t="str">
        <f>IFERROR(__xludf.DUMMYFUNCTION("""COMPUTED_VALUE"""),"Customer Service: Seamless and easy")</f>
        <v>Customer Service: Seamless and easy</v>
      </c>
      <c r="Q2291" s="14" t="str">
        <f>IFERROR(__xludf.DUMMYFUNCTION("split(P2291,"":"")"),"Customer Service")</f>
        <v>Customer Service</v>
      </c>
      <c r="R2291" s="14" t="str">
        <f>IFERROR(__xludf.DUMMYFUNCTION("""COMPUTED_VALUE""")," Seamless and easy")</f>
        <v> Seamless and easy</v>
      </c>
      <c r="S2291" s="14" t="str">
        <f t="shared" ref="S2291:U2291" si="4585">trim(B2291)</f>
        <v>ord_92264</v>
      </c>
      <c r="T2291" s="14" t="str">
        <f t="shared" si="4585"/>
        <v>Aditi Iyer</v>
      </c>
      <c r="U2291" s="14" t="str">
        <f t="shared" si="4585"/>
        <v>Dadar</v>
      </c>
      <c r="V2291" s="14" t="str">
        <f t="shared" si="4"/>
        <v>Orange</v>
      </c>
      <c r="W2291" s="14">
        <f t="shared" si="5"/>
        <v>2</v>
      </c>
      <c r="X2291" s="14" t="str">
        <f t="shared" si="6"/>
        <v>Venu R</v>
      </c>
      <c r="Y2291" s="15">
        <f t="shared" si="7"/>
        <v>45170</v>
      </c>
      <c r="Z2291" s="14" t="str">
        <f t="shared" si="8"/>
        <v>Online Payment</v>
      </c>
      <c r="AA2291" s="14" t="str">
        <f t="shared" si="9"/>
        <v>Delivered</v>
      </c>
      <c r="AB2291" s="14" t="str">
        <f t="shared" ref="AB2291:AC2291" si="4586">trim(Q2291)</f>
        <v>Customer Service</v>
      </c>
      <c r="AC2291" s="14" t="str">
        <f t="shared" si="4586"/>
        <v>Seamless and easy</v>
      </c>
      <c r="AD2291" s="8"/>
    </row>
    <row r="2292">
      <c r="A2292" s="14" t="str">
        <f>IFERROR(__xludf.DUMMYFUNCTION("""COMPUTED_VALUE"""),"//ord_92265//Diya Arora//Lower Parel//Sweet Corn+2*Manju Ajay/8/16/2023//Online Payment//Delivered*Delivery Experience: Quick and professional")</f>
        <v>//ord_92265//Diya Arora//Lower Parel//Sweet Corn+2*Manju Ajay/8/16/2023//Online Payment//Delivered*Delivery Experience: Quick and professional</v>
      </c>
      <c r="B2292" s="14" t="str">
        <f>IFERROR(__xludf.DUMMYFUNCTION("split(A2292,""//"")"),"ord_92265")</f>
        <v>ord_92265</v>
      </c>
      <c r="C2292" s="14" t="str">
        <f>IFERROR(__xludf.DUMMYFUNCTION("""COMPUTED_VALUE"""),"Diya Arora")</f>
        <v>Diya Arora</v>
      </c>
      <c r="D2292" s="14" t="str">
        <f>IFERROR(__xludf.DUMMYFUNCTION("""COMPUTED_VALUE"""),"Lower Parel")</f>
        <v>Lower Parel</v>
      </c>
      <c r="E2292" s="14" t="str">
        <f>IFERROR(__xludf.DUMMYFUNCTION("""COMPUTED_VALUE"""),"Sweet Corn+2*Manju Ajay")</f>
        <v>Sweet Corn+2*Manju Ajay</v>
      </c>
      <c r="F2292" s="14">
        <f>IFERROR(__xludf.DUMMYFUNCTION("""COMPUTED_VALUE"""),8.0)</f>
        <v>8</v>
      </c>
      <c r="G2292" s="14">
        <f>IFERROR(__xludf.DUMMYFUNCTION("""COMPUTED_VALUE"""),16.0)</f>
        <v>16</v>
      </c>
      <c r="H2292" s="14">
        <f>IFERROR(__xludf.DUMMYFUNCTION("""COMPUTED_VALUE"""),2023.0)</f>
        <v>2023</v>
      </c>
      <c r="I2292" s="14" t="str">
        <f>IFERROR(__xludf.DUMMYFUNCTION("""COMPUTED_VALUE"""),"Online Payment")</f>
        <v>Online Payment</v>
      </c>
      <c r="J2292" s="14" t="str">
        <f>IFERROR(__xludf.DUMMYFUNCTION("""COMPUTED_VALUE"""),"Delivered*Delivery Experience: Quick and professional")</f>
        <v>Delivered*Delivery Experience: Quick and professional</v>
      </c>
      <c r="K2292" s="14" t="str">
        <f>IFERROR(__xludf.DUMMYFUNCTION("split(E2292,""+"")"),"Sweet Corn")</f>
        <v>Sweet Corn</v>
      </c>
      <c r="L2292" s="14" t="str">
        <f>IFERROR(__xludf.DUMMYFUNCTION("""COMPUTED_VALUE"""),"2*Manju Ajay")</f>
        <v>2*Manju Ajay</v>
      </c>
      <c r="M2292" s="14">
        <f>IFERROR(__xludf.DUMMYFUNCTION("SPLIT(L2292,""*"")"),2.0)</f>
        <v>2</v>
      </c>
      <c r="N2292" s="14" t="str">
        <f>IFERROR(__xludf.DUMMYFUNCTION("""COMPUTED_VALUE"""),"Manju Ajay")</f>
        <v>Manju Ajay</v>
      </c>
      <c r="O2292" s="14" t="str">
        <f>IFERROR(__xludf.DUMMYFUNCTION("split(J2292,""*"")"),"Delivered")</f>
        <v>Delivered</v>
      </c>
      <c r="P2292" s="14" t="str">
        <f>IFERROR(__xludf.DUMMYFUNCTION("""COMPUTED_VALUE"""),"Delivery Experience: Quick and professional")</f>
        <v>Delivery Experience: Quick and professional</v>
      </c>
      <c r="Q2292" s="14" t="str">
        <f>IFERROR(__xludf.DUMMYFUNCTION("split(P2292,"":"")"),"Delivery Experience")</f>
        <v>Delivery Experience</v>
      </c>
      <c r="R2292" s="14" t="str">
        <f>IFERROR(__xludf.DUMMYFUNCTION("""COMPUTED_VALUE""")," Quick and professional")</f>
        <v> Quick and professional</v>
      </c>
      <c r="S2292" s="14" t="str">
        <f t="shared" ref="S2292:U2292" si="4587">trim(B2292)</f>
        <v>ord_92265</v>
      </c>
      <c r="T2292" s="14" t="str">
        <f t="shared" si="4587"/>
        <v>Diya Arora</v>
      </c>
      <c r="U2292" s="14" t="str">
        <f t="shared" si="4587"/>
        <v>Lower Parel</v>
      </c>
      <c r="V2292" s="14" t="str">
        <f t="shared" si="4"/>
        <v>Sweet Corn</v>
      </c>
      <c r="W2292" s="14">
        <f t="shared" si="5"/>
        <v>2</v>
      </c>
      <c r="X2292" s="14" t="str">
        <f t="shared" si="6"/>
        <v>Manju Ajay</v>
      </c>
      <c r="Y2292" s="15">
        <f t="shared" si="7"/>
        <v>45154</v>
      </c>
      <c r="Z2292" s="14" t="str">
        <f t="shared" si="8"/>
        <v>Online Payment</v>
      </c>
      <c r="AA2292" s="14" t="str">
        <f t="shared" si="9"/>
        <v>Delivered</v>
      </c>
      <c r="AB2292" s="14" t="str">
        <f t="shared" ref="AB2292:AC2292" si="4588">trim(Q2292)</f>
        <v>Delivery Experience</v>
      </c>
      <c r="AC2292" s="14" t="str">
        <f t="shared" si="4588"/>
        <v>Quick and professional</v>
      </c>
      <c r="AD2292" s="8"/>
    </row>
    <row r="2293">
      <c r="A2293" s="14" t="str">
        <f>IFERROR(__xludf.DUMMYFUNCTION("""COMPUTED_VALUE"""),"//ord_92266//Parth Goel//Juhu//Papaya+1*Ram Gopal/8/15/2023//Online Payment//Delivered*Quality of Items: Perfect condition")</f>
        <v>//ord_92266//Parth Goel//Juhu//Papaya+1*Ram Gopal/8/15/2023//Online Payment//Delivered*Quality of Items: Perfect condition</v>
      </c>
      <c r="B2293" s="14" t="str">
        <f>IFERROR(__xludf.DUMMYFUNCTION("split(A2293,""//"")"),"ord_92266")</f>
        <v>ord_92266</v>
      </c>
      <c r="C2293" s="14" t="str">
        <f>IFERROR(__xludf.DUMMYFUNCTION("""COMPUTED_VALUE"""),"Parth Goel")</f>
        <v>Parth Goel</v>
      </c>
      <c r="D2293" s="14" t="str">
        <f>IFERROR(__xludf.DUMMYFUNCTION("""COMPUTED_VALUE"""),"Juhu")</f>
        <v>Juhu</v>
      </c>
      <c r="E2293" s="14" t="str">
        <f>IFERROR(__xludf.DUMMYFUNCTION("""COMPUTED_VALUE"""),"Papaya+1*Ram Gopal")</f>
        <v>Papaya+1*Ram Gopal</v>
      </c>
      <c r="F2293" s="14">
        <f>IFERROR(__xludf.DUMMYFUNCTION("""COMPUTED_VALUE"""),8.0)</f>
        <v>8</v>
      </c>
      <c r="G2293" s="14">
        <f>IFERROR(__xludf.DUMMYFUNCTION("""COMPUTED_VALUE"""),15.0)</f>
        <v>15</v>
      </c>
      <c r="H2293" s="14">
        <f>IFERROR(__xludf.DUMMYFUNCTION("""COMPUTED_VALUE"""),2023.0)</f>
        <v>2023</v>
      </c>
      <c r="I2293" s="14" t="str">
        <f>IFERROR(__xludf.DUMMYFUNCTION("""COMPUTED_VALUE"""),"Online Payment")</f>
        <v>Online Payment</v>
      </c>
      <c r="J2293" s="14" t="str">
        <f>IFERROR(__xludf.DUMMYFUNCTION("""COMPUTED_VALUE"""),"Delivered*Quality of Items: Perfect condition")</f>
        <v>Delivered*Quality of Items: Perfect condition</v>
      </c>
      <c r="K2293" s="14" t="str">
        <f>IFERROR(__xludf.DUMMYFUNCTION("split(E2293,""+"")"),"Papaya")</f>
        <v>Papaya</v>
      </c>
      <c r="L2293" s="14" t="str">
        <f>IFERROR(__xludf.DUMMYFUNCTION("""COMPUTED_VALUE"""),"1*Ram Gopal")</f>
        <v>1*Ram Gopal</v>
      </c>
      <c r="M2293" s="14">
        <f>IFERROR(__xludf.DUMMYFUNCTION("SPLIT(L2293,""*"")"),1.0)</f>
        <v>1</v>
      </c>
      <c r="N2293" s="14" t="str">
        <f>IFERROR(__xludf.DUMMYFUNCTION("""COMPUTED_VALUE"""),"Ram Gopal")</f>
        <v>Ram Gopal</v>
      </c>
      <c r="O2293" s="14" t="str">
        <f>IFERROR(__xludf.DUMMYFUNCTION("split(J2293,""*"")"),"Delivered")</f>
        <v>Delivered</v>
      </c>
      <c r="P2293" s="14" t="str">
        <f>IFERROR(__xludf.DUMMYFUNCTION("""COMPUTED_VALUE"""),"Quality of Items: Perfect condition")</f>
        <v>Quality of Items: Perfect condition</v>
      </c>
      <c r="Q2293" s="14" t="str">
        <f>IFERROR(__xludf.DUMMYFUNCTION("split(P2293,"":"")"),"Quality of Items")</f>
        <v>Quality of Items</v>
      </c>
      <c r="R2293" s="14" t="str">
        <f>IFERROR(__xludf.DUMMYFUNCTION("""COMPUTED_VALUE""")," Perfect condition")</f>
        <v> Perfect condition</v>
      </c>
      <c r="S2293" s="14" t="str">
        <f t="shared" ref="S2293:U2293" si="4589">trim(B2293)</f>
        <v>ord_92266</v>
      </c>
      <c r="T2293" s="14" t="str">
        <f t="shared" si="4589"/>
        <v>Parth Goel</v>
      </c>
      <c r="U2293" s="14" t="str">
        <f t="shared" si="4589"/>
        <v>Juhu</v>
      </c>
      <c r="V2293" s="14" t="str">
        <f t="shared" si="4"/>
        <v>Papaya</v>
      </c>
      <c r="W2293" s="14">
        <f t="shared" si="5"/>
        <v>1</v>
      </c>
      <c r="X2293" s="14" t="str">
        <f t="shared" si="6"/>
        <v>Ram Gopal</v>
      </c>
      <c r="Y2293" s="15">
        <f t="shared" si="7"/>
        <v>45153</v>
      </c>
      <c r="Z2293" s="14" t="str">
        <f t="shared" si="8"/>
        <v>Online Payment</v>
      </c>
      <c r="AA2293" s="14" t="str">
        <f t="shared" si="9"/>
        <v>Delivered</v>
      </c>
      <c r="AB2293" s="14" t="str">
        <f t="shared" ref="AB2293:AC2293" si="4590">trim(Q2293)</f>
        <v>Quality of Items</v>
      </c>
      <c r="AC2293" s="14" t="str">
        <f t="shared" si="4590"/>
        <v>Perfect condition</v>
      </c>
      <c r="AD2293" s="8"/>
    </row>
    <row r="2294">
      <c r="A2294" s="14" t="str">
        <f>IFERROR(__xludf.DUMMYFUNCTION("""COMPUTED_VALUE"""),"//ord_92267//Pranav Joshi//Andheri//Apple+2*Ramesh S/11/30/2023//Online Payment//Delivered*On-time Delivery: Delivered on time")</f>
        <v>//ord_92267//Pranav Joshi//Andheri//Apple+2*Ramesh S/11/30/2023//Online Payment//Delivered*On-time Delivery: Delivered on time</v>
      </c>
      <c r="B2294" s="14" t="str">
        <f>IFERROR(__xludf.DUMMYFUNCTION("split(A2294,""//"")"),"ord_92267")</f>
        <v>ord_92267</v>
      </c>
      <c r="C2294" s="14" t="str">
        <f>IFERROR(__xludf.DUMMYFUNCTION("""COMPUTED_VALUE"""),"Pranav Joshi")</f>
        <v>Pranav Joshi</v>
      </c>
      <c r="D2294" s="14" t="str">
        <f>IFERROR(__xludf.DUMMYFUNCTION("""COMPUTED_VALUE"""),"Andheri")</f>
        <v>Andheri</v>
      </c>
      <c r="E2294" s="14" t="str">
        <f>IFERROR(__xludf.DUMMYFUNCTION("""COMPUTED_VALUE"""),"Apple+2*Ramesh S")</f>
        <v>Apple+2*Ramesh S</v>
      </c>
      <c r="F2294" s="14">
        <f>IFERROR(__xludf.DUMMYFUNCTION("""COMPUTED_VALUE"""),11.0)</f>
        <v>11</v>
      </c>
      <c r="G2294" s="14">
        <f>IFERROR(__xludf.DUMMYFUNCTION("""COMPUTED_VALUE"""),30.0)</f>
        <v>30</v>
      </c>
      <c r="H2294" s="14">
        <f>IFERROR(__xludf.DUMMYFUNCTION("""COMPUTED_VALUE"""),2023.0)</f>
        <v>2023</v>
      </c>
      <c r="I2294" s="14" t="str">
        <f>IFERROR(__xludf.DUMMYFUNCTION("""COMPUTED_VALUE"""),"Online Payment")</f>
        <v>Online Payment</v>
      </c>
      <c r="J2294" s="14" t="str">
        <f>IFERROR(__xludf.DUMMYFUNCTION("""COMPUTED_VALUE"""),"Delivered*On-time Delivery: Delivered on time")</f>
        <v>Delivered*On-time Delivery: Delivered on time</v>
      </c>
      <c r="K2294" s="14" t="str">
        <f>IFERROR(__xludf.DUMMYFUNCTION("split(E2294,""+"")"),"Apple")</f>
        <v>Apple</v>
      </c>
      <c r="L2294" s="14" t="str">
        <f>IFERROR(__xludf.DUMMYFUNCTION("""COMPUTED_VALUE"""),"2*Ramesh S")</f>
        <v>2*Ramesh S</v>
      </c>
      <c r="M2294" s="14">
        <f>IFERROR(__xludf.DUMMYFUNCTION("SPLIT(L2294,""*"")"),2.0)</f>
        <v>2</v>
      </c>
      <c r="N2294" s="14" t="str">
        <f>IFERROR(__xludf.DUMMYFUNCTION("""COMPUTED_VALUE"""),"Ramesh S")</f>
        <v>Ramesh S</v>
      </c>
      <c r="O2294" s="14" t="str">
        <f>IFERROR(__xludf.DUMMYFUNCTION("split(J2294,""*"")"),"Delivered")</f>
        <v>Delivered</v>
      </c>
      <c r="P2294" s="14" t="str">
        <f>IFERROR(__xludf.DUMMYFUNCTION("""COMPUTED_VALUE"""),"On-time Delivery: Delivered on time")</f>
        <v>On-time Delivery: Delivered on time</v>
      </c>
      <c r="Q2294" s="14" t="str">
        <f>IFERROR(__xludf.DUMMYFUNCTION("split(P2294,"":"")"),"On-time Delivery")</f>
        <v>On-time Delivery</v>
      </c>
      <c r="R2294" s="14" t="str">
        <f>IFERROR(__xludf.DUMMYFUNCTION("""COMPUTED_VALUE""")," Delivered on time")</f>
        <v> Delivered on time</v>
      </c>
      <c r="S2294" s="14" t="str">
        <f t="shared" ref="S2294:U2294" si="4591">trim(B2294)</f>
        <v>ord_92267</v>
      </c>
      <c r="T2294" s="14" t="str">
        <f t="shared" si="4591"/>
        <v>Pranav Joshi</v>
      </c>
      <c r="U2294" s="14" t="str">
        <f t="shared" si="4591"/>
        <v>Andheri</v>
      </c>
      <c r="V2294" s="14" t="str">
        <f t="shared" si="4"/>
        <v>Apple</v>
      </c>
      <c r="W2294" s="14">
        <f t="shared" si="5"/>
        <v>2</v>
      </c>
      <c r="X2294" s="14" t="str">
        <f t="shared" si="6"/>
        <v>Ramesh S</v>
      </c>
      <c r="Y2294" s="15">
        <f t="shared" si="7"/>
        <v>45260</v>
      </c>
      <c r="Z2294" s="14" t="str">
        <f t="shared" si="8"/>
        <v>Online Payment</v>
      </c>
      <c r="AA2294" s="14" t="str">
        <f t="shared" si="9"/>
        <v>Delivered</v>
      </c>
      <c r="AB2294" s="14" t="str">
        <f t="shared" ref="AB2294:AC2294" si="4592">trim(Q2294)</f>
        <v>On-time Delivery</v>
      </c>
      <c r="AC2294" s="14" t="str">
        <f t="shared" si="4592"/>
        <v>Delivered on time</v>
      </c>
      <c r="AD2294" s="8"/>
    </row>
    <row r="2295">
      <c r="A2295" s="14" t="str">
        <f>IFERROR(__xludf.DUMMYFUNCTION("""COMPUTED_VALUE"""),"//ord_92268//Aarohi Kapoor//Bandra//Guava+2*Sita T/12/19/2023//UPI//Delivered*Quality of Items: Perfect condition")</f>
        <v>//ord_92268//Aarohi Kapoor//Bandra//Guava+2*Sita T/12/19/2023//UPI//Delivered*Quality of Items: Perfect condition</v>
      </c>
      <c r="B2295" s="14" t="str">
        <f>IFERROR(__xludf.DUMMYFUNCTION("split(A2295,""//"")"),"ord_92268")</f>
        <v>ord_92268</v>
      </c>
      <c r="C2295" s="14" t="str">
        <f>IFERROR(__xludf.DUMMYFUNCTION("""COMPUTED_VALUE"""),"Aarohi Kapoor")</f>
        <v>Aarohi Kapoor</v>
      </c>
      <c r="D2295" s="14" t="str">
        <f>IFERROR(__xludf.DUMMYFUNCTION("""COMPUTED_VALUE"""),"Bandra")</f>
        <v>Bandra</v>
      </c>
      <c r="E2295" s="14" t="str">
        <f>IFERROR(__xludf.DUMMYFUNCTION("""COMPUTED_VALUE"""),"Guava+2*Sita T")</f>
        <v>Guava+2*Sita T</v>
      </c>
      <c r="F2295" s="14">
        <f>IFERROR(__xludf.DUMMYFUNCTION("""COMPUTED_VALUE"""),12.0)</f>
        <v>12</v>
      </c>
      <c r="G2295" s="14">
        <f>IFERROR(__xludf.DUMMYFUNCTION("""COMPUTED_VALUE"""),19.0)</f>
        <v>19</v>
      </c>
      <c r="H2295" s="14">
        <f>IFERROR(__xludf.DUMMYFUNCTION("""COMPUTED_VALUE"""),2023.0)</f>
        <v>2023</v>
      </c>
      <c r="I2295" s="14" t="str">
        <f>IFERROR(__xludf.DUMMYFUNCTION("""COMPUTED_VALUE"""),"UPI")</f>
        <v>UPI</v>
      </c>
      <c r="J2295" s="14" t="str">
        <f>IFERROR(__xludf.DUMMYFUNCTION("""COMPUTED_VALUE"""),"Delivered*Quality of Items: Perfect condition")</f>
        <v>Delivered*Quality of Items: Perfect condition</v>
      </c>
      <c r="K2295" s="14" t="str">
        <f>IFERROR(__xludf.DUMMYFUNCTION("split(E2295,""+"")"),"Guava")</f>
        <v>Guava</v>
      </c>
      <c r="L2295" s="14" t="str">
        <f>IFERROR(__xludf.DUMMYFUNCTION("""COMPUTED_VALUE"""),"2*Sita T")</f>
        <v>2*Sita T</v>
      </c>
      <c r="M2295" s="14">
        <f>IFERROR(__xludf.DUMMYFUNCTION("SPLIT(L2295,""*"")"),2.0)</f>
        <v>2</v>
      </c>
      <c r="N2295" s="14" t="str">
        <f>IFERROR(__xludf.DUMMYFUNCTION("""COMPUTED_VALUE"""),"Sita T")</f>
        <v>Sita T</v>
      </c>
      <c r="O2295" s="14" t="str">
        <f>IFERROR(__xludf.DUMMYFUNCTION("split(J2295,""*"")"),"Delivered")</f>
        <v>Delivered</v>
      </c>
      <c r="P2295" s="14" t="str">
        <f>IFERROR(__xludf.DUMMYFUNCTION("""COMPUTED_VALUE"""),"Quality of Items: Perfect condition")</f>
        <v>Quality of Items: Perfect condition</v>
      </c>
      <c r="Q2295" s="14" t="str">
        <f>IFERROR(__xludf.DUMMYFUNCTION("split(P2295,"":"")"),"Quality of Items")</f>
        <v>Quality of Items</v>
      </c>
      <c r="R2295" s="14" t="str">
        <f>IFERROR(__xludf.DUMMYFUNCTION("""COMPUTED_VALUE""")," Perfect condition")</f>
        <v> Perfect condition</v>
      </c>
      <c r="S2295" s="14" t="str">
        <f t="shared" ref="S2295:U2295" si="4593">trim(B2295)</f>
        <v>ord_92268</v>
      </c>
      <c r="T2295" s="14" t="str">
        <f t="shared" si="4593"/>
        <v>Aarohi Kapoor</v>
      </c>
      <c r="U2295" s="14" t="str">
        <f t="shared" si="4593"/>
        <v>Bandra</v>
      </c>
      <c r="V2295" s="14" t="str">
        <f t="shared" si="4"/>
        <v>Guava</v>
      </c>
      <c r="W2295" s="14">
        <f t="shared" si="5"/>
        <v>2</v>
      </c>
      <c r="X2295" s="14" t="str">
        <f t="shared" si="6"/>
        <v>Sita T</v>
      </c>
      <c r="Y2295" s="15">
        <f t="shared" si="7"/>
        <v>45279</v>
      </c>
      <c r="Z2295" s="14" t="str">
        <f t="shared" si="8"/>
        <v>UPI</v>
      </c>
      <c r="AA2295" s="14" t="str">
        <f t="shared" si="9"/>
        <v>Delivered</v>
      </c>
      <c r="AB2295" s="14" t="str">
        <f t="shared" ref="AB2295:AC2295" si="4594">trim(Q2295)</f>
        <v>Quality of Items</v>
      </c>
      <c r="AC2295" s="14" t="str">
        <f t="shared" si="4594"/>
        <v>Perfect condition</v>
      </c>
      <c r="AD2295" s="8"/>
    </row>
    <row r="2296">
      <c r="A2296" s="14" t="str">
        <f>IFERROR(__xludf.DUMMYFUNCTION("""COMPUTED_VALUE"""),"//ord_92269//Parth Goel//Juhu//Banana+1*Vivek Kumar/8/2/2023//Online Payment//Delivered*Packaging: Secure and intact")</f>
        <v>//ord_92269//Parth Goel//Juhu//Banana+1*Vivek Kumar/8/2/2023//Online Payment//Delivered*Packaging: Secure and intact</v>
      </c>
      <c r="B2296" s="14" t="str">
        <f>IFERROR(__xludf.DUMMYFUNCTION("split(A2296,""//"")"),"ord_92269")</f>
        <v>ord_92269</v>
      </c>
      <c r="C2296" s="14" t="str">
        <f>IFERROR(__xludf.DUMMYFUNCTION("""COMPUTED_VALUE"""),"Parth Goel")</f>
        <v>Parth Goel</v>
      </c>
      <c r="D2296" s="14" t="str">
        <f>IFERROR(__xludf.DUMMYFUNCTION("""COMPUTED_VALUE"""),"Juhu")</f>
        <v>Juhu</v>
      </c>
      <c r="E2296" s="14" t="str">
        <f>IFERROR(__xludf.DUMMYFUNCTION("""COMPUTED_VALUE"""),"Banana+1*Vivek Kumar")</f>
        <v>Banana+1*Vivek Kumar</v>
      </c>
      <c r="F2296" s="14">
        <f>IFERROR(__xludf.DUMMYFUNCTION("""COMPUTED_VALUE"""),8.0)</f>
        <v>8</v>
      </c>
      <c r="G2296" s="14">
        <f>IFERROR(__xludf.DUMMYFUNCTION("""COMPUTED_VALUE"""),2.0)</f>
        <v>2</v>
      </c>
      <c r="H2296" s="14">
        <f>IFERROR(__xludf.DUMMYFUNCTION("""COMPUTED_VALUE"""),2023.0)</f>
        <v>2023</v>
      </c>
      <c r="I2296" s="14" t="str">
        <f>IFERROR(__xludf.DUMMYFUNCTION("""COMPUTED_VALUE"""),"Online Payment")</f>
        <v>Online Payment</v>
      </c>
      <c r="J2296" s="14" t="str">
        <f>IFERROR(__xludf.DUMMYFUNCTION("""COMPUTED_VALUE"""),"Delivered*Packaging: Secure and intact")</f>
        <v>Delivered*Packaging: Secure and intact</v>
      </c>
      <c r="K2296" s="14" t="str">
        <f>IFERROR(__xludf.DUMMYFUNCTION("split(E2296,""+"")"),"Banana")</f>
        <v>Banana</v>
      </c>
      <c r="L2296" s="14" t="str">
        <f>IFERROR(__xludf.DUMMYFUNCTION("""COMPUTED_VALUE"""),"1*Vivek Kumar")</f>
        <v>1*Vivek Kumar</v>
      </c>
      <c r="M2296" s="14">
        <f>IFERROR(__xludf.DUMMYFUNCTION("SPLIT(L2296,""*"")"),1.0)</f>
        <v>1</v>
      </c>
      <c r="N2296" s="14" t="str">
        <f>IFERROR(__xludf.DUMMYFUNCTION("""COMPUTED_VALUE"""),"Vivek Kumar")</f>
        <v>Vivek Kumar</v>
      </c>
      <c r="O2296" s="14" t="str">
        <f>IFERROR(__xludf.DUMMYFUNCTION("split(J2296,""*"")"),"Delivered")</f>
        <v>Delivered</v>
      </c>
      <c r="P2296" s="14" t="str">
        <f>IFERROR(__xludf.DUMMYFUNCTION("""COMPUTED_VALUE"""),"Packaging: Secure and intact")</f>
        <v>Packaging: Secure and intact</v>
      </c>
      <c r="Q2296" s="14" t="str">
        <f>IFERROR(__xludf.DUMMYFUNCTION("split(P2296,"":"")"),"Packaging")</f>
        <v>Packaging</v>
      </c>
      <c r="R2296" s="14" t="str">
        <f>IFERROR(__xludf.DUMMYFUNCTION("""COMPUTED_VALUE""")," Secure and intact")</f>
        <v> Secure and intact</v>
      </c>
      <c r="S2296" s="14" t="str">
        <f t="shared" ref="S2296:U2296" si="4595">trim(B2296)</f>
        <v>ord_92269</v>
      </c>
      <c r="T2296" s="14" t="str">
        <f t="shared" si="4595"/>
        <v>Parth Goel</v>
      </c>
      <c r="U2296" s="14" t="str">
        <f t="shared" si="4595"/>
        <v>Juhu</v>
      </c>
      <c r="V2296" s="14" t="str">
        <f t="shared" si="4"/>
        <v>Banana</v>
      </c>
      <c r="W2296" s="14">
        <f t="shared" si="5"/>
        <v>1</v>
      </c>
      <c r="X2296" s="14" t="str">
        <f t="shared" si="6"/>
        <v>Vivek Kumar</v>
      </c>
      <c r="Y2296" s="15">
        <f t="shared" si="7"/>
        <v>45140</v>
      </c>
      <c r="Z2296" s="14" t="str">
        <f t="shared" si="8"/>
        <v>Online Payment</v>
      </c>
      <c r="AA2296" s="14" t="str">
        <f t="shared" si="9"/>
        <v>Delivered</v>
      </c>
      <c r="AB2296" s="14" t="str">
        <f t="shared" ref="AB2296:AC2296" si="4596">trim(Q2296)</f>
        <v>Packaging</v>
      </c>
      <c r="AC2296" s="14" t="str">
        <f t="shared" si="4596"/>
        <v>Secure and intact</v>
      </c>
      <c r="AD2296" s="8"/>
    </row>
    <row r="2297">
      <c r="A2297" s="14" t="str">
        <f>IFERROR(__xludf.DUMMYFUNCTION("""COMPUTED_VALUE"""),"//ord_92270//Sanjay Nair//Dadar//Potato+2*Ramesh S/10/18/2023//UPI//Delivered*Customer Service: Seamless and easy")</f>
        <v>//ord_92270//Sanjay Nair//Dadar//Potato+2*Ramesh S/10/18/2023//UPI//Delivered*Customer Service: Seamless and easy</v>
      </c>
      <c r="B2297" s="14" t="str">
        <f>IFERROR(__xludf.DUMMYFUNCTION("split(A2297,""//"")"),"ord_92270")</f>
        <v>ord_92270</v>
      </c>
      <c r="C2297" s="14" t="str">
        <f>IFERROR(__xludf.DUMMYFUNCTION("""COMPUTED_VALUE"""),"Sanjay Nair")</f>
        <v>Sanjay Nair</v>
      </c>
      <c r="D2297" s="14" t="str">
        <f>IFERROR(__xludf.DUMMYFUNCTION("""COMPUTED_VALUE"""),"Dadar")</f>
        <v>Dadar</v>
      </c>
      <c r="E2297" s="14" t="str">
        <f>IFERROR(__xludf.DUMMYFUNCTION("""COMPUTED_VALUE"""),"Potato+2*Ramesh S")</f>
        <v>Potato+2*Ramesh S</v>
      </c>
      <c r="F2297" s="14">
        <f>IFERROR(__xludf.DUMMYFUNCTION("""COMPUTED_VALUE"""),10.0)</f>
        <v>10</v>
      </c>
      <c r="G2297" s="14">
        <f>IFERROR(__xludf.DUMMYFUNCTION("""COMPUTED_VALUE"""),18.0)</f>
        <v>18</v>
      </c>
      <c r="H2297" s="14">
        <f>IFERROR(__xludf.DUMMYFUNCTION("""COMPUTED_VALUE"""),2023.0)</f>
        <v>2023</v>
      </c>
      <c r="I2297" s="14" t="str">
        <f>IFERROR(__xludf.DUMMYFUNCTION("""COMPUTED_VALUE"""),"UPI")</f>
        <v>UPI</v>
      </c>
      <c r="J2297" s="14" t="str">
        <f>IFERROR(__xludf.DUMMYFUNCTION("""COMPUTED_VALUE"""),"Delivered*Customer Service: Seamless and easy")</f>
        <v>Delivered*Customer Service: Seamless and easy</v>
      </c>
      <c r="K2297" s="14" t="str">
        <f>IFERROR(__xludf.DUMMYFUNCTION("split(E2297,""+"")"),"Potato")</f>
        <v>Potato</v>
      </c>
      <c r="L2297" s="14" t="str">
        <f>IFERROR(__xludf.DUMMYFUNCTION("""COMPUTED_VALUE"""),"2*Ramesh S")</f>
        <v>2*Ramesh S</v>
      </c>
      <c r="M2297" s="14">
        <f>IFERROR(__xludf.DUMMYFUNCTION("SPLIT(L2297,""*"")"),2.0)</f>
        <v>2</v>
      </c>
      <c r="N2297" s="14" t="str">
        <f>IFERROR(__xludf.DUMMYFUNCTION("""COMPUTED_VALUE"""),"Ramesh S")</f>
        <v>Ramesh S</v>
      </c>
      <c r="O2297" s="14" t="str">
        <f>IFERROR(__xludf.DUMMYFUNCTION("split(J2297,""*"")"),"Delivered")</f>
        <v>Delivered</v>
      </c>
      <c r="P2297" s="14" t="str">
        <f>IFERROR(__xludf.DUMMYFUNCTION("""COMPUTED_VALUE"""),"Customer Service: Seamless and easy")</f>
        <v>Customer Service: Seamless and easy</v>
      </c>
      <c r="Q2297" s="14" t="str">
        <f>IFERROR(__xludf.DUMMYFUNCTION("split(P2297,"":"")"),"Customer Service")</f>
        <v>Customer Service</v>
      </c>
      <c r="R2297" s="14" t="str">
        <f>IFERROR(__xludf.DUMMYFUNCTION("""COMPUTED_VALUE""")," Seamless and easy")</f>
        <v> Seamless and easy</v>
      </c>
      <c r="S2297" s="14" t="str">
        <f t="shared" ref="S2297:U2297" si="4597">trim(B2297)</f>
        <v>ord_92270</v>
      </c>
      <c r="T2297" s="14" t="str">
        <f t="shared" si="4597"/>
        <v>Sanjay Nair</v>
      </c>
      <c r="U2297" s="14" t="str">
        <f t="shared" si="4597"/>
        <v>Dadar</v>
      </c>
      <c r="V2297" s="14" t="str">
        <f t="shared" si="4"/>
        <v>Potato</v>
      </c>
      <c r="W2297" s="14">
        <f t="shared" si="5"/>
        <v>2</v>
      </c>
      <c r="X2297" s="14" t="str">
        <f t="shared" si="6"/>
        <v>Ramesh S</v>
      </c>
      <c r="Y2297" s="15">
        <f t="shared" si="7"/>
        <v>45217</v>
      </c>
      <c r="Z2297" s="14" t="str">
        <f t="shared" si="8"/>
        <v>UPI</v>
      </c>
      <c r="AA2297" s="14" t="str">
        <f t="shared" si="9"/>
        <v>Delivered</v>
      </c>
      <c r="AB2297" s="14" t="str">
        <f t="shared" ref="AB2297:AC2297" si="4598">trim(Q2297)</f>
        <v>Customer Service</v>
      </c>
      <c r="AC2297" s="14" t="str">
        <f t="shared" si="4598"/>
        <v>Seamless and easy</v>
      </c>
      <c r="AD2297" s="8"/>
    </row>
    <row r="2298">
      <c r="A2298" s="14" t="str">
        <f>IFERROR(__xludf.DUMMYFUNCTION("""COMPUTED_VALUE"""),"//ord_92271//Tanishq Bansal//Powai//Banana+1*Manju Ajay/11/1/2023//Online Payment//Delivered*On-time Delivery: Delivered on time")</f>
        <v>//ord_92271//Tanishq Bansal//Powai//Banana+1*Manju Ajay/11/1/2023//Online Payment//Delivered*On-time Delivery: Delivered on time</v>
      </c>
      <c r="B2298" s="14" t="str">
        <f>IFERROR(__xludf.DUMMYFUNCTION("split(A2298,""//"")"),"ord_92271")</f>
        <v>ord_92271</v>
      </c>
      <c r="C2298" s="14" t="str">
        <f>IFERROR(__xludf.DUMMYFUNCTION("""COMPUTED_VALUE"""),"Tanishq Bansal")</f>
        <v>Tanishq Bansal</v>
      </c>
      <c r="D2298" s="14" t="str">
        <f>IFERROR(__xludf.DUMMYFUNCTION("""COMPUTED_VALUE"""),"Powai")</f>
        <v>Powai</v>
      </c>
      <c r="E2298" s="14" t="str">
        <f>IFERROR(__xludf.DUMMYFUNCTION("""COMPUTED_VALUE"""),"Banana+1*Manju Ajay")</f>
        <v>Banana+1*Manju Ajay</v>
      </c>
      <c r="F2298" s="14">
        <f>IFERROR(__xludf.DUMMYFUNCTION("""COMPUTED_VALUE"""),11.0)</f>
        <v>11</v>
      </c>
      <c r="G2298" s="14">
        <f>IFERROR(__xludf.DUMMYFUNCTION("""COMPUTED_VALUE"""),1.0)</f>
        <v>1</v>
      </c>
      <c r="H2298" s="14">
        <f>IFERROR(__xludf.DUMMYFUNCTION("""COMPUTED_VALUE"""),2023.0)</f>
        <v>2023</v>
      </c>
      <c r="I2298" s="14" t="str">
        <f>IFERROR(__xludf.DUMMYFUNCTION("""COMPUTED_VALUE"""),"Online Payment")</f>
        <v>Online Payment</v>
      </c>
      <c r="J2298" s="14" t="str">
        <f>IFERROR(__xludf.DUMMYFUNCTION("""COMPUTED_VALUE"""),"Delivered*On-time Delivery: Delivered on time")</f>
        <v>Delivered*On-time Delivery: Delivered on time</v>
      </c>
      <c r="K2298" s="14" t="str">
        <f>IFERROR(__xludf.DUMMYFUNCTION("split(E2298,""+"")"),"Banana")</f>
        <v>Banana</v>
      </c>
      <c r="L2298" s="14" t="str">
        <f>IFERROR(__xludf.DUMMYFUNCTION("""COMPUTED_VALUE"""),"1*Manju Ajay")</f>
        <v>1*Manju Ajay</v>
      </c>
      <c r="M2298" s="14">
        <f>IFERROR(__xludf.DUMMYFUNCTION("SPLIT(L2298,""*"")"),1.0)</f>
        <v>1</v>
      </c>
      <c r="N2298" s="14" t="str">
        <f>IFERROR(__xludf.DUMMYFUNCTION("""COMPUTED_VALUE"""),"Manju Ajay")</f>
        <v>Manju Ajay</v>
      </c>
      <c r="O2298" s="14" t="str">
        <f>IFERROR(__xludf.DUMMYFUNCTION("split(J2298,""*"")"),"Delivered")</f>
        <v>Delivered</v>
      </c>
      <c r="P2298" s="14" t="str">
        <f>IFERROR(__xludf.DUMMYFUNCTION("""COMPUTED_VALUE"""),"On-time Delivery: Delivered on time")</f>
        <v>On-time Delivery: Delivered on time</v>
      </c>
      <c r="Q2298" s="14" t="str">
        <f>IFERROR(__xludf.DUMMYFUNCTION("split(P2298,"":"")"),"On-time Delivery")</f>
        <v>On-time Delivery</v>
      </c>
      <c r="R2298" s="14" t="str">
        <f>IFERROR(__xludf.DUMMYFUNCTION("""COMPUTED_VALUE""")," Delivered on time")</f>
        <v> Delivered on time</v>
      </c>
      <c r="S2298" s="14" t="str">
        <f t="shared" ref="S2298:U2298" si="4599">trim(B2298)</f>
        <v>ord_92271</v>
      </c>
      <c r="T2298" s="14" t="str">
        <f t="shared" si="4599"/>
        <v>Tanishq Bansal</v>
      </c>
      <c r="U2298" s="14" t="str">
        <f t="shared" si="4599"/>
        <v>Powai</v>
      </c>
      <c r="V2298" s="14" t="str">
        <f t="shared" si="4"/>
        <v>Banana</v>
      </c>
      <c r="W2298" s="14">
        <f t="shared" si="5"/>
        <v>1</v>
      </c>
      <c r="X2298" s="14" t="str">
        <f t="shared" si="6"/>
        <v>Manju Ajay</v>
      </c>
      <c r="Y2298" s="15">
        <f t="shared" si="7"/>
        <v>45231</v>
      </c>
      <c r="Z2298" s="14" t="str">
        <f t="shared" si="8"/>
        <v>Online Payment</v>
      </c>
      <c r="AA2298" s="14" t="str">
        <f t="shared" si="9"/>
        <v>Delivered</v>
      </c>
      <c r="AB2298" s="14" t="str">
        <f t="shared" ref="AB2298:AC2298" si="4600">trim(Q2298)</f>
        <v>On-time Delivery</v>
      </c>
      <c r="AC2298" s="14" t="str">
        <f t="shared" si="4600"/>
        <v>Delivered on time</v>
      </c>
      <c r="AD2298" s="8"/>
    </row>
    <row r="2299">
      <c r="A2299" s="14" t="str">
        <f>IFERROR(__xludf.DUMMYFUNCTION("""COMPUTED_VALUE"""),"//ord_92272//Tanishq Bansal//Powai//Papaya+2*Venu R/12/17/2023//Online Payment//Delivered*Delivery Experience: Quick and professional")</f>
        <v>//ord_92272//Tanishq Bansal//Powai//Papaya+2*Venu R/12/17/2023//Online Payment//Delivered*Delivery Experience: Quick and professional</v>
      </c>
      <c r="B2299" s="14" t="str">
        <f>IFERROR(__xludf.DUMMYFUNCTION("split(A2299,""//"")"),"ord_92272")</f>
        <v>ord_92272</v>
      </c>
      <c r="C2299" s="14" t="str">
        <f>IFERROR(__xludf.DUMMYFUNCTION("""COMPUTED_VALUE"""),"Tanishq Bansal")</f>
        <v>Tanishq Bansal</v>
      </c>
      <c r="D2299" s="14" t="str">
        <f>IFERROR(__xludf.DUMMYFUNCTION("""COMPUTED_VALUE"""),"Powai")</f>
        <v>Powai</v>
      </c>
      <c r="E2299" s="14" t="str">
        <f>IFERROR(__xludf.DUMMYFUNCTION("""COMPUTED_VALUE"""),"Papaya+2*Venu R")</f>
        <v>Papaya+2*Venu R</v>
      </c>
      <c r="F2299" s="14">
        <f>IFERROR(__xludf.DUMMYFUNCTION("""COMPUTED_VALUE"""),12.0)</f>
        <v>12</v>
      </c>
      <c r="G2299" s="14">
        <f>IFERROR(__xludf.DUMMYFUNCTION("""COMPUTED_VALUE"""),17.0)</f>
        <v>17</v>
      </c>
      <c r="H2299" s="14">
        <f>IFERROR(__xludf.DUMMYFUNCTION("""COMPUTED_VALUE"""),2023.0)</f>
        <v>2023</v>
      </c>
      <c r="I2299" s="14" t="str">
        <f>IFERROR(__xludf.DUMMYFUNCTION("""COMPUTED_VALUE"""),"Online Payment")</f>
        <v>Online Payment</v>
      </c>
      <c r="J2299" s="14" t="str">
        <f>IFERROR(__xludf.DUMMYFUNCTION("""COMPUTED_VALUE"""),"Delivered*Delivery Experience: Quick and professional")</f>
        <v>Delivered*Delivery Experience: Quick and professional</v>
      </c>
      <c r="K2299" s="14" t="str">
        <f>IFERROR(__xludf.DUMMYFUNCTION("split(E2299,""+"")"),"Papaya")</f>
        <v>Papaya</v>
      </c>
      <c r="L2299" s="14" t="str">
        <f>IFERROR(__xludf.DUMMYFUNCTION("""COMPUTED_VALUE"""),"2*Venu R")</f>
        <v>2*Venu R</v>
      </c>
      <c r="M2299" s="14">
        <f>IFERROR(__xludf.DUMMYFUNCTION("SPLIT(L2299,""*"")"),2.0)</f>
        <v>2</v>
      </c>
      <c r="N2299" s="14" t="str">
        <f>IFERROR(__xludf.DUMMYFUNCTION("""COMPUTED_VALUE"""),"Venu R")</f>
        <v>Venu R</v>
      </c>
      <c r="O2299" s="14" t="str">
        <f>IFERROR(__xludf.DUMMYFUNCTION("split(J2299,""*"")"),"Delivered")</f>
        <v>Delivered</v>
      </c>
      <c r="P2299" s="14" t="str">
        <f>IFERROR(__xludf.DUMMYFUNCTION("""COMPUTED_VALUE"""),"Delivery Experience: Quick and professional")</f>
        <v>Delivery Experience: Quick and professional</v>
      </c>
      <c r="Q2299" s="14" t="str">
        <f>IFERROR(__xludf.DUMMYFUNCTION("split(P2299,"":"")"),"Delivery Experience")</f>
        <v>Delivery Experience</v>
      </c>
      <c r="R2299" s="14" t="str">
        <f>IFERROR(__xludf.DUMMYFUNCTION("""COMPUTED_VALUE""")," Quick and professional")</f>
        <v> Quick and professional</v>
      </c>
      <c r="S2299" s="14" t="str">
        <f t="shared" ref="S2299:U2299" si="4601">trim(B2299)</f>
        <v>ord_92272</v>
      </c>
      <c r="T2299" s="14" t="str">
        <f t="shared" si="4601"/>
        <v>Tanishq Bansal</v>
      </c>
      <c r="U2299" s="14" t="str">
        <f t="shared" si="4601"/>
        <v>Powai</v>
      </c>
      <c r="V2299" s="14" t="str">
        <f t="shared" si="4"/>
        <v>Papaya</v>
      </c>
      <c r="W2299" s="14">
        <f t="shared" si="5"/>
        <v>2</v>
      </c>
      <c r="X2299" s="14" t="str">
        <f t="shared" si="6"/>
        <v>Venu R</v>
      </c>
      <c r="Y2299" s="15">
        <f t="shared" si="7"/>
        <v>45277</v>
      </c>
      <c r="Z2299" s="14" t="str">
        <f t="shared" si="8"/>
        <v>Online Payment</v>
      </c>
      <c r="AA2299" s="14" t="str">
        <f t="shared" si="9"/>
        <v>Delivered</v>
      </c>
      <c r="AB2299" s="14" t="str">
        <f t="shared" ref="AB2299:AC2299" si="4602">trim(Q2299)</f>
        <v>Delivery Experience</v>
      </c>
      <c r="AC2299" s="14" t="str">
        <f t="shared" si="4602"/>
        <v>Quick and professional</v>
      </c>
      <c r="AD2299" s="8"/>
    </row>
    <row r="2300">
      <c r="A2300" s="14" t="str">
        <f>IFERROR(__xludf.DUMMYFUNCTION("""COMPUTED_VALUE"""),"//ord_92273//Omkar Mishra//Powai//Guava+2*Venu R/9/6/2023//UPI//Delivered*Convenience: Easy tracking")</f>
        <v>//ord_92273//Omkar Mishra//Powai//Guava+2*Venu R/9/6/2023//UPI//Delivered*Convenience: Easy tracking</v>
      </c>
      <c r="B2300" s="14" t="str">
        <f>IFERROR(__xludf.DUMMYFUNCTION("split(A2300,""//"")"),"ord_92273")</f>
        <v>ord_92273</v>
      </c>
      <c r="C2300" s="14" t="str">
        <f>IFERROR(__xludf.DUMMYFUNCTION("""COMPUTED_VALUE"""),"Omkar Mishra")</f>
        <v>Omkar Mishra</v>
      </c>
      <c r="D2300" s="14" t="str">
        <f>IFERROR(__xludf.DUMMYFUNCTION("""COMPUTED_VALUE"""),"Powai")</f>
        <v>Powai</v>
      </c>
      <c r="E2300" s="14" t="str">
        <f>IFERROR(__xludf.DUMMYFUNCTION("""COMPUTED_VALUE"""),"Guava+2*Venu R")</f>
        <v>Guava+2*Venu R</v>
      </c>
      <c r="F2300" s="14">
        <f>IFERROR(__xludf.DUMMYFUNCTION("""COMPUTED_VALUE"""),9.0)</f>
        <v>9</v>
      </c>
      <c r="G2300" s="14">
        <f>IFERROR(__xludf.DUMMYFUNCTION("""COMPUTED_VALUE"""),6.0)</f>
        <v>6</v>
      </c>
      <c r="H2300" s="14">
        <f>IFERROR(__xludf.DUMMYFUNCTION("""COMPUTED_VALUE"""),2023.0)</f>
        <v>2023</v>
      </c>
      <c r="I2300" s="14" t="str">
        <f>IFERROR(__xludf.DUMMYFUNCTION("""COMPUTED_VALUE"""),"UPI")</f>
        <v>UPI</v>
      </c>
      <c r="J2300" s="14" t="str">
        <f>IFERROR(__xludf.DUMMYFUNCTION("""COMPUTED_VALUE"""),"Delivered*Convenience: Easy tracking")</f>
        <v>Delivered*Convenience: Easy tracking</v>
      </c>
      <c r="K2300" s="14" t="str">
        <f>IFERROR(__xludf.DUMMYFUNCTION("split(E2300,""+"")"),"Guava")</f>
        <v>Guava</v>
      </c>
      <c r="L2300" s="14" t="str">
        <f>IFERROR(__xludf.DUMMYFUNCTION("""COMPUTED_VALUE"""),"2*Venu R")</f>
        <v>2*Venu R</v>
      </c>
      <c r="M2300" s="14">
        <f>IFERROR(__xludf.DUMMYFUNCTION("SPLIT(L2300,""*"")"),2.0)</f>
        <v>2</v>
      </c>
      <c r="N2300" s="14" t="str">
        <f>IFERROR(__xludf.DUMMYFUNCTION("""COMPUTED_VALUE"""),"Venu R")</f>
        <v>Venu R</v>
      </c>
      <c r="O2300" s="14" t="str">
        <f>IFERROR(__xludf.DUMMYFUNCTION("split(J2300,""*"")"),"Delivered")</f>
        <v>Delivered</v>
      </c>
      <c r="P2300" s="14" t="str">
        <f>IFERROR(__xludf.DUMMYFUNCTION("""COMPUTED_VALUE"""),"Convenience: Easy tracking")</f>
        <v>Convenience: Easy tracking</v>
      </c>
      <c r="Q2300" s="14" t="str">
        <f>IFERROR(__xludf.DUMMYFUNCTION("split(P2300,"":"")"),"Convenience")</f>
        <v>Convenience</v>
      </c>
      <c r="R2300" s="14" t="str">
        <f>IFERROR(__xludf.DUMMYFUNCTION("""COMPUTED_VALUE""")," Easy tracking")</f>
        <v> Easy tracking</v>
      </c>
      <c r="S2300" s="14" t="str">
        <f t="shared" ref="S2300:U2300" si="4603">trim(B2300)</f>
        <v>ord_92273</v>
      </c>
      <c r="T2300" s="14" t="str">
        <f t="shared" si="4603"/>
        <v>Omkar Mishra</v>
      </c>
      <c r="U2300" s="14" t="str">
        <f t="shared" si="4603"/>
        <v>Powai</v>
      </c>
      <c r="V2300" s="14" t="str">
        <f t="shared" si="4"/>
        <v>Guava</v>
      </c>
      <c r="W2300" s="14">
        <f t="shared" si="5"/>
        <v>2</v>
      </c>
      <c r="X2300" s="14" t="str">
        <f t="shared" si="6"/>
        <v>Venu R</v>
      </c>
      <c r="Y2300" s="15">
        <f t="shared" si="7"/>
        <v>45175</v>
      </c>
      <c r="Z2300" s="14" t="str">
        <f t="shared" si="8"/>
        <v>UPI</v>
      </c>
      <c r="AA2300" s="14" t="str">
        <f t="shared" si="9"/>
        <v>Delivered</v>
      </c>
      <c r="AB2300" s="14" t="str">
        <f t="shared" ref="AB2300:AC2300" si="4604">trim(Q2300)</f>
        <v>Convenience</v>
      </c>
      <c r="AC2300" s="14" t="str">
        <f t="shared" si="4604"/>
        <v>Easy tracking</v>
      </c>
      <c r="AD2300" s="8"/>
    </row>
    <row r="2301">
      <c r="A2301" s="14" t="str">
        <f>IFERROR(__xludf.DUMMYFUNCTION("""COMPUTED_VALUE"""),"//ord_92274//Omkar Mishra//Powai//Banana+2*Venu R/12/12/2023//UPI//Delivered*Overall Satisfaction: Great service will order again")</f>
        <v>//ord_92274//Omkar Mishra//Powai//Banana+2*Venu R/12/12/2023//UPI//Delivered*Overall Satisfaction: Great service will order again</v>
      </c>
      <c r="B2301" s="14" t="str">
        <f>IFERROR(__xludf.DUMMYFUNCTION("split(A2301,""//"")"),"ord_92274")</f>
        <v>ord_92274</v>
      </c>
      <c r="C2301" s="14" t="str">
        <f>IFERROR(__xludf.DUMMYFUNCTION("""COMPUTED_VALUE"""),"Omkar Mishra")</f>
        <v>Omkar Mishra</v>
      </c>
      <c r="D2301" s="14" t="str">
        <f>IFERROR(__xludf.DUMMYFUNCTION("""COMPUTED_VALUE"""),"Powai")</f>
        <v>Powai</v>
      </c>
      <c r="E2301" s="14" t="str">
        <f>IFERROR(__xludf.DUMMYFUNCTION("""COMPUTED_VALUE"""),"Banana+2*Venu R")</f>
        <v>Banana+2*Venu R</v>
      </c>
      <c r="F2301" s="14">
        <f>IFERROR(__xludf.DUMMYFUNCTION("""COMPUTED_VALUE"""),12.0)</f>
        <v>12</v>
      </c>
      <c r="G2301" s="14">
        <f>IFERROR(__xludf.DUMMYFUNCTION("""COMPUTED_VALUE"""),12.0)</f>
        <v>12</v>
      </c>
      <c r="H2301" s="14">
        <f>IFERROR(__xludf.DUMMYFUNCTION("""COMPUTED_VALUE"""),2023.0)</f>
        <v>2023</v>
      </c>
      <c r="I2301" s="14" t="str">
        <f>IFERROR(__xludf.DUMMYFUNCTION("""COMPUTED_VALUE"""),"UPI")</f>
        <v>UPI</v>
      </c>
      <c r="J2301" s="14" t="str">
        <f>IFERROR(__xludf.DUMMYFUNCTION("""COMPUTED_VALUE"""),"Delivered*Overall Satisfaction: Great service will order again")</f>
        <v>Delivered*Overall Satisfaction: Great service will order again</v>
      </c>
      <c r="K2301" s="14" t="str">
        <f>IFERROR(__xludf.DUMMYFUNCTION("split(E2301,""+"")"),"Banana")</f>
        <v>Banana</v>
      </c>
      <c r="L2301" s="14" t="str">
        <f>IFERROR(__xludf.DUMMYFUNCTION("""COMPUTED_VALUE"""),"2*Venu R")</f>
        <v>2*Venu R</v>
      </c>
      <c r="M2301" s="14">
        <f>IFERROR(__xludf.DUMMYFUNCTION("SPLIT(L2301,""*"")"),2.0)</f>
        <v>2</v>
      </c>
      <c r="N2301" s="14" t="str">
        <f>IFERROR(__xludf.DUMMYFUNCTION("""COMPUTED_VALUE"""),"Venu R")</f>
        <v>Venu R</v>
      </c>
      <c r="O2301" s="14" t="str">
        <f>IFERROR(__xludf.DUMMYFUNCTION("split(J2301,""*"")"),"Delivered")</f>
        <v>Delivered</v>
      </c>
      <c r="P2301" s="14" t="str">
        <f>IFERROR(__xludf.DUMMYFUNCTION("""COMPUTED_VALUE"""),"Overall Satisfaction: Great service will order again")</f>
        <v>Overall Satisfaction: Great service will order again</v>
      </c>
      <c r="Q2301" s="14" t="str">
        <f>IFERROR(__xludf.DUMMYFUNCTION("split(P2301,"":"")"),"Overall Satisfaction")</f>
        <v>Overall Satisfaction</v>
      </c>
      <c r="R2301" s="14" t="str">
        <f>IFERROR(__xludf.DUMMYFUNCTION("""COMPUTED_VALUE""")," Great service will order again")</f>
        <v> Great service will order again</v>
      </c>
      <c r="S2301" s="14" t="str">
        <f t="shared" ref="S2301:U2301" si="4605">trim(B2301)</f>
        <v>ord_92274</v>
      </c>
      <c r="T2301" s="14" t="str">
        <f t="shared" si="4605"/>
        <v>Omkar Mishra</v>
      </c>
      <c r="U2301" s="14" t="str">
        <f t="shared" si="4605"/>
        <v>Powai</v>
      </c>
      <c r="V2301" s="14" t="str">
        <f t="shared" si="4"/>
        <v>Banana</v>
      </c>
      <c r="W2301" s="14">
        <f t="shared" si="5"/>
        <v>2</v>
      </c>
      <c r="X2301" s="14" t="str">
        <f t="shared" si="6"/>
        <v>Venu R</v>
      </c>
      <c r="Y2301" s="15">
        <f t="shared" si="7"/>
        <v>45272</v>
      </c>
      <c r="Z2301" s="14" t="str">
        <f t="shared" si="8"/>
        <v>UPI</v>
      </c>
      <c r="AA2301" s="14" t="str">
        <f t="shared" si="9"/>
        <v>Delivered</v>
      </c>
      <c r="AB2301" s="14" t="str">
        <f t="shared" ref="AB2301:AC2301" si="4606">trim(Q2301)</f>
        <v>Overall Satisfaction</v>
      </c>
      <c r="AC2301" s="14" t="str">
        <f t="shared" si="4606"/>
        <v>Great service will order again</v>
      </c>
      <c r="AD2301" s="8"/>
    </row>
    <row r="2302">
      <c r="A2302" s="14" t="str">
        <f>IFERROR(__xludf.DUMMYFUNCTION("""COMPUTED_VALUE"""),"//ord_92275//Anaya Rao//Colaba//Guava+1*Venu R/7/7/2023//UPI//Delivered*On-time Delivery: Delivered on time")</f>
        <v>//ord_92275//Anaya Rao//Colaba//Guava+1*Venu R/7/7/2023//UPI//Delivered*On-time Delivery: Delivered on time</v>
      </c>
      <c r="B2302" s="14" t="str">
        <f>IFERROR(__xludf.DUMMYFUNCTION("split(A2302,""//"")"),"ord_92275")</f>
        <v>ord_92275</v>
      </c>
      <c r="C2302" s="14" t="str">
        <f>IFERROR(__xludf.DUMMYFUNCTION("""COMPUTED_VALUE"""),"Anaya Rao")</f>
        <v>Anaya Rao</v>
      </c>
      <c r="D2302" s="14" t="str">
        <f>IFERROR(__xludf.DUMMYFUNCTION("""COMPUTED_VALUE"""),"Colaba")</f>
        <v>Colaba</v>
      </c>
      <c r="E2302" s="14" t="str">
        <f>IFERROR(__xludf.DUMMYFUNCTION("""COMPUTED_VALUE"""),"Guava+1*Venu R")</f>
        <v>Guava+1*Venu R</v>
      </c>
      <c r="F2302" s="14">
        <f>IFERROR(__xludf.DUMMYFUNCTION("""COMPUTED_VALUE"""),7.0)</f>
        <v>7</v>
      </c>
      <c r="G2302" s="14">
        <f>IFERROR(__xludf.DUMMYFUNCTION("""COMPUTED_VALUE"""),7.0)</f>
        <v>7</v>
      </c>
      <c r="H2302" s="14">
        <f>IFERROR(__xludf.DUMMYFUNCTION("""COMPUTED_VALUE"""),2023.0)</f>
        <v>2023</v>
      </c>
      <c r="I2302" s="14" t="str">
        <f>IFERROR(__xludf.DUMMYFUNCTION("""COMPUTED_VALUE"""),"UPI")</f>
        <v>UPI</v>
      </c>
      <c r="J2302" s="14" t="str">
        <f>IFERROR(__xludf.DUMMYFUNCTION("""COMPUTED_VALUE"""),"Delivered*On-time Delivery: Delivered on time")</f>
        <v>Delivered*On-time Delivery: Delivered on time</v>
      </c>
      <c r="K2302" s="14" t="str">
        <f>IFERROR(__xludf.DUMMYFUNCTION("split(E2302,""+"")"),"Guava")</f>
        <v>Guava</v>
      </c>
      <c r="L2302" s="14" t="str">
        <f>IFERROR(__xludf.DUMMYFUNCTION("""COMPUTED_VALUE"""),"1*Venu R")</f>
        <v>1*Venu R</v>
      </c>
      <c r="M2302" s="14">
        <f>IFERROR(__xludf.DUMMYFUNCTION("SPLIT(L2302,""*"")"),1.0)</f>
        <v>1</v>
      </c>
      <c r="N2302" s="14" t="str">
        <f>IFERROR(__xludf.DUMMYFUNCTION("""COMPUTED_VALUE"""),"Venu R")</f>
        <v>Venu R</v>
      </c>
      <c r="O2302" s="14" t="str">
        <f>IFERROR(__xludf.DUMMYFUNCTION("split(J2302,""*"")"),"Delivered")</f>
        <v>Delivered</v>
      </c>
      <c r="P2302" s="14" t="str">
        <f>IFERROR(__xludf.DUMMYFUNCTION("""COMPUTED_VALUE"""),"On-time Delivery: Delivered on time")</f>
        <v>On-time Delivery: Delivered on time</v>
      </c>
      <c r="Q2302" s="14" t="str">
        <f>IFERROR(__xludf.DUMMYFUNCTION("split(P2302,"":"")"),"On-time Delivery")</f>
        <v>On-time Delivery</v>
      </c>
      <c r="R2302" s="14" t="str">
        <f>IFERROR(__xludf.DUMMYFUNCTION("""COMPUTED_VALUE""")," Delivered on time")</f>
        <v> Delivered on time</v>
      </c>
      <c r="S2302" s="14" t="str">
        <f t="shared" ref="S2302:U2302" si="4607">trim(B2302)</f>
        <v>ord_92275</v>
      </c>
      <c r="T2302" s="14" t="str">
        <f t="shared" si="4607"/>
        <v>Anaya Rao</v>
      </c>
      <c r="U2302" s="14" t="str">
        <f t="shared" si="4607"/>
        <v>Colaba</v>
      </c>
      <c r="V2302" s="14" t="str">
        <f t="shared" si="4"/>
        <v>Guava</v>
      </c>
      <c r="W2302" s="14">
        <f t="shared" si="5"/>
        <v>1</v>
      </c>
      <c r="X2302" s="14" t="str">
        <f t="shared" si="6"/>
        <v>Venu R</v>
      </c>
      <c r="Y2302" s="15">
        <f t="shared" si="7"/>
        <v>45114</v>
      </c>
      <c r="Z2302" s="14" t="str">
        <f t="shared" si="8"/>
        <v>UPI</v>
      </c>
      <c r="AA2302" s="14" t="str">
        <f t="shared" si="9"/>
        <v>Delivered</v>
      </c>
      <c r="AB2302" s="14" t="str">
        <f t="shared" ref="AB2302:AC2302" si="4608">trim(Q2302)</f>
        <v>On-time Delivery</v>
      </c>
      <c r="AC2302" s="14" t="str">
        <f t="shared" si="4608"/>
        <v>Delivered on time</v>
      </c>
      <c r="AD2302" s="8"/>
    </row>
    <row r="2303">
      <c r="A2303" s="14" t="str">
        <f>IFERROR(__xludf.DUMMYFUNCTION("""COMPUTED_VALUE"""),"//ord_92276//Dev Chauhan//Bandra//Banana+1*Nithin Lal/7/27/2023//UPI//Delivered*Quality of Items: Perfect condition")</f>
        <v>//ord_92276//Dev Chauhan//Bandra//Banana+1*Nithin Lal/7/27/2023//UPI//Delivered*Quality of Items: Perfect condition</v>
      </c>
      <c r="B2303" s="14" t="str">
        <f>IFERROR(__xludf.DUMMYFUNCTION("split(A2303,""//"")"),"ord_92276")</f>
        <v>ord_92276</v>
      </c>
      <c r="C2303" s="14" t="str">
        <f>IFERROR(__xludf.DUMMYFUNCTION("""COMPUTED_VALUE"""),"Dev Chauhan")</f>
        <v>Dev Chauhan</v>
      </c>
      <c r="D2303" s="14" t="str">
        <f>IFERROR(__xludf.DUMMYFUNCTION("""COMPUTED_VALUE"""),"Bandra")</f>
        <v>Bandra</v>
      </c>
      <c r="E2303" s="14" t="str">
        <f>IFERROR(__xludf.DUMMYFUNCTION("""COMPUTED_VALUE"""),"Banana+1*Nithin Lal")</f>
        <v>Banana+1*Nithin Lal</v>
      </c>
      <c r="F2303" s="14">
        <f>IFERROR(__xludf.DUMMYFUNCTION("""COMPUTED_VALUE"""),7.0)</f>
        <v>7</v>
      </c>
      <c r="G2303" s="14">
        <f>IFERROR(__xludf.DUMMYFUNCTION("""COMPUTED_VALUE"""),27.0)</f>
        <v>27</v>
      </c>
      <c r="H2303" s="14">
        <f>IFERROR(__xludf.DUMMYFUNCTION("""COMPUTED_VALUE"""),2023.0)</f>
        <v>2023</v>
      </c>
      <c r="I2303" s="14" t="str">
        <f>IFERROR(__xludf.DUMMYFUNCTION("""COMPUTED_VALUE"""),"UPI")</f>
        <v>UPI</v>
      </c>
      <c r="J2303" s="14" t="str">
        <f>IFERROR(__xludf.DUMMYFUNCTION("""COMPUTED_VALUE"""),"Delivered*Quality of Items: Perfect condition")</f>
        <v>Delivered*Quality of Items: Perfect condition</v>
      </c>
      <c r="K2303" s="14" t="str">
        <f>IFERROR(__xludf.DUMMYFUNCTION("split(E2303,""+"")"),"Banana")</f>
        <v>Banana</v>
      </c>
      <c r="L2303" s="14" t="str">
        <f>IFERROR(__xludf.DUMMYFUNCTION("""COMPUTED_VALUE"""),"1*Nithin Lal")</f>
        <v>1*Nithin Lal</v>
      </c>
      <c r="M2303" s="14">
        <f>IFERROR(__xludf.DUMMYFUNCTION("SPLIT(L2303,""*"")"),1.0)</f>
        <v>1</v>
      </c>
      <c r="N2303" s="14" t="str">
        <f>IFERROR(__xludf.DUMMYFUNCTION("""COMPUTED_VALUE"""),"Nithin Lal")</f>
        <v>Nithin Lal</v>
      </c>
      <c r="O2303" s="14" t="str">
        <f>IFERROR(__xludf.DUMMYFUNCTION("split(J2303,""*"")"),"Delivered")</f>
        <v>Delivered</v>
      </c>
      <c r="P2303" s="14" t="str">
        <f>IFERROR(__xludf.DUMMYFUNCTION("""COMPUTED_VALUE"""),"Quality of Items: Perfect condition")</f>
        <v>Quality of Items: Perfect condition</v>
      </c>
      <c r="Q2303" s="14" t="str">
        <f>IFERROR(__xludf.DUMMYFUNCTION("split(P2303,"":"")"),"Quality of Items")</f>
        <v>Quality of Items</v>
      </c>
      <c r="R2303" s="14" t="str">
        <f>IFERROR(__xludf.DUMMYFUNCTION("""COMPUTED_VALUE""")," Perfect condition")</f>
        <v> Perfect condition</v>
      </c>
      <c r="S2303" s="14" t="str">
        <f t="shared" ref="S2303:U2303" si="4609">trim(B2303)</f>
        <v>ord_92276</v>
      </c>
      <c r="T2303" s="14" t="str">
        <f t="shared" si="4609"/>
        <v>Dev Chauhan</v>
      </c>
      <c r="U2303" s="14" t="str">
        <f t="shared" si="4609"/>
        <v>Bandra</v>
      </c>
      <c r="V2303" s="14" t="str">
        <f t="shared" si="4"/>
        <v>Banana</v>
      </c>
      <c r="W2303" s="14">
        <f t="shared" si="5"/>
        <v>1</v>
      </c>
      <c r="X2303" s="14" t="str">
        <f t="shared" si="6"/>
        <v>Nithin Lal</v>
      </c>
      <c r="Y2303" s="15">
        <f t="shared" si="7"/>
        <v>45134</v>
      </c>
      <c r="Z2303" s="14" t="str">
        <f t="shared" si="8"/>
        <v>UPI</v>
      </c>
      <c r="AA2303" s="14" t="str">
        <f t="shared" si="9"/>
        <v>Delivered</v>
      </c>
      <c r="AB2303" s="14" t="str">
        <f t="shared" ref="AB2303:AC2303" si="4610">trim(Q2303)</f>
        <v>Quality of Items</v>
      </c>
      <c r="AC2303" s="14" t="str">
        <f t="shared" si="4610"/>
        <v>Perfect condition</v>
      </c>
      <c r="AD2303" s="8"/>
    </row>
    <row r="2304">
      <c r="A2304" s="14" t="str">
        <f>IFERROR(__xludf.DUMMYFUNCTION("""COMPUTED_VALUE"""),"//ord_92277//Kavya Menon//Andheri//Tiramisu+3*Vivek Kumar/9/13/2023//Credit Card//Delivered*Quality of Items: Perfect condition")</f>
        <v>//ord_92277//Kavya Menon//Andheri//Tiramisu+3*Vivek Kumar/9/13/2023//Credit Card//Delivered*Quality of Items: Perfect condition</v>
      </c>
      <c r="B2304" s="14" t="str">
        <f>IFERROR(__xludf.DUMMYFUNCTION("split(A2304,""//"")"),"ord_92277")</f>
        <v>ord_92277</v>
      </c>
      <c r="C2304" s="14" t="str">
        <f>IFERROR(__xludf.DUMMYFUNCTION("""COMPUTED_VALUE"""),"Kavya Menon")</f>
        <v>Kavya Menon</v>
      </c>
      <c r="D2304" s="14" t="str">
        <f>IFERROR(__xludf.DUMMYFUNCTION("""COMPUTED_VALUE"""),"Andheri")</f>
        <v>Andheri</v>
      </c>
      <c r="E2304" s="14" t="str">
        <f>IFERROR(__xludf.DUMMYFUNCTION("""COMPUTED_VALUE"""),"Tiramisu+3*Vivek Kumar")</f>
        <v>Tiramisu+3*Vivek Kumar</v>
      </c>
      <c r="F2304" s="14">
        <f>IFERROR(__xludf.DUMMYFUNCTION("""COMPUTED_VALUE"""),9.0)</f>
        <v>9</v>
      </c>
      <c r="G2304" s="14">
        <f>IFERROR(__xludf.DUMMYFUNCTION("""COMPUTED_VALUE"""),13.0)</f>
        <v>13</v>
      </c>
      <c r="H2304" s="14">
        <f>IFERROR(__xludf.DUMMYFUNCTION("""COMPUTED_VALUE"""),2023.0)</f>
        <v>2023</v>
      </c>
      <c r="I2304" s="14" t="str">
        <f>IFERROR(__xludf.DUMMYFUNCTION("""COMPUTED_VALUE"""),"Credit Card")</f>
        <v>Credit Card</v>
      </c>
      <c r="J2304" s="14" t="str">
        <f>IFERROR(__xludf.DUMMYFUNCTION("""COMPUTED_VALUE"""),"Delivered*Quality of Items: Perfect condition")</f>
        <v>Delivered*Quality of Items: Perfect condition</v>
      </c>
      <c r="K2304" s="14" t="str">
        <f>IFERROR(__xludf.DUMMYFUNCTION("split(E2304,""+"")"),"Tiramisu")</f>
        <v>Tiramisu</v>
      </c>
      <c r="L2304" s="14" t="str">
        <f>IFERROR(__xludf.DUMMYFUNCTION("""COMPUTED_VALUE"""),"3*Vivek Kumar")</f>
        <v>3*Vivek Kumar</v>
      </c>
      <c r="M2304" s="14">
        <f>IFERROR(__xludf.DUMMYFUNCTION("SPLIT(L2304,""*"")"),3.0)</f>
        <v>3</v>
      </c>
      <c r="N2304" s="14" t="str">
        <f>IFERROR(__xludf.DUMMYFUNCTION("""COMPUTED_VALUE"""),"Vivek Kumar")</f>
        <v>Vivek Kumar</v>
      </c>
      <c r="O2304" s="14" t="str">
        <f>IFERROR(__xludf.DUMMYFUNCTION("split(J2304,""*"")"),"Delivered")</f>
        <v>Delivered</v>
      </c>
      <c r="P2304" s="14" t="str">
        <f>IFERROR(__xludf.DUMMYFUNCTION("""COMPUTED_VALUE"""),"Quality of Items: Perfect condition")</f>
        <v>Quality of Items: Perfect condition</v>
      </c>
      <c r="Q2304" s="14" t="str">
        <f>IFERROR(__xludf.DUMMYFUNCTION("split(P2304,"":"")"),"Quality of Items")</f>
        <v>Quality of Items</v>
      </c>
      <c r="R2304" s="14" t="str">
        <f>IFERROR(__xludf.DUMMYFUNCTION("""COMPUTED_VALUE""")," Perfect condition")</f>
        <v> Perfect condition</v>
      </c>
      <c r="S2304" s="14" t="str">
        <f t="shared" ref="S2304:U2304" si="4611">trim(B2304)</f>
        <v>ord_92277</v>
      </c>
      <c r="T2304" s="14" t="str">
        <f t="shared" si="4611"/>
        <v>Kavya Menon</v>
      </c>
      <c r="U2304" s="14" t="str">
        <f t="shared" si="4611"/>
        <v>Andheri</v>
      </c>
      <c r="V2304" s="14" t="str">
        <f t="shared" si="4"/>
        <v>Tiramisu</v>
      </c>
      <c r="W2304" s="14">
        <f t="shared" si="5"/>
        <v>3</v>
      </c>
      <c r="X2304" s="14" t="str">
        <f t="shared" si="6"/>
        <v>Vivek Kumar</v>
      </c>
      <c r="Y2304" s="15">
        <f t="shared" si="7"/>
        <v>45182</v>
      </c>
      <c r="Z2304" s="14" t="str">
        <f t="shared" si="8"/>
        <v>Credit Card</v>
      </c>
      <c r="AA2304" s="14" t="str">
        <f t="shared" si="9"/>
        <v>Delivered</v>
      </c>
      <c r="AB2304" s="14" t="str">
        <f t="shared" ref="AB2304:AC2304" si="4612">trim(Q2304)</f>
        <v>Quality of Items</v>
      </c>
      <c r="AC2304" s="14" t="str">
        <f t="shared" si="4612"/>
        <v>Perfect condition</v>
      </c>
      <c r="AD2304" s="8"/>
    </row>
    <row r="2305">
      <c r="A2305" s="14" t="str">
        <f>IFERROR(__xludf.DUMMYFUNCTION("""COMPUTED_VALUE"""),"//ord_92278//Kavya Menon//Andheri//Chocolate Mousse+3*Sita T/7/18/2023//UPI//Delivered*Packaging: Secure and intact")</f>
        <v>//ord_92278//Kavya Menon//Andheri//Chocolate Mousse+3*Sita T/7/18/2023//UPI//Delivered*Packaging: Secure and intact</v>
      </c>
      <c r="B2305" s="14" t="str">
        <f>IFERROR(__xludf.DUMMYFUNCTION("split(A2305,""//"")"),"ord_92278")</f>
        <v>ord_92278</v>
      </c>
      <c r="C2305" s="14" t="str">
        <f>IFERROR(__xludf.DUMMYFUNCTION("""COMPUTED_VALUE"""),"Kavya Menon")</f>
        <v>Kavya Menon</v>
      </c>
      <c r="D2305" s="14" t="str">
        <f>IFERROR(__xludf.DUMMYFUNCTION("""COMPUTED_VALUE"""),"Andheri")</f>
        <v>Andheri</v>
      </c>
      <c r="E2305" s="14" t="str">
        <f>IFERROR(__xludf.DUMMYFUNCTION("""COMPUTED_VALUE"""),"Chocolate Mousse+3*Sita T")</f>
        <v>Chocolate Mousse+3*Sita T</v>
      </c>
      <c r="F2305" s="14">
        <f>IFERROR(__xludf.DUMMYFUNCTION("""COMPUTED_VALUE"""),7.0)</f>
        <v>7</v>
      </c>
      <c r="G2305" s="14">
        <f>IFERROR(__xludf.DUMMYFUNCTION("""COMPUTED_VALUE"""),18.0)</f>
        <v>18</v>
      </c>
      <c r="H2305" s="14">
        <f>IFERROR(__xludf.DUMMYFUNCTION("""COMPUTED_VALUE"""),2023.0)</f>
        <v>2023</v>
      </c>
      <c r="I2305" s="14" t="str">
        <f>IFERROR(__xludf.DUMMYFUNCTION("""COMPUTED_VALUE"""),"UPI")</f>
        <v>UPI</v>
      </c>
      <c r="J2305" s="14" t="str">
        <f>IFERROR(__xludf.DUMMYFUNCTION("""COMPUTED_VALUE"""),"Delivered*Packaging: Secure and intact")</f>
        <v>Delivered*Packaging: Secure and intact</v>
      </c>
      <c r="K2305" s="14" t="str">
        <f>IFERROR(__xludf.DUMMYFUNCTION("split(E2305,""+"")"),"Chocolate Mousse")</f>
        <v>Chocolate Mousse</v>
      </c>
      <c r="L2305" s="14" t="str">
        <f>IFERROR(__xludf.DUMMYFUNCTION("""COMPUTED_VALUE"""),"3*Sita T")</f>
        <v>3*Sita T</v>
      </c>
      <c r="M2305" s="14">
        <f>IFERROR(__xludf.DUMMYFUNCTION("SPLIT(L2305,""*"")"),3.0)</f>
        <v>3</v>
      </c>
      <c r="N2305" s="14" t="str">
        <f>IFERROR(__xludf.DUMMYFUNCTION("""COMPUTED_VALUE"""),"Sita T")</f>
        <v>Sita T</v>
      </c>
      <c r="O2305" s="14" t="str">
        <f>IFERROR(__xludf.DUMMYFUNCTION("split(J2305,""*"")"),"Delivered")</f>
        <v>Delivered</v>
      </c>
      <c r="P2305" s="14" t="str">
        <f>IFERROR(__xludf.DUMMYFUNCTION("""COMPUTED_VALUE"""),"Packaging: Secure and intact")</f>
        <v>Packaging: Secure and intact</v>
      </c>
      <c r="Q2305" s="14" t="str">
        <f>IFERROR(__xludf.DUMMYFUNCTION("split(P2305,"":"")"),"Packaging")</f>
        <v>Packaging</v>
      </c>
      <c r="R2305" s="14" t="str">
        <f>IFERROR(__xludf.DUMMYFUNCTION("""COMPUTED_VALUE""")," Secure and intact")</f>
        <v> Secure and intact</v>
      </c>
      <c r="S2305" s="14" t="str">
        <f t="shared" ref="S2305:U2305" si="4613">trim(B2305)</f>
        <v>ord_92278</v>
      </c>
      <c r="T2305" s="14" t="str">
        <f t="shared" si="4613"/>
        <v>Kavya Menon</v>
      </c>
      <c r="U2305" s="14" t="str">
        <f t="shared" si="4613"/>
        <v>Andheri</v>
      </c>
      <c r="V2305" s="14" t="str">
        <f t="shared" si="4"/>
        <v>Chocolate Mousse</v>
      </c>
      <c r="W2305" s="14">
        <f t="shared" si="5"/>
        <v>3</v>
      </c>
      <c r="X2305" s="14" t="str">
        <f t="shared" si="6"/>
        <v>Sita T</v>
      </c>
      <c r="Y2305" s="15">
        <f t="shared" si="7"/>
        <v>45125</v>
      </c>
      <c r="Z2305" s="14" t="str">
        <f t="shared" si="8"/>
        <v>UPI</v>
      </c>
      <c r="AA2305" s="14" t="str">
        <f t="shared" si="9"/>
        <v>Delivered</v>
      </c>
      <c r="AB2305" s="14" t="str">
        <f t="shared" ref="AB2305:AC2305" si="4614">trim(Q2305)</f>
        <v>Packaging</v>
      </c>
      <c r="AC2305" s="14" t="str">
        <f t="shared" si="4614"/>
        <v>Secure and intact</v>
      </c>
      <c r="AD2305" s="8"/>
    </row>
    <row r="2306">
      <c r="A2306" s="14" t="str">
        <f>IFERROR(__xludf.DUMMYFUNCTION("""COMPUTED_VALUE"""),"//ord_92279//Anaya Rao//Colaba//Apple+1*Sita T/8/3/2023//UPI//Delivered*Delivery Experience: Quick and professional")</f>
        <v>//ord_92279//Anaya Rao//Colaba//Apple+1*Sita T/8/3/2023//UPI//Delivered*Delivery Experience: Quick and professional</v>
      </c>
      <c r="B2306" s="14" t="str">
        <f>IFERROR(__xludf.DUMMYFUNCTION("split(A2306,""//"")"),"ord_92279")</f>
        <v>ord_92279</v>
      </c>
      <c r="C2306" s="14" t="str">
        <f>IFERROR(__xludf.DUMMYFUNCTION("""COMPUTED_VALUE"""),"Anaya Rao")</f>
        <v>Anaya Rao</v>
      </c>
      <c r="D2306" s="14" t="str">
        <f>IFERROR(__xludf.DUMMYFUNCTION("""COMPUTED_VALUE"""),"Colaba")</f>
        <v>Colaba</v>
      </c>
      <c r="E2306" s="14" t="str">
        <f>IFERROR(__xludf.DUMMYFUNCTION("""COMPUTED_VALUE"""),"Apple+1*Sita T")</f>
        <v>Apple+1*Sita T</v>
      </c>
      <c r="F2306" s="14">
        <f>IFERROR(__xludf.DUMMYFUNCTION("""COMPUTED_VALUE"""),8.0)</f>
        <v>8</v>
      </c>
      <c r="G2306" s="14">
        <f>IFERROR(__xludf.DUMMYFUNCTION("""COMPUTED_VALUE"""),3.0)</f>
        <v>3</v>
      </c>
      <c r="H2306" s="14">
        <f>IFERROR(__xludf.DUMMYFUNCTION("""COMPUTED_VALUE"""),2023.0)</f>
        <v>2023</v>
      </c>
      <c r="I2306" s="14" t="str">
        <f>IFERROR(__xludf.DUMMYFUNCTION("""COMPUTED_VALUE"""),"UPI")</f>
        <v>UPI</v>
      </c>
      <c r="J2306" s="14" t="str">
        <f>IFERROR(__xludf.DUMMYFUNCTION("""COMPUTED_VALUE"""),"Delivered*Delivery Experience: Quick and professional")</f>
        <v>Delivered*Delivery Experience: Quick and professional</v>
      </c>
      <c r="K2306" s="14" t="str">
        <f>IFERROR(__xludf.DUMMYFUNCTION("split(E2306,""+"")"),"Apple")</f>
        <v>Apple</v>
      </c>
      <c r="L2306" s="14" t="str">
        <f>IFERROR(__xludf.DUMMYFUNCTION("""COMPUTED_VALUE"""),"1*Sita T")</f>
        <v>1*Sita T</v>
      </c>
      <c r="M2306" s="14">
        <f>IFERROR(__xludf.DUMMYFUNCTION("SPLIT(L2306,""*"")"),1.0)</f>
        <v>1</v>
      </c>
      <c r="N2306" s="14" t="str">
        <f>IFERROR(__xludf.DUMMYFUNCTION("""COMPUTED_VALUE"""),"Sita T")</f>
        <v>Sita T</v>
      </c>
      <c r="O2306" s="14" t="str">
        <f>IFERROR(__xludf.DUMMYFUNCTION("split(J2306,""*"")"),"Delivered")</f>
        <v>Delivered</v>
      </c>
      <c r="P2306" s="14" t="str">
        <f>IFERROR(__xludf.DUMMYFUNCTION("""COMPUTED_VALUE"""),"Delivery Experience: Quick and professional")</f>
        <v>Delivery Experience: Quick and professional</v>
      </c>
      <c r="Q2306" s="14" t="str">
        <f>IFERROR(__xludf.DUMMYFUNCTION("split(P2306,"":"")"),"Delivery Experience")</f>
        <v>Delivery Experience</v>
      </c>
      <c r="R2306" s="14" t="str">
        <f>IFERROR(__xludf.DUMMYFUNCTION("""COMPUTED_VALUE""")," Quick and professional")</f>
        <v> Quick and professional</v>
      </c>
      <c r="S2306" s="14" t="str">
        <f t="shared" ref="S2306:U2306" si="4615">trim(B2306)</f>
        <v>ord_92279</v>
      </c>
      <c r="T2306" s="14" t="str">
        <f t="shared" si="4615"/>
        <v>Anaya Rao</v>
      </c>
      <c r="U2306" s="14" t="str">
        <f t="shared" si="4615"/>
        <v>Colaba</v>
      </c>
      <c r="V2306" s="14" t="str">
        <f t="shared" si="4"/>
        <v>Apple</v>
      </c>
      <c r="W2306" s="14">
        <f t="shared" si="5"/>
        <v>1</v>
      </c>
      <c r="X2306" s="14" t="str">
        <f t="shared" si="6"/>
        <v>Sita T</v>
      </c>
      <c r="Y2306" s="15">
        <f t="shared" si="7"/>
        <v>45141</v>
      </c>
      <c r="Z2306" s="14" t="str">
        <f t="shared" si="8"/>
        <v>UPI</v>
      </c>
      <c r="AA2306" s="14" t="str">
        <f t="shared" si="9"/>
        <v>Delivered</v>
      </c>
      <c r="AB2306" s="14" t="str">
        <f t="shared" ref="AB2306:AC2306" si="4616">trim(Q2306)</f>
        <v>Delivery Experience</v>
      </c>
      <c r="AC2306" s="14" t="str">
        <f t="shared" si="4616"/>
        <v>Quick and professional</v>
      </c>
      <c r="AD2306" s="8"/>
    </row>
    <row r="2307">
      <c r="A2307" s="14" t="str">
        <f>IFERROR(__xludf.DUMMYFUNCTION("""COMPUTED_VALUE"""),"//ord_92280//Harsh Vardhan//Bandra//Chocolate Mousse+4*Nithin Lal/7/10/2023//UPI//Delivered*Convenience: Easy tracking")</f>
        <v>//ord_92280//Harsh Vardhan//Bandra//Chocolate Mousse+4*Nithin Lal/7/10/2023//UPI//Delivered*Convenience: Easy tracking</v>
      </c>
      <c r="B2307" s="14" t="str">
        <f>IFERROR(__xludf.DUMMYFUNCTION("split(A2307,""//"")"),"ord_92280")</f>
        <v>ord_92280</v>
      </c>
      <c r="C2307" s="14" t="str">
        <f>IFERROR(__xludf.DUMMYFUNCTION("""COMPUTED_VALUE"""),"Harsh Vardhan")</f>
        <v>Harsh Vardhan</v>
      </c>
      <c r="D2307" s="14" t="str">
        <f>IFERROR(__xludf.DUMMYFUNCTION("""COMPUTED_VALUE"""),"Bandra")</f>
        <v>Bandra</v>
      </c>
      <c r="E2307" s="14" t="str">
        <f>IFERROR(__xludf.DUMMYFUNCTION("""COMPUTED_VALUE"""),"Chocolate Mousse+4*Nithin Lal")</f>
        <v>Chocolate Mousse+4*Nithin Lal</v>
      </c>
      <c r="F2307" s="14">
        <f>IFERROR(__xludf.DUMMYFUNCTION("""COMPUTED_VALUE"""),7.0)</f>
        <v>7</v>
      </c>
      <c r="G2307" s="14">
        <f>IFERROR(__xludf.DUMMYFUNCTION("""COMPUTED_VALUE"""),10.0)</f>
        <v>10</v>
      </c>
      <c r="H2307" s="14">
        <f>IFERROR(__xludf.DUMMYFUNCTION("""COMPUTED_VALUE"""),2023.0)</f>
        <v>2023</v>
      </c>
      <c r="I2307" s="14" t="str">
        <f>IFERROR(__xludf.DUMMYFUNCTION("""COMPUTED_VALUE"""),"UPI")</f>
        <v>UPI</v>
      </c>
      <c r="J2307" s="14" t="str">
        <f>IFERROR(__xludf.DUMMYFUNCTION("""COMPUTED_VALUE"""),"Delivered*Convenience: Easy tracking")</f>
        <v>Delivered*Convenience: Easy tracking</v>
      </c>
      <c r="K2307" s="14" t="str">
        <f>IFERROR(__xludf.DUMMYFUNCTION("split(E2307,""+"")"),"Chocolate Mousse")</f>
        <v>Chocolate Mousse</v>
      </c>
      <c r="L2307" s="14" t="str">
        <f>IFERROR(__xludf.DUMMYFUNCTION("""COMPUTED_VALUE"""),"4*Nithin Lal")</f>
        <v>4*Nithin Lal</v>
      </c>
      <c r="M2307" s="14">
        <f>IFERROR(__xludf.DUMMYFUNCTION("SPLIT(L2307,""*"")"),4.0)</f>
        <v>4</v>
      </c>
      <c r="N2307" s="14" t="str">
        <f>IFERROR(__xludf.DUMMYFUNCTION("""COMPUTED_VALUE"""),"Nithin Lal")</f>
        <v>Nithin Lal</v>
      </c>
      <c r="O2307" s="14" t="str">
        <f>IFERROR(__xludf.DUMMYFUNCTION("split(J2307,""*"")"),"Delivered")</f>
        <v>Delivered</v>
      </c>
      <c r="P2307" s="14" t="str">
        <f>IFERROR(__xludf.DUMMYFUNCTION("""COMPUTED_VALUE"""),"Convenience: Easy tracking")</f>
        <v>Convenience: Easy tracking</v>
      </c>
      <c r="Q2307" s="14" t="str">
        <f>IFERROR(__xludf.DUMMYFUNCTION("split(P2307,"":"")"),"Convenience")</f>
        <v>Convenience</v>
      </c>
      <c r="R2307" s="14" t="str">
        <f>IFERROR(__xludf.DUMMYFUNCTION("""COMPUTED_VALUE""")," Easy tracking")</f>
        <v> Easy tracking</v>
      </c>
      <c r="S2307" s="14" t="str">
        <f t="shared" ref="S2307:U2307" si="4617">trim(B2307)</f>
        <v>ord_92280</v>
      </c>
      <c r="T2307" s="14" t="str">
        <f t="shared" si="4617"/>
        <v>Harsh Vardhan</v>
      </c>
      <c r="U2307" s="14" t="str">
        <f t="shared" si="4617"/>
        <v>Bandra</v>
      </c>
      <c r="V2307" s="14" t="str">
        <f t="shared" si="4"/>
        <v>Chocolate Mousse</v>
      </c>
      <c r="W2307" s="14">
        <f t="shared" si="5"/>
        <v>4</v>
      </c>
      <c r="X2307" s="14" t="str">
        <f t="shared" si="6"/>
        <v>Nithin Lal</v>
      </c>
      <c r="Y2307" s="15">
        <f t="shared" si="7"/>
        <v>45117</v>
      </c>
      <c r="Z2307" s="14" t="str">
        <f t="shared" si="8"/>
        <v>UPI</v>
      </c>
      <c r="AA2307" s="14" t="str">
        <f t="shared" si="9"/>
        <v>Delivered</v>
      </c>
      <c r="AB2307" s="14" t="str">
        <f t="shared" ref="AB2307:AC2307" si="4618">trim(Q2307)</f>
        <v>Convenience</v>
      </c>
      <c r="AC2307" s="14" t="str">
        <f t="shared" si="4618"/>
        <v>Easy tracking</v>
      </c>
      <c r="AD2307" s="8"/>
    </row>
    <row r="2308">
      <c r="A2308" s="14" t="str">
        <f>IFERROR(__xludf.DUMMYFUNCTION("""COMPUTED_VALUE"""),"//ord_92281//Dev Chauhan//Bandra//Popcorn+5*Vivek Kumar/7/24/2023//UPI//Delivered*On-time Delivery: Delivered on time")</f>
        <v>//ord_92281//Dev Chauhan//Bandra//Popcorn+5*Vivek Kumar/7/24/2023//UPI//Delivered*On-time Delivery: Delivered on time</v>
      </c>
      <c r="B2308" s="14" t="str">
        <f>IFERROR(__xludf.DUMMYFUNCTION("split(A2308,""//"")"),"ord_92281")</f>
        <v>ord_92281</v>
      </c>
      <c r="C2308" s="14" t="str">
        <f>IFERROR(__xludf.DUMMYFUNCTION("""COMPUTED_VALUE"""),"Dev Chauhan")</f>
        <v>Dev Chauhan</v>
      </c>
      <c r="D2308" s="14" t="str">
        <f>IFERROR(__xludf.DUMMYFUNCTION("""COMPUTED_VALUE"""),"Bandra")</f>
        <v>Bandra</v>
      </c>
      <c r="E2308" s="14" t="str">
        <f>IFERROR(__xludf.DUMMYFUNCTION("""COMPUTED_VALUE"""),"Popcorn+5*Vivek Kumar")</f>
        <v>Popcorn+5*Vivek Kumar</v>
      </c>
      <c r="F2308" s="14">
        <f>IFERROR(__xludf.DUMMYFUNCTION("""COMPUTED_VALUE"""),7.0)</f>
        <v>7</v>
      </c>
      <c r="G2308" s="14">
        <f>IFERROR(__xludf.DUMMYFUNCTION("""COMPUTED_VALUE"""),24.0)</f>
        <v>24</v>
      </c>
      <c r="H2308" s="14">
        <f>IFERROR(__xludf.DUMMYFUNCTION("""COMPUTED_VALUE"""),2023.0)</f>
        <v>2023</v>
      </c>
      <c r="I2308" s="14" t="str">
        <f>IFERROR(__xludf.DUMMYFUNCTION("""COMPUTED_VALUE"""),"UPI")</f>
        <v>UPI</v>
      </c>
      <c r="J2308" s="14" t="str">
        <f>IFERROR(__xludf.DUMMYFUNCTION("""COMPUTED_VALUE"""),"Delivered*On-time Delivery: Delivered on time")</f>
        <v>Delivered*On-time Delivery: Delivered on time</v>
      </c>
      <c r="K2308" s="14" t="str">
        <f>IFERROR(__xludf.DUMMYFUNCTION("split(E2308,""+"")"),"Popcorn")</f>
        <v>Popcorn</v>
      </c>
      <c r="L2308" s="14" t="str">
        <f>IFERROR(__xludf.DUMMYFUNCTION("""COMPUTED_VALUE"""),"5*Vivek Kumar")</f>
        <v>5*Vivek Kumar</v>
      </c>
      <c r="M2308" s="14">
        <f>IFERROR(__xludf.DUMMYFUNCTION("SPLIT(L2308,""*"")"),5.0)</f>
        <v>5</v>
      </c>
      <c r="N2308" s="14" t="str">
        <f>IFERROR(__xludf.DUMMYFUNCTION("""COMPUTED_VALUE"""),"Vivek Kumar")</f>
        <v>Vivek Kumar</v>
      </c>
      <c r="O2308" s="14" t="str">
        <f>IFERROR(__xludf.DUMMYFUNCTION("split(J2308,""*"")"),"Delivered")</f>
        <v>Delivered</v>
      </c>
      <c r="P2308" s="14" t="str">
        <f>IFERROR(__xludf.DUMMYFUNCTION("""COMPUTED_VALUE"""),"On-time Delivery: Delivered on time")</f>
        <v>On-time Delivery: Delivered on time</v>
      </c>
      <c r="Q2308" s="14" t="str">
        <f>IFERROR(__xludf.DUMMYFUNCTION("split(P2308,"":"")"),"On-time Delivery")</f>
        <v>On-time Delivery</v>
      </c>
      <c r="R2308" s="14" t="str">
        <f>IFERROR(__xludf.DUMMYFUNCTION("""COMPUTED_VALUE""")," Delivered on time")</f>
        <v> Delivered on time</v>
      </c>
      <c r="S2308" s="14" t="str">
        <f t="shared" ref="S2308:U2308" si="4619">trim(B2308)</f>
        <v>ord_92281</v>
      </c>
      <c r="T2308" s="14" t="str">
        <f t="shared" si="4619"/>
        <v>Dev Chauhan</v>
      </c>
      <c r="U2308" s="14" t="str">
        <f t="shared" si="4619"/>
        <v>Bandra</v>
      </c>
      <c r="V2308" s="14" t="str">
        <f t="shared" si="4"/>
        <v>Popcorn</v>
      </c>
      <c r="W2308" s="14">
        <f t="shared" si="5"/>
        <v>5</v>
      </c>
      <c r="X2308" s="14" t="str">
        <f t="shared" si="6"/>
        <v>Vivek Kumar</v>
      </c>
      <c r="Y2308" s="15">
        <f t="shared" si="7"/>
        <v>45131</v>
      </c>
      <c r="Z2308" s="14" t="str">
        <f t="shared" si="8"/>
        <v>UPI</v>
      </c>
      <c r="AA2308" s="14" t="str">
        <f t="shared" si="9"/>
        <v>Delivered</v>
      </c>
      <c r="AB2308" s="14" t="str">
        <f t="shared" ref="AB2308:AC2308" si="4620">trim(Q2308)</f>
        <v>On-time Delivery</v>
      </c>
      <c r="AC2308" s="14" t="str">
        <f t="shared" si="4620"/>
        <v>Delivered on time</v>
      </c>
      <c r="AD2308" s="8"/>
    </row>
    <row r="2309">
      <c r="A2309" s="14" t="str">
        <f>IFERROR(__xludf.DUMMYFUNCTION("""COMPUTED_VALUE"""),"//ord_92282//Siya Reddy//Juhu//Apple+1*Vivek Kumar/12/21/2023//Online Payment//Delivered*Quality of Items: Perfect condition")</f>
        <v>//ord_92282//Siya Reddy//Juhu//Apple+1*Vivek Kumar/12/21/2023//Online Payment//Delivered*Quality of Items: Perfect condition</v>
      </c>
      <c r="B2309" s="14" t="str">
        <f>IFERROR(__xludf.DUMMYFUNCTION("split(A2309,""//"")"),"ord_92282")</f>
        <v>ord_92282</v>
      </c>
      <c r="C2309" s="14" t="str">
        <f>IFERROR(__xludf.DUMMYFUNCTION("""COMPUTED_VALUE"""),"Siya Reddy")</f>
        <v>Siya Reddy</v>
      </c>
      <c r="D2309" s="14" t="str">
        <f>IFERROR(__xludf.DUMMYFUNCTION("""COMPUTED_VALUE"""),"Juhu")</f>
        <v>Juhu</v>
      </c>
      <c r="E2309" s="14" t="str">
        <f>IFERROR(__xludf.DUMMYFUNCTION("""COMPUTED_VALUE"""),"Apple+1*Vivek Kumar")</f>
        <v>Apple+1*Vivek Kumar</v>
      </c>
      <c r="F2309" s="14">
        <f>IFERROR(__xludf.DUMMYFUNCTION("""COMPUTED_VALUE"""),12.0)</f>
        <v>12</v>
      </c>
      <c r="G2309" s="14">
        <f>IFERROR(__xludf.DUMMYFUNCTION("""COMPUTED_VALUE"""),21.0)</f>
        <v>21</v>
      </c>
      <c r="H2309" s="14">
        <f>IFERROR(__xludf.DUMMYFUNCTION("""COMPUTED_VALUE"""),2023.0)</f>
        <v>2023</v>
      </c>
      <c r="I2309" s="14" t="str">
        <f>IFERROR(__xludf.DUMMYFUNCTION("""COMPUTED_VALUE"""),"Online Payment")</f>
        <v>Online Payment</v>
      </c>
      <c r="J2309" s="14" t="str">
        <f>IFERROR(__xludf.DUMMYFUNCTION("""COMPUTED_VALUE"""),"Delivered*Quality of Items: Perfect condition")</f>
        <v>Delivered*Quality of Items: Perfect condition</v>
      </c>
      <c r="K2309" s="14" t="str">
        <f>IFERROR(__xludf.DUMMYFUNCTION("split(E2309,""+"")"),"Apple")</f>
        <v>Apple</v>
      </c>
      <c r="L2309" s="14" t="str">
        <f>IFERROR(__xludf.DUMMYFUNCTION("""COMPUTED_VALUE"""),"1*Vivek Kumar")</f>
        <v>1*Vivek Kumar</v>
      </c>
      <c r="M2309" s="14">
        <f>IFERROR(__xludf.DUMMYFUNCTION("SPLIT(L2309,""*"")"),1.0)</f>
        <v>1</v>
      </c>
      <c r="N2309" s="14" t="str">
        <f>IFERROR(__xludf.DUMMYFUNCTION("""COMPUTED_VALUE"""),"Vivek Kumar")</f>
        <v>Vivek Kumar</v>
      </c>
      <c r="O2309" s="14" t="str">
        <f>IFERROR(__xludf.DUMMYFUNCTION("split(J2309,""*"")"),"Delivered")</f>
        <v>Delivered</v>
      </c>
      <c r="P2309" s="14" t="str">
        <f>IFERROR(__xludf.DUMMYFUNCTION("""COMPUTED_VALUE"""),"Quality of Items: Perfect condition")</f>
        <v>Quality of Items: Perfect condition</v>
      </c>
      <c r="Q2309" s="14" t="str">
        <f>IFERROR(__xludf.DUMMYFUNCTION("split(P2309,"":"")"),"Quality of Items")</f>
        <v>Quality of Items</v>
      </c>
      <c r="R2309" s="14" t="str">
        <f>IFERROR(__xludf.DUMMYFUNCTION("""COMPUTED_VALUE""")," Perfect condition")</f>
        <v> Perfect condition</v>
      </c>
      <c r="S2309" s="14" t="str">
        <f t="shared" ref="S2309:U2309" si="4621">trim(B2309)</f>
        <v>ord_92282</v>
      </c>
      <c r="T2309" s="14" t="str">
        <f t="shared" si="4621"/>
        <v>Siya Reddy</v>
      </c>
      <c r="U2309" s="14" t="str">
        <f t="shared" si="4621"/>
        <v>Juhu</v>
      </c>
      <c r="V2309" s="14" t="str">
        <f t="shared" si="4"/>
        <v>Apple</v>
      </c>
      <c r="W2309" s="14">
        <f t="shared" si="5"/>
        <v>1</v>
      </c>
      <c r="X2309" s="14" t="str">
        <f t="shared" si="6"/>
        <v>Vivek Kumar</v>
      </c>
      <c r="Y2309" s="15">
        <f t="shared" si="7"/>
        <v>45281</v>
      </c>
      <c r="Z2309" s="14" t="str">
        <f t="shared" si="8"/>
        <v>Online Payment</v>
      </c>
      <c r="AA2309" s="14" t="str">
        <f t="shared" si="9"/>
        <v>Delivered</v>
      </c>
      <c r="AB2309" s="14" t="str">
        <f t="shared" ref="AB2309:AC2309" si="4622">trim(Q2309)</f>
        <v>Quality of Items</v>
      </c>
      <c r="AC2309" s="14" t="str">
        <f t="shared" si="4622"/>
        <v>Perfect condition</v>
      </c>
      <c r="AD2309" s="8"/>
    </row>
    <row r="2310">
      <c r="A2310" s="14" t="str">
        <f>IFERROR(__xludf.DUMMYFUNCTION("""COMPUTED_VALUE"""),"//ord_92283//Aarav Mehta//Andheri//Cold Coffee+3*Not Assigned/8/27/2023//Credit Card//Cancelled*App Glitches: Inconsistent Data Display")</f>
        <v>//ord_92283//Aarav Mehta//Andheri//Cold Coffee+3*Not Assigned/8/27/2023//Credit Card//Cancelled*App Glitches: Inconsistent Data Display</v>
      </c>
      <c r="B2310" s="14" t="str">
        <f>IFERROR(__xludf.DUMMYFUNCTION("split(A2310,""//"")"),"ord_92283")</f>
        <v>ord_92283</v>
      </c>
      <c r="C2310" s="14" t="str">
        <f>IFERROR(__xludf.DUMMYFUNCTION("""COMPUTED_VALUE"""),"Aarav Mehta")</f>
        <v>Aarav Mehta</v>
      </c>
      <c r="D2310" s="14" t="str">
        <f>IFERROR(__xludf.DUMMYFUNCTION("""COMPUTED_VALUE"""),"Andheri")</f>
        <v>Andheri</v>
      </c>
      <c r="E2310" s="14" t="str">
        <f>IFERROR(__xludf.DUMMYFUNCTION("""COMPUTED_VALUE"""),"Cold Coffee+3*Not Assigned")</f>
        <v>Cold Coffee+3*Not Assigned</v>
      </c>
      <c r="F2310" s="14">
        <f>IFERROR(__xludf.DUMMYFUNCTION("""COMPUTED_VALUE"""),8.0)</f>
        <v>8</v>
      </c>
      <c r="G2310" s="14">
        <f>IFERROR(__xludf.DUMMYFUNCTION("""COMPUTED_VALUE"""),27.0)</f>
        <v>27</v>
      </c>
      <c r="H2310" s="14">
        <f>IFERROR(__xludf.DUMMYFUNCTION("""COMPUTED_VALUE"""),2023.0)</f>
        <v>2023</v>
      </c>
      <c r="I2310" s="14" t="str">
        <f>IFERROR(__xludf.DUMMYFUNCTION("""COMPUTED_VALUE"""),"Credit Card")</f>
        <v>Credit Card</v>
      </c>
      <c r="J2310" s="14" t="str">
        <f>IFERROR(__xludf.DUMMYFUNCTION("""COMPUTED_VALUE"""),"Cancelled*App Glitches: Inconsistent Data Display")</f>
        <v>Cancelled*App Glitches: Inconsistent Data Display</v>
      </c>
      <c r="K2310" s="14" t="str">
        <f>IFERROR(__xludf.DUMMYFUNCTION("split(E2310,""+"")"),"Cold Coffee")</f>
        <v>Cold Coffee</v>
      </c>
      <c r="L2310" s="14" t="str">
        <f>IFERROR(__xludf.DUMMYFUNCTION("""COMPUTED_VALUE"""),"3*Not Assigned")</f>
        <v>3*Not Assigned</v>
      </c>
      <c r="M2310" s="14">
        <f>IFERROR(__xludf.DUMMYFUNCTION("SPLIT(L2310,""*"")"),3.0)</f>
        <v>3</v>
      </c>
      <c r="N2310" s="14" t="str">
        <f>IFERROR(__xludf.DUMMYFUNCTION("""COMPUTED_VALUE"""),"Not Assigned")</f>
        <v>Not Assigned</v>
      </c>
      <c r="O2310" s="14" t="str">
        <f>IFERROR(__xludf.DUMMYFUNCTION("split(J2310,""*"")"),"Cancelled")</f>
        <v>Cancelled</v>
      </c>
      <c r="P2310" s="14" t="str">
        <f>IFERROR(__xludf.DUMMYFUNCTION("""COMPUTED_VALUE"""),"App Glitches: Inconsistent Data Display")</f>
        <v>App Glitches: Inconsistent Data Display</v>
      </c>
      <c r="Q2310" s="14" t="str">
        <f>IFERROR(__xludf.DUMMYFUNCTION("split(P2310,"":"")"),"App Glitches")</f>
        <v>App Glitches</v>
      </c>
      <c r="R2310" s="14" t="str">
        <f>IFERROR(__xludf.DUMMYFUNCTION("""COMPUTED_VALUE""")," Inconsistent Data Display")</f>
        <v> Inconsistent Data Display</v>
      </c>
      <c r="S2310" s="14" t="str">
        <f t="shared" ref="S2310:U2310" si="4623">trim(B2310)</f>
        <v>ord_92283</v>
      </c>
      <c r="T2310" s="14" t="str">
        <f t="shared" si="4623"/>
        <v>Aarav Mehta</v>
      </c>
      <c r="U2310" s="14" t="str">
        <f t="shared" si="4623"/>
        <v>Andheri</v>
      </c>
      <c r="V2310" s="14" t="str">
        <f t="shared" si="4"/>
        <v>Cold Coffee</v>
      </c>
      <c r="W2310" s="14">
        <f t="shared" si="5"/>
        <v>3</v>
      </c>
      <c r="X2310" s="14" t="str">
        <f t="shared" si="6"/>
        <v>Not Assigned</v>
      </c>
      <c r="Y2310" s="15">
        <f t="shared" si="7"/>
        <v>45165</v>
      </c>
      <c r="Z2310" s="14" t="str">
        <f t="shared" si="8"/>
        <v>Credit Card</v>
      </c>
      <c r="AA2310" s="14" t="str">
        <f t="shared" si="9"/>
        <v>Cancelled</v>
      </c>
      <c r="AB2310" s="14" t="str">
        <f t="shared" ref="AB2310:AC2310" si="4624">trim(Q2310)</f>
        <v>App Glitches</v>
      </c>
      <c r="AC2310" s="14" t="str">
        <f t="shared" si="4624"/>
        <v>Inconsistent Data Display</v>
      </c>
      <c r="AD2310" s="8"/>
    </row>
    <row r="2311">
      <c r="A2311" s="14" t="str">
        <f>IFERROR(__xludf.DUMMYFUNCTION("""COMPUTED_VALUE"""),"//ord_92295//Diya Arora//Lower Parel//Sweet Corn+2*Sita T/8/16/2023//UPI//Delivered*Packaging: Secure and intact")</f>
        <v>//ord_92295//Diya Arora//Lower Parel//Sweet Corn+2*Sita T/8/16/2023//UPI//Delivered*Packaging: Secure and intact</v>
      </c>
      <c r="B2311" s="14" t="str">
        <f>IFERROR(__xludf.DUMMYFUNCTION("split(A2311,""//"")"),"ord_92295")</f>
        <v>ord_92295</v>
      </c>
      <c r="C2311" s="14" t="str">
        <f>IFERROR(__xludf.DUMMYFUNCTION("""COMPUTED_VALUE"""),"Diya Arora")</f>
        <v>Diya Arora</v>
      </c>
      <c r="D2311" s="14" t="str">
        <f>IFERROR(__xludf.DUMMYFUNCTION("""COMPUTED_VALUE"""),"Lower Parel")</f>
        <v>Lower Parel</v>
      </c>
      <c r="E2311" s="14" t="str">
        <f>IFERROR(__xludf.DUMMYFUNCTION("""COMPUTED_VALUE"""),"Sweet Corn+2*Sita T")</f>
        <v>Sweet Corn+2*Sita T</v>
      </c>
      <c r="F2311" s="14">
        <f>IFERROR(__xludf.DUMMYFUNCTION("""COMPUTED_VALUE"""),8.0)</f>
        <v>8</v>
      </c>
      <c r="G2311" s="14">
        <f>IFERROR(__xludf.DUMMYFUNCTION("""COMPUTED_VALUE"""),16.0)</f>
        <v>16</v>
      </c>
      <c r="H2311" s="14">
        <f>IFERROR(__xludf.DUMMYFUNCTION("""COMPUTED_VALUE"""),2023.0)</f>
        <v>2023</v>
      </c>
      <c r="I2311" s="14" t="str">
        <f>IFERROR(__xludf.DUMMYFUNCTION("""COMPUTED_VALUE"""),"UPI")</f>
        <v>UPI</v>
      </c>
      <c r="J2311" s="14" t="str">
        <f>IFERROR(__xludf.DUMMYFUNCTION("""COMPUTED_VALUE"""),"Delivered*Packaging: Secure and intact")</f>
        <v>Delivered*Packaging: Secure and intact</v>
      </c>
      <c r="K2311" s="14" t="str">
        <f>IFERROR(__xludf.DUMMYFUNCTION("split(E2311,""+"")"),"Sweet Corn")</f>
        <v>Sweet Corn</v>
      </c>
      <c r="L2311" s="14" t="str">
        <f>IFERROR(__xludf.DUMMYFUNCTION("""COMPUTED_VALUE"""),"2*Sita T")</f>
        <v>2*Sita T</v>
      </c>
      <c r="M2311" s="14">
        <f>IFERROR(__xludf.DUMMYFUNCTION("SPLIT(L2311,""*"")"),2.0)</f>
        <v>2</v>
      </c>
      <c r="N2311" s="14" t="str">
        <f>IFERROR(__xludf.DUMMYFUNCTION("""COMPUTED_VALUE"""),"Sita T")</f>
        <v>Sita T</v>
      </c>
      <c r="O2311" s="14" t="str">
        <f>IFERROR(__xludf.DUMMYFUNCTION("split(J2311,""*"")"),"Delivered")</f>
        <v>Delivered</v>
      </c>
      <c r="P2311" s="14" t="str">
        <f>IFERROR(__xludf.DUMMYFUNCTION("""COMPUTED_VALUE"""),"Packaging: Secure and intact")</f>
        <v>Packaging: Secure and intact</v>
      </c>
      <c r="Q2311" s="14" t="str">
        <f>IFERROR(__xludf.DUMMYFUNCTION("split(P2311,"":"")"),"Packaging")</f>
        <v>Packaging</v>
      </c>
      <c r="R2311" s="14" t="str">
        <f>IFERROR(__xludf.DUMMYFUNCTION("""COMPUTED_VALUE""")," Secure and intact")</f>
        <v> Secure and intact</v>
      </c>
      <c r="S2311" s="14" t="str">
        <f t="shared" ref="S2311:U2311" si="4625">trim(B2311)</f>
        <v>ord_92295</v>
      </c>
      <c r="T2311" s="14" t="str">
        <f t="shared" si="4625"/>
        <v>Diya Arora</v>
      </c>
      <c r="U2311" s="14" t="str">
        <f t="shared" si="4625"/>
        <v>Lower Parel</v>
      </c>
      <c r="V2311" s="14" t="str">
        <f t="shared" si="4"/>
        <v>Sweet Corn</v>
      </c>
      <c r="W2311" s="14">
        <f t="shared" si="5"/>
        <v>2</v>
      </c>
      <c r="X2311" s="14" t="str">
        <f t="shared" si="6"/>
        <v>Sita T</v>
      </c>
      <c r="Y2311" s="15">
        <f t="shared" si="7"/>
        <v>45154</v>
      </c>
      <c r="Z2311" s="14" t="str">
        <f t="shared" si="8"/>
        <v>UPI</v>
      </c>
      <c r="AA2311" s="14" t="str">
        <f t="shared" si="9"/>
        <v>Delivered</v>
      </c>
      <c r="AB2311" s="14" t="str">
        <f t="shared" ref="AB2311:AC2311" si="4626">trim(Q2311)</f>
        <v>Packaging</v>
      </c>
      <c r="AC2311" s="14" t="str">
        <f t="shared" si="4626"/>
        <v>Secure and intact</v>
      </c>
      <c r="AD2311" s="8"/>
    </row>
    <row r="2312">
      <c r="A2312" s="14" t="str">
        <f>IFERROR(__xludf.DUMMYFUNCTION("""COMPUTED_VALUE"""),"//ord_92296//Arvind Kulkarni//Juhu//Cucumber+2*Ram Gopal/9/18/2023//Online Payment//Delivered*Satisfied with the Delivery: Timely and quality")</f>
        <v>//ord_92296//Arvind Kulkarni//Juhu//Cucumber+2*Ram Gopal/9/18/2023//Online Payment//Delivered*Satisfied with the Delivery: Timely and quality</v>
      </c>
      <c r="B2312" s="14" t="str">
        <f>IFERROR(__xludf.DUMMYFUNCTION("split(A2312,""//"")"),"ord_92296")</f>
        <v>ord_92296</v>
      </c>
      <c r="C2312" s="14" t="str">
        <f>IFERROR(__xludf.DUMMYFUNCTION("""COMPUTED_VALUE"""),"Arvind Kulkarni")</f>
        <v>Arvind Kulkarni</v>
      </c>
      <c r="D2312" s="14" t="str">
        <f>IFERROR(__xludf.DUMMYFUNCTION("""COMPUTED_VALUE"""),"Juhu")</f>
        <v>Juhu</v>
      </c>
      <c r="E2312" s="14" t="str">
        <f>IFERROR(__xludf.DUMMYFUNCTION("""COMPUTED_VALUE"""),"Cucumber+2*Ram Gopal")</f>
        <v>Cucumber+2*Ram Gopal</v>
      </c>
      <c r="F2312" s="14">
        <f>IFERROR(__xludf.DUMMYFUNCTION("""COMPUTED_VALUE"""),9.0)</f>
        <v>9</v>
      </c>
      <c r="G2312" s="14">
        <f>IFERROR(__xludf.DUMMYFUNCTION("""COMPUTED_VALUE"""),18.0)</f>
        <v>18</v>
      </c>
      <c r="H2312" s="14">
        <f>IFERROR(__xludf.DUMMYFUNCTION("""COMPUTED_VALUE"""),2023.0)</f>
        <v>2023</v>
      </c>
      <c r="I2312" s="14" t="str">
        <f>IFERROR(__xludf.DUMMYFUNCTION("""COMPUTED_VALUE"""),"Online Payment")</f>
        <v>Online Payment</v>
      </c>
      <c r="J2312" s="14" t="str">
        <f>IFERROR(__xludf.DUMMYFUNCTION("""COMPUTED_VALUE"""),"Delivered*Satisfied with the Delivery: Timely and quality")</f>
        <v>Delivered*Satisfied with the Delivery: Timely and quality</v>
      </c>
      <c r="K2312" s="14" t="str">
        <f>IFERROR(__xludf.DUMMYFUNCTION("split(E2312,""+"")"),"Cucumber")</f>
        <v>Cucumber</v>
      </c>
      <c r="L2312" s="14" t="str">
        <f>IFERROR(__xludf.DUMMYFUNCTION("""COMPUTED_VALUE"""),"2*Ram Gopal")</f>
        <v>2*Ram Gopal</v>
      </c>
      <c r="M2312" s="14">
        <f>IFERROR(__xludf.DUMMYFUNCTION("SPLIT(L2312,""*"")"),2.0)</f>
        <v>2</v>
      </c>
      <c r="N2312" s="14" t="str">
        <f>IFERROR(__xludf.DUMMYFUNCTION("""COMPUTED_VALUE"""),"Ram Gopal")</f>
        <v>Ram Gopal</v>
      </c>
      <c r="O2312" s="14" t="str">
        <f>IFERROR(__xludf.DUMMYFUNCTION("split(J2312,""*"")"),"Delivered")</f>
        <v>Delivered</v>
      </c>
      <c r="P2312" s="14" t="str">
        <f>IFERROR(__xludf.DUMMYFUNCTION("""COMPUTED_VALUE"""),"Satisfied with the Delivery: Timely and quality")</f>
        <v>Satisfied with the Delivery: Timely and quality</v>
      </c>
      <c r="Q2312" s="14" t="str">
        <f>IFERROR(__xludf.DUMMYFUNCTION("split(P2312,"":"")"),"Satisfied with the Delivery")</f>
        <v>Satisfied with the Delivery</v>
      </c>
      <c r="R2312" s="14" t="str">
        <f>IFERROR(__xludf.DUMMYFUNCTION("""COMPUTED_VALUE""")," Timely and quality")</f>
        <v> Timely and quality</v>
      </c>
      <c r="S2312" s="14" t="str">
        <f t="shared" ref="S2312:U2312" si="4627">trim(B2312)</f>
        <v>ord_92296</v>
      </c>
      <c r="T2312" s="14" t="str">
        <f t="shared" si="4627"/>
        <v>Arvind Kulkarni</v>
      </c>
      <c r="U2312" s="14" t="str">
        <f t="shared" si="4627"/>
        <v>Juhu</v>
      </c>
      <c r="V2312" s="14" t="str">
        <f t="shared" si="4"/>
        <v>Cucumber</v>
      </c>
      <c r="W2312" s="14">
        <f t="shared" si="5"/>
        <v>2</v>
      </c>
      <c r="X2312" s="14" t="str">
        <f t="shared" si="6"/>
        <v>Ram Gopal</v>
      </c>
      <c r="Y2312" s="15">
        <f t="shared" si="7"/>
        <v>45187</v>
      </c>
      <c r="Z2312" s="14" t="str">
        <f t="shared" si="8"/>
        <v>Online Payment</v>
      </c>
      <c r="AA2312" s="14" t="str">
        <f t="shared" si="9"/>
        <v>Delivered</v>
      </c>
      <c r="AB2312" s="14" t="str">
        <f t="shared" ref="AB2312:AC2312" si="4628">trim(Q2312)</f>
        <v>Satisfied with the Delivery</v>
      </c>
      <c r="AC2312" s="14" t="str">
        <f t="shared" si="4628"/>
        <v>Timely and quality</v>
      </c>
      <c r="AD2312" s="8"/>
    </row>
    <row r="2313">
      <c r="A2313" s="14" t="str">
        <f>IFERROR(__xludf.DUMMYFUNCTION("""COMPUTED_VALUE"""),"//ord_92297//Aarohi Kapoor//Bandra//Sweet Corn+1*Ramesh S/10/20/2023//UPI//Delivered*Customer Service: Seamless and easy")</f>
        <v>//ord_92297//Aarohi Kapoor//Bandra//Sweet Corn+1*Ramesh S/10/20/2023//UPI//Delivered*Customer Service: Seamless and easy</v>
      </c>
      <c r="B2313" s="14" t="str">
        <f>IFERROR(__xludf.DUMMYFUNCTION("split(A2313,""//"")"),"ord_92297")</f>
        <v>ord_92297</v>
      </c>
      <c r="C2313" s="14" t="str">
        <f>IFERROR(__xludf.DUMMYFUNCTION("""COMPUTED_VALUE"""),"Aarohi Kapoor")</f>
        <v>Aarohi Kapoor</v>
      </c>
      <c r="D2313" s="14" t="str">
        <f>IFERROR(__xludf.DUMMYFUNCTION("""COMPUTED_VALUE"""),"Bandra")</f>
        <v>Bandra</v>
      </c>
      <c r="E2313" s="14" t="str">
        <f>IFERROR(__xludf.DUMMYFUNCTION("""COMPUTED_VALUE"""),"Sweet Corn+1*Ramesh S")</f>
        <v>Sweet Corn+1*Ramesh S</v>
      </c>
      <c r="F2313" s="14">
        <f>IFERROR(__xludf.DUMMYFUNCTION("""COMPUTED_VALUE"""),10.0)</f>
        <v>10</v>
      </c>
      <c r="G2313" s="14">
        <f>IFERROR(__xludf.DUMMYFUNCTION("""COMPUTED_VALUE"""),20.0)</f>
        <v>20</v>
      </c>
      <c r="H2313" s="14">
        <f>IFERROR(__xludf.DUMMYFUNCTION("""COMPUTED_VALUE"""),2023.0)</f>
        <v>2023</v>
      </c>
      <c r="I2313" s="14" t="str">
        <f>IFERROR(__xludf.DUMMYFUNCTION("""COMPUTED_VALUE"""),"UPI")</f>
        <v>UPI</v>
      </c>
      <c r="J2313" s="14" t="str">
        <f>IFERROR(__xludf.DUMMYFUNCTION("""COMPUTED_VALUE"""),"Delivered*Customer Service: Seamless and easy")</f>
        <v>Delivered*Customer Service: Seamless and easy</v>
      </c>
      <c r="K2313" s="14" t="str">
        <f>IFERROR(__xludf.DUMMYFUNCTION("split(E2313,""+"")"),"Sweet Corn")</f>
        <v>Sweet Corn</v>
      </c>
      <c r="L2313" s="14" t="str">
        <f>IFERROR(__xludf.DUMMYFUNCTION("""COMPUTED_VALUE"""),"1*Ramesh S")</f>
        <v>1*Ramesh S</v>
      </c>
      <c r="M2313" s="14">
        <f>IFERROR(__xludf.DUMMYFUNCTION("SPLIT(L2313,""*"")"),1.0)</f>
        <v>1</v>
      </c>
      <c r="N2313" s="14" t="str">
        <f>IFERROR(__xludf.DUMMYFUNCTION("""COMPUTED_VALUE"""),"Ramesh S")</f>
        <v>Ramesh S</v>
      </c>
      <c r="O2313" s="14" t="str">
        <f>IFERROR(__xludf.DUMMYFUNCTION("split(J2313,""*"")"),"Delivered")</f>
        <v>Delivered</v>
      </c>
      <c r="P2313" s="14" t="str">
        <f>IFERROR(__xludf.DUMMYFUNCTION("""COMPUTED_VALUE"""),"Customer Service: Seamless and easy")</f>
        <v>Customer Service: Seamless and easy</v>
      </c>
      <c r="Q2313" s="14" t="str">
        <f>IFERROR(__xludf.DUMMYFUNCTION("split(P2313,"":"")"),"Customer Service")</f>
        <v>Customer Service</v>
      </c>
      <c r="R2313" s="14" t="str">
        <f>IFERROR(__xludf.DUMMYFUNCTION("""COMPUTED_VALUE""")," Seamless and easy")</f>
        <v> Seamless and easy</v>
      </c>
      <c r="S2313" s="14" t="str">
        <f t="shared" ref="S2313:U2313" si="4629">trim(B2313)</f>
        <v>ord_92297</v>
      </c>
      <c r="T2313" s="14" t="str">
        <f t="shared" si="4629"/>
        <v>Aarohi Kapoor</v>
      </c>
      <c r="U2313" s="14" t="str">
        <f t="shared" si="4629"/>
        <v>Bandra</v>
      </c>
      <c r="V2313" s="14" t="str">
        <f t="shared" si="4"/>
        <v>Sweet Corn</v>
      </c>
      <c r="W2313" s="14">
        <f t="shared" si="5"/>
        <v>1</v>
      </c>
      <c r="X2313" s="14" t="str">
        <f t="shared" si="6"/>
        <v>Ramesh S</v>
      </c>
      <c r="Y2313" s="15">
        <f t="shared" si="7"/>
        <v>45219</v>
      </c>
      <c r="Z2313" s="14" t="str">
        <f t="shared" si="8"/>
        <v>UPI</v>
      </c>
      <c r="AA2313" s="14" t="str">
        <f t="shared" si="9"/>
        <v>Delivered</v>
      </c>
      <c r="AB2313" s="14" t="str">
        <f t="shared" ref="AB2313:AC2313" si="4630">trim(Q2313)</f>
        <v>Customer Service</v>
      </c>
      <c r="AC2313" s="14" t="str">
        <f t="shared" si="4630"/>
        <v>Seamless and easy</v>
      </c>
      <c r="AD2313" s="8"/>
    </row>
    <row r="2314">
      <c r="A2314" s="14" t="str">
        <f>IFERROR(__xludf.DUMMYFUNCTION("""COMPUTED_VALUE"""),"//ord_92298//Diya Arora//Lower Parel//Papaya+2*Vivek Kumar/6/10/2023//UPI//Delivered*Delivery Experience: Quick and professional")</f>
        <v>//ord_92298//Diya Arora//Lower Parel//Papaya+2*Vivek Kumar/6/10/2023//UPI//Delivered*Delivery Experience: Quick and professional</v>
      </c>
      <c r="B2314" s="14" t="str">
        <f>IFERROR(__xludf.DUMMYFUNCTION("split(A2314,""//"")"),"ord_92298")</f>
        <v>ord_92298</v>
      </c>
      <c r="C2314" s="14" t="str">
        <f>IFERROR(__xludf.DUMMYFUNCTION("""COMPUTED_VALUE"""),"Diya Arora")</f>
        <v>Diya Arora</v>
      </c>
      <c r="D2314" s="14" t="str">
        <f>IFERROR(__xludf.DUMMYFUNCTION("""COMPUTED_VALUE"""),"Lower Parel")</f>
        <v>Lower Parel</v>
      </c>
      <c r="E2314" s="14" t="str">
        <f>IFERROR(__xludf.DUMMYFUNCTION("""COMPUTED_VALUE"""),"Papaya+2*Vivek Kumar")</f>
        <v>Papaya+2*Vivek Kumar</v>
      </c>
      <c r="F2314" s="14">
        <f>IFERROR(__xludf.DUMMYFUNCTION("""COMPUTED_VALUE"""),6.0)</f>
        <v>6</v>
      </c>
      <c r="G2314" s="14">
        <f>IFERROR(__xludf.DUMMYFUNCTION("""COMPUTED_VALUE"""),10.0)</f>
        <v>10</v>
      </c>
      <c r="H2314" s="14">
        <f>IFERROR(__xludf.DUMMYFUNCTION("""COMPUTED_VALUE"""),2023.0)</f>
        <v>2023</v>
      </c>
      <c r="I2314" s="14" t="str">
        <f>IFERROR(__xludf.DUMMYFUNCTION("""COMPUTED_VALUE"""),"UPI")</f>
        <v>UPI</v>
      </c>
      <c r="J2314" s="14" t="str">
        <f>IFERROR(__xludf.DUMMYFUNCTION("""COMPUTED_VALUE"""),"Delivered*Delivery Experience: Quick and professional")</f>
        <v>Delivered*Delivery Experience: Quick and professional</v>
      </c>
      <c r="K2314" s="14" t="str">
        <f>IFERROR(__xludf.DUMMYFUNCTION("split(E2314,""+"")"),"Papaya")</f>
        <v>Papaya</v>
      </c>
      <c r="L2314" s="14" t="str">
        <f>IFERROR(__xludf.DUMMYFUNCTION("""COMPUTED_VALUE"""),"2*Vivek Kumar")</f>
        <v>2*Vivek Kumar</v>
      </c>
      <c r="M2314" s="14">
        <f>IFERROR(__xludf.DUMMYFUNCTION("SPLIT(L2314,""*"")"),2.0)</f>
        <v>2</v>
      </c>
      <c r="N2314" s="14" t="str">
        <f>IFERROR(__xludf.DUMMYFUNCTION("""COMPUTED_VALUE"""),"Vivek Kumar")</f>
        <v>Vivek Kumar</v>
      </c>
      <c r="O2314" s="14" t="str">
        <f>IFERROR(__xludf.DUMMYFUNCTION("split(J2314,""*"")"),"Delivered")</f>
        <v>Delivered</v>
      </c>
      <c r="P2314" s="14" t="str">
        <f>IFERROR(__xludf.DUMMYFUNCTION("""COMPUTED_VALUE"""),"Delivery Experience: Quick and professional")</f>
        <v>Delivery Experience: Quick and professional</v>
      </c>
      <c r="Q2314" s="14" t="str">
        <f>IFERROR(__xludf.DUMMYFUNCTION("split(P2314,"":"")"),"Delivery Experience")</f>
        <v>Delivery Experience</v>
      </c>
      <c r="R2314" s="14" t="str">
        <f>IFERROR(__xludf.DUMMYFUNCTION("""COMPUTED_VALUE""")," Quick and professional")</f>
        <v> Quick and professional</v>
      </c>
      <c r="S2314" s="14" t="str">
        <f t="shared" ref="S2314:U2314" si="4631">trim(B2314)</f>
        <v>ord_92298</v>
      </c>
      <c r="T2314" s="14" t="str">
        <f t="shared" si="4631"/>
        <v>Diya Arora</v>
      </c>
      <c r="U2314" s="14" t="str">
        <f t="shared" si="4631"/>
        <v>Lower Parel</v>
      </c>
      <c r="V2314" s="14" t="str">
        <f t="shared" si="4"/>
        <v>Papaya</v>
      </c>
      <c r="W2314" s="14">
        <f t="shared" si="5"/>
        <v>2</v>
      </c>
      <c r="X2314" s="14" t="str">
        <f t="shared" si="6"/>
        <v>Vivek Kumar</v>
      </c>
      <c r="Y2314" s="15">
        <f t="shared" si="7"/>
        <v>45087</v>
      </c>
      <c r="Z2314" s="14" t="str">
        <f t="shared" si="8"/>
        <v>UPI</v>
      </c>
      <c r="AA2314" s="14" t="str">
        <f t="shared" si="9"/>
        <v>Delivered</v>
      </c>
      <c r="AB2314" s="14" t="str">
        <f t="shared" ref="AB2314:AC2314" si="4632">trim(Q2314)</f>
        <v>Delivery Experience</v>
      </c>
      <c r="AC2314" s="14" t="str">
        <f t="shared" si="4632"/>
        <v>Quick and professional</v>
      </c>
      <c r="AD2314" s="8"/>
    </row>
    <row r="2315">
      <c r="A2315" s="14" t="str">
        <f>IFERROR(__xludf.DUMMYFUNCTION("""COMPUTED_VALUE"""),"//ord_92299//Aarav Mehta//Andheri//Tiramisu+3*Ram Gopal/12/22/2023//UPI//Delivered*Convenience: Easy tracking")</f>
        <v>//ord_92299//Aarav Mehta//Andheri//Tiramisu+3*Ram Gopal/12/22/2023//UPI//Delivered*Convenience: Easy tracking</v>
      </c>
      <c r="B2315" s="14" t="str">
        <f>IFERROR(__xludf.DUMMYFUNCTION("split(A2315,""//"")"),"ord_92299")</f>
        <v>ord_92299</v>
      </c>
      <c r="C2315" s="14" t="str">
        <f>IFERROR(__xludf.DUMMYFUNCTION("""COMPUTED_VALUE"""),"Aarav Mehta")</f>
        <v>Aarav Mehta</v>
      </c>
      <c r="D2315" s="14" t="str">
        <f>IFERROR(__xludf.DUMMYFUNCTION("""COMPUTED_VALUE"""),"Andheri")</f>
        <v>Andheri</v>
      </c>
      <c r="E2315" s="14" t="str">
        <f>IFERROR(__xludf.DUMMYFUNCTION("""COMPUTED_VALUE"""),"Tiramisu+3*Ram Gopal")</f>
        <v>Tiramisu+3*Ram Gopal</v>
      </c>
      <c r="F2315" s="14">
        <f>IFERROR(__xludf.DUMMYFUNCTION("""COMPUTED_VALUE"""),12.0)</f>
        <v>12</v>
      </c>
      <c r="G2315" s="14">
        <f>IFERROR(__xludf.DUMMYFUNCTION("""COMPUTED_VALUE"""),22.0)</f>
        <v>22</v>
      </c>
      <c r="H2315" s="14">
        <f>IFERROR(__xludf.DUMMYFUNCTION("""COMPUTED_VALUE"""),2023.0)</f>
        <v>2023</v>
      </c>
      <c r="I2315" s="14" t="str">
        <f>IFERROR(__xludf.DUMMYFUNCTION("""COMPUTED_VALUE"""),"UPI")</f>
        <v>UPI</v>
      </c>
      <c r="J2315" s="14" t="str">
        <f>IFERROR(__xludf.DUMMYFUNCTION("""COMPUTED_VALUE"""),"Delivered*Convenience: Easy tracking")</f>
        <v>Delivered*Convenience: Easy tracking</v>
      </c>
      <c r="K2315" s="14" t="str">
        <f>IFERROR(__xludf.DUMMYFUNCTION("split(E2315,""+"")"),"Tiramisu")</f>
        <v>Tiramisu</v>
      </c>
      <c r="L2315" s="14" t="str">
        <f>IFERROR(__xludf.DUMMYFUNCTION("""COMPUTED_VALUE"""),"3*Ram Gopal")</f>
        <v>3*Ram Gopal</v>
      </c>
      <c r="M2315" s="14">
        <f>IFERROR(__xludf.DUMMYFUNCTION("SPLIT(L2315,""*"")"),3.0)</f>
        <v>3</v>
      </c>
      <c r="N2315" s="14" t="str">
        <f>IFERROR(__xludf.DUMMYFUNCTION("""COMPUTED_VALUE"""),"Ram Gopal")</f>
        <v>Ram Gopal</v>
      </c>
      <c r="O2315" s="14" t="str">
        <f>IFERROR(__xludf.DUMMYFUNCTION("split(J2315,""*"")"),"Delivered")</f>
        <v>Delivered</v>
      </c>
      <c r="P2315" s="14" t="str">
        <f>IFERROR(__xludf.DUMMYFUNCTION("""COMPUTED_VALUE"""),"Convenience: Easy tracking")</f>
        <v>Convenience: Easy tracking</v>
      </c>
      <c r="Q2315" s="14" t="str">
        <f>IFERROR(__xludf.DUMMYFUNCTION("split(P2315,"":"")"),"Convenience")</f>
        <v>Convenience</v>
      </c>
      <c r="R2315" s="14" t="str">
        <f>IFERROR(__xludf.DUMMYFUNCTION("""COMPUTED_VALUE""")," Easy tracking")</f>
        <v> Easy tracking</v>
      </c>
      <c r="S2315" s="14" t="str">
        <f t="shared" ref="S2315:U2315" si="4633">trim(B2315)</f>
        <v>ord_92299</v>
      </c>
      <c r="T2315" s="14" t="str">
        <f t="shared" si="4633"/>
        <v>Aarav Mehta</v>
      </c>
      <c r="U2315" s="14" t="str">
        <f t="shared" si="4633"/>
        <v>Andheri</v>
      </c>
      <c r="V2315" s="14" t="str">
        <f t="shared" si="4"/>
        <v>Tiramisu</v>
      </c>
      <c r="W2315" s="14">
        <f t="shared" si="5"/>
        <v>3</v>
      </c>
      <c r="X2315" s="14" t="str">
        <f t="shared" si="6"/>
        <v>Ram Gopal</v>
      </c>
      <c r="Y2315" s="15">
        <f t="shared" si="7"/>
        <v>45282</v>
      </c>
      <c r="Z2315" s="14" t="str">
        <f t="shared" si="8"/>
        <v>UPI</v>
      </c>
      <c r="AA2315" s="14" t="str">
        <f t="shared" si="9"/>
        <v>Delivered</v>
      </c>
      <c r="AB2315" s="14" t="str">
        <f t="shared" ref="AB2315:AC2315" si="4634">trim(Q2315)</f>
        <v>Convenience</v>
      </c>
      <c r="AC2315" s="14" t="str">
        <f t="shared" si="4634"/>
        <v>Easy tracking</v>
      </c>
      <c r="AD2315" s="8"/>
    </row>
    <row r="2316">
      <c r="A2316" s="14" t="str">
        <f>IFERROR(__xludf.DUMMYFUNCTION("""COMPUTED_VALUE"""),"//ord_92300//Parth Goel//Juhu//Juice+1*Sita T/6/19/2023//UPI//Delivered*Overall Satisfaction: Great service will order again")</f>
        <v>//ord_92300//Parth Goel//Juhu//Juice+1*Sita T/6/19/2023//UPI//Delivered*Overall Satisfaction: Great service will order again</v>
      </c>
      <c r="B2316" s="14" t="str">
        <f>IFERROR(__xludf.DUMMYFUNCTION("split(A2316,""//"")"),"ord_92300")</f>
        <v>ord_92300</v>
      </c>
      <c r="C2316" s="14" t="str">
        <f>IFERROR(__xludf.DUMMYFUNCTION("""COMPUTED_VALUE"""),"Parth Goel")</f>
        <v>Parth Goel</v>
      </c>
      <c r="D2316" s="14" t="str">
        <f>IFERROR(__xludf.DUMMYFUNCTION("""COMPUTED_VALUE"""),"Juhu")</f>
        <v>Juhu</v>
      </c>
      <c r="E2316" s="14" t="str">
        <f>IFERROR(__xludf.DUMMYFUNCTION("""COMPUTED_VALUE"""),"Juice+1*Sita T")</f>
        <v>Juice+1*Sita T</v>
      </c>
      <c r="F2316" s="14">
        <f>IFERROR(__xludf.DUMMYFUNCTION("""COMPUTED_VALUE"""),6.0)</f>
        <v>6</v>
      </c>
      <c r="G2316" s="14">
        <f>IFERROR(__xludf.DUMMYFUNCTION("""COMPUTED_VALUE"""),19.0)</f>
        <v>19</v>
      </c>
      <c r="H2316" s="14">
        <f>IFERROR(__xludf.DUMMYFUNCTION("""COMPUTED_VALUE"""),2023.0)</f>
        <v>2023</v>
      </c>
      <c r="I2316" s="14" t="str">
        <f>IFERROR(__xludf.DUMMYFUNCTION("""COMPUTED_VALUE"""),"UPI")</f>
        <v>UPI</v>
      </c>
      <c r="J2316" s="14" t="str">
        <f>IFERROR(__xludf.DUMMYFUNCTION("""COMPUTED_VALUE"""),"Delivered*Overall Satisfaction: Great service will order again")</f>
        <v>Delivered*Overall Satisfaction: Great service will order again</v>
      </c>
      <c r="K2316" s="14" t="str">
        <f>IFERROR(__xludf.DUMMYFUNCTION("split(E2316,""+"")"),"Juice")</f>
        <v>Juice</v>
      </c>
      <c r="L2316" s="14" t="str">
        <f>IFERROR(__xludf.DUMMYFUNCTION("""COMPUTED_VALUE"""),"1*Sita T")</f>
        <v>1*Sita T</v>
      </c>
      <c r="M2316" s="14">
        <f>IFERROR(__xludf.DUMMYFUNCTION("SPLIT(L2316,""*"")"),1.0)</f>
        <v>1</v>
      </c>
      <c r="N2316" s="14" t="str">
        <f>IFERROR(__xludf.DUMMYFUNCTION("""COMPUTED_VALUE"""),"Sita T")</f>
        <v>Sita T</v>
      </c>
      <c r="O2316" s="14" t="str">
        <f>IFERROR(__xludf.DUMMYFUNCTION("split(J2316,""*"")"),"Delivered")</f>
        <v>Delivered</v>
      </c>
      <c r="P2316" s="14" t="str">
        <f>IFERROR(__xludf.DUMMYFUNCTION("""COMPUTED_VALUE"""),"Overall Satisfaction: Great service will order again")</f>
        <v>Overall Satisfaction: Great service will order again</v>
      </c>
      <c r="Q2316" s="14" t="str">
        <f>IFERROR(__xludf.DUMMYFUNCTION("split(P2316,"":"")"),"Overall Satisfaction")</f>
        <v>Overall Satisfaction</v>
      </c>
      <c r="R2316" s="14" t="str">
        <f>IFERROR(__xludf.DUMMYFUNCTION("""COMPUTED_VALUE""")," Great service will order again")</f>
        <v> Great service will order again</v>
      </c>
      <c r="S2316" s="14" t="str">
        <f t="shared" ref="S2316:U2316" si="4635">trim(B2316)</f>
        <v>ord_92300</v>
      </c>
      <c r="T2316" s="14" t="str">
        <f t="shared" si="4635"/>
        <v>Parth Goel</v>
      </c>
      <c r="U2316" s="14" t="str">
        <f t="shared" si="4635"/>
        <v>Juhu</v>
      </c>
      <c r="V2316" s="14" t="str">
        <f t="shared" si="4"/>
        <v>Juice</v>
      </c>
      <c r="W2316" s="14">
        <f t="shared" si="5"/>
        <v>1</v>
      </c>
      <c r="X2316" s="14" t="str">
        <f t="shared" si="6"/>
        <v>Sita T</v>
      </c>
      <c r="Y2316" s="15">
        <f t="shared" si="7"/>
        <v>45096</v>
      </c>
      <c r="Z2316" s="14" t="str">
        <f t="shared" si="8"/>
        <v>UPI</v>
      </c>
      <c r="AA2316" s="14" t="str">
        <f t="shared" si="9"/>
        <v>Delivered</v>
      </c>
      <c r="AB2316" s="14" t="str">
        <f t="shared" ref="AB2316:AC2316" si="4636">trim(Q2316)</f>
        <v>Overall Satisfaction</v>
      </c>
      <c r="AC2316" s="14" t="str">
        <f t="shared" si="4636"/>
        <v>Great service will order again</v>
      </c>
      <c r="AD2316" s="8"/>
    </row>
    <row r="2317">
      <c r="A2317" s="14" t="str">
        <f>IFERROR(__xludf.DUMMYFUNCTION("""COMPUTED_VALUE"""),"//ord_92301//Aditi Iyer//Dadar//Tomato+1*Ramesh S/8/3/2023//UPI//Delivered*On-time Delivery: Delivered on time")</f>
        <v>//ord_92301//Aditi Iyer//Dadar//Tomato+1*Ramesh S/8/3/2023//UPI//Delivered*On-time Delivery: Delivered on time</v>
      </c>
      <c r="B2317" s="14" t="str">
        <f>IFERROR(__xludf.DUMMYFUNCTION("split(A2317,""//"")"),"ord_92301")</f>
        <v>ord_92301</v>
      </c>
      <c r="C2317" s="14" t="str">
        <f>IFERROR(__xludf.DUMMYFUNCTION("""COMPUTED_VALUE"""),"Aditi Iyer")</f>
        <v>Aditi Iyer</v>
      </c>
      <c r="D2317" s="14" t="str">
        <f>IFERROR(__xludf.DUMMYFUNCTION("""COMPUTED_VALUE"""),"Dadar")</f>
        <v>Dadar</v>
      </c>
      <c r="E2317" s="14" t="str">
        <f>IFERROR(__xludf.DUMMYFUNCTION("""COMPUTED_VALUE"""),"Tomato+1*Ramesh S")</f>
        <v>Tomato+1*Ramesh S</v>
      </c>
      <c r="F2317" s="14">
        <f>IFERROR(__xludf.DUMMYFUNCTION("""COMPUTED_VALUE"""),8.0)</f>
        <v>8</v>
      </c>
      <c r="G2317" s="14">
        <f>IFERROR(__xludf.DUMMYFUNCTION("""COMPUTED_VALUE"""),3.0)</f>
        <v>3</v>
      </c>
      <c r="H2317" s="14">
        <f>IFERROR(__xludf.DUMMYFUNCTION("""COMPUTED_VALUE"""),2023.0)</f>
        <v>2023</v>
      </c>
      <c r="I2317" s="14" t="str">
        <f>IFERROR(__xludf.DUMMYFUNCTION("""COMPUTED_VALUE"""),"UPI")</f>
        <v>UPI</v>
      </c>
      <c r="J2317" s="14" t="str">
        <f>IFERROR(__xludf.DUMMYFUNCTION("""COMPUTED_VALUE"""),"Delivered*On-time Delivery: Delivered on time")</f>
        <v>Delivered*On-time Delivery: Delivered on time</v>
      </c>
      <c r="K2317" s="14" t="str">
        <f>IFERROR(__xludf.DUMMYFUNCTION("split(E2317,""+"")"),"Tomato")</f>
        <v>Tomato</v>
      </c>
      <c r="L2317" s="14" t="str">
        <f>IFERROR(__xludf.DUMMYFUNCTION("""COMPUTED_VALUE"""),"1*Ramesh S")</f>
        <v>1*Ramesh S</v>
      </c>
      <c r="M2317" s="14">
        <f>IFERROR(__xludf.DUMMYFUNCTION("SPLIT(L2317,""*"")"),1.0)</f>
        <v>1</v>
      </c>
      <c r="N2317" s="14" t="str">
        <f>IFERROR(__xludf.DUMMYFUNCTION("""COMPUTED_VALUE"""),"Ramesh S")</f>
        <v>Ramesh S</v>
      </c>
      <c r="O2317" s="14" t="str">
        <f>IFERROR(__xludf.DUMMYFUNCTION("split(J2317,""*"")"),"Delivered")</f>
        <v>Delivered</v>
      </c>
      <c r="P2317" s="14" t="str">
        <f>IFERROR(__xludf.DUMMYFUNCTION("""COMPUTED_VALUE"""),"On-time Delivery: Delivered on time")</f>
        <v>On-time Delivery: Delivered on time</v>
      </c>
      <c r="Q2317" s="14" t="str">
        <f>IFERROR(__xludf.DUMMYFUNCTION("split(P2317,"":"")"),"On-time Delivery")</f>
        <v>On-time Delivery</v>
      </c>
      <c r="R2317" s="14" t="str">
        <f>IFERROR(__xludf.DUMMYFUNCTION("""COMPUTED_VALUE""")," Delivered on time")</f>
        <v> Delivered on time</v>
      </c>
      <c r="S2317" s="14" t="str">
        <f t="shared" ref="S2317:U2317" si="4637">trim(B2317)</f>
        <v>ord_92301</v>
      </c>
      <c r="T2317" s="14" t="str">
        <f t="shared" si="4637"/>
        <v>Aditi Iyer</v>
      </c>
      <c r="U2317" s="14" t="str">
        <f t="shared" si="4637"/>
        <v>Dadar</v>
      </c>
      <c r="V2317" s="14" t="str">
        <f t="shared" si="4"/>
        <v>Tomato</v>
      </c>
      <c r="W2317" s="14">
        <f t="shared" si="5"/>
        <v>1</v>
      </c>
      <c r="X2317" s="14" t="str">
        <f t="shared" si="6"/>
        <v>Ramesh S</v>
      </c>
      <c r="Y2317" s="15">
        <f t="shared" si="7"/>
        <v>45141</v>
      </c>
      <c r="Z2317" s="14" t="str">
        <f t="shared" si="8"/>
        <v>UPI</v>
      </c>
      <c r="AA2317" s="14" t="str">
        <f t="shared" si="9"/>
        <v>Delivered</v>
      </c>
      <c r="AB2317" s="14" t="str">
        <f t="shared" ref="AB2317:AC2317" si="4638">trim(Q2317)</f>
        <v>On-time Delivery</v>
      </c>
      <c r="AC2317" s="14" t="str">
        <f t="shared" si="4638"/>
        <v>Delivered on time</v>
      </c>
      <c r="AD2317" s="8"/>
    </row>
    <row r="2318">
      <c r="A2318" s="14" t="str">
        <f>IFERROR(__xludf.DUMMYFUNCTION("""COMPUTED_VALUE"""),"//ord_92302//Pranav Joshi//Andheri//Cucumber+2*Manju Ajay/11/18/2023//UPI//Delivered*On-time Delivery: Delivered on time")</f>
        <v>//ord_92302//Pranav Joshi//Andheri//Cucumber+2*Manju Ajay/11/18/2023//UPI//Delivered*On-time Delivery: Delivered on time</v>
      </c>
      <c r="B2318" s="14" t="str">
        <f>IFERROR(__xludf.DUMMYFUNCTION("split(A2318,""//"")"),"ord_92302")</f>
        <v>ord_92302</v>
      </c>
      <c r="C2318" s="14" t="str">
        <f>IFERROR(__xludf.DUMMYFUNCTION("""COMPUTED_VALUE"""),"Pranav Joshi")</f>
        <v>Pranav Joshi</v>
      </c>
      <c r="D2318" s="14" t="str">
        <f>IFERROR(__xludf.DUMMYFUNCTION("""COMPUTED_VALUE"""),"Andheri")</f>
        <v>Andheri</v>
      </c>
      <c r="E2318" s="14" t="str">
        <f>IFERROR(__xludf.DUMMYFUNCTION("""COMPUTED_VALUE"""),"Cucumber+2*Manju Ajay")</f>
        <v>Cucumber+2*Manju Ajay</v>
      </c>
      <c r="F2318" s="14">
        <f>IFERROR(__xludf.DUMMYFUNCTION("""COMPUTED_VALUE"""),11.0)</f>
        <v>11</v>
      </c>
      <c r="G2318" s="14">
        <f>IFERROR(__xludf.DUMMYFUNCTION("""COMPUTED_VALUE"""),18.0)</f>
        <v>18</v>
      </c>
      <c r="H2318" s="14">
        <f>IFERROR(__xludf.DUMMYFUNCTION("""COMPUTED_VALUE"""),2023.0)</f>
        <v>2023</v>
      </c>
      <c r="I2318" s="14" t="str">
        <f>IFERROR(__xludf.DUMMYFUNCTION("""COMPUTED_VALUE"""),"UPI")</f>
        <v>UPI</v>
      </c>
      <c r="J2318" s="14" t="str">
        <f>IFERROR(__xludf.DUMMYFUNCTION("""COMPUTED_VALUE"""),"Delivered*On-time Delivery: Delivered on time")</f>
        <v>Delivered*On-time Delivery: Delivered on time</v>
      </c>
      <c r="K2318" s="14" t="str">
        <f>IFERROR(__xludf.DUMMYFUNCTION("split(E2318,""+"")"),"Cucumber")</f>
        <v>Cucumber</v>
      </c>
      <c r="L2318" s="14" t="str">
        <f>IFERROR(__xludf.DUMMYFUNCTION("""COMPUTED_VALUE"""),"2*Manju Ajay")</f>
        <v>2*Manju Ajay</v>
      </c>
      <c r="M2318" s="14">
        <f>IFERROR(__xludf.DUMMYFUNCTION("SPLIT(L2318,""*"")"),2.0)</f>
        <v>2</v>
      </c>
      <c r="N2318" s="14" t="str">
        <f>IFERROR(__xludf.DUMMYFUNCTION("""COMPUTED_VALUE"""),"Manju Ajay")</f>
        <v>Manju Ajay</v>
      </c>
      <c r="O2318" s="14" t="str">
        <f>IFERROR(__xludf.DUMMYFUNCTION("split(J2318,""*"")"),"Delivered")</f>
        <v>Delivered</v>
      </c>
      <c r="P2318" s="14" t="str">
        <f>IFERROR(__xludf.DUMMYFUNCTION("""COMPUTED_VALUE"""),"On-time Delivery: Delivered on time")</f>
        <v>On-time Delivery: Delivered on time</v>
      </c>
      <c r="Q2318" s="14" t="str">
        <f>IFERROR(__xludf.DUMMYFUNCTION("split(P2318,"":"")"),"On-time Delivery")</f>
        <v>On-time Delivery</v>
      </c>
      <c r="R2318" s="14" t="str">
        <f>IFERROR(__xludf.DUMMYFUNCTION("""COMPUTED_VALUE""")," Delivered on time")</f>
        <v> Delivered on time</v>
      </c>
      <c r="S2318" s="14" t="str">
        <f t="shared" ref="S2318:U2318" si="4639">trim(B2318)</f>
        <v>ord_92302</v>
      </c>
      <c r="T2318" s="14" t="str">
        <f t="shared" si="4639"/>
        <v>Pranav Joshi</v>
      </c>
      <c r="U2318" s="14" t="str">
        <f t="shared" si="4639"/>
        <v>Andheri</v>
      </c>
      <c r="V2318" s="14" t="str">
        <f t="shared" si="4"/>
        <v>Cucumber</v>
      </c>
      <c r="W2318" s="14">
        <f t="shared" si="5"/>
        <v>2</v>
      </c>
      <c r="X2318" s="14" t="str">
        <f t="shared" si="6"/>
        <v>Manju Ajay</v>
      </c>
      <c r="Y2318" s="15">
        <f t="shared" si="7"/>
        <v>45248</v>
      </c>
      <c r="Z2318" s="14" t="str">
        <f t="shared" si="8"/>
        <v>UPI</v>
      </c>
      <c r="AA2318" s="14" t="str">
        <f t="shared" si="9"/>
        <v>Delivered</v>
      </c>
      <c r="AB2318" s="14" t="str">
        <f t="shared" ref="AB2318:AC2318" si="4640">trim(Q2318)</f>
        <v>On-time Delivery</v>
      </c>
      <c r="AC2318" s="14" t="str">
        <f t="shared" si="4640"/>
        <v>Delivered on time</v>
      </c>
      <c r="AD2318" s="8"/>
    </row>
    <row r="2319">
      <c r="A2319" s="14" t="str">
        <f>IFERROR(__xludf.DUMMYFUNCTION("""COMPUTED_VALUE"""),"//ord_92303//Mohit Malhotra//Lower Parel//Rasmalai+3*Sita T/8/19/2023//Credit Card//Delivered*Quality of Items: Perfect condition")</f>
        <v>//ord_92303//Mohit Malhotra//Lower Parel//Rasmalai+3*Sita T/8/19/2023//Credit Card//Delivered*Quality of Items: Perfect condition</v>
      </c>
      <c r="B2319" s="14" t="str">
        <f>IFERROR(__xludf.DUMMYFUNCTION("split(A2319,""//"")"),"ord_92303")</f>
        <v>ord_92303</v>
      </c>
      <c r="C2319" s="14" t="str">
        <f>IFERROR(__xludf.DUMMYFUNCTION("""COMPUTED_VALUE"""),"Mohit Malhotra")</f>
        <v>Mohit Malhotra</v>
      </c>
      <c r="D2319" s="14" t="str">
        <f>IFERROR(__xludf.DUMMYFUNCTION("""COMPUTED_VALUE"""),"Lower Parel")</f>
        <v>Lower Parel</v>
      </c>
      <c r="E2319" s="14" t="str">
        <f>IFERROR(__xludf.DUMMYFUNCTION("""COMPUTED_VALUE"""),"Rasmalai+3*Sita T")</f>
        <v>Rasmalai+3*Sita T</v>
      </c>
      <c r="F2319" s="14">
        <f>IFERROR(__xludf.DUMMYFUNCTION("""COMPUTED_VALUE"""),8.0)</f>
        <v>8</v>
      </c>
      <c r="G2319" s="14">
        <f>IFERROR(__xludf.DUMMYFUNCTION("""COMPUTED_VALUE"""),19.0)</f>
        <v>19</v>
      </c>
      <c r="H2319" s="14">
        <f>IFERROR(__xludf.DUMMYFUNCTION("""COMPUTED_VALUE"""),2023.0)</f>
        <v>2023</v>
      </c>
      <c r="I2319" s="14" t="str">
        <f>IFERROR(__xludf.DUMMYFUNCTION("""COMPUTED_VALUE"""),"Credit Card")</f>
        <v>Credit Card</v>
      </c>
      <c r="J2319" s="14" t="str">
        <f>IFERROR(__xludf.DUMMYFUNCTION("""COMPUTED_VALUE"""),"Delivered*Quality of Items: Perfect condition")</f>
        <v>Delivered*Quality of Items: Perfect condition</v>
      </c>
      <c r="K2319" s="14" t="str">
        <f>IFERROR(__xludf.DUMMYFUNCTION("split(E2319,""+"")"),"Rasmalai")</f>
        <v>Rasmalai</v>
      </c>
      <c r="L2319" s="14" t="str">
        <f>IFERROR(__xludf.DUMMYFUNCTION("""COMPUTED_VALUE"""),"3*Sita T")</f>
        <v>3*Sita T</v>
      </c>
      <c r="M2319" s="14">
        <f>IFERROR(__xludf.DUMMYFUNCTION("SPLIT(L2319,""*"")"),3.0)</f>
        <v>3</v>
      </c>
      <c r="N2319" s="14" t="str">
        <f>IFERROR(__xludf.DUMMYFUNCTION("""COMPUTED_VALUE"""),"Sita T")</f>
        <v>Sita T</v>
      </c>
      <c r="O2319" s="14" t="str">
        <f>IFERROR(__xludf.DUMMYFUNCTION("split(J2319,""*"")"),"Delivered")</f>
        <v>Delivered</v>
      </c>
      <c r="P2319" s="14" t="str">
        <f>IFERROR(__xludf.DUMMYFUNCTION("""COMPUTED_VALUE"""),"Quality of Items: Perfect condition")</f>
        <v>Quality of Items: Perfect condition</v>
      </c>
      <c r="Q2319" s="14" t="str">
        <f>IFERROR(__xludf.DUMMYFUNCTION("split(P2319,"":"")"),"Quality of Items")</f>
        <v>Quality of Items</v>
      </c>
      <c r="R2319" s="14" t="str">
        <f>IFERROR(__xludf.DUMMYFUNCTION("""COMPUTED_VALUE""")," Perfect condition")</f>
        <v> Perfect condition</v>
      </c>
      <c r="S2319" s="14" t="str">
        <f t="shared" ref="S2319:U2319" si="4641">trim(B2319)</f>
        <v>ord_92303</v>
      </c>
      <c r="T2319" s="14" t="str">
        <f t="shared" si="4641"/>
        <v>Mohit Malhotra</v>
      </c>
      <c r="U2319" s="14" t="str">
        <f t="shared" si="4641"/>
        <v>Lower Parel</v>
      </c>
      <c r="V2319" s="14" t="str">
        <f t="shared" si="4"/>
        <v>Rasmalai</v>
      </c>
      <c r="W2319" s="14">
        <f t="shared" si="5"/>
        <v>3</v>
      </c>
      <c r="X2319" s="14" t="str">
        <f t="shared" si="6"/>
        <v>Sita T</v>
      </c>
      <c r="Y2319" s="15">
        <f t="shared" si="7"/>
        <v>45157</v>
      </c>
      <c r="Z2319" s="14" t="str">
        <f t="shared" si="8"/>
        <v>Credit Card</v>
      </c>
      <c r="AA2319" s="14" t="str">
        <f t="shared" si="9"/>
        <v>Delivered</v>
      </c>
      <c r="AB2319" s="14" t="str">
        <f t="shared" ref="AB2319:AC2319" si="4642">trim(Q2319)</f>
        <v>Quality of Items</v>
      </c>
      <c r="AC2319" s="14" t="str">
        <f t="shared" si="4642"/>
        <v>Perfect condition</v>
      </c>
      <c r="AD2319" s="8"/>
    </row>
    <row r="2320">
      <c r="A2320" s="14" t="str">
        <f>IFERROR(__xludf.DUMMYFUNCTION("""COMPUTED_VALUE"""),"//ord_92304//Arvind Kulkarni//Juhu//Guava+1*Ram Gopal/12/25/2023//Credit Card//Delivered*Packaging: Secure and intact")</f>
        <v>//ord_92304//Arvind Kulkarni//Juhu//Guava+1*Ram Gopal/12/25/2023//Credit Card//Delivered*Packaging: Secure and intact</v>
      </c>
      <c r="B2320" s="14" t="str">
        <f>IFERROR(__xludf.DUMMYFUNCTION("split(A2320,""//"")"),"ord_92304")</f>
        <v>ord_92304</v>
      </c>
      <c r="C2320" s="14" t="str">
        <f>IFERROR(__xludf.DUMMYFUNCTION("""COMPUTED_VALUE"""),"Arvind Kulkarni")</f>
        <v>Arvind Kulkarni</v>
      </c>
      <c r="D2320" s="14" t="str">
        <f>IFERROR(__xludf.DUMMYFUNCTION("""COMPUTED_VALUE"""),"Juhu")</f>
        <v>Juhu</v>
      </c>
      <c r="E2320" s="14" t="str">
        <f>IFERROR(__xludf.DUMMYFUNCTION("""COMPUTED_VALUE"""),"Guava+1*Ram Gopal")</f>
        <v>Guava+1*Ram Gopal</v>
      </c>
      <c r="F2320" s="14">
        <f>IFERROR(__xludf.DUMMYFUNCTION("""COMPUTED_VALUE"""),12.0)</f>
        <v>12</v>
      </c>
      <c r="G2320" s="14">
        <f>IFERROR(__xludf.DUMMYFUNCTION("""COMPUTED_VALUE"""),25.0)</f>
        <v>25</v>
      </c>
      <c r="H2320" s="14">
        <f>IFERROR(__xludf.DUMMYFUNCTION("""COMPUTED_VALUE"""),2023.0)</f>
        <v>2023</v>
      </c>
      <c r="I2320" s="14" t="str">
        <f>IFERROR(__xludf.DUMMYFUNCTION("""COMPUTED_VALUE"""),"Credit Card")</f>
        <v>Credit Card</v>
      </c>
      <c r="J2320" s="14" t="str">
        <f>IFERROR(__xludf.DUMMYFUNCTION("""COMPUTED_VALUE"""),"Delivered*Packaging: Secure and intact")</f>
        <v>Delivered*Packaging: Secure and intact</v>
      </c>
      <c r="K2320" s="14" t="str">
        <f>IFERROR(__xludf.DUMMYFUNCTION("split(E2320,""+"")"),"Guava")</f>
        <v>Guava</v>
      </c>
      <c r="L2320" s="14" t="str">
        <f>IFERROR(__xludf.DUMMYFUNCTION("""COMPUTED_VALUE"""),"1*Ram Gopal")</f>
        <v>1*Ram Gopal</v>
      </c>
      <c r="M2320" s="14">
        <f>IFERROR(__xludf.DUMMYFUNCTION("SPLIT(L2320,""*"")"),1.0)</f>
        <v>1</v>
      </c>
      <c r="N2320" s="14" t="str">
        <f>IFERROR(__xludf.DUMMYFUNCTION("""COMPUTED_VALUE"""),"Ram Gopal")</f>
        <v>Ram Gopal</v>
      </c>
      <c r="O2320" s="14" t="str">
        <f>IFERROR(__xludf.DUMMYFUNCTION("split(J2320,""*"")"),"Delivered")</f>
        <v>Delivered</v>
      </c>
      <c r="P2320" s="14" t="str">
        <f>IFERROR(__xludf.DUMMYFUNCTION("""COMPUTED_VALUE"""),"Packaging: Secure and intact")</f>
        <v>Packaging: Secure and intact</v>
      </c>
      <c r="Q2320" s="14" t="str">
        <f>IFERROR(__xludf.DUMMYFUNCTION("split(P2320,"":"")"),"Packaging")</f>
        <v>Packaging</v>
      </c>
      <c r="R2320" s="14" t="str">
        <f>IFERROR(__xludf.DUMMYFUNCTION("""COMPUTED_VALUE""")," Secure and intact")</f>
        <v> Secure and intact</v>
      </c>
      <c r="S2320" s="14" t="str">
        <f t="shared" ref="S2320:U2320" si="4643">trim(B2320)</f>
        <v>ord_92304</v>
      </c>
      <c r="T2320" s="14" t="str">
        <f t="shared" si="4643"/>
        <v>Arvind Kulkarni</v>
      </c>
      <c r="U2320" s="14" t="str">
        <f t="shared" si="4643"/>
        <v>Juhu</v>
      </c>
      <c r="V2320" s="14" t="str">
        <f t="shared" si="4"/>
        <v>Guava</v>
      </c>
      <c r="W2320" s="14">
        <f t="shared" si="5"/>
        <v>1</v>
      </c>
      <c r="X2320" s="14" t="str">
        <f t="shared" si="6"/>
        <v>Ram Gopal</v>
      </c>
      <c r="Y2320" s="15">
        <f t="shared" si="7"/>
        <v>45285</v>
      </c>
      <c r="Z2320" s="14" t="str">
        <f t="shared" si="8"/>
        <v>Credit Card</v>
      </c>
      <c r="AA2320" s="14" t="str">
        <f t="shared" si="9"/>
        <v>Delivered</v>
      </c>
      <c r="AB2320" s="14" t="str">
        <f t="shared" ref="AB2320:AC2320" si="4644">trim(Q2320)</f>
        <v>Packaging</v>
      </c>
      <c r="AC2320" s="14" t="str">
        <f t="shared" si="4644"/>
        <v>Secure and intact</v>
      </c>
      <c r="AD2320" s="8"/>
    </row>
    <row r="2321">
      <c r="A2321" s="14" t="str">
        <f>IFERROR(__xludf.DUMMYFUNCTION("""COMPUTED_VALUE"""),"//ord_92322//Arvind Kulkarni//Juhu//Banana+1*Ramesh S/7/24/2023//UPI//Delivered*Satisfied with the Delivery: Timely and quality")</f>
        <v>//ord_92322//Arvind Kulkarni//Juhu//Banana+1*Ramesh S/7/24/2023//UPI//Delivered*Satisfied with the Delivery: Timely and quality</v>
      </c>
      <c r="B2321" s="14" t="str">
        <f>IFERROR(__xludf.DUMMYFUNCTION("split(A2321,""//"")"),"ord_92322")</f>
        <v>ord_92322</v>
      </c>
      <c r="C2321" s="14" t="str">
        <f>IFERROR(__xludf.DUMMYFUNCTION("""COMPUTED_VALUE"""),"Arvind Kulkarni")</f>
        <v>Arvind Kulkarni</v>
      </c>
      <c r="D2321" s="14" t="str">
        <f>IFERROR(__xludf.DUMMYFUNCTION("""COMPUTED_VALUE"""),"Juhu")</f>
        <v>Juhu</v>
      </c>
      <c r="E2321" s="14" t="str">
        <f>IFERROR(__xludf.DUMMYFUNCTION("""COMPUTED_VALUE"""),"Banana+1*Ramesh S")</f>
        <v>Banana+1*Ramesh S</v>
      </c>
      <c r="F2321" s="14">
        <f>IFERROR(__xludf.DUMMYFUNCTION("""COMPUTED_VALUE"""),7.0)</f>
        <v>7</v>
      </c>
      <c r="G2321" s="14">
        <f>IFERROR(__xludf.DUMMYFUNCTION("""COMPUTED_VALUE"""),24.0)</f>
        <v>24</v>
      </c>
      <c r="H2321" s="14">
        <f>IFERROR(__xludf.DUMMYFUNCTION("""COMPUTED_VALUE"""),2023.0)</f>
        <v>2023</v>
      </c>
      <c r="I2321" s="14" t="str">
        <f>IFERROR(__xludf.DUMMYFUNCTION("""COMPUTED_VALUE"""),"UPI")</f>
        <v>UPI</v>
      </c>
      <c r="J2321" s="14" t="str">
        <f>IFERROR(__xludf.DUMMYFUNCTION("""COMPUTED_VALUE"""),"Delivered*Satisfied with the Delivery: Timely and quality")</f>
        <v>Delivered*Satisfied with the Delivery: Timely and quality</v>
      </c>
      <c r="K2321" s="14" t="str">
        <f>IFERROR(__xludf.DUMMYFUNCTION("split(E2321,""+"")"),"Banana")</f>
        <v>Banana</v>
      </c>
      <c r="L2321" s="14" t="str">
        <f>IFERROR(__xludf.DUMMYFUNCTION("""COMPUTED_VALUE"""),"1*Ramesh S")</f>
        <v>1*Ramesh S</v>
      </c>
      <c r="M2321" s="14">
        <f>IFERROR(__xludf.DUMMYFUNCTION("SPLIT(L2321,""*"")"),1.0)</f>
        <v>1</v>
      </c>
      <c r="N2321" s="14" t="str">
        <f>IFERROR(__xludf.DUMMYFUNCTION("""COMPUTED_VALUE"""),"Ramesh S")</f>
        <v>Ramesh S</v>
      </c>
      <c r="O2321" s="14" t="str">
        <f>IFERROR(__xludf.DUMMYFUNCTION("split(J2321,""*"")"),"Delivered")</f>
        <v>Delivered</v>
      </c>
      <c r="P2321" s="14" t="str">
        <f>IFERROR(__xludf.DUMMYFUNCTION("""COMPUTED_VALUE"""),"Satisfied with the Delivery: Timely and quality")</f>
        <v>Satisfied with the Delivery: Timely and quality</v>
      </c>
      <c r="Q2321" s="14" t="str">
        <f>IFERROR(__xludf.DUMMYFUNCTION("split(P2321,"":"")"),"Satisfied with the Delivery")</f>
        <v>Satisfied with the Delivery</v>
      </c>
      <c r="R2321" s="14" t="str">
        <f>IFERROR(__xludf.DUMMYFUNCTION("""COMPUTED_VALUE""")," Timely and quality")</f>
        <v> Timely and quality</v>
      </c>
      <c r="S2321" s="14" t="str">
        <f t="shared" ref="S2321:U2321" si="4645">trim(B2321)</f>
        <v>ord_92322</v>
      </c>
      <c r="T2321" s="14" t="str">
        <f t="shared" si="4645"/>
        <v>Arvind Kulkarni</v>
      </c>
      <c r="U2321" s="14" t="str">
        <f t="shared" si="4645"/>
        <v>Juhu</v>
      </c>
      <c r="V2321" s="14" t="str">
        <f t="shared" si="4"/>
        <v>Banana</v>
      </c>
      <c r="W2321" s="14">
        <f t="shared" si="5"/>
        <v>1</v>
      </c>
      <c r="X2321" s="14" t="str">
        <f t="shared" si="6"/>
        <v>Ramesh S</v>
      </c>
      <c r="Y2321" s="15">
        <f t="shared" si="7"/>
        <v>45131</v>
      </c>
      <c r="Z2321" s="14" t="str">
        <f t="shared" si="8"/>
        <v>UPI</v>
      </c>
      <c r="AA2321" s="14" t="str">
        <f t="shared" si="9"/>
        <v>Delivered</v>
      </c>
      <c r="AB2321" s="14" t="str">
        <f t="shared" ref="AB2321:AC2321" si="4646">trim(Q2321)</f>
        <v>Satisfied with the Delivery</v>
      </c>
      <c r="AC2321" s="14" t="str">
        <f t="shared" si="4646"/>
        <v>Timely and quality</v>
      </c>
      <c r="AD2321" s="8"/>
    </row>
    <row r="2322">
      <c r="A2322" s="14" t="str">
        <f>IFERROR(__xludf.DUMMYFUNCTION("""COMPUTED_VALUE"""),"//ord_92323//Arvind Kulkarni//Juhu//Sweet Corn+2*Ramesh S/7/9/2023//UPI//Delivered*Customer Service: Seamless and easy")</f>
        <v>//ord_92323//Arvind Kulkarni//Juhu//Sweet Corn+2*Ramesh S/7/9/2023//UPI//Delivered*Customer Service: Seamless and easy</v>
      </c>
      <c r="B2322" s="14" t="str">
        <f>IFERROR(__xludf.DUMMYFUNCTION("split(A2322,""//"")"),"ord_92323")</f>
        <v>ord_92323</v>
      </c>
      <c r="C2322" s="14" t="str">
        <f>IFERROR(__xludf.DUMMYFUNCTION("""COMPUTED_VALUE"""),"Arvind Kulkarni")</f>
        <v>Arvind Kulkarni</v>
      </c>
      <c r="D2322" s="14" t="str">
        <f>IFERROR(__xludf.DUMMYFUNCTION("""COMPUTED_VALUE"""),"Juhu")</f>
        <v>Juhu</v>
      </c>
      <c r="E2322" s="14" t="str">
        <f>IFERROR(__xludf.DUMMYFUNCTION("""COMPUTED_VALUE"""),"Sweet Corn+2*Ramesh S")</f>
        <v>Sweet Corn+2*Ramesh S</v>
      </c>
      <c r="F2322" s="14">
        <f>IFERROR(__xludf.DUMMYFUNCTION("""COMPUTED_VALUE"""),7.0)</f>
        <v>7</v>
      </c>
      <c r="G2322" s="14">
        <f>IFERROR(__xludf.DUMMYFUNCTION("""COMPUTED_VALUE"""),9.0)</f>
        <v>9</v>
      </c>
      <c r="H2322" s="14">
        <f>IFERROR(__xludf.DUMMYFUNCTION("""COMPUTED_VALUE"""),2023.0)</f>
        <v>2023</v>
      </c>
      <c r="I2322" s="14" t="str">
        <f>IFERROR(__xludf.DUMMYFUNCTION("""COMPUTED_VALUE"""),"UPI")</f>
        <v>UPI</v>
      </c>
      <c r="J2322" s="14" t="str">
        <f>IFERROR(__xludf.DUMMYFUNCTION("""COMPUTED_VALUE"""),"Delivered*Customer Service: Seamless and easy")</f>
        <v>Delivered*Customer Service: Seamless and easy</v>
      </c>
      <c r="K2322" s="14" t="str">
        <f>IFERROR(__xludf.DUMMYFUNCTION("split(E2322,""+"")"),"Sweet Corn")</f>
        <v>Sweet Corn</v>
      </c>
      <c r="L2322" s="14" t="str">
        <f>IFERROR(__xludf.DUMMYFUNCTION("""COMPUTED_VALUE"""),"2*Ramesh S")</f>
        <v>2*Ramesh S</v>
      </c>
      <c r="M2322" s="14">
        <f>IFERROR(__xludf.DUMMYFUNCTION("SPLIT(L2322,""*"")"),2.0)</f>
        <v>2</v>
      </c>
      <c r="N2322" s="14" t="str">
        <f>IFERROR(__xludf.DUMMYFUNCTION("""COMPUTED_VALUE"""),"Ramesh S")</f>
        <v>Ramesh S</v>
      </c>
      <c r="O2322" s="14" t="str">
        <f>IFERROR(__xludf.DUMMYFUNCTION("split(J2322,""*"")"),"Delivered")</f>
        <v>Delivered</v>
      </c>
      <c r="P2322" s="14" t="str">
        <f>IFERROR(__xludf.DUMMYFUNCTION("""COMPUTED_VALUE"""),"Customer Service: Seamless and easy")</f>
        <v>Customer Service: Seamless and easy</v>
      </c>
      <c r="Q2322" s="14" t="str">
        <f>IFERROR(__xludf.DUMMYFUNCTION("split(P2322,"":"")"),"Customer Service")</f>
        <v>Customer Service</v>
      </c>
      <c r="R2322" s="14" t="str">
        <f>IFERROR(__xludf.DUMMYFUNCTION("""COMPUTED_VALUE""")," Seamless and easy")</f>
        <v> Seamless and easy</v>
      </c>
      <c r="S2322" s="14" t="str">
        <f t="shared" ref="S2322:U2322" si="4647">trim(B2322)</f>
        <v>ord_92323</v>
      </c>
      <c r="T2322" s="14" t="str">
        <f t="shared" si="4647"/>
        <v>Arvind Kulkarni</v>
      </c>
      <c r="U2322" s="14" t="str">
        <f t="shared" si="4647"/>
        <v>Juhu</v>
      </c>
      <c r="V2322" s="14" t="str">
        <f t="shared" si="4"/>
        <v>Sweet Corn</v>
      </c>
      <c r="W2322" s="14">
        <f t="shared" si="5"/>
        <v>2</v>
      </c>
      <c r="X2322" s="14" t="str">
        <f t="shared" si="6"/>
        <v>Ramesh S</v>
      </c>
      <c r="Y2322" s="15">
        <f t="shared" si="7"/>
        <v>45116</v>
      </c>
      <c r="Z2322" s="14" t="str">
        <f t="shared" si="8"/>
        <v>UPI</v>
      </c>
      <c r="AA2322" s="14" t="str">
        <f t="shared" si="9"/>
        <v>Delivered</v>
      </c>
      <c r="AB2322" s="14" t="str">
        <f t="shared" ref="AB2322:AC2322" si="4648">trim(Q2322)</f>
        <v>Customer Service</v>
      </c>
      <c r="AC2322" s="14" t="str">
        <f t="shared" si="4648"/>
        <v>Seamless and easy</v>
      </c>
      <c r="AD2322" s="8"/>
    </row>
    <row r="2323">
      <c r="A2323" s="14" t="str">
        <f>IFERROR(__xludf.DUMMYFUNCTION("""COMPUTED_VALUE"""),"//ord_92324//Diya Arora//Lower Parel//Chicken Puff+3*Ramesh S/12/27/2023//Credit Card//Delivered*Delivery Experience: Quick and professional")</f>
        <v>//ord_92324//Diya Arora//Lower Parel//Chicken Puff+3*Ramesh S/12/27/2023//Credit Card//Delivered*Delivery Experience: Quick and professional</v>
      </c>
      <c r="B2323" s="14" t="str">
        <f>IFERROR(__xludf.DUMMYFUNCTION("split(A2323,""//"")"),"ord_92324")</f>
        <v>ord_92324</v>
      </c>
      <c r="C2323" s="14" t="str">
        <f>IFERROR(__xludf.DUMMYFUNCTION("""COMPUTED_VALUE"""),"Diya Arora")</f>
        <v>Diya Arora</v>
      </c>
      <c r="D2323" s="14" t="str">
        <f>IFERROR(__xludf.DUMMYFUNCTION("""COMPUTED_VALUE"""),"Lower Parel")</f>
        <v>Lower Parel</v>
      </c>
      <c r="E2323" s="14" t="str">
        <f>IFERROR(__xludf.DUMMYFUNCTION("""COMPUTED_VALUE"""),"Chicken Puff+3*Ramesh S")</f>
        <v>Chicken Puff+3*Ramesh S</v>
      </c>
      <c r="F2323" s="14">
        <f>IFERROR(__xludf.DUMMYFUNCTION("""COMPUTED_VALUE"""),12.0)</f>
        <v>12</v>
      </c>
      <c r="G2323" s="14">
        <f>IFERROR(__xludf.DUMMYFUNCTION("""COMPUTED_VALUE"""),27.0)</f>
        <v>27</v>
      </c>
      <c r="H2323" s="14">
        <f>IFERROR(__xludf.DUMMYFUNCTION("""COMPUTED_VALUE"""),2023.0)</f>
        <v>2023</v>
      </c>
      <c r="I2323" s="14" t="str">
        <f>IFERROR(__xludf.DUMMYFUNCTION("""COMPUTED_VALUE"""),"Credit Card")</f>
        <v>Credit Card</v>
      </c>
      <c r="J2323" s="14" t="str">
        <f>IFERROR(__xludf.DUMMYFUNCTION("""COMPUTED_VALUE"""),"Delivered*Delivery Experience: Quick and professional")</f>
        <v>Delivered*Delivery Experience: Quick and professional</v>
      </c>
      <c r="K2323" s="14" t="str">
        <f>IFERROR(__xludf.DUMMYFUNCTION("split(E2323,""+"")"),"Chicken Puff")</f>
        <v>Chicken Puff</v>
      </c>
      <c r="L2323" s="14" t="str">
        <f>IFERROR(__xludf.DUMMYFUNCTION("""COMPUTED_VALUE"""),"3*Ramesh S")</f>
        <v>3*Ramesh S</v>
      </c>
      <c r="M2323" s="14">
        <f>IFERROR(__xludf.DUMMYFUNCTION("SPLIT(L2323,""*"")"),3.0)</f>
        <v>3</v>
      </c>
      <c r="N2323" s="14" t="str">
        <f>IFERROR(__xludf.DUMMYFUNCTION("""COMPUTED_VALUE"""),"Ramesh S")</f>
        <v>Ramesh S</v>
      </c>
      <c r="O2323" s="14" t="str">
        <f>IFERROR(__xludf.DUMMYFUNCTION("split(J2323,""*"")"),"Delivered")</f>
        <v>Delivered</v>
      </c>
      <c r="P2323" s="14" t="str">
        <f>IFERROR(__xludf.DUMMYFUNCTION("""COMPUTED_VALUE"""),"Delivery Experience: Quick and professional")</f>
        <v>Delivery Experience: Quick and professional</v>
      </c>
      <c r="Q2323" s="14" t="str">
        <f>IFERROR(__xludf.DUMMYFUNCTION("split(P2323,"":"")"),"Delivery Experience")</f>
        <v>Delivery Experience</v>
      </c>
      <c r="R2323" s="14" t="str">
        <f>IFERROR(__xludf.DUMMYFUNCTION("""COMPUTED_VALUE""")," Quick and professional")</f>
        <v> Quick and professional</v>
      </c>
      <c r="S2323" s="14" t="str">
        <f t="shared" ref="S2323:U2323" si="4649">trim(B2323)</f>
        <v>ord_92324</v>
      </c>
      <c r="T2323" s="14" t="str">
        <f t="shared" si="4649"/>
        <v>Diya Arora</v>
      </c>
      <c r="U2323" s="14" t="str">
        <f t="shared" si="4649"/>
        <v>Lower Parel</v>
      </c>
      <c r="V2323" s="14" t="str">
        <f t="shared" si="4"/>
        <v>Chicken Puff</v>
      </c>
      <c r="W2323" s="14">
        <f t="shared" si="5"/>
        <v>3</v>
      </c>
      <c r="X2323" s="14" t="str">
        <f t="shared" si="6"/>
        <v>Ramesh S</v>
      </c>
      <c r="Y2323" s="15">
        <f t="shared" si="7"/>
        <v>45287</v>
      </c>
      <c r="Z2323" s="14" t="str">
        <f t="shared" si="8"/>
        <v>Credit Card</v>
      </c>
      <c r="AA2323" s="14" t="str">
        <f t="shared" si="9"/>
        <v>Delivered</v>
      </c>
      <c r="AB2323" s="14" t="str">
        <f t="shared" ref="AB2323:AC2323" si="4650">trim(Q2323)</f>
        <v>Delivery Experience</v>
      </c>
      <c r="AC2323" s="14" t="str">
        <f t="shared" si="4650"/>
        <v>Quick and professional</v>
      </c>
      <c r="AD2323" s="8"/>
    </row>
    <row r="2324">
      <c r="A2324" s="14" t="str">
        <f>IFERROR(__xludf.DUMMYFUNCTION("""COMPUTED_VALUE"""),"//ord_92325//Diya Arora//Lower Parel//Onion+2*Ram Gopal/7/10/2023//Online Payment//Delivered*Convenience: Easy tracking")</f>
        <v>//ord_92325//Diya Arora//Lower Parel//Onion+2*Ram Gopal/7/10/2023//Online Payment//Delivered*Convenience: Easy tracking</v>
      </c>
      <c r="B2324" s="14" t="str">
        <f>IFERROR(__xludf.DUMMYFUNCTION("split(A2324,""//"")"),"ord_92325")</f>
        <v>ord_92325</v>
      </c>
      <c r="C2324" s="14" t="str">
        <f>IFERROR(__xludf.DUMMYFUNCTION("""COMPUTED_VALUE"""),"Diya Arora")</f>
        <v>Diya Arora</v>
      </c>
      <c r="D2324" s="14" t="str">
        <f>IFERROR(__xludf.DUMMYFUNCTION("""COMPUTED_VALUE"""),"Lower Parel")</f>
        <v>Lower Parel</v>
      </c>
      <c r="E2324" s="14" t="str">
        <f>IFERROR(__xludf.DUMMYFUNCTION("""COMPUTED_VALUE"""),"Onion+2*Ram Gopal")</f>
        <v>Onion+2*Ram Gopal</v>
      </c>
      <c r="F2324" s="14">
        <f>IFERROR(__xludf.DUMMYFUNCTION("""COMPUTED_VALUE"""),7.0)</f>
        <v>7</v>
      </c>
      <c r="G2324" s="14">
        <f>IFERROR(__xludf.DUMMYFUNCTION("""COMPUTED_VALUE"""),10.0)</f>
        <v>10</v>
      </c>
      <c r="H2324" s="14">
        <f>IFERROR(__xludf.DUMMYFUNCTION("""COMPUTED_VALUE"""),2023.0)</f>
        <v>2023</v>
      </c>
      <c r="I2324" s="14" t="str">
        <f>IFERROR(__xludf.DUMMYFUNCTION("""COMPUTED_VALUE"""),"Online Payment")</f>
        <v>Online Payment</v>
      </c>
      <c r="J2324" s="14" t="str">
        <f>IFERROR(__xludf.DUMMYFUNCTION("""COMPUTED_VALUE"""),"Delivered*Convenience: Easy tracking")</f>
        <v>Delivered*Convenience: Easy tracking</v>
      </c>
      <c r="K2324" s="14" t="str">
        <f>IFERROR(__xludf.DUMMYFUNCTION("split(E2324,""+"")"),"Onion")</f>
        <v>Onion</v>
      </c>
      <c r="L2324" s="14" t="str">
        <f>IFERROR(__xludf.DUMMYFUNCTION("""COMPUTED_VALUE"""),"2*Ram Gopal")</f>
        <v>2*Ram Gopal</v>
      </c>
      <c r="M2324" s="14">
        <f>IFERROR(__xludf.DUMMYFUNCTION("SPLIT(L2324,""*"")"),2.0)</f>
        <v>2</v>
      </c>
      <c r="N2324" s="14" t="str">
        <f>IFERROR(__xludf.DUMMYFUNCTION("""COMPUTED_VALUE"""),"Ram Gopal")</f>
        <v>Ram Gopal</v>
      </c>
      <c r="O2324" s="14" t="str">
        <f>IFERROR(__xludf.DUMMYFUNCTION("split(J2324,""*"")"),"Delivered")</f>
        <v>Delivered</v>
      </c>
      <c r="P2324" s="14" t="str">
        <f>IFERROR(__xludf.DUMMYFUNCTION("""COMPUTED_VALUE"""),"Convenience: Easy tracking")</f>
        <v>Convenience: Easy tracking</v>
      </c>
      <c r="Q2324" s="14" t="str">
        <f>IFERROR(__xludf.DUMMYFUNCTION("split(P2324,"":"")"),"Convenience")</f>
        <v>Convenience</v>
      </c>
      <c r="R2324" s="14" t="str">
        <f>IFERROR(__xludf.DUMMYFUNCTION("""COMPUTED_VALUE""")," Easy tracking")</f>
        <v> Easy tracking</v>
      </c>
      <c r="S2324" s="14" t="str">
        <f t="shared" ref="S2324:U2324" si="4651">trim(B2324)</f>
        <v>ord_92325</v>
      </c>
      <c r="T2324" s="14" t="str">
        <f t="shared" si="4651"/>
        <v>Diya Arora</v>
      </c>
      <c r="U2324" s="14" t="str">
        <f t="shared" si="4651"/>
        <v>Lower Parel</v>
      </c>
      <c r="V2324" s="14" t="str">
        <f t="shared" si="4"/>
        <v>Onion</v>
      </c>
      <c r="W2324" s="14">
        <f t="shared" si="5"/>
        <v>2</v>
      </c>
      <c r="X2324" s="14" t="str">
        <f t="shared" si="6"/>
        <v>Ram Gopal</v>
      </c>
      <c r="Y2324" s="15">
        <f t="shared" si="7"/>
        <v>45117</v>
      </c>
      <c r="Z2324" s="14" t="str">
        <f t="shared" si="8"/>
        <v>Online Payment</v>
      </c>
      <c r="AA2324" s="14" t="str">
        <f t="shared" si="9"/>
        <v>Delivered</v>
      </c>
      <c r="AB2324" s="14" t="str">
        <f t="shared" ref="AB2324:AC2324" si="4652">trim(Q2324)</f>
        <v>Convenience</v>
      </c>
      <c r="AC2324" s="14" t="str">
        <f t="shared" si="4652"/>
        <v>Easy tracking</v>
      </c>
      <c r="AD2324" s="8"/>
    </row>
    <row r="2325">
      <c r="A2325" s="14" t="str">
        <f>IFERROR(__xludf.DUMMYFUNCTION("""COMPUTED_VALUE"""),"//ord_92326//Dev Chauhan//Bandra//Cucumber+2*Ram Gopal/9/9/2023//UPI//Delivered*Overall Satisfaction: Great service will order again")</f>
        <v>//ord_92326//Dev Chauhan//Bandra//Cucumber+2*Ram Gopal/9/9/2023//UPI//Delivered*Overall Satisfaction: Great service will order again</v>
      </c>
      <c r="B2325" s="14" t="str">
        <f>IFERROR(__xludf.DUMMYFUNCTION("split(A2325,""//"")"),"ord_92326")</f>
        <v>ord_92326</v>
      </c>
      <c r="C2325" s="14" t="str">
        <f>IFERROR(__xludf.DUMMYFUNCTION("""COMPUTED_VALUE"""),"Dev Chauhan")</f>
        <v>Dev Chauhan</v>
      </c>
      <c r="D2325" s="14" t="str">
        <f>IFERROR(__xludf.DUMMYFUNCTION("""COMPUTED_VALUE"""),"Bandra")</f>
        <v>Bandra</v>
      </c>
      <c r="E2325" s="14" t="str">
        <f>IFERROR(__xludf.DUMMYFUNCTION("""COMPUTED_VALUE"""),"Cucumber+2*Ram Gopal")</f>
        <v>Cucumber+2*Ram Gopal</v>
      </c>
      <c r="F2325" s="14">
        <f>IFERROR(__xludf.DUMMYFUNCTION("""COMPUTED_VALUE"""),9.0)</f>
        <v>9</v>
      </c>
      <c r="G2325" s="14">
        <f>IFERROR(__xludf.DUMMYFUNCTION("""COMPUTED_VALUE"""),9.0)</f>
        <v>9</v>
      </c>
      <c r="H2325" s="14">
        <f>IFERROR(__xludf.DUMMYFUNCTION("""COMPUTED_VALUE"""),2023.0)</f>
        <v>2023</v>
      </c>
      <c r="I2325" s="14" t="str">
        <f>IFERROR(__xludf.DUMMYFUNCTION("""COMPUTED_VALUE"""),"UPI")</f>
        <v>UPI</v>
      </c>
      <c r="J2325" s="14" t="str">
        <f>IFERROR(__xludf.DUMMYFUNCTION("""COMPUTED_VALUE"""),"Delivered*Overall Satisfaction: Great service will order again")</f>
        <v>Delivered*Overall Satisfaction: Great service will order again</v>
      </c>
      <c r="K2325" s="14" t="str">
        <f>IFERROR(__xludf.DUMMYFUNCTION("split(E2325,""+"")"),"Cucumber")</f>
        <v>Cucumber</v>
      </c>
      <c r="L2325" s="14" t="str">
        <f>IFERROR(__xludf.DUMMYFUNCTION("""COMPUTED_VALUE"""),"2*Ram Gopal")</f>
        <v>2*Ram Gopal</v>
      </c>
      <c r="M2325" s="14">
        <f>IFERROR(__xludf.DUMMYFUNCTION("SPLIT(L2325,""*"")"),2.0)</f>
        <v>2</v>
      </c>
      <c r="N2325" s="14" t="str">
        <f>IFERROR(__xludf.DUMMYFUNCTION("""COMPUTED_VALUE"""),"Ram Gopal")</f>
        <v>Ram Gopal</v>
      </c>
      <c r="O2325" s="14" t="str">
        <f>IFERROR(__xludf.DUMMYFUNCTION("split(J2325,""*"")"),"Delivered")</f>
        <v>Delivered</v>
      </c>
      <c r="P2325" s="14" t="str">
        <f>IFERROR(__xludf.DUMMYFUNCTION("""COMPUTED_VALUE"""),"Overall Satisfaction: Great service will order again")</f>
        <v>Overall Satisfaction: Great service will order again</v>
      </c>
      <c r="Q2325" s="14" t="str">
        <f>IFERROR(__xludf.DUMMYFUNCTION("split(P2325,"":"")"),"Overall Satisfaction")</f>
        <v>Overall Satisfaction</v>
      </c>
      <c r="R2325" s="14" t="str">
        <f>IFERROR(__xludf.DUMMYFUNCTION("""COMPUTED_VALUE""")," Great service will order again")</f>
        <v> Great service will order again</v>
      </c>
      <c r="S2325" s="14" t="str">
        <f t="shared" ref="S2325:U2325" si="4653">trim(B2325)</f>
        <v>ord_92326</v>
      </c>
      <c r="T2325" s="14" t="str">
        <f t="shared" si="4653"/>
        <v>Dev Chauhan</v>
      </c>
      <c r="U2325" s="14" t="str">
        <f t="shared" si="4653"/>
        <v>Bandra</v>
      </c>
      <c r="V2325" s="14" t="str">
        <f t="shared" si="4"/>
        <v>Cucumber</v>
      </c>
      <c r="W2325" s="14">
        <f t="shared" si="5"/>
        <v>2</v>
      </c>
      <c r="X2325" s="14" t="str">
        <f t="shared" si="6"/>
        <v>Ram Gopal</v>
      </c>
      <c r="Y2325" s="15">
        <f t="shared" si="7"/>
        <v>45178</v>
      </c>
      <c r="Z2325" s="14" t="str">
        <f t="shared" si="8"/>
        <v>UPI</v>
      </c>
      <c r="AA2325" s="14" t="str">
        <f t="shared" si="9"/>
        <v>Delivered</v>
      </c>
      <c r="AB2325" s="14" t="str">
        <f t="shared" ref="AB2325:AC2325" si="4654">trim(Q2325)</f>
        <v>Overall Satisfaction</v>
      </c>
      <c r="AC2325" s="14" t="str">
        <f t="shared" si="4654"/>
        <v>Great service will order again</v>
      </c>
      <c r="AD2325" s="8"/>
    </row>
    <row r="2326">
      <c r="A2326" s="14" t="str">
        <f>IFERROR(__xludf.DUMMYFUNCTION("""COMPUTED_VALUE"""),"//ord_92327//Aarav Mehta//Andheri//Popcorn+4*Vivek Kumar/11/19/2023//Credit Card//Delivered*On-time Delivery: Delivered on time")</f>
        <v>//ord_92327//Aarav Mehta//Andheri//Popcorn+4*Vivek Kumar/11/19/2023//Credit Card//Delivered*On-time Delivery: Delivered on time</v>
      </c>
      <c r="B2326" s="14" t="str">
        <f>IFERROR(__xludf.DUMMYFUNCTION("split(A2326,""//"")"),"ord_92327")</f>
        <v>ord_92327</v>
      </c>
      <c r="C2326" s="14" t="str">
        <f>IFERROR(__xludf.DUMMYFUNCTION("""COMPUTED_VALUE"""),"Aarav Mehta")</f>
        <v>Aarav Mehta</v>
      </c>
      <c r="D2326" s="14" t="str">
        <f>IFERROR(__xludf.DUMMYFUNCTION("""COMPUTED_VALUE"""),"Andheri")</f>
        <v>Andheri</v>
      </c>
      <c r="E2326" s="14" t="str">
        <f>IFERROR(__xludf.DUMMYFUNCTION("""COMPUTED_VALUE"""),"Popcorn+4*Vivek Kumar")</f>
        <v>Popcorn+4*Vivek Kumar</v>
      </c>
      <c r="F2326" s="14">
        <f>IFERROR(__xludf.DUMMYFUNCTION("""COMPUTED_VALUE"""),11.0)</f>
        <v>11</v>
      </c>
      <c r="G2326" s="14">
        <f>IFERROR(__xludf.DUMMYFUNCTION("""COMPUTED_VALUE"""),19.0)</f>
        <v>19</v>
      </c>
      <c r="H2326" s="14">
        <f>IFERROR(__xludf.DUMMYFUNCTION("""COMPUTED_VALUE"""),2023.0)</f>
        <v>2023</v>
      </c>
      <c r="I2326" s="14" t="str">
        <f>IFERROR(__xludf.DUMMYFUNCTION("""COMPUTED_VALUE"""),"Credit Card")</f>
        <v>Credit Card</v>
      </c>
      <c r="J2326" s="14" t="str">
        <f>IFERROR(__xludf.DUMMYFUNCTION("""COMPUTED_VALUE"""),"Delivered*On-time Delivery: Delivered on time")</f>
        <v>Delivered*On-time Delivery: Delivered on time</v>
      </c>
      <c r="K2326" s="14" t="str">
        <f>IFERROR(__xludf.DUMMYFUNCTION("split(E2326,""+"")"),"Popcorn")</f>
        <v>Popcorn</v>
      </c>
      <c r="L2326" s="14" t="str">
        <f>IFERROR(__xludf.DUMMYFUNCTION("""COMPUTED_VALUE"""),"4*Vivek Kumar")</f>
        <v>4*Vivek Kumar</v>
      </c>
      <c r="M2326" s="14">
        <f>IFERROR(__xludf.DUMMYFUNCTION("SPLIT(L2326,""*"")"),4.0)</f>
        <v>4</v>
      </c>
      <c r="N2326" s="14" t="str">
        <f>IFERROR(__xludf.DUMMYFUNCTION("""COMPUTED_VALUE"""),"Vivek Kumar")</f>
        <v>Vivek Kumar</v>
      </c>
      <c r="O2326" s="14" t="str">
        <f>IFERROR(__xludf.DUMMYFUNCTION("split(J2326,""*"")"),"Delivered")</f>
        <v>Delivered</v>
      </c>
      <c r="P2326" s="14" t="str">
        <f>IFERROR(__xludf.DUMMYFUNCTION("""COMPUTED_VALUE"""),"On-time Delivery: Delivered on time")</f>
        <v>On-time Delivery: Delivered on time</v>
      </c>
      <c r="Q2326" s="14" t="str">
        <f>IFERROR(__xludf.DUMMYFUNCTION("split(P2326,"":"")"),"On-time Delivery")</f>
        <v>On-time Delivery</v>
      </c>
      <c r="R2326" s="14" t="str">
        <f>IFERROR(__xludf.DUMMYFUNCTION("""COMPUTED_VALUE""")," Delivered on time")</f>
        <v> Delivered on time</v>
      </c>
      <c r="S2326" s="14" t="str">
        <f t="shared" ref="S2326:U2326" si="4655">trim(B2326)</f>
        <v>ord_92327</v>
      </c>
      <c r="T2326" s="14" t="str">
        <f t="shared" si="4655"/>
        <v>Aarav Mehta</v>
      </c>
      <c r="U2326" s="14" t="str">
        <f t="shared" si="4655"/>
        <v>Andheri</v>
      </c>
      <c r="V2326" s="14" t="str">
        <f t="shared" si="4"/>
        <v>Popcorn</v>
      </c>
      <c r="W2326" s="14">
        <f t="shared" si="5"/>
        <v>4</v>
      </c>
      <c r="X2326" s="14" t="str">
        <f t="shared" si="6"/>
        <v>Vivek Kumar</v>
      </c>
      <c r="Y2326" s="15">
        <f t="shared" si="7"/>
        <v>45249</v>
      </c>
      <c r="Z2326" s="14" t="str">
        <f t="shared" si="8"/>
        <v>Credit Card</v>
      </c>
      <c r="AA2326" s="14" t="str">
        <f t="shared" si="9"/>
        <v>Delivered</v>
      </c>
      <c r="AB2326" s="14" t="str">
        <f t="shared" ref="AB2326:AC2326" si="4656">trim(Q2326)</f>
        <v>On-time Delivery</v>
      </c>
      <c r="AC2326" s="14" t="str">
        <f t="shared" si="4656"/>
        <v>Delivered on time</v>
      </c>
      <c r="AD2326" s="8"/>
    </row>
    <row r="2327">
      <c r="A2327" s="14" t="str">
        <f>IFERROR(__xludf.DUMMYFUNCTION("""COMPUTED_VALUE"""),"//ord_92328//Aditya Rao//Lower Parel//Chicken Puff+5*Sita T/8/14/2023//UPI//Delivered*Quality of Items: Perfect condition")</f>
        <v>//ord_92328//Aditya Rao//Lower Parel//Chicken Puff+5*Sita T/8/14/2023//UPI//Delivered*Quality of Items: Perfect condition</v>
      </c>
      <c r="B2327" s="14" t="str">
        <f>IFERROR(__xludf.DUMMYFUNCTION("split(A2327,""//"")"),"ord_92328")</f>
        <v>ord_92328</v>
      </c>
      <c r="C2327" s="14" t="str">
        <f>IFERROR(__xludf.DUMMYFUNCTION("""COMPUTED_VALUE"""),"Aditya Rao")</f>
        <v>Aditya Rao</v>
      </c>
      <c r="D2327" s="14" t="str">
        <f>IFERROR(__xludf.DUMMYFUNCTION("""COMPUTED_VALUE"""),"Lower Parel")</f>
        <v>Lower Parel</v>
      </c>
      <c r="E2327" s="14" t="str">
        <f>IFERROR(__xludf.DUMMYFUNCTION("""COMPUTED_VALUE"""),"Chicken Puff+5*Sita T")</f>
        <v>Chicken Puff+5*Sita T</v>
      </c>
      <c r="F2327" s="14">
        <f>IFERROR(__xludf.DUMMYFUNCTION("""COMPUTED_VALUE"""),8.0)</f>
        <v>8</v>
      </c>
      <c r="G2327" s="14">
        <f>IFERROR(__xludf.DUMMYFUNCTION("""COMPUTED_VALUE"""),14.0)</f>
        <v>14</v>
      </c>
      <c r="H2327" s="14">
        <f>IFERROR(__xludf.DUMMYFUNCTION("""COMPUTED_VALUE"""),2023.0)</f>
        <v>2023</v>
      </c>
      <c r="I2327" s="14" t="str">
        <f>IFERROR(__xludf.DUMMYFUNCTION("""COMPUTED_VALUE"""),"UPI")</f>
        <v>UPI</v>
      </c>
      <c r="J2327" s="14" t="str">
        <f>IFERROR(__xludf.DUMMYFUNCTION("""COMPUTED_VALUE"""),"Delivered*Quality of Items: Perfect condition")</f>
        <v>Delivered*Quality of Items: Perfect condition</v>
      </c>
      <c r="K2327" s="14" t="str">
        <f>IFERROR(__xludf.DUMMYFUNCTION("split(E2327,""+"")"),"Chicken Puff")</f>
        <v>Chicken Puff</v>
      </c>
      <c r="L2327" s="14" t="str">
        <f>IFERROR(__xludf.DUMMYFUNCTION("""COMPUTED_VALUE"""),"5*Sita T")</f>
        <v>5*Sita T</v>
      </c>
      <c r="M2327" s="14">
        <f>IFERROR(__xludf.DUMMYFUNCTION("SPLIT(L2327,""*"")"),5.0)</f>
        <v>5</v>
      </c>
      <c r="N2327" s="14" t="str">
        <f>IFERROR(__xludf.DUMMYFUNCTION("""COMPUTED_VALUE"""),"Sita T")</f>
        <v>Sita T</v>
      </c>
      <c r="O2327" s="14" t="str">
        <f>IFERROR(__xludf.DUMMYFUNCTION("split(J2327,""*"")"),"Delivered")</f>
        <v>Delivered</v>
      </c>
      <c r="P2327" s="14" t="str">
        <f>IFERROR(__xludf.DUMMYFUNCTION("""COMPUTED_VALUE"""),"Quality of Items: Perfect condition")</f>
        <v>Quality of Items: Perfect condition</v>
      </c>
      <c r="Q2327" s="14" t="str">
        <f>IFERROR(__xludf.DUMMYFUNCTION("split(P2327,"":"")"),"Quality of Items")</f>
        <v>Quality of Items</v>
      </c>
      <c r="R2327" s="14" t="str">
        <f>IFERROR(__xludf.DUMMYFUNCTION("""COMPUTED_VALUE""")," Perfect condition")</f>
        <v> Perfect condition</v>
      </c>
      <c r="S2327" s="14" t="str">
        <f t="shared" ref="S2327:U2327" si="4657">trim(B2327)</f>
        <v>ord_92328</v>
      </c>
      <c r="T2327" s="14" t="str">
        <f t="shared" si="4657"/>
        <v>Aditya Rao</v>
      </c>
      <c r="U2327" s="14" t="str">
        <f t="shared" si="4657"/>
        <v>Lower Parel</v>
      </c>
      <c r="V2327" s="14" t="str">
        <f t="shared" si="4"/>
        <v>Chicken Puff</v>
      </c>
      <c r="W2327" s="14">
        <f t="shared" si="5"/>
        <v>5</v>
      </c>
      <c r="X2327" s="14" t="str">
        <f t="shared" si="6"/>
        <v>Sita T</v>
      </c>
      <c r="Y2327" s="15">
        <f t="shared" si="7"/>
        <v>45152</v>
      </c>
      <c r="Z2327" s="14" t="str">
        <f t="shared" si="8"/>
        <v>UPI</v>
      </c>
      <c r="AA2327" s="14" t="str">
        <f t="shared" si="9"/>
        <v>Delivered</v>
      </c>
      <c r="AB2327" s="14" t="str">
        <f t="shared" ref="AB2327:AC2327" si="4658">trim(Q2327)</f>
        <v>Quality of Items</v>
      </c>
      <c r="AC2327" s="14" t="str">
        <f t="shared" si="4658"/>
        <v>Perfect condition</v>
      </c>
      <c r="AD2327" s="8"/>
    </row>
    <row r="2328">
      <c r="A2328" s="14" t="str">
        <f>IFERROR(__xludf.DUMMYFUNCTION("""COMPUTED_VALUE"""),"//ord_92329//Aarav Mehta//Andheri//Icecream+2*Not Assigned/7/16/2023//Online Payment//Cancelled*App Glitches:Slow Loading Time")</f>
        <v>//ord_92329//Aarav Mehta//Andheri//Icecream+2*Not Assigned/7/16/2023//Online Payment//Cancelled*App Glitches:Slow Loading Time</v>
      </c>
      <c r="B2328" s="14" t="str">
        <f>IFERROR(__xludf.DUMMYFUNCTION("split(A2328,""//"")"),"ord_92329")</f>
        <v>ord_92329</v>
      </c>
      <c r="C2328" s="14" t="str">
        <f>IFERROR(__xludf.DUMMYFUNCTION("""COMPUTED_VALUE"""),"Aarav Mehta")</f>
        <v>Aarav Mehta</v>
      </c>
      <c r="D2328" s="14" t="str">
        <f>IFERROR(__xludf.DUMMYFUNCTION("""COMPUTED_VALUE"""),"Andheri")</f>
        <v>Andheri</v>
      </c>
      <c r="E2328" s="14" t="str">
        <f>IFERROR(__xludf.DUMMYFUNCTION("""COMPUTED_VALUE"""),"Icecream+2*Not Assigned")</f>
        <v>Icecream+2*Not Assigned</v>
      </c>
      <c r="F2328" s="14">
        <f>IFERROR(__xludf.DUMMYFUNCTION("""COMPUTED_VALUE"""),7.0)</f>
        <v>7</v>
      </c>
      <c r="G2328" s="14">
        <f>IFERROR(__xludf.DUMMYFUNCTION("""COMPUTED_VALUE"""),16.0)</f>
        <v>16</v>
      </c>
      <c r="H2328" s="14">
        <f>IFERROR(__xludf.DUMMYFUNCTION("""COMPUTED_VALUE"""),2023.0)</f>
        <v>2023</v>
      </c>
      <c r="I2328" s="14" t="str">
        <f>IFERROR(__xludf.DUMMYFUNCTION("""COMPUTED_VALUE"""),"Online Payment")</f>
        <v>Online Payment</v>
      </c>
      <c r="J2328" s="14" t="str">
        <f>IFERROR(__xludf.DUMMYFUNCTION("""COMPUTED_VALUE"""),"Cancelled*App Glitches:Slow Loading Time")</f>
        <v>Cancelled*App Glitches:Slow Loading Time</v>
      </c>
      <c r="K2328" s="14" t="str">
        <f>IFERROR(__xludf.DUMMYFUNCTION("split(E2328,""+"")"),"Icecream")</f>
        <v>Icecream</v>
      </c>
      <c r="L2328" s="14" t="str">
        <f>IFERROR(__xludf.DUMMYFUNCTION("""COMPUTED_VALUE"""),"2*Not Assigned")</f>
        <v>2*Not Assigned</v>
      </c>
      <c r="M2328" s="14">
        <f>IFERROR(__xludf.DUMMYFUNCTION("SPLIT(L2328,""*"")"),2.0)</f>
        <v>2</v>
      </c>
      <c r="N2328" s="14" t="str">
        <f>IFERROR(__xludf.DUMMYFUNCTION("""COMPUTED_VALUE"""),"Not Assigned")</f>
        <v>Not Assigned</v>
      </c>
      <c r="O2328" s="14" t="str">
        <f>IFERROR(__xludf.DUMMYFUNCTION("split(J2328,""*"")"),"Cancelled")</f>
        <v>Cancelled</v>
      </c>
      <c r="P2328" s="14" t="str">
        <f>IFERROR(__xludf.DUMMYFUNCTION("""COMPUTED_VALUE"""),"App Glitches:Slow Loading Time")</f>
        <v>App Glitches:Slow Loading Time</v>
      </c>
      <c r="Q2328" s="14" t="str">
        <f>IFERROR(__xludf.DUMMYFUNCTION("split(P2328,"":"")"),"App Glitches")</f>
        <v>App Glitches</v>
      </c>
      <c r="R2328" s="14" t="str">
        <f>IFERROR(__xludf.DUMMYFUNCTION("""COMPUTED_VALUE"""),"Slow Loading Time")</f>
        <v>Slow Loading Time</v>
      </c>
      <c r="S2328" s="14" t="str">
        <f t="shared" ref="S2328:U2328" si="4659">trim(B2328)</f>
        <v>ord_92329</v>
      </c>
      <c r="T2328" s="14" t="str">
        <f t="shared" si="4659"/>
        <v>Aarav Mehta</v>
      </c>
      <c r="U2328" s="14" t="str">
        <f t="shared" si="4659"/>
        <v>Andheri</v>
      </c>
      <c r="V2328" s="14" t="str">
        <f t="shared" si="4"/>
        <v>Icecream</v>
      </c>
      <c r="W2328" s="14">
        <f t="shared" si="5"/>
        <v>2</v>
      </c>
      <c r="X2328" s="14" t="str">
        <f t="shared" si="6"/>
        <v>Not Assigned</v>
      </c>
      <c r="Y2328" s="15">
        <f t="shared" si="7"/>
        <v>45123</v>
      </c>
      <c r="Z2328" s="14" t="str">
        <f t="shared" si="8"/>
        <v>Online Payment</v>
      </c>
      <c r="AA2328" s="14" t="str">
        <f t="shared" si="9"/>
        <v>Cancelled</v>
      </c>
      <c r="AB2328" s="14" t="str">
        <f t="shared" ref="AB2328:AC2328" si="4660">trim(Q2328)</f>
        <v>App Glitches</v>
      </c>
      <c r="AC2328" s="14" t="str">
        <f t="shared" si="4660"/>
        <v>Slow Loading Time</v>
      </c>
      <c r="AD2328" s="8"/>
    </row>
    <row r="2329">
      <c r="A2329" s="14" t="str">
        <f>IFERROR(__xludf.DUMMYFUNCTION("""COMPUTED_VALUE"""),"//ord_92293//Pranav Joshi//Andheri//Sweet Corn+1*Rohan Yadav/6/11/2023//UPI//Delivered*Packaging: Secure and intact")</f>
        <v>//ord_92293//Pranav Joshi//Andheri//Sweet Corn+1*Rohan Yadav/6/11/2023//UPI//Delivered*Packaging: Secure and intact</v>
      </c>
      <c r="B2329" s="14" t="str">
        <f>IFERROR(__xludf.DUMMYFUNCTION("split(A2329,""//"")"),"ord_92293")</f>
        <v>ord_92293</v>
      </c>
      <c r="C2329" s="14" t="str">
        <f>IFERROR(__xludf.DUMMYFUNCTION("""COMPUTED_VALUE"""),"Pranav Joshi")</f>
        <v>Pranav Joshi</v>
      </c>
      <c r="D2329" s="14" t="str">
        <f>IFERROR(__xludf.DUMMYFUNCTION("""COMPUTED_VALUE"""),"Andheri")</f>
        <v>Andheri</v>
      </c>
      <c r="E2329" s="14" t="str">
        <f>IFERROR(__xludf.DUMMYFUNCTION("""COMPUTED_VALUE"""),"Sweet Corn+1*Rohan Yadav")</f>
        <v>Sweet Corn+1*Rohan Yadav</v>
      </c>
      <c r="F2329" s="14">
        <f>IFERROR(__xludf.DUMMYFUNCTION("""COMPUTED_VALUE"""),6.0)</f>
        <v>6</v>
      </c>
      <c r="G2329" s="14">
        <f>IFERROR(__xludf.DUMMYFUNCTION("""COMPUTED_VALUE"""),11.0)</f>
        <v>11</v>
      </c>
      <c r="H2329" s="14">
        <f>IFERROR(__xludf.DUMMYFUNCTION("""COMPUTED_VALUE"""),2023.0)</f>
        <v>2023</v>
      </c>
      <c r="I2329" s="14" t="str">
        <f>IFERROR(__xludf.DUMMYFUNCTION("""COMPUTED_VALUE"""),"UPI")</f>
        <v>UPI</v>
      </c>
      <c r="J2329" s="14" t="str">
        <f>IFERROR(__xludf.DUMMYFUNCTION("""COMPUTED_VALUE"""),"Delivered*Packaging: Secure and intact")</f>
        <v>Delivered*Packaging: Secure and intact</v>
      </c>
      <c r="K2329" s="14" t="str">
        <f>IFERROR(__xludf.DUMMYFUNCTION("split(E2329,""+"")"),"Sweet Corn")</f>
        <v>Sweet Corn</v>
      </c>
      <c r="L2329" s="14" t="str">
        <f>IFERROR(__xludf.DUMMYFUNCTION("""COMPUTED_VALUE"""),"1*Rohan Yadav")</f>
        <v>1*Rohan Yadav</v>
      </c>
      <c r="M2329" s="14">
        <f>IFERROR(__xludf.DUMMYFUNCTION("SPLIT(L2329,""*"")"),1.0)</f>
        <v>1</v>
      </c>
      <c r="N2329" s="14" t="str">
        <f>IFERROR(__xludf.DUMMYFUNCTION("""COMPUTED_VALUE"""),"Rohan Yadav")</f>
        <v>Rohan Yadav</v>
      </c>
      <c r="O2329" s="14" t="str">
        <f>IFERROR(__xludf.DUMMYFUNCTION("split(J2329,""*"")"),"Delivered")</f>
        <v>Delivered</v>
      </c>
      <c r="P2329" s="14" t="str">
        <f>IFERROR(__xludf.DUMMYFUNCTION("""COMPUTED_VALUE"""),"Packaging: Secure and intact")</f>
        <v>Packaging: Secure and intact</v>
      </c>
      <c r="Q2329" s="14" t="str">
        <f>IFERROR(__xludf.DUMMYFUNCTION("split(P2329,"":"")"),"Packaging")</f>
        <v>Packaging</v>
      </c>
      <c r="R2329" s="14" t="str">
        <f>IFERROR(__xludf.DUMMYFUNCTION("""COMPUTED_VALUE""")," Secure and intact")</f>
        <v> Secure and intact</v>
      </c>
      <c r="S2329" s="14" t="str">
        <f t="shared" ref="S2329:U2329" si="4661">trim(B2329)</f>
        <v>ord_92293</v>
      </c>
      <c r="T2329" s="14" t="str">
        <f t="shared" si="4661"/>
        <v>Pranav Joshi</v>
      </c>
      <c r="U2329" s="14" t="str">
        <f t="shared" si="4661"/>
        <v>Andheri</v>
      </c>
      <c r="V2329" s="14" t="str">
        <f t="shared" si="4"/>
        <v>Sweet Corn</v>
      </c>
      <c r="W2329" s="14">
        <f t="shared" si="5"/>
        <v>1</v>
      </c>
      <c r="X2329" s="14" t="str">
        <f t="shared" si="6"/>
        <v>Rohan Yadav</v>
      </c>
      <c r="Y2329" s="15">
        <f t="shared" si="7"/>
        <v>45088</v>
      </c>
      <c r="Z2329" s="14" t="str">
        <f t="shared" si="8"/>
        <v>UPI</v>
      </c>
      <c r="AA2329" s="14" t="str">
        <f t="shared" si="9"/>
        <v>Delivered</v>
      </c>
      <c r="AB2329" s="14" t="str">
        <f t="shared" ref="AB2329:AC2329" si="4662">trim(Q2329)</f>
        <v>Packaging</v>
      </c>
      <c r="AC2329" s="14" t="str">
        <f t="shared" si="4662"/>
        <v>Secure and intact</v>
      </c>
      <c r="AD2329" s="8"/>
    </row>
    <row r="2330">
      <c r="A2330" s="14" t="str">
        <f>IFERROR(__xludf.DUMMYFUNCTION("""COMPUTED_VALUE"""),"//ord_92294//Mehul Thakkar//Malad//Potato+1*Neha Shah/10/21/2023//UPI//Delivered*Satisfied with the Delivery: Timely and quality")</f>
        <v>//ord_92294//Mehul Thakkar//Malad//Potato+1*Neha Shah/10/21/2023//UPI//Delivered*Satisfied with the Delivery: Timely and quality</v>
      </c>
      <c r="B2330" s="14" t="str">
        <f>IFERROR(__xludf.DUMMYFUNCTION("split(A2330,""//"")"),"ord_92294")</f>
        <v>ord_92294</v>
      </c>
      <c r="C2330" s="14" t="str">
        <f>IFERROR(__xludf.DUMMYFUNCTION("""COMPUTED_VALUE"""),"Mehul Thakkar")</f>
        <v>Mehul Thakkar</v>
      </c>
      <c r="D2330" s="14" t="str">
        <f>IFERROR(__xludf.DUMMYFUNCTION("""COMPUTED_VALUE"""),"Malad")</f>
        <v>Malad</v>
      </c>
      <c r="E2330" s="14" t="str">
        <f>IFERROR(__xludf.DUMMYFUNCTION("""COMPUTED_VALUE"""),"Potato+1*Neha Shah")</f>
        <v>Potato+1*Neha Shah</v>
      </c>
      <c r="F2330" s="14">
        <f>IFERROR(__xludf.DUMMYFUNCTION("""COMPUTED_VALUE"""),10.0)</f>
        <v>10</v>
      </c>
      <c r="G2330" s="14">
        <f>IFERROR(__xludf.DUMMYFUNCTION("""COMPUTED_VALUE"""),21.0)</f>
        <v>21</v>
      </c>
      <c r="H2330" s="14">
        <f>IFERROR(__xludf.DUMMYFUNCTION("""COMPUTED_VALUE"""),2023.0)</f>
        <v>2023</v>
      </c>
      <c r="I2330" s="14" t="str">
        <f>IFERROR(__xludf.DUMMYFUNCTION("""COMPUTED_VALUE"""),"UPI")</f>
        <v>UPI</v>
      </c>
      <c r="J2330" s="14" t="str">
        <f>IFERROR(__xludf.DUMMYFUNCTION("""COMPUTED_VALUE"""),"Delivered*Satisfied with the Delivery: Timely and quality")</f>
        <v>Delivered*Satisfied with the Delivery: Timely and quality</v>
      </c>
      <c r="K2330" s="14" t="str">
        <f>IFERROR(__xludf.DUMMYFUNCTION("split(E2330,""+"")"),"Potato")</f>
        <v>Potato</v>
      </c>
      <c r="L2330" s="14" t="str">
        <f>IFERROR(__xludf.DUMMYFUNCTION("""COMPUTED_VALUE"""),"1*Neha Shah")</f>
        <v>1*Neha Shah</v>
      </c>
      <c r="M2330" s="14">
        <f>IFERROR(__xludf.DUMMYFUNCTION("SPLIT(L2330,""*"")"),1.0)</f>
        <v>1</v>
      </c>
      <c r="N2330" s="14" t="str">
        <f>IFERROR(__xludf.DUMMYFUNCTION("""COMPUTED_VALUE"""),"Neha Shah")</f>
        <v>Neha Shah</v>
      </c>
      <c r="O2330" s="14" t="str">
        <f>IFERROR(__xludf.DUMMYFUNCTION("split(J2330,""*"")"),"Delivered")</f>
        <v>Delivered</v>
      </c>
      <c r="P2330" s="14" t="str">
        <f>IFERROR(__xludf.DUMMYFUNCTION("""COMPUTED_VALUE"""),"Satisfied with the Delivery: Timely and quality")</f>
        <v>Satisfied with the Delivery: Timely and quality</v>
      </c>
      <c r="Q2330" s="14" t="str">
        <f>IFERROR(__xludf.DUMMYFUNCTION("split(P2330,"":"")"),"Satisfied with the Delivery")</f>
        <v>Satisfied with the Delivery</v>
      </c>
      <c r="R2330" s="14" t="str">
        <f>IFERROR(__xludf.DUMMYFUNCTION("""COMPUTED_VALUE""")," Timely and quality")</f>
        <v> Timely and quality</v>
      </c>
      <c r="S2330" s="14" t="str">
        <f t="shared" ref="S2330:U2330" si="4663">trim(B2330)</f>
        <v>ord_92294</v>
      </c>
      <c r="T2330" s="14" t="str">
        <f t="shared" si="4663"/>
        <v>Mehul Thakkar</v>
      </c>
      <c r="U2330" s="14" t="str">
        <f t="shared" si="4663"/>
        <v>Malad</v>
      </c>
      <c r="V2330" s="14" t="str">
        <f t="shared" si="4"/>
        <v>Potato</v>
      </c>
      <c r="W2330" s="14">
        <f t="shared" si="5"/>
        <v>1</v>
      </c>
      <c r="X2330" s="14" t="str">
        <f t="shared" si="6"/>
        <v>Neha Shah</v>
      </c>
      <c r="Y2330" s="15">
        <f t="shared" si="7"/>
        <v>45220</v>
      </c>
      <c r="Z2330" s="14" t="str">
        <f t="shared" si="8"/>
        <v>UPI</v>
      </c>
      <c r="AA2330" s="14" t="str">
        <f t="shared" si="9"/>
        <v>Delivered</v>
      </c>
      <c r="AB2330" s="14" t="str">
        <f t="shared" ref="AB2330:AC2330" si="4664">trim(Q2330)</f>
        <v>Satisfied with the Delivery</v>
      </c>
      <c r="AC2330" s="14" t="str">
        <f t="shared" si="4664"/>
        <v>Timely and quality</v>
      </c>
      <c r="AD2330" s="8"/>
    </row>
    <row r="2331">
      <c r="A2331" s="14" t="str">
        <f>IFERROR(__xludf.DUMMYFUNCTION("""COMPUTED_VALUE"""),"//ord_92184//Pallavi Ghosh//Bandra//Guava+2*Priya Joshi/7/3/2023//Online Payment//Delivered*Customer Service: Seamless and easy")</f>
        <v>//ord_92184//Pallavi Ghosh//Bandra//Guava+2*Priya Joshi/7/3/2023//Online Payment//Delivered*Customer Service: Seamless and easy</v>
      </c>
      <c r="B2331" s="14" t="str">
        <f>IFERROR(__xludf.DUMMYFUNCTION("split(A2331,""//"")"),"ord_92184")</f>
        <v>ord_92184</v>
      </c>
      <c r="C2331" s="14" t="str">
        <f>IFERROR(__xludf.DUMMYFUNCTION("""COMPUTED_VALUE"""),"Pallavi Ghosh")</f>
        <v>Pallavi Ghosh</v>
      </c>
      <c r="D2331" s="14" t="str">
        <f>IFERROR(__xludf.DUMMYFUNCTION("""COMPUTED_VALUE"""),"Bandra")</f>
        <v>Bandra</v>
      </c>
      <c r="E2331" s="14" t="str">
        <f>IFERROR(__xludf.DUMMYFUNCTION("""COMPUTED_VALUE"""),"Guava+2*Priya Joshi")</f>
        <v>Guava+2*Priya Joshi</v>
      </c>
      <c r="F2331" s="14">
        <f>IFERROR(__xludf.DUMMYFUNCTION("""COMPUTED_VALUE"""),7.0)</f>
        <v>7</v>
      </c>
      <c r="G2331" s="14">
        <f>IFERROR(__xludf.DUMMYFUNCTION("""COMPUTED_VALUE"""),3.0)</f>
        <v>3</v>
      </c>
      <c r="H2331" s="14">
        <f>IFERROR(__xludf.DUMMYFUNCTION("""COMPUTED_VALUE"""),2023.0)</f>
        <v>2023</v>
      </c>
      <c r="I2331" s="14" t="str">
        <f>IFERROR(__xludf.DUMMYFUNCTION("""COMPUTED_VALUE"""),"Online Payment")</f>
        <v>Online Payment</v>
      </c>
      <c r="J2331" s="14" t="str">
        <f>IFERROR(__xludf.DUMMYFUNCTION("""COMPUTED_VALUE"""),"Delivered*Customer Service: Seamless and easy")</f>
        <v>Delivered*Customer Service: Seamless and easy</v>
      </c>
      <c r="K2331" s="14" t="str">
        <f>IFERROR(__xludf.DUMMYFUNCTION("split(E2331,""+"")"),"Guava")</f>
        <v>Guava</v>
      </c>
      <c r="L2331" s="14" t="str">
        <f>IFERROR(__xludf.DUMMYFUNCTION("""COMPUTED_VALUE"""),"2*Priya Joshi")</f>
        <v>2*Priya Joshi</v>
      </c>
      <c r="M2331" s="14">
        <f>IFERROR(__xludf.DUMMYFUNCTION("SPLIT(L2331,""*"")"),2.0)</f>
        <v>2</v>
      </c>
      <c r="N2331" s="14" t="str">
        <f>IFERROR(__xludf.DUMMYFUNCTION("""COMPUTED_VALUE"""),"Priya Joshi")</f>
        <v>Priya Joshi</v>
      </c>
      <c r="O2331" s="14" t="str">
        <f>IFERROR(__xludf.DUMMYFUNCTION("split(J2331,""*"")"),"Delivered")</f>
        <v>Delivered</v>
      </c>
      <c r="P2331" s="14" t="str">
        <f>IFERROR(__xludf.DUMMYFUNCTION("""COMPUTED_VALUE"""),"Customer Service: Seamless and easy")</f>
        <v>Customer Service: Seamless and easy</v>
      </c>
      <c r="Q2331" s="14" t="str">
        <f>IFERROR(__xludf.DUMMYFUNCTION("split(P2331,"":"")"),"Customer Service")</f>
        <v>Customer Service</v>
      </c>
      <c r="R2331" s="14" t="str">
        <f>IFERROR(__xludf.DUMMYFUNCTION("""COMPUTED_VALUE""")," Seamless and easy")</f>
        <v> Seamless and easy</v>
      </c>
      <c r="S2331" s="14" t="str">
        <f t="shared" ref="S2331:U2331" si="4665">trim(B2331)</f>
        <v>ord_92184</v>
      </c>
      <c r="T2331" s="14" t="str">
        <f t="shared" si="4665"/>
        <v>Pallavi Ghosh</v>
      </c>
      <c r="U2331" s="14" t="str">
        <f t="shared" si="4665"/>
        <v>Bandra</v>
      </c>
      <c r="V2331" s="14" t="str">
        <f t="shared" si="4"/>
        <v>Guava</v>
      </c>
      <c r="W2331" s="14">
        <f t="shared" si="5"/>
        <v>2</v>
      </c>
      <c r="X2331" s="14" t="str">
        <f t="shared" si="6"/>
        <v>Priya Joshi</v>
      </c>
      <c r="Y2331" s="15">
        <f t="shared" si="7"/>
        <v>45110</v>
      </c>
      <c r="Z2331" s="14" t="str">
        <f t="shared" si="8"/>
        <v>Online Payment</v>
      </c>
      <c r="AA2331" s="14" t="str">
        <f t="shared" si="9"/>
        <v>Delivered</v>
      </c>
      <c r="AB2331" s="14" t="str">
        <f t="shared" ref="AB2331:AC2331" si="4666">trim(Q2331)</f>
        <v>Customer Service</v>
      </c>
      <c r="AC2331" s="14" t="str">
        <f t="shared" si="4666"/>
        <v>Seamless and easy</v>
      </c>
      <c r="AD2331" s="8"/>
    </row>
    <row r="2332">
      <c r="A2332" s="14" t="str">
        <f>IFERROR(__xludf.DUMMYFUNCTION("""COMPUTED_VALUE"""),"//ord_91285//Anaya Rao//Colaba//Popcorn+1*Nikhil Deshmukh/10/6/2023//COD//Delivered*Delivery Experience: Quick and professional")</f>
        <v>//ord_91285//Anaya Rao//Colaba//Popcorn+1*Nikhil Deshmukh/10/6/2023//COD//Delivered*Delivery Experience: Quick and professional</v>
      </c>
      <c r="B2332" s="14" t="str">
        <f>IFERROR(__xludf.DUMMYFUNCTION("split(A2332,""//"")"),"ord_91285")</f>
        <v>ord_91285</v>
      </c>
      <c r="C2332" s="14" t="str">
        <f>IFERROR(__xludf.DUMMYFUNCTION("""COMPUTED_VALUE"""),"Anaya Rao")</f>
        <v>Anaya Rao</v>
      </c>
      <c r="D2332" s="14" t="str">
        <f>IFERROR(__xludf.DUMMYFUNCTION("""COMPUTED_VALUE"""),"Colaba")</f>
        <v>Colaba</v>
      </c>
      <c r="E2332" s="14" t="str">
        <f>IFERROR(__xludf.DUMMYFUNCTION("""COMPUTED_VALUE"""),"Popcorn+1*Nikhil Deshmukh")</f>
        <v>Popcorn+1*Nikhil Deshmukh</v>
      </c>
      <c r="F2332" s="14">
        <f>IFERROR(__xludf.DUMMYFUNCTION("""COMPUTED_VALUE"""),10.0)</f>
        <v>10</v>
      </c>
      <c r="G2332" s="14">
        <f>IFERROR(__xludf.DUMMYFUNCTION("""COMPUTED_VALUE"""),6.0)</f>
        <v>6</v>
      </c>
      <c r="H2332" s="14">
        <f>IFERROR(__xludf.DUMMYFUNCTION("""COMPUTED_VALUE"""),2023.0)</f>
        <v>2023</v>
      </c>
      <c r="I2332" s="14" t="str">
        <f>IFERROR(__xludf.DUMMYFUNCTION("""COMPUTED_VALUE"""),"COD")</f>
        <v>COD</v>
      </c>
      <c r="J2332" s="14" t="str">
        <f>IFERROR(__xludf.DUMMYFUNCTION("""COMPUTED_VALUE"""),"Delivered*Delivery Experience: Quick and professional")</f>
        <v>Delivered*Delivery Experience: Quick and professional</v>
      </c>
      <c r="K2332" s="14" t="str">
        <f>IFERROR(__xludf.DUMMYFUNCTION("split(E2332,""+"")"),"Popcorn")</f>
        <v>Popcorn</v>
      </c>
      <c r="L2332" s="14" t="str">
        <f>IFERROR(__xludf.DUMMYFUNCTION("""COMPUTED_VALUE"""),"1*Nikhil Deshmukh")</f>
        <v>1*Nikhil Deshmukh</v>
      </c>
      <c r="M2332" s="14">
        <f>IFERROR(__xludf.DUMMYFUNCTION("SPLIT(L2332,""*"")"),1.0)</f>
        <v>1</v>
      </c>
      <c r="N2332" s="14" t="str">
        <f>IFERROR(__xludf.DUMMYFUNCTION("""COMPUTED_VALUE"""),"Nikhil Deshmukh")</f>
        <v>Nikhil Deshmukh</v>
      </c>
      <c r="O2332" s="14" t="str">
        <f>IFERROR(__xludf.DUMMYFUNCTION("split(J2332,""*"")"),"Delivered")</f>
        <v>Delivered</v>
      </c>
      <c r="P2332" s="14" t="str">
        <f>IFERROR(__xludf.DUMMYFUNCTION("""COMPUTED_VALUE"""),"Delivery Experience: Quick and professional")</f>
        <v>Delivery Experience: Quick and professional</v>
      </c>
      <c r="Q2332" s="14" t="str">
        <f>IFERROR(__xludf.DUMMYFUNCTION("split(P2332,"":"")"),"Delivery Experience")</f>
        <v>Delivery Experience</v>
      </c>
      <c r="R2332" s="14" t="str">
        <f>IFERROR(__xludf.DUMMYFUNCTION("""COMPUTED_VALUE""")," Quick and professional")</f>
        <v> Quick and professional</v>
      </c>
      <c r="S2332" s="14" t="str">
        <f t="shared" ref="S2332:U2332" si="4667">trim(B2332)</f>
        <v>ord_91285</v>
      </c>
      <c r="T2332" s="14" t="str">
        <f t="shared" si="4667"/>
        <v>Anaya Rao</v>
      </c>
      <c r="U2332" s="14" t="str">
        <f t="shared" si="4667"/>
        <v>Colaba</v>
      </c>
      <c r="V2332" s="14" t="str">
        <f t="shared" si="4"/>
        <v>Popcorn</v>
      </c>
      <c r="W2332" s="14">
        <f t="shared" si="5"/>
        <v>1</v>
      </c>
      <c r="X2332" s="14" t="str">
        <f t="shared" si="6"/>
        <v>Nikhil Deshmukh</v>
      </c>
      <c r="Y2332" s="15">
        <f t="shared" si="7"/>
        <v>45205</v>
      </c>
      <c r="Z2332" s="14" t="str">
        <f t="shared" si="8"/>
        <v>COD</v>
      </c>
      <c r="AA2332" s="14" t="str">
        <f t="shared" si="9"/>
        <v>Delivered</v>
      </c>
      <c r="AB2332" s="14" t="str">
        <f t="shared" ref="AB2332:AC2332" si="4668">trim(Q2332)</f>
        <v>Delivery Experience</v>
      </c>
      <c r="AC2332" s="14" t="str">
        <f t="shared" si="4668"/>
        <v>Quick and professional</v>
      </c>
      <c r="AD2332" s="8"/>
    </row>
    <row r="2333">
      <c r="A2333" s="14" t="str">
        <f>IFERROR(__xludf.DUMMYFUNCTION("""COMPUTED_VALUE"""),"//ord_92186//Omkar Mishra//Powai//Onion+1*Sandeep Kumar/9/10/2023//Online Payment//Delivered*Convenience: Easy tracking")</f>
        <v>//ord_92186//Omkar Mishra//Powai//Onion+1*Sandeep Kumar/9/10/2023//Online Payment//Delivered*Convenience: Easy tracking</v>
      </c>
      <c r="B2333" s="14" t="str">
        <f>IFERROR(__xludf.DUMMYFUNCTION("split(A2333,""//"")"),"ord_92186")</f>
        <v>ord_92186</v>
      </c>
      <c r="C2333" s="14" t="str">
        <f>IFERROR(__xludf.DUMMYFUNCTION("""COMPUTED_VALUE"""),"Omkar Mishra")</f>
        <v>Omkar Mishra</v>
      </c>
      <c r="D2333" s="14" t="str">
        <f>IFERROR(__xludf.DUMMYFUNCTION("""COMPUTED_VALUE"""),"Powai")</f>
        <v>Powai</v>
      </c>
      <c r="E2333" s="14" t="str">
        <f>IFERROR(__xludf.DUMMYFUNCTION("""COMPUTED_VALUE"""),"Onion+1*Sandeep Kumar")</f>
        <v>Onion+1*Sandeep Kumar</v>
      </c>
      <c r="F2333" s="14">
        <f>IFERROR(__xludf.DUMMYFUNCTION("""COMPUTED_VALUE"""),9.0)</f>
        <v>9</v>
      </c>
      <c r="G2333" s="14">
        <f>IFERROR(__xludf.DUMMYFUNCTION("""COMPUTED_VALUE"""),10.0)</f>
        <v>10</v>
      </c>
      <c r="H2333" s="14">
        <f>IFERROR(__xludf.DUMMYFUNCTION("""COMPUTED_VALUE"""),2023.0)</f>
        <v>2023</v>
      </c>
      <c r="I2333" s="14" t="str">
        <f>IFERROR(__xludf.DUMMYFUNCTION("""COMPUTED_VALUE"""),"Online Payment")</f>
        <v>Online Payment</v>
      </c>
      <c r="J2333" s="14" t="str">
        <f>IFERROR(__xludf.DUMMYFUNCTION("""COMPUTED_VALUE"""),"Delivered*Convenience: Easy tracking")</f>
        <v>Delivered*Convenience: Easy tracking</v>
      </c>
      <c r="K2333" s="14" t="str">
        <f>IFERROR(__xludf.DUMMYFUNCTION("split(E2333,""+"")"),"Onion")</f>
        <v>Onion</v>
      </c>
      <c r="L2333" s="14" t="str">
        <f>IFERROR(__xludf.DUMMYFUNCTION("""COMPUTED_VALUE"""),"1*Sandeep Kumar")</f>
        <v>1*Sandeep Kumar</v>
      </c>
      <c r="M2333" s="14">
        <f>IFERROR(__xludf.DUMMYFUNCTION("SPLIT(L2333,""*"")"),1.0)</f>
        <v>1</v>
      </c>
      <c r="N2333" s="14" t="str">
        <f>IFERROR(__xludf.DUMMYFUNCTION("""COMPUTED_VALUE"""),"Sandeep Kumar")</f>
        <v>Sandeep Kumar</v>
      </c>
      <c r="O2333" s="14" t="str">
        <f>IFERROR(__xludf.DUMMYFUNCTION("split(J2333,""*"")"),"Delivered")</f>
        <v>Delivered</v>
      </c>
      <c r="P2333" s="14" t="str">
        <f>IFERROR(__xludf.DUMMYFUNCTION("""COMPUTED_VALUE"""),"Convenience: Easy tracking")</f>
        <v>Convenience: Easy tracking</v>
      </c>
      <c r="Q2333" s="14" t="str">
        <f>IFERROR(__xludf.DUMMYFUNCTION("split(P2333,"":"")"),"Convenience")</f>
        <v>Convenience</v>
      </c>
      <c r="R2333" s="14" t="str">
        <f>IFERROR(__xludf.DUMMYFUNCTION("""COMPUTED_VALUE""")," Easy tracking")</f>
        <v> Easy tracking</v>
      </c>
      <c r="S2333" s="14" t="str">
        <f t="shared" ref="S2333:U2333" si="4669">trim(B2333)</f>
        <v>ord_92186</v>
      </c>
      <c r="T2333" s="14" t="str">
        <f t="shared" si="4669"/>
        <v>Omkar Mishra</v>
      </c>
      <c r="U2333" s="14" t="str">
        <f t="shared" si="4669"/>
        <v>Powai</v>
      </c>
      <c r="V2333" s="14" t="str">
        <f t="shared" si="4"/>
        <v>Onion</v>
      </c>
      <c r="W2333" s="14">
        <f t="shared" si="5"/>
        <v>1</v>
      </c>
      <c r="X2333" s="14" t="str">
        <f t="shared" si="6"/>
        <v>Sandeep Kumar</v>
      </c>
      <c r="Y2333" s="15">
        <f t="shared" si="7"/>
        <v>45179</v>
      </c>
      <c r="Z2333" s="14" t="str">
        <f t="shared" si="8"/>
        <v>Online Payment</v>
      </c>
      <c r="AA2333" s="14" t="str">
        <f t="shared" si="9"/>
        <v>Delivered</v>
      </c>
      <c r="AB2333" s="14" t="str">
        <f t="shared" ref="AB2333:AC2333" si="4670">trim(Q2333)</f>
        <v>Convenience</v>
      </c>
      <c r="AC2333" s="14" t="str">
        <f t="shared" si="4670"/>
        <v>Easy tracking</v>
      </c>
      <c r="AD2333" s="8"/>
    </row>
    <row r="2334">
      <c r="A2334" s="14" t="str">
        <f>IFERROR(__xludf.DUMMYFUNCTION("""COMPUTED_VALUE"""),"//ord_92187//Diya Arora//Lower Parel//Orange+1*Kiran Mehta/11/10/2023//Online Payment//Delivered*Overall Satisfaction: Great service will order again")</f>
        <v>//ord_92187//Diya Arora//Lower Parel//Orange+1*Kiran Mehta/11/10/2023//Online Payment//Delivered*Overall Satisfaction: Great service will order again</v>
      </c>
      <c r="B2334" s="14" t="str">
        <f>IFERROR(__xludf.DUMMYFUNCTION("split(A2334,""//"")"),"ord_92187")</f>
        <v>ord_92187</v>
      </c>
      <c r="C2334" s="14" t="str">
        <f>IFERROR(__xludf.DUMMYFUNCTION("""COMPUTED_VALUE"""),"Diya Arora")</f>
        <v>Diya Arora</v>
      </c>
      <c r="D2334" s="14" t="str">
        <f>IFERROR(__xludf.DUMMYFUNCTION("""COMPUTED_VALUE"""),"Lower Parel")</f>
        <v>Lower Parel</v>
      </c>
      <c r="E2334" s="14" t="str">
        <f>IFERROR(__xludf.DUMMYFUNCTION("""COMPUTED_VALUE"""),"Orange+1*Kiran Mehta")</f>
        <v>Orange+1*Kiran Mehta</v>
      </c>
      <c r="F2334" s="14">
        <f>IFERROR(__xludf.DUMMYFUNCTION("""COMPUTED_VALUE"""),11.0)</f>
        <v>11</v>
      </c>
      <c r="G2334" s="14">
        <f>IFERROR(__xludf.DUMMYFUNCTION("""COMPUTED_VALUE"""),10.0)</f>
        <v>10</v>
      </c>
      <c r="H2334" s="14">
        <f>IFERROR(__xludf.DUMMYFUNCTION("""COMPUTED_VALUE"""),2023.0)</f>
        <v>2023</v>
      </c>
      <c r="I2334" s="14" t="str">
        <f>IFERROR(__xludf.DUMMYFUNCTION("""COMPUTED_VALUE"""),"Online Payment")</f>
        <v>Online Payment</v>
      </c>
      <c r="J2334" s="14" t="str">
        <f>IFERROR(__xludf.DUMMYFUNCTION("""COMPUTED_VALUE"""),"Delivered*Overall Satisfaction: Great service will order again")</f>
        <v>Delivered*Overall Satisfaction: Great service will order again</v>
      </c>
      <c r="K2334" s="14" t="str">
        <f>IFERROR(__xludf.DUMMYFUNCTION("split(E2334,""+"")"),"Orange")</f>
        <v>Orange</v>
      </c>
      <c r="L2334" s="14" t="str">
        <f>IFERROR(__xludf.DUMMYFUNCTION("""COMPUTED_VALUE"""),"1*Kiran Mehta")</f>
        <v>1*Kiran Mehta</v>
      </c>
      <c r="M2334" s="14">
        <f>IFERROR(__xludf.DUMMYFUNCTION("SPLIT(L2334,""*"")"),1.0)</f>
        <v>1</v>
      </c>
      <c r="N2334" s="14" t="str">
        <f>IFERROR(__xludf.DUMMYFUNCTION("""COMPUTED_VALUE"""),"Kiran Mehta")</f>
        <v>Kiran Mehta</v>
      </c>
      <c r="O2334" s="14" t="str">
        <f>IFERROR(__xludf.DUMMYFUNCTION("split(J2334,""*"")"),"Delivered")</f>
        <v>Delivered</v>
      </c>
      <c r="P2334" s="14" t="str">
        <f>IFERROR(__xludf.DUMMYFUNCTION("""COMPUTED_VALUE"""),"Overall Satisfaction: Great service will order again")</f>
        <v>Overall Satisfaction: Great service will order again</v>
      </c>
      <c r="Q2334" s="14" t="str">
        <f>IFERROR(__xludf.DUMMYFUNCTION("split(P2334,"":"")"),"Overall Satisfaction")</f>
        <v>Overall Satisfaction</v>
      </c>
      <c r="R2334" s="14" t="str">
        <f>IFERROR(__xludf.DUMMYFUNCTION("""COMPUTED_VALUE""")," Great service will order again")</f>
        <v> Great service will order again</v>
      </c>
      <c r="S2334" s="14" t="str">
        <f t="shared" ref="S2334:U2334" si="4671">trim(B2334)</f>
        <v>ord_92187</v>
      </c>
      <c r="T2334" s="14" t="str">
        <f t="shared" si="4671"/>
        <v>Diya Arora</v>
      </c>
      <c r="U2334" s="14" t="str">
        <f t="shared" si="4671"/>
        <v>Lower Parel</v>
      </c>
      <c r="V2334" s="14" t="str">
        <f t="shared" si="4"/>
        <v>Orange</v>
      </c>
      <c r="W2334" s="14">
        <f t="shared" si="5"/>
        <v>1</v>
      </c>
      <c r="X2334" s="14" t="str">
        <f t="shared" si="6"/>
        <v>Kiran Mehta</v>
      </c>
      <c r="Y2334" s="15">
        <f t="shared" si="7"/>
        <v>45240</v>
      </c>
      <c r="Z2334" s="14" t="str">
        <f t="shared" si="8"/>
        <v>Online Payment</v>
      </c>
      <c r="AA2334" s="14" t="str">
        <f t="shared" si="9"/>
        <v>Delivered</v>
      </c>
      <c r="AB2334" s="14" t="str">
        <f t="shared" ref="AB2334:AC2334" si="4672">trim(Q2334)</f>
        <v>Overall Satisfaction</v>
      </c>
      <c r="AC2334" s="14" t="str">
        <f t="shared" si="4672"/>
        <v>Great service will order again</v>
      </c>
      <c r="AD2334" s="8"/>
    </row>
    <row r="2335">
      <c r="A2335" s="14" t="str">
        <f>IFERROR(__xludf.DUMMYFUNCTION("""COMPUTED_VALUE"""),"//ord_91288//Omkar Mishra//Powai//Chocolate Mousse+3*Sandeep Kumar/9/14/2023//COD//Delivered*On-time Delivery: Delivered on time")</f>
        <v>//ord_91288//Omkar Mishra//Powai//Chocolate Mousse+3*Sandeep Kumar/9/14/2023//COD//Delivered*On-time Delivery: Delivered on time</v>
      </c>
      <c r="B2335" s="14" t="str">
        <f>IFERROR(__xludf.DUMMYFUNCTION("split(A2335,""//"")"),"ord_91288")</f>
        <v>ord_91288</v>
      </c>
      <c r="C2335" s="14" t="str">
        <f>IFERROR(__xludf.DUMMYFUNCTION("""COMPUTED_VALUE"""),"Omkar Mishra")</f>
        <v>Omkar Mishra</v>
      </c>
      <c r="D2335" s="14" t="str">
        <f>IFERROR(__xludf.DUMMYFUNCTION("""COMPUTED_VALUE"""),"Powai")</f>
        <v>Powai</v>
      </c>
      <c r="E2335" s="14" t="str">
        <f>IFERROR(__xludf.DUMMYFUNCTION("""COMPUTED_VALUE"""),"Chocolate Mousse+3*Sandeep Kumar")</f>
        <v>Chocolate Mousse+3*Sandeep Kumar</v>
      </c>
      <c r="F2335" s="14">
        <f>IFERROR(__xludf.DUMMYFUNCTION("""COMPUTED_VALUE"""),9.0)</f>
        <v>9</v>
      </c>
      <c r="G2335" s="14">
        <f>IFERROR(__xludf.DUMMYFUNCTION("""COMPUTED_VALUE"""),14.0)</f>
        <v>14</v>
      </c>
      <c r="H2335" s="14">
        <f>IFERROR(__xludf.DUMMYFUNCTION("""COMPUTED_VALUE"""),2023.0)</f>
        <v>2023</v>
      </c>
      <c r="I2335" s="14" t="str">
        <f>IFERROR(__xludf.DUMMYFUNCTION("""COMPUTED_VALUE"""),"COD")</f>
        <v>COD</v>
      </c>
      <c r="J2335" s="14" t="str">
        <f>IFERROR(__xludf.DUMMYFUNCTION("""COMPUTED_VALUE"""),"Delivered*On-time Delivery: Delivered on time")</f>
        <v>Delivered*On-time Delivery: Delivered on time</v>
      </c>
      <c r="K2335" s="14" t="str">
        <f>IFERROR(__xludf.DUMMYFUNCTION("split(E2335,""+"")"),"Chocolate Mousse")</f>
        <v>Chocolate Mousse</v>
      </c>
      <c r="L2335" s="14" t="str">
        <f>IFERROR(__xludf.DUMMYFUNCTION("""COMPUTED_VALUE"""),"3*Sandeep Kumar")</f>
        <v>3*Sandeep Kumar</v>
      </c>
      <c r="M2335" s="14">
        <f>IFERROR(__xludf.DUMMYFUNCTION("SPLIT(L2335,""*"")"),3.0)</f>
        <v>3</v>
      </c>
      <c r="N2335" s="14" t="str">
        <f>IFERROR(__xludf.DUMMYFUNCTION("""COMPUTED_VALUE"""),"Sandeep Kumar")</f>
        <v>Sandeep Kumar</v>
      </c>
      <c r="O2335" s="14" t="str">
        <f>IFERROR(__xludf.DUMMYFUNCTION("split(J2335,""*"")"),"Delivered")</f>
        <v>Delivered</v>
      </c>
      <c r="P2335" s="14" t="str">
        <f>IFERROR(__xludf.DUMMYFUNCTION("""COMPUTED_VALUE"""),"On-time Delivery: Delivered on time")</f>
        <v>On-time Delivery: Delivered on time</v>
      </c>
      <c r="Q2335" s="14" t="str">
        <f>IFERROR(__xludf.DUMMYFUNCTION("split(P2335,"":"")"),"On-time Delivery")</f>
        <v>On-time Delivery</v>
      </c>
      <c r="R2335" s="14" t="str">
        <f>IFERROR(__xludf.DUMMYFUNCTION("""COMPUTED_VALUE""")," Delivered on time")</f>
        <v> Delivered on time</v>
      </c>
      <c r="S2335" s="14" t="str">
        <f t="shared" ref="S2335:U2335" si="4673">trim(B2335)</f>
        <v>ord_91288</v>
      </c>
      <c r="T2335" s="14" t="str">
        <f t="shared" si="4673"/>
        <v>Omkar Mishra</v>
      </c>
      <c r="U2335" s="14" t="str">
        <f t="shared" si="4673"/>
        <v>Powai</v>
      </c>
      <c r="V2335" s="14" t="str">
        <f t="shared" si="4"/>
        <v>Chocolate Mousse</v>
      </c>
      <c r="W2335" s="14">
        <f t="shared" si="5"/>
        <v>3</v>
      </c>
      <c r="X2335" s="14" t="str">
        <f t="shared" si="6"/>
        <v>Sandeep Kumar</v>
      </c>
      <c r="Y2335" s="15">
        <f t="shared" si="7"/>
        <v>45183</v>
      </c>
      <c r="Z2335" s="14" t="str">
        <f t="shared" si="8"/>
        <v>COD</v>
      </c>
      <c r="AA2335" s="14" t="str">
        <f t="shared" si="9"/>
        <v>Delivered</v>
      </c>
      <c r="AB2335" s="14" t="str">
        <f t="shared" ref="AB2335:AC2335" si="4674">trim(Q2335)</f>
        <v>On-time Delivery</v>
      </c>
      <c r="AC2335" s="14" t="str">
        <f t="shared" si="4674"/>
        <v>Delivered on time</v>
      </c>
      <c r="AD2335" s="8"/>
    </row>
    <row r="2336">
      <c r="A2336" s="14" t="str">
        <f>IFERROR(__xludf.DUMMYFUNCTION("""COMPUTED_VALUE"""),"//ord_92189//Dev Chauhan//Bandra//Chicken Puff+5*Priya Joshi/10/12/2023//Online Payment//Delivered*On-time Delivery: Delivered on time")</f>
        <v>//ord_92189//Dev Chauhan//Bandra//Chicken Puff+5*Priya Joshi/10/12/2023//Online Payment//Delivered*On-time Delivery: Delivered on time</v>
      </c>
      <c r="B2336" s="14" t="str">
        <f>IFERROR(__xludf.DUMMYFUNCTION("split(A2336,""//"")"),"ord_92189")</f>
        <v>ord_92189</v>
      </c>
      <c r="C2336" s="14" t="str">
        <f>IFERROR(__xludf.DUMMYFUNCTION("""COMPUTED_VALUE"""),"Dev Chauhan")</f>
        <v>Dev Chauhan</v>
      </c>
      <c r="D2336" s="14" t="str">
        <f>IFERROR(__xludf.DUMMYFUNCTION("""COMPUTED_VALUE"""),"Bandra")</f>
        <v>Bandra</v>
      </c>
      <c r="E2336" s="14" t="str">
        <f>IFERROR(__xludf.DUMMYFUNCTION("""COMPUTED_VALUE"""),"Chicken Puff+5*Priya Joshi")</f>
        <v>Chicken Puff+5*Priya Joshi</v>
      </c>
      <c r="F2336" s="14">
        <f>IFERROR(__xludf.DUMMYFUNCTION("""COMPUTED_VALUE"""),10.0)</f>
        <v>10</v>
      </c>
      <c r="G2336" s="14">
        <f>IFERROR(__xludf.DUMMYFUNCTION("""COMPUTED_VALUE"""),12.0)</f>
        <v>12</v>
      </c>
      <c r="H2336" s="14">
        <f>IFERROR(__xludf.DUMMYFUNCTION("""COMPUTED_VALUE"""),2023.0)</f>
        <v>2023</v>
      </c>
      <c r="I2336" s="14" t="str">
        <f>IFERROR(__xludf.DUMMYFUNCTION("""COMPUTED_VALUE"""),"Online Payment")</f>
        <v>Online Payment</v>
      </c>
      <c r="J2336" s="14" t="str">
        <f>IFERROR(__xludf.DUMMYFUNCTION("""COMPUTED_VALUE"""),"Delivered*On-time Delivery: Delivered on time")</f>
        <v>Delivered*On-time Delivery: Delivered on time</v>
      </c>
      <c r="K2336" s="14" t="str">
        <f>IFERROR(__xludf.DUMMYFUNCTION("split(E2336,""+"")"),"Chicken Puff")</f>
        <v>Chicken Puff</v>
      </c>
      <c r="L2336" s="14" t="str">
        <f>IFERROR(__xludf.DUMMYFUNCTION("""COMPUTED_VALUE"""),"5*Priya Joshi")</f>
        <v>5*Priya Joshi</v>
      </c>
      <c r="M2336" s="14">
        <f>IFERROR(__xludf.DUMMYFUNCTION("SPLIT(L2336,""*"")"),5.0)</f>
        <v>5</v>
      </c>
      <c r="N2336" s="14" t="str">
        <f>IFERROR(__xludf.DUMMYFUNCTION("""COMPUTED_VALUE"""),"Priya Joshi")</f>
        <v>Priya Joshi</v>
      </c>
      <c r="O2336" s="14" t="str">
        <f>IFERROR(__xludf.DUMMYFUNCTION("split(J2336,""*"")"),"Delivered")</f>
        <v>Delivered</v>
      </c>
      <c r="P2336" s="14" t="str">
        <f>IFERROR(__xludf.DUMMYFUNCTION("""COMPUTED_VALUE"""),"On-time Delivery: Delivered on time")</f>
        <v>On-time Delivery: Delivered on time</v>
      </c>
      <c r="Q2336" s="14" t="str">
        <f>IFERROR(__xludf.DUMMYFUNCTION("split(P2336,"":"")"),"On-time Delivery")</f>
        <v>On-time Delivery</v>
      </c>
      <c r="R2336" s="14" t="str">
        <f>IFERROR(__xludf.DUMMYFUNCTION("""COMPUTED_VALUE""")," Delivered on time")</f>
        <v> Delivered on time</v>
      </c>
      <c r="S2336" s="14" t="str">
        <f t="shared" ref="S2336:U2336" si="4675">trim(B2336)</f>
        <v>ord_92189</v>
      </c>
      <c r="T2336" s="14" t="str">
        <f t="shared" si="4675"/>
        <v>Dev Chauhan</v>
      </c>
      <c r="U2336" s="14" t="str">
        <f t="shared" si="4675"/>
        <v>Bandra</v>
      </c>
      <c r="V2336" s="14" t="str">
        <f t="shared" si="4"/>
        <v>Chicken Puff</v>
      </c>
      <c r="W2336" s="14">
        <f t="shared" si="5"/>
        <v>5</v>
      </c>
      <c r="X2336" s="14" t="str">
        <f t="shared" si="6"/>
        <v>Priya Joshi</v>
      </c>
      <c r="Y2336" s="15">
        <f t="shared" si="7"/>
        <v>45211</v>
      </c>
      <c r="Z2336" s="14" t="str">
        <f t="shared" si="8"/>
        <v>Online Payment</v>
      </c>
      <c r="AA2336" s="14" t="str">
        <f t="shared" si="9"/>
        <v>Delivered</v>
      </c>
      <c r="AB2336" s="14" t="str">
        <f t="shared" ref="AB2336:AC2336" si="4676">trim(Q2336)</f>
        <v>On-time Delivery</v>
      </c>
      <c r="AC2336" s="14" t="str">
        <f t="shared" si="4676"/>
        <v>Delivered on time</v>
      </c>
      <c r="AD2336" s="8"/>
    </row>
    <row r="2337">
      <c r="A2337" s="14" t="str">
        <f>IFERROR(__xludf.DUMMYFUNCTION("""COMPUTED_VALUE"""),"//ord_91290//Anaya Rao//Colaba//Juice+1*Nikhil Deshmukh/10/8/2023//Online Payment//Delivered*Quality of Items: Perfect condition")</f>
        <v>//ord_91290//Anaya Rao//Colaba//Juice+1*Nikhil Deshmukh/10/8/2023//Online Payment//Delivered*Quality of Items: Perfect condition</v>
      </c>
      <c r="B2337" s="14" t="str">
        <f>IFERROR(__xludf.DUMMYFUNCTION("split(A2337,""//"")"),"ord_91290")</f>
        <v>ord_91290</v>
      </c>
      <c r="C2337" s="14" t="str">
        <f>IFERROR(__xludf.DUMMYFUNCTION("""COMPUTED_VALUE"""),"Anaya Rao")</f>
        <v>Anaya Rao</v>
      </c>
      <c r="D2337" s="14" t="str">
        <f>IFERROR(__xludf.DUMMYFUNCTION("""COMPUTED_VALUE"""),"Colaba")</f>
        <v>Colaba</v>
      </c>
      <c r="E2337" s="14" t="str">
        <f>IFERROR(__xludf.DUMMYFUNCTION("""COMPUTED_VALUE"""),"Juice+1*Nikhil Deshmukh")</f>
        <v>Juice+1*Nikhil Deshmukh</v>
      </c>
      <c r="F2337" s="14">
        <f>IFERROR(__xludf.DUMMYFUNCTION("""COMPUTED_VALUE"""),10.0)</f>
        <v>10</v>
      </c>
      <c r="G2337" s="14">
        <f>IFERROR(__xludf.DUMMYFUNCTION("""COMPUTED_VALUE"""),8.0)</f>
        <v>8</v>
      </c>
      <c r="H2337" s="14">
        <f>IFERROR(__xludf.DUMMYFUNCTION("""COMPUTED_VALUE"""),2023.0)</f>
        <v>2023</v>
      </c>
      <c r="I2337" s="14" t="str">
        <f>IFERROR(__xludf.DUMMYFUNCTION("""COMPUTED_VALUE"""),"Online Payment")</f>
        <v>Online Payment</v>
      </c>
      <c r="J2337" s="14" t="str">
        <f>IFERROR(__xludf.DUMMYFUNCTION("""COMPUTED_VALUE"""),"Delivered*Quality of Items: Perfect condition")</f>
        <v>Delivered*Quality of Items: Perfect condition</v>
      </c>
      <c r="K2337" s="14" t="str">
        <f>IFERROR(__xludf.DUMMYFUNCTION("split(E2337,""+"")"),"Juice")</f>
        <v>Juice</v>
      </c>
      <c r="L2337" s="14" t="str">
        <f>IFERROR(__xludf.DUMMYFUNCTION("""COMPUTED_VALUE"""),"1*Nikhil Deshmukh")</f>
        <v>1*Nikhil Deshmukh</v>
      </c>
      <c r="M2337" s="14">
        <f>IFERROR(__xludf.DUMMYFUNCTION("SPLIT(L2337,""*"")"),1.0)</f>
        <v>1</v>
      </c>
      <c r="N2337" s="14" t="str">
        <f>IFERROR(__xludf.DUMMYFUNCTION("""COMPUTED_VALUE"""),"Nikhil Deshmukh")</f>
        <v>Nikhil Deshmukh</v>
      </c>
      <c r="O2337" s="14" t="str">
        <f>IFERROR(__xludf.DUMMYFUNCTION("split(J2337,""*"")"),"Delivered")</f>
        <v>Delivered</v>
      </c>
      <c r="P2337" s="14" t="str">
        <f>IFERROR(__xludf.DUMMYFUNCTION("""COMPUTED_VALUE"""),"Quality of Items: Perfect condition")</f>
        <v>Quality of Items: Perfect condition</v>
      </c>
      <c r="Q2337" s="14" t="str">
        <f>IFERROR(__xludf.DUMMYFUNCTION("split(P2337,"":"")"),"Quality of Items")</f>
        <v>Quality of Items</v>
      </c>
      <c r="R2337" s="14" t="str">
        <f>IFERROR(__xludf.DUMMYFUNCTION("""COMPUTED_VALUE""")," Perfect condition")</f>
        <v> Perfect condition</v>
      </c>
      <c r="S2337" s="14" t="str">
        <f t="shared" ref="S2337:U2337" si="4677">trim(B2337)</f>
        <v>ord_91290</v>
      </c>
      <c r="T2337" s="14" t="str">
        <f t="shared" si="4677"/>
        <v>Anaya Rao</v>
      </c>
      <c r="U2337" s="14" t="str">
        <f t="shared" si="4677"/>
        <v>Colaba</v>
      </c>
      <c r="V2337" s="14" t="str">
        <f t="shared" si="4"/>
        <v>Juice</v>
      </c>
      <c r="W2337" s="14">
        <f t="shared" si="5"/>
        <v>1</v>
      </c>
      <c r="X2337" s="14" t="str">
        <f t="shared" si="6"/>
        <v>Nikhil Deshmukh</v>
      </c>
      <c r="Y2337" s="15">
        <f t="shared" si="7"/>
        <v>45207</v>
      </c>
      <c r="Z2337" s="14" t="str">
        <f t="shared" si="8"/>
        <v>Online Payment</v>
      </c>
      <c r="AA2337" s="14" t="str">
        <f t="shared" si="9"/>
        <v>Delivered</v>
      </c>
      <c r="AB2337" s="14" t="str">
        <f t="shared" ref="AB2337:AC2337" si="4678">trim(Q2337)</f>
        <v>Quality of Items</v>
      </c>
      <c r="AC2337" s="14" t="str">
        <f t="shared" si="4678"/>
        <v>Perfect condition</v>
      </c>
      <c r="AD2337" s="8"/>
    </row>
    <row r="2338">
      <c r="A2338" s="14" t="str">
        <f>IFERROR(__xludf.DUMMYFUNCTION("""COMPUTED_VALUE"""),"//ord_92191//Parth Goel//Juhu//Rasmalai+4*Tanvi Jain/11/14/2023//Credit Card//Delivered*Packaging: Secure and intact")</f>
        <v>//ord_92191//Parth Goel//Juhu//Rasmalai+4*Tanvi Jain/11/14/2023//Credit Card//Delivered*Packaging: Secure and intact</v>
      </c>
      <c r="B2338" s="14" t="str">
        <f>IFERROR(__xludf.DUMMYFUNCTION("split(A2338,""//"")"),"ord_92191")</f>
        <v>ord_92191</v>
      </c>
      <c r="C2338" s="14" t="str">
        <f>IFERROR(__xludf.DUMMYFUNCTION("""COMPUTED_VALUE"""),"Parth Goel")</f>
        <v>Parth Goel</v>
      </c>
      <c r="D2338" s="14" t="str">
        <f>IFERROR(__xludf.DUMMYFUNCTION("""COMPUTED_VALUE"""),"Juhu")</f>
        <v>Juhu</v>
      </c>
      <c r="E2338" s="14" t="str">
        <f>IFERROR(__xludf.DUMMYFUNCTION("""COMPUTED_VALUE"""),"Rasmalai+4*Tanvi Jain")</f>
        <v>Rasmalai+4*Tanvi Jain</v>
      </c>
      <c r="F2338" s="14">
        <f>IFERROR(__xludf.DUMMYFUNCTION("""COMPUTED_VALUE"""),11.0)</f>
        <v>11</v>
      </c>
      <c r="G2338" s="14">
        <f>IFERROR(__xludf.DUMMYFUNCTION("""COMPUTED_VALUE"""),14.0)</f>
        <v>14</v>
      </c>
      <c r="H2338" s="14">
        <f>IFERROR(__xludf.DUMMYFUNCTION("""COMPUTED_VALUE"""),2023.0)</f>
        <v>2023</v>
      </c>
      <c r="I2338" s="14" t="str">
        <f>IFERROR(__xludf.DUMMYFUNCTION("""COMPUTED_VALUE"""),"Credit Card")</f>
        <v>Credit Card</v>
      </c>
      <c r="J2338" s="14" t="str">
        <f>IFERROR(__xludf.DUMMYFUNCTION("""COMPUTED_VALUE"""),"Delivered*Packaging: Secure and intact")</f>
        <v>Delivered*Packaging: Secure and intact</v>
      </c>
      <c r="K2338" s="14" t="str">
        <f>IFERROR(__xludf.DUMMYFUNCTION("split(E2338,""+"")"),"Rasmalai")</f>
        <v>Rasmalai</v>
      </c>
      <c r="L2338" s="14" t="str">
        <f>IFERROR(__xludf.DUMMYFUNCTION("""COMPUTED_VALUE"""),"4*Tanvi Jain")</f>
        <v>4*Tanvi Jain</v>
      </c>
      <c r="M2338" s="14">
        <f>IFERROR(__xludf.DUMMYFUNCTION("SPLIT(L2338,""*"")"),4.0)</f>
        <v>4</v>
      </c>
      <c r="N2338" s="14" t="str">
        <f>IFERROR(__xludf.DUMMYFUNCTION("""COMPUTED_VALUE"""),"Tanvi Jain")</f>
        <v>Tanvi Jain</v>
      </c>
      <c r="O2338" s="14" t="str">
        <f>IFERROR(__xludf.DUMMYFUNCTION("split(J2338,""*"")"),"Delivered")</f>
        <v>Delivered</v>
      </c>
      <c r="P2338" s="14" t="str">
        <f>IFERROR(__xludf.DUMMYFUNCTION("""COMPUTED_VALUE"""),"Packaging: Secure and intact")</f>
        <v>Packaging: Secure and intact</v>
      </c>
      <c r="Q2338" s="14" t="str">
        <f>IFERROR(__xludf.DUMMYFUNCTION("split(P2338,"":"")"),"Packaging")</f>
        <v>Packaging</v>
      </c>
      <c r="R2338" s="14" t="str">
        <f>IFERROR(__xludf.DUMMYFUNCTION("""COMPUTED_VALUE""")," Secure and intact")</f>
        <v> Secure and intact</v>
      </c>
      <c r="S2338" s="14" t="str">
        <f t="shared" ref="S2338:U2338" si="4679">trim(B2338)</f>
        <v>ord_92191</v>
      </c>
      <c r="T2338" s="14" t="str">
        <f t="shared" si="4679"/>
        <v>Parth Goel</v>
      </c>
      <c r="U2338" s="14" t="str">
        <f t="shared" si="4679"/>
        <v>Juhu</v>
      </c>
      <c r="V2338" s="14" t="str">
        <f t="shared" si="4"/>
        <v>Rasmalai</v>
      </c>
      <c r="W2338" s="14">
        <f t="shared" si="5"/>
        <v>4</v>
      </c>
      <c r="X2338" s="14" t="str">
        <f t="shared" si="6"/>
        <v>Tanvi Jain</v>
      </c>
      <c r="Y2338" s="15">
        <f t="shared" si="7"/>
        <v>45244</v>
      </c>
      <c r="Z2338" s="14" t="str">
        <f t="shared" si="8"/>
        <v>Credit Card</v>
      </c>
      <c r="AA2338" s="14" t="str">
        <f t="shared" si="9"/>
        <v>Delivered</v>
      </c>
      <c r="AB2338" s="14" t="str">
        <f t="shared" ref="AB2338:AC2338" si="4680">trim(Q2338)</f>
        <v>Packaging</v>
      </c>
      <c r="AC2338" s="14" t="str">
        <f t="shared" si="4680"/>
        <v>Secure and intact</v>
      </c>
      <c r="AD2338" s="8"/>
    </row>
    <row r="2339">
      <c r="A2339" s="14" t="str">
        <f>IFERROR(__xludf.DUMMYFUNCTION("""COMPUTED_VALUE"""),"//ord_91292//Pranav Joshi//Andheri//Potato+1*Rohan Yadav/12/12/2023//Online Payment//Delivered*Satisfied with the Delivery: Timely and quality")</f>
        <v>//ord_91292//Pranav Joshi//Andheri//Potato+1*Rohan Yadav/12/12/2023//Online Payment//Delivered*Satisfied with the Delivery: Timely and quality</v>
      </c>
      <c r="B2339" s="14" t="str">
        <f>IFERROR(__xludf.DUMMYFUNCTION("split(A2339,""//"")"),"ord_91292")</f>
        <v>ord_91292</v>
      </c>
      <c r="C2339" s="14" t="str">
        <f>IFERROR(__xludf.DUMMYFUNCTION("""COMPUTED_VALUE"""),"Pranav Joshi")</f>
        <v>Pranav Joshi</v>
      </c>
      <c r="D2339" s="14" t="str">
        <f>IFERROR(__xludf.DUMMYFUNCTION("""COMPUTED_VALUE"""),"Andheri")</f>
        <v>Andheri</v>
      </c>
      <c r="E2339" s="14" t="str">
        <f>IFERROR(__xludf.DUMMYFUNCTION("""COMPUTED_VALUE"""),"Potato+1*Rohan Yadav")</f>
        <v>Potato+1*Rohan Yadav</v>
      </c>
      <c r="F2339" s="14">
        <f>IFERROR(__xludf.DUMMYFUNCTION("""COMPUTED_VALUE"""),12.0)</f>
        <v>12</v>
      </c>
      <c r="G2339" s="14">
        <f>IFERROR(__xludf.DUMMYFUNCTION("""COMPUTED_VALUE"""),12.0)</f>
        <v>12</v>
      </c>
      <c r="H2339" s="14">
        <f>IFERROR(__xludf.DUMMYFUNCTION("""COMPUTED_VALUE"""),2023.0)</f>
        <v>2023</v>
      </c>
      <c r="I2339" s="14" t="str">
        <f>IFERROR(__xludf.DUMMYFUNCTION("""COMPUTED_VALUE"""),"Online Payment")</f>
        <v>Online Payment</v>
      </c>
      <c r="J2339" s="14" t="str">
        <f>IFERROR(__xludf.DUMMYFUNCTION("""COMPUTED_VALUE"""),"Delivered*Satisfied with the Delivery: Timely and quality")</f>
        <v>Delivered*Satisfied with the Delivery: Timely and quality</v>
      </c>
      <c r="K2339" s="14" t="str">
        <f>IFERROR(__xludf.DUMMYFUNCTION("split(E2339,""+"")"),"Potato")</f>
        <v>Potato</v>
      </c>
      <c r="L2339" s="14" t="str">
        <f>IFERROR(__xludf.DUMMYFUNCTION("""COMPUTED_VALUE"""),"1*Rohan Yadav")</f>
        <v>1*Rohan Yadav</v>
      </c>
      <c r="M2339" s="14">
        <f>IFERROR(__xludf.DUMMYFUNCTION("SPLIT(L2339,""*"")"),1.0)</f>
        <v>1</v>
      </c>
      <c r="N2339" s="14" t="str">
        <f>IFERROR(__xludf.DUMMYFUNCTION("""COMPUTED_VALUE"""),"Rohan Yadav")</f>
        <v>Rohan Yadav</v>
      </c>
      <c r="O2339" s="14" t="str">
        <f>IFERROR(__xludf.DUMMYFUNCTION("split(J2339,""*"")"),"Delivered")</f>
        <v>Delivered</v>
      </c>
      <c r="P2339" s="14" t="str">
        <f>IFERROR(__xludf.DUMMYFUNCTION("""COMPUTED_VALUE"""),"Satisfied with the Delivery: Timely and quality")</f>
        <v>Satisfied with the Delivery: Timely and quality</v>
      </c>
      <c r="Q2339" s="14" t="str">
        <f>IFERROR(__xludf.DUMMYFUNCTION("split(P2339,"":"")"),"Satisfied with the Delivery")</f>
        <v>Satisfied with the Delivery</v>
      </c>
      <c r="R2339" s="14" t="str">
        <f>IFERROR(__xludf.DUMMYFUNCTION("""COMPUTED_VALUE""")," Timely and quality")</f>
        <v> Timely and quality</v>
      </c>
      <c r="S2339" s="14" t="str">
        <f t="shared" ref="S2339:U2339" si="4681">trim(B2339)</f>
        <v>ord_91292</v>
      </c>
      <c r="T2339" s="14" t="str">
        <f t="shared" si="4681"/>
        <v>Pranav Joshi</v>
      </c>
      <c r="U2339" s="14" t="str">
        <f t="shared" si="4681"/>
        <v>Andheri</v>
      </c>
      <c r="V2339" s="14" t="str">
        <f t="shared" si="4"/>
        <v>Potato</v>
      </c>
      <c r="W2339" s="14">
        <f t="shared" si="5"/>
        <v>1</v>
      </c>
      <c r="X2339" s="14" t="str">
        <f t="shared" si="6"/>
        <v>Rohan Yadav</v>
      </c>
      <c r="Y2339" s="15">
        <f t="shared" si="7"/>
        <v>45272</v>
      </c>
      <c r="Z2339" s="14" t="str">
        <f t="shared" si="8"/>
        <v>Online Payment</v>
      </c>
      <c r="AA2339" s="14" t="str">
        <f t="shared" si="9"/>
        <v>Delivered</v>
      </c>
      <c r="AB2339" s="14" t="str">
        <f t="shared" ref="AB2339:AC2339" si="4682">trim(Q2339)</f>
        <v>Satisfied with the Delivery</v>
      </c>
      <c r="AC2339" s="14" t="str">
        <f t="shared" si="4682"/>
        <v>Timely and quality</v>
      </c>
      <c r="AD2339" s="8"/>
    </row>
    <row r="2340">
      <c r="A2340" s="14" t="str">
        <f>IFERROR(__xludf.DUMMYFUNCTION("""COMPUTED_VALUE"""),"//ord_91386//Pallavi Ghosh//Bandra//Cucumber+2*Priya Joshi/11/8/2023//Credit Card//Delivered*Customer Service: Seamless and easy")</f>
        <v>//ord_91386//Pallavi Ghosh//Bandra//Cucumber+2*Priya Joshi/11/8/2023//Credit Card//Delivered*Customer Service: Seamless and easy</v>
      </c>
      <c r="B2340" s="14" t="str">
        <f>IFERROR(__xludf.DUMMYFUNCTION("split(A2340,""//"")"),"ord_91386")</f>
        <v>ord_91386</v>
      </c>
      <c r="C2340" s="14" t="str">
        <f>IFERROR(__xludf.DUMMYFUNCTION("""COMPUTED_VALUE"""),"Pallavi Ghosh")</f>
        <v>Pallavi Ghosh</v>
      </c>
      <c r="D2340" s="14" t="str">
        <f>IFERROR(__xludf.DUMMYFUNCTION("""COMPUTED_VALUE"""),"Bandra")</f>
        <v>Bandra</v>
      </c>
      <c r="E2340" s="14" t="str">
        <f>IFERROR(__xludf.DUMMYFUNCTION("""COMPUTED_VALUE"""),"Cucumber+2*Priya Joshi")</f>
        <v>Cucumber+2*Priya Joshi</v>
      </c>
      <c r="F2340" s="14">
        <f>IFERROR(__xludf.DUMMYFUNCTION("""COMPUTED_VALUE"""),11.0)</f>
        <v>11</v>
      </c>
      <c r="G2340" s="14">
        <f>IFERROR(__xludf.DUMMYFUNCTION("""COMPUTED_VALUE"""),8.0)</f>
        <v>8</v>
      </c>
      <c r="H2340" s="14">
        <f>IFERROR(__xludf.DUMMYFUNCTION("""COMPUTED_VALUE"""),2023.0)</f>
        <v>2023</v>
      </c>
      <c r="I2340" s="14" t="str">
        <f>IFERROR(__xludf.DUMMYFUNCTION("""COMPUTED_VALUE"""),"Credit Card")</f>
        <v>Credit Card</v>
      </c>
      <c r="J2340" s="14" t="str">
        <f>IFERROR(__xludf.DUMMYFUNCTION("""COMPUTED_VALUE"""),"Delivered*Customer Service: Seamless and easy")</f>
        <v>Delivered*Customer Service: Seamless and easy</v>
      </c>
      <c r="K2340" s="14" t="str">
        <f>IFERROR(__xludf.DUMMYFUNCTION("split(E2340,""+"")"),"Cucumber")</f>
        <v>Cucumber</v>
      </c>
      <c r="L2340" s="14" t="str">
        <f>IFERROR(__xludf.DUMMYFUNCTION("""COMPUTED_VALUE"""),"2*Priya Joshi")</f>
        <v>2*Priya Joshi</v>
      </c>
      <c r="M2340" s="14">
        <f>IFERROR(__xludf.DUMMYFUNCTION("SPLIT(L2340,""*"")"),2.0)</f>
        <v>2</v>
      </c>
      <c r="N2340" s="14" t="str">
        <f>IFERROR(__xludf.DUMMYFUNCTION("""COMPUTED_VALUE"""),"Priya Joshi")</f>
        <v>Priya Joshi</v>
      </c>
      <c r="O2340" s="14" t="str">
        <f>IFERROR(__xludf.DUMMYFUNCTION("split(J2340,""*"")"),"Delivered")</f>
        <v>Delivered</v>
      </c>
      <c r="P2340" s="14" t="str">
        <f>IFERROR(__xludf.DUMMYFUNCTION("""COMPUTED_VALUE"""),"Customer Service: Seamless and easy")</f>
        <v>Customer Service: Seamless and easy</v>
      </c>
      <c r="Q2340" s="14" t="str">
        <f>IFERROR(__xludf.DUMMYFUNCTION("split(P2340,"":"")"),"Customer Service")</f>
        <v>Customer Service</v>
      </c>
      <c r="R2340" s="14" t="str">
        <f>IFERROR(__xludf.DUMMYFUNCTION("""COMPUTED_VALUE""")," Seamless and easy")</f>
        <v> Seamless and easy</v>
      </c>
      <c r="S2340" s="14" t="str">
        <f t="shared" ref="S2340:U2340" si="4683">trim(B2340)</f>
        <v>ord_91386</v>
      </c>
      <c r="T2340" s="14" t="str">
        <f t="shared" si="4683"/>
        <v>Pallavi Ghosh</v>
      </c>
      <c r="U2340" s="14" t="str">
        <f t="shared" si="4683"/>
        <v>Bandra</v>
      </c>
      <c r="V2340" s="14" t="str">
        <f t="shared" si="4"/>
        <v>Cucumber</v>
      </c>
      <c r="W2340" s="14">
        <f t="shared" si="5"/>
        <v>2</v>
      </c>
      <c r="X2340" s="14" t="str">
        <f t="shared" si="6"/>
        <v>Priya Joshi</v>
      </c>
      <c r="Y2340" s="15">
        <f t="shared" si="7"/>
        <v>45238</v>
      </c>
      <c r="Z2340" s="14" t="str">
        <f t="shared" si="8"/>
        <v>Credit Card</v>
      </c>
      <c r="AA2340" s="14" t="str">
        <f t="shared" si="9"/>
        <v>Delivered</v>
      </c>
      <c r="AB2340" s="14" t="str">
        <f t="shared" ref="AB2340:AC2340" si="4684">trim(Q2340)</f>
        <v>Customer Service</v>
      </c>
      <c r="AC2340" s="14" t="str">
        <f t="shared" si="4684"/>
        <v>Seamless and easy</v>
      </c>
      <c r="AD2340" s="8"/>
    </row>
    <row r="2341">
      <c r="A2341" s="14" t="str">
        <f>IFERROR(__xludf.DUMMYFUNCTION("""COMPUTED_VALUE"""),"//ord_92305//Pallavi Ghosh//Bandra//Cold Coffee+4*Priya Joshi/8/15/2023//COD//Delivered*Delivery Experience: Quick and professional")</f>
        <v>//ord_92305//Pallavi Ghosh//Bandra//Cold Coffee+4*Priya Joshi/8/15/2023//COD//Delivered*Delivery Experience: Quick and professional</v>
      </c>
      <c r="B2341" s="14" t="str">
        <f>IFERROR(__xludf.DUMMYFUNCTION("split(A2341,""//"")"),"ord_92305")</f>
        <v>ord_92305</v>
      </c>
      <c r="C2341" s="14" t="str">
        <f>IFERROR(__xludf.DUMMYFUNCTION("""COMPUTED_VALUE"""),"Pallavi Ghosh")</f>
        <v>Pallavi Ghosh</v>
      </c>
      <c r="D2341" s="14" t="str">
        <f>IFERROR(__xludf.DUMMYFUNCTION("""COMPUTED_VALUE"""),"Bandra")</f>
        <v>Bandra</v>
      </c>
      <c r="E2341" s="14" t="str">
        <f>IFERROR(__xludf.DUMMYFUNCTION("""COMPUTED_VALUE"""),"Cold Coffee+4*Priya Joshi")</f>
        <v>Cold Coffee+4*Priya Joshi</v>
      </c>
      <c r="F2341" s="14">
        <f>IFERROR(__xludf.DUMMYFUNCTION("""COMPUTED_VALUE"""),8.0)</f>
        <v>8</v>
      </c>
      <c r="G2341" s="14">
        <f>IFERROR(__xludf.DUMMYFUNCTION("""COMPUTED_VALUE"""),15.0)</f>
        <v>15</v>
      </c>
      <c r="H2341" s="14">
        <f>IFERROR(__xludf.DUMMYFUNCTION("""COMPUTED_VALUE"""),2023.0)</f>
        <v>2023</v>
      </c>
      <c r="I2341" s="14" t="str">
        <f>IFERROR(__xludf.DUMMYFUNCTION("""COMPUTED_VALUE"""),"COD")</f>
        <v>COD</v>
      </c>
      <c r="J2341" s="14" t="str">
        <f>IFERROR(__xludf.DUMMYFUNCTION("""COMPUTED_VALUE"""),"Delivered*Delivery Experience: Quick and professional")</f>
        <v>Delivered*Delivery Experience: Quick and professional</v>
      </c>
      <c r="K2341" s="14" t="str">
        <f>IFERROR(__xludf.DUMMYFUNCTION("split(E2341,""+"")"),"Cold Coffee")</f>
        <v>Cold Coffee</v>
      </c>
      <c r="L2341" s="14" t="str">
        <f>IFERROR(__xludf.DUMMYFUNCTION("""COMPUTED_VALUE"""),"4*Priya Joshi")</f>
        <v>4*Priya Joshi</v>
      </c>
      <c r="M2341" s="14">
        <f>IFERROR(__xludf.DUMMYFUNCTION("SPLIT(L2341,""*"")"),4.0)</f>
        <v>4</v>
      </c>
      <c r="N2341" s="14" t="str">
        <f>IFERROR(__xludf.DUMMYFUNCTION("""COMPUTED_VALUE"""),"Priya Joshi")</f>
        <v>Priya Joshi</v>
      </c>
      <c r="O2341" s="14" t="str">
        <f>IFERROR(__xludf.DUMMYFUNCTION("split(J2341,""*"")"),"Delivered")</f>
        <v>Delivered</v>
      </c>
      <c r="P2341" s="14" t="str">
        <f>IFERROR(__xludf.DUMMYFUNCTION("""COMPUTED_VALUE"""),"Delivery Experience: Quick and professional")</f>
        <v>Delivery Experience: Quick and professional</v>
      </c>
      <c r="Q2341" s="14" t="str">
        <f>IFERROR(__xludf.DUMMYFUNCTION("split(P2341,"":"")"),"Delivery Experience")</f>
        <v>Delivery Experience</v>
      </c>
      <c r="R2341" s="14" t="str">
        <f>IFERROR(__xludf.DUMMYFUNCTION("""COMPUTED_VALUE""")," Quick and professional")</f>
        <v> Quick and professional</v>
      </c>
      <c r="S2341" s="14" t="str">
        <f t="shared" ref="S2341:U2341" si="4685">trim(B2341)</f>
        <v>ord_92305</v>
      </c>
      <c r="T2341" s="14" t="str">
        <f t="shared" si="4685"/>
        <v>Pallavi Ghosh</v>
      </c>
      <c r="U2341" s="14" t="str">
        <f t="shared" si="4685"/>
        <v>Bandra</v>
      </c>
      <c r="V2341" s="14" t="str">
        <f t="shared" si="4"/>
        <v>Cold Coffee</v>
      </c>
      <c r="W2341" s="14">
        <f t="shared" si="5"/>
        <v>4</v>
      </c>
      <c r="X2341" s="14" t="str">
        <f t="shared" si="6"/>
        <v>Priya Joshi</v>
      </c>
      <c r="Y2341" s="15">
        <f t="shared" si="7"/>
        <v>45153</v>
      </c>
      <c r="Z2341" s="14" t="str">
        <f t="shared" si="8"/>
        <v>COD</v>
      </c>
      <c r="AA2341" s="14" t="str">
        <f t="shared" si="9"/>
        <v>Delivered</v>
      </c>
      <c r="AB2341" s="14" t="str">
        <f t="shared" ref="AB2341:AC2341" si="4686">trim(Q2341)</f>
        <v>Delivery Experience</v>
      </c>
      <c r="AC2341" s="14" t="str">
        <f t="shared" si="4686"/>
        <v>Quick and professional</v>
      </c>
      <c r="AD2341" s="8"/>
    </row>
    <row r="2342">
      <c r="A2342" s="14" t="str">
        <f>IFERROR(__xludf.DUMMYFUNCTION("""COMPUTED_VALUE"""),"//ord_92306//Tanishq Bansal//Bandra//Papaya+2*Priya Joshi/11/24/2023//Credit Card//Delivered*Convenience: Easy tracking")</f>
        <v>//ord_92306//Tanishq Bansal//Bandra//Papaya+2*Priya Joshi/11/24/2023//Credit Card//Delivered*Convenience: Easy tracking</v>
      </c>
      <c r="B2342" s="14" t="str">
        <f>IFERROR(__xludf.DUMMYFUNCTION("split(A2342,""//"")"),"ord_92306")</f>
        <v>ord_92306</v>
      </c>
      <c r="C2342" s="14" t="str">
        <f>IFERROR(__xludf.DUMMYFUNCTION("""COMPUTED_VALUE"""),"Tanishq Bansal")</f>
        <v>Tanishq Bansal</v>
      </c>
      <c r="D2342" s="14" t="str">
        <f>IFERROR(__xludf.DUMMYFUNCTION("""COMPUTED_VALUE"""),"Bandra")</f>
        <v>Bandra</v>
      </c>
      <c r="E2342" s="14" t="str">
        <f>IFERROR(__xludf.DUMMYFUNCTION("""COMPUTED_VALUE"""),"Papaya+2*Priya Joshi")</f>
        <v>Papaya+2*Priya Joshi</v>
      </c>
      <c r="F2342" s="14">
        <f>IFERROR(__xludf.DUMMYFUNCTION("""COMPUTED_VALUE"""),11.0)</f>
        <v>11</v>
      </c>
      <c r="G2342" s="14">
        <f>IFERROR(__xludf.DUMMYFUNCTION("""COMPUTED_VALUE"""),24.0)</f>
        <v>24</v>
      </c>
      <c r="H2342" s="14">
        <f>IFERROR(__xludf.DUMMYFUNCTION("""COMPUTED_VALUE"""),2023.0)</f>
        <v>2023</v>
      </c>
      <c r="I2342" s="14" t="str">
        <f>IFERROR(__xludf.DUMMYFUNCTION("""COMPUTED_VALUE"""),"Credit Card")</f>
        <v>Credit Card</v>
      </c>
      <c r="J2342" s="14" t="str">
        <f>IFERROR(__xludf.DUMMYFUNCTION("""COMPUTED_VALUE"""),"Delivered*Convenience: Easy tracking")</f>
        <v>Delivered*Convenience: Easy tracking</v>
      </c>
      <c r="K2342" s="14" t="str">
        <f>IFERROR(__xludf.DUMMYFUNCTION("split(E2342,""+"")"),"Papaya")</f>
        <v>Papaya</v>
      </c>
      <c r="L2342" s="14" t="str">
        <f>IFERROR(__xludf.DUMMYFUNCTION("""COMPUTED_VALUE"""),"2*Priya Joshi")</f>
        <v>2*Priya Joshi</v>
      </c>
      <c r="M2342" s="14">
        <f>IFERROR(__xludf.DUMMYFUNCTION("SPLIT(L2342,""*"")"),2.0)</f>
        <v>2</v>
      </c>
      <c r="N2342" s="14" t="str">
        <f>IFERROR(__xludf.DUMMYFUNCTION("""COMPUTED_VALUE"""),"Priya Joshi")</f>
        <v>Priya Joshi</v>
      </c>
      <c r="O2342" s="14" t="str">
        <f>IFERROR(__xludf.DUMMYFUNCTION("split(J2342,""*"")"),"Delivered")</f>
        <v>Delivered</v>
      </c>
      <c r="P2342" s="14" t="str">
        <f>IFERROR(__xludf.DUMMYFUNCTION("""COMPUTED_VALUE"""),"Convenience: Easy tracking")</f>
        <v>Convenience: Easy tracking</v>
      </c>
      <c r="Q2342" s="14" t="str">
        <f>IFERROR(__xludf.DUMMYFUNCTION("split(P2342,"":"")"),"Convenience")</f>
        <v>Convenience</v>
      </c>
      <c r="R2342" s="14" t="str">
        <f>IFERROR(__xludf.DUMMYFUNCTION("""COMPUTED_VALUE""")," Easy tracking")</f>
        <v> Easy tracking</v>
      </c>
      <c r="S2342" s="14" t="str">
        <f t="shared" ref="S2342:U2342" si="4687">trim(B2342)</f>
        <v>ord_92306</v>
      </c>
      <c r="T2342" s="14" t="str">
        <f t="shared" si="4687"/>
        <v>Tanishq Bansal</v>
      </c>
      <c r="U2342" s="14" t="str">
        <f t="shared" si="4687"/>
        <v>Bandra</v>
      </c>
      <c r="V2342" s="14" t="str">
        <f t="shared" si="4"/>
        <v>Papaya</v>
      </c>
      <c r="W2342" s="14">
        <f t="shared" si="5"/>
        <v>2</v>
      </c>
      <c r="X2342" s="14" t="str">
        <f t="shared" si="6"/>
        <v>Priya Joshi</v>
      </c>
      <c r="Y2342" s="15">
        <f t="shared" si="7"/>
        <v>45254</v>
      </c>
      <c r="Z2342" s="14" t="str">
        <f t="shared" si="8"/>
        <v>Credit Card</v>
      </c>
      <c r="AA2342" s="14" t="str">
        <f t="shared" si="9"/>
        <v>Delivered</v>
      </c>
      <c r="AB2342" s="14" t="str">
        <f t="shared" ref="AB2342:AC2342" si="4688">trim(Q2342)</f>
        <v>Convenience</v>
      </c>
      <c r="AC2342" s="14" t="str">
        <f t="shared" si="4688"/>
        <v>Easy tracking</v>
      </c>
      <c r="AD2342" s="8"/>
    </row>
    <row r="2343">
      <c r="A2343" s="14" t="str">
        <f>IFERROR(__xludf.DUMMYFUNCTION("""COMPUTED_VALUE"""),"//ord_92307//Tanishq Bansal//Bandra//Rasmalai+5*Priya Joshi/9/20/2023//UPI//Delivered*Overall Satisfaction: Great service will order again")</f>
        <v>//ord_92307//Tanishq Bansal//Bandra//Rasmalai+5*Priya Joshi/9/20/2023//UPI//Delivered*Overall Satisfaction: Great service will order again</v>
      </c>
      <c r="B2343" s="14" t="str">
        <f>IFERROR(__xludf.DUMMYFUNCTION("split(A2343,""//"")"),"ord_92307")</f>
        <v>ord_92307</v>
      </c>
      <c r="C2343" s="14" t="str">
        <f>IFERROR(__xludf.DUMMYFUNCTION("""COMPUTED_VALUE"""),"Tanishq Bansal")</f>
        <v>Tanishq Bansal</v>
      </c>
      <c r="D2343" s="14" t="str">
        <f>IFERROR(__xludf.DUMMYFUNCTION("""COMPUTED_VALUE"""),"Bandra")</f>
        <v>Bandra</v>
      </c>
      <c r="E2343" s="14" t="str">
        <f>IFERROR(__xludf.DUMMYFUNCTION("""COMPUTED_VALUE"""),"Rasmalai+5*Priya Joshi")</f>
        <v>Rasmalai+5*Priya Joshi</v>
      </c>
      <c r="F2343" s="14">
        <f>IFERROR(__xludf.DUMMYFUNCTION("""COMPUTED_VALUE"""),9.0)</f>
        <v>9</v>
      </c>
      <c r="G2343" s="14">
        <f>IFERROR(__xludf.DUMMYFUNCTION("""COMPUTED_VALUE"""),20.0)</f>
        <v>20</v>
      </c>
      <c r="H2343" s="14">
        <f>IFERROR(__xludf.DUMMYFUNCTION("""COMPUTED_VALUE"""),2023.0)</f>
        <v>2023</v>
      </c>
      <c r="I2343" s="14" t="str">
        <f>IFERROR(__xludf.DUMMYFUNCTION("""COMPUTED_VALUE"""),"UPI")</f>
        <v>UPI</v>
      </c>
      <c r="J2343" s="14" t="str">
        <f>IFERROR(__xludf.DUMMYFUNCTION("""COMPUTED_VALUE"""),"Delivered*Overall Satisfaction: Great service will order again")</f>
        <v>Delivered*Overall Satisfaction: Great service will order again</v>
      </c>
      <c r="K2343" s="14" t="str">
        <f>IFERROR(__xludf.DUMMYFUNCTION("split(E2343,""+"")"),"Rasmalai")</f>
        <v>Rasmalai</v>
      </c>
      <c r="L2343" s="14" t="str">
        <f>IFERROR(__xludf.DUMMYFUNCTION("""COMPUTED_VALUE"""),"5*Priya Joshi")</f>
        <v>5*Priya Joshi</v>
      </c>
      <c r="M2343" s="14">
        <f>IFERROR(__xludf.DUMMYFUNCTION("SPLIT(L2343,""*"")"),5.0)</f>
        <v>5</v>
      </c>
      <c r="N2343" s="14" t="str">
        <f>IFERROR(__xludf.DUMMYFUNCTION("""COMPUTED_VALUE"""),"Priya Joshi")</f>
        <v>Priya Joshi</v>
      </c>
      <c r="O2343" s="14" t="str">
        <f>IFERROR(__xludf.DUMMYFUNCTION("split(J2343,""*"")"),"Delivered")</f>
        <v>Delivered</v>
      </c>
      <c r="P2343" s="14" t="str">
        <f>IFERROR(__xludf.DUMMYFUNCTION("""COMPUTED_VALUE"""),"Overall Satisfaction: Great service will order again")</f>
        <v>Overall Satisfaction: Great service will order again</v>
      </c>
      <c r="Q2343" s="14" t="str">
        <f>IFERROR(__xludf.DUMMYFUNCTION("split(P2343,"":"")"),"Overall Satisfaction")</f>
        <v>Overall Satisfaction</v>
      </c>
      <c r="R2343" s="14" t="str">
        <f>IFERROR(__xludf.DUMMYFUNCTION("""COMPUTED_VALUE""")," Great service will order again")</f>
        <v> Great service will order again</v>
      </c>
      <c r="S2343" s="14" t="str">
        <f t="shared" ref="S2343:U2343" si="4689">trim(B2343)</f>
        <v>ord_92307</v>
      </c>
      <c r="T2343" s="14" t="str">
        <f t="shared" si="4689"/>
        <v>Tanishq Bansal</v>
      </c>
      <c r="U2343" s="14" t="str">
        <f t="shared" si="4689"/>
        <v>Bandra</v>
      </c>
      <c r="V2343" s="14" t="str">
        <f t="shared" si="4"/>
        <v>Rasmalai</v>
      </c>
      <c r="W2343" s="14">
        <f t="shared" si="5"/>
        <v>5</v>
      </c>
      <c r="X2343" s="14" t="str">
        <f t="shared" si="6"/>
        <v>Priya Joshi</v>
      </c>
      <c r="Y2343" s="15">
        <f t="shared" si="7"/>
        <v>45189</v>
      </c>
      <c r="Z2343" s="14" t="str">
        <f t="shared" si="8"/>
        <v>UPI</v>
      </c>
      <c r="AA2343" s="14" t="str">
        <f t="shared" si="9"/>
        <v>Delivered</v>
      </c>
      <c r="AB2343" s="14" t="str">
        <f t="shared" ref="AB2343:AC2343" si="4690">trim(Q2343)</f>
        <v>Overall Satisfaction</v>
      </c>
      <c r="AC2343" s="14" t="str">
        <f t="shared" si="4690"/>
        <v>Great service will order again</v>
      </c>
      <c r="AD2343" s="8"/>
    </row>
    <row r="2344">
      <c r="A2344" s="14" t="str">
        <f>IFERROR(__xludf.DUMMYFUNCTION("""COMPUTED_VALUE"""),"//ord_92308//Dev Chauhan//Bandra//Apple+2*Priya Joshi/11/12/2023//COD//Delivered*On-time Delivery: Delivered on time")</f>
        <v>//ord_92308//Dev Chauhan//Bandra//Apple+2*Priya Joshi/11/12/2023//COD//Delivered*On-time Delivery: Delivered on time</v>
      </c>
      <c r="B2344" s="14" t="str">
        <f>IFERROR(__xludf.DUMMYFUNCTION("split(A2344,""//"")"),"ord_92308")</f>
        <v>ord_92308</v>
      </c>
      <c r="C2344" s="14" t="str">
        <f>IFERROR(__xludf.DUMMYFUNCTION("""COMPUTED_VALUE"""),"Dev Chauhan")</f>
        <v>Dev Chauhan</v>
      </c>
      <c r="D2344" s="14" t="str">
        <f>IFERROR(__xludf.DUMMYFUNCTION("""COMPUTED_VALUE"""),"Bandra")</f>
        <v>Bandra</v>
      </c>
      <c r="E2344" s="14" t="str">
        <f>IFERROR(__xludf.DUMMYFUNCTION("""COMPUTED_VALUE"""),"Apple+2*Priya Joshi")</f>
        <v>Apple+2*Priya Joshi</v>
      </c>
      <c r="F2344" s="14">
        <f>IFERROR(__xludf.DUMMYFUNCTION("""COMPUTED_VALUE"""),11.0)</f>
        <v>11</v>
      </c>
      <c r="G2344" s="14">
        <f>IFERROR(__xludf.DUMMYFUNCTION("""COMPUTED_VALUE"""),12.0)</f>
        <v>12</v>
      </c>
      <c r="H2344" s="14">
        <f>IFERROR(__xludf.DUMMYFUNCTION("""COMPUTED_VALUE"""),2023.0)</f>
        <v>2023</v>
      </c>
      <c r="I2344" s="14" t="str">
        <f>IFERROR(__xludf.DUMMYFUNCTION("""COMPUTED_VALUE"""),"COD")</f>
        <v>COD</v>
      </c>
      <c r="J2344" s="14" t="str">
        <f>IFERROR(__xludf.DUMMYFUNCTION("""COMPUTED_VALUE"""),"Delivered*On-time Delivery: Delivered on time")</f>
        <v>Delivered*On-time Delivery: Delivered on time</v>
      </c>
      <c r="K2344" s="14" t="str">
        <f>IFERROR(__xludf.DUMMYFUNCTION("split(E2344,""+"")"),"Apple")</f>
        <v>Apple</v>
      </c>
      <c r="L2344" s="14" t="str">
        <f>IFERROR(__xludf.DUMMYFUNCTION("""COMPUTED_VALUE"""),"2*Priya Joshi")</f>
        <v>2*Priya Joshi</v>
      </c>
      <c r="M2344" s="14">
        <f>IFERROR(__xludf.DUMMYFUNCTION("SPLIT(L2344,""*"")"),2.0)</f>
        <v>2</v>
      </c>
      <c r="N2344" s="14" t="str">
        <f>IFERROR(__xludf.DUMMYFUNCTION("""COMPUTED_VALUE"""),"Priya Joshi")</f>
        <v>Priya Joshi</v>
      </c>
      <c r="O2344" s="14" t="str">
        <f>IFERROR(__xludf.DUMMYFUNCTION("split(J2344,""*"")"),"Delivered")</f>
        <v>Delivered</v>
      </c>
      <c r="P2344" s="14" t="str">
        <f>IFERROR(__xludf.DUMMYFUNCTION("""COMPUTED_VALUE"""),"On-time Delivery: Delivered on time")</f>
        <v>On-time Delivery: Delivered on time</v>
      </c>
      <c r="Q2344" s="14" t="str">
        <f>IFERROR(__xludf.DUMMYFUNCTION("split(P2344,"":"")"),"On-time Delivery")</f>
        <v>On-time Delivery</v>
      </c>
      <c r="R2344" s="14" t="str">
        <f>IFERROR(__xludf.DUMMYFUNCTION("""COMPUTED_VALUE""")," Delivered on time")</f>
        <v> Delivered on time</v>
      </c>
      <c r="S2344" s="14" t="str">
        <f t="shared" ref="S2344:U2344" si="4691">trim(B2344)</f>
        <v>ord_92308</v>
      </c>
      <c r="T2344" s="14" t="str">
        <f t="shared" si="4691"/>
        <v>Dev Chauhan</v>
      </c>
      <c r="U2344" s="14" t="str">
        <f t="shared" si="4691"/>
        <v>Bandra</v>
      </c>
      <c r="V2344" s="14" t="str">
        <f t="shared" si="4"/>
        <v>Apple</v>
      </c>
      <c r="W2344" s="14">
        <f t="shared" si="5"/>
        <v>2</v>
      </c>
      <c r="X2344" s="14" t="str">
        <f t="shared" si="6"/>
        <v>Priya Joshi</v>
      </c>
      <c r="Y2344" s="15">
        <f t="shared" si="7"/>
        <v>45242</v>
      </c>
      <c r="Z2344" s="14" t="str">
        <f t="shared" si="8"/>
        <v>COD</v>
      </c>
      <c r="AA2344" s="14" t="str">
        <f t="shared" si="9"/>
        <v>Delivered</v>
      </c>
      <c r="AB2344" s="14" t="str">
        <f t="shared" ref="AB2344:AC2344" si="4692">trim(Q2344)</f>
        <v>On-time Delivery</v>
      </c>
      <c r="AC2344" s="14" t="str">
        <f t="shared" si="4692"/>
        <v>Delivered on time</v>
      </c>
      <c r="AD2344" s="8"/>
    </row>
    <row r="2345">
      <c r="A2345" s="14" t="str">
        <f>IFERROR(__xludf.DUMMYFUNCTION("""COMPUTED_VALUE"""),"//ord_92309//Arvind Kulkarni//Juhu//Icecream+2*Tanvi Jain/12/9/2023//Credit Card//Delivered*Quality of Items: Perfect condition")</f>
        <v>//ord_92309//Arvind Kulkarni//Juhu//Icecream+2*Tanvi Jain/12/9/2023//Credit Card//Delivered*Quality of Items: Perfect condition</v>
      </c>
      <c r="B2345" s="14" t="str">
        <f>IFERROR(__xludf.DUMMYFUNCTION("split(A2345,""//"")"),"ord_92309")</f>
        <v>ord_92309</v>
      </c>
      <c r="C2345" s="14" t="str">
        <f>IFERROR(__xludf.DUMMYFUNCTION("""COMPUTED_VALUE"""),"Arvind Kulkarni")</f>
        <v>Arvind Kulkarni</v>
      </c>
      <c r="D2345" s="14" t="str">
        <f>IFERROR(__xludf.DUMMYFUNCTION("""COMPUTED_VALUE"""),"Juhu")</f>
        <v>Juhu</v>
      </c>
      <c r="E2345" s="14" t="str">
        <f>IFERROR(__xludf.DUMMYFUNCTION("""COMPUTED_VALUE"""),"Icecream+2*Tanvi Jain")</f>
        <v>Icecream+2*Tanvi Jain</v>
      </c>
      <c r="F2345" s="14">
        <f>IFERROR(__xludf.DUMMYFUNCTION("""COMPUTED_VALUE"""),12.0)</f>
        <v>12</v>
      </c>
      <c r="G2345" s="14">
        <f>IFERROR(__xludf.DUMMYFUNCTION("""COMPUTED_VALUE"""),9.0)</f>
        <v>9</v>
      </c>
      <c r="H2345" s="14">
        <f>IFERROR(__xludf.DUMMYFUNCTION("""COMPUTED_VALUE"""),2023.0)</f>
        <v>2023</v>
      </c>
      <c r="I2345" s="14" t="str">
        <f>IFERROR(__xludf.DUMMYFUNCTION("""COMPUTED_VALUE"""),"Credit Card")</f>
        <v>Credit Card</v>
      </c>
      <c r="J2345" s="14" t="str">
        <f>IFERROR(__xludf.DUMMYFUNCTION("""COMPUTED_VALUE"""),"Delivered*Quality of Items: Perfect condition")</f>
        <v>Delivered*Quality of Items: Perfect condition</v>
      </c>
      <c r="K2345" s="14" t="str">
        <f>IFERROR(__xludf.DUMMYFUNCTION("split(E2345,""+"")"),"Icecream")</f>
        <v>Icecream</v>
      </c>
      <c r="L2345" s="14" t="str">
        <f>IFERROR(__xludf.DUMMYFUNCTION("""COMPUTED_VALUE"""),"2*Tanvi Jain")</f>
        <v>2*Tanvi Jain</v>
      </c>
      <c r="M2345" s="14">
        <f>IFERROR(__xludf.DUMMYFUNCTION("SPLIT(L2345,""*"")"),2.0)</f>
        <v>2</v>
      </c>
      <c r="N2345" s="14" t="str">
        <f>IFERROR(__xludf.DUMMYFUNCTION("""COMPUTED_VALUE"""),"Tanvi Jain")</f>
        <v>Tanvi Jain</v>
      </c>
      <c r="O2345" s="14" t="str">
        <f>IFERROR(__xludf.DUMMYFUNCTION("split(J2345,""*"")"),"Delivered")</f>
        <v>Delivered</v>
      </c>
      <c r="P2345" s="14" t="str">
        <f>IFERROR(__xludf.DUMMYFUNCTION("""COMPUTED_VALUE"""),"Quality of Items: Perfect condition")</f>
        <v>Quality of Items: Perfect condition</v>
      </c>
      <c r="Q2345" s="14" t="str">
        <f>IFERROR(__xludf.DUMMYFUNCTION("split(P2345,"":"")"),"Quality of Items")</f>
        <v>Quality of Items</v>
      </c>
      <c r="R2345" s="14" t="str">
        <f>IFERROR(__xludf.DUMMYFUNCTION("""COMPUTED_VALUE""")," Perfect condition")</f>
        <v> Perfect condition</v>
      </c>
      <c r="S2345" s="14" t="str">
        <f t="shared" ref="S2345:U2345" si="4693">trim(B2345)</f>
        <v>ord_92309</v>
      </c>
      <c r="T2345" s="14" t="str">
        <f t="shared" si="4693"/>
        <v>Arvind Kulkarni</v>
      </c>
      <c r="U2345" s="14" t="str">
        <f t="shared" si="4693"/>
        <v>Juhu</v>
      </c>
      <c r="V2345" s="14" t="str">
        <f t="shared" si="4"/>
        <v>Icecream</v>
      </c>
      <c r="W2345" s="14">
        <f t="shared" si="5"/>
        <v>2</v>
      </c>
      <c r="X2345" s="14" t="str">
        <f t="shared" si="6"/>
        <v>Tanvi Jain</v>
      </c>
      <c r="Y2345" s="15">
        <f t="shared" si="7"/>
        <v>45269</v>
      </c>
      <c r="Z2345" s="14" t="str">
        <f t="shared" si="8"/>
        <v>Credit Card</v>
      </c>
      <c r="AA2345" s="14" t="str">
        <f t="shared" si="9"/>
        <v>Delivered</v>
      </c>
      <c r="AB2345" s="14" t="str">
        <f t="shared" ref="AB2345:AC2345" si="4694">trim(Q2345)</f>
        <v>Quality of Items</v>
      </c>
      <c r="AC2345" s="14" t="str">
        <f t="shared" si="4694"/>
        <v>Perfect condition</v>
      </c>
      <c r="AD2345" s="8"/>
    </row>
    <row r="2346">
      <c r="A2346" s="14" t="str">
        <f>IFERROR(__xludf.DUMMYFUNCTION("""COMPUTED_VALUE"""),"//ord_92310//Parth Goel//Juhu//Chocolate Mousse+4*Not Assigned/10/7/2023//Online Payment//Cancelled*App Glitches: Payment Button Malfunction")</f>
        <v>//ord_92310//Parth Goel//Juhu//Chocolate Mousse+4*Not Assigned/10/7/2023//Online Payment//Cancelled*App Glitches: Payment Button Malfunction</v>
      </c>
      <c r="B2346" s="14" t="str">
        <f>IFERROR(__xludf.DUMMYFUNCTION("split(A2346,""//"")"),"ord_92310")</f>
        <v>ord_92310</v>
      </c>
      <c r="C2346" s="14" t="str">
        <f>IFERROR(__xludf.DUMMYFUNCTION("""COMPUTED_VALUE"""),"Parth Goel")</f>
        <v>Parth Goel</v>
      </c>
      <c r="D2346" s="14" t="str">
        <f>IFERROR(__xludf.DUMMYFUNCTION("""COMPUTED_VALUE"""),"Juhu")</f>
        <v>Juhu</v>
      </c>
      <c r="E2346" s="14" t="str">
        <f>IFERROR(__xludf.DUMMYFUNCTION("""COMPUTED_VALUE"""),"Chocolate Mousse+4*Not Assigned")</f>
        <v>Chocolate Mousse+4*Not Assigned</v>
      </c>
      <c r="F2346" s="14">
        <f>IFERROR(__xludf.DUMMYFUNCTION("""COMPUTED_VALUE"""),10.0)</f>
        <v>10</v>
      </c>
      <c r="G2346" s="14">
        <f>IFERROR(__xludf.DUMMYFUNCTION("""COMPUTED_VALUE"""),7.0)</f>
        <v>7</v>
      </c>
      <c r="H2346" s="14">
        <f>IFERROR(__xludf.DUMMYFUNCTION("""COMPUTED_VALUE"""),2023.0)</f>
        <v>2023</v>
      </c>
      <c r="I2346" s="14" t="str">
        <f>IFERROR(__xludf.DUMMYFUNCTION("""COMPUTED_VALUE"""),"Online Payment")</f>
        <v>Online Payment</v>
      </c>
      <c r="J2346" s="14" t="str">
        <f>IFERROR(__xludf.DUMMYFUNCTION("""COMPUTED_VALUE"""),"Cancelled*App Glitches: Payment Button Malfunction")</f>
        <v>Cancelled*App Glitches: Payment Button Malfunction</v>
      </c>
      <c r="K2346" s="14" t="str">
        <f>IFERROR(__xludf.DUMMYFUNCTION("split(E2346,""+"")"),"Chocolate Mousse")</f>
        <v>Chocolate Mousse</v>
      </c>
      <c r="L2346" s="14" t="str">
        <f>IFERROR(__xludf.DUMMYFUNCTION("""COMPUTED_VALUE"""),"4*Not Assigned")</f>
        <v>4*Not Assigned</v>
      </c>
      <c r="M2346" s="14">
        <f>IFERROR(__xludf.DUMMYFUNCTION("SPLIT(L2346,""*"")"),4.0)</f>
        <v>4</v>
      </c>
      <c r="N2346" s="14" t="str">
        <f>IFERROR(__xludf.DUMMYFUNCTION("""COMPUTED_VALUE"""),"Not Assigned")</f>
        <v>Not Assigned</v>
      </c>
      <c r="O2346" s="14" t="str">
        <f>IFERROR(__xludf.DUMMYFUNCTION("split(J2346,""*"")"),"Cancelled")</f>
        <v>Cancelled</v>
      </c>
      <c r="P2346" s="14" t="str">
        <f>IFERROR(__xludf.DUMMYFUNCTION("""COMPUTED_VALUE"""),"App Glitches: Payment Button Malfunction")</f>
        <v>App Glitches: Payment Button Malfunction</v>
      </c>
      <c r="Q2346" s="14" t="str">
        <f>IFERROR(__xludf.DUMMYFUNCTION("split(P2346,"":"")"),"App Glitches")</f>
        <v>App Glitches</v>
      </c>
      <c r="R2346" s="14" t="str">
        <f>IFERROR(__xludf.DUMMYFUNCTION("""COMPUTED_VALUE""")," Payment Button Malfunction")</f>
        <v> Payment Button Malfunction</v>
      </c>
      <c r="S2346" s="14" t="str">
        <f t="shared" ref="S2346:U2346" si="4695">trim(B2346)</f>
        <v>ord_92310</v>
      </c>
      <c r="T2346" s="14" t="str">
        <f t="shared" si="4695"/>
        <v>Parth Goel</v>
      </c>
      <c r="U2346" s="14" t="str">
        <f t="shared" si="4695"/>
        <v>Juhu</v>
      </c>
      <c r="V2346" s="14" t="str">
        <f t="shared" si="4"/>
        <v>Chocolate Mousse</v>
      </c>
      <c r="W2346" s="14">
        <f t="shared" si="5"/>
        <v>4</v>
      </c>
      <c r="X2346" s="14" t="str">
        <f t="shared" si="6"/>
        <v>Not Assigned</v>
      </c>
      <c r="Y2346" s="15">
        <f t="shared" si="7"/>
        <v>45206</v>
      </c>
      <c r="Z2346" s="14" t="str">
        <f t="shared" si="8"/>
        <v>Online Payment</v>
      </c>
      <c r="AA2346" s="14" t="str">
        <f t="shared" si="9"/>
        <v>Cancelled</v>
      </c>
      <c r="AB2346" s="14" t="str">
        <f t="shared" ref="AB2346:AC2346" si="4696">trim(Q2346)</f>
        <v>App Glitches</v>
      </c>
      <c r="AC2346" s="14" t="str">
        <f t="shared" si="4696"/>
        <v>Payment Button Malfunction</v>
      </c>
      <c r="AD2346" s="8"/>
    </row>
    <row r="2347">
      <c r="A2347" s="14" t="str">
        <f>IFERROR(__xludf.DUMMYFUNCTION("""COMPUTED_VALUE"""),"//ord_92311//Mehul Thakkar//Malad//Juice+4*Neha Shah/7/9/2023//UPI//Delivered*Packaging: Secure and intact")</f>
        <v>//ord_92311//Mehul Thakkar//Malad//Juice+4*Neha Shah/7/9/2023//UPI//Delivered*Packaging: Secure and intact</v>
      </c>
      <c r="B2347" s="14" t="str">
        <f>IFERROR(__xludf.DUMMYFUNCTION("split(A2347,""//"")"),"ord_92311")</f>
        <v>ord_92311</v>
      </c>
      <c r="C2347" s="14" t="str">
        <f>IFERROR(__xludf.DUMMYFUNCTION("""COMPUTED_VALUE"""),"Mehul Thakkar")</f>
        <v>Mehul Thakkar</v>
      </c>
      <c r="D2347" s="14" t="str">
        <f>IFERROR(__xludf.DUMMYFUNCTION("""COMPUTED_VALUE"""),"Malad")</f>
        <v>Malad</v>
      </c>
      <c r="E2347" s="14" t="str">
        <f>IFERROR(__xludf.DUMMYFUNCTION("""COMPUTED_VALUE"""),"Juice+4*Neha Shah")</f>
        <v>Juice+4*Neha Shah</v>
      </c>
      <c r="F2347" s="14">
        <f>IFERROR(__xludf.DUMMYFUNCTION("""COMPUTED_VALUE"""),7.0)</f>
        <v>7</v>
      </c>
      <c r="G2347" s="14">
        <f>IFERROR(__xludf.DUMMYFUNCTION("""COMPUTED_VALUE"""),9.0)</f>
        <v>9</v>
      </c>
      <c r="H2347" s="14">
        <f>IFERROR(__xludf.DUMMYFUNCTION("""COMPUTED_VALUE"""),2023.0)</f>
        <v>2023</v>
      </c>
      <c r="I2347" s="14" t="str">
        <f>IFERROR(__xludf.DUMMYFUNCTION("""COMPUTED_VALUE"""),"UPI")</f>
        <v>UPI</v>
      </c>
      <c r="J2347" s="14" t="str">
        <f>IFERROR(__xludf.DUMMYFUNCTION("""COMPUTED_VALUE"""),"Delivered*Packaging: Secure and intact")</f>
        <v>Delivered*Packaging: Secure and intact</v>
      </c>
      <c r="K2347" s="14" t="str">
        <f>IFERROR(__xludf.DUMMYFUNCTION("split(E2347,""+"")"),"Juice")</f>
        <v>Juice</v>
      </c>
      <c r="L2347" s="14" t="str">
        <f>IFERROR(__xludf.DUMMYFUNCTION("""COMPUTED_VALUE"""),"4*Neha Shah")</f>
        <v>4*Neha Shah</v>
      </c>
      <c r="M2347" s="14">
        <f>IFERROR(__xludf.DUMMYFUNCTION("SPLIT(L2347,""*"")"),4.0)</f>
        <v>4</v>
      </c>
      <c r="N2347" s="14" t="str">
        <f>IFERROR(__xludf.DUMMYFUNCTION("""COMPUTED_VALUE"""),"Neha Shah")</f>
        <v>Neha Shah</v>
      </c>
      <c r="O2347" s="14" t="str">
        <f>IFERROR(__xludf.DUMMYFUNCTION("split(J2347,""*"")"),"Delivered")</f>
        <v>Delivered</v>
      </c>
      <c r="P2347" s="14" t="str">
        <f>IFERROR(__xludf.DUMMYFUNCTION("""COMPUTED_VALUE"""),"Packaging: Secure and intact")</f>
        <v>Packaging: Secure and intact</v>
      </c>
      <c r="Q2347" s="14" t="str">
        <f>IFERROR(__xludf.DUMMYFUNCTION("split(P2347,"":"")"),"Packaging")</f>
        <v>Packaging</v>
      </c>
      <c r="R2347" s="14" t="str">
        <f>IFERROR(__xludf.DUMMYFUNCTION("""COMPUTED_VALUE""")," Secure and intact")</f>
        <v> Secure and intact</v>
      </c>
      <c r="S2347" s="14" t="str">
        <f t="shared" ref="S2347:U2347" si="4697">trim(B2347)</f>
        <v>ord_92311</v>
      </c>
      <c r="T2347" s="14" t="str">
        <f t="shared" si="4697"/>
        <v>Mehul Thakkar</v>
      </c>
      <c r="U2347" s="14" t="str">
        <f t="shared" si="4697"/>
        <v>Malad</v>
      </c>
      <c r="V2347" s="14" t="str">
        <f t="shared" si="4"/>
        <v>Juice</v>
      </c>
      <c r="W2347" s="14">
        <f t="shared" si="5"/>
        <v>4</v>
      </c>
      <c r="X2347" s="14" t="str">
        <f t="shared" si="6"/>
        <v>Neha Shah</v>
      </c>
      <c r="Y2347" s="15">
        <f t="shared" si="7"/>
        <v>45116</v>
      </c>
      <c r="Z2347" s="14" t="str">
        <f t="shared" si="8"/>
        <v>UPI</v>
      </c>
      <c r="AA2347" s="14" t="str">
        <f t="shared" si="9"/>
        <v>Delivered</v>
      </c>
      <c r="AB2347" s="14" t="str">
        <f t="shared" ref="AB2347:AC2347" si="4698">trim(Q2347)</f>
        <v>Packaging</v>
      </c>
      <c r="AC2347" s="14" t="str">
        <f t="shared" si="4698"/>
        <v>Secure and intact</v>
      </c>
      <c r="AD2347" s="8"/>
    </row>
    <row r="2348">
      <c r="A2348" s="14" t="str">
        <f>IFERROR(__xludf.DUMMYFUNCTION("""COMPUTED_VALUE"""),"//ord_92312//Sakshi Tandon//Colaba//Papaya+2*Nikhil Deshmukh/6/16/2023//UPI//Delivered*Satisfied with the Delivery: Timely and quality")</f>
        <v>//ord_92312//Sakshi Tandon//Colaba//Papaya+2*Nikhil Deshmukh/6/16/2023//UPI//Delivered*Satisfied with the Delivery: Timely and quality</v>
      </c>
      <c r="B2348" s="14" t="str">
        <f>IFERROR(__xludf.DUMMYFUNCTION("split(A2348,""//"")"),"ord_92312")</f>
        <v>ord_92312</v>
      </c>
      <c r="C2348" s="14" t="str">
        <f>IFERROR(__xludf.DUMMYFUNCTION("""COMPUTED_VALUE"""),"Sakshi Tandon")</f>
        <v>Sakshi Tandon</v>
      </c>
      <c r="D2348" s="14" t="str">
        <f>IFERROR(__xludf.DUMMYFUNCTION("""COMPUTED_VALUE"""),"Colaba")</f>
        <v>Colaba</v>
      </c>
      <c r="E2348" s="14" t="str">
        <f>IFERROR(__xludf.DUMMYFUNCTION("""COMPUTED_VALUE"""),"Papaya+2*Nikhil Deshmukh")</f>
        <v>Papaya+2*Nikhil Deshmukh</v>
      </c>
      <c r="F2348" s="14">
        <f>IFERROR(__xludf.DUMMYFUNCTION("""COMPUTED_VALUE"""),6.0)</f>
        <v>6</v>
      </c>
      <c r="G2348" s="14">
        <f>IFERROR(__xludf.DUMMYFUNCTION("""COMPUTED_VALUE"""),16.0)</f>
        <v>16</v>
      </c>
      <c r="H2348" s="14">
        <f>IFERROR(__xludf.DUMMYFUNCTION("""COMPUTED_VALUE"""),2023.0)</f>
        <v>2023</v>
      </c>
      <c r="I2348" s="14" t="str">
        <f>IFERROR(__xludf.DUMMYFUNCTION("""COMPUTED_VALUE"""),"UPI")</f>
        <v>UPI</v>
      </c>
      <c r="J2348" s="14" t="str">
        <f>IFERROR(__xludf.DUMMYFUNCTION("""COMPUTED_VALUE"""),"Delivered*Satisfied with the Delivery: Timely and quality")</f>
        <v>Delivered*Satisfied with the Delivery: Timely and quality</v>
      </c>
      <c r="K2348" s="14" t="str">
        <f>IFERROR(__xludf.DUMMYFUNCTION("split(E2348,""+"")"),"Papaya")</f>
        <v>Papaya</v>
      </c>
      <c r="L2348" s="14" t="str">
        <f>IFERROR(__xludf.DUMMYFUNCTION("""COMPUTED_VALUE"""),"2*Nikhil Deshmukh")</f>
        <v>2*Nikhil Deshmukh</v>
      </c>
      <c r="M2348" s="14">
        <f>IFERROR(__xludf.DUMMYFUNCTION("SPLIT(L2348,""*"")"),2.0)</f>
        <v>2</v>
      </c>
      <c r="N2348" s="14" t="str">
        <f>IFERROR(__xludf.DUMMYFUNCTION("""COMPUTED_VALUE"""),"Nikhil Deshmukh")</f>
        <v>Nikhil Deshmukh</v>
      </c>
      <c r="O2348" s="14" t="str">
        <f>IFERROR(__xludf.DUMMYFUNCTION("split(J2348,""*"")"),"Delivered")</f>
        <v>Delivered</v>
      </c>
      <c r="P2348" s="14" t="str">
        <f>IFERROR(__xludf.DUMMYFUNCTION("""COMPUTED_VALUE"""),"Satisfied with the Delivery: Timely and quality")</f>
        <v>Satisfied with the Delivery: Timely and quality</v>
      </c>
      <c r="Q2348" s="14" t="str">
        <f>IFERROR(__xludf.DUMMYFUNCTION("split(P2348,"":"")"),"Satisfied with the Delivery")</f>
        <v>Satisfied with the Delivery</v>
      </c>
      <c r="R2348" s="14" t="str">
        <f>IFERROR(__xludf.DUMMYFUNCTION("""COMPUTED_VALUE""")," Timely and quality")</f>
        <v> Timely and quality</v>
      </c>
      <c r="S2348" s="14" t="str">
        <f t="shared" ref="S2348:U2348" si="4699">trim(B2348)</f>
        <v>ord_92312</v>
      </c>
      <c r="T2348" s="14" t="str">
        <f t="shared" si="4699"/>
        <v>Sakshi Tandon</v>
      </c>
      <c r="U2348" s="14" t="str">
        <f t="shared" si="4699"/>
        <v>Colaba</v>
      </c>
      <c r="V2348" s="14" t="str">
        <f t="shared" si="4"/>
        <v>Papaya</v>
      </c>
      <c r="W2348" s="14">
        <f t="shared" si="5"/>
        <v>2</v>
      </c>
      <c r="X2348" s="14" t="str">
        <f t="shared" si="6"/>
        <v>Nikhil Deshmukh</v>
      </c>
      <c r="Y2348" s="15">
        <f t="shared" si="7"/>
        <v>45093</v>
      </c>
      <c r="Z2348" s="14" t="str">
        <f t="shared" si="8"/>
        <v>UPI</v>
      </c>
      <c r="AA2348" s="14" t="str">
        <f t="shared" si="9"/>
        <v>Delivered</v>
      </c>
      <c r="AB2348" s="14" t="str">
        <f t="shared" ref="AB2348:AC2348" si="4700">trim(Q2348)</f>
        <v>Satisfied with the Delivery</v>
      </c>
      <c r="AC2348" s="14" t="str">
        <f t="shared" si="4700"/>
        <v>Timely and quality</v>
      </c>
      <c r="AD2348" s="8"/>
    </row>
    <row r="2349">
      <c r="A2349" s="14" t="str">
        <f>IFERROR(__xludf.DUMMYFUNCTION("""COMPUTED_VALUE"""),"//ord_92313//Ishaan Chaturvedi//Bandra//Chilli Cheese Toast+1*Priya Joshi/9/7/2023//UPI//Delivered*Customer Service: Seamless and easy")</f>
        <v>//ord_92313//Ishaan Chaturvedi//Bandra//Chilli Cheese Toast+1*Priya Joshi/9/7/2023//UPI//Delivered*Customer Service: Seamless and easy</v>
      </c>
      <c r="B2349" s="14" t="str">
        <f>IFERROR(__xludf.DUMMYFUNCTION("split(A2349,""//"")"),"ord_92313")</f>
        <v>ord_92313</v>
      </c>
      <c r="C2349" s="14" t="str">
        <f>IFERROR(__xludf.DUMMYFUNCTION("""COMPUTED_VALUE"""),"Ishaan Chaturvedi")</f>
        <v>Ishaan Chaturvedi</v>
      </c>
      <c r="D2349" s="14" t="str">
        <f>IFERROR(__xludf.DUMMYFUNCTION("""COMPUTED_VALUE"""),"Bandra")</f>
        <v>Bandra</v>
      </c>
      <c r="E2349" s="14" t="str">
        <f>IFERROR(__xludf.DUMMYFUNCTION("""COMPUTED_VALUE"""),"Chilli Cheese Toast+1*Priya Joshi")</f>
        <v>Chilli Cheese Toast+1*Priya Joshi</v>
      </c>
      <c r="F2349" s="14">
        <f>IFERROR(__xludf.DUMMYFUNCTION("""COMPUTED_VALUE"""),9.0)</f>
        <v>9</v>
      </c>
      <c r="G2349" s="14">
        <f>IFERROR(__xludf.DUMMYFUNCTION("""COMPUTED_VALUE"""),7.0)</f>
        <v>7</v>
      </c>
      <c r="H2349" s="14">
        <f>IFERROR(__xludf.DUMMYFUNCTION("""COMPUTED_VALUE"""),2023.0)</f>
        <v>2023</v>
      </c>
      <c r="I2349" s="14" t="str">
        <f>IFERROR(__xludf.DUMMYFUNCTION("""COMPUTED_VALUE"""),"UPI")</f>
        <v>UPI</v>
      </c>
      <c r="J2349" s="14" t="str">
        <f>IFERROR(__xludf.DUMMYFUNCTION("""COMPUTED_VALUE"""),"Delivered*Customer Service: Seamless and easy")</f>
        <v>Delivered*Customer Service: Seamless and easy</v>
      </c>
      <c r="K2349" s="14" t="str">
        <f>IFERROR(__xludf.DUMMYFUNCTION("split(E2349,""+"")"),"Chilli Cheese Toast")</f>
        <v>Chilli Cheese Toast</v>
      </c>
      <c r="L2349" s="14" t="str">
        <f>IFERROR(__xludf.DUMMYFUNCTION("""COMPUTED_VALUE"""),"1*Priya Joshi")</f>
        <v>1*Priya Joshi</v>
      </c>
      <c r="M2349" s="14">
        <f>IFERROR(__xludf.DUMMYFUNCTION("SPLIT(L2349,""*"")"),1.0)</f>
        <v>1</v>
      </c>
      <c r="N2349" s="14" t="str">
        <f>IFERROR(__xludf.DUMMYFUNCTION("""COMPUTED_VALUE"""),"Priya Joshi")</f>
        <v>Priya Joshi</v>
      </c>
      <c r="O2349" s="14" t="str">
        <f>IFERROR(__xludf.DUMMYFUNCTION("split(J2349,""*"")"),"Delivered")</f>
        <v>Delivered</v>
      </c>
      <c r="P2349" s="14" t="str">
        <f>IFERROR(__xludf.DUMMYFUNCTION("""COMPUTED_VALUE"""),"Customer Service: Seamless and easy")</f>
        <v>Customer Service: Seamless and easy</v>
      </c>
      <c r="Q2349" s="14" t="str">
        <f>IFERROR(__xludf.DUMMYFUNCTION("split(P2349,"":"")"),"Customer Service")</f>
        <v>Customer Service</v>
      </c>
      <c r="R2349" s="14" t="str">
        <f>IFERROR(__xludf.DUMMYFUNCTION("""COMPUTED_VALUE""")," Seamless and easy")</f>
        <v> Seamless and easy</v>
      </c>
      <c r="S2349" s="14" t="str">
        <f t="shared" ref="S2349:U2349" si="4701">trim(B2349)</f>
        <v>ord_92313</v>
      </c>
      <c r="T2349" s="14" t="str">
        <f t="shared" si="4701"/>
        <v>Ishaan Chaturvedi</v>
      </c>
      <c r="U2349" s="14" t="str">
        <f t="shared" si="4701"/>
        <v>Bandra</v>
      </c>
      <c r="V2349" s="14" t="str">
        <f t="shared" si="4"/>
        <v>Chilli Cheese Toast</v>
      </c>
      <c r="W2349" s="14">
        <f t="shared" si="5"/>
        <v>1</v>
      </c>
      <c r="X2349" s="14" t="str">
        <f t="shared" si="6"/>
        <v>Priya Joshi</v>
      </c>
      <c r="Y2349" s="15">
        <f t="shared" si="7"/>
        <v>45176</v>
      </c>
      <c r="Z2349" s="14" t="str">
        <f t="shared" si="8"/>
        <v>UPI</v>
      </c>
      <c r="AA2349" s="14" t="str">
        <f t="shared" si="9"/>
        <v>Delivered</v>
      </c>
      <c r="AB2349" s="14" t="str">
        <f t="shared" ref="AB2349:AC2349" si="4702">trim(Q2349)</f>
        <v>Customer Service</v>
      </c>
      <c r="AC2349" s="14" t="str">
        <f t="shared" si="4702"/>
        <v>Seamless and easy</v>
      </c>
      <c r="AD2349" s="8"/>
    </row>
    <row r="2350">
      <c r="A2350" s="14" t="str">
        <f>IFERROR(__xludf.DUMMYFUNCTION("""COMPUTED_VALUE"""),"//ord_92314//Riya Chakraborty//Juhu//Juice+3*Tanvi Jain/6/15/2023//Credit Card//Delivered*Delivery Experience: Quick and professional")</f>
        <v>//ord_92314//Riya Chakraborty//Juhu//Juice+3*Tanvi Jain/6/15/2023//Credit Card//Delivered*Delivery Experience: Quick and professional</v>
      </c>
      <c r="B2350" s="14" t="str">
        <f>IFERROR(__xludf.DUMMYFUNCTION("split(A2350,""//"")"),"ord_92314")</f>
        <v>ord_92314</v>
      </c>
      <c r="C2350" s="14" t="str">
        <f>IFERROR(__xludf.DUMMYFUNCTION("""COMPUTED_VALUE"""),"Riya Chakraborty")</f>
        <v>Riya Chakraborty</v>
      </c>
      <c r="D2350" s="14" t="str">
        <f>IFERROR(__xludf.DUMMYFUNCTION("""COMPUTED_VALUE"""),"Juhu")</f>
        <v>Juhu</v>
      </c>
      <c r="E2350" s="14" t="str">
        <f>IFERROR(__xludf.DUMMYFUNCTION("""COMPUTED_VALUE"""),"Juice+3*Tanvi Jain")</f>
        <v>Juice+3*Tanvi Jain</v>
      </c>
      <c r="F2350" s="14">
        <f>IFERROR(__xludf.DUMMYFUNCTION("""COMPUTED_VALUE"""),6.0)</f>
        <v>6</v>
      </c>
      <c r="G2350" s="14">
        <f>IFERROR(__xludf.DUMMYFUNCTION("""COMPUTED_VALUE"""),15.0)</f>
        <v>15</v>
      </c>
      <c r="H2350" s="14">
        <f>IFERROR(__xludf.DUMMYFUNCTION("""COMPUTED_VALUE"""),2023.0)</f>
        <v>2023</v>
      </c>
      <c r="I2350" s="14" t="str">
        <f>IFERROR(__xludf.DUMMYFUNCTION("""COMPUTED_VALUE"""),"Credit Card")</f>
        <v>Credit Card</v>
      </c>
      <c r="J2350" s="14" t="str">
        <f>IFERROR(__xludf.DUMMYFUNCTION("""COMPUTED_VALUE"""),"Delivered*Delivery Experience: Quick and professional")</f>
        <v>Delivered*Delivery Experience: Quick and professional</v>
      </c>
      <c r="K2350" s="14" t="str">
        <f>IFERROR(__xludf.DUMMYFUNCTION("split(E2350,""+"")"),"Juice")</f>
        <v>Juice</v>
      </c>
      <c r="L2350" s="14" t="str">
        <f>IFERROR(__xludf.DUMMYFUNCTION("""COMPUTED_VALUE"""),"3*Tanvi Jain")</f>
        <v>3*Tanvi Jain</v>
      </c>
      <c r="M2350" s="14">
        <f>IFERROR(__xludf.DUMMYFUNCTION("SPLIT(L2350,""*"")"),3.0)</f>
        <v>3</v>
      </c>
      <c r="N2350" s="14" t="str">
        <f>IFERROR(__xludf.DUMMYFUNCTION("""COMPUTED_VALUE"""),"Tanvi Jain")</f>
        <v>Tanvi Jain</v>
      </c>
      <c r="O2350" s="14" t="str">
        <f>IFERROR(__xludf.DUMMYFUNCTION("split(J2350,""*"")"),"Delivered")</f>
        <v>Delivered</v>
      </c>
      <c r="P2350" s="14" t="str">
        <f>IFERROR(__xludf.DUMMYFUNCTION("""COMPUTED_VALUE"""),"Delivery Experience: Quick and professional")</f>
        <v>Delivery Experience: Quick and professional</v>
      </c>
      <c r="Q2350" s="14" t="str">
        <f>IFERROR(__xludf.DUMMYFUNCTION("split(P2350,"":"")"),"Delivery Experience")</f>
        <v>Delivery Experience</v>
      </c>
      <c r="R2350" s="14" t="str">
        <f>IFERROR(__xludf.DUMMYFUNCTION("""COMPUTED_VALUE""")," Quick and professional")</f>
        <v> Quick and professional</v>
      </c>
      <c r="S2350" s="14" t="str">
        <f t="shared" ref="S2350:U2350" si="4703">trim(B2350)</f>
        <v>ord_92314</v>
      </c>
      <c r="T2350" s="14" t="str">
        <f t="shared" si="4703"/>
        <v>Riya Chakraborty</v>
      </c>
      <c r="U2350" s="14" t="str">
        <f t="shared" si="4703"/>
        <v>Juhu</v>
      </c>
      <c r="V2350" s="14" t="str">
        <f t="shared" si="4"/>
        <v>Juice</v>
      </c>
      <c r="W2350" s="14">
        <f t="shared" si="5"/>
        <v>3</v>
      </c>
      <c r="X2350" s="14" t="str">
        <f t="shared" si="6"/>
        <v>Tanvi Jain</v>
      </c>
      <c r="Y2350" s="15">
        <f t="shared" si="7"/>
        <v>45092</v>
      </c>
      <c r="Z2350" s="14" t="str">
        <f t="shared" si="8"/>
        <v>Credit Card</v>
      </c>
      <c r="AA2350" s="14" t="str">
        <f t="shared" si="9"/>
        <v>Delivered</v>
      </c>
      <c r="AB2350" s="14" t="str">
        <f t="shared" ref="AB2350:AC2350" si="4704">trim(Q2350)</f>
        <v>Delivery Experience</v>
      </c>
      <c r="AC2350" s="14" t="str">
        <f t="shared" si="4704"/>
        <v>Quick and professional</v>
      </c>
      <c r="AD2350" s="8"/>
    </row>
    <row r="2351">
      <c r="A2351" s="14" t="str">
        <f>IFERROR(__xludf.DUMMYFUNCTION("""COMPUTED_VALUE"""),"//ord_92315//Aarohi Kapoor//Bandra//Chilli Cheese Toast+5*Ramesh S/9/21/2023//Credit Card//Delivered*Convenience: Easy tracking")</f>
        <v>//ord_92315//Aarohi Kapoor//Bandra//Chilli Cheese Toast+5*Ramesh S/9/21/2023//Credit Card//Delivered*Convenience: Easy tracking</v>
      </c>
      <c r="B2351" s="14" t="str">
        <f>IFERROR(__xludf.DUMMYFUNCTION("split(A2351,""//"")"),"ord_92315")</f>
        <v>ord_92315</v>
      </c>
      <c r="C2351" s="14" t="str">
        <f>IFERROR(__xludf.DUMMYFUNCTION("""COMPUTED_VALUE"""),"Aarohi Kapoor")</f>
        <v>Aarohi Kapoor</v>
      </c>
      <c r="D2351" s="14" t="str">
        <f>IFERROR(__xludf.DUMMYFUNCTION("""COMPUTED_VALUE"""),"Bandra")</f>
        <v>Bandra</v>
      </c>
      <c r="E2351" s="14" t="str">
        <f>IFERROR(__xludf.DUMMYFUNCTION("""COMPUTED_VALUE"""),"Chilli Cheese Toast+5*Ramesh S")</f>
        <v>Chilli Cheese Toast+5*Ramesh S</v>
      </c>
      <c r="F2351" s="14">
        <f>IFERROR(__xludf.DUMMYFUNCTION("""COMPUTED_VALUE"""),9.0)</f>
        <v>9</v>
      </c>
      <c r="G2351" s="14">
        <f>IFERROR(__xludf.DUMMYFUNCTION("""COMPUTED_VALUE"""),21.0)</f>
        <v>21</v>
      </c>
      <c r="H2351" s="14">
        <f>IFERROR(__xludf.DUMMYFUNCTION("""COMPUTED_VALUE"""),2023.0)</f>
        <v>2023</v>
      </c>
      <c r="I2351" s="14" t="str">
        <f>IFERROR(__xludf.DUMMYFUNCTION("""COMPUTED_VALUE"""),"Credit Card")</f>
        <v>Credit Card</v>
      </c>
      <c r="J2351" s="14" t="str">
        <f>IFERROR(__xludf.DUMMYFUNCTION("""COMPUTED_VALUE"""),"Delivered*Convenience: Easy tracking")</f>
        <v>Delivered*Convenience: Easy tracking</v>
      </c>
      <c r="K2351" s="14" t="str">
        <f>IFERROR(__xludf.DUMMYFUNCTION("split(E2351,""+"")"),"Chilli Cheese Toast")</f>
        <v>Chilli Cheese Toast</v>
      </c>
      <c r="L2351" s="14" t="str">
        <f>IFERROR(__xludf.DUMMYFUNCTION("""COMPUTED_VALUE"""),"5*Ramesh S")</f>
        <v>5*Ramesh S</v>
      </c>
      <c r="M2351" s="14">
        <f>IFERROR(__xludf.DUMMYFUNCTION("SPLIT(L2351,""*"")"),5.0)</f>
        <v>5</v>
      </c>
      <c r="N2351" s="14" t="str">
        <f>IFERROR(__xludf.DUMMYFUNCTION("""COMPUTED_VALUE"""),"Ramesh S")</f>
        <v>Ramesh S</v>
      </c>
      <c r="O2351" s="14" t="str">
        <f>IFERROR(__xludf.DUMMYFUNCTION("split(J2351,""*"")"),"Delivered")</f>
        <v>Delivered</v>
      </c>
      <c r="P2351" s="14" t="str">
        <f>IFERROR(__xludf.DUMMYFUNCTION("""COMPUTED_VALUE"""),"Convenience: Easy tracking")</f>
        <v>Convenience: Easy tracking</v>
      </c>
      <c r="Q2351" s="14" t="str">
        <f>IFERROR(__xludf.DUMMYFUNCTION("split(P2351,"":"")"),"Convenience")</f>
        <v>Convenience</v>
      </c>
      <c r="R2351" s="14" t="str">
        <f>IFERROR(__xludf.DUMMYFUNCTION("""COMPUTED_VALUE""")," Easy tracking")</f>
        <v> Easy tracking</v>
      </c>
      <c r="S2351" s="14" t="str">
        <f t="shared" ref="S2351:U2351" si="4705">trim(B2351)</f>
        <v>ord_92315</v>
      </c>
      <c r="T2351" s="14" t="str">
        <f t="shared" si="4705"/>
        <v>Aarohi Kapoor</v>
      </c>
      <c r="U2351" s="14" t="str">
        <f t="shared" si="4705"/>
        <v>Bandra</v>
      </c>
      <c r="V2351" s="14" t="str">
        <f t="shared" si="4"/>
        <v>Chilli Cheese Toast</v>
      </c>
      <c r="W2351" s="14">
        <f t="shared" si="5"/>
        <v>5</v>
      </c>
      <c r="X2351" s="14" t="str">
        <f t="shared" si="6"/>
        <v>Ramesh S</v>
      </c>
      <c r="Y2351" s="15">
        <f t="shared" si="7"/>
        <v>45190</v>
      </c>
      <c r="Z2351" s="14" t="str">
        <f t="shared" si="8"/>
        <v>Credit Card</v>
      </c>
      <c r="AA2351" s="14" t="str">
        <f t="shared" si="9"/>
        <v>Delivered</v>
      </c>
      <c r="AB2351" s="14" t="str">
        <f t="shared" ref="AB2351:AC2351" si="4706">trim(Q2351)</f>
        <v>Convenience</v>
      </c>
      <c r="AC2351" s="14" t="str">
        <f t="shared" si="4706"/>
        <v>Easy tracking</v>
      </c>
      <c r="AD2351" s="8"/>
    </row>
    <row r="2352">
      <c r="A2352" s="14" t="str">
        <f>IFERROR(__xludf.DUMMYFUNCTION("""COMPUTED_VALUE"""),"//ord_92316//Mehul Thakkar//Malad//Papaya+2*Vivek Kumar/7/18/2023//Online Payment//Delivered*Overall Satisfaction: Great service will order again")</f>
        <v>//ord_92316//Mehul Thakkar//Malad//Papaya+2*Vivek Kumar/7/18/2023//Online Payment//Delivered*Overall Satisfaction: Great service will order again</v>
      </c>
      <c r="B2352" s="14" t="str">
        <f>IFERROR(__xludf.DUMMYFUNCTION("split(A2352,""//"")"),"ord_92316")</f>
        <v>ord_92316</v>
      </c>
      <c r="C2352" s="14" t="str">
        <f>IFERROR(__xludf.DUMMYFUNCTION("""COMPUTED_VALUE"""),"Mehul Thakkar")</f>
        <v>Mehul Thakkar</v>
      </c>
      <c r="D2352" s="14" t="str">
        <f>IFERROR(__xludf.DUMMYFUNCTION("""COMPUTED_VALUE"""),"Malad")</f>
        <v>Malad</v>
      </c>
      <c r="E2352" s="14" t="str">
        <f>IFERROR(__xludf.DUMMYFUNCTION("""COMPUTED_VALUE"""),"Papaya+2*Vivek Kumar")</f>
        <v>Papaya+2*Vivek Kumar</v>
      </c>
      <c r="F2352" s="14">
        <f>IFERROR(__xludf.DUMMYFUNCTION("""COMPUTED_VALUE"""),7.0)</f>
        <v>7</v>
      </c>
      <c r="G2352" s="14">
        <f>IFERROR(__xludf.DUMMYFUNCTION("""COMPUTED_VALUE"""),18.0)</f>
        <v>18</v>
      </c>
      <c r="H2352" s="14">
        <f>IFERROR(__xludf.DUMMYFUNCTION("""COMPUTED_VALUE"""),2023.0)</f>
        <v>2023</v>
      </c>
      <c r="I2352" s="14" t="str">
        <f>IFERROR(__xludf.DUMMYFUNCTION("""COMPUTED_VALUE"""),"Online Payment")</f>
        <v>Online Payment</v>
      </c>
      <c r="J2352" s="14" t="str">
        <f>IFERROR(__xludf.DUMMYFUNCTION("""COMPUTED_VALUE"""),"Delivered*Overall Satisfaction: Great service will order again")</f>
        <v>Delivered*Overall Satisfaction: Great service will order again</v>
      </c>
      <c r="K2352" s="14" t="str">
        <f>IFERROR(__xludf.DUMMYFUNCTION("split(E2352,""+"")"),"Papaya")</f>
        <v>Papaya</v>
      </c>
      <c r="L2352" s="14" t="str">
        <f>IFERROR(__xludf.DUMMYFUNCTION("""COMPUTED_VALUE"""),"2*Vivek Kumar")</f>
        <v>2*Vivek Kumar</v>
      </c>
      <c r="M2352" s="14">
        <f>IFERROR(__xludf.DUMMYFUNCTION("SPLIT(L2352,""*"")"),2.0)</f>
        <v>2</v>
      </c>
      <c r="N2352" s="14" t="str">
        <f>IFERROR(__xludf.DUMMYFUNCTION("""COMPUTED_VALUE"""),"Vivek Kumar")</f>
        <v>Vivek Kumar</v>
      </c>
      <c r="O2352" s="14" t="str">
        <f>IFERROR(__xludf.DUMMYFUNCTION("split(J2352,""*"")"),"Delivered")</f>
        <v>Delivered</v>
      </c>
      <c r="P2352" s="14" t="str">
        <f>IFERROR(__xludf.DUMMYFUNCTION("""COMPUTED_VALUE"""),"Overall Satisfaction: Great service will order again")</f>
        <v>Overall Satisfaction: Great service will order again</v>
      </c>
      <c r="Q2352" s="14" t="str">
        <f>IFERROR(__xludf.DUMMYFUNCTION("split(P2352,"":"")"),"Overall Satisfaction")</f>
        <v>Overall Satisfaction</v>
      </c>
      <c r="R2352" s="14" t="str">
        <f>IFERROR(__xludf.DUMMYFUNCTION("""COMPUTED_VALUE""")," Great service will order again")</f>
        <v> Great service will order again</v>
      </c>
      <c r="S2352" s="14" t="str">
        <f t="shared" ref="S2352:U2352" si="4707">trim(B2352)</f>
        <v>ord_92316</v>
      </c>
      <c r="T2352" s="14" t="str">
        <f t="shared" si="4707"/>
        <v>Mehul Thakkar</v>
      </c>
      <c r="U2352" s="14" t="str">
        <f t="shared" si="4707"/>
        <v>Malad</v>
      </c>
      <c r="V2352" s="14" t="str">
        <f t="shared" si="4"/>
        <v>Papaya</v>
      </c>
      <c r="W2352" s="14">
        <f t="shared" si="5"/>
        <v>2</v>
      </c>
      <c r="X2352" s="14" t="str">
        <f t="shared" si="6"/>
        <v>Vivek Kumar</v>
      </c>
      <c r="Y2352" s="15">
        <f t="shared" si="7"/>
        <v>45125</v>
      </c>
      <c r="Z2352" s="14" t="str">
        <f t="shared" si="8"/>
        <v>Online Payment</v>
      </c>
      <c r="AA2352" s="14" t="str">
        <f t="shared" si="9"/>
        <v>Delivered</v>
      </c>
      <c r="AB2352" s="14" t="str">
        <f t="shared" ref="AB2352:AC2352" si="4708">trim(Q2352)</f>
        <v>Overall Satisfaction</v>
      </c>
      <c r="AC2352" s="14" t="str">
        <f t="shared" si="4708"/>
        <v>Great service will order again</v>
      </c>
      <c r="AD2352" s="8"/>
    </row>
    <row r="2353">
      <c r="A2353" s="14" t="str">
        <f>IFERROR(__xludf.DUMMYFUNCTION("""COMPUTED_VALUE"""),"//ord_92317//Aarohi Kapoor//Bandra//Apple+1*Shine Thomas/12/19/2023//UPI//Delivered*On-time Delivery: Delivered on time")</f>
        <v>//ord_92317//Aarohi Kapoor//Bandra//Apple+1*Shine Thomas/12/19/2023//UPI//Delivered*On-time Delivery: Delivered on time</v>
      </c>
      <c r="B2353" s="14" t="str">
        <f>IFERROR(__xludf.DUMMYFUNCTION("split(A2353,""//"")"),"ord_92317")</f>
        <v>ord_92317</v>
      </c>
      <c r="C2353" s="14" t="str">
        <f>IFERROR(__xludf.DUMMYFUNCTION("""COMPUTED_VALUE"""),"Aarohi Kapoor")</f>
        <v>Aarohi Kapoor</v>
      </c>
      <c r="D2353" s="14" t="str">
        <f>IFERROR(__xludf.DUMMYFUNCTION("""COMPUTED_VALUE"""),"Bandra")</f>
        <v>Bandra</v>
      </c>
      <c r="E2353" s="14" t="str">
        <f>IFERROR(__xludf.DUMMYFUNCTION("""COMPUTED_VALUE"""),"Apple+1*Shine Thomas")</f>
        <v>Apple+1*Shine Thomas</v>
      </c>
      <c r="F2353" s="14">
        <f>IFERROR(__xludf.DUMMYFUNCTION("""COMPUTED_VALUE"""),12.0)</f>
        <v>12</v>
      </c>
      <c r="G2353" s="14">
        <f>IFERROR(__xludf.DUMMYFUNCTION("""COMPUTED_VALUE"""),19.0)</f>
        <v>19</v>
      </c>
      <c r="H2353" s="14">
        <f>IFERROR(__xludf.DUMMYFUNCTION("""COMPUTED_VALUE"""),2023.0)</f>
        <v>2023</v>
      </c>
      <c r="I2353" s="14" t="str">
        <f>IFERROR(__xludf.DUMMYFUNCTION("""COMPUTED_VALUE"""),"UPI")</f>
        <v>UPI</v>
      </c>
      <c r="J2353" s="14" t="str">
        <f>IFERROR(__xludf.DUMMYFUNCTION("""COMPUTED_VALUE"""),"Delivered*On-time Delivery: Delivered on time")</f>
        <v>Delivered*On-time Delivery: Delivered on time</v>
      </c>
      <c r="K2353" s="14" t="str">
        <f>IFERROR(__xludf.DUMMYFUNCTION("split(E2353,""+"")"),"Apple")</f>
        <v>Apple</v>
      </c>
      <c r="L2353" s="14" t="str">
        <f>IFERROR(__xludf.DUMMYFUNCTION("""COMPUTED_VALUE"""),"1*Shine Thomas")</f>
        <v>1*Shine Thomas</v>
      </c>
      <c r="M2353" s="14">
        <f>IFERROR(__xludf.DUMMYFUNCTION("SPLIT(L2353,""*"")"),1.0)</f>
        <v>1</v>
      </c>
      <c r="N2353" s="14" t="str">
        <f>IFERROR(__xludf.DUMMYFUNCTION("""COMPUTED_VALUE"""),"Shine Thomas")</f>
        <v>Shine Thomas</v>
      </c>
      <c r="O2353" s="14" t="str">
        <f>IFERROR(__xludf.DUMMYFUNCTION("split(J2353,""*"")"),"Delivered")</f>
        <v>Delivered</v>
      </c>
      <c r="P2353" s="14" t="str">
        <f>IFERROR(__xludf.DUMMYFUNCTION("""COMPUTED_VALUE"""),"On-time Delivery: Delivered on time")</f>
        <v>On-time Delivery: Delivered on time</v>
      </c>
      <c r="Q2353" s="14" t="str">
        <f>IFERROR(__xludf.DUMMYFUNCTION("split(P2353,"":"")"),"On-time Delivery")</f>
        <v>On-time Delivery</v>
      </c>
      <c r="R2353" s="14" t="str">
        <f>IFERROR(__xludf.DUMMYFUNCTION("""COMPUTED_VALUE""")," Delivered on time")</f>
        <v> Delivered on time</v>
      </c>
      <c r="S2353" s="14" t="str">
        <f t="shared" ref="S2353:U2353" si="4709">trim(B2353)</f>
        <v>ord_92317</v>
      </c>
      <c r="T2353" s="14" t="str">
        <f t="shared" si="4709"/>
        <v>Aarohi Kapoor</v>
      </c>
      <c r="U2353" s="14" t="str">
        <f t="shared" si="4709"/>
        <v>Bandra</v>
      </c>
      <c r="V2353" s="14" t="str">
        <f t="shared" si="4"/>
        <v>Apple</v>
      </c>
      <c r="W2353" s="14">
        <f t="shared" si="5"/>
        <v>1</v>
      </c>
      <c r="X2353" s="14" t="str">
        <f t="shared" si="6"/>
        <v>Shine Thomas</v>
      </c>
      <c r="Y2353" s="15">
        <f t="shared" si="7"/>
        <v>45279</v>
      </c>
      <c r="Z2353" s="14" t="str">
        <f t="shared" si="8"/>
        <v>UPI</v>
      </c>
      <c r="AA2353" s="14" t="str">
        <f t="shared" si="9"/>
        <v>Delivered</v>
      </c>
      <c r="AB2353" s="14" t="str">
        <f t="shared" ref="AB2353:AC2353" si="4710">trim(Q2353)</f>
        <v>On-time Delivery</v>
      </c>
      <c r="AC2353" s="14" t="str">
        <f t="shared" si="4710"/>
        <v>Delivered on time</v>
      </c>
      <c r="AD2353" s="8"/>
    </row>
    <row r="2354">
      <c r="A2354" s="14" t="str">
        <f>IFERROR(__xludf.DUMMYFUNCTION("""COMPUTED_VALUE"""),"//ord_92318//Mehul Thakkar//Malad//Tiramisu+1*Vivek Kumar/8/20/2023//Online Payment//Delivered*On-time Delivery: Delivered on time")</f>
        <v>//ord_92318//Mehul Thakkar//Malad//Tiramisu+1*Vivek Kumar/8/20/2023//Online Payment//Delivered*On-time Delivery: Delivered on time</v>
      </c>
      <c r="B2354" s="14" t="str">
        <f>IFERROR(__xludf.DUMMYFUNCTION("split(A2354,""//"")"),"ord_92318")</f>
        <v>ord_92318</v>
      </c>
      <c r="C2354" s="14" t="str">
        <f>IFERROR(__xludf.DUMMYFUNCTION("""COMPUTED_VALUE"""),"Mehul Thakkar")</f>
        <v>Mehul Thakkar</v>
      </c>
      <c r="D2354" s="14" t="str">
        <f>IFERROR(__xludf.DUMMYFUNCTION("""COMPUTED_VALUE"""),"Malad")</f>
        <v>Malad</v>
      </c>
      <c r="E2354" s="14" t="str">
        <f>IFERROR(__xludf.DUMMYFUNCTION("""COMPUTED_VALUE"""),"Tiramisu+1*Vivek Kumar")</f>
        <v>Tiramisu+1*Vivek Kumar</v>
      </c>
      <c r="F2354" s="14">
        <f>IFERROR(__xludf.DUMMYFUNCTION("""COMPUTED_VALUE"""),8.0)</f>
        <v>8</v>
      </c>
      <c r="G2354" s="14">
        <f>IFERROR(__xludf.DUMMYFUNCTION("""COMPUTED_VALUE"""),20.0)</f>
        <v>20</v>
      </c>
      <c r="H2354" s="14">
        <f>IFERROR(__xludf.DUMMYFUNCTION("""COMPUTED_VALUE"""),2023.0)</f>
        <v>2023</v>
      </c>
      <c r="I2354" s="14" t="str">
        <f>IFERROR(__xludf.DUMMYFUNCTION("""COMPUTED_VALUE"""),"Online Payment")</f>
        <v>Online Payment</v>
      </c>
      <c r="J2354" s="14" t="str">
        <f>IFERROR(__xludf.DUMMYFUNCTION("""COMPUTED_VALUE"""),"Delivered*On-time Delivery: Delivered on time")</f>
        <v>Delivered*On-time Delivery: Delivered on time</v>
      </c>
      <c r="K2354" s="14" t="str">
        <f>IFERROR(__xludf.DUMMYFUNCTION("split(E2354,""+"")"),"Tiramisu")</f>
        <v>Tiramisu</v>
      </c>
      <c r="L2354" s="14" t="str">
        <f>IFERROR(__xludf.DUMMYFUNCTION("""COMPUTED_VALUE"""),"1*Vivek Kumar")</f>
        <v>1*Vivek Kumar</v>
      </c>
      <c r="M2354" s="14">
        <f>IFERROR(__xludf.DUMMYFUNCTION("SPLIT(L2354,""*"")"),1.0)</f>
        <v>1</v>
      </c>
      <c r="N2354" s="14" t="str">
        <f>IFERROR(__xludf.DUMMYFUNCTION("""COMPUTED_VALUE"""),"Vivek Kumar")</f>
        <v>Vivek Kumar</v>
      </c>
      <c r="O2354" s="14" t="str">
        <f>IFERROR(__xludf.DUMMYFUNCTION("split(J2354,""*"")"),"Delivered")</f>
        <v>Delivered</v>
      </c>
      <c r="P2354" s="14" t="str">
        <f>IFERROR(__xludf.DUMMYFUNCTION("""COMPUTED_VALUE"""),"On-time Delivery: Delivered on time")</f>
        <v>On-time Delivery: Delivered on time</v>
      </c>
      <c r="Q2354" s="14" t="str">
        <f>IFERROR(__xludf.DUMMYFUNCTION("split(P2354,"":"")"),"On-time Delivery")</f>
        <v>On-time Delivery</v>
      </c>
      <c r="R2354" s="14" t="str">
        <f>IFERROR(__xludf.DUMMYFUNCTION("""COMPUTED_VALUE""")," Delivered on time")</f>
        <v> Delivered on time</v>
      </c>
      <c r="S2354" s="14" t="str">
        <f t="shared" ref="S2354:U2354" si="4711">trim(B2354)</f>
        <v>ord_92318</v>
      </c>
      <c r="T2354" s="14" t="str">
        <f t="shared" si="4711"/>
        <v>Mehul Thakkar</v>
      </c>
      <c r="U2354" s="14" t="str">
        <f t="shared" si="4711"/>
        <v>Malad</v>
      </c>
      <c r="V2354" s="14" t="str">
        <f t="shared" si="4"/>
        <v>Tiramisu</v>
      </c>
      <c r="W2354" s="14">
        <f t="shared" si="5"/>
        <v>1</v>
      </c>
      <c r="X2354" s="14" t="str">
        <f t="shared" si="6"/>
        <v>Vivek Kumar</v>
      </c>
      <c r="Y2354" s="15">
        <f t="shared" si="7"/>
        <v>45158</v>
      </c>
      <c r="Z2354" s="14" t="str">
        <f t="shared" si="8"/>
        <v>Online Payment</v>
      </c>
      <c r="AA2354" s="14" t="str">
        <f t="shared" si="9"/>
        <v>Delivered</v>
      </c>
      <c r="AB2354" s="14" t="str">
        <f t="shared" ref="AB2354:AC2354" si="4712">trim(Q2354)</f>
        <v>On-time Delivery</v>
      </c>
      <c r="AC2354" s="14" t="str">
        <f t="shared" si="4712"/>
        <v>Delivered on time</v>
      </c>
      <c r="AD2354" s="8"/>
    </row>
    <row r="2355">
      <c r="A2355" s="14" t="str">
        <f>IFERROR(__xludf.DUMMYFUNCTION("""COMPUTED_VALUE"""),"//ord_92319//Siya Reddy//Juhu//Rasmalai+5*Shine Thomas/12/6/2023//COD//Delivered*Quality of Items: Perfect condition")</f>
        <v>//ord_92319//Siya Reddy//Juhu//Rasmalai+5*Shine Thomas/12/6/2023//COD//Delivered*Quality of Items: Perfect condition</v>
      </c>
      <c r="B2355" s="14" t="str">
        <f>IFERROR(__xludf.DUMMYFUNCTION("split(A2355,""//"")"),"ord_92319")</f>
        <v>ord_92319</v>
      </c>
      <c r="C2355" s="14" t="str">
        <f>IFERROR(__xludf.DUMMYFUNCTION("""COMPUTED_VALUE"""),"Siya Reddy")</f>
        <v>Siya Reddy</v>
      </c>
      <c r="D2355" s="14" t="str">
        <f>IFERROR(__xludf.DUMMYFUNCTION("""COMPUTED_VALUE"""),"Juhu")</f>
        <v>Juhu</v>
      </c>
      <c r="E2355" s="14" t="str">
        <f>IFERROR(__xludf.DUMMYFUNCTION("""COMPUTED_VALUE"""),"Rasmalai+5*Shine Thomas")</f>
        <v>Rasmalai+5*Shine Thomas</v>
      </c>
      <c r="F2355" s="14">
        <f>IFERROR(__xludf.DUMMYFUNCTION("""COMPUTED_VALUE"""),12.0)</f>
        <v>12</v>
      </c>
      <c r="G2355" s="14">
        <f>IFERROR(__xludf.DUMMYFUNCTION("""COMPUTED_VALUE"""),6.0)</f>
        <v>6</v>
      </c>
      <c r="H2355" s="14">
        <f>IFERROR(__xludf.DUMMYFUNCTION("""COMPUTED_VALUE"""),2023.0)</f>
        <v>2023</v>
      </c>
      <c r="I2355" s="14" t="str">
        <f>IFERROR(__xludf.DUMMYFUNCTION("""COMPUTED_VALUE"""),"COD")</f>
        <v>COD</v>
      </c>
      <c r="J2355" s="14" t="str">
        <f>IFERROR(__xludf.DUMMYFUNCTION("""COMPUTED_VALUE"""),"Delivered*Quality of Items: Perfect condition")</f>
        <v>Delivered*Quality of Items: Perfect condition</v>
      </c>
      <c r="K2355" s="14" t="str">
        <f>IFERROR(__xludf.DUMMYFUNCTION("split(E2355,""+"")"),"Rasmalai")</f>
        <v>Rasmalai</v>
      </c>
      <c r="L2355" s="14" t="str">
        <f>IFERROR(__xludf.DUMMYFUNCTION("""COMPUTED_VALUE"""),"5*Shine Thomas")</f>
        <v>5*Shine Thomas</v>
      </c>
      <c r="M2355" s="14">
        <f>IFERROR(__xludf.DUMMYFUNCTION("SPLIT(L2355,""*"")"),5.0)</f>
        <v>5</v>
      </c>
      <c r="N2355" s="14" t="str">
        <f>IFERROR(__xludf.DUMMYFUNCTION("""COMPUTED_VALUE"""),"Shine Thomas")</f>
        <v>Shine Thomas</v>
      </c>
      <c r="O2355" s="14" t="str">
        <f>IFERROR(__xludf.DUMMYFUNCTION("split(J2355,""*"")"),"Delivered")</f>
        <v>Delivered</v>
      </c>
      <c r="P2355" s="14" t="str">
        <f>IFERROR(__xludf.DUMMYFUNCTION("""COMPUTED_VALUE"""),"Quality of Items: Perfect condition")</f>
        <v>Quality of Items: Perfect condition</v>
      </c>
      <c r="Q2355" s="14" t="str">
        <f>IFERROR(__xludf.DUMMYFUNCTION("split(P2355,"":"")"),"Quality of Items")</f>
        <v>Quality of Items</v>
      </c>
      <c r="R2355" s="14" t="str">
        <f>IFERROR(__xludf.DUMMYFUNCTION("""COMPUTED_VALUE""")," Perfect condition")</f>
        <v> Perfect condition</v>
      </c>
      <c r="S2355" s="14" t="str">
        <f t="shared" ref="S2355:U2355" si="4713">trim(B2355)</f>
        <v>ord_92319</v>
      </c>
      <c r="T2355" s="14" t="str">
        <f t="shared" si="4713"/>
        <v>Siya Reddy</v>
      </c>
      <c r="U2355" s="14" t="str">
        <f t="shared" si="4713"/>
        <v>Juhu</v>
      </c>
      <c r="V2355" s="14" t="str">
        <f t="shared" si="4"/>
        <v>Rasmalai</v>
      </c>
      <c r="W2355" s="14">
        <f t="shared" si="5"/>
        <v>5</v>
      </c>
      <c r="X2355" s="14" t="str">
        <f t="shared" si="6"/>
        <v>Shine Thomas</v>
      </c>
      <c r="Y2355" s="15">
        <f t="shared" si="7"/>
        <v>45266</v>
      </c>
      <c r="Z2355" s="14" t="str">
        <f t="shared" si="8"/>
        <v>COD</v>
      </c>
      <c r="AA2355" s="14" t="str">
        <f t="shared" si="9"/>
        <v>Delivered</v>
      </c>
      <c r="AB2355" s="14" t="str">
        <f t="shared" ref="AB2355:AC2355" si="4714">trim(Q2355)</f>
        <v>Quality of Items</v>
      </c>
      <c r="AC2355" s="14" t="str">
        <f t="shared" si="4714"/>
        <v>Perfect condition</v>
      </c>
      <c r="AD2355" s="8"/>
    </row>
    <row r="2356">
      <c r="A2356" s="14" t="str">
        <f>IFERROR(__xludf.DUMMYFUNCTION("""COMPUTED_VALUE"""),"//ord_92320//Mehul Thakkar//Malad//Cucumber+2*Ramesh S/8/17/2023//Credit Card//Delivered*Packaging: Secure and intact")</f>
        <v>//ord_92320//Mehul Thakkar//Malad//Cucumber+2*Ramesh S/8/17/2023//Credit Card//Delivered*Packaging: Secure and intact</v>
      </c>
      <c r="B2356" s="14" t="str">
        <f>IFERROR(__xludf.DUMMYFUNCTION("split(A2356,""//"")"),"ord_92320")</f>
        <v>ord_92320</v>
      </c>
      <c r="C2356" s="14" t="str">
        <f>IFERROR(__xludf.DUMMYFUNCTION("""COMPUTED_VALUE"""),"Mehul Thakkar")</f>
        <v>Mehul Thakkar</v>
      </c>
      <c r="D2356" s="14" t="str">
        <f>IFERROR(__xludf.DUMMYFUNCTION("""COMPUTED_VALUE"""),"Malad")</f>
        <v>Malad</v>
      </c>
      <c r="E2356" s="14" t="str">
        <f>IFERROR(__xludf.DUMMYFUNCTION("""COMPUTED_VALUE"""),"Cucumber+2*Ramesh S")</f>
        <v>Cucumber+2*Ramesh S</v>
      </c>
      <c r="F2356" s="14">
        <f>IFERROR(__xludf.DUMMYFUNCTION("""COMPUTED_VALUE"""),8.0)</f>
        <v>8</v>
      </c>
      <c r="G2356" s="14">
        <f>IFERROR(__xludf.DUMMYFUNCTION("""COMPUTED_VALUE"""),17.0)</f>
        <v>17</v>
      </c>
      <c r="H2356" s="14">
        <f>IFERROR(__xludf.DUMMYFUNCTION("""COMPUTED_VALUE"""),2023.0)</f>
        <v>2023</v>
      </c>
      <c r="I2356" s="14" t="str">
        <f>IFERROR(__xludf.DUMMYFUNCTION("""COMPUTED_VALUE"""),"Credit Card")</f>
        <v>Credit Card</v>
      </c>
      <c r="J2356" s="14" t="str">
        <f>IFERROR(__xludf.DUMMYFUNCTION("""COMPUTED_VALUE"""),"Delivered*Packaging: Secure and intact")</f>
        <v>Delivered*Packaging: Secure and intact</v>
      </c>
      <c r="K2356" s="14" t="str">
        <f>IFERROR(__xludf.DUMMYFUNCTION("split(E2356,""+"")"),"Cucumber")</f>
        <v>Cucumber</v>
      </c>
      <c r="L2356" s="14" t="str">
        <f>IFERROR(__xludf.DUMMYFUNCTION("""COMPUTED_VALUE"""),"2*Ramesh S")</f>
        <v>2*Ramesh S</v>
      </c>
      <c r="M2356" s="14">
        <f>IFERROR(__xludf.DUMMYFUNCTION("SPLIT(L2356,""*"")"),2.0)</f>
        <v>2</v>
      </c>
      <c r="N2356" s="14" t="str">
        <f>IFERROR(__xludf.DUMMYFUNCTION("""COMPUTED_VALUE"""),"Ramesh S")</f>
        <v>Ramesh S</v>
      </c>
      <c r="O2356" s="14" t="str">
        <f>IFERROR(__xludf.DUMMYFUNCTION("split(J2356,""*"")"),"Delivered")</f>
        <v>Delivered</v>
      </c>
      <c r="P2356" s="14" t="str">
        <f>IFERROR(__xludf.DUMMYFUNCTION("""COMPUTED_VALUE"""),"Packaging: Secure and intact")</f>
        <v>Packaging: Secure and intact</v>
      </c>
      <c r="Q2356" s="14" t="str">
        <f>IFERROR(__xludf.DUMMYFUNCTION("split(P2356,"":"")"),"Packaging")</f>
        <v>Packaging</v>
      </c>
      <c r="R2356" s="14" t="str">
        <f>IFERROR(__xludf.DUMMYFUNCTION("""COMPUTED_VALUE""")," Secure and intact")</f>
        <v> Secure and intact</v>
      </c>
      <c r="S2356" s="14" t="str">
        <f t="shared" ref="S2356:U2356" si="4715">trim(B2356)</f>
        <v>ord_92320</v>
      </c>
      <c r="T2356" s="14" t="str">
        <f t="shared" si="4715"/>
        <v>Mehul Thakkar</v>
      </c>
      <c r="U2356" s="14" t="str">
        <f t="shared" si="4715"/>
        <v>Malad</v>
      </c>
      <c r="V2356" s="14" t="str">
        <f t="shared" si="4"/>
        <v>Cucumber</v>
      </c>
      <c r="W2356" s="14">
        <f t="shared" si="5"/>
        <v>2</v>
      </c>
      <c r="X2356" s="14" t="str">
        <f t="shared" si="6"/>
        <v>Ramesh S</v>
      </c>
      <c r="Y2356" s="15">
        <f t="shared" si="7"/>
        <v>45155</v>
      </c>
      <c r="Z2356" s="14" t="str">
        <f t="shared" si="8"/>
        <v>Credit Card</v>
      </c>
      <c r="AA2356" s="14" t="str">
        <f t="shared" si="9"/>
        <v>Delivered</v>
      </c>
      <c r="AB2356" s="14" t="str">
        <f t="shared" ref="AB2356:AC2356" si="4716">trim(Q2356)</f>
        <v>Packaging</v>
      </c>
      <c r="AC2356" s="14" t="str">
        <f t="shared" si="4716"/>
        <v>Secure and intact</v>
      </c>
      <c r="AD2356" s="8"/>
    </row>
    <row r="2357">
      <c r="A2357" s="14" t="str">
        <f>IFERROR(__xludf.DUMMYFUNCTION("""COMPUTED_VALUE"""),"//ord_92348//Aditi Iyer//Bandra//Popcorn+1*Shine Thomas/7/22/2023//COD//Delivered*Satisfied with the Delivery: Timely and quality")</f>
        <v>//ord_92348//Aditi Iyer//Bandra//Popcorn+1*Shine Thomas/7/22/2023//COD//Delivered*Satisfied with the Delivery: Timely and quality</v>
      </c>
      <c r="B2357" s="14" t="str">
        <f>IFERROR(__xludf.DUMMYFUNCTION("split(A2357,""//"")"),"ord_92348")</f>
        <v>ord_92348</v>
      </c>
      <c r="C2357" s="14" t="str">
        <f>IFERROR(__xludf.DUMMYFUNCTION("""COMPUTED_VALUE"""),"Aditi Iyer")</f>
        <v>Aditi Iyer</v>
      </c>
      <c r="D2357" s="14" t="str">
        <f>IFERROR(__xludf.DUMMYFUNCTION("""COMPUTED_VALUE"""),"Bandra")</f>
        <v>Bandra</v>
      </c>
      <c r="E2357" s="14" t="str">
        <f>IFERROR(__xludf.DUMMYFUNCTION("""COMPUTED_VALUE"""),"Popcorn+1*Shine Thomas")</f>
        <v>Popcorn+1*Shine Thomas</v>
      </c>
      <c r="F2357" s="14">
        <f>IFERROR(__xludf.DUMMYFUNCTION("""COMPUTED_VALUE"""),7.0)</f>
        <v>7</v>
      </c>
      <c r="G2357" s="14">
        <f>IFERROR(__xludf.DUMMYFUNCTION("""COMPUTED_VALUE"""),22.0)</f>
        <v>22</v>
      </c>
      <c r="H2357" s="14">
        <f>IFERROR(__xludf.DUMMYFUNCTION("""COMPUTED_VALUE"""),2023.0)</f>
        <v>2023</v>
      </c>
      <c r="I2357" s="14" t="str">
        <f>IFERROR(__xludf.DUMMYFUNCTION("""COMPUTED_VALUE"""),"COD")</f>
        <v>COD</v>
      </c>
      <c r="J2357" s="14" t="str">
        <f>IFERROR(__xludf.DUMMYFUNCTION("""COMPUTED_VALUE"""),"Delivered*Satisfied with the Delivery: Timely and quality")</f>
        <v>Delivered*Satisfied with the Delivery: Timely and quality</v>
      </c>
      <c r="K2357" s="14" t="str">
        <f>IFERROR(__xludf.DUMMYFUNCTION("split(E2357,""+"")"),"Popcorn")</f>
        <v>Popcorn</v>
      </c>
      <c r="L2357" s="14" t="str">
        <f>IFERROR(__xludf.DUMMYFUNCTION("""COMPUTED_VALUE"""),"1*Shine Thomas")</f>
        <v>1*Shine Thomas</v>
      </c>
      <c r="M2357" s="14">
        <f>IFERROR(__xludf.DUMMYFUNCTION("SPLIT(L2357,""*"")"),1.0)</f>
        <v>1</v>
      </c>
      <c r="N2357" s="14" t="str">
        <f>IFERROR(__xludf.DUMMYFUNCTION("""COMPUTED_VALUE"""),"Shine Thomas")</f>
        <v>Shine Thomas</v>
      </c>
      <c r="O2357" s="14" t="str">
        <f>IFERROR(__xludf.DUMMYFUNCTION("split(J2357,""*"")"),"Delivered")</f>
        <v>Delivered</v>
      </c>
      <c r="P2357" s="14" t="str">
        <f>IFERROR(__xludf.DUMMYFUNCTION("""COMPUTED_VALUE"""),"Satisfied with the Delivery: Timely and quality")</f>
        <v>Satisfied with the Delivery: Timely and quality</v>
      </c>
      <c r="Q2357" s="14" t="str">
        <f>IFERROR(__xludf.DUMMYFUNCTION("split(P2357,"":"")"),"Satisfied with the Delivery")</f>
        <v>Satisfied with the Delivery</v>
      </c>
      <c r="R2357" s="14" t="str">
        <f>IFERROR(__xludf.DUMMYFUNCTION("""COMPUTED_VALUE""")," Timely and quality")</f>
        <v> Timely and quality</v>
      </c>
      <c r="S2357" s="14" t="str">
        <f t="shared" ref="S2357:U2357" si="4717">trim(B2357)</f>
        <v>ord_92348</v>
      </c>
      <c r="T2357" s="14" t="str">
        <f t="shared" si="4717"/>
        <v>Aditi Iyer</v>
      </c>
      <c r="U2357" s="14" t="str">
        <f t="shared" si="4717"/>
        <v>Bandra</v>
      </c>
      <c r="V2357" s="14" t="str">
        <f t="shared" si="4"/>
        <v>Popcorn</v>
      </c>
      <c r="W2357" s="14">
        <f t="shared" si="5"/>
        <v>1</v>
      </c>
      <c r="X2357" s="14" t="str">
        <f t="shared" si="6"/>
        <v>Shine Thomas</v>
      </c>
      <c r="Y2357" s="15">
        <f t="shared" si="7"/>
        <v>45129</v>
      </c>
      <c r="Z2357" s="14" t="str">
        <f t="shared" si="8"/>
        <v>COD</v>
      </c>
      <c r="AA2357" s="14" t="str">
        <f t="shared" si="9"/>
        <v>Delivered</v>
      </c>
      <c r="AB2357" s="14" t="str">
        <f t="shared" ref="AB2357:AC2357" si="4718">trim(Q2357)</f>
        <v>Satisfied with the Delivery</v>
      </c>
      <c r="AC2357" s="14" t="str">
        <f t="shared" si="4718"/>
        <v>Timely and quality</v>
      </c>
      <c r="AD2357" s="8"/>
    </row>
    <row r="2358">
      <c r="A2358" s="14" t="str">
        <f>IFERROR(__xludf.DUMMYFUNCTION("""COMPUTED_VALUE"""),"//ord_92349//Shruti Aggarwal//Colaba//Chilli Cheese Toast+5*Vivek Kumar/6/15/2023//UPI//Delivered*Customer Service: Seamless and easy")</f>
        <v>//ord_92349//Shruti Aggarwal//Colaba//Chilli Cheese Toast+5*Vivek Kumar/6/15/2023//UPI//Delivered*Customer Service: Seamless and easy</v>
      </c>
      <c r="B2358" s="14" t="str">
        <f>IFERROR(__xludf.DUMMYFUNCTION("split(A2358,""//"")"),"ord_92349")</f>
        <v>ord_92349</v>
      </c>
      <c r="C2358" s="14" t="str">
        <f>IFERROR(__xludf.DUMMYFUNCTION("""COMPUTED_VALUE"""),"Shruti Aggarwal")</f>
        <v>Shruti Aggarwal</v>
      </c>
      <c r="D2358" s="14" t="str">
        <f>IFERROR(__xludf.DUMMYFUNCTION("""COMPUTED_VALUE"""),"Colaba")</f>
        <v>Colaba</v>
      </c>
      <c r="E2358" s="14" t="str">
        <f>IFERROR(__xludf.DUMMYFUNCTION("""COMPUTED_VALUE"""),"Chilli Cheese Toast+5*Vivek Kumar")</f>
        <v>Chilli Cheese Toast+5*Vivek Kumar</v>
      </c>
      <c r="F2358" s="14">
        <f>IFERROR(__xludf.DUMMYFUNCTION("""COMPUTED_VALUE"""),6.0)</f>
        <v>6</v>
      </c>
      <c r="G2358" s="14">
        <f>IFERROR(__xludf.DUMMYFUNCTION("""COMPUTED_VALUE"""),15.0)</f>
        <v>15</v>
      </c>
      <c r="H2358" s="14">
        <f>IFERROR(__xludf.DUMMYFUNCTION("""COMPUTED_VALUE"""),2023.0)</f>
        <v>2023</v>
      </c>
      <c r="I2358" s="14" t="str">
        <f>IFERROR(__xludf.DUMMYFUNCTION("""COMPUTED_VALUE"""),"UPI")</f>
        <v>UPI</v>
      </c>
      <c r="J2358" s="14" t="str">
        <f>IFERROR(__xludf.DUMMYFUNCTION("""COMPUTED_VALUE"""),"Delivered*Customer Service: Seamless and easy")</f>
        <v>Delivered*Customer Service: Seamless and easy</v>
      </c>
      <c r="K2358" s="14" t="str">
        <f>IFERROR(__xludf.DUMMYFUNCTION("split(E2358,""+"")"),"Chilli Cheese Toast")</f>
        <v>Chilli Cheese Toast</v>
      </c>
      <c r="L2358" s="14" t="str">
        <f>IFERROR(__xludf.DUMMYFUNCTION("""COMPUTED_VALUE"""),"5*Vivek Kumar")</f>
        <v>5*Vivek Kumar</v>
      </c>
      <c r="M2358" s="14">
        <f>IFERROR(__xludf.DUMMYFUNCTION("SPLIT(L2358,""*"")"),5.0)</f>
        <v>5</v>
      </c>
      <c r="N2358" s="14" t="str">
        <f>IFERROR(__xludf.DUMMYFUNCTION("""COMPUTED_VALUE"""),"Vivek Kumar")</f>
        <v>Vivek Kumar</v>
      </c>
      <c r="O2358" s="14" t="str">
        <f>IFERROR(__xludf.DUMMYFUNCTION("split(J2358,""*"")"),"Delivered")</f>
        <v>Delivered</v>
      </c>
      <c r="P2358" s="14" t="str">
        <f>IFERROR(__xludf.DUMMYFUNCTION("""COMPUTED_VALUE"""),"Customer Service: Seamless and easy")</f>
        <v>Customer Service: Seamless and easy</v>
      </c>
      <c r="Q2358" s="14" t="str">
        <f>IFERROR(__xludf.DUMMYFUNCTION("split(P2358,"":"")"),"Customer Service")</f>
        <v>Customer Service</v>
      </c>
      <c r="R2358" s="14" t="str">
        <f>IFERROR(__xludf.DUMMYFUNCTION("""COMPUTED_VALUE""")," Seamless and easy")</f>
        <v> Seamless and easy</v>
      </c>
      <c r="S2358" s="14" t="str">
        <f t="shared" ref="S2358:U2358" si="4719">trim(B2358)</f>
        <v>ord_92349</v>
      </c>
      <c r="T2358" s="14" t="str">
        <f t="shared" si="4719"/>
        <v>Shruti Aggarwal</v>
      </c>
      <c r="U2358" s="14" t="str">
        <f t="shared" si="4719"/>
        <v>Colaba</v>
      </c>
      <c r="V2358" s="14" t="str">
        <f t="shared" si="4"/>
        <v>Chilli Cheese Toast</v>
      </c>
      <c r="W2358" s="14">
        <f t="shared" si="5"/>
        <v>5</v>
      </c>
      <c r="X2358" s="14" t="str">
        <f t="shared" si="6"/>
        <v>Vivek Kumar</v>
      </c>
      <c r="Y2358" s="15">
        <f t="shared" si="7"/>
        <v>45092</v>
      </c>
      <c r="Z2358" s="14" t="str">
        <f t="shared" si="8"/>
        <v>UPI</v>
      </c>
      <c r="AA2358" s="14" t="str">
        <f t="shared" si="9"/>
        <v>Delivered</v>
      </c>
      <c r="AB2358" s="14" t="str">
        <f t="shared" ref="AB2358:AC2358" si="4720">trim(Q2358)</f>
        <v>Customer Service</v>
      </c>
      <c r="AC2358" s="14" t="str">
        <f t="shared" si="4720"/>
        <v>Seamless and easy</v>
      </c>
      <c r="AD2358" s="8"/>
    </row>
    <row r="2359">
      <c r="A2359" s="14" t="str">
        <f>IFERROR(__xludf.DUMMYFUNCTION("""COMPUTED_VALUE"""),"//ord_92350//Sana Malik//Powai//Tomato+2*Nithin Lal/12/6/2023//Online Payment//Delivered*Delivery Experience: Quick and professional")</f>
        <v>//ord_92350//Sana Malik//Powai//Tomato+2*Nithin Lal/12/6/2023//Online Payment//Delivered*Delivery Experience: Quick and professional</v>
      </c>
      <c r="B2359" s="14" t="str">
        <f>IFERROR(__xludf.DUMMYFUNCTION("split(A2359,""//"")"),"ord_92350")</f>
        <v>ord_92350</v>
      </c>
      <c r="C2359" s="14" t="str">
        <f>IFERROR(__xludf.DUMMYFUNCTION("""COMPUTED_VALUE"""),"Sana Malik")</f>
        <v>Sana Malik</v>
      </c>
      <c r="D2359" s="14" t="str">
        <f>IFERROR(__xludf.DUMMYFUNCTION("""COMPUTED_VALUE"""),"Powai")</f>
        <v>Powai</v>
      </c>
      <c r="E2359" s="14" t="str">
        <f>IFERROR(__xludf.DUMMYFUNCTION("""COMPUTED_VALUE"""),"Tomato+2*Nithin Lal")</f>
        <v>Tomato+2*Nithin Lal</v>
      </c>
      <c r="F2359" s="14">
        <f>IFERROR(__xludf.DUMMYFUNCTION("""COMPUTED_VALUE"""),12.0)</f>
        <v>12</v>
      </c>
      <c r="G2359" s="14">
        <f>IFERROR(__xludf.DUMMYFUNCTION("""COMPUTED_VALUE"""),6.0)</f>
        <v>6</v>
      </c>
      <c r="H2359" s="14">
        <f>IFERROR(__xludf.DUMMYFUNCTION("""COMPUTED_VALUE"""),2023.0)</f>
        <v>2023</v>
      </c>
      <c r="I2359" s="14" t="str">
        <f>IFERROR(__xludf.DUMMYFUNCTION("""COMPUTED_VALUE"""),"Online Payment")</f>
        <v>Online Payment</v>
      </c>
      <c r="J2359" s="14" t="str">
        <f>IFERROR(__xludf.DUMMYFUNCTION("""COMPUTED_VALUE"""),"Delivered*Delivery Experience: Quick and professional")</f>
        <v>Delivered*Delivery Experience: Quick and professional</v>
      </c>
      <c r="K2359" s="14" t="str">
        <f>IFERROR(__xludf.DUMMYFUNCTION("split(E2359,""+"")"),"Tomato")</f>
        <v>Tomato</v>
      </c>
      <c r="L2359" s="14" t="str">
        <f>IFERROR(__xludf.DUMMYFUNCTION("""COMPUTED_VALUE"""),"2*Nithin Lal")</f>
        <v>2*Nithin Lal</v>
      </c>
      <c r="M2359" s="14">
        <f>IFERROR(__xludf.DUMMYFUNCTION("SPLIT(L2359,""*"")"),2.0)</f>
        <v>2</v>
      </c>
      <c r="N2359" s="14" t="str">
        <f>IFERROR(__xludf.DUMMYFUNCTION("""COMPUTED_VALUE"""),"Nithin Lal")</f>
        <v>Nithin Lal</v>
      </c>
      <c r="O2359" s="14" t="str">
        <f>IFERROR(__xludf.DUMMYFUNCTION("split(J2359,""*"")"),"Delivered")</f>
        <v>Delivered</v>
      </c>
      <c r="P2359" s="14" t="str">
        <f>IFERROR(__xludf.DUMMYFUNCTION("""COMPUTED_VALUE"""),"Delivery Experience: Quick and professional")</f>
        <v>Delivery Experience: Quick and professional</v>
      </c>
      <c r="Q2359" s="14" t="str">
        <f>IFERROR(__xludf.DUMMYFUNCTION("split(P2359,"":"")"),"Delivery Experience")</f>
        <v>Delivery Experience</v>
      </c>
      <c r="R2359" s="14" t="str">
        <f>IFERROR(__xludf.DUMMYFUNCTION("""COMPUTED_VALUE""")," Quick and professional")</f>
        <v> Quick and professional</v>
      </c>
      <c r="S2359" s="14" t="str">
        <f t="shared" ref="S2359:U2359" si="4721">trim(B2359)</f>
        <v>ord_92350</v>
      </c>
      <c r="T2359" s="14" t="str">
        <f t="shared" si="4721"/>
        <v>Sana Malik</v>
      </c>
      <c r="U2359" s="14" t="str">
        <f t="shared" si="4721"/>
        <v>Powai</v>
      </c>
      <c r="V2359" s="14" t="str">
        <f t="shared" si="4"/>
        <v>Tomato</v>
      </c>
      <c r="W2359" s="14">
        <f t="shared" si="5"/>
        <v>2</v>
      </c>
      <c r="X2359" s="14" t="str">
        <f t="shared" si="6"/>
        <v>Nithin Lal</v>
      </c>
      <c r="Y2359" s="15">
        <f t="shared" si="7"/>
        <v>45266</v>
      </c>
      <c r="Z2359" s="14" t="str">
        <f t="shared" si="8"/>
        <v>Online Payment</v>
      </c>
      <c r="AA2359" s="14" t="str">
        <f t="shared" si="9"/>
        <v>Delivered</v>
      </c>
      <c r="AB2359" s="14" t="str">
        <f t="shared" ref="AB2359:AC2359" si="4722">trim(Q2359)</f>
        <v>Delivery Experience</v>
      </c>
      <c r="AC2359" s="14" t="str">
        <f t="shared" si="4722"/>
        <v>Quick and professional</v>
      </c>
      <c r="AD2359" s="8"/>
    </row>
    <row r="2360">
      <c r="A2360" s="14" t="str">
        <f>IFERROR(__xludf.DUMMYFUNCTION("""COMPUTED_VALUE"""),"//ord_92351//Yash Verma//Lower Parel//Icecream+8*Venu R/6/27/2023//COD//Delivered*Convenience: Easy tracking")</f>
        <v>//ord_92351//Yash Verma//Lower Parel//Icecream+8*Venu R/6/27/2023//COD//Delivered*Convenience: Easy tracking</v>
      </c>
      <c r="B2360" s="14" t="str">
        <f>IFERROR(__xludf.DUMMYFUNCTION("split(A2360,""//"")"),"ord_92351")</f>
        <v>ord_92351</v>
      </c>
      <c r="C2360" s="14" t="str">
        <f>IFERROR(__xludf.DUMMYFUNCTION("""COMPUTED_VALUE"""),"Yash Verma")</f>
        <v>Yash Verma</v>
      </c>
      <c r="D2360" s="14" t="str">
        <f>IFERROR(__xludf.DUMMYFUNCTION("""COMPUTED_VALUE"""),"Lower Parel")</f>
        <v>Lower Parel</v>
      </c>
      <c r="E2360" s="14" t="str">
        <f>IFERROR(__xludf.DUMMYFUNCTION("""COMPUTED_VALUE"""),"Icecream+8*Venu R")</f>
        <v>Icecream+8*Venu R</v>
      </c>
      <c r="F2360" s="14">
        <f>IFERROR(__xludf.DUMMYFUNCTION("""COMPUTED_VALUE"""),6.0)</f>
        <v>6</v>
      </c>
      <c r="G2360" s="14">
        <f>IFERROR(__xludf.DUMMYFUNCTION("""COMPUTED_VALUE"""),27.0)</f>
        <v>27</v>
      </c>
      <c r="H2360" s="14">
        <f>IFERROR(__xludf.DUMMYFUNCTION("""COMPUTED_VALUE"""),2023.0)</f>
        <v>2023</v>
      </c>
      <c r="I2360" s="14" t="str">
        <f>IFERROR(__xludf.DUMMYFUNCTION("""COMPUTED_VALUE"""),"COD")</f>
        <v>COD</v>
      </c>
      <c r="J2360" s="14" t="str">
        <f>IFERROR(__xludf.DUMMYFUNCTION("""COMPUTED_VALUE"""),"Delivered*Convenience: Easy tracking")</f>
        <v>Delivered*Convenience: Easy tracking</v>
      </c>
      <c r="K2360" s="14" t="str">
        <f>IFERROR(__xludf.DUMMYFUNCTION("split(E2360,""+"")"),"Icecream")</f>
        <v>Icecream</v>
      </c>
      <c r="L2360" s="14" t="str">
        <f>IFERROR(__xludf.DUMMYFUNCTION("""COMPUTED_VALUE"""),"8*Venu R")</f>
        <v>8*Venu R</v>
      </c>
      <c r="M2360" s="14">
        <f>IFERROR(__xludf.DUMMYFUNCTION("SPLIT(L2360,""*"")"),8.0)</f>
        <v>8</v>
      </c>
      <c r="N2360" s="14" t="str">
        <f>IFERROR(__xludf.DUMMYFUNCTION("""COMPUTED_VALUE"""),"Venu R")</f>
        <v>Venu R</v>
      </c>
      <c r="O2360" s="14" t="str">
        <f>IFERROR(__xludf.DUMMYFUNCTION("split(J2360,""*"")"),"Delivered")</f>
        <v>Delivered</v>
      </c>
      <c r="P2360" s="14" t="str">
        <f>IFERROR(__xludf.DUMMYFUNCTION("""COMPUTED_VALUE"""),"Convenience: Easy tracking")</f>
        <v>Convenience: Easy tracking</v>
      </c>
      <c r="Q2360" s="14" t="str">
        <f>IFERROR(__xludf.DUMMYFUNCTION("split(P2360,"":"")"),"Convenience")</f>
        <v>Convenience</v>
      </c>
      <c r="R2360" s="14" t="str">
        <f>IFERROR(__xludf.DUMMYFUNCTION("""COMPUTED_VALUE""")," Easy tracking")</f>
        <v> Easy tracking</v>
      </c>
      <c r="S2360" s="14" t="str">
        <f t="shared" ref="S2360:U2360" si="4723">trim(B2360)</f>
        <v>ord_92351</v>
      </c>
      <c r="T2360" s="14" t="str">
        <f t="shared" si="4723"/>
        <v>Yash Verma</v>
      </c>
      <c r="U2360" s="14" t="str">
        <f t="shared" si="4723"/>
        <v>Lower Parel</v>
      </c>
      <c r="V2360" s="14" t="str">
        <f t="shared" si="4"/>
        <v>Icecream</v>
      </c>
      <c r="W2360" s="14">
        <f t="shared" si="5"/>
        <v>8</v>
      </c>
      <c r="X2360" s="14" t="str">
        <f t="shared" si="6"/>
        <v>Venu R</v>
      </c>
      <c r="Y2360" s="15">
        <f t="shared" si="7"/>
        <v>45104</v>
      </c>
      <c r="Z2360" s="14" t="str">
        <f t="shared" si="8"/>
        <v>COD</v>
      </c>
      <c r="AA2360" s="14" t="str">
        <f t="shared" si="9"/>
        <v>Delivered</v>
      </c>
      <c r="AB2360" s="14" t="str">
        <f t="shared" ref="AB2360:AC2360" si="4724">trim(Q2360)</f>
        <v>Convenience</v>
      </c>
      <c r="AC2360" s="14" t="str">
        <f t="shared" si="4724"/>
        <v>Easy tracking</v>
      </c>
      <c r="AD2360" s="8"/>
    </row>
    <row r="2361">
      <c r="A2361" s="14" t="str">
        <f>IFERROR(__xludf.DUMMYFUNCTION("""COMPUTED_VALUE"""),"//ord_92352//Aarohi Kapoor//Bandra//Potato+1*Ram Gopal/6/9/2023//UPI//Delivered*Overall Satisfaction: Great service will order again")</f>
        <v>//ord_92352//Aarohi Kapoor//Bandra//Potato+1*Ram Gopal/6/9/2023//UPI//Delivered*Overall Satisfaction: Great service will order again</v>
      </c>
      <c r="B2361" s="14" t="str">
        <f>IFERROR(__xludf.DUMMYFUNCTION("split(A2361,""//"")"),"ord_92352")</f>
        <v>ord_92352</v>
      </c>
      <c r="C2361" s="14" t="str">
        <f>IFERROR(__xludf.DUMMYFUNCTION("""COMPUTED_VALUE"""),"Aarohi Kapoor")</f>
        <v>Aarohi Kapoor</v>
      </c>
      <c r="D2361" s="14" t="str">
        <f>IFERROR(__xludf.DUMMYFUNCTION("""COMPUTED_VALUE"""),"Bandra")</f>
        <v>Bandra</v>
      </c>
      <c r="E2361" s="14" t="str">
        <f>IFERROR(__xludf.DUMMYFUNCTION("""COMPUTED_VALUE"""),"Potato+1*Ram Gopal")</f>
        <v>Potato+1*Ram Gopal</v>
      </c>
      <c r="F2361" s="14">
        <f>IFERROR(__xludf.DUMMYFUNCTION("""COMPUTED_VALUE"""),6.0)</f>
        <v>6</v>
      </c>
      <c r="G2361" s="14">
        <f>IFERROR(__xludf.DUMMYFUNCTION("""COMPUTED_VALUE"""),9.0)</f>
        <v>9</v>
      </c>
      <c r="H2361" s="14">
        <f>IFERROR(__xludf.DUMMYFUNCTION("""COMPUTED_VALUE"""),2023.0)</f>
        <v>2023</v>
      </c>
      <c r="I2361" s="14" t="str">
        <f>IFERROR(__xludf.DUMMYFUNCTION("""COMPUTED_VALUE"""),"UPI")</f>
        <v>UPI</v>
      </c>
      <c r="J2361" s="14" t="str">
        <f>IFERROR(__xludf.DUMMYFUNCTION("""COMPUTED_VALUE"""),"Delivered*Overall Satisfaction: Great service will order again")</f>
        <v>Delivered*Overall Satisfaction: Great service will order again</v>
      </c>
      <c r="K2361" s="14" t="str">
        <f>IFERROR(__xludf.DUMMYFUNCTION("split(E2361,""+"")"),"Potato")</f>
        <v>Potato</v>
      </c>
      <c r="L2361" s="14" t="str">
        <f>IFERROR(__xludf.DUMMYFUNCTION("""COMPUTED_VALUE"""),"1*Ram Gopal")</f>
        <v>1*Ram Gopal</v>
      </c>
      <c r="M2361" s="14">
        <f>IFERROR(__xludf.DUMMYFUNCTION("SPLIT(L2361,""*"")"),1.0)</f>
        <v>1</v>
      </c>
      <c r="N2361" s="14" t="str">
        <f>IFERROR(__xludf.DUMMYFUNCTION("""COMPUTED_VALUE"""),"Ram Gopal")</f>
        <v>Ram Gopal</v>
      </c>
      <c r="O2361" s="14" t="str">
        <f>IFERROR(__xludf.DUMMYFUNCTION("split(J2361,""*"")"),"Delivered")</f>
        <v>Delivered</v>
      </c>
      <c r="P2361" s="14" t="str">
        <f>IFERROR(__xludf.DUMMYFUNCTION("""COMPUTED_VALUE"""),"Overall Satisfaction: Great service will order again")</f>
        <v>Overall Satisfaction: Great service will order again</v>
      </c>
      <c r="Q2361" s="14" t="str">
        <f>IFERROR(__xludf.DUMMYFUNCTION("split(P2361,"":"")"),"Overall Satisfaction")</f>
        <v>Overall Satisfaction</v>
      </c>
      <c r="R2361" s="14" t="str">
        <f>IFERROR(__xludf.DUMMYFUNCTION("""COMPUTED_VALUE""")," Great service will order again")</f>
        <v> Great service will order again</v>
      </c>
      <c r="S2361" s="14" t="str">
        <f t="shared" ref="S2361:U2361" si="4725">trim(B2361)</f>
        <v>ord_92352</v>
      </c>
      <c r="T2361" s="14" t="str">
        <f t="shared" si="4725"/>
        <v>Aarohi Kapoor</v>
      </c>
      <c r="U2361" s="14" t="str">
        <f t="shared" si="4725"/>
        <v>Bandra</v>
      </c>
      <c r="V2361" s="14" t="str">
        <f t="shared" si="4"/>
        <v>Potato</v>
      </c>
      <c r="W2361" s="14">
        <f t="shared" si="5"/>
        <v>1</v>
      </c>
      <c r="X2361" s="14" t="str">
        <f t="shared" si="6"/>
        <v>Ram Gopal</v>
      </c>
      <c r="Y2361" s="15">
        <f t="shared" si="7"/>
        <v>45086</v>
      </c>
      <c r="Z2361" s="14" t="str">
        <f t="shared" si="8"/>
        <v>UPI</v>
      </c>
      <c r="AA2361" s="14" t="str">
        <f t="shared" si="9"/>
        <v>Delivered</v>
      </c>
      <c r="AB2361" s="14" t="str">
        <f t="shared" ref="AB2361:AC2361" si="4726">trim(Q2361)</f>
        <v>Overall Satisfaction</v>
      </c>
      <c r="AC2361" s="14" t="str">
        <f t="shared" si="4726"/>
        <v>Great service will order again</v>
      </c>
      <c r="AD2361" s="8"/>
    </row>
    <row r="2362">
      <c r="A2362" s="14" t="str">
        <f>IFERROR(__xludf.DUMMYFUNCTION("""COMPUTED_VALUE"""),"//ord_92353//Arvind Kulkarni//Juhu//Sweet Corn+2*Vivek Kumar/12/8/2023//COD//Delivered*On-time Delivery: Delivered on time")</f>
        <v>//ord_92353//Arvind Kulkarni//Juhu//Sweet Corn+2*Vivek Kumar/12/8/2023//COD//Delivered*On-time Delivery: Delivered on time</v>
      </c>
      <c r="B2362" s="14" t="str">
        <f>IFERROR(__xludf.DUMMYFUNCTION("split(A2362,""//"")"),"ord_92353")</f>
        <v>ord_92353</v>
      </c>
      <c r="C2362" s="14" t="str">
        <f>IFERROR(__xludf.DUMMYFUNCTION("""COMPUTED_VALUE"""),"Arvind Kulkarni")</f>
        <v>Arvind Kulkarni</v>
      </c>
      <c r="D2362" s="14" t="str">
        <f>IFERROR(__xludf.DUMMYFUNCTION("""COMPUTED_VALUE"""),"Juhu")</f>
        <v>Juhu</v>
      </c>
      <c r="E2362" s="14" t="str">
        <f>IFERROR(__xludf.DUMMYFUNCTION("""COMPUTED_VALUE"""),"Sweet Corn+2*Vivek Kumar")</f>
        <v>Sweet Corn+2*Vivek Kumar</v>
      </c>
      <c r="F2362" s="14">
        <f>IFERROR(__xludf.DUMMYFUNCTION("""COMPUTED_VALUE"""),12.0)</f>
        <v>12</v>
      </c>
      <c r="G2362" s="14">
        <f>IFERROR(__xludf.DUMMYFUNCTION("""COMPUTED_VALUE"""),8.0)</f>
        <v>8</v>
      </c>
      <c r="H2362" s="14">
        <f>IFERROR(__xludf.DUMMYFUNCTION("""COMPUTED_VALUE"""),2023.0)</f>
        <v>2023</v>
      </c>
      <c r="I2362" s="14" t="str">
        <f>IFERROR(__xludf.DUMMYFUNCTION("""COMPUTED_VALUE"""),"COD")</f>
        <v>COD</v>
      </c>
      <c r="J2362" s="14" t="str">
        <f>IFERROR(__xludf.DUMMYFUNCTION("""COMPUTED_VALUE"""),"Delivered*On-time Delivery: Delivered on time")</f>
        <v>Delivered*On-time Delivery: Delivered on time</v>
      </c>
      <c r="K2362" s="14" t="str">
        <f>IFERROR(__xludf.DUMMYFUNCTION("split(E2362,""+"")"),"Sweet Corn")</f>
        <v>Sweet Corn</v>
      </c>
      <c r="L2362" s="14" t="str">
        <f>IFERROR(__xludf.DUMMYFUNCTION("""COMPUTED_VALUE"""),"2*Vivek Kumar")</f>
        <v>2*Vivek Kumar</v>
      </c>
      <c r="M2362" s="14">
        <f>IFERROR(__xludf.DUMMYFUNCTION("SPLIT(L2362,""*"")"),2.0)</f>
        <v>2</v>
      </c>
      <c r="N2362" s="14" t="str">
        <f>IFERROR(__xludf.DUMMYFUNCTION("""COMPUTED_VALUE"""),"Vivek Kumar")</f>
        <v>Vivek Kumar</v>
      </c>
      <c r="O2362" s="14" t="str">
        <f>IFERROR(__xludf.DUMMYFUNCTION("split(J2362,""*"")"),"Delivered")</f>
        <v>Delivered</v>
      </c>
      <c r="P2362" s="14" t="str">
        <f>IFERROR(__xludf.DUMMYFUNCTION("""COMPUTED_VALUE"""),"On-time Delivery: Delivered on time")</f>
        <v>On-time Delivery: Delivered on time</v>
      </c>
      <c r="Q2362" s="14" t="str">
        <f>IFERROR(__xludf.DUMMYFUNCTION("split(P2362,"":"")"),"On-time Delivery")</f>
        <v>On-time Delivery</v>
      </c>
      <c r="R2362" s="14" t="str">
        <f>IFERROR(__xludf.DUMMYFUNCTION("""COMPUTED_VALUE""")," Delivered on time")</f>
        <v> Delivered on time</v>
      </c>
      <c r="S2362" s="14" t="str">
        <f t="shared" ref="S2362:U2362" si="4727">trim(B2362)</f>
        <v>ord_92353</v>
      </c>
      <c r="T2362" s="14" t="str">
        <f t="shared" si="4727"/>
        <v>Arvind Kulkarni</v>
      </c>
      <c r="U2362" s="14" t="str">
        <f t="shared" si="4727"/>
        <v>Juhu</v>
      </c>
      <c r="V2362" s="14" t="str">
        <f t="shared" si="4"/>
        <v>Sweet Corn</v>
      </c>
      <c r="W2362" s="14">
        <f t="shared" si="5"/>
        <v>2</v>
      </c>
      <c r="X2362" s="14" t="str">
        <f t="shared" si="6"/>
        <v>Vivek Kumar</v>
      </c>
      <c r="Y2362" s="15">
        <f t="shared" si="7"/>
        <v>45268</v>
      </c>
      <c r="Z2362" s="14" t="str">
        <f t="shared" si="8"/>
        <v>COD</v>
      </c>
      <c r="AA2362" s="14" t="str">
        <f t="shared" si="9"/>
        <v>Delivered</v>
      </c>
      <c r="AB2362" s="14" t="str">
        <f t="shared" ref="AB2362:AC2362" si="4728">trim(Q2362)</f>
        <v>On-time Delivery</v>
      </c>
      <c r="AC2362" s="14" t="str">
        <f t="shared" si="4728"/>
        <v>Delivered on time</v>
      </c>
      <c r="AD2362" s="8"/>
    </row>
    <row r="2363">
      <c r="A2363" s="14" t="str">
        <f>IFERROR(__xludf.DUMMYFUNCTION("""COMPUTED_VALUE"""),"//ord_92354//Arvind Kulkarni//Juhu//Cold Coffee+4*Ramesh S/10/22/2023//COD//Delivered*Quality of Items: Perfect condition")</f>
        <v>//ord_92354//Arvind Kulkarni//Juhu//Cold Coffee+4*Ramesh S/10/22/2023//COD//Delivered*Quality of Items: Perfect condition</v>
      </c>
      <c r="B2363" s="14" t="str">
        <f>IFERROR(__xludf.DUMMYFUNCTION("split(A2363,""//"")"),"ord_92354")</f>
        <v>ord_92354</v>
      </c>
      <c r="C2363" s="14" t="str">
        <f>IFERROR(__xludf.DUMMYFUNCTION("""COMPUTED_VALUE"""),"Arvind Kulkarni")</f>
        <v>Arvind Kulkarni</v>
      </c>
      <c r="D2363" s="14" t="str">
        <f>IFERROR(__xludf.DUMMYFUNCTION("""COMPUTED_VALUE"""),"Juhu")</f>
        <v>Juhu</v>
      </c>
      <c r="E2363" s="14" t="str">
        <f>IFERROR(__xludf.DUMMYFUNCTION("""COMPUTED_VALUE"""),"Cold Coffee+4*Ramesh S")</f>
        <v>Cold Coffee+4*Ramesh S</v>
      </c>
      <c r="F2363" s="14">
        <f>IFERROR(__xludf.DUMMYFUNCTION("""COMPUTED_VALUE"""),10.0)</f>
        <v>10</v>
      </c>
      <c r="G2363" s="14">
        <f>IFERROR(__xludf.DUMMYFUNCTION("""COMPUTED_VALUE"""),22.0)</f>
        <v>22</v>
      </c>
      <c r="H2363" s="14">
        <f>IFERROR(__xludf.DUMMYFUNCTION("""COMPUTED_VALUE"""),2023.0)</f>
        <v>2023</v>
      </c>
      <c r="I2363" s="14" t="str">
        <f>IFERROR(__xludf.DUMMYFUNCTION("""COMPUTED_VALUE"""),"COD")</f>
        <v>COD</v>
      </c>
      <c r="J2363" s="14" t="str">
        <f>IFERROR(__xludf.DUMMYFUNCTION("""COMPUTED_VALUE"""),"Delivered*Quality of Items: Perfect condition")</f>
        <v>Delivered*Quality of Items: Perfect condition</v>
      </c>
      <c r="K2363" s="14" t="str">
        <f>IFERROR(__xludf.DUMMYFUNCTION("split(E2363,""+"")"),"Cold Coffee")</f>
        <v>Cold Coffee</v>
      </c>
      <c r="L2363" s="14" t="str">
        <f>IFERROR(__xludf.DUMMYFUNCTION("""COMPUTED_VALUE"""),"4*Ramesh S")</f>
        <v>4*Ramesh S</v>
      </c>
      <c r="M2363" s="14">
        <f>IFERROR(__xludf.DUMMYFUNCTION("SPLIT(L2363,""*"")"),4.0)</f>
        <v>4</v>
      </c>
      <c r="N2363" s="14" t="str">
        <f>IFERROR(__xludf.DUMMYFUNCTION("""COMPUTED_VALUE"""),"Ramesh S")</f>
        <v>Ramesh S</v>
      </c>
      <c r="O2363" s="14" t="str">
        <f>IFERROR(__xludf.DUMMYFUNCTION("split(J2363,""*"")"),"Delivered")</f>
        <v>Delivered</v>
      </c>
      <c r="P2363" s="14" t="str">
        <f>IFERROR(__xludf.DUMMYFUNCTION("""COMPUTED_VALUE"""),"Quality of Items: Perfect condition")</f>
        <v>Quality of Items: Perfect condition</v>
      </c>
      <c r="Q2363" s="14" t="str">
        <f>IFERROR(__xludf.DUMMYFUNCTION("split(P2363,"":"")"),"Quality of Items")</f>
        <v>Quality of Items</v>
      </c>
      <c r="R2363" s="14" t="str">
        <f>IFERROR(__xludf.DUMMYFUNCTION("""COMPUTED_VALUE""")," Perfect condition")</f>
        <v> Perfect condition</v>
      </c>
      <c r="S2363" s="14" t="str">
        <f t="shared" ref="S2363:U2363" si="4729">trim(B2363)</f>
        <v>ord_92354</v>
      </c>
      <c r="T2363" s="14" t="str">
        <f t="shared" si="4729"/>
        <v>Arvind Kulkarni</v>
      </c>
      <c r="U2363" s="14" t="str">
        <f t="shared" si="4729"/>
        <v>Juhu</v>
      </c>
      <c r="V2363" s="14" t="str">
        <f t="shared" si="4"/>
        <v>Cold Coffee</v>
      </c>
      <c r="W2363" s="14">
        <f t="shared" si="5"/>
        <v>4</v>
      </c>
      <c r="X2363" s="14" t="str">
        <f t="shared" si="6"/>
        <v>Ramesh S</v>
      </c>
      <c r="Y2363" s="15">
        <f t="shared" si="7"/>
        <v>45221</v>
      </c>
      <c r="Z2363" s="14" t="str">
        <f t="shared" si="8"/>
        <v>COD</v>
      </c>
      <c r="AA2363" s="14" t="str">
        <f t="shared" si="9"/>
        <v>Delivered</v>
      </c>
      <c r="AB2363" s="14" t="str">
        <f t="shared" ref="AB2363:AC2363" si="4730">trim(Q2363)</f>
        <v>Quality of Items</v>
      </c>
      <c r="AC2363" s="14" t="str">
        <f t="shared" si="4730"/>
        <v>Perfect condition</v>
      </c>
      <c r="AD2363" s="8"/>
    </row>
    <row r="2364">
      <c r="A2364" s="14" t="str">
        <f>IFERROR(__xludf.DUMMYFUNCTION("""COMPUTED_VALUE"""),"//ord_92355//Parth Goel//Juhu//Sweet Corn+1*Not Assigned/10/17/2023//Online Payment//Cancelled*App Glitches: Payment Button Malfunction")</f>
        <v>//ord_92355//Parth Goel//Juhu//Sweet Corn+1*Not Assigned/10/17/2023//Online Payment//Cancelled*App Glitches: Payment Button Malfunction</v>
      </c>
      <c r="B2364" s="14" t="str">
        <f>IFERROR(__xludf.DUMMYFUNCTION("split(A2364,""//"")"),"ord_92355")</f>
        <v>ord_92355</v>
      </c>
      <c r="C2364" s="14" t="str">
        <f>IFERROR(__xludf.DUMMYFUNCTION("""COMPUTED_VALUE"""),"Parth Goel")</f>
        <v>Parth Goel</v>
      </c>
      <c r="D2364" s="14" t="str">
        <f>IFERROR(__xludf.DUMMYFUNCTION("""COMPUTED_VALUE"""),"Juhu")</f>
        <v>Juhu</v>
      </c>
      <c r="E2364" s="14" t="str">
        <f>IFERROR(__xludf.DUMMYFUNCTION("""COMPUTED_VALUE"""),"Sweet Corn+1*Not Assigned")</f>
        <v>Sweet Corn+1*Not Assigned</v>
      </c>
      <c r="F2364" s="14">
        <f>IFERROR(__xludf.DUMMYFUNCTION("""COMPUTED_VALUE"""),10.0)</f>
        <v>10</v>
      </c>
      <c r="G2364" s="14">
        <f>IFERROR(__xludf.DUMMYFUNCTION("""COMPUTED_VALUE"""),17.0)</f>
        <v>17</v>
      </c>
      <c r="H2364" s="14">
        <f>IFERROR(__xludf.DUMMYFUNCTION("""COMPUTED_VALUE"""),2023.0)</f>
        <v>2023</v>
      </c>
      <c r="I2364" s="14" t="str">
        <f>IFERROR(__xludf.DUMMYFUNCTION("""COMPUTED_VALUE"""),"Online Payment")</f>
        <v>Online Payment</v>
      </c>
      <c r="J2364" s="14" t="str">
        <f>IFERROR(__xludf.DUMMYFUNCTION("""COMPUTED_VALUE"""),"Cancelled*App Glitches: Payment Button Malfunction")</f>
        <v>Cancelled*App Glitches: Payment Button Malfunction</v>
      </c>
      <c r="K2364" s="14" t="str">
        <f>IFERROR(__xludf.DUMMYFUNCTION("split(E2364,""+"")"),"Sweet Corn")</f>
        <v>Sweet Corn</v>
      </c>
      <c r="L2364" s="14" t="str">
        <f>IFERROR(__xludf.DUMMYFUNCTION("""COMPUTED_VALUE"""),"1*Not Assigned")</f>
        <v>1*Not Assigned</v>
      </c>
      <c r="M2364" s="14">
        <f>IFERROR(__xludf.DUMMYFUNCTION("SPLIT(L2364,""*"")"),1.0)</f>
        <v>1</v>
      </c>
      <c r="N2364" s="14" t="str">
        <f>IFERROR(__xludf.DUMMYFUNCTION("""COMPUTED_VALUE"""),"Not Assigned")</f>
        <v>Not Assigned</v>
      </c>
      <c r="O2364" s="14" t="str">
        <f>IFERROR(__xludf.DUMMYFUNCTION("split(J2364,""*"")"),"Cancelled")</f>
        <v>Cancelled</v>
      </c>
      <c r="P2364" s="14" t="str">
        <f>IFERROR(__xludf.DUMMYFUNCTION("""COMPUTED_VALUE"""),"App Glitches: Payment Button Malfunction")</f>
        <v>App Glitches: Payment Button Malfunction</v>
      </c>
      <c r="Q2364" s="14" t="str">
        <f>IFERROR(__xludf.DUMMYFUNCTION("split(P2364,"":"")"),"App Glitches")</f>
        <v>App Glitches</v>
      </c>
      <c r="R2364" s="14" t="str">
        <f>IFERROR(__xludf.DUMMYFUNCTION("""COMPUTED_VALUE""")," Payment Button Malfunction")</f>
        <v> Payment Button Malfunction</v>
      </c>
      <c r="S2364" s="14" t="str">
        <f t="shared" ref="S2364:U2364" si="4731">trim(B2364)</f>
        <v>ord_92355</v>
      </c>
      <c r="T2364" s="14" t="str">
        <f t="shared" si="4731"/>
        <v>Parth Goel</v>
      </c>
      <c r="U2364" s="14" t="str">
        <f t="shared" si="4731"/>
        <v>Juhu</v>
      </c>
      <c r="V2364" s="14" t="str">
        <f t="shared" si="4"/>
        <v>Sweet Corn</v>
      </c>
      <c r="W2364" s="14">
        <f t="shared" si="5"/>
        <v>1</v>
      </c>
      <c r="X2364" s="14" t="str">
        <f t="shared" si="6"/>
        <v>Not Assigned</v>
      </c>
      <c r="Y2364" s="15">
        <f t="shared" si="7"/>
        <v>45216</v>
      </c>
      <c r="Z2364" s="14" t="str">
        <f t="shared" si="8"/>
        <v>Online Payment</v>
      </c>
      <c r="AA2364" s="14" t="str">
        <f t="shared" si="9"/>
        <v>Cancelled</v>
      </c>
      <c r="AB2364" s="14" t="str">
        <f t="shared" ref="AB2364:AC2364" si="4732">trim(Q2364)</f>
        <v>App Glitches</v>
      </c>
      <c r="AC2364" s="14" t="str">
        <f t="shared" si="4732"/>
        <v>Payment Button Malfunction</v>
      </c>
      <c r="AD2364" s="8"/>
    </row>
    <row r="2365">
      <c r="A2365" s="14" t="str">
        <f>IFERROR(__xludf.DUMMYFUNCTION("""COMPUTED_VALUE"""),"//ord_92356//Kritika Shetty//Malad//Potato+2*Ramesh S/10/22/2023//Credit Card//Delivered*Packaging: Secure and intact")</f>
        <v>//ord_92356//Kritika Shetty//Malad//Potato+2*Ramesh S/10/22/2023//Credit Card//Delivered*Packaging: Secure and intact</v>
      </c>
      <c r="B2365" s="14" t="str">
        <f>IFERROR(__xludf.DUMMYFUNCTION("split(A2365,""//"")"),"ord_92356")</f>
        <v>ord_92356</v>
      </c>
      <c r="C2365" s="14" t="str">
        <f>IFERROR(__xludf.DUMMYFUNCTION("""COMPUTED_VALUE"""),"Kritika Shetty")</f>
        <v>Kritika Shetty</v>
      </c>
      <c r="D2365" s="14" t="str">
        <f>IFERROR(__xludf.DUMMYFUNCTION("""COMPUTED_VALUE"""),"Malad")</f>
        <v>Malad</v>
      </c>
      <c r="E2365" s="14" t="str">
        <f>IFERROR(__xludf.DUMMYFUNCTION("""COMPUTED_VALUE"""),"Potato+2*Ramesh S")</f>
        <v>Potato+2*Ramesh S</v>
      </c>
      <c r="F2365" s="14">
        <f>IFERROR(__xludf.DUMMYFUNCTION("""COMPUTED_VALUE"""),10.0)</f>
        <v>10</v>
      </c>
      <c r="G2365" s="14">
        <f>IFERROR(__xludf.DUMMYFUNCTION("""COMPUTED_VALUE"""),22.0)</f>
        <v>22</v>
      </c>
      <c r="H2365" s="14">
        <f>IFERROR(__xludf.DUMMYFUNCTION("""COMPUTED_VALUE"""),2023.0)</f>
        <v>2023</v>
      </c>
      <c r="I2365" s="14" t="str">
        <f>IFERROR(__xludf.DUMMYFUNCTION("""COMPUTED_VALUE"""),"Credit Card")</f>
        <v>Credit Card</v>
      </c>
      <c r="J2365" s="14" t="str">
        <f>IFERROR(__xludf.DUMMYFUNCTION("""COMPUTED_VALUE"""),"Delivered*Packaging: Secure and intact")</f>
        <v>Delivered*Packaging: Secure and intact</v>
      </c>
      <c r="K2365" s="14" t="str">
        <f>IFERROR(__xludf.DUMMYFUNCTION("split(E2365,""+"")"),"Potato")</f>
        <v>Potato</v>
      </c>
      <c r="L2365" s="14" t="str">
        <f>IFERROR(__xludf.DUMMYFUNCTION("""COMPUTED_VALUE"""),"2*Ramesh S")</f>
        <v>2*Ramesh S</v>
      </c>
      <c r="M2365" s="14">
        <f>IFERROR(__xludf.DUMMYFUNCTION("SPLIT(L2365,""*"")"),2.0)</f>
        <v>2</v>
      </c>
      <c r="N2365" s="14" t="str">
        <f>IFERROR(__xludf.DUMMYFUNCTION("""COMPUTED_VALUE"""),"Ramesh S")</f>
        <v>Ramesh S</v>
      </c>
      <c r="O2365" s="14" t="str">
        <f>IFERROR(__xludf.DUMMYFUNCTION("split(J2365,""*"")"),"Delivered")</f>
        <v>Delivered</v>
      </c>
      <c r="P2365" s="14" t="str">
        <f>IFERROR(__xludf.DUMMYFUNCTION("""COMPUTED_VALUE"""),"Packaging: Secure and intact")</f>
        <v>Packaging: Secure and intact</v>
      </c>
      <c r="Q2365" s="14" t="str">
        <f>IFERROR(__xludf.DUMMYFUNCTION("split(P2365,"":"")"),"Packaging")</f>
        <v>Packaging</v>
      </c>
      <c r="R2365" s="14" t="str">
        <f>IFERROR(__xludf.DUMMYFUNCTION("""COMPUTED_VALUE""")," Secure and intact")</f>
        <v> Secure and intact</v>
      </c>
      <c r="S2365" s="14" t="str">
        <f t="shared" ref="S2365:U2365" si="4733">trim(B2365)</f>
        <v>ord_92356</v>
      </c>
      <c r="T2365" s="14" t="str">
        <f t="shared" si="4733"/>
        <v>Kritika Shetty</v>
      </c>
      <c r="U2365" s="14" t="str">
        <f t="shared" si="4733"/>
        <v>Malad</v>
      </c>
      <c r="V2365" s="14" t="str">
        <f t="shared" si="4"/>
        <v>Potato</v>
      </c>
      <c r="W2365" s="14">
        <f t="shared" si="5"/>
        <v>2</v>
      </c>
      <c r="X2365" s="14" t="str">
        <f t="shared" si="6"/>
        <v>Ramesh S</v>
      </c>
      <c r="Y2365" s="15">
        <f t="shared" si="7"/>
        <v>45221</v>
      </c>
      <c r="Z2365" s="14" t="str">
        <f t="shared" si="8"/>
        <v>Credit Card</v>
      </c>
      <c r="AA2365" s="14" t="str">
        <f t="shared" si="9"/>
        <v>Delivered</v>
      </c>
      <c r="AB2365" s="14" t="str">
        <f t="shared" ref="AB2365:AC2365" si="4734">trim(Q2365)</f>
        <v>Packaging</v>
      </c>
      <c r="AC2365" s="14" t="str">
        <f t="shared" si="4734"/>
        <v>Secure and intact</v>
      </c>
      <c r="AD2365" s="8"/>
    </row>
    <row r="2366">
      <c r="A2366" s="14" t="str">
        <f>IFERROR(__xludf.DUMMYFUNCTION("""COMPUTED_VALUE"""),"//ord_92330//Sakshi Tandon//Colaba//Chilli Cheese Toast+2*Shine Thomas/10/4/2023//COD//Delivered*Satisfied with the Delivery: Timely and quality")</f>
        <v>//ord_92330//Sakshi Tandon//Colaba//Chilli Cheese Toast+2*Shine Thomas/10/4/2023//COD//Delivered*Satisfied with the Delivery: Timely and quality</v>
      </c>
      <c r="B2366" s="14" t="str">
        <f>IFERROR(__xludf.DUMMYFUNCTION("split(A2366,""//"")"),"ord_92330")</f>
        <v>ord_92330</v>
      </c>
      <c r="C2366" s="14" t="str">
        <f>IFERROR(__xludf.DUMMYFUNCTION("""COMPUTED_VALUE"""),"Sakshi Tandon")</f>
        <v>Sakshi Tandon</v>
      </c>
      <c r="D2366" s="14" t="str">
        <f>IFERROR(__xludf.DUMMYFUNCTION("""COMPUTED_VALUE"""),"Colaba")</f>
        <v>Colaba</v>
      </c>
      <c r="E2366" s="14" t="str">
        <f>IFERROR(__xludf.DUMMYFUNCTION("""COMPUTED_VALUE"""),"Chilli Cheese Toast+2*Shine Thomas")</f>
        <v>Chilli Cheese Toast+2*Shine Thomas</v>
      </c>
      <c r="F2366" s="14">
        <f>IFERROR(__xludf.DUMMYFUNCTION("""COMPUTED_VALUE"""),10.0)</f>
        <v>10</v>
      </c>
      <c r="G2366" s="14">
        <f>IFERROR(__xludf.DUMMYFUNCTION("""COMPUTED_VALUE"""),4.0)</f>
        <v>4</v>
      </c>
      <c r="H2366" s="14">
        <f>IFERROR(__xludf.DUMMYFUNCTION("""COMPUTED_VALUE"""),2023.0)</f>
        <v>2023</v>
      </c>
      <c r="I2366" s="14" t="str">
        <f>IFERROR(__xludf.DUMMYFUNCTION("""COMPUTED_VALUE"""),"COD")</f>
        <v>COD</v>
      </c>
      <c r="J2366" s="14" t="str">
        <f>IFERROR(__xludf.DUMMYFUNCTION("""COMPUTED_VALUE"""),"Delivered*Satisfied with the Delivery: Timely and quality")</f>
        <v>Delivered*Satisfied with the Delivery: Timely and quality</v>
      </c>
      <c r="K2366" s="14" t="str">
        <f>IFERROR(__xludf.DUMMYFUNCTION("split(E2366,""+"")"),"Chilli Cheese Toast")</f>
        <v>Chilli Cheese Toast</v>
      </c>
      <c r="L2366" s="14" t="str">
        <f>IFERROR(__xludf.DUMMYFUNCTION("""COMPUTED_VALUE"""),"2*Shine Thomas")</f>
        <v>2*Shine Thomas</v>
      </c>
      <c r="M2366" s="14">
        <f>IFERROR(__xludf.DUMMYFUNCTION("SPLIT(L2366,""*"")"),2.0)</f>
        <v>2</v>
      </c>
      <c r="N2366" s="14" t="str">
        <f>IFERROR(__xludf.DUMMYFUNCTION("""COMPUTED_VALUE"""),"Shine Thomas")</f>
        <v>Shine Thomas</v>
      </c>
      <c r="O2366" s="14" t="str">
        <f>IFERROR(__xludf.DUMMYFUNCTION("split(J2366,""*"")"),"Delivered")</f>
        <v>Delivered</v>
      </c>
      <c r="P2366" s="14" t="str">
        <f>IFERROR(__xludf.DUMMYFUNCTION("""COMPUTED_VALUE"""),"Satisfied with the Delivery: Timely and quality")</f>
        <v>Satisfied with the Delivery: Timely and quality</v>
      </c>
      <c r="Q2366" s="14" t="str">
        <f>IFERROR(__xludf.DUMMYFUNCTION("split(P2366,"":"")"),"Satisfied with the Delivery")</f>
        <v>Satisfied with the Delivery</v>
      </c>
      <c r="R2366" s="14" t="str">
        <f>IFERROR(__xludf.DUMMYFUNCTION("""COMPUTED_VALUE""")," Timely and quality")</f>
        <v> Timely and quality</v>
      </c>
      <c r="S2366" s="14" t="str">
        <f t="shared" ref="S2366:U2366" si="4735">trim(B2366)</f>
        <v>ord_92330</v>
      </c>
      <c r="T2366" s="14" t="str">
        <f t="shared" si="4735"/>
        <v>Sakshi Tandon</v>
      </c>
      <c r="U2366" s="14" t="str">
        <f t="shared" si="4735"/>
        <v>Colaba</v>
      </c>
      <c r="V2366" s="14" t="str">
        <f t="shared" si="4"/>
        <v>Chilli Cheese Toast</v>
      </c>
      <c r="W2366" s="14">
        <f t="shared" si="5"/>
        <v>2</v>
      </c>
      <c r="X2366" s="14" t="str">
        <f t="shared" si="6"/>
        <v>Shine Thomas</v>
      </c>
      <c r="Y2366" s="15">
        <f t="shared" si="7"/>
        <v>45203</v>
      </c>
      <c r="Z2366" s="14" t="str">
        <f t="shared" si="8"/>
        <v>COD</v>
      </c>
      <c r="AA2366" s="14" t="str">
        <f t="shared" si="9"/>
        <v>Delivered</v>
      </c>
      <c r="AB2366" s="14" t="str">
        <f t="shared" ref="AB2366:AC2366" si="4736">trim(Q2366)</f>
        <v>Satisfied with the Delivery</v>
      </c>
      <c r="AC2366" s="14" t="str">
        <f t="shared" si="4736"/>
        <v>Timely and quality</v>
      </c>
      <c r="AD2366" s="8"/>
    </row>
    <row r="2367">
      <c r="A2367" s="14" t="str">
        <f>IFERROR(__xludf.DUMMYFUNCTION("""COMPUTED_VALUE"""),"//ord_92331//Sakshi Tandon//Colaba//Onion+1*Nithin Lal/6/10/2023//Credit Card//Delivered*Customer Service: Seamless and easy")</f>
        <v>//ord_92331//Sakshi Tandon//Colaba//Onion+1*Nithin Lal/6/10/2023//Credit Card//Delivered*Customer Service: Seamless and easy</v>
      </c>
      <c r="B2367" s="14" t="str">
        <f>IFERROR(__xludf.DUMMYFUNCTION("split(A2367,""//"")"),"ord_92331")</f>
        <v>ord_92331</v>
      </c>
      <c r="C2367" s="14" t="str">
        <f>IFERROR(__xludf.DUMMYFUNCTION("""COMPUTED_VALUE"""),"Sakshi Tandon")</f>
        <v>Sakshi Tandon</v>
      </c>
      <c r="D2367" s="14" t="str">
        <f>IFERROR(__xludf.DUMMYFUNCTION("""COMPUTED_VALUE"""),"Colaba")</f>
        <v>Colaba</v>
      </c>
      <c r="E2367" s="14" t="str">
        <f>IFERROR(__xludf.DUMMYFUNCTION("""COMPUTED_VALUE"""),"Onion+1*Nithin Lal")</f>
        <v>Onion+1*Nithin Lal</v>
      </c>
      <c r="F2367" s="14">
        <f>IFERROR(__xludf.DUMMYFUNCTION("""COMPUTED_VALUE"""),6.0)</f>
        <v>6</v>
      </c>
      <c r="G2367" s="14">
        <f>IFERROR(__xludf.DUMMYFUNCTION("""COMPUTED_VALUE"""),10.0)</f>
        <v>10</v>
      </c>
      <c r="H2367" s="14">
        <f>IFERROR(__xludf.DUMMYFUNCTION("""COMPUTED_VALUE"""),2023.0)</f>
        <v>2023</v>
      </c>
      <c r="I2367" s="14" t="str">
        <f>IFERROR(__xludf.DUMMYFUNCTION("""COMPUTED_VALUE"""),"Credit Card")</f>
        <v>Credit Card</v>
      </c>
      <c r="J2367" s="14" t="str">
        <f>IFERROR(__xludf.DUMMYFUNCTION("""COMPUTED_VALUE"""),"Delivered*Customer Service: Seamless and easy")</f>
        <v>Delivered*Customer Service: Seamless and easy</v>
      </c>
      <c r="K2367" s="14" t="str">
        <f>IFERROR(__xludf.DUMMYFUNCTION("split(E2367,""+"")"),"Onion")</f>
        <v>Onion</v>
      </c>
      <c r="L2367" s="14" t="str">
        <f>IFERROR(__xludf.DUMMYFUNCTION("""COMPUTED_VALUE"""),"1*Nithin Lal")</f>
        <v>1*Nithin Lal</v>
      </c>
      <c r="M2367" s="14">
        <f>IFERROR(__xludf.DUMMYFUNCTION("SPLIT(L2367,""*"")"),1.0)</f>
        <v>1</v>
      </c>
      <c r="N2367" s="14" t="str">
        <f>IFERROR(__xludf.DUMMYFUNCTION("""COMPUTED_VALUE"""),"Nithin Lal")</f>
        <v>Nithin Lal</v>
      </c>
      <c r="O2367" s="14" t="str">
        <f>IFERROR(__xludf.DUMMYFUNCTION("split(J2367,""*"")"),"Delivered")</f>
        <v>Delivered</v>
      </c>
      <c r="P2367" s="14" t="str">
        <f>IFERROR(__xludf.DUMMYFUNCTION("""COMPUTED_VALUE"""),"Customer Service: Seamless and easy")</f>
        <v>Customer Service: Seamless and easy</v>
      </c>
      <c r="Q2367" s="14" t="str">
        <f>IFERROR(__xludf.DUMMYFUNCTION("split(P2367,"":"")"),"Customer Service")</f>
        <v>Customer Service</v>
      </c>
      <c r="R2367" s="14" t="str">
        <f>IFERROR(__xludf.DUMMYFUNCTION("""COMPUTED_VALUE""")," Seamless and easy")</f>
        <v> Seamless and easy</v>
      </c>
      <c r="S2367" s="14" t="str">
        <f t="shared" ref="S2367:U2367" si="4737">trim(B2367)</f>
        <v>ord_92331</v>
      </c>
      <c r="T2367" s="14" t="str">
        <f t="shared" si="4737"/>
        <v>Sakshi Tandon</v>
      </c>
      <c r="U2367" s="14" t="str">
        <f t="shared" si="4737"/>
        <v>Colaba</v>
      </c>
      <c r="V2367" s="14" t="str">
        <f t="shared" si="4"/>
        <v>Onion</v>
      </c>
      <c r="W2367" s="14">
        <f t="shared" si="5"/>
        <v>1</v>
      </c>
      <c r="X2367" s="14" t="str">
        <f t="shared" si="6"/>
        <v>Nithin Lal</v>
      </c>
      <c r="Y2367" s="15">
        <f t="shared" si="7"/>
        <v>45087</v>
      </c>
      <c r="Z2367" s="14" t="str">
        <f t="shared" si="8"/>
        <v>Credit Card</v>
      </c>
      <c r="AA2367" s="14" t="str">
        <f t="shared" si="9"/>
        <v>Delivered</v>
      </c>
      <c r="AB2367" s="14" t="str">
        <f t="shared" ref="AB2367:AC2367" si="4738">trim(Q2367)</f>
        <v>Customer Service</v>
      </c>
      <c r="AC2367" s="14" t="str">
        <f t="shared" si="4738"/>
        <v>Seamless and easy</v>
      </c>
      <c r="AD2367" s="8"/>
    </row>
    <row r="2368">
      <c r="A2368" s="14" t="str">
        <f>IFERROR(__xludf.DUMMYFUNCTION("""COMPUTED_VALUE"""),"//ord_92332//Omkar Mishra//Powai//Rasmalai+3*Nithin Lal/11/20/2023//Online Payment//Delivered*Delivery Experience: Quick and professional")</f>
        <v>//ord_92332//Omkar Mishra//Powai//Rasmalai+3*Nithin Lal/11/20/2023//Online Payment//Delivered*Delivery Experience: Quick and professional</v>
      </c>
      <c r="B2368" s="14" t="str">
        <f>IFERROR(__xludf.DUMMYFUNCTION("split(A2368,""//"")"),"ord_92332")</f>
        <v>ord_92332</v>
      </c>
      <c r="C2368" s="14" t="str">
        <f>IFERROR(__xludf.DUMMYFUNCTION("""COMPUTED_VALUE"""),"Omkar Mishra")</f>
        <v>Omkar Mishra</v>
      </c>
      <c r="D2368" s="14" t="str">
        <f>IFERROR(__xludf.DUMMYFUNCTION("""COMPUTED_VALUE"""),"Powai")</f>
        <v>Powai</v>
      </c>
      <c r="E2368" s="14" t="str">
        <f>IFERROR(__xludf.DUMMYFUNCTION("""COMPUTED_VALUE"""),"Rasmalai+3*Nithin Lal")</f>
        <v>Rasmalai+3*Nithin Lal</v>
      </c>
      <c r="F2368" s="14">
        <f>IFERROR(__xludf.DUMMYFUNCTION("""COMPUTED_VALUE"""),11.0)</f>
        <v>11</v>
      </c>
      <c r="G2368" s="14">
        <f>IFERROR(__xludf.DUMMYFUNCTION("""COMPUTED_VALUE"""),20.0)</f>
        <v>20</v>
      </c>
      <c r="H2368" s="14">
        <f>IFERROR(__xludf.DUMMYFUNCTION("""COMPUTED_VALUE"""),2023.0)</f>
        <v>2023</v>
      </c>
      <c r="I2368" s="14" t="str">
        <f>IFERROR(__xludf.DUMMYFUNCTION("""COMPUTED_VALUE"""),"Online Payment")</f>
        <v>Online Payment</v>
      </c>
      <c r="J2368" s="14" t="str">
        <f>IFERROR(__xludf.DUMMYFUNCTION("""COMPUTED_VALUE"""),"Delivered*Delivery Experience: Quick and professional")</f>
        <v>Delivered*Delivery Experience: Quick and professional</v>
      </c>
      <c r="K2368" s="14" t="str">
        <f>IFERROR(__xludf.DUMMYFUNCTION("split(E2368,""+"")"),"Rasmalai")</f>
        <v>Rasmalai</v>
      </c>
      <c r="L2368" s="14" t="str">
        <f>IFERROR(__xludf.DUMMYFUNCTION("""COMPUTED_VALUE"""),"3*Nithin Lal")</f>
        <v>3*Nithin Lal</v>
      </c>
      <c r="M2368" s="14">
        <f>IFERROR(__xludf.DUMMYFUNCTION("SPLIT(L2368,""*"")"),3.0)</f>
        <v>3</v>
      </c>
      <c r="N2368" s="14" t="str">
        <f>IFERROR(__xludf.DUMMYFUNCTION("""COMPUTED_VALUE"""),"Nithin Lal")</f>
        <v>Nithin Lal</v>
      </c>
      <c r="O2368" s="14" t="str">
        <f>IFERROR(__xludf.DUMMYFUNCTION("split(J2368,""*"")"),"Delivered")</f>
        <v>Delivered</v>
      </c>
      <c r="P2368" s="14" t="str">
        <f>IFERROR(__xludf.DUMMYFUNCTION("""COMPUTED_VALUE"""),"Delivery Experience: Quick and professional")</f>
        <v>Delivery Experience: Quick and professional</v>
      </c>
      <c r="Q2368" s="14" t="str">
        <f>IFERROR(__xludf.DUMMYFUNCTION("split(P2368,"":"")"),"Delivery Experience")</f>
        <v>Delivery Experience</v>
      </c>
      <c r="R2368" s="14" t="str">
        <f>IFERROR(__xludf.DUMMYFUNCTION("""COMPUTED_VALUE""")," Quick and professional")</f>
        <v> Quick and professional</v>
      </c>
      <c r="S2368" s="14" t="str">
        <f t="shared" ref="S2368:U2368" si="4739">trim(B2368)</f>
        <v>ord_92332</v>
      </c>
      <c r="T2368" s="14" t="str">
        <f t="shared" si="4739"/>
        <v>Omkar Mishra</v>
      </c>
      <c r="U2368" s="14" t="str">
        <f t="shared" si="4739"/>
        <v>Powai</v>
      </c>
      <c r="V2368" s="14" t="str">
        <f t="shared" si="4"/>
        <v>Rasmalai</v>
      </c>
      <c r="W2368" s="14">
        <f t="shared" si="5"/>
        <v>3</v>
      </c>
      <c r="X2368" s="14" t="str">
        <f t="shared" si="6"/>
        <v>Nithin Lal</v>
      </c>
      <c r="Y2368" s="15">
        <f t="shared" si="7"/>
        <v>45250</v>
      </c>
      <c r="Z2368" s="14" t="str">
        <f t="shared" si="8"/>
        <v>Online Payment</v>
      </c>
      <c r="AA2368" s="14" t="str">
        <f t="shared" si="9"/>
        <v>Delivered</v>
      </c>
      <c r="AB2368" s="14" t="str">
        <f t="shared" ref="AB2368:AC2368" si="4740">trim(Q2368)</f>
        <v>Delivery Experience</v>
      </c>
      <c r="AC2368" s="14" t="str">
        <f t="shared" si="4740"/>
        <v>Quick and professional</v>
      </c>
      <c r="AD2368" s="8"/>
    </row>
    <row r="2369">
      <c r="A2369" s="14" t="str">
        <f>IFERROR(__xludf.DUMMYFUNCTION("""COMPUTED_VALUE"""),"//ord_92333//Aditya Basu//Juhu//Cucumber+3*Venu R/11/11/2023//UPI//Delivered*Convenience: Easy tracking")</f>
        <v>//ord_92333//Aditya Basu//Juhu//Cucumber+3*Venu R/11/11/2023//UPI//Delivered*Convenience: Easy tracking</v>
      </c>
      <c r="B2369" s="14" t="str">
        <f>IFERROR(__xludf.DUMMYFUNCTION("split(A2369,""//"")"),"ord_92333")</f>
        <v>ord_92333</v>
      </c>
      <c r="C2369" s="14" t="str">
        <f>IFERROR(__xludf.DUMMYFUNCTION("""COMPUTED_VALUE"""),"Aditya Basu")</f>
        <v>Aditya Basu</v>
      </c>
      <c r="D2369" s="14" t="str">
        <f>IFERROR(__xludf.DUMMYFUNCTION("""COMPUTED_VALUE"""),"Juhu")</f>
        <v>Juhu</v>
      </c>
      <c r="E2369" s="14" t="str">
        <f>IFERROR(__xludf.DUMMYFUNCTION("""COMPUTED_VALUE"""),"Cucumber+3*Venu R")</f>
        <v>Cucumber+3*Venu R</v>
      </c>
      <c r="F2369" s="14">
        <f>IFERROR(__xludf.DUMMYFUNCTION("""COMPUTED_VALUE"""),11.0)</f>
        <v>11</v>
      </c>
      <c r="G2369" s="14">
        <f>IFERROR(__xludf.DUMMYFUNCTION("""COMPUTED_VALUE"""),11.0)</f>
        <v>11</v>
      </c>
      <c r="H2369" s="14">
        <f>IFERROR(__xludf.DUMMYFUNCTION("""COMPUTED_VALUE"""),2023.0)</f>
        <v>2023</v>
      </c>
      <c r="I2369" s="14" t="str">
        <f>IFERROR(__xludf.DUMMYFUNCTION("""COMPUTED_VALUE"""),"UPI")</f>
        <v>UPI</v>
      </c>
      <c r="J2369" s="14" t="str">
        <f>IFERROR(__xludf.DUMMYFUNCTION("""COMPUTED_VALUE"""),"Delivered*Convenience: Easy tracking")</f>
        <v>Delivered*Convenience: Easy tracking</v>
      </c>
      <c r="K2369" s="14" t="str">
        <f>IFERROR(__xludf.DUMMYFUNCTION("split(E2369,""+"")"),"Cucumber")</f>
        <v>Cucumber</v>
      </c>
      <c r="L2369" s="14" t="str">
        <f>IFERROR(__xludf.DUMMYFUNCTION("""COMPUTED_VALUE"""),"3*Venu R")</f>
        <v>3*Venu R</v>
      </c>
      <c r="M2369" s="14">
        <f>IFERROR(__xludf.DUMMYFUNCTION("SPLIT(L2369,""*"")"),3.0)</f>
        <v>3</v>
      </c>
      <c r="N2369" s="14" t="str">
        <f>IFERROR(__xludf.DUMMYFUNCTION("""COMPUTED_VALUE"""),"Venu R")</f>
        <v>Venu R</v>
      </c>
      <c r="O2369" s="14" t="str">
        <f>IFERROR(__xludf.DUMMYFUNCTION("split(J2369,""*"")"),"Delivered")</f>
        <v>Delivered</v>
      </c>
      <c r="P2369" s="14" t="str">
        <f>IFERROR(__xludf.DUMMYFUNCTION("""COMPUTED_VALUE"""),"Convenience: Easy tracking")</f>
        <v>Convenience: Easy tracking</v>
      </c>
      <c r="Q2369" s="14" t="str">
        <f>IFERROR(__xludf.DUMMYFUNCTION("split(P2369,"":"")"),"Convenience")</f>
        <v>Convenience</v>
      </c>
      <c r="R2369" s="14" t="str">
        <f>IFERROR(__xludf.DUMMYFUNCTION("""COMPUTED_VALUE""")," Easy tracking")</f>
        <v> Easy tracking</v>
      </c>
      <c r="S2369" s="14" t="str">
        <f t="shared" ref="S2369:U2369" si="4741">trim(B2369)</f>
        <v>ord_92333</v>
      </c>
      <c r="T2369" s="14" t="str">
        <f t="shared" si="4741"/>
        <v>Aditya Basu</v>
      </c>
      <c r="U2369" s="14" t="str">
        <f t="shared" si="4741"/>
        <v>Juhu</v>
      </c>
      <c r="V2369" s="14" t="str">
        <f t="shared" si="4"/>
        <v>Cucumber</v>
      </c>
      <c r="W2369" s="14">
        <f t="shared" si="5"/>
        <v>3</v>
      </c>
      <c r="X2369" s="14" t="str">
        <f t="shared" si="6"/>
        <v>Venu R</v>
      </c>
      <c r="Y2369" s="15">
        <f t="shared" si="7"/>
        <v>45241</v>
      </c>
      <c r="Z2369" s="14" t="str">
        <f t="shared" si="8"/>
        <v>UPI</v>
      </c>
      <c r="AA2369" s="14" t="str">
        <f t="shared" si="9"/>
        <v>Delivered</v>
      </c>
      <c r="AB2369" s="14" t="str">
        <f t="shared" ref="AB2369:AC2369" si="4742">trim(Q2369)</f>
        <v>Convenience</v>
      </c>
      <c r="AC2369" s="14" t="str">
        <f t="shared" si="4742"/>
        <v>Easy tracking</v>
      </c>
      <c r="AD2369" s="8"/>
    </row>
    <row r="2370">
      <c r="A2370" s="14" t="str">
        <f>IFERROR(__xludf.DUMMYFUNCTION("""COMPUTED_VALUE"""),"//ord_92334//Kritika Shetty//Malad//Tomato+2*Ramesh S/6/21/2023//Credit Card//Delivered*Overall Satisfaction: Great service will order again")</f>
        <v>//ord_92334//Kritika Shetty//Malad//Tomato+2*Ramesh S/6/21/2023//Credit Card//Delivered*Overall Satisfaction: Great service will order again</v>
      </c>
      <c r="B2370" s="14" t="str">
        <f>IFERROR(__xludf.DUMMYFUNCTION("split(A2370,""//"")"),"ord_92334")</f>
        <v>ord_92334</v>
      </c>
      <c r="C2370" s="14" t="str">
        <f>IFERROR(__xludf.DUMMYFUNCTION("""COMPUTED_VALUE"""),"Kritika Shetty")</f>
        <v>Kritika Shetty</v>
      </c>
      <c r="D2370" s="14" t="str">
        <f>IFERROR(__xludf.DUMMYFUNCTION("""COMPUTED_VALUE"""),"Malad")</f>
        <v>Malad</v>
      </c>
      <c r="E2370" s="14" t="str">
        <f>IFERROR(__xludf.DUMMYFUNCTION("""COMPUTED_VALUE"""),"Tomato+2*Ramesh S")</f>
        <v>Tomato+2*Ramesh S</v>
      </c>
      <c r="F2370" s="14">
        <f>IFERROR(__xludf.DUMMYFUNCTION("""COMPUTED_VALUE"""),6.0)</f>
        <v>6</v>
      </c>
      <c r="G2370" s="14">
        <f>IFERROR(__xludf.DUMMYFUNCTION("""COMPUTED_VALUE"""),21.0)</f>
        <v>21</v>
      </c>
      <c r="H2370" s="14">
        <f>IFERROR(__xludf.DUMMYFUNCTION("""COMPUTED_VALUE"""),2023.0)</f>
        <v>2023</v>
      </c>
      <c r="I2370" s="14" t="str">
        <f>IFERROR(__xludf.DUMMYFUNCTION("""COMPUTED_VALUE"""),"Credit Card")</f>
        <v>Credit Card</v>
      </c>
      <c r="J2370" s="14" t="str">
        <f>IFERROR(__xludf.DUMMYFUNCTION("""COMPUTED_VALUE"""),"Delivered*Overall Satisfaction: Great service will order again")</f>
        <v>Delivered*Overall Satisfaction: Great service will order again</v>
      </c>
      <c r="K2370" s="14" t="str">
        <f>IFERROR(__xludf.DUMMYFUNCTION("split(E2370,""+"")"),"Tomato")</f>
        <v>Tomato</v>
      </c>
      <c r="L2370" s="14" t="str">
        <f>IFERROR(__xludf.DUMMYFUNCTION("""COMPUTED_VALUE"""),"2*Ramesh S")</f>
        <v>2*Ramesh S</v>
      </c>
      <c r="M2370" s="14">
        <f>IFERROR(__xludf.DUMMYFUNCTION("SPLIT(L2370,""*"")"),2.0)</f>
        <v>2</v>
      </c>
      <c r="N2370" s="14" t="str">
        <f>IFERROR(__xludf.DUMMYFUNCTION("""COMPUTED_VALUE"""),"Ramesh S")</f>
        <v>Ramesh S</v>
      </c>
      <c r="O2370" s="14" t="str">
        <f>IFERROR(__xludf.DUMMYFUNCTION("split(J2370,""*"")"),"Delivered")</f>
        <v>Delivered</v>
      </c>
      <c r="P2370" s="14" t="str">
        <f>IFERROR(__xludf.DUMMYFUNCTION("""COMPUTED_VALUE"""),"Overall Satisfaction: Great service will order again")</f>
        <v>Overall Satisfaction: Great service will order again</v>
      </c>
      <c r="Q2370" s="14" t="str">
        <f>IFERROR(__xludf.DUMMYFUNCTION("split(P2370,"":"")"),"Overall Satisfaction")</f>
        <v>Overall Satisfaction</v>
      </c>
      <c r="R2370" s="14" t="str">
        <f>IFERROR(__xludf.DUMMYFUNCTION("""COMPUTED_VALUE""")," Great service will order again")</f>
        <v> Great service will order again</v>
      </c>
      <c r="S2370" s="14" t="str">
        <f t="shared" ref="S2370:U2370" si="4743">trim(B2370)</f>
        <v>ord_92334</v>
      </c>
      <c r="T2370" s="14" t="str">
        <f t="shared" si="4743"/>
        <v>Kritika Shetty</v>
      </c>
      <c r="U2370" s="14" t="str">
        <f t="shared" si="4743"/>
        <v>Malad</v>
      </c>
      <c r="V2370" s="14" t="str">
        <f t="shared" si="4"/>
        <v>Tomato</v>
      </c>
      <c r="W2370" s="14">
        <f t="shared" si="5"/>
        <v>2</v>
      </c>
      <c r="X2370" s="14" t="str">
        <f t="shared" si="6"/>
        <v>Ramesh S</v>
      </c>
      <c r="Y2370" s="15">
        <f t="shared" si="7"/>
        <v>45098</v>
      </c>
      <c r="Z2370" s="14" t="str">
        <f t="shared" si="8"/>
        <v>Credit Card</v>
      </c>
      <c r="AA2370" s="14" t="str">
        <f t="shared" si="9"/>
        <v>Delivered</v>
      </c>
      <c r="AB2370" s="14" t="str">
        <f t="shared" ref="AB2370:AC2370" si="4744">trim(Q2370)</f>
        <v>Overall Satisfaction</v>
      </c>
      <c r="AC2370" s="14" t="str">
        <f t="shared" si="4744"/>
        <v>Great service will order again</v>
      </c>
      <c r="AD2370" s="8"/>
    </row>
    <row r="2371">
      <c r="A2371" s="14" t="str">
        <f>IFERROR(__xludf.DUMMYFUNCTION("""COMPUTED_VALUE"""),"//ord_92335//Sakshi Tandon//Colaba//Orange+2*Shine Thomas/9/10/2023//UPI//Delivered*On-time Delivery: Delivered on time")</f>
        <v>//ord_92335//Sakshi Tandon//Colaba//Orange+2*Shine Thomas/9/10/2023//UPI//Delivered*On-time Delivery: Delivered on time</v>
      </c>
      <c r="B2371" s="14" t="str">
        <f>IFERROR(__xludf.DUMMYFUNCTION("split(A2371,""//"")"),"ord_92335")</f>
        <v>ord_92335</v>
      </c>
      <c r="C2371" s="14" t="str">
        <f>IFERROR(__xludf.DUMMYFUNCTION("""COMPUTED_VALUE"""),"Sakshi Tandon")</f>
        <v>Sakshi Tandon</v>
      </c>
      <c r="D2371" s="14" t="str">
        <f>IFERROR(__xludf.DUMMYFUNCTION("""COMPUTED_VALUE"""),"Colaba")</f>
        <v>Colaba</v>
      </c>
      <c r="E2371" s="14" t="str">
        <f>IFERROR(__xludf.DUMMYFUNCTION("""COMPUTED_VALUE"""),"Orange+2*Shine Thomas")</f>
        <v>Orange+2*Shine Thomas</v>
      </c>
      <c r="F2371" s="14">
        <f>IFERROR(__xludf.DUMMYFUNCTION("""COMPUTED_VALUE"""),9.0)</f>
        <v>9</v>
      </c>
      <c r="G2371" s="14">
        <f>IFERROR(__xludf.DUMMYFUNCTION("""COMPUTED_VALUE"""),10.0)</f>
        <v>10</v>
      </c>
      <c r="H2371" s="14">
        <f>IFERROR(__xludf.DUMMYFUNCTION("""COMPUTED_VALUE"""),2023.0)</f>
        <v>2023</v>
      </c>
      <c r="I2371" s="14" t="str">
        <f>IFERROR(__xludf.DUMMYFUNCTION("""COMPUTED_VALUE"""),"UPI")</f>
        <v>UPI</v>
      </c>
      <c r="J2371" s="14" t="str">
        <f>IFERROR(__xludf.DUMMYFUNCTION("""COMPUTED_VALUE"""),"Delivered*On-time Delivery: Delivered on time")</f>
        <v>Delivered*On-time Delivery: Delivered on time</v>
      </c>
      <c r="K2371" s="14" t="str">
        <f>IFERROR(__xludf.DUMMYFUNCTION("split(E2371,""+"")"),"Orange")</f>
        <v>Orange</v>
      </c>
      <c r="L2371" s="14" t="str">
        <f>IFERROR(__xludf.DUMMYFUNCTION("""COMPUTED_VALUE"""),"2*Shine Thomas")</f>
        <v>2*Shine Thomas</v>
      </c>
      <c r="M2371" s="14">
        <f>IFERROR(__xludf.DUMMYFUNCTION("SPLIT(L2371,""*"")"),2.0)</f>
        <v>2</v>
      </c>
      <c r="N2371" s="14" t="str">
        <f>IFERROR(__xludf.DUMMYFUNCTION("""COMPUTED_VALUE"""),"Shine Thomas")</f>
        <v>Shine Thomas</v>
      </c>
      <c r="O2371" s="14" t="str">
        <f>IFERROR(__xludf.DUMMYFUNCTION("split(J2371,""*"")"),"Delivered")</f>
        <v>Delivered</v>
      </c>
      <c r="P2371" s="14" t="str">
        <f>IFERROR(__xludf.DUMMYFUNCTION("""COMPUTED_VALUE"""),"On-time Delivery: Delivered on time")</f>
        <v>On-time Delivery: Delivered on time</v>
      </c>
      <c r="Q2371" s="14" t="str">
        <f>IFERROR(__xludf.DUMMYFUNCTION("split(P2371,"":"")"),"On-time Delivery")</f>
        <v>On-time Delivery</v>
      </c>
      <c r="R2371" s="14" t="str">
        <f>IFERROR(__xludf.DUMMYFUNCTION("""COMPUTED_VALUE""")," Delivered on time")</f>
        <v> Delivered on time</v>
      </c>
      <c r="S2371" s="14" t="str">
        <f t="shared" ref="S2371:U2371" si="4745">trim(B2371)</f>
        <v>ord_92335</v>
      </c>
      <c r="T2371" s="14" t="str">
        <f t="shared" si="4745"/>
        <v>Sakshi Tandon</v>
      </c>
      <c r="U2371" s="14" t="str">
        <f t="shared" si="4745"/>
        <v>Colaba</v>
      </c>
      <c r="V2371" s="14" t="str">
        <f t="shared" si="4"/>
        <v>Orange</v>
      </c>
      <c r="W2371" s="14">
        <f t="shared" si="5"/>
        <v>2</v>
      </c>
      <c r="X2371" s="14" t="str">
        <f t="shared" si="6"/>
        <v>Shine Thomas</v>
      </c>
      <c r="Y2371" s="15">
        <f t="shared" si="7"/>
        <v>45179</v>
      </c>
      <c r="Z2371" s="14" t="str">
        <f t="shared" si="8"/>
        <v>UPI</v>
      </c>
      <c r="AA2371" s="14" t="str">
        <f t="shared" si="9"/>
        <v>Delivered</v>
      </c>
      <c r="AB2371" s="14" t="str">
        <f t="shared" ref="AB2371:AC2371" si="4746">trim(Q2371)</f>
        <v>On-time Delivery</v>
      </c>
      <c r="AC2371" s="14" t="str">
        <f t="shared" si="4746"/>
        <v>Delivered on time</v>
      </c>
      <c r="AD2371" s="8"/>
    </row>
    <row r="2372">
      <c r="A2372" s="14" t="str">
        <f>IFERROR(__xludf.DUMMYFUNCTION("""COMPUTED_VALUE"""),"//ord_92336//Aarohi Kapoor//Bandra//Banana+1*Nithin Lal/10/25/2023//Online Payment//Delivered*On-time Delivery: Delivered on time")</f>
        <v>//ord_92336//Aarohi Kapoor//Bandra//Banana+1*Nithin Lal/10/25/2023//Online Payment//Delivered*On-time Delivery: Delivered on time</v>
      </c>
      <c r="B2372" s="14" t="str">
        <f>IFERROR(__xludf.DUMMYFUNCTION("split(A2372,""//"")"),"ord_92336")</f>
        <v>ord_92336</v>
      </c>
      <c r="C2372" s="14" t="str">
        <f>IFERROR(__xludf.DUMMYFUNCTION("""COMPUTED_VALUE"""),"Aarohi Kapoor")</f>
        <v>Aarohi Kapoor</v>
      </c>
      <c r="D2372" s="14" t="str">
        <f>IFERROR(__xludf.DUMMYFUNCTION("""COMPUTED_VALUE"""),"Bandra")</f>
        <v>Bandra</v>
      </c>
      <c r="E2372" s="14" t="str">
        <f>IFERROR(__xludf.DUMMYFUNCTION("""COMPUTED_VALUE"""),"Banana+1*Nithin Lal")</f>
        <v>Banana+1*Nithin Lal</v>
      </c>
      <c r="F2372" s="14">
        <f>IFERROR(__xludf.DUMMYFUNCTION("""COMPUTED_VALUE"""),10.0)</f>
        <v>10</v>
      </c>
      <c r="G2372" s="14">
        <f>IFERROR(__xludf.DUMMYFUNCTION("""COMPUTED_VALUE"""),25.0)</f>
        <v>25</v>
      </c>
      <c r="H2372" s="14">
        <f>IFERROR(__xludf.DUMMYFUNCTION("""COMPUTED_VALUE"""),2023.0)</f>
        <v>2023</v>
      </c>
      <c r="I2372" s="14" t="str">
        <f>IFERROR(__xludf.DUMMYFUNCTION("""COMPUTED_VALUE"""),"Online Payment")</f>
        <v>Online Payment</v>
      </c>
      <c r="J2372" s="14" t="str">
        <f>IFERROR(__xludf.DUMMYFUNCTION("""COMPUTED_VALUE"""),"Delivered*On-time Delivery: Delivered on time")</f>
        <v>Delivered*On-time Delivery: Delivered on time</v>
      </c>
      <c r="K2372" s="14" t="str">
        <f>IFERROR(__xludf.DUMMYFUNCTION("split(E2372,""+"")"),"Banana")</f>
        <v>Banana</v>
      </c>
      <c r="L2372" s="14" t="str">
        <f>IFERROR(__xludf.DUMMYFUNCTION("""COMPUTED_VALUE"""),"1*Nithin Lal")</f>
        <v>1*Nithin Lal</v>
      </c>
      <c r="M2372" s="14">
        <f>IFERROR(__xludf.DUMMYFUNCTION("SPLIT(L2372,""*"")"),1.0)</f>
        <v>1</v>
      </c>
      <c r="N2372" s="14" t="str">
        <f>IFERROR(__xludf.DUMMYFUNCTION("""COMPUTED_VALUE"""),"Nithin Lal")</f>
        <v>Nithin Lal</v>
      </c>
      <c r="O2372" s="14" t="str">
        <f>IFERROR(__xludf.DUMMYFUNCTION("split(J2372,""*"")"),"Delivered")</f>
        <v>Delivered</v>
      </c>
      <c r="P2372" s="14" t="str">
        <f>IFERROR(__xludf.DUMMYFUNCTION("""COMPUTED_VALUE"""),"On-time Delivery: Delivered on time")</f>
        <v>On-time Delivery: Delivered on time</v>
      </c>
      <c r="Q2372" s="14" t="str">
        <f>IFERROR(__xludf.DUMMYFUNCTION("split(P2372,"":"")"),"On-time Delivery")</f>
        <v>On-time Delivery</v>
      </c>
      <c r="R2372" s="14" t="str">
        <f>IFERROR(__xludf.DUMMYFUNCTION("""COMPUTED_VALUE""")," Delivered on time")</f>
        <v> Delivered on time</v>
      </c>
      <c r="S2372" s="14" t="str">
        <f t="shared" ref="S2372:U2372" si="4747">trim(B2372)</f>
        <v>ord_92336</v>
      </c>
      <c r="T2372" s="14" t="str">
        <f t="shared" si="4747"/>
        <v>Aarohi Kapoor</v>
      </c>
      <c r="U2372" s="14" t="str">
        <f t="shared" si="4747"/>
        <v>Bandra</v>
      </c>
      <c r="V2372" s="14" t="str">
        <f t="shared" si="4"/>
        <v>Banana</v>
      </c>
      <c r="W2372" s="14">
        <f t="shared" si="5"/>
        <v>1</v>
      </c>
      <c r="X2372" s="14" t="str">
        <f t="shared" si="6"/>
        <v>Nithin Lal</v>
      </c>
      <c r="Y2372" s="15">
        <f t="shared" si="7"/>
        <v>45224</v>
      </c>
      <c r="Z2372" s="14" t="str">
        <f t="shared" si="8"/>
        <v>Online Payment</v>
      </c>
      <c r="AA2372" s="14" t="str">
        <f t="shared" si="9"/>
        <v>Delivered</v>
      </c>
      <c r="AB2372" s="14" t="str">
        <f t="shared" ref="AB2372:AC2372" si="4748">trim(Q2372)</f>
        <v>On-time Delivery</v>
      </c>
      <c r="AC2372" s="14" t="str">
        <f t="shared" si="4748"/>
        <v>Delivered on time</v>
      </c>
      <c r="AD2372" s="8"/>
    </row>
    <row r="2373">
      <c r="A2373" s="14" t="str">
        <f>IFERROR(__xludf.DUMMYFUNCTION("""COMPUTED_VALUE"""),"//ord_92337//Sanjay Nair//Dadar//Sweet Corn+1*Vivek Kumar/7/6/2023//Credit Card//Delivered*Quality of Items: Perfect condition")</f>
        <v>//ord_92337//Sanjay Nair//Dadar//Sweet Corn+1*Vivek Kumar/7/6/2023//Credit Card//Delivered*Quality of Items: Perfect condition</v>
      </c>
      <c r="B2373" s="14" t="str">
        <f>IFERROR(__xludf.DUMMYFUNCTION("split(A2373,""//"")"),"ord_92337")</f>
        <v>ord_92337</v>
      </c>
      <c r="C2373" s="14" t="str">
        <f>IFERROR(__xludf.DUMMYFUNCTION("""COMPUTED_VALUE"""),"Sanjay Nair")</f>
        <v>Sanjay Nair</v>
      </c>
      <c r="D2373" s="14" t="str">
        <f>IFERROR(__xludf.DUMMYFUNCTION("""COMPUTED_VALUE"""),"Dadar")</f>
        <v>Dadar</v>
      </c>
      <c r="E2373" s="14" t="str">
        <f>IFERROR(__xludf.DUMMYFUNCTION("""COMPUTED_VALUE"""),"Sweet Corn+1*Vivek Kumar")</f>
        <v>Sweet Corn+1*Vivek Kumar</v>
      </c>
      <c r="F2373" s="14">
        <f>IFERROR(__xludf.DUMMYFUNCTION("""COMPUTED_VALUE"""),7.0)</f>
        <v>7</v>
      </c>
      <c r="G2373" s="14">
        <f>IFERROR(__xludf.DUMMYFUNCTION("""COMPUTED_VALUE"""),6.0)</f>
        <v>6</v>
      </c>
      <c r="H2373" s="14">
        <f>IFERROR(__xludf.DUMMYFUNCTION("""COMPUTED_VALUE"""),2023.0)</f>
        <v>2023</v>
      </c>
      <c r="I2373" s="14" t="str">
        <f>IFERROR(__xludf.DUMMYFUNCTION("""COMPUTED_VALUE"""),"Credit Card")</f>
        <v>Credit Card</v>
      </c>
      <c r="J2373" s="14" t="str">
        <f>IFERROR(__xludf.DUMMYFUNCTION("""COMPUTED_VALUE"""),"Delivered*Quality of Items: Perfect condition")</f>
        <v>Delivered*Quality of Items: Perfect condition</v>
      </c>
      <c r="K2373" s="14" t="str">
        <f>IFERROR(__xludf.DUMMYFUNCTION("split(E2373,""+"")"),"Sweet Corn")</f>
        <v>Sweet Corn</v>
      </c>
      <c r="L2373" s="14" t="str">
        <f>IFERROR(__xludf.DUMMYFUNCTION("""COMPUTED_VALUE"""),"1*Vivek Kumar")</f>
        <v>1*Vivek Kumar</v>
      </c>
      <c r="M2373" s="14">
        <f>IFERROR(__xludf.DUMMYFUNCTION("SPLIT(L2373,""*"")"),1.0)</f>
        <v>1</v>
      </c>
      <c r="N2373" s="14" t="str">
        <f>IFERROR(__xludf.DUMMYFUNCTION("""COMPUTED_VALUE"""),"Vivek Kumar")</f>
        <v>Vivek Kumar</v>
      </c>
      <c r="O2373" s="14" t="str">
        <f>IFERROR(__xludf.DUMMYFUNCTION("split(J2373,""*"")"),"Delivered")</f>
        <v>Delivered</v>
      </c>
      <c r="P2373" s="14" t="str">
        <f>IFERROR(__xludf.DUMMYFUNCTION("""COMPUTED_VALUE"""),"Quality of Items: Perfect condition")</f>
        <v>Quality of Items: Perfect condition</v>
      </c>
      <c r="Q2373" s="14" t="str">
        <f>IFERROR(__xludf.DUMMYFUNCTION("split(P2373,"":"")"),"Quality of Items")</f>
        <v>Quality of Items</v>
      </c>
      <c r="R2373" s="14" t="str">
        <f>IFERROR(__xludf.DUMMYFUNCTION("""COMPUTED_VALUE""")," Perfect condition")</f>
        <v> Perfect condition</v>
      </c>
      <c r="S2373" s="14" t="str">
        <f t="shared" ref="S2373:U2373" si="4749">trim(B2373)</f>
        <v>ord_92337</v>
      </c>
      <c r="T2373" s="14" t="str">
        <f t="shared" si="4749"/>
        <v>Sanjay Nair</v>
      </c>
      <c r="U2373" s="14" t="str">
        <f t="shared" si="4749"/>
        <v>Dadar</v>
      </c>
      <c r="V2373" s="14" t="str">
        <f t="shared" si="4"/>
        <v>Sweet Corn</v>
      </c>
      <c r="W2373" s="14">
        <f t="shared" si="5"/>
        <v>1</v>
      </c>
      <c r="X2373" s="14" t="str">
        <f t="shared" si="6"/>
        <v>Vivek Kumar</v>
      </c>
      <c r="Y2373" s="15">
        <f t="shared" si="7"/>
        <v>45113</v>
      </c>
      <c r="Z2373" s="14" t="str">
        <f t="shared" si="8"/>
        <v>Credit Card</v>
      </c>
      <c r="AA2373" s="14" t="str">
        <f t="shared" si="9"/>
        <v>Delivered</v>
      </c>
      <c r="AB2373" s="14" t="str">
        <f t="shared" ref="AB2373:AC2373" si="4750">trim(Q2373)</f>
        <v>Quality of Items</v>
      </c>
      <c r="AC2373" s="14" t="str">
        <f t="shared" si="4750"/>
        <v>Perfect condition</v>
      </c>
      <c r="AD2373" s="8"/>
    </row>
    <row r="2374">
      <c r="A2374" s="14" t="str">
        <f>IFERROR(__xludf.DUMMYFUNCTION("""COMPUTED_VALUE"""),"//ord_92338//Shruti Aggarwal//Colaba//Orange+2*Manju Ajay/11/19/2023//UPI//Delivered*Packaging: Secure and intact")</f>
        <v>//ord_92338//Shruti Aggarwal//Colaba//Orange+2*Manju Ajay/11/19/2023//UPI//Delivered*Packaging: Secure and intact</v>
      </c>
      <c r="B2374" s="14" t="str">
        <f>IFERROR(__xludf.DUMMYFUNCTION("split(A2374,""//"")"),"ord_92338")</f>
        <v>ord_92338</v>
      </c>
      <c r="C2374" s="14" t="str">
        <f>IFERROR(__xludf.DUMMYFUNCTION("""COMPUTED_VALUE"""),"Shruti Aggarwal")</f>
        <v>Shruti Aggarwal</v>
      </c>
      <c r="D2374" s="14" t="str">
        <f>IFERROR(__xludf.DUMMYFUNCTION("""COMPUTED_VALUE"""),"Colaba")</f>
        <v>Colaba</v>
      </c>
      <c r="E2374" s="14" t="str">
        <f>IFERROR(__xludf.DUMMYFUNCTION("""COMPUTED_VALUE"""),"Orange+2*Manju Ajay")</f>
        <v>Orange+2*Manju Ajay</v>
      </c>
      <c r="F2374" s="14">
        <f>IFERROR(__xludf.DUMMYFUNCTION("""COMPUTED_VALUE"""),11.0)</f>
        <v>11</v>
      </c>
      <c r="G2374" s="14">
        <f>IFERROR(__xludf.DUMMYFUNCTION("""COMPUTED_VALUE"""),19.0)</f>
        <v>19</v>
      </c>
      <c r="H2374" s="14">
        <f>IFERROR(__xludf.DUMMYFUNCTION("""COMPUTED_VALUE"""),2023.0)</f>
        <v>2023</v>
      </c>
      <c r="I2374" s="14" t="str">
        <f>IFERROR(__xludf.DUMMYFUNCTION("""COMPUTED_VALUE"""),"UPI")</f>
        <v>UPI</v>
      </c>
      <c r="J2374" s="14" t="str">
        <f>IFERROR(__xludf.DUMMYFUNCTION("""COMPUTED_VALUE"""),"Delivered*Packaging: Secure and intact")</f>
        <v>Delivered*Packaging: Secure and intact</v>
      </c>
      <c r="K2374" s="14" t="str">
        <f>IFERROR(__xludf.DUMMYFUNCTION("split(E2374,""+"")"),"Orange")</f>
        <v>Orange</v>
      </c>
      <c r="L2374" s="14" t="str">
        <f>IFERROR(__xludf.DUMMYFUNCTION("""COMPUTED_VALUE"""),"2*Manju Ajay")</f>
        <v>2*Manju Ajay</v>
      </c>
      <c r="M2374" s="14">
        <f>IFERROR(__xludf.DUMMYFUNCTION("SPLIT(L2374,""*"")"),2.0)</f>
        <v>2</v>
      </c>
      <c r="N2374" s="14" t="str">
        <f>IFERROR(__xludf.DUMMYFUNCTION("""COMPUTED_VALUE"""),"Manju Ajay")</f>
        <v>Manju Ajay</v>
      </c>
      <c r="O2374" s="14" t="str">
        <f>IFERROR(__xludf.DUMMYFUNCTION("split(J2374,""*"")"),"Delivered")</f>
        <v>Delivered</v>
      </c>
      <c r="P2374" s="14" t="str">
        <f>IFERROR(__xludf.DUMMYFUNCTION("""COMPUTED_VALUE"""),"Packaging: Secure and intact")</f>
        <v>Packaging: Secure and intact</v>
      </c>
      <c r="Q2374" s="14" t="str">
        <f>IFERROR(__xludf.DUMMYFUNCTION("split(P2374,"":"")"),"Packaging")</f>
        <v>Packaging</v>
      </c>
      <c r="R2374" s="14" t="str">
        <f>IFERROR(__xludf.DUMMYFUNCTION("""COMPUTED_VALUE""")," Secure and intact")</f>
        <v> Secure and intact</v>
      </c>
      <c r="S2374" s="14" t="str">
        <f t="shared" ref="S2374:U2374" si="4751">trim(B2374)</f>
        <v>ord_92338</v>
      </c>
      <c r="T2374" s="14" t="str">
        <f t="shared" si="4751"/>
        <v>Shruti Aggarwal</v>
      </c>
      <c r="U2374" s="14" t="str">
        <f t="shared" si="4751"/>
        <v>Colaba</v>
      </c>
      <c r="V2374" s="14" t="str">
        <f t="shared" si="4"/>
        <v>Orange</v>
      </c>
      <c r="W2374" s="14">
        <f t="shared" si="5"/>
        <v>2</v>
      </c>
      <c r="X2374" s="14" t="str">
        <f t="shared" si="6"/>
        <v>Manju Ajay</v>
      </c>
      <c r="Y2374" s="15">
        <f t="shared" si="7"/>
        <v>45249</v>
      </c>
      <c r="Z2374" s="14" t="str">
        <f t="shared" si="8"/>
        <v>UPI</v>
      </c>
      <c r="AA2374" s="14" t="str">
        <f t="shared" si="9"/>
        <v>Delivered</v>
      </c>
      <c r="AB2374" s="14" t="str">
        <f t="shared" ref="AB2374:AC2374" si="4752">trim(Q2374)</f>
        <v>Packaging</v>
      </c>
      <c r="AC2374" s="14" t="str">
        <f t="shared" si="4752"/>
        <v>Secure and intact</v>
      </c>
      <c r="AD2374" s="8"/>
    </row>
    <row r="2375">
      <c r="A2375" s="14" t="str">
        <f>IFERROR(__xludf.DUMMYFUNCTION("""COMPUTED_VALUE"""),"//ord_92339//Mehul Thakkar//Dadar//Rasmalai+4*Nithin Lal/10/19/2023//Online Payment//Delivered*Satisfied with the Delivery: Timely and quality")</f>
        <v>//ord_92339//Mehul Thakkar//Dadar//Rasmalai+4*Nithin Lal/10/19/2023//Online Payment//Delivered*Satisfied with the Delivery: Timely and quality</v>
      </c>
      <c r="B2375" s="14" t="str">
        <f>IFERROR(__xludf.DUMMYFUNCTION("split(A2375,""//"")"),"ord_92339")</f>
        <v>ord_92339</v>
      </c>
      <c r="C2375" s="14" t="str">
        <f>IFERROR(__xludf.DUMMYFUNCTION("""COMPUTED_VALUE"""),"Mehul Thakkar")</f>
        <v>Mehul Thakkar</v>
      </c>
      <c r="D2375" s="14" t="str">
        <f>IFERROR(__xludf.DUMMYFUNCTION("""COMPUTED_VALUE"""),"Dadar")</f>
        <v>Dadar</v>
      </c>
      <c r="E2375" s="14" t="str">
        <f>IFERROR(__xludf.DUMMYFUNCTION("""COMPUTED_VALUE"""),"Rasmalai+4*Nithin Lal")</f>
        <v>Rasmalai+4*Nithin Lal</v>
      </c>
      <c r="F2375" s="14">
        <f>IFERROR(__xludf.DUMMYFUNCTION("""COMPUTED_VALUE"""),10.0)</f>
        <v>10</v>
      </c>
      <c r="G2375" s="14">
        <f>IFERROR(__xludf.DUMMYFUNCTION("""COMPUTED_VALUE"""),19.0)</f>
        <v>19</v>
      </c>
      <c r="H2375" s="14">
        <f>IFERROR(__xludf.DUMMYFUNCTION("""COMPUTED_VALUE"""),2023.0)</f>
        <v>2023</v>
      </c>
      <c r="I2375" s="14" t="str">
        <f>IFERROR(__xludf.DUMMYFUNCTION("""COMPUTED_VALUE"""),"Online Payment")</f>
        <v>Online Payment</v>
      </c>
      <c r="J2375" s="14" t="str">
        <f>IFERROR(__xludf.DUMMYFUNCTION("""COMPUTED_VALUE"""),"Delivered*Satisfied with the Delivery: Timely and quality")</f>
        <v>Delivered*Satisfied with the Delivery: Timely and quality</v>
      </c>
      <c r="K2375" s="14" t="str">
        <f>IFERROR(__xludf.DUMMYFUNCTION("split(E2375,""+"")"),"Rasmalai")</f>
        <v>Rasmalai</v>
      </c>
      <c r="L2375" s="14" t="str">
        <f>IFERROR(__xludf.DUMMYFUNCTION("""COMPUTED_VALUE"""),"4*Nithin Lal")</f>
        <v>4*Nithin Lal</v>
      </c>
      <c r="M2375" s="14">
        <f>IFERROR(__xludf.DUMMYFUNCTION("SPLIT(L2375,""*"")"),4.0)</f>
        <v>4</v>
      </c>
      <c r="N2375" s="14" t="str">
        <f>IFERROR(__xludf.DUMMYFUNCTION("""COMPUTED_VALUE"""),"Nithin Lal")</f>
        <v>Nithin Lal</v>
      </c>
      <c r="O2375" s="14" t="str">
        <f>IFERROR(__xludf.DUMMYFUNCTION("split(J2375,""*"")"),"Delivered")</f>
        <v>Delivered</v>
      </c>
      <c r="P2375" s="14" t="str">
        <f>IFERROR(__xludf.DUMMYFUNCTION("""COMPUTED_VALUE"""),"Satisfied with the Delivery: Timely and quality")</f>
        <v>Satisfied with the Delivery: Timely and quality</v>
      </c>
      <c r="Q2375" s="14" t="str">
        <f>IFERROR(__xludf.DUMMYFUNCTION("split(P2375,"":"")"),"Satisfied with the Delivery")</f>
        <v>Satisfied with the Delivery</v>
      </c>
      <c r="R2375" s="14" t="str">
        <f>IFERROR(__xludf.DUMMYFUNCTION("""COMPUTED_VALUE""")," Timely and quality")</f>
        <v> Timely and quality</v>
      </c>
      <c r="S2375" s="14" t="str">
        <f t="shared" ref="S2375:U2375" si="4753">trim(B2375)</f>
        <v>ord_92339</v>
      </c>
      <c r="T2375" s="14" t="str">
        <f t="shared" si="4753"/>
        <v>Mehul Thakkar</v>
      </c>
      <c r="U2375" s="14" t="str">
        <f t="shared" si="4753"/>
        <v>Dadar</v>
      </c>
      <c r="V2375" s="14" t="str">
        <f t="shared" si="4"/>
        <v>Rasmalai</v>
      </c>
      <c r="W2375" s="14">
        <f t="shared" si="5"/>
        <v>4</v>
      </c>
      <c r="X2375" s="14" t="str">
        <f t="shared" si="6"/>
        <v>Nithin Lal</v>
      </c>
      <c r="Y2375" s="15">
        <f t="shared" si="7"/>
        <v>45218</v>
      </c>
      <c r="Z2375" s="14" t="str">
        <f t="shared" si="8"/>
        <v>Online Payment</v>
      </c>
      <c r="AA2375" s="14" t="str">
        <f t="shared" si="9"/>
        <v>Delivered</v>
      </c>
      <c r="AB2375" s="14" t="str">
        <f t="shared" ref="AB2375:AC2375" si="4754">trim(Q2375)</f>
        <v>Satisfied with the Delivery</v>
      </c>
      <c r="AC2375" s="14" t="str">
        <f t="shared" si="4754"/>
        <v>Timely and quality</v>
      </c>
      <c r="AD2375" s="8"/>
    </row>
    <row r="2376">
      <c r="A2376" s="14" t="str">
        <f>IFERROR(__xludf.DUMMYFUNCTION("""COMPUTED_VALUE"""),"//ord_92340//Sana Malik//Powai//Juice+4*Manju Ajay/11/10/2023//UPI//Delivered*Customer Service: Seamless and easy")</f>
        <v>//ord_92340//Sana Malik//Powai//Juice+4*Manju Ajay/11/10/2023//UPI//Delivered*Customer Service: Seamless and easy</v>
      </c>
      <c r="B2376" s="14" t="str">
        <f>IFERROR(__xludf.DUMMYFUNCTION("split(A2376,""//"")"),"ord_92340")</f>
        <v>ord_92340</v>
      </c>
      <c r="C2376" s="14" t="str">
        <f>IFERROR(__xludf.DUMMYFUNCTION("""COMPUTED_VALUE"""),"Sana Malik")</f>
        <v>Sana Malik</v>
      </c>
      <c r="D2376" s="14" t="str">
        <f>IFERROR(__xludf.DUMMYFUNCTION("""COMPUTED_VALUE"""),"Powai")</f>
        <v>Powai</v>
      </c>
      <c r="E2376" s="14" t="str">
        <f>IFERROR(__xludf.DUMMYFUNCTION("""COMPUTED_VALUE"""),"Juice+4*Manju Ajay")</f>
        <v>Juice+4*Manju Ajay</v>
      </c>
      <c r="F2376" s="14">
        <f>IFERROR(__xludf.DUMMYFUNCTION("""COMPUTED_VALUE"""),11.0)</f>
        <v>11</v>
      </c>
      <c r="G2376" s="14">
        <f>IFERROR(__xludf.DUMMYFUNCTION("""COMPUTED_VALUE"""),10.0)</f>
        <v>10</v>
      </c>
      <c r="H2376" s="14">
        <f>IFERROR(__xludf.DUMMYFUNCTION("""COMPUTED_VALUE"""),2023.0)</f>
        <v>2023</v>
      </c>
      <c r="I2376" s="14" t="str">
        <f>IFERROR(__xludf.DUMMYFUNCTION("""COMPUTED_VALUE"""),"UPI")</f>
        <v>UPI</v>
      </c>
      <c r="J2376" s="14" t="str">
        <f>IFERROR(__xludf.DUMMYFUNCTION("""COMPUTED_VALUE"""),"Delivered*Customer Service: Seamless and easy")</f>
        <v>Delivered*Customer Service: Seamless and easy</v>
      </c>
      <c r="K2376" s="14" t="str">
        <f>IFERROR(__xludf.DUMMYFUNCTION("split(E2376,""+"")"),"Juice")</f>
        <v>Juice</v>
      </c>
      <c r="L2376" s="14" t="str">
        <f>IFERROR(__xludf.DUMMYFUNCTION("""COMPUTED_VALUE"""),"4*Manju Ajay")</f>
        <v>4*Manju Ajay</v>
      </c>
      <c r="M2376" s="14">
        <f>IFERROR(__xludf.DUMMYFUNCTION("SPLIT(L2376,""*"")"),4.0)</f>
        <v>4</v>
      </c>
      <c r="N2376" s="14" t="str">
        <f>IFERROR(__xludf.DUMMYFUNCTION("""COMPUTED_VALUE"""),"Manju Ajay")</f>
        <v>Manju Ajay</v>
      </c>
      <c r="O2376" s="14" t="str">
        <f>IFERROR(__xludf.DUMMYFUNCTION("split(J2376,""*"")"),"Delivered")</f>
        <v>Delivered</v>
      </c>
      <c r="P2376" s="14" t="str">
        <f>IFERROR(__xludf.DUMMYFUNCTION("""COMPUTED_VALUE"""),"Customer Service: Seamless and easy")</f>
        <v>Customer Service: Seamless and easy</v>
      </c>
      <c r="Q2376" s="14" t="str">
        <f>IFERROR(__xludf.DUMMYFUNCTION("split(P2376,"":"")"),"Customer Service")</f>
        <v>Customer Service</v>
      </c>
      <c r="R2376" s="14" t="str">
        <f>IFERROR(__xludf.DUMMYFUNCTION("""COMPUTED_VALUE""")," Seamless and easy")</f>
        <v> Seamless and easy</v>
      </c>
      <c r="S2376" s="14" t="str">
        <f t="shared" ref="S2376:U2376" si="4755">trim(B2376)</f>
        <v>ord_92340</v>
      </c>
      <c r="T2376" s="14" t="str">
        <f t="shared" si="4755"/>
        <v>Sana Malik</v>
      </c>
      <c r="U2376" s="14" t="str">
        <f t="shared" si="4755"/>
        <v>Powai</v>
      </c>
      <c r="V2376" s="14" t="str">
        <f t="shared" si="4"/>
        <v>Juice</v>
      </c>
      <c r="W2376" s="14">
        <f t="shared" si="5"/>
        <v>4</v>
      </c>
      <c r="X2376" s="14" t="str">
        <f t="shared" si="6"/>
        <v>Manju Ajay</v>
      </c>
      <c r="Y2376" s="15">
        <f t="shared" si="7"/>
        <v>45240</v>
      </c>
      <c r="Z2376" s="14" t="str">
        <f t="shared" si="8"/>
        <v>UPI</v>
      </c>
      <c r="AA2376" s="14" t="str">
        <f t="shared" si="9"/>
        <v>Delivered</v>
      </c>
      <c r="AB2376" s="14" t="str">
        <f t="shared" ref="AB2376:AC2376" si="4756">trim(Q2376)</f>
        <v>Customer Service</v>
      </c>
      <c r="AC2376" s="14" t="str">
        <f t="shared" si="4756"/>
        <v>Seamless and easy</v>
      </c>
      <c r="AD2376" s="8"/>
    </row>
    <row r="2377">
      <c r="A2377" s="14" t="str">
        <f>IFERROR(__xludf.DUMMYFUNCTION("""COMPUTED_VALUE"""),"//ord_92341//Yash Verma//Lower Parel//Onion+3*Venu R/9/20/2023//Credit Card//Delivered*Delivery Experience: Quick and professional")</f>
        <v>//ord_92341//Yash Verma//Lower Parel//Onion+3*Venu R/9/20/2023//Credit Card//Delivered*Delivery Experience: Quick and professional</v>
      </c>
      <c r="B2377" s="14" t="str">
        <f>IFERROR(__xludf.DUMMYFUNCTION("split(A2377,""//"")"),"ord_92341")</f>
        <v>ord_92341</v>
      </c>
      <c r="C2377" s="14" t="str">
        <f>IFERROR(__xludf.DUMMYFUNCTION("""COMPUTED_VALUE"""),"Yash Verma")</f>
        <v>Yash Verma</v>
      </c>
      <c r="D2377" s="14" t="str">
        <f>IFERROR(__xludf.DUMMYFUNCTION("""COMPUTED_VALUE"""),"Lower Parel")</f>
        <v>Lower Parel</v>
      </c>
      <c r="E2377" s="14" t="str">
        <f>IFERROR(__xludf.DUMMYFUNCTION("""COMPUTED_VALUE"""),"Onion+3*Venu R")</f>
        <v>Onion+3*Venu R</v>
      </c>
      <c r="F2377" s="14">
        <f>IFERROR(__xludf.DUMMYFUNCTION("""COMPUTED_VALUE"""),9.0)</f>
        <v>9</v>
      </c>
      <c r="G2377" s="14">
        <f>IFERROR(__xludf.DUMMYFUNCTION("""COMPUTED_VALUE"""),20.0)</f>
        <v>20</v>
      </c>
      <c r="H2377" s="14">
        <f>IFERROR(__xludf.DUMMYFUNCTION("""COMPUTED_VALUE"""),2023.0)</f>
        <v>2023</v>
      </c>
      <c r="I2377" s="14" t="str">
        <f>IFERROR(__xludf.DUMMYFUNCTION("""COMPUTED_VALUE"""),"Credit Card")</f>
        <v>Credit Card</v>
      </c>
      <c r="J2377" s="14" t="str">
        <f>IFERROR(__xludf.DUMMYFUNCTION("""COMPUTED_VALUE"""),"Delivered*Delivery Experience: Quick and professional")</f>
        <v>Delivered*Delivery Experience: Quick and professional</v>
      </c>
      <c r="K2377" s="14" t="str">
        <f>IFERROR(__xludf.DUMMYFUNCTION("split(E2377,""+"")"),"Onion")</f>
        <v>Onion</v>
      </c>
      <c r="L2377" s="14" t="str">
        <f>IFERROR(__xludf.DUMMYFUNCTION("""COMPUTED_VALUE"""),"3*Venu R")</f>
        <v>3*Venu R</v>
      </c>
      <c r="M2377" s="14">
        <f>IFERROR(__xludf.DUMMYFUNCTION("SPLIT(L2377,""*"")"),3.0)</f>
        <v>3</v>
      </c>
      <c r="N2377" s="14" t="str">
        <f>IFERROR(__xludf.DUMMYFUNCTION("""COMPUTED_VALUE"""),"Venu R")</f>
        <v>Venu R</v>
      </c>
      <c r="O2377" s="14" t="str">
        <f>IFERROR(__xludf.DUMMYFUNCTION("split(J2377,""*"")"),"Delivered")</f>
        <v>Delivered</v>
      </c>
      <c r="P2377" s="14" t="str">
        <f>IFERROR(__xludf.DUMMYFUNCTION("""COMPUTED_VALUE"""),"Delivery Experience: Quick and professional")</f>
        <v>Delivery Experience: Quick and professional</v>
      </c>
      <c r="Q2377" s="14" t="str">
        <f>IFERROR(__xludf.DUMMYFUNCTION("split(P2377,"":"")"),"Delivery Experience")</f>
        <v>Delivery Experience</v>
      </c>
      <c r="R2377" s="14" t="str">
        <f>IFERROR(__xludf.DUMMYFUNCTION("""COMPUTED_VALUE""")," Quick and professional")</f>
        <v> Quick and professional</v>
      </c>
      <c r="S2377" s="14" t="str">
        <f t="shared" ref="S2377:U2377" si="4757">trim(B2377)</f>
        <v>ord_92341</v>
      </c>
      <c r="T2377" s="14" t="str">
        <f t="shared" si="4757"/>
        <v>Yash Verma</v>
      </c>
      <c r="U2377" s="14" t="str">
        <f t="shared" si="4757"/>
        <v>Lower Parel</v>
      </c>
      <c r="V2377" s="14" t="str">
        <f t="shared" si="4"/>
        <v>Onion</v>
      </c>
      <c r="W2377" s="14">
        <f t="shared" si="5"/>
        <v>3</v>
      </c>
      <c r="X2377" s="14" t="str">
        <f t="shared" si="6"/>
        <v>Venu R</v>
      </c>
      <c r="Y2377" s="15">
        <f t="shared" si="7"/>
        <v>45189</v>
      </c>
      <c r="Z2377" s="14" t="str">
        <f t="shared" si="8"/>
        <v>Credit Card</v>
      </c>
      <c r="AA2377" s="14" t="str">
        <f t="shared" si="9"/>
        <v>Delivered</v>
      </c>
      <c r="AB2377" s="14" t="str">
        <f t="shared" ref="AB2377:AC2377" si="4758">trim(Q2377)</f>
        <v>Delivery Experience</v>
      </c>
      <c r="AC2377" s="14" t="str">
        <f t="shared" si="4758"/>
        <v>Quick and professional</v>
      </c>
      <c r="AD2377" s="8"/>
    </row>
    <row r="2378">
      <c r="A2378" s="14" t="str">
        <f>IFERROR(__xludf.DUMMYFUNCTION("""COMPUTED_VALUE"""),"//ord_92342//Sana Malik//Juhu//Icecream+2*Ram Gopal/11/14/2023//Credit Card//Delivered*Convenience: Easy tracking")</f>
        <v>//ord_92342//Sana Malik//Juhu//Icecream+2*Ram Gopal/11/14/2023//Credit Card//Delivered*Convenience: Easy tracking</v>
      </c>
      <c r="B2378" s="14" t="str">
        <f>IFERROR(__xludf.DUMMYFUNCTION("split(A2378,""//"")"),"ord_92342")</f>
        <v>ord_92342</v>
      </c>
      <c r="C2378" s="14" t="str">
        <f>IFERROR(__xludf.DUMMYFUNCTION("""COMPUTED_VALUE"""),"Sana Malik")</f>
        <v>Sana Malik</v>
      </c>
      <c r="D2378" s="14" t="str">
        <f>IFERROR(__xludf.DUMMYFUNCTION("""COMPUTED_VALUE"""),"Juhu")</f>
        <v>Juhu</v>
      </c>
      <c r="E2378" s="14" t="str">
        <f>IFERROR(__xludf.DUMMYFUNCTION("""COMPUTED_VALUE"""),"Icecream+2*Ram Gopal")</f>
        <v>Icecream+2*Ram Gopal</v>
      </c>
      <c r="F2378" s="14">
        <f>IFERROR(__xludf.DUMMYFUNCTION("""COMPUTED_VALUE"""),11.0)</f>
        <v>11</v>
      </c>
      <c r="G2378" s="14">
        <f>IFERROR(__xludf.DUMMYFUNCTION("""COMPUTED_VALUE"""),14.0)</f>
        <v>14</v>
      </c>
      <c r="H2378" s="14">
        <f>IFERROR(__xludf.DUMMYFUNCTION("""COMPUTED_VALUE"""),2023.0)</f>
        <v>2023</v>
      </c>
      <c r="I2378" s="14" t="str">
        <f>IFERROR(__xludf.DUMMYFUNCTION("""COMPUTED_VALUE"""),"Credit Card")</f>
        <v>Credit Card</v>
      </c>
      <c r="J2378" s="14" t="str">
        <f>IFERROR(__xludf.DUMMYFUNCTION("""COMPUTED_VALUE"""),"Delivered*Convenience: Easy tracking")</f>
        <v>Delivered*Convenience: Easy tracking</v>
      </c>
      <c r="K2378" s="14" t="str">
        <f>IFERROR(__xludf.DUMMYFUNCTION("split(E2378,""+"")"),"Icecream")</f>
        <v>Icecream</v>
      </c>
      <c r="L2378" s="14" t="str">
        <f>IFERROR(__xludf.DUMMYFUNCTION("""COMPUTED_VALUE"""),"2*Ram Gopal")</f>
        <v>2*Ram Gopal</v>
      </c>
      <c r="M2378" s="14">
        <f>IFERROR(__xludf.DUMMYFUNCTION("SPLIT(L2378,""*"")"),2.0)</f>
        <v>2</v>
      </c>
      <c r="N2378" s="14" t="str">
        <f>IFERROR(__xludf.DUMMYFUNCTION("""COMPUTED_VALUE"""),"Ram Gopal")</f>
        <v>Ram Gopal</v>
      </c>
      <c r="O2378" s="14" t="str">
        <f>IFERROR(__xludf.DUMMYFUNCTION("split(J2378,""*"")"),"Delivered")</f>
        <v>Delivered</v>
      </c>
      <c r="P2378" s="14" t="str">
        <f>IFERROR(__xludf.DUMMYFUNCTION("""COMPUTED_VALUE"""),"Convenience: Easy tracking")</f>
        <v>Convenience: Easy tracking</v>
      </c>
      <c r="Q2378" s="14" t="str">
        <f>IFERROR(__xludf.DUMMYFUNCTION("split(P2378,"":"")"),"Convenience")</f>
        <v>Convenience</v>
      </c>
      <c r="R2378" s="14" t="str">
        <f>IFERROR(__xludf.DUMMYFUNCTION("""COMPUTED_VALUE""")," Easy tracking")</f>
        <v> Easy tracking</v>
      </c>
      <c r="S2378" s="14" t="str">
        <f t="shared" ref="S2378:U2378" si="4759">trim(B2378)</f>
        <v>ord_92342</v>
      </c>
      <c r="T2378" s="14" t="str">
        <f t="shared" si="4759"/>
        <v>Sana Malik</v>
      </c>
      <c r="U2378" s="14" t="str">
        <f t="shared" si="4759"/>
        <v>Juhu</v>
      </c>
      <c r="V2378" s="14" t="str">
        <f t="shared" si="4"/>
        <v>Icecream</v>
      </c>
      <c r="W2378" s="14">
        <f t="shared" si="5"/>
        <v>2</v>
      </c>
      <c r="X2378" s="14" t="str">
        <f t="shared" si="6"/>
        <v>Ram Gopal</v>
      </c>
      <c r="Y2378" s="15">
        <f t="shared" si="7"/>
        <v>45244</v>
      </c>
      <c r="Z2378" s="14" t="str">
        <f t="shared" si="8"/>
        <v>Credit Card</v>
      </c>
      <c r="AA2378" s="14" t="str">
        <f t="shared" si="9"/>
        <v>Delivered</v>
      </c>
      <c r="AB2378" s="14" t="str">
        <f t="shared" ref="AB2378:AC2378" si="4760">trim(Q2378)</f>
        <v>Convenience</v>
      </c>
      <c r="AC2378" s="14" t="str">
        <f t="shared" si="4760"/>
        <v>Easy tracking</v>
      </c>
      <c r="AD2378" s="8"/>
    </row>
    <row r="2379">
      <c r="A2379" s="14" t="str">
        <f>IFERROR(__xludf.DUMMYFUNCTION("""COMPUTED_VALUE"""),"//ord_92343//Harsh Vardhan//Bandra//Tomato+2*Ramesh S/7/14/2023//Online Payment//Delivered*Overall Satisfaction: Great service will order again")</f>
        <v>//ord_92343//Harsh Vardhan//Bandra//Tomato+2*Ramesh S/7/14/2023//Online Payment//Delivered*Overall Satisfaction: Great service will order again</v>
      </c>
      <c r="B2379" s="14" t="str">
        <f>IFERROR(__xludf.DUMMYFUNCTION("split(A2379,""//"")"),"ord_92343")</f>
        <v>ord_92343</v>
      </c>
      <c r="C2379" s="14" t="str">
        <f>IFERROR(__xludf.DUMMYFUNCTION("""COMPUTED_VALUE"""),"Harsh Vardhan")</f>
        <v>Harsh Vardhan</v>
      </c>
      <c r="D2379" s="14" t="str">
        <f>IFERROR(__xludf.DUMMYFUNCTION("""COMPUTED_VALUE"""),"Bandra")</f>
        <v>Bandra</v>
      </c>
      <c r="E2379" s="14" t="str">
        <f>IFERROR(__xludf.DUMMYFUNCTION("""COMPUTED_VALUE"""),"Tomato+2*Ramesh S")</f>
        <v>Tomato+2*Ramesh S</v>
      </c>
      <c r="F2379" s="14">
        <f>IFERROR(__xludf.DUMMYFUNCTION("""COMPUTED_VALUE"""),7.0)</f>
        <v>7</v>
      </c>
      <c r="G2379" s="14">
        <f>IFERROR(__xludf.DUMMYFUNCTION("""COMPUTED_VALUE"""),14.0)</f>
        <v>14</v>
      </c>
      <c r="H2379" s="14">
        <f>IFERROR(__xludf.DUMMYFUNCTION("""COMPUTED_VALUE"""),2023.0)</f>
        <v>2023</v>
      </c>
      <c r="I2379" s="14" t="str">
        <f>IFERROR(__xludf.DUMMYFUNCTION("""COMPUTED_VALUE"""),"Online Payment")</f>
        <v>Online Payment</v>
      </c>
      <c r="J2379" s="14" t="str">
        <f>IFERROR(__xludf.DUMMYFUNCTION("""COMPUTED_VALUE"""),"Delivered*Overall Satisfaction: Great service will order again")</f>
        <v>Delivered*Overall Satisfaction: Great service will order again</v>
      </c>
      <c r="K2379" s="14" t="str">
        <f>IFERROR(__xludf.DUMMYFUNCTION("split(E2379,""+"")"),"Tomato")</f>
        <v>Tomato</v>
      </c>
      <c r="L2379" s="14" t="str">
        <f>IFERROR(__xludf.DUMMYFUNCTION("""COMPUTED_VALUE"""),"2*Ramesh S")</f>
        <v>2*Ramesh S</v>
      </c>
      <c r="M2379" s="14">
        <f>IFERROR(__xludf.DUMMYFUNCTION("SPLIT(L2379,""*"")"),2.0)</f>
        <v>2</v>
      </c>
      <c r="N2379" s="14" t="str">
        <f>IFERROR(__xludf.DUMMYFUNCTION("""COMPUTED_VALUE"""),"Ramesh S")</f>
        <v>Ramesh S</v>
      </c>
      <c r="O2379" s="14" t="str">
        <f>IFERROR(__xludf.DUMMYFUNCTION("split(J2379,""*"")"),"Delivered")</f>
        <v>Delivered</v>
      </c>
      <c r="P2379" s="14" t="str">
        <f>IFERROR(__xludf.DUMMYFUNCTION("""COMPUTED_VALUE"""),"Overall Satisfaction: Great service will order again")</f>
        <v>Overall Satisfaction: Great service will order again</v>
      </c>
      <c r="Q2379" s="14" t="str">
        <f>IFERROR(__xludf.DUMMYFUNCTION("split(P2379,"":"")"),"Overall Satisfaction")</f>
        <v>Overall Satisfaction</v>
      </c>
      <c r="R2379" s="14" t="str">
        <f>IFERROR(__xludf.DUMMYFUNCTION("""COMPUTED_VALUE""")," Great service will order again")</f>
        <v> Great service will order again</v>
      </c>
      <c r="S2379" s="14" t="str">
        <f t="shared" ref="S2379:U2379" si="4761">trim(B2379)</f>
        <v>ord_92343</v>
      </c>
      <c r="T2379" s="14" t="str">
        <f t="shared" si="4761"/>
        <v>Harsh Vardhan</v>
      </c>
      <c r="U2379" s="14" t="str">
        <f t="shared" si="4761"/>
        <v>Bandra</v>
      </c>
      <c r="V2379" s="14" t="str">
        <f t="shared" si="4"/>
        <v>Tomato</v>
      </c>
      <c r="W2379" s="14">
        <f t="shared" si="5"/>
        <v>2</v>
      </c>
      <c r="X2379" s="14" t="str">
        <f t="shared" si="6"/>
        <v>Ramesh S</v>
      </c>
      <c r="Y2379" s="15">
        <f t="shared" si="7"/>
        <v>45121</v>
      </c>
      <c r="Z2379" s="14" t="str">
        <f t="shared" si="8"/>
        <v>Online Payment</v>
      </c>
      <c r="AA2379" s="14" t="str">
        <f t="shared" si="9"/>
        <v>Delivered</v>
      </c>
      <c r="AB2379" s="14" t="str">
        <f t="shared" ref="AB2379:AC2379" si="4762">trim(Q2379)</f>
        <v>Overall Satisfaction</v>
      </c>
      <c r="AC2379" s="14" t="str">
        <f t="shared" si="4762"/>
        <v>Great service will order again</v>
      </c>
      <c r="AD2379" s="8"/>
    </row>
    <row r="2380">
      <c r="A2380" s="14" t="str">
        <f>IFERROR(__xludf.DUMMYFUNCTION("""COMPUTED_VALUE"""),"//ord_92344//Sana Malik//Powai//Potato+4*Vivek Kumar/9/22/2023//Online Payment//Delivered*On-time Delivery: Delivered on time")</f>
        <v>//ord_92344//Sana Malik//Powai//Potato+4*Vivek Kumar/9/22/2023//Online Payment//Delivered*On-time Delivery: Delivered on time</v>
      </c>
      <c r="B2380" s="14" t="str">
        <f>IFERROR(__xludf.DUMMYFUNCTION("split(A2380,""//"")"),"ord_92344")</f>
        <v>ord_92344</v>
      </c>
      <c r="C2380" s="14" t="str">
        <f>IFERROR(__xludf.DUMMYFUNCTION("""COMPUTED_VALUE"""),"Sana Malik")</f>
        <v>Sana Malik</v>
      </c>
      <c r="D2380" s="14" t="str">
        <f>IFERROR(__xludf.DUMMYFUNCTION("""COMPUTED_VALUE"""),"Powai")</f>
        <v>Powai</v>
      </c>
      <c r="E2380" s="14" t="str">
        <f>IFERROR(__xludf.DUMMYFUNCTION("""COMPUTED_VALUE"""),"Potato+4*Vivek Kumar")</f>
        <v>Potato+4*Vivek Kumar</v>
      </c>
      <c r="F2380" s="14">
        <f>IFERROR(__xludf.DUMMYFUNCTION("""COMPUTED_VALUE"""),9.0)</f>
        <v>9</v>
      </c>
      <c r="G2380" s="14">
        <f>IFERROR(__xludf.DUMMYFUNCTION("""COMPUTED_VALUE"""),22.0)</f>
        <v>22</v>
      </c>
      <c r="H2380" s="14">
        <f>IFERROR(__xludf.DUMMYFUNCTION("""COMPUTED_VALUE"""),2023.0)</f>
        <v>2023</v>
      </c>
      <c r="I2380" s="14" t="str">
        <f>IFERROR(__xludf.DUMMYFUNCTION("""COMPUTED_VALUE"""),"Online Payment")</f>
        <v>Online Payment</v>
      </c>
      <c r="J2380" s="14" t="str">
        <f>IFERROR(__xludf.DUMMYFUNCTION("""COMPUTED_VALUE"""),"Delivered*On-time Delivery: Delivered on time")</f>
        <v>Delivered*On-time Delivery: Delivered on time</v>
      </c>
      <c r="K2380" s="14" t="str">
        <f>IFERROR(__xludf.DUMMYFUNCTION("split(E2380,""+"")"),"Potato")</f>
        <v>Potato</v>
      </c>
      <c r="L2380" s="14" t="str">
        <f>IFERROR(__xludf.DUMMYFUNCTION("""COMPUTED_VALUE"""),"4*Vivek Kumar")</f>
        <v>4*Vivek Kumar</v>
      </c>
      <c r="M2380" s="14">
        <f>IFERROR(__xludf.DUMMYFUNCTION("SPLIT(L2380,""*"")"),4.0)</f>
        <v>4</v>
      </c>
      <c r="N2380" s="14" t="str">
        <f>IFERROR(__xludf.DUMMYFUNCTION("""COMPUTED_VALUE"""),"Vivek Kumar")</f>
        <v>Vivek Kumar</v>
      </c>
      <c r="O2380" s="14" t="str">
        <f>IFERROR(__xludf.DUMMYFUNCTION("split(J2380,""*"")"),"Delivered")</f>
        <v>Delivered</v>
      </c>
      <c r="P2380" s="14" t="str">
        <f>IFERROR(__xludf.DUMMYFUNCTION("""COMPUTED_VALUE"""),"On-time Delivery: Delivered on time")</f>
        <v>On-time Delivery: Delivered on time</v>
      </c>
      <c r="Q2380" s="14" t="str">
        <f>IFERROR(__xludf.DUMMYFUNCTION("split(P2380,"":"")"),"On-time Delivery")</f>
        <v>On-time Delivery</v>
      </c>
      <c r="R2380" s="14" t="str">
        <f>IFERROR(__xludf.DUMMYFUNCTION("""COMPUTED_VALUE""")," Delivered on time")</f>
        <v> Delivered on time</v>
      </c>
      <c r="S2380" s="14" t="str">
        <f t="shared" ref="S2380:U2380" si="4763">trim(B2380)</f>
        <v>ord_92344</v>
      </c>
      <c r="T2380" s="14" t="str">
        <f t="shared" si="4763"/>
        <v>Sana Malik</v>
      </c>
      <c r="U2380" s="14" t="str">
        <f t="shared" si="4763"/>
        <v>Powai</v>
      </c>
      <c r="V2380" s="14" t="str">
        <f t="shared" si="4"/>
        <v>Potato</v>
      </c>
      <c r="W2380" s="14">
        <f t="shared" si="5"/>
        <v>4</v>
      </c>
      <c r="X2380" s="14" t="str">
        <f t="shared" si="6"/>
        <v>Vivek Kumar</v>
      </c>
      <c r="Y2380" s="15">
        <f t="shared" si="7"/>
        <v>45191</v>
      </c>
      <c r="Z2380" s="14" t="str">
        <f t="shared" si="8"/>
        <v>Online Payment</v>
      </c>
      <c r="AA2380" s="14" t="str">
        <f t="shared" si="9"/>
        <v>Delivered</v>
      </c>
      <c r="AB2380" s="14" t="str">
        <f t="shared" ref="AB2380:AC2380" si="4764">trim(Q2380)</f>
        <v>On-time Delivery</v>
      </c>
      <c r="AC2380" s="14" t="str">
        <f t="shared" si="4764"/>
        <v>Delivered on time</v>
      </c>
      <c r="AD2380" s="8"/>
    </row>
    <row r="2381">
      <c r="A2381" s="14" t="str">
        <f>IFERROR(__xludf.DUMMYFUNCTION("""COMPUTED_VALUE"""),"//ord_92345//Yash Verma//Lower Parel//Chicken Puff+9*Venu R/10/14/2023//UPI//Delivered*Quality of Items: Perfect condition")</f>
        <v>//ord_92345//Yash Verma//Lower Parel//Chicken Puff+9*Venu R/10/14/2023//UPI//Delivered*Quality of Items: Perfect condition</v>
      </c>
      <c r="B2381" s="14" t="str">
        <f>IFERROR(__xludf.DUMMYFUNCTION("split(A2381,""//"")"),"ord_92345")</f>
        <v>ord_92345</v>
      </c>
      <c r="C2381" s="14" t="str">
        <f>IFERROR(__xludf.DUMMYFUNCTION("""COMPUTED_VALUE"""),"Yash Verma")</f>
        <v>Yash Verma</v>
      </c>
      <c r="D2381" s="14" t="str">
        <f>IFERROR(__xludf.DUMMYFUNCTION("""COMPUTED_VALUE"""),"Lower Parel")</f>
        <v>Lower Parel</v>
      </c>
      <c r="E2381" s="14" t="str">
        <f>IFERROR(__xludf.DUMMYFUNCTION("""COMPUTED_VALUE"""),"Chicken Puff+9*Venu R")</f>
        <v>Chicken Puff+9*Venu R</v>
      </c>
      <c r="F2381" s="14">
        <f>IFERROR(__xludf.DUMMYFUNCTION("""COMPUTED_VALUE"""),10.0)</f>
        <v>10</v>
      </c>
      <c r="G2381" s="14">
        <f>IFERROR(__xludf.DUMMYFUNCTION("""COMPUTED_VALUE"""),14.0)</f>
        <v>14</v>
      </c>
      <c r="H2381" s="14">
        <f>IFERROR(__xludf.DUMMYFUNCTION("""COMPUTED_VALUE"""),2023.0)</f>
        <v>2023</v>
      </c>
      <c r="I2381" s="14" t="str">
        <f>IFERROR(__xludf.DUMMYFUNCTION("""COMPUTED_VALUE"""),"UPI")</f>
        <v>UPI</v>
      </c>
      <c r="J2381" s="14" t="str">
        <f>IFERROR(__xludf.DUMMYFUNCTION("""COMPUTED_VALUE"""),"Delivered*Quality of Items: Perfect condition")</f>
        <v>Delivered*Quality of Items: Perfect condition</v>
      </c>
      <c r="K2381" s="14" t="str">
        <f>IFERROR(__xludf.DUMMYFUNCTION("split(E2381,""+"")"),"Chicken Puff")</f>
        <v>Chicken Puff</v>
      </c>
      <c r="L2381" s="14" t="str">
        <f>IFERROR(__xludf.DUMMYFUNCTION("""COMPUTED_VALUE"""),"9*Venu R")</f>
        <v>9*Venu R</v>
      </c>
      <c r="M2381" s="14">
        <f>IFERROR(__xludf.DUMMYFUNCTION("SPLIT(L2381,""*"")"),9.0)</f>
        <v>9</v>
      </c>
      <c r="N2381" s="14" t="str">
        <f>IFERROR(__xludf.DUMMYFUNCTION("""COMPUTED_VALUE"""),"Venu R")</f>
        <v>Venu R</v>
      </c>
      <c r="O2381" s="14" t="str">
        <f>IFERROR(__xludf.DUMMYFUNCTION("split(J2381,""*"")"),"Delivered")</f>
        <v>Delivered</v>
      </c>
      <c r="P2381" s="14" t="str">
        <f>IFERROR(__xludf.DUMMYFUNCTION("""COMPUTED_VALUE"""),"Quality of Items: Perfect condition")</f>
        <v>Quality of Items: Perfect condition</v>
      </c>
      <c r="Q2381" s="14" t="str">
        <f>IFERROR(__xludf.DUMMYFUNCTION("split(P2381,"":"")"),"Quality of Items")</f>
        <v>Quality of Items</v>
      </c>
      <c r="R2381" s="14" t="str">
        <f>IFERROR(__xludf.DUMMYFUNCTION("""COMPUTED_VALUE""")," Perfect condition")</f>
        <v> Perfect condition</v>
      </c>
      <c r="S2381" s="14" t="str">
        <f t="shared" ref="S2381:U2381" si="4765">trim(B2381)</f>
        <v>ord_92345</v>
      </c>
      <c r="T2381" s="14" t="str">
        <f t="shared" si="4765"/>
        <v>Yash Verma</v>
      </c>
      <c r="U2381" s="14" t="str">
        <f t="shared" si="4765"/>
        <v>Lower Parel</v>
      </c>
      <c r="V2381" s="14" t="str">
        <f t="shared" si="4"/>
        <v>Chicken Puff</v>
      </c>
      <c r="W2381" s="14">
        <f t="shared" si="5"/>
        <v>9</v>
      </c>
      <c r="X2381" s="14" t="str">
        <f t="shared" si="6"/>
        <v>Venu R</v>
      </c>
      <c r="Y2381" s="15">
        <f t="shared" si="7"/>
        <v>45213</v>
      </c>
      <c r="Z2381" s="14" t="str">
        <f t="shared" si="8"/>
        <v>UPI</v>
      </c>
      <c r="AA2381" s="14" t="str">
        <f t="shared" si="9"/>
        <v>Delivered</v>
      </c>
      <c r="AB2381" s="14" t="str">
        <f t="shared" ref="AB2381:AC2381" si="4766">trim(Q2381)</f>
        <v>Quality of Items</v>
      </c>
      <c r="AC2381" s="14" t="str">
        <f t="shared" si="4766"/>
        <v>Perfect condition</v>
      </c>
      <c r="AD2381" s="8"/>
    </row>
    <row r="2382">
      <c r="A2382" s="14" t="str">
        <f>IFERROR(__xludf.DUMMYFUNCTION("""COMPUTED_VALUE"""),"//ord_92346//Leena Das//Andheri//Papaya+2*Priya Joshi/9/23/2023//Online Payment//Cancelled*Delayed Delivery:Heavy Traffic")</f>
        <v>//ord_92346//Leena Das//Andheri//Papaya+2*Priya Joshi/9/23/2023//Online Payment//Cancelled*Delayed Delivery:Heavy Traffic</v>
      </c>
      <c r="B2382" s="14" t="str">
        <f>IFERROR(__xludf.DUMMYFUNCTION("split(A2382,""//"")"),"ord_92346")</f>
        <v>ord_92346</v>
      </c>
      <c r="C2382" s="14" t="str">
        <f>IFERROR(__xludf.DUMMYFUNCTION("""COMPUTED_VALUE"""),"Leena Das")</f>
        <v>Leena Das</v>
      </c>
      <c r="D2382" s="14" t="str">
        <f>IFERROR(__xludf.DUMMYFUNCTION("""COMPUTED_VALUE"""),"Andheri")</f>
        <v>Andheri</v>
      </c>
      <c r="E2382" s="14" t="str">
        <f>IFERROR(__xludf.DUMMYFUNCTION("""COMPUTED_VALUE"""),"Papaya+2*Priya Joshi")</f>
        <v>Papaya+2*Priya Joshi</v>
      </c>
      <c r="F2382" s="14">
        <f>IFERROR(__xludf.DUMMYFUNCTION("""COMPUTED_VALUE"""),9.0)</f>
        <v>9</v>
      </c>
      <c r="G2382" s="14">
        <f>IFERROR(__xludf.DUMMYFUNCTION("""COMPUTED_VALUE"""),23.0)</f>
        <v>23</v>
      </c>
      <c r="H2382" s="14">
        <f>IFERROR(__xludf.DUMMYFUNCTION("""COMPUTED_VALUE"""),2023.0)</f>
        <v>2023</v>
      </c>
      <c r="I2382" s="14" t="str">
        <f>IFERROR(__xludf.DUMMYFUNCTION("""COMPUTED_VALUE"""),"Online Payment")</f>
        <v>Online Payment</v>
      </c>
      <c r="J2382" s="14" t="str">
        <f>IFERROR(__xludf.DUMMYFUNCTION("""COMPUTED_VALUE"""),"Cancelled*Delayed Delivery:Heavy Traffic")</f>
        <v>Cancelled*Delayed Delivery:Heavy Traffic</v>
      </c>
      <c r="K2382" s="14" t="str">
        <f>IFERROR(__xludf.DUMMYFUNCTION("split(E2382,""+"")"),"Papaya")</f>
        <v>Papaya</v>
      </c>
      <c r="L2382" s="14" t="str">
        <f>IFERROR(__xludf.DUMMYFUNCTION("""COMPUTED_VALUE"""),"2*Priya Joshi")</f>
        <v>2*Priya Joshi</v>
      </c>
      <c r="M2382" s="14">
        <f>IFERROR(__xludf.DUMMYFUNCTION("SPLIT(L2382,""*"")"),2.0)</f>
        <v>2</v>
      </c>
      <c r="N2382" s="14" t="str">
        <f>IFERROR(__xludf.DUMMYFUNCTION("""COMPUTED_VALUE"""),"Priya Joshi")</f>
        <v>Priya Joshi</v>
      </c>
      <c r="O2382" s="14" t="str">
        <f>IFERROR(__xludf.DUMMYFUNCTION("split(J2382,""*"")"),"Cancelled")</f>
        <v>Cancelled</v>
      </c>
      <c r="P2382" s="14" t="str">
        <f>IFERROR(__xludf.DUMMYFUNCTION("""COMPUTED_VALUE"""),"Delayed Delivery:Heavy Traffic")</f>
        <v>Delayed Delivery:Heavy Traffic</v>
      </c>
      <c r="Q2382" s="14" t="str">
        <f>IFERROR(__xludf.DUMMYFUNCTION("split(P2382,"":"")"),"Delayed Delivery")</f>
        <v>Delayed Delivery</v>
      </c>
      <c r="R2382" s="14" t="str">
        <f>IFERROR(__xludf.DUMMYFUNCTION("""COMPUTED_VALUE"""),"Heavy Traffic")</f>
        <v>Heavy Traffic</v>
      </c>
      <c r="S2382" s="14" t="str">
        <f t="shared" ref="S2382:U2382" si="4767">trim(B2382)</f>
        <v>ord_92346</v>
      </c>
      <c r="T2382" s="14" t="str">
        <f t="shared" si="4767"/>
        <v>Leena Das</v>
      </c>
      <c r="U2382" s="14" t="str">
        <f t="shared" si="4767"/>
        <v>Andheri</v>
      </c>
      <c r="V2382" s="14" t="str">
        <f t="shared" si="4"/>
        <v>Papaya</v>
      </c>
      <c r="W2382" s="14">
        <f t="shared" si="5"/>
        <v>2</v>
      </c>
      <c r="X2382" s="14" t="str">
        <f t="shared" si="6"/>
        <v>Priya Joshi</v>
      </c>
      <c r="Y2382" s="15">
        <f t="shared" si="7"/>
        <v>45192</v>
      </c>
      <c r="Z2382" s="14" t="str">
        <f t="shared" si="8"/>
        <v>Online Payment</v>
      </c>
      <c r="AA2382" s="14" t="str">
        <f t="shared" si="9"/>
        <v>Cancelled</v>
      </c>
      <c r="AB2382" s="14" t="str">
        <f t="shared" ref="AB2382:AC2382" si="4768">trim(Q2382)</f>
        <v>Delayed Delivery</v>
      </c>
      <c r="AC2382" s="14" t="str">
        <f t="shared" si="4768"/>
        <v>Heavy Traffic</v>
      </c>
      <c r="AD2382" s="8"/>
    </row>
    <row r="2383">
      <c r="A2383" s="14" t="str">
        <f>IFERROR(__xludf.DUMMYFUNCTION("""COMPUTED_VALUE"""),"//ord_92347//Yash Verma//Colaba//Veg Puff+8*Sita T/8/8/2023//Credit Card//Delivered*Packaging: Secure and intact")</f>
        <v>//ord_92347//Yash Verma//Colaba//Veg Puff+8*Sita T/8/8/2023//Credit Card//Delivered*Packaging: Secure and intact</v>
      </c>
      <c r="B2383" s="14" t="str">
        <f>IFERROR(__xludf.DUMMYFUNCTION("split(A2383,""//"")"),"ord_92347")</f>
        <v>ord_92347</v>
      </c>
      <c r="C2383" s="14" t="str">
        <f>IFERROR(__xludf.DUMMYFUNCTION("""COMPUTED_VALUE"""),"Yash Verma")</f>
        <v>Yash Verma</v>
      </c>
      <c r="D2383" s="14" t="str">
        <f>IFERROR(__xludf.DUMMYFUNCTION("""COMPUTED_VALUE"""),"Colaba")</f>
        <v>Colaba</v>
      </c>
      <c r="E2383" s="14" t="str">
        <f>IFERROR(__xludf.DUMMYFUNCTION("""COMPUTED_VALUE"""),"Veg Puff+8*Sita T")</f>
        <v>Veg Puff+8*Sita T</v>
      </c>
      <c r="F2383" s="14">
        <f>IFERROR(__xludf.DUMMYFUNCTION("""COMPUTED_VALUE"""),8.0)</f>
        <v>8</v>
      </c>
      <c r="G2383" s="14">
        <f>IFERROR(__xludf.DUMMYFUNCTION("""COMPUTED_VALUE"""),8.0)</f>
        <v>8</v>
      </c>
      <c r="H2383" s="14">
        <f>IFERROR(__xludf.DUMMYFUNCTION("""COMPUTED_VALUE"""),2023.0)</f>
        <v>2023</v>
      </c>
      <c r="I2383" s="14" t="str">
        <f>IFERROR(__xludf.DUMMYFUNCTION("""COMPUTED_VALUE"""),"Credit Card")</f>
        <v>Credit Card</v>
      </c>
      <c r="J2383" s="14" t="str">
        <f>IFERROR(__xludf.DUMMYFUNCTION("""COMPUTED_VALUE"""),"Delivered*Packaging: Secure and intact")</f>
        <v>Delivered*Packaging: Secure and intact</v>
      </c>
      <c r="K2383" s="14" t="str">
        <f>IFERROR(__xludf.DUMMYFUNCTION("split(E2383,""+"")"),"Veg Puff")</f>
        <v>Veg Puff</v>
      </c>
      <c r="L2383" s="14" t="str">
        <f>IFERROR(__xludf.DUMMYFUNCTION("""COMPUTED_VALUE"""),"8*Sita T")</f>
        <v>8*Sita T</v>
      </c>
      <c r="M2383" s="14">
        <f>IFERROR(__xludf.DUMMYFUNCTION("SPLIT(L2383,""*"")"),8.0)</f>
        <v>8</v>
      </c>
      <c r="N2383" s="14" t="str">
        <f>IFERROR(__xludf.DUMMYFUNCTION("""COMPUTED_VALUE"""),"Sita T")</f>
        <v>Sita T</v>
      </c>
      <c r="O2383" s="14" t="str">
        <f>IFERROR(__xludf.DUMMYFUNCTION("split(J2383,""*"")"),"Delivered")</f>
        <v>Delivered</v>
      </c>
      <c r="P2383" s="14" t="str">
        <f>IFERROR(__xludf.DUMMYFUNCTION("""COMPUTED_VALUE"""),"Packaging: Secure and intact")</f>
        <v>Packaging: Secure and intact</v>
      </c>
      <c r="Q2383" s="14" t="str">
        <f>IFERROR(__xludf.DUMMYFUNCTION("split(P2383,"":"")"),"Packaging")</f>
        <v>Packaging</v>
      </c>
      <c r="R2383" s="14" t="str">
        <f>IFERROR(__xludf.DUMMYFUNCTION("""COMPUTED_VALUE""")," Secure and intact")</f>
        <v> Secure and intact</v>
      </c>
      <c r="S2383" s="14" t="str">
        <f t="shared" ref="S2383:U2383" si="4769">trim(B2383)</f>
        <v>ord_92347</v>
      </c>
      <c r="T2383" s="14" t="str">
        <f t="shared" si="4769"/>
        <v>Yash Verma</v>
      </c>
      <c r="U2383" s="14" t="str">
        <f t="shared" si="4769"/>
        <v>Colaba</v>
      </c>
      <c r="V2383" s="14" t="str">
        <f t="shared" si="4"/>
        <v>Veg Puff</v>
      </c>
      <c r="W2383" s="14">
        <f t="shared" si="5"/>
        <v>8</v>
      </c>
      <c r="X2383" s="14" t="str">
        <f t="shared" si="6"/>
        <v>Sita T</v>
      </c>
      <c r="Y2383" s="15">
        <f t="shared" si="7"/>
        <v>45146</v>
      </c>
      <c r="Z2383" s="14" t="str">
        <f t="shared" si="8"/>
        <v>Credit Card</v>
      </c>
      <c r="AA2383" s="14" t="str">
        <f t="shared" si="9"/>
        <v>Delivered</v>
      </c>
      <c r="AB2383" s="14" t="str">
        <f t="shared" ref="AB2383:AC2383" si="4770">trim(Q2383)</f>
        <v>Packaging</v>
      </c>
      <c r="AC2383" s="14" t="str">
        <f t="shared" si="4770"/>
        <v>Secure and intact</v>
      </c>
      <c r="AD2383" s="8"/>
    </row>
    <row r="2384">
      <c r="A2384" s="14" t="str">
        <f>IFERROR(__xludf.DUMMYFUNCTION("""COMPUTED_VALUE"""),"//ord_92376//Sanjay Nair//Dadar//Rasmalai+3*Nithin Lal/12/9/2023//Online Payment//Delivered*Satisfied with the Delivery: Timely and quality")</f>
        <v>//ord_92376//Sanjay Nair//Dadar//Rasmalai+3*Nithin Lal/12/9/2023//Online Payment//Delivered*Satisfied with the Delivery: Timely and quality</v>
      </c>
      <c r="B2384" s="14" t="str">
        <f>IFERROR(__xludf.DUMMYFUNCTION("split(A2384,""//"")"),"ord_92376")</f>
        <v>ord_92376</v>
      </c>
      <c r="C2384" s="14" t="str">
        <f>IFERROR(__xludf.DUMMYFUNCTION("""COMPUTED_VALUE"""),"Sanjay Nair")</f>
        <v>Sanjay Nair</v>
      </c>
      <c r="D2384" s="14" t="str">
        <f>IFERROR(__xludf.DUMMYFUNCTION("""COMPUTED_VALUE"""),"Dadar")</f>
        <v>Dadar</v>
      </c>
      <c r="E2384" s="14" t="str">
        <f>IFERROR(__xludf.DUMMYFUNCTION("""COMPUTED_VALUE"""),"Rasmalai+3*Nithin Lal")</f>
        <v>Rasmalai+3*Nithin Lal</v>
      </c>
      <c r="F2384" s="14">
        <f>IFERROR(__xludf.DUMMYFUNCTION("""COMPUTED_VALUE"""),12.0)</f>
        <v>12</v>
      </c>
      <c r="G2384" s="14">
        <f>IFERROR(__xludf.DUMMYFUNCTION("""COMPUTED_VALUE"""),9.0)</f>
        <v>9</v>
      </c>
      <c r="H2384" s="14">
        <f>IFERROR(__xludf.DUMMYFUNCTION("""COMPUTED_VALUE"""),2023.0)</f>
        <v>2023</v>
      </c>
      <c r="I2384" s="14" t="str">
        <f>IFERROR(__xludf.DUMMYFUNCTION("""COMPUTED_VALUE"""),"Online Payment")</f>
        <v>Online Payment</v>
      </c>
      <c r="J2384" s="14" t="str">
        <f>IFERROR(__xludf.DUMMYFUNCTION("""COMPUTED_VALUE"""),"Delivered*Satisfied with the Delivery: Timely and quality")</f>
        <v>Delivered*Satisfied with the Delivery: Timely and quality</v>
      </c>
      <c r="K2384" s="14" t="str">
        <f>IFERROR(__xludf.DUMMYFUNCTION("split(E2384,""+"")"),"Rasmalai")</f>
        <v>Rasmalai</v>
      </c>
      <c r="L2384" s="14" t="str">
        <f>IFERROR(__xludf.DUMMYFUNCTION("""COMPUTED_VALUE"""),"3*Nithin Lal")</f>
        <v>3*Nithin Lal</v>
      </c>
      <c r="M2384" s="14">
        <f>IFERROR(__xludf.DUMMYFUNCTION("SPLIT(L2384,""*"")"),3.0)</f>
        <v>3</v>
      </c>
      <c r="N2384" s="14" t="str">
        <f>IFERROR(__xludf.DUMMYFUNCTION("""COMPUTED_VALUE"""),"Nithin Lal")</f>
        <v>Nithin Lal</v>
      </c>
      <c r="O2384" s="14" t="str">
        <f>IFERROR(__xludf.DUMMYFUNCTION("split(J2384,""*"")"),"Delivered")</f>
        <v>Delivered</v>
      </c>
      <c r="P2384" s="14" t="str">
        <f>IFERROR(__xludf.DUMMYFUNCTION("""COMPUTED_VALUE"""),"Satisfied with the Delivery: Timely and quality")</f>
        <v>Satisfied with the Delivery: Timely and quality</v>
      </c>
      <c r="Q2384" s="14" t="str">
        <f>IFERROR(__xludf.DUMMYFUNCTION("split(P2384,"":"")"),"Satisfied with the Delivery")</f>
        <v>Satisfied with the Delivery</v>
      </c>
      <c r="R2384" s="14" t="str">
        <f>IFERROR(__xludf.DUMMYFUNCTION("""COMPUTED_VALUE""")," Timely and quality")</f>
        <v> Timely and quality</v>
      </c>
      <c r="S2384" s="14" t="str">
        <f t="shared" ref="S2384:U2384" si="4771">trim(B2384)</f>
        <v>ord_92376</v>
      </c>
      <c r="T2384" s="14" t="str">
        <f t="shared" si="4771"/>
        <v>Sanjay Nair</v>
      </c>
      <c r="U2384" s="14" t="str">
        <f t="shared" si="4771"/>
        <v>Dadar</v>
      </c>
      <c r="V2384" s="14" t="str">
        <f t="shared" si="4"/>
        <v>Rasmalai</v>
      </c>
      <c r="W2384" s="14">
        <f t="shared" si="5"/>
        <v>3</v>
      </c>
      <c r="X2384" s="14" t="str">
        <f t="shared" si="6"/>
        <v>Nithin Lal</v>
      </c>
      <c r="Y2384" s="15">
        <f t="shared" si="7"/>
        <v>45269</v>
      </c>
      <c r="Z2384" s="14" t="str">
        <f t="shared" si="8"/>
        <v>Online Payment</v>
      </c>
      <c r="AA2384" s="14" t="str">
        <f t="shared" si="9"/>
        <v>Delivered</v>
      </c>
      <c r="AB2384" s="14" t="str">
        <f t="shared" ref="AB2384:AC2384" si="4772">trim(Q2384)</f>
        <v>Satisfied with the Delivery</v>
      </c>
      <c r="AC2384" s="14" t="str">
        <f t="shared" si="4772"/>
        <v>Timely and quality</v>
      </c>
      <c r="AD2384" s="8"/>
    </row>
    <row r="2385">
      <c r="A2385" s="14" t="str">
        <f>IFERROR(__xludf.DUMMYFUNCTION("""COMPUTED_VALUE"""),"//ord_92377//Parth Goel//Juhu//Cucumber+2*Manju Ajay/10/26/2023//Online Payment//Delivered*Customer Service: Seamless and easy")</f>
        <v>//ord_92377//Parth Goel//Juhu//Cucumber+2*Manju Ajay/10/26/2023//Online Payment//Delivered*Customer Service: Seamless and easy</v>
      </c>
      <c r="B2385" s="14" t="str">
        <f>IFERROR(__xludf.DUMMYFUNCTION("split(A2385,""//"")"),"ord_92377")</f>
        <v>ord_92377</v>
      </c>
      <c r="C2385" s="14" t="str">
        <f>IFERROR(__xludf.DUMMYFUNCTION("""COMPUTED_VALUE"""),"Parth Goel")</f>
        <v>Parth Goel</v>
      </c>
      <c r="D2385" s="14" t="str">
        <f>IFERROR(__xludf.DUMMYFUNCTION("""COMPUTED_VALUE"""),"Juhu")</f>
        <v>Juhu</v>
      </c>
      <c r="E2385" s="14" t="str">
        <f>IFERROR(__xludf.DUMMYFUNCTION("""COMPUTED_VALUE"""),"Cucumber+2*Manju Ajay")</f>
        <v>Cucumber+2*Manju Ajay</v>
      </c>
      <c r="F2385" s="14">
        <f>IFERROR(__xludf.DUMMYFUNCTION("""COMPUTED_VALUE"""),10.0)</f>
        <v>10</v>
      </c>
      <c r="G2385" s="14">
        <f>IFERROR(__xludf.DUMMYFUNCTION("""COMPUTED_VALUE"""),26.0)</f>
        <v>26</v>
      </c>
      <c r="H2385" s="14">
        <f>IFERROR(__xludf.DUMMYFUNCTION("""COMPUTED_VALUE"""),2023.0)</f>
        <v>2023</v>
      </c>
      <c r="I2385" s="14" t="str">
        <f>IFERROR(__xludf.DUMMYFUNCTION("""COMPUTED_VALUE"""),"Online Payment")</f>
        <v>Online Payment</v>
      </c>
      <c r="J2385" s="14" t="str">
        <f>IFERROR(__xludf.DUMMYFUNCTION("""COMPUTED_VALUE"""),"Delivered*Customer Service: Seamless and easy")</f>
        <v>Delivered*Customer Service: Seamless and easy</v>
      </c>
      <c r="K2385" s="14" t="str">
        <f>IFERROR(__xludf.DUMMYFUNCTION("split(E2385,""+"")"),"Cucumber")</f>
        <v>Cucumber</v>
      </c>
      <c r="L2385" s="14" t="str">
        <f>IFERROR(__xludf.DUMMYFUNCTION("""COMPUTED_VALUE"""),"2*Manju Ajay")</f>
        <v>2*Manju Ajay</v>
      </c>
      <c r="M2385" s="14">
        <f>IFERROR(__xludf.DUMMYFUNCTION("SPLIT(L2385,""*"")"),2.0)</f>
        <v>2</v>
      </c>
      <c r="N2385" s="14" t="str">
        <f>IFERROR(__xludf.DUMMYFUNCTION("""COMPUTED_VALUE"""),"Manju Ajay")</f>
        <v>Manju Ajay</v>
      </c>
      <c r="O2385" s="14" t="str">
        <f>IFERROR(__xludf.DUMMYFUNCTION("split(J2385,""*"")"),"Delivered")</f>
        <v>Delivered</v>
      </c>
      <c r="P2385" s="14" t="str">
        <f>IFERROR(__xludf.DUMMYFUNCTION("""COMPUTED_VALUE"""),"Customer Service: Seamless and easy")</f>
        <v>Customer Service: Seamless and easy</v>
      </c>
      <c r="Q2385" s="14" t="str">
        <f>IFERROR(__xludf.DUMMYFUNCTION("split(P2385,"":"")"),"Customer Service")</f>
        <v>Customer Service</v>
      </c>
      <c r="R2385" s="14" t="str">
        <f>IFERROR(__xludf.DUMMYFUNCTION("""COMPUTED_VALUE""")," Seamless and easy")</f>
        <v> Seamless and easy</v>
      </c>
      <c r="S2385" s="14" t="str">
        <f t="shared" ref="S2385:U2385" si="4773">trim(B2385)</f>
        <v>ord_92377</v>
      </c>
      <c r="T2385" s="14" t="str">
        <f t="shared" si="4773"/>
        <v>Parth Goel</v>
      </c>
      <c r="U2385" s="14" t="str">
        <f t="shared" si="4773"/>
        <v>Juhu</v>
      </c>
      <c r="V2385" s="14" t="str">
        <f t="shared" si="4"/>
        <v>Cucumber</v>
      </c>
      <c r="W2385" s="14">
        <f t="shared" si="5"/>
        <v>2</v>
      </c>
      <c r="X2385" s="14" t="str">
        <f t="shared" si="6"/>
        <v>Manju Ajay</v>
      </c>
      <c r="Y2385" s="15">
        <f t="shared" si="7"/>
        <v>45225</v>
      </c>
      <c r="Z2385" s="14" t="str">
        <f t="shared" si="8"/>
        <v>Online Payment</v>
      </c>
      <c r="AA2385" s="14" t="str">
        <f t="shared" si="9"/>
        <v>Delivered</v>
      </c>
      <c r="AB2385" s="14" t="str">
        <f t="shared" ref="AB2385:AC2385" si="4774">trim(Q2385)</f>
        <v>Customer Service</v>
      </c>
      <c r="AC2385" s="14" t="str">
        <f t="shared" si="4774"/>
        <v>Seamless and easy</v>
      </c>
      <c r="AD2385" s="8"/>
    </row>
    <row r="2386">
      <c r="A2386" s="14" t="str">
        <f>IFERROR(__xludf.DUMMYFUNCTION("""COMPUTED_VALUE"""),"//ord_92378//Pranav Joshi//Andheri//Popcorn+2*Ramesh S/11/15/2023//Online Payment//Delivered*Delivery Experience: Quick and professional")</f>
        <v>//ord_92378//Pranav Joshi//Andheri//Popcorn+2*Ramesh S/11/15/2023//Online Payment//Delivered*Delivery Experience: Quick and professional</v>
      </c>
      <c r="B2386" s="14" t="str">
        <f>IFERROR(__xludf.DUMMYFUNCTION("split(A2386,""//"")"),"ord_92378")</f>
        <v>ord_92378</v>
      </c>
      <c r="C2386" s="14" t="str">
        <f>IFERROR(__xludf.DUMMYFUNCTION("""COMPUTED_VALUE"""),"Pranav Joshi")</f>
        <v>Pranav Joshi</v>
      </c>
      <c r="D2386" s="14" t="str">
        <f>IFERROR(__xludf.DUMMYFUNCTION("""COMPUTED_VALUE"""),"Andheri")</f>
        <v>Andheri</v>
      </c>
      <c r="E2386" s="14" t="str">
        <f>IFERROR(__xludf.DUMMYFUNCTION("""COMPUTED_VALUE"""),"Popcorn+2*Ramesh S")</f>
        <v>Popcorn+2*Ramesh S</v>
      </c>
      <c r="F2386" s="14">
        <f>IFERROR(__xludf.DUMMYFUNCTION("""COMPUTED_VALUE"""),11.0)</f>
        <v>11</v>
      </c>
      <c r="G2386" s="14">
        <f>IFERROR(__xludf.DUMMYFUNCTION("""COMPUTED_VALUE"""),15.0)</f>
        <v>15</v>
      </c>
      <c r="H2386" s="14">
        <f>IFERROR(__xludf.DUMMYFUNCTION("""COMPUTED_VALUE"""),2023.0)</f>
        <v>2023</v>
      </c>
      <c r="I2386" s="14" t="str">
        <f>IFERROR(__xludf.DUMMYFUNCTION("""COMPUTED_VALUE"""),"Online Payment")</f>
        <v>Online Payment</v>
      </c>
      <c r="J2386" s="14" t="str">
        <f>IFERROR(__xludf.DUMMYFUNCTION("""COMPUTED_VALUE"""),"Delivered*Delivery Experience: Quick and professional")</f>
        <v>Delivered*Delivery Experience: Quick and professional</v>
      </c>
      <c r="K2386" s="14" t="str">
        <f>IFERROR(__xludf.DUMMYFUNCTION("split(E2386,""+"")"),"Popcorn")</f>
        <v>Popcorn</v>
      </c>
      <c r="L2386" s="14" t="str">
        <f>IFERROR(__xludf.DUMMYFUNCTION("""COMPUTED_VALUE"""),"2*Ramesh S")</f>
        <v>2*Ramesh S</v>
      </c>
      <c r="M2386" s="14">
        <f>IFERROR(__xludf.DUMMYFUNCTION("SPLIT(L2386,""*"")"),2.0)</f>
        <v>2</v>
      </c>
      <c r="N2386" s="14" t="str">
        <f>IFERROR(__xludf.DUMMYFUNCTION("""COMPUTED_VALUE"""),"Ramesh S")</f>
        <v>Ramesh S</v>
      </c>
      <c r="O2386" s="14" t="str">
        <f>IFERROR(__xludf.DUMMYFUNCTION("split(J2386,""*"")"),"Delivered")</f>
        <v>Delivered</v>
      </c>
      <c r="P2386" s="14" t="str">
        <f>IFERROR(__xludf.DUMMYFUNCTION("""COMPUTED_VALUE"""),"Delivery Experience: Quick and professional")</f>
        <v>Delivery Experience: Quick and professional</v>
      </c>
      <c r="Q2386" s="14" t="str">
        <f>IFERROR(__xludf.DUMMYFUNCTION("split(P2386,"":"")"),"Delivery Experience")</f>
        <v>Delivery Experience</v>
      </c>
      <c r="R2386" s="14" t="str">
        <f>IFERROR(__xludf.DUMMYFUNCTION("""COMPUTED_VALUE""")," Quick and professional")</f>
        <v> Quick and professional</v>
      </c>
      <c r="S2386" s="14" t="str">
        <f t="shared" ref="S2386:U2386" si="4775">trim(B2386)</f>
        <v>ord_92378</v>
      </c>
      <c r="T2386" s="14" t="str">
        <f t="shared" si="4775"/>
        <v>Pranav Joshi</v>
      </c>
      <c r="U2386" s="14" t="str">
        <f t="shared" si="4775"/>
        <v>Andheri</v>
      </c>
      <c r="V2386" s="14" t="str">
        <f t="shared" si="4"/>
        <v>Popcorn</v>
      </c>
      <c r="W2386" s="14">
        <f t="shared" si="5"/>
        <v>2</v>
      </c>
      <c r="X2386" s="14" t="str">
        <f t="shared" si="6"/>
        <v>Ramesh S</v>
      </c>
      <c r="Y2386" s="15">
        <f t="shared" si="7"/>
        <v>45245</v>
      </c>
      <c r="Z2386" s="14" t="str">
        <f t="shared" si="8"/>
        <v>Online Payment</v>
      </c>
      <c r="AA2386" s="14" t="str">
        <f t="shared" si="9"/>
        <v>Delivered</v>
      </c>
      <c r="AB2386" s="14" t="str">
        <f t="shared" ref="AB2386:AC2386" si="4776">trim(Q2386)</f>
        <v>Delivery Experience</v>
      </c>
      <c r="AC2386" s="14" t="str">
        <f t="shared" si="4776"/>
        <v>Quick and professional</v>
      </c>
      <c r="AD2386" s="8"/>
    </row>
    <row r="2387">
      <c r="A2387" s="14" t="str">
        <f>IFERROR(__xludf.DUMMYFUNCTION("""COMPUTED_VALUE"""),"//ord_92379//Pallavi Ghosh//Bandra//Guava+2*Sita T/12/10/2023//UPI//Delivered*Convenience: Easy tracking")</f>
        <v>//ord_92379//Pallavi Ghosh//Bandra//Guava+2*Sita T/12/10/2023//UPI//Delivered*Convenience: Easy tracking</v>
      </c>
      <c r="B2387" s="14" t="str">
        <f>IFERROR(__xludf.DUMMYFUNCTION("split(A2387,""//"")"),"ord_92379")</f>
        <v>ord_92379</v>
      </c>
      <c r="C2387" s="14" t="str">
        <f>IFERROR(__xludf.DUMMYFUNCTION("""COMPUTED_VALUE"""),"Pallavi Ghosh")</f>
        <v>Pallavi Ghosh</v>
      </c>
      <c r="D2387" s="14" t="str">
        <f>IFERROR(__xludf.DUMMYFUNCTION("""COMPUTED_VALUE"""),"Bandra")</f>
        <v>Bandra</v>
      </c>
      <c r="E2387" s="14" t="str">
        <f>IFERROR(__xludf.DUMMYFUNCTION("""COMPUTED_VALUE"""),"Guava+2*Sita T")</f>
        <v>Guava+2*Sita T</v>
      </c>
      <c r="F2387" s="14">
        <f>IFERROR(__xludf.DUMMYFUNCTION("""COMPUTED_VALUE"""),12.0)</f>
        <v>12</v>
      </c>
      <c r="G2387" s="14">
        <f>IFERROR(__xludf.DUMMYFUNCTION("""COMPUTED_VALUE"""),10.0)</f>
        <v>10</v>
      </c>
      <c r="H2387" s="14">
        <f>IFERROR(__xludf.DUMMYFUNCTION("""COMPUTED_VALUE"""),2023.0)</f>
        <v>2023</v>
      </c>
      <c r="I2387" s="14" t="str">
        <f>IFERROR(__xludf.DUMMYFUNCTION("""COMPUTED_VALUE"""),"UPI")</f>
        <v>UPI</v>
      </c>
      <c r="J2387" s="14" t="str">
        <f>IFERROR(__xludf.DUMMYFUNCTION("""COMPUTED_VALUE"""),"Delivered*Convenience: Easy tracking")</f>
        <v>Delivered*Convenience: Easy tracking</v>
      </c>
      <c r="K2387" s="14" t="str">
        <f>IFERROR(__xludf.DUMMYFUNCTION("split(E2387,""+"")"),"Guava")</f>
        <v>Guava</v>
      </c>
      <c r="L2387" s="14" t="str">
        <f>IFERROR(__xludf.DUMMYFUNCTION("""COMPUTED_VALUE"""),"2*Sita T")</f>
        <v>2*Sita T</v>
      </c>
      <c r="M2387" s="14">
        <f>IFERROR(__xludf.DUMMYFUNCTION("SPLIT(L2387,""*"")"),2.0)</f>
        <v>2</v>
      </c>
      <c r="N2387" s="14" t="str">
        <f>IFERROR(__xludf.DUMMYFUNCTION("""COMPUTED_VALUE"""),"Sita T")</f>
        <v>Sita T</v>
      </c>
      <c r="O2387" s="14" t="str">
        <f>IFERROR(__xludf.DUMMYFUNCTION("split(J2387,""*"")"),"Delivered")</f>
        <v>Delivered</v>
      </c>
      <c r="P2387" s="14" t="str">
        <f>IFERROR(__xludf.DUMMYFUNCTION("""COMPUTED_VALUE"""),"Convenience: Easy tracking")</f>
        <v>Convenience: Easy tracking</v>
      </c>
      <c r="Q2387" s="14" t="str">
        <f>IFERROR(__xludf.DUMMYFUNCTION("split(P2387,"":"")"),"Convenience")</f>
        <v>Convenience</v>
      </c>
      <c r="R2387" s="14" t="str">
        <f>IFERROR(__xludf.DUMMYFUNCTION("""COMPUTED_VALUE""")," Easy tracking")</f>
        <v> Easy tracking</v>
      </c>
      <c r="S2387" s="14" t="str">
        <f t="shared" ref="S2387:U2387" si="4777">trim(B2387)</f>
        <v>ord_92379</v>
      </c>
      <c r="T2387" s="14" t="str">
        <f t="shared" si="4777"/>
        <v>Pallavi Ghosh</v>
      </c>
      <c r="U2387" s="14" t="str">
        <f t="shared" si="4777"/>
        <v>Bandra</v>
      </c>
      <c r="V2387" s="14" t="str">
        <f t="shared" si="4"/>
        <v>Guava</v>
      </c>
      <c r="W2387" s="14">
        <f t="shared" si="5"/>
        <v>2</v>
      </c>
      <c r="X2387" s="14" t="str">
        <f t="shared" si="6"/>
        <v>Sita T</v>
      </c>
      <c r="Y2387" s="15">
        <f t="shared" si="7"/>
        <v>45270</v>
      </c>
      <c r="Z2387" s="14" t="str">
        <f t="shared" si="8"/>
        <v>UPI</v>
      </c>
      <c r="AA2387" s="14" t="str">
        <f t="shared" si="9"/>
        <v>Delivered</v>
      </c>
      <c r="AB2387" s="14" t="str">
        <f t="shared" ref="AB2387:AC2387" si="4778">trim(Q2387)</f>
        <v>Convenience</v>
      </c>
      <c r="AC2387" s="14" t="str">
        <f t="shared" si="4778"/>
        <v>Easy tracking</v>
      </c>
      <c r="AD2387" s="8"/>
    </row>
    <row r="2388">
      <c r="A2388" s="14" t="str">
        <f>IFERROR(__xludf.DUMMYFUNCTION("""COMPUTED_VALUE"""),"//ord_92380//Sanjay Nair//Dadar//Icecream+3*Vivek Kumar/6/7/2023//UPI//Delivered*Overall Satisfaction: Great service will order again")</f>
        <v>//ord_92380//Sanjay Nair//Dadar//Icecream+3*Vivek Kumar/6/7/2023//UPI//Delivered*Overall Satisfaction: Great service will order again</v>
      </c>
      <c r="B2388" s="14" t="str">
        <f>IFERROR(__xludf.DUMMYFUNCTION("split(A2388,""//"")"),"ord_92380")</f>
        <v>ord_92380</v>
      </c>
      <c r="C2388" s="14" t="str">
        <f>IFERROR(__xludf.DUMMYFUNCTION("""COMPUTED_VALUE"""),"Sanjay Nair")</f>
        <v>Sanjay Nair</v>
      </c>
      <c r="D2388" s="14" t="str">
        <f>IFERROR(__xludf.DUMMYFUNCTION("""COMPUTED_VALUE"""),"Dadar")</f>
        <v>Dadar</v>
      </c>
      <c r="E2388" s="14" t="str">
        <f>IFERROR(__xludf.DUMMYFUNCTION("""COMPUTED_VALUE"""),"Icecream+3*Vivek Kumar")</f>
        <v>Icecream+3*Vivek Kumar</v>
      </c>
      <c r="F2388" s="14">
        <f>IFERROR(__xludf.DUMMYFUNCTION("""COMPUTED_VALUE"""),6.0)</f>
        <v>6</v>
      </c>
      <c r="G2388" s="14">
        <f>IFERROR(__xludf.DUMMYFUNCTION("""COMPUTED_VALUE"""),7.0)</f>
        <v>7</v>
      </c>
      <c r="H2388" s="14">
        <f>IFERROR(__xludf.DUMMYFUNCTION("""COMPUTED_VALUE"""),2023.0)</f>
        <v>2023</v>
      </c>
      <c r="I2388" s="14" t="str">
        <f>IFERROR(__xludf.DUMMYFUNCTION("""COMPUTED_VALUE"""),"UPI")</f>
        <v>UPI</v>
      </c>
      <c r="J2388" s="14" t="str">
        <f>IFERROR(__xludf.DUMMYFUNCTION("""COMPUTED_VALUE"""),"Delivered*Overall Satisfaction: Great service will order again")</f>
        <v>Delivered*Overall Satisfaction: Great service will order again</v>
      </c>
      <c r="K2388" s="14" t="str">
        <f>IFERROR(__xludf.DUMMYFUNCTION("split(E2388,""+"")"),"Icecream")</f>
        <v>Icecream</v>
      </c>
      <c r="L2388" s="14" t="str">
        <f>IFERROR(__xludf.DUMMYFUNCTION("""COMPUTED_VALUE"""),"3*Vivek Kumar")</f>
        <v>3*Vivek Kumar</v>
      </c>
      <c r="M2388" s="14">
        <f>IFERROR(__xludf.DUMMYFUNCTION("SPLIT(L2388,""*"")"),3.0)</f>
        <v>3</v>
      </c>
      <c r="N2388" s="14" t="str">
        <f>IFERROR(__xludf.DUMMYFUNCTION("""COMPUTED_VALUE"""),"Vivek Kumar")</f>
        <v>Vivek Kumar</v>
      </c>
      <c r="O2388" s="14" t="str">
        <f>IFERROR(__xludf.DUMMYFUNCTION("split(J2388,""*"")"),"Delivered")</f>
        <v>Delivered</v>
      </c>
      <c r="P2388" s="14" t="str">
        <f>IFERROR(__xludf.DUMMYFUNCTION("""COMPUTED_VALUE"""),"Overall Satisfaction: Great service will order again")</f>
        <v>Overall Satisfaction: Great service will order again</v>
      </c>
      <c r="Q2388" s="14" t="str">
        <f>IFERROR(__xludf.DUMMYFUNCTION("split(P2388,"":"")"),"Overall Satisfaction")</f>
        <v>Overall Satisfaction</v>
      </c>
      <c r="R2388" s="14" t="str">
        <f>IFERROR(__xludf.DUMMYFUNCTION("""COMPUTED_VALUE""")," Great service will order again")</f>
        <v> Great service will order again</v>
      </c>
      <c r="S2388" s="14" t="str">
        <f t="shared" ref="S2388:U2388" si="4779">trim(B2388)</f>
        <v>ord_92380</v>
      </c>
      <c r="T2388" s="14" t="str">
        <f t="shared" si="4779"/>
        <v>Sanjay Nair</v>
      </c>
      <c r="U2388" s="14" t="str">
        <f t="shared" si="4779"/>
        <v>Dadar</v>
      </c>
      <c r="V2388" s="14" t="str">
        <f t="shared" si="4"/>
        <v>Icecream</v>
      </c>
      <c r="W2388" s="14">
        <f t="shared" si="5"/>
        <v>3</v>
      </c>
      <c r="X2388" s="14" t="str">
        <f t="shared" si="6"/>
        <v>Vivek Kumar</v>
      </c>
      <c r="Y2388" s="15">
        <f t="shared" si="7"/>
        <v>45084</v>
      </c>
      <c r="Z2388" s="14" t="str">
        <f t="shared" si="8"/>
        <v>UPI</v>
      </c>
      <c r="AA2388" s="14" t="str">
        <f t="shared" si="9"/>
        <v>Delivered</v>
      </c>
      <c r="AB2388" s="14" t="str">
        <f t="shared" ref="AB2388:AC2388" si="4780">trim(Q2388)</f>
        <v>Overall Satisfaction</v>
      </c>
      <c r="AC2388" s="14" t="str">
        <f t="shared" si="4780"/>
        <v>Great service will order again</v>
      </c>
      <c r="AD2388" s="8"/>
    </row>
    <row r="2389">
      <c r="A2389" s="14" t="str">
        <f>IFERROR(__xludf.DUMMYFUNCTION("""COMPUTED_VALUE"""),"//ord_92381//Ishita Banerjee//Juhu//Onion+1*Manju Ajay/9/27/2023//Credit Card//Delivered*On-time Delivery: Delivered on time")</f>
        <v>//ord_92381//Ishita Banerjee//Juhu//Onion+1*Manju Ajay/9/27/2023//Credit Card//Delivered*On-time Delivery: Delivered on time</v>
      </c>
      <c r="B2389" s="14" t="str">
        <f>IFERROR(__xludf.DUMMYFUNCTION("split(A2389,""//"")"),"ord_92381")</f>
        <v>ord_92381</v>
      </c>
      <c r="C2389" s="14" t="str">
        <f>IFERROR(__xludf.DUMMYFUNCTION("""COMPUTED_VALUE"""),"Ishita Banerjee")</f>
        <v>Ishita Banerjee</v>
      </c>
      <c r="D2389" s="14" t="str">
        <f>IFERROR(__xludf.DUMMYFUNCTION("""COMPUTED_VALUE"""),"Juhu")</f>
        <v>Juhu</v>
      </c>
      <c r="E2389" s="14" t="str">
        <f>IFERROR(__xludf.DUMMYFUNCTION("""COMPUTED_VALUE"""),"Onion+1*Manju Ajay")</f>
        <v>Onion+1*Manju Ajay</v>
      </c>
      <c r="F2389" s="14">
        <f>IFERROR(__xludf.DUMMYFUNCTION("""COMPUTED_VALUE"""),9.0)</f>
        <v>9</v>
      </c>
      <c r="G2389" s="14">
        <f>IFERROR(__xludf.DUMMYFUNCTION("""COMPUTED_VALUE"""),27.0)</f>
        <v>27</v>
      </c>
      <c r="H2389" s="14">
        <f>IFERROR(__xludf.DUMMYFUNCTION("""COMPUTED_VALUE"""),2023.0)</f>
        <v>2023</v>
      </c>
      <c r="I2389" s="14" t="str">
        <f>IFERROR(__xludf.DUMMYFUNCTION("""COMPUTED_VALUE"""),"Credit Card")</f>
        <v>Credit Card</v>
      </c>
      <c r="J2389" s="14" t="str">
        <f>IFERROR(__xludf.DUMMYFUNCTION("""COMPUTED_VALUE"""),"Delivered*On-time Delivery: Delivered on time")</f>
        <v>Delivered*On-time Delivery: Delivered on time</v>
      </c>
      <c r="K2389" s="14" t="str">
        <f>IFERROR(__xludf.DUMMYFUNCTION("split(E2389,""+"")"),"Onion")</f>
        <v>Onion</v>
      </c>
      <c r="L2389" s="14" t="str">
        <f>IFERROR(__xludf.DUMMYFUNCTION("""COMPUTED_VALUE"""),"1*Manju Ajay")</f>
        <v>1*Manju Ajay</v>
      </c>
      <c r="M2389" s="14">
        <f>IFERROR(__xludf.DUMMYFUNCTION("SPLIT(L2389,""*"")"),1.0)</f>
        <v>1</v>
      </c>
      <c r="N2389" s="14" t="str">
        <f>IFERROR(__xludf.DUMMYFUNCTION("""COMPUTED_VALUE"""),"Manju Ajay")</f>
        <v>Manju Ajay</v>
      </c>
      <c r="O2389" s="14" t="str">
        <f>IFERROR(__xludf.DUMMYFUNCTION("split(J2389,""*"")"),"Delivered")</f>
        <v>Delivered</v>
      </c>
      <c r="P2389" s="14" t="str">
        <f>IFERROR(__xludf.DUMMYFUNCTION("""COMPUTED_VALUE"""),"On-time Delivery: Delivered on time")</f>
        <v>On-time Delivery: Delivered on time</v>
      </c>
      <c r="Q2389" s="14" t="str">
        <f>IFERROR(__xludf.DUMMYFUNCTION("split(P2389,"":"")"),"On-time Delivery")</f>
        <v>On-time Delivery</v>
      </c>
      <c r="R2389" s="14" t="str">
        <f>IFERROR(__xludf.DUMMYFUNCTION("""COMPUTED_VALUE""")," Delivered on time")</f>
        <v> Delivered on time</v>
      </c>
      <c r="S2389" s="14" t="str">
        <f t="shared" ref="S2389:U2389" si="4781">trim(B2389)</f>
        <v>ord_92381</v>
      </c>
      <c r="T2389" s="14" t="str">
        <f t="shared" si="4781"/>
        <v>Ishita Banerjee</v>
      </c>
      <c r="U2389" s="14" t="str">
        <f t="shared" si="4781"/>
        <v>Juhu</v>
      </c>
      <c r="V2389" s="14" t="str">
        <f t="shared" si="4"/>
        <v>Onion</v>
      </c>
      <c r="W2389" s="14">
        <f t="shared" si="5"/>
        <v>1</v>
      </c>
      <c r="X2389" s="14" t="str">
        <f t="shared" si="6"/>
        <v>Manju Ajay</v>
      </c>
      <c r="Y2389" s="15">
        <f t="shared" si="7"/>
        <v>45196</v>
      </c>
      <c r="Z2389" s="14" t="str">
        <f t="shared" si="8"/>
        <v>Credit Card</v>
      </c>
      <c r="AA2389" s="14" t="str">
        <f t="shared" si="9"/>
        <v>Delivered</v>
      </c>
      <c r="AB2389" s="14" t="str">
        <f t="shared" ref="AB2389:AC2389" si="4782">trim(Q2389)</f>
        <v>On-time Delivery</v>
      </c>
      <c r="AC2389" s="14" t="str">
        <f t="shared" si="4782"/>
        <v>Delivered on time</v>
      </c>
      <c r="AD2389" s="8"/>
    </row>
    <row r="2390">
      <c r="A2390" s="14" t="str">
        <f>IFERROR(__xludf.DUMMYFUNCTION("""COMPUTED_VALUE"""),"//ord_92382//Sakshi Tandon//Colaba//Apple+2*Ramesh S/9/8/2023//Online Payment//Delivered*On-time Delivery: Delivered on time")</f>
        <v>//ord_92382//Sakshi Tandon//Colaba//Apple+2*Ramesh S/9/8/2023//Online Payment//Delivered*On-time Delivery: Delivered on time</v>
      </c>
      <c r="B2390" s="14" t="str">
        <f>IFERROR(__xludf.DUMMYFUNCTION("split(A2390,""//"")"),"ord_92382")</f>
        <v>ord_92382</v>
      </c>
      <c r="C2390" s="14" t="str">
        <f>IFERROR(__xludf.DUMMYFUNCTION("""COMPUTED_VALUE"""),"Sakshi Tandon")</f>
        <v>Sakshi Tandon</v>
      </c>
      <c r="D2390" s="14" t="str">
        <f>IFERROR(__xludf.DUMMYFUNCTION("""COMPUTED_VALUE"""),"Colaba")</f>
        <v>Colaba</v>
      </c>
      <c r="E2390" s="14" t="str">
        <f>IFERROR(__xludf.DUMMYFUNCTION("""COMPUTED_VALUE"""),"Apple+2*Ramesh S")</f>
        <v>Apple+2*Ramesh S</v>
      </c>
      <c r="F2390" s="14">
        <f>IFERROR(__xludf.DUMMYFUNCTION("""COMPUTED_VALUE"""),9.0)</f>
        <v>9</v>
      </c>
      <c r="G2390" s="14">
        <f>IFERROR(__xludf.DUMMYFUNCTION("""COMPUTED_VALUE"""),8.0)</f>
        <v>8</v>
      </c>
      <c r="H2390" s="14">
        <f>IFERROR(__xludf.DUMMYFUNCTION("""COMPUTED_VALUE"""),2023.0)</f>
        <v>2023</v>
      </c>
      <c r="I2390" s="14" t="str">
        <f>IFERROR(__xludf.DUMMYFUNCTION("""COMPUTED_VALUE"""),"Online Payment")</f>
        <v>Online Payment</v>
      </c>
      <c r="J2390" s="14" t="str">
        <f>IFERROR(__xludf.DUMMYFUNCTION("""COMPUTED_VALUE"""),"Delivered*On-time Delivery: Delivered on time")</f>
        <v>Delivered*On-time Delivery: Delivered on time</v>
      </c>
      <c r="K2390" s="14" t="str">
        <f>IFERROR(__xludf.DUMMYFUNCTION("split(E2390,""+"")"),"Apple")</f>
        <v>Apple</v>
      </c>
      <c r="L2390" s="14" t="str">
        <f>IFERROR(__xludf.DUMMYFUNCTION("""COMPUTED_VALUE"""),"2*Ramesh S")</f>
        <v>2*Ramesh S</v>
      </c>
      <c r="M2390" s="14">
        <f>IFERROR(__xludf.DUMMYFUNCTION("SPLIT(L2390,""*"")"),2.0)</f>
        <v>2</v>
      </c>
      <c r="N2390" s="14" t="str">
        <f>IFERROR(__xludf.DUMMYFUNCTION("""COMPUTED_VALUE"""),"Ramesh S")</f>
        <v>Ramesh S</v>
      </c>
      <c r="O2390" s="14" t="str">
        <f>IFERROR(__xludf.DUMMYFUNCTION("split(J2390,""*"")"),"Delivered")</f>
        <v>Delivered</v>
      </c>
      <c r="P2390" s="14" t="str">
        <f>IFERROR(__xludf.DUMMYFUNCTION("""COMPUTED_VALUE"""),"On-time Delivery: Delivered on time")</f>
        <v>On-time Delivery: Delivered on time</v>
      </c>
      <c r="Q2390" s="14" t="str">
        <f>IFERROR(__xludf.DUMMYFUNCTION("split(P2390,"":"")"),"On-time Delivery")</f>
        <v>On-time Delivery</v>
      </c>
      <c r="R2390" s="14" t="str">
        <f>IFERROR(__xludf.DUMMYFUNCTION("""COMPUTED_VALUE""")," Delivered on time")</f>
        <v> Delivered on time</v>
      </c>
      <c r="S2390" s="14" t="str">
        <f t="shared" ref="S2390:U2390" si="4783">trim(B2390)</f>
        <v>ord_92382</v>
      </c>
      <c r="T2390" s="14" t="str">
        <f t="shared" si="4783"/>
        <v>Sakshi Tandon</v>
      </c>
      <c r="U2390" s="14" t="str">
        <f t="shared" si="4783"/>
        <v>Colaba</v>
      </c>
      <c r="V2390" s="14" t="str">
        <f t="shared" si="4"/>
        <v>Apple</v>
      </c>
      <c r="W2390" s="14">
        <f t="shared" si="5"/>
        <v>2</v>
      </c>
      <c r="X2390" s="14" t="str">
        <f t="shared" si="6"/>
        <v>Ramesh S</v>
      </c>
      <c r="Y2390" s="15">
        <f t="shared" si="7"/>
        <v>45177</v>
      </c>
      <c r="Z2390" s="14" t="str">
        <f t="shared" si="8"/>
        <v>Online Payment</v>
      </c>
      <c r="AA2390" s="14" t="str">
        <f t="shared" si="9"/>
        <v>Delivered</v>
      </c>
      <c r="AB2390" s="14" t="str">
        <f t="shared" ref="AB2390:AC2390" si="4784">trim(Q2390)</f>
        <v>On-time Delivery</v>
      </c>
      <c r="AC2390" s="14" t="str">
        <f t="shared" si="4784"/>
        <v>Delivered on time</v>
      </c>
      <c r="AD2390" s="8"/>
    </row>
    <row r="2391">
      <c r="A2391" s="14" t="str">
        <f>IFERROR(__xludf.DUMMYFUNCTION("""COMPUTED_VALUE"""),"//ord_92383//Simran Bhatt//Juhu//Rasmalai+5*Nithin Lal/7/17/2023//Online Payment//Delivered*Quality of Items: Perfect condition")</f>
        <v>//ord_92383//Simran Bhatt//Juhu//Rasmalai+5*Nithin Lal/7/17/2023//Online Payment//Delivered*Quality of Items: Perfect condition</v>
      </c>
      <c r="B2391" s="14" t="str">
        <f>IFERROR(__xludf.DUMMYFUNCTION("split(A2391,""//"")"),"ord_92383")</f>
        <v>ord_92383</v>
      </c>
      <c r="C2391" s="14" t="str">
        <f>IFERROR(__xludf.DUMMYFUNCTION("""COMPUTED_VALUE"""),"Simran Bhatt")</f>
        <v>Simran Bhatt</v>
      </c>
      <c r="D2391" s="14" t="str">
        <f>IFERROR(__xludf.DUMMYFUNCTION("""COMPUTED_VALUE"""),"Juhu")</f>
        <v>Juhu</v>
      </c>
      <c r="E2391" s="14" t="str">
        <f>IFERROR(__xludf.DUMMYFUNCTION("""COMPUTED_VALUE"""),"Rasmalai+5*Nithin Lal")</f>
        <v>Rasmalai+5*Nithin Lal</v>
      </c>
      <c r="F2391" s="14">
        <f>IFERROR(__xludf.DUMMYFUNCTION("""COMPUTED_VALUE"""),7.0)</f>
        <v>7</v>
      </c>
      <c r="G2391" s="14">
        <f>IFERROR(__xludf.DUMMYFUNCTION("""COMPUTED_VALUE"""),17.0)</f>
        <v>17</v>
      </c>
      <c r="H2391" s="14">
        <f>IFERROR(__xludf.DUMMYFUNCTION("""COMPUTED_VALUE"""),2023.0)</f>
        <v>2023</v>
      </c>
      <c r="I2391" s="14" t="str">
        <f>IFERROR(__xludf.DUMMYFUNCTION("""COMPUTED_VALUE"""),"Online Payment")</f>
        <v>Online Payment</v>
      </c>
      <c r="J2391" s="14" t="str">
        <f>IFERROR(__xludf.DUMMYFUNCTION("""COMPUTED_VALUE"""),"Delivered*Quality of Items: Perfect condition")</f>
        <v>Delivered*Quality of Items: Perfect condition</v>
      </c>
      <c r="K2391" s="14" t="str">
        <f>IFERROR(__xludf.DUMMYFUNCTION("split(E2391,""+"")"),"Rasmalai")</f>
        <v>Rasmalai</v>
      </c>
      <c r="L2391" s="14" t="str">
        <f>IFERROR(__xludf.DUMMYFUNCTION("""COMPUTED_VALUE"""),"5*Nithin Lal")</f>
        <v>5*Nithin Lal</v>
      </c>
      <c r="M2391" s="14">
        <f>IFERROR(__xludf.DUMMYFUNCTION("SPLIT(L2391,""*"")"),5.0)</f>
        <v>5</v>
      </c>
      <c r="N2391" s="14" t="str">
        <f>IFERROR(__xludf.DUMMYFUNCTION("""COMPUTED_VALUE"""),"Nithin Lal")</f>
        <v>Nithin Lal</v>
      </c>
      <c r="O2391" s="14" t="str">
        <f>IFERROR(__xludf.DUMMYFUNCTION("split(J2391,""*"")"),"Delivered")</f>
        <v>Delivered</v>
      </c>
      <c r="P2391" s="14" t="str">
        <f>IFERROR(__xludf.DUMMYFUNCTION("""COMPUTED_VALUE"""),"Quality of Items: Perfect condition")</f>
        <v>Quality of Items: Perfect condition</v>
      </c>
      <c r="Q2391" s="14" t="str">
        <f>IFERROR(__xludf.DUMMYFUNCTION("split(P2391,"":"")"),"Quality of Items")</f>
        <v>Quality of Items</v>
      </c>
      <c r="R2391" s="14" t="str">
        <f>IFERROR(__xludf.DUMMYFUNCTION("""COMPUTED_VALUE""")," Perfect condition")</f>
        <v> Perfect condition</v>
      </c>
      <c r="S2391" s="14" t="str">
        <f t="shared" ref="S2391:U2391" si="4785">trim(B2391)</f>
        <v>ord_92383</v>
      </c>
      <c r="T2391" s="14" t="str">
        <f t="shared" si="4785"/>
        <v>Simran Bhatt</v>
      </c>
      <c r="U2391" s="14" t="str">
        <f t="shared" si="4785"/>
        <v>Juhu</v>
      </c>
      <c r="V2391" s="14" t="str">
        <f t="shared" si="4"/>
        <v>Rasmalai</v>
      </c>
      <c r="W2391" s="14">
        <f t="shared" si="5"/>
        <v>5</v>
      </c>
      <c r="X2391" s="14" t="str">
        <f t="shared" si="6"/>
        <v>Nithin Lal</v>
      </c>
      <c r="Y2391" s="15">
        <f t="shared" si="7"/>
        <v>45124</v>
      </c>
      <c r="Z2391" s="14" t="str">
        <f t="shared" si="8"/>
        <v>Online Payment</v>
      </c>
      <c r="AA2391" s="14" t="str">
        <f t="shared" si="9"/>
        <v>Delivered</v>
      </c>
      <c r="AB2391" s="14" t="str">
        <f t="shared" ref="AB2391:AC2391" si="4786">trim(Q2391)</f>
        <v>Quality of Items</v>
      </c>
      <c r="AC2391" s="14" t="str">
        <f t="shared" si="4786"/>
        <v>Perfect condition</v>
      </c>
      <c r="AD2391" s="8"/>
    </row>
    <row r="2392">
      <c r="A2392" s="14" t="str">
        <f>IFERROR(__xludf.DUMMYFUNCTION("""COMPUTED_VALUE"""),"//ord_92384//Ritika Dutta//Lower Parel//Icecream+7*Ramesh S/8/26/2023//UPI//Delivered*Packaging: Secure and intact")</f>
        <v>//ord_92384//Ritika Dutta//Lower Parel//Icecream+7*Ramesh S/8/26/2023//UPI//Delivered*Packaging: Secure and intact</v>
      </c>
      <c r="B2392" s="14" t="str">
        <f>IFERROR(__xludf.DUMMYFUNCTION("split(A2392,""//"")"),"ord_92384")</f>
        <v>ord_92384</v>
      </c>
      <c r="C2392" s="14" t="str">
        <f>IFERROR(__xludf.DUMMYFUNCTION("""COMPUTED_VALUE"""),"Ritika Dutta")</f>
        <v>Ritika Dutta</v>
      </c>
      <c r="D2392" s="14" t="str">
        <f>IFERROR(__xludf.DUMMYFUNCTION("""COMPUTED_VALUE"""),"Lower Parel")</f>
        <v>Lower Parel</v>
      </c>
      <c r="E2392" s="14" t="str">
        <f>IFERROR(__xludf.DUMMYFUNCTION("""COMPUTED_VALUE"""),"Icecream+7*Ramesh S")</f>
        <v>Icecream+7*Ramesh S</v>
      </c>
      <c r="F2392" s="14">
        <f>IFERROR(__xludf.DUMMYFUNCTION("""COMPUTED_VALUE"""),8.0)</f>
        <v>8</v>
      </c>
      <c r="G2392" s="14">
        <f>IFERROR(__xludf.DUMMYFUNCTION("""COMPUTED_VALUE"""),26.0)</f>
        <v>26</v>
      </c>
      <c r="H2392" s="14">
        <f>IFERROR(__xludf.DUMMYFUNCTION("""COMPUTED_VALUE"""),2023.0)</f>
        <v>2023</v>
      </c>
      <c r="I2392" s="14" t="str">
        <f>IFERROR(__xludf.DUMMYFUNCTION("""COMPUTED_VALUE"""),"UPI")</f>
        <v>UPI</v>
      </c>
      <c r="J2392" s="14" t="str">
        <f>IFERROR(__xludf.DUMMYFUNCTION("""COMPUTED_VALUE"""),"Delivered*Packaging: Secure and intact")</f>
        <v>Delivered*Packaging: Secure and intact</v>
      </c>
      <c r="K2392" s="14" t="str">
        <f>IFERROR(__xludf.DUMMYFUNCTION("split(E2392,""+"")"),"Icecream")</f>
        <v>Icecream</v>
      </c>
      <c r="L2392" s="14" t="str">
        <f>IFERROR(__xludf.DUMMYFUNCTION("""COMPUTED_VALUE"""),"7*Ramesh S")</f>
        <v>7*Ramesh S</v>
      </c>
      <c r="M2392" s="14">
        <f>IFERROR(__xludf.DUMMYFUNCTION("SPLIT(L2392,""*"")"),7.0)</f>
        <v>7</v>
      </c>
      <c r="N2392" s="14" t="str">
        <f>IFERROR(__xludf.DUMMYFUNCTION("""COMPUTED_VALUE"""),"Ramesh S")</f>
        <v>Ramesh S</v>
      </c>
      <c r="O2392" s="14" t="str">
        <f>IFERROR(__xludf.DUMMYFUNCTION("split(J2392,""*"")"),"Delivered")</f>
        <v>Delivered</v>
      </c>
      <c r="P2392" s="14" t="str">
        <f>IFERROR(__xludf.DUMMYFUNCTION("""COMPUTED_VALUE"""),"Packaging: Secure and intact")</f>
        <v>Packaging: Secure and intact</v>
      </c>
      <c r="Q2392" s="14" t="str">
        <f>IFERROR(__xludf.DUMMYFUNCTION("split(P2392,"":"")"),"Packaging")</f>
        <v>Packaging</v>
      </c>
      <c r="R2392" s="14" t="str">
        <f>IFERROR(__xludf.DUMMYFUNCTION("""COMPUTED_VALUE""")," Secure and intact")</f>
        <v> Secure and intact</v>
      </c>
      <c r="S2392" s="14" t="str">
        <f t="shared" ref="S2392:U2392" si="4787">trim(B2392)</f>
        <v>ord_92384</v>
      </c>
      <c r="T2392" s="14" t="str">
        <f t="shared" si="4787"/>
        <v>Ritika Dutta</v>
      </c>
      <c r="U2392" s="14" t="str">
        <f t="shared" si="4787"/>
        <v>Lower Parel</v>
      </c>
      <c r="V2392" s="14" t="str">
        <f t="shared" si="4"/>
        <v>Icecream</v>
      </c>
      <c r="W2392" s="14">
        <f t="shared" si="5"/>
        <v>7</v>
      </c>
      <c r="X2392" s="14" t="str">
        <f t="shared" si="6"/>
        <v>Ramesh S</v>
      </c>
      <c r="Y2392" s="15">
        <f t="shared" si="7"/>
        <v>45164</v>
      </c>
      <c r="Z2392" s="14" t="str">
        <f t="shared" si="8"/>
        <v>UPI</v>
      </c>
      <c r="AA2392" s="14" t="str">
        <f t="shared" si="9"/>
        <v>Delivered</v>
      </c>
      <c r="AB2392" s="14" t="str">
        <f t="shared" ref="AB2392:AC2392" si="4788">trim(Q2392)</f>
        <v>Packaging</v>
      </c>
      <c r="AC2392" s="14" t="str">
        <f t="shared" si="4788"/>
        <v>Secure and intact</v>
      </c>
      <c r="AD2392" s="8"/>
    </row>
    <row r="2393">
      <c r="A2393" s="14" t="str">
        <f>IFERROR(__xludf.DUMMYFUNCTION("""COMPUTED_VALUE"""),"//ord_92385//Arvind Kulkarni//Juhu//Apple+1*Ram Gopal/10/21/2023//Credit Card//Delivered*Satisfied with the Delivery: Timely and quality")</f>
        <v>//ord_92385//Arvind Kulkarni//Juhu//Apple+1*Ram Gopal/10/21/2023//Credit Card//Delivered*Satisfied with the Delivery: Timely and quality</v>
      </c>
      <c r="B2393" s="14" t="str">
        <f>IFERROR(__xludf.DUMMYFUNCTION("split(A2393,""//"")"),"ord_92385")</f>
        <v>ord_92385</v>
      </c>
      <c r="C2393" s="14" t="str">
        <f>IFERROR(__xludf.DUMMYFUNCTION("""COMPUTED_VALUE"""),"Arvind Kulkarni")</f>
        <v>Arvind Kulkarni</v>
      </c>
      <c r="D2393" s="14" t="str">
        <f>IFERROR(__xludf.DUMMYFUNCTION("""COMPUTED_VALUE"""),"Juhu")</f>
        <v>Juhu</v>
      </c>
      <c r="E2393" s="14" t="str">
        <f>IFERROR(__xludf.DUMMYFUNCTION("""COMPUTED_VALUE"""),"Apple+1*Ram Gopal")</f>
        <v>Apple+1*Ram Gopal</v>
      </c>
      <c r="F2393" s="14">
        <f>IFERROR(__xludf.DUMMYFUNCTION("""COMPUTED_VALUE"""),10.0)</f>
        <v>10</v>
      </c>
      <c r="G2393" s="14">
        <f>IFERROR(__xludf.DUMMYFUNCTION("""COMPUTED_VALUE"""),21.0)</f>
        <v>21</v>
      </c>
      <c r="H2393" s="14">
        <f>IFERROR(__xludf.DUMMYFUNCTION("""COMPUTED_VALUE"""),2023.0)</f>
        <v>2023</v>
      </c>
      <c r="I2393" s="14" t="str">
        <f>IFERROR(__xludf.DUMMYFUNCTION("""COMPUTED_VALUE"""),"Credit Card")</f>
        <v>Credit Card</v>
      </c>
      <c r="J2393" s="14" t="str">
        <f>IFERROR(__xludf.DUMMYFUNCTION("""COMPUTED_VALUE"""),"Delivered*Satisfied with the Delivery: Timely and quality")</f>
        <v>Delivered*Satisfied with the Delivery: Timely and quality</v>
      </c>
      <c r="K2393" s="14" t="str">
        <f>IFERROR(__xludf.DUMMYFUNCTION("split(E2393,""+"")"),"Apple")</f>
        <v>Apple</v>
      </c>
      <c r="L2393" s="14" t="str">
        <f>IFERROR(__xludf.DUMMYFUNCTION("""COMPUTED_VALUE"""),"1*Ram Gopal")</f>
        <v>1*Ram Gopal</v>
      </c>
      <c r="M2393" s="14">
        <f>IFERROR(__xludf.DUMMYFUNCTION("SPLIT(L2393,""*"")"),1.0)</f>
        <v>1</v>
      </c>
      <c r="N2393" s="14" t="str">
        <f>IFERROR(__xludf.DUMMYFUNCTION("""COMPUTED_VALUE"""),"Ram Gopal")</f>
        <v>Ram Gopal</v>
      </c>
      <c r="O2393" s="14" t="str">
        <f>IFERROR(__xludf.DUMMYFUNCTION("split(J2393,""*"")"),"Delivered")</f>
        <v>Delivered</v>
      </c>
      <c r="P2393" s="14" t="str">
        <f>IFERROR(__xludf.DUMMYFUNCTION("""COMPUTED_VALUE"""),"Satisfied with the Delivery: Timely and quality")</f>
        <v>Satisfied with the Delivery: Timely and quality</v>
      </c>
      <c r="Q2393" s="14" t="str">
        <f>IFERROR(__xludf.DUMMYFUNCTION("split(P2393,"":"")"),"Satisfied with the Delivery")</f>
        <v>Satisfied with the Delivery</v>
      </c>
      <c r="R2393" s="14" t="str">
        <f>IFERROR(__xludf.DUMMYFUNCTION("""COMPUTED_VALUE""")," Timely and quality")</f>
        <v> Timely and quality</v>
      </c>
      <c r="S2393" s="14" t="str">
        <f t="shared" ref="S2393:U2393" si="4789">trim(B2393)</f>
        <v>ord_92385</v>
      </c>
      <c r="T2393" s="14" t="str">
        <f t="shared" si="4789"/>
        <v>Arvind Kulkarni</v>
      </c>
      <c r="U2393" s="14" t="str">
        <f t="shared" si="4789"/>
        <v>Juhu</v>
      </c>
      <c r="V2393" s="14" t="str">
        <f t="shared" si="4"/>
        <v>Apple</v>
      </c>
      <c r="W2393" s="14">
        <f t="shared" si="5"/>
        <v>1</v>
      </c>
      <c r="X2393" s="14" t="str">
        <f t="shared" si="6"/>
        <v>Ram Gopal</v>
      </c>
      <c r="Y2393" s="15">
        <f t="shared" si="7"/>
        <v>45220</v>
      </c>
      <c r="Z2393" s="14" t="str">
        <f t="shared" si="8"/>
        <v>Credit Card</v>
      </c>
      <c r="AA2393" s="14" t="str">
        <f t="shared" si="9"/>
        <v>Delivered</v>
      </c>
      <c r="AB2393" s="14" t="str">
        <f t="shared" ref="AB2393:AC2393" si="4790">trim(Q2393)</f>
        <v>Satisfied with the Delivery</v>
      </c>
      <c r="AC2393" s="14" t="str">
        <f t="shared" si="4790"/>
        <v>Timely and quality</v>
      </c>
      <c r="AD2393" s="8"/>
    </row>
    <row r="2394">
      <c r="A2394" s="14" t="str">
        <f>IFERROR(__xludf.DUMMYFUNCTION("""COMPUTED_VALUE"""),"//ord_92358//Ishaan Chaturvedi//Bandra//Cold Coffee+5*Ramesh S/7/27/2023//Online Payment//Delivered*Customer Service: Seamless and easy")</f>
        <v>//ord_92358//Ishaan Chaturvedi//Bandra//Cold Coffee+5*Ramesh S/7/27/2023//Online Payment//Delivered*Customer Service: Seamless and easy</v>
      </c>
      <c r="B2394" s="14" t="str">
        <f>IFERROR(__xludf.DUMMYFUNCTION("split(A2394,""//"")"),"ord_92358")</f>
        <v>ord_92358</v>
      </c>
      <c r="C2394" s="14" t="str">
        <f>IFERROR(__xludf.DUMMYFUNCTION("""COMPUTED_VALUE"""),"Ishaan Chaturvedi")</f>
        <v>Ishaan Chaturvedi</v>
      </c>
      <c r="D2394" s="14" t="str">
        <f>IFERROR(__xludf.DUMMYFUNCTION("""COMPUTED_VALUE"""),"Bandra")</f>
        <v>Bandra</v>
      </c>
      <c r="E2394" s="14" t="str">
        <f>IFERROR(__xludf.DUMMYFUNCTION("""COMPUTED_VALUE"""),"Cold Coffee+5*Ramesh S")</f>
        <v>Cold Coffee+5*Ramesh S</v>
      </c>
      <c r="F2394" s="14">
        <f>IFERROR(__xludf.DUMMYFUNCTION("""COMPUTED_VALUE"""),7.0)</f>
        <v>7</v>
      </c>
      <c r="G2394" s="14">
        <f>IFERROR(__xludf.DUMMYFUNCTION("""COMPUTED_VALUE"""),27.0)</f>
        <v>27</v>
      </c>
      <c r="H2394" s="14">
        <f>IFERROR(__xludf.DUMMYFUNCTION("""COMPUTED_VALUE"""),2023.0)</f>
        <v>2023</v>
      </c>
      <c r="I2394" s="14" t="str">
        <f>IFERROR(__xludf.DUMMYFUNCTION("""COMPUTED_VALUE"""),"Online Payment")</f>
        <v>Online Payment</v>
      </c>
      <c r="J2394" s="14" t="str">
        <f>IFERROR(__xludf.DUMMYFUNCTION("""COMPUTED_VALUE"""),"Delivered*Customer Service: Seamless and easy")</f>
        <v>Delivered*Customer Service: Seamless and easy</v>
      </c>
      <c r="K2394" s="14" t="str">
        <f>IFERROR(__xludf.DUMMYFUNCTION("split(E2394,""+"")"),"Cold Coffee")</f>
        <v>Cold Coffee</v>
      </c>
      <c r="L2394" s="14" t="str">
        <f>IFERROR(__xludf.DUMMYFUNCTION("""COMPUTED_VALUE"""),"5*Ramesh S")</f>
        <v>5*Ramesh S</v>
      </c>
      <c r="M2394" s="14">
        <f>IFERROR(__xludf.DUMMYFUNCTION("SPLIT(L2394,""*"")"),5.0)</f>
        <v>5</v>
      </c>
      <c r="N2394" s="14" t="str">
        <f>IFERROR(__xludf.DUMMYFUNCTION("""COMPUTED_VALUE"""),"Ramesh S")</f>
        <v>Ramesh S</v>
      </c>
      <c r="O2394" s="14" t="str">
        <f>IFERROR(__xludf.DUMMYFUNCTION("split(J2394,""*"")"),"Delivered")</f>
        <v>Delivered</v>
      </c>
      <c r="P2394" s="14" t="str">
        <f>IFERROR(__xludf.DUMMYFUNCTION("""COMPUTED_VALUE"""),"Customer Service: Seamless and easy")</f>
        <v>Customer Service: Seamless and easy</v>
      </c>
      <c r="Q2394" s="14" t="str">
        <f>IFERROR(__xludf.DUMMYFUNCTION("split(P2394,"":"")"),"Customer Service")</f>
        <v>Customer Service</v>
      </c>
      <c r="R2394" s="14" t="str">
        <f>IFERROR(__xludf.DUMMYFUNCTION("""COMPUTED_VALUE""")," Seamless and easy")</f>
        <v> Seamless and easy</v>
      </c>
      <c r="S2394" s="14" t="str">
        <f t="shared" ref="S2394:U2394" si="4791">trim(B2394)</f>
        <v>ord_92358</v>
      </c>
      <c r="T2394" s="14" t="str">
        <f t="shared" si="4791"/>
        <v>Ishaan Chaturvedi</v>
      </c>
      <c r="U2394" s="14" t="str">
        <f t="shared" si="4791"/>
        <v>Bandra</v>
      </c>
      <c r="V2394" s="14" t="str">
        <f t="shared" si="4"/>
        <v>Cold Coffee</v>
      </c>
      <c r="W2394" s="14">
        <f t="shared" si="5"/>
        <v>5</v>
      </c>
      <c r="X2394" s="14" t="str">
        <f t="shared" si="6"/>
        <v>Ramesh S</v>
      </c>
      <c r="Y2394" s="15">
        <f t="shared" si="7"/>
        <v>45134</v>
      </c>
      <c r="Z2394" s="14" t="str">
        <f t="shared" si="8"/>
        <v>Online Payment</v>
      </c>
      <c r="AA2394" s="14" t="str">
        <f t="shared" si="9"/>
        <v>Delivered</v>
      </c>
      <c r="AB2394" s="14" t="str">
        <f t="shared" ref="AB2394:AC2394" si="4792">trim(Q2394)</f>
        <v>Customer Service</v>
      </c>
      <c r="AC2394" s="14" t="str">
        <f t="shared" si="4792"/>
        <v>Seamless and easy</v>
      </c>
      <c r="AD2394" s="8"/>
    </row>
    <row r="2395">
      <c r="A2395" s="14" t="str">
        <f>IFERROR(__xludf.DUMMYFUNCTION("""COMPUTED_VALUE"""),"//ord_92359//Aarohi Kapoor//Bandra//Apple+2*Vivek Kumar/8/10/2023//Online Payment//Delivered*Delivery Experience: Quick and professional")</f>
        <v>//ord_92359//Aarohi Kapoor//Bandra//Apple+2*Vivek Kumar/8/10/2023//Online Payment//Delivered*Delivery Experience: Quick and professional</v>
      </c>
      <c r="B2395" s="14" t="str">
        <f>IFERROR(__xludf.DUMMYFUNCTION("split(A2395,""//"")"),"ord_92359")</f>
        <v>ord_92359</v>
      </c>
      <c r="C2395" s="14" t="str">
        <f>IFERROR(__xludf.DUMMYFUNCTION("""COMPUTED_VALUE"""),"Aarohi Kapoor")</f>
        <v>Aarohi Kapoor</v>
      </c>
      <c r="D2395" s="14" t="str">
        <f>IFERROR(__xludf.DUMMYFUNCTION("""COMPUTED_VALUE"""),"Bandra")</f>
        <v>Bandra</v>
      </c>
      <c r="E2395" s="14" t="str">
        <f>IFERROR(__xludf.DUMMYFUNCTION("""COMPUTED_VALUE"""),"Apple+2*Vivek Kumar")</f>
        <v>Apple+2*Vivek Kumar</v>
      </c>
      <c r="F2395" s="14">
        <f>IFERROR(__xludf.DUMMYFUNCTION("""COMPUTED_VALUE"""),8.0)</f>
        <v>8</v>
      </c>
      <c r="G2395" s="14">
        <f>IFERROR(__xludf.DUMMYFUNCTION("""COMPUTED_VALUE"""),10.0)</f>
        <v>10</v>
      </c>
      <c r="H2395" s="14">
        <f>IFERROR(__xludf.DUMMYFUNCTION("""COMPUTED_VALUE"""),2023.0)</f>
        <v>2023</v>
      </c>
      <c r="I2395" s="14" t="str">
        <f>IFERROR(__xludf.DUMMYFUNCTION("""COMPUTED_VALUE"""),"Online Payment")</f>
        <v>Online Payment</v>
      </c>
      <c r="J2395" s="14" t="str">
        <f>IFERROR(__xludf.DUMMYFUNCTION("""COMPUTED_VALUE"""),"Delivered*Delivery Experience: Quick and professional")</f>
        <v>Delivered*Delivery Experience: Quick and professional</v>
      </c>
      <c r="K2395" s="14" t="str">
        <f>IFERROR(__xludf.DUMMYFUNCTION("split(E2395,""+"")"),"Apple")</f>
        <v>Apple</v>
      </c>
      <c r="L2395" s="14" t="str">
        <f>IFERROR(__xludf.DUMMYFUNCTION("""COMPUTED_VALUE"""),"2*Vivek Kumar")</f>
        <v>2*Vivek Kumar</v>
      </c>
      <c r="M2395" s="14">
        <f>IFERROR(__xludf.DUMMYFUNCTION("SPLIT(L2395,""*"")"),2.0)</f>
        <v>2</v>
      </c>
      <c r="N2395" s="14" t="str">
        <f>IFERROR(__xludf.DUMMYFUNCTION("""COMPUTED_VALUE"""),"Vivek Kumar")</f>
        <v>Vivek Kumar</v>
      </c>
      <c r="O2395" s="14" t="str">
        <f>IFERROR(__xludf.DUMMYFUNCTION("split(J2395,""*"")"),"Delivered")</f>
        <v>Delivered</v>
      </c>
      <c r="P2395" s="14" t="str">
        <f>IFERROR(__xludf.DUMMYFUNCTION("""COMPUTED_VALUE"""),"Delivery Experience: Quick and professional")</f>
        <v>Delivery Experience: Quick and professional</v>
      </c>
      <c r="Q2395" s="14" t="str">
        <f>IFERROR(__xludf.DUMMYFUNCTION("split(P2395,"":"")"),"Delivery Experience")</f>
        <v>Delivery Experience</v>
      </c>
      <c r="R2395" s="14" t="str">
        <f>IFERROR(__xludf.DUMMYFUNCTION("""COMPUTED_VALUE""")," Quick and professional")</f>
        <v> Quick and professional</v>
      </c>
      <c r="S2395" s="14" t="str">
        <f t="shared" ref="S2395:U2395" si="4793">trim(B2395)</f>
        <v>ord_92359</v>
      </c>
      <c r="T2395" s="14" t="str">
        <f t="shared" si="4793"/>
        <v>Aarohi Kapoor</v>
      </c>
      <c r="U2395" s="14" t="str">
        <f t="shared" si="4793"/>
        <v>Bandra</v>
      </c>
      <c r="V2395" s="14" t="str">
        <f t="shared" si="4"/>
        <v>Apple</v>
      </c>
      <c r="W2395" s="14">
        <f t="shared" si="5"/>
        <v>2</v>
      </c>
      <c r="X2395" s="14" t="str">
        <f t="shared" si="6"/>
        <v>Vivek Kumar</v>
      </c>
      <c r="Y2395" s="15">
        <f t="shared" si="7"/>
        <v>45148</v>
      </c>
      <c r="Z2395" s="14" t="str">
        <f t="shared" si="8"/>
        <v>Online Payment</v>
      </c>
      <c r="AA2395" s="14" t="str">
        <f t="shared" si="9"/>
        <v>Delivered</v>
      </c>
      <c r="AB2395" s="14" t="str">
        <f t="shared" ref="AB2395:AC2395" si="4794">trim(Q2395)</f>
        <v>Delivery Experience</v>
      </c>
      <c r="AC2395" s="14" t="str">
        <f t="shared" si="4794"/>
        <v>Quick and professional</v>
      </c>
      <c r="AD2395" s="8"/>
    </row>
    <row r="2396">
      <c r="A2396" s="14" t="str">
        <f>IFERROR(__xludf.DUMMYFUNCTION("""COMPUTED_VALUE"""),"//ord_92360//Anaya Rao//Colaba//Apple+1*Vivek Kumar/6/11/2023//Online Payment//Delivered*Convenience: Easy tracking")</f>
        <v>//ord_92360//Anaya Rao//Colaba//Apple+1*Vivek Kumar/6/11/2023//Online Payment//Delivered*Convenience: Easy tracking</v>
      </c>
      <c r="B2396" s="14" t="str">
        <f>IFERROR(__xludf.DUMMYFUNCTION("split(A2396,""//"")"),"ord_92360")</f>
        <v>ord_92360</v>
      </c>
      <c r="C2396" s="14" t="str">
        <f>IFERROR(__xludf.DUMMYFUNCTION("""COMPUTED_VALUE"""),"Anaya Rao")</f>
        <v>Anaya Rao</v>
      </c>
      <c r="D2396" s="14" t="str">
        <f>IFERROR(__xludf.DUMMYFUNCTION("""COMPUTED_VALUE"""),"Colaba")</f>
        <v>Colaba</v>
      </c>
      <c r="E2396" s="14" t="str">
        <f>IFERROR(__xludf.DUMMYFUNCTION("""COMPUTED_VALUE"""),"Apple+1*Vivek Kumar")</f>
        <v>Apple+1*Vivek Kumar</v>
      </c>
      <c r="F2396" s="14">
        <f>IFERROR(__xludf.DUMMYFUNCTION("""COMPUTED_VALUE"""),6.0)</f>
        <v>6</v>
      </c>
      <c r="G2396" s="14">
        <f>IFERROR(__xludf.DUMMYFUNCTION("""COMPUTED_VALUE"""),11.0)</f>
        <v>11</v>
      </c>
      <c r="H2396" s="14">
        <f>IFERROR(__xludf.DUMMYFUNCTION("""COMPUTED_VALUE"""),2023.0)</f>
        <v>2023</v>
      </c>
      <c r="I2396" s="14" t="str">
        <f>IFERROR(__xludf.DUMMYFUNCTION("""COMPUTED_VALUE"""),"Online Payment")</f>
        <v>Online Payment</v>
      </c>
      <c r="J2396" s="14" t="str">
        <f>IFERROR(__xludf.DUMMYFUNCTION("""COMPUTED_VALUE"""),"Delivered*Convenience: Easy tracking")</f>
        <v>Delivered*Convenience: Easy tracking</v>
      </c>
      <c r="K2396" s="14" t="str">
        <f>IFERROR(__xludf.DUMMYFUNCTION("split(E2396,""+"")"),"Apple")</f>
        <v>Apple</v>
      </c>
      <c r="L2396" s="14" t="str">
        <f>IFERROR(__xludf.DUMMYFUNCTION("""COMPUTED_VALUE"""),"1*Vivek Kumar")</f>
        <v>1*Vivek Kumar</v>
      </c>
      <c r="M2396" s="14">
        <f>IFERROR(__xludf.DUMMYFUNCTION("SPLIT(L2396,""*"")"),1.0)</f>
        <v>1</v>
      </c>
      <c r="N2396" s="14" t="str">
        <f>IFERROR(__xludf.DUMMYFUNCTION("""COMPUTED_VALUE"""),"Vivek Kumar")</f>
        <v>Vivek Kumar</v>
      </c>
      <c r="O2396" s="14" t="str">
        <f>IFERROR(__xludf.DUMMYFUNCTION("split(J2396,""*"")"),"Delivered")</f>
        <v>Delivered</v>
      </c>
      <c r="P2396" s="14" t="str">
        <f>IFERROR(__xludf.DUMMYFUNCTION("""COMPUTED_VALUE"""),"Convenience: Easy tracking")</f>
        <v>Convenience: Easy tracking</v>
      </c>
      <c r="Q2396" s="14" t="str">
        <f>IFERROR(__xludf.DUMMYFUNCTION("split(P2396,"":"")"),"Convenience")</f>
        <v>Convenience</v>
      </c>
      <c r="R2396" s="14" t="str">
        <f>IFERROR(__xludf.DUMMYFUNCTION("""COMPUTED_VALUE""")," Easy tracking")</f>
        <v> Easy tracking</v>
      </c>
      <c r="S2396" s="14" t="str">
        <f t="shared" ref="S2396:U2396" si="4795">trim(B2396)</f>
        <v>ord_92360</v>
      </c>
      <c r="T2396" s="14" t="str">
        <f t="shared" si="4795"/>
        <v>Anaya Rao</v>
      </c>
      <c r="U2396" s="14" t="str">
        <f t="shared" si="4795"/>
        <v>Colaba</v>
      </c>
      <c r="V2396" s="14" t="str">
        <f t="shared" si="4"/>
        <v>Apple</v>
      </c>
      <c r="W2396" s="14">
        <f t="shared" si="5"/>
        <v>1</v>
      </c>
      <c r="X2396" s="14" t="str">
        <f t="shared" si="6"/>
        <v>Vivek Kumar</v>
      </c>
      <c r="Y2396" s="15">
        <f t="shared" si="7"/>
        <v>45088</v>
      </c>
      <c r="Z2396" s="14" t="str">
        <f t="shared" si="8"/>
        <v>Online Payment</v>
      </c>
      <c r="AA2396" s="14" t="str">
        <f t="shared" si="9"/>
        <v>Delivered</v>
      </c>
      <c r="AB2396" s="14" t="str">
        <f t="shared" ref="AB2396:AC2396" si="4796">trim(Q2396)</f>
        <v>Convenience</v>
      </c>
      <c r="AC2396" s="14" t="str">
        <f t="shared" si="4796"/>
        <v>Easy tracking</v>
      </c>
      <c r="AD2396" s="8"/>
    </row>
    <row r="2397">
      <c r="A2397" s="14" t="str">
        <f>IFERROR(__xludf.DUMMYFUNCTION("""COMPUTED_VALUE"""),"//ord_92361//Arvind Kulkarni//Juhu//Chocolate Mousse+5*Nithin Lal/9/15/2023//UPI//Delivered*Overall Satisfaction: Great service will order again")</f>
        <v>//ord_92361//Arvind Kulkarni//Juhu//Chocolate Mousse+5*Nithin Lal/9/15/2023//UPI//Delivered*Overall Satisfaction: Great service will order again</v>
      </c>
      <c r="B2397" s="14" t="str">
        <f>IFERROR(__xludf.DUMMYFUNCTION("split(A2397,""//"")"),"ord_92361")</f>
        <v>ord_92361</v>
      </c>
      <c r="C2397" s="14" t="str">
        <f>IFERROR(__xludf.DUMMYFUNCTION("""COMPUTED_VALUE"""),"Arvind Kulkarni")</f>
        <v>Arvind Kulkarni</v>
      </c>
      <c r="D2397" s="14" t="str">
        <f>IFERROR(__xludf.DUMMYFUNCTION("""COMPUTED_VALUE"""),"Juhu")</f>
        <v>Juhu</v>
      </c>
      <c r="E2397" s="14" t="str">
        <f>IFERROR(__xludf.DUMMYFUNCTION("""COMPUTED_VALUE"""),"Chocolate Mousse+5*Nithin Lal")</f>
        <v>Chocolate Mousse+5*Nithin Lal</v>
      </c>
      <c r="F2397" s="14">
        <f>IFERROR(__xludf.DUMMYFUNCTION("""COMPUTED_VALUE"""),9.0)</f>
        <v>9</v>
      </c>
      <c r="G2397" s="14">
        <f>IFERROR(__xludf.DUMMYFUNCTION("""COMPUTED_VALUE"""),15.0)</f>
        <v>15</v>
      </c>
      <c r="H2397" s="14">
        <f>IFERROR(__xludf.DUMMYFUNCTION("""COMPUTED_VALUE"""),2023.0)</f>
        <v>2023</v>
      </c>
      <c r="I2397" s="14" t="str">
        <f>IFERROR(__xludf.DUMMYFUNCTION("""COMPUTED_VALUE"""),"UPI")</f>
        <v>UPI</v>
      </c>
      <c r="J2397" s="14" t="str">
        <f>IFERROR(__xludf.DUMMYFUNCTION("""COMPUTED_VALUE"""),"Delivered*Overall Satisfaction: Great service will order again")</f>
        <v>Delivered*Overall Satisfaction: Great service will order again</v>
      </c>
      <c r="K2397" s="14" t="str">
        <f>IFERROR(__xludf.DUMMYFUNCTION("split(E2397,""+"")"),"Chocolate Mousse")</f>
        <v>Chocolate Mousse</v>
      </c>
      <c r="L2397" s="14" t="str">
        <f>IFERROR(__xludf.DUMMYFUNCTION("""COMPUTED_VALUE"""),"5*Nithin Lal")</f>
        <v>5*Nithin Lal</v>
      </c>
      <c r="M2397" s="14">
        <f>IFERROR(__xludf.DUMMYFUNCTION("SPLIT(L2397,""*"")"),5.0)</f>
        <v>5</v>
      </c>
      <c r="N2397" s="14" t="str">
        <f>IFERROR(__xludf.DUMMYFUNCTION("""COMPUTED_VALUE"""),"Nithin Lal")</f>
        <v>Nithin Lal</v>
      </c>
      <c r="O2397" s="14" t="str">
        <f>IFERROR(__xludf.DUMMYFUNCTION("split(J2397,""*"")"),"Delivered")</f>
        <v>Delivered</v>
      </c>
      <c r="P2397" s="14" t="str">
        <f>IFERROR(__xludf.DUMMYFUNCTION("""COMPUTED_VALUE"""),"Overall Satisfaction: Great service will order again")</f>
        <v>Overall Satisfaction: Great service will order again</v>
      </c>
      <c r="Q2397" s="14" t="str">
        <f>IFERROR(__xludf.DUMMYFUNCTION("split(P2397,"":"")"),"Overall Satisfaction")</f>
        <v>Overall Satisfaction</v>
      </c>
      <c r="R2397" s="14" t="str">
        <f>IFERROR(__xludf.DUMMYFUNCTION("""COMPUTED_VALUE""")," Great service will order again")</f>
        <v> Great service will order again</v>
      </c>
      <c r="S2397" s="14" t="str">
        <f t="shared" ref="S2397:U2397" si="4797">trim(B2397)</f>
        <v>ord_92361</v>
      </c>
      <c r="T2397" s="14" t="str">
        <f t="shared" si="4797"/>
        <v>Arvind Kulkarni</v>
      </c>
      <c r="U2397" s="14" t="str">
        <f t="shared" si="4797"/>
        <v>Juhu</v>
      </c>
      <c r="V2397" s="14" t="str">
        <f t="shared" si="4"/>
        <v>Chocolate Mousse</v>
      </c>
      <c r="W2397" s="14">
        <f t="shared" si="5"/>
        <v>5</v>
      </c>
      <c r="X2397" s="14" t="str">
        <f t="shared" si="6"/>
        <v>Nithin Lal</v>
      </c>
      <c r="Y2397" s="15">
        <f t="shared" si="7"/>
        <v>45184</v>
      </c>
      <c r="Z2397" s="14" t="str">
        <f t="shared" si="8"/>
        <v>UPI</v>
      </c>
      <c r="AA2397" s="14" t="str">
        <f t="shared" si="9"/>
        <v>Delivered</v>
      </c>
      <c r="AB2397" s="14" t="str">
        <f t="shared" ref="AB2397:AC2397" si="4798">trim(Q2397)</f>
        <v>Overall Satisfaction</v>
      </c>
      <c r="AC2397" s="14" t="str">
        <f t="shared" si="4798"/>
        <v>Great service will order again</v>
      </c>
      <c r="AD2397" s="8"/>
    </row>
    <row r="2398">
      <c r="A2398" s="14" t="str">
        <f>IFERROR(__xludf.DUMMYFUNCTION("""COMPUTED_VALUE"""),"//ord_92362//Pallavi Ghosh//Bandra//Potato+2*Ramesh S/7/7/2023//UPI//Delivered*On-time Delivery: Delivered on time")</f>
        <v>//ord_92362//Pallavi Ghosh//Bandra//Potato+2*Ramesh S/7/7/2023//UPI//Delivered*On-time Delivery: Delivered on time</v>
      </c>
      <c r="B2398" s="14" t="str">
        <f>IFERROR(__xludf.DUMMYFUNCTION("split(A2398,""//"")"),"ord_92362")</f>
        <v>ord_92362</v>
      </c>
      <c r="C2398" s="14" t="str">
        <f>IFERROR(__xludf.DUMMYFUNCTION("""COMPUTED_VALUE"""),"Pallavi Ghosh")</f>
        <v>Pallavi Ghosh</v>
      </c>
      <c r="D2398" s="14" t="str">
        <f>IFERROR(__xludf.DUMMYFUNCTION("""COMPUTED_VALUE"""),"Bandra")</f>
        <v>Bandra</v>
      </c>
      <c r="E2398" s="14" t="str">
        <f>IFERROR(__xludf.DUMMYFUNCTION("""COMPUTED_VALUE"""),"Potato+2*Ramesh S")</f>
        <v>Potato+2*Ramesh S</v>
      </c>
      <c r="F2398" s="14">
        <f>IFERROR(__xludf.DUMMYFUNCTION("""COMPUTED_VALUE"""),7.0)</f>
        <v>7</v>
      </c>
      <c r="G2398" s="14">
        <f>IFERROR(__xludf.DUMMYFUNCTION("""COMPUTED_VALUE"""),7.0)</f>
        <v>7</v>
      </c>
      <c r="H2398" s="14">
        <f>IFERROR(__xludf.DUMMYFUNCTION("""COMPUTED_VALUE"""),2023.0)</f>
        <v>2023</v>
      </c>
      <c r="I2398" s="14" t="str">
        <f>IFERROR(__xludf.DUMMYFUNCTION("""COMPUTED_VALUE"""),"UPI")</f>
        <v>UPI</v>
      </c>
      <c r="J2398" s="14" t="str">
        <f>IFERROR(__xludf.DUMMYFUNCTION("""COMPUTED_VALUE"""),"Delivered*On-time Delivery: Delivered on time")</f>
        <v>Delivered*On-time Delivery: Delivered on time</v>
      </c>
      <c r="K2398" s="14" t="str">
        <f>IFERROR(__xludf.DUMMYFUNCTION("split(E2398,""+"")"),"Potato")</f>
        <v>Potato</v>
      </c>
      <c r="L2398" s="14" t="str">
        <f>IFERROR(__xludf.DUMMYFUNCTION("""COMPUTED_VALUE"""),"2*Ramesh S")</f>
        <v>2*Ramesh S</v>
      </c>
      <c r="M2398" s="14">
        <f>IFERROR(__xludf.DUMMYFUNCTION("SPLIT(L2398,""*"")"),2.0)</f>
        <v>2</v>
      </c>
      <c r="N2398" s="14" t="str">
        <f>IFERROR(__xludf.DUMMYFUNCTION("""COMPUTED_VALUE"""),"Ramesh S")</f>
        <v>Ramesh S</v>
      </c>
      <c r="O2398" s="14" t="str">
        <f>IFERROR(__xludf.DUMMYFUNCTION("split(J2398,""*"")"),"Delivered")</f>
        <v>Delivered</v>
      </c>
      <c r="P2398" s="14" t="str">
        <f>IFERROR(__xludf.DUMMYFUNCTION("""COMPUTED_VALUE"""),"On-time Delivery: Delivered on time")</f>
        <v>On-time Delivery: Delivered on time</v>
      </c>
      <c r="Q2398" s="14" t="str">
        <f>IFERROR(__xludf.DUMMYFUNCTION("split(P2398,"":"")"),"On-time Delivery")</f>
        <v>On-time Delivery</v>
      </c>
      <c r="R2398" s="14" t="str">
        <f>IFERROR(__xludf.DUMMYFUNCTION("""COMPUTED_VALUE""")," Delivered on time")</f>
        <v> Delivered on time</v>
      </c>
      <c r="S2398" s="14" t="str">
        <f t="shared" ref="S2398:U2398" si="4799">trim(B2398)</f>
        <v>ord_92362</v>
      </c>
      <c r="T2398" s="14" t="str">
        <f t="shared" si="4799"/>
        <v>Pallavi Ghosh</v>
      </c>
      <c r="U2398" s="14" t="str">
        <f t="shared" si="4799"/>
        <v>Bandra</v>
      </c>
      <c r="V2398" s="14" t="str">
        <f t="shared" si="4"/>
        <v>Potato</v>
      </c>
      <c r="W2398" s="14">
        <f t="shared" si="5"/>
        <v>2</v>
      </c>
      <c r="X2398" s="14" t="str">
        <f t="shared" si="6"/>
        <v>Ramesh S</v>
      </c>
      <c r="Y2398" s="15">
        <f t="shared" si="7"/>
        <v>45114</v>
      </c>
      <c r="Z2398" s="14" t="str">
        <f t="shared" si="8"/>
        <v>UPI</v>
      </c>
      <c r="AA2398" s="14" t="str">
        <f t="shared" si="9"/>
        <v>Delivered</v>
      </c>
      <c r="AB2398" s="14" t="str">
        <f t="shared" ref="AB2398:AC2398" si="4800">trim(Q2398)</f>
        <v>On-time Delivery</v>
      </c>
      <c r="AC2398" s="14" t="str">
        <f t="shared" si="4800"/>
        <v>Delivered on time</v>
      </c>
      <c r="AD2398" s="8"/>
    </row>
    <row r="2399">
      <c r="A2399" s="14" t="str">
        <f>IFERROR(__xludf.DUMMYFUNCTION("""COMPUTED_VALUE"""),"//ord_92363//Ishaan Chaturvedi//Bandra//Popcorn+2*Vivek Kumar/9/18/2023//UPI//Delivered*Quality of Items: Perfect condition")</f>
        <v>//ord_92363//Ishaan Chaturvedi//Bandra//Popcorn+2*Vivek Kumar/9/18/2023//UPI//Delivered*Quality of Items: Perfect condition</v>
      </c>
      <c r="B2399" s="14" t="str">
        <f>IFERROR(__xludf.DUMMYFUNCTION("split(A2399,""//"")"),"ord_92363")</f>
        <v>ord_92363</v>
      </c>
      <c r="C2399" s="14" t="str">
        <f>IFERROR(__xludf.DUMMYFUNCTION("""COMPUTED_VALUE"""),"Ishaan Chaturvedi")</f>
        <v>Ishaan Chaturvedi</v>
      </c>
      <c r="D2399" s="14" t="str">
        <f>IFERROR(__xludf.DUMMYFUNCTION("""COMPUTED_VALUE"""),"Bandra")</f>
        <v>Bandra</v>
      </c>
      <c r="E2399" s="14" t="str">
        <f>IFERROR(__xludf.DUMMYFUNCTION("""COMPUTED_VALUE"""),"Popcorn+2*Vivek Kumar")</f>
        <v>Popcorn+2*Vivek Kumar</v>
      </c>
      <c r="F2399" s="14">
        <f>IFERROR(__xludf.DUMMYFUNCTION("""COMPUTED_VALUE"""),9.0)</f>
        <v>9</v>
      </c>
      <c r="G2399" s="14">
        <f>IFERROR(__xludf.DUMMYFUNCTION("""COMPUTED_VALUE"""),18.0)</f>
        <v>18</v>
      </c>
      <c r="H2399" s="14">
        <f>IFERROR(__xludf.DUMMYFUNCTION("""COMPUTED_VALUE"""),2023.0)</f>
        <v>2023</v>
      </c>
      <c r="I2399" s="14" t="str">
        <f>IFERROR(__xludf.DUMMYFUNCTION("""COMPUTED_VALUE"""),"UPI")</f>
        <v>UPI</v>
      </c>
      <c r="J2399" s="14" t="str">
        <f>IFERROR(__xludf.DUMMYFUNCTION("""COMPUTED_VALUE"""),"Delivered*Quality of Items: Perfect condition")</f>
        <v>Delivered*Quality of Items: Perfect condition</v>
      </c>
      <c r="K2399" s="14" t="str">
        <f>IFERROR(__xludf.DUMMYFUNCTION("split(E2399,""+"")"),"Popcorn")</f>
        <v>Popcorn</v>
      </c>
      <c r="L2399" s="14" t="str">
        <f>IFERROR(__xludf.DUMMYFUNCTION("""COMPUTED_VALUE"""),"2*Vivek Kumar")</f>
        <v>2*Vivek Kumar</v>
      </c>
      <c r="M2399" s="14">
        <f>IFERROR(__xludf.DUMMYFUNCTION("SPLIT(L2399,""*"")"),2.0)</f>
        <v>2</v>
      </c>
      <c r="N2399" s="14" t="str">
        <f>IFERROR(__xludf.DUMMYFUNCTION("""COMPUTED_VALUE"""),"Vivek Kumar")</f>
        <v>Vivek Kumar</v>
      </c>
      <c r="O2399" s="14" t="str">
        <f>IFERROR(__xludf.DUMMYFUNCTION("split(J2399,""*"")"),"Delivered")</f>
        <v>Delivered</v>
      </c>
      <c r="P2399" s="14" t="str">
        <f>IFERROR(__xludf.DUMMYFUNCTION("""COMPUTED_VALUE"""),"Quality of Items: Perfect condition")</f>
        <v>Quality of Items: Perfect condition</v>
      </c>
      <c r="Q2399" s="14" t="str">
        <f>IFERROR(__xludf.DUMMYFUNCTION("split(P2399,"":"")"),"Quality of Items")</f>
        <v>Quality of Items</v>
      </c>
      <c r="R2399" s="14" t="str">
        <f>IFERROR(__xludf.DUMMYFUNCTION("""COMPUTED_VALUE""")," Perfect condition")</f>
        <v> Perfect condition</v>
      </c>
      <c r="S2399" s="14" t="str">
        <f t="shared" ref="S2399:U2399" si="4801">trim(B2399)</f>
        <v>ord_92363</v>
      </c>
      <c r="T2399" s="14" t="str">
        <f t="shared" si="4801"/>
        <v>Ishaan Chaturvedi</v>
      </c>
      <c r="U2399" s="14" t="str">
        <f t="shared" si="4801"/>
        <v>Bandra</v>
      </c>
      <c r="V2399" s="14" t="str">
        <f t="shared" si="4"/>
        <v>Popcorn</v>
      </c>
      <c r="W2399" s="14">
        <f t="shared" si="5"/>
        <v>2</v>
      </c>
      <c r="X2399" s="14" t="str">
        <f t="shared" si="6"/>
        <v>Vivek Kumar</v>
      </c>
      <c r="Y2399" s="15">
        <f t="shared" si="7"/>
        <v>45187</v>
      </c>
      <c r="Z2399" s="14" t="str">
        <f t="shared" si="8"/>
        <v>UPI</v>
      </c>
      <c r="AA2399" s="14" t="str">
        <f t="shared" si="9"/>
        <v>Delivered</v>
      </c>
      <c r="AB2399" s="14" t="str">
        <f t="shared" ref="AB2399:AC2399" si="4802">trim(Q2399)</f>
        <v>Quality of Items</v>
      </c>
      <c r="AC2399" s="14" t="str">
        <f t="shared" si="4802"/>
        <v>Perfect condition</v>
      </c>
      <c r="AD2399" s="8"/>
    </row>
    <row r="2400">
      <c r="A2400" s="14" t="str">
        <f>IFERROR(__xludf.DUMMYFUNCTION("""COMPUTED_VALUE"""),"//ord_92364//Parth Goel//Juhu//Tiramisu+5*Vivek Kumar/6/19/2023//Credit Card//Cancelled*Delayed Delivery:Bad Weather Conditions ")</f>
        <v>//ord_92364//Parth Goel//Juhu//Tiramisu+5*Vivek Kumar/6/19/2023//Credit Card//Cancelled*Delayed Delivery:Bad Weather Conditions </v>
      </c>
      <c r="B2400" s="14" t="str">
        <f>IFERROR(__xludf.DUMMYFUNCTION("split(A2400,""//"")"),"ord_92364")</f>
        <v>ord_92364</v>
      </c>
      <c r="C2400" s="14" t="str">
        <f>IFERROR(__xludf.DUMMYFUNCTION("""COMPUTED_VALUE"""),"Parth Goel")</f>
        <v>Parth Goel</v>
      </c>
      <c r="D2400" s="14" t="str">
        <f>IFERROR(__xludf.DUMMYFUNCTION("""COMPUTED_VALUE"""),"Juhu")</f>
        <v>Juhu</v>
      </c>
      <c r="E2400" s="14" t="str">
        <f>IFERROR(__xludf.DUMMYFUNCTION("""COMPUTED_VALUE"""),"Tiramisu+5*Vivek Kumar")</f>
        <v>Tiramisu+5*Vivek Kumar</v>
      </c>
      <c r="F2400" s="14">
        <f>IFERROR(__xludf.DUMMYFUNCTION("""COMPUTED_VALUE"""),6.0)</f>
        <v>6</v>
      </c>
      <c r="G2400" s="14">
        <f>IFERROR(__xludf.DUMMYFUNCTION("""COMPUTED_VALUE"""),19.0)</f>
        <v>19</v>
      </c>
      <c r="H2400" s="14">
        <f>IFERROR(__xludf.DUMMYFUNCTION("""COMPUTED_VALUE"""),2023.0)</f>
        <v>2023</v>
      </c>
      <c r="I2400" s="14" t="str">
        <f>IFERROR(__xludf.DUMMYFUNCTION("""COMPUTED_VALUE"""),"Credit Card")</f>
        <v>Credit Card</v>
      </c>
      <c r="J2400" s="14" t="str">
        <f>IFERROR(__xludf.DUMMYFUNCTION("""COMPUTED_VALUE"""),"Cancelled*Delayed Delivery:Bad Weather Conditions ")</f>
        <v>Cancelled*Delayed Delivery:Bad Weather Conditions </v>
      </c>
      <c r="K2400" s="14" t="str">
        <f>IFERROR(__xludf.DUMMYFUNCTION("split(E2400,""+"")"),"Tiramisu")</f>
        <v>Tiramisu</v>
      </c>
      <c r="L2400" s="14" t="str">
        <f>IFERROR(__xludf.DUMMYFUNCTION("""COMPUTED_VALUE"""),"5*Vivek Kumar")</f>
        <v>5*Vivek Kumar</v>
      </c>
      <c r="M2400" s="14">
        <f>IFERROR(__xludf.DUMMYFUNCTION("SPLIT(L2400,""*"")"),5.0)</f>
        <v>5</v>
      </c>
      <c r="N2400" s="14" t="str">
        <f>IFERROR(__xludf.DUMMYFUNCTION("""COMPUTED_VALUE"""),"Vivek Kumar")</f>
        <v>Vivek Kumar</v>
      </c>
      <c r="O2400" s="14" t="str">
        <f>IFERROR(__xludf.DUMMYFUNCTION("split(J2400,""*"")"),"Cancelled")</f>
        <v>Cancelled</v>
      </c>
      <c r="P2400" s="14" t="str">
        <f>IFERROR(__xludf.DUMMYFUNCTION("""COMPUTED_VALUE"""),"Delayed Delivery:Bad Weather Conditions ")</f>
        <v>Delayed Delivery:Bad Weather Conditions </v>
      </c>
      <c r="Q2400" s="14" t="str">
        <f>IFERROR(__xludf.DUMMYFUNCTION("split(P2400,"":"")"),"Delayed Delivery")</f>
        <v>Delayed Delivery</v>
      </c>
      <c r="R2400" s="14" t="str">
        <f>IFERROR(__xludf.DUMMYFUNCTION("""COMPUTED_VALUE"""),"Bad Weather Conditions ")</f>
        <v>Bad Weather Conditions </v>
      </c>
      <c r="S2400" s="14" t="str">
        <f t="shared" ref="S2400:U2400" si="4803">trim(B2400)</f>
        <v>ord_92364</v>
      </c>
      <c r="T2400" s="14" t="str">
        <f t="shared" si="4803"/>
        <v>Parth Goel</v>
      </c>
      <c r="U2400" s="14" t="str">
        <f t="shared" si="4803"/>
        <v>Juhu</v>
      </c>
      <c r="V2400" s="14" t="str">
        <f t="shared" si="4"/>
        <v>Tiramisu</v>
      </c>
      <c r="W2400" s="14">
        <f t="shared" si="5"/>
        <v>5</v>
      </c>
      <c r="X2400" s="14" t="str">
        <f t="shared" si="6"/>
        <v>Vivek Kumar</v>
      </c>
      <c r="Y2400" s="15">
        <f t="shared" si="7"/>
        <v>45096</v>
      </c>
      <c r="Z2400" s="14" t="str">
        <f t="shared" si="8"/>
        <v>Credit Card</v>
      </c>
      <c r="AA2400" s="14" t="str">
        <f t="shared" si="9"/>
        <v>Cancelled</v>
      </c>
      <c r="AB2400" s="14" t="str">
        <f t="shared" ref="AB2400:AC2400" si="4804">trim(Q2400)</f>
        <v>Delayed Delivery</v>
      </c>
      <c r="AC2400" s="14" t="str">
        <f t="shared" si="4804"/>
        <v>Bad Weather Conditions</v>
      </c>
      <c r="AD2400" s="8"/>
    </row>
    <row r="2401">
      <c r="A2401" s="14" t="str">
        <f>IFERROR(__xludf.DUMMYFUNCTION("""COMPUTED_VALUE"""),"//ord_92365//Mehul Thakkar//Malad//Popcorn+3*Ramesh S/11/9/2023//Credit Card//Delivered*Packaging: Secure and intact")</f>
        <v>//ord_92365//Mehul Thakkar//Malad//Popcorn+3*Ramesh S/11/9/2023//Credit Card//Delivered*Packaging: Secure and intact</v>
      </c>
      <c r="B2401" s="14" t="str">
        <f>IFERROR(__xludf.DUMMYFUNCTION("split(A2401,""//"")"),"ord_92365")</f>
        <v>ord_92365</v>
      </c>
      <c r="C2401" s="14" t="str">
        <f>IFERROR(__xludf.DUMMYFUNCTION("""COMPUTED_VALUE"""),"Mehul Thakkar")</f>
        <v>Mehul Thakkar</v>
      </c>
      <c r="D2401" s="14" t="str">
        <f>IFERROR(__xludf.DUMMYFUNCTION("""COMPUTED_VALUE"""),"Malad")</f>
        <v>Malad</v>
      </c>
      <c r="E2401" s="14" t="str">
        <f>IFERROR(__xludf.DUMMYFUNCTION("""COMPUTED_VALUE"""),"Popcorn+3*Ramesh S")</f>
        <v>Popcorn+3*Ramesh S</v>
      </c>
      <c r="F2401" s="14">
        <f>IFERROR(__xludf.DUMMYFUNCTION("""COMPUTED_VALUE"""),11.0)</f>
        <v>11</v>
      </c>
      <c r="G2401" s="14">
        <f>IFERROR(__xludf.DUMMYFUNCTION("""COMPUTED_VALUE"""),9.0)</f>
        <v>9</v>
      </c>
      <c r="H2401" s="14">
        <f>IFERROR(__xludf.DUMMYFUNCTION("""COMPUTED_VALUE"""),2023.0)</f>
        <v>2023</v>
      </c>
      <c r="I2401" s="14" t="str">
        <f>IFERROR(__xludf.DUMMYFUNCTION("""COMPUTED_VALUE"""),"Credit Card")</f>
        <v>Credit Card</v>
      </c>
      <c r="J2401" s="14" t="str">
        <f>IFERROR(__xludf.DUMMYFUNCTION("""COMPUTED_VALUE"""),"Delivered*Packaging: Secure and intact")</f>
        <v>Delivered*Packaging: Secure and intact</v>
      </c>
      <c r="K2401" s="14" t="str">
        <f>IFERROR(__xludf.DUMMYFUNCTION("split(E2401,""+"")"),"Popcorn")</f>
        <v>Popcorn</v>
      </c>
      <c r="L2401" s="14" t="str">
        <f>IFERROR(__xludf.DUMMYFUNCTION("""COMPUTED_VALUE"""),"3*Ramesh S")</f>
        <v>3*Ramesh S</v>
      </c>
      <c r="M2401" s="14">
        <f>IFERROR(__xludf.DUMMYFUNCTION("SPLIT(L2401,""*"")"),3.0)</f>
        <v>3</v>
      </c>
      <c r="N2401" s="14" t="str">
        <f>IFERROR(__xludf.DUMMYFUNCTION("""COMPUTED_VALUE"""),"Ramesh S")</f>
        <v>Ramesh S</v>
      </c>
      <c r="O2401" s="14" t="str">
        <f>IFERROR(__xludf.DUMMYFUNCTION("split(J2401,""*"")"),"Delivered")</f>
        <v>Delivered</v>
      </c>
      <c r="P2401" s="14" t="str">
        <f>IFERROR(__xludf.DUMMYFUNCTION("""COMPUTED_VALUE"""),"Packaging: Secure and intact")</f>
        <v>Packaging: Secure and intact</v>
      </c>
      <c r="Q2401" s="14" t="str">
        <f>IFERROR(__xludf.DUMMYFUNCTION("split(P2401,"":"")"),"Packaging")</f>
        <v>Packaging</v>
      </c>
      <c r="R2401" s="14" t="str">
        <f>IFERROR(__xludf.DUMMYFUNCTION("""COMPUTED_VALUE""")," Secure and intact")</f>
        <v> Secure and intact</v>
      </c>
      <c r="S2401" s="14" t="str">
        <f t="shared" ref="S2401:U2401" si="4805">trim(B2401)</f>
        <v>ord_92365</v>
      </c>
      <c r="T2401" s="14" t="str">
        <f t="shared" si="4805"/>
        <v>Mehul Thakkar</v>
      </c>
      <c r="U2401" s="14" t="str">
        <f t="shared" si="4805"/>
        <v>Malad</v>
      </c>
      <c r="V2401" s="14" t="str">
        <f t="shared" si="4"/>
        <v>Popcorn</v>
      </c>
      <c r="W2401" s="14">
        <f t="shared" si="5"/>
        <v>3</v>
      </c>
      <c r="X2401" s="14" t="str">
        <f t="shared" si="6"/>
        <v>Ramesh S</v>
      </c>
      <c r="Y2401" s="15">
        <f t="shared" si="7"/>
        <v>45239</v>
      </c>
      <c r="Z2401" s="14" t="str">
        <f t="shared" si="8"/>
        <v>Credit Card</v>
      </c>
      <c r="AA2401" s="14" t="str">
        <f t="shared" si="9"/>
        <v>Delivered</v>
      </c>
      <c r="AB2401" s="14" t="str">
        <f t="shared" ref="AB2401:AC2401" si="4806">trim(Q2401)</f>
        <v>Packaging</v>
      </c>
      <c r="AC2401" s="14" t="str">
        <f t="shared" si="4806"/>
        <v>Secure and intact</v>
      </c>
      <c r="AD2401" s="8"/>
    </row>
    <row r="2402">
      <c r="A2402" s="14" t="str">
        <f>IFERROR(__xludf.DUMMYFUNCTION("""COMPUTED_VALUE"""),"//ord_92366//Dev Chauhan//Bandra//Chocolate Mousse+5*Shine Thomas/7/16/2023//Credit Card//Delivered*Satisfied with the Delivery: Timely and quality")</f>
        <v>//ord_92366//Dev Chauhan//Bandra//Chocolate Mousse+5*Shine Thomas/7/16/2023//Credit Card//Delivered*Satisfied with the Delivery: Timely and quality</v>
      </c>
      <c r="B2402" s="14" t="str">
        <f>IFERROR(__xludf.DUMMYFUNCTION("split(A2402,""//"")"),"ord_92366")</f>
        <v>ord_92366</v>
      </c>
      <c r="C2402" s="14" t="str">
        <f>IFERROR(__xludf.DUMMYFUNCTION("""COMPUTED_VALUE"""),"Dev Chauhan")</f>
        <v>Dev Chauhan</v>
      </c>
      <c r="D2402" s="14" t="str">
        <f>IFERROR(__xludf.DUMMYFUNCTION("""COMPUTED_VALUE"""),"Bandra")</f>
        <v>Bandra</v>
      </c>
      <c r="E2402" s="14" t="str">
        <f>IFERROR(__xludf.DUMMYFUNCTION("""COMPUTED_VALUE"""),"Chocolate Mousse+5*Shine Thomas")</f>
        <v>Chocolate Mousse+5*Shine Thomas</v>
      </c>
      <c r="F2402" s="14">
        <f>IFERROR(__xludf.DUMMYFUNCTION("""COMPUTED_VALUE"""),7.0)</f>
        <v>7</v>
      </c>
      <c r="G2402" s="14">
        <f>IFERROR(__xludf.DUMMYFUNCTION("""COMPUTED_VALUE"""),16.0)</f>
        <v>16</v>
      </c>
      <c r="H2402" s="14">
        <f>IFERROR(__xludf.DUMMYFUNCTION("""COMPUTED_VALUE"""),2023.0)</f>
        <v>2023</v>
      </c>
      <c r="I2402" s="14" t="str">
        <f>IFERROR(__xludf.DUMMYFUNCTION("""COMPUTED_VALUE"""),"Credit Card")</f>
        <v>Credit Card</v>
      </c>
      <c r="J2402" s="14" t="str">
        <f>IFERROR(__xludf.DUMMYFUNCTION("""COMPUTED_VALUE"""),"Delivered*Satisfied with the Delivery: Timely and quality")</f>
        <v>Delivered*Satisfied with the Delivery: Timely and quality</v>
      </c>
      <c r="K2402" s="14" t="str">
        <f>IFERROR(__xludf.DUMMYFUNCTION("split(E2402,""+"")"),"Chocolate Mousse")</f>
        <v>Chocolate Mousse</v>
      </c>
      <c r="L2402" s="14" t="str">
        <f>IFERROR(__xludf.DUMMYFUNCTION("""COMPUTED_VALUE"""),"5*Shine Thomas")</f>
        <v>5*Shine Thomas</v>
      </c>
      <c r="M2402" s="14">
        <f>IFERROR(__xludf.DUMMYFUNCTION("SPLIT(L2402,""*"")"),5.0)</f>
        <v>5</v>
      </c>
      <c r="N2402" s="14" t="str">
        <f>IFERROR(__xludf.DUMMYFUNCTION("""COMPUTED_VALUE"""),"Shine Thomas")</f>
        <v>Shine Thomas</v>
      </c>
      <c r="O2402" s="14" t="str">
        <f>IFERROR(__xludf.DUMMYFUNCTION("split(J2402,""*"")"),"Delivered")</f>
        <v>Delivered</v>
      </c>
      <c r="P2402" s="14" t="str">
        <f>IFERROR(__xludf.DUMMYFUNCTION("""COMPUTED_VALUE"""),"Satisfied with the Delivery: Timely and quality")</f>
        <v>Satisfied with the Delivery: Timely and quality</v>
      </c>
      <c r="Q2402" s="14" t="str">
        <f>IFERROR(__xludf.DUMMYFUNCTION("split(P2402,"":"")"),"Satisfied with the Delivery")</f>
        <v>Satisfied with the Delivery</v>
      </c>
      <c r="R2402" s="14" t="str">
        <f>IFERROR(__xludf.DUMMYFUNCTION("""COMPUTED_VALUE""")," Timely and quality")</f>
        <v> Timely and quality</v>
      </c>
      <c r="S2402" s="14" t="str">
        <f t="shared" ref="S2402:U2402" si="4807">trim(B2402)</f>
        <v>ord_92366</v>
      </c>
      <c r="T2402" s="14" t="str">
        <f t="shared" si="4807"/>
        <v>Dev Chauhan</v>
      </c>
      <c r="U2402" s="14" t="str">
        <f t="shared" si="4807"/>
        <v>Bandra</v>
      </c>
      <c r="V2402" s="14" t="str">
        <f t="shared" si="4"/>
        <v>Chocolate Mousse</v>
      </c>
      <c r="W2402" s="14">
        <f t="shared" si="5"/>
        <v>5</v>
      </c>
      <c r="X2402" s="14" t="str">
        <f t="shared" si="6"/>
        <v>Shine Thomas</v>
      </c>
      <c r="Y2402" s="15">
        <f t="shared" si="7"/>
        <v>45123</v>
      </c>
      <c r="Z2402" s="14" t="str">
        <f t="shared" si="8"/>
        <v>Credit Card</v>
      </c>
      <c r="AA2402" s="14" t="str">
        <f t="shared" si="9"/>
        <v>Delivered</v>
      </c>
      <c r="AB2402" s="14" t="str">
        <f t="shared" ref="AB2402:AC2402" si="4808">trim(Q2402)</f>
        <v>Satisfied with the Delivery</v>
      </c>
      <c r="AC2402" s="14" t="str">
        <f t="shared" si="4808"/>
        <v>Timely and quality</v>
      </c>
      <c r="AD2402" s="8"/>
    </row>
    <row r="2403">
      <c r="A2403" s="14" t="str">
        <f>IFERROR(__xludf.DUMMYFUNCTION("""COMPUTED_VALUE"""),"//ord_92367//Aditi Iyer//Dadar//Rasmalai+5*Vivek Kumar/8/16/2023//UPI//Delivered*Customer Service: Seamless and easy")</f>
        <v>//ord_92367//Aditi Iyer//Dadar//Rasmalai+5*Vivek Kumar/8/16/2023//UPI//Delivered*Customer Service: Seamless and easy</v>
      </c>
      <c r="B2403" s="14" t="str">
        <f>IFERROR(__xludf.DUMMYFUNCTION("split(A2403,""//"")"),"ord_92367")</f>
        <v>ord_92367</v>
      </c>
      <c r="C2403" s="14" t="str">
        <f>IFERROR(__xludf.DUMMYFUNCTION("""COMPUTED_VALUE"""),"Aditi Iyer")</f>
        <v>Aditi Iyer</v>
      </c>
      <c r="D2403" s="14" t="str">
        <f>IFERROR(__xludf.DUMMYFUNCTION("""COMPUTED_VALUE"""),"Dadar")</f>
        <v>Dadar</v>
      </c>
      <c r="E2403" s="14" t="str">
        <f>IFERROR(__xludf.DUMMYFUNCTION("""COMPUTED_VALUE"""),"Rasmalai+5*Vivek Kumar")</f>
        <v>Rasmalai+5*Vivek Kumar</v>
      </c>
      <c r="F2403" s="14">
        <f>IFERROR(__xludf.DUMMYFUNCTION("""COMPUTED_VALUE"""),8.0)</f>
        <v>8</v>
      </c>
      <c r="G2403" s="14">
        <f>IFERROR(__xludf.DUMMYFUNCTION("""COMPUTED_VALUE"""),16.0)</f>
        <v>16</v>
      </c>
      <c r="H2403" s="14">
        <f>IFERROR(__xludf.DUMMYFUNCTION("""COMPUTED_VALUE"""),2023.0)</f>
        <v>2023</v>
      </c>
      <c r="I2403" s="14" t="str">
        <f>IFERROR(__xludf.DUMMYFUNCTION("""COMPUTED_VALUE"""),"UPI")</f>
        <v>UPI</v>
      </c>
      <c r="J2403" s="14" t="str">
        <f>IFERROR(__xludf.DUMMYFUNCTION("""COMPUTED_VALUE"""),"Delivered*Customer Service: Seamless and easy")</f>
        <v>Delivered*Customer Service: Seamless and easy</v>
      </c>
      <c r="K2403" s="14" t="str">
        <f>IFERROR(__xludf.DUMMYFUNCTION("split(E2403,""+"")"),"Rasmalai")</f>
        <v>Rasmalai</v>
      </c>
      <c r="L2403" s="14" t="str">
        <f>IFERROR(__xludf.DUMMYFUNCTION("""COMPUTED_VALUE"""),"5*Vivek Kumar")</f>
        <v>5*Vivek Kumar</v>
      </c>
      <c r="M2403" s="14">
        <f>IFERROR(__xludf.DUMMYFUNCTION("SPLIT(L2403,""*"")"),5.0)</f>
        <v>5</v>
      </c>
      <c r="N2403" s="14" t="str">
        <f>IFERROR(__xludf.DUMMYFUNCTION("""COMPUTED_VALUE"""),"Vivek Kumar")</f>
        <v>Vivek Kumar</v>
      </c>
      <c r="O2403" s="14" t="str">
        <f>IFERROR(__xludf.DUMMYFUNCTION("split(J2403,""*"")"),"Delivered")</f>
        <v>Delivered</v>
      </c>
      <c r="P2403" s="14" t="str">
        <f>IFERROR(__xludf.DUMMYFUNCTION("""COMPUTED_VALUE"""),"Customer Service: Seamless and easy")</f>
        <v>Customer Service: Seamless and easy</v>
      </c>
      <c r="Q2403" s="14" t="str">
        <f>IFERROR(__xludf.DUMMYFUNCTION("split(P2403,"":"")"),"Customer Service")</f>
        <v>Customer Service</v>
      </c>
      <c r="R2403" s="14" t="str">
        <f>IFERROR(__xludf.DUMMYFUNCTION("""COMPUTED_VALUE""")," Seamless and easy")</f>
        <v> Seamless and easy</v>
      </c>
      <c r="S2403" s="14" t="str">
        <f t="shared" ref="S2403:U2403" si="4809">trim(B2403)</f>
        <v>ord_92367</v>
      </c>
      <c r="T2403" s="14" t="str">
        <f t="shared" si="4809"/>
        <v>Aditi Iyer</v>
      </c>
      <c r="U2403" s="14" t="str">
        <f t="shared" si="4809"/>
        <v>Dadar</v>
      </c>
      <c r="V2403" s="14" t="str">
        <f t="shared" si="4"/>
        <v>Rasmalai</v>
      </c>
      <c r="W2403" s="14">
        <f t="shared" si="5"/>
        <v>5</v>
      </c>
      <c r="X2403" s="14" t="str">
        <f t="shared" si="6"/>
        <v>Vivek Kumar</v>
      </c>
      <c r="Y2403" s="15">
        <f t="shared" si="7"/>
        <v>45154</v>
      </c>
      <c r="Z2403" s="14" t="str">
        <f t="shared" si="8"/>
        <v>UPI</v>
      </c>
      <c r="AA2403" s="14" t="str">
        <f t="shared" si="9"/>
        <v>Delivered</v>
      </c>
      <c r="AB2403" s="14" t="str">
        <f t="shared" ref="AB2403:AC2403" si="4810">trim(Q2403)</f>
        <v>Customer Service</v>
      </c>
      <c r="AC2403" s="14" t="str">
        <f t="shared" si="4810"/>
        <v>Seamless and easy</v>
      </c>
      <c r="AD2403" s="8"/>
    </row>
    <row r="2404">
      <c r="A2404" s="14" t="str">
        <f>IFERROR(__xludf.DUMMYFUNCTION("""COMPUTED_VALUE"""),"//ord_92368//Sakshi Tandon//Colaba//Juice+3*Manju Ajay/10/20/2023//Credit Card//Delivered*Delivery Experience: Quick and professional")</f>
        <v>//ord_92368//Sakshi Tandon//Colaba//Juice+3*Manju Ajay/10/20/2023//Credit Card//Delivered*Delivery Experience: Quick and professional</v>
      </c>
      <c r="B2404" s="14" t="str">
        <f>IFERROR(__xludf.DUMMYFUNCTION("split(A2404,""//"")"),"ord_92368")</f>
        <v>ord_92368</v>
      </c>
      <c r="C2404" s="14" t="str">
        <f>IFERROR(__xludf.DUMMYFUNCTION("""COMPUTED_VALUE"""),"Sakshi Tandon")</f>
        <v>Sakshi Tandon</v>
      </c>
      <c r="D2404" s="14" t="str">
        <f>IFERROR(__xludf.DUMMYFUNCTION("""COMPUTED_VALUE"""),"Colaba")</f>
        <v>Colaba</v>
      </c>
      <c r="E2404" s="14" t="str">
        <f>IFERROR(__xludf.DUMMYFUNCTION("""COMPUTED_VALUE"""),"Juice+3*Manju Ajay")</f>
        <v>Juice+3*Manju Ajay</v>
      </c>
      <c r="F2404" s="14">
        <f>IFERROR(__xludf.DUMMYFUNCTION("""COMPUTED_VALUE"""),10.0)</f>
        <v>10</v>
      </c>
      <c r="G2404" s="14">
        <f>IFERROR(__xludf.DUMMYFUNCTION("""COMPUTED_VALUE"""),20.0)</f>
        <v>20</v>
      </c>
      <c r="H2404" s="14">
        <f>IFERROR(__xludf.DUMMYFUNCTION("""COMPUTED_VALUE"""),2023.0)</f>
        <v>2023</v>
      </c>
      <c r="I2404" s="14" t="str">
        <f>IFERROR(__xludf.DUMMYFUNCTION("""COMPUTED_VALUE"""),"Credit Card")</f>
        <v>Credit Card</v>
      </c>
      <c r="J2404" s="14" t="str">
        <f>IFERROR(__xludf.DUMMYFUNCTION("""COMPUTED_VALUE"""),"Delivered*Delivery Experience: Quick and professional")</f>
        <v>Delivered*Delivery Experience: Quick and professional</v>
      </c>
      <c r="K2404" s="14" t="str">
        <f>IFERROR(__xludf.DUMMYFUNCTION("split(E2404,""+"")"),"Juice")</f>
        <v>Juice</v>
      </c>
      <c r="L2404" s="14" t="str">
        <f>IFERROR(__xludf.DUMMYFUNCTION("""COMPUTED_VALUE"""),"3*Manju Ajay")</f>
        <v>3*Manju Ajay</v>
      </c>
      <c r="M2404" s="14">
        <f>IFERROR(__xludf.DUMMYFUNCTION("SPLIT(L2404,""*"")"),3.0)</f>
        <v>3</v>
      </c>
      <c r="N2404" s="14" t="str">
        <f>IFERROR(__xludf.DUMMYFUNCTION("""COMPUTED_VALUE"""),"Manju Ajay")</f>
        <v>Manju Ajay</v>
      </c>
      <c r="O2404" s="14" t="str">
        <f>IFERROR(__xludf.DUMMYFUNCTION("split(J2404,""*"")"),"Delivered")</f>
        <v>Delivered</v>
      </c>
      <c r="P2404" s="14" t="str">
        <f>IFERROR(__xludf.DUMMYFUNCTION("""COMPUTED_VALUE"""),"Delivery Experience: Quick and professional")</f>
        <v>Delivery Experience: Quick and professional</v>
      </c>
      <c r="Q2404" s="14" t="str">
        <f>IFERROR(__xludf.DUMMYFUNCTION("split(P2404,"":"")"),"Delivery Experience")</f>
        <v>Delivery Experience</v>
      </c>
      <c r="R2404" s="14" t="str">
        <f>IFERROR(__xludf.DUMMYFUNCTION("""COMPUTED_VALUE""")," Quick and professional")</f>
        <v> Quick and professional</v>
      </c>
      <c r="S2404" s="14" t="str">
        <f t="shared" ref="S2404:U2404" si="4811">trim(B2404)</f>
        <v>ord_92368</v>
      </c>
      <c r="T2404" s="14" t="str">
        <f t="shared" si="4811"/>
        <v>Sakshi Tandon</v>
      </c>
      <c r="U2404" s="14" t="str">
        <f t="shared" si="4811"/>
        <v>Colaba</v>
      </c>
      <c r="V2404" s="14" t="str">
        <f t="shared" si="4"/>
        <v>Juice</v>
      </c>
      <c r="W2404" s="14">
        <f t="shared" si="5"/>
        <v>3</v>
      </c>
      <c r="X2404" s="14" t="str">
        <f t="shared" si="6"/>
        <v>Manju Ajay</v>
      </c>
      <c r="Y2404" s="15">
        <f t="shared" si="7"/>
        <v>45219</v>
      </c>
      <c r="Z2404" s="14" t="str">
        <f t="shared" si="8"/>
        <v>Credit Card</v>
      </c>
      <c r="AA2404" s="14" t="str">
        <f t="shared" si="9"/>
        <v>Delivered</v>
      </c>
      <c r="AB2404" s="14" t="str">
        <f t="shared" ref="AB2404:AC2404" si="4812">trim(Q2404)</f>
        <v>Delivery Experience</v>
      </c>
      <c r="AC2404" s="14" t="str">
        <f t="shared" si="4812"/>
        <v>Quick and professional</v>
      </c>
      <c r="AD2404" s="8"/>
    </row>
    <row r="2405">
      <c r="A2405" s="14" t="str">
        <f>IFERROR(__xludf.DUMMYFUNCTION("""COMPUTED_VALUE"""),"//ord_92369//Kritika Shetty//Malad//Tomato+1*Nithin Lal/9/6/2023//Credit Card//Delivered*Convenience: Easy tracking")</f>
        <v>//ord_92369//Kritika Shetty//Malad//Tomato+1*Nithin Lal/9/6/2023//Credit Card//Delivered*Convenience: Easy tracking</v>
      </c>
      <c r="B2405" s="14" t="str">
        <f>IFERROR(__xludf.DUMMYFUNCTION("split(A2405,""//"")"),"ord_92369")</f>
        <v>ord_92369</v>
      </c>
      <c r="C2405" s="14" t="str">
        <f>IFERROR(__xludf.DUMMYFUNCTION("""COMPUTED_VALUE"""),"Kritika Shetty")</f>
        <v>Kritika Shetty</v>
      </c>
      <c r="D2405" s="14" t="str">
        <f>IFERROR(__xludf.DUMMYFUNCTION("""COMPUTED_VALUE"""),"Malad")</f>
        <v>Malad</v>
      </c>
      <c r="E2405" s="14" t="str">
        <f>IFERROR(__xludf.DUMMYFUNCTION("""COMPUTED_VALUE"""),"Tomato+1*Nithin Lal")</f>
        <v>Tomato+1*Nithin Lal</v>
      </c>
      <c r="F2405" s="14">
        <f>IFERROR(__xludf.DUMMYFUNCTION("""COMPUTED_VALUE"""),9.0)</f>
        <v>9</v>
      </c>
      <c r="G2405" s="14">
        <f>IFERROR(__xludf.DUMMYFUNCTION("""COMPUTED_VALUE"""),6.0)</f>
        <v>6</v>
      </c>
      <c r="H2405" s="14">
        <f>IFERROR(__xludf.DUMMYFUNCTION("""COMPUTED_VALUE"""),2023.0)</f>
        <v>2023</v>
      </c>
      <c r="I2405" s="14" t="str">
        <f>IFERROR(__xludf.DUMMYFUNCTION("""COMPUTED_VALUE"""),"Credit Card")</f>
        <v>Credit Card</v>
      </c>
      <c r="J2405" s="14" t="str">
        <f>IFERROR(__xludf.DUMMYFUNCTION("""COMPUTED_VALUE"""),"Delivered*Convenience: Easy tracking")</f>
        <v>Delivered*Convenience: Easy tracking</v>
      </c>
      <c r="K2405" s="14" t="str">
        <f>IFERROR(__xludf.DUMMYFUNCTION("split(E2405,""+"")"),"Tomato")</f>
        <v>Tomato</v>
      </c>
      <c r="L2405" s="14" t="str">
        <f>IFERROR(__xludf.DUMMYFUNCTION("""COMPUTED_VALUE"""),"1*Nithin Lal")</f>
        <v>1*Nithin Lal</v>
      </c>
      <c r="M2405" s="14">
        <f>IFERROR(__xludf.DUMMYFUNCTION("SPLIT(L2405,""*"")"),1.0)</f>
        <v>1</v>
      </c>
      <c r="N2405" s="14" t="str">
        <f>IFERROR(__xludf.DUMMYFUNCTION("""COMPUTED_VALUE"""),"Nithin Lal")</f>
        <v>Nithin Lal</v>
      </c>
      <c r="O2405" s="14" t="str">
        <f>IFERROR(__xludf.DUMMYFUNCTION("split(J2405,""*"")"),"Delivered")</f>
        <v>Delivered</v>
      </c>
      <c r="P2405" s="14" t="str">
        <f>IFERROR(__xludf.DUMMYFUNCTION("""COMPUTED_VALUE"""),"Convenience: Easy tracking")</f>
        <v>Convenience: Easy tracking</v>
      </c>
      <c r="Q2405" s="14" t="str">
        <f>IFERROR(__xludf.DUMMYFUNCTION("split(P2405,"":"")"),"Convenience")</f>
        <v>Convenience</v>
      </c>
      <c r="R2405" s="14" t="str">
        <f>IFERROR(__xludf.DUMMYFUNCTION("""COMPUTED_VALUE""")," Easy tracking")</f>
        <v> Easy tracking</v>
      </c>
      <c r="S2405" s="14" t="str">
        <f t="shared" ref="S2405:U2405" si="4813">trim(B2405)</f>
        <v>ord_92369</v>
      </c>
      <c r="T2405" s="14" t="str">
        <f t="shared" si="4813"/>
        <v>Kritika Shetty</v>
      </c>
      <c r="U2405" s="14" t="str">
        <f t="shared" si="4813"/>
        <v>Malad</v>
      </c>
      <c r="V2405" s="14" t="str">
        <f t="shared" si="4"/>
        <v>Tomato</v>
      </c>
      <c r="W2405" s="14">
        <f t="shared" si="5"/>
        <v>1</v>
      </c>
      <c r="X2405" s="14" t="str">
        <f t="shared" si="6"/>
        <v>Nithin Lal</v>
      </c>
      <c r="Y2405" s="15">
        <f t="shared" si="7"/>
        <v>45175</v>
      </c>
      <c r="Z2405" s="14" t="str">
        <f t="shared" si="8"/>
        <v>Credit Card</v>
      </c>
      <c r="AA2405" s="14" t="str">
        <f t="shared" si="9"/>
        <v>Delivered</v>
      </c>
      <c r="AB2405" s="14" t="str">
        <f t="shared" ref="AB2405:AC2405" si="4814">trim(Q2405)</f>
        <v>Convenience</v>
      </c>
      <c r="AC2405" s="14" t="str">
        <f t="shared" si="4814"/>
        <v>Easy tracking</v>
      </c>
      <c r="AD2405" s="8"/>
    </row>
    <row r="2406">
      <c r="A2406" s="14" t="str">
        <f>IFERROR(__xludf.DUMMYFUNCTION("""COMPUTED_VALUE"""),"//ord_92370//Dev Chauhan//Bandra//Potato+1*Shine Thomas/8/16/2023//UPI//Delivered*Overall Satisfaction: Great service will order again")</f>
        <v>//ord_92370//Dev Chauhan//Bandra//Potato+1*Shine Thomas/8/16/2023//UPI//Delivered*Overall Satisfaction: Great service will order again</v>
      </c>
      <c r="B2406" s="14" t="str">
        <f>IFERROR(__xludf.DUMMYFUNCTION("split(A2406,""//"")"),"ord_92370")</f>
        <v>ord_92370</v>
      </c>
      <c r="C2406" s="14" t="str">
        <f>IFERROR(__xludf.DUMMYFUNCTION("""COMPUTED_VALUE"""),"Dev Chauhan")</f>
        <v>Dev Chauhan</v>
      </c>
      <c r="D2406" s="14" t="str">
        <f>IFERROR(__xludf.DUMMYFUNCTION("""COMPUTED_VALUE"""),"Bandra")</f>
        <v>Bandra</v>
      </c>
      <c r="E2406" s="14" t="str">
        <f>IFERROR(__xludf.DUMMYFUNCTION("""COMPUTED_VALUE"""),"Potato+1*Shine Thomas")</f>
        <v>Potato+1*Shine Thomas</v>
      </c>
      <c r="F2406" s="14">
        <f>IFERROR(__xludf.DUMMYFUNCTION("""COMPUTED_VALUE"""),8.0)</f>
        <v>8</v>
      </c>
      <c r="G2406" s="14">
        <f>IFERROR(__xludf.DUMMYFUNCTION("""COMPUTED_VALUE"""),16.0)</f>
        <v>16</v>
      </c>
      <c r="H2406" s="14">
        <f>IFERROR(__xludf.DUMMYFUNCTION("""COMPUTED_VALUE"""),2023.0)</f>
        <v>2023</v>
      </c>
      <c r="I2406" s="14" t="str">
        <f>IFERROR(__xludf.DUMMYFUNCTION("""COMPUTED_VALUE"""),"UPI")</f>
        <v>UPI</v>
      </c>
      <c r="J2406" s="14" t="str">
        <f>IFERROR(__xludf.DUMMYFUNCTION("""COMPUTED_VALUE"""),"Delivered*Overall Satisfaction: Great service will order again")</f>
        <v>Delivered*Overall Satisfaction: Great service will order again</v>
      </c>
      <c r="K2406" s="14" t="str">
        <f>IFERROR(__xludf.DUMMYFUNCTION("split(E2406,""+"")"),"Potato")</f>
        <v>Potato</v>
      </c>
      <c r="L2406" s="14" t="str">
        <f>IFERROR(__xludf.DUMMYFUNCTION("""COMPUTED_VALUE"""),"1*Shine Thomas")</f>
        <v>1*Shine Thomas</v>
      </c>
      <c r="M2406" s="14">
        <f>IFERROR(__xludf.DUMMYFUNCTION("SPLIT(L2406,""*"")"),1.0)</f>
        <v>1</v>
      </c>
      <c r="N2406" s="14" t="str">
        <f>IFERROR(__xludf.DUMMYFUNCTION("""COMPUTED_VALUE"""),"Shine Thomas")</f>
        <v>Shine Thomas</v>
      </c>
      <c r="O2406" s="14" t="str">
        <f>IFERROR(__xludf.DUMMYFUNCTION("split(J2406,""*"")"),"Delivered")</f>
        <v>Delivered</v>
      </c>
      <c r="P2406" s="14" t="str">
        <f>IFERROR(__xludf.DUMMYFUNCTION("""COMPUTED_VALUE"""),"Overall Satisfaction: Great service will order again")</f>
        <v>Overall Satisfaction: Great service will order again</v>
      </c>
      <c r="Q2406" s="14" t="str">
        <f>IFERROR(__xludf.DUMMYFUNCTION("split(P2406,"":"")"),"Overall Satisfaction")</f>
        <v>Overall Satisfaction</v>
      </c>
      <c r="R2406" s="14" t="str">
        <f>IFERROR(__xludf.DUMMYFUNCTION("""COMPUTED_VALUE""")," Great service will order again")</f>
        <v> Great service will order again</v>
      </c>
      <c r="S2406" s="14" t="str">
        <f t="shared" ref="S2406:U2406" si="4815">trim(B2406)</f>
        <v>ord_92370</v>
      </c>
      <c r="T2406" s="14" t="str">
        <f t="shared" si="4815"/>
        <v>Dev Chauhan</v>
      </c>
      <c r="U2406" s="14" t="str">
        <f t="shared" si="4815"/>
        <v>Bandra</v>
      </c>
      <c r="V2406" s="14" t="str">
        <f t="shared" si="4"/>
        <v>Potato</v>
      </c>
      <c r="W2406" s="14">
        <f t="shared" si="5"/>
        <v>1</v>
      </c>
      <c r="X2406" s="14" t="str">
        <f t="shared" si="6"/>
        <v>Shine Thomas</v>
      </c>
      <c r="Y2406" s="15">
        <f t="shared" si="7"/>
        <v>45154</v>
      </c>
      <c r="Z2406" s="14" t="str">
        <f t="shared" si="8"/>
        <v>UPI</v>
      </c>
      <c r="AA2406" s="14" t="str">
        <f t="shared" si="9"/>
        <v>Delivered</v>
      </c>
      <c r="AB2406" s="14" t="str">
        <f t="shared" ref="AB2406:AC2406" si="4816">trim(Q2406)</f>
        <v>Overall Satisfaction</v>
      </c>
      <c r="AC2406" s="14" t="str">
        <f t="shared" si="4816"/>
        <v>Great service will order again</v>
      </c>
      <c r="AD2406" s="8"/>
    </row>
    <row r="2407">
      <c r="A2407" s="14" t="str">
        <f>IFERROR(__xludf.DUMMYFUNCTION("""COMPUTED_VALUE"""),"//ord_92371//Ritika Dutta//Lower Parel//Icecream+6*Vivek Kumar/6/8/2023//UPI//Delivered*On-time Delivery: Delivered on time")</f>
        <v>//ord_92371//Ritika Dutta//Lower Parel//Icecream+6*Vivek Kumar/6/8/2023//UPI//Delivered*On-time Delivery: Delivered on time</v>
      </c>
      <c r="B2407" s="14" t="str">
        <f>IFERROR(__xludf.DUMMYFUNCTION("split(A2407,""//"")"),"ord_92371")</f>
        <v>ord_92371</v>
      </c>
      <c r="C2407" s="14" t="str">
        <f>IFERROR(__xludf.DUMMYFUNCTION("""COMPUTED_VALUE"""),"Ritika Dutta")</f>
        <v>Ritika Dutta</v>
      </c>
      <c r="D2407" s="14" t="str">
        <f>IFERROR(__xludf.DUMMYFUNCTION("""COMPUTED_VALUE"""),"Lower Parel")</f>
        <v>Lower Parel</v>
      </c>
      <c r="E2407" s="14" t="str">
        <f>IFERROR(__xludf.DUMMYFUNCTION("""COMPUTED_VALUE"""),"Icecream+6*Vivek Kumar")</f>
        <v>Icecream+6*Vivek Kumar</v>
      </c>
      <c r="F2407" s="14">
        <f>IFERROR(__xludf.DUMMYFUNCTION("""COMPUTED_VALUE"""),6.0)</f>
        <v>6</v>
      </c>
      <c r="G2407" s="14">
        <f>IFERROR(__xludf.DUMMYFUNCTION("""COMPUTED_VALUE"""),8.0)</f>
        <v>8</v>
      </c>
      <c r="H2407" s="14">
        <f>IFERROR(__xludf.DUMMYFUNCTION("""COMPUTED_VALUE"""),2023.0)</f>
        <v>2023</v>
      </c>
      <c r="I2407" s="14" t="str">
        <f>IFERROR(__xludf.DUMMYFUNCTION("""COMPUTED_VALUE"""),"UPI")</f>
        <v>UPI</v>
      </c>
      <c r="J2407" s="14" t="str">
        <f>IFERROR(__xludf.DUMMYFUNCTION("""COMPUTED_VALUE"""),"Delivered*On-time Delivery: Delivered on time")</f>
        <v>Delivered*On-time Delivery: Delivered on time</v>
      </c>
      <c r="K2407" s="14" t="str">
        <f>IFERROR(__xludf.DUMMYFUNCTION("split(E2407,""+"")"),"Icecream")</f>
        <v>Icecream</v>
      </c>
      <c r="L2407" s="14" t="str">
        <f>IFERROR(__xludf.DUMMYFUNCTION("""COMPUTED_VALUE"""),"6*Vivek Kumar")</f>
        <v>6*Vivek Kumar</v>
      </c>
      <c r="M2407" s="14">
        <f>IFERROR(__xludf.DUMMYFUNCTION("SPLIT(L2407,""*"")"),6.0)</f>
        <v>6</v>
      </c>
      <c r="N2407" s="14" t="str">
        <f>IFERROR(__xludf.DUMMYFUNCTION("""COMPUTED_VALUE"""),"Vivek Kumar")</f>
        <v>Vivek Kumar</v>
      </c>
      <c r="O2407" s="14" t="str">
        <f>IFERROR(__xludf.DUMMYFUNCTION("split(J2407,""*"")"),"Delivered")</f>
        <v>Delivered</v>
      </c>
      <c r="P2407" s="14" t="str">
        <f>IFERROR(__xludf.DUMMYFUNCTION("""COMPUTED_VALUE"""),"On-time Delivery: Delivered on time")</f>
        <v>On-time Delivery: Delivered on time</v>
      </c>
      <c r="Q2407" s="14" t="str">
        <f>IFERROR(__xludf.DUMMYFUNCTION("split(P2407,"":"")"),"On-time Delivery")</f>
        <v>On-time Delivery</v>
      </c>
      <c r="R2407" s="14" t="str">
        <f>IFERROR(__xludf.DUMMYFUNCTION("""COMPUTED_VALUE""")," Delivered on time")</f>
        <v> Delivered on time</v>
      </c>
      <c r="S2407" s="14" t="str">
        <f t="shared" ref="S2407:U2407" si="4817">trim(B2407)</f>
        <v>ord_92371</v>
      </c>
      <c r="T2407" s="14" t="str">
        <f t="shared" si="4817"/>
        <v>Ritika Dutta</v>
      </c>
      <c r="U2407" s="14" t="str">
        <f t="shared" si="4817"/>
        <v>Lower Parel</v>
      </c>
      <c r="V2407" s="14" t="str">
        <f t="shared" si="4"/>
        <v>Icecream</v>
      </c>
      <c r="W2407" s="14">
        <f t="shared" si="5"/>
        <v>6</v>
      </c>
      <c r="X2407" s="14" t="str">
        <f t="shared" si="6"/>
        <v>Vivek Kumar</v>
      </c>
      <c r="Y2407" s="15">
        <f t="shared" si="7"/>
        <v>45085</v>
      </c>
      <c r="Z2407" s="14" t="str">
        <f t="shared" si="8"/>
        <v>UPI</v>
      </c>
      <c r="AA2407" s="14" t="str">
        <f t="shared" si="9"/>
        <v>Delivered</v>
      </c>
      <c r="AB2407" s="14" t="str">
        <f t="shared" ref="AB2407:AC2407" si="4818">trim(Q2407)</f>
        <v>On-time Delivery</v>
      </c>
      <c r="AC2407" s="14" t="str">
        <f t="shared" si="4818"/>
        <v>Delivered on time</v>
      </c>
      <c r="AD2407" s="8"/>
    </row>
    <row r="2408">
      <c r="A2408" s="14" t="str">
        <f>IFERROR(__xludf.DUMMYFUNCTION("""COMPUTED_VALUE"""),"//ord_92372//Anaya Rao//Colaba//Onion+2*Ram Gopal/12/30/2023//UPI//Delivered*On-time Delivery: Delivered on time")</f>
        <v>//ord_92372//Anaya Rao//Colaba//Onion+2*Ram Gopal/12/30/2023//UPI//Delivered*On-time Delivery: Delivered on time</v>
      </c>
      <c r="B2408" s="14" t="str">
        <f>IFERROR(__xludf.DUMMYFUNCTION("split(A2408,""//"")"),"ord_92372")</f>
        <v>ord_92372</v>
      </c>
      <c r="C2408" s="14" t="str">
        <f>IFERROR(__xludf.DUMMYFUNCTION("""COMPUTED_VALUE"""),"Anaya Rao")</f>
        <v>Anaya Rao</v>
      </c>
      <c r="D2408" s="14" t="str">
        <f>IFERROR(__xludf.DUMMYFUNCTION("""COMPUTED_VALUE"""),"Colaba")</f>
        <v>Colaba</v>
      </c>
      <c r="E2408" s="14" t="str">
        <f>IFERROR(__xludf.DUMMYFUNCTION("""COMPUTED_VALUE"""),"Onion+2*Ram Gopal")</f>
        <v>Onion+2*Ram Gopal</v>
      </c>
      <c r="F2408" s="14">
        <f>IFERROR(__xludf.DUMMYFUNCTION("""COMPUTED_VALUE"""),12.0)</f>
        <v>12</v>
      </c>
      <c r="G2408" s="14">
        <f>IFERROR(__xludf.DUMMYFUNCTION("""COMPUTED_VALUE"""),30.0)</f>
        <v>30</v>
      </c>
      <c r="H2408" s="14">
        <f>IFERROR(__xludf.DUMMYFUNCTION("""COMPUTED_VALUE"""),2023.0)</f>
        <v>2023</v>
      </c>
      <c r="I2408" s="14" t="str">
        <f>IFERROR(__xludf.DUMMYFUNCTION("""COMPUTED_VALUE"""),"UPI")</f>
        <v>UPI</v>
      </c>
      <c r="J2408" s="14" t="str">
        <f>IFERROR(__xludf.DUMMYFUNCTION("""COMPUTED_VALUE"""),"Delivered*On-time Delivery: Delivered on time")</f>
        <v>Delivered*On-time Delivery: Delivered on time</v>
      </c>
      <c r="K2408" s="14" t="str">
        <f>IFERROR(__xludf.DUMMYFUNCTION("split(E2408,""+"")"),"Onion")</f>
        <v>Onion</v>
      </c>
      <c r="L2408" s="14" t="str">
        <f>IFERROR(__xludf.DUMMYFUNCTION("""COMPUTED_VALUE"""),"2*Ram Gopal")</f>
        <v>2*Ram Gopal</v>
      </c>
      <c r="M2408" s="14">
        <f>IFERROR(__xludf.DUMMYFUNCTION("SPLIT(L2408,""*"")"),2.0)</f>
        <v>2</v>
      </c>
      <c r="N2408" s="14" t="str">
        <f>IFERROR(__xludf.DUMMYFUNCTION("""COMPUTED_VALUE"""),"Ram Gopal")</f>
        <v>Ram Gopal</v>
      </c>
      <c r="O2408" s="14" t="str">
        <f>IFERROR(__xludf.DUMMYFUNCTION("split(J2408,""*"")"),"Delivered")</f>
        <v>Delivered</v>
      </c>
      <c r="P2408" s="14" t="str">
        <f>IFERROR(__xludf.DUMMYFUNCTION("""COMPUTED_VALUE"""),"On-time Delivery: Delivered on time")</f>
        <v>On-time Delivery: Delivered on time</v>
      </c>
      <c r="Q2408" s="14" t="str">
        <f>IFERROR(__xludf.DUMMYFUNCTION("split(P2408,"":"")"),"On-time Delivery")</f>
        <v>On-time Delivery</v>
      </c>
      <c r="R2408" s="14" t="str">
        <f>IFERROR(__xludf.DUMMYFUNCTION("""COMPUTED_VALUE""")," Delivered on time")</f>
        <v> Delivered on time</v>
      </c>
      <c r="S2408" s="14" t="str">
        <f t="shared" ref="S2408:U2408" si="4819">trim(B2408)</f>
        <v>ord_92372</v>
      </c>
      <c r="T2408" s="14" t="str">
        <f t="shared" si="4819"/>
        <v>Anaya Rao</v>
      </c>
      <c r="U2408" s="14" t="str">
        <f t="shared" si="4819"/>
        <v>Colaba</v>
      </c>
      <c r="V2408" s="14" t="str">
        <f t="shared" si="4"/>
        <v>Onion</v>
      </c>
      <c r="W2408" s="14">
        <f t="shared" si="5"/>
        <v>2</v>
      </c>
      <c r="X2408" s="14" t="str">
        <f t="shared" si="6"/>
        <v>Ram Gopal</v>
      </c>
      <c r="Y2408" s="15">
        <f t="shared" si="7"/>
        <v>45290</v>
      </c>
      <c r="Z2408" s="14" t="str">
        <f t="shared" si="8"/>
        <v>UPI</v>
      </c>
      <c r="AA2408" s="14" t="str">
        <f t="shared" si="9"/>
        <v>Delivered</v>
      </c>
      <c r="AB2408" s="14" t="str">
        <f t="shared" ref="AB2408:AC2408" si="4820">trim(Q2408)</f>
        <v>On-time Delivery</v>
      </c>
      <c r="AC2408" s="14" t="str">
        <f t="shared" si="4820"/>
        <v>Delivered on time</v>
      </c>
      <c r="AD2408" s="8"/>
    </row>
    <row r="2409">
      <c r="A2409" s="14" t="str">
        <f>IFERROR(__xludf.DUMMYFUNCTION("""COMPUTED_VALUE"""),"//ord_92373//Aarohi Kapoor//Bandra//Juice+1*Nithin Lal/6/13/2023//UPI//Delivered*Quality of Items: Perfect condition")</f>
        <v>//ord_92373//Aarohi Kapoor//Bandra//Juice+1*Nithin Lal/6/13/2023//UPI//Delivered*Quality of Items: Perfect condition</v>
      </c>
      <c r="B2409" s="14" t="str">
        <f>IFERROR(__xludf.DUMMYFUNCTION("split(A2409,""//"")"),"ord_92373")</f>
        <v>ord_92373</v>
      </c>
      <c r="C2409" s="14" t="str">
        <f>IFERROR(__xludf.DUMMYFUNCTION("""COMPUTED_VALUE"""),"Aarohi Kapoor")</f>
        <v>Aarohi Kapoor</v>
      </c>
      <c r="D2409" s="14" t="str">
        <f>IFERROR(__xludf.DUMMYFUNCTION("""COMPUTED_VALUE"""),"Bandra")</f>
        <v>Bandra</v>
      </c>
      <c r="E2409" s="14" t="str">
        <f>IFERROR(__xludf.DUMMYFUNCTION("""COMPUTED_VALUE"""),"Juice+1*Nithin Lal")</f>
        <v>Juice+1*Nithin Lal</v>
      </c>
      <c r="F2409" s="14">
        <f>IFERROR(__xludf.DUMMYFUNCTION("""COMPUTED_VALUE"""),6.0)</f>
        <v>6</v>
      </c>
      <c r="G2409" s="14">
        <f>IFERROR(__xludf.DUMMYFUNCTION("""COMPUTED_VALUE"""),13.0)</f>
        <v>13</v>
      </c>
      <c r="H2409" s="14">
        <f>IFERROR(__xludf.DUMMYFUNCTION("""COMPUTED_VALUE"""),2023.0)</f>
        <v>2023</v>
      </c>
      <c r="I2409" s="14" t="str">
        <f>IFERROR(__xludf.DUMMYFUNCTION("""COMPUTED_VALUE"""),"UPI")</f>
        <v>UPI</v>
      </c>
      <c r="J2409" s="14" t="str">
        <f>IFERROR(__xludf.DUMMYFUNCTION("""COMPUTED_VALUE"""),"Delivered*Quality of Items: Perfect condition")</f>
        <v>Delivered*Quality of Items: Perfect condition</v>
      </c>
      <c r="K2409" s="14" t="str">
        <f>IFERROR(__xludf.DUMMYFUNCTION("split(E2409,""+"")"),"Juice")</f>
        <v>Juice</v>
      </c>
      <c r="L2409" s="14" t="str">
        <f>IFERROR(__xludf.DUMMYFUNCTION("""COMPUTED_VALUE"""),"1*Nithin Lal")</f>
        <v>1*Nithin Lal</v>
      </c>
      <c r="M2409" s="14">
        <f>IFERROR(__xludf.DUMMYFUNCTION("SPLIT(L2409,""*"")"),1.0)</f>
        <v>1</v>
      </c>
      <c r="N2409" s="14" t="str">
        <f>IFERROR(__xludf.DUMMYFUNCTION("""COMPUTED_VALUE"""),"Nithin Lal")</f>
        <v>Nithin Lal</v>
      </c>
      <c r="O2409" s="14" t="str">
        <f>IFERROR(__xludf.DUMMYFUNCTION("split(J2409,""*"")"),"Delivered")</f>
        <v>Delivered</v>
      </c>
      <c r="P2409" s="14" t="str">
        <f>IFERROR(__xludf.DUMMYFUNCTION("""COMPUTED_VALUE"""),"Quality of Items: Perfect condition")</f>
        <v>Quality of Items: Perfect condition</v>
      </c>
      <c r="Q2409" s="14" t="str">
        <f>IFERROR(__xludf.DUMMYFUNCTION("split(P2409,"":"")"),"Quality of Items")</f>
        <v>Quality of Items</v>
      </c>
      <c r="R2409" s="14" t="str">
        <f>IFERROR(__xludf.DUMMYFUNCTION("""COMPUTED_VALUE""")," Perfect condition")</f>
        <v> Perfect condition</v>
      </c>
      <c r="S2409" s="14" t="str">
        <f t="shared" ref="S2409:U2409" si="4821">trim(B2409)</f>
        <v>ord_92373</v>
      </c>
      <c r="T2409" s="14" t="str">
        <f t="shared" si="4821"/>
        <v>Aarohi Kapoor</v>
      </c>
      <c r="U2409" s="14" t="str">
        <f t="shared" si="4821"/>
        <v>Bandra</v>
      </c>
      <c r="V2409" s="14" t="str">
        <f t="shared" si="4"/>
        <v>Juice</v>
      </c>
      <c r="W2409" s="14">
        <f t="shared" si="5"/>
        <v>1</v>
      </c>
      <c r="X2409" s="14" t="str">
        <f t="shared" si="6"/>
        <v>Nithin Lal</v>
      </c>
      <c r="Y2409" s="15">
        <f t="shared" si="7"/>
        <v>45090</v>
      </c>
      <c r="Z2409" s="14" t="str">
        <f t="shared" si="8"/>
        <v>UPI</v>
      </c>
      <c r="AA2409" s="14" t="str">
        <f t="shared" si="9"/>
        <v>Delivered</v>
      </c>
      <c r="AB2409" s="14" t="str">
        <f t="shared" ref="AB2409:AC2409" si="4822">trim(Q2409)</f>
        <v>Quality of Items</v>
      </c>
      <c r="AC2409" s="14" t="str">
        <f t="shared" si="4822"/>
        <v>Perfect condition</v>
      </c>
      <c r="AD2409" s="8"/>
    </row>
    <row r="2410">
      <c r="A2410" s="14" t="str">
        <f>IFERROR(__xludf.DUMMYFUNCTION("""COMPUTED_VALUE"""),"//ord_92374//Diya Arora//Lower Parel//Cucumber+2*Vivek Kumar/9/13/2023//Credit Card//Delivered*Packaging: Secure and intact")</f>
        <v>//ord_92374//Diya Arora//Lower Parel//Cucumber+2*Vivek Kumar/9/13/2023//Credit Card//Delivered*Packaging: Secure and intact</v>
      </c>
      <c r="B2410" s="14" t="str">
        <f>IFERROR(__xludf.DUMMYFUNCTION("split(A2410,""//"")"),"ord_92374")</f>
        <v>ord_92374</v>
      </c>
      <c r="C2410" s="14" t="str">
        <f>IFERROR(__xludf.DUMMYFUNCTION("""COMPUTED_VALUE"""),"Diya Arora")</f>
        <v>Diya Arora</v>
      </c>
      <c r="D2410" s="14" t="str">
        <f>IFERROR(__xludf.DUMMYFUNCTION("""COMPUTED_VALUE"""),"Lower Parel")</f>
        <v>Lower Parel</v>
      </c>
      <c r="E2410" s="14" t="str">
        <f>IFERROR(__xludf.DUMMYFUNCTION("""COMPUTED_VALUE"""),"Cucumber+2*Vivek Kumar")</f>
        <v>Cucumber+2*Vivek Kumar</v>
      </c>
      <c r="F2410" s="14">
        <f>IFERROR(__xludf.DUMMYFUNCTION("""COMPUTED_VALUE"""),9.0)</f>
        <v>9</v>
      </c>
      <c r="G2410" s="14">
        <f>IFERROR(__xludf.DUMMYFUNCTION("""COMPUTED_VALUE"""),13.0)</f>
        <v>13</v>
      </c>
      <c r="H2410" s="14">
        <f>IFERROR(__xludf.DUMMYFUNCTION("""COMPUTED_VALUE"""),2023.0)</f>
        <v>2023</v>
      </c>
      <c r="I2410" s="14" t="str">
        <f>IFERROR(__xludf.DUMMYFUNCTION("""COMPUTED_VALUE"""),"Credit Card")</f>
        <v>Credit Card</v>
      </c>
      <c r="J2410" s="14" t="str">
        <f>IFERROR(__xludf.DUMMYFUNCTION("""COMPUTED_VALUE"""),"Delivered*Packaging: Secure and intact")</f>
        <v>Delivered*Packaging: Secure and intact</v>
      </c>
      <c r="K2410" s="14" t="str">
        <f>IFERROR(__xludf.DUMMYFUNCTION("split(E2410,""+"")"),"Cucumber")</f>
        <v>Cucumber</v>
      </c>
      <c r="L2410" s="14" t="str">
        <f>IFERROR(__xludf.DUMMYFUNCTION("""COMPUTED_VALUE"""),"2*Vivek Kumar")</f>
        <v>2*Vivek Kumar</v>
      </c>
      <c r="M2410" s="14">
        <f>IFERROR(__xludf.DUMMYFUNCTION("SPLIT(L2410,""*"")"),2.0)</f>
        <v>2</v>
      </c>
      <c r="N2410" s="14" t="str">
        <f>IFERROR(__xludf.DUMMYFUNCTION("""COMPUTED_VALUE"""),"Vivek Kumar")</f>
        <v>Vivek Kumar</v>
      </c>
      <c r="O2410" s="14" t="str">
        <f>IFERROR(__xludf.DUMMYFUNCTION("split(J2410,""*"")"),"Delivered")</f>
        <v>Delivered</v>
      </c>
      <c r="P2410" s="14" t="str">
        <f>IFERROR(__xludf.DUMMYFUNCTION("""COMPUTED_VALUE"""),"Packaging: Secure and intact")</f>
        <v>Packaging: Secure and intact</v>
      </c>
      <c r="Q2410" s="14" t="str">
        <f>IFERROR(__xludf.DUMMYFUNCTION("split(P2410,"":"")"),"Packaging")</f>
        <v>Packaging</v>
      </c>
      <c r="R2410" s="14" t="str">
        <f>IFERROR(__xludf.DUMMYFUNCTION("""COMPUTED_VALUE""")," Secure and intact")</f>
        <v> Secure and intact</v>
      </c>
      <c r="S2410" s="14" t="str">
        <f t="shared" ref="S2410:U2410" si="4823">trim(B2410)</f>
        <v>ord_92374</v>
      </c>
      <c r="T2410" s="14" t="str">
        <f t="shared" si="4823"/>
        <v>Diya Arora</v>
      </c>
      <c r="U2410" s="14" t="str">
        <f t="shared" si="4823"/>
        <v>Lower Parel</v>
      </c>
      <c r="V2410" s="14" t="str">
        <f t="shared" si="4"/>
        <v>Cucumber</v>
      </c>
      <c r="W2410" s="14">
        <f t="shared" si="5"/>
        <v>2</v>
      </c>
      <c r="X2410" s="14" t="str">
        <f t="shared" si="6"/>
        <v>Vivek Kumar</v>
      </c>
      <c r="Y2410" s="15">
        <f t="shared" si="7"/>
        <v>45182</v>
      </c>
      <c r="Z2410" s="14" t="str">
        <f t="shared" si="8"/>
        <v>Credit Card</v>
      </c>
      <c r="AA2410" s="14" t="str">
        <f t="shared" si="9"/>
        <v>Delivered</v>
      </c>
      <c r="AB2410" s="14" t="str">
        <f t="shared" ref="AB2410:AC2410" si="4824">trim(Q2410)</f>
        <v>Packaging</v>
      </c>
      <c r="AC2410" s="14" t="str">
        <f t="shared" si="4824"/>
        <v>Secure and intact</v>
      </c>
      <c r="AD2410" s="8"/>
    </row>
    <row r="2411">
      <c r="A2411" s="14" t="str">
        <f>IFERROR(__xludf.DUMMYFUNCTION("""COMPUTED_VALUE"""),"//ord_92375//Siya Reddy//Juhu//Cucumber+1*Ram Gopal/10/4/2023//UPI//Delivered*Satisfied with the Delivery: Timely and quality")</f>
        <v>//ord_92375//Siya Reddy//Juhu//Cucumber+1*Ram Gopal/10/4/2023//UPI//Delivered*Satisfied with the Delivery: Timely and quality</v>
      </c>
      <c r="B2411" s="14" t="str">
        <f>IFERROR(__xludf.DUMMYFUNCTION("split(A2411,""//"")"),"ord_92375")</f>
        <v>ord_92375</v>
      </c>
      <c r="C2411" s="14" t="str">
        <f>IFERROR(__xludf.DUMMYFUNCTION("""COMPUTED_VALUE"""),"Siya Reddy")</f>
        <v>Siya Reddy</v>
      </c>
      <c r="D2411" s="14" t="str">
        <f>IFERROR(__xludf.DUMMYFUNCTION("""COMPUTED_VALUE"""),"Juhu")</f>
        <v>Juhu</v>
      </c>
      <c r="E2411" s="14" t="str">
        <f>IFERROR(__xludf.DUMMYFUNCTION("""COMPUTED_VALUE"""),"Cucumber+1*Ram Gopal")</f>
        <v>Cucumber+1*Ram Gopal</v>
      </c>
      <c r="F2411" s="14">
        <f>IFERROR(__xludf.DUMMYFUNCTION("""COMPUTED_VALUE"""),10.0)</f>
        <v>10</v>
      </c>
      <c r="G2411" s="14">
        <f>IFERROR(__xludf.DUMMYFUNCTION("""COMPUTED_VALUE"""),4.0)</f>
        <v>4</v>
      </c>
      <c r="H2411" s="14">
        <f>IFERROR(__xludf.DUMMYFUNCTION("""COMPUTED_VALUE"""),2023.0)</f>
        <v>2023</v>
      </c>
      <c r="I2411" s="14" t="str">
        <f>IFERROR(__xludf.DUMMYFUNCTION("""COMPUTED_VALUE"""),"UPI")</f>
        <v>UPI</v>
      </c>
      <c r="J2411" s="14" t="str">
        <f>IFERROR(__xludf.DUMMYFUNCTION("""COMPUTED_VALUE"""),"Delivered*Satisfied with the Delivery: Timely and quality")</f>
        <v>Delivered*Satisfied with the Delivery: Timely and quality</v>
      </c>
      <c r="K2411" s="14" t="str">
        <f>IFERROR(__xludf.DUMMYFUNCTION("split(E2411,""+"")"),"Cucumber")</f>
        <v>Cucumber</v>
      </c>
      <c r="L2411" s="14" t="str">
        <f>IFERROR(__xludf.DUMMYFUNCTION("""COMPUTED_VALUE"""),"1*Ram Gopal")</f>
        <v>1*Ram Gopal</v>
      </c>
      <c r="M2411" s="14">
        <f>IFERROR(__xludf.DUMMYFUNCTION("SPLIT(L2411,""*"")"),1.0)</f>
        <v>1</v>
      </c>
      <c r="N2411" s="14" t="str">
        <f>IFERROR(__xludf.DUMMYFUNCTION("""COMPUTED_VALUE"""),"Ram Gopal")</f>
        <v>Ram Gopal</v>
      </c>
      <c r="O2411" s="14" t="str">
        <f>IFERROR(__xludf.DUMMYFUNCTION("split(J2411,""*"")"),"Delivered")</f>
        <v>Delivered</v>
      </c>
      <c r="P2411" s="14" t="str">
        <f>IFERROR(__xludf.DUMMYFUNCTION("""COMPUTED_VALUE"""),"Satisfied with the Delivery: Timely and quality")</f>
        <v>Satisfied with the Delivery: Timely and quality</v>
      </c>
      <c r="Q2411" s="14" t="str">
        <f>IFERROR(__xludf.DUMMYFUNCTION("split(P2411,"":"")"),"Satisfied with the Delivery")</f>
        <v>Satisfied with the Delivery</v>
      </c>
      <c r="R2411" s="14" t="str">
        <f>IFERROR(__xludf.DUMMYFUNCTION("""COMPUTED_VALUE""")," Timely and quality")</f>
        <v> Timely and quality</v>
      </c>
      <c r="S2411" s="14" t="str">
        <f t="shared" ref="S2411:U2411" si="4825">trim(B2411)</f>
        <v>ord_92375</v>
      </c>
      <c r="T2411" s="14" t="str">
        <f t="shared" si="4825"/>
        <v>Siya Reddy</v>
      </c>
      <c r="U2411" s="14" t="str">
        <f t="shared" si="4825"/>
        <v>Juhu</v>
      </c>
      <c r="V2411" s="14" t="str">
        <f t="shared" si="4"/>
        <v>Cucumber</v>
      </c>
      <c r="W2411" s="14">
        <f t="shared" si="5"/>
        <v>1</v>
      </c>
      <c r="X2411" s="14" t="str">
        <f t="shared" si="6"/>
        <v>Ram Gopal</v>
      </c>
      <c r="Y2411" s="15">
        <f t="shared" si="7"/>
        <v>45203</v>
      </c>
      <c r="Z2411" s="14" t="str">
        <f t="shared" si="8"/>
        <v>UPI</v>
      </c>
      <c r="AA2411" s="14" t="str">
        <f t="shared" si="9"/>
        <v>Delivered</v>
      </c>
      <c r="AB2411" s="14" t="str">
        <f t="shared" ref="AB2411:AC2411" si="4826">trim(Q2411)</f>
        <v>Satisfied with the Delivery</v>
      </c>
      <c r="AC2411" s="14" t="str">
        <f t="shared" si="4826"/>
        <v>Timely and quality</v>
      </c>
      <c r="AD2411" s="8"/>
    </row>
    <row r="2412">
      <c r="A2412" s="14" t="str">
        <f>IFERROR(__xludf.DUMMYFUNCTION("""COMPUTED_VALUE"""),"//ord_92284//Pallavi Ghosh//Bandra//Guava+2*Ramesh S/7/3/2023//Online Payment//Delivered*Customer Service: Seamless and easy")</f>
        <v>//ord_92284//Pallavi Ghosh//Bandra//Guava+2*Ramesh S/7/3/2023//Online Payment//Delivered*Customer Service: Seamless and easy</v>
      </c>
      <c r="B2412" s="14" t="str">
        <f>IFERROR(__xludf.DUMMYFUNCTION("split(A2412,""//"")"),"ord_92284")</f>
        <v>ord_92284</v>
      </c>
      <c r="C2412" s="14" t="str">
        <f>IFERROR(__xludf.DUMMYFUNCTION("""COMPUTED_VALUE"""),"Pallavi Ghosh")</f>
        <v>Pallavi Ghosh</v>
      </c>
      <c r="D2412" s="14" t="str">
        <f>IFERROR(__xludf.DUMMYFUNCTION("""COMPUTED_VALUE"""),"Bandra")</f>
        <v>Bandra</v>
      </c>
      <c r="E2412" s="14" t="str">
        <f>IFERROR(__xludf.DUMMYFUNCTION("""COMPUTED_VALUE"""),"Guava+2*Ramesh S")</f>
        <v>Guava+2*Ramesh S</v>
      </c>
      <c r="F2412" s="14">
        <f>IFERROR(__xludf.DUMMYFUNCTION("""COMPUTED_VALUE"""),7.0)</f>
        <v>7</v>
      </c>
      <c r="G2412" s="14">
        <f>IFERROR(__xludf.DUMMYFUNCTION("""COMPUTED_VALUE"""),3.0)</f>
        <v>3</v>
      </c>
      <c r="H2412" s="14">
        <f>IFERROR(__xludf.DUMMYFUNCTION("""COMPUTED_VALUE"""),2023.0)</f>
        <v>2023</v>
      </c>
      <c r="I2412" s="14" t="str">
        <f>IFERROR(__xludf.DUMMYFUNCTION("""COMPUTED_VALUE"""),"Online Payment")</f>
        <v>Online Payment</v>
      </c>
      <c r="J2412" s="14" t="str">
        <f>IFERROR(__xludf.DUMMYFUNCTION("""COMPUTED_VALUE"""),"Delivered*Customer Service: Seamless and easy")</f>
        <v>Delivered*Customer Service: Seamless and easy</v>
      </c>
      <c r="K2412" s="14" t="str">
        <f>IFERROR(__xludf.DUMMYFUNCTION("split(E2412,""+"")"),"Guava")</f>
        <v>Guava</v>
      </c>
      <c r="L2412" s="14" t="str">
        <f>IFERROR(__xludf.DUMMYFUNCTION("""COMPUTED_VALUE"""),"2*Ramesh S")</f>
        <v>2*Ramesh S</v>
      </c>
      <c r="M2412" s="14">
        <f>IFERROR(__xludf.DUMMYFUNCTION("SPLIT(L2412,""*"")"),2.0)</f>
        <v>2</v>
      </c>
      <c r="N2412" s="14" t="str">
        <f>IFERROR(__xludf.DUMMYFUNCTION("""COMPUTED_VALUE"""),"Ramesh S")</f>
        <v>Ramesh S</v>
      </c>
      <c r="O2412" s="14" t="str">
        <f>IFERROR(__xludf.DUMMYFUNCTION("split(J2412,""*"")"),"Delivered")</f>
        <v>Delivered</v>
      </c>
      <c r="P2412" s="14" t="str">
        <f>IFERROR(__xludf.DUMMYFUNCTION("""COMPUTED_VALUE"""),"Customer Service: Seamless and easy")</f>
        <v>Customer Service: Seamless and easy</v>
      </c>
      <c r="Q2412" s="14" t="str">
        <f>IFERROR(__xludf.DUMMYFUNCTION("split(P2412,"":"")"),"Customer Service")</f>
        <v>Customer Service</v>
      </c>
      <c r="R2412" s="14" t="str">
        <f>IFERROR(__xludf.DUMMYFUNCTION("""COMPUTED_VALUE""")," Seamless and easy")</f>
        <v> Seamless and easy</v>
      </c>
      <c r="S2412" s="14" t="str">
        <f t="shared" ref="S2412:U2412" si="4827">trim(B2412)</f>
        <v>ord_92284</v>
      </c>
      <c r="T2412" s="14" t="str">
        <f t="shared" si="4827"/>
        <v>Pallavi Ghosh</v>
      </c>
      <c r="U2412" s="14" t="str">
        <f t="shared" si="4827"/>
        <v>Bandra</v>
      </c>
      <c r="V2412" s="14" t="str">
        <f t="shared" si="4"/>
        <v>Guava</v>
      </c>
      <c r="W2412" s="14">
        <f t="shared" si="5"/>
        <v>2</v>
      </c>
      <c r="X2412" s="14" t="str">
        <f t="shared" si="6"/>
        <v>Ramesh S</v>
      </c>
      <c r="Y2412" s="15">
        <f t="shared" si="7"/>
        <v>45110</v>
      </c>
      <c r="Z2412" s="14" t="str">
        <f t="shared" si="8"/>
        <v>Online Payment</v>
      </c>
      <c r="AA2412" s="14" t="str">
        <f t="shared" si="9"/>
        <v>Delivered</v>
      </c>
      <c r="AB2412" s="14" t="str">
        <f t="shared" ref="AB2412:AC2412" si="4828">trim(Q2412)</f>
        <v>Customer Service</v>
      </c>
      <c r="AC2412" s="14" t="str">
        <f t="shared" si="4828"/>
        <v>Seamless and easy</v>
      </c>
      <c r="AD2412" s="8"/>
    </row>
    <row r="2413">
      <c r="A2413" s="14" t="str">
        <f>IFERROR(__xludf.DUMMYFUNCTION("""COMPUTED_VALUE"""),"//ord_92285//Anaya Rao//Colaba//Popcorn+1*Vivek Kumar/10/6/2023//UPI//Delivered*Delivery Experience: Quick and professional")</f>
        <v>//ord_92285//Anaya Rao//Colaba//Popcorn+1*Vivek Kumar/10/6/2023//UPI//Delivered*Delivery Experience: Quick and professional</v>
      </c>
      <c r="B2413" s="14" t="str">
        <f>IFERROR(__xludf.DUMMYFUNCTION("split(A2413,""//"")"),"ord_92285")</f>
        <v>ord_92285</v>
      </c>
      <c r="C2413" s="14" t="str">
        <f>IFERROR(__xludf.DUMMYFUNCTION("""COMPUTED_VALUE"""),"Anaya Rao")</f>
        <v>Anaya Rao</v>
      </c>
      <c r="D2413" s="14" t="str">
        <f>IFERROR(__xludf.DUMMYFUNCTION("""COMPUTED_VALUE"""),"Colaba")</f>
        <v>Colaba</v>
      </c>
      <c r="E2413" s="14" t="str">
        <f>IFERROR(__xludf.DUMMYFUNCTION("""COMPUTED_VALUE"""),"Popcorn+1*Vivek Kumar")</f>
        <v>Popcorn+1*Vivek Kumar</v>
      </c>
      <c r="F2413" s="14">
        <f>IFERROR(__xludf.DUMMYFUNCTION("""COMPUTED_VALUE"""),10.0)</f>
        <v>10</v>
      </c>
      <c r="G2413" s="14">
        <f>IFERROR(__xludf.DUMMYFUNCTION("""COMPUTED_VALUE"""),6.0)</f>
        <v>6</v>
      </c>
      <c r="H2413" s="14">
        <f>IFERROR(__xludf.DUMMYFUNCTION("""COMPUTED_VALUE"""),2023.0)</f>
        <v>2023</v>
      </c>
      <c r="I2413" s="14" t="str">
        <f>IFERROR(__xludf.DUMMYFUNCTION("""COMPUTED_VALUE"""),"UPI")</f>
        <v>UPI</v>
      </c>
      <c r="J2413" s="14" t="str">
        <f>IFERROR(__xludf.DUMMYFUNCTION("""COMPUTED_VALUE"""),"Delivered*Delivery Experience: Quick and professional")</f>
        <v>Delivered*Delivery Experience: Quick and professional</v>
      </c>
      <c r="K2413" s="14" t="str">
        <f>IFERROR(__xludf.DUMMYFUNCTION("split(E2413,""+"")"),"Popcorn")</f>
        <v>Popcorn</v>
      </c>
      <c r="L2413" s="14" t="str">
        <f>IFERROR(__xludf.DUMMYFUNCTION("""COMPUTED_VALUE"""),"1*Vivek Kumar")</f>
        <v>1*Vivek Kumar</v>
      </c>
      <c r="M2413" s="14">
        <f>IFERROR(__xludf.DUMMYFUNCTION("SPLIT(L2413,""*"")"),1.0)</f>
        <v>1</v>
      </c>
      <c r="N2413" s="14" t="str">
        <f>IFERROR(__xludf.DUMMYFUNCTION("""COMPUTED_VALUE"""),"Vivek Kumar")</f>
        <v>Vivek Kumar</v>
      </c>
      <c r="O2413" s="14" t="str">
        <f>IFERROR(__xludf.DUMMYFUNCTION("split(J2413,""*"")"),"Delivered")</f>
        <v>Delivered</v>
      </c>
      <c r="P2413" s="14" t="str">
        <f>IFERROR(__xludf.DUMMYFUNCTION("""COMPUTED_VALUE"""),"Delivery Experience: Quick and professional")</f>
        <v>Delivery Experience: Quick and professional</v>
      </c>
      <c r="Q2413" s="14" t="str">
        <f>IFERROR(__xludf.DUMMYFUNCTION("split(P2413,"":"")"),"Delivery Experience")</f>
        <v>Delivery Experience</v>
      </c>
      <c r="R2413" s="14" t="str">
        <f>IFERROR(__xludf.DUMMYFUNCTION("""COMPUTED_VALUE""")," Quick and professional")</f>
        <v> Quick and professional</v>
      </c>
      <c r="S2413" s="14" t="str">
        <f t="shared" ref="S2413:U2413" si="4829">trim(B2413)</f>
        <v>ord_92285</v>
      </c>
      <c r="T2413" s="14" t="str">
        <f t="shared" si="4829"/>
        <v>Anaya Rao</v>
      </c>
      <c r="U2413" s="14" t="str">
        <f t="shared" si="4829"/>
        <v>Colaba</v>
      </c>
      <c r="V2413" s="14" t="str">
        <f t="shared" si="4"/>
        <v>Popcorn</v>
      </c>
      <c r="W2413" s="14">
        <f t="shared" si="5"/>
        <v>1</v>
      </c>
      <c r="X2413" s="14" t="str">
        <f t="shared" si="6"/>
        <v>Vivek Kumar</v>
      </c>
      <c r="Y2413" s="15">
        <f t="shared" si="7"/>
        <v>45205</v>
      </c>
      <c r="Z2413" s="14" t="str">
        <f t="shared" si="8"/>
        <v>UPI</v>
      </c>
      <c r="AA2413" s="14" t="str">
        <f t="shared" si="9"/>
        <v>Delivered</v>
      </c>
      <c r="AB2413" s="14" t="str">
        <f t="shared" ref="AB2413:AC2413" si="4830">trim(Q2413)</f>
        <v>Delivery Experience</v>
      </c>
      <c r="AC2413" s="14" t="str">
        <f t="shared" si="4830"/>
        <v>Quick and professional</v>
      </c>
      <c r="AD2413" s="8"/>
    </row>
    <row r="2414">
      <c r="A2414" s="14" t="str">
        <f>IFERROR(__xludf.DUMMYFUNCTION("""COMPUTED_VALUE"""),"//ord_92286//Omkar Mishra//Powai//Onion+1*Nithin Lal/9/10/2023//Online Payment//Delivered*Convenience: Easy tracking")</f>
        <v>//ord_92286//Omkar Mishra//Powai//Onion+1*Nithin Lal/9/10/2023//Online Payment//Delivered*Convenience: Easy tracking</v>
      </c>
      <c r="B2414" s="14" t="str">
        <f>IFERROR(__xludf.DUMMYFUNCTION("split(A2414,""//"")"),"ord_92286")</f>
        <v>ord_92286</v>
      </c>
      <c r="C2414" s="14" t="str">
        <f>IFERROR(__xludf.DUMMYFUNCTION("""COMPUTED_VALUE"""),"Omkar Mishra")</f>
        <v>Omkar Mishra</v>
      </c>
      <c r="D2414" s="14" t="str">
        <f>IFERROR(__xludf.DUMMYFUNCTION("""COMPUTED_VALUE"""),"Powai")</f>
        <v>Powai</v>
      </c>
      <c r="E2414" s="14" t="str">
        <f>IFERROR(__xludf.DUMMYFUNCTION("""COMPUTED_VALUE"""),"Onion+1*Nithin Lal")</f>
        <v>Onion+1*Nithin Lal</v>
      </c>
      <c r="F2414" s="14">
        <f>IFERROR(__xludf.DUMMYFUNCTION("""COMPUTED_VALUE"""),9.0)</f>
        <v>9</v>
      </c>
      <c r="G2414" s="14">
        <f>IFERROR(__xludf.DUMMYFUNCTION("""COMPUTED_VALUE"""),10.0)</f>
        <v>10</v>
      </c>
      <c r="H2414" s="14">
        <f>IFERROR(__xludf.DUMMYFUNCTION("""COMPUTED_VALUE"""),2023.0)</f>
        <v>2023</v>
      </c>
      <c r="I2414" s="14" t="str">
        <f>IFERROR(__xludf.DUMMYFUNCTION("""COMPUTED_VALUE"""),"Online Payment")</f>
        <v>Online Payment</v>
      </c>
      <c r="J2414" s="14" t="str">
        <f>IFERROR(__xludf.DUMMYFUNCTION("""COMPUTED_VALUE"""),"Delivered*Convenience: Easy tracking")</f>
        <v>Delivered*Convenience: Easy tracking</v>
      </c>
      <c r="K2414" s="14" t="str">
        <f>IFERROR(__xludf.DUMMYFUNCTION("split(E2414,""+"")"),"Onion")</f>
        <v>Onion</v>
      </c>
      <c r="L2414" s="14" t="str">
        <f>IFERROR(__xludf.DUMMYFUNCTION("""COMPUTED_VALUE"""),"1*Nithin Lal")</f>
        <v>1*Nithin Lal</v>
      </c>
      <c r="M2414" s="14">
        <f>IFERROR(__xludf.DUMMYFUNCTION("SPLIT(L2414,""*"")"),1.0)</f>
        <v>1</v>
      </c>
      <c r="N2414" s="14" t="str">
        <f>IFERROR(__xludf.DUMMYFUNCTION("""COMPUTED_VALUE"""),"Nithin Lal")</f>
        <v>Nithin Lal</v>
      </c>
      <c r="O2414" s="14" t="str">
        <f>IFERROR(__xludf.DUMMYFUNCTION("split(J2414,""*"")"),"Delivered")</f>
        <v>Delivered</v>
      </c>
      <c r="P2414" s="14" t="str">
        <f>IFERROR(__xludf.DUMMYFUNCTION("""COMPUTED_VALUE"""),"Convenience: Easy tracking")</f>
        <v>Convenience: Easy tracking</v>
      </c>
      <c r="Q2414" s="14" t="str">
        <f>IFERROR(__xludf.DUMMYFUNCTION("split(P2414,"":"")"),"Convenience")</f>
        <v>Convenience</v>
      </c>
      <c r="R2414" s="14" t="str">
        <f>IFERROR(__xludf.DUMMYFUNCTION("""COMPUTED_VALUE""")," Easy tracking")</f>
        <v> Easy tracking</v>
      </c>
      <c r="S2414" s="14" t="str">
        <f t="shared" ref="S2414:U2414" si="4831">trim(B2414)</f>
        <v>ord_92286</v>
      </c>
      <c r="T2414" s="14" t="str">
        <f t="shared" si="4831"/>
        <v>Omkar Mishra</v>
      </c>
      <c r="U2414" s="14" t="str">
        <f t="shared" si="4831"/>
        <v>Powai</v>
      </c>
      <c r="V2414" s="14" t="str">
        <f t="shared" si="4"/>
        <v>Onion</v>
      </c>
      <c r="W2414" s="14">
        <f t="shared" si="5"/>
        <v>1</v>
      </c>
      <c r="X2414" s="14" t="str">
        <f t="shared" si="6"/>
        <v>Nithin Lal</v>
      </c>
      <c r="Y2414" s="15">
        <f t="shared" si="7"/>
        <v>45179</v>
      </c>
      <c r="Z2414" s="14" t="str">
        <f t="shared" si="8"/>
        <v>Online Payment</v>
      </c>
      <c r="AA2414" s="14" t="str">
        <f t="shared" si="9"/>
        <v>Delivered</v>
      </c>
      <c r="AB2414" s="14" t="str">
        <f t="shared" ref="AB2414:AC2414" si="4832">trim(Q2414)</f>
        <v>Convenience</v>
      </c>
      <c r="AC2414" s="14" t="str">
        <f t="shared" si="4832"/>
        <v>Easy tracking</v>
      </c>
      <c r="AD2414" s="8"/>
    </row>
    <row r="2415">
      <c r="A2415" s="14" t="str">
        <f>IFERROR(__xludf.DUMMYFUNCTION("""COMPUTED_VALUE"""),"//ord_92287//Diya Arora//Lower Parel//Orange+1*Venu R/11/10/2023//Online Payment//Delivered*Overall Satisfaction: Great service will order again")</f>
        <v>//ord_92287//Diya Arora//Lower Parel//Orange+1*Venu R/11/10/2023//Online Payment//Delivered*Overall Satisfaction: Great service will order again</v>
      </c>
      <c r="B2415" s="14" t="str">
        <f>IFERROR(__xludf.DUMMYFUNCTION("split(A2415,""//"")"),"ord_92287")</f>
        <v>ord_92287</v>
      </c>
      <c r="C2415" s="14" t="str">
        <f>IFERROR(__xludf.DUMMYFUNCTION("""COMPUTED_VALUE"""),"Diya Arora")</f>
        <v>Diya Arora</v>
      </c>
      <c r="D2415" s="14" t="str">
        <f>IFERROR(__xludf.DUMMYFUNCTION("""COMPUTED_VALUE"""),"Lower Parel")</f>
        <v>Lower Parel</v>
      </c>
      <c r="E2415" s="14" t="str">
        <f>IFERROR(__xludf.DUMMYFUNCTION("""COMPUTED_VALUE"""),"Orange+1*Venu R")</f>
        <v>Orange+1*Venu R</v>
      </c>
      <c r="F2415" s="14">
        <f>IFERROR(__xludf.DUMMYFUNCTION("""COMPUTED_VALUE"""),11.0)</f>
        <v>11</v>
      </c>
      <c r="G2415" s="14">
        <f>IFERROR(__xludf.DUMMYFUNCTION("""COMPUTED_VALUE"""),10.0)</f>
        <v>10</v>
      </c>
      <c r="H2415" s="14">
        <f>IFERROR(__xludf.DUMMYFUNCTION("""COMPUTED_VALUE"""),2023.0)</f>
        <v>2023</v>
      </c>
      <c r="I2415" s="14" t="str">
        <f>IFERROR(__xludf.DUMMYFUNCTION("""COMPUTED_VALUE"""),"Online Payment")</f>
        <v>Online Payment</v>
      </c>
      <c r="J2415" s="14" t="str">
        <f>IFERROR(__xludf.DUMMYFUNCTION("""COMPUTED_VALUE"""),"Delivered*Overall Satisfaction: Great service will order again")</f>
        <v>Delivered*Overall Satisfaction: Great service will order again</v>
      </c>
      <c r="K2415" s="14" t="str">
        <f>IFERROR(__xludf.DUMMYFUNCTION("split(E2415,""+"")"),"Orange")</f>
        <v>Orange</v>
      </c>
      <c r="L2415" s="14" t="str">
        <f>IFERROR(__xludf.DUMMYFUNCTION("""COMPUTED_VALUE"""),"1*Venu R")</f>
        <v>1*Venu R</v>
      </c>
      <c r="M2415" s="14">
        <f>IFERROR(__xludf.DUMMYFUNCTION("SPLIT(L2415,""*"")"),1.0)</f>
        <v>1</v>
      </c>
      <c r="N2415" s="14" t="str">
        <f>IFERROR(__xludf.DUMMYFUNCTION("""COMPUTED_VALUE"""),"Venu R")</f>
        <v>Venu R</v>
      </c>
      <c r="O2415" s="14" t="str">
        <f>IFERROR(__xludf.DUMMYFUNCTION("split(J2415,""*"")"),"Delivered")</f>
        <v>Delivered</v>
      </c>
      <c r="P2415" s="14" t="str">
        <f>IFERROR(__xludf.DUMMYFUNCTION("""COMPUTED_VALUE"""),"Overall Satisfaction: Great service will order again")</f>
        <v>Overall Satisfaction: Great service will order again</v>
      </c>
      <c r="Q2415" s="14" t="str">
        <f>IFERROR(__xludf.DUMMYFUNCTION("split(P2415,"":"")"),"Overall Satisfaction")</f>
        <v>Overall Satisfaction</v>
      </c>
      <c r="R2415" s="14" t="str">
        <f>IFERROR(__xludf.DUMMYFUNCTION("""COMPUTED_VALUE""")," Great service will order again")</f>
        <v> Great service will order again</v>
      </c>
      <c r="S2415" s="14" t="str">
        <f t="shared" ref="S2415:U2415" si="4833">trim(B2415)</f>
        <v>ord_92287</v>
      </c>
      <c r="T2415" s="14" t="str">
        <f t="shared" si="4833"/>
        <v>Diya Arora</v>
      </c>
      <c r="U2415" s="14" t="str">
        <f t="shared" si="4833"/>
        <v>Lower Parel</v>
      </c>
      <c r="V2415" s="14" t="str">
        <f t="shared" si="4"/>
        <v>Orange</v>
      </c>
      <c r="W2415" s="14">
        <f t="shared" si="5"/>
        <v>1</v>
      </c>
      <c r="X2415" s="14" t="str">
        <f t="shared" si="6"/>
        <v>Venu R</v>
      </c>
      <c r="Y2415" s="15">
        <f t="shared" si="7"/>
        <v>45240</v>
      </c>
      <c r="Z2415" s="14" t="str">
        <f t="shared" si="8"/>
        <v>Online Payment</v>
      </c>
      <c r="AA2415" s="14" t="str">
        <f t="shared" si="9"/>
        <v>Delivered</v>
      </c>
      <c r="AB2415" s="14" t="str">
        <f t="shared" ref="AB2415:AC2415" si="4834">trim(Q2415)</f>
        <v>Overall Satisfaction</v>
      </c>
      <c r="AC2415" s="14" t="str">
        <f t="shared" si="4834"/>
        <v>Great service will order again</v>
      </c>
      <c r="AD2415" s="8"/>
    </row>
    <row r="2416">
      <c r="A2416" s="14" t="str">
        <f>IFERROR(__xludf.DUMMYFUNCTION("""COMPUTED_VALUE"""),"//ord_92288//Omkar Mishra//Powai//Chocolate Mousse+3*Ram Gopal/9/14/2023//UPI//Delivered*On-time Delivery: Delivered on time")</f>
        <v>//ord_92288//Omkar Mishra//Powai//Chocolate Mousse+3*Ram Gopal/9/14/2023//UPI//Delivered*On-time Delivery: Delivered on time</v>
      </c>
      <c r="B2416" s="14" t="str">
        <f>IFERROR(__xludf.DUMMYFUNCTION("split(A2416,""//"")"),"ord_92288")</f>
        <v>ord_92288</v>
      </c>
      <c r="C2416" s="14" t="str">
        <f>IFERROR(__xludf.DUMMYFUNCTION("""COMPUTED_VALUE"""),"Omkar Mishra")</f>
        <v>Omkar Mishra</v>
      </c>
      <c r="D2416" s="14" t="str">
        <f>IFERROR(__xludf.DUMMYFUNCTION("""COMPUTED_VALUE"""),"Powai")</f>
        <v>Powai</v>
      </c>
      <c r="E2416" s="14" t="str">
        <f>IFERROR(__xludf.DUMMYFUNCTION("""COMPUTED_VALUE"""),"Chocolate Mousse+3*Ram Gopal")</f>
        <v>Chocolate Mousse+3*Ram Gopal</v>
      </c>
      <c r="F2416" s="14">
        <f>IFERROR(__xludf.DUMMYFUNCTION("""COMPUTED_VALUE"""),9.0)</f>
        <v>9</v>
      </c>
      <c r="G2416" s="14">
        <f>IFERROR(__xludf.DUMMYFUNCTION("""COMPUTED_VALUE"""),14.0)</f>
        <v>14</v>
      </c>
      <c r="H2416" s="14">
        <f>IFERROR(__xludf.DUMMYFUNCTION("""COMPUTED_VALUE"""),2023.0)</f>
        <v>2023</v>
      </c>
      <c r="I2416" s="14" t="str">
        <f>IFERROR(__xludf.DUMMYFUNCTION("""COMPUTED_VALUE"""),"UPI")</f>
        <v>UPI</v>
      </c>
      <c r="J2416" s="14" t="str">
        <f>IFERROR(__xludf.DUMMYFUNCTION("""COMPUTED_VALUE"""),"Delivered*On-time Delivery: Delivered on time")</f>
        <v>Delivered*On-time Delivery: Delivered on time</v>
      </c>
      <c r="K2416" s="14" t="str">
        <f>IFERROR(__xludf.DUMMYFUNCTION("split(E2416,""+"")"),"Chocolate Mousse")</f>
        <v>Chocolate Mousse</v>
      </c>
      <c r="L2416" s="14" t="str">
        <f>IFERROR(__xludf.DUMMYFUNCTION("""COMPUTED_VALUE"""),"3*Ram Gopal")</f>
        <v>3*Ram Gopal</v>
      </c>
      <c r="M2416" s="14">
        <f>IFERROR(__xludf.DUMMYFUNCTION("SPLIT(L2416,""*"")"),3.0)</f>
        <v>3</v>
      </c>
      <c r="N2416" s="14" t="str">
        <f>IFERROR(__xludf.DUMMYFUNCTION("""COMPUTED_VALUE"""),"Ram Gopal")</f>
        <v>Ram Gopal</v>
      </c>
      <c r="O2416" s="14" t="str">
        <f>IFERROR(__xludf.DUMMYFUNCTION("split(J2416,""*"")"),"Delivered")</f>
        <v>Delivered</v>
      </c>
      <c r="P2416" s="14" t="str">
        <f>IFERROR(__xludf.DUMMYFUNCTION("""COMPUTED_VALUE"""),"On-time Delivery: Delivered on time")</f>
        <v>On-time Delivery: Delivered on time</v>
      </c>
      <c r="Q2416" s="14" t="str">
        <f>IFERROR(__xludf.DUMMYFUNCTION("split(P2416,"":"")"),"On-time Delivery")</f>
        <v>On-time Delivery</v>
      </c>
      <c r="R2416" s="14" t="str">
        <f>IFERROR(__xludf.DUMMYFUNCTION("""COMPUTED_VALUE""")," Delivered on time")</f>
        <v> Delivered on time</v>
      </c>
      <c r="S2416" s="14" t="str">
        <f t="shared" ref="S2416:U2416" si="4835">trim(B2416)</f>
        <v>ord_92288</v>
      </c>
      <c r="T2416" s="14" t="str">
        <f t="shared" si="4835"/>
        <v>Omkar Mishra</v>
      </c>
      <c r="U2416" s="14" t="str">
        <f t="shared" si="4835"/>
        <v>Powai</v>
      </c>
      <c r="V2416" s="14" t="str">
        <f t="shared" si="4"/>
        <v>Chocolate Mousse</v>
      </c>
      <c r="W2416" s="14">
        <f t="shared" si="5"/>
        <v>3</v>
      </c>
      <c r="X2416" s="14" t="str">
        <f t="shared" si="6"/>
        <v>Ram Gopal</v>
      </c>
      <c r="Y2416" s="15">
        <f t="shared" si="7"/>
        <v>45183</v>
      </c>
      <c r="Z2416" s="14" t="str">
        <f t="shared" si="8"/>
        <v>UPI</v>
      </c>
      <c r="AA2416" s="14" t="str">
        <f t="shared" si="9"/>
        <v>Delivered</v>
      </c>
      <c r="AB2416" s="14" t="str">
        <f t="shared" ref="AB2416:AC2416" si="4836">trim(Q2416)</f>
        <v>On-time Delivery</v>
      </c>
      <c r="AC2416" s="14" t="str">
        <f t="shared" si="4836"/>
        <v>Delivered on time</v>
      </c>
      <c r="AD2416" s="8"/>
    </row>
    <row r="2417">
      <c r="A2417" s="14" t="str">
        <f>IFERROR(__xludf.DUMMYFUNCTION("""COMPUTED_VALUE"""),"//ord_92289//Dev Chauhan//Bandra//Chicken Puff+5*Venu R/10/12/2023//Online Payment//Delivered*Quality of Items: Perfect condition")</f>
        <v>//ord_92289//Dev Chauhan//Bandra//Chicken Puff+5*Venu R/10/12/2023//Online Payment//Delivered*Quality of Items: Perfect condition</v>
      </c>
      <c r="B2417" s="14" t="str">
        <f>IFERROR(__xludf.DUMMYFUNCTION("split(A2417,""//"")"),"ord_92289")</f>
        <v>ord_92289</v>
      </c>
      <c r="C2417" s="14" t="str">
        <f>IFERROR(__xludf.DUMMYFUNCTION("""COMPUTED_VALUE"""),"Dev Chauhan")</f>
        <v>Dev Chauhan</v>
      </c>
      <c r="D2417" s="14" t="str">
        <f>IFERROR(__xludf.DUMMYFUNCTION("""COMPUTED_VALUE"""),"Bandra")</f>
        <v>Bandra</v>
      </c>
      <c r="E2417" s="14" t="str">
        <f>IFERROR(__xludf.DUMMYFUNCTION("""COMPUTED_VALUE"""),"Chicken Puff+5*Venu R")</f>
        <v>Chicken Puff+5*Venu R</v>
      </c>
      <c r="F2417" s="14">
        <f>IFERROR(__xludf.DUMMYFUNCTION("""COMPUTED_VALUE"""),10.0)</f>
        <v>10</v>
      </c>
      <c r="G2417" s="14">
        <f>IFERROR(__xludf.DUMMYFUNCTION("""COMPUTED_VALUE"""),12.0)</f>
        <v>12</v>
      </c>
      <c r="H2417" s="14">
        <f>IFERROR(__xludf.DUMMYFUNCTION("""COMPUTED_VALUE"""),2023.0)</f>
        <v>2023</v>
      </c>
      <c r="I2417" s="14" t="str">
        <f>IFERROR(__xludf.DUMMYFUNCTION("""COMPUTED_VALUE"""),"Online Payment")</f>
        <v>Online Payment</v>
      </c>
      <c r="J2417" s="14" t="str">
        <f>IFERROR(__xludf.DUMMYFUNCTION("""COMPUTED_VALUE"""),"Delivered*Quality of Items: Perfect condition")</f>
        <v>Delivered*Quality of Items: Perfect condition</v>
      </c>
      <c r="K2417" s="14" t="str">
        <f>IFERROR(__xludf.DUMMYFUNCTION("split(E2417,""+"")"),"Chicken Puff")</f>
        <v>Chicken Puff</v>
      </c>
      <c r="L2417" s="14" t="str">
        <f>IFERROR(__xludf.DUMMYFUNCTION("""COMPUTED_VALUE"""),"5*Venu R")</f>
        <v>5*Venu R</v>
      </c>
      <c r="M2417" s="14">
        <f>IFERROR(__xludf.DUMMYFUNCTION("SPLIT(L2417,""*"")"),5.0)</f>
        <v>5</v>
      </c>
      <c r="N2417" s="14" t="str">
        <f>IFERROR(__xludf.DUMMYFUNCTION("""COMPUTED_VALUE"""),"Venu R")</f>
        <v>Venu R</v>
      </c>
      <c r="O2417" s="14" t="str">
        <f>IFERROR(__xludf.DUMMYFUNCTION("split(J2417,""*"")"),"Delivered")</f>
        <v>Delivered</v>
      </c>
      <c r="P2417" s="14" t="str">
        <f>IFERROR(__xludf.DUMMYFUNCTION("""COMPUTED_VALUE"""),"Quality of Items: Perfect condition")</f>
        <v>Quality of Items: Perfect condition</v>
      </c>
      <c r="Q2417" s="14" t="str">
        <f>IFERROR(__xludf.DUMMYFUNCTION("split(P2417,"":"")"),"Quality of Items")</f>
        <v>Quality of Items</v>
      </c>
      <c r="R2417" s="14" t="str">
        <f>IFERROR(__xludf.DUMMYFUNCTION("""COMPUTED_VALUE""")," Perfect condition")</f>
        <v> Perfect condition</v>
      </c>
      <c r="S2417" s="14" t="str">
        <f t="shared" ref="S2417:U2417" si="4837">trim(B2417)</f>
        <v>ord_92289</v>
      </c>
      <c r="T2417" s="14" t="str">
        <f t="shared" si="4837"/>
        <v>Dev Chauhan</v>
      </c>
      <c r="U2417" s="14" t="str">
        <f t="shared" si="4837"/>
        <v>Bandra</v>
      </c>
      <c r="V2417" s="14" t="str">
        <f t="shared" si="4"/>
        <v>Chicken Puff</v>
      </c>
      <c r="W2417" s="14">
        <f t="shared" si="5"/>
        <v>5</v>
      </c>
      <c r="X2417" s="14" t="str">
        <f t="shared" si="6"/>
        <v>Venu R</v>
      </c>
      <c r="Y2417" s="15">
        <f t="shared" si="7"/>
        <v>45211</v>
      </c>
      <c r="Z2417" s="14" t="str">
        <f t="shared" si="8"/>
        <v>Online Payment</v>
      </c>
      <c r="AA2417" s="14" t="str">
        <f t="shared" si="9"/>
        <v>Delivered</v>
      </c>
      <c r="AB2417" s="14" t="str">
        <f t="shared" ref="AB2417:AC2417" si="4838">trim(Q2417)</f>
        <v>Quality of Items</v>
      </c>
      <c r="AC2417" s="14" t="str">
        <f t="shared" si="4838"/>
        <v>Perfect condition</v>
      </c>
      <c r="AD2417" s="8"/>
    </row>
    <row r="2418">
      <c r="A2418" s="14" t="str">
        <f>IFERROR(__xludf.DUMMYFUNCTION("""COMPUTED_VALUE"""),"//ord_92290//Anaya Rao//Colaba//Juice+1*Not Assigned/10/8/2023//Online Payment//Cancelled*App Glitches: Payment Button Malfunction")</f>
        <v>//ord_92290//Anaya Rao//Colaba//Juice+1*Not Assigned/10/8/2023//Online Payment//Cancelled*App Glitches: Payment Button Malfunction</v>
      </c>
      <c r="B2418" s="14" t="str">
        <f>IFERROR(__xludf.DUMMYFUNCTION("split(A2418,""//"")"),"ord_92290")</f>
        <v>ord_92290</v>
      </c>
      <c r="C2418" s="14" t="str">
        <f>IFERROR(__xludf.DUMMYFUNCTION("""COMPUTED_VALUE"""),"Anaya Rao")</f>
        <v>Anaya Rao</v>
      </c>
      <c r="D2418" s="14" t="str">
        <f>IFERROR(__xludf.DUMMYFUNCTION("""COMPUTED_VALUE"""),"Colaba")</f>
        <v>Colaba</v>
      </c>
      <c r="E2418" s="14" t="str">
        <f>IFERROR(__xludf.DUMMYFUNCTION("""COMPUTED_VALUE"""),"Juice+1*Not Assigned")</f>
        <v>Juice+1*Not Assigned</v>
      </c>
      <c r="F2418" s="14">
        <f>IFERROR(__xludf.DUMMYFUNCTION("""COMPUTED_VALUE"""),10.0)</f>
        <v>10</v>
      </c>
      <c r="G2418" s="14">
        <f>IFERROR(__xludf.DUMMYFUNCTION("""COMPUTED_VALUE"""),8.0)</f>
        <v>8</v>
      </c>
      <c r="H2418" s="14">
        <f>IFERROR(__xludf.DUMMYFUNCTION("""COMPUTED_VALUE"""),2023.0)</f>
        <v>2023</v>
      </c>
      <c r="I2418" s="14" t="str">
        <f>IFERROR(__xludf.DUMMYFUNCTION("""COMPUTED_VALUE"""),"Online Payment")</f>
        <v>Online Payment</v>
      </c>
      <c r="J2418" s="14" t="str">
        <f>IFERROR(__xludf.DUMMYFUNCTION("""COMPUTED_VALUE"""),"Cancelled*App Glitches: Payment Button Malfunction")</f>
        <v>Cancelled*App Glitches: Payment Button Malfunction</v>
      </c>
      <c r="K2418" s="14" t="str">
        <f>IFERROR(__xludf.DUMMYFUNCTION("split(E2418,""+"")"),"Juice")</f>
        <v>Juice</v>
      </c>
      <c r="L2418" s="14" t="str">
        <f>IFERROR(__xludf.DUMMYFUNCTION("""COMPUTED_VALUE"""),"1*Not Assigned")</f>
        <v>1*Not Assigned</v>
      </c>
      <c r="M2418" s="14">
        <f>IFERROR(__xludf.DUMMYFUNCTION("SPLIT(L2418,""*"")"),1.0)</f>
        <v>1</v>
      </c>
      <c r="N2418" s="14" t="str">
        <f>IFERROR(__xludf.DUMMYFUNCTION("""COMPUTED_VALUE"""),"Not Assigned")</f>
        <v>Not Assigned</v>
      </c>
      <c r="O2418" s="14" t="str">
        <f>IFERROR(__xludf.DUMMYFUNCTION("split(J2418,""*"")"),"Cancelled")</f>
        <v>Cancelled</v>
      </c>
      <c r="P2418" s="14" t="str">
        <f>IFERROR(__xludf.DUMMYFUNCTION("""COMPUTED_VALUE"""),"App Glitches: Payment Button Malfunction")</f>
        <v>App Glitches: Payment Button Malfunction</v>
      </c>
      <c r="Q2418" s="14" t="str">
        <f>IFERROR(__xludf.DUMMYFUNCTION("split(P2418,"":"")"),"App Glitches")</f>
        <v>App Glitches</v>
      </c>
      <c r="R2418" s="14" t="str">
        <f>IFERROR(__xludf.DUMMYFUNCTION("""COMPUTED_VALUE""")," Payment Button Malfunction")</f>
        <v> Payment Button Malfunction</v>
      </c>
      <c r="S2418" s="14" t="str">
        <f t="shared" ref="S2418:U2418" si="4839">trim(B2418)</f>
        <v>ord_92290</v>
      </c>
      <c r="T2418" s="14" t="str">
        <f t="shared" si="4839"/>
        <v>Anaya Rao</v>
      </c>
      <c r="U2418" s="14" t="str">
        <f t="shared" si="4839"/>
        <v>Colaba</v>
      </c>
      <c r="V2418" s="14" t="str">
        <f t="shared" si="4"/>
        <v>Juice</v>
      </c>
      <c r="W2418" s="14">
        <f t="shared" si="5"/>
        <v>1</v>
      </c>
      <c r="X2418" s="14" t="str">
        <f t="shared" si="6"/>
        <v>Not Assigned</v>
      </c>
      <c r="Y2418" s="15">
        <f t="shared" si="7"/>
        <v>45207</v>
      </c>
      <c r="Z2418" s="14" t="str">
        <f t="shared" si="8"/>
        <v>Online Payment</v>
      </c>
      <c r="AA2418" s="14" t="str">
        <f t="shared" si="9"/>
        <v>Cancelled</v>
      </c>
      <c r="AB2418" s="14" t="str">
        <f t="shared" ref="AB2418:AC2418" si="4840">trim(Q2418)</f>
        <v>App Glitches</v>
      </c>
      <c r="AC2418" s="14" t="str">
        <f t="shared" si="4840"/>
        <v>Payment Button Malfunction</v>
      </c>
      <c r="AD2418" s="8"/>
    </row>
    <row r="2419">
      <c r="A2419" s="14" t="str">
        <f>IFERROR(__xludf.DUMMYFUNCTION("""COMPUTED_VALUE"""),"//ord_92291//Parth Goel//Juhu//Rasmalai+4*Nithin Lal/11/14/2023//Credit Card//Delivered*Packaging: Secure and intact")</f>
        <v>//ord_92291//Parth Goel//Juhu//Rasmalai+4*Nithin Lal/11/14/2023//Credit Card//Delivered*Packaging: Secure and intact</v>
      </c>
      <c r="B2419" s="14" t="str">
        <f>IFERROR(__xludf.DUMMYFUNCTION("split(A2419,""//"")"),"ord_92291")</f>
        <v>ord_92291</v>
      </c>
      <c r="C2419" s="14" t="str">
        <f>IFERROR(__xludf.DUMMYFUNCTION("""COMPUTED_VALUE"""),"Parth Goel")</f>
        <v>Parth Goel</v>
      </c>
      <c r="D2419" s="14" t="str">
        <f>IFERROR(__xludf.DUMMYFUNCTION("""COMPUTED_VALUE"""),"Juhu")</f>
        <v>Juhu</v>
      </c>
      <c r="E2419" s="14" t="str">
        <f>IFERROR(__xludf.DUMMYFUNCTION("""COMPUTED_VALUE"""),"Rasmalai+4*Nithin Lal")</f>
        <v>Rasmalai+4*Nithin Lal</v>
      </c>
      <c r="F2419" s="14">
        <f>IFERROR(__xludf.DUMMYFUNCTION("""COMPUTED_VALUE"""),11.0)</f>
        <v>11</v>
      </c>
      <c r="G2419" s="14">
        <f>IFERROR(__xludf.DUMMYFUNCTION("""COMPUTED_VALUE"""),14.0)</f>
        <v>14</v>
      </c>
      <c r="H2419" s="14">
        <f>IFERROR(__xludf.DUMMYFUNCTION("""COMPUTED_VALUE"""),2023.0)</f>
        <v>2023</v>
      </c>
      <c r="I2419" s="14" t="str">
        <f>IFERROR(__xludf.DUMMYFUNCTION("""COMPUTED_VALUE"""),"Credit Card")</f>
        <v>Credit Card</v>
      </c>
      <c r="J2419" s="14" t="str">
        <f>IFERROR(__xludf.DUMMYFUNCTION("""COMPUTED_VALUE"""),"Delivered*Packaging: Secure and intact")</f>
        <v>Delivered*Packaging: Secure and intact</v>
      </c>
      <c r="K2419" s="14" t="str">
        <f>IFERROR(__xludf.DUMMYFUNCTION("split(E2419,""+"")"),"Rasmalai")</f>
        <v>Rasmalai</v>
      </c>
      <c r="L2419" s="14" t="str">
        <f>IFERROR(__xludf.DUMMYFUNCTION("""COMPUTED_VALUE"""),"4*Nithin Lal")</f>
        <v>4*Nithin Lal</v>
      </c>
      <c r="M2419" s="14">
        <f>IFERROR(__xludf.DUMMYFUNCTION("SPLIT(L2419,""*"")"),4.0)</f>
        <v>4</v>
      </c>
      <c r="N2419" s="14" t="str">
        <f>IFERROR(__xludf.DUMMYFUNCTION("""COMPUTED_VALUE"""),"Nithin Lal")</f>
        <v>Nithin Lal</v>
      </c>
      <c r="O2419" s="14" t="str">
        <f>IFERROR(__xludf.DUMMYFUNCTION("split(J2419,""*"")"),"Delivered")</f>
        <v>Delivered</v>
      </c>
      <c r="P2419" s="14" t="str">
        <f>IFERROR(__xludf.DUMMYFUNCTION("""COMPUTED_VALUE"""),"Packaging: Secure and intact")</f>
        <v>Packaging: Secure and intact</v>
      </c>
      <c r="Q2419" s="14" t="str">
        <f>IFERROR(__xludf.DUMMYFUNCTION("split(P2419,"":"")"),"Packaging")</f>
        <v>Packaging</v>
      </c>
      <c r="R2419" s="14" t="str">
        <f>IFERROR(__xludf.DUMMYFUNCTION("""COMPUTED_VALUE""")," Secure and intact")</f>
        <v> Secure and intact</v>
      </c>
      <c r="S2419" s="14" t="str">
        <f t="shared" ref="S2419:U2419" si="4841">trim(B2419)</f>
        <v>ord_92291</v>
      </c>
      <c r="T2419" s="14" t="str">
        <f t="shared" si="4841"/>
        <v>Parth Goel</v>
      </c>
      <c r="U2419" s="14" t="str">
        <f t="shared" si="4841"/>
        <v>Juhu</v>
      </c>
      <c r="V2419" s="14" t="str">
        <f t="shared" si="4"/>
        <v>Rasmalai</v>
      </c>
      <c r="W2419" s="14">
        <f t="shared" si="5"/>
        <v>4</v>
      </c>
      <c r="X2419" s="14" t="str">
        <f t="shared" si="6"/>
        <v>Nithin Lal</v>
      </c>
      <c r="Y2419" s="15">
        <f t="shared" si="7"/>
        <v>45244</v>
      </c>
      <c r="Z2419" s="14" t="str">
        <f t="shared" si="8"/>
        <v>Credit Card</v>
      </c>
      <c r="AA2419" s="14" t="str">
        <f t="shared" si="9"/>
        <v>Delivered</v>
      </c>
      <c r="AB2419" s="14" t="str">
        <f t="shared" ref="AB2419:AC2419" si="4842">trim(Q2419)</f>
        <v>Packaging</v>
      </c>
      <c r="AC2419" s="14" t="str">
        <f t="shared" si="4842"/>
        <v>Secure and intact</v>
      </c>
      <c r="AD2419" s="8"/>
    </row>
    <row r="2420">
      <c r="A2420" s="14" t="str">
        <f>IFERROR(__xludf.DUMMYFUNCTION("""COMPUTED_VALUE"""),"//ord_92292//Pranav Joshi//Andheri//Potato+1*Ramesh S/12/12/2023//Online Payment//Delivered*Satisfied with the Delivery: Timely and quality")</f>
        <v>//ord_92292//Pranav Joshi//Andheri//Potato+1*Ramesh S/12/12/2023//Online Payment//Delivered*Satisfied with the Delivery: Timely and quality</v>
      </c>
      <c r="B2420" s="14" t="str">
        <f>IFERROR(__xludf.DUMMYFUNCTION("split(A2420,""//"")"),"ord_92292")</f>
        <v>ord_92292</v>
      </c>
      <c r="C2420" s="14" t="str">
        <f>IFERROR(__xludf.DUMMYFUNCTION("""COMPUTED_VALUE"""),"Pranav Joshi")</f>
        <v>Pranav Joshi</v>
      </c>
      <c r="D2420" s="14" t="str">
        <f>IFERROR(__xludf.DUMMYFUNCTION("""COMPUTED_VALUE"""),"Andheri")</f>
        <v>Andheri</v>
      </c>
      <c r="E2420" s="14" t="str">
        <f>IFERROR(__xludf.DUMMYFUNCTION("""COMPUTED_VALUE"""),"Potato+1*Ramesh S")</f>
        <v>Potato+1*Ramesh S</v>
      </c>
      <c r="F2420" s="14">
        <f>IFERROR(__xludf.DUMMYFUNCTION("""COMPUTED_VALUE"""),12.0)</f>
        <v>12</v>
      </c>
      <c r="G2420" s="14">
        <f>IFERROR(__xludf.DUMMYFUNCTION("""COMPUTED_VALUE"""),12.0)</f>
        <v>12</v>
      </c>
      <c r="H2420" s="14">
        <f>IFERROR(__xludf.DUMMYFUNCTION("""COMPUTED_VALUE"""),2023.0)</f>
        <v>2023</v>
      </c>
      <c r="I2420" s="14" t="str">
        <f>IFERROR(__xludf.DUMMYFUNCTION("""COMPUTED_VALUE"""),"Online Payment")</f>
        <v>Online Payment</v>
      </c>
      <c r="J2420" s="14" t="str">
        <f>IFERROR(__xludf.DUMMYFUNCTION("""COMPUTED_VALUE"""),"Delivered*Satisfied with the Delivery: Timely and quality")</f>
        <v>Delivered*Satisfied with the Delivery: Timely and quality</v>
      </c>
      <c r="K2420" s="14" t="str">
        <f>IFERROR(__xludf.DUMMYFUNCTION("split(E2420,""+"")"),"Potato")</f>
        <v>Potato</v>
      </c>
      <c r="L2420" s="14" t="str">
        <f>IFERROR(__xludf.DUMMYFUNCTION("""COMPUTED_VALUE"""),"1*Ramesh S")</f>
        <v>1*Ramesh S</v>
      </c>
      <c r="M2420" s="14">
        <f>IFERROR(__xludf.DUMMYFUNCTION("SPLIT(L2420,""*"")"),1.0)</f>
        <v>1</v>
      </c>
      <c r="N2420" s="14" t="str">
        <f>IFERROR(__xludf.DUMMYFUNCTION("""COMPUTED_VALUE"""),"Ramesh S")</f>
        <v>Ramesh S</v>
      </c>
      <c r="O2420" s="14" t="str">
        <f>IFERROR(__xludf.DUMMYFUNCTION("split(J2420,""*"")"),"Delivered")</f>
        <v>Delivered</v>
      </c>
      <c r="P2420" s="14" t="str">
        <f>IFERROR(__xludf.DUMMYFUNCTION("""COMPUTED_VALUE"""),"Satisfied with the Delivery: Timely and quality")</f>
        <v>Satisfied with the Delivery: Timely and quality</v>
      </c>
      <c r="Q2420" s="14" t="str">
        <f>IFERROR(__xludf.DUMMYFUNCTION("split(P2420,"":"")"),"Satisfied with the Delivery")</f>
        <v>Satisfied with the Delivery</v>
      </c>
      <c r="R2420" s="14" t="str">
        <f>IFERROR(__xludf.DUMMYFUNCTION("""COMPUTED_VALUE""")," Timely and quality")</f>
        <v> Timely and quality</v>
      </c>
      <c r="S2420" s="14" t="str">
        <f t="shared" ref="S2420:U2420" si="4843">trim(B2420)</f>
        <v>ord_92292</v>
      </c>
      <c r="T2420" s="14" t="str">
        <f t="shared" si="4843"/>
        <v>Pranav Joshi</v>
      </c>
      <c r="U2420" s="14" t="str">
        <f t="shared" si="4843"/>
        <v>Andheri</v>
      </c>
      <c r="V2420" s="14" t="str">
        <f t="shared" si="4"/>
        <v>Potato</v>
      </c>
      <c r="W2420" s="14">
        <f t="shared" si="5"/>
        <v>1</v>
      </c>
      <c r="X2420" s="14" t="str">
        <f t="shared" si="6"/>
        <v>Ramesh S</v>
      </c>
      <c r="Y2420" s="15">
        <f t="shared" si="7"/>
        <v>45272</v>
      </c>
      <c r="Z2420" s="14" t="str">
        <f t="shared" si="8"/>
        <v>Online Payment</v>
      </c>
      <c r="AA2420" s="14" t="str">
        <f t="shared" si="9"/>
        <v>Delivered</v>
      </c>
      <c r="AB2420" s="14" t="str">
        <f t="shared" ref="AB2420:AC2420" si="4844">trim(Q2420)</f>
        <v>Satisfied with the Delivery</v>
      </c>
      <c r="AC2420" s="14" t="str">
        <f t="shared" si="4844"/>
        <v>Timely and quality</v>
      </c>
      <c r="AD2420" s="8"/>
    </row>
    <row r="2421">
      <c r="A2421" s="14" t="str">
        <f>IFERROR(__xludf.DUMMYFUNCTION("""COMPUTED_VALUE"""),"//ord_92386//Pallavi Ghosh//Bandra//Cucumber+2*Sita T/11/8/2023//Credit Card//Delivered*Customer Service: Seamless and easy")</f>
        <v>//ord_92386//Pallavi Ghosh//Bandra//Cucumber+2*Sita T/11/8/2023//Credit Card//Delivered*Customer Service: Seamless and easy</v>
      </c>
      <c r="B2421" s="14" t="str">
        <f>IFERROR(__xludf.DUMMYFUNCTION("split(A2421,""//"")"),"ord_92386")</f>
        <v>ord_92386</v>
      </c>
      <c r="C2421" s="14" t="str">
        <f>IFERROR(__xludf.DUMMYFUNCTION("""COMPUTED_VALUE"""),"Pallavi Ghosh")</f>
        <v>Pallavi Ghosh</v>
      </c>
      <c r="D2421" s="14" t="str">
        <f>IFERROR(__xludf.DUMMYFUNCTION("""COMPUTED_VALUE"""),"Bandra")</f>
        <v>Bandra</v>
      </c>
      <c r="E2421" s="14" t="str">
        <f>IFERROR(__xludf.DUMMYFUNCTION("""COMPUTED_VALUE"""),"Cucumber+2*Sita T")</f>
        <v>Cucumber+2*Sita T</v>
      </c>
      <c r="F2421" s="14">
        <f>IFERROR(__xludf.DUMMYFUNCTION("""COMPUTED_VALUE"""),11.0)</f>
        <v>11</v>
      </c>
      <c r="G2421" s="14">
        <f>IFERROR(__xludf.DUMMYFUNCTION("""COMPUTED_VALUE"""),8.0)</f>
        <v>8</v>
      </c>
      <c r="H2421" s="14">
        <f>IFERROR(__xludf.DUMMYFUNCTION("""COMPUTED_VALUE"""),2023.0)</f>
        <v>2023</v>
      </c>
      <c r="I2421" s="14" t="str">
        <f>IFERROR(__xludf.DUMMYFUNCTION("""COMPUTED_VALUE"""),"Credit Card")</f>
        <v>Credit Card</v>
      </c>
      <c r="J2421" s="14" t="str">
        <f>IFERROR(__xludf.DUMMYFUNCTION("""COMPUTED_VALUE"""),"Delivered*Customer Service: Seamless and easy")</f>
        <v>Delivered*Customer Service: Seamless and easy</v>
      </c>
      <c r="K2421" s="14" t="str">
        <f>IFERROR(__xludf.DUMMYFUNCTION("split(E2421,""+"")"),"Cucumber")</f>
        <v>Cucumber</v>
      </c>
      <c r="L2421" s="14" t="str">
        <f>IFERROR(__xludf.DUMMYFUNCTION("""COMPUTED_VALUE"""),"2*Sita T")</f>
        <v>2*Sita T</v>
      </c>
      <c r="M2421" s="14">
        <f>IFERROR(__xludf.DUMMYFUNCTION("SPLIT(L2421,""*"")"),2.0)</f>
        <v>2</v>
      </c>
      <c r="N2421" s="14" t="str">
        <f>IFERROR(__xludf.DUMMYFUNCTION("""COMPUTED_VALUE"""),"Sita T")</f>
        <v>Sita T</v>
      </c>
      <c r="O2421" s="14" t="str">
        <f>IFERROR(__xludf.DUMMYFUNCTION("split(J2421,""*"")"),"Delivered")</f>
        <v>Delivered</v>
      </c>
      <c r="P2421" s="14" t="str">
        <f>IFERROR(__xludf.DUMMYFUNCTION("""COMPUTED_VALUE"""),"Customer Service: Seamless and easy")</f>
        <v>Customer Service: Seamless and easy</v>
      </c>
      <c r="Q2421" s="14" t="str">
        <f>IFERROR(__xludf.DUMMYFUNCTION("split(P2421,"":"")"),"Customer Service")</f>
        <v>Customer Service</v>
      </c>
      <c r="R2421" s="14" t="str">
        <f>IFERROR(__xludf.DUMMYFUNCTION("""COMPUTED_VALUE""")," Seamless and easy")</f>
        <v> Seamless and easy</v>
      </c>
      <c r="S2421" s="14" t="str">
        <f t="shared" ref="S2421:U2421" si="4845">trim(B2421)</f>
        <v>ord_92386</v>
      </c>
      <c r="T2421" s="14" t="str">
        <f t="shared" si="4845"/>
        <v>Pallavi Ghosh</v>
      </c>
      <c r="U2421" s="14" t="str">
        <f t="shared" si="4845"/>
        <v>Bandra</v>
      </c>
      <c r="V2421" s="14" t="str">
        <f t="shared" si="4"/>
        <v>Cucumber</v>
      </c>
      <c r="W2421" s="14">
        <f t="shared" si="5"/>
        <v>2</v>
      </c>
      <c r="X2421" s="14" t="str">
        <f t="shared" si="6"/>
        <v>Sita T</v>
      </c>
      <c r="Y2421" s="15">
        <f t="shared" si="7"/>
        <v>45238</v>
      </c>
      <c r="Z2421" s="14" t="str">
        <f t="shared" si="8"/>
        <v>Credit Card</v>
      </c>
      <c r="AA2421" s="14" t="str">
        <f t="shared" si="9"/>
        <v>Delivered</v>
      </c>
      <c r="AB2421" s="14" t="str">
        <f t="shared" ref="AB2421:AC2421" si="4846">trim(Q2421)</f>
        <v>Customer Service</v>
      </c>
      <c r="AC2421" s="14" t="str">
        <f t="shared" si="4846"/>
        <v>Seamless and easy</v>
      </c>
      <c r="AD2421" s="8"/>
    </row>
    <row r="2422">
      <c r="A2422" s="14" t="str">
        <f>IFERROR(__xludf.DUMMYFUNCTION("""COMPUTED_VALUE"""),"//ord_92480//Dev Chauhan//Bandra//Chilli Cheese Toast+2*Priya Joshi/1/13/2023//UPI//Delivered*Delivery Experience: Quick and professional")</f>
        <v>//ord_92480//Dev Chauhan//Bandra//Chilli Cheese Toast+2*Priya Joshi/1/13/2023//UPI//Delivered*Delivery Experience: Quick and professional</v>
      </c>
      <c r="B2422" s="14" t="str">
        <f>IFERROR(__xludf.DUMMYFUNCTION("split(A2422,""//"")"),"ord_92480")</f>
        <v>ord_92480</v>
      </c>
      <c r="C2422" s="14" t="str">
        <f>IFERROR(__xludf.DUMMYFUNCTION("""COMPUTED_VALUE"""),"Dev Chauhan")</f>
        <v>Dev Chauhan</v>
      </c>
      <c r="D2422" s="14" t="str">
        <f>IFERROR(__xludf.DUMMYFUNCTION("""COMPUTED_VALUE"""),"Bandra")</f>
        <v>Bandra</v>
      </c>
      <c r="E2422" s="14" t="str">
        <f>IFERROR(__xludf.DUMMYFUNCTION("""COMPUTED_VALUE"""),"Chilli Cheese Toast+2*Priya Joshi")</f>
        <v>Chilli Cheese Toast+2*Priya Joshi</v>
      </c>
      <c r="F2422" s="14">
        <f>IFERROR(__xludf.DUMMYFUNCTION("""COMPUTED_VALUE"""),1.0)</f>
        <v>1</v>
      </c>
      <c r="G2422" s="14">
        <f>IFERROR(__xludf.DUMMYFUNCTION("""COMPUTED_VALUE"""),13.0)</f>
        <v>13</v>
      </c>
      <c r="H2422" s="14">
        <f>IFERROR(__xludf.DUMMYFUNCTION("""COMPUTED_VALUE"""),2023.0)</f>
        <v>2023</v>
      </c>
      <c r="I2422" s="14" t="str">
        <f>IFERROR(__xludf.DUMMYFUNCTION("""COMPUTED_VALUE"""),"UPI")</f>
        <v>UPI</v>
      </c>
      <c r="J2422" s="14" t="str">
        <f>IFERROR(__xludf.DUMMYFUNCTION("""COMPUTED_VALUE"""),"Delivered*Delivery Experience: Quick and professional")</f>
        <v>Delivered*Delivery Experience: Quick and professional</v>
      </c>
      <c r="K2422" s="14" t="str">
        <f>IFERROR(__xludf.DUMMYFUNCTION("split(E2422,""+"")"),"Chilli Cheese Toast")</f>
        <v>Chilli Cheese Toast</v>
      </c>
      <c r="L2422" s="14" t="str">
        <f>IFERROR(__xludf.DUMMYFUNCTION("""COMPUTED_VALUE"""),"2*Priya Joshi")</f>
        <v>2*Priya Joshi</v>
      </c>
      <c r="M2422" s="14">
        <f>IFERROR(__xludf.DUMMYFUNCTION("SPLIT(L2422,""*"")"),2.0)</f>
        <v>2</v>
      </c>
      <c r="N2422" s="14" t="str">
        <f>IFERROR(__xludf.DUMMYFUNCTION("""COMPUTED_VALUE"""),"Priya Joshi")</f>
        <v>Priya Joshi</v>
      </c>
      <c r="O2422" s="14" t="str">
        <f>IFERROR(__xludf.DUMMYFUNCTION("split(J2422,""*"")"),"Delivered")</f>
        <v>Delivered</v>
      </c>
      <c r="P2422" s="14" t="str">
        <f>IFERROR(__xludf.DUMMYFUNCTION("""COMPUTED_VALUE"""),"Delivery Experience: Quick and professional")</f>
        <v>Delivery Experience: Quick and professional</v>
      </c>
      <c r="Q2422" s="14" t="str">
        <f>IFERROR(__xludf.DUMMYFUNCTION("split(P2422,"":"")"),"Delivery Experience")</f>
        <v>Delivery Experience</v>
      </c>
      <c r="R2422" s="14" t="str">
        <f>IFERROR(__xludf.DUMMYFUNCTION("""COMPUTED_VALUE""")," Quick and professional")</f>
        <v> Quick and professional</v>
      </c>
      <c r="S2422" s="14" t="str">
        <f t="shared" ref="S2422:U2422" si="4847">trim(B2422)</f>
        <v>ord_92480</v>
      </c>
      <c r="T2422" s="14" t="str">
        <f t="shared" si="4847"/>
        <v>Dev Chauhan</v>
      </c>
      <c r="U2422" s="14" t="str">
        <f t="shared" si="4847"/>
        <v>Bandra</v>
      </c>
      <c r="V2422" s="14" t="str">
        <f t="shared" si="4"/>
        <v>Chilli Cheese Toast</v>
      </c>
      <c r="W2422" s="14">
        <f t="shared" si="5"/>
        <v>2</v>
      </c>
      <c r="X2422" s="14" t="str">
        <f t="shared" si="6"/>
        <v>Priya Joshi</v>
      </c>
      <c r="Y2422" s="15">
        <f t="shared" si="7"/>
        <v>44939</v>
      </c>
      <c r="Z2422" s="14" t="str">
        <f t="shared" si="8"/>
        <v>UPI</v>
      </c>
      <c r="AA2422" s="14" t="str">
        <f t="shared" si="9"/>
        <v>Delivered</v>
      </c>
      <c r="AB2422" s="14" t="str">
        <f t="shared" ref="AB2422:AC2422" si="4848">trim(Q2422)</f>
        <v>Delivery Experience</v>
      </c>
      <c r="AC2422" s="14" t="str">
        <f t="shared" si="4848"/>
        <v>Quick and professional</v>
      </c>
      <c r="AD2422" s="8"/>
    </row>
    <row r="2423">
      <c r="A2423" s="14" t="str">
        <f>IFERROR(__xludf.DUMMYFUNCTION("""COMPUTED_VALUE"""),"//ord_92574//Riya Chakraborty//Juhu//Cold Coffee+8*Tanvi Jain/7/13/2023//Credit Card//Delivered*Convenience: Easy tracking")</f>
        <v>//ord_92574//Riya Chakraborty//Juhu//Cold Coffee+8*Tanvi Jain/7/13/2023//Credit Card//Delivered*Convenience: Easy tracking</v>
      </c>
      <c r="B2423" s="14" t="str">
        <f>IFERROR(__xludf.DUMMYFUNCTION("split(A2423,""//"")"),"ord_92574")</f>
        <v>ord_92574</v>
      </c>
      <c r="C2423" s="14" t="str">
        <f>IFERROR(__xludf.DUMMYFUNCTION("""COMPUTED_VALUE"""),"Riya Chakraborty")</f>
        <v>Riya Chakraborty</v>
      </c>
      <c r="D2423" s="14" t="str">
        <f>IFERROR(__xludf.DUMMYFUNCTION("""COMPUTED_VALUE"""),"Juhu")</f>
        <v>Juhu</v>
      </c>
      <c r="E2423" s="14" t="str">
        <f>IFERROR(__xludf.DUMMYFUNCTION("""COMPUTED_VALUE"""),"Cold Coffee+8*Tanvi Jain")</f>
        <v>Cold Coffee+8*Tanvi Jain</v>
      </c>
      <c r="F2423" s="14">
        <f>IFERROR(__xludf.DUMMYFUNCTION("""COMPUTED_VALUE"""),7.0)</f>
        <v>7</v>
      </c>
      <c r="G2423" s="14">
        <f>IFERROR(__xludf.DUMMYFUNCTION("""COMPUTED_VALUE"""),13.0)</f>
        <v>13</v>
      </c>
      <c r="H2423" s="14">
        <f>IFERROR(__xludf.DUMMYFUNCTION("""COMPUTED_VALUE"""),2023.0)</f>
        <v>2023</v>
      </c>
      <c r="I2423" s="14" t="str">
        <f>IFERROR(__xludf.DUMMYFUNCTION("""COMPUTED_VALUE"""),"Credit Card")</f>
        <v>Credit Card</v>
      </c>
      <c r="J2423" s="14" t="str">
        <f>IFERROR(__xludf.DUMMYFUNCTION("""COMPUTED_VALUE"""),"Delivered*Convenience: Easy tracking")</f>
        <v>Delivered*Convenience: Easy tracking</v>
      </c>
      <c r="K2423" s="14" t="str">
        <f>IFERROR(__xludf.DUMMYFUNCTION("split(E2423,""+"")"),"Cold Coffee")</f>
        <v>Cold Coffee</v>
      </c>
      <c r="L2423" s="14" t="str">
        <f>IFERROR(__xludf.DUMMYFUNCTION("""COMPUTED_VALUE"""),"8*Tanvi Jain")</f>
        <v>8*Tanvi Jain</v>
      </c>
      <c r="M2423" s="14">
        <f>IFERROR(__xludf.DUMMYFUNCTION("SPLIT(L2423,""*"")"),8.0)</f>
        <v>8</v>
      </c>
      <c r="N2423" s="14" t="str">
        <f>IFERROR(__xludf.DUMMYFUNCTION("""COMPUTED_VALUE"""),"Tanvi Jain")</f>
        <v>Tanvi Jain</v>
      </c>
      <c r="O2423" s="14" t="str">
        <f>IFERROR(__xludf.DUMMYFUNCTION("split(J2423,""*"")"),"Delivered")</f>
        <v>Delivered</v>
      </c>
      <c r="P2423" s="14" t="str">
        <f>IFERROR(__xludf.DUMMYFUNCTION("""COMPUTED_VALUE"""),"Convenience: Easy tracking")</f>
        <v>Convenience: Easy tracking</v>
      </c>
      <c r="Q2423" s="14" t="str">
        <f>IFERROR(__xludf.DUMMYFUNCTION("split(P2423,"":"")"),"Convenience")</f>
        <v>Convenience</v>
      </c>
      <c r="R2423" s="14" t="str">
        <f>IFERROR(__xludf.DUMMYFUNCTION("""COMPUTED_VALUE""")," Easy tracking")</f>
        <v> Easy tracking</v>
      </c>
      <c r="S2423" s="14" t="str">
        <f t="shared" ref="S2423:U2423" si="4849">trim(B2423)</f>
        <v>ord_92574</v>
      </c>
      <c r="T2423" s="14" t="str">
        <f t="shared" si="4849"/>
        <v>Riya Chakraborty</v>
      </c>
      <c r="U2423" s="14" t="str">
        <f t="shared" si="4849"/>
        <v>Juhu</v>
      </c>
      <c r="V2423" s="14" t="str">
        <f t="shared" si="4"/>
        <v>Cold Coffee</v>
      </c>
      <c r="W2423" s="14">
        <f t="shared" si="5"/>
        <v>8</v>
      </c>
      <c r="X2423" s="14" t="str">
        <f t="shared" si="6"/>
        <v>Tanvi Jain</v>
      </c>
      <c r="Y2423" s="15">
        <f t="shared" si="7"/>
        <v>45120</v>
      </c>
      <c r="Z2423" s="14" t="str">
        <f t="shared" si="8"/>
        <v>Credit Card</v>
      </c>
      <c r="AA2423" s="14" t="str">
        <f t="shared" si="9"/>
        <v>Delivered</v>
      </c>
      <c r="AB2423" s="14" t="str">
        <f t="shared" ref="AB2423:AC2423" si="4850">trim(Q2423)</f>
        <v>Convenience</v>
      </c>
      <c r="AC2423" s="14" t="str">
        <f t="shared" si="4850"/>
        <v>Easy tracking</v>
      </c>
      <c r="AD2423" s="8"/>
    </row>
    <row r="2424">
      <c r="A2424" s="14" t="str">
        <f>IFERROR(__xludf.DUMMYFUNCTION("""COMPUTED_VALUE"""),"//ord_92668//Omkar Mishra//Powai//Tiramisu+2*Sandeep Kumar/12/5/2023//Online Payment//Delivered*Overall Satisfaction: Great service will order again")</f>
        <v>//ord_92668//Omkar Mishra//Powai//Tiramisu+2*Sandeep Kumar/12/5/2023//Online Payment//Delivered*Overall Satisfaction: Great service will order again</v>
      </c>
      <c r="B2424" s="14" t="str">
        <f>IFERROR(__xludf.DUMMYFUNCTION("split(A2424,""//"")"),"ord_92668")</f>
        <v>ord_92668</v>
      </c>
      <c r="C2424" s="14" t="str">
        <f>IFERROR(__xludf.DUMMYFUNCTION("""COMPUTED_VALUE"""),"Omkar Mishra")</f>
        <v>Omkar Mishra</v>
      </c>
      <c r="D2424" s="14" t="str">
        <f>IFERROR(__xludf.DUMMYFUNCTION("""COMPUTED_VALUE"""),"Powai")</f>
        <v>Powai</v>
      </c>
      <c r="E2424" s="14" t="str">
        <f>IFERROR(__xludf.DUMMYFUNCTION("""COMPUTED_VALUE"""),"Tiramisu+2*Sandeep Kumar")</f>
        <v>Tiramisu+2*Sandeep Kumar</v>
      </c>
      <c r="F2424" s="14">
        <f>IFERROR(__xludf.DUMMYFUNCTION("""COMPUTED_VALUE"""),12.0)</f>
        <v>12</v>
      </c>
      <c r="G2424" s="14">
        <f>IFERROR(__xludf.DUMMYFUNCTION("""COMPUTED_VALUE"""),5.0)</f>
        <v>5</v>
      </c>
      <c r="H2424" s="14">
        <f>IFERROR(__xludf.DUMMYFUNCTION("""COMPUTED_VALUE"""),2023.0)</f>
        <v>2023</v>
      </c>
      <c r="I2424" s="14" t="str">
        <f>IFERROR(__xludf.DUMMYFUNCTION("""COMPUTED_VALUE"""),"Online Payment")</f>
        <v>Online Payment</v>
      </c>
      <c r="J2424" s="14" t="str">
        <f>IFERROR(__xludf.DUMMYFUNCTION("""COMPUTED_VALUE"""),"Delivered*Overall Satisfaction: Great service will order again")</f>
        <v>Delivered*Overall Satisfaction: Great service will order again</v>
      </c>
      <c r="K2424" s="14" t="str">
        <f>IFERROR(__xludf.DUMMYFUNCTION("split(E2424,""+"")"),"Tiramisu")</f>
        <v>Tiramisu</v>
      </c>
      <c r="L2424" s="14" t="str">
        <f>IFERROR(__xludf.DUMMYFUNCTION("""COMPUTED_VALUE"""),"2*Sandeep Kumar")</f>
        <v>2*Sandeep Kumar</v>
      </c>
      <c r="M2424" s="14">
        <f>IFERROR(__xludf.DUMMYFUNCTION("SPLIT(L2424,""*"")"),2.0)</f>
        <v>2</v>
      </c>
      <c r="N2424" s="14" t="str">
        <f>IFERROR(__xludf.DUMMYFUNCTION("""COMPUTED_VALUE"""),"Sandeep Kumar")</f>
        <v>Sandeep Kumar</v>
      </c>
      <c r="O2424" s="14" t="str">
        <f>IFERROR(__xludf.DUMMYFUNCTION("split(J2424,""*"")"),"Delivered")</f>
        <v>Delivered</v>
      </c>
      <c r="P2424" s="14" t="str">
        <f>IFERROR(__xludf.DUMMYFUNCTION("""COMPUTED_VALUE"""),"Overall Satisfaction: Great service will order again")</f>
        <v>Overall Satisfaction: Great service will order again</v>
      </c>
      <c r="Q2424" s="14" t="str">
        <f>IFERROR(__xludf.DUMMYFUNCTION("split(P2424,"":"")"),"Overall Satisfaction")</f>
        <v>Overall Satisfaction</v>
      </c>
      <c r="R2424" s="14" t="str">
        <f>IFERROR(__xludf.DUMMYFUNCTION("""COMPUTED_VALUE""")," Great service will order again")</f>
        <v> Great service will order again</v>
      </c>
      <c r="S2424" s="14" t="str">
        <f t="shared" ref="S2424:U2424" si="4851">trim(B2424)</f>
        <v>ord_92668</v>
      </c>
      <c r="T2424" s="14" t="str">
        <f t="shared" si="4851"/>
        <v>Omkar Mishra</v>
      </c>
      <c r="U2424" s="14" t="str">
        <f t="shared" si="4851"/>
        <v>Powai</v>
      </c>
      <c r="V2424" s="14" t="str">
        <f t="shared" si="4"/>
        <v>Tiramisu</v>
      </c>
      <c r="W2424" s="14">
        <f t="shared" si="5"/>
        <v>2</v>
      </c>
      <c r="X2424" s="14" t="str">
        <f t="shared" si="6"/>
        <v>Sandeep Kumar</v>
      </c>
      <c r="Y2424" s="15">
        <f t="shared" si="7"/>
        <v>45265</v>
      </c>
      <c r="Z2424" s="14" t="str">
        <f t="shared" si="8"/>
        <v>Online Payment</v>
      </c>
      <c r="AA2424" s="14" t="str">
        <f t="shared" si="9"/>
        <v>Delivered</v>
      </c>
      <c r="AB2424" s="14" t="str">
        <f t="shared" ref="AB2424:AC2424" si="4852">trim(Q2424)</f>
        <v>Overall Satisfaction</v>
      </c>
      <c r="AC2424" s="14" t="str">
        <f t="shared" si="4852"/>
        <v>Great service will order again</v>
      </c>
      <c r="AD2424" s="8"/>
    </row>
    <row r="2425">
      <c r="A2425" s="14" t="str">
        <f>IFERROR(__xludf.DUMMYFUNCTION("""COMPUTED_VALUE"""),"//ord_92762//Sanjay Nair//Dadar//Veg Puff+4*Aman Kumar/11/15/2023//Credit Card//Delivered*On-time Delivery: Delivered on time")</f>
        <v>//ord_92762//Sanjay Nair//Dadar//Veg Puff+4*Aman Kumar/11/15/2023//Credit Card//Delivered*On-time Delivery: Delivered on time</v>
      </c>
      <c r="B2425" s="14" t="str">
        <f>IFERROR(__xludf.DUMMYFUNCTION("split(A2425,""//"")"),"ord_92762")</f>
        <v>ord_92762</v>
      </c>
      <c r="C2425" s="14" t="str">
        <f>IFERROR(__xludf.DUMMYFUNCTION("""COMPUTED_VALUE"""),"Sanjay Nair")</f>
        <v>Sanjay Nair</v>
      </c>
      <c r="D2425" s="14" t="str">
        <f>IFERROR(__xludf.DUMMYFUNCTION("""COMPUTED_VALUE"""),"Dadar")</f>
        <v>Dadar</v>
      </c>
      <c r="E2425" s="14" t="str">
        <f>IFERROR(__xludf.DUMMYFUNCTION("""COMPUTED_VALUE"""),"Veg Puff+4*Aman Kumar")</f>
        <v>Veg Puff+4*Aman Kumar</v>
      </c>
      <c r="F2425" s="14">
        <f>IFERROR(__xludf.DUMMYFUNCTION("""COMPUTED_VALUE"""),11.0)</f>
        <v>11</v>
      </c>
      <c r="G2425" s="14">
        <f>IFERROR(__xludf.DUMMYFUNCTION("""COMPUTED_VALUE"""),15.0)</f>
        <v>15</v>
      </c>
      <c r="H2425" s="14">
        <f>IFERROR(__xludf.DUMMYFUNCTION("""COMPUTED_VALUE"""),2023.0)</f>
        <v>2023</v>
      </c>
      <c r="I2425" s="14" t="str">
        <f>IFERROR(__xludf.DUMMYFUNCTION("""COMPUTED_VALUE"""),"Credit Card")</f>
        <v>Credit Card</v>
      </c>
      <c r="J2425" s="14" t="str">
        <f>IFERROR(__xludf.DUMMYFUNCTION("""COMPUTED_VALUE"""),"Delivered*On-time Delivery: Delivered on time")</f>
        <v>Delivered*On-time Delivery: Delivered on time</v>
      </c>
      <c r="K2425" s="14" t="str">
        <f>IFERROR(__xludf.DUMMYFUNCTION("split(E2425,""+"")"),"Veg Puff")</f>
        <v>Veg Puff</v>
      </c>
      <c r="L2425" s="14" t="str">
        <f>IFERROR(__xludf.DUMMYFUNCTION("""COMPUTED_VALUE"""),"4*Aman Kumar")</f>
        <v>4*Aman Kumar</v>
      </c>
      <c r="M2425" s="14">
        <f>IFERROR(__xludf.DUMMYFUNCTION("SPLIT(L2425,""*"")"),4.0)</f>
        <v>4</v>
      </c>
      <c r="N2425" s="14" t="str">
        <f>IFERROR(__xludf.DUMMYFUNCTION("""COMPUTED_VALUE"""),"Aman Kumar")</f>
        <v>Aman Kumar</v>
      </c>
      <c r="O2425" s="14" t="str">
        <f>IFERROR(__xludf.DUMMYFUNCTION("split(J2425,""*"")"),"Delivered")</f>
        <v>Delivered</v>
      </c>
      <c r="P2425" s="14" t="str">
        <f>IFERROR(__xludf.DUMMYFUNCTION("""COMPUTED_VALUE"""),"On-time Delivery: Delivered on time")</f>
        <v>On-time Delivery: Delivered on time</v>
      </c>
      <c r="Q2425" s="14" t="str">
        <f>IFERROR(__xludf.DUMMYFUNCTION("split(P2425,"":"")"),"On-time Delivery")</f>
        <v>On-time Delivery</v>
      </c>
      <c r="R2425" s="14" t="str">
        <f>IFERROR(__xludf.DUMMYFUNCTION("""COMPUTED_VALUE""")," Delivered on time")</f>
        <v> Delivered on time</v>
      </c>
      <c r="S2425" s="14" t="str">
        <f t="shared" ref="S2425:U2425" si="4853">trim(B2425)</f>
        <v>ord_92762</v>
      </c>
      <c r="T2425" s="14" t="str">
        <f t="shared" si="4853"/>
        <v>Sanjay Nair</v>
      </c>
      <c r="U2425" s="14" t="str">
        <f t="shared" si="4853"/>
        <v>Dadar</v>
      </c>
      <c r="V2425" s="14" t="str">
        <f t="shared" si="4"/>
        <v>Veg Puff</v>
      </c>
      <c r="W2425" s="14">
        <f t="shared" si="5"/>
        <v>4</v>
      </c>
      <c r="X2425" s="14" t="str">
        <f t="shared" si="6"/>
        <v>Aman Kumar</v>
      </c>
      <c r="Y2425" s="15">
        <f t="shared" si="7"/>
        <v>45245</v>
      </c>
      <c r="Z2425" s="14" t="str">
        <f t="shared" si="8"/>
        <v>Credit Card</v>
      </c>
      <c r="AA2425" s="14" t="str">
        <f t="shared" si="9"/>
        <v>Delivered</v>
      </c>
      <c r="AB2425" s="14" t="str">
        <f t="shared" ref="AB2425:AC2425" si="4854">trim(Q2425)</f>
        <v>On-time Delivery</v>
      </c>
      <c r="AC2425" s="14" t="str">
        <f t="shared" si="4854"/>
        <v>Delivered on time</v>
      </c>
      <c r="AD2425" s="8"/>
    </row>
    <row r="2426">
      <c r="A2426" s="14" t="str">
        <f>IFERROR(__xludf.DUMMYFUNCTION("""COMPUTED_VALUE"""),"//ord_92856//Ishita Banerjee//Juhu//Chocolate Mousse+4*Tanvi Jain/11/15/2023//UPI//Delivered*On-time Delivery: Delivered on time")</f>
        <v>//ord_92856//Ishita Banerjee//Juhu//Chocolate Mousse+4*Tanvi Jain/11/15/2023//UPI//Delivered*On-time Delivery: Delivered on time</v>
      </c>
      <c r="B2426" s="14" t="str">
        <f>IFERROR(__xludf.DUMMYFUNCTION("split(A2426,""//"")"),"ord_92856")</f>
        <v>ord_92856</v>
      </c>
      <c r="C2426" s="14" t="str">
        <f>IFERROR(__xludf.DUMMYFUNCTION("""COMPUTED_VALUE"""),"Ishita Banerjee")</f>
        <v>Ishita Banerjee</v>
      </c>
      <c r="D2426" s="14" t="str">
        <f>IFERROR(__xludf.DUMMYFUNCTION("""COMPUTED_VALUE"""),"Juhu")</f>
        <v>Juhu</v>
      </c>
      <c r="E2426" s="14" t="str">
        <f>IFERROR(__xludf.DUMMYFUNCTION("""COMPUTED_VALUE"""),"Chocolate Mousse+4*Tanvi Jain")</f>
        <v>Chocolate Mousse+4*Tanvi Jain</v>
      </c>
      <c r="F2426" s="14">
        <f>IFERROR(__xludf.DUMMYFUNCTION("""COMPUTED_VALUE"""),11.0)</f>
        <v>11</v>
      </c>
      <c r="G2426" s="14">
        <f>IFERROR(__xludf.DUMMYFUNCTION("""COMPUTED_VALUE"""),15.0)</f>
        <v>15</v>
      </c>
      <c r="H2426" s="14">
        <f>IFERROR(__xludf.DUMMYFUNCTION("""COMPUTED_VALUE"""),2023.0)</f>
        <v>2023</v>
      </c>
      <c r="I2426" s="14" t="str">
        <f>IFERROR(__xludf.DUMMYFUNCTION("""COMPUTED_VALUE"""),"UPI")</f>
        <v>UPI</v>
      </c>
      <c r="J2426" s="14" t="str">
        <f>IFERROR(__xludf.DUMMYFUNCTION("""COMPUTED_VALUE"""),"Delivered*On-time Delivery: Delivered on time")</f>
        <v>Delivered*On-time Delivery: Delivered on time</v>
      </c>
      <c r="K2426" s="14" t="str">
        <f>IFERROR(__xludf.DUMMYFUNCTION("split(E2426,""+"")"),"Chocolate Mousse")</f>
        <v>Chocolate Mousse</v>
      </c>
      <c r="L2426" s="14" t="str">
        <f>IFERROR(__xludf.DUMMYFUNCTION("""COMPUTED_VALUE"""),"4*Tanvi Jain")</f>
        <v>4*Tanvi Jain</v>
      </c>
      <c r="M2426" s="14">
        <f>IFERROR(__xludf.DUMMYFUNCTION("SPLIT(L2426,""*"")"),4.0)</f>
        <v>4</v>
      </c>
      <c r="N2426" s="14" t="str">
        <f>IFERROR(__xludf.DUMMYFUNCTION("""COMPUTED_VALUE"""),"Tanvi Jain")</f>
        <v>Tanvi Jain</v>
      </c>
      <c r="O2426" s="14" t="str">
        <f>IFERROR(__xludf.DUMMYFUNCTION("split(J2426,""*"")"),"Delivered")</f>
        <v>Delivered</v>
      </c>
      <c r="P2426" s="14" t="str">
        <f>IFERROR(__xludf.DUMMYFUNCTION("""COMPUTED_VALUE"""),"On-time Delivery: Delivered on time")</f>
        <v>On-time Delivery: Delivered on time</v>
      </c>
      <c r="Q2426" s="14" t="str">
        <f>IFERROR(__xludf.DUMMYFUNCTION("split(P2426,"":"")"),"On-time Delivery")</f>
        <v>On-time Delivery</v>
      </c>
      <c r="R2426" s="14" t="str">
        <f>IFERROR(__xludf.DUMMYFUNCTION("""COMPUTED_VALUE""")," Delivered on time")</f>
        <v> Delivered on time</v>
      </c>
      <c r="S2426" s="14" t="str">
        <f t="shared" ref="S2426:U2426" si="4855">trim(B2426)</f>
        <v>ord_92856</v>
      </c>
      <c r="T2426" s="14" t="str">
        <f t="shared" si="4855"/>
        <v>Ishita Banerjee</v>
      </c>
      <c r="U2426" s="14" t="str">
        <f t="shared" si="4855"/>
        <v>Juhu</v>
      </c>
      <c r="V2426" s="14" t="str">
        <f t="shared" si="4"/>
        <v>Chocolate Mousse</v>
      </c>
      <c r="W2426" s="14">
        <f t="shared" si="5"/>
        <v>4</v>
      </c>
      <c r="X2426" s="14" t="str">
        <f t="shared" si="6"/>
        <v>Tanvi Jain</v>
      </c>
      <c r="Y2426" s="15">
        <f t="shared" si="7"/>
        <v>45245</v>
      </c>
      <c r="Z2426" s="14" t="str">
        <f t="shared" si="8"/>
        <v>UPI</v>
      </c>
      <c r="AA2426" s="14" t="str">
        <f t="shared" si="9"/>
        <v>Delivered</v>
      </c>
      <c r="AB2426" s="14" t="str">
        <f t="shared" ref="AB2426:AC2426" si="4856">trim(Q2426)</f>
        <v>On-time Delivery</v>
      </c>
      <c r="AC2426" s="14" t="str">
        <f t="shared" si="4856"/>
        <v>Delivered on time</v>
      </c>
      <c r="AD2426" s="8"/>
    </row>
    <row r="2427">
      <c r="A2427" s="14" t="str">
        <f>IFERROR(__xludf.DUMMYFUNCTION("""COMPUTED_VALUE"""),"//ord_92950//Ishita Banerjee//Juhu//Cold Coffee+5*Tanvi Jain/4/18/2023//Credit Card//Delivered*Quality of Items: Perfect condition")</f>
        <v>//ord_92950//Ishita Banerjee//Juhu//Cold Coffee+5*Tanvi Jain/4/18/2023//Credit Card//Delivered*Quality of Items: Perfect condition</v>
      </c>
      <c r="B2427" s="14" t="str">
        <f>IFERROR(__xludf.DUMMYFUNCTION("split(A2427,""//"")"),"ord_92950")</f>
        <v>ord_92950</v>
      </c>
      <c r="C2427" s="14" t="str">
        <f>IFERROR(__xludf.DUMMYFUNCTION("""COMPUTED_VALUE"""),"Ishita Banerjee")</f>
        <v>Ishita Banerjee</v>
      </c>
      <c r="D2427" s="14" t="str">
        <f>IFERROR(__xludf.DUMMYFUNCTION("""COMPUTED_VALUE"""),"Juhu")</f>
        <v>Juhu</v>
      </c>
      <c r="E2427" s="14" t="str">
        <f>IFERROR(__xludf.DUMMYFUNCTION("""COMPUTED_VALUE"""),"Cold Coffee+5*Tanvi Jain")</f>
        <v>Cold Coffee+5*Tanvi Jain</v>
      </c>
      <c r="F2427" s="14">
        <f>IFERROR(__xludf.DUMMYFUNCTION("""COMPUTED_VALUE"""),4.0)</f>
        <v>4</v>
      </c>
      <c r="G2427" s="14">
        <f>IFERROR(__xludf.DUMMYFUNCTION("""COMPUTED_VALUE"""),18.0)</f>
        <v>18</v>
      </c>
      <c r="H2427" s="14">
        <f>IFERROR(__xludf.DUMMYFUNCTION("""COMPUTED_VALUE"""),2023.0)</f>
        <v>2023</v>
      </c>
      <c r="I2427" s="14" t="str">
        <f>IFERROR(__xludf.DUMMYFUNCTION("""COMPUTED_VALUE"""),"Credit Card")</f>
        <v>Credit Card</v>
      </c>
      <c r="J2427" s="14" t="str">
        <f>IFERROR(__xludf.DUMMYFUNCTION("""COMPUTED_VALUE"""),"Delivered*Quality of Items: Perfect condition")</f>
        <v>Delivered*Quality of Items: Perfect condition</v>
      </c>
      <c r="K2427" s="14" t="str">
        <f>IFERROR(__xludf.DUMMYFUNCTION("split(E2427,""+"")"),"Cold Coffee")</f>
        <v>Cold Coffee</v>
      </c>
      <c r="L2427" s="14" t="str">
        <f>IFERROR(__xludf.DUMMYFUNCTION("""COMPUTED_VALUE"""),"5*Tanvi Jain")</f>
        <v>5*Tanvi Jain</v>
      </c>
      <c r="M2427" s="14">
        <f>IFERROR(__xludf.DUMMYFUNCTION("SPLIT(L2427,""*"")"),5.0)</f>
        <v>5</v>
      </c>
      <c r="N2427" s="14" t="str">
        <f>IFERROR(__xludf.DUMMYFUNCTION("""COMPUTED_VALUE"""),"Tanvi Jain")</f>
        <v>Tanvi Jain</v>
      </c>
      <c r="O2427" s="14" t="str">
        <f>IFERROR(__xludf.DUMMYFUNCTION("split(J2427,""*"")"),"Delivered")</f>
        <v>Delivered</v>
      </c>
      <c r="P2427" s="14" t="str">
        <f>IFERROR(__xludf.DUMMYFUNCTION("""COMPUTED_VALUE"""),"Quality of Items: Perfect condition")</f>
        <v>Quality of Items: Perfect condition</v>
      </c>
      <c r="Q2427" s="14" t="str">
        <f>IFERROR(__xludf.DUMMYFUNCTION("split(P2427,"":"")"),"Quality of Items")</f>
        <v>Quality of Items</v>
      </c>
      <c r="R2427" s="14" t="str">
        <f>IFERROR(__xludf.DUMMYFUNCTION("""COMPUTED_VALUE""")," Perfect condition")</f>
        <v> Perfect condition</v>
      </c>
      <c r="S2427" s="14" t="str">
        <f t="shared" ref="S2427:U2427" si="4857">trim(B2427)</f>
        <v>ord_92950</v>
      </c>
      <c r="T2427" s="14" t="str">
        <f t="shared" si="4857"/>
        <v>Ishita Banerjee</v>
      </c>
      <c r="U2427" s="14" t="str">
        <f t="shared" si="4857"/>
        <v>Juhu</v>
      </c>
      <c r="V2427" s="14" t="str">
        <f t="shared" si="4"/>
        <v>Cold Coffee</v>
      </c>
      <c r="W2427" s="14">
        <f t="shared" si="5"/>
        <v>5</v>
      </c>
      <c r="X2427" s="14" t="str">
        <f t="shared" si="6"/>
        <v>Tanvi Jain</v>
      </c>
      <c r="Y2427" s="15">
        <f t="shared" si="7"/>
        <v>45034</v>
      </c>
      <c r="Z2427" s="14" t="str">
        <f t="shared" si="8"/>
        <v>Credit Card</v>
      </c>
      <c r="AA2427" s="14" t="str">
        <f t="shared" si="9"/>
        <v>Delivered</v>
      </c>
      <c r="AB2427" s="14" t="str">
        <f t="shared" ref="AB2427:AC2427" si="4858">trim(Q2427)</f>
        <v>Quality of Items</v>
      </c>
      <c r="AC2427" s="14" t="str">
        <f t="shared" si="4858"/>
        <v>Perfect condition</v>
      </c>
      <c r="AD2427" s="8"/>
    </row>
    <row r="2428">
      <c r="A2428" s="14" t="str">
        <f>IFERROR(__xludf.DUMMYFUNCTION("""COMPUTED_VALUE"""),"//ord_93044//Aarohi Kapoor//Bandra//Banana+1*Priya Joshi/6/19/2023//UPI//Delivered*Packaging: Secure and intact")</f>
        <v>//ord_93044//Aarohi Kapoor//Bandra//Banana+1*Priya Joshi/6/19/2023//UPI//Delivered*Packaging: Secure and intact</v>
      </c>
      <c r="B2428" s="14" t="str">
        <f>IFERROR(__xludf.DUMMYFUNCTION("split(A2428,""//"")"),"ord_93044")</f>
        <v>ord_93044</v>
      </c>
      <c r="C2428" s="14" t="str">
        <f>IFERROR(__xludf.DUMMYFUNCTION("""COMPUTED_VALUE"""),"Aarohi Kapoor")</f>
        <v>Aarohi Kapoor</v>
      </c>
      <c r="D2428" s="14" t="str">
        <f>IFERROR(__xludf.DUMMYFUNCTION("""COMPUTED_VALUE"""),"Bandra")</f>
        <v>Bandra</v>
      </c>
      <c r="E2428" s="14" t="str">
        <f>IFERROR(__xludf.DUMMYFUNCTION("""COMPUTED_VALUE"""),"Banana+1*Priya Joshi")</f>
        <v>Banana+1*Priya Joshi</v>
      </c>
      <c r="F2428" s="14">
        <f>IFERROR(__xludf.DUMMYFUNCTION("""COMPUTED_VALUE"""),6.0)</f>
        <v>6</v>
      </c>
      <c r="G2428" s="14">
        <f>IFERROR(__xludf.DUMMYFUNCTION("""COMPUTED_VALUE"""),19.0)</f>
        <v>19</v>
      </c>
      <c r="H2428" s="14">
        <f>IFERROR(__xludf.DUMMYFUNCTION("""COMPUTED_VALUE"""),2023.0)</f>
        <v>2023</v>
      </c>
      <c r="I2428" s="14" t="str">
        <f>IFERROR(__xludf.DUMMYFUNCTION("""COMPUTED_VALUE"""),"UPI")</f>
        <v>UPI</v>
      </c>
      <c r="J2428" s="14" t="str">
        <f>IFERROR(__xludf.DUMMYFUNCTION("""COMPUTED_VALUE"""),"Delivered*Packaging: Secure and intact")</f>
        <v>Delivered*Packaging: Secure and intact</v>
      </c>
      <c r="K2428" s="14" t="str">
        <f>IFERROR(__xludf.DUMMYFUNCTION("split(E2428,""+"")"),"Banana")</f>
        <v>Banana</v>
      </c>
      <c r="L2428" s="14" t="str">
        <f>IFERROR(__xludf.DUMMYFUNCTION("""COMPUTED_VALUE"""),"1*Priya Joshi")</f>
        <v>1*Priya Joshi</v>
      </c>
      <c r="M2428" s="14">
        <f>IFERROR(__xludf.DUMMYFUNCTION("SPLIT(L2428,""*"")"),1.0)</f>
        <v>1</v>
      </c>
      <c r="N2428" s="14" t="str">
        <f>IFERROR(__xludf.DUMMYFUNCTION("""COMPUTED_VALUE"""),"Priya Joshi")</f>
        <v>Priya Joshi</v>
      </c>
      <c r="O2428" s="14" t="str">
        <f>IFERROR(__xludf.DUMMYFUNCTION("split(J2428,""*"")"),"Delivered")</f>
        <v>Delivered</v>
      </c>
      <c r="P2428" s="14" t="str">
        <f>IFERROR(__xludf.DUMMYFUNCTION("""COMPUTED_VALUE"""),"Packaging: Secure and intact")</f>
        <v>Packaging: Secure and intact</v>
      </c>
      <c r="Q2428" s="14" t="str">
        <f>IFERROR(__xludf.DUMMYFUNCTION("split(P2428,"":"")"),"Packaging")</f>
        <v>Packaging</v>
      </c>
      <c r="R2428" s="14" t="str">
        <f>IFERROR(__xludf.DUMMYFUNCTION("""COMPUTED_VALUE""")," Secure and intact")</f>
        <v> Secure and intact</v>
      </c>
      <c r="S2428" s="14" t="str">
        <f t="shared" ref="S2428:U2428" si="4859">trim(B2428)</f>
        <v>ord_93044</v>
      </c>
      <c r="T2428" s="14" t="str">
        <f t="shared" si="4859"/>
        <v>Aarohi Kapoor</v>
      </c>
      <c r="U2428" s="14" t="str">
        <f t="shared" si="4859"/>
        <v>Bandra</v>
      </c>
      <c r="V2428" s="14" t="str">
        <f t="shared" si="4"/>
        <v>Banana</v>
      </c>
      <c r="W2428" s="14">
        <f t="shared" si="5"/>
        <v>1</v>
      </c>
      <c r="X2428" s="14" t="str">
        <f t="shared" si="6"/>
        <v>Priya Joshi</v>
      </c>
      <c r="Y2428" s="15">
        <f t="shared" si="7"/>
        <v>45096</v>
      </c>
      <c r="Z2428" s="14" t="str">
        <f t="shared" si="8"/>
        <v>UPI</v>
      </c>
      <c r="AA2428" s="14" t="str">
        <f t="shared" si="9"/>
        <v>Delivered</v>
      </c>
      <c r="AB2428" s="14" t="str">
        <f t="shared" ref="AB2428:AC2428" si="4860">trim(Q2428)</f>
        <v>Packaging</v>
      </c>
      <c r="AC2428" s="14" t="str">
        <f t="shared" si="4860"/>
        <v>Secure and intact</v>
      </c>
      <c r="AD2428" s="8"/>
    </row>
    <row r="2429">
      <c r="A2429" s="14" t="str">
        <f>IFERROR(__xludf.DUMMYFUNCTION("""COMPUTED_VALUE"""),"//ord_93138//Omkar Mishra//Powai//Tiramisu+5*Sandeep Kumar/10/7/2023//Credit Card//Delivered*Satisfied with the Delivery: Timely and quality")</f>
        <v>//ord_93138//Omkar Mishra//Powai//Tiramisu+5*Sandeep Kumar/10/7/2023//Credit Card//Delivered*Satisfied with the Delivery: Timely and quality</v>
      </c>
      <c r="B2429" s="14" t="str">
        <f>IFERROR(__xludf.DUMMYFUNCTION("split(A2429,""//"")"),"ord_93138")</f>
        <v>ord_93138</v>
      </c>
      <c r="C2429" s="14" t="str">
        <f>IFERROR(__xludf.DUMMYFUNCTION("""COMPUTED_VALUE"""),"Omkar Mishra")</f>
        <v>Omkar Mishra</v>
      </c>
      <c r="D2429" s="14" t="str">
        <f>IFERROR(__xludf.DUMMYFUNCTION("""COMPUTED_VALUE"""),"Powai")</f>
        <v>Powai</v>
      </c>
      <c r="E2429" s="14" t="str">
        <f>IFERROR(__xludf.DUMMYFUNCTION("""COMPUTED_VALUE"""),"Tiramisu+5*Sandeep Kumar")</f>
        <v>Tiramisu+5*Sandeep Kumar</v>
      </c>
      <c r="F2429" s="14">
        <f>IFERROR(__xludf.DUMMYFUNCTION("""COMPUTED_VALUE"""),10.0)</f>
        <v>10</v>
      </c>
      <c r="G2429" s="14">
        <f>IFERROR(__xludf.DUMMYFUNCTION("""COMPUTED_VALUE"""),7.0)</f>
        <v>7</v>
      </c>
      <c r="H2429" s="14">
        <f>IFERROR(__xludf.DUMMYFUNCTION("""COMPUTED_VALUE"""),2023.0)</f>
        <v>2023</v>
      </c>
      <c r="I2429" s="14" t="str">
        <f>IFERROR(__xludf.DUMMYFUNCTION("""COMPUTED_VALUE"""),"Credit Card")</f>
        <v>Credit Card</v>
      </c>
      <c r="J2429" s="14" t="str">
        <f>IFERROR(__xludf.DUMMYFUNCTION("""COMPUTED_VALUE"""),"Delivered*Satisfied with the Delivery: Timely and quality")</f>
        <v>Delivered*Satisfied with the Delivery: Timely and quality</v>
      </c>
      <c r="K2429" s="14" t="str">
        <f>IFERROR(__xludf.DUMMYFUNCTION("split(E2429,""+"")"),"Tiramisu")</f>
        <v>Tiramisu</v>
      </c>
      <c r="L2429" s="14" t="str">
        <f>IFERROR(__xludf.DUMMYFUNCTION("""COMPUTED_VALUE"""),"5*Sandeep Kumar")</f>
        <v>5*Sandeep Kumar</v>
      </c>
      <c r="M2429" s="14">
        <f>IFERROR(__xludf.DUMMYFUNCTION("SPLIT(L2429,""*"")"),5.0)</f>
        <v>5</v>
      </c>
      <c r="N2429" s="14" t="str">
        <f>IFERROR(__xludf.DUMMYFUNCTION("""COMPUTED_VALUE"""),"Sandeep Kumar")</f>
        <v>Sandeep Kumar</v>
      </c>
      <c r="O2429" s="14" t="str">
        <f>IFERROR(__xludf.DUMMYFUNCTION("split(J2429,""*"")"),"Delivered")</f>
        <v>Delivered</v>
      </c>
      <c r="P2429" s="14" t="str">
        <f>IFERROR(__xludf.DUMMYFUNCTION("""COMPUTED_VALUE"""),"Satisfied with the Delivery: Timely and quality")</f>
        <v>Satisfied with the Delivery: Timely and quality</v>
      </c>
      <c r="Q2429" s="14" t="str">
        <f>IFERROR(__xludf.DUMMYFUNCTION("split(P2429,"":"")"),"Satisfied with the Delivery")</f>
        <v>Satisfied with the Delivery</v>
      </c>
      <c r="R2429" s="14" t="str">
        <f>IFERROR(__xludf.DUMMYFUNCTION("""COMPUTED_VALUE""")," Timely and quality")</f>
        <v> Timely and quality</v>
      </c>
      <c r="S2429" s="14" t="str">
        <f t="shared" ref="S2429:U2429" si="4861">trim(B2429)</f>
        <v>ord_93138</v>
      </c>
      <c r="T2429" s="14" t="str">
        <f t="shared" si="4861"/>
        <v>Omkar Mishra</v>
      </c>
      <c r="U2429" s="14" t="str">
        <f t="shared" si="4861"/>
        <v>Powai</v>
      </c>
      <c r="V2429" s="14" t="str">
        <f t="shared" si="4"/>
        <v>Tiramisu</v>
      </c>
      <c r="W2429" s="14">
        <f t="shared" si="5"/>
        <v>5</v>
      </c>
      <c r="X2429" s="14" t="str">
        <f t="shared" si="6"/>
        <v>Sandeep Kumar</v>
      </c>
      <c r="Y2429" s="15">
        <f t="shared" si="7"/>
        <v>45206</v>
      </c>
      <c r="Z2429" s="14" t="str">
        <f t="shared" si="8"/>
        <v>Credit Card</v>
      </c>
      <c r="AA2429" s="14" t="str">
        <f t="shared" si="9"/>
        <v>Delivered</v>
      </c>
      <c r="AB2429" s="14" t="str">
        <f t="shared" ref="AB2429:AC2429" si="4862">trim(Q2429)</f>
        <v>Satisfied with the Delivery</v>
      </c>
      <c r="AC2429" s="14" t="str">
        <f t="shared" si="4862"/>
        <v>Timely and quality</v>
      </c>
      <c r="AD2429" s="8"/>
    </row>
    <row r="2430">
      <c r="A2430" s="14" t="str">
        <f>IFERROR(__xludf.DUMMYFUNCTION("""COMPUTED_VALUE"""),"//ord_93232//Aditi Iyer//Dadar//Apple+2*Aman Kumar/12/19/2023//Credit Card//Delivered*Customer Service: Seamless and easy")</f>
        <v>//ord_93232//Aditi Iyer//Dadar//Apple+2*Aman Kumar/12/19/2023//Credit Card//Delivered*Customer Service: Seamless and easy</v>
      </c>
      <c r="B2430" s="14" t="str">
        <f>IFERROR(__xludf.DUMMYFUNCTION("split(A2430,""//"")"),"ord_93232")</f>
        <v>ord_93232</v>
      </c>
      <c r="C2430" s="14" t="str">
        <f>IFERROR(__xludf.DUMMYFUNCTION("""COMPUTED_VALUE"""),"Aditi Iyer")</f>
        <v>Aditi Iyer</v>
      </c>
      <c r="D2430" s="14" t="str">
        <f>IFERROR(__xludf.DUMMYFUNCTION("""COMPUTED_VALUE"""),"Dadar")</f>
        <v>Dadar</v>
      </c>
      <c r="E2430" s="14" t="str">
        <f>IFERROR(__xludf.DUMMYFUNCTION("""COMPUTED_VALUE"""),"Apple+2*Aman Kumar")</f>
        <v>Apple+2*Aman Kumar</v>
      </c>
      <c r="F2430" s="14">
        <f>IFERROR(__xludf.DUMMYFUNCTION("""COMPUTED_VALUE"""),12.0)</f>
        <v>12</v>
      </c>
      <c r="G2430" s="14">
        <f>IFERROR(__xludf.DUMMYFUNCTION("""COMPUTED_VALUE"""),19.0)</f>
        <v>19</v>
      </c>
      <c r="H2430" s="14">
        <f>IFERROR(__xludf.DUMMYFUNCTION("""COMPUTED_VALUE"""),2023.0)</f>
        <v>2023</v>
      </c>
      <c r="I2430" s="14" t="str">
        <f>IFERROR(__xludf.DUMMYFUNCTION("""COMPUTED_VALUE"""),"Credit Card")</f>
        <v>Credit Card</v>
      </c>
      <c r="J2430" s="14" t="str">
        <f>IFERROR(__xludf.DUMMYFUNCTION("""COMPUTED_VALUE"""),"Delivered*Customer Service: Seamless and easy")</f>
        <v>Delivered*Customer Service: Seamless and easy</v>
      </c>
      <c r="K2430" s="14" t="str">
        <f>IFERROR(__xludf.DUMMYFUNCTION("split(E2430,""+"")"),"Apple")</f>
        <v>Apple</v>
      </c>
      <c r="L2430" s="14" t="str">
        <f>IFERROR(__xludf.DUMMYFUNCTION("""COMPUTED_VALUE"""),"2*Aman Kumar")</f>
        <v>2*Aman Kumar</v>
      </c>
      <c r="M2430" s="14">
        <f>IFERROR(__xludf.DUMMYFUNCTION("SPLIT(L2430,""*"")"),2.0)</f>
        <v>2</v>
      </c>
      <c r="N2430" s="14" t="str">
        <f>IFERROR(__xludf.DUMMYFUNCTION("""COMPUTED_VALUE"""),"Aman Kumar")</f>
        <v>Aman Kumar</v>
      </c>
      <c r="O2430" s="14" t="str">
        <f>IFERROR(__xludf.DUMMYFUNCTION("split(J2430,""*"")"),"Delivered")</f>
        <v>Delivered</v>
      </c>
      <c r="P2430" s="14" t="str">
        <f>IFERROR(__xludf.DUMMYFUNCTION("""COMPUTED_VALUE"""),"Customer Service: Seamless and easy")</f>
        <v>Customer Service: Seamless and easy</v>
      </c>
      <c r="Q2430" s="14" t="str">
        <f>IFERROR(__xludf.DUMMYFUNCTION("split(P2430,"":"")"),"Customer Service")</f>
        <v>Customer Service</v>
      </c>
      <c r="R2430" s="14" t="str">
        <f>IFERROR(__xludf.DUMMYFUNCTION("""COMPUTED_VALUE""")," Seamless and easy")</f>
        <v> Seamless and easy</v>
      </c>
      <c r="S2430" s="14" t="str">
        <f t="shared" ref="S2430:U2430" si="4863">trim(B2430)</f>
        <v>ord_93232</v>
      </c>
      <c r="T2430" s="14" t="str">
        <f t="shared" si="4863"/>
        <v>Aditi Iyer</v>
      </c>
      <c r="U2430" s="14" t="str">
        <f t="shared" si="4863"/>
        <v>Dadar</v>
      </c>
      <c r="V2430" s="14" t="str">
        <f t="shared" si="4"/>
        <v>Apple</v>
      </c>
      <c r="W2430" s="14">
        <f t="shared" si="5"/>
        <v>2</v>
      </c>
      <c r="X2430" s="14" t="str">
        <f t="shared" si="6"/>
        <v>Aman Kumar</v>
      </c>
      <c r="Y2430" s="15">
        <f t="shared" si="7"/>
        <v>45279</v>
      </c>
      <c r="Z2430" s="14" t="str">
        <f t="shared" si="8"/>
        <v>Credit Card</v>
      </c>
      <c r="AA2430" s="14" t="str">
        <f t="shared" si="9"/>
        <v>Delivered</v>
      </c>
      <c r="AB2430" s="14" t="str">
        <f t="shared" ref="AB2430:AC2430" si="4864">trim(Q2430)</f>
        <v>Customer Service</v>
      </c>
      <c r="AC2430" s="14" t="str">
        <f t="shared" si="4864"/>
        <v>Seamless and easy</v>
      </c>
      <c r="AD2430" s="8"/>
    </row>
    <row r="2431">
      <c r="A2431" s="14" t="str">
        <f>IFERROR(__xludf.DUMMYFUNCTION("""COMPUTED_VALUE"""),"//ord_93326//Omkar Mishra//Powai//Orange+2*Sandeep Kumar/9/17/2023//UPI//Delivered*Delivery Experience: Quick and professional")</f>
        <v>//ord_93326//Omkar Mishra//Powai//Orange+2*Sandeep Kumar/9/17/2023//UPI//Delivered*Delivery Experience: Quick and professional</v>
      </c>
      <c r="B2431" s="14" t="str">
        <f>IFERROR(__xludf.DUMMYFUNCTION("split(A2431,""//"")"),"ord_93326")</f>
        <v>ord_93326</v>
      </c>
      <c r="C2431" s="14" t="str">
        <f>IFERROR(__xludf.DUMMYFUNCTION("""COMPUTED_VALUE"""),"Omkar Mishra")</f>
        <v>Omkar Mishra</v>
      </c>
      <c r="D2431" s="14" t="str">
        <f>IFERROR(__xludf.DUMMYFUNCTION("""COMPUTED_VALUE"""),"Powai")</f>
        <v>Powai</v>
      </c>
      <c r="E2431" s="14" t="str">
        <f>IFERROR(__xludf.DUMMYFUNCTION("""COMPUTED_VALUE"""),"Orange+2*Sandeep Kumar")</f>
        <v>Orange+2*Sandeep Kumar</v>
      </c>
      <c r="F2431" s="14">
        <f>IFERROR(__xludf.DUMMYFUNCTION("""COMPUTED_VALUE"""),9.0)</f>
        <v>9</v>
      </c>
      <c r="G2431" s="14">
        <f>IFERROR(__xludf.DUMMYFUNCTION("""COMPUTED_VALUE"""),17.0)</f>
        <v>17</v>
      </c>
      <c r="H2431" s="14">
        <f>IFERROR(__xludf.DUMMYFUNCTION("""COMPUTED_VALUE"""),2023.0)</f>
        <v>2023</v>
      </c>
      <c r="I2431" s="14" t="str">
        <f>IFERROR(__xludf.DUMMYFUNCTION("""COMPUTED_VALUE"""),"UPI")</f>
        <v>UPI</v>
      </c>
      <c r="J2431" s="14" t="str">
        <f>IFERROR(__xludf.DUMMYFUNCTION("""COMPUTED_VALUE"""),"Delivered*Delivery Experience: Quick and professional")</f>
        <v>Delivered*Delivery Experience: Quick and professional</v>
      </c>
      <c r="K2431" s="14" t="str">
        <f>IFERROR(__xludf.DUMMYFUNCTION("split(E2431,""+"")"),"Orange")</f>
        <v>Orange</v>
      </c>
      <c r="L2431" s="14" t="str">
        <f>IFERROR(__xludf.DUMMYFUNCTION("""COMPUTED_VALUE"""),"2*Sandeep Kumar")</f>
        <v>2*Sandeep Kumar</v>
      </c>
      <c r="M2431" s="14">
        <f>IFERROR(__xludf.DUMMYFUNCTION("SPLIT(L2431,""*"")"),2.0)</f>
        <v>2</v>
      </c>
      <c r="N2431" s="14" t="str">
        <f>IFERROR(__xludf.DUMMYFUNCTION("""COMPUTED_VALUE"""),"Sandeep Kumar")</f>
        <v>Sandeep Kumar</v>
      </c>
      <c r="O2431" s="14" t="str">
        <f>IFERROR(__xludf.DUMMYFUNCTION("split(J2431,""*"")"),"Delivered")</f>
        <v>Delivered</v>
      </c>
      <c r="P2431" s="14" t="str">
        <f>IFERROR(__xludf.DUMMYFUNCTION("""COMPUTED_VALUE"""),"Delivery Experience: Quick and professional")</f>
        <v>Delivery Experience: Quick and professional</v>
      </c>
      <c r="Q2431" s="14" t="str">
        <f>IFERROR(__xludf.DUMMYFUNCTION("split(P2431,"":"")"),"Delivery Experience")</f>
        <v>Delivery Experience</v>
      </c>
      <c r="R2431" s="14" t="str">
        <f>IFERROR(__xludf.DUMMYFUNCTION("""COMPUTED_VALUE""")," Quick and professional")</f>
        <v> Quick and professional</v>
      </c>
      <c r="S2431" s="14" t="str">
        <f t="shared" ref="S2431:U2431" si="4865">trim(B2431)</f>
        <v>ord_93326</v>
      </c>
      <c r="T2431" s="14" t="str">
        <f t="shared" si="4865"/>
        <v>Omkar Mishra</v>
      </c>
      <c r="U2431" s="14" t="str">
        <f t="shared" si="4865"/>
        <v>Powai</v>
      </c>
      <c r="V2431" s="14" t="str">
        <f t="shared" si="4"/>
        <v>Orange</v>
      </c>
      <c r="W2431" s="14">
        <f t="shared" si="5"/>
        <v>2</v>
      </c>
      <c r="X2431" s="14" t="str">
        <f t="shared" si="6"/>
        <v>Sandeep Kumar</v>
      </c>
      <c r="Y2431" s="15">
        <f t="shared" si="7"/>
        <v>45186</v>
      </c>
      <c r="Z2431" s="14" t="str">
        <f t="shared" si="8"/>
        <v>UPI</v>
      </c>
      <c r="AA2431" s="14" t="str">
        <f t="shared" si="9"/>
        <v>Delivered</v>
      </c>
      <c r="AB2431" s="14" t="str">
        <f t="shared" ref="AB2431:AC2431" si="4866">trim(Q2431)</f>
        <v>Delivery Experience</v>
      </c>
      <c r="AC2431" s="14" t="str">
        <f t="shared" si="4866"/>
        <v>Quick and professional</v>
      </c>
      <c r="AD2431" s="8"/>
    </row>
    <row r="2432">
      <c r="A2432" s="14" t="str">
        <f>IFERROR(__xludf.DUMMYFUNCTION("""COMPUTED_VALUE"""),"//ord_93420//Siya Reddy//Juhu//Cold Coffee+5*Tanvi Jain/4/6/2023//Online Payment//Delivered*Convenience: Easy tracking")</f>
        <v>//ord_93420//Siya Reddy//Juhu//Cold Coffee+5*Tanvi Jain/4/6/2023//Online Payment//Delivered*Convenience: Easy tracking</v>
      </c>
      <c r="B2432" s="14" t="str">
        <f>IFERROR(__xludf.DUMMYFUNCTION("split(A2432,""//"")"),"ord_93420")</f>
        <v>ord_93420</v>
      </c>
      <c r="C2432" s="14" t="str">
        <f>IFERROR(__xludf.DUMMYFUNCTION("""COMPUTED_VALUE"""),"Siya Reddy")</f>
        <v>Siya Reddy</v>
      </c>
      <c r="D2432" s="14" t="str">
        <f>IFERROR(__xludf.DUMMYFUNCTION("""COMPUTED_VALUE"""),"Juhu")</f>
        <v>Juhu</v>
      </c>
      <c r="E2432" s="14" t="str">
        <f>IFERROR(__xludf.DUMMYFUNCTION("""COMPUTED_VALUE"""),"Cold Coffee+5*Tanvi Jain")</f>
        <v>Cold Coffee+5*Tanvi Jain</v>
      </c>
      <c r="F2432" s="14">
        <f>IFERROR(__xludf.DUMMYFUNCTION("""COMPUTED_VALUE"""),4.0)</f>
        <v>4</v>
      </c>
      <c r="G2432" s="14">
        <f>IFERROR(__xludf.DUMMYFUNCTION("""COMPUTED_VALUE"""),6.0)</f>
        <v>6</v>
      </c>
      <c r="H2432" s="14">
        <f>IFERROR(__xludf.DUMMYFUNCTION("""COMPUTED_VALUE"""),2023.0)</f>
        <v>2023</v>
      </c>
      <c r="I2432" s="14" t="str">
        <f>IFERROR(__xludf.DUMMYFUNCTION("""COMPUTED_VALUE"""),"Online Payment")</f>
        <v>Online Payment</v>
      </c>
      <c r="J2432" s="14" t="str">
        <f>IFERROR(__xludf.DUMMYFUNCTION("""COMPUTED_VALUE"""),"Delivered*Convenience: Easy tracking")</f>
        <v>Delivered*Convenience: Easy tracking</v>
      </c>
      <c r="K2432" s="14" t="str">
        <f>IFERROR(__xludf.DUMMYFUNCTION("split(E2432,""+"")"),"Cold Coffee")</f>
        <v>Cold Coffee</v>
      </c>
      <c r="L2432" s="14" t="str">
        <f>IFERROR(__xludf.DUMMYFUNCTION("""COMPUTED_VALUE"""),"5*Tanvi Jain")</f>
        <v>5*Tanvi Jain</v>
      </c>
      <c r="M2432" s="14">
        <f>IFERROR(__xludf.DUMMYFUNCTION("SPLIT(L2432,""*"")"),5.0)</f>
        <v>5</v>
      </c>
      <c r="N2432" s="14" t="str">
        <f>IFERROR(__xludf.DUMMYFUNCTION("""COMPUTED_VALUE"""),"Tanvi Jain")</f>
        <v>Tanvi Jain</v>
      </c>
      <c r="O2432" s="14" t="str">
        <f>IFERROR(__xludf.DUMMYFUNCTION("split(J2432,""*"")"),"Delivered")</f>
        <v>Delivered</v>
      </c>
      <c r="P2432" s="14" t="str">
        <f>IFERROR(__xludf.DUMMYFUNCTION("""COMPUTED_VALUE"""),"Convenience: Easy tracking")</f>
        <v>Convenience: Easy tracking</v>
      </c>
      <c r="Q2432" s="14" t="str">
        <f>IFERROR(__xludf.DUMMYFUNCTION("split(P2432,"":"")"),"Convenience")</f>
        <v>Convenience</v>
      </c>
      <c r="R2432" s="14" t="str">
        <f>IFERROR(__xludf.DUMMYFUNCTION("""COMPUTED_VALUE""")," Easy tracking")</f>
        <v> Easy tracking</v>
      </c>
      <c r="S2432" s="14" t="str">
        <f t="shared" ref="S2432:U2432" si="4867">trim(B2432)</f>
        <v>ord_93420</v>
      </c>
      <c r="T2432" s="14" t="str">
        <f t="shared" si="4867"/>
        <v>Siya Reddy</v>
      </c>
      <c r="U2432" s="14" t="str">
        <f t="shared" si="4867"/>
        <v>Juhu</v>
      </c>
      <c r="V2432" s="14" t="str">
        <f t="shared" si="4"/>
        <v>Cold Coffee</v>
      </c>
      <c r="W2432" s="14">
        <f t="shared" si="5"/>
        <v>5</v>
      </c>
      <c r="X2432" s="14" t="str">
        <f t="shared" si="6"/>
        <v>Tanvi Jain</v>
      </c>
      <c r="Y2432" s="15">
        <f t="shared" si="7"/>
        <v>45022</v>
      </c>
      <c r="Z2432" s="14" t="str">
        <f t="shared" si="8"/>
        <v>Online Payment</v>
      </c>
      <c r="AA2432" s="14" t="str">
        <f t="shared" si="9"/>
        <v>Delivered</v>
      </c>
      <c r="AB2432" s="14" t="str">
        <f t="shared" ref="AB2432:AC2432" si="4868">trim(Q2432)</f>
        <v>Convenience</v>
      </c>
      <c r="AC2432" s="14" t="str">
        <f t="shared" si="4868"/>
        <v>Easy tracking</v>
      </c>
      <c r="AD2432" s="8"/>
    </row>
    <row r="2433">
      <c r="A2433" s="14" t="str">
        <f>IFERROR(__xludf.DUMMYFUNCTION("""COMPUTED_VALUE"""),"//ord_93514//Arvind Kulkarni//Juhu//Banana+1*Tanvi Jain/2/4/2023//UPI//Delivered*Overall Satisfaction: Great service will order again")</f>
        <v>//ord_93514//Arvind Kulkarni//Juhu//Banana+1*Tanvi Jain/2/4/2023//UPI//Delivered*Overall Satisfaction: Great service will order again</v>
      </c>
      <c r="B2433" s="14" t="str">
        <f>IFERROR(__xludf.DUMMYFUNCTION("split(A2433,""//"")"),"ord_93514")</f>
        <v>ord_93514</v>
      </c>
      <c r="C2433" s="14" t="str">
        <f>IFERROR(__xludf.DUMMYFUNCTION("""COMPUTED_VALUE"""),"Arvind Kulkarni")</f>
        <v>Arvind Kulkarni</v>
      </c>
      <c r="D2433" s="14" t="str">
        <f>IFERROR(__xludf.DUMMYFUNCTION("""COMPUTED_VALUE"""),"Juhu")</f>
        <v>Juhu</v>
      </c>
      <c r="E2433" s="14" t="str">
        <f>IFERROR(__xludf.DUMMYFUNCTION("""COMPUTED_VALUE"""),"Banana+1*Tanvi Jain")</f>
        <v>Banana+1*Tanvi Jain</v>
      </c>
      <c r="F2433" s="14">
        <f>IFERROR(__xludf.DUMMYFUNCTION("""COMPUTED_VALUE"""),2.0)</f>
        <v>2</v>
      </c>
      <c r="G2433" s="14">
        <f>IFERROR(__xludf.DUMMYFUNCTION("""COMPUTED_VALUE"""),4.0)</f>
        <v>4</v>
      </c>
      <c r="H2433" s="14">
        <f>IFERROR(__xludf.DUMMYFUNCTION("""COMPUTED_VALUE"""),2023.0)</f>
        <v>2023</v>
      </c>
      <c r="I2433" s="14" t="str">
        <f>IFERROR(__xludf.DUMMYFUNCTION("""COMPUTED_VALUE"""),"UPI")</f>
        <v>UPI</v>
      </c>
      <c r="J2433" s="14" t="str">
        <f>IFERROR(__xludf.DUMMYFUNCTION("""COMPUTED_VALUE"""),"Delivered*Overall Satisfaction: Great service will order again")</f>
        <v>Delivered*Overall Satisfaction: Great service will order again</v>
      </c>
      <c r="K2433" s="14" t="str">
        <f>IFERROR(__xludf.DUMMYFUNCTION("split(E2433,""+"")"),"Banana")</f>
        <v>Banana</v>
      </c>
      <c r="L2433" s="14" t="str">
        <f>IFERROR(__xludf.DUMMYFUNCTION("""COMPUTED_VALUE"""),"1*Tanvi Jain")</f>
        <v>1*Tanvi Jain</v>
      </c>
      <c r="M2433" s="14">
        <f>IFERROR(__xludf.DUMMYFUNCTION("SPLIT(L2433,""*"")"),1.0)</f>
        <v>1</v>
      </c>
      <c r="N2433" s="14" t="str">
        <f>IFERROR(__xludf.DUMMYFUNCTION("""COMPUTED_VALUE"""),"Tanvi Jain")</f>
        <v>Tanvi Jain</v>
      </c>
      <c r="O2433" s="14" t="str">
        <f>IFERROR(__xludf.DUMMYFUNCTION("split(J2433,""*"")"),"Delivered")</f>
        <v>Delivered</v>
      </c>
      <c r="P2433" s="14" t="str">
        <f>IFERROR(__xludf.DUMMYFUNCTION("""COMPUTED_VALUE"""),"Overall Satisfaction: Great service will order again")</f>
        <v>Overall Satisfaction: Great service will order again</v>
      </c>
      <c r="Q2433" s="14" t="str">
        <f>IFERROR(__xludf.DUMMYFUNCTION("split(P2433,"":"")"),"Overall Satisfaction")</f>
        <v>Overall Satisfaction</v>
      </c>
      <c r="R2433" s="14" t="str">
        <f>IFERROR(__xludf.DUMMYFUNCTION("""COMPUTED_VALUE""")," Great service will order again")</f>
        <v> Great service will order again</v>
      </c>
      <c r="S2433" s="14" t="str">
        <f t="shared" ref="S2433:U2433" si="4869">trim(B2433)</f>
        <v>ord_93514</v>
      </c>
      <c r="T2433" s="14" t="str">
        <f t="shared" si="4869"/>
        <v>Arvind Kulkarni</v>
      </c>
      <c r="U2433" s="14" t="str">
        <f t="shared" si="4869"/>
        <v>Juhu</v>
      </c>
      <c r="V2433" s="14" t="str">
        <f t="shared" si="4"/>
        <v>Banana</v>
      </c>
      <c r="W2433" s="14">
        <f t="shared" si="5"/>
        <v>1</v>
      </c>
      <c r="X2433" s="14" t="str">
        <f t="shared" si="6"/>
        <v>Tanvi Jain</v>
      </c>
      <c r="Y2433" s="15">
        <f t="shared" si="7"/>
        <v>44961</v>
      </c>
      <c r="Z2433" s="14" t="str">
        <f t="shared" si="8"/>
        <v>UPI</v>
      </c>
      <c r="AA2433" s="14" t="str">
        <f t="shared" si="9"/>
        <v>Delivered</v>
      </c>
      <c r="AB2433" s="14" t="str">
        <f t="shared" ref="AB2433:AC2433" si="4870">trim(Q2433)</f>
        <v>Overall Satisfaction</v>
      </c>
      <c r="AC2433" s="14" t="str">
        <f t="shared" si="4870"/>
        <v>Great service will order again</v>
      </c>
      <c r="AD2433" s="8"/>
    </row>
    <row r="2434">
      <c r="A2434" s="14" t="str">
        <f>IFERROR(__xludf.DUMMYFUNCTION("""COMPUTED_VALUE"""),"//ord_93608//Pallavi Ghosh//Bandra//Banana+2*Priya Joshi/2/8/2023//UPI//Delivered*On-time Delivery: Delivered on time")</f>
        <v>//ord_93608//Pallavi Ghosh//Bandra//Banana+2*Priya Joshi/2/8/2023//UPI//Delivered*On-time Delivery: Delivered on time</v>
      </c>
      <c r="B2434" s="14" t="str">
        <f>IFERROR(__xludf.DUMMYFUNCTION("split(A2434,""//"")"),"ord_93608")</f>
        <v>ord_93608</v>
      </c>
      <c r="C2434" s="14" t="str">
        <f>IFERROR(__xludf.DUMMYFUNCTION("""COMPUTED_VALUE"""),"Pallavi Ghosh")</f>
        <v>Pallavi Ghosh</v>
      </c>
      <c r="D2434" s="14" t="str">
        <f>IFERROR(__xludf.DUMMYFUNCTION("""COMPUTED_VALUE"""),"Bandra")</f>
        <v>Bandra</v>
      </c>
      <c r="E2434" s="14" t="str">
        <f>IFERROR(__xludf.DUMMYFUNCTION("""COMPUTED_VALUE"""),"Banana+2*Priya Joshi")</f>
        <v>Banana+2*Priya Joshi</v>
      </c>
      <c r="F2434" s="14">
        <f>IFERROR(__xludf.DUMMYFUNCTION("""COMPUTED_VALUE"""),2.0)</f>
        <v>2</v>
      </c>
      <c r="G2434" s="14">
        <f>IFERROR(__xludf.DUMMYFUNCTION("""COMPUTED_VALUE"""),8.0)</f>
        <v>8</v>
      </c>
      <c r="H2434" s="14">
        <f>IFERROR(__xludf.DUMMYFUNCTION("""COMPUTED_VALUE"""),2023.0)</f>
        <v>2023</v>
      </c>
      <c r="I2434" s="14" t="str">
        <f>IFERROR(__xludf.DUMMYFUNCTION("""COMPUTED_VALUE"""),"UPI")</f>
        <v>UPI</v>
      </c>
      <c r="J2434" s="14" t="str">
        <f>IFERROR(__xludf.DUMMYFUNCTION("""COMPUTED_VALUE"""),"Delivered*On-time Delivery: Delivered on time")</f>
        <v>Delivered*On-time Delivery: Delivered on time</v>
      </c>
      <c r="K2434" s="14" t="str">
        <f>IFERROR(__xludf.DUMMYFUNCTION("split(E2434,""+"")"),"Banana")</f>
        <v>Banana</v>
      </c>
      <c r="L2434" s="14" t="str">
        <f>IFERROR(__xludf.DUMMYFUNCTION("""COMPUTED_VALUE"""),"2*Priya Joshi")</f>
        <v>2*Priya Joshi</v>
      </c>
      <c r="M2434" s="14">
        <f>IFERROR(__xludf.DUMMYFUNCTION("SPLIT(L2434,""*"")"),2.0)</f>
        <v>2</v>
      </c>
      <c r="N2434" s="14" t="str">
        <f>IFERROR(__xludf.DUMMYFUNCTION("""COMPUTED_VALUE"""),"Priya Joshi")</f>
        <v>Priya Joshi</v>
      </c>
      <c r="O2434" s="14" t="str">
        <f>IFERROR(__xludf.DUMMYFUNCTION("split(J2434,""*"")"),"Delivered")</f>
        <v>Delivered</v>
      </c>
      <c r="P2434" s="14" t="str">
        <f>IFERROR(__xludf.DUMMYFUNCTION("""COMPUTED_VALUE"""),"On-time Delivery: Delivered on time")</f>
        <v>On-time Delivery: Delivered on time</v>
      </c>
      <c r="Q2434" s="14" t="str">
        <f>IFERROR(__xludf.DUMMYFUNCTION("split(P2434,"":"")"),"On-time Delivery")</f>
        <v>On-time Delivery</v>
      </c>
      <c r="R2434" s="14" t="str">
        <f>IFERROR(__xludf.DUMMYFUNCTION("""COMPUTED_VALUE""")," Delivered on time")</f>
        <v> Delivered on time</v>
      </c>
      <c r="S2434" s="14" t="str">
        <f t="shared" ref="S2434:U2434" si="4871">trim(B2434)</f>
        <v>ord_93608</v>
      </c>
      <c r="T2434" s="14" t="str">
        <f t="shared" si="4871"/>
        <v>Pallavi Ghosh</v>
      </c>
      <c r="U2434" s="14" t="str">
        <f t="shared" si="4871"/>
        <v>Bandra</v>
      </c>
      <c r="V2434" s="14" t="str">
        <f t="shared" si="4"/>
        <v>Banana</v>
      </c>
      <c r="W2434" s="14">
        <f t="shared" si="5"/>
        <v>2</v>
      </c>
      <c r="X2434" s="14" t="str">
        <f t="shared" si="6"/>
        <v>Priya Joshi</v>
      </c>
      <c r="Y2434" s="15">
        <f t="shared" si="7"/>
        <v>44965</v>
      </c>
      <c r="Z2434" s="14" t="str">
        <f t="shared" si="8"/>
        <v>UPI</v>
      </c>
      <c r="AA2434" s="14" t="str">
        <f t="shared" si="9"/>
        <v>Delivered</v>
      </c>
      <c r="AB2434" s="14" t="str">
        <f t="shared" ref="AB2434:AC2434" si="4872">trim(Q2434)</f>
        <v>On-time Delivery</v>
      </c>
      <c r="AC2434" s="14" t="str">
        <f t="shared" si="4872"/>
        <v>Delivered on time</v>
      </c>
      <c r="AD2434" s="8"/>
    </row>
    <row r="2435">
      <c r="A2435" s="14" t="str">
        <f>IFERROR(__xludf.DUMMYFUNCTION("""COMPUTED_VALUE"""),"//ord_93702//Parth Goel//Juhu//Orange+1*Tanvi Jain/1/4/2023//Credit Card//Delivered*Quality of Items: Perfect condition")</f>
        <v>//ord_93702//Parth Goel//Juhu//Orange+1*Tanvi Jain/1/4/2023//Credit Card//Delivered*Quality of Items: Perfect condition</v>
      </c>
      <c r="B2435" s="14" t="str">
        <f>IFERROR(__xludf.DUMMYFUNCTION("split(A2435,""//"")"),"ord_93702")</f>
        <v>ord_93702</v>
      </c>
      <c r="C2435" s="14" t="str">
        <f>IFERROR(__xludf.DUMMYFUNCTION("""COMPUTED_VALUE"""),"Parth Goel")</f>
        <v>Parth Goel</v>
      </c>
      <c r="D2435" s="14" t="str">
        <f>IFERROR(__xludf.DUMMYFUNCTION("""COMPUTED_VALUE"""),"Juhu")</f>
        <v>Juhu</v>
      </c>
      <c r="E2435" s="14" t="str">
        <f>IFERROR(__xludf.DUMMYFUNCTION("""COMPUTED_VALUE"""),"Orange+1*Tanvi Jain")</f>
        <v>Orange+1*Tanvi Jain</v>
      </c>
      <c r="F2435" s="14">
        <f>IFERROR(__xludf.DUMMYFUNCTION("""COMPUTED_VALUE"""),1.0)</f>
        <v>1</v>
      </c>
      <c r="G2435" s="14">
        <f>IFERROR(__xludf.DUMMYFUNCTION("""COMPUTED_VALUE"""),4.0)</f>
        <v>4</v>
      </c>
      <c r="H2435" s="14">
        <f>IFERROR(__xludf.DUMMYFUNCTION("""COMPUTED_VALUE"""),2023.0)</f>
        <v>2023</v>
      </c>
      <c r="I2435" s="14" t="str">
        <f>IFERROR(__xludf.DUMMYFUNCTION("""COMPUTED_VALUE"""),"Credit Card")</f>
        <v>Credit Card</v>
      </c>
      <c r="J2435" s="14" t="str">
        <f>IFERROR(__xludf.DUMMYFUNCTION("""COMPUTED_VALUE"""),"Delivered*Quality of Items: Perfect condition")</f>
        <v>Delivered*Quality of Items: Perfect condition</v>
      </c>
      <c r="K2435" s="14" t="str">
        <f>IFERROR(__xludf.DUMMYFUNCTION("split(E2435,""+"")"),"Orange")</f>
        <v>Orange</v>
      </c>
      <c r="L2435" s="14" t="str">
        <f>IFERROR(__xludf.DUMMYFUNCTION("""COMPUTED_VALUE"""),"1*Tanvi Jain")</f>
        <v>1*Tanvi Jain</v>
      </c>
      <c r="M2435" s="14">
        <f>IFERROR(__xludf.DUMMYFUNCTION("SPLIT(L2435,""*"")"),1.0)</f>
        <v>1</v>
      </c>
      <c r="N2435" s="14" t="str">
        <f>IFERROR(__xludf.DUMMYFUNCTION("""COMPUTED_VALUE"""),"Tanvi Jain")</f>
        <v>Tanvi Jain</v>
      </c>
      <c r="O2435" s="14" t="str">
        <f>IFERROR(__xludf.DUMMYFUNCTION("split(J2435,""*"")"),"Delivered")</f>
        <v>Delivered</v>
      </c>
      <c r="P2435" s="14" t="str">
        <f>IFERROR(__xludf.DUMMYFUNCTION("""COMPUTED_VALUE"""),"Quality of Items: Perfect condition")</f>
        <v>Quality of Items: Perfect condition</v>
      </c>
      <c r="Q2435" s="14" t="str">
        <f>IFERROR(__xludf.DUMMYFUNCTION("split(P2435,"":"")"),"Quality of Items")</f>
        <v>Quality of Items</v>
      </c>
      <c r="R2435" s="14" t="str">
        <f>IFERROR(__xludf.DUMMYFUNCTION("""COMPUTED_VALUE""")," Perfect condition")</f>
        <v> Perfect condition</v>
      </c>
      <c r="S2435" s="14" t="str">
        <f t="shared" ref="S2435:U2435" si="4873">trim(B2435)</f>
        <v>ord_93702</v>
      </c>
      <c r="T2435" s="14" t="str">
        <f t="shared" si="4873"/>
        <v>Parth Goel</v>
      </c>
      <c r="U2435" s="14" t="str">
        <f t="shared" si="4873"/>
        <v>Juhu</v>
      </c>
      <c r="V2435" s="14" t="str">
        <f t="shared" si="4"/>
        <v>Orange</v>
      </c>
      <c r="W2435" s="14">
        <f t="shared" si="5"/>
        <v>1</v>
      </c>
      <c r="X2435" s="14" t="str">
        <f t="shared" si="6"/>
        <v>Tanvi Jain</v>
      </c>
      <c r="Y2435" s="15">
        <f t="shared" si="7"/>
        <v>44930</v>
      </c>
      <c r="Z2435" s="14" t="str">
        <f t="shared" si="8"/>
        <v>Credit Card</v>
      </c>
      <c r="AA2435" s="14" t="str">
        <f t="shared" si="9"/>
        <v>Delivered</v>
      </c>
      <c r="AB2435" s="14" t="str">
        <f t="shared" ref="AB2435:AC2435" si="4874">trim(Q2435)</f>
        <v>Quality of Items</v>
      </c>
      <c r="AC2435" s="14" t="str">
        <f t="shared" si="4874"/>
        <v>Perfect condition</v>
      </c>
      <c r="AD2435" s="8"/>
    </row>
    <row r="2436">
      <c r="A2436" s="14" t="str">
        <f>IFERROR(__xludf.DUMMYFUNCTION("""COMPUTED_VALUE"""),"//ord_93796//Arvind Kulkarni//Juhu//Orange+1*Not Assigned/5/7/2023//Credit Card//Cancelled*App Glitches:Slow Loading Time")</f>
        <v>//ord_93796//Arvind Kulkarni//Juhu//Orange+1*Not Assigned/5/7/2023//Credit Card//Cancelled*App Glitches:Slow Loading Time</v>
      </c>
      <c r="B2436" s="14" t="str">
        <f>IFERROR(__xludf.DUMMYFUNCTION("split(A2436,""//"")"),"ord_93796")</f>
        <v>ord_93796</v>
      </c>
      <c r="C2436" s="14" t="str">
        <f>IFERROR(__xludf.DUMMYFUNCTION("""COMPUTED_VALUE"""),"Arvind Kulkarni")</f>
        <v>Arvind Kulkarni</v>
      </c>
      <c r="D2436" s="14" t="str">
        <f>IFERROR(__xludf.DUMMYFUNCTION("""COMPUTED_VALUE"""),"Juhu")</f>
        <v>Juhu</v>
      </c>
      <c r="E2436" s="14" t="str">
        <f>IFERROR(__xludf.DUMMYFUNCTION("""COMPUTED_VALUE"""),"Orange+1*Not Assigned")</f>
        <v>Orange+1*Not Assigned</v>
      </c>
      <c r="F2436" s="14">
        <f>IFERROR(__xludf.DUMMYFUNCTION("""COMPUTED_VALUE"""),5.0)</f>
        <v>5</v>
      </c>
      <c r="G2436" s="14">
        <f>IFERROR(__xludf.DUMMYFUNCTION("""COMPUTED_VALUE"""),7.0)</f>
        <v>7</v>
      </c>
      <c r="H2436" s="14">
        <f>IFERROR(__xludf.DUMMYFUNCTION("""COMPUTED_VALUE"""),2023.0)</f>
        <v>2023</v>
      </c>
      <c r="I2436" s="14" t="str">
        <f>IFERROR(__xludf.DUMMYFUNCTION("""COMPUTED_VALUE"""),"Credit Card")</f>
        <v>Credit Card</v>
      </c>
      <c r="J2436" s="14" t="str">
        <f>IFERROR(__xludf.DUMMYFUNCTION("""COMPUTED_VALUE"""),"Cancelled*App Glitches:Slow Loading Time")</f>
        <v>Cancelled*App Glitches:Slow Loading Time</v>
      </c>
      <c r="K2436" s="14" t="str">
        <f>IFERROR(__xludf.DUMMYFUNCTION("split(E2436,""+"")"),"Orange")</f>
        <v>Orange</v>
      </c>
      <c r="L2436" s="14" t="str">
        <f>IFERROR(__xludf.DUMMYFUNCTION("""COMPUTED_VALUE"""),"1*Not Assigned")</f>
        <v>1*Not Assigned</v>
      </c>
      <c r="M2436" s="14">
        <f>IFERROR(__xludf.DUMMYFUNCTION("SPLIT(L2436,""*"")"),1.0)</f>
        <v>1</v>
      </c>
      <c r="N2436" s="14" t="str">
        <f>IFERROR(__xludf.DUMMYFUNCTION("""COMPUTED_VALUE"""),"Not Assigned")</f>
        <v>Not Assigned</v>
      </c>
      <c r="O2436" s="14" t="str">
        <f>IFERROR(__xludf.DUMMYFUNCTION("split(J2436,""*"")"),"Cancelled")</f>
        <v>Cancelled</v>
      </c>
      <c r="P2436" s="14" t="str">
        <f>IFERROR(__xludf.DUMMYFUNCTION("""COMPUTED_VALUE"""),"App Glitches:Slow Loading Time")</f>
        <v>App Glitches:Slow Loading Time</v>
      </c>
      <c r="Q2436" s="14" t="str">
        <f>IFERROR(__xludf.DUMMYFUNCTION("split(P2436,"":"")"),"App Glitches")</f>
        <v>App Glitches</v>
      </c>
      <c r="R2436" s="14" t="str">
        <f>IFERROR(__xludf.DUMMYFUNCTION("""COMPUTED_VALUE"""),"Slow Loading Time")</f>
        <v>Slow Loading Time</v>
      </c>
      <c r="S2436" s="14" t="str">
        <f t="shared" ref="S2436:U2436" si="4875">trim(B2436)</f>
        <v>ord_93796</v>
      </c>
      <c r="T2436" s="14" t="str">
        <f t="shared" si="4875"/>
        <v>Arvind Kulkarni</v>
      </c>
      <c r="U2436" s="14" t="str">
        <f t="shared" si="4875"/>
        <v>Juhu</v>
      </c>
      <c r="V2436" s="14" t="str">
        <f t="shared" si="4"/>
        <v>Orange</v>
      </c>
      <c r="W2436" s="14">
        <f t="shared" si="5"/>
        <v>1</v>
      </c>
      <c r="X2436" s="14" t="str">
        <f t="shared" si="6"/>
        <v>Not Assigned</v>
      </c>
      <c r="Y2436" s="15">
        <f t="shared" si="7"/>
        <v>45053</v>
      </c>
      <c r="Z2436" s="14" t="str">
        <f t="shared" si="8"/>
        <v>Credit Card</v>
      </c>
      <c r="AA2436" s="14" t="str">
        <f t="shared" si="9"/>
        <v>Cancelled</v>
      </c>
      <c r="AB2436" s="14" t="str">
        <f t="shared" ref="AB2436:AC2436" si="4876">trim(Q2436)</f>
        <v>App Glitches</v>
      </c>
      <c r="AC2436" s="14" t="str">
        <f t="shared" si="4876"/>
        <v>Slow Loading Time</v>
      </c>
      <c r="AD2436" s="8"/>
    </row>
    <row r="2437">
      <c r="A2437" s="14" t="str">
        <f>IFERROR(__xludf.DUMMYFUNCTION("""COMPUTED_VALUE"""),"//ord_93890//Nitin Sehgal//Bandra//Banana+1*Priya Joshi/5/19/2023//UPI//Delivered*Packaging: Secure and intact")</f>
        <v>//ord_93890//Nitin Sehgal//Bandra//Banana+1*Priya Joshi/5/19/2023//UPI//Delivered*Packaging: Secure and intact</v>
      </c>
      <c r="B2437" s="14" t="str">
        <f>IFERROR(__xludf.DUMMYFUNCTION("split(A2437,""//"")"),"ord_93890")</f>
        <v>ord_93890</v>
      </c>
      <c r="C2437" s="14" t="str">
        <f>IFERROR(__xludf.DUMMYFUNCTION("""COMPUTED_VALUE"""),"Nitin Sehgal")</f>
        <v>Nitin Sehgal</v>
      </c>
      <c r="D2437" s="14" t="str">
        <f>IFERROR(__xludf.DUMMYFUNCTION("""COMPUTED_VALUE"""),"Bandra")</f>
        <v>Bandra</v>
      </c>
      <c r="E2437" s="14" t="str">
        <f>IFERROR(__xludf.DUMMYFUNCTION("""COMPUTED_VALUE"""),"Banana+1*Priya Joshi")</f>
        <v>Banana+1*Priya Joshi</v>
      </c>
      <c r="F2437" s="14">
        <f>IFERROR(__xludf.DUMMYFUNCTION("""COMPUTED_VALUE"""),5.0)</f>
        <v>5</v>
      </c>
      <c r="G2437" s="14">
        <f>IFERROR(__xludf.DUMMYFUNCTION("""COMPUTED_VALUE"""),19.0)</f>
        <v>19</v>
      </c>
      <c r="H2437" s="14">
        <f>IFERROR(__xludf.DUMMYFUNCTION("""COMPUTED_VALUE"""),2023.0)</f>
        <v>2023</v>
      </c>
      <c r="I2437" s="14" t="str">
        <f>IFERROR(__xludf.DUMMYFUNCTION("""COMPUTED_VALUE"""),"UPI")</f>
        <v>UPI</v>
      </c>
      <c r="J2437" s="14" t="str">
        <f>IFERROR(__xludf.DUMMYFUNCTION("""COMPUTED_VALUE"""),"Delivered*Packaging: Secure and intact")</f>
        <v>Delivered*Packaging: Secure and intact</v>
      </c>
      <c r="K2437" s="14" t="str">
        <f>IFERROR(__xludf.DUMMYFUNCTION("split(E2437,""+"")"),"Banana")</f>
        <v>Banana</v>
      </c>
      <c r="L2437" s="14" t="str">
        <f>IFERROR(__xludf.DUMMYFUNCTION("""COMPUTED_VALUE"""),"1*Priya Joshi")</f>
        <v>1*Priya Joshi</v>
      </c>
      <c r="M2437" s="14">
        <f>IFERROR(__xludf.DUMMYFUNCTION("SPLIT(L2437,""*"")"),1.0)</f>
        <v>1</v>
      </c>
      <c r="N2437" s="14" t="str">
        <f>IFERROR(__xludf.DUMMYFUNCTION("""COMPUTED_VALUE"""),"Priya Joshi")</f>
        <v>Priya Joshi</v>
      </c>
      <c r="O2437" s="14" t="str">
        <f>IFERROR(__xludf.DUMMYFUNCTION("split(J2437,""*"")"),"Delivered")</f>
        <v>Delivered</v>
      </c>
      <c r="P2437" s="14" t="str">
        <f>IFERROR(__xludf.DUMMYFUNCTION("""COMPUTED_VALUE"""),"Packaging: Secure and intact")</f>
        <v>Packaging: Secure and intact</v>
      </c>
      <c r="Q2437" s="14" t="str">
        <f>IFERROR(__xludf.DUMMYFUNCTION("split(P2437,"":"")"),"Packaging")</f>
        <v>Packaging</v>
      </c>
      <c r="R2437" s="14" t="str">
        <f>IFERROR(__xludf.DUMMYFUNCTION("""COMPUTED_VALUE""")," Secure and intact")</f>
        <v> Secure and intact</v>
      </c>
      <c r="S2437" s="14" t="str">
        <f t="shared" ref="S2437:U2437" si="4877">trim(B2437)</f>
        <v>ord_93890</v>
      </c>
      <c r="T2437" s="14" t="str">
        <f t="shared" si="4877"/>
        <v>Nitin Sehgal</v>
      </c>
      <c r="U2437" s="14" t="str">
        <f t="shared" si="4877"/>
        <v>Bandra</v>
      </c>
      <c r="V2437" s="14" t="str">
        <f t="shared" si="4"/>
        <v>Banana</v>
      </c>
      <c r="W2437" s="14">
        <f t="shared" si="5"/>
        <v>1</v>
      </c>
      <c r="X2437" s="14" t="str">
        <f t="shared" si="6"/>
        <v>Priya Joshi</v>
      </c>
      <c r="Y2437" s="15">
        <f t="shared" si="7"/>
        <v>45065</v>
      </c>
      <c r="Z2437" s="14" t="str">
        <f t="shared" si="8"/>
        <v>UPI</v>
      </c>
      <c r="AA2437" s="14" t="str">
        <f t="shared" si="9"/>
        <v>Delivered</v>
      </c>
      <c r="AB2437" s="14" t="str">
        <f t="shared" ref="AB2437:AC2437" si="4878">trim(Q2437)</f>
        <v>Packaging</v>
      </c>
      <c r="AC2437" s="14" t="str">
        <f t="shared" si="4878"/>
        <v>Secure and intact</v>
      </c>
      <c r="AD2437" s="8"/>
    </row>
    <row r="2438">
      <c r="A2438" s="14" t="str">
        <f>IFERROR(__xludf.DUMMYFUNCTION("""COMPUTED_VALUE"""),"//ord_93984//Anaya Rao//Colaba//Banana+2*Nikhil Deshmukh/6/11/2023//UPI//Delivered*Satisfied with the Delivery: Timely and quality")</f>
        <v>//ord_93984//Anaya Rao//Colaba//Banana+2*Nikhil Deshmukh/6/11/2023//UPI//Delivered*Satisfied with the Delivery: Timely and quality</v>
      </c>
      <c r="B2438" s="14" t="str">
        <f>IFERROR(__xludf.DUMMYFUNCTION("split(A2438,""//"")"),"ord_93984")</f>
        <v>ord_93984</v>
      </c>
      <c r="C2438" s="14" t="str">
        <f>IFERROR(__xludf.DUMMYFUNCTION("""COMPUTED_VALUE"""),"Anaya Rao")</f>
        <v>Anaya Rao</v>
      </c>
      <c r="D2438" s="14" t="str">
        <f>IFERROR(__xludf.DUMMYFUNCTION("""COMPUTED_VALUE"""),"Colaba")</f>
        <v>Colaba</v>
      </c>
      <c r="E2438" s="14" t="str">
        <f>IFERROR(__xludf.DUMMYFUNCTION("""COMPUTED_VALUE"""),"Banana+2*Nikhil Deshmukh")</f>
        <v>Banana+2*Nikhil Deshmukh</v>
      </c>
      <c r="F2438" s="14">
        <f>IFERROR(__xludf.DUMMYFUNCTION("""COMPUTED_VALUE"""),6.0)</f>
        <v>6</v>
      </c>
      <c r="G2438" s="14">
        <f>IFERROR(__xludf.DUMMYFUNCTION("""COMPUTED_VALUE"""),11.0)</f>
        <v>11</v>
      </c>
      <c r="H2438" s="14">
        <f>IFERROR(__xludf.DUMMYFUNCTION("""COMPUTED_VALUE"""),2023.0)</f>
        <v>2023</v>
      </c>
      <c r="I2438" s="14" t="str">
        <f>IFERROR(__xludf.DUMMYFUNCTION("""COMPUTED_VALUE"""),"UPI")</f>
        <v>UPI</v>
      </c>
      <c r="J2438" s="14" t="str">
        <f>IFERROR(__xludf.DUMMYFUNCTION("""COMPUTED_VALUE"""),"Delivered*Satisfied with the Delivery: Timely and quality")</f>
        <v>Delivered*Satisfied with the Delivery: Timely and quality</v>
      </c>
      <c r="K2438" s="14" t="str">
        <f>IFERROR(__xludf.DUMMYFUNCTION("split(E2438,""+"")"),"Banana")</f>
        <v>Banana</v>
      </c>
      <c r="L2438" s="14" t="str">
        <f>IFERROR(__xludf.DUMMYFUNCTION("""COMPUTED_VALUE"""),"2*Nikhil Deshmukh")</f>
        <v>2*Nikhil Deshmukh</v>
      </c>
      <c r="M2438" s="14">
        <f>IFERROR(__xludf.DUMMYFUNCTION("SPLIT(L2438,""*"")"),2.0)</f>
        <v>2</v>
      </c>
      <c r="N2438" s="14" t="str">
        <f>IFERROR(__xludf.DUMMYFUNCTION("""COMPUTED_VALUE"""),"Nikhil Deshmukh")</f>
        <v>Nikhil Deshmukh</v>
      </c>
      <c r="O2438" s="14" t="str">
        <f>IFERROR(__xludf.DUMMYFUNCTION("split(J2438,""*"")"),"Delivered")</f>
        <v>Delivered</v>
      </c>
      <c r="P2438" s="14" t="str">
        <f>IFERROR(__xludf.DUMMYFUNCTION("""COMPUTED_VALUE"""),"Satisfied with the Delivery: Timely and quality")</f>
        <v>Satisfied with the Delivery: Timely and quality</v>
      </c>
      <c r="Q2438" s="14" t="str">
        <f>IFERROR(__xludf.DUMMYFUNCTION("split(P2438,"":"")"),"Satisfied with the Delivery")</f>
        <v>Satisfied with the Delivery</v>
      </c>
      <c r="R2438" s="14" t="str">
        <f>IFERROR(__xludf.DUMMYFUNCTION("""COMPUTED_VALUE""")," Timely and quality")</f>
        <v> Timely and quality</v>
      </c>
      <c r="S2438" s="14" t="str">
        <f t="shared" ref="S2438:U2438" si="4879">trim(B2438)</f>
        <v>ord_93984</v>
      </c>
      <c r="T2438" s="14" t="str">
        <f t="shared" si="4879"/>
        <v>Anaya Rao</v>
      </c>
      <c r="U2438" s="14" t="str">
        <f t="shared" si="4879"/>
        <v>Colaba</v>
      </c>
      <c r="V2438" s="14" t="str">
        <f t="shared" si="4"/>
        <v>Banana</v>
      </c>
      <c r="W2438" s="14">
        <f t="shared" si="5"/>
        <v>2</v>
      </c>
      <c r="X2438" s="14" t="str">
        <f t="shared" si="6"/>
        <v>Nikhil Deshmukh</v>
      </c>
      <c r="Y2438" s="15">
        <f t="shared" si="7"/>
        <v>45088</v>
      </c>
      <c r="Z2438" s="14" t="str">
        <f t="shared" si="8"/>
        <v>UPI</v>
      </c>
      <c r="AA2438" s="14" t="str">
        <f t="shared" si="9"/>
        <v>Delivered</v>
      </c>
      <c r="AB2438" s="14" t="str">
        <f t="shared" ref="AB2438:AC2438" si="4880">trim(Q2438)</f>
        <v>Satisfied with the Delivery</v>
      </c>
      <c r="AC2438" s="14" t="str">
        <f t="shared" si="4880"/>
        <v>Timely and quality</v>
      </c>
      <c r="AD2438" s="8"/>
    </row>
    <row r="2439">
      <c r="A2439" s="14" t="str">
        <f>IFERROR(__xludf.DUMMYFUNCTION("""COMPUTED_VALUE"""),"//ord_94078//Kritika Shetty//Malad//Apple+1*Neha Shah/2/6/2023//UPI//Delivered*Customer Service: Seamless and easy")</f>
        <v>//ord_94078//Kritika Shetty//Malad//Apple+1*Neha Shah/2/6/2023//UPI//Delivered*Customer Service: Seamless and easy</v>
      </c>
      <c r="B2439" s="14" t="str">
        <f>IFERROR(__xludf.DUMMYFUNCTION("split(A2439,""//"")"),"ord_94078")</f>
        <v>ord_94078</v>
      </c>
      <c r="C2439" s="14" t="str">
        <f>IFERROR(__xludf.DUMMYFUNCTION("""COMPUTED_VALUE"""),"Kritika Shetty")</f>
        <v>Kritika Shetty</v>
      </c>
      <c r="D2439" s="14" t="str">
        <f>IFERROR(__xludf.DUMMYFUNCTION("""COMPUTED_VALUE"""),"Malad")</f>
        <v>Malad</v>
      </c>
      <c r="E2439" s="14" t="str">
        <f>IFERROR(__xludf.DUMMYFUNCTION("""COMPUTED_VALUE"""),"Apple+1*Neha Shah")</f>
        <v>Apple+1*Neha Shah</v>
      </c>
      <c r="F2439" s="14">
        <f>IFERROR(__xludf.DUMMYFUNCTION("""COMPUTED_VALUE"""),2.0)</f>
        <v>2</v>
      </c>
      <c r="G2439" s="14">
        <f>IFERROR(__xludf.DUMMYFUNCTION("""COMPUTED_VALUE"""),6.0)</f>
        <v>6</v>
      </c>
      <c r="H2439" s="14">
        <f>IFERROR(__xludf.DUMMYFUNCTION("""COMPUTED_VALUE"""),2023.0)</f>
        <v>2023</v>
      </c>
      <c r="I2439" s="14" t="str">
        <f>IFERROR(__xludf.DUMMYFUNCTION("""COMPUTED_VALUE"""),"UPI")</f>
        <v>UPI</v>
      </c>
      <c r="J2439" s="14" t="str">
        <f>IFERROR(__xludf.DUMMYFUNCTION("""COMPUTED_VALUE"""),"Delivered*Customer Service: Seamless and easy")</f>
        <v>Delivered*Customer Service: Seamless and easy</v>
      </c>
      <c r="K2439" s="14" t="str">
        <f>IFERROR(__xludf.DUMMYFUNCTION("split(E2439,""+"")"),"Apple")</f>
        <v>Apple</v>
      </c>
      <c r="L2439" s="14" t="str">
        <f>IFERROR(__xludf.DUMMYFUNCTION("""COMPUTED_VALUE"""),"1*Neha Shah")</f>
        <v>1*Neha Shah</v>
      </c>
      <c r="M2439" s="14">
        <f>IFERROR(__xludf.DUMMYFUNCTION("SPLIT(L2439,""*"")"),1.0)</f>
        <v>1</v>
      </c>
      <c r="N2439" s="14" t="str">
        <f>IFERROR(__xludf.DUMMYFUNCTION("""COMPUTED_VALUE"""),"Neha Shah")</f>
        <v>Neha Shah</v>
      </c>
      <c r="O2439" s="14" t="str">
        <f>IFERROR(__xludf.DUMMYFUNCTION("split(J2439,""*"")"),"Delivered")</f>
        <v>Delivered</v>
      </c>
      <c r="P2439" s="14" t="str">
        <f>IFERROR(__xludf.DUMMYFUNCTION("""COMPUTED_VALUE"""),"Customer Service: Seamless and easy")</f>
        <v>Customer Service: Seamless and easy</v>
      </c>
      <c r="Q2439" s="14" t="str">
        <f>IFERROR(__xludf.DUMMYFUNCTION("split(P2439,"":"")"),"Customer Service")</f>
        <v>Customer Service</v>
      </c>
      <c r="R2439" s="14" t="str">
        <f>IFERROR(__xludf.DUMMYFUNCTION("""COMPUTED_VALUE""")," Seamless and easy")</f>
        <v> Seamless and easy</v>
      </c>
      <c r="S2439" s="14" t="str">
        <f t="shared" ref="S2439:U2439" si="4881">trim(B2439)</f>
        <v>ord_94078</v>
      </c>
      <c r="T2439" s="14" t="str">
        <f t="shared" si="4881"/>
        <v>Kritika Shetty</v>
      </c>
      <c r="U2439" s="14" t="str">
        <f t="shared" si="4881"/>
        <v>Malad</v>
      </c>
      <c r="V2439" s="14" t="str">
        <f t="shared" si="4"/>
        <v>Apple</v>
      </c>
      <c r="W2439" s="14">
        <f t="shared" si="5"/>
        <v>1</v>
      </c>
      <c r="X2439" s="14" t="str">
        <f t="shared" si="6"/>
        <v>Neha Shah</v>
      </c>
      <c r="Y2439" s="15">
        <f t="shared" si="7"/>
        <v>44963</v>
      </c>
      <c r="Z2439" s="14" t="str">
        <f t="shared" si="8"/>
        <v>UPI</v>
      </c>
      <c r="AA2439" s="14" t="str">
        <f t="shared" si="9"/>
        <v>Delivered</v>
      </c>
      <c r="AB2439" s="14" t="str">
        <f t="shared" ref="AB2439:AC2439" si="4882">trim(Q2439)</f>
        <v>Customer Service</v>
      </c>
      <c r="AC2439" s="14" t="str">
        <f t="shared" si="4882"/>
        <v>Seamless and easy</v>
      </c>
      <c r="AD2439" s="8"/>
    </row>
    <row r="2440">
      <c r="A2440" s="14" t="str">
        <f>IFERROR(__xludf.DUMMYFUNCTION("""COMPUTED_VALUE"""),"//ord_94172//Diya Arora//Lower Parel//Cold Coffee+4*Kiran Mehta/7/4/2023//Credit Card//Delivered*Delivery Experience: Quick and professional")</f>
        <v>//ord_94172//Diya Arora//Lower Parel//Cold Coffee+4*Kiran Mehta/7/4/2023//Credit Card//Delivered*Delivery Experience: Quick and professional</v>
      </c>
      <c r="B2440" s="14" t="str">
        <f>IFERROR(__xludf.DUMMYFUNCTION("split(A2440,""//"")"),"ord_94172")</f>
        <v>ord_94172</v>
      </c>
      <c r="C2440" s="14" t="str">
        <f>IFERROR(__xludf.DUMMYFUNCTION("""COMPUTED_VALUE"""),"Diya Arora")</f>
        <v>Diya Arora</v>
      </c>
      <c r="D2440" s="14" t="str">
        <f>IFERROR(__xludf.DUMMYFUNCTION("""COMPUTED_VALUE"""),"Lower Parel")</f>
        <v>Lower Parel</v>
      </c>
      <c r="E2440" s="14" t="str">
        <f>IFERROR(__xludf.DUMMYFUNCTION("""COMPUTED_VALUE"""),"Cold Coffee+4*Kiran Mehta")</f>
        <v>Cold Coffee+4*Kiran Mehta</v>
      </c>
      <c r="F2440" s="14">
        <f>IFERROR(__xludf.DUMMYFUNCTION("""COMPUTED_VALUE"""),7.0)</f>
        <v>7</v>
      </c>
      <c r="G2440" s="14">
        <f>IFERROR(__xludf.DUMMYFUNCTION("""COMPUTED_VALUE"""),4.0)</f>
        <v>4</v>
      </c>
      <c r="H2440" s="14">
        <f>IFERROR(__xludf.DUMMYFUNCTION("""COMPUTED_VALUE"""),2023.0)</f>
        <v>2023</v>
      </c>
      <c r="I2440" s="14" t="str">
        <f>IFERROR(__xludf.DUMMYFUNCTION("""COMPUTED_VALUE"""),"Credit Card")</f>
        <v>Credit Card</v>
      </c>
      <c r="J2440" s="14" t="str">
        <f>IFERROR(__xludf.DUMMYFUNCTION("""COMPUTED_VALUE"""),"Delivered*Delivery Experience: Quick and professional")</f>
        <v>Delivered*Delivery Experience: Quick and professional</v>
      </c>
      <c r="K2440" s="14" t="str">
        <f>IFERROR(__xludf.DUMMYFUNCTION("split(E2440,""+"")"),"Cold Coffee")</f>
        <v>Cold Coffee</v>
      </c>
      <c r="L2440" s="14" t="str">
        <f>IFERROR(__xludf.DUMMYFUNCTION("""COMPUTED_VALUE"""),"4*Kiran Mehta")</f>
        <v>4*Kiran Mehta</v>
      </c>
      <c r="M2440" s="14">
        <f>IFERROR(__xludf.DUMMYFUNCTION("SPLIT(L2440,""*"")"),4.0)</f>
        <v>4</v>
      </c>
      <c r="N2440" s="14" t="str">
        <f>IFERROR(__xludf.DUMMYFUNCTION("""COMPUTED_VALUE"""),"Kiran Mehta")</f>
        <v>Kiran Mehta</v>
      </c>
      <c r="O2440" s="14" t="str">
        <f>IFERROR(__xludf.DUMMYFUNCTION("split(J2440,""*"")"),"Delivered")</f>
        <v>Delivered</v>
      </c>
      <c r="P2440" s="14" t="str">
        <f>IFERROR(__xludf.DUMMYFUNCTION("""COMPUTED_VALUE"""),"Delivery Experience: Quick and professional")</f>
        <v>Delivery Experience: Quick and professional</v>
      </c>
      <c r="Q2440" s="14" t="str">
        <f>IFERROR(__xludf.DUMMYFUNCTION("split(P2440,"":"")"),"Delivery Experience")</f>
        <v>Delivery Experience</v>
      </c>
      <c r="R2440" s="14" t="str">
        <f>IFERROR(__xludf.DUMMYFUNCTION("""COMPUTED_VALUE""")," Quick and professional")</f>
        <v> Quick and professional</v>
      </c>
      <c r="S2440" s="14" t="str">
        <f t="shared" ref="S2440:U2440" si="4883">trim(B2440)</f>
        <v>ord_94172</v>
      </c>
      <c r="T2440" s="14" t="str">
        <f t="shared" si="4883"/>
        <v>Diya Arora</v>
      </c>
      <c r="U2440" s="14" t="str">
        <f t="shared" si="4883"/>
        <v>Lower Parel</v>
      </c>
      <c r="V2440" s="14" t="str">
        <f t="shared" si="4"/>
        <v>Cold Coffee</v>
      </c>
      <c r="W2440" s="14">
        <f t="shared" si="5"/>
        <v>4</v>
      </c>
      <c r="X2440" s="14" t="str">
        <f t="shared" si="6"/>
        <v>Kiran Mehta</v>
      </c>
      <c r="Y2440" s="15">
        <f t="shared" si="7"/>
        <v>45111</v>
      </c>
      <c r="Z2440" s="14" t="str">
        <f t="shared" si="8"/>
        <v>Credit Card</v>
      </c>
      <c r="AA2440" s="14" t="str">
        <f t="shared" si="9"/>
        <v>Delivered</v>
      </c>
      <c r="AB2440" s="14" t="str">
        <f t="shared" ref="AB2440:AC2440" si="4884">trim(Q2440)</f>
        <v>Delivery Experience</v>
      </c>
      <c r="AC2440" s="14" t="str">
        <f t="shared" si="4884"/>
        <v>Quick and professional</v>
      </c>
      <c r="AD2440" s="8"/>
    </row>
    <row r="2441">
      <c r="A2441" s="14" t="str">
        <f>IFERROR(__xludf.DUMMYFUNCTION("""COMPUTED_VALUE"""),"//ord_94266//Pallavi Ghosh//Bandra//Tiramisu+3*Priya Joshi/11/15/2023//Credit Card//Delivered*Convenience: Easy tracking")</f>
        <v>//ord_94266//Pallavi Ghosh//Bandra//Tiramisu+3*Priya Joshi/11/15/2023//Credit Card//Delivered*Convenience: Easy tracking</v>
      </c>
      <c r="B2441" s="14" t="str">
        <f>IFERROR(__xludf.DUMMYFUNCTION("split(A2441,""//"")"),"ord_94266")</f>
        <v>ord_94266</v>
      </c>
      <c r="C2441" s="14" t="str">
        <f>IFERROR(__xludf.DUMMYFUNCTION("""COMPUTED_VALUE"""),"Pallavi Ghosh")</f>
        <v>Pallavi Ghosh</v>
      </c>
      <c r="D2441" s="14" t="str">
        <f>IFERROR(__xludf.DUMMYFUNCTION("""COMPUTED_VALUE"""),"Bandra")</f>
        <v>Bandra</v>
      </c>
      <c r="E2441" s="14" t="str">
        <f>IFERROR(__xludf.DUMMYFUNCTION("""COMPUTED_VALUE"""),"Tiramisu+3*Priya Joshi")</f>
        <v>Tiramisu+3*Priya Joshi</v>
      </c>
      <c r="F2441" s="14">
        <f>IFERROR(__xludf.DUMMYFUNCTION("""COMPUTED_VALUE"""),11.0)</f>
        <v>11</v>
      </c>
      <c r="G2441" s="14">
        <f>IFERROR(__xludf.DUMMYFUNCTION("""COMPUTED_VALUE"""),15.0)</f>
        <v>15</v>
      </c>
      <c r="H2441" s="14">
        <f>IFERROR(__xludf.DUMMYFUNCTION("""COMPUTED_VALUE"""),2023.0)</f>
        <v>2023</v>
      </c>
      <c r="I2441" s="14" t="str">
        <f>IFERROR(__xludf.DUMMYFUNCTION("""COMPUTED_VALUE"""),"Credit Card")</f>
        <v>Credit Card</v>
      </c>
      <c r="J2441" s="14" t="str">
        <f>IFERROR(__xludf.DUMMYFUNCTION("""COMPUTED_VALUE"""),"Delivered*Convenience: Easy tracking")</f>
        <v>Delivered*Convenience: Easy tracking</v>
      </c>
      <c r="K2441" s="14" t="str">
        <f>IFERROR(__xludf.DUMMYFUNCTION("split(E2441,""+"")"),"Tiramisu")</f>
        <v>Tiramisu</v>
      </c>
      <c r="L2441" s="14" t="str">
        <f>IFERROR(__xludf.DUMMYFUNCTION("""COMPUTED_VALUE"""),"3*Priya Joshi")</f>
        <v>3*Priya Joshi</v>
      </c>
      <c r="M2441" s="14">
        <f>IFERROR(__xludf.DUMMYFUNCTION("SPLIT(L2441,""*"")"),3.0)</f>
        <v>3</v>
      </c>
      <c r="N2441" s="14" t="str">
        <f>IFERROR(__xludf.DUMMYFUNCTION("""COMPUTED_VALUE"""),"Priya Joshi")</f>
        <v>Priya Joshi</v>
      </c>
      <c r="O2441" s="14" t="str">
        <f>IFERROR(__xludf.DUMMYFUNCTION("split(J2441,""*"")"),"Delivered")</f>
        <v>Delivered</v>
      </c>
      <c r="P2441" s="14" t="str">
        <f>IFERROR(__xludf.DUMMYFUNCTION("""COMPUTED_VALUE"""),"Convenience: Easy tracking")</f>
        <v>Convenience: Easy tracking</v>
      </c>
      <c r="Q2441" s="14" t="str">
        <f>IFERROR(__xludf.DUMMYFUNCTION("split(P2441,"":"")"),"Convenience")</f>
        <v>Convenience</v>
      </c>
      <c r="R2441" s="14" t="str">
        <f>IFERROR(__xludf.DUMMYFUNCTION("""COMPUTED_VALUE""")," Easy tracking")</f>
        <v> Easy tracking</v>
      </c>
      <c r="S2441" s="14" t="str">
        <f t="shared" ref="S2441:U2441" si="4885">trim(B2441)</f>
        <v>ord_94266</v>
      </c>
      <c r="T2441" s="14" t="str">
        <f t="shared" si="4885"/>
        <v>Pallavi Ghosh</v>
      </c>
      <c r="U2441" s="14" t="str">
        <f t="shared" si="4885"/>
        <v>Bandra</v>
      </c>
      <c r="V2441" s="14" t="str">
        <f t="shared" si="4"/>
        <v>Tiramisu</v>
      </c>
      <c r="W2441" s="14">
        <f t="shared" si="5"/>
        <v>3</v>
      </c>
      <c r="X2441" s="14" t="str">
        <f t="shared" si="6"/>
        <v>Priya Joshi</v>
      </c>
      <c r="Y2441" s="15">
        <f t="shared" si="7"/>
        <v>45245</v>
      </c>
      <c r="Z2441" s="14" t="str">
        <f t="shared" si="8"/>
        <v>Credit Card</v>
      </c>
      <c r="AA2441" s="14" t="str">
        <f t="shared" si="9"/>
        <v>Delivered</v>
      </c>
      <c r="AB2441" s="14" t="str">
        <f t="shared" ref="AB2441:AC2441" si="4886">trim(Q2441)</f>
        <v>Convenience</v>
      </c>
      <c r="AC2441" s="14" t="str">
        <f t="shared" si="4886"/>
        <v>Easy tracking</v>
      </c>
      <c r="AD2441" s="8"/>
    </row>
    <row r="2442">
      <c r="A2442" s="14" t="str">
        <f>IFERROR(__xludf.DUMMYFUNCTION("""COMPUTED_VALUE"""),"//ord_94360//Omkar Mishra//Powai//Chocolate Mousse+5*Sandeep Kumar/3/9/2023//UPI//Delivered*Overall Satisfaction: Great service will order again")</f>
        <v>//ord_94360//Omkar Mishra//Powai//Chocolate Mousse+5*Sandeep Kumar/3/9/2023//UPI//Delivered*Overall Satisfaction: Great service will order again</v>
      </c>
      <c r="B2442" s="14" t="str">
        <f>IFERROR(__xludf.DUMMYFUNCTION("split(A2442,""//"")"),"ord_94360")</f>
        <v>ord_94360</v>
      </c>
      <c r="C2442" s="14" t="str">
        <f>IFERROR(__xludf.DUMMYFUNCTION("""COMPUTED_VALUE"""),"Omkar Mishra")</f>
        <v>Omkar Mishra</v>
      </c>
      <c r="D2442" s="14" t="str">
        <f>IFERROR(__xludf.DUMMYFUNCTION("""COMPUTED_VALUE"""),"Powai")</f>
        <v>Powai</v>
      </c>
      <c r="E2442" s="14" t="str">
        <f>IFERROR(__xludf.DUMMYFUNCTION("""COMPUTED_VALUE"""),"Chocolate Mousse+5*Sandeep Kumar")</f>
        <v>Chocolate Mousse+5*Sandeep Kumar</v>
      </c>
      <c r="F2442" s="14">
        <f>IFERROR(__xludf.DUMMYFUNCTION("""COMPUTED_VALUE"""),3.0)</f>
        <v>3</v>
      </c>
      <c r="G2442" s="14">
        <f>IFERROR(__xludf.DUMMYFUNCTION("""COMPUTED_VALUE"""),9.0)</f>
        <v>9</v>
      </c>
      <c r="H2442" s="14">
        <f>IFERROR(__xludf.DUMMYFUNCTION("""COMPUTED_VALUE"""),2023.0)</f>
        <v>2023</v>
      </c>
      <c r="I2442" s="14" t="str">
        <f>IFERROR(__xludf.DUMMYFUNCTION("""COMPUTED_VALUE"""),"UPI")</f>
        <v>UPI</v>
      </c>
      <c r="J2442" s="14" t="str">
        <f>IFERROR(__xludf.DUMMYFUNCTION("""COMPUTED_VALUE"""),"Delivered*Overall Satisfaction: Great service will order again")</f>
        <v>Delivered*Overall Satisfaction: Great service will order again</v>
      </c>
      <c r="K2442" s="14" t="str">
        <f>IFERROR(__xludf.DUMMYFUNCTION("split(E2442,""+"")"),"Chocolate Mousse")</f>
        <v>Chocolate Mousse</v>
      </c>
      <c r="L2442" s="14" t="str">
        <f>IFERROR(__xludf.DUMMYFUNCTION("""COMPUTED_VALUE"""),"5*Sandeep Kumar")</f>
        <v>5*Sandeep Kumar</v>
      </c>
      <c r="M2442" s="14">
        <f>IFERROR(__xludf.DUMMYFUNCTION("SPLIT(L2442,""*"")"),5.0)</f>
        <v>5</v>
      </c>
      <c r="N2442" s="14" t="str">
        <f>IFERROR(__xludf.DUMMYFUNCTION("""COMPUTED_VALUE"""),"Sandeep Kumar")</f>
        <v>Sandeep Kumar</v>
      </c>
      <c r="O2442" s="14" t="str">
        <f>IFERROR(__xludf.DUMMYFUNCTION("split(J2442,""*"")"),"Delivered")</f>
        <v>Delivered</v>
      </c>
      <c r="P2442" s="14" t="str">
        <f>IFERROR(__xludf.DUMMYFUNCTION("""COMPUTED_VALUE"""),"Overall Satisfaction: Great service will order again")</f>
        <v>Overall Satisfaction: Great service will order again</v>
      </c>
      <c r="Q2442" s="14" t="str">
        <f>IFERROR(__xludf.DUMMYFUNCTION("split(P2442,"":"")"),"Overall Satisfaction")</f>
        <v>Overall Satisfaction</v>
      </c>
      <c r="R2442" s="14" t="str">
        <f>IFERROR(__xludf.DUMMYFUNCTION("""COMPUTED_VALUE""")," Great service will order again")</f>
        <v> Great service will order again</v>
      </c>
      <c r="S2442" s="14" t="str">
        <f t="shared" ref="S2442:U2442" si="4887">trim(B2442)</f>
        <v>ord_94360</v>
      </c>
      <c r="T2442" s="14" t="str">
        <f t="shared" si="4887"/>
        <v>Omkar Mishra</v>
      </c>
      <c r="U2442" s="14" t="str">
        <f t="shared" si="4887"/>
        <v>Powai</v>
      </c>
      <c r="V2442" s="14" t="str">
        <f t="shared" si="4"/>
        <v>Chocolate Mousse</v>
      </c>
      <c r="W2442" s="14">
        <f t="shared" si="5"/>
        <v>5</v>
      </c>
      <c r="X2442" s="14" t="str">
        <f t="shared" si="6"/>
        <v>Sandeep Kumar</v>
      </c>
      <c r="Y2442" s="15">
        <f t="shared" si="7"/>
        <v>44994</v>
      </c>
      <c r="Z2442" s="14" t="str">
        <f t="shared" si="8"/>
        <v>UPI</v>
      </c>
      <c r="AA2442" s="14" t="str">
        <f t="shared" si="9"/>
        <v>Delivered</v>
      </c>
      <c r="AB2442" s="14" t="str">
        <f t="shared" ref="AB2442:AC2442" si="4888">trim(Q2442)</f>
        <v>Overall Satisfaction</v>
      </c>
      <c r="AC2442" s="14" t="str">
        <f t="shared" si="4888"/>
        <v>Great service will order again</v>
      </c>
      <c r="AD2442" s="8"/>
    </row>
    <row r="2443">
      <c r="A2443" s="14" t="str">
        <f>IFERROR(__xludf.DUMMYFUNCTION("""COMPUTED_VALUE"""),"//ord_94454//Ishaan Chaturvedi//Bandra//Orange+2*Priya Joshi/6/5/2023//UPI//Delivered*On-time Delivery: Delivered on time")</f>
        <v>//ord_94454//Ishaan Chaturvedi//Bandra//Orange+2*Priya Joshi/6/5/2023//UPI//Delivered*On-time Delivery: Delivered on time</v>
      </c>
      <c r="B2443" s="14" t="str">
        <f>IFERROR(__xludf.DUMMYFUNCTION("split(A2443,""//"")"),"ord_94454")</f>
        <v>ord_94454</v>
      </c>
      <c r="C2443" s="14" t="str">
        <f>IFERROR(__xludf.DUMMYFUNCTION("""COMPUTED_VALUE"""),"Ishaan Chaturvedi")</f>
        <v>Ishaan Chaturvedi</v>
      </c>
      <c r="D2443" s="14" t="str">
        <f>IFERROR(__xludf.DUMMYFUNCTION("""COMPUTED_VALUE"""),"Bandra")</f>
        <v>Bandra</v>
      </c>
      <c r="E2443" s="14" t="str">
        <f>IFERROR(__xludf.DUMMYFUNCTION("""COMPUTED_VALUE"""),"Orange+2*Priya Joshi")</f>
        <v>Orange+2*Priya Joshi</v>
      </c>
      <c r="F2443" s="14">
        <f>IFERROR(__xludf.DUMMYFUNCTION("""COMPUTED_VALUE"""),6.0)</f>
        <v>6</v>
      </c>
      <c r="G2443" s="14">
        <f>IFERROR(__xludf.DUMMYFUNCTION("""COMPUTED_VALUE"""),5.0)</f>
        <v>5</v>
      </c>
      <c r="H2443" s="14">
        <f>IFERROR(__xludf.DUMMYFUNCTION("""COMPUTED_VALUE"""),2023.0)</f>
        <v>2023</v>
      </c>
      <c r="I2443" s="14" t="str">
        <f>IFERROR(__xludf.DUMMYFUNCTION("""COMPUTED_VALUE"""),"UPI")</f>
        <v>UPI</v>
      </c>
      <c r="J2443" s="14" t="str">
        <f>IFERROR(__xludf.DUMMYFUNCTION("""COMPUTED_VALUE"""),"Delivered*On-time Delivery: Delivered on time")</f>
        <v>Delivered*On-time Delivery: Delivered on time</v>
      </c>
      <c r="K2443" s="14" t="str">
        <f>IFERROR(__xludf.DUMMYFUNCTION("split(E2443,""+"")"),"Orange")</f>
        <v>Orange</v>
      </c>
      <c r="L2443" s="14" t="str">
        <f>IFERROR(__xludf.DUMMYFUNCTION("""COMPUTED_VALUE"""),"2*Priya Joshi")</f>
        <v>2*Priya Joshi</v>
      </c>
      <c r="M2443" s="14">
        <f>IFERROR(__xludf.DUMMYFUNCTION("SPLIT(L2443,""*"")"),2.0)</f>
        <v>2</v>
      </c>
      <c r="N2443" s="14" t="str">
        <f>IFERROR(__xludf.DUMMYFUNCTION("""COMPUTED_VALUE"""),"Priya Joshi")</f>
        <v>Priya Joshi</v>
      </c>
      <c r="O2443" s="14" t="str">
        <f>IFERROR(__xludf.DUMMYFUNCTION("split(J2443,""*"")"),"Delivered")</f>
        <v>Delivered</v>
      </c>
      <c r="P2443" s="14" t="str">
        <f>IFERROR(__xludf.DUMMYFUNCTION("""COMPUTED_VALUE"""),"On-time Delivery: Delivered on time")</f>
        <v>On-time Delivery: Delivered on time</v>
      </c>
      <c r="Q2443" s="14" t="str">
        <f>IFERROR(__xludf.DUMMYFUNCTION("split(P2443,"":"")"),"On-time Delivery")</f>
        <v>On-time Delivery</v>
      </c>
      <c r="R2443" s="14" t="str">
        <f>IFERROR(__xludf.DUMMYFUNCTION("""COMPUTED_VALUE""")," Delivered on time")</f>
        <v> Delivered on time</v>
      </c>
      <c r="S2443" s="14" t="str">
        <f t="shared" ref="S2443:U2443" si="4889">trim(B2443)</f>
        <v>ord_94454</v>
      </c>
      <c r="T2443" s="14" t="str">
        <f t="shared" si="4889"/>
        <v>Ishaan Chaturvedi</v>
      </c>
      <c r="U2443" s="14" t="str">
        <f t="shared" si="4889"/>
        <v>Bandra</v>
      </c>
      <c r="V2443" s="14" t="str">
        <f t="shared" si="4"/>
        <v>Orange</v>
      </c>
      <c r="W2443" s="14">
        <f t="shared" si="5"/>
        <v>2</v>
      </c>
      <c r="X2443" s="14" t="str">
        <f t="shared" si="6"/>
        <v>Priya Joshi</v>
      </c>
      <c r="Y2443" s="15">
        <f t="shared" si="7"/>
        <v>45082</v>
      </c>
      <c r="Z2443" s="14" t="str">
        <f t="shared" si="8"/>
        <v>UPI</v>
      </c>
      <c r="AA2443" s="14" t="str">
        <f t="shared" si="9"/>
        <v>Delivered</v>
      </c>
      <c r="AB2443" s="14" t="str">
        <f t="shared" ref="AB2443:AC2443" si="4890">trim(Q2443)</f>
        <v>On-time Delivery</v>
      </c>
      <c r="AC2443" s="14" t="str">
        <f t="shared" si="4890"/>
        <v>Delivered on time</v>
      </c>
      <c r="AD2443" s="8"/>
    </row>
    <row r="2444">
      <c r="A2444" s="14" t="str">
        <f>IFERROR(__xludf.DUMMYFUNCTION("""COMPUTED_VALUE"""),"//ord_94548//Kritika Shetty//Malad//Banana+1*Neha Shah/7/5/2023//UPI//Delivered*On-time Delivery: Delivered on time")</f>
        <v>//ord_94548//Kritika Shetty//Malad//Banana+1*Neha Shah/7/5/2023//UPI//Delivered*On-time Delivery: Delivered on time</v>
      </c>
      <c r="B2444" s="14" t="str">
        <f>IFERROR(__xludf.DUMMYFUNCTION("split(A2444,""//"")"),"ord_94548")</f>
        <v>ord_94548</v>
      </c>
      <c r="C2444" s="14" t="str">
        <f>IFERROR(__xludf.DUMMYFUNCTION("""COMPUTED_VALUE"""),"Kritika Shetty")</f>
        <v>Kritika Shetty</v>
      </c>
      <c r="D2444" s="14" t="str">
        <f>IFERROR(__xludf.DUMMYFUNCTION("""COMPUTED_VALUE"""),"Malad")</f>
        <v>Malad</v>
      </c>
      <c r="E2444" s="14" t="str">
        <f>IFERROR(__xludf.DUMMYFUNCTION("""COMPUTED_VALUE"""),"Banana+1*Neha Shah")</f>
        <v>Banana+1*Neha Shah</v>
      </c>
      <c r="F2444" s="14">
        <f>IFERROR(__xludf.DUMMYFUNCTION("""COMPUTED_VALUE"""),7.0)</f>
        <v>7</v>
      </c>
      <c r="G2444" s="14">
        <f>IFERROR(__xludf.DUMMYFUNCTION("""COMPUTED_VALUE"""),5.0)</f>
        <v>5</v>
      </c>
      <c r="H2444" s="14">
        <f>IFERROR(__xludf.DUMMYFUNCTION("""COMPUTED_VALUE"""),2023.0)</f>
        <v>2023</v>
      </c>
      <c r="I2444" s="14" t="str">
        <f>IFERROR(__xludf.DUMMYFUNCTION("""COMPUTED_VALUE"""),"UPI")</f>
        <v>UPI</v>
      </c>
      <c r="J2444" s="14" t="str">
        <f>IFERROR(__xludf.DUMMYFUNCTION("""COMPUTED_VALUE"""),"Delivered*On-time Delivery: Delivered on time")</f>
        <v>Delivered*On-time Delivery: Delivered on time</v>
      </c>
      <c r="K2444" s="14" t="str">
        <f>IFERROR(__xludf.DUMMYFUNCTION("split(E2444,""+"")"),"Banana")</f>
        <v>Banana</v>
      </c>
      <c r="L2444" s="14" t="str">
        <f>IFERROR(__xludf.DUMMYFUNCTION("""COMPUTED_VALUE"""),"1*Neha Shah")</f>
        <v>1*Neha Shah</v>
      </c>
      <c r="M2444" s="14">
        <f>IFERROR(__xludf.DUMMYFUNCTION("SPLIT(L2444,""*"")"),1.0)</f>
        <v>1</v>
      </c>
      <c r="N2444" s="14" t="str">
        <f>IFERROR(__xludf.DUMMYFUNCTION("""COMPUTED_VALUE"""),"Neha Shah")</f>
        <v>Neha Shah</v>
      </c>
      <c r="O2444" s="14" t="str">
        <f>IFERROR(__xludf.DUMMYFUNCTION("split(J2444,""*"")"),"Delivered")</f>
        <v>Delivered</v>
      </c>
      <c r="P2444" s="14" t="str">
        <f>IFERROR(__xludf.DUMMYFUNCTION("""COMPUTED_VALUE"""),"On-time Delivery: Delivered on time")</f>
        <v>On-time Delivery: Delivered on time</v>
      </c>
      <c r="Q2444" s="14" t="str">
        <f>IFERROR(__xludf.DUMMYFUNCTION("split(P2444,"":"")"),"On-time Delivery")</f>
        <v>On-time Delivery</v>
      </c>
      <c r="R2444" s="14" t="str">
        <f>IFERROR(__xludf.DUMMYFUNCTION("""COMPUTED_VALUE""")," Delivered on time")</f>
        <v> Delivered on time</v>
      </c>
      <c r="S2444" s="14" t="str">
        <f t="shared" ref="S2444:U2444" si="4891">trim(B2444)</f>
        <v>ord_94548</v>
      </c>
      <c r="T2444" s="14" t="str">
        <f t="shared" si="4891"/>
        <v>Kritika Shetty</v>
      </c>
      <c r="U2444" s="14" t="str">
        <f t="shared" si="4891"/>
        <v>Malad</v>
      </c>
      <c r="V2444" s="14" t="str">
        <f t="shared" si="4"/>
        <v>Banana</v>
      </c>
      <c r="W2444" s="14">
        <f t="shared" si="5"/>
        <v>1</v>
      </c>
      <c r="X2444" s="14" t="str">
        <f t="shared" si="6"/>
        <v>Neha Shah</v>
      </c>
      <c r="Y2444" s="15">
        <f t="shared" si="7"/>
        <v>45112</v>
      </c>
      <c r="Z2444" s="14" t="str">
        <f t="shared" si="8"/>
        <v>UPI</v>
      </c>
      <c r="AA2444" s="14" t="str">
        <f t="shared" si="9"/>
        <v>Delivered</v>
      </c>
      <c r="AB2444" s="14" t="str">
        <f t="shared" ref="AB2444:AC2444" si="4892">trim(Q2444)</f>
        <v>On-time Delivery</v>
      </c>
      <c r="AC2444" s="14" t="str">
        <f t="shared" si="4892"/>
        <v>Delivered on time</v>
      </c>
      <c r="AD2444" s="8"/>
    </row>
    <row r="2445">
      <c r="A2445" s="14" t="str">
        <f>IFERROR(__xludf.DUMMYFUNCTION("""COMPUTED_VALUE"""),"//ord_94642//Siya Reddy//Juhu//Banana+2*Tanvi Jain/9/20/2023//UPI//Delivered*Quality of Items: Perfect condition")</f>
        <v>//ord_94642//Siya Reddy//Juhu//Banana+2*Tanvi Jain/9/20/2023//UPI//Delivered*Quality of Items: Perfect condition</v>
      </c>
      <c r="B2445" s="14" t="str">
        <f>IFERROR(__xludf.DUMMYFUNCTION("split(A2445,""//"")"),"ord_94642")</f>
        <v>ord_94642</v>
      </c>
      <c r="C2445" s="14" t="str">
        <f>IFERROR(__xludf.DUMMYFUNCTION("""COMPUTED_VALUE"""),"Siya Reddy")</f>
        <v>Siya Reddy</v>
      </c>
      <c r="D2445" s="14" t="str">
        <f>IFERROR(__xludf.DUMMYFUNCTION("""COMPUTED_VALUE"""),"Juhu")</f>
        <v>Juhu</v>
      </c>
      <c r="E2445" s="14" t="str">
        <f>IFERROR(__xludf.DUMMYFUNCTION("""COMPUTED_VALUE"""),"Banana+2*Tanvi Jain")</f>
        <v>Banana+2*Tanvi Jain</v>
      </c>
      <c r="F2445" s="14">
        <f>IFERROR(__xludf.DUMMYFUNCTION("""COMPUTED_VALUE"""),9.0)</f>
        <v>9</v>
      </c>
      <c r="G2445" s="14">
        <f>IFERROR(__xludf.DUMMYFUNCTION("""COMPUTED_VALUE"""),20.0)</f>
        <v>20</v>
      </c>
      <c r="H2445" s="14">
        <f>IFERROR(__xludf.DUMMYFUNCTION("""COMPUTED_VALUE"""),2023.0)</f>
        <v>2023</v>
      </c>
      <c r="I2445" s="14" t="str">
        <f>IFERROR(__xludf.DUMMYFUNCTION("""COMPUTED_VALUE"""),"UPI")</f>
        <v>UPI</v>
      </c>
      <c r="J2445" s="14" t="str">
        <f>IFERROR(__xludf.DUMMYFUNCTION("""COMPUTED_VALUE"""),"Delivered*Quality of Items: Perfect condition")</f>
        <v>Delivered*Quality of Items: Perfect condition</v>
      </c>
      <c r="K2445" s="14" t="str">
        <f>IFERROR(__xludf.DUMMYFUNCTION("split(E2445,""+"")"),"Banana")</f>
        <v>Banana</v>
      </c>
      <c r="L2445" s="14" t="str">
        <f>IFERROR(__xludf.DUMMYFUNCTION("""COMPUTED_VALUE"""),"2*Tanvi Jain")</f>
        <v>2*Tanvi Jain</v>
      </c>
      <c r="M2445" s="14">
        <f>IFERROR(__xludf.DUMMYFUNCTION("SPLIT(L2445,""*"")"),2.0)</f>
        <v>2</v>
      </c>
      <c r="N2445" s="14" t="str">
        <f>IFERROR(__xludf.DUMMYFUNCTION("""COMPUTED_VALUE"""),"Tanvi Jain")</f>
        <v>Tanvi Jain</v>
      </c>
      <c r="O2445" s="14" t="str">
        <f>IFERROR(__xludf.DUMMYFUNCTION("split(J2445,""*"")"),"Delivered")</f>
        <v>Delivered</v>
      </c>
      <c r="P2445" s="14" t="str">
        <f>IFERROR(__xludf.DUMMYFUNCTION("""COMPUTED_VALUE"""),"Quality of Items: Perfect condition")</f>
        <v>Quality of Items: Perfect condition</v>
      </c>
      <c r="Q2445" s="14" t="str">
        <f>IFERROR(__xludf.DUMMYFUNCTION("split(P2445,"":"")"),"Quality of Items")</f>
        <v>Quality of Items</v>
      </c>
      <c r="R2445" s="14" t="str">
        <f>IFERROR(__xludf.DUMMYFUNCTION("""COMPUTED_VALUE""")," Perfect condition")</f>
        <v> Perfect condition</v>
      </c>
      <c r="S2445" s="14" t="str">
        <f t="shared" ref="S2445:U2445" si="4893">trim(B2445)</f>
        <v>ord_94642</v>
      </c>
      <c r="T2445" s="14" t="str">
        <f t="shared" si="4893"/>
        <v>Siya Reddy</v>
      </c>
      <c r="U2445" s="14" t="str">
        <f t="shared" si="4893"/>
        <v>Juhu</v>
      </c>
      <c r="V2445" s="14" t="str">
        <f t="shared" si="4"/>
        <v>Banana</v>
      </c>
      <c r="W2445" s="14">
        <f t="shared" si="5"/>
        <v>2</v>
      </c>
      <c r="X2445" s="14" t="str">
        <f t="shared" si="6"/>
        <v>Tanvi Jain</v>
      </c>
      <c r="Y2445" s="15">
        <f t="shared" si="7"/>
        <v>45189</v>
      </c>
      <c r="Z2445" s="14" t="str">
        <f t="shared" si="8"/>
        <v>UPI</v>
      </c>
      <c r="AA2445" s="14" t="str">
        <f t="shared" si="9"/>
        <v>Delivered</v>
      </c>
      <c r="AB2445" s="14" t="str">
        <f t="shared" ref="AB2445:AC2445" si="4894">trim(Q2445)</f>
        <v>Quality of Items</v>
      </c>
      <c r="AC2445" s="14" t="str">
        <f t="shared" si="4894"/>
        <v>Perfect condition</v>
      </c>
      <c r="AD2445" s="8"/>
    </row>
    <row r="2446">
      <c r="A2446" s="14" t="str">
        <f>IFERROR(__xludf.DUMMYFUNCTION("""COMPUTED_VALUE"""),"//ord_94736//Sanjay Nair//Dadar//Cold Coffee+3*Aman Kumar/12/9/2023//Online Payment//Delivered*Packaging: Secure and intact")</f>
        <v>//ord_94736//Sanjay Nair//Dadar//Cold Coffee+3*Aman Kumar/12/9/2023//Online Payment//Delivered*Packaging: Secure and intact</v>
      </c>
      <c r="B2446" s="14" t="str">
        <f>IFERROR(__xludf.DUMMYFUNCTION("split(A2446,""//"")"),"ord_94736")</f>
        <v>ord_94736</v>
      </c>
      <c r="C2446" s="14" t="str">
        <f>IFERROR(__xludf.DUMMYFUNCTION("""COMPUTED_VALUE"""),"Sanjay Nair")</f>
        <v>Sanjay Nair</v>
      </c>
      <c r="D2446" s="14" t="str">
        <f>IFERROR(__xludf.DUMMYFUNCTION("""COMPUTED_VALUE"""),"Dadar")</f>
        <v>Dadar</v>
      </c>
      <c r="E2446" s="14" t="str">
        <f>IFERROR(__xludf.DUMMYFUNCTION("""COMPUTED_VALUE"""),"Cold Coffee+3*Aman Kumar")</f>
        <v>Cold Coffee+3*Aman Kumar</v>
      </c>
      <c r="F2446" s="14">
        <f>IFERROR(__xludf.DUMMYFUNCTION("""COMPUTED_VALUE"""),12.0)</f>
        <v>12</v>
      </c>
      <c r="G2446" s="14">
        <f>IFERROR(__xludf.DUMMYFUNCTION("""COMPUTED_VALUE"""),9.0)</f>
        <v>9</v>
      </c>
      <c r="H2446" s="14">
        <f>IFERROR(__xludf.DUMMYFUNCTION("""COMPUTED_VALUE"""),2023.0)</f>
        <v>2023</v>
      </c>
      <c r="I2446" s="14" t="str">
        <f>IFERROR(__xludf.DUMMYFUNCTION("""COMPUTED_VALUE"""),"Online Payment")</f>
        <v>Online Payment</v>
      </c>
      <c r="J2446" s="14" t="str">
        <f>IFERROR(__xludf.DUMMYFUNCTION("""COMPUTED_VALUE"""),"Delivered*Packaging: Secure and intact")</f>
        <v>Delivered*Packaging: Secure and intact</v>
      </c>
      <c r="K2446" s="14" t="str">
        <f>IFERROR(__xludf.DUMMYFUNCTION("split(E2446,""+"")"),"Cold Coffee")</f>
        <v>Cold Coffee</v>
      </c>
      <c r="L2446" s="14" t="str">
        <f>IFERROR(__xludf.DUMMYFUNCTION("""COMPUTED_VALUE"""),"3*Aman Kumar")</f>
        <v>3*Aman Kumar</v>
      </c>
      <c r="M2446" s="14">
        <f>IFERROR(__xludf.DUMMYFUNCTION("SPLIT(L2446,""*"")"),3.0)</f>
        <v>3</v>
      </c>
      <c r="N2446" s="14" t="str">
        <f>IFERROR(__xludf.DUMMYFUNCTION("""COMPUTED_VALUE"""),"Aman Kumar")</f>
        <v>Aman Kumar</v>
      </c>
      <c r="O2446" s="14" t="str">
        <f>IFERROR(__xludf.DUMMYFUNCTION("split(J2446,""*"")"),"Delivered")</f>
        <v>Delivered</v>
      </c>
      <c r="P2446" s="14" t="str">
        <f>IFERROR(__xludf.DUMMYFUNCTION("""COMPUTED_VALUE"""),"Packaging: Secure and intact")</f>
        <v>Packaging: Secure and intact</v>
      </c>
      <c r="Q2446" s="14" t="str">
        <f>IFERROR(__xludf.DUMMYFUNCTION("split(P2446,"":"")"),"Packaging")</f>
        <v>Packaging</v>
      </c>
      <c r="R2446" s="14" t="str">
        <f>IFERROR(__xludf.DUMMYFUNCTION("""COMPUTED_VALUE""")," Secure and intact")</f>
        <v> Secure and intact</v>
      </c>
      <c r="S2446" s="14" t="str">
        <f t="shared" ref="S2446:U2446" si="4895">trim(B2446)</f>
        <v>ord_94736</v>
      </c>
      <c r="T2446" s="14" t="str">
        <f t="shared" si="4895"/>
        <v>Sanjay Nair</v>
      </c>
      <c r="U2446" s="14" t="str">
        <f t="shared" si="4895"/>
        <v>Dadar</v>
      </c>
      <c r="V2446" s="14" t="str">
        <f t="shared" si="4"/>
        <v>Cold Coffee</v>
      </c>
      <c r="W2446" s="14">
        <f t="shared" si="5"/>
        <v>3</v>
      </c>
      <c r="X2446" s="14" t="str">
        <f t="shared" si="6"/>
        <v>Aman Kumar</v>
      </c>
      <c r="Y2446" s="15">
        <f t="shared" si="7"/>
        <v>45269</v>
      </c>
      <c r="Z2446" s="14" t="str">
        <f t="shared" si="8"/>
        <v>Online Payment</v>
      </c>
      <c r="AA2446" s="14" t="str">
        <f t="shared" si="9"/>
        <v>Delivered</v>
      </c>
      <c r="AB2446" s="14" t="str">
        <f t="shared" ref="AB2446:AC2446" si="4896">trim(Q2446)</f>
        <v>Packaging</v>
      </c>
      <c r="AC2446" s="14" t="str">
        <f t="shared" si="4896"/>
        <v>Secure and intact</v>
      </c>
      <c r="AD2446" s="8"/>
    </row>
    <row r="2447">
      <c r="A2447" s="14" t="str">
        <f>IFERROR(__xludf.DUMMYFUNCTION("""COMPUTED_VALUE"""),"//ord_94830//Omkar Mishra//Powai//Apple+1*Sandeep Kumar/12/18/2023//Credit Card//Delivered*Satisfied with the Delivery: Timely and quality")</f>
        <v>//ord_94830//Omkar Mishra//Powai//Apple+1*Sandeep Kumar/12/18/2023//Credit Card//Delivered*Satisfied with the Delivery: Timely and quality</v>
      </c>
      <c r="B2447" s="14" t="str">
        <f>IFERROR(__xludf.DUMMYFUNCTION("split(A2447,""//"")"),"ord_94830")</f>
        <v>ord_94830</v>
      </c>
      <c r="C2447" s="14" t="str">
        <f>IFERROR(__xludf.DUMMYFUNCTION("""COMPUTED_VALUE"""),"Omkar Mishra")</f>
        <v>Omkar Mishra</v>
      </c>
      <c r="D2447" s="14" t="str">
        <f>IFERROR(__xludf.DUMMYFUNCTION("""COMPUTED_VALUE"""),"Powai")</f>
        <v>Powai</v>
      </c>
      <c r="E2447" s="14" t="str">
        <f>IFERROR(__xludf.DUMMYFUNCTION("""COMPUTED_VALUE"""),"Apple+1*Sandeep Kumar")</f>
        <v>Apple+1*Sandeep Kumar</v>
      </c>
      <c r="F2447" s="14">
        <f>IFERROR(__xludf.DUMMYFUNCTION("""COMPUTED_VALUE"""),12.0)</f>
        <v>12</v>
      </c>
      <c r="G2447" s="14">
        <f>IFERROR(__xludf.DUMMYFUNCTION("""COMPUTED_VALUE"""),18.0)</f>
        <v>18</v>
      </c>
      <c r="H2447" s="14">
        <f>IFERROR(__xludf.DUMMYFUNCTION("""COMPUTED_VALUE"""),2023.0)</f>
        <v>2023</v>
      </c>
      <c r="I2447" s="14" t="str">
        <f>IFERROR(__xludf.DUMMYFUNCTION("""COMPUTED_VALUE"""),"Credit Card")</f>
        <v>Credit Card</v>
      </c>
      <c r="J2447" s="14" t="str">
        <f>IFERROR(__xludf.DUMMYFUNCTION("""COMPUTED_VALUE"""),"Delivered*Satisfied with the Delivery: Timely and quality")</f>
        <v>Delivered*Satisfied with the Delivery: Timely and quality</v>
      </c>
      <c r="K2447" s="14" t="str">
        <f>IFERROR(__xludf.DUMMYFUNCTION("split(E2447,""+"")"),"Apple")</f>
        <v>Apple</v>
      </c>
      <c r="L2447" s="14" t="str">
        <f>IFERROR(__xludf.DUMMYFUNCTION("""COMPUTED_VALUE"""),"1*Sandeep Kumar")</f>
        <v>1*Sandeep Kumar</v>
      </c>
      <c r="M2447" s="14">
        <f>IFERROR(__xludf.DUMMYFUNCTION("SPLIT(L2447,""*"")"),1.0)</f>
        <v>1</v>
      </c>
      <c r="N2447" s="14" t="str">
        <f>IFERROR(__xludf.DUMMYFUNCTION("""COMPUTED_VALUE"""),"Sandeep Kumar")</f>
        <v>Sandeep Kumar</v>
      </c>
      <c r="O2447" s="14" t="str">
        <f>IFERROR(__xludf.DUMMYFUNCTION("split(J2447,""*"")"),"Delivered")</f>
        <v>Delivered</v>
      </c>
      <c r="P2447" s="14" t="str">
        <f>IFERROR(__xludf.DUMMYFUNCTION("""COMPUTED_VALUE"""),"Satisfied with the Delivery: Timely and quality")</f>
        <v>Satisfied with the Delivery: Timely and quality</v>
      </c>
      <c r="Q2447" s="14" t="str">
        <f>IFERROR(__xludf.DUMMYFUNCTION("split(P2447,"":"")"),"Satisfied with the Delivery")</f>
        <v>Satisfied with the Delivery</v>
      </c>
      <c r="R2447" s="14" t="str">
        <f>IFERROR(__xludf.DUMMYFUNCTION("""COMPUTED_VALUE""")," Timely and quality")</f>
        <v> Timely and quality</v>
      </c>
      <c r="S2447" s="14" t="str">
        <f t="shared" ref="S2447:U2447" si="4897">trim(B2447)</f>
        <v>ord_94830</v>
      </c>
      <c r="T2447" s="14" t="str">
        <f t="shared" si="4897"/>
        <v>Omkar Mishra</v>
      </c>
      <c r="U2447" s="14" t="str">
        <f t="shared" si="4897"/>
        <v>Powai</v>
      </c>
      <c r="V2447" s="14" t="str">
        <f t="shared" si="4"/>
        <v>Apple</v>
      </c>
      <c r="W2447" s="14">
        <f t="shared" si="5"/>
        <v>1</v>
      </c>
      <c r="X2447" s="14" t="str">
        <f t="shared" si="6"/>
        <v>Sandeep Kumar</v>
      </c>
      <c r="Y2447" s="15">
        <f t="shared" si="7"/>
        <v>45278</v>
      </c>
      <c r="Z2447" s="14" t="str">
        <f t="shared" si="8"/>
        <v>Credit Card</v>
      </c>
      <c r="AA2447" s="14" t="str">
        <f t="shared" si="9"/>
        <v>Delivered</v>
      </c>
      <c r="AB2447" s="14" t="str">
        <f t="shared" ref="AB2447:AC2447" si="4898">trim(Q2447)</f>
        <v>Satisfied with the Delivery</v>
      </c>
      <c r="AC2447" s="14" t="str">
        <f t="shared" si="4898"/>
        <v>Timely and quality</v>
      </c>
      <c r="AD2447" s="8"/>
    </row>
    <row r="2448">
      <c r="A2448" s="14" t="str">
        <f>IFERROR(__xludf.DUMMYFUNCTION("""COMPUTED_VALUE"""),"//ord_94924//Kritika Shetty//Malad//Orange+1*Neha Shah/8/7/2023//Credit Card//Delivered*Customer Service: Seamless and easy")</f>
        <v>//ord_94924//Kritika Shetty//Malad//Orange+1*Neha Shah/8/7/2023//Credit Card//Delivered*Customer Service: Seamless and easy</v>
      </c>
      <c r="B2448" s="14" t="str">
        <f>IFERROR(__xludf.DUMMYFUNCTION("split(A2448,""//"")"),"ord_94924")</f>
        <v>ord_94924</v>
      </c>
      <c r="C2448" s="14" t="str">
        <f>IFERROR(__xludf.DUMMYFUNCTION("""COMPUTED_VALUE"""),"Kritika Shetty")</f>
        <v>Kritika Shetty</v>
      </c>
      <c r="D2448" s="14" t="str">
        <f>IFERROR(__xludf.DUMMYFUNCTION("""COMPUTED_VALUE"""),"Malad")</f>
        <v>Malad</v>
      </c>
      <c r="E2448" s="14" t="str">
        <f>IFERROR(__xludf.DUMMYFUNCTION("""COMPUTED_VALUE"""),"Orange+1*Neha Shah")</f>
        <v>Orange+1*Neha Shah</v>
      </c>
      <c r="F2448" s="14">
        <f>IFERROR(__xludf.DUMMYFUNCTION("""COMPUTED_VALUE"""),8.0)</f>
        <v>8</v>
      </c>
      <c r="G2448" s="14">
        <f>IFERROR(__xludf.DUMMYFUNCTION("""COMPUTED_VALUE"""),7.0)</f>
        <v>7</v>
      </c>
      <c r="H2448" s="14">
        <f>IFERROR(__xludf.DUMMYFUNCTION("""COMPUTED_VALUE"""),2023.0)</f>
        <v>2023</v>
      </c>
      <c r="I2448" s="14" t="str">
        <f>IFERROR(__xludf.DUMMYFUNCTION("""COMPUTED_VALUE"""),"Credit Card")</f>
        <v>Credit Card</v>
      </c>
      <c r="J2448" s="14" t="str">
        <f>IFERROR(__xludf.DUMMYFUNCTION("""COMPUTED_VALUE"""),"Delivered*Customer Service: Seamless and easy")</f>
        <v>Delivered*Customer Service: Seamless and easy</v>
      </c>
      <c r="K2448" s="14" t="str">
        <f>IFERROR(__xludf.DUMMYFUNCTION("split(E2448,""+"")"),"Orange")</f>
        <v>Orange</v>
      </c>
      <c r="L2448" s="14" t="str">
        <f>IFERROR(__xludf.DUMMYFUNCTION("""COMPUTED_VALUE"""),"1*Neha Shah")</f>
        <v>1*Neha Shah</v>
      </c>
      <c r="M2448" s="14">
        <f>IFERROR(__xludf.DUMMYFUNCTION("SPLIT(L2448,""*"")"),1.0)</f>
        <v>1</v>
      </c>
      <c r="N2448" s="14" t="str">
        <f>IFERROR(__xludf.DUMMYFUNCTION("""COMPUTED_VALUE"""),"Neha Shah")</f>
        <v>Neha Shah</v>
      </c>
      <c r="O2448" s="14" t="str">
        <f>IFERROR(__xludf.DUMMYFUNCTION("split(J2448,""*"")"),"Delivered")</f>
        <v>Delivered</v>
      </c>
      <c r="P2448" s="14" t="str">
        <f>IFERROR(__xludf.DUMMYFUNCTION("""COMPUTED_VALUE"""),"Customer Service: Seamless and easy")</f>
        <v>Customer Service: Seamless and easy</v>
      </c>
      <c r="Q2448" s="14" t="str">
        <f>IFERROR(__xludf.DUMMYFUNCTION("split(P2448,"":"")"),"Customer Service")</f>
        <v>Customer Service</v>
      </c>
      <c r="R2448" s="14" t="str">
        <f>IFERROR(__xludf.DUMMYFUNCTION("""COMPUTED_VALUE""")," Seamless and easy")</f>
        <v> Seamless and easy</v>
      </c>
      <c r="S2448" s="14" t="str">
        <f t="shared" ref="S2448:U2448" si="4899">trim(B2448)</f>
        <v>ord_94924</v>
      </c>
      <c r="T2448" s="14" t="str">
        <f t="shared" si="4899"/>
        <v>Kritika Shetty</v>
      </c>
      <c r="U2448" s="14" t="str">
        <f t="shared" si="4899"/>
        <v>Malad</v>
      </c>
      <c r="V2448" s="14" t="str">
        <f t="shared" si="4"/>
        <v>Orange</v>
      </c>
      <c r="W2448" s="14">
        <f t="shared" si="5"/>
        <v>1</v>
      </c>
      <c r="X2448" s="14" t="str">
        <f t="shared" si="6"/>
        <v>Neha Shah</v>
      </c>
      <c r="Y2448" s="15">
        <f t="shared" si="7"/>
        <v>45145</v>
      </c>
      <c r="Z2448" s="14" t="str">
        <f t="shared" si="8"/>
        <v>Credit Card</v>
      </c>
      <c r="AA2448" s="14" t="str">
        <f t="shared" si="9"/>
        <v>Delivered</v>
      </c>
      <c r="AB2448" s="14" t="str">
        <f t="shared" ref="AB2448:AC2448" si="4900">trim(Q2448)</f>
        <v>Customer Service</v>
      </c>
      <c r="AC2448" s="14" t="str">
        <f t="shared" si="4900"/>
        <v>Seamless and easy</v>
      </c>
      <c r="AD2448" s="8"/>
    </row>
    <row r="2449">
      <c r="A2449" s="14" t="str">
        <f>IFERROR(__xludf.DUMMYFUNCTION("""COMPUTED_VALUE"""),"//ord_95018//Aarohi Kapoor//Bandra//Tiramisu+2*Priya Joshi/12/19/2023//UPI//Delivered*Delivery Experience: Quick and professional")</f>
        <v>//ord_95018//Aarohi Kapoor//Bandra//Tiramisu+2*Priya Joshi/12/19/2023//UPI//Delivered*Delivery Experience: Quick and professional</v>
      </c>
      <c r="B2449" s="14" t="str">
        <f>IFERROR(__xludf.DUMMYFUNCTION("split(A2449,""//"")"),"ord_95018")</f>
        <v>ord_95018</v>
      </c>
      <c r="C2449" s="14" t="str">
        <f>IFERROR(__xludf.DUMMYFUNCTION("""COMPUTED_VALUE"""),"Aarohi Kapoor")</f>
        <v>Aarohi Kapoor</v>
      </c>
      <c r="D2449" s="14" t="str">
        <f>IFERROR(__xludf.DUMMYFUNCTION("""COMPUTED_VALUE"""),"Bandra")</f>
        <v>Bandra</v>
      </c>
      <c r="E2449" s="14" t="str">
        <f>IFERROR(__xludf.DUMMYFUNCTION("""COMPUTED_VALUE"""),"Tiramisu+2*Priya Joshi")</f>
        <v>Tiramisu+2*Priya Joshi</v>
      </c>
      <c r="F2449" s="14">
        <f>IFERROR(__xludf.DUMMYFUNCTION("""COMPUTED_VALUE"""),12.0)</f>
        <v>12</v>
      </c>
      <c r="G2449" s="14">
        <f>IFERROR(__xludf.DUMMYFUNCTION("""COMPUTED_VALUE"""),19.0)</f>
        <v>19</v>
      </c>
      <c r="H2449" s="14">
        <f>IFERROR(__xludf.DUMMYFUNCTION("""COMPUTED_VALUE"""),2023.0)</f>
        <v>2023</v>
      </c>
      <c r="I2449" s="14" t="str">
        <f>IFERROR(__xludf.DUMMYFUNCTION("""COMPUTED_VALUE"""),"UPI")</f>
        <v>UPI</v>
      </c>
      <c r="J2449" s="14" t="str">
        <f>IFERROR(__xludf.DUMMYFUNCTION("""COMPUTED_VALUE"""),"Delivered*Delivery Experience: Quick and professional")</f>
        <v>Delivered*Delivery Experience: Quick and professional</v>
      </c>
      <c r="K2449" s="14" t="str">
        <f>IFERROR(__xludf.DUMMYFUNCTION("split(E2449,""+"")"),"Tiramisu")</f>
        <v>Tiramisu</v>
      </c>
      <c r="L2449" s="14" t="str">
        <f>IFERROR(__xludf.DUMMYFUNCTION("""COMPUTED_VALUE"""),"2*Priya Joshi")</f>
        <v>2*Priya Joshi</v>
      </c>
      <c r="M2449" s="14">
        <f>IFERROR(__xludf.DUMMYFUNCTION("SPLIT(L2449,""*"")"),2.0)</f>
        <v>2</v>
      </c>
      <c r="N2449" s="14" t="str">
        <f>IFERROR(__xludf.DUMMYFUNCTION("""COMPUTED_VALUE"""),"Priya Joshi")</f>
        <v>Priya Joshi</v>
      </c>
      <c r="O2449" s="14" t="str">
        <f>IFERROR(__xludf.DUMMYFUNCTION("split(J2449,""*"")"),"Delivered")</f>
        <v>Delivered</v>
      </c>
      <c r="P2449" s="14" t="str">
        <f>IFERROR(__xludf.DUMMYFUNCTION("""COMPUTED_VALUE"""),"Delivery Experience: Quick and professional")</f>
        <v>Delivery Experience: Quick and professional</v>
      </c>
      <c r="Q2449" s="14" t="str">
        <f>IFERROR(__xludf.DUMMYFUNCTION("split(P2449,"":"")"),"Delivery Experience")</f>
        <v>Delivery Experience</v>
      </c>
      <c r="R2449" s="14" t="str">
        <f>IFERROR(__xludf.DUMMYFUNCTION("""COMPUTED_VALUE""")," Quick and professional")</f>
        <v> Quick and professional</v>
      </c>
      <c r="S2449" s="14" t="str">
        <f t="shared" ref="S2449:U2449" si="4901">trim(B2449)</f>
        <v>ord_95018</v>
      </c>
      <c r="T2449" s="14" t="str">
        <f t="shared" si="4901"/>
        <v>Aarohi Kapoor</v>
      </c>
      <c r="U2449" s="14" t="str">
        <f t="shared" si="4901"/>
        <v>Bandra</v>
      </c>
      <c r="V2449" s="14" t="str">
        <f t="shared" si="4"/>
        <v>Tiramisu</v>
      </c>
      <c r="W2449" s="14">
        <f t="shared" si="5"/>
        <v>2</v>
      </c>
      <c r="X2449" s="14" t="str">
        <f t="shared" si="6"/>
        <v>Priya Joshi</v>
      </c>
      <c r="Y2449" s="15">
        <f t="shared" si="7"/>
        <v>45279</v>
      </c>
      <c r="Z2449" s="14" t="str">
        <f t="shared" si="8"/>
        <v>UPI</v>
      </c>
      <c r="AA2449" s="14" t="str">
        <f t="shared" si="9"/>
        <v>Delivered</v>
      </c>
      <c r="AB2449" s="14" t="str">
        <f t="shared" ref="AB2449:AC2449" si="4902">trim(Q2449)</f>
        <v>Delivery Experience</v>
      </c>
      <c r="AC2449" s="14" t="str">
        <f t="shared" si="4902"/>
        <v>Quick and professional</v>
      </c>
      <c r="AD2449" s="8"/>
    </row>
    <row r="2450">
      <c r="A2450" s="14" t="str">
        <f>IFERROR(__xludf.DUMMYFUNCTION("""COMPUTED_VALUE"""),"//ord_95112//Sakshi Tandon//Colaba//Cold Coffee+3*Nikhil Deshmukh/10/6/2023//UPI//Delivered*Convenience: Easy tracking")</f>
        <v>//ord_95112//Sakshi Tandon//Colaba//Cold Coffee+3*Nikhil Deshmukh/10/6/2023//UPI//Delivered*Convenience: Easy tracking</v>
      </c>
      <c r="B2450" s="14" t="str">
        <f>IFERROR(__xludf.DUMMYFUNCTION("split(A2450,""//"")"),"ord_95112")</f>
        <v>ord_95112</v>
      </c>
      <c r="C2450" s="14" t="str">
        <f>IFERROR(__xludf.DUMMYFUNCTION("""COMPUTED_VALUE"""),"Sakshi Tandon")</f>
        <v>Sakshi Tandon</v>
      </c>
      <c r="D2450" s="14" t="str">
        <f>IFERROR(__xludf.DUMMYFUNCTION("""COMPUTED_VALUE"""),"Colaba")</f>
        <v>Colaba</v>
      </c>
      <c r="E2450" s="14" t="str">
        <f>IFERROR(__xludf.DUMMYFUNCTION("""COMPUTED_VALUE"""),"Cold Coffee+3*Nikhil Deshmukh")</f>
        <v>Cold Coffee+3*Nikhil Deshmukh</v>
      </c>
      <c r="F2450" s="14">
        <f>IFERROR(__xludf.DUMMYFUNCTION("""COMPUTED_VALUE"""),10.0)</f>
        <v>10</v>
      </c>
      <c r="G2450" s="14">
        <f>IFERROR(__xludf.DUMMYFUNCTION("""COMPUTED_VALUE"""),6.0)</f>
        <v>6</v>
      </c>
      <c r="H2450" s="14">
        <f>IFERROR(__xludf.DUMMYFUNCTION("""COMPUTED_VALUE"""),2023.0)</f>
        <v>2023</v>
      </c>
      <c r="I2450" s="14" t="str">
        <f>IFERROR(__xludf.DUMMYFUNCTION("""COMPUTED_VALUE"""),"UPI")</f>
        <v>UPI</v>
      </c>
      <c r="J2450" s="14" t="str">
        <f>IFERROR(__xludf.DUMMYFUNCTION("""COMPUTED_VALUE"""),"Delivered*Convenience: Easy tracking")</f>
        <v>Delivered*Convenience: Easy tracking</v>
      </c>
      <c r="K2450" s="14" t="str">
        <f>IFERROR(__xludf.DUMMYFUNCTION("split(E2450,""+"")"),"Cold Coffee")</f>
        <v>Cold Coffee</v>
      </c>
      <c r="L2450" s="14" t="str">
        <f>IFERROR(__xludf.DUMMYFUNCTION("""COMPUTED_VALUE"""),"3*Nikhil Deshmukh")</f>
        <v>3*Nikhil Deshmukh</v>
      </c>
      <c r="M2450" s="14">
        <f>IFERROR(__xludf.DUMMYFUNCTION("SPLIT(L2450,""*"")"),3.0)</f>
        <v>3</v>
      </c>
      <c r="N2450" s="14" t="str">
        <f>IFERROR(__xludf.DUMMYFUNCTION("""COMPUTED_VALUE"""),"Nikhil Deshmukh")</f>
        <v>Nikhil Deshmukh</v>
      </c>
      <c r="O2450" s="14" t="str">
        <f>IFERROR(__xludf.DUMMYFUNCTION("split(J2450,""*"")"),"Delivered")</f>
        <v>Delivered</v>
      </c>
      <c r="P2450" s="14" t="str">
        <f>IFERROR(__xludf.DUMMYFUNCTION("""COMPUTED_VALUE"""),"Convenience: Easy tracking")</f>
        <v>Convenience: Easy tracking</v>
      </c>
      <c r="Q2450" s="14" t="str">
        <f>IFERROR(__xludf.DUMMYFUNCTION("split(P2450,"":"")"),"Convenience")</f>
        <v>Convenience</v>
      </c>
      <c r="R2450" s="14" t="str">
        <f>IFERROR(__xludf.DUMMYFUNCTION("""COMPUTED_VALUE""")," Easy tracking")</f>
        <v> Easy tracking</v>
      </c>
      <c r="S2450" s="14" t="str">
        <f t="shared" ref="S2450:U2450" si="4903">trim(B2450)</f>
        <v>ord_95112</v>
      </c>
      <c r="T2450" s="14" t="str">
        <f t="shared" si="4903"/>
        <v>Sakshi Tandon</v>
      </c>
      <c r="U2450" s="14" t="str">
        <f t="shared" si="4903"/>
        <v>Colaba</v>
      </c>
      <c r="V2450" s="14" t="str">
        <f t="shared" si="4"/>
        <v>Cold Coffee</v>
      </c>
      <c r="W2450" s="14">
        <f t="shared" si="5"/>
        <v>3</v>
      </c>
      <c r="X2450" s="14" t="str">
        <f t="shared" si="6"/>
        <v>Nikhil Deshmukh</v>
      </c>
      <c r="Y2450" s="15">
        <f t="shared" si="7"/>
        <v>45205</v>
      </c>
      <c r="Z2450" s="14" t="str">
        <f t="shared" si="8"/>
        <v>UPI</v>
      </c>
      <c r="AA2450" s="14" t="str">
        <f t="shared" si="9"/>
        <v>Delivered</v>
      </c>
      <c r="AB2450" s="14" t="str">
        <f t="shared" ref="AB2450:AC2450" si="4904">trim(Q2450)</f>
        <v>Convenience</v>
      </c>
      <c r="AC2450" s="14" t="str">
        <f t="shared" si="4904"/>
        <v>Easy tracking</v>
      </c>
      <c r="AD2450" s="8"/>
    </row>
    <row r="2451">
      <c r="A2451" s="14" t="str">
        <f>IFERROR(__xludf.DUMMYFUNCTION("""COMPUTED_VALUE"""),"//ord_95206//Sanjay Nair//Dadar//Cold Coffee+1*Aman Kumar/2/17/2023//Credit Card//Delivered*Overall Satisfaction: Great service will order again")</f>
        <v>//ord_95206//Sanjay Nair//Dadar//Cold Coffee+1*Aman Kumar/2/17/2023//Credit Card//Delivered*Overall Satisfaction: Great service will order again</v>
      </c>
      <c r="B2451" s="14" t="str">
        <f>IFERROR(__xludf.DUMMYFUNCTION("split(A2451,""//"")"),"ord_95206")</f>
        <v>ord_95206</v>
      </c>
      <c r="C2451" s="14" t="str">
        <f>IFERROR(__xludf.DUMMYFUNCTION("""COMPUTED_VALUE"""),"Sanjay Nair")</f>
        <v>Sanjay Nair</v>
      </c>
      <c r="D2451" s="14" t="str">
        <f>IFERROR(__xludf.DUMMYFUNCTION("""COMPUTED_VALUE"""),"Dadar")</f>
        <v>Dadar</v>
      </c>
      <c r="E2451" s="14" t="str">
        <f>IFERROR(__xludf.DUMMYFUNCTION("""COMPUTED_VALUE"""),"Cold Coffee+1*Aman Kumar")</f>
        <v>Cold Coffee+1*Aman Kumar</v>
      </c>
      <c r="F2451" s="14">
        <f>IFERROR(__xludf.DUMMYFUNCTION("""COMPUTED_VALUE"""),2.0)</f>
        <v>2</v>
      </c>
      <c r="G2451" s="14">
        <f>IFERROR(__xludf.DUMMYFUNCTION("""COMPUTED_VALUE"""),17.0)</f>
        <v>17</v>
      </c>
      <c r="H2451" s="14">
        <f>IFERROR(__xludf.DUMMYFUNCTION("""COMPUTED_VALUE"""),2023.0)</f>
        <v>2023</v>
      </c>
      <c r="I2451" s="14" t="str">
        <f>IFERROR(__xludf.DUMMYFUNCTION("""COMPUTED_VALUE"""),"Credit Card")</f>
        <v>Credit Card</v>
      </c>
      <c r="J2451" s="14" t="str">
        <f>IFERROR(__xludf.DUMMYFUNCTION("""COMPUTED_VALUE"""),"Delivered*Overall Satisfaction: Great service will order again")</f>
        <v>Delivered*Overall Satisfaction: Great service will order again</v>
      </c>
      <c r="K2451" s="14" t="str">
        <f>IFERROR(__xludf.DUMMYFUNCTION("split(E2451,""+"")"),"Cold Coffee")</f>
        <v>Cold Coffee</v>
      </c>
      <c r="L2451" s="14" t="str">
        <f>IFERROR(__xludf.DUMMYFUNCTION("""COMPUTED_VALUE"""),"1*Aman Kumar")</f>
        <v>1*Aman Kumar</v>
      </c>
      <c r="M2451" s="14">
        <f>IFERROR(__xludf.DUMMYFUNCTION("SPLIT(L2451,""*"")"),1.0)</f>
        <v>1</v>
      </c>
      <c r="N2451" s="14" t="str">
        <f>IFERROR(__xludf.DUMMYFUNCTION("""COMPUTED_VALUE"""),"Aman Kumar")</f>
        <v>Aman Kumar</v>
      </c>
      <c r="O2451" s="14" t="str">
        <f>IFERROR(__xludf.DUMMYFUNCTION("split(J2451,""*"")"),"Delivered")</f>
        <v>Delivered</v>
      </c>
      <c r="P2451" s="14" t="str">
        <f>IFERROR(__xludf.DUMMYFUNCTION("""COMPUTED_VALUE"""),"Overall Satisfaction: Great service will order again")</f>
        <v>Overall Satisfaction: Great service will order again</v>
      </c>
      <c r="Q2451" s="14" t="str">
        <f>IFERROR(__xludf.DUMMYFUNCTION("split(P2451,"":"")"),"Overall Satisfaction")</f>
        <v>Overall Satisfaction</v>
      </c>
      <c r="R2451" s="14" t="str">
        <f>IFERROR(__xludf.DUMMYFUNCTION("""COMPUTED_VALUE""")," Great service will order again")</f>
        <v> Great service will order again</v>
      </c>
      <c r="S2451" s="14" t="str">
        <f t="shared" ref="S2451:U2451" si="4905">trim(B2451)</f>
        <v>ord_95206</v>
      </c>
      <c r="T2451" s="14" t="str">
        <f t="shared" si="4905"/>
        <v>Sanjay Nair</v>
      </c>
      <c r="U2451" s="14" t="str">
        <f t="shared" si="4905"/>
        <v>Dadar</v>
      </c>
      <c r="V2451" s="14" t="str">
        <f t="shared" si="4"/>
        <v>Cold Coffee</v>
      </c>
      <c r="W2451" s="14">
        <f t="shared" si="5"/>
        <v>1</v>
      </c>
      <c r="X2451" s="14" t="str">
        <f t="shared" si="6"/>
        <v>Aman Kumar</v>
      </c>
      <c r="Y2451" s="15">
        <f t="shared" si="7"/>
        <v>44974</v>
      </c>
      <c r="Z2451" s="14" t="str">
        <f t="shared" si="8"/>
        <v>Credit Card</v>
      </c>
      <c r="AA2451" s="14" t="str">
        <f t="shared" si="9"/>
        <v>Delivered</v>
      </c>
      <c r="AB2451" s="14" t="str">
        <f t="shared" ref="AB2451:AC2451" si="4906">trim(Q2451)</f>
        <v>Overall Satisfaction</v>
      </c>
      <c r="AC2451" s="14" t="str">
        <f t="shared" si="4906"/>
        <v>Great service will order again</v>
      </c>
      <c r="AD2451" s="8"/>
    </row>
    <row r="2452">
      <c r="A2452" s="14" t="str">
        <f>IFERROR(__xludf.DUMMYFUNCTION("""COMPUTED_VALUE"""),"//ord_95300//Mohit Malhotra//Lower Parel//Tiramisu+2*Kiran Mehta/6/16/2023//Credit Card//Delivered*On-time Delivery: Delivered on time")</f>
        <v>//ord_95300//Mohit Malhotra//Lower Parel//Tiramisu+2*Kiran Mehta/6/16/2023//Credit Card//Delivered*On-time Delivery: Delivered on time</v>
      </c>
      <c r="B2452" s="14" t="str">
        <f>IFERROR(__xludf.DUMMYFUNCTION("split(A2452,""//"")"),"ord_95300")</f>
        <v>ord_95300</v>
      </c>
      <c r="C2452" s="14" t="str">
        <f>IFERROR(__xludf.DUMMYFUNCTION("""COMPUTED_VALUE"""),"Mohit Malhotra")</f>
        <v>Mohit Malhotra</v>
      </c>
      <c r="D2452" s="14" t="str">
        <f>IFERROR(__xludf.DUMMYFUNCTION("""COMPUTED_VALUE"""),"Lower Parel")</f>
        <v>Lower Parel</v>
      </c>
      <c r="E2452" s="14" t="str">
        <f>IFERROR(__xludf.DUMMYFUNCTION("""COMPUTED_VALUE"""),"Tiramisu+2*Kiran Mehta")</f>
        <v>Tiramisu+2*Kiran Mehta</v>
      </c>
      <c r="F2452" s="14">
        <f>IFERROR(__xludf.DUMMYFUNCTION("""COMPUTED_VALUE"""),6.0)</f>
        <v>6</v>
      </c>
      <c r="G2452" s="14">
        <f>IFERROR(__xludf.DUMMYFUNCTION("""COMPUTED_VALUE"""),16.0)</f>
        <v>16</v>
      </c>
      <c r="H2452" s="14">
        <f>IFERROR(__xludf.DUMMYFUNCTION("""COMPUTED_VALUE"""),2023.0)</f>
        <v>2023</v>
      </c>
      <c r="I2452" s="14" t="str">
        <f>IFERROR(__xludf.DUMMYFUNCTION("""COMPUTED_VALUE"""),"Credit Card")</f>
        <v>Credit Card</v>
      </c>
      <c r="J2452" s="14" t="str">
        <f>IFERROR(__xludf.DUMMYFUNCTION("""COMPUTED_VALUE"""),"Delivered*On-time Delivery: Delivered on time")</f>
        <v>Delivered*On-time Delivery: Delivered on time</v>
      </c>
      <c r="K2452" s="14" t="str">
        <f>IFERROR(__xludf.DUMMYFUNCTION("split(E2452,""+"")"),"Tiramisu")</f>
        <v>Tiramisu</v>
      </c>
      <c r="L2452" s="14" t="str">
        <f>IFERROR(__xludf.DUMMYFUNCTION("""COMPUTED_VALUE"""),"2*Kiran Mehta")</f>
        <v>2*Kiran Mehta</v>
      </c>
      <c r="M2452" s="14">
        <f>IFERROR(__xludf.DUMMYFUNCTION("SPLIT(L2452,""*"")"),2.0)</f>
        <v>2</v>
      </c>
      <c r="N2452" s="14" t="str">
        <f>IFERROR(__xludf.DUMMYFUNCTION("""COMPUTED_VALUE"""),"Kiran Mehta")</f>
        <v>Kiran Mehta</v>
      </c>
      <c r="O2452" s="14" t="str">
        <f>IFERROR(__xludf.DUMMYFUNCTION("split(J2452,""*"")"),"Delivered")</f>
        <v>Delivered</v>
      </c>
      <c r="P2452" s="14" t="str">
        <f>IFERROR(__xludf.DUMMYFUNCTION("""COMPUTED_VALUE"""),"On-time Delivery: Delivered on time")</f>
        <v>On-time Delivery: Delivered on time</v>
      </c>
      <c r="Q2452" s="14" t="str">
        <f>IFERROR(__xludf.DUMMYFUNCTION("split(P2452,"":"")"),"On-time Delivery")</f>
        <v>On-time Delivery</v>
      </c>
      <c r="R2452" s="14" t="str">
        <f>IFERROR(__xludf.DUMMYFUNCTION("""COMPUTED_VALUE""")," Delivered on time")</f>
        <v> Delivered on time</v>
      </c>
      <c r="S2452" s="14" t="str">
        <f t="shared" ref="S2452:U2452" si="4907">trim(B2452)</f>
        <v>ord_95300</v>
      </c>
      <c r="T2452" s="14" t="str">
        <f t="shared" si="4907"/>
        <v>Mohit Malhotra</v>
      </c>
      <c r="U2452" s="14" t="str">
        <f t="shared" si="4907"/>
        <v>Lower Parel</v>
      </c>
      <c r="V2452" s="14" t="str">
        <f t="shared" si="4"/>
        <v>Tiramisu</v>
      </c>
      <c r="W2452" s="14">
        <f t="shared" si="5"/>
        <v>2</v>
      </c>
      <c r="X2452" s="14" t="str">
        <f t="shared" si="6"/>
        <v>Kiran Mehta</v>
      </c>
      <c r="Y2452" s="15">
        <f t="shared" si="7"/>
        <v>45093</v>
      </c>
      <c r="Z2452" s="14" t="str">
        <f t="shared" si="8"/>
        <v>Credit Card</v>
      </c>
      <c r="AA2452" s="14" t="str">
        <f t="shared" si="9"/>
        <v>Delivered</v>
      </c>
      <c r="AB2452" s="14" t="str">
        <f t="shared" ref="AB2452:AC2452" si="4908">trim(Q2452)</f>
        <v>On-time Delivery</v>
      </c>
      <c r="AC2452" s="14" t="str">
        <f t="shared" si="4908"/>
        <v>Delivered on time</v>
      </c>
      <c r="AD2452" s="8"/>
    </row>
    <row r="2453">
      <c r="A2453" s="14" t="str">
        <f>IFERROR(__xludf.DUMMYFUNCTION("""COMPUTED_VALUE"""),"//ord_95394//Aarav Mehta//Andheri//Chocolate Mousse+3*Rohan Yadav/3/12/2023//Credit Card//Delivered*Quality of Items: Perfect condition")</f>
        <v>//ord_95394//Aarav Mehta//Andheri//Chocolate Mousse+3*Rohan Yadav/3/12/2023//Credit Card//Delivered*Quality of Items: Perfect condition</v>
      </c>
      <c r="B2453" s="14" t="str">
        <f>IFERROR(__xludf.DUMMYFUNCTION("split(A2453,""//"")"),"ord_95394")</f>
        <v>ord_95394</v>
      </c>
      <c r="C2453" s="14" t="str">
        <f>IFERROR(__xludf.DUMMYFUNCTION("""COMPUTED_VALUE"""),"Aarav Mehta")</f>
        <v>Aarav Mehta</v>
      </c>
      <c r="D2453" s="14" t="str">
        <f>IFERROR(__xludf.DUMMYFUNCTION("""COMPUTED_VALUE"""),"Andheri")</f>
        <v>Andheri</v>
      </c>
      <c r="E2453" s="14" t="str">
        <f>IFERROR(__xludf.DUMMYFUNCTION("""COMPUTED_VALUE"""),"Chocolate Mousse+3*Rohan Yadav")</f>
        <v>Chocolate Mousse+3*Rohan Yadav</v>
      </c>
      <c r="F2453" s="14">
        <f>IFERROR(__xludf.DUMMYFUNCTION("""COMPUTED_VALUE"""),3.0)</f>
        <v>3</v>
      </c>
      <c r="G2453" s="14">
        <f>IFERROR(__xludf.DUMMYFUNCTION("""COMPUTED_VALUE"""),12.0)</f>
        <v>12</v>
      </c>
      <c r="H2453" s="14">
        <f>IFERROR(__xludf.DUMMYFUNCTION("""COMPUTED_VALUE"""),2023.0)</f>
        <v>2023</v>
      </c>
      <c r="I2453" s="14" t="str">
        <f>IFERROR(__xludf.DUMMYFUNCTION("""COMPUTED_VALUE"""),"Credit Card")</f>
        <v>Credit Card</v>
      </c>
      <c r="J2453" s="14" t="str">
        <f>IFERROR(__xludf.DUMMYFUNCTION("""COMPUTED_VALUE"""),"Delivered*Quality of Items: Perfect condition")</f>
        <v>Delivered*Quality of Items: Perfect condition</v>
      </c>
      <c r="K2453" s="14" t="str">
        <f>IFERROR(__xludf.DUMMYFUNCTION("split(E2453,""+"")"),"Chocolate Mousse")</f>
        <v>Chocolate Mousse</v>
      </c>
      <c r="L2453" s="14" t="str">
        <f>IFERROR(__xludf.DUMMYFUNCTION("""COMPUTED_VALUE"""),"3*Rohan Yadav")</f>
        <v>3*Rohan Yadav</v>
      </c>
      <c r="M2453" s="14">
        <f>IFERROR(__xludf.DUMMYFUNCTION("SPLIT(L2453,""*"")"),3.0)</f>
        <v>3</v>
      </c>
      <c r="N2453" s="14" t="str">
        <f>IFERROR(__xludf.DUMMYFUNCTION("""COMPUTED_VALUE"""),"Rohan Yadav")</f>
        <v>Rohan Yadav</v>
      </c>
      <c r="O2453" s="14" t="str">
        <f>IFERROR(__xludf.DUMMYFUNCTION("split(J2453,""*"")"),"Delivered")</f>
        <v>Delivered</v>
      </c>
      <c r="P2453" s="14" t="str">
        <f>IFERROR(__xludf.DUMMYFUNCTION("""COMPUTED_VALUE"""),"Quality of Items: Perfect condition")</f>
        <v>Quality of Items: Perfect condition</v>
      </c>
      <c r="Q2453" s="14" t="str">
        <f>IFERROR(__xludf.DUMMYFUNCTION("split(P2453,"":"")"),"Quality of Items")</f>
        <v>Quality of Items</v>
      </c>
      <c r="R2453" s="14" t="str">
        <f>IFERROR(__xludf.DUMMYFUNCTION("""COMPUTED_VALUE""")," Perfect condition")</f>
        <v> Perfect condition</v>
      </c>
      <c r="S2453" s="14" t="str">
        <f t="shared" ref="S2453:U2453" si="4909">trim(B2453)</f>
        <v>ord_95394</v>
      </c>
      <c r="T2453" s="14" t="str">
        <f t="shared" si="4909"/>
        <v>Aarav Mehta</v>
      </c>
      <c r="U2453" s="14" t="str">
        <f t="shared" si="4909"/>
        <v>Andheri</v>
      </c>
      <c r="V2453" s="14" t="str">
        <f t="shared" si="4"/>
        <v>Chocolate Mousse</v>
      </c>
      <c r="W2453" s="14">
        <f t="shared" si="5"/>
        <v>3</v>
      </c>
      <c r="X2453" s="14" t="str">
        <f t="shared" si="6"/>
        <v>Rohan Yadav</v>
      </c>
      <c r="Y2453" s="15">
        <f t="shared" si="7"/>
        <v>44997</v>
      </c>
      <c r="Z2453" s="14" t="str">
        <f t="shared" si="8"/>
        <v>Credit Card</v>
      </c>
      <c r="AA2453" s="14" t="str">
        <f t="shared" si="9"/>
        <v>Delivered</v>
      </c>
      <c r="AB2453" s="14" t="str">
        <f t="shared" ref="AB2453:AC2453" si="4910">trim(Q2453)</f>
        <v>Quality of Items</v>
      </c>
      <c r="AC2453" s="14" t="str">
        <f t="shared" si="4910"/>
        <v>Perfect condition</v>
      </c>
      <c r="AD2453" s="8"/>
    </row>
    <row r="2454">
      <c r="A2454" s="14" t="str">
        <f>IFERROR(__xludf.DUMMYFUNCTION("""COMPUTED_VALUE"""),"//ord_95488//Simran Bhatt//Juhu//Banana+1*Not Assigned/7/15/2023//UPI//Cancelled*App Glitches:Slow Loading Time")</f>
        <v>//ord_95488//Simran Bhatt//Juhu//Banana+1*Not Assigned/7/15/2023//UPI//Cancelled*App Glitches:Slow Loading Time</v>
      </c>
      <c r="B2454" s="14" t="str">
        <f>IFERROR(__xludf.DUMMYFUNCTION("split(A2454,""//"")"),"ord_95488")</f>
        <v>ord_95488</v>
      </c>
      <c r="C2454" s="14" t="str">
        <f>IFERROR(__xludf.DUMMYFUNCTION("""COMPUTED_VALUE"""),"Simran Bhatt")</f>
        <v>Simran Bhatt</v>
      </c>
      <c r="D2454" s="14" t="str">
        <f>IFERROR(__xludf.DUMMYFUNCTION("""COMPUTED_VALUE"""),"Juhu")</f>
        <v>Juhu</v>
      </c>
      <c r="E2454" s="14" t="str">
        <f>IFERROR(__xludf.DUMMYFUNCTION("""COMPUTED_VALUE"""),"Banana+1*Not Assigned")</f>
        <v>Banana+1*Not Assigned</v>
      </c>
      <c r="F2454" s="14">
        <f>IFERROR(__xludf.DUMMYFUNCTION("""COMPUTED_VALUE"""),7.0)</f>
        <v>7</v>
      </c>
      <c r="G2454" s="14">
        <f>IFERROR(__xludf.DUMMYFUNCTION("""COMPUTED_VALUE"""),15.0)</f>
        <v>15</v>
      </c>
      <c r="H2454" s="14">
        <f>IFERROR(__xludf.DUMMYFUNCTION("""COMPUTED_VALUE"""),2023.0)</f>
        <v>2023</v>
      </c>
      <c r="I2454" s="14" t="str">
        <f>IFERROR(__xludf.DUMMYFUNCTION("""COMPUTED_VALUE"""),"UPI")</f>
        <v>UPI</v>
      </c>
      <c r="J2454" s="14" t="str">
        <f>IFERROR(__xludf.DUMMYFUNCTION("""COMPUTED_VALUE"""),"Cancelled*App Glitches:Slow Loading Time")</f>
        <v>Cancelled*App Glitches:Slow Loading Time</v>
      </c>
      <c r="K2454" s="14" t="str">
        <f>IFERROR(__xludf.DUMMYFUNCTION("split(E2454,""+"")"),"Banana")</f>
        <v>Banana</v>
      </c>
      <c r="L2454" s="14" t="str">
        <f>IFERROR(__xludf.DUMMYFUNCTION("""COMPUTED_VALUE"""),"1*Not Assigned")</f>
        <v>1*Not Assigned</v>
      </c>
      <c r="M2454" s="14">
        <f>IFERROR(__xludf.DUMMYFUNCTION("SPLIT(L2454,""*"")"),1.0)</f>
        <v>1</v>
      </c>
      <c r="N2454" s="14" t="str">
        <f>IFERROR(__xludf.DUMMYFUNCTION("""COMPUTED_VALUE"""),"Not Assigned")</f>
        <v>Not Assigned</v>
      </c>
      <c r="O2454" s="14" t="str">
        <f>IFERROR(__xludf.DUMMYFUNCTION("split(J2454,""*"")"),"Cancelled")</f>
        <v>Cancelled</v>
      </c>
      <c r="P2454" s="14" t="str">
        <f>IFERROR(__xludf.DUMMYFUNCTION("""COMPUTED_VALUE"""),"App Glitches:Slow Loading Time")</f>
        <v>App Glitches:Slow Loading Time</v>
      </c>
      <c r="Q2454" s="14" t="str">
        <f>IFERROR(__xludf.DUMMYFUNCTION("split(P2454,"":"")"),"App Glitches")</f>
        <v>App Glitches</v>
      </c>
      <c r="R2454" s="14" t="str">
        <f>IFERROR(__xludf.DUMMYFUNCTION("""COMPUTED_VALUE"""),"Slow Loading Time")</f>
        <v>Slow Loading Time</v>
      </c>
      <c r="S2454" s="14" t="str">
        <f t="shared" ref="S2454:U2454" si="4911">trim(B2454)</f>
        <v>ord_95488</v>
      </c>
      <c r="T2454" s="14" t="str">
        <f t="shared" si="4911"/>
        <v>Simran Bhatt</v>
      </c>
      <c r="U2454" s="14" t="str">
        <f t="shared" si="4911"/>
        <v>Juhu</v>
      </c>
      <c r="V2454" s="14" t="str">
        <f t="shared" si="4"/>
        <v>Banana</v>
      </c>
      <c r="W2454" s="14">
        <f t="shared" si="5"/>
        <v>1</v>
      </c>
      <c r="X2454" s="14" t="str">
        <f t="shared" si="6"/>
        <v>Not Assigned</v>
      </c>
      <c r="Y2454" s="15">
        <f t="shared" si="7"/>
        <v>45122</v>
      </c>
      <c r="Z2454" s="14" t="str">
        <f t="shared" si="8"/>
        <v>UPI</v>
      </c>
      <c r="AA2454" s="14" t="str">
        <f t="shared" si="9"/>
        <v>Cancelled</v>
      </c>
      <c r="AB2454" s="14" t="str">
        <f t="shared" ref="AB2454:AC2454" si="4912">trim(Q2454)</f>
        <v>App Glitches</v>
      </c>
      <c r="AC2454" s="14" t="str">
        <f t="shared" si="4912"/>
        <v>Slow Loading Time</v>
      </c>
      <c r="AD2454" s="8"/>
    </row>
    <row r="2455">
      <c r="A2455" s="14" t="str">
        <f>IFERROR(__xludf.DUMMYFUNCTION("""COMPUTED_VALUE"""),"//ord_95582//Simran Bhatt//Juhu//Orange+2*Tanvi Jain/3/8/2023//UPI//Delivered*Packaging: Secure and intact")</f>
        <v>//ord_95582//Simran Bhatt//Juhu//Orange+2*Tanvi Jain/3/8/2023//UPI//Delivered*Packaging: Secure and intact</v>
      </c>
      <c r="B2455" s="14" t="str">
        <f>IFERROR(__xludf.DUMMYFUNCTION("split(A2455,""//"")"),"ord_95582")</f>
        <v>ord_95582</v>
      </c>
      <c r="C2455" s="14" t="str">
        <f>IFERROR(__xludf.DUMMYFUNCTION("""COMPUTED_VALUE"""),"Simran Bhatt")</f>
        <v>Simran Bhatt</v>
      </c>
      <c r="D2455" s="14" t="str">
        <f>IFERROR(__xludf.DUMMYFUNCTION("""COMPUTED_VALUE"""),"Juhu")</f>
        <v>Juhu</v>
      </c>
      <c r="E2455" s="14" t="str">
        <f>IFERROR(__xludf.DUMMYFUNCTION("""COMPUTED_VALUE"""),"Orange+2*Tanvi Jain")</f>
        <v>Orange+2*Tanvi Jain</v>
      </c>
      <c r="F2455" s="14">
        <f>IFERROR(__xludf.DUMMYFUNCTION("""COMPUTED_VALUE"""),3.0)</f>
        <v>3</v>
      </c>
      <c r="G2455" s="14">
        <f>IFERROR(__xludf.DUMMYFUNCTION("""COMPUTED_VALUE"""),8.0)</f>
        <v>8</v>
      </c>
      <c r="H2455" s="14">
        <f>IFERROR(__xludf.DUMMYFUNCTION("""COMPUTED_VALUE"""),2023.0)</f>
        <v>2023</v>
      </c>
      <c r="I2455" s="14" t="str">
        <f>IFERROR(__xludf.DUMMYFUNCTION("""COMPUTED_VALUE"""),"UPI")</f>
        <v>UPI</v>
      </c>
      <c r="J2455" s="14" t="str">
        <f>IFERROR(__xludf.DUMMYFUNCTION("""COMPUTED_VALUE"""),"Delivered*Packaging: Secure and intact")</f>
        <v>Delivered*Packaging: Secure and intact</v>
      </c>
      <c r="K2455" s="14" t="str">
        <f>IFERROR(__xludf.DUMMYFUNCTION("split(E2455,""+"")"),"Orange")</f>
        <v>Orange</v>
      </c>
      <c r="L2455" s="14" t="str">
        <f>IFERROR(__xludf.DUMMYFUNCTION("""COMPUTED_VALUE"""),"2*Tanvi Jain")</f>
        <v>2*Tanvi Jain</v>
      </c>
      <c r="M2455" s="14">
        <f>IFERROR(__xludf.DUMMYFUNCTION("SPLIT(L2455,""*"")"),2.0)</f>
        <v>2</v>
      </c>
      <c r="N2455" s="14" t="str">
        <f>IFERROR(__xludf.DUMMYFUNCTION("""COMPUTED_VALUE"""),"Tanvi Jain")</f>
        <v>Tanvi Jain</v>
      </c>
      <c r="O2455" s="14" t="str">
        <f>IFERROR(__xludf.DUMMYFUNCTION("split(J2455,""*"")"),"Delivered")</f>
        <v>Delivered</v>
      </c>
      <c r="P2455" s="14" t="str">
        <f>IFERROR(__xludf.DUMMYFUNCTION("""COMPUTED_VALUE"""),"Packaging: Secure and intact")</f>
        <v>Packaging: Secure and intact</v>
      </c>
      <c r="Q2455" s="14" t="str">
        <f>IFERROR(__xludf.DUMMYFUNCTION("split(P2455,"":"")"),"Packaging")</f>
        <v>Packaging</v>
      </c>
      <c r="R2455" s="14" t="str">
        <f>IFERROR(__xludf.DUMMYFUNCTION("""COMPUTED_VALUE""")," Secure and intact")</f>
        <v> Secure and intact</v>
      </c>
      <c r="S2455" s="14" t="str">
        <f t="shared" ref="S2455:U2455" si="4913">trim(B2455)</f>
        <v>ord_95582</v>
      </c>
      <c r="T2455" s="14" t="str">
        <f t="shared" si="4913"/>
        <v>Simran Bhatt</v>
      </c>
      <c r="U2455" s="14" t="str">
        <f t="shared" si="4913"/>
        <v>Juhu</v>
      </c>
      <c r="V2455" s="14" t="str">
        <f t="shared" si="4"/>
        <v>Orange</v>
      </c>
      <c r="W2455" s="14">
        <f t="shared" si="5"/>
        <v>2</v>
      </c>
      <c r="X2455" s="14" t="str">
        <f t="shared" si="6"/>
        <v>Tanvi Jain</v>
      </c>
      <c r="Y2455" s="15">
        <f t="shared" si="7"/>
        <v>44993</v>
      </c>
      <c r="Z2455" s="14" t="str">
        <f t="shared" si="8"/>
        <v>UPI</v>
      </c>
      <c r="AA2455" s="14" t="str">
        <f t="shared" si="9"/>
        <v>Delivered</v>
      </c>
      <c r="AB2455" s="14" t="str">
        <f t="shared" ref="AB2455:AC2455" si="4914">trim(Q2455)</f>
        <v>Packaging</v>
      </c>
      <c r="AC2455" s="14" t="str">
        <f t="shared" si="4914"/>
        <v>Secure and intact</v>
      </c>
      <c r="AD2455" s="8"/>
    </row>
    <row r="2456">
      <c r="A2456" s="14" t="str">
        <f>IFERROR(__xludf.DUMMYFUNCTION("""COMPUTED_VALUE"""),"//ord_95676//Siya Reddy//Juhu//Apple+2*Tanvi Jain/3/4/2023//Credit Card//Delivered*Satisfied with the Delivery: Timely and quality")</f>
        <v>//ord_95676//Siya Reddy//Juhu//Apple+2*Tanvi Jain/3/4/2023//Credit Card//Delivered*Satisfied with the Delivery: Timely and quality</v>
      </c>
      <c r="B2456" s="14" t="str">
        <f>IFERROR(__xludf.DUMMYFUNCTION("split(A2456,""//"")"),"ord_95676")</f>
        <v>ord_95676</v>
      </c>
      <c r="C2456" s="14" t="str">
        <f>IFERROR(__xludf.DUMMYFUNCTION("""COMPUTED_VALUE"""),"Siya Reddy")</f>
        <v>Siya Reddy</v>
      </c>
      <c r="D2456" s="14" t="str">
        <f>IFERROR(__xludf.DUMMYFUNCTION("""COMPUTED_VALUE"""),"Juhu")</f>
        <v>Juhu</v>
      </c>
      <c r="E2456" s="14" t="str">
        <f>IFERROR(__xludf.DUMMYFUNCTION("""COMPUTED_VALUE"""),"Apple+2*Tanvi Jain")</f>
        <v>Apple+2*Tanvi Jain</v>
      </c>
      <c r="F2456" s="14">
        <f>IFERROR(__xludf.DUMMYFUNCTION("""COMPUTED_VALUE"""),3.0)</f>
        <v>3</v>
      </c>
      <c r="G2456" s="14">
        <f>IFERROR(__xludf.DUMMYFUNCTION("""COMPUTED_VALUE"""),4.0)</f>
        <v>4</v>
      </c>
      <c r="H2456" s="14">
        <f>IFERROR(__xludf.DUMMYFUNCTION("""COMPUTED_VALUE"""),2023.0)</f>
        <v>2023</v>
      </c>
      <c r="I2456" s="14" t="str">
        <f>IFERROR(__xludf.DUMMYFUNCTION("""COMPUTED_VALUE"""),"Credit Card")</f>
        <v>Credit Card</v>
      </c>
      <c r="J2456" s="14" t="str">
        <f>IFERROR(__xludf.DUMMYFUNCTION("""COMPUTED_VALUE"""),"Delivered*Satisfied with the Delivery: Timely and quality")</f>
        <v>Delivered*Satisfied with the Delivery: Timely and quality</v>
      </c>
      <c r="K2456" s="14" t="str">
        <f>IFERROR(__xludf.DUMMYFUNCTION("split(E2456,""+"")"),"Apple")</f>
        <v>Apple</v>
      </c>
      <c r="L2456" s="14" t="str">
        <f>IFERROR(__xludf.DUMMYFUNCTION("""COMPUTED_VALUE"""),"2*Tanvi Jain")</f>
        <v>2*Tanvi Jain</v>
      </c>
      <c r="M2456" s="14">
        <f>IFERROR(__xludf.DUMMYFUNCTION("SPLIT(L2456,""*"")"),2.0)</f>
        <v>2</v>
      </c>
      <c r="N2456" s="14" t="str">
        <f>IFERROR(__xludf.DUMMYFUNCTION("""COMPUTED_VALUE"""),"Tanvi Jain")</f>
        <v>Tanvi Jain</v>
      </c>
      <c r="O2456" s="14" t="str">
        <f>IFERROR(__xludf.DUMMYFUNCTION("split(J2456,""*"")"),"Delivered")</f>
        <v>Delivered</v>
      </c>
      <c r="P2456" s="14" t="str">
        <f>IFERROR(__xludf.DUMMYFUNCTION("""COMPUTED_VALUE"""),"Satisfied with the Delivery: Timely and quality")</f>
        <v>Satisfied with the Delivery: Timely and quality</v>
      </c>
      <c r="Q2456" s="14" t="str">
        <f>IFERROR(__xludf.DUMMYFUNCTION("split(P2456,"":"")"),"Satisfied with the Delivery")</f>
        <v>Satisfied with the Delivery</v>
      </c>
      <c r="R2456" s="14" t="str">
        <f>IFERROR(__xludf.DUMMYFUNCTION("""COMPUTED_VALUE""")," Timely and quality")</f>
        <v> Timely and quality</v>
      </c>
      <c r="S2456" s="14" t="str">
        <f t="shared" ref="S2456:U2456" si="4915">trim(B2456)</f>
        <v>ord_95676</v>
      </c>
      <c r="T2456" s="14" t="str">
        <f t="shared" si="4915"/>
        <v>Siya Reddy</v>
      </c>
      <c r="U2456" s="14" t="str">
        <f t="shared" si="4915"/>
        <v>Juhu</v>
      </c>
      <c r="V2456" s="14" t="str">
        <f t="shared" si="4"/>
        <v>Apple</v>
      </c>
      <c r="W2456" s="14">
        <f t="shared" si="5"/>
        <v>2</v>
      </c>
      <c r="X2456" s="14" t="str">
        <f t="shared" si="6"/>
        <v>Tanvi Jain</v>
      </c>
      <c r="Y2456" s="15">
        <f t="shared" si="7"/>
        <v>44989</v>
      </c>
      <c r="Z2456" s="14" t="str">
        <f t="shared" si="8"/>
        <v>Credit Card</v>
      </c>
      <c r="AA2456" s="14" t="str">
        <f t="shared" si="9"/>
        <v>Delivered</v>
      </c>
      <c r="AB2456" s="14" t="str">
        <f t="shared" ref="AB2456:AC2456" si="4916">trim(Q2456)</f>
        <v>Satisfied with the Delivery</v>
      </c>
      <c r="AC2456" s="14" t="str">
        <f t="shared" si="4916"/>
        <v>Timely and quality</v>
      </c>
      <c r="AD2456" s="8"/>
    </row>
    <row r="2457">
      <c r="A2457" s="14" t="str">
        <f>IFERROR(__xludf.DUMMYFUNCTION("""COMPUTED_VALUE"""),"//ord_95770//Aditi Iyer//Dadar//Orange+2*Aman Kumar/5/19/2023//Credit Card//Delivered*Customer Service: Seamless and easy")</f>
        <v>//ord_95770//Aditi Iyer//Dadar//Orange+2*Aman Kumar/5/19/2023//Credit Card//Delivered*Customer Service: Seamless and easy</v>
      </c>
      <c r="B2457" s="14" t="str">
        <f>IFERROR(__xludf.DUMMYFUNCTION("split(A2457,""//"")"),"ord_95770")</f>
        <v>ord_95770</v>
      </c>
      <c r="C2457" s="14" t="str">
        <f>IFERROR(__xludf.DUMMYFUNCTION("""COMPUTED_VALUE"""),"Aditi Iyer")</f>
        <v>Aditi Iyer</v>
      </c>
      <c r="D2457" s="14" t="str">
        <f>IFERROR(__xludf.DUMMYFUNCTION("""COMPUTED_VALUE"""),"Dadar")</f>
        <v>Dadar</v>
      </c>
      <c r="E2457" s="14" t="str">
        <f>IFERROR(__xludf.DUMMYFUNCTION("""COMPUTED_VALUE"""),"Orange+2*Aman Kumar")</f>
        <v>Orange+2*Aman Kumar</v>
      </c>
      <c r="F2457" s="14">
        <f>IFERROR(__xludf.DUMMYFUNCTION("""COMPUTED_VALUE"""),5.0)</f>
        <v>5</v>
      </c>
      <c r="G2457" s="14">
        <f>IFERROR(__xludf.DUMMYFUNCTION("""COMPUTED_VALUE"""),19.0)</f>
        <v>19</v>
      </c>
      <c r="H2457" s="14">
        <f>IFERROR(__xludf.DUMMYFUNCTION("""COMPUTED_VALUE"""),2023.0)</f>
        <v>2023</v>
      </c>
      <c r="I2457" s="14" t="str">
        <f>IFERROR(__xludf.DUMMYFUNCTION("""COMPUTED_VALUE"""),"Credit Card")</f>
        <v>Credit Card</v>
      </c>
      <c r="J2457" s="14" t="str">
        <f>IFERROR(__xludf.DUMMYFUNCTION("""COMPUTED_VALUE"""),"Delivered*Customer Service: Seamless and easy")</f>
        <v>Delivered*Customer Service: Seamless and easy</v>
      </c>
      <c r="K2457" s="14" t="str">
        <f>IFERROR(__xludf.DUMMYFUNCTION("split(E2457,""+"")"),"Orange")</f>
        <v>Orange</v>
      </c>
      <c r="L2457" s="14" t="str">
        <f>IFERROR(__xludf.DUMMYFUNCTION("""COMPUTED_VALUE"""),"2*Aman Kumar")</f>
        <v>2*Aman Kumar</v>
      </c>
      <c r="M2457" s="14">
        <f>IFERROR(__xludf.DUMMYFUNCTION("SPLIT(L2457,""*"")"),2.0)</f>
        <v>2</v>
      </c>
      <c r="N2457" s="14" t="str">
        <f>IFERROR(__xludf.DUMMYFUNCTION("""COMPUTED_VALUE"""),"Aman Kumar")</f>
        <v>Aman Kumar</v>
      </c>
      <c r="O2457" s="14" t="str">
        <f>IFERROR(__xludf.DUMMYFUNCTION("split(J2457,""*"")"),"Delivered")</f>
        <v>Delivered</v>
      </c>
      <c r="P2457" s="14" t="str">
        <f>IFERROR(__xludf.DUMMYFUNCTION("""COMPUTED_VALUE"""),"Customer Service: Seamless and easy")</f>
        <v>Customer Service: Seamless and easy</v>
      </c>
      <c r="Q2457" s="14" t="str">
        <f>IFERROR(__xludf.DUMMYFUNCTION("split(P2457,"":"")"),"Customer Service")</f>
        <v>Customer Service</v>
      </c>
      <c r="R2457" s="14" t="str">
        <f>IFERROR(__xludf.DUMMYFUNCTION("""COMPUTED_VALUE""")," Seamless and easy")</f>
        <v> Seamless and easy</v>
      </c>
      <c r="S2457" s="14" t="str">
        <f t="shared" ref="S2457:U2457" si="4917">trim(B2457)</f>
        <v>ord_95770</v>
      </c>
      <c r="T2457" s="14" t="str">
        <f t="shared" si="4917"/>
        <v>Aditi Iyer</v>
      </c>
      <c r="U2457" s="14" t="str">
        <f t="shared" si="4917"/>
        <v>Dadar</v>
      </c>
      <c r="V2457" s="14" t="str">
        <f t="shared" si="4"/>
        <v>Orange</v>
      </c>
      <c r="W2457" s="14">
        <f t="shared" si="5"/>
        <v>2</v>
      </c>
      <c r="X2457" s="14" t="str">
        <f t="shared" si="6"/>
        <v>Aman Kumar</v>
      </c>
      <c r="Y2457" s="15">
        <f t="shared" si="7"/>
        <v>45065</v>
      </c>
      <c r="Z2457" s="14" t="str">
        <f t="shared" si="8"/>
        <v>Credit Card</v>
      </c>
      <c r="AA2457" s="14" t="str">
        <f t="shared" si="9"/>
        <v>Delivered</v>
      </c>
      <c r="AB2457" s="14" t="str">
        <f t="shared" ref="AB2457:AC2457" si="4918">trim(Q2457)</f>
        <v>Customer Service</v>
      </c>
      <c r="AC2457" s="14" t="str">
        <f t="shared" si="4918"/>
        <v>Seamless and easy</v>
      </c>
      <c r="AD2457" s="8"/>
    </row>
    <row r="2458">
      <c r="A2458" s="14" t="str">
        <f>IFERROR(__xludf.DUMMYFUNCTION("""COMPUTED_VALUE"""),"//ord_95864//Aarav Mehta//Andheri//Cold Coffee+5*Rohan Yadav/4/10/2023//Online Payment//Delivered*Delivery Experience: Quick and professional")</f>
        <v>//ord_95864//Aarav Mehta//Andheri//Cold Coffee+5*Rohan Yadav/4/10/2023//Online Payment//Delivered*Delivery Experience: Quick and professional</v>
      </c>
      <c r="B2458" s="14" t="str">
        <f>IFERROR(__xludf.DUMMYFUNCTION("split(A2458,""//"")"),"ord_95864")</f>
        <v>ord_95864</v>
      </c>
      <c r="C2458" s="14" t="str">
        <f>IFERROR(__xludf.DUMMYFUNCTION("""COMPUTED_VALUE"""),"Aarav Mehta")</f>
        <v>Aarav Mehta</v>
      </c>
      <c r="D2458" s="14" t="str">
        <f>IFERROR(__xludf.DUMMYFUNCTION("""COMPUTED_VALUE"""),"Andheri")</f>
        <v>Andheri</v>
      </c>
      <c r="E2458" s="14" t="str">
        <f>IFERROR(__xludf.DUMMYFUNCTION("""COMPUTED_VALUE"""),"Cold Coffee+5*Rohan Yadav")</f>
        <v>Cold Coffee+5*Rohan Yadav</v>
      </c>
      <c r="F2458" s="14">
        <f>IFERROR(__xludf.DUMMYFUNCTION("""COMPUTED_VALUE"""),4.0)</f>
        <v>4</v>
      </c>
      <c r="G2458" s="14">
        <f>IFERROR(__xludf.DUMMYFUNCTION("""COMPUTED_VALUE"""),10.0)</f>
        <v>10</v>
      </c>
      <c r="H2458" s="14">
        <f>IFERROR(__xludf.DUMMYFUNCTION("""COMPUTED_VALUE"""),2023.0)</f>
        <v>2023</v>
      </c>
      <c r="I2458" s="14" t="str">
        <f>IFERROR(__xludf.DUMMYFUNCTION("""COMPUTED_VALUE"""),"Online Payment")</f>
        <v>Online Payment</v>
      </c>
      <c r="J2458" s="14" t="str">
        <f>IFERROR(__xludf.DUMMYFUNCTION("""COMPUTED_VALUE"""),"Delivered*Delivery Experience: Quick and professional")</f>
        <v>Delivered*Delivery Experience: Quick and professional</v>
      </c>
      <c r="K2458" s="14" t="str">
        <f>IFERROR(__xludf.DUMMYFUNCTION("split(E2458,""+"")"),"Cold Coffee")</f>
        <v>Cold Coffee</v>
      </c>
      <c r="L2458" s="14" t="str">
        <f>IFERROR(__xludf.DUMMYFUNCTION("""COMPUTED_VALUE"""),"5*Rohan Yadav")</f>
        <v>5*Rohan Yadav</v>
      </c>
      <c r="M2458" s="14">
        <f>IFERROR(__xludf.DUMMYFUNCTION("SPLIT(L2458,""*"")"),5.0)</f>
        <v>5</v>
      </c>
      <c r="N2458" s="14" t="str">
        <f>IFERROR(__xludf.DUMMYFUNCTION("""COMPUTED_VALUE"""),"Rohan Yadav")</f>
        <v>Rohan Yadav</v>
      </c>
      <c r="O2458" s="14" t="str">
        <f>IFERROR(__xludf.DUMMYFUNCTION("split(J2458,""*"")"),"Delivered")</f>
        <v>Delivered</v>
      </c>
      <c r="P2458" s="14" t="str">
        <f>IFERROR(__xludf.DUMMYFUNCTION("""COMPUTED_VALUE"""),"Delivery Experience: Quick and professional")</f>
        <v>Delivery Experience: Quick and professional</v>
      </c>
      <c r="Q2458" s="14" t="str">
        <f>IFERROR(__xludf.DUMMYFUNCTION("split(P2458,"":"")"),"Delivery Experience")</f>
        <v>Delivery Experience</v>
      </c>
      <c r="R2458" s="14" t="str">
        <f>IFERROR(__xludf.DUMMYFUNCTION("""COMPUTED_VALUE""")," Quick and professional")</f>
        <v> Quick and professional</v>
      </c>
      <c r="S2458" s="14" t="str">
        <f t="shared" ref="S2458:U2458" si="4919">trim(B2458)</f>
        <v>ord_95864</v>
      </c>
      <c r="T2458" s="14" t="str">
        <f t="shared" si="4919"/>
        <v>Aarav Mehta</v>
      </c>
      <c r="U2458" s="14" t="str">
        <f t="shared" si="4919"/>
        <v>Andheri</v>
      </c>
      <c r="V2458" s="14" t="str">
        <f t="shared" si="4"/>
        <v>Cold Coffee</v>
      </c>
      <c r="W2458" s="14">
        <f t="shared" si="5"/>
        <v>5</v>
      </c>
      <c r="X2458" s="14" t="str">
        <f t="shared" si="6"/>
        <v>Rohan Yadav</v>
      </c>
      <c r="Y2458" s="15">
        <f t="shared" si="7"/>
        <v>45026</v>
      </c>
      <c r="Z2458" s="14" t="str">
        <f t="shared" si="8"/>
        <v>Online Payment</v>
      </c>
      <c r="AA2458" s="14" t="str">
        <f t="shared" si="9"/>
        <v>Delivered</v>
      </c>
      <c r="AB2458" s="14" t="str">
        <f t="shared" ref="AB2458:AC2458" si="4920">trim(Q2458)</f>
        <v>Delivery Experience</v>
      </c>
      <c r="AC2458" s="14" t="str">
        <f t="shared" si="4920"/>
        <v>Quick and professional</v>
      </c>
      <c r="AD2458" s="8"/>
    </row>
    <row r="2459">
      <c r="A2459" s="14" t="str">
        <f>IFERROR(__xludf.DUMMYFUNCTION("""COMPUTED_VALUE"""),"//ord_95958//Ishaan Chaturvedi//Bandra//Banana+1*Priya Joshi/10/6/2023//Credit Card//Delivered*Convenience: Easy tracking")</f>
        <v>//ord_95958//Ishaan Chaturvedi//Bandra//Banana+1*Priya Joshi/10/6/2023//Credit Card//Delivered*Convenience: Easy tracking</v>
      </c>
      <c r="B2459" s="14" t="str">
        <f>IFERROR(__xludf.DUMMYFUNCTION("split(A2459,""//"")"),"ord_95958")</f>
        <v>ord_95958</v>
      </c>
      <c r="C2459" s="14" t="str">
        <f>IFERROR(__xludf.DUMMYFUNCTION("""COMPUTED_VALUE"""),"Ishaan Chaturvedi")</f>
        <v>Ishaan Chaturvedi</v>
      </c>
      <c r="D2459" s="14" t="str">
        <f>IFERROR(__xludf.DUMMYFUNCTION("""COMPUTED_VALUE"""),"Bandra")</f>
        <v>Bandra</v>
      </c>
      <c r="E2459" s="14" t="str">
        <f>IFERROR(__xludf.DUMMYFUNCTION("""COMPUTED_VALUE"""),"Banana+1*Priya Joshi")</f>
        <v>Banana+1*Priya Joshi</v>
      </c>
      <c r="F2459" s="14">
        <f>IFERROR(__xludf.DUMMYFUNCTION("""COMPUTED_VALUE"""),10.0)</f>
        <v>10</v>
      </c>
      <c r="G2459" s="14">
        <f>IFERROR(__xludf.DUMMYFUNCTION("""COMPUTED_VALUE"""),6.0)</f>
        <v>6</v>
      </c>
      <c r="H2459" s="14">
        <f>IFERROR(__xludf.DUMMYFUNCTION("""COMPUTED_VALUE"""),2023.0)</f>
        <v>2023</v>
      </c>
      <c r="I2459" s="14" t="str">
        <f>IFERROR(__xludf.DUMMYFUNCTION("""COMPUTED_VALUE"""),"Credit Card")</f>
        <v>Credit Card</v>
      </c>
      <c r="J2459" s="14" t="str">
        <f>IFERROR(__xludf.DUMMYFUNCTION("""COMPUTED_VALUE"""),"Delivered*Convenience: Easy tracking")</f>
        <v>Delivered*Convenience: Easy tracking</v>
      </c>
      <c r="K2459" s="14" t="str">
        <f>IFERROR(__xludf.DUMMYFUNCTION("split(E2459,""+"")"),"Banana")</f>
        <v>Banana</v>
      </c>
      <c r="L2459" s="14" t="str">
        <f>IFERROR(__xludf.DUMMYFUNCTION("""COMPUTED_VALUE"""),"1*Priya Joshi")</f>
        <v>1*Priya Joshi</v>
      </c>
      <c r="M2459" s="14">
        <f>IFERROR(__xludf.DUMMYFUNCTION("SPLIT(L2459,""*"")"),1.0)</f>
        <v>1</v>
      </c>
      <c r="N2459" s="14" t="str">
        <f>IFERROR(__xludf.DUMMYFUNCTION("""COMPUTED_VALUE"""),"Priya Joshi")</f>
        <v>Priya Joshi</v>
      </c>
      <c r="O2459" s="14" t="str">
        <f>IFERROR(__xludf.DUMMYFUNCTION("split(J2459,""*"")"),"Delivered")</f>
        <v>Delivered</v>
      </c>
      <c r="P2459" s="14" t="str">
        <f>IFERROR(__xludf.DUMMYFUNCTION("""COMPUTED_VALUE"""),"Convenience: Easy tracking")</f>
        <v>Convenience: Easy tracking</v>
      </c>
      <c r="Q2459" s="14" t="str">
        <f>IFERROR(__xludf.DUMMYFUNCTION("split(P2459,"":"")"),"Convenience")</f>
        <v>Convenience</v>
      </c>
      <c r="R2459" s="14" t="str">
        <f>IFERROR(__xludf.DUMMYFUNCTION("""COMPUTED_VALUE""")," Easy tracking")</f>
        <v> Easy tracking</v>
      </c>
      <c r="S2459" s="14" t="str">
        <f t="shared" ref="S2459:U2459" si="4921">trim(B2459)</f>
        <v>ord_95958</v>
      </c>
      <c r="T2459" s="14" t="str">
        <f t="shared" si="4921"/>
        <v>Ishaan Chaturvedi</v>
      </c>
      <c r="U2459" s="14" t="str">
        <f t="shared" si="4921"/>
        <v>Bandra</v>
      </c>
      <c r="V2459" s="14" t="str">
        <f t="shared" si="4"/>
        <v>Banana</v>
      </c>
      <c r="W2459" s="14">
        <f t="shared" si="5"/>
        <v>1</v>
      </c>
      <c r="X2459" s="14" t="str">
        <f t="shared" si="6"/>
        <v>Priya Joshi</v>
      </c>
      <c r="Y2459" s="15">
        <f t="shared" si="7"/>
        <v>45205</v>
      </c>
      <c r="Z2459" s="14" t="str">
        <f t="shared" si="8"/>
        <v>Credit Card</v>
      </c>
      <c r="AA2459" s="14" t="str">
        <f t="shared" si="9"/>
        <v>Delivered</v>
      </c>
      <c r="AB2459" s="14" t="str">
        <f t="shared" ref="AB2459:AC2459" si="4922">trim(Q2459)</f>
        <v>Convenience</v>
      </c>
      <c r="AC2459" s="14" t="str">
        <f t="shared" si="4922"/>
        <v>Easy tracking</v>
      </c>
      <c r="AD2459" s="8"/>
    </row>
    <row r="2460">
      <c r="A2460" s="14" t="str">
        <f>IFERROR(__xludf.DUMMYFUNCTION("""COMPUTED_VALUE"""),"//ord_96052//Aarav Mehta//Andheri//Banana+1*Vivek Kumar/8/6/2023//UPI//Delivered*Overall Satisfaction: Great service will order again")</f>
        <v>//ord_96052//Aarav Mehta//Andheri//Banana+1*Vivek Kumar/8/6/2023//UPI//Delivered*Overall Satisfaction: Great service will order again</v>
      </c>
      <c r="B2460" s="14" t="str">
        <f>IFERROR(__xludf.DUMMYFUNCTION("split(A2460,""//"")"),"ord_96052")</f>
        <v>ord_96052</v>
      </c>
      <c r="C2460" s="14" t="str">
        <f>IFERROR(__xludf.DUMMYFUNCTION("""COMPUTED_VALUE"""),"Aarav Mehta")</f>
        <v>Aarav Mehta</v>
      </c>
      <c r="D2460" s="14" t="str">
        <f>IFERROR(__xludf.DUMMYFUNCTION("""COMPUTED_VALUE"""),"Andheri")</f>
        <v>Andheri</v>
      </c>
      <c r="E2460" s="14" t="str">
        <f>IFERROR(__xludf.DUMMYFUNCTION("""COMPUTED_VALUE"""),"Banana+1*Vivek Kumar")</f>
        <v>Banana+1*Vivek Kumar</v>
      </c>
      <c r="F2460" s="14">
        <f>IFERROR(__xludf.DUMMYFUNCTION("""COMPUTED_VALUE"""),8.0)</f>
        <v>8</v>
      </c>
      <c r="G2460" s="14">
        <f>IFERROR(__xludf.DUMMYFUNCTION("""COMPUTED_VALUE"""),6.0)</f>
        <v>6</v>
      </c>
      <c r="H2460" s="14">
        <f>IFERROR(__xludf.DUMMYFUNCTION("""COMPUTED_VALUE"""),2023.0)</f>
        <v>2023</v>
      </c>
      <c r="I2460" s="14" t="str">
        <f>IFERROR(__xludf.DUMMYFUNCTION("""COMPUTED_VALUE"""),"UPI")</f>
        <v>UPI</v>
      </c>
      <c r="J2460" s="14" t="str">
        <f>IFERROR(__xludf.DUMMYFUNCTION("""COMPUTED_VALUE"""),"Delivered*Overall Satisfaction: Great service will order again")</f>
        <v>Delivered*Overall Satisfaction: Great service will order again</v>
      </c>
      <c r="K2460" s="14" t="str">
        <f>IFERROR(__xludf.DUMMYFUNCTION("split(E2460,""+"")"),"Banana")</f>
        <v>Banana</v>
      </c>
      <c r="L2460" s="14" t="str">
        <f>IFERROR(__xludf.DUMMYFUNCTION("""COMPUTED_VALUE"""),"1*Vivek Kumar")</f>
        <v>1*Vivek Kumar</v>
      </c>
      <c r="M2460" s="14">
        <f>IFERROR(__xludf.DUMMYFUNCTION("SPLIT(L2460,""*"")"),1.0)</f>
        <v>1</v>
      </c>
      <c r="N2460" s="14" t="str">
        <f>IFERROR(__xludf.DUMMYFUNCTION("""COMPUTED_VALUE"""),"Vivek Kumar")</f>
        <v>Vivek Kumar</v>
      </c>
      <c r="O2460" s="14" t="str">
        <f>IFERROR(__xludf.DUMMYFUNCTION("split(J2460,""*"")"),"Delivered")</f>
        <v>Delivered</v>
      </c>
      <c r="P2460" s="14" t="str">
        <f>IFERROR(__xludf.DUMMYFUNCTION("""COMPUTED_VALUE"""),"Overall Satisfaction: Great service will order again")</f>
        <v>Overall Satisfaction: Great service will order again</v>
      </c>
      <c r="Q2460" s="14" t="str">
        <f>IFERROR(__xludf.DUMMYFUNCTION("split(P2460,"":"")"),"Overall Satisfaction")</f>
        <v>Overall Satisfaction</v>
      </c>
      <c r="R2460" s="14" t="str">
        <f>IFERROR(__xludf.DUMMYFUNCTION("""COMPUTED_VALUE""")," Great service will order again")</f>
        <v> Great service will order again</v>
      </c>
      <c r="S2460" s="14" t="str">
        <f t="shared" ref="S2460:U2460" si="4923">trim(B2460)</f>
        <v>ord_96052</v>
      </c>
      <c r="T2460" s="14" t="str">
        <f t="shared" si="4923"/>
        <v>Aarav Mehta</v>
      </c>
      <c r="U2460" s="14" t="str">
        <f t="shared" si="4923"/>
        <v>Andheri</v>
      </c>
      <c r="V2460" s="14" t="str">
        <f t="shared" si="4"/>
        <v>Banana</v>
      </c>
      <c r="W2460" s="14">
        <f t="shared" si="5"/>
        <v>1</v>
      </c>
      <c r="X2460" s="14" t="str">
        <f t="shared" si="6"/>
        <v>Vivek Kumar</v>
      </c>
      <c r="Y2460" s="15">
        <f t="shared" si="7"/>
        <v>45144</v>
      </c>
      <c r="Z2460" s="14" t="str">
        <f t="shared" si="8"/>
        <v>UPI</v>
      </c>
      <c r="AA2460" s="14" t="str">
        <f t="shared" si="9"/>
        <v>Delivered</v>
      </c>
      <c r="AB2460" s="14" t="str">
        <f t="shared" ref="AB2460:AC2460" si="4924">trim(Q2460)</f>
        <v>Overall Satisfaction</v>
      </c>
      <c r="AC2460" s="14" t="str">
        <f t="shared" si="4924"/>
        <v>Great service will order again</v>
      </c>
      <c r="AD2460" s="8"/>
    </row>
    <row r="2461">
      <c r="A2461" s="14" t="str">
        <f>IFERROR(__xludf.DUMMYFUNCTION("""COMPUTED_VALUE"""),"//ord_96146//Sanjay Nair//Dadar//Apple+2*Sita T/10/14/2023//Online Payment//Delivered*On-time Delivery: Delivered on time")</f>
        <v>//ord_96146//Sanjay Nair//Dadar//Apple+2*Sita T/10/14/2023//Online Payment//Delivered*On-time Delivery: Delivered on time</v>
      </c>
      <c r="B2461" s="14" t="str">
        <f>IFERROR(__xludf.DUMMYFUNCTION("split(A2461,""//"")"),"ord_96146")</f>
        <v>ord_96146</v>
      </c>
      <c r="C2461" s="14" t="str">
        <f>IFERROR(__xludf.DUMMYFUNCTION("""COMPUTED_VALUE"""),"Sanjay Nair")</f>
        <v>Sanjay Nair</v>
      </c>
      <c r="D2461" s="14" t="str">
        <f>IFERROR(__xludf.DUMMYFUNCTION("""COMPUTED_VALUE"""),"Dadar")</f>
        <v>Dadar</v>
      </c>
      <c r="E2461" s="14" t="str">
        <f>IFERROR(__xludf.DUMMYFUNCTION("""COMPUTED_VALUE"""),"Apple+2*Sita T")</f>
        <v>Apple+2*Sita T</v>
      </c>
      <c r="F2461" s="14">
        <f>IFERROR(__xludf.DUMMYFUNCTION("""COMPUTED_VALUE"""),10.0)</f>
        <v>10</v>
      </c>
      <c r="G2461" s="14">
        <f>IFERROR(__xludf.DUMMYFUNCTION("""COMPUTED_VALUE"""),14.0)</f>
        <v>14</v>
      </c>
      <c r="H2461" s="14">
        <f>IFERROR(__xludf.DUMMYFUNCTION("""COMPUTED_VALUE"""),2023.0)</f>
        <v>2023</v>
      </c>
      <c r="I2461" s="14" t="str">
        <f>IFERROR(__xludf.DUMMYFUNCTION("""COMPUTED_VALUE"""),"Online Payment")</f>
        <v>Online Payment</v>
      </c>
      <c r="J2461" s="14" t="str">
        <f>IFERROR(__xludf.DUMMYFUNCTION("""COMPUTED_VALUE"""),"Delivered*On-time Delivery: Delivered on time")</f>
        <v>Delivered*On-time Delivery: Delivered on time</v>
      </c>
      <c r="K2461" s="14" t="str">
        <f>IFERROR(__xludf.DUMMYFUNCTION("split(E2461,""+"")"),"Apple")</f>
        <v>Apple</v>
      </c>
      <c r="L2461" s="14" t="str">
        <f>IFERROR(__xludf.DUMMYFUNCTION("""COMPUTED_VALUE"""),"2*Sita T")</f>
        <v>2*Sita T</v>
      </c>
      <c r="M2461" s="14">
        <f>IFERROR(__xludf.DUMMYFUNCTION("SPLIT(L2461,""*"")"),2.0)</f>
        <v>2</v>
      </c>
      <c r="N2461" s="14" t="str">
        <f>IFERROR(__xludf.DUMMYFUNCTION("""COMPUTED_VALUE"""),"Sita T")</f>
        <v>Sita T</v>
      </c>
      <c r="O2461" s="14" t="str">
        <f>IFERROR(__xludf.DUMMYFUNCTION("split(J2461,""*"")"),"Delivered")</f>
        <v>Delivered</v>
      </c>
      <c r="P2461" s="14" t="str">
        <f>IFERROR(__xludf.DUMMYFUNCTION("""COMPUTED_VALUE"""),"On-time Delivery: Delivered on time")</f>
        <v>On-time Delivery: Delivered on time</v>
      </c>
      <c r="Q2461" s="14" t="str">
        <f>IFERROR(__xludf.DUMMYFUNCTION("split(P2461,"":"")"),"On-time Delivery")</f>
        <v>On-time Delivery</v>
      </c>
      <c r="R2461" s="14" t="str">
        <f>IFERROR(__xludf.DUMMYFUNCTION("""COMPUTED_VALUE""")," Delivered on time")</f>
        <v> Delivered on time</v>
      </c>
      <c r="S2461" s="14" t="str">
        <f t="shared" ref="S2461:U2461" si="4925">trim(B2461)</f>
        <v>ord_96146</v>
      </c>
      <c r="T2461" s="14" t="str">
        <f t="shared" si="4925"/>
        <v>Sanjay Nair</v>
      </c>
      <c r="U2461" s="14" t="str">
        <f t="shared" si="4925"/>
        <v>Dadar</v>
      </c>
      <c r="V2461" s="14" t="str">
        <f t="shared" si="4"/>
        <v>Apple</v>
      </c>
      <c r="W2461" s="14">
        <f t="shared" si="5"/>
        <v>2</v>
      </c>
      <c r="X2461" s="14" t="str">
        <f t="shared" si="6"/>
        <v>Sita T</v>
      </c>
      <c r="Y2461" s="15">
        <f t="shared" si="7"/>
        <v>45213</v>
      </c>
      <c r="Z2461" s="14" t="str">
        <f t="shared" si="8"/>
        <v>Online Payment</v>
      </c>
      <c r="AA2461" s="14" t="str">
        <f t="shared" si="9"/>
        <v>Delivered</v>
      </c>
      <c r="AB2461" s="14" t="str">
        <f t="shared" ref="AB2461:AC2461" si="4926">trim(Q2461)</f>
        <v>On-time Delivery</v>
      </c>
      <c r="AC2461" s="14" t="str">
        <f t="shared" si="4926"/>
        <v>Delivered on time</v>
      </c>
      <c r="AD2461" s="8"/>
    </row>
    <row r="2462">
      <c r="A2462" s="14" t="str">
        <f>IFERROR(__xludf.DUMMYFUNCTION("""COMPUTED_VALUE"""),"//ord_96240//Ishita Banerjee//Juhu//Cold Coffee+2*Manju Ajay/5/15/2023//Credit Card//Delivered*On-time Delivery: Delivered on time")</f>
        <v>//ord_96240//Ishita Banerjee//Juhu//Cold Coffee+2*Manju Ajay/5/15/2023//Credit Card//Delivered*On-time Delivery: Delivered on time</v>
      </c>
      <c r="B2462" s="14" t="str">
        <f>IFERROR(__xludf.DUMMYFUNCTION("split(A2462,""//"")"),"ord_96240")</f>
        <v>ord_96240</v>
      </c>
      <c r="C2462" s="14" t="str">
        <f>IFERROR(__xludf.DUMMYFUNCTION("""COMPUTED_VALUE"""),"Ishita Banerjee")</f>
        <v>Ishita Banerjee</v>
      </c>
      <c r="D2462" s="14" t="str">
        <f>IFERROR(__xludf.DUMMYFUNCTION("""COMPUTED_VALUE"""),"Juhu")</f>
        <v>Juhu</v>
      </c>
      <c r="E2462" s="14" t="str">
        <f>IFERROR(__xludf.DUMMYFUNCTION("""COMPUTED_VALUE"""),"Cold Coffee+2*Manju Ajay")</f>
        <v>Cold Coffee+2*Manju Ajay</v>
      </c>
      <c r="F2462" s="14">
        <f>IFERROR(__xludf.DUMMYFUNCTION("""COMPUTED_VALUE"""),5.0)</f>
        <v>5</v>
      </c>
      <c r="G2462" s="14">
        <f>IFERROR(__xludf.DUMMYFUNCTION("""COMPUTED_VALUE"""),15.0)</f>
        <v>15</v>
      </c>
      <c r="H2462" s="14">
        <f>IFERROR(__xludf.DUMMYFUNCTION("""COMPUTED_VALUE"""),2023.0)</f>
        <v>2023</v>
      </c>
      <c r="I2462" s="14" t="str">
        <f>IFERROR(__xludf.DUMMYFUNCTION("""COMPUTED_VALUE"""),"Credit Card")</f>
        <v>Credit Card</v>
      </c>
      <c r="J2462" s="14" t="str">
        <f>IFERROR(__xludf.DUMMYFUNCTION("""COMPUTED_VALUE"""),"Delivered*On-time Delivery: Delivered on time")</f>
        <v>Delivered*On-time Delivery: Delivered on time</v>
      </c>
      <c r="K2462" s="14" t="str">
        <f>IFERROR(__xludf.DUMMYFUNCTION("split(E2462,""+"")"),"Cold Coffee")</f>
        <v>Cold Coffee</v>
      </c>
      <c r="L2462" s="14" t="str">
        <f>IFERROR(__xludf.DUMMYFUNCTION("""COMPUTED_VALUE"""),"2*Manju Ajay")</f>
        <v>2*Manju Ajay</v>
      </c>
      <c r="M2462" s="14">
        <f>IFERROR(__xludf.DUMMYFUNCTION("SPLIT(L2462,""*"")"),2.0)</f>
        <v>2</v>
      </c>
      <c r="N2462" s="14" t="str">
        <f>IFERROR(__xludf.DUMMYFUNCTION("""COMPUTED_VALUE"""),"Manju Ajay")</f>
        <v>Manju Ajay</v>
      </c>
      <c r="O2462" s="14" t="str">
        <f>IFERROR(__xludf.DUMMYFUNCTION("split(J2462,""*"")"),"Delivered")</f>
        <v>Delivered</v>
      </c>
      <c r="P2462" s="14" t="str">
        <f>IFERROR(__xludf.DUMMYFUNCTION("""COMPUTED_VALUE"""),"On-time Delivery: Delivered on time")</f>
        <v>On-time Delivery: Delivered on time</v>
      </c>
      <c r="Q2462" s="14" t="str">
        <f>IFERROR(__xludf.DUMMYFUNCTION("split(P2462,"":"")"),"On-time Delivery")</f>
        <v>On-time Delivery</v>
      </c>
      <c r="R2462" s="14" t="str">
        <f>IFERROR(__xludf.DUMMYFUNCTION("""COMPUTED_VALUE""")," Delivered on time")</f>
        <v> Delivered on time</v>
      </c>
      <c r="S2462" s="14" t="str">
        <f t="shared" ref="S2462:U2462" si="4927">trim(B2462)</f>
        <v>ord_96240</v>
      </c>
      <c r="T2462" s="14" t="str">
        <f t="shared" si="4927"/>
        <v>Ishita Banerjee</v>
      </c>
      <c r="U2462" s="14" t="str">
        <f t="shared" si="4927"/>
        <v>Juhu</v>
      </c>
      <c r="V2462" s="14" t="str">
        <f t="shared" si="4"/>
        <v>Cold Coffee</v>
      </c>
      <c r="W2462" s="14">
        <f t="shared" si="5"/>
        <v>2</v>
      </c>
      <c r="X2462" s="14" t="str">
        <f t="shared" si="6"/>
        <v>Manju Ajay</v>
      </c>
      <c r="Y2462" s="15">
        <f t="shared" si="7"/>
        <v>45061</v>
      </c>
      <c r="Z2462" s="14" t="str">
        <f t="shared" si="8"/>
        <v>Credit Card</v>
      </c>
      <c r="AA2462" s="14" t="str">
        <f t="shared" si="9"/>
        <v>Delivered</v>
      </c>
      <c r="AB2462" s="14" t="str">
        <f t="shared" ref="AB2462:AC2462" si="4928">trim(Q2462)</f>
        <v>On-time Delivery</v>
      </c>
      <c r="AC2462" s="14" t="str">
        <f t="shared" si="4928"/>
        <v>Delivered on time</v>
      </c>
      <c r="AD2462" s="8"/>
    </row>
    <row r="2463">
      <c r="A2463" s="14" t="str">
        <f>IFERROR(__xludf.DUMMYFUNCTION("""COMPUTED_VALUE"""),"//ord_97274//Sanjay Nair//Dadar//Chocolate Mousse+3*Ramesh S/10/11/2023//Online Payment//Delivered*Quality of Items: Perfect condition")</f>
        <v>//ord_97274//Sanjay Nair//Dadar//Chocolate Mousse+3*Ramesh S/10/11/2023//Online Payment//Delivered*Quality of Items: Perfect condition</v>
      </c>
      <c r="B2463" s="14" t="str">
        <f>IFERROR(__xludf.DUMMYFUNCTION("split(A2463,""//"")"),"ord_97274")</f>
        <v>ord_97274</v>
      </c>
      <c r="C2463" s="14" t="str">
        <f>IFERROR(__xludf.DUMMYFUNCTION("""COMPUTED_VALUE"""),"Sanjay Nair")</f>
        <v>Sanjay Nair</v>
      </c>
      <c r="D2463" s="14" t="str">
        <f>IFERROR(__xludf.DUMMYFUNCTION("""COMPUTED_VALUE"""),"Dadar")</f>
        <v>Dadar</v>
      </c>
      <c r="E2463" s="14" t="str">
        <f>IFERROR(__xludf.DUMMYFUNCTION("""COMPUTED_VALUE"""),"Chocolate Mousse+3*Ramesh S")</f>
        <v>Chocolate Mousse+3*Ramesh S</v>
      </c>
      <c r="F2463" s="14">
        <f>IFERROR(__xludf.DUMMYFUNCTION("""COMPUTED_VALUE"""),10.0)</f>
        <v>10</v>
      </c>
      <c r="G2463" s="14">
        <f>IFERROR(__xludf.DUMMYFUNCTION("""COMPUTED_VALUE"""),11.0)</f>
        <v>11</v>
      </c>
      <c r="H2463" s="14">
        <f>IFERROR(__xludf.DUMMYFUNCTION("""COMPUTED_VALUE"""),2023.0)</f>
        <v>2023</v>
      </c>
      <c r="I2463" s="14" t="str">
        <f>IFERROR(__xludf.DUMMYFUNCTION("""COMPUTED_VALUE"""),"Online Payment")</f>
        <v>Online Payment</v>
      </c>
      <c r="J2463" s="14" t="str">
        <f>IFERROR(__xludf.DUMMYFUNCTION("""COMPUTED_VALUE"""),"Delivered*Quality of Items: Perfect condition")</f>
        <v>Delivered*Quality of Items: Perfect condition</v>
      </c>
      <c r="K2463" s="14" t="str">
        <f>IFERROR(__xludf.DUMMYFUNCTION("split(E2463,""+"")"),"Chocolate Mousse")</f>
        <v>Chocolate Mousse</v>
      </c>
      <c r="L2463" s="14" t="str">
        <f>IFERROR(__xludf.DUMMYFUNCTION("""COMPUTED_VALUE"""),"3*Ramesh S")</f>
        <v>3*Ramesh S</v>
      </c>
      <c r="M2463" s="14">
        <f>IFERROR(__xludf.DUMMYFUNCTION("SPLIT(L2463,""*"")"),3.0)</f>
        <v>3</v>
      </c>
      <c r="N2463" s="14" t="str">
        <f>IFERROR(__xludf.DUMMYFUNCTION("""COMPUTED_VALUE"""),"Ramesh S")</f>
        <v>Ramesh S</v>
      </c>
      <c r="O2463" s="14" t="str">
        <f>IFERROR(__xludf.DUMMYFUNCTION("split(J2463,""*"")"),"Delivered")</f>
        <v>Delivered</v>
      </c>
      <c r="P2463" s="14" t="str">
        <f>IFERROR(__xludf.DUMMYFUNCTION("""COMPUTED_VALUE"""),"Quality of Items: Perfect condition")</f>
        <v>Quality of Items: Perfect condition</v>
      </c>
      <c r="Q2463" s="14" t="str">
        <f>IFERROR(__xludf.DUMMYFUNCTION("split(P2463,"":"")"),"Quality of Items")</f>
        <v>Quality of Items</v>
      </c>
      <c r="R2463" s="14" t="str">
        <f>IFERROR(__xludf.DUMMYFUNCTION("""COMPUTED_VALUE""")," Perfect condition")</f>
        <v> Perfect condition</v>
      </c>
      <c r="S2463" s="14" t="str">
        <f t="shared" ref="S2463:U2463" si="4929">trim(B2463)</f>
        <v>ord_97274</v>
      </c>
      <c r="T2463" s="14" t="str">
        <f t="shared" si="4929"/>
        <v>Sanjay Nair</v>
      </c>
      <c r="U2463" s="14" t="str">
        <f t="shared" si="4929"/>
        <v>Dadar</v>
      </c>
      <c r="V2463" s="14" t="str">
        <f t="shared" si="4"/>
        <v>Chocolate Mousse</v>
      </c>
      <c r="W2463" s="14">
        <f t="shared" si="5"/>
        <v>3</v>
      </c>
      <c r="X2463" s="14" t="str">
        <f t="shared" si="6"/>
        <v>Ramesh S</v>
      </c>
      <c r="Y2463" s="15">
        <f t="shared" si="7"/>
        <v>45210</v>
      </c>
      <c r="Z2463" s="14" t="str">
        <f t="shared" si="8"/>
        <v>Online Payment</v>
      </c>
      <c r="AA2463" s="14" t="str">
        <f t="shared" si="9"/>
        <v>Delivered</v>
      </c>
      <c r="AB2463" s="14" t="str">
        <f t="shared" ref="AB2463:AC2463" si="4930">trim(Q2463)</f>
        <v>Quality of Items</v>
      </c>
      <c r="AC2463" s="14" t="str">
        <f t="shared" si="4930"/>
        <v>Perfect condition</v>
      </c>
      <c r="AD2463" s="8"/>
    </row>
    <row r="2464">
      <c r="A2464" s="14" t="str">
        <f>IFERROR(__xludf.DUMMYFUNCTION("""COMPUTED_VALUE"""),"//ord_97368//Simran Bhatt//Juhu//Cold Coffee+5*Manju Ajay/12/5/2023//Credit Card//Delivered*Packaging: Secure and intact")</f>
        <v>//ord_97368//Simran Bhatt//Juhu//Cold Coffee+5*Manju Ajay/12/5/2023//Credit Card//Delivered*Packaging: Secure and intact</v>
      </c>
      <c r="B2464" s="14" t="str">
        <f>IFERROR(__xludf.DUMMYFUNCTION("split(A2464,""//"")"),"ord_97368")</f>
        <v>ord_97368</v>
      </c>
      <c r="C2464" s="14" t="str">
        <f>IFERROR(__xludf.DUMMYFUNCTION("""COMPUTED_VALUE"""),"Simran Bhatt")</f>
        <v>Simran Bhatt</v>
      </c>
      <c r="D2464" s="14" t="str">
        <f>IFERROR(__xludf.DUMMYFUNCTION("""COMPUTED_VALUE"""),"Juhu")</f>
        <v>Juhu</v>
      </c>
      <c r="E2464" s="14" t="str">
        <f>IFERROR(__xludf.DUMMYFUNCTION("""COMPUTED_VALUE"""),"Cold Coffee+5*Manju Ajay")</f>
        <v>Cold Coffee+5*Manju Ajay</v>
      </c>
      <c r="F2464" s="14">
        <f>IFERROR(__xludf.DUMMYFUNCTION("""COMPUTED_VALUE"""),12.0)</f>
        <v>12</v>
      </c>
      <c r="G2464" s="14">
        <f>IFERROR(__xludf.DUMMYFUNCTION("""COMPUTED_VALUE"""),5.0)</f>
        <v>5</v>
      </c>
      <c r="H2464" s="14">
        <f>IFERROR(__xludf.DUMMYFUNCTION("""COMPUTED_VALUE"""),2023.0)</f>
        <v>2023</v>
      </c>
      <c r="I2464" s="14" t="str">
        <f>IFERROR(__xludf.DUMMYFUNCTION("""COMPUTED_VALUE"""),"Credit Card")</f>
        <v>Credit Card</v>
      </c>
      <c r="J2464" s="14" t="str">
        <f>IFERROR(__xludf.DUMMYFUNCTION("""COMPUTED_VALUE"""),"Delivered*Packaging: Secure and intact")</f>
        <v>Delivered*Packaging: Secure and intact</v>
      </c>
      <c r="K2464" s="14" t="str">
        <f>IFERROR(__xludf.DUMMYFUNCTION("split(E2464,""+"")"),"Cold Coffee")</f>
        <v>Cold Coffee</v>
      </c>
      <c r="L2464" s="14" t="str">
        <f>IFERROR(__xludf.DUMMYFUNCTION("""COMPUTED_VALUE"""),"5*Manju Ajay")</f>
        <v>5*Manju Ajay</v>
      </c>
      <c r="M2464" s="14">
        <f>IFERROR(__xludf.DUMMYFUNCTION("SPLIT(L2464,""*"")"),5.0)</f>
        <v>5</v>
      </c>
      <c r="N2464" s="14" t="str">
        <f>IFERROR(__xludf.DUMMYFUNCTION("""COMPUTED_VALUE"""),"Manju Ajay")</f>
        <v>Manju Ajay</v>
      </c>
      <c r="O2464" s="14" t="str">
        <f>IFERROR(__xludf.DUMMYFUNCTION("split(J2464,""*"")"),"Delivered")</f>
        <v>Delivered</v>
      </c>
      <c r="P2464" s="14" t="str">
        <f>IFERROR(__xludf.DUMMYFUNCTION("""COMPUTED_VALUE"""),"Packaging: Secure and intact")</f>
        <v>Packaging: Secure and intact</v>
      </c>
      <c r="Q2464" s="14" t="str">
        <f>IFERROR(__xludf.DUMMYFUNCTION("split(P2464,"":"")"),"Packaging")</f>
        <v>Packaging</v>
      </c>
      <c r="R2464" s="14" t="str">
        <f>IFERROR(__xludf.DUMMYFUNCTION("""COMPUTED_VALUE""")," Secure and intact")</f>
        <v> Secure and intact</v>
      </c>
      <c r="S2464" s="14" t="str">
        <f t="shared" ref="S2464:U2464" si="4931">trim(B2464)</f>
        <v>ord_97368</v>
      </c>
      <c r="T2464" s="14" t="str">
        <f t="shared" si="4931"/>
        <v>Simran Bhatt</v>
      </c>
      <c r="U2464" s="14" t="str">
        <f t="shared" si="4931"/>
        <v>Juhu</v>
      </c>
      <c r="V2464" s="14" t="str">
        <f t="shared" si="4"/>
        <v>Cold Coffee</v>
      </c>
      <c r="W2464" s="14">
        <f t="shared" si="5"/>
        <v>5</v>
      </c>
      <c r="X2464" s="14" t="str">
        <f t="shared" si="6"/>
        <v>Manju Ajay</v>
      </c>
      <c r="Y2464" s="15">
        <f t="shared" si="7"/>
        <v>45265</v>
      </c>
      <c r="Z2464" s="14" t="str">
        <f t="shared" si="8"/>
        <v>Credit Card</v>
      </c>
      <c r="AA2464" s="14" t="str">
        <f t="shared" si="9"/>
        <v>Delivered</v>
      </c>
      <c r="AB2464" s="14" t="str">
        <f t="shared" ref="AB2464:AC2464" si="4932">trim(Q2464)</f>
        <v>Packaging</v>
      </c>
      <c r="AC2464" s="14" t="str">
        <f t="shared" si="4932"/>
        <v>Secure and intact</v>
      </c>
      <c r="AD2464" s="8"/>
    </row>
    <row r="2465">
      <c r="A2465" s="14" t="str">
        <f>IFERROR(__xludf.DUMMYFUNCTION("""COMPUTED_VALUE"""),"//ord_97462//Pranav Joshi//Andheri//Apple+2*Ramesh S/9/10/2023//UPI//Delivered*Satisfied with the Delivery: Timely and quality")</f>
        <v>//ord_97462//Pranav Joshi//Andheri//Apple+2*Ramesh S/9/10/2023//UPI//Delivered*Satisfied with the Delivery: Timely and quality</v>
      </c>
      <c r="B2465" s="14" t="str">
        <f>IFERROR(__xludf.DUMMYFUNCTION("split(A2465,""//"")"),"ord_97462")</f>
        <v>ord_97462</v>
      </c>
      <c r="C2465" s="14" t="str">
        <f>IFERROR(__xludf.DUMMYFUNCTION("""COMPUTED_VALUE"""),"Pranav Joshi")</f>
        <v>Pranav Joshi</v>
      </c>
      <c r="D2465" s="14" t="str">
        <f>IFERROR(__xludf.DUMMYFUNCTION("""COMPUTED_VALUE"""),"Andheri")</f>
        <v>Andheri</v>
      </c>
      <c r="E2465" s="14" t="str">
        <f>IFERROR(__xludf.DUMMYFUNCTION("""COMPUTED_VALUE"""),"Apple+2*Ramesh S")</f>
        <v>Apple+2*Ramesh S</v>
      </c>
      <c r="F2465" s="14">
        <f>IFERROR(__xludf.DUMMYFUNCTION("""COMPUTED_VALUE"""),9.0)</f>
        <v>9</v>
      </c>
      <c r="G2465" s="14">
        <f>IFERROR(__xludf.DUMMYFUNCTION("""COMPUTED_VALUE"""),10.0)</f>
        <v>10</v>
      </c>
      <c r="H2465" s="14">
        <f>IFERROR(__xludf.DUMMYFUNCTION("""COMPUTED_VALUE"""),2023.0)</f>
        <v>2023</v>
      </c>
      <c r="I2465" s="14" t="str">
        <f>IFERROR(__xludf.DUMMYFUNCTION("""COMPUTED_VALUE"""),"UPI")</f>
        <v>UPI</v>
      </c>
      <c r="J2465" s="14" t="str">
        <f>IFERROR(__xludf.DUMMYFUNCTION("""COMPUTED_VALUE"""),"Delivered*Satisfied with the Delivery: Timely and quality")</f>
        <v>Delivered*Satisfied with the Delivery: Timely and quality</v>
      </c>
      <c r="K2465" s="14" t="str">
        <f>IFERROR(__xludf.DUMMYFUNCTION("split(E2465,""+"")"),"Apple")</f>
        <v>Apple</v>
      </c>
      <c r="L2465" s="14" t="str">
        <f>IFERROR(__xludf.DUMMYFUNCTION("""COMPUTED_VALUE"""),"2*Ramesh S")</f>
        <v>2*Ramesh S</v>
      </c>
      <c r="M2465" s="14">
        <f>IFERROR(__xludf.DUMMYFUNCTION("SPLIT(L2465,""*"")"),2.0)</f>
        <v>2</v>
      </c>
      <c r="N2465" s="14" t="str">
        <f>IFERROR(__xludf.DUMMYFUNCTION("""COMPUTED_VALUE"""),"Ramesh S")</f>
        <v>Ramesh S</v>
      </c>
      <c r="O2465" s="14" t="str">
        <f>IFERROR(__xludf.DUMMYFUNCTION("split(J2465,""*"")"),"Delivered")</f>
        <v>Delivered</v>
      </c>
      <c r="P2465" s="14" t="str">
        <f>IFERROR(__xludf.DUMMYFUNCTION("""COMPUTED_VALUE"""),"Satisfied with the Delivery: Timely and quality")</f>
        <v>Satisfied with the Delivery: Timely and quality</v>
      </c>
      <c r="Q2465" s="14" t="str">
        <f>IFERROR(__xludf.DUMMYFUNCTION("split(P2465,"":"")"),"Satisfied with the Delivery")</f>
        <v>Satisfied with the Delivery</v>
      </c>
      <c r="R2465" s="14" t="str">
        <f>IFERROR(__xludf.DUMMYFUNCTION("""COMPUTED_VALUE""")," Timely and quality")</f>
        <v> Timely and quality</v>
      </c>
      <c r="S2465" s="14" t="str">
        <f t="shared" ref="S2465:U2465" si="4933">trim(B2465)</f>
        <v>ord_97462</v>
      </c>
      <c r="T2465" s="14" t="str">
        <f t="shared" si="4933"/>
        <v>Pranav Joshi</v>
      </c>
      <c r="U2465" s="14" t="str">
        <f t="shared" si="4933"/>
        <v>Andheri</v>
      </c>
      <c r="V2465" s="14" t="str">
        <f t="shared" si="4"/>
        <v>Apple</v>
      </c>
      <c r="W2465" s="14">
        <f t="shared" si="5"/>
        <v>2</v>
      </c>
      <c r="X2465" s="14" t="str">
        <f t="shared" si="6"/>
        <v>Ramesh S</v>
      </c>
      <c r="Y2465" s="15">
        <f t="shared" si="7"/>
        <v>45179</v>
      </c>
      <c r="Z2465" s="14" t="str">
        <f t="shared" si="8"/>
        <v>UPI</v>
      </c>
      <c r="AA2465" s="14" t="str">
        <f t="shared" si="9"/>
        <v>Delivered</v>
      </c>
      <c r="AB2465" s="14" t="str">
        <f t="shared" ref="AB2465:AC2465" si="4934">trim(Q2465)</f>
        <v>Satisfied with the Delivery</v>
      </c>
      <c r="AC2465" s="14" t="str">
        <f t="shared" si="4934"/>
        <v>Timely and quality</v>
      </c>
      <c r="AD2465" s="8"/>
    </row>
    <row r="2466">
      <c r="A2466" s="14" t="str">
        <f>IFERROR(__xludf.DUMMYFUNCTION("""COMPUTED_VALUE"""),"//ord_97556//Anaya Rao//Colaba//Tiramisu+4*Sita T/3/15/2023//Online Payment//Delivered*Customer Service: Seamless and easy")</f>
        <v>//ord_97556//Anaya Rao//Colaba//Tiramisu+4*Sita T/3/15/2023//Online Payment//Delivered*Customer Service: Seamless and easy</v>
      </c>
      <c r="B2466" s="14" t="str">
        <f>IFERROR(__xludf.DUMMYFUNCTION("split(A2466,""//"")"),"ord_97556")</f>
        <v>ord_97556</v>
      </c>
      <c r="C2466" s="14" t="str">
        <f>IFERROR(__xludf.DUMMYFUNCTION("""COMPUTED_VALUE"""),"Anaya Rao")</f>
        <v>Anaya Rao</v>
      </c>
      <c r="D2466" s="14" t="str">
        <f>IFERROR(__xludf.DUMMYFUNCTION("""COMPUTED_VALUE"""),"Colaba")</f>
        <v>Colaba</v>
      </c>
      <c r="E2466" s="14" t="str">
        <f>IFERROR(__xludf.DUMMYFUNCTION("""COMPUTED_VALUE"""),"Tiramisu+4*Sita T")</f>
        <v>Tiramisu+4*Sita T</v>
      </c>
      <c r="F2466" s="14">
        <f>IFERROR(__xludf.DUMMYFUNCTION("""COMPUTED_VALUE"""),3.0)</f>
        <v>3</v>
      </c>
      <c r="G2466" s="14">
        <f>IFERROR(__xludf.DUMMYFUNCTION("""COMPUTED_VALUE"""),15.0)</f>
        <v>15</v>
      </c>
      <c r="H2466" s="14">
        <f>IFERROR(__xludf.DUMMYFUNCTION("""COMPUTED_VALUE"""),2023.0)</f>
        <v>2023</v>
      </c>
      <c r="I2466" s="14" t="str">
        <f>IFERROR(__xludf.DUMMYFUNCTION("""COMPUTED_VALUE"""),"Online Payment")</f>
        <v>Online Payment</v>
      </c>
      <c r="J2466" s="14" t="str">
        <f>IFERROR(__xludf.DUMMYFUNCTION("""COMPUTED_VALUE"""),"Delivered*Customer Service: Seamless and easy")</f>
        <v>Delivered*Customer Service: Seamless and easy</v>
      </c>
      <c r="K2466" s="14" t="str">
        <f>IFERROR(__xludf.DUMMYFUNCTION("split(E2466,""+"")"),"Tiramisu")</f>
        <v>Tiramisu</v>
      </c>
      <c r="L2466" s="14" t="str">
        <f>IFERROR(__xludf.DUMMYFUNCTION("""COMPUTED_VALUE"""),"4*Sita T")</f>
        <v>4*Sita T</v>
      </c>
      <c r="M2466" s="14">
        <f>IFERROR(__xludf.DUMMYFUNCTION("SPLIT(L2466,""*"")"),4.0)</f>
        <v>4</v>
      </c>
      <c r="N2466" s="14" t="str">
        <f>IFERROR(__xludf.DUMMYFUNCTION("""COMPUTED_VALUE"""),"Sita T")</f>
        <v>Sita T</v>
      </c>
      <c r="O2466" s="14" t="str">
        <f>IFERROR(__xludf.DUMMYFUNCTION("split(J2466,""*"")"),"Delivered")</f>
        <v>Delivered</v>
      </c>
      <c r="P2466" s="14" t="str">
        <f>IFERROR(__xludf.DUMMYFUNCTION("""COMPUTED_VALUE"""),"Customer Service: Seamless and easy")</f>
        <v>Customer Service: Seamless and easy</v>
      </c>
      <c r="Q2466" s="14" t="str">
        <f>IFERROR(__xludf.DUMMYFUNCTION("split(P2466,"":"")"),"Customer Service")</f>
        <v>Customer Service</v>
      </c>
      <c r="R2466" s="14" t="str">
        <f>IFERROR(__xludf.DUMMYFUNCTION("""COMPUTED_VALUE""")," Seamless and easy")</f>
        <v> Seamless and easy</v>
      </c>
      <c r="S2466" s="14" t="str">
        <f t="shared" ref="S2466:U2466" si="4935">trim(B2466)</f>
        <v>ord_97556</v>
      </c>
      <c r="T2466" s="14" t="str">
        <f t="shared" si="4935"/>
        <v>Anaya Rao</v>
      </c>
      <c r="U2466" s="14" t="str">
        <f t="shared" si="4935"/>
        <v>Colaba</v>
      </c>
      <c r="V2466" s="14" t="str">
        <f t="shared" si="4"/>
        <v>Tiramisu</v>
      </c>
      <c r="W2466" s="14">
        <f t="shared" si="5"/>
        <v>4</v>
      </c>
      <c r="X2466" s="14" t="str">
        <f t="shared" si="6"/>
        <v>Sita T</v>
      </c>
      <c r="Y2466" s="15">
        <f t="shared" si="7"/>
        <v>45000</v>
      </c>
      <c r="Z2466" s="14" t="str">
        <f t="shared" si="8"/>
        <v>Online Payment</v>
      </c>
      <c r="AA2466" s="14" t="str">
        <f t="shared" si="9"/>
        <v>Delivered</v>
      </c>
      <c r="AB2466" s="14" t="str">
        <f t="shared" ref="AB2466:AC2466" si="4936">trim(Q2466)</f>
        <v>Customer Service</v>
      </c>
      <c r="AC2466" s="14" t="str">
        <f t="shared" si="4936"/>
        <v>Seamless and easy</v>
      </c>
      <c r="AD2466" s="8"/>
    </row>
    <row r="2467">
      <c r="A2467" s="14" t="str">
        <f>IFERROR(__xludf.DUMMYFUNCTION("""COMPUTED_VALUE"""),"//ord_97650//Tanishq Bansal//Powai//Orange+2*Nithin Lal/10/12/2023//UPI//Delivered*Delivery Experience: Quick and professional")</f>
        <v>//ord_97650//Tanishq Bansal//Powai//Orange+2*Nithin Lal/10/12/2023//UPI//Delivered*Delivery Experience: Quick and professional</v>
      </c>
      <c r="B2467" s="14" t="str">
        <f>IFERROR(__xludf.DUMMYFUNCTION("split(A2467,""//"")"),"ord_97650")</f>
        <v>ord_97650</v>
      </c>
      <c r="C2467" s="14" t="str">
        <f>IFERROR(__xludf.DUMMYFUNCTION("""COMPUTED_VALUE"""),"Tanishq Bansal")</f>
        <v>Tanishq Bansal</v>
      </c>
      <c r="D2467" s="14" t="str">
        <f>IFERROR(__xludf.DUMMYFUNCTION("""COMPUTED_VALUE"""),"Powai")</f>
        <v>Powai</v>
      </c>
      <c r="E2467" s="14" t="str">
        <f>IFERROR(__xludf.DUMMYFUNCTION("""COMPUTED_VALUE"""),"Orange+2*Nithin Lal")</f>
        <v>Orange+2*Nithin Lal</v>
      </c>
      <c r="F2467" s="14">
        <f>IFERROR(__xludf.DUMMYFUNCTION("""COMPUTED_VALUE"""),10.0)</f>
        <v>10</v>
      </c>
      <c r="G2467" s="14">
        <f>IFERROR(__xludf.DUMMYFUNCTION("""COMPUTED_VALUE"""),12.0)</f>
        <v>12</v>
      </c>
      <c r="H2467" s="14">
        <f>IFERROR(__xludf.DUMMYFUNCTION("""COMPUTED_VALUE"""),2023.0)</f>
        <v>2023</v>
      </c>
      <c r="I2467" s="14" t="str">
        <f>IFERROR(__xludf.DUMMYFUNCTION("""COMPUTED_VALUE"""),"UPI")</f>
        <v>UPI</v>
      </c>
      <c r="J2467" s="14" t="str">
        <f>IFERROR(__xludf.DUMMYFUNCTION("""COMPUTED_VALUE"""),"Delivered*Delivery Experience: Quick and professional")</f>
        <v>Delivered*Delivery Experience: Quick and professional</v>
      </c>
      <c r="K2467" s="14" t="str">
        <f>IFERROR(__xludf.DUMMYFUNCTION("split(E2467,""+"")"),"Orange")</f>
        <v>Orange</v>
      </c>
      <c r="L2467" s="14" t="str">
        <f>IFERROR(__xludf.DUMMYFUNCTION("""COMPUTED_VALUE"""),"2*Nithin Lal")</f>
        <v>2*Nithin Lal</v>
      </c>
      <c r="M2467" s="14">
        <f>IFERROR(__xludf.DUMMYFUNCTION("SPLIT(L2467,""*"")"),2.0)</f>
        <v>2</v>
      </c>
      <c r="N2467" s="14" t="str">
        <f>IFERROR(__xludf.DUMMYFUNCTION("""COMPUTED_VALUE"""),"Nithin Lal")</f>
        <v>Nithin Lal</v>
      </c>
      <c r="O2467" s="14" t="str">
        <f>IFERROR(__xludf.DUMMYFUNCTION("split(J2467,""*"")"),"Delivered")</f>
        <v>Delivered</v>
      </c>
      <c r="P2467" s="14" t="str">
        <f>IFERROR(__xludf.DUMMYFUNCTION("""COMPUTED_VALUE"""),"Delivery Experience: Quick and professional")</f>
        <v>Delivery Experience: Quick and professional</v>
      </c>
      <c r="Q2467" s="14" t="str">
        <f>IFERROR(__xludf.DUMMYFUNCTION("split(P2467,"":"")"),"Delivery Experience")</f>
        <v>Delivery Experience</v>
      </c>
      <c r="R2467" s="14" t="str">
        <f>IFERROR(__xludf.DUMMYFUNCTION("""COMPUTED_VALUE""")," Quick and professional")</f>
        <v> Quick and professional</v>
      </c>
      <c r="S2467" s="14" t="str">
        <f t="shared" ref="S2467:U2467" si="4937">trim(B2467)</f>
        <v>ord_97650</v>
      </c>
      <c r="T2467" s="14" t="str">
        <f t="shared" si="4937"/>
        <v>Tanishq Bansal</v>
      </c>
      <c r="U2467" s="14" t="str">
        <f t="shared" si="4937"/>
        <v>Powai</v>
      </c>
      <c r="V2467" s="14" t="str">
        <f t="shared" si="4"/>
        <v>Orange</v>
      </c>
      <c r="W2467" s="14">
        <f t="shared" si="5"/>
        <v>2</v>
      </c>
      <c r="X2467" s="14" t="str">
        <f t="shared" si="6"/>
        <v>Nithin Lal</v>
      </c>
      <c r="Y2467" s="15">
        <f t="shared" si="7"/>
        <v>45211</v>
      </c>
      <c r="Z2467" s="14" t="str">
        <f t="shared" si="8"/>
        <v>UPI</v>
      </c>
      <c r="AA2467" s="14" t="str">
        <f t="shared" si="9"/>
        <v>Delivered</v>
      </c>
      <c r="AB2467" s="14" t="str">
        <f t="shared" ref="AB2467:AC2467" si="4938">trim(Q2467)</f>
        <v>Delivery Experience</v>
      </c>
      <c r="AC2467" s="14" t="str">
        <f t="shared" si="4938"/>
        <v>Quick and professional</v>
      </c>
      <c r="AD2467" s="8"/>
    </row>
    <row r="2468">
      <c r="A2468" s="14" t="str">
        <f>IFERROR(__xludf.DUMMYFUNCTION("""COMPUTED_VALUE"""),"//ord_97744//Omkar Mishra//Powai//Banana+1*Venu R/12/16/2023//UPI//Delivered*Convenience: Easy tracking")</f>
        <v>//ord_97744//Omkar Mishra//Powai//Banana+1*Venu R/12/16/2023//UPI//Delivered*Convenience: Easy tracking</v>
      </c>
      <c r="B2468" s="14" t="str">
        <f>IFERROR(__xludf.DUMMYFUNCTION("split(A2468,""//"")"),"ord_97744")</f>
        <v>ord_97744</v>
      </c>
      <c r="C2468" s="14" t="str">
        <f>IFERROR(__xludf.DUMMYFUNCTION("""COMPUTED_VALUE"""),"Omkar Mishra")</f>
        <v>Omkar Mishra</v>
      </c>
      <c r="D2468" s="14" t="str">
        <f>IFERROR(__xludf.DUMMYFUNCTION("""COMPUTED_VALUE"""),"Powai")</f>
        <v>Powai</v>
      </c>
      <c r="E2468" s="14" t="str">
        <f>IFERROR(__xludf.DUMMYFUNCTION("""COMPUTED_VALUE"""),"Banana+1*Venu R")</f>
        <v>Banana+1*Venu R</v>
      </c>
      <c r="F2468" s="14">
        <f>IFERROR(__xludf.DUMMYFUNCTION("""COMPUTED_VALUE"""),12.0)</f>
        <v>12</v>
      </c>
      <c r="G2468" s="14">
        <f>IFERROR(__xludf.DUMMYFUNCTION("""COMPUTED_VALUE"""),16.0)</f>
        <v>16</v>
      </c>
      <c r="H2468" s="14">
        <f>IFERROR(__xludf.DUMMYFUNCTION("""COMPUTED_VALUE"""),2023.0)</f>
        <v>2023</v>
      </c>
      <c r="I2468" s="14" t="str">
        <f>IFERROR(__xludf.DUMMYFUNCTION("""COMPUTED_VALUE"""),"UPI")</f>
        <v>UPI</v>
      </c>
      <c r="J2468" s="14" t="str">
        <f>IFERROR(__xludf.DUMMYFUNCTION("""COMPUTED_VALUE"""),"Delivered*Convenience: Easy tracking")</f>
        <v>Delivered*Convenience: Easy tracking</v>
      </c>
      <c r="K2468" s="14" t="str">
        <f>IFERROR(__xludf.DUMMYFUNCTION("split(E2468,""+"")"),"Banana")</f>
        <v>Banana</v>
      </c>
      <c r="L2468" s="14" t="str">
        <f>IFERROR(__xludf.DUMMYFUNCTION("""COMPUTED_VALUE"""),"1*Venu R")</f>
        <v>1*Venu R</v>
      </c>
      <c r="M2468" s="14">
        <f>IFERROR(__xludf.DUMMYFUNCTION("SPLIT(L2468,""*"")"),1.0)</f>
        <v>1</v>
      </c>
      <c r="N2468" s="14" t="str">
        <f>IFERROR(__xludf.DUMMYFUNCTION("""COMPUTED_VALUE"""),"Venu R")</f>
        <v>Venu R</v>
      </c>
      <c r="O2468" s="14" t="str">
        <f>IFERROR(__xludf.DUMMYFUNCTION("split(J2468,""*"")"),"Delivered")</f>
        <v>Delivered</v>
      </c>
      <c r="P2468" s="14" t="str">
        <f>IFERROR(__xludf.DUMMYFUNCTION("""COMPUTED_VALUE"""),"Convenience: Easy tracking")</f>
        <v>Convenience: Easy tracking</v>
      </c>
      <c r="Q2468" s="14" t="str">
        <f>IFERROR(__xludf.DUMMYFUNCTION("split(P2468,"":"")"),"Convenience")</f>
        <v>Convenience</v>
      </c>
      <c r="R2468" s="14" t="str">
        <f>IFERROR(__xludf.DUMMYFUNCTION("""COMPUTED_VALUE""")," Easy tracking")</f>
        <v> Easy tracking</v>
      </c>
      <c r="S2468" s="14" t="str">
        <f t="shared" ref="S2468:U2468" si="4939">trim(B2468)</f>
        <v>ord_97744</v>
      </c>
      <c r="T2468" s="14" t="str">
        <f t="shared" si="4939"/>
        <v>Omkar Mishra</v>
      </c>
      <c r="U2468" s="14" t="str">
        <f t="shared" si="4939"/>
        <v>Powai</v>
      </c>
      <c r="V2468" s="14" t="str">
        <f t="shared" si="4"/>
        <v>Banana</v>
      </c>
      <c r="W2468" s="14">
        <f t="shared" si="5"/>
        <v>1</v>
      </c>
      <c r="X2468" s="14" t="str">
        <f t="shared" si="6"/>
        <v>Venu R</v>
      </c>
      <c r="Y2468" s="15">
        <f t="shared" si="7"/>
        <v>45276</v>
      </c>
      <c r="Z2468" s="14" t="str">
        <f t="shared" si="8"/>
        <v>UPI</v>
      </c>
      <c r="AA2468" s="14" t="str">
        <f t="shared" si="9"/>
        <v>Delivered</v>
      </c>
      <c r="AB2468" s="14" t="str">
        <f t="shared" ref="AB2468:AC2468" si="4940">trim(Q2468)</f>
        <v>Convenience</v>
      </c>
      <c r="AC2468" s="14" t="str">
        <f t="shared" si="4940"/>
        <v>Easy tracking</v>
      </c>
      <c r="AD2468" s="8"/>
    </row>
    <row r="2469">
      <c r="A2469" s="14" t="str">
        <f>IFERROR(__xludf.DUMMYFUNCTION("""COMPUTED_VALUE"""),"//ord_97838//Aarav Mehta//Andheri//Orange+2*Venu R/2/6/2023//Credit Card//Delivered*Overall Satisfaction: Great service will order again")</f>
        <v>//ord_97838//Aarav Mehta//Andheri//Orange+2*Venu R/2/6/2023//Credit Card//Delivered*Overall Satisfaction: Great service will order again</v>
      </c>
      <c r="B2469" s="14" t="str">
        <f>IFERROR(__xludf.DUMMYFUNCTION("split(A2469,""//"")"),"ord_97838")</f>
        <v>ord_97838</v>
      </c>
      <c r="C2469" s="14" t="str">
        <f>IFERROR(__xludf.DUMMYFUNCTION("""COMPUTED_VALUE"""),"Aarav Mehta")</f>
        <v>Aarav Mehta</v>
      </c>
      <c r="D2469" s="14" t="str">
        <f>IFERROR(__xludf.DUMMYFUNCTION("""COMPUTED_VALUE"""),"Andheri")</f>
        <v>Andheri</v>
      </c>
      <c r="E2469" s="14" t="str">
        <f>IFERROR(__xludf.DUMMYFUNCTION("""COMPUTED_VALUE"""),"Orange+2*Venu R")</f>
        <v>Orange+2*Venu R</v>
      </c>
      <c r="F2469" s="14">
        <f>IFERROR(__xludf.DUMMYFUNCTION("""COMPUTED_VALUE"""),2.0)</f>
        <v>2</v>
      </c>
      <c r="G2469" s="14">
        <f>IFERROR(__xludf.DUMMYFUNCTION("""COMPUTED_VALUE"""),6.0)</f>
        <v>6</v>
      </c>
      <c r="H2469" s="14">
        <f>IFERROR(__xludf.DUMMYFUNCTION("""COMPUTED_VALUE"""),2023.0)</f>
        <v>2023</v>
      </c>
      <c r="I2469" s="14" t="str">
        <f>IFERROR(__xludf.DUMMYFUNCTION("""COMPUTED_VALUE"""),"Credit Card")</f>
        <v>Credit Card</v>
      </c>
      <c r="J2469" s="14" t="str">
        <f>IFERROR(__xludf.DUMMYFUNCTION("""COMPUTED_VALUE"""),"Delivered*Overall Satisfaction: Great service will order again")</f>
        <v>Delivered*Overall Satisfaction: Great service will order again</v>
      </c>
      <c r="K2469" s="14" t="str">
        <f>IFERROR(__xludf.DUMMYFUNCTION("split(E2469,""+"")"),"Orange")</f>
        <v>Orange</v>
      </c>
      <c r="L2469" s="14" t="str">
        <f>IFERROR(__xludf.DUMMYFUNCTION("""COMPUTED_VALUE"""),"2*Venu R")</f>
        <v>2*Venu R</v>
      </c>
      <c r="M2469" s="14">
        <f>IFERROR(__xludf.DUMMYFUNCTION("SPLIT(L2469,""*"")"),2.0)</f>
        <v>2</v>
      </c>
      <c r="N2469" s="14" t="str">
        <f>IFERROR(__xludf.DUMMYFUNCTION("""COMPUTED_VALUE"""),"Venu R")</f>
        <v>Venu R</v>
      </c>
      <c r="O2469" s="14" t="str">
        <f>IFERROR(__xludf.DUMMYFUNCTION("split(J2469,""*"")"),"Delivered")</f>
        <v>Delivered</v>
      </c>
      <c r="P2469" s="14" t="str">
        <f>IFERROR(__xludf.DUMMYFUNCTION("""COMPUTED_VALUE"""),"Overall Satisfaction: Great service will order again")</f>
        <v>Overall Satisfaction: Great service will order again</v>
      </c>
      <c r="Q2469" s="14" t="str">
        <f>IFERROR(__xludf.DUMMYFUNCTION("split(P2469,"":"")"),"Overall Satisfaction")</f>
        <v>Overall Satisfaction</v>
      </c>
      <c r="R2469" s="14" t="str">
        <f>IFERROR(__xludf.DUMMYFUNCTION("""COMPUTED_VALUE""")," Great service will order again")</f>
        <v> Great service will order again</v>
      </c>
      <c r="S2469" s="14" t="str">
        <f t="shared" ref="S2469:U2469" si="4941">trim(B2469)</f>
        <v>ord_97838</v>
      </c>
      <c r="T2469" s="14" t="str">
        <f t="shared" si="4941"/>
        <v>Aarav Mehta</v>
      </c>
      <c r="U2469" s="14" t="str">
        <f t="shared" si="4941"/>
        <v>Andheri</v>
      </c>
      <c r="V2469" s="14" t="str">
        <f t="shared" si="4"/>
        <v>Orange</v>
      </c>
      <c r="W2469" s="14">
        <f t="shared" si="5"/>
        <v>2</v>
      </c>
      <c r="X2469" s="14" t="str">
        <f t="shared" si="6"/>
        <v>Venu R</v>
      </c>
      <c r="Y2469" s="15">
        <f t="shared" si="7"/>
        <v>44963</v>
      </c>
      <c r="Z2469" s="14" t="str">
        <f t="shared" si="8"/>
        <v>Credit Card</v>
      </c>
      <c r="AA2469" s="14" t="str">
        <f t="shared" si="9"/>
        <v>Delivered</v>
      </c>
      <c r="AB2469" s="14" t="str">
        <f t="shared" ref="AB2469:AC2469" si="4942">trim(Q2469)</f>
        <v>Overall Satisfaction</v>
      </c>
      <c r="AC2469" s="14" t="str">
        <f t="shared" si="4942"/>
        <v>Great service will order again</v>
      </c>
      <c r="AD2469" s="8"/>
    </row>
    <row r="2470">
      <c r="A2470" s="14" t="str">
        <f>IFERROR(__xludf.DUMMYFUNCTION("""COMPUTED_VALUE"""),"//ord_97932//Sakshi Tandon//Colaba//Veg Puff+3*Sita T/6/12/2023//Credit Card//Delivered*On-time Delivery: Delivered on time")</f>
        <v>//ord_97932//Sakshi Tandon//Colaba//Veg Puff+3*Sita T/6/12/2023//Credit Card//Delivered*On-time Delivery: Delivered on time</v>
      </c>
      <c r="B2470" s="14" t="str">
        <f>IFERROR(__xludf.DUMMYFUNCTION("split(A2470,""//"")"),"ord_97932")</f>
        <v>ord_97932</v>
      </c>
      <c r="C2470" s="14" t="str">
        <f>IFERROR(__xludf.DUMMYFUNCTION("""COMPUTED_VALUE"""),"Sakshi Tandon")</f>
        <v>Sakshi Tandon</v>
      </c>
      <c r="D2470" s="14" t="str">
        <f>IFERROR(__xludf.DUMMYFUNCTION("""COMPUTED_VALUE"""),"Colaba")</f>
        <v>Colaba</v>
      </c>
      <c r="E2470" s="14" t="str">
        <f>IFERROR(__xludf.DUMMYFUNCTION("""COMPUTED_VALUE"""),"Veg Puff+3*Sita T")</f>
        <v>Veg Puff+3*Sita T</v>
      </c>
      <c r="F2470" s="14">
        <f>IFERROR(__xludf.DUMMYFUNCTION("""COMPUTED_VALUE"""),6.0)</f>
        <v>6</v>
      </c>
      <c r="G2470" s="14">
        <f>IFERROR(__xludf.DUMMYFUNCTION("""COMPUTED_VALUE"""),12.0)</f>
        <v>12</v>
      </c>
      <c r="H2470" s="14">
        <f>IFERROR(__xludf.DUMMYFUNCTION("""COMPUTED_VALUE"""),2023.0)</f>
        <v>2023</v>
      </c>
      <c r="I2470" s="14" t="str">
        <f>IFERROR(__xludf.DUMMYFUNCTION("""COMPUTED_VALUE"""),"Credit Card")</f>
        <v>Credit Card</v>
      </c>
      <c r="J2470" s="14" t="str">
        <f>IFERROR(__xludf.DUMMYFUNCTION("""COMPUTED_VALUE"""),"Delivered*On-time Delivery: Delivered on time")</f>
        <v>Delivered*On-time Delivery: Delivered on time</v>
      </c>
      <c r="K2470" s="14" t="str">
        <f>IFERROR(__xludf.DUMMYFUNCTION("split(E2470,""+"")"),"Veg Puff")</f>
        <v>Veg Puff</v>
      </c>
      <c r="L2470" s="14" t="str">
        <f>IFERROR(__xludf.DUMMYFUNCTION("""COMPUTED_VALUE"""),"3*Sita T")</f>
        <v>3*Sita T</v>
      </c>
      <c r="M2470" s="14">
        <f>IFERROR(__xludf.DUMMYFUNCTION("SPLIT(L2470,""*"")"),3.0)</f>
        <v>3</v>
      </c>
      <c r="N2470" s="14" t="str">
        <f>IFERROR(__xludf.DUMMYFUNCTION("""COMPUTED_VALUE"""),"Sita T")</f>
        <v>Sita T</v>
      </c>
      <c r="O2470" s="14" t="str">
        <f>IFERROR(__xludf.DUMMYFUNCTION("split(J2470,""*"")"),"Delivered")</f>
        <v>Delivered</v>
      </c>
      <c r="P2470" s="14" t="str">
        <f>IFERROR(__xludf.DUMMYFUNCTION("""COMPUTED_VALUE"""),"On-time Delivery: Delivered on time")</f>
        <v>On-time Delivery: Delivered on time</v>
      </c>
      <c r="Q2470" s="14" t="str">
        <f>IFERROR(__xludf.DUMMYFUNCTION("split(P2470,"":"")"),"On-time Delivery")</f>
        <v>On-time Delivery</v>
      </c>
      <c r="R2470" s="14" t="str">
        <f>IFERROR(__xludf.DUMMYFUNCTION("""COMPUTED_VALUE""")," Delivered on time")</f>
        <v> Delivered on time</v>
      </c>
      <c r="S2470" s="14" t="str">
        <f t="shared" ref="S2470:U2470" si="4943">trim(B2470)</f>
        <v>ord_97932</v>
      </c>
      <c r="T2470" s="14" t="str">
        <f t="shared" si="4943"/>
        <v>Sakshi Tandon</v>
      </c>
      <c r="U2470" s="14" t="str">
        <f t="shared" si="4943"/>
        <v>Colaba</v>
      </c>
      <c r="V2470" s="14" t="str">
        <f t="shared" si="4"/>
        <v>Veg Puff</v>
      </c>
      <c r="W2470" s="14">
        <f t="shared" si="5"/>
        <v>3</v>
      </c>
      <c r="X2470" s="14" t="str">
        <f t="shared" si="6"/>
        <v>Sita T</v>
      </c>
      <c r="Y2470" s="15">
        <f t="shared" si="7"/>
        <v>45089</v>
      </c>
      <c r="Z2470" s="14" t="str">
        <f t="shared" si="8"/>
        <v>Credit Card</v>
      </c>
      <c r="AA2470" s="14" t="str">
        <f t="shared" si="9"/>
        <v>Delivered</v>
      </c>
      <c r="AB2470" s="14" t="str">
        <f t="shared" ref="AB2470:AC2470" si="4944">trim(Q2470)</f>
        <v>On-time Delivery</v>
      </c>
      <c r="AC2470" s="14" t="str">
        <f t="shared" si="4944"/>
        <v>Delivered on time</v>
      </c>
      <c r="AD2470" s="8"/>
    </row>
    <row r="2471">
      <c r="A2471" s="14" t="str">
        <f>IFERROR(__xludf.DUMMYFUNCTION("""COMPUTED_VALUE"""),"//ord_98026//Aarav Mehta//Andheri//Chocolate Mousse+1*Nithin Lal/9/15/2023//Credit Card//Delivered*Quality of Items: Perfect condition")</f>
        <v>//ord_98026//Aarav Mehta//Andheri//Chocolate Mousse+1*Nithin Lal/9/15/2023//Credit Card//Delivered*Quality of Items: Perfect condition</v>
      </c>
      <c r="B2471" s="14" t="str">
        <f>IFERROR(__xludf.DUMMYFUNCTION("split(A2471,""//"")"),"ord_98026")</f>
        <v>ord_98026</v>
      </c>
      <c r="C2471" s="14" t="str">
        <f>IFERROR(__xludf.DUMMYFUNCTION("""COMPUTED_VALUE"""),"Aarav Mehta")</f>
        <v>Aarav Mehta</v>
      </c>
      <c r="D2471" s="14" t="str">
        <f>IFERROR(__xludf.DUMMYFUNCTION("""COMPUTED_VALUE"""),"Andheri")</f>
        <v>Andheri</v>
      </c>
      <c r="E2471" s="14" t="str">
        <f>IFERROR(__xludf.DUMMYFUNCTION("""COMPUTED_VALUE"""),"Chocolate Mousse+1*Nithin Lal")</f>
        <v>Chocolate Mousse+1*Nithin Lal</v>
      </c>
      <c r="F2471" s="14">
        <f>IFERROR(__xludf.DUMMYFUNCTION("""COMPUTED_VALUE"""),9.0)</f>
        <v>9</v>
      </c>
      <c r="G2471" s="14">
        <f>IFERROR(__xludf.DUMMYFUNCTION("""COMPUTED_VALUE"""),15.0)</f>
        <v>15</v>
      </c>
      <c r="H2471" s="14">
        <f>IFERROR(__xludf.DUMMYFUNCTION("""COMPUTED_VALUE"""),2023.0)</f>
        <v>2023</v>
      </c>
      <c r="I2471" s="14" t="str">
        <f>IFERROR(__xludf.DUMMYFUNCTION("""COMPUTED_VALUE"""),"Credit Card")</f>
        <v>Credit Card</v>
      </c>
      <c r="J2471" s="14" t="str">
        <f>IFERROR(__xludf.DUMMYFUNCTION("""COMPUTED_VALUE"""),"Delivered*Quality of Items: Perfect condition")</f>
        <v>Delivered*Quality of Items: Perfect condition</v>
      </c>
      <c r="K2471" s="14" t="str">
        <f>IFERROR(__xludf.DUMMYFUNCTION("split(E2471,""+"")"),"Chocolate Mousse")</f>
        <v>Chocolate Mousse</v>
      </c>
      <c r="L2471" s="14" t="str">
        <f>IFERROR(__xludf.DUMMYFUNCTION("""COMPUTED_VALUE"""),"1*Nithin Lal")</f>
        <v>1*Nithin Lal</v>
      </c>
      <c r="M2471" s="14">
        <f>IFERROR(__xludf.DUMMYFUNCTION("SPLIT(L2471,""*"")"),1.0)</f>
        <v>1</v>
      </c>
      <c r="N2471" s="14" t="str">
        <f>IFERROR(__xludf.DUMMYFUNCTION("""COMPUTED_VALUE"""),"Nithin Lal")</f>
        <v>Nithin Lal</v>
      </c>
      <c r="O2471" s="14" t="str">
        <f>IFERROR(__xludf.DUMMYFUNCTION("split(J2471,""*"")"),"Delivered")</f>
        <v>Delivered</v>
      </c>
      <c r="P2471" s="14" t="str">
        <f>IFERROR(__xludf.DUMMYFUNCTION("""COMPUTED_VALUE"""),"Quality of Items: Perfect condition")</f>
        <v>Quality of Items: Perfect condition</v>
      </c>
      <c r="Q2471" s="14" t="str">
        <f>IFERROR(__xludf.DUMMYFUNCTION("split(P2471,"":"")"),"Quality of Items")</f>
        <v>Quality of Items</v>
      </c>
      <c r="R2471" s="14" t="str">
        <f>IFERROR(__xludf.DUMMYFUNCTION("""COMPUTED_VALUE""")," Perfect condition")</f>
        <v> Perfect condition</v>
      </c>
      <c r="S2471" s="14" t="str">
        <f t="shared" ref="S2471:U2471" si="4945">trim(B2471)</f>
        <v>ord_98026</v>
      </c>
      <c r="T2471" s="14" t="str">
        <f t="shared" si="4945"/>
        <v>Aarav Mehta</v>
      </c>
      <c r="U2471" s="14" t="str">
        <f t="shared" si="4945"/>
        <v>Andheri</v>
      </c>
      <c r="V2471" s="14" t="str">
        <f t="shared" si="4"/>
        <v>Chocolate Mousse</v>
      </c>
      <c r="W2471" s="14">
        <f t="shared" si="5"/>
        <v>1</v>
      </c>
      <c r="X2471" s="14" t="str">
        <f t="shared" si="6"/>
        <v>Nithin Lal</v>
      </c>
      <c r="Y2471" s="15">
        <f t="shared" si="7"/>
        <v>45184</v>
      </c>
      <c r="Z2471" s="14" t="str">
        <f t="shared" si="8"/>
        <v>Credit Card</v>
      </c>
      <c r="AA2471" s="14" t="str">
        <f t="shared" si="9"/>
        <v>Delivered</v>
      </c>
      <c r="AB2471" s="14" t="str">
        <f t="shared" ref="AB2471:AC2471" si="4946">trim(Q2471)</f>
        <v>Quality of Items</v>
      </c>
      <c r="AC2471" s="14" t="str">
        <f t="shared" si="4946"/>
        <v>Perfect condition</v>
      </c>
      <c r="AD2471" s="8"/>
    </row>
    <row r="2472">
      <c r="A2472" s="14" t="str">
        <f>IFERROR(__xludf.DUMMYFUNCTION("""COMPUTED_VALUE"""),"//ord_98120//Sakshi Tandon//Colaba//Veg Puff+5*Not Assigned/11/16/2023//Online Payment//Cancelled*App Glitches: Payment Button Malfunction")</f>
        <v>//ord_98120//Sakshi Tandon//Colaba//Veg Puff+5*Not Assigned/11/16/2023//Online Payment//Cancelled*App Glitches: Payment Button Malfunction</v>
      </c>
      <c r="B2472" s="14" t="str">
        <f>IFERROR(__xludf.DUMMYFUNCTION("split(A2472,""//"")"),"ord_98120")</f>
        <v>ord_98120</v>
      </c>
      <c r="C2472" s="14" t="str">
        <f>IFERROR(__xludf.DUMMYFUNCTION("""COMPUTED_VALUE"""),"Sakshi Tandon")</f>
        <v>Sakshi Tandon</v>
      </c>
      <c r="D2472" s="14" t="str">
        <f>IFERROR(__xludf.DUMMYFUNCTION("""COMPUTED_VALUE"""),"Colaba")</f>
        <v>Colaba</v>
      </c>
      <c r="E2472" s="14" t="str">
        <f>IFERROR(__xludf.DUMMYFUNCTION("""COMPUTED_VALUE"""),"Veg Puff+5*Not Assigned")</f>
        <v>Veg Puff+5*Not Assigned</v>
      </c>
      <c r="F2472" s="14">
        <f>IFERROR(__xludf.DUMMYFUNCTION("""COMPUTED_VALUE"""),11.0)</f>
        <v>11</v>
      </c>
      <c r="G2472" s="14">
        <f>IFERROR(__xludf.DUMMYFUNCTION("""COMPUTED_VALUE"""),16.0)</f>
        <v>16</v>
      </c>
      <c r="H2472" s="14">
        <f>IFERROR(__xludf.DUMMYFUNCTION("""COMPUTED_VALUE"""),2023.0)</f>
        <v>2023</v>
      </c>
      <c r="I2472" s="14" t="str">
        <f>IFERROR(__xludf.DUMMYFUNCTION("""COMPUTED_VALUE"""),"Online Payment")</f>
        <v>Online Payment</v>
      </c>
      <c r="J2472" s="14" t="str">
        <f>IFERROR(__xludf.DUMMYFUNCTION("""COMPUTED_VALUE"""),"Cancelled*App Glitches: Payment Button Malfunction")</f>
        <v>Cancelled*App Glitches: Payment Button Malfunction</v>
      </c>
      <c r="K2472" s="14" t="str">
        <f>IFERROR(__xludf.DUMMYFUNCTION("split(E2472,""+"")"),"Veg Puff")</f>
        <v>Veg Puff</v>
      </c>
      <c r="L2472" s="14" t="str">
        <f>IFERROR(__xludf.DUMMYFUNCTION("""COMPUTED_VALUE"""),"5*Not Assigned")</f>
        <v>5*Not Assigned</v>
      </c>
      <c r="M2472" s="14">
        <f>IFERROR(__xludf.DUMMYFUNCTION("SPLIT(L2472,""*"")"),5.0)</f>
        <v>5</v>
      </c>
      <c r="N2472" s="14" t="str">
        <f>IFERROR(__xludf.DUMMYFUNCTION("""COMPUTED_VALUE"""),"Not Assigned")</f>
        <v>Not Assigned</v>
      </c>
      <c r="O2472" s="14" t="str">
        <f>IFERROR(__xludf.DUMMYFUNCTION("split(J2472,""*"")"),"Cancelled")</f>
        <v>Cancelled</v>
      </c>
      <c r="P2472" s="14" t="str">
        <f>IFERROR(__xludf.DUMMYFUNCTION("""COMPUTED_VALUE"""),"App Glitches: Payment Button Malfunction")</f>
        <v>App Glitches: Payment Button Malfunction</v>
      </c>
      <c r="Q2472" s="14" t="str">
        <f>IFERROR(__xludf.DUMMYFUNCTION("split(P2472,"":"")"),"App Glitches")</f>
        <v>App Glitches</v>
      </c>
      <c r="R2472" s="14" t="str">
        <f>IFERROR(__xludf.DUMMYFUNCTION("""COMPUTED_VALUE""")," Payment Button Malfunction")</f>
        <v> Payment Button Malfunction</v>
      </c>
      <c r="S2472" s="14" t="str">
        <f t="shared" ref="S2472:U2472" si="4947">trim(B2472)</f>
        <v>ord_98120</v>
      </c>
      <c r="T2472" s="14" t="str">
        <f t="shared" si="4947"/>
        <v>Sakshi Tandon</v>
      </c>
      <c r="U2472" s="14" t="str">
        <f t="shared" si="4947"/>
        <v>Colaba</v>
      </c>
      <c r="V2472" s="14" t="str">
        <f t="shared" si="4"/>
        <v>Veg Puff</v>
      </c>
      <c r="W2472" s="14">
        <f t="shared" si="5"/>
        <v>5</v>
      </c>
      <c r="X2472" s="14" t="str">
        <f t="shared" si="6"/>
        <v>Not Assigned</v>
      </c>
      <c r="Y2472" s="15">
        <f t="shared" si="7"/>
        <v>45246</v>
      </c>
      <c r="Z2472" s="14" t="str">
        <f t="shared" si="8"/>
        <v>Online Payment</v>
      </c>
      <c r="AA2472" s="14" t="str">
        <f t="shared" si="9"/>
        <v>Cancelled</v>
      </c>
      <c r="AB2472" s="14" t="str">
        <f t="shared" ref="AB2472:AC2472" si="4948">trim(Q2472)</f>
        <v>App Glitches</v>
      </c>
      <c r="AC2472" s="14" t="str">
        <f t="shared" si="4948"/>
        <v>Payment Button Malfunction</v>
      </c>
      <c r="AD2472" s="8"/>
    </row>
    <row r="2473">
      <c r="A2473" s="14" t="str">
        <f>IFERROR(__xludf.DUMMYFUNCTION("""COMPUTED_VALUE"""),"//ord_98214//Anaya Rao//Colaba//Cold Coffee+4*Nithin Lal/4/16/2023//Credit Card//Delivered*Packaging: Secure and intact")</f>
        <v>//ord_98214//Anaya Rao//Colaba//Cold Coffee+4*Nithin Lal/4/16/2023//Credit Card//Delivered*Packaging: Secure and intact</v>
      </c>
      <c r="B2473" s="14" t="str">
        <f>IFERROR(__xludf.DUMMYFUNCTION("split(A2473,""//"")"),"ord_98214")</f>
        <v>ord_98214</v>
      </c>
      <c r="C2473" s="14" t="str">
        <f>IFERROR(__xludf.DUMMYFUNCTION("""COMPUTED_VALUE"""),"Anaya Rao")</f>
        <v>Anaya Rao</v>
      </c>
      <c r="D2473" s="14" t="str">
        <f>IFERROR(__xludf.DUMMYFUNCTION("""COMPUTED_VALUE"""),"Colaba")</f>
        <v>Colaba</v>
      </c>
      <c r="E2473" s="14" t="str">
        <f>IFERROR(__xludf.DUMMYFUNCTION("""COMPUTED_VALUE"""),"Cold Coffee+4*Nithin Lal")</f>
        <v>Cold Coffee+4*Nithin Lal</v>
      </c>
      <c r="F2473" s="14">
        <f>IFERROR(__xludf.DUMMYFUNCTION("""COMPUTED_VALUE"""),4.0)</f>
        <v>4</v>
      </c>
      <c r="G2473" s="14">
        <f>IFERROR(__xludf.DUMMYFUNCTION("""COMPUTED_VALUE"""),16.0)</f>
        <v>16</v>
      </c>
      <c r="H2473" s="14">
        <f>IFERROR(__xludf.DUMMYFUNCTION("""COMPUTED_VALUE"""),2023.0)</f>
        <v>2023</v>
      </c>
      <c r="I2473" s="14" t="str">
        <f>IFERROR(__xludf.DUMMYFUNCTION("""COMPUTED_VALUE"""),"Credit Card")</f>
        <v>Credit Card</v>
      </c>
      <c r="J2473" s="14" t="str">
        <f>IFERROR(__xludf.DUMMYFUNCTION("""COMPUTED_VALUE"""),"Delivered*Packaging: Secure and intact")</f>
        <v>Delivered*Packaging: Secure and intact</v>
      </c>
      <c r="K2473" s="14" t="str">
        <f>IFERROR(__xludf.DUMMYFUNCTION("split(E2473,""+"")"),"Cold Coffee")</f>
        <v>Cold Coffee</v>
      </c>
      <c r="L2473" s="14" t="str">
        <f>IFERROR(__xludf.DUMMYFUNCTION("""COMPUTED_VALUE"""),"4*Nithin Lal")</f>
        <v>4*Nithin Lal</v>
      </c>
      <c r="M2473" s="14">
        <f>IFERROR(__xludf.DUMMYFUNCTION("SPLIT(L2473,""*"")"),4.0)</f>
        <v>4</v>
      </c>
      <c r="N2473" s="14" t="str">
        <f>IFERROR(__xludf.DUMMYFUNCTION("""COMPUTED_VALUE"""),"Nithin Lal")</f>
        <v>Nithin Lal</v>
      </c>
      <c r="O2473" s="14" t="str">
        <f>IFERROR(__xludf.DUMMYFUNCTION("split(J2473,""*"")"),"Delivered")</f>
        <v>Delivered</v>
      </c>
      <c r="P2473" s="14" t="str">
        <f>IFERROR(__xludf.DUMMYFUNCTION("""COMPUTED_VALUE"""),"Packaging: Secure and intact")</f>
        <v>Packaging: Secure and intact</v>
      </c>
      <c r="Q2473" s="14" t="str">
        <f>IFERROR(__xludf.DUMMYFUNCTION("split(P2473,"":"")"),"Packaging")</f>
        <v>Packaging</v>
      </c>
      <c r="R2473" s="14" t="str">
        <f>IFERROR(__xludf.DUMMYFUNCTION("""COMPUTED_VALUE""")," Secure and intact")</f>
        <v> Secure and intact</v>
      </c>
      <c r="S2473" s="14" t="str">
        <f t="shared" ref="S2473:U2473" si="4949">trim(B2473)</f>
        <v>ord_98214</v>
      </c>
      <c r="T2473" s="14" t="str">
        <f t="shared" si="4949"/>
        <v>Anaya Rao</v>
      </c>
      <c r="U2473" s="14" t="str">
        <f t="shared" si="4949"/>
        <v>Colaba</v>
      </c>
      <c r="V2473" s="14" t="str">
        <f t="shared" si="4"/>
        <v>Cold Coffee</v>
      </c>
      <c r="W2473" s="14">
        <f t="shared" si="5"/>
        <v>4</v>
      </c>
      <c r="X2473" s="14" t="str">
        <f t="shared" si="6"/>
        <v>Nithin Lal</v>
      </c>
      <c r="Y2473" s="15">
        <f t="shared" si="7"/>
        <v>45032</v>
      </c>
      <c r="Z2473" s="14" t="str">
        <f t="shared" si="8"/>
        <v>Credit Card</v>
      </c>
      <c r="AA2473" s="14" t="str">
        <f t="shared" si="9"/>
        <v>Delivered</v>
      </c>
      <c r="AB2473" s="14" t="str">
        <f t="shared" ref="AB2473:AC2473" si="4950">trim(Q2473)</f>
        <v>Packaging</v>
      </c>
      <c r="AC2473" s="14" t="str">
        <f t="shared" si="4950"/>
        <v>Secure and intact</v>
      </c>
      <c r="AD2473" s="8"/>
    </row>
    <row r="2474">
      <c r="A2474" s="14" t="str">
        <f>IFERROR(__xludf.DUMMYFUNCTION("""COMPUTED_VALUE"""),"//ord_98308//Omkar Mishra//Powai//Tiramisu+5*Nithin Lal/6/14/2023//Credit Card//Delivered*Satisfied with the Delivery: Timely and quality")</f>
        <v>//ord_98308//Omkar Mishra//Powai//Tiramisu+5*Nithin Lal/6/14/2023//Credit Card//Delivered*Satisfied with the Delivery: Timely and quality</v>
      </c>
      <c r="B2474" s="14" t="str">
        <f>IFERROR(__xludf.DUMMYFUNCTION("split(A2474,""//"")"),"ord_98308")</f>
        <v>ord_98308</v>
      </c>
      <c r="C2474" s="14" t="str">
        <f>IFERROR(__xludf.DUMMYFUNCTION("""COMPUTED_VALUE"""),"Omkar Mishra")</f>
        <v>Omkar Mishra</v>
      </c>
      <c r="D2474" s="14" t="str">
        <f>IFERROR(__xludf.DUMMYFUNCTION("""COMPUTED_VALUE"""),"Powai")</f>
        <v>Powai</v>
      </c>
      <c r="E2474" s="14" t="str">
        <f>IFERROR(__xludf.DUMMYFUNCTION("""COMPUTED_VALUE"""),"Tiramisu+5*Nithin Lal")</f>
        <v>Tiramisu+5*Nithin Lal</v>
      </c>
      <c r="F2474" s="14">
        <f>IFERROR(__xludf.DUMMYFUNCTION("""COMPUTED_VALUE"""),6.0)</f>
        <v>6</v>
      </c>
      <c r="G2474" s="14">
        <f>IFERROR(__xludf.DUMMYFUNCTION("""COMPUTED_VALUE"""),14.0)</f>
        <v>14</v>
      </c>
      <c r="H2474" s="14">
        <f>IFERROR(__xludf.DUMMYFUNCTION("""COMPUTED_VALUE"""),2023.0)</f>
        <v>2023</v>
      </c>
      <c r="I2474" s="14" t="str">
        <f>IFERROR(__xludf.DUMMYFUNCTION("""COMPUTED_VALUE"""),"Credit Card")</f>
        <v>Credit Card</v>
      </c>
      <c r="J2474" s="14" t="str">
        <f>IFERROR(__xludf.DUMMYFUNCTION("""COMPUTED_VALUE"""),"Delivered*Satisfied with the Delivery: Timely and quality")</f>
        <v>Delivered*Satisfied with the Delivery: Timely and quality</v>
      </c>
      <c r="K2474" s="14" t="str">
        <f>IFERROR(__xludf.DUMMYFUNCTION("split(E2474,""+"")"),"Tiramisu")</f>
        <v>Tiramisu</v>
      </c>
      <c r="L2474" s="14" t="str">
        <f>IFERROR(__xludf.DUMMYFUNCTION("""COMPUTED_VALUE"""),"5*Nithin Lal")</f>
        <v>5*Nithin Lal</v>
      </c>
      <c r="M2474" s="14">
        <f>IFERROR(__xludf.DUMMYFUNCTION("SPLIT(L2474,""*"")"),5.0)</f>
        <v>5</v>
      </c>
      <c r="N2474" s="14" t="str">
        <f>IFERROR(__xludf.DUMMYFUNCTION("""COMPUTED_VALUE"""),"Nithin Lal")</f>
        <v>Nithin Lal</v>
      </c>
      <c r="O2474" s="14" t="str">
        <f>IFERROR(__xludf.DUMMYFUNCTION("split(J2474,""*"")"),"Delivered")</f>
        <v>Delivered</v>
      </c>
      <c r="P2474" s="14" t="str">
        <f>IFERROR(__xludf.DUMMYFUNCTION("""COMPUTED_VALUE"""),"Satisfied with the Delivery: Timely and quality")</f>
        <v>Satisfied with the Delivery: Timely and quality</v>
      </c>
      <c r="Q2474" s="14" t="str">
        <f>IFERROR(__xludf.DUMMYFUNCTION("split(P2474,"":"")"),"Satisfied with the Delivery")</f>
        <v>Satisfied with the Delivery</v>
      </c>
      <c r="R2474" s="14" t="str">
        <f>IFERROR(__xludf.DUMMYFUNCTION("""COMPUTED_VALUE""")," Timely and quality")</f>
        <v> Timely and quality</v>
      </c>
      <c r="S2474" s="14" t="str">
        <f t="shared" ref="S2474:U2474" si="4951">trim(B2474)</f>
        <v>ord_98308</v>
      </c>
      <c r="T2474" s="14" t="str">
        <f t="shared" si="4951"/>
        <v>Omkar Mishra</v>
      </c>
      <c r="U2474" s="14" t="str">
        <f t="shared" si="4951"/>
        <v>Powai</v>
      </c>
      <c r="V2474" s="14" t="str">
        <f t="shared" si="4"/>
        <v>Tiramisu</v>
      </c>
      <c r="W2474" s="14">
        <f t="shared" si="5"/>
        <v>5</v>
      </c>
      <c r="X2474" s="14" t="str">
        <f t="shared" si="6"/>
        <v>Nithin Lal</v>
      </c>
      <c r="Y2474" s="15">
        <f t="shared" si="7"/>
        <v>45091</v>
      </c>
      <c r="Z2474" s="14" t="str">
        <f t="shared" si="8"/>
        <v>Credit Card</v>
      </c>
      <c r="AA2474" s="14" t="str">
        <f t="shared" si="9"/>
        <v>Delivered</v>
      </c>
      <c r="AB2474" s="14" t="str">
        <f t="shared" ref="AB2474:AC2474" si="4952">trim(Q2474)</f>
        <v>Satisfied with the Delivery</v>
      </c>
      <c r="AC2474" s="14" t="str">
        <f t="shared" si="4952"/>
        <v>Timely and quality</v>
      </c>
      <c r="AD2474" s="8"/>
    </row>
    <row r="2475">
      <c r="A2475" s="14" t="str">
        <f>IFERROR(__xludf.DUMMYFUNCTION("""COMPUTED_VALUE"""),"//ord_98402//Nitin Sehgal//Bandra//Chocolate Mousse+5*Venu R/8/15/2023//Online Payment//Delivered*Customer Service: Seamless and easy")</f>
        <v>//ord_98402//Nitin Sehgal//Bandra//Chocolate Mousse+5*Venu R/8/15/2023//Online Payment//Delivered*Customer Service: Seamless and easy</v>
      </c>
      <c r="B2475" s="14" t="str">
        <f>IFERROR(__xludf.DUMMYFUNCTION("split(A2475,""//"")"),"ord_98402")</f>
        <v>ord_98402</v>
      </c>
      <c r="C2475" s="14" t="str">
        <f>IFERROR(__xludf.DUMMYFUNCTION("""COMPUTED_VALUE"""),"Nitin Sehgal")</f>
        <v>Nitin Sehgal</v>
      </c>
      <c r="D2475" s="14" t="str">
        <f>IFERROR(__xludf.DUMMYFUNCTION("""COMPUTED_VALUE"""),"Bandra")</f>
        <v>Bandra</v>
      </c>
      <c r="E2475" s="14" t="str">
        <f>IFERROR(__xludf.DUMMYFUNCTION("""COMPUTED_VALUE"""),"Chocolate Mousse+5*Venu R")</f>
        <v>Chocolate Mousse+5*Venu R</v>
      </c>
      <c r="F2475" s="14">
        <f>IFERROR(__xludf.DUMMYFUNCTION("""COMPUTED_VALUE"""),8.0)</f>
        <v>8</v>
      </c>
      <c r="G2475" s="14">
        <f>IFERROR(__xludf.DUMMYFUNCTION("""COMPUTED_VALUE"""),15.0)</f>
        <v>15</v>
      </c>
      <c r="H2475" s="14">
        <f>IFERROR(__xludf.DUMMYFUNCTION("""COMPUTED_VALUE"""),2023.0)</f>
        <v>2023</v>
      </c>
      <c r="I2475" s="14" t="str">
        <f>IFERROR(__xludf.DUMMYFUNCTION("""COMPUTED_VALUE"""),"Online Payment")</f>
        <v>Online Payment</v>
      </c>
      <c r="J2475" s="14" t="str">
        <f>IFERROR(__xludf.DUMMYFUNCTION("""COMPUTED_VALUE"""),"Delivered*Customer Service: Seamless and easy")</f>
        <v>Delivered*Customer Service: Seamless and easy</v>
      </c>
      <c r="K2475" s="14" t="str">
        <f>IFERROR(__xludf.DUMMYFUNCTION("split(E2475,""+"")"),"Chocolate Mousse")</f>
        <v>Chocolate Mousse</v>
      </c>
      <c r="L2475" s="14" t="str">
        <f>IFERROR(__xludf.DUMMYFUNCTION("""COMPUTED_VALUE"""),"5*Venu R")</f>
        <v>5*Venu R</v>
      </c>
      <c r="M2475" s="14">
        <f>IFERROR(__xludf.DUMMYFUNCTION("SPLIT(L2475,""*"")"),5.0)</f>
        <v>5</v>
      </c>
      <c r="N2475" s="14" t="str">
        <f>IFERROR(__xludf.DUMMYFUNCTION("""COMPUTED_VALUE"""),"Venu R")</f>
        <v>Venu R</v>
      </c>
      <c r="O2475" s="14" t="str">
        <f>IFERROR(__xludf.DUMMYFUNCTION("split(J2475,""*"")"),"Delivered")</f>
        <v>Delivered</v>
      </c>
      <c r="P2475" s="14" t="str">
        <f>IFERROR(__xludf.DUMMYFUNCTION("""COMPUTED_VALUE"""),"Customer Service: Seamless and easy")</f>
        <v>Customer Service: Seamless and easy</v>
      </c>
      <c r="Q2475" s="14" t="str">
        <f>IFERROR(__xludf.DUMMYFUNCTION("split(P2475,"":"")"),"Customer Service")</f>
        <v>Customer Service</v>
      </c>
      <c r="R2475" s="14" t="str">
        <f>IFERROR(__xludf.DUMMYFUNCTION("""COMPUTED_VALUE""")," Seamless and easy")</f>
        <v> Seamless and easy</v>
      </c>
      <c r="S2475" s="14" t="str">
        <f t="shared" ref="S2475:U2475" si="4953">trim(B2475)</f>
        <v>ord_98402</v>
      </c>
      <c r="T2475" s="14" t="str">
        <f t="shared" si="4953"/>
        <v>Nitin Sehgal</v>
      </c>
      <c r="U2475" s="14" t="str">
        <f t="shared" si="4953"/>
        <v>Bandra</v>
      </c>
      <c r="V2475" s="14" t="str">
        <f t="shared" si="4"/>
        <v>Chocolate Mousse</v>
      </c>
      <c r="W2475" s="14">
        <f t="shared" si="5"/>
        <v>5</v>
      </c>
      <c r="X2475" s="14" t="str">
        <f t="shared" si="6"/>
        <v>Venu R</v>
      </c>
      <c r="Y2475" s="15">
        <f t="shared" si="7"/>
        <v>45153</v>
      </c>
      <c r="Z2475" s="14" t="str">
        <f t="shared" si="8"/>
        <v>Online Payment</v>
      </c>
      <c r="AA2475" s="14" t="str">
        <f t="shared" si="9"/>
        <v>Delivered</v>
      </c>
      <c r="AB2475" s="14" t="str">
        <f t="shared" ref="AB2475:AC2475" si="4954">trim(Q2475)</f>
        <v>Customer Service</v>
      </c>
      <c r="AC2475" s="14" t="str">
        <f t="shared" si="4954"/>
        <v>Seamless and easy</v>
      </c>
      <c r="AD2475" s="8"/>
    </row>
    <row r="2476">
      <c r="A2476" s="14" t="str">
        <f>IFERROR(__xludf.DUMMYFUNCTION("""COMPUTED_VALUE"""),"//ord_98496//Kritika Shetty//Malad//Apple+1*Vivek Kumar/12/2/2023//UPI//Delivered*Delivery Experience: Quick and professional")</f>
        <v>//ord_98496//Kritika Shetty//Malad//Apple+1*Vivek Kumar/12/2/2023//UPI//Delivered*Delivery Experience: Quick and professional</v>
      </c>
      <c r="B2476" s="14" t="str">
        <f>IFERROR(__xludf.DUMMYFUNCTION("split(A2476,""//"")"),"ord_98496")</f>
        <v>ord_98496</v>
      </c>
      <c r="C2476" s="14" t="str">
        <f>IFERROR(__xludf.DUMMYFUNCTION("""COMPUTED_VALUE"""),"Kritika Shetty")</f>
        <v>Kritika Shetty</v>
      </c>
      <c r="D2476" s="14" t="str">
        <f>IFERROR(__xludf.DUMMYFUNCTION("""COMPUTED_VALUE"""),"Malad")</f>
        <v>Malad</v>
      </c>
      <c r="E2476" s="14" t="str">
        <f>IFERROR(__xludf.DUMMYFUNCTION("""COMPUTED_VALUE"""),"Apple+1*Vivek Kumar")</f>
        <v>Apple+1*Vivek Kumar</v>
      </c>
      <c r="F2476" s="14">
        <f>IFERROR(__xludf.DUMMYFUNCTION("""COMPUTED_VALUE"""),12.0)</f>
        <v>12</v>
      </c>
      <c r="G2476" s="14">
        <f>IFERROR(__xludf.DUMMYFUNCTION("""COMPUTED_VALUE"""),2.0)</f>
        <v>2</v>
      </c>
      <c r="H2476" s="14">
        <f>IFERROR(__xludf.DUMMYFUNCTION("""COMPUTED_VALUE"""),2023.0)</f>
        <v>2023</v>
      </c>
      <c r="I2476" s="14" t="str">
        <f>IFERROR(__xludf.DUMMYFUNCTION("""COMPUTED_VALUE"""),"UPI")</f>
        <v>UPI</v>
      </c>
      <c r="J2476" s="14" t="str">
        <f>IFERROR(__xludf.DUMMYFUNCTION("""COMPUTED_VALUE"""),"Delivered*Delivery Experience: Quick and professional")</f>
        <v>Delivered*Delivery Experience: Quick and professional</v>
      </c>
      <c r="K2476" s="14" t="str">
        <f>IFERROR(__xludf.DUMMYFUNCTION("split(E2476,""+"")"),"Apple")</f>
        <v>Apple</v>
      </c>
      <c r="L2476" s="14" t="str">
        <f>IFERROR(__xludf.DUMMYFUNCTION("""COMPUTED_VALUE"""),"1*Vivek Kumar")</f>
        <v>1*Vivek Kumar</v>
      </c>
      <c r="M2476" s="14">
        <f>IFERROR(__xludf.DUMMYFUNCTION("SPLIT(L2476,""*"")"),1.0)</f>
        <v>1</v>
      </c>
      <c r="N2476" s="14" t="str">
        <f>IFERROR(__xludf.DUMMYFUNCTION("""COMPUTED_VALUE"""),"Vivek Kumar")</f>
        <v>Vivek Kumar</v>
      </c>
      <c r="O2476" s="14" t="str">
        <f>IFERROR(__xludf.DUMMYFUNCTION("split(J2476,""*"")"),"Delivered")</f>
        <v>Delivered</v>
      </c>
      <c r="P2476" s="14" t="str">
        <f>IFERROR(__xludf.DUMMYFUNCTION("""COMPUTED_VALUE"""),"Delivery Experience: Quick and professional")</f>
        <v>Delivery Experience: Quick and professional</v>
      </c>
      <c r="Q2476" s="14" t="str">
        <f>IFERROR(__xludf.DUMMYFUNCTION("split(P2476,"":"")"),"Delivery Experience")</f>
        <v>Delivery Experience</v>
      </c>
      <c r="R2476" s="14" t="str">
        <f>IFERROR(__xludf.DUMMYFUNCTION("""COMPUTED_VALUE""")," Quick and professional")</f>
        <v> Quick and professional</v>
      </c>
      <c r="S2476" s="14" t="str">
        <f t="shared" ref="S2476:U2476" si="4955">trim(B2476)</f>
        <v>ord_98496</v>
      </c>
      <c r="T2476" s="14" t="str">
        <f t="shared" si="4955"/>
        <v>Kritika Shetty</v>
      </c>
      <c r="U2476" s="14" t="str">
        <f t="shared" si="4955"/>
        <v>Malad</v>
      </c>
      <c r="V2476" s="14" t="str">
        <f t="shared" si="4"/>
        <v>Apple</v>
      </c>
      <c r="W2476" s="14">
        <f t="shared" si="5"/>
        <v>1</v>
      </c>
      <c r="X2476" s="14" t="str">
        <f t="shared" si="6"/>
        <v>Vivek Kumar</v>
      </c>
      <c r="Y2476" s="15">
        <f t="shared" si="7"/>
        <v>45262</v>
      </c>
      <c r="Z2476" s="14" t="str">
        <f t="shared" si="8"/>
        <v>UPI</v>
      </c>
      <c r="AA2476" s="14" t="str">
        <f t="shared" si="9"/>
        <v>Delivered</v>
      </c>
      <c r="AB2476" s="14" t="str">
        <f t="shared" ref="AB2476:AC2476" si="4956">trim(Q2476)</f>
        <v>Delivery Experience</v>
      </c>
      <c r="AC2476" s="14" t="str">
        <f t="shared" si="4956"/>
        <v>Quick and professional</v>
      </c>
      <c r="AD2476" s="8"/>
    </row>
    <row r="2477">
      <c r="A2477" s="14" t="str">
        <f>IFERROR(__xludf.DUMMYFUNCTION("""COMPUTED_VALUE"""),"//ord_98590//Pranav Joshi//Andheri//Orange+2*Shine Thomas/12/15/2023//UPI//Delivered*Convenience: Easy tracking")</f>
        <v>//ord_98590//Pranav Joshi//Andheri//Orange+2*Shine Thomas/12/15/2023//UPI//Delivered*Convenience: Easy tracking</v>
      </c>
      <c r="B2477" s="14" t="str">
        <f>IFERROR(__xludf.DUMMYFUNCTION("split(A2477,""//"")"),"ord_98590")</f>
        <v>ord_98590</v>
      </c>
      <c r="C2477" s="14" t="str">
        <f>IFERROR(__xludf.DUMMYFUNCTION("""COMPUTED_VALUE"""),"Pranav Joshi")</f>
        <v>Pranav Joshi</v>
      </c>
      <c r="D2477" s="14" t="str">
        <f>IFERROR(__xludf.DUMMYFUNCTION("""COMPUTED_VALUE"""),"Andheri")</f>
        <v>Andheri</v>
      </c>
      <c r="E2477" s="14" t="str">
        <f>IFERROR(__xludf.DUMMYFUNCTION("""COMPUTED_VALUE"""),"Orange+2*Shine Thomas")</f>
        <v>Orange+2*Shine Thomas</v>
      </c>
      <c r="F2477" s="14">
        <f>IFERROR(__xludf.DUMMYFUNCTION("""COMPUTED_VALUE"""),12.0)</f>
        <v>12</v>
      </c>
      <c r="G2477" s="14">
        <f>IFERROR(__xludf.DUMMYFUNCTION("""COMPUTED_VALUE"""),15.0)</f>
        <v>15</v>
      </c>
      <c r="H2477" s="14">
        <f>IFERROR(__xludf.DUMMYFUNCTION("""COMPUTED_VALUE"""),2023.0)</f>
        <v>2023</v>
      </c>
      <c r="I2477" s="14" t="str">
        <f>IFERROR(__xludf.DUMMYFUNCTION("""COMPUTED_VALUE"""),"UPI")</f>
        <v>UPI</v>
      </c>
      <c r="J2477" s="14" t="str">
        <f>IFERROR(__xludf.DUMMYFUNCTION("""COMPUTED_VALUE"""),"Delivered*Convenience: Easy tracking")</f>
        <v>Delivered*Convenience: Easy tracking</v>
      </c>
      <c r="K2477" s="14" t="str">
        <f>IFERROR(__xludf.DUMMYFUNCTION("split(E2477,""+"")"),"Orange")</f>
        <v>Orange</v>
      </c>
      <c r="L2477" s="14" t="str">
        <f>IFERROR(__xludf.DUMMYFUNCTION("""COMPUTED_VALUE"""),"2*Shine Thomas")</f>
        <v>2*Shine Thomas</v>
      </c>
      <c r="M2477" s="14">
        <f>IFERROR(__xludf.DUMMYFUNCTION("SPLIT(L2477,""*"")"),2.0)</f>
        <v>2</v>
      </c>
      <c r="N2477" s="14" t="str">
        <f>IFERROR(__xludf.DUMMYFUNCTION("""COMPUTED_VALUE"""),"Shine Thomas")</f>
        <v>Shine Thomas</v>
      </c>
      <c r="O2477" s="14" t="str">
        <f>IFERROR(__xludf.DUMMYFUNCTION("split(J2477,""*"")"),"Delivered")</f>
        <v>Delivered</v>
      </c>
      <c r="P2477" s="14" t="str">
        <f>IFERROR(__xludf.DUMMYFUNCTION("""COMPUTED_VALUE"""),"Convenience: Easy tracking")</f>
        <v>Convenience: Easy tracking</v>
      </c>
      <c r="Q2477" s="14" t="str">
        <f>IFERROR(__xludf.DUMMYFUNCTION("split(P2477,"":"")"),"Convenience")</f>
        <v>Convenience</v>
      </c>
      <c r="R2477" s="14" t="str">
        <f>IFERROR(__xludf.DUMMYFUNCTION("""COMPUTED_VALUE""")," Easy tracking")</f>
        <v> Easy tracking</v>
      </c>
      <c r="S2477" s="14" t="str">
        <f t="shared" ref="S2477:U2477" si="4957">trim(B2477)</f>
        <v>ord_98590</v>
      </c>
      <c r="T2477" s="14" t="str">
        <f t="shared" si="4957"/>
        <v>Pranav Joshi</v>
      </c>
      <c r="U2477" s="14" t="str">
        <f t="shared" si="4957"/>
        <v>Andheri</v>
      </c>
      <c r="V2477" s="14" t="str">
        <f t="shared" si="4"/>
        <v>Orange</v>
      </c>
      <c r="W2477" s="14">
        <f t="shared" si="5"/>
        <v>2</v>
      </c>
      <c r="X2477" s="14" t="str">
        <f t="shared" si="6"/>
        <v>Shine Thomas</v>
      </c>
      <c r="Y2477" s="15">
        <f t="shared" si="7"/>
        <v>45275</v>
      </c>
      <c r="Z2477" s="14" t="str">
        <f t="shared" si="8"/>
        <v>UPI</v>
      </c>
      <c r="AA2477" s="14" t="str">
        <f t="shared" si="9"/>
        <v>Delivered</v>
      </c>
      <c r="AB2477" s="14" t="str">
        <f t="shared" ref="AB2477:AC2477" si="4958">trim(Q2477)</f>
        <v>Convenience</v>
      </c>
      <c r="AC2477" s="14" t="str">
        <f t="shared" si="4958"/>
        <v>Easy tracking</v>
      </c>
      <c r="AD2477" s="8"/>
    </row>
    <row r="2478">
      <c r="A2478" s="14" t="str">
        <f>IFERROR(__xludf.DUMMYFUNCTION("""COMPUTED_VALUE"""),"//ord_98684//Ishita Banerjee//Juhu//Veg Puff+4*Sita T/5/16/2023//UPI//Delivered*Overall Satisfaction: Great service will order again")</f>
        <v>//ord_98684//Ishita Banerjee//Juhu//Veg Puff+4*Sita T/5/16/2023//UPI//Delivered*Overall Satisfaction: Great service will order again</v>
      </c>
      <c r="B2478" s="14" t="str">
        <f>IFERROR(__xludf.DUMMYFUNCTION("split(A2478,""//"")"),"ord_98684")</f>
        <v>ord_98684</v>
      </c>
      <c r="C2478" s="14" t="str">
        <f>IFERROR(__xludf.DUMMYFUNCTION("""COMPUTED_VALUE"""),"Ishita Banerjee")</f>
        <v>Ishita Banerjee</v>
      </c>
      <c r="D2478" s="14" t="str">
        <f>IFERROR(__xludf.DUMMYFUNCTION("""COMPUTED_VALUE"""),"Juhu")</f>
        <v>Juhu</v>
      </c>
      <c r="E2478" s="14" t="str">
        <f>IFERROR(__xludf.DUMMYFUNCTION("""COMPUTED_VALUE"""),"Veg Puff+4*Sita T")</f>
        <v>Veg Puff+4*Sita T</v>
      </c>
      <c r="F2478" s="14">
        <f>IFERROR(__xludf.DUMMYFUNCTION("""COMPUTED_VALUE"""),5.0)</f>
        <v>5</v>
      </c>
      <c r="G2478" s="14">
        <f>IFERROR(__xludf.DUMMYFUNCTION("""COMPUTED_VALUE"""),16.0)</f>
        <v>16</v>
      </c>
      <c r="H2478" s="14">
        <f>IFERROR(__xludf.DUMMYFUNCTION("""COMPUTED_VALUE"""),2023.0)</f>
        <v>2023</v>
      </c>
      <c r="I2478" s="14" t="str">
        <f>IFERROR(__xludf.DUMMYFUNCTION("""COMPUTED_VALUE"""),"UPI")</f>
        <v>UPI</v>
      </c>
      <c r="J2478" s="14" t="str">
        <f>IFERROR(__xludf.DUMMYFUNCTION("""COMPUTED_VALUE"""),"Delivered*Overall Satisfaction: Great service will order again")</f>
        <v>Delivered*Overall Satisfaction: Great service will order again</v>
      </c>
      <c r="K2478" s="14" t="str">
        <f>IFERROR(__xludf.DUMMYFUNCTION("split(E2478,""+"")"),"Veg Puff")</f>
        <v>Veg Puff</v>
      </c>
      <c r="L2478" s="14" t="str">
        <f>IFERROR(__xludf.DUMMYFUNCTION("""COMPUTED_VALUE"""),"4*Sita T")</f>
        <v>4*Sita T</v>
      </c>
      <c r="M2478" s="14">
        <f>IFERROR(__xludf.DUMMYFUNCTION("SPLIT(L2478,""*"")"),4.0)</f>
        <v>4</v>
      </c>
      <c r="N2478" s="14" t="str">
        <f>IFERROR(__xludf.DUMMYFUNCTION("""COMPUTED_VALUE"""),"Sita T")</f>
        <v>Sita T</v>
      </c>
      <c r="O2478" s="14" t="str">
        <f>IFERROR(__xludf.DUMMYFUNCTION("split(J2478,""*"")"),"Delivered")</f>
        <v>Delivered</v>
      </c>
      <c r="P2478" s="14" t="str">
        <f>IFERROR(__xludf.DUMMYFUNCTION("""COMPUTED_VALUE"""),"Overall Satisfaction: Great service will order again")</f>
        <v>Overall Satisfaction: Great service will order again</v>
      </c>
      <c r="Q2478" s="14" t="str">
        <f>IFERROR(__xludf.DUMMYFUNCTION("split(P2478,"":"")"),"Overall Satisfaction")</f>
        <v>Overall Satisfaction</v>
      </c>
      <c r="R2478" s="14" t="str">
        <f>IFERROR(__xludf.DUMMYFUNCTION("""COMPUTED_VALUE""")," Great service will order again")</f>
        <v> Great service will order again</v>
      </c>
      <c r="S2478" s="14" t="str">
        <f t="shared" ref="S2478:U2478" si="4959">trim(B2478)</f>
        <v>ord_98684</v>
      </c>
      <c r="T2478" s="14" t="str">
        <f t="shared" si="4959"/>
        <v>Ishita Banerjee</v>
      </c>
      <c r="U2478" s="14" t="str">
        <f t="shared" si="4959"/>
        <v>Juhu</v>
      </c>
      <c r="V2478" s="14" t="str">
        <f t="shared" si="4"/>
        <v>Veg Puff</v>
      </c>
      <c r="W2478" s="14">
        <f t="shared" si="5"/>
        <v>4</v>
      </c>
      <c r="X2478" s="14" t="str">
        <f t="shared" si="6"/>
        <v>Sita T</v>
      </c>
      <c r="Y2478" s="15">
        <f t="shared" si="7"/>
        <v>45062</v>
      </c>
      <c r="Z2478" s="14" t="str">
        <f t="shared" si="8"/>
        <v>UPI</v>
      </c>
      <c r="AA2478" s="14" t="str">
        <f t="shared" si="9"/>
        <v>Delivered</v>
      </c>
      <c r="AB2478" s="14" t="str">
        <f t="shared" ref="AB2478:AC2478" si="4960">trim(Q2478)</f>
        <v>Overall Satisfaction</v>
      </c>
      <c r="AC2478" s="14" t="str">
        <f t="shared" si="4960"/>
        <v>Great service will order again</v>
      </c>
      <c r="AD2478" s="8"/>
    </row>
    <row r="2479">
      <c r="A2479" s="14" t="str">
        <f>IFERROR(__xludf.DUMMYFUNCTION("""COMPUTED_VALUE"""),"//ord_98778//Sanjay Nair//Dadar//Cold Coffee+3*Ramesh S/11/15/2023//UPI//Delivered*On-time Delivery: Delivered on time")</f>
        <v>//ord_98778//Sanjay Nair//Dadar//Cold Coffee+3*Ramesh S/11/15/2023//UPI//Delivered*On-time Delivery: Delivered on time</v>
      </c>
      <c r="B2479" s="14" t="str">
        <f>IFERROR(__xludf.DUMMYFUNCTION("split(A2479,""//"")"),"ord_98778")</f>
        <v>ord_98778</v>
      </c>
      <c r="C2479" s="14" t="str">
        <f>IFERROR(__xludf.DUMMYFUNCTION("""COMPUTED_VALUE"""),"Sanjay Nair")</f>
        <v>Sanjay Nair</v>
      </c>
      <c r="D2479" s="14" t="str">
        <f>IFERROR(__xludf.DUMMYFUNCTION("""COMPUTED_VALUE"""),"Dadar")</f>
        <v>Dadar</v>
      </c>
      <c r="E2479" s="14" t="str">
        <f>IFERROR(__xludf.DUMMYFUNCTION("""COMPUTED_VALUE"""),"Cold Coffee+3*Ramesh S")</f>
        <v>Cold Coffee+3*Ramesh S</v>
      </c>
      <c r="F2479" s="14">
        <f>IFERROR(__xludf.DUMMYFUNCTION("""COMPUTED_VALUE"""),11.0)</f>
        <v>11</v>
      </c>
      <c r="G2479" s="14">
        <f>IFERROR(__xludf.DUMMYFUNCTION("""COMPUTED_VALUE"""),15.0)</f>
        <v>15</v>
      </c>
      <c r="H2479" s="14">
        <f>IFERROR(__xludf.DUMMYFUNCTION("""COMPUTED_VALUE"""),2023.0)</f>
        <v>2023</v>
      </c>
      <c r="I2479" s="14" t="str">
        <f>IFERROR(__xludf.DUMMYFUNCTION("""COMPUTED_VALUE"""),"UPI")</f>
        <v>UPI</v>
      </c>
      <c r="J2479" s="14" t="str">
        <f>IFERROR(__xludf.DUMMYFUNCTION("""COMPUTED_VALUE"""),"Delivered*On-time Delivery: Delivered on time")</f>
        <v>Delivered*On-time Delivery: Delivered on time</v>
      </c>
      <c r="K2479" s="14" t="str">
        <f>IFERROR(__xludf.DUMMYFUNCTION("split(E2479,""+"")"),"Cold Coffee")</f>
        <v>Cold Coffee</v>
      </c>
      <c r="L2479" s="14" t="str">
        <f>IFERROR(__xludf.DUMMYFUNCTION("""COMPUTED_VALUE"""),"3*Ramesh S")</f>
        <v>3*Ramesh S</v>
      </c>
      <c r="M2479" s="14">
        <f>IFERROR(__xludf.DUMMYFUNCTION("SPLIT(L2479,""*"")"),3.0)</f>
        <v>3</v>
      </c>
      <c r="N2479" s="14" t="str">
        <f>IFERROR(__xludf.DUMMYFUNCTION("""COMPUTED_VALUE"""),"Ramesh S")</f>
        <v>Ramesh S</v>
      </c>
      <c r="O2479" s="14" t="str">
        <f>IFERROR(__xludf.DUMMYFUNCTION("split(J2479,""*"")"),"Delivered")</f>
        <v>Delivered</v>
      </c>
      <c r="P2479" s="14" t="str">
        <f>IFERROR(__xludf.DUMMYFUNCTION("""COMPUTED_VALUE"""),"On-time Delivery: Delivered on time")</f>
        <v>On-time Delivery: Delivered on time</v>
      </c>
      <c r="Q2479" s="14" t="str">
        <f>IFERROR(__xludf.DUMMYFUNCTION("split(P2479,"":"")"),"On-time Delivery")</f>
        <v>On-time Delivery</v>
      </c>
      <c r="R2479" s="14" t="str">
        <f>IFERROR(__xludf.DUMMYFUNCTION("""COMPUTED_VALUE""")," Delivered on time")</f>
        <v> Delivered on time</v>
      </c>
      <c r="S2479" s="14" t="str">
        <f t="shared" ref="S2479:U2479" si="4961">trim(B2479)</f>
        <v>ord_98778</v>
      </c>
      <c r="T2479" s="14" t="str">
        <f t="shared" si="4961"/>
        <v>Sanjay Nair</v>
      </c>
      <c r="U2479" s="14" t="str">
        <f t="shared" si="4961"/>
        <v>Dadar</v>
      </c>
      <c r="V2479" s="14" t="str">
        <f t="shared" si="4"/>
        <v>Cold Coffee</v>
      </c>
      <c r="W2479" s="14">
        <f t="shared" si="5"/>
        <v>3</v>
      </c>
      <c r="X2479" s="14" t="str">
        <f t="shared" si="6"/>
        <v>Ramesh S</v>
      </c>
      <c r="Y2479" s="15">
        <f t="shared" si="7"/>
        <v>45245</v>
      </c>
      <c r="Z2479" s="14" t="str">
        <f t="shared" si="8"/>
        <v>UPI</v>
      </c>
      <c r="AA2479" s="14" t="str">
        <f t="shared" si="9"/>
        <v>Delivered</v>
      </c>
      <c r="AB2479" s="14" t="str">
        <f t="shared" ref="AB2479:AC2479" si="4962">trim(Q2479)</f>
        <v>On-time Delivery</v>
      </c>
      <c r="AC2479" s="14" t="str">
        <f t="shared" si="4962"/>
        <v>Delivered on time</v>
      </c>
      <c r="AD2479" s="8"/>
    </row>
    <row r="2480">
      <c r="A2480" s="14" t="str">
        <f>IFERROR(__xludf.DUMMYFUNCTION("""COMPUTED_VALUE"""),"//ord_98872//Tanishq Bansal//Powai//Veg Puff+2*Manju Ajay/5/3/2023//UPI//Delivered*On-time Delivery: Delivered on time")</f>
        <v>//ord_98872//Tanishq Bansal//Powai//Veg Puff+2*Manju Ajay/5/3/2023//UPI//Delivered*On-time Delivery: Delivered on time</v>
      </c>
      <c r="B2480" s="14" t="str">
        <f>IFERROR(__xludf.DUMMYFUNCTION("split(A2480,""//"")"),"ord_98872")</f>
        <v>ord_98872</v>
      </c>
      <c r="C2480" s="14" t="str">
        <f>IFERROR(__xludf.DUMMYFUNCTION("""COMPUTED_VALUE"""),"Tanishq Bansal")</f>
        <v>Tanishq Bansal</v>
      </c>
      <c r="D2480" s="14" t="str">
        <f>IFERROR(__xludf.DUMMYFUNCTION("""COMPUTED_VALUE"""),"Powai")</f>
        <v>Powai</v>
      </c>
      <c r="E2480" s="14" t="str">
        <f>IFERROR(__xludf.DUMMYFUNCTION("""COMPUTED_VALUE"""),"Veg Puff+2*Manju Ajay")</f>
        <v>Veg Puff+2*Manju Ajay</v>
      </c>
      <c r="F2480" s="14">
        <f>IFERROR(__xludf.DUMMYFUNCTION("""COMPUTED_VALUE"""),5.0)</f>
        <v>5</v>
      </c>
      <c r="G2480" s="14">
        <f>IFERROR(__xludf.DUMMYFUNCTION("""COMPUTED_VALUE"""),3.0)</f>
        <v>3</v>
      </c>
      <c r="H2480" s="14">
        <f>IFERROR(__xludf.DUMMYFUNCTION("""COMPUTED_VALUE"""),2023.0)</f>
        <v>2023</v>
      </c>
      <c r="I2480" s="14" t="str">
        <f>IFERROR(__xludf.DUMMYFUNCTION("""COMPUTED_VALUE"""),"UPI")</f>
        <v>UPI</v>
      </c>
      <c r="J2480" s="14" t="str">
        <f>IFERROR(__xludf.DUMMYFUNCTION("""COMPUTED_VALUE"""),"Delivered*On-time Delivery: Delivered on time")</f>
        <v>Delivered*On-time Delivery: Delivered on time</v>
      </c>
      <c r="K2480" s="14" t="str">
        <f>IFERROR(__xludf.DUMMYFUNCTION("split(E2480,""+"")"),"Veg Puff")</f>
        <v>Veg Puff</v>
      </c>
      <c r="L2480" s="14" t="str">
        <f>IFERROR(__xludf.DUMMYFUNCTION("""COMPUTED_VALUE"""),"2*Manju Ajay")</f>
        <v>2*Manju Ajay</v>
      </c>
      <c r="M2480" s="14">
        <f>IFERROR(__xludf.DUMMYFUNCTION("SPLIT(L2480,""*"")"),2.0)</f>
        <v>2</v>
      </c>
      <c r="N2480" s="14" t="str">
        <f>IFERROR(__xludf.DUMMYFUNCTION("""COMPUTED_VALUE"""),"Manju Ajay")</f>
        <v>Manju Ajay</v>
      </c>
      <c r="O2480" s="14" t="str">
        <f>IFERROR(__xludf.DUMMYFUNCTION("split(J2480,""*"")"),"Delivered")</f>
        <v>Delivered</v>
      </c>
      <c r="P2480" s="14" t="str">
        <f>IFERROR(__xludf.DUMMYFUNCTION("""COMPUTED_VALUE"""),"On-time Delivery: Delivered on time")</f>
        <v>On-time Delivery: Delivered on time</v>
      </c>
      <c r="Q2480" s="14" t="str">
        <f>IFERROR(__xludf.DUMMYFUNCTION("split(P2480,"":"")"),"On-time Delivery")</f>
        <v>On-time Delivery</v>
      </c>
      <c r="R2480" s="14" t="str">
        <f>IFERROR(__xludf.DUMMYFUNCTION("""COMPUTED_VALUE""")," Delivered on time")</f>
        <v> Delivered on time</v>
      </c>
      <c r="S2480" s="14" t="str">
        <f t="shared" ref="S2480:U2480" si="4963">trim(B2480)</f>
        <v>ord_98872</v>
      </c>
      <c r="T2480" s="14" t="str">
        <f t="shared" si="4963"/>
        <v>Tanishq Bansal</v>
      </c>
      <c r="U2480" s="14" t="str">
        <f t="shared" si="4963"/>
        <v>Powai</v>
      </c>
      <c r="V2480" s="14" t="str">
        <f t="shared" si="4"/>
        <v>Veg Puff</v>
      </c>
      <c r="W2480" s="14">
        <f t="shared" si="5"/>
        <v>2</v>
      </c>
      <c r="X2480" s="14" t="str">
        <f t="shared" si="6"/>
        <v>Manju Ajay</v>
      </c>
      <c r="Y2480" s="15">
        <f t="shared" si="7"/>
        <v>45049</v>
      </c>
      <c r="Z2480" s="14" t="str">
        <f t="shared" si="8"/>
        <v>UPI</v>
      </c>
      <c r="AA2480" s="14" t="str">
        <f t="shared" si="9"/>
        <v>Delivered</v>
      </c>
      <c r="AB2480" s="14" t="str">
        <f t="shared" ref="AB2480:AC2480" si="4964">trim(Q2480)</f>
        <v>On-time Delivery</v>
      </c>
      <c r="AC2480" s="14" t="str">
        <f t="shared" si="4964"/>
        <v>Delivered on time</v>
      </c>
      <c r="AD2480" s="8"/>
    </row>
    <row r="2481">
      <c r="A2481" s="14" t="str">
        <f>IFERROR(__xludf.DUMMYFUNCTION("""COMPUTED_VALUE"""),"//ord_98966//Aarav Mehta//Andheri//Tiramisu+4*Venu R/6/14/2023//UPI//Delivered*Quality of Items: Perfect condition")</f>
        <v>//ord_98966//Aarav Mehta//Andheri//Tiramisu+4*Venu R/6/14/2023//UPI//Delivered*Quality of Items: Perfect condition</v>
      </c>
      <c r="B2481" s="14" t="str">
        <f>IFERROR(__xludf.DUMMYFUNCTION("split(A2481,""//"")"),"ord_98966")</f>
        <v>ord_98966</v>
      </c>
      <c r="C2481" s="14" t="str">
        <f>IFERROR(__xludf.DUMMYFUNCTION("""COMPUTED_VALUE"""),"Aarav Mehta")</f>
        <v>Aarav Mehta</v>
      </c>
      <c r="D2481" s="14" t="str">
        <f>IFERROR(__xludf.DUMMYFUNCTION("""COMPUTED_VALUE"""),"Andheri")</f>
        <v>Andheri</v>
      </c>
      <c r="E2481" s="14" t="str">
        <f>IFERROR(__xludf.DUMMYFUNCTION("""COMPUTED_VALUE"""),"Tiramisu+4*Venu R")</f>
        <v>Tiramisu+4*Venu R</v>
      </c>
      <c r="F2481" s="14">
        <f>IFERROR(__xludf.DUMMYFUNCTION("""COMPUTED_VALUE"""),6.0)</f>
        <v>6</v>
      </c>
      <c r="G2481" s="14">
        <f>IFERROR(__xludf.DUMMYFUNCTION("""COMPUTED_VALUE"""),14.0)</f>
        <v>14</v>
      </c>
      <c r="H2481" s="14">
        <f>IFERROR(__xludf.DUMMYFUNCTION("""COMPUTED_VALUE"""),2023.0)</f>
        <v>2023</v>
      </c>
      <c r="I2481" s="14" t="str">
        <f>IFERROR(__xludf.DUMMYFUNCTION("""COMPUTED_VALUE"""),"UPI")</f>
        <v>UPI</v>
      </c>
      <c r="J2481" s="14" t="str">
        <f>IFERROR(__xludf.DUMMYFUNCTION("""COMPUTED_VALUE"""),"Delivered*Quality of Items: Perfect condition")</f>
        <v>Delivered*Quality of Items: Perfect condition</v>
      </c>
      <c r="K2481" s="14" t="str">
        <f>IFERROR(__xludf.DUMMYFUNCTION("split(E2481,""+"")"),"Tiramisu")</f>
        <v>Tiramisu</v>
      </c>
      <c r="L2481" s="14" t="str">
        <f>IFERROR(__xludf.DUMMYFUNCTION("""COMPUTED_VALUE"""),"4*Venu R")</f>
        <v>4*Venu R</v>
      </c>
      <c r="M2481" s="14">
        <f>IFERROR(__xludf.DUMMYFUNCTION("SPLIT(L2481,""*"")"),4.0)</f>
        <v>4</v>
      </c>
      <c r="N2481" s="14" t="str">
        <f>IFERROR(__xludf.DUMMYFUNCTION("""COMPUTED_VALUE"""),"Venu R")</f>
        <v>Venu R</v>
      </c>
      <c r="O2481" s="14" t="str">
        <f>IFERROR(__xludf.DUMMYFUNCTION("split(J2481,""*"")"),"Delivered")</f>
        <v>Delivered</v>
      </c>
      <c r="P2481" s="14" t="str">
        <f>IFERROR(__xludf.DUMMYFUNCTION("""COMPUTED_VALUE"""),"Quality of Items: Perfect condition")</f>
        <v>Quality of Items: Perfect condition</v>
      </c>
      <c r="Q2481" s="14" t="str">
        <f>IFERROR(__xludf.DUMMYFUNCTION("split(P2481,"":"")"),"Quality of Items")</f>
        <v>Quality of Items</v>
      </c>
      <c r="R2481" s="14" t="str">
        <f>IFERROR(__xludf.DUMMYFUNCTION("""COMPUTED_VALUE""")," Perfect condition")</f>
        <v> Perfect condition</v>
      </c>
      <c r="S2481" s="14" t="str">
        <f t="shared" ref="S2481:U2481" si="4965">trim(B2481)</f>
        <v>ord_98966</v>
      </c>
      <c r="T2481" s="14" t="str">
        <f t="shared" si="4965"/>
        <v>Aarav Mehta</v>
      </c>
      <c r="U2481" s="14" t="str">
        <f t="shared" si="4965"/>
        <v>Andheri</v>
      </c>
      <c r="V2481" s="14" t="str">
        <f t="shared" si="4"/>
        <v>Tiramisu</v>
      </c>
      <c r="W2481" s="14">
        <f t="shared" si="5"/>
        <v>4</v>
      </c>
      <c r="X2481" s="14" t="str">
        <f t="shared" si="6"/>
        <v>Venu R</v>
      </c>
      <c r="Y2481" s="15">
        <f t="shared" si="7"/>
        <v>45091</v>
      </c>
      <c r="Z2481" s="14" t="str">
        <f t="shared" si="8"/>
        <v>UPI</v>
      </c>
      <c r="AA2481" s="14" t="str">
        <f t="shared" si="9"/>
        <v>Delivered</v>
      </c>
      <c r="AB2481" s="14" t="str">
        <f t="shared" ref="AB2481:AC2481" si="4966">trim(Q2481)</f>
        <v>Quality of Items</v>
      </c>
      <c r="AC2481" s="14" t="str">
        <f t="shared" si="4966"/>
        <v>Perfect condition</v>
      </c>
      <c r="AD2481" s="8"/>
    </row>
    <row r="2482">
      <c r="A2482" s="14" t="str">
        <f>IFERROR(__xludf.DUMMYFUNCTION("""COMPUTED_VALUE"""),"//ord_99060//Sahil Desai//Lower Parel//Veg Puff+9*Sita T/3/10/2023//Online Payment//Delivered*Packaging: Secure and intact")</f>
        <v>//ord_99060//Sahil Desai//Lower Parel//Veg Puff+9*Sita T/3/10/2023//Online Payment//Delivered*Packaging: Secure and intact</v>
      </c>
      <c r="B2482" s="14" t="str">
        <f>IFERROR(__xludf.DUMMYFUNCTION("split(A2482,""//"")"),"ord_99060")</f>
        <v>ord_99060</v>
      </c>
      <c r="C2482" s="14" t="str">
        <f>IFERROR(__xludf.DUMMYFUNCTION("""COMPUTED_VALUE"""),"Sahil Desai")</f>
        <v>Sahil Desai</v>
      </c>
      <c r="D2482" s="14" t="str">
        <f>IFERROR(__xludf.DUMMYFUNCTION("""COMPUTED_VALUE"""),"Lower Parel")</f>
        <v>Lower Parel</v>
      </c>
      <c r="E2482" s="14" t="str">
        <f>IFERROR(__xludf.DUMMYFUNCTION("""COMPUTED_VALUE"""),"Veg Puff+9*Sita T")</f>
        <v>Veg Puff+9*Sita T</v>
      </c>
      <c r="F2482" s="14">
        <f>IFERROR(__xludf.DUMMYFUNCTION("""COMPUTED_VALUE"""),3.0)</f>
        <v>3</v>
      </c>
      <c r="G2482" s="14">
        <f>IFERROR(__xludf.DUMMYFUNCTION("""COMPUTED_VALUE"""),10.0)</f>
        <v>10</v>
      </c>
      <c r="H2482" s="14">
        <f>IFERROR(__xludf.DUMMYFUNCTION("""COMPUTED_VALUE"""),2023.0)</f>
        <v>2023</v>
      </c>
      <c r="I2482" s="14" t="str">
        <f>IFERROR(__xludf.DUMMYFUNCTION("""COMPUTED_VALUE"""),"Online Payment")</f>
        <v>Online Payment</v>
      </c>
      <c r="J2482" s="14" t="str">
        <f>IFERROR(__xludf.DUMMYFUNCTION("""COMPUTED_VALUE"""),"Delivered*Packaging: Secure and intact")</f>
        <v>Delivered*Packaging: Secure and intact</v>
      </c>
      <c r="K2482" s="14" t="str">
        <f>IFERROR(__xludf.DUMMYFUNCTION("split(E2482,""+"")"),"Veg Puff")</f>
        <v>Veg Puff</v>
      </c>
      <c r="L2482" s="14" t="str">
        <f>IFERROR(__xludf.DUMMYFUNCTION("""COMPUTED_VALUE"""),"9*Sita T")</f>
        <v>9*Sita T</v>
      </c>
      <c r="M2482" s="14">
        <f>IFERROR(__xludf.DUMMYFUNCTION("SPLIT(L2482,""*"")"),9.0)</f>
        <v>9</v>
      </c>
      <c r="N2482" s="14" t="str">
        <f>IFERROR(__xludf.DUMMYFUNCTION("""COMPUTED_VALUE"""),"Sita T")</f>
        <v>Sita T</v>
      </c>
      <c r="O2482" s="14" t="str">
        <f>IFERROR(__xludf.DUMMYFUNCTION("split(J2482,""*"")"),"Delivered")</f>
        <v>Delivered</v>
      </c>
      <c r="P2482" s="14" t="str">
        <f>IFERROR(__xludf.DUMMYFUNCTION("""COMPUTED_VALUE"""),"Packaging: Secure and intact")</f>
        <v>Packaging: Secure and intact</v>
      </c>
      <c r="Q2482" s="14" t="str">
        <f>IFERROR(__xludf.DUMMYFUNCTION("split(P2482,"":"")"),"Packaging")</f>
        <v>Packaging</v>
      </c>
      <c r="R2482" s="14" t="str">
        <f>IFERROR(__xludf.DUMMYFUNCTION("""COMPUTED_VALUE""")," Secure and intact")</f>
        <v> Secure and intact</v>
      </c>
      <c r="S2482" s="14" t="str">
        <f t="shared" ref="S2482:U2482" si="4967">trim(B2482)</f>
        <v>ord_99060</v>
      </c>
      <c r="T2482" s="14" t="str">
        <f t="shared" si="4967"/>
        <v>Sahil Desai</v>
      </c>
      <c r="U2482" s="14" t="str">
        <f t="shared" si="4967"/>
        <v>Lower Parel</v>
      </c>
      <c r="V2482" s="14" t="str">
        <f t="shared" si="4"/>
        <v>Veg Puff</v>
      </c>
      <c r="W2482" s="14">
        <f t="shared" si="5"/>
        <v>9</v>
      </c>
      <c r="X2482" s="14" t="str">
        <f t="shared" si="6"/>
        <v>Sita T</v>
      </c>
      <c r="Y2482" s="15">
        <f t="shared" si="7"/>
        <v>44995</v>
      </c>
      <c r="Z2482" s="14" t="str">
        <f t="shared" si="8"/>
        <v>Online Payment</v>
      </c>
      <c r="AA2482" s="14" t="str">
        <f t="shared" si="9"/>
        <v>Delivered</v>
      </c>
      <c r="AB2482" s="14" t="str">
        <f t="shared" ref="AB2482:AC2482" si="4968">trim(Q2482)</f>
        <v>Packaging</v>
      </c>
      <c r="AC2482" s="14" t="str">
        <f t="shared" si="4968"/>
        <v>Secure and intact</v>
      </c>
      <c r="AD2482" s="8"/>
    </row>
    <row r="2483">
      <c r="A2483" s="14" t="str">
        <f>IFERROR(__xludf.DUMMYFUNCTION("""COMPUTED_VALUE"""),"//ord_99154//Tanishq Bansal//Powai//Cold Coffee+1*Ram Gopal/10/17/2023//UPI//Delivered*Satisfied with the Delivery: Timely and quality")</f>
        <v>//ord_99154//Tanishq Bansal//Powai//Cold Coffee+1*Ram Gopal/10/17/2023//UPI//Delivered*Satisfied with the Delivery: Timely and quality</v>
      </c>
      <c r="B2483" s="14" t="str">
        <f>IFERROR(__xludf.DUMMYFUNCTION("split(A2483,""//"")"),"ord_99154")</f>
        <v>ord_99154</v>
      </c>
      <c r="C2483" s="14" t="str">
        <f>IFERROR(__xludf.DUMMYFUNCTION("""COMPUTED_VALUE"""),"Tanishq Bansal")</f>
        <v>Tanishq Bansal</v>
      </c>
      <c r="D2483" s="14" t="str">
        <f>IFERROR(__xludf.DUMMYFUNCTION("""COMPUTED_VALUE"""),"Powai")</f>
        <v>Powai</v>
      </c>
      <c r="E2483" s="14" t="str">
        <f>IFERROR(__xludf.DUMMYFUNCTION("""COMPUTED_VALUE"""),"Cold Coffee+1*Ram Gopal")</f>
        <v>Cold Coffee+1*Ram Gopal</v>
      </c>
      <c r="F2483" s="14">
        <f>IFERROR(__xludf.DUMMYFUNCTION("""COMPUTED_VALUE"""),10.0)</f>
        <v>10</v>
      </c>
      <c r="G2483" s="14">
        <f>IFERROR(__xludf.DUMMYFUNCTION("""COMPUTED_VALUE"""),17.0)</f>
        <v>17</v>
      </c>
      <c r="H2483" s="14">
        <f>IFERROR(__xludf.DUMMYFUNCTION("""COMPUTED_VALUE"""),2023.0)</f>
        <v>2023</v>
      </c>
      <c r="I2483" s="14" t="str">
        <f>IFERROR(__xludf.DUMMYFUNCTION("""COMPUTED_VALUE"""),"UPI")</f>
        <v>UPI</v>
      </c>
      <c r="J2483" s="14" t="str">
        <f>IFERROR(__xludf.DUMMYFUNCTION("""COMPUTED_VALUE"""),"Delivered*Satisfied with the Delivery: Timely and quality")</f>
        <v>Delivered*Satisfied with the Delivery: Timely and quality</v>
      </c>
      <c r="K2483" s="14" t="str">
        <f>IFERROR(__xludf.DUMMYFUNCTION("split(E2483,""+"")"),"Cold Coffee")</f>
        <v>Cold Coffee</v>
      </c>
      <c r="L2483" s="14" t="str">
        <f>IFERROR(__xludf.DUMMYFUNCTION("""COMPUTED_VALUE"""),"1*Ram Gopal")</f>
        <v>1*Ram Gopal</v>
      </c>
      <c r="M2483" s="14">
        <f>IFERROR(__xludf.DUMMYFUNCTION("SPLIT(L2483,""*"")"),1.0)</f>
        <v>1</v>
      </c>
      <c r="N2483" s="14" t="str">
        <f>IFERROR(__xludf.DUMMYFUNCTION("""COMPUTED_VALUE"""),"Ram Gopal")</f>
        <v>Ram Gopal</v>
      </c>
      <c r="O2483" s="14" t="str">
        <f>IFERROR(__xludf.DUMMYFUNCTION("split(J2483,""*"")"),"Delivered")</f>
        <v>Delivered</v>
      </c>
      <c r="P2483" s="14" t="str">
        <f>IFERROR(__xludf.DUMMYFUNCTION("""COMPUTED_VALUE"""),"Satisfied with the Delivery: Timely and quality")</f>
        <v>Satisfied with the Delivery: Timely and quality</v>
      </c>
      <c r="Q2483" s="14" t="str">
        <f>IFERROR(__xludf.DUMMYFUNCTION("split(P2483,"":"")"),"Satisfied with the Delivery")</f>
        <v>Satisfied with the Delivery</v>
      </c>
      <c r="R2483" s="14" t="str">
        <f>IFERROR(__xludf.DUMMYFUNCTION("""COMPUTED_VALUE""")," Timely and quality")</f>
        <v> Timely and quality</v>
      </c>
      <c r="S2483" s="14" t="str">
        <f t="shared" ref="S2483:U2483" si="4969">trim(B2483)</f>
        <v>ord_99154</v>
      </c>
      <c r="T2483" s="14" t="str">
        <f t="shared" si="4969"/>
        <v>Tanishq Bansal</v>
      </c>
      <c r="U2483" s="14" t="str">
        <f t="shared" si="4969"/>
        <v>Powai</v>
      </c>
      <c r="V2483" s="14" t="str">
        <f t="shared" si="4"/>
        <v>Cold Coffee</v>
      </c>
      <c r="W2483" s="14">
        <f t="shared" si="5"/>
        <v>1</v>
      </c>
      <c r="X2483" s="14" t="str">
        <f t="shared" si="6"/>
        <v>Ram Gopal</v>
      </c>
      <c r="Y2483" s="15">
        <f t="shared" si="7"/>
        <v>45216</v>
      </c>
      <c r="Z2483" s="14" t="str">
        <f t="shared" si="8"/>
        <v>UPI</v>
      </c>
      <c r="AA2483" s="14" t="str">
        <f t="shared" si="9"/>
        <v>Delivered</v>
      </c>
      <c r="AB2483" s="14" t="str">
        <f t="shared" ref="AB2483:AC2483" si="4970">trim(Q2483)</f>
        <v>Satisfied with the Delivery</v>
      </c>
      <c r="AC2483" s="14" t="str">
        <f t="shared" si="4970"/>
        <v>Timely and quality</v>
      </c>
      <c r="AD2483" s="8"/>
    </row>
    <row r="2484">
      <c r="A2484" s="14" t="str">
        <f>IFERROR(__xludf.DUMMYFUNCTION("""COMPUTED_VALUE"""),"//ord_99248//Pallavi Ghosh//Bandra//Cold Coffee+4*Venu R/3/17/2023//UPI//Delivered*Customer Service: Seamless and easy")</f>
        <v>//ord_99248//Pallavi Ghosh//Bandra//Cold Coffee+4*Venu R/3/17/2023//UPI//Delivered*Customer Service: Seamless and easy</v>
      </c>
      <c r="B2484" s="14" t="str">
        <f>IFERROR(__xludf.DUMMYFUNCTION("split(A2484,""//"")"),"ord_99248")</f>
        <v>ord_99248</v>
      </c>
      <c r="C2484" s="14" t="str">
        <f>IFERROR(__xludf.DUMMYFUNCTION("""COMPUTED_VALUE"""),"Pallavi Ghosh")</f>
        <v>Pallavi Ghosh</v>
      </c>
      <c r="D2484" s="14" t="str">
        <f>IFERROR(__xludf.DUMMYFUNCTION("""COMPUTED_VALUE"""),"Bandra")</f>
        <v>Bandra</v>
      </c>
      <c r="E2484" s="14" t="str">
        <f>IFERROR(__xludf.DUMMYFUNCTION("""COMPUTED_VALUE"""),"Cold Coffee+4*Venu R")</f>
        <v>Cold Coffee+4*Venu R</v>
      </c>
      <c r="F2484" s="14">
        <f>IFERROR(__xludf.DUMMYFUNCTION("""COMPUTED_VALUE"""),3.0)</f>
        <v>3</v>
      </c>
      <c r="G2484" s="14">
        <f>IFERROR(__xludf.DUMMYFUNCTION("""COMPUTED_VALUE"""),17.0)</f>
        <v>17</v>
      </c>
      <c r="H2484" s="14">
        <f>IFERROR(__xludf.DUMMYFUNCTION("""COMPUTED_VALUE"""),2023.0)</f>
        <v>2023</v>
      </c>
      <c r="I2484" s="14" t="str">
        <f>IFERROR(__xludf.DUMMYFUNCTION("""COMPUTED_VALUE"""),"UPI")</f>
        <v>UPI</v>
      </c>
      <c r="J2484" s="14" t="str">
        <f>IFERROR(__xludf.DUMMYFUNCTION("""COMPUTED_VALUE"""),"Delivered*Customer Service: Seamless and easy")</f>
        <v>Delivered*Customer Service: Seamless and easy</v>
      </c>
      <c r="K2484" s="14" t="str">
        <f>IFERROR(__xludf.DUMMYFUNCTION("split(E2484,""+"")"),"Cold Coffee")</f>
        <v>Cold Coffee</v>
      </c>
      <c r="L2484" s="14" t="str">
        <f>IFERROR(__xludf.DUMMYFUNCTION("""COMPUTED_VALUE"""),"4*Venu R")</f>
        <v>4*Venu R</v>
      </c>
      <c r="M2484" s="14">
        <f>IFERROR(__xludf.DUMMYFUNCTION("SPLIT(L2484,""*"")"),4.0)</f>
        <v>4</v>
      </c>
      <c r="N2484" s="14" t="str">
        <f>IFERROR(__xludf.DUMMYFUNCTION("""COMPUTED_VALUE"""),"Venu R")</f>
        <v>Venu R</v>
      </c>
      <c r="O2484" s="14" t="str">
        <f>IFERROR(__xludf.DUMMYFUNCTION("split(J2484,""*"")"),"Delivered")</f>
        <v>Delivered</v>
      </c>
      <c r="P2484" s="14" t="str">
        <f>IFERROR(__xludf.DUMMYFUNCTION("""COMPUTED_VALUE"""),"Customer Service: Seamless and easy")</f>
        <v>Customer Service: Seamless and easy</v>
      </c>
      <c r="Q2484" s="14" t="str">
        <f>IFERROR(__xludf.DUMMYFUNCTION("split(P2484,"":"")"),"Customer Service")</f>
        <v>Customer Service</v>
      </c>
      <c r="R2484" s="14" t="str">
        <f>IFERROR(__xludf.DUMMYFUNCTION("""COMPUTED_VALUE""")," Seamless and easy")</f>
        <v> Seamless and easy</v>
      </c>
      <c r="S2484" s="14" t="str">
        <f t="shared" ref="S2484:U2484" si="4971">trim(B2484)</f>
        <v>ord_99248</v>
      </c>
      <c r="T2484" s="14" t="str">
        <f t="shared" si="4971"/>
        <v>Pallavi Ghosh</v>
      </c>
      <c r="U2484" s="14" t="str">
        <f t="shared" si="4971"/>
        <v>Bandra</v>
      </c>
      <c r="V2484" s="14" t="str">
        <f t="shared" si="4"/>
        <v>Cold Coffee</v>
      </c>
      <c r="W2484" s="14">
        <f t="shared" si="5"/>
        <v>4</v>
      </c>
      <c r="X2484" s="14" t="str">
        <f t="shared" si="6"/>
        <v>Venu R</v>
      </c>
      <c r="Y2484" s="15">
        <f t="shared" si="7"/>
        <v>45002</v>
      </c>
      <c r="Z2484" s="14" t="str">
        <f t="shared" si="8"/>
        <v>UPI</v>
      </c>
      <c r="AA2484" s="14" t="str">
        <f t="shared" si="9"/>
        <v>Delivered</v>
      </c>
      <c r="AB2484" s="14" t="str">
        <f t="shared" ref="AB2484:AC2484" si="4972">trim(Q2484)</f>
        <v>Customer Service</v>
      </c>
      <c r="AC2484" s="14" t="str">
        <f t="shared" si="4972"/>
        <v>Seamless and easy</v>
      </c>
      <c r="AD2484" s="8"/>
    </row>
    <row r="2485">
      <c r="A2485" s="14" t="str">
        <f>IFERROR(__xludf.DUMMYFUNCTION("""COMPUTED_VALUE"""),"//ord_99342//Aditi Iyer//Dadar//Banana+2*Vivek Kumar/5/18/2023//UPI//Delivered*Delivery Experience: Quick and professional")</f>
        <v>//ord_99342//Aditi Iyer//Dadar//Banana+2*Vivek Kumar/5/18/2023//UPI//Delivered*Delivery Experience: Quick and professional</v>
      </c>
      <c r="B2485" s="14" t="str">
        <f>IFERROR(__xludf.DUMMYFUNCTION("split(A2485,""//"")"),"ord_99342")</f>
        <v>ord_99342</v>
      </c>
      <c r="C2485" s="14" t="str">
        <f>IFERROR(__xludf.DUMMYFUNCTION("""COMPUTED_VALUE"""),"Aditi Iyer")</f>
        <v>Aditi Iyer</v>
      </c>
      <c r="D2485" s="14" t="str">
        <f>IFERROR(__xludf.DUMMYFUNCTION("""COMPUTED_VALUE"""),"Dadar")</f>
        <v>Dadar</v>
      </c>
      <c r="E2485" s="14" t="str">
        <f>IFERROR(__xludf.DUMMYFUNCTION("""COMPUTED_VALUE"""),"Banana+2*Vivek Kumar")</f>
        <v>Banana+2*Vivek Kumar</v>
      </c>
      <c r="F2485" s="14">
        <f>IFERROR(__xludf.DUMMYFUNCTION("""COMPUTED_VALUE"""),5.0)</f>
        <v>5</v>
      </c>
      <c r="G2485" s="14">
        <f>IFERROR(__xludf.DUMMYFUNCTION("""COMPUTED_VALUE"""),18.0)</f>
        <v>18</v>
      </c>
      <c r="H2485" s="14">
        <f>IFERROR(__xludf.DUMMYFUNCTION("""COMPUTED_VALUE"""),2023.0)</f>
        <v>2023</v>
      </c>
      <c r="I2485" s="14" t="str">
        <f>IFERROR(__xludf.DUMMYFUNCTION("""COMPUTED_VALUE"""),"UPI")</f>
        <v>UPI</v>
      </c>
      <c r="J2485" s="14" t="str">
        <f>IFERROR(__xludf.DUMMYFUNCTION("""COMPUTED_VALUE"""),"Delivered*Delivery Experience: Quick and professional")</f>
        <v>Delivered*Delivery Experience: Quick and professional</v>
      </c>
      <c r="K2485" s="14" t="str">
        <f>IFERROR(__xludf.DUMMYFUNCTION("split(E2485,""+"")"),"Banana")</f>
        <v>Banana</v>
      </c>
      <c r="L2485" s="14" t="str">
        <f>IFERROR(__xludf.DUMMYFUNCTION("""COMPUTED_VALUE"""),"2*Vivek Kumar")</f>
        <v>2*Vivek Kumar</v>
      </c>
      <c r="M2485" s="14">
        <f>IFERROR(__xludf.DUMMYFUNCTION("SPLIT(L2485,""*"")"),2.0)</f>
        <v>2</v>
      </c>
      <c r="N2485" s="14" t="str">
        <f>IFERROR(__xludf.DUMMYFUNCTION("""COMPUTED_VALUE"""),"Vivek Kumar")</f>
        <v>Vivek Kumar</v>
      </c>
      <c r="O2485" s="14" t="str">
        <f>IFERROR(__xludf.DUMMYFUNCTION("split(J2485,""*"")"),"Delivered")</f>
        <v>Delivered</v>
      </c>
      <c r="P2485" s="14" t="str">
        <f>IFERROR(__xludf.DUMMYFUNCTION("""COMPUTED_VALUE"""),"Delivery Experience: Quick and professional")</f>
        <v>Delivery Experience: Quick and professional</v>
      </c>
      <c r="Q2485" s="14" t="str">
        <f>IFERROR(__xludf.DUMMYFUNCTION("split(P2485,"":"")"),"Delivery Experience")</f>
        <v>Delivery Experience</v>
      </c>
      <c r="R2485" s="14" t="str">
        <f>IFERROR(__xludf.DUMMYFUNCTION("""COMPUTED_VALUE""")," Quick and professional")</f>
        <v> Quick and professional</v>
      </c>
      <c r="S2485" s="14" t="str">
        <f t="shared" ref="S2485:U2485" si="4973">trim(B2485)</f>
        <v>ord_99342</v>
      </c>
      <c r="T2485" s="14" t="str">
        <f t="shared" si="4973"/>
        <v>Aditi Iyer</v>
      </c>
      <c r="U2485" s="14" t="str">
        <f t="shared" si="4973"/>
        <v>Dadar</v>
      </c>
      <c r="V2485" s="14" t="str">
        <f t="shared" si="4"/>
        <v>Banana</v>
      </c>
      <c r="W2485" s="14">
        <f t="shared" si="5"/>
        <v>2</v>
      </c>
      <c r="X2485" s="14" t="str">
        <f t="shared" si="6"/>
        <v>Vivek Kumar</v>
      </c>
      <c r="Y2485" s="15">
        <f t="shared" si="7"/>
        <v>45064</v>
      </c>
      <c r="Z2485" s="14" t="str">
        <f t="shared" si="8"/>
        <v>UPI</v>
      </c>
      <c r="AA2485" s="14" t="str">
        <f t="shared" si="9"/>
        <v>Delivered</v>
      </c>
      <c r="AB2485" s="14" t="str">
        <f t="shared" ref="AB2485:AC2485" si="4974">trim(Q2485)</f>
        <v>Delivery Experience</v>
      </c>
      <c r="AC2485" s="14" t="str">
        <f t="shared" si="4974"/>
        <v>Quick and professional</v>
      </c>
      <c r="AD2485" s="8"/>
    </row>
    <row r="2486">
      <c r="A2486" s="14" t="str">
        <f>IFERROR(__xludf.DUMMYFUNCTION("""COMPUTED_VALUE"""),"//ord_99436//Parth Goel//Juhu//Banana+2*Tanvi Jain/11/11/2023//UPI//Delivered*Convenience: Easy tracking")</f>
        <v>//ord_99436//Parth Goel//Juhu//Banana+2*Tanvi Jain/11/11/2023//UPI//Delivered*Convenience: Easy tracking</v>
      </c>
      <c r="B2486" s="14" t="str">
        <f>IFERROR(__xludf.DUMMYFUNCTION("split(A2486,""//"")"),"ord_99436")</f>
        <v>ord_99436</v>
      </c>
      <c r="C2486" s="14" t="str">
        <f>IFERROR(__xludf.DUMMYFUNCTION("""COMPUTED_VALUE"""),"Parth Goel")</f>
        <v>Parth Goel</v>
      </c>
      <c r="D2486" s="14" t="str">
        <f>IFERROR(__xludf.DUMMYFUNCTION("""COMPUTED_VALUE"""),"Juhu")</f>
        <v>Juhu</v>
      </c>
      <c r="E2486" s="14" t="str">
        <f>IFERROR(__xludf.DUMMYFUNCTION("""COMPUTED_VALUE"""),"Banana+2*Tanvi Jain")</f>
        <v>Banana+2*Tanvi Jain</v>
      </c>
      <c r="F2486" s="14">
        <f>IFERROR(__xludf.DUMMYFUNCTION("""COMPUTED_VALUE"""),11.0)</f>
        <v>11</v>
      </c>
      <c r="G2486" s="14">
        <f>IFERROR(__xludf.DUMMYFUNCTION("""COMPUTED_VALUE"""),11.0)</f>
        <v>11</v>
      </c>
      <c r="H2486" s="14">
        <f>IFERROR(__xludf.DUMMYFUNCTION("""COMPUTED_VALUE"""),2023.0)</f>
        <v>2023</v>
      </c>
      <c r="I2486" s="14" t="str">
        <f>IFERROR(__xludf.DUMMYFUNCTION("""COMPUTED_VALUE"""),"UPI")</f>
        <v>UPI</v>
      </c>
      <c r="J2486" s="14" t="str">
        <f>IFERROR(__xludf.DUMMYFUNCTION("""COMPUTED_VALUE"""),"Delivered*Convenience: Easy tracking")</f>
        <v>Delivered*Convenience: Easy tracking</v>
      </c>
      <c r="K2486" s="14" t="str">
        <f>IFERROR(__xludf.DUMMYFUNCTION("split(E2486,""+"")"),"Banana")</f>
        <v>Banana</v>
      </c>
      <c r="L2486" s="14" t="str">
        <f>IFERROR(__xludf.DUMMYFUNCTION("""COMPUTED_VALUE"""),"2*Tanvi Jain")</f>
        <v>2*Tanvi Jain</v>
      </c>
      <c r="M2486" s="14">
        <f>IFERROR(__xludf.DUMMYFUNCTION("SPLIT(L2486,""*"")"),2.0)</f>
        <v>2</v>
      </c>
      <c r="N2486" s="14" t="str">
        <f>IFERROR(__xludf.DUMMYFUNCTION("""COMPUTED_VALUE"""),"Tanvi Jain")</f>
        <v>Tanvi Jain</v>
      </c>
      <c r="O2486" s="14" t="str">
        <f>IFERROR(__xludf.DUMMYFUNCTION("split(J2486,""*"")"),"Delivered")</f>
        <v>Delivered</v>
      </c>
      <c r="P2486" s="14" t="str">
        <f>IFERROR(__xludf.DUMMYFUNCTION("""COMPUTED_VALUE"""),"Convenience: Easy tracking")</f>
        <v>Convenience: Easy tracking</v>
      </c>
      <c r="Q2486" s="14" t="str">
        <f>IFERROR(__xludf.DUMMYFUNCTION("split(P2486,"":"")"),"Convenience")</f>
        <v>Convenience</v>
      </c>
      <c r="R2486" s="14" t="str">
        <f>IFERROR(__xludf.DUMMYFUNCTION("""COMPUTED_VALUE""")," Easy tracking")</f>
        <v> Easy tracking</v>
      </c>
      <c r="S2486" s="14" t="str">
        <f t="shared" ref="S2486:U2486" si="4975">trim(B2486)</f>
        <v>ord_99436</v>
      </c>
      <c r="T2486" s="14" t="str">
        <f t="shared" si="4975"/>
        <v>Parth Goel</v>
      </c>
      <c r="U2486" s="14" t="str">
        <f t="shared" si="4975"/>
        <v>Juhu</v>
      </c>
      <c r="V2486" s="14" t="str">
        <f t="shared" si="4"/>
        <v>Banana</v>
      </c>
      <c r="W2486" s="14">
        <f t="shared" si="5"/>
        <v>2</v>
      </c>
      <c r="X2486" s="14" t="str">
        <f t="shared" si="6"/>
        <v>Tanvi Jain</v>
      </c>
      <c r="Y2486" s="15">
        <f t="shared" si="7"/>
        <v>45241</v>
      </c>
      <c r="Z2486" s="14" t="str">
        <f t="shared" si="8"/>
        <v>UPI</v>
      </c>
      <c r="AA2486" s="14" t="str">
        <f t="shared" si="9"/>
        <v>Delivered</v>
      </c>
      <c r="AB2486" s="14" t="str">
        <f t="shared" ref="AB2486:AC2486" si="4976">trim(Q2486)</f>
        <v>Convenience</v>
      </c>
      <c r="AC2486" s="14" t="str">
        <f t="shared" si="4976"/>
        <v>Easy tracking</v>
      </c>
      <c r="AD2486" s="8"/>
    </row>
    <row r="2487">
      <c r="A2487" s="14" t="str">
        <f>IFERROR(__xludf.DUMMYFUNCTION("""COMPUTED_VALUE"""),"//ord_99530//Dev Chauhan//Bandra//Tiramisu+5*Priya Joshi/3/18/2023//UPI//Delivered*Overall Satisfaction: Great service will order again")</f>
        <v>//ord_99530//Dev Chauhan//Bandra//Tiramisu+5*Priya Joshi/3/18/2023//UPI//Delivered*Overall Satisfaction: Great service will order again</v>
      </c>
      <c r="B2487" s="14" t="str">
        <f>IFERROR(__xludf.DUMMYFUNCTION("split(A2487,""//"")"),"ord_99530")</f>
        <v>ord_99530</v>
      </c>
      <c r="C2487" s="14" t="str">
        <f>IFERROR(__xludf.DUMMYFUNCTION("""COMPUTED_VALUE"""),"Dev Chauhan")</f>
        <v>Dev Chauhan</v>
      </c>
      <c r="D2487" s="14" t="str">
        <f>IFERROR(__xludf.DUMMYFUNCTION("""COMPUTED_VALUE"""),"Bandra")</f>
        <v>Bandra</v>
      </c>
      <c r="E2487" s="14" t="str">
        <f>IFERROR(__xludf.DUMMYFUNCTION("""COMPUTED_VALUE"""),"Tiramisu+5*Priya Joshi")</f>
        <v>Tiramisu+5*Priya Joshi</v>
      </c>
      <c r="F2487" s="14">
        <f>IFERROR(__xludf.DUMMYFUNCTION("""COMPUTED_VALUE"""),3.0)</f>
        <v>3</v>
      </c>
      <c r="G2487" s="14">
        <f>IFERROR(__xludf.DUMMYFUNCTION("""COMPUTED_VALUE"""),18.0)</f>
        <v>18</v>
      </c>
      <c r="H2487" s="14">
        <f>IFERROR(__xludf.DUMMYFUNCTION("""COMPUTED_VALUE"""),2023.0)</f>
        <v>2023</v>
      </c>
      <c r="I2487" s="14" t="str">
        <f>IFERROR(__xludf.DUMMYFUNCTION("""COMPUTED_VALUE"""),"UPI")</f>
        <v>UPI</v>
      </c>
      <c r="J2487" s="14" t="str">
        <f>IFERROR(__xludf.DUMMYFUNCTION("""COMPUTED_VALUE"""),"Delivered*Overall Satisfaction: Great service will order again")</f>
        <v>Delivered*Overall Satisfaction: Great service will order again</v>
      </c>
      <c r="K2487" s="14" t="str">
        <f>IFERROR(__xludf.DUMMYFUNCTION("split(E2487,""+"")"),"Tiramisu")</f>
        <v>Tiramisu</v>
      </c>
      <c r="L2487" s="14" t="str">
        <f>IFERROR(__xludf.DUMMYFUNCTION("""COMPUTED_VALUE"""),"5*Priya Joshi")</f>
        <v>5*Priya Joshi</v>
      </c>
      <c r="M2487" s="14">
        <f>IFERROR(__xludf.DUMMYFUNCTION("SPLIT(L2487,""*"")"),5.0)</f>
        <v>5</v>
      </c>
      <c r="N2487" s="14" t="str">
        <f>IFERROR(__xludf.DUMMYFUNCTION("""COMPUTED_VALUE"""),"Priya Joshi")</f>
        <v>Priya Joshi</v>
      </c>
      <c r="O2487" s="14" t="str">
        <f>IFERROR(__xludf.DUMMYFUNCTION("split(J2487,""*"")"),"Delivered")</f>
        <v>Delivered</v>
      </c>
      <c r="P2487" s="14" t="str">
        <f>IFERROR(__xludf.DUMMYFUNCTION("""COMPUTED_VALUE"""),"Overall Satisfaction: Great service will order again")</f>
        <v>Overall Satisfaction: Great service will order again</v>
      </c>
      <c r="Q2487" s="14" t="str">
        <f>IFERROR(__xludf.DUMMYFUNCTION("split(P2487,"":"")"),"Overall Satisfaction")</f>
        <v>Overall Satisfaction</v>
      </c>
      <c r="R2487" s="14" t="str">
        <f>IFERROR(__xludf.DUMMYFUNCTION("""COMPUTED_VALUE""")," Great service will order again")</f>
        <v> Great service will order again</v>
      </c>
      <c r="S2487" s="14" t="str">
        <f t="shared" ref="S2487:U2487" si="4977">trim(B2487)</f>
        <v>ord_99530</v>
      </c>
      <c r="T2487" s="14" t="str">
        <f t="shared" si="4977"/>
        <v>Dev Chauhan</v>
      </c>
      <c r="U2487" s="14" t="str">
        <f t="shared" si="4977"/>
        <v>Bandra</v>
      </c>
      <c r="V2487" s="14" t="str">
        <f t="shared" si="4"/>
        <v>Tiramisu</v>
      </c>
      <c r="W2487" s="14">
        <f t="shared" si="5"/>
        <v>5</v>
      </c>
      <c r="X2487" s="14" t="str">
        <f t="shared" si="6"/>
        <v>Priya Joshi</v>
      </c>
      <c r="Y2487" s="15">
        <f t="shared" si="7"/>
        <v>45003</v>
      </c>
      <c r="Z2487" s="14" t="str">
        <f t="shared" si="8"/>
        <v>UPI</v>
      </c>
      <c r="AA2487" s="14" t="str">
        <f t="shared" si="9"/>
        <v>Delivered</v>
      </c>
      <c r="AB2487" s="14" t="str">
        <f t="shared" ref="AB2487:AC2487" si="4978">trim(Q2487)</f>
        <v>Overall Satisfaction</v>
      </c>
      <c r="AC2487" s="14" t="str">
        <f t="shared" si="4978"/>
        <v>Great service will order again</v>
      </c>
      <c r="AD2487" s="8"/>
    </row>
    <row r="2488">
      <c r="A2488" s="14" t="str">
        <f>IFERROR(__xludf.DUMMYFUNCTION("""COMPUTED_VALUE"""),"//ord_99624//Mohit Malhotra//Lower Parel//Chocolate Mousse+2*Kiran Mehta/8/11/2023//Credit Card//Delivered*On-time Delivery: Delivered on time")</f>
        <v>//ord_99624//Mohit Malhotra//Lower Parel//Chocolate Mousse+2*Kiran Mehta/8/11/2023//Credit Card//Delivered*On-time Delivery: Delivered on time</v>
      </c>
      <c r="B2488" s="14" t="str">
        <f>IFERROR(__xludf.DUMMYFUNCTION("split(A2488,""//"")"),"ord_99624")</f>
        <v>ord_99624</v>
      </c>
      <c r="C2488" s="14" t="str">
        <f>IFERROR(__xludf.DUMMYFUNCTION("""COMPUTED_VALUE"""),"Mohit Malhotra")</f>
        <v>Mohit Malhotra</v>
      </c>
      <c r="D2488" s="14" t="str">
        <f>IFERROR(__xludf.DUMMYFUNCTION("""COMPUTED_VALUE"""),"Lower Parel")</f>
        <v>Lower Parel</v>
      </c>
      <c r="E2488" s="14" t="str">
        <f>IFERROR(__xludf.DUMMYFUNCTION("""COMPUTED_VALUE"""),"Chocolate Mousse+2*Kiran Mehta")</f>
        <v>Chocolate Mousse+2*Kiran Mehta</v>
      </c>
      <c r="F2488" s="14">
        <f>IFERROR(__xludf.DUMMYFUNCTION("""COMPUTED_VALUE"""),8.0)</f>
        <v>8</v>
      </c>
      <c r="G2488" s="14">
        <f>IFERROR(__xludf.DUMMYFUNCTION("""COMPUTED_VALUE"""),11.0)</f>
        <v>11</v>
      </c>
      <c r="H2488" s="14">
        <f>IFERROR(__xludf.DUMMYFUNCTION("""COMPUTED_VALUE"""),2023.0)</f>
        <v>2023</v>
      </c>
      <c r="I2488" s="14" t="str">
        <f>IFERROR(__xludf.DUMMYFUNCTION("""COMPUTED_VALUE"""),"Credit Card")</f>
        <v>Credit Card</v>
      </c>
      <c r="J2488" s="14" t="str">
        <f>IFERROR(__xludf.DUMMYFUNCTION("""COMPUTED_VALUE"""),"Delivered*On-time Delivery: Delivered on time")</f>
        <v>Delivered*On-time Delivery: Delivered on time</v>
      </c>
      <c r="K2488" s="14" t="str">
        <f>IFERROR(__xludf.DUMMYFUNCTION("split(E2488,""+"")"),"Chocolate Mousse")</f>
        <v>Chocolate Mousse</v>
      </c>
      <c r="L2488" s="14" t="str">
        <f>IFERROR(__xludf.DUMMYFUNCTION("""COMPUTED_VALUE"""),"2*Kiran Mehta")</f>
        <v>2*Kiran Mehta</v>
      </c>
      <c r="M2488" s="14">
        <f>IFERROR(__xludf.DUMMYFUNCTION("SPLIT(L2488,""*"")"),2.0)</f>
        <v>2</v>
      </c>
      <c r="N2488" s="14" t="str">
        <f>IFERROR(__xludf.DUMMYFUNCTION("""COMPUTED_VALUE"""),"Kiran Mehta")</f>
        <v>Kiran Mehta</v>
      </c>
      <c r="O2488" s="14" t="str">
        <f>IFERROR(__xludf.DUMMYFUNCTION("split(J2488,""*"")"),"Delivered")</f>
        <v>Delivered</v>
      </c>
      <c r="P2488" s="14" t="str">
        <f>IFERROR(__xludf.DUMMYFUNCTION("""COMPUTED_VALUE"""),"On-time Delivery: Delivered on time")</f>
        <v>On-time Delivery: Delivered on time</v>
      </c>
      <c r="Q2488" s="14" t="str">
        <f>IFERROR(__xludf.DUMMYFUNCTION("split(P2488,"":"")"),"On-time Delivery")</f>
        <v>On-time Delivery</v>
      </c>
      <c r="R2488" s="14" t="str">
        <f>IFERROR(__xludf.DUMMYFUNCTION("""COMPUTED_VALUE""")," Delivered on time")</f>
        <v> Delivered on time</v>
      </c>
      <c r="S2488" s="14" t="str">
        <f t="shared" ref="S2488:U2488" si="4979">trim(B2488)</f>
        <v>ord_99624</v>
      </c>
      <c r="T2488" s="14" t="str">
        <f t="shared" si="4979"/>
        <v>Mohit Malhotra</v>
      </c>
      <c r="U2488" s="14" t="str">
        <f t="shared" si="4979"/>
        <v>Lower Parel</v>
      </c>
      <c r="V2488" s="14" t="str">
        <f t="shared" si="4"/>
        <v>Chocolate Mousse</v>
      </c>
      <c r="W2488" s="14">
        <f t="shared" si="5"/>
        <v>2</v>
      </c>
      <c r="X2488" s="14" t="str">
        <f t="shared" si="6"/>
        <v>Kiran Mehta</v>
      </c>
      <c r="Y2488" s="15">
        <f t="shared" si="7"/>
        <v>45149</v>
      </c>
      <c r="Z2488" s="14" t="str">
        <f t="shared" si="8"/>
        <v>Credit Card</v>
      </c>
      <c r="AA2488" s="14" t="str">
        <f t="shared" si="9"/>
        <v>Delivered</v>
      </c>
      <c r="AB2488" s="14" t="str">
        <f t="shared" ref="AB2488:AC2488" si="4980">trim(Q2488)</f>
        <v>On-time Delivery</v>
      </c>
      <c r="AC2488" s="14" t="str">
        <f t="shared" si="4980"/>
        <v>Delivered on time</v>
      </c>
      <c r="AD2488" s="8"/>
    </row>
    <row r="2489">
      <c r="A2489" s="14" t="str">
        <f>IFERROR(__xludf.DUMMYFUNCTION("""COMPUTED_VALUE"""),"//ord_99718//Aarohi Kapoor//Bandra//Cold Coffee+5*Priya Joshi/1/6/2023//Online Payment//Delivered*Quality of Items: Perfect condition")</f>
        <v>//ord_99718//Aarohi Kapoor//Bandra//Cold Coffee+5*Priya Joshi/1/6/2023//Online Payment//Delivered*Quality of Items: Perfect condition</v>
      </c>
      <c r="B2489" s="14" t="str">
        <f>IFERROR(__xludf.DUMMYFUNCTION("split(A2489,""//"")"),"ord_99718")</f>
        <v>ord_99718</v>
      </c>
      <c r="C2489" s="14" t="str">
        <f>IFERROR(__xludf.DUMMYFUNCTION("""COMPUTED_VALUE"""),"Aarohi Kapoor")</f>
        <v>Aarohi Kapoor</v>
      </c>
      <c r="D2489" s="14" t="str">
        <f>IFERROR(__xludf.DUMMYFUNCTION("""COMPUTED_VALUE"""),"Bandra")</f>
        <v>Bandra</v>
      </c>
      <c r="E2489" s="14" t="str">
        <f>IFERROR(__xludf.DUMMYFUNCTION("""COMPUTED_VALUE"""),"Cold Coffee+5*Priya Joshi")</f>
        <v>Cold Coffee+5*Priya Joshi</v>
      </c>
      <c r="F2489" s="14">
        <f>IFERROR(__xludf.DUMMYFUNCTION("""COMPUTED_VALUE"""),1.0)</f>
        <v>1</v>
      </c>
      <c r="G2489" s="14">
        <f>IFERROR(__xludf.DUMMYFUNCTION("""COMPUTED_VALUE"""),6.0)</f>
        <v>6</v>
      </c>
      <c r="H2489" s="14">
        <f>IFERROR(__xludf.DUMMYFUNCTION("""COMPUTED_VALUE"""),2023.0)</f>
        <v>2023</v>
      </c>
      <c r="I2489" s="14" t="str">
        <f>IFERROR(__xludf.DUMMYFUNCTION("""COMPUTED_VALUE"""),"Online Payment")</f>
        <v>Online Payment</v>
      </c>
      <c r="J2489" s="14" t="str">
        <f>IFERROR(__xludf.DUMMYFUNCTION("""COMPUTED_VALUE"""),"Delivered*Quality of Items: Perfect condition")</f>
        <v>Delivered*Quality of Items: Perfect condition</v>
      </c>
      <c r="K2489" s="14" t="str">
        <f>IFERROR(__xludf.DUMMYFUNCTION("split(E2489,""+"")"),"Cold Coffee")</f>
        <v>Cold Coffee</v>
      </c>
      <c r="L2489" s="14" t="str">
        <f>IFERROR(__xludf.DUMMYFUNCTION("""COMPUTED_VALUE"""),"5*Priya Joshi")</f>
        <v>5*Priya Joshi</v>
      </c>
      <c r="M2489" s="14">
        <f>IFERROR(__xludf.DUMMYFUNCTION("SPLIT(L2489,""*"")"),5.0)</f>
        <v>5</v>
      </c>
      <c r="N2489" s="14" t="str">
        <f>IFERROR(__xludf.DUMMYFUNCTION("""COMPUTED_VALUE"""),"Priya Joshi")</f>
        <v>Priya Joshi</v>
      </c>
      <c r="O2489" s="14" t="str">
        <f>IFERROR(__xludf.DUMMYFUNCTION("split(J2489,""*"")"),"Delivered")</f>
        <v>Delivered</v>
      </c>
      <c r="P2489" s="14" t="str">
        <f>IFERROR(__xludf.DUMMYFUNCTION("""COMPUTED_VALUE"""),"Quality of Items: Perfect condition")</f>
        <v>Quality of Items: Perfect condition</v>
      </c>
      <c r="Q2489" s="14" t="str">
        <f>IFERROR(__xludf.DUMMYFUNCTION("split(P2489,"":"")"),"Quality of Items")</f>
        <v>Quality of Items</v>
      </c>
      <c r="R2489" s="14" t="str">
        <f>IFERROR(__xludf.DUMMYFUNCTION("""COMPUTED_VALUE""")," Perfect condition")</f>
        <v> Perfect condition</v>
      </c>
      <c r="S2489" s="14" t="str">
        <f t="shared" ref="S2489:U2489" si="4981">trim(B2489)</f>
        <v>ord_99718</v>
      </c>
      <c r="T2489" s="14" t="str">
        <f t="shared" si="4981"/>
        <v>Aarohi Kapoor</v>
      </c>
      <c r="U2489" s="14" t="str">
        <f t="shared" si="4981"/>
        <v>Bandra</v>
      </c>
      <c r="V2489" s="14" t="str">
        <f t="shared" si="4"/>
        <v>Cold Coffee</v>
      </c>
      <c r="W2489" s="14">
        <f t="shared" si="5"/>
        <v>5</v>
      </c>
      <c r="X2489" s="14" t="str">
        <f t="shared" si="6"/>
        <v>Priya Joshi</v>
      </c>
      <c r="Y2489" s="15">
        <f t="shared" si="7"/>
        <v>44932</v>
      </c>
      <c r="Z2489" s="14" t="str">
        <f t="shared" si="8"/>
        <v>Online Payment</v>
      </c>
      <c r="AA2489" s="14" t="str">
        <f t="shared" si="9"/>
        <v>Delivered</v>
      </c>
      <c r="AB2489" s="14" t="str">
        <f t="shared" ref="AB2489:AC2489" si="4982">trim(Q2489)</f>
        <v>Quality of Items</v>
      </c>
      <c r="AC2489" s="14" t="str">
        <f t="shared" si="4982"/>
        <v>Perfect condition</v>
      </c>
      <c r="AD2489" s="8"/>
    </row>
    <row r="2490">
      <c r="A2490" s="14" t="str">
        <f>IFERROR(__xludf.DUMMYFUNCTION("""COMPUTED_VALUE"""),"//ord_99812//Aarohi Kapoor//Bandra//Orange+2*Not Assigned/5/18/2023//UPI//Cancelled*App Glitches:App Freezes")</f>
        <v>//ord_99812//Aarohi Kapoor//Bandra//Orange+2*Not Assigned/5/18/2023//UPI//Cancelled*App Glitches:App Freezes</v>
      </c>
      <c r="B2490" s="14" t="str">
        <f>IFERROR(__xludf.DUMMYFUNCTION("split(A2490,""//"")"),"ord_99812")</f>
        <v>ord_99812</v>
      </c>
      <c r="C2490" s="14" t="str">
        <f>IFERROR(__xludf.DUMMYFUNCTION("""COMPUTED_VALUE"""),"Aarohi Kapoor")</f>
        <v>Aarohi Kapoor</v>
      </c>
      <c r="D2490" s="14" t="str">
        <f>IFERROR(__xludf.DUMMYFUNCTION("""COMPUTED_VALUE"""),"Bandra")</f>
        <v>Bandra</v>
      </c>
      <c r="E2490" s="14" t="str">
        <f>IFERROR(__xludf.DUMMYFUNCTION("""COMPUTED_VALUE"""),"Orange+2*Not Assigned")</f>
        <v>Orange+2*Not Assigned</v>
      </c>
      <c r="F2490" s="14">
        <f>IFERROR(__xludf.DUMMYFUNCTION("""COMPUTED_VALUE"""),5.0)</f>
        <v>5</v>
      </c>
      <c r="G2490" s="14">
        <f>IFERROR(__xludf.DUMMYFUNCTION("""COMPUTED_VALUE"""),18.0)</f>
        <v>18</v>
      </c>
      <c r="H2490" s="14">
        <f>IFERROR(__xludf.DUMMYFUNCTION("""COMPUTED_VALUE"""),2023.0)</f>
        <v>2023</v>
      </c>
      <c r="I2490" s="14" t="str">
        <f>IFERROR(__xludf.DUMMYFUNCTION("""COMPUTED_VALUE"""),"UPI")</f>
        <v>UPI</v>
      </c>
      <c r="J2490" s="14" t="str">
        <f>IFERROR(__xludf.DUMMYFUNCTION("""COMPUTED_VALUE"""),"Cancelled*App Glitches:App Freezes")</f>
        <v>Cancelled*App Glitches:App Freezes</v>
      </c>
      <c r="K2490" s="14" t="str">
        <f>IFERROR(__xludf.DUMMYFUNCTION("split(E2490,""+"")"),"Orange")</f>
        <v>Orange</v>
      </c>
      <c r="L2490" s="14" t="str">
        <f>IFERROR(__xludf.DUMMYFUNCTION("""COMPUTED_VALUE"""),"2*Not Assigned")</f>
        <v>2*Not Assigned</v>
      </c>
      <c r="M2490" s="14">
        <f>IFERROR(__xludf.DUMMYFUNCTION("SPLIT(L2490,""*"")"),2.0)</f>
        <v>2</v>
      </c>
      <c r="N2490" s="14" t="str">
        <f>IFERROR(__xludf.DUMMYFUNCTION("""COMPUTED_VALUE"""),"Not Assigned")</f>
        <v>Not Assigned</v>
      </c>
      <c r="O2490" s="14" t="str">
        <f>IFERROR(__xludf.DUMMYFUNCTION("split(J2490,""*"")"),"Cancelled")</f>
        <v>Cancelled</v>
      </c>
      <c r="P2490" s="14" t="str">
        <f>IFERROR(__xludf.DUMMYFUNCTION("""COMPUTED_VALUE"""),"App Glitches:App Freezes")</f>
        <v>App Glitches:App Freezes</v>
      </c>
      <c r="Q2490" s="14" t="str">
        <f>IFERROR(__xludf.DUMMYFUNCTION("split(P2490,"":"")"),"App Glitches")</f>
        <v>App Glitches</v>
      </c>
      <c r="R2490" s="14" t="str">
        <f>IFERROR(__xludf.DUMMYFUNCTION("""COMPUTED_VALUE"""),"App Freezes")</f>
        <v>App Freezes</v>
      </c>
      <c r="S2490" s="14" t="str">
        <f t="shared" ref="S2490:U2490" si="4983">trim(B2490)</f>
        <v>ord_99812</v>
      </c>
      <c r="T2490" s="14" t="str">
        <f t="shared" si="4983"/>
        <v>Aarohi Kapoor</v>
      </c>
      <c r="U2490" s="14" t="str">
        <f t="shared" si="4983"/>
        <v>Bandra</v>
      </c>
      <c r="V2490" s="14" t="str">
        <f t="shared" si="4"/>
        <v>Orange</v>
      </c>
      <c r="W2490" s="14">
        <f t="shared" si="5"/>
        <v>2</v>
      </c>
      <c r="X2490" s="14" t="str">
        <f t="shared" si="6"/>
        <v>Not Assigned</v>
      </c>
      <c r="Y2490" s="15">
        <f t="shared" si="7"/>
        <v>45064</v>
      </c>
      <c r="Z2490" s="14" t="str">
        <f t="shared" si="8"/>
        <v>UPI</v>
      </c>
      <c r="AA2490" s="14" t="str">
        <f t="shared" si="9"/>
        <v>Cancelled</v>
      </c>
      <c r="AB2490" s="14" t="str">
        <f t="shared" ref="AB2490:AC2490" si="4984">trim(Q2490)</f>
        <v>App Glitches</v>
      </c>
      <c r="AC2490" s="14" t="str">
        <f t="shared" si="4984"/>
        <v>App Freezes</v>
      </c>
      <c r="AD2490" s="8"/>
    </row>
    <row r="2491">
      <c r="A2491" s="14" t="str">
        <f>IFERROR(__xludf.DUMMYFUNCTION("""COMPUTED_VALUE"""),"//ord_99906//Aditi Iyer//Dadar//Orange+1*Aman Kumar/7/11/2023//UPI//Delivered*Packaging: Secure and intact")</f>
        <v>//ord_99906//Aditi Iyer//Dadar//Orange+1*Aman Kumar/7/11/2023//UPI//Delivered*Packaging: Secure and intact</v>
      </c>
      <c r="B2491" s="14" t="str">
        <f>IFERROR(__xludf.DUMMYFUNCTION("split(A2491,""//"")"),"ord_99906")</f>
        <v>ord_99906</v>
      </c>
      <c r="C2491" s="14" t="str">
        <f>IFERROR(__xludf.DUMMYFUNCTION("""COMPUTED_VALUE"""),"Aditi Iyer")</f>
        <v>Aditi Iyer</v>
      </c>
      <c r="D2491" s="14" t="str">
        <f>IFERROR(__xludf.DUMMYFUNCTION("""COMPUTED_VALUE"""),"Dadar")</f>
        <v>Dadar</v>
      </c>
      <c r="E2491" s="14" t="str">
        <f>IFERROR(__xludf.DUMMYFUNCTION("""COMPUTED_VALUE"""),"Orange+1*Aman Kumar")</f>
        <v>Orange+1*Aman Kumar</v>
      </c>
      <c r="F2491" s="14">
        <f>IFERROR(__xludf.DUMMYFUNCTION("""COMPUTED_VALUE"""),7.0)</f>
        <v>7</v>
      </c>
      <c r="G2491" s="14">
        <f>IFERROR(__xludf.DUMMYFUNCTION("""COMPUTED_VALUE"""),11.0)</f>
        <v>11</v>
      </c>
      <c r="H2491" s="14">
        <f>IFERROR(__xludf.DUMMYFUNCTION("""COMPUTED_VALUE"""),2023.0)</f>
        <v>2023</v>
      </c>
      <c r="I2491" s="14" t="str">
        <f>IFERROR(__xludf.DUMMYFUNCTION("""COMPUTED_VALUE"""),"UPI")</f>
        <v>UPI</v>
      </c>
      <c r="J2491" s="14" t="str">
        <f>IFERROR(__xludf.DUMMYFUNCTION("""COMPUTED_VALUE"""),"Delivered*Packaging: Secure and intact")</f>
        <v>Delivered*Packaging: Secure and intact</v>
      </c>
      <c r="K2491" s="14" t="str">
        <f>IFERROR(__xludf.DUMMYFUNCTION("split(E2491,""+"")"),"Orange")</f>
        <v>Orange</v>
      </c>
      <c r="L2491" s="14" t="str">
        <f>IFERROR(__xludf.DUMMYFUNCTION("""COMPUTED_VALUE"""),"1*Aman Kumar")</f>
        <v>1*Aman Kumar</v>
      </c>
      <c r="M2491" s="14">
        <f>IFERROR(__xludf.DUMMYFUNCTION("SPLIT(L2491,""*"")"),1.0)</f>
        <v>1</v>
      </c>
      <c r="N2491" s="14" t="str">
        <f>IFERROR(__xludf.DUMMYFUNCTION("""COMPUTED_VALUE"""),"Aman Kumar")</f>
        <v>Aman Kumar</v>
      </c>
      <c r="O2491" s="14" t="str">
        <f>IFERROR(__xludf.DUMMYFUNCTION("split(J2491,""*"")"),"Delivered")</f>
        <v>Delivered</v>
      </c>
      <c r="P2491" s="14" t="str">
        <f>IFERROR(__xludf.DUMMYFUNCTION("""COMPUTED_VALUE"""),"Packaging: Secure and intact")</f>
        <v>Packaging: Secure and intact</v>
      </c>
      <c r="Q2491" s="14" t="str">
        <f>IFERROR(__xludf.DUMMYFUNCTION("split(P2491,"":"")"),"Packaging")</f>
        <v>Packaging</v>
      </c>
      <c r="R2491" s="14" t="str">
        <f>IFERROR(__xludf.DUMMYFUNCTION("""COMPUTED_VALUE""")," Secure and intact")</f>
        <v> Secure and intact</v>
      </c>
      <c r="S2491" s="14" t="str">
        <f t="shared" ref="S2491:U2491" si="4985">trim(B2491)</f>
        <v>ord_99906</v>
      </c>
      <c r="T2491" s="14" t="str">
        <f t="shared" si="4985"/>
        <v>Aditi Iyer</v>
      </c>
      <c r="U2491" s="14" t="str">
        <f t="shared" si="4985"/>
        <v>Dadar</v>
      </c>
      <c r="V2491" s="14" t="str">
        <f t="shared" si="4"/>
        <v>Orange</v>
      </c>
      <c r="W2491" s="14">
        <f t="shared" si="5"/>
        <v>1</v>
      </c>
      <c r="X2491" s="14" t="str">
        <f t="shared" si="6"/>
        <v>Aman Kumar</v>
      </c>
      <c r="Y2491" s="15">
        <f t="shared" si="7"/>
        <v>45118</v>
      </c>
      <c r="Z2491" s="14" t="str">
        <f t="shared" si="8"/>
        <v>UPI</v>
      </c>
      <c r="AA2491" s="14" t="str">
        <f t="shared" si="9"/>
        <v>Delivered</v>
      </c>
      <c r="AB2491" s="14" t="str">
        <f t="shared" ref="AB2491:AC2491" si="4986">trim(Q2491)</f>
        <v>Packaging</v>
      </c>
      <c r="AC2491" s="14" t="str">
        <f t="shared" si="4986"/>
        <v>Secure and intact</v>
      </c>
      <c r="AD2491" s="8"/>
    </row>
    <row r="2492">
      <c r="A2492" s="14" t="str">
        <f>IFERROR(__xludf.DUMMYFUNCTION("""COMPUTED_VALUE"""),"//ord_10000//Dev Chauhan//Bandra//Cold Coffee+2*Priya Joshi/12/13/2023//UPI//Delivered*Satisfied with the Delivery: Timely and quality")</f>
        <v>//ord_10000//Dev Chauhan//Bandra//Cold Coffee+2*Priya Joshi/12/13/2023//UPI//Delivered*Satisfied with the Delivery: Timely and quality</v>
      </c>
      <c r="B2492" s="14" t="str">
        <f>IFERROR(__xludf.DUMMYFUNCTION("split(A2492,""//"")"),"ord_10000")</f>
        <v>ord_10000</v>
      </c>
      <c r="C2492" s="14" t="str">
        <f>IFERROR(__xludf.DUMMYFUNCTION("""COMPUTED_VALUE"""),"Dev Chauhan")</f>
        <v>Dev Chauhan</v>
      </c>
      <c r="D2492" s="14" t="str">
        <f>IFERROR(__xludf.DUMMYFUNCTION("""COMPUTED_VALUE"""),"Bandra")</f>
        <v>Bandra</v>
      </c>
      <c r="E2492" s="14" t="str">
        <f>IFERROR(__xludf.DUMMYFUNCTION("""COMPUTED_VALUE"""),"Cold Coffee+2*Priya Joshi")</f>
        <v>Cold Coffee+2*Priya Joshi</v>
      </c>
      <c r="F2492" s="14">
        <f>IFERROR(__xludf.DUMMYFUNCTION("""COMPUTED_VALUE"""),12.0)</f>
        <v>12</v>
      </c>
      <c r="G2492" s="14">
        <f>IFERROR(__xludf.DUMMYFUNCTION("""COMPUTED_VALUE"""),13.0)</f>
        <v>13</v>
      </c>
      <c r="H2492" s="14">
        <f>IFERROR(__xludf.DUMMYFUNCTION("""COMPUTED_VALUE"""),2023.0)</f>
        <v>2023</v>
      </c>
      <c r="I2492" s="14" t="str">
        <f>IFERROR(__xludf.DUMMYFUNCTION("""COMPUTED_VALUE"""),"UPI")</f>
        <v>UPI</v>
      </c>
      <c r="J2492" s="14" t="str">
        <f>IFERROR(__xludf.DUMMYFUNCTION("""COMPUTED_VALUE"""),"Delivered*Satisfied with the Delivery: Timely and quality")</f>
        <v>Delivered*Satisfied with the Delivery: Timely and quality</v>
      </c>
      <c r="K2492" s="14" t="str">
        <f>IFERROR(__xludf.DUMMYFUNCTION("split(E2492,""+"")"),"Cold Coffee")</f>
        <v>Cold Coffee</v>
      </c>
      <c r="L2492" s="14" t="str">
        <f>IFERROR(__xludf.DUMMYFUNCTION("""COMPUTED_VALUE"""),"2*Priya Joshi")</f>
        <v>2*Priya Joshi</v>
      </c>
      <c r="M2492" s="14">
        <f>IFERROR(__xludf.DUMMYFUNCTION("SPLIT(L2492,""*"")"),2.0)</f>
        <v>2</v>
      </c>
      <c r="N2492" s="14" t="str">
        <f>IFERROR(__xludf.DUMMYFUNCTION("""COMPUTED_VALUE"""),"Priya Joshi")</f>
        <v>Priya Joshi</v>
      </c>
      <c r="O2492" s="14" t="str">
        <f>IFERROR(__xludf.DUMMYFUNCTION("split(J2492,""*"")"),"Delivered")</f>
        <v>Delivered</v>
      </c>
      <c r="P2492" s="14" t="str">
        <f>IFERROR(__xludf.DUMMYFUNCTION("""COMPUTED_VALUE"""),"Satisfied with the Delivery: Timely and quality")</f>
        <v>Satisfied with the Delivery: Timely and quality</v>
      </c>
      <c r="Q2492" s="14" t="str">
        <f>IFERROR(__xludf.DUMMYFUNCTION("split(P2492,"":"")"),"Satisfied with the Delivery")</f>
        <v>Satisfied with the Delivery</v>
      </c>
      <c r="R2492" s="14" t="str">
        <f>IFERROR(__xludf.DUMMYFUNCTION("""COMPUTED_VALUE""")," Timely and quality")</f>
        <v> Timely and quality</v>
      </c>
      <c r="S2492" s="14" t="str">
        <f t="shared" ref="S2492:U2492" si="4987">trim(B2492)</f>
        <v>ord_10000</v>
      </c>
      <c r="T2492" s="14" t="str">
        <f t="shared" si="4987"/>
        <v>Dev Chauhan</v>
      </c>
      <c r="U2492" s="14" t="str">
        <f t="shared" si="4987"/>
        <v>Bandra</v>
      </c>
      <c r="V2492" s="14" t="str">
        <f t="shared" si="4"/>
        <v>Cold Coffee</v>
      </c>
      <c r="W2492" s="14">
        <f t="shared" si="5"/>
        <v>2</v>
      </c>
      <c r="X2492" s="14" t="str">
        <f t="shared" si="6"/>
        <v>Priya Joshi</v>
      </c>
      <c r="Y2492" s="15">
        <f t="shared" si="7"/>
        <v>45273</v>
      </c>
      <c r="Z2492" s="14" t="str">
        <f t="shared" si="8"/>
        <v>UPI</v>
      </c>
      <c r="AA2492" s="14" t="str">
        <f t="shared" si="9"/>
        <v>Delivered</v>
      </c>
      <c r="AB2492" s="14" t="str">
        <f t="shared" ref="AB2492:AC2492" si="4988">trim(Q2492)</f>
        <v>Satisfied with the Delivery</v>
      </c>
      <c r="AC2492" s="14" t="str">
        <f t="shared" si="4988"/>
        <v>Timely and quality</v>
      </c>
      <c r="AD2492" s="8"/>
    </row>
    <row r="2493">
      <c r="A2493" s="14" t="str">
        <f>IFERROR(__xludf.DUMMYFUNCTION("""COMPUTED_VALUE"""),"//ord_10009//Aarohi Kapoor//Bandra//Chocolate Mousse+1*Priya Joshi/11/20/2023//Credit Card//Delivered*Customer Service: Seamless and easy")</f>
        <v>//ord_10009//Aarohi Kapoor//Bandra//Chocolate Mousse+1*Priya Joshi/11/20/2023//Credit Card//Delivered*Customer Service: Seamless and easy</v>
      </c>
      <c r="B2493" s="14" t="str">
        <f>IFERROR(__xludf.DUMMYFUNCTION("split(A2493,""//"")"),"ord_10009")</f>
        <v>ord_10009</v>
      </c>
      <c r="C2493" s="14" t="str">
        <f>IFERROR(__xludf.DUMMYFUNCTION("""COMPUTED_VALUE"""),"Aarohi Kapoor")</f>
        <v>Aarohi Kapoor</v>
      </c>
      <c r="D2493" s="14" t="str">
        <f>IFERROR(__xludf.DUMMYFUNCTION("""COMPUTED_VALUE"""),"Bandra")</f>
        <v>Bandra</v>
      </c>
      <c r="E2493" s="14" t="str">
        <f>IFERROR(__xludf.DUMMYFUNCTION("""COMPUTED_VALUE"""),"Chocolate Mousse+1*Priya Joshi")</f>
        <v>Chocolate Mousse+1*Priya Joshi</v>
      </c>
      <c r="F2493" s="14">
        <f>IFERROR(__xludf.DUMMYFUNCTION("""COMPUTED_VALUE"""),11.0)</f>
        <v>11</v>
      </c>
      <c r="G2493" s="14">
        <f>IFERROR(__xludf.DUMMYFUNCTION("""COMPUTED_VALUE"""),20.0)</f>
        <v>20</v>
      </c>
      <c r="H2493" s="14">
        <f>IFERROR(__xludf.DUMMYFUNCTION("""COMPUTED_VALUE"""),2023.0)</f>
        <v>2023</v>
      </c>
      <c r="I2493" s="14" t="str">
        <f>IFERROR(__xludf.DUMMYFUNCTION("""COMPUTED_VALUE"""),"Credit Card")</f>
        <v>Credit Card</v>
      </c>
      <c r="J2493" s="14" t="str">
        <f>IFERROR(__xludf.DUMMYFUNCTION("""COMPUTED_VALUE"""),"Delivered*Customer Service: Seamless and easy")</f>
        <v>Delivered*Customer Service: Seamless and easy</v>
      </c>
      <c r="K2493" s="14" t="str">
        <f>IFERROR(__xludf.DUMMYFUNCTION("split(E2493,""+"")"),"Chocolate Mousse")</f>
        <v>Chocolate Mousse</v>
      </c>
      <c r="L2493" s="14" t="str">
        <f>IFERROR(__xludf.DUMMYFUNCTION("""COMPUTED_VALUE"""),"1*Priya Joshi")</f>
        <v>1*Priya Joshi</v>
      </c>
      <c r="M2493" s="14">
        <f>IFERROR(__xludf.DUMMYFUNCTION("SPLIT(L2493,""*"")"),1.0)</f>
        <v>1</v>
      </c>
      <c r="N2493" s="14" t="str">
        <f>IFERROR(__xludf.DUMMYFUNCTION("""COMPUTED_VALUE"""),"Priya Joshi")</f>
        <v>Priya Joshi</v>
      </c>
      <c r="O2493" s="14" t="str">
        <f>IFERROR(__xludf.DUMMYFUNCTION("split(J2493,""*"")"),"Delivered")</f>
        <v>Delivered</v>
      </c>
      <c r="P2493" s="14" t="str">
        <f>IFERROR(__xludf.DUMMYFUNCTION("""COMPUTED_VALUE"""),"Customer Service: Seamless and easy")</f>
        <v>Customer Service: Seamless and easy</v>
      </c>
      <c r="Q2493" s="14" t="str">
        <f>IFERROR(__xludf.DUMMYFUNCTION("split(P2493,"":"")"),"Customer Service")</f>
        <v>Customer Service</v>
      </c>
      <c r="R2493" s="14" t="str">
        <f>IFERROR(__xludf.DUMMYFUNCTION("""COMPUTED_VALUE""")," Seamless and easy")</f>
        <v> Seamless and easy</v>
      </c>
      <c r="S2493" s="14" t="str">
        <f t="shared" ref="S2493:U2493" si="4989">trim(B2493)</f>
        <v>ord_10009</v>
      </c>
      <c r="T2493" s="14" t="str">
        <f t="shared" si="4989"/>
        <v>Aarohi Kapoor</v>
      </c>
      <c r="U2493" s="14" t="str">
        <f t="shared" si="4989"/>
        <v>Bandra</v>
      </c>
      <c r="V2493" s="14" t="str">
        <f t="shared" si="4"/>
        <v>Chocolate Mousse</v>
      </c>
      <c r="W2493" s="14">
        <f t="shared" si="5"/>
        <v>1</v>
      </c>
      <c r="X2493" s="14" t="str">
        <f t="shared" si="6"/>
        <v>Priya Joshi</v>
      </c>
      <c r="Y2493" s="15">
        <f t="shared" si="7"/>
        <v>45250</v>
      </c>
      <c r="Z2493" s="14" t="str">
        <f t="shared" si="8"/>
        <v>Credit Card</v>
      </c>
      <c r="AA2493" s="14" t="str">
        <f t="shared" si="9"/>
        <v>Delivered</v>
      </c>
      <c r="AB2493" s="14" t="str">
        <f t="shared" ref="AB2493:AC2493" si="4990">trim(Q2493)</f>
        <v>Customer Service</v>
      </c>
      <c r="AC2493" s="14" t="str">
        <f t="shared" si="4990"/>
        <v>Seamless and easy</v>
      </c>
      <c r="AD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c r="Z2494" s="8"/>
      <c r="AA2494" s="8"/>
      <c r="AB2494" s="8"/>
      <c r="AC2494" s="8"/>
      <c r="AD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c r="Z2495" s="8"/>
      <c r="AA2495" s="8"/>
      <c r="AB2495" s="8"/>
      <c r="AC2495" s="8"/>
      <c r="AD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c r="Z2496" s="8"/>
      <c r="AA2496" s="8"/>
      <c r="AB2496" s="8"/>
      <c r="AC2496" s="8"/>
      <c r="AD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c r="Z2497" s="8"/>
      <c r="AA2497" s="8"/>
      <c r="AB2497" s="8"/>
      <c r="AC2497" s="8"/>
      <c r="AD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c r="Z2498" s="8"/>
      <c r="AA2498" s="8"/>
      <c r="AB2498" s="8"/>
      <c r="AC2498" s="8"/>
      <c r="AD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c r="Z2499" s="8"/>
      <c r="AA2499" s="8"/>
      <c r="AB2499" s="8"/>
      <c r="AC2499" s="8"/>
      <c r="AD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c r="Z2500" s="8"/>
      <c r="AA2500" s="8"/>
      <c r="AB2500" s="8"/>
      <c r="AC2500" s="8"/>
      <c r="AD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c r="Z2501" s="8"/>
      <c r="AA2501" s="8"/>
      <c r="AB2501" s="8"/>
      <c r="AC2501" s="8"/>
      <c r="AD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c r="Z2502" s="8"/>
      <c r="AA2502" s="8"/>
      <c r="AB2502" s="8"/>
      <c r="AC2502" s="8"/>
      <c r="AD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c r="Z2503" s="8"/>
      <c r="AA2503" s="8"/>
      <c r="AB2503" s="8"/>
      <c r="AC2503" s="8"/>
      <c r="AD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c r="Z2504" s="8"/>
      <c r="AA2504" s="8"/>
      <c r="AB2504" s="8"/>
      <c r="AC2504" s="8"/>
      <c r="AD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c r="Z2505" s="8"/>
      <c r="AA2505" s="8"/>
      <c r="AB2505" s="8"/>
      <c r="AC2505" s="8"/>
      <c r="AD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c r="Z2506" s="8"/>
      <c r="AA2506" s="8"/>
      <c r="AB2506" s="8"/>
      <c r="AC2506" s="8"/>
      <c r="AD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c r="Z2507" s="8"/>
      <c r="AA2507" s="8"/>
      <c r="AB2507" s="8"/>
      <c r="AC2507" s="8"/>
      <c r="AD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c r="Z2508" s="8"/>
      <c r="AA2508" s="8"/>
      <c r="AB2508" s="8"/>
      <c r="AC2508" s="8"/>
      <c r="AD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c r="Z2509" s="8"/>
      <c r="AA2509" s="8"/>
      <c r="AB2509" s="8"/>
      <c r="AC2509" s="8"/>
      <c r="AD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c r="Z2510" s="8"/>
      <c r="AA2510" s="8"/>
      <c r="AB2510" s="8"/>
      <c r="AC2510" s="8"/>
      <c r="AD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c r="Z2511" s="8"/>
      <c r="AA2511" s="8"/>
      <c r="AB2511" s="8"/>
      <c r="AC2511" s="8"/>
      <c r="AD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c r="Z2512" s="8"/>
      <c r="AA2512" s="8"/>
      <c r="AB2512" s="8"/>
      <c r="AC2512" s="8"/>
      <c r="AD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c r="Z2513" s="8"/>
      <c r="AA2513" s="8"/>
      <c r="AB2513" s="8"/>
      <c r="AC2513" s="8"/>
      <c r="AD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c r="Z2514" s="8"/>
      <c r="AA2514" s="8"/>
      <c r="AB2514" s="8"/>
      <c r="AC2514" s="8"/>
      <c r="AD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c r="Z2515" s="8"/>
      <c r="AA2515" s="8"/>
      <c r="AB2515" s="8"/>
      <c r="AC2515" s="8"/>
      <c r="AD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c r="Z2516" s="8"/>
      <c r="AA2516" s="8"/>
      <c r="AB2516" s="8"/>
      <c r="AC2516" s="8"/>
      <c r="AD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c r="Z2517" s="8"/>
      <c r="AA2517" s="8"/>
      <c r="AB2517" s="8"/>
      <c r="AC2517" s="8"/>
      <c r="AD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c r="Z2518" s="8"/>
      <c r="AA2518" s="8"/>
      <c r="AB2518" s="8"/>
      <c r="AC2518" s="8"/>
      <c r="AD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c r="Z2519" s="8"/>
      <c r="AA2519" s="8"/>
      <c r="AB2519" s="8"/>
      <c r="AC2519" s="8"/>
      <c r="AD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c r="Z2520" s="8"/>
      <c r="AA2520" s="8"/>
      <c r="AB2520" s="8"/>
      <c r="AC2520" s="8"/>
      <c r="AD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c r="Z2521" s="8"/>
      <c r="AA2521" s="8"/>
      <c r="AB2521" s="8"/>
      <c r="AC2521" s="8"/>
      <c r="AD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c r="Z2522" s="8"/>
      <c r="AA2522" s="8"/>
      <c r="AB2522" s="8"/>
      <c r="AC2522" s="8"/>
      <c r="AD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c r="Z2523" s="8"/>
      <c r="AA2523" s="8"/>
      <c r="AB2523" s="8"/>
      <c r="AC2523" s="8"/>
      <c r="AD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c r="Z2524" s="8"/>
      <c r="AA2524" s="8"/>
      <c r="AB2524" s="8"/>
      <c r="AC2524" s="8"/>
      <c r="AD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c r="Z2525" s="8"/>
      <c r="AA2525" s="8"/>
      <c r="AB2525" s="8"/>
      <c r="AC2525" s="8"/>
      <c r="AD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c r="Z2526" s="8"/>
      <c r="AA2526" s="8"/>
      <c r="AB2526" s="8"/>
      <c r="AC2526" s="8"/>
      <c r="AD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c r="Z2527" s="8"/>
      <c r="AA2527" s="8"/>
      <c r="AB2527" s="8"/>
      <c r="AC2527" s="8"/>
      <c r="AD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c r="Z2528" s="8"/>
      <c r="AA2528" s="8"/>
      <c r="AB2528" s="8"/>
      <c r="AC2528" s="8"/>
      <c r="AD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c r="Z2529" s="8"/>
      <c r="AA2529" s="8"/>
      <c r="AB2529" s="8"/>
      <c r="AC2529" s="8"/>
      <c r="AD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c r="Z2530" s="8"/>
      <c r="AA2530" s="8"/>
      <c r="AB2530" s="8"/>
      <c r="AC2530" s="8"/>
      <c r="AD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c r="Z2531" s="8"/>
      <c r="AA2531" s="8"/>
      <c r="AB2531" s="8"/>
      <c r="AC2531" s="8"/>
      <c r="AD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c r="Z2532" s="8"/>
      <c r="AA2532" s="8"/>
      <c r="AB2532" s="8"/>
      <c r="AC2532" s="8"/>
      <c r="AD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c r="Z2533" s="8"/>
      <c r="AA2533" s="8"/>
      <c r="AB2533" s="8"/>
      <c r="AC2533" s="8"/>
      <c r="AD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c r="Z2534" s="8"/>
      <c r="AA2534" s="8"/>
      <c r="AB2534" s="8"/>
      <c r="AC2534" s="8"/>
      <c r="AD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c r="Z2535" s="8"/>
      <c r="AA2535" s="8"/>
      <c r="AB2535" s="8"/>
      <c r="AC2535" s="8"/>
      <c r="AD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c r="Z2536" s="8"/>
      <c r="AA2536" s="8"/>
      <c r="AB2536" s="8"/>
      <c r="AC2536" s="8"/>
      <c r="AD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c r="Z2537" s="8"/>
      <c r="AA2537" s="8"/>
      <c r="AB2537" s="8"/>
      <c r="AC2537" s="8"/>
      <c r="AD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c r="Z2538" s="8"/>
      <c r="AA2538" s="8"/>
      <c r="AB2538" s="8"/>
      <c r="AC2538" s="8"/>
      <c r="AD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c r="Z2539" s="8"/>
      <c r="AA2539" s="8"/>
      <c r="AB2539" s="8"/>
      <c r="AC2539" s="8"/>
      <c r="AD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c r="Z2540" s="8"/>
      <c r="AA2540" s="8"/>
      <c r="AB2540" s="8"/>
      <c r="AC2540" s="8"/>
      <c r="AD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c r="Z2541" s="8"/>
      <c r="AA2541" s="8"/>
      <c r="AB2541" s="8"/>
      <c r="AC2541" s="8"/>
      <c r="AD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c r="Z2542" s="8"/>
      <c r="AA2542" s="8"/>
      <c r="AB2542" s="8"/>
      <c r="AC2542" s="8"/>
      <c r="AD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c r="Z2543" s="8"/>
      <c r="AA2543" s="8"/>
      <c r="AB2543" s="8"/>
      <c r="AC2543" s="8"/>
      <c r="AD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c r="Z2544" s="8"/>
      <c r="AA2544" s="8"/>
      <c r="AB2544" s="8"/>
      <c r="AC2544" s="8"/>
      <c r="AD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c r="Z2545" s="8"/>
      <c r="AA2545" s="8"/>
      <c r="AB2545" s="8"/>
      <c r="AC2545" s="8"/>
      <c r="AD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c r="Z2546" s="8"/>
      <c r="AA2546" s="8"/>
      <c r="AB2546" s="8"/>
      <c r="AC2546" s="8"/>
      <c r="AD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c r="Z2547" s="8"/>
      <c r="AA2547" s="8"/>
      <c r="AB2547" s="8"/>
      <c r="AC2547" s="8"/>
      <c r="AD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c r="Z2548" s="8"/>
      <c r="AA2548" s="8"/>
      <c r="AB2548" s="8"/>
      <c r="AC2548" s="8"/>
      <c r="AD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c r="Z2549" s="8"/>
      <c r="AA2549" s="8"/>
      <c r="AB2549" s="8"/>
      <c r="AC2549" s="8"/>
      <c r="AD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c r="Z2550" s="8"/>
      <c r="AA2550" s="8"/>
      <c r="AB2550" s="8"/>
      <c r="AC2550" s="8"/>
      <c r="AD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c r="Z2551" s="8"/>
      <c r="AA2551" s="8"/>
      <c r="AB2551" s="8"/>
      <c r="AC2551" s="8"/>
      <c r="AD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c r="Z2552" s="8"/>
      <c r="AA2552" s="8"/>
      <c r="AB2552" s="8"/>
      <c r="AC2552" s="8"/>
      <c r="AD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c r="Z2553" s="8"/>
      <c r="AA2553" s="8"/>
      <c r="AB2553" s="8"/>
      <c r="AC2553" s="8"/>
      <c r="AD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c r="Z2554" s="8"/>
      <c r="AA2554" s="8"/>
      <c r="AB2554" s="8"/>
      <c r="AC2554" s="8"/>
      <c r="AD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c r="Z2555" s="8"/>
      <c r="AA2555" s="8"/>
      <c r="AB2555" s="8"/>
      <c r="AC2555" s="8"/>
      <c r="AD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c r="Z2556" s="8"/>
      <c r="AA2556" s="8"/>
      <c r="AB2556" s="8"/>
      <c r="AC2556" s="8"/>
      <c r="AD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c r="Z2557" s="8"/>
      <c r="AA2557" s="8"/>
      <c r="AB2557" s="8"/>
      <c r="AC2557" s="8"/>
      <c r="AD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c r="Z2558" s="8"/>
      <c r="AA2558" s="8"/>
      <c r="AB2558" s="8"/>
      <c r="AC2558" s="8"/>
      <c r="AD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c r="Z2559" s="8"/>
      <c r="AA2559" s="8"/>
      <c r="AB2559" s="8"/>
      <c r="AC2559" s="8"/>
      <c r="AD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c r="Z2560" s="8"/>
      <c r="AA2560" s="8"/>
      <c r="AB2560" s="8"/>
      <c r="AC2560" s="8"/>
      <c r="AD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c r="Z2561" s="8"/>
      <c r="AA2561" s="8"/>
      <c r="AB2561" s="8"/>
      <c r="AC2561" s="8"/>
      <c r="AD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c r="Z2562" s="8"/>
      <c r="AA2562" s="8"/>
      <c r="AB2562" s="8"/>
      <c r="AC2562" s="8"/>
      <c r="AD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c r="Z2563" s="8"/>
      <c r="AA2563" s="8"/>
      <c r="AB2563" s="8"/>
      <c r="AC2563" s="8"/>
      <c r="AD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c r="Z2564" s="8"/>
      <c r="AA2564" s="8"/>
      <c r="AB2564" s="8"/>
      <c r="AC2564" s="8"/>
      <c r="AD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c r="Z2565" s="8"/>
      <c r="AA2565" s="8"/>
      <c r="AB2565" s="8"/>
      <c r="AC2565" s="8"/>
      <c r="AD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c r="Z2566" s="8"/>
      <c r="AA2566" s="8"/>
      <c r="AB2566" s="8"/>
      <c r="AC2566" s="8"/>
      <c r="AD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c r="Z2567" s="8"/>
      <c r="AA2567" s="8"/>
      <c r="AB2567" s="8"/>
      <c r="AC2567" s="8"/>
      <c r="AD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c r="Z2568" s="8"/>
      <c r="AA2568" s="8"/>
      <c r="AB2568" s="8"/>
      <c r="AC2568" s="8"/>
      <c r="AD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c r="Z2569" s="8"/>
      <c r="AA2569" s="8"/>
      <c r="AB2569" s="8"/>
      <c r="AC2569" s="8"/>
      <c r="AD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c r="Z2570" s="8"/>
      <c r="AA2570" s="8"/>
      <c r="AB2570" s="8"/>
      <c r="AC2570" s="8"/>
      <c r="AD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c r="Z2571" s="8"/>
      <c r="AA2571" s="8"/>
      <c r="AB2571" s="8"/>
      <c r="AC2571" s="8"/>
      <c r="AD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c r="Z2572" s="8"/>
      <c r="AA2572" s="8"/>
      <c r="AB2572" s="8"/>
      <c r="AC2572" s="8"/>
      <c r="AD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c r="Z2573" s="8"/>
      <c r="AA2573" s="8"/>
      <c r="AB2573" s="8"/>
      <c r="AC2573" s="8"/>
      <c r="AD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c r="Z2574" s="8"/>
      <c r="AA2574" s="8"/>
      <c r="AB2574" s="8"/>
      <c r="AC2574" s="8"/>
      <c r="AD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c r="Z2575" s="8"/>
      <c r="AA2575" s="8"/>
      <c r="AB2575" s="8"/>
      <c r="AC2575" s="8"/>
      <c r="AD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c r="Z2576" s="8"/>
      <c r="AA2576" s="8"/>
      <c r="AB2576" s="8"/>
      <c r="AC2576" s="8"/>
      <c r="AD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c r="Z2577" s="8"/>
      <c r="AA2577" s="8"/>
      <c r="AB2577" s="8"/>
      <c r="AC2577" s="8"/>
      <c r="AD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c r="Z2578" s="8"/>
      <c r="AA2578" s="8"/>
      <c r="AB2578" s="8"/>
      <c r="AC2578" s="8"/>
      <c r="AD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c r="Z2579" s="8"/>
      <c r="AA2579" s="8"/>
      <c r="AB2579" s="8"/>
      <c r="AC2579" s="8"/>
      <c r="AD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c r="Z2580" s="8"/>
      <c r="AA2580" s="8"/>
      <c r="AB2580" s="8"/>
      <c r="AC2580" s="8"/>
      <c r="AD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c r="Z2581" s="8"/>
      <c r="AA2581" s="8"/>
      <c r="AB2581" s="8"/>
      <c r="AC2581" s="8"/>
      <c r="AD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c r="Z2582" s="8"/>
      <c r="AA2582" s="8"/>
      <c r="AB2582" s="8"/>
      <c r="AC2582" s="8"/>
      <c r="AD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c r="Z2583" s="8"/>
      <c r="AA2583" s="8"/>
      <c r="AB2583" s="8"/>
      <c r="AC2583" s="8"/>
      <c r="AD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c r="Z2584" s="8"/>
      <c r="AA2584" s="8"/>
      <c r="AB2584" s="8"/>
      <c r="AC2584" s="8"/>
      <c r="AD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c r="Z2585" s="8"/>
      <c r="AA2585" s="8"/>
      <c r="AB2585" s="8"/>
      <c r="AC2585" s="8"/>
      <c r="AD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c r="Z2586" s="8"/>
      <c r="AA2586" s="8"/>
      <c r="AB2586" s="8"/>
      <c r="AC2586" s="8"/>
      <c r="AD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c r="Z2587" s="8"/>
      <c r="AA2587" s="8"/>
      <c r="AB2587" s="8"/>
      <c r="AC2587" s="8"/>
      <c r="AD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c r="Z2588" s="8"/>
      <c r="AA2588" s="8"/>
      <c r="AB2588" s="8"/>
      <c r="AC2588" s="8"/>
      <c r="AD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c r="Z2589" s="8"/>
      <c r="AA2589" s="8"/>
      <c r="AB2589" s="8"/>
      <c r="AC2589" s="8"/>
      <c r="AD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c r="Z2590" s="8"/>
      <c r="AA2590" s="8"/>
      <c r="AB2590" s="8"/>
      <c r="AC2590" s="8"/>
      <c r="AD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c r="Z2591" s="8"/>
      <c r="AA2591" s="8"/>
      <c r="AB2591" s="8"/>
      <c r="AC2591" s="8"/>
      <c r="AD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c r="Z2592" s="8"/>
      <c r="AA2592" s="8"/>
      <c r="AB2592" s="8"/>
      <c r="AC2592" s="8"/>
      <c r="AD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c r="Z2593" s="8"/>
      <c r="AA2593" s="8"/>
      <c r="AB2593" s="8"/>
      <c r="AC2593" s="8"/>
      <c r="AD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c r="Z2594" s="8"/>
      <c r="AA2594" s="8"/>
      <c r="AB2594" s="8"/>
      <c r="AC2594" s="8"/>
      <c r="AD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c r="Z2595" s="8"/>
      <c r="AA2595" s="8"/>
      <c r="AB2595" s="8"/>
      <c r="AC2595" s="8"/>
      <c r="AD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c r="Z2596" s="8"/>
      <c r="AA2596" s="8"/>
      <c r="AB2596" s="8"/>
      <c r="AC2596" s="8"/>
      <c r="AD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c r="Z2597" s="8"/>
      <c r="AA2597" s="8"/>
      <c r="AB2597" s="8"/>
      <c r="AC2597" s="8"/>
      <c r="AD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c r="Z2598" s="8"/>
      <c r="AA2598" s="8"/>
      <c r="AB2598" s="8"/>
      <c r="AC2598" s="8"/>
      <c r="AD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c r="Z2599" s="8"/>
      <c r="AA2599" s="8"/>
      <c r="AB2599" s="8"/>
      <c r="AC2599" s="8"/>
      <c r="AD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c r="Z2600" s="8"/>
      <c r="AA2600" s="8"/>
      <c r="AB2600" s="8"/>
      <c r="AC2600" s="8"/>
      <c r="AD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c r="Z2601" s="8"/>
      <c r="AA2601" s="8"/>
      <c r="AB2601" s="8"/>
      <c r="AC2601" s="8"/>
      <c r="AD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c r="Z2602" s="8"/>
      <c r="AA2602" s="8"/>
      <c r="AB2602" s="8"/>
      <c r="AC2602" s="8"/>
      <c r="AD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c r="Z2603" s="8"/>
      <c r="AA2603" s="8"/>
      <c r="AB2603" s="8"/>
      <c r="AC2603" s="8"/>
      <c r="AD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c r="Z2604" s="8"/>
      <c r="AA2604" s="8"/>
      <c r="AB2604" s="8"/>
      <c r="AC2604" s="8"/>
      <c r="AD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c r="Z2605" s="8"/>
      <c r="AA2605" s="8"/>
      <c r="AB2605" s="8"/>
      <c r="AC2605" s="8"/>
      <c r="AD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c r="Z2606" s="8"/>
      <c r="AA2606" s="8"/>
      <c r="AB2606" s="8"/>
      <c r="AC2606" s="8"/>
      <c r="AD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c r="Z2607" s="8"/>
      <c r="AA2607" s="8"/>
      <c r="AB2607" s="8"/>
      <c r="AC2607" s="8"/>
      <c r="AD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c r="Z2608" s="8"/>
      <c r="AA2608" s="8"/>
      <c r="AB2608" s="8"/>
      <c r="AC2608" s="8"/>
      <c r="AD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c r="Z2609" s="8"/>
      <c r="AA2609" s="8"/>
      <c r="AB2609" s="8"/>
      <c r="AC2609" s="8"/>
      <c r="AD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c r="Z2610" s="8"/>
      <c r="AA2610" s="8"/>
      <c r="AB2610" s="8"/>
      <c r="AC2610" s="8"/>
      <c r="AD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c r="Z2611" s="8"/>
      <c r="AA2611" s="8"/>
      <c r="AB2611" s="8"/>
      <c r="AC2611" s="8"/>
      <c r="AD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c r="Z2612" s="8"/>
      <c r="AA2612" s="8"/>
      <c r="AB2612" s="8"/>
      <c r="AC2612" s="8"/>
      <c r="AD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c r="Z2613" s="8"/>
      <c r="AA2613" s="8"/>
      <c r="AB2613" s="8"/>
      <c r="AC2613" s="8"/>
      <c r="AD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c r="Z2614" s="8"/>
      <c r="AA2614" s="8"/>
      <c r="AB2614" s="8"/>
      <c r="AC2614" s="8"/>
      <c r="AD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c r="Z2615" s="8"/>
      <c r="AA2615" s="8"/>
      <c r="AB2615" s="8"/>
      <c r="AC2615" s="8"/>
      <c r="AD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c r="Z2616" s="8"/>
      <c r="AA2616" s="8"/>
      <c r="AB2616" s="8"/>
      <c r="AC2616" s="8"/>
      <c r="AD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c r="Z2617" s="8"/>
      <c r="AA2617" s="8"/>
      <c r="AB2617" s="8"/>
      <c r="AC2617" s="8"/>
      <c r="AD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c r="Z2618" s="8"/>
      <c r="AA2618" s="8"/>
      <c r="AB2618" s="8"/>
      <c r="AC2618" s="8"/>
      <c r="AD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c r="Z2619" s="8"/>
      <c r="AA2619" s="8"/>
      <c r="AB2619" s="8"/>
      <c r="AC2619" s="8"/>
      <c r="AD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c r="Z2620" s="8"/>
      <c r="AA2620" s="8"/>
      <c r="AB2620" s="8"/>
      <c r="AC2620" s="8"/>
      <c r="AD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c r="Z2621" s="8"/>
      <c r="AA2621" s="8"/>
      <c r="AB2621" s="8"/>
      <c r="AC2621" s="8"/>
      <c r="AD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c r="Z2622" s="8"/>
      <c r="AA2622" s="8"/>
      <c r="AB2622" s="8"/>
      <c r="AC2622" s="8"/>
      <c r="AD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c r="Z2623" s="8"/>
      <c r="AA2623" s="8"/>
      <c r="AB2623" s="8"/>
      <c r="AC2623" s="8"/>
      <c r="AD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c r="Z2624" s="8"/>
      <c r="AA2624" s="8"/>
      <c r="AB2624" s="8"/>
      <c r="AC2624" s="8"/>
      <c r="AD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c r="Z2625" s="8"/>
      <c r="AA2625" s="8"/>
      <c r="AB2625" s="8"/>
      <c r="AC2625" s="8"/>
      <c r="AD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c r="Z2626" s="8"/>
      <c r="AA2626" s="8"/>
      <c r="AB2626" s="8"/>
      <c r="AC2626" s="8"/>
      <c r="AD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c r="Z2627" s="8"/>
      <c r="AA2627" s="8"/>
      <c r="AB2627" s="8"/>
      <c r="AC2627" s="8"/>
      <c r="AD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c r="Z2628" s="8"/>
      <c r="AA2628" s="8"/>
      <c r="AB2628" s="8"/>
      <c r="AC2628" s="8"/>
      <c r="AD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c r="Z2629" s="8"/>
      <c r="AA2629" s="8"/>
      <c r="AB2629" s="8"/>
      <c r="AC2629" s="8"/>
      <c r="AD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c r="Z2630" s="8"/>
      <c r="AA2630" s="8"/>
      <c r="AB2630" s="8"/>
      <c r="AC2630" s="8"/>
      <c r="AD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c r="Z2631" s="8"/>
      <c r="AA2631" s="8"/>
      <c r="AB2631" s="8"/>
      <c r="AC2631" s="8"/>
      <c r="AD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c r="Z2632" s="8"/>
      <c r="AA2632" s="8"/>
      <c r="AB2632" s="8"/>
      <c r="AC2632" s="8"/>
      <c r="AD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c r="Z2633" s="8"/>
      <c r="AA2633" s="8"/>
      <c r="AB2633" s="8"/>
      <c r="AC2633" s="8"/>
      <c r="AD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c r="Z2634" s="8"/>
      <c r="AA2634" s="8"/>
      <c r="AB2634" s="8"/>
      <c r="AC2634" s="8"/>
      <c r="AD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c r="Z2635" s="8"/>
      <c r="AA2635" s="8"/>
      <c r="AB2635" s="8"/>
      <c r="AC2635" s="8"/>
      <c r="AD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c r="Z2636" s="8"/>
      <c r="AA2636" s="8"/>
      <c r="AB2636" s="8"/>
      <c r="AC2636" s="8"/>
      <c r="AD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c r="Z2637" s="8"/>
      <c r="AA2637" s="8"/>
      <c r="AB2637" s="8"/>
      <c r="AC2637" s="8"/>
      <c r="AD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c r="Z2638" s="8"/>
      <c r="AA2638" s="8"/>
      <c r="AB2638" s="8"/>
      <c r="AC2638" s="8"/>
      <c r="AD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c r="Z2639" s="8"/>
      <c r="AA2639" s="8"/>
      <c r="AB2639" s="8"/>
      <c r="AC2639" s="8"/>
      <c r="AD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c r="Z2640" s="8"/>
      <c r="AA2640" s="8"/>
      <c r="AB2640" s="8"/>
      <c r="AC2640" s="8"/>
      <c r="AD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c r="Z2641" s="8"/>
      <c r="AA2641" s="8"/>
      <c r="AB2641" s="8"/>
      <c r="AC2641" s="8"/>
      <c r="AD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c r="Z2642" s="8"/>
      <c r="AA2642" s="8"/>
      <c r="AB2642" s="8"/>
      <c r="AC2642" s="8"/>
      <c r="AD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c r="Z2643" s="8"/>
      <c r="AA2643" s="8"/>
      <c r="AB2643" s="8"/>
      <c r="AC2643" s="8"/>
      <c r="AD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c r="Z2644" s="8"/>
      <c r="AA2644" s="8"/>
      <c r="AB2644" s="8"/>
      <c r="AC2644" s="8"/>
      <c r="AD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c r="Z2645" s="8"/>
      <c r="AA2645" s="8"/>
      <c r="AB2645" s="8"/>
      <c r="AC2645" s="8"/>
      <c r="AD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c r="Z2646" s="8"/>
      <c r="AA2646" s="8"/>
      <c r="AB2646" s="8"/>
      <c r="AC2646" s="8"/>
      <c r="AD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c r="Z2647" s="8"/>
      <c r="AA2647" s="8"/>
      <c r="AB2647" s="8"/>
      <c r="AC2647" s="8"/>
      <c r="AD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c r="Z2648" s="8"/>
      <c r="AA2648" s="8"/>
      <c r="AB2648" s="8"/>
      <c r="AC2648" s="8"/>
      <c r="AD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c r="Z2649" s="8"/>
      <c r="AA2649" s="8"/>
      <c r="AB2649" s="8"/>
      <c r="AC2649" s="8"/>
      <c r="AD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c r="Z2650" s="8"/>
      <c r="AA2650" s="8"/>
      <c r="AB2650" s="8"/>
      <c r="AC2650" s="8"/>
      <c r="AD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c r="Z2651" s="8"/>
      <c r="AA2651" s="8"/>
      <c r="AB2651" s="8"/>
      <c r="AC2651" s="8"/>
      <c r="AD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c r="Z2652" s="8"/>
      <c r="AA2652" s="8"/>
      <c r="AB2652" s="8"/>
      <c r="AC2652" s="8"/>
      <c r="AD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c r="Z2653" s="8"/>
      <c r="AA2653" s="8"/>
      <c r="AB2653" s="8"/>
      <c r="AC2653" s="8"/>
      <c r="AD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c r="Z2654" s="8"/>
      <c r="AA2654" s="8"/>
      <c r="AB2654" s="8"/>
      <c r="AC2654" s="8"/>
      <c r="AD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c r="Z2655" s="8"/>
      <c r="AA2655" s="8"/>
      <c r="AB2655" s="8"/>
      <c r="AC2655" s="8"/>
      <c r="AD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c r="Z2656" s="8"/>
      <c r="AA2656" s="8"/>
      <c r="AB2656" s="8"/>
      <c r="AC2656" s="8"/>
      <c r="AD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c r="Z2657" s="8"/>
      <c r="AA2657" s="8"/>
      <c r="AB2657" s="8"/>
      <c r="AC2657" s="8"/>
      <c r="AD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c r="Z2658" s="8"/>
      <c r="AA2658" s="8"/>
      <c r="AB2658" s="8"/>
      <c r="AC2658" s="8"/>
      <c r="AD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c r="Z2659" s="8"/>
      <c r="AA2659" s="8"/>
      <c r="AB2659" s="8"/>
      <c r="AC2659" s="8"/>
      <c r="AD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c r="Z2660" s="8"/>
      <c r="AA2660" s="8"/>
      <c r="AB2660" s="8"/>
      <c r="AC2660" s="8"/>
      <c r="AD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c r="Z2661" s="8"/>
      <c r="AA2661" s="8"/>
      <c r="AB2661" s="8"/>
      <c r="AC2661" s="8"/>
      <c r="AD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c r="Z2662" s="8"/>
      <c r="AA2662" s="8"/>
      <c r="AB2662" s="8"/>
      <c r="AC2662" s="8"/>
      <c r="AD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c r="Z2663" s="8"/>
      <c r="AA2663" s="8"/>
      <c r="AB2663" s="8"/>
      <c r="AC2663" s="8"/>
      <c r="AD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c r="Z2664" s="8"/>
      <c r="AA2664" s="8"/>
      <c r="AB2664" s="8"/>
      <c r="AC2664" s="8"/>
      <c r="AD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c r="Z2665" s="8"/>
      <c r="AA2665" s="8"/>
      <c r="AB2665" s="8"/>
      <c r="AC2665" s="8"/>
      <c r="AD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c r="Z2666" s="8"/>
      <c r="AA2666" s="8"/>
      <c r="AB2666" s="8"/>
      <c r="AC2666" s="8"/>
      <c r="AD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c r="Z2667" s="8"/>
      <c r="AA2667" s="8"/>
      <c r="AB2667" s="8"/>
      <c r="AC2667" s="8"/>
      <c r="AD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c r="Z2668" s="8"/>
      <c r="AA2668" s="8"/>
      <c r="AB2668" s="8"/>
      <c r="AC2668" s="8"/>
      <c r="AD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c r="Z2669" s="8"/>
      <c r="AA2669" s="8"/>
      <c r="AB2669" s="8"/>
      <c r="AC2669" s="8"/>
      <c r="AD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c r="Z2670" s="8"/>
      <c r="AA2670" s="8"/>
      <c r="AB2670" s="8"/>
      <c r="AC2670" s="8"/>
      <c r="AD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c r="Z2671" s="8"/>
      <c r="AA2671" s="8"/>
      <c r="AB2671" s="8"/>
      <c r="AC2671" s="8"/>
      <c r="AD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c r="Z2672" s="8"/>
      <c r="AA2672" s="8"/>
      <c r="AB2672" s="8"/>
      <c r="AC2672" s="8"/>
      <c r="AD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c r="Z2673" s="8"/>
      <c r="AA2673" s="8"/>
      <c r="AB2673" s="8"/>
      <c r="AC2673" s="8"/>
      <c r="AD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c r="Z2674" s="8"/>
      <c r="AA2674" s="8"/>
      <c r="AB2674" s="8"/>
      <c r="AC2674" s="8"/>
      <c r="AD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c r="Z2675" s="8"/>
      <c r="AA2675" s="8"/>
      <c r="AB2675" s="8"/>
      <c r="AC2675" s="8"/>
      <c r="AD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c r="Z2676" s="8"/>
      <c r="AA2676" s="8"/>
      <c r="AB2676" s="8"/>
      <c r="AC2676" s="8"/>
      <c r="AD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c r="Z2677" s="8"/>
      <c r="AA2677" s="8"/>
      <c r="AB2677" s="8"/>
      <c r="AC2677" s="8"/>
      <c r="AD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c r="Z2678" s="8"/>
      <c r="AA2678" s="8"/>
      <c r="AB2678" s="8"/>
      <c r="AC2678" s="8"/>
      <c r="AD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c r="Z2679" s="8"/>
      <c r="AA2679" s="8"/>
      <c r="AB2679" s="8"/>
      <c r="AC2679" s="8"/>
      <c r="AD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c r="Z2680" s="8"/>
      <c r="AA2680" s="8"/>
      <c r="AB2680" s="8"/>
      <c r="AC2680" s="8"/>
      <c r="AD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c r="Z2681" s="8"/>
      <c r="AA2681" s="8"/>
      <c r="AB2681" s="8"/>
      <c r="AC2681" s="8"/>
      <c r="AD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c r="Z2682" s="8"/>
      <c r="AA2682" s="8"/>
      <c r="AB2682" s="8"/>
      <c r="AC2682" s="8"/>
      <c r="AD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c r="Z2683" s="8"/>
      <c r="AA2683" s="8"/>
      <c r="AB2683" s="8"/>
      <c r="AC2683" s="8"/>
      <c r="AD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c r="Z2684" s="8"/>
      <c r="AA2684" s="8"/>
      <c r="AB2684" s="8"/>
      <c r="AC2684" s="8"/>
      <c r="AD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c r="Z2685" s="8"/>
      <c r="AA2685" s="8"/>
      <c r="AB2685" s="8"/>
      <c r="AC2685" s="8"/>
      <c r="AD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c r="Z2686" s="8"/>
      <c r="AA2686" s="8"/>
      <c r="AB2686" s="8"/>
      <c r="AC2686" s="8"/>
      <c r="AD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c r="Z2687" s="8"/>
      <c r="AA2687" s="8"/>
      <c r="AB2687" s="8"/>
      <c r="AC2687" s="8"/>
      <c r="AD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c r="Z2688" s="8"/>
      <c r="AA2688" s="8"/>
      <c r="AB2688" s="8"/>
      <c r="AC2688" s="8"/>
      <c r="AD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c r="Z2689" s="8"/>
      <c r="AA2689" s="8"/>
      <c r="AB2689" s="8"/>
      <c r="AC2689" s="8"/>
      <c r="AD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c r="Z2690" s="8"/>
      <c r="AA2690" s="8"/>
      <c r="AB2690" s="8"/>
      <c r="AC2690" s="8"/>
      <c r="AD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c r="Z2691" s="8"/>
      <c r="AA2691" s="8"/>
      <c r="AB2691" s="8"/>
      <c r="AC2691" s="8"/>
      <c r="AD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c r="Z2692" s="8"/>
      <c r="AA2692" s="8"/>
      <c r="AB2692" s="8"/>
      <c r="AC2692" s="8"/>
      <c r="AD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c r="Z2693" s="8"/>
      <c r="AA2693" s="8"/>
      <c r="AB2693" s="8"/>
      <c r="AC2693" s="8"/>
      <c r="AD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c r="Z2694" s="8"/>
      <c r="AA2694" s="8"/>
      <c r="AB2694" s="8"/>
      <c r="AC2694" s="8"/>
      <c r="AD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c r="Z2695" s="8"/>
      <c r="AA2695" s="8"/>
      <c r="AB2695" s="8"/>
      <c r="AC2695" s="8"/>
      <c r="AD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c r="Z2696" s="8"/>
      <c r="AA2696" s="8"/>
      <c r="AB2696" s="8"/>
      <c r="AC2696" s="8"/>
      <c r="AD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c r="Z2697" s="8"/>
      <c r="AA2697" s="8"/>
      <c r="AB2697" s="8"/>
      <c r="AC2697" s="8"/>
      <c r="AD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c r="Z2698" s="8"/>
      <c r="AA2698" s="8"/>
      <c r="AB2698" s="8"/>
      <c r="AC2698" s="8"/>
      <c r="AD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c r="Z2699" s="8"/>
      <c r="AA2699" s="8"/>
      <c r="AB2699" s="8"/>
      <c r="AC2699" s="8"/>
      <c r="AD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c r="Z2700" s="8"/>
      <c r="AA2700" s="8"/>
      <c r="AB2700" s="8"/>
      <c r="AC2700" s="8"/>
      <c r="AD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c r="Z2701" s="8"/>
      <c r="AA2701" s="8"/>
      <c r="AB2701" s="8"/>
      <c r="AC2701" s="8"/>
      <c r="AD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c r="Z2702" s="8"/>
      <c r="AA2702" s="8"/>
      <c r="AB2702" s="8"/>
      <c r="AC2702" s="8"/>
      <c r="AD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c r="Z2703" s="8"/>
      <c r="AA2703" s="8"/>
      <c r="AB2703" s="8"/>
      <c r="AC2703" s="8"/>
      <c r="AD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c r="Z2704" s="8"/>
      <c r="AA2704" s="8"/>
      <c r="AB2704" s="8"/>
      <c r="AC2704" s="8"/>
      <c r="AD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c r="Z2705" s="8"/>
      <c r="AA2705" s="8"/>
      <c r="AB2705" s="8"/>
      <c r="AC2705" s="8"/>
      <c r="AD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c r="Z2706" s="8"/>
      <c r="AA2706" s="8"/>
      <c r="AB2706" s="8"/>
      <c r="AC2706" s="8"/>
      <c r="AD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c r="Z2707" s="8"/>
      <c r="AA2707" s="8"/>
      <c r="AB2707" s="8"/>
      <c r="AC2707" s="8"/>
      <c r="AD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c r="Z2708" s="8"/>
      <c r="AA2708" s="8"/>
      <c r="AB2708" s="8"/>
      <c r="AC2708" s="8"/>
      <c r="AD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c r="Z2709" s="8"/>
      <c r="AA2709" s="8"/>
      <c r="AB2709" s="8"/>
      <c r="AC2709" s="8"/>
      <c r="AD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c r="Z2710" s="8"/>
      <c r="AA2710" s="8"/>
      <c r="AB2710" s="8"/>
      <c r="AC2710" s="8"/>
      <c r="AD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c r="Z2711" s="8"/>
      <c r="AA2711" s="8"/>
      <c r="AB2711" s="8"/>
      <c r="AC2711" s="8"/>
      <c r="AD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c r="Z2712" s="8"/>
      <c r="AA2712" s="8"/>
      <c r="AB2712" s="8"/>
      <c r="AC2712" s="8"/>
      <c r="AD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c r="Z2713" s="8"/>
      <c r="AA2713" s="8"/>
      <c r="AB2713" s="8"/>
      <c r="AC2713" s="8"/>
      <c r="AD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c r="Z2714" s="8"/>
      <c r="AA2714" s="8"/>
      <c r="AB2714" s="8"/>
      <c r="AC2714" s="8"/>
      <c r="AD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c r="Z2715" s="8"/>
      <c r="AA2715" s="8"/>
      <c r="AB2715" s="8"/>
      <c r="AC2715" s="8"/>
      <c r="AD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c r="Z2716" s="8"/>
      <c r="AA2716" s="8"/>
      <c r="AB2716" s="8"/>
      <c r="AC2716" s="8"/>
      <c r="AD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c r="Z2717" s="8"/>
      <c r="AA2717" s="8"/>
      <c r="AB2717" s="8"/>
      <c r="AC2717" s="8"/>
      <c r="AD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c r="Z2718" s="8"/>
      <c r="AA2718" s="8"/>
      <c r="AB2718" s="8"/>
      <c r="AC2718" s="8"/>
      <c r="AD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c r="Z2719" s="8"/>
      <c r="AA2719" s="8"/>
      <c r="AB2719" s="8"/>
      <c r="AC2719" s="8"/>
      <c r="AD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c r="Z2720" s="8"/>
      <c r="AA2720" s="8"/>
      <c r="AB2720" s="8"/>
      <c r="AC2720" s="8"/>
      <c r="AD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c r="Z2721" s="8"/>
      <c r="AA2721" s="8"/>
      <c r="AB2721" s="8"/>
      <c r="AC2721" s="8"/>
      <c r="AD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c r="Z2722" s="8"/>
      <c r="AA2722" s="8"/>
      <c r="AB2722" s="8"/>
      <c r="AC2722" s="8"/>
      <c r="AD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c r="Z2723" s="8"/>
      <c r="AA2723" s="8"/>
      <c r="AB2723" s="8"/>
      <c r="AC2723" s="8"/>
      <c r="AD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c r="Z2724" s="8"/>
      <c r="AA2724" s="8"/>
      <c r="AB2724" s="8"/>
      <c r="AC2724" s="8"/>
      <c r="AD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c r="Z2725" s="8"/>
      <c r="AA2725" s="8"/>
      <c r="AB2725" s="8"/>
      <c r="AC2725" s="8"/>
      <c r="AD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c r="Z2726" s="8"/>
      <c r="AA2726" s="8"/>
      <c r="AB2726" s="8"/>
      <c r="AC2726" s="8"/>
      <c r="AD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c r="Z2727" s="8"/>
      <c r="AA2727" s="8"/>
      <c r="AB2727" s="8"/>
      <c r="AC2727" s="8"/>
      <c r="AD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c r="Z2728" s="8"/>
      <c r="AA2728" s="8"/>
      <c r="AB2728" s="8"/>
      <c r="AC2728" s="8"/>
      <c r="AD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c r="Z2729" s="8"/>
      <c r="AA2729" s="8"/>
      <c r="AB2729" s="8"/>
      <c r="AC2729" s="8"/>
      <c r="AD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c r="Z2730" s="8"/>
      <c r="AA2730" s="8"/>
      <c r="AB2730" s="8"/>
      <c r="AC2730" s="8"/>
      <c r="AD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c r="Z2731" s="8"/>
      <c r="AA2731" s="8"/>
      <c r="AB2731" s="8"/>
      <c r="AC2731" s="8"/>
      <c r="AD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c r="Z2732" s="8"/>
      <c r="AA2732" s="8"/>
      <c r="AB2732" s="8"/>
      <c r="AC2732" s="8"/>
      <c r="AD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c r="Z2733" s="8"/>
      <c r="AA2733" s="8"/>
      <c r="AB2733" s="8"/>
      <c r="AC2733" s="8"/>
      <c r="AD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c r="Z2734" s="8"/>
      <c r="AA2734" s="8"/>
      <c r="AB2734" s="8"/>
      <c r="AC2734" s="8"/>
      <c r="AD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c r="Z2735" s="8"/>
      <c r="AA2735" s="8"/>
      <c r="AB2735" s="8"/>
      <c r="AC2735" s="8"/>
      <c r="AD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c r="Z2736" s="8"/>
      <c r="AA2736" s="8"/>
      <c r="AB2736" s="8"/>
      <c r="AC2736" s="8"/>
      <c r="AD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c r="Z2737" s="8"/>
      <c r="AA2737" s="8"/>
      <c r="AB2737" s="8"/>
      <c r="AC2737" s="8"/>
      <c r="AD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c r="Z2738" s="8"/>
      <c r="AA2738" s="8"/>
      <c r="AB2738" s="8"/>
      <c r="AC2738" s="8"/>
      <c r="AD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c r="Z2739" s="8"/>
      <c r="AA2739" s="8"/>
      <c r="AB2739" s="8"/>
      <c r="AC2739" s="8"/>
      <c r="AD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c r="Z2740" s="8"/>
      <c r="AA2740" s="8"/>
      <c r="AB2740" s="8"/>
      <c r="AC2740" s="8"/>
      <c r="AD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c r="Z2741" s="8"/>
      <c r="AA2741" s="8"/>
      <c r="AB2741" s="8"/>
      <c r="AC2741" s="8"/>
      <c r="AD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c r="Z2742" s="8"/>
      <c r="AA2742" s="8"/>
      <c r="AB2742" s="8"/>
      <c r="AC2742" s="8"/>
      <c r="AD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c r="Z2743" s="8"/>
      <c r="AA2743" s="8"/>
      <c r="AB2743" s="8"/>
      <c r="AC2743" s="8"/>
      <c r="AD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c r="Z2744" s="8"/>
      <c r="AA2744" s="8"/>
      <c r="AB2744" s="8"/>
      <c r="AC2744" s="8"/>
      <c r="AD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c r="Z2745" s="8"/>
      <c r="AA2745" s="8"/>
      <c r="AB2745" s="8"/>
      <c r="AC2745" s="8"/>
      <c r="AD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c r="Z2746" s="8"/>
      <c r="AA2746" s="8"/>
      <c r="AB2746" s="8"/>
      <c r="AC2746" s="8"/>
      <c r="AD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c r="Z2747" s="8"/>
      <c r="AA2747" s="8"/>
      <c r="AB2747" s="8"/>
      <c r="AC2747" s="8"/>
      <c r="AD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c r="Z2748" s="8"/>
      <c r="AA2748" s="8"/>
      <c r="AB2748" s="8"/>
      <c r="AC2748" s="8"/>
      <c r="AD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c r="Z2749" s="8"/>
      <c r="AA2749" s="8"/>
      <c r="AB2749" s="8"/>
      <c r="AC2749" s="8"/>
      <c r="AD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c r="Z2750" s="8"/>
      <c r="AA2750" s="8"/>
      <c r="AB2750" s="8"/>
      <c r="AC2750" s="8"/>
      <c r="AD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c r="Z2751" s="8"/>
      <c r="AA2751" s="8"/>
      <c r="AB2751" s="8"/>
      <c r="AC2751" s="8"/>
      <c r="AD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c r="Z2752" s="8"/>
      <c r="AA2752" s="8"/>
      <c r="AB2752" s="8"/>
      <c r="AC2752" s="8"/>
      <c r="AD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c r="Z2753" s="8"/>
      <c r="AA2753" s="8"/>
      <c r="AB2753" s="8"/>
      <c r="AC2753" s="8"/>
      <c r="AD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c r="Z2754" s="8"/>
      <c r="AA2754" s="8"/>
      <c r="AB2754" s="8"/>
      <c r="AC2754" s="8"/>
      <c r="AD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c r="Z2755" s="8"/>
      <c r="AA2755" s="8"/>
      <c r="AB2755" s="8"/>
      <c r="AC2755" s="8"/>
      <c r="AD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c r="Z2756" s="8"/>
      <c r="AA2756" s="8"/>
      <c r="AB2756" s="8"/>
      <c r="AC2756" s="8"/>
      <c r="AD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c r="Z2757" s="8"/>
      <c r="AA2757" s="8"/>
      <c r="AB2757" s="8"/>
      <c r="AC2757" s="8"/>
      <c r="AD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c r="Z2758" s="8"/>
      <c r="AA2758" s="8"/>
      <c r="AB2758" s="8"/>
      <c r="AC2758" s="8"/>
      <c r="AD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c r="Z2759" s="8"/>
      <c r="AA2759" s="8"/>
      <c r="AB2759" s="8"/>
      <c r="AC2759" s="8"/>
      <c r="AD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c r="Z2760" s="8"/>
      <c r="AA2760" s="8"/>
      <c r="AB2760" s="8"/>
      <c r="AC2760" s="8"/>
      <c r="AD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c r="Z2761" s="8"/>
      <c r="AA2761" s="8"/>
      <c r="AB2761" s="8"/>
      <c r="AC2761" s="8"/>
      <c r="AD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c r="Z2762" s="8"/>
      <c r="AA2762" s="8"/>
      <c r="AB2762" s="8"/>
      <c r="AC2762" s="8"/>
      <c r="AD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c r="Z2763" s="8"/>
      <c r="AA2763" s="8"/>
      <c r="AB2763" s="8"/>
      <c r="AC2763" s="8"/>
      <c r="AD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c r="Z2764" s="8"/>
      <c r="AA2764" s="8"/>
      <c r="AB2764" s="8"/>
      <c r="AC2764" s="8"/>
      <c r="AD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c r="Z2765" s="8"/>
      <c r="AA2765" s="8"/>
      <c r="AB2765" s="8"/>
      <c r="AC2765" s="8"/>
      <c r="AD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c r="Z2766" s="8"/>
      <c r="AA2766" s="8"/>
      <c r="AB2766" s="8"/>
      <c r="AC2766" s="8"/>
      <c r="AD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c r="Z2767" s="8"/>
      <c r="AA2767" s="8"/>
      <c r="AB2767" s="8"/>
      <c r="AC2767" s="8"/>
      <c r="AD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c r="Z2768" s="8"/>
      <c r="AA2768" s="8"/>
      <c r="AB2768" s="8"/>
      <c r="AC2768" s="8"/>
      <c r="AD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c r="Z2769" s="8"/>
      <c r="AA2769" s="8"/>
      <c r="AB2769" s="8"/>
      <c r="AC2769" s="8"/>
      <c r="AD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c r="Z2770" s="8"/>
      <c r="AA2770" s="8"/>
      <c r="AB2770" s="8"/>
      <c r="AC2770" s="8"/>
      <c r="AD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c r="Z2771" s="8"/>
      <c r="AA2771" s="8"/>
      <c r="AB2771" s="8"/>
      <c r="AC2771" s="8"/>
      <c r="AD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c r="Z2772" s="8"/>
      <c r="AA2772" s="8"/>
      <c r="AB2772" s="8"/>
      <c r="AC2772" s="8"/>
      <c r="AD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c r="Z2773" s="8"/>
      <c r="AA2773" s="8"/>
      <c r="AB2773" s="8"/>
      <c r="AC2773" s="8"/>
      <c r="AD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c r="Z2774" s="8"/>
      <c r="AA2774" s="8"/>
      <c r="AB2774" s="8"/>
      <c r="AC2774" s="8"/>
      <c r="AD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c r="Z2775" s="8"/>
      <c r="AA2775" s="8"/>
      <c r="AB2775" s="8"/>
      <c r="AC2775" s="8"/>
      <c r="AD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c r="Z2776" s="8"/>
      <c r="AA2776" s="8"/>
      <c r="AB2776" s="8"/>
      <c r="AC2776" s="8"/>
      <c r="AD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c r="Z2777" s="8"/>
      <c r="AA2777" s="8"/>
      <c r="AB2777" s="8"/>
      <c r="AC2777" s="8"/>
      <c r="AD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c r="Z2778" s="8"/>
      <c r="AA2778" s="8"/>
      <c r="AB2778" s="8"/>
      <c r="AC2778" s="8"/>
      <c r="AD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c r="Z2779" s="8"/>
      <c r="AA2779" s="8"/>
      <c r="AB2779" s="8"/>
      <c r="AC2779" s="8"/>
      <c r="AD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c r="Z2780" s="8"/>
      <c r="AA2780" s="8"/>
      <c r="AB2780" s="8"/>
      <c r="AC2780" s="8"/>
      <c r="AD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c r="Z2781" s="8"/>
      <c r="AA2781" s="8"/>
      <c r="AB2781" s="8"/>
      <c r="AC2781" s="8"/>
      <c r="AD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c r="Z2782" s="8"/>
      <c r="AA2782" s="8"/>
      <c r="AB2782" s="8"/>
      <c r="AC2782" s="8"/>
      <c r="AD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c r="Z2783" s="8"/>
      <c r="AA2783" s="8"/>
      <c r="AB2783" s="8"/>
      <c r="AC2783" s="8"/>
      <c r="AD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c r="Z2784" s="8"/>
      <c r="AA2784" s="8"/>
      <c r="AB2784" s="8"/>
      <c r="AC2784" s="8"/>
      <c r="AD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c r="Z2785" s="8"/>
      <c r="AA2785" s="8"/>
      <c r="AB2785" s="8"/>
      <c r="AC2785" s="8"/>
      <c r="AD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c r="Z2786" s="8"/>
      <c r="AA2786" s="8"/>
      <c r="AB2786" s="8"/>
      <c r="AC2786" s="8"/>
      <c r="AD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c r="Z2787" s="8"/>
      <c r="AA2787" s="8"/>
      <c r="AB2787" s="8"/>
      <c r="AC2787" s="8"/>
      <c r="AD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c r="Z2788" s="8"/>
      <c r="AA2788" s="8"/>
      <c r="AB2788" s="8"/>
      <c r="AC2788" s="8"/>
      <c r="AD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c r="Z2789" s="8"/>
      <c r="AA2789" s="8"/>
      <c r="AB2789" s="8"/>
      <c r="AC2789" s="8"/>
      <c r="AD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c r="Z2790" s="8"/>
      <c r="AA2790" s="8"/>
      <c r="AB2790" s="8"/>
      <c r="AC2790" s="8"/>
      <c r="AD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c r="Z2791" s="8"/>
      <c r="AA2791" s="8"/>
      <c r="AB2791" s="8"/>
      <c r="AC2791" s="8"/>
      <c r="AD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c r="Z2792" s="8"/>
      <c r="AA2792" s="8"/>
      <c r="AB2792" s="8"/>
      <c r="AC2792" s="8"/>
      <c r="AD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c r="Z2793" s="8"/>
      <c r="AA2793" s="8"/>
      <c r="AB2793" s="8"/>
      <c r="AC2793" s="8"/>
      <c r="AD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c r="Z2794" s="8"/>
      <c r="AA2794" s="8"/>
      <c r="AB2794" s="8"/>
      <c r="AC2794" s="8"/>
      <c r="AD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c r="Z2795" s="8"/>
      <c r="AA2795" s="8"/>
      <c r="AB2795" s="8"/>
      <c r="AC2795" s="8"/>
      <c r="AD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c r="Z2796" s="8"/>
      <c r="AA2796" s="8"/>
      <c r="AB2796" s="8"/>
      <c r="AC2796" s="8"/>
      <c r="AD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c r="Z2797" s="8"/>
      <c r="AA2797" s="8"/>
      <c r="AB2797" s="8"/>
      <c r="AC2797" s="8"/>
      <c r="AD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c r="Z2798" s="8"/>
      <c r="AA2798" s="8"/>
      <c r="AB2798" s="8"/>
      <c r="AC2798" s="8"/>
      <c r="AD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c r="Z2799" s="8"/>
      <c r="AA2799" s="8"/>
      <c r="AB2799" s="8"/>
      <c r="AC2799" s="8"/>
      <c r="AD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c r="Z2800" s="8"/>
      <c r="AA2800" s="8"/>
      <c r="AB2800" s="8"/>
      <c r="AC2800" s="8"/>
      <c r="AD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c r="Z2801" s="8"/>
      <c r="AA2801" s="8"/>
      <c r="AB2801" s="8"/>
      <c r="AC2801" s="8"/>
      <c r="AD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c r="Z2802" s="8"/>
      <c r="AA2802" s="8"/>
      <c r="AB2802" s="8"/>
      <c r="AC2802" s="8"/>
      <c r="AD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c r="Z2803" s="8"/>
      <c r="AA2803" s="8"/>
      <c r="AB2803" s="8"/>
      <c r="AC2803" s="8"/>
      <c r="AD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c r="Z2804" s="8"/>
      <c r="AA2804" s="8"/>
      <c r="AB2804" s="8"/>
      <c r="AC2804" s="8"/>
      <c r="AD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c r="Z2805" s="8"/>
      <c r="AA2805" s="8"/>
      <c r="AB2805" s="8"/>
      <c r="AC2805" s="8"/>
      <c r="AD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c r="Z2806" s="8"/>
      <c r="AA2806" s="8"/>
      <c r="AB2806" s="8"/>
      <c r="AC2806" s="8"/>
      <c r="AD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c r="Z2807" s="8"/>
      <c r="AA2807" s="8"/>
      <c r="AB2807" s="8"/>
      <c r="AC2807" s="8"/>
      <c r="AD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c r="Z2808" s="8"/>
      <c r="AA2808" s="8"/>
      <c r="AB2808" s="8"/>
      <c r="AC2808" s="8"/>
      <c r="AD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c r="Z2809" s="8"/>
      <c r="AA2809" s="8"/>
      <c r="AB2809" s="8"/>
      <c r="AC2809" s="8"/>
      <c r="AD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c r="Z2810" s="8"/>
      <c r="AA2810" s="8"/>
      <c r="AB2810" s="8"/>
      <c r="AC2810" s="8"/>
      <c r="AD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c r="Z2811" s="8"/>
      <c r="AA2811" s="8"/>
      <c r="AB2811" s="8"/>
      <c r="AC2811" s="8"/>
      <c r="AD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c r="Z2812" s="8"/>
      <c r="AA2812" s="8"/>
      <c r="AB2812" s="8"/>
      <c r="AC2812" s="8"/>
      <c r="AD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c r="Z2813" s="8"/>
      <c r="AA2813" s="8"/>
      <c r="AB2813" s="8"/>
      <c r="AC2813" s="8"/>
      <c r="AD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c r="Z2814" s="8"/>
      <c r="AA2814" s="8"/>
      <c r="AB2814" s="8"/>
      <c r="AC2814" s="8"/>
      <c r="AD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c r="Z2815" s="8"/>
      <c r="AA2815" s="8"/>
      <c r="AB2815" s="8"/>
      <c r="AC2815" s="8"/>
      <c r="AD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c r="Z2816" s="8"/>
      <c r="AA2816" s="8"/>
      <c r="AB2816" s="8"/>
      <c r="AC2816" s="8"/>
      <c r="AD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c r="Z2817" s="8"/>
      <c r="AA2817" s="8"/>
      <c r="AB2817" s="8"/>
      <c r="AC2817" s="8"/>
      <c r="AD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c r="Z2818" s="8"/>
      <c r="AA2818" s="8"/>
      <c r="AB2818" s="8"/>
      <c r="AC2818" s="8"/>
      <c r="AD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c r="Z2819" s="8"/>
      <c r="AA2819" s="8"/>
      <c r="AB2819" s="8"/>
      <c r="AC2819" s="8"/>
      <c r="AD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c r="Z2820" s="8"/>
      <c r="AA2820" s="8"/>
      <c r="AB2820" s="8"/>
      <c r="AC2820" s="8"/>
      <c r="AD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c r="Z2821" s="8"/>
      <c r="AA2821" s="8"/>
      <c r="AB2821" s="8"/>
      <c r="AC2821" s="8"/>
      <c r="AD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c r="Z2822" s="8"/>
      <c r="AA2822" s="8"/>
      <c r="AB2822" s="8"/>
      <c r="AC2822" s="8"/>
      <c r="AD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c r="Z2823" s="8"/>
      <c r="AA2823" s="8"/>
      <c r="AB2823" s="8"/>
      <c r="AC2823" s="8"/>
      <c r="AD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c r="Z2824" s="8"/>
      <c r="AA2824" s="8"/>
      <c r="AB2824" s="8"/>
      <c r="AC2824" s="8"/>
      <c r="AD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c r="Z2825" s="8"/>
      <c r="AA2825" s="8"/>
      <c r="AB2825" s="8"/>
      <c r="AC2825" s="8"/>
      <c r="AD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c r="Z2826" s="8"/>
      <c r="AA2826" s="8"/>
      <c r="AB2826" s="8"/>
      <c r="AC2826" s="8"/>
      <c r="AD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c r="Z2827" s="8"/>
      <c r="AA2827" s="8"/>
      <c r="AB2827" s="8"/>
      <c r="AC2827" s="8"/>
      <c r="AD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c r="Z2828" s="8"/>
      <c r="AA2828" s="8"/>
      <c r="AB2828" s="8"/>
      <c r="AC2828" s="8"/>
      <c r="AD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c r="Z2829" s="8"/>
      <c r="AA2829" s="8"/>
      <c r="AB2829" s="8"/>
      <c r="AC2829" s="8"/>
      <c r="AD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c r="Z2830" s="8"/>
      <c r="AA2830" s="8"/>
      <c r="AB2830" s="8"/>
      <c r="AC2830" s="8"/>
      <c r="AD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c r="Z2831" s="8"/>
      <c r="AA2831" s="8"/>
      <c r="AB2831" s="8"/>
      <c r="AC2831" s="8"/>
      <c r="AD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c r="Z2832" s="8"/>
      <c r="AA2832" s="8"/>
      <c r="AB2832" s="8"/>
      <c r="AC2832" s="8"/>
      <c r="AD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c r="Z2833" s="8"/>
      <c r="AA2833" s="8"/>
      <c r="AB2833" s="8"/>
      <c r="AC2833" s="8"/>
      <c r="AD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c r="Z2834" s="8"/>
      <c r="AA2834" s="8"/>
      <c r="AB2834" s="8"/>
      <c r="AC2834" s="8"/>
      <c r="AD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c r="Z2835" s="8"/>
      <c r="AA2835" s="8"/>
      <c r="AB2835" s="8"/>
      <c r="AC2835" s="8"/>
      <c r="AD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c r="Z2836" s="8"/>
      <c r="AA2836" s="8"/>
      <c r="AB2836" s="8"/>
      <c r="AC2836" s="8"/>
      <c r="AD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c r="Z2837" s="8"/>
      <c r="AA2837" s="8"/>
      <c r="AB2837" s="8"/>
      <c r="AC2837" s="8"/>
      <c r="AD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c r="Z2838" s="8"/>
      <c r="AA2838" s="8"/>
      <c r="AB2838" s="8"/>
      <c r="AC2838" s="8"/>
      <c r="AD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c r="Z2839" s="8"/>
      <c r="AA2839" s="8"/>
      <c r="AB2839" s="8"/>
      <c r="AC2839" s="8"/>
      <c r="AD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c r="Z2840" s="8"/>
      <c r="AA2840" s="8"/>
      <c r="AB2840" s="8"/>
      <c r="AC2840" s="8"/>
      <c r="AD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c r="Z2841" s="8"/>
      <c r="AA2841" s="8"/>
      <c r="AB2841" s="8"/>
      <c r="AC2841" s="8"/>
      <c r="AD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c r="Z2842" s="8"/>
      <c r="AA2842" s="8"/>
      <c r="AB2842" s="8"/>
      <c r="AC2842" s="8"/>
      <c r="AD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c r="Z2843" s="8"/>
      <c r="AA2843" s="8"/>
      <c r="AB2843" s="8"/>
      <c r="AC2843" s="8"/>
      <c r="AD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c r="Z2844" s="8"/>
      <c r="AA2844" s="8"/>
      <c r="AB2844" s="8"/>
      <c r="AC2844" s="8"/>
      <c r="AD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c r="Z2845" s="8"/>
      <c r="AA2845" s="8"/>
      <c r="AB2845" s="8"/>
      <c r="AC2845" s="8"/>
      <c r="AD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c r="Z2846" s="8"/>
      <c r="AA2846" s="8"/>
      <c r="AB2846" s="8"/>
      <c r="AC2846" s="8"/>
      <c r="AD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c r="Z2847" s="8"/>
      <c r="AA2847" s="8"/>
      <c r="AB2847" s="8"/>
      <c r="AC2847" s="8"/>
      <c r="AD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c r="Z2848" s="8"/>
      <c r="AA2848" s="8"/>
      <c r="AB2848" s="8"/>
      <c r="AC2848" s="8"/>
      <c r="AD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c r="Z2849" s="8"/>
      <c r="AA2849" s="8"/>
      <c r="AB2849" s="8"/>
      <c r="AC2849" s="8"/>
      <c r="AD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c r="Z2850" s="8"/>
      <c r="AA2850" s="8"/>
      <c r="AB2850" s="8"/>
      <c r="AC2850" s="8"/>
      <c r="AD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c r="Z2851" s="8"/>
      <c r="AA2851" s="8"/>
      <c r="AB2851" s="8"/>
      <c r="AC2851" s="8"/>
      <c r="AD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c r="Z2852" s="8"/>
      <c r="AA2852" s="8"/>
      <c r="AB2852" s="8"/>
      <c r="AC2852" s="8"/>
      <c r="AD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c r="Z2853" s="8"/>
      <c r="AA2853" s="8"/>
      <c r="AB2853" s="8"/>
      <c r="AC2853" s="8"/>
      <c r="AD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c r="Z2854" s="8"/>
      <c r="AA2854" s="8"/>
      <c r="AB2854" s="8"/>
      <c r="AC2854" s="8"/>
      <c r="AD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c r="Z2855" s="8"/>
      <c r="AA2855" s="8"/>
      <c r="AB2855" s="8"/>
      <c r="AC2855" s="8"/>
      <c r="AD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c r="Z2856" s="8"/>
      <c r="AA2856" s="8"/>
      <c r="AB2856" s="8"/>
      <c r="AC2856" s="8"/>
      <c r="AD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c r="Z2857" s="8"/>
      <c r="AA2857" s="8"/>
      <c r="AB2857" s="8"/>
      <c r="AC2857" s="8"/>
      <c r="AD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c r="Z2858" s="8"/>
      <c r="AA2858" s="8"/>
      <c r="AB2858" s="8"/>
      <c r="AC2858" s="8"/>
      <c r="AD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c r="Z2859" s="8"/>
      <c r="AA2859" s="8"/>
      <c r="AB2859" s="8"/>
      <c r="AC2859" s="8"/>
      <c r="AD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c r="Z2860" s="8"/>
      <c r="AA2860" s="8"/>
      <c r="AB2860" s="8"/>
      <c r="AC2860" s="8"/>
      <c r="AD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c r="Z2861" s="8"/>
      <c r="AA2861" s="8"/>
      <c r="AB2861" s="8"/>
      <c r="AC2861" s="8"/>
      <c r="AD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c r="Z2862" s="8"/>
      <c r="AA2862" s="8"/>
      <c r="AB2862" s="8"/>
      <c r="AC2862" s="8"/>
      <c r="AD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c r="Z2863" s="8"/>
      <c r="AA2863" s="8"/>
      <c r="AB2863" s="8"/>
      <c r="AC2863" s="8"/>
      <c r="AD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c r="Z2864" s="8"/>
      <c r="AA2864" s="8"/>
      <c r="AB2864" s="8"/>
      <c r="AC2864" s="8"/>
      <c r="AD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c r="Z2865" s="8"/>
      <c r="AA2865" s="8"/>
      <c r="AB2865" s="8"/>
      <c r="AC2865" s="8"/>
      <c r="AD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c r="Z2866" s="8"/>
      <c r="AA2866" s="8"/>
      <c r="AB2866" s="8"/>
      <c r="AC2866" s="8"/>
      <c r="AD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c r="Z2867" s="8"/>
      <c r="AA2867" s="8"/>
      <c r="AB2867" s="8"/>
      <c r="AC2867" s="8"/>
      <c r="AD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c r="Z2868" s="8"/>
      <c r="AA2868" s="8"/>
      <c r="AB2868" s="8"/>
      <c r="AC2868" s="8"/>
      <c r="AD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c r="Z2869" s="8"/>
      <c r="AA2869" s="8"/>
      <c r="AB2869" s="8"/>
      <c r="AC2869" s="8"/>
      <c r="AD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c r="Z2870" s="8"/>
      <c r="AA2870" s="8"/>
      <c r="AB2870" s="8"/>
      <c r="AC2870" s="8"/>
      <c r="AD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c r="Z2871" s="8"/>
      <c r="AA2871" s="8"/>
      <c r="AB2871" s="8"/>
      <c r="AC2871" s="8"/>
      <c r="AD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c r="Z2872" s="8"/>
      <c r="AA2872" s="8"/>
      <c r="AB2872" s="8"/>
      <c r="AC2872" s="8"/>
      <c r="AD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c r="Z2873" s="8"/>
      <c r="AA2873" s="8"/>
      <c r="AB2873" s="8"/>
      <c r="AC2873" s="8"/>
      <c r="AD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c r="Z2874" s="8"/>
      <c r="AA2874" s="8"/>
      <c r="AB2874" s="8"/>
      <c r="AC2874" s="8"/>
      <c r="AD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c r="Z2875" s="8"/>
      <c r="AA2875" s="8"/>
      <c r="AB2875" s="8"/>
      <c r="AC2875" s="8"/>
      <c r="AD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c r="Z2876" s="8"/>
      <c r="AA2876" s="8"/>
      <c r="AB2876" s="8"/>
      <c r="AC2876" s="8"/>
      <c r="AD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c r="Z2877" s="8"/>
      <c r="AA2877" s="8"/>
      <c r="AB2877" s="8"/>
      <c r="AC2877" s="8"/>
      <c r="AD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c r="Z2878" s="8"/>
      <c r="AA2878" s="8"/>
      <c r="AB2878" s="8"/>
      <c r="AC2878" s="8"/>
      <c r="AD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c r="Z2879" s="8"/>
      <c r="AA2879" s="8"/>
      <c r="AB2879" s="8"/>
      <c r="AC2879" s="8"/>
      <c r="AD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c r="Z2880" s="8"/>
      <c r="AA2880" s="8"/>
      <c r="AB2880" s="8"/>
      <c r="AC2880" s="8"/>
      <c r="AD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c r="Z2881" s="8"/>
      <c r="AA2881" s="8"/>
      <c r="AB2881" s="8"/>
      <c r="AC2881" s="8"/>
      <c r="AD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c r="Z2882" s="8"/>
      <c r="AA2882" s="8"/>
      <c r="AB2882" s="8"/>
      <c r="AC2882" s="8"/>
      <c r="AD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c r="Z2883" s="8"/>
      <c r="AA2883" s="8"/>
      <c r="AB2883" s="8"/>
      <c r="AC2883" s="8"/>
      <c r="AD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c r="Z2884" s="8"/>
      <c r="AA2884" s="8"/>
      <c r="AB2884" s="8"/>
      <c r="AC2884" s="8"/>
      <c r="AD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c r="Z2885" s="8"/>
      <c r="AA2885" s="8"/>
      <c r="AB2885" s="8"/>
      <c r="AC2885" s="8"/>
      <c r="AD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c r="Z2886" s="8"/>
      <c r="AA2886" s="8"/>
      <c r="AB2886" s="8"/>
      <c r="AC2886" s="8"/>
      <c r="AD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c r="Z2887" s="8"/>
      <c r="AA2887" s="8"/>
      <c r="AB2887" s="8"/>
      <c r="AC2887" s="8"/>
      <c r="AD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c r="Z2888" s="8"/>
      <c r="AA2888" s="8"/>
      <c r="AB2888" s="8"/>
      <c r="AC2888" s="8"/>
      <c r="AD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c r="Z2889" s="8"/>
      <c r="AA2889" s="8"/>
      <c r="AB2889" s="8"/>
      <c r="AC2889" s="8"/>
      <c r="AD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c r="Z2890" s="8"/>
      <c r="AA2890" s="8"/>
      <c r="AB2890" s="8"/>
      <c r="AC2890" s="8"/>
      <c r="AD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c r="Z2891" s="8"/>
      <c r="AA2891" s="8"/>
      <c r="AB2891" s="8"/>
      <c r="AC2891" s="8"/>
      <c r="AD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c r="Z2892" s="8"/>
      <c r="AA2892" s="8"/>
      <c r="AB2892" s="8"/>
      <c r="AC2892" s="8"/>
      <c r="AD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c r="Z2893" s="8"/>
      <c r="AA2893" s="8"/>
      <c r="AB2893" s="8"/>
      <c r="AC2893" s="8"/>
      <c r="AD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c r="Z2894" s="8"/>
      <c r="AA2894" s="8"/>
      <c r="AB2894" s="8"/>
      <c r="AC2894" s="8"/>
      <c r="AD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c r="Z2895" s="8"/>
      <c r="AA2895" s="8"/>
      <c r="AB2895" s="8"/>
      <c r="AC2895" s="8"/>
      <c r="AD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c r="Z2896" s="8"/>
      <c r="AA2896" s="8"/>
      <c r="AB2896" s="8"/>
      <c r="AC2896" s="8"/>
      <c r="AD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c r="Z2897" s="8"/>
      <c r="AA2897" s="8"/>
      <c r="AB2897" s="8"/>
      <c r="AC2897" s="8"/>
      <c r="AD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c r="Z2898" s="8"/>
      <c r="AA2898" s="8"/>
      <c r="AB2898" s="8"/>
      <c r="AC2898" s="8"/>
      <c r="AD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c r="Z2899" s="8"/>
      <c r="AA2899" s="8"/>
      <c r="AB2899" s="8"/>
      <c r="AC2899" s="8"/>
      <c r="AD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c r="Z2900" s="8"/>
      <c r="AA2900" s="8"/>
      <c r="AB2900" s="8"/>
      <c r="AC2900" s="8"/>
      <c r="AD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c r="Z2901" s="8"/>
      <c r="AA2901" s="8"/>
      <c r="AB2901" s="8"/>
      <c r="AC2901" s="8"/>
      <c r="AD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c r="Z2902" s="8"/>
      <c r="AA2902" s="8"/>
      <c r="AB2902" s="8"/>
      <c r="AC2902" s="8"/>
      <c r="AD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c r="Z2903" s="8"/>
      <c r="AA2903" s="8"/>
      <c r="AB2903" s="8"/>
      <c r="AC2903" s="8"/>
      <c r="AD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c r="Z2904" s="8"/>
      <c r="AA2904" s="8"/>
      <c r="AB2904" s="8"/>
      <c r="AC2904" s="8"/>
      <c r="AD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c r="Z2905" s="8"/>
      <c r="AA2905" s="8"/>
      <c r="AB2905" s="8"/>
      <c r="AC2905" s="8"/>
      <c r="AD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c r="Z2906" s="8"/>
      <c r="AA2906" s="8"/>
      <c r="AB2906" s="8"/>
      <c r="AC2906" s="8"/>
      <c r="AD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c r="Z2907" s="8"/>
      <c r="AA2907" s="8"/>
      <c r="AB2907" s="8"/>
      <c r="AC2907" s="8"/>
      <c r="AD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c r="Z2908" s="8"/>
      <c r="AA2908" s="8"/>
      <c r="AB2908" s="8"/>
      <c r="AC2908" s="8"/>
      <c r="AD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c r="Z2909" s="8"/>
      <c r="AA2909" s="8"/>
      <c r="AB2909" s="8"/>
      <c r="AC2909" s="8"/>
      <c r="AD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c r="Z2910" s="8"/>
      <c r="AA2910" s="8"/>
      <c r="AB2910" s="8"/>
      <c r="AC2910" s="8"/>
      <c r="AD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c r="Z2911" s="8"/>
      <c r="AA2911" s="8"/>
      <c r="AB2911" s="8"/>
      <c r="AC2911" s="8"/>
      <c r="AD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c r="Z2912" s="8"/>
      <c r="AA2912" s="8"/>
      <c r="AB2912" s="8"/>
      <c r="AC2912" s="8"/>
      <c r="AD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c r="Z2913" s="8"/>
      <c r="AA2913" s="8"/>
      <c r="AB2913" s="8"/>
      <c r="AC2913" s="8"/>
      <c r="AD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c r="Z2914" s="8"/>
      <c r="AA2914" s="8"/>
      <c r="AB2914" s="8"/>
      <c r="AC2914" s="8"/>
      <c r="AD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c r="Z2915" s="8"/>
      <c r="AA2915" s="8"/>
      <c r="AB2915" s="8"/>
      <c r="AC2915" s="8"/>
      <c r="AD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c r="Z2916" s="8"/>
      <c r="AA2916" s="8"/>
      <c r="AB2916" s="8"/>
      <c r="AC2916" s="8"/>
      <c r="AD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c r="Z2917" s="8"/>
      <c r="AA2917" s="8"/>
      <c r="AB2917" s="8"/>
      <c r="AC2917" s="8"/>
      <c r="AD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c r="Z2918" s="8"/>
      <c r="AA2918" s="8"/>
      <c r="AB2918" s="8"/>
      <c r="AC2918" s="8"/>
      <c r="AD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c r="Z2919" s="8"/>
      <c r="AA2919" s="8"/>
      <c r="AB2919" s="8"/>
      <c r="AC2919" s="8"/>
      <c r="AD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c r="Z2920" s="8"/>
      <c r="AA2920" s="8"/>
      <c r="AB2920" s="8"/>
      <c r="AC2920" s="8"/>
      <c r="AD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c r="Z2921" s="8"/>
      <c r="AA2921" s="8"/>
      <c r="AB2921" s="8"/>
      <c r="AC2921" s="8"/>
      <c r="AD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c r="Z2922" s="8"/>
      <c r="AA2922" s="8"/>
      <c r="AB2922" s="8"/>
      <c r="AC2922" s="8"/>
      <c r="AD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c r="Z2923" s="8"/>
      <c r="AA2923" s="8"/>
      <c r="AB2923" s="8"/>
      <c r="AC2923" s="8"/>
      <c r="AD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c r="Z2924" s="8"/>
      <c r="AA2924" s="8"/>
      <c r="AB2924" s="8"/>
      <c r="AC2924" s="8"/>
      <c r="AD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c r="Z2925" s="8"/>
      <c r="AA2925" s="8"/>
      <c r="AB2925" s="8"/>
      <c r="AC2925" s="8"/>
      <c r="AD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c r="Z2926" s="8"/>
      <c r="AA2926" s="8"/>
      <c r="AB2926" s="8"/>
      <c r="AC2926" s="8"/>
      <c r="AD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c r="Z2927" s="8"/>
      <c r="AA2927" s="8"/>
      <c r="AB2927" s="8"/>
      <c r="AC2927" s="8"/>
      <c r="AD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c r="Z2928" s="8"/>
      <c r="AA2928" s="8"/>
      <c r="AB2928" s="8"/>
      <c r="AC2928" s="8"/>
      <c r="AD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c r="Z2929" s="8"/>
      <c r="AA2929" s="8"/>
      <c r="AB2929" s="8"/>
      <c r="AC2929" s="8"/>
      <c r="AD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c r="Z2930" s="8"/>
      <c r="AA2930" s="8"/>
      <c r="AB2930" s="8"/>
      <c r="AC2930" s="8"/>
      <c r="AD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c r="Z2931" s="8"/>
      <c r="AA2931" s="8"/>
      <c r="AB2931" s="8"/>
      <c r="AC2931" s="8"/>
      <c r="AD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c r="Z2932" s="8"/>
      <c r="AA2932" s="8"/>
      <c r="AB2932" s="8"/>
      <c r="AC2932" s="8"/>
      <c r="AD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c r="Z2933" s="8"/>
      <c r="AA2933" s="8"/>
      <c r="AB2933" s="8"/>
      <c r="AC2933" s="8"/>
      <c r="AD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c r="Z2934" s="8"/>
      <c r="AA2934" s="8"/>
      <c r="AB2934" s="8"/>
      <c r="AC2934" s="8"/>
      <c r="AD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c r="Z2935" s="8"/>
      <c r="AA2935" s="8"/>
      <c r="AB2935" s="8"/>
      <c r="AC2935" s="8"/>
      <c r="AD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c r="Z2936" s="8"/>
      <c r="AA2936" s="8"/>
      <c r="AB2936" s="8"/>
      <c r="AC2936" s="8"/>
      <c r="AD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c r="Z2937" s="8"/>
      <c r="AA2937" s="8"/>
      <c r="AB2937" s="8"/>
      <c r="AC2937" s="8"/>
      <c r="AD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c r="Z2938" s="8"/>
      <c r="AA2938" s="8"/>
      <c r="AB2938" s="8"/>
      <c r="AC2938" s="8"/>
      <c r="AD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c r="Z2939" s="8"/>
      <c r="AA2939" s="8"/>
      <c r="AB2939" s="8"/>
      <c r="AC2939" s="8"/>
      <c r="AD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c r="Z2940" s="8"/>
      <c r="AA2940" s="8"/>
      <c r="AB2940" s="8"/>
      <c r="AC2940" s="8"/>
      <c r="AD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c r="Z2941" s="8"/>
      <c r="AA2941" s="8"/>
      <c r="AB2941" s="8"/>
      <c r="AC2941" s="8"/>
      <c r="AD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c r="Z2942" s="8"/>
      <c r="AA2942" s="8"/>
      <c r="AB2942" s="8"/>
      <c r="AC2942" s="8"/>
      <c r="AD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c r="Z2943" s="8"/>
      <c r="AA2943" s="8"/>
      <c r="AB2943" s="8"/>
      <c r="AC2943" s="8"/>
      <c r="AD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c r="Z2944" s="8"/>
      <c r="AA2944" s="8"/>
      <c r="AB2944" s="8"/>
      <c r="AC2944" s="8"/>
      <c r="AD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c r="Z2945" s="8"/>
      <c r="AA2945" s="8"/>
      <c r="AB2945" s="8"/>
      <c r="AC2945" s="8"/>
      <c r="AD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c r="Z2946" s="8"/>
      <c r="AA2946" s="8"/>
      <c r="AB2946" s="8"/>
      <c r="AC2946" s="8"/>
      <c r="AD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c r="Z2947" s="8"/>
      <c r="AA2947" s="8"/>
      <c r="AB2947" s="8"/>
      <c r="AC2947" s="8"/>
      <c r="AD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c r="Z2948" s="8"/>
      <c r="AA2948" s="8"/>
      <c r="AB2948" s="8"/>
      <c r="AC2948" s="8"/>
      <c r="AD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c r="Z2949" s="8"/>
      <c r="AA2949" s="8"/>
      <c r="AB2949" s="8"/>
      <c r="AC2949" s="8"/>
      <c r="AD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c r="Z2950" s="8"/>
      <c r="AA2950" s="8"/>
      <c r="AB2950" s="8"/>
      <c r="AC2950" s="8"/>
      <c r="AD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c r="Z2951" s="8"/>
      <c r="AA2951" s="8"/>
      <c r="AB2951" s="8"/>
      <c r="AC2951" s="8"/>
      <c r="AD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c r="Z2952" s="8"/>
      <c r="AA2952" s="8"/>
      <c r="AB2952" s="8"/>
      <c r="AC2952" s="8"/>
      <c r="AD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c r="Z2953" s="8"/>
      <c r="AA2953" s="8"/>
      <c r="AB2953" s="8"/>
      <c r="AC2953" s="8"/>
      <c r="AD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c r="Z2954" s="8"/>
      <c r="AA2954" s="8"/>
      <c r="AB2954" s="8"/>
      <c r="AC2954" s="8"/>
      <c r="AD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c r="Z2955" s="8"/>
      <c r="AA2955" s="8"/>
      <c r="AB2955" s="8"/>
      <c r="AC2955" s="8"/>
      <c r="AD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c r="Z2956" s="8"/>
      <c r="AA2956" s="8"/>
      <c r="AB2956" s="8"/>
      <c r="AC2956" s="8"/>
      <c r="AD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c r="Z2957" s="8"/>
      <c r="AA2957" s="8"/>
      <c r="AB2957" s="8"/>
      <c r="AC2957" s="8"/>
      <c r="AD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c r="Z2958" s="8"/>
      <c r="AA2958" s="8"/>
      <c r="AB2958" s="8"/>
      <c r="AC2958" s="8"/>
      <c r="AD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c r="Z2959" s="8"/>
      <c r="AA2959" s="8"/>
      <c r="AB2959" s="8"/>
      <c r="AC2959" s="8"/>
      <c r="AD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c r="Z2960" s="8"/>
      <c r="AA2960" s="8"/>
      <c r="AB2960" s="8"/>
      <c r="AC2960" s="8"/>
      <c r="AD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c r="Z2961" s="8"/>
      <c r="AA2961" s="8"/>
      <c r="AB2961" s="8"/>
      <c r="AC2961" s="8"/>
      <c r="AD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c r="Z2962" s="8"/>
      <c r="AA2962" s="8"/>
      <c r="AB2962" s="8"/>
      <c r="AC2962" s="8"/>
      <c r="AD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c r="Z2963" s="8"/>
      <c r="AA2963" s="8"/>
      <c r="AB2963" s="8"/>
      <c r="AC2963" s="8"/>
      <c r="AD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c r="Z2964" s="8"/>
      <c r="AA2964" s="8"/>
      <c r="AB2964" s="8"/>
      <c r="AC2964" s="8"/>
      <c r="AD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c r="Z2965" s="8"/>
      <c r="AA2965" s="8"/>
      <c r="AB2965" s="8"/>
      <c r="AC2965" s="8"/>
      <c r="AD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c r="Z2966" s="8"/>
      <c r="AA2966" s="8"/>
      <c r="AB2966" s="8"/>
      <c r="AC2966" s="8"/>
      <c r="AD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c r="Z2967" s="8"/>
      <c r="AA2967" s="8"/>
      <c r="AB2967" s="8"/>
      <c r="AC2967" s="8"/>
      <c r="AD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c r="Z2968" s="8"/>
      <c r="AA2968" s="8"/>
      <c r="AB2968" s="8"/>
      <c r="AC2968" s="8"/>
      <c r="AD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c r="Z2969" s="8"/>
      <c r="AA2969" s="8"/>
      <c r="AB2969" s="8"/>
      <c r="AC2969" s="8"/>
      <c r="AD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c r="Z2970" s="8"/>
      <c r="AA2970" s="8"/>
      <c r="AB2970" s="8"/>
      <c r="AC2970" s="8"/>
      <c r="AD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c r="Z2971" s="8"/>
      <c r="AA2971" s="8"/>
      <c r="AB2971" s="8"/>
      <c r="AC2971" s="8"/>
      <c r="AD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c r="Z2972" s="8"/>
      <c r="AA2972" s="8"/>
      <c r="AB2972" s="8"/>
      <c r="AC2972" s="8"/>
      <c r="AD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c r="Z2973" s="8"/>
      <c r="AA2973" s="8"/>
      <c r="AB2973" s="8"/>
      <c r="AC2973" s="8"/>
      <c r="AD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c r="Z2974" s="8"/>
      <c r="AA2974" s="8"/>
      <c r="AB2974" s="8"/>
      <c r="AC2974" s="8"/>
      <c r="AD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c r="Z2975" s="8"/>
      <c r="AA2975" s="8"/>
      <c r="AB2975" s="8"/>
      <c r="AC2975" s="8"/>
      <c r="AD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c r="Z2976" s="8"/>
      <c r="AA2976" s="8"/>
      <c r="AB2976" s="8"/>
      <c r="AC2976" s="8"/>
      <c r="AD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c r="Z2977" s="8"/>
      <c r="AA2977" s="8"/>
      <c r="AB2977" s="8"/>
      <c r="AC2977" s="8"/>
      <c r="AD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c r="Z2978" s="8"/>
      <c r="AA2978" s="8"/>
      <c r="AB2978" s="8"/>
      <c r="AC2978" s="8"/>
      <c r="AD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c r="Z2979" s="8"/>
      <c r="AA2979" s="8"/>
      <c r="AB2979" s="8"/>
      <c r="AC2979" s="8"/>
      <c r="AD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c r="Z2980" s="8"/>
      <c r="AA2980" s="8"/>
      <c r="AB2980" s="8"/>
      <c r="AC2980" s="8"/>
      <c r="AD2980" s="8"/>
    </row>
    <row r="2981">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c r="Z2981" s="8"/>
      <c r="AA2981" s="8"/>
      <c r="AB2981" s="8"/>
      <c r="AC2981" s="8"/>
      <c r="AD2981" s="8"/>
    </row>
    <row r="2982">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c r="Z2982" s="8"/>
      <c r="AA2982" s="8"/>
      <c r="AB2982" s="8"/>
      <c r="AC2982" s="8"/>
      <c r="AD2982" s="8"/>
    </row>
    <row r="2983">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c r="Z2983" s="8"/>
      <c r="AA2983" s="8"/>
      <c r="AB2983" s="8"/>
      <c r="AC2983" s="8"/>
      <c r="AD2983" s="8"/>
    </row>
    <row r="2984">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c r="Z2984" s="8"/>
      <c r="AA2984" s="8"/>
      <c r="AB2984" s="8"/>
      <c r="AC2984" s="8"/>
      <c r="AD2984" s="8"/>
    </row>
    <row r="298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c r="Z2985" s="8"/>
      <c r="AA2985" s="8"/>
      <c r="AB2985" s="8"/>
      <c r="AC2985" s="8"/>
      <c r="AD2985" s="8"/>
    </row>
    <row r="2986">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c r="Z2986" s="8"/>
      <c r="AA2986" s="8"/>
      <c r="AB2986" s="8"/>
      <c r="AC2986" s="8"/>
      <c r="AD2986" s="8"/>
    </row>
    <row r="2987">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c r="Z2987" s="8"/>
      <c r="AA2987" s="8"/>
      <c r="AB2987" s="8"/>
      <c r="AC2987" s="8"/>
      <c r="AD2987" s="8"/>
    </row>
    <row r="2988">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c r="Z2988" s="8"/>
      <c r="AA2988" s="8"/>
      <c r="AB2988" s="8"/>
      <c r="AC2988" s="8"/>
      <c r="AD2988" s="8"/>
    </row>
    <row r="2989">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c r="Z2989" s="8"/>
      <c r="AA2989" s="8"/>
      <c r="AB2989" s="8"/>
      <c r="AC2989" s="8"/>
      <c r="AD2989" s="8"/>
    </row>
    <row r="2990">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c r="Z2990" s="8"/>
      <c r="AA2990" s="8"/>
      <c r="AB2990" s="8"/>
      <c r="AC2990" s="8"/>
      <c r="AD2990" s="8"/>
    </row>
    <row r="2991">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c r="Z2991" s="8"/>
      <c r="AA2991" s="8"/>
      <c r="AB2991" s="8"/>
      <c r="AC2991" s="8"/>
      <c r="AD2991" s="8"/>
    </row>
    <row r="2992">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c r="Z2992" s="8"/>
      <c r="AA2992" s="8"/>
      <c r="AB2992" s="8"/>
      <c r="AC2992" s="8"/>
      <c r="AD2992" s="8"/>
    </row>
    <row r="2993">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c r="Z2993" s="8"/>
      <c r="AA2993" s="8"/>
      <c r="AB2993" s="8"/>
      <c r="AC2993" s="8"/>
      <c r="AD2993" s="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43"/>
    <col customWidth="1" min="2" max="2" width="22.0"/>
    <col customWidth="1" min="3" max="3" width="16.86"/>
    <col customWidth="1" min="4" max="4" width="19.71"/>
    <col customWidth="1" min="5" max="5" width="13.71"/>
    <col customWidth="1" min="6" max="6" width="21.71"/>
    <col customWidth="1" min="7" max="7" width="17.57"/>
    <col customWidth="1" min="8" max="8" width="22.86"/>
    <col customWidth="1" min="9" max="9" width="17.71"/>
    <col customWidth="1" min="10" max="10" width="29.71"/>
    <col customWidth="1" min="11" max="11" width="37.57"/>
    <col customWidth="1" min="13" max="13" width="25.86"/>
    <col customWidth="1" min="14" max="14" width="23.43"/>
  </cols>
  <sheetData>
    <row r="1">
      <c r="A1" s="16" t="str">
        <f>IFERROR(__xludf.DUMMYFUNCTION("query('Data Cleaning'!S1:AC2493)"),"Order_ID")</f>
        <v>Order_ID</v>
      </c>
      <c r="B1" s="16" t="str">
        <f>IFERROR(__xludf.DUMMYFUNCTION("""COMPUTED_VALUE"""),"Customer_Name")</f>
        <v>Customer_Name</v>
      </c>
      <c r="C1" s="16" t="str">
        <f>IFERROR(__xludf.DUMMYFUNCTION("""COMPUTED_VALUE"""),"Dark_Store")</f>
        <v>Dark_Store</v>
      </c>
      <c r="D1" s="16" t="str">
        <f>IFERROR(__xludf.DUMMYFUNCTION("""COMPUTED_VALUE"""),"Item")</f>
        <v>Item</v>
      </c>
      <c r="E1" s="16" t="str">
        <f>IFERROR(__xludf.DUMMYFUNCTION("""COMPUTED_VALUE"""),"Quantity")</f>
        <v>Quantity</v>
      </c>
      <c r="F1" s="16" t="str">
        <f>IFERROR(__xludf.DUMMYFUNCTION("""COMPUTED_VALUE"""),"Delievery_Agents")</f>
        <v>Delievery_Agents</v>
      </c>
      <c r="G1" s="16" t="str">
        <f>IFERROR(__xludf.DUMMYFUNCTION("""COMPUTED_VALUE"""),"Order_Date")</f>
        <v>Order_Date</v>
      </c>
      <c r="H1" s="16" t="str">
        <f>IFERROR(__xludf.DUMMYFUNCTION("""COMPUTED_VALUE"""),"Payment_Method")</f>
        <v>Payment_Method</v>
      </c>
      <c r="I1" s="16" t="str">
        <f>IFERROR(__xludf.DUMMYFUNCTION("""COMPUTED_VALUE"""),"Order_Status")</f>
        <v>Order_Status</v>
      </c>
      <c r="J1" s="16" t="str">
        <f>IFERROR(__xludf.DUMMYFUNCTION("""COMPUTED_VALUE"""),"Feedback")</f>
        <v>Feedback</v>
      </c>
      <c r="K1" s="16" t="str">
        <f>IFERROR(__xludf.DUMMYFUNCTION("""COMPUTED_VALUE"""),"Reason")</f>
        <v>Reason</v>
      </c>
      <c r="L1" s="16" t="s">
        <v>2553</v>
      </c>
      <c r="M1" s="16" t="s">
        <v>2554</v>
      </c>
      <c r="N1" s="16" t="s">
        <v>2555</v>
      </c>
      <c r="O1" s="17"/>
      <c r="P1" s="17"/>
      <c r="Q1" s="17"/>
      <c r="R1" s="17"/>
      <c r="S1" s="17"/>
      <c r="T1" s="17"/>
      <c r="U1" s="17"/>
      <c r="V1" s="17"/>
      <c r="W1" s="17"/>
      <c r="X1" s="17"/>
      <c r="Y1" s="17"/>
      <c r="Z1" s="17"/>
    </row>
    <row r="2">
      <c r="A2" s="18" t="str">
        <f>IFERROR(__xludf.DUMMYFUNCTION("""COMPUTED_VALUE"""),"ord_14015")</f>
        <v>ord_14015</v>
      </c>
      <c r="B2" s="18" t="str">
        <f>IFERROR(__xludf.DUMMYFUNCTION("""COMPUTED_VALUE"""),"Anaya Rao")</f>
        <v>Anaya Rao</v>
      </c>
      <c r="C2" s="18" t="str">
        <f>IFERROR(__xludf.DUMMYFUNCTION("""COMPUTED_VALUE"""),"Colaba")</f>
        <v>Colaba</v>
      </c>
      <c r="D2" s="18" t="str">
        <f>IFERROR(__xludf.DUMMYFUNCTION("""COMPUTED_VALUE"""),"Banana")</f>
        <v>Banana</v>
      </c>
      <c r="E2" s="18">
        <f>IFERROR(__xludf.DUMMYFUNCTION("""COMPUTED_VALUE"""),2.0)</f>
        <v>2</v>
      </c>
      <c r="F2" s="18" t="str">
        <f>IFERROR(__xludf.DUMMYFUNCTION("""COMPUTED_VALUE"""),"Nikhil Deshmukh")</f>
        <v>Nikhil Deshmukh</v>
      </c>
      <c r="G2" s="19">
        <f>IFERROR(__xludf.DUMMYFUNCTION("""COMPUTED_VALUE"""),44968.0)</f>
        <v>44968</v>
      </c>
      <c r="H2" s="18" t="str">
        <f>IFERROR(__xludf.DUMMYFUNCTION("""COMPUTED_VALUE"""),"Online Payment")</f>
        <v>Online Payment</v>
      </c>
      <c r="I2" s="18" t="str">
        <f>IFERROR(__xludf.DUMMYFUNCTION("""COMPUTED_VALUE"""),"Delivered")</f>
        <v>Delivered</v>
      </c>
      <c r="J2" s="18" t="str">
        <f>IFERROR(__xludf.DUMMYFUNCTION("""COMPUTED_VALUE"""),"Satisfied with the Delivery")</f>
        <v>Satisfied with the Delivery</v>
      </c>
      <c r="K2" s="18" t="str">
        <f>IFERROR(__xludf.DUMMYFUNCTION("""COMPUTED_VALUE"""),"Timely and quality")</f>
        <v>Timely and quality</v>
      </c>
      <c r="L2" s="18">
        <f>iferror(VLOOKUP($D2,Details!$A$2:$C$11,2,false),vlookup($D2,Details!$E$2:$G$11,2,false))</f>
        <v>80</v>
      </c>
      <c r="M2" s="18" t="str">
        <f>iferror(VLOOKUP($D2,Details!$A$2:$C$11,3,false),vlookup($D2,Details!$E$2:$G$11,3,false))</f>
        <v>Fruits and Vegetables</v>
      </c>
      <c r="N2" s="18">
        <f t="shared" ref="N2:N2493" si="1">E2*L2</f>
        <v>160</v>
      </c>
      <c r="O2" s="17"/>
      <c r="P2" s="17"/>
      <c r="Q2" s="17"/>
      <c r="R2" s="17"/>
      <c r="S2" s="17"/>
      <c r="T2" s="17"/>
      <c r="U2" s="17"/>
      <c r="V2" s="17"/>
      <c r="W2" s="17"/>
      <c r="X2" s="17"/>
      <c r="Y2" s="17"/>
      <c r="Z2" s="17"/>
    </row>
    <row r="3">
      <c r="A3" s="18" t="str">
        <f>IFERROR(__xludf.DUMMYFUNCTION("""COMPUTED_VALUE"""),"ord_11003")</f>
        <v>ord_11003</v>
      </c>
      <c r="B3" s="18" t="str">
        <f>IFERROR(__xludf.DUMMYFUNCTION("""COMPUTED_VALUE"""),"Aarav Mehta")</f>
        <v>Aarav Mehta</v>
      </c>
      <c r="C3" s="18" t="str">
        <f>IFERROR(__xludf.DUMMYFUNCTION("""COMPUTED_VALUE"""),"Andheri")</f>
        <v>Andheri</v>
      </c>
      <c r="D3" s="18" t="str">
        <f>IFERROR(__xludf.DUMMYFUNCTION("""COMPUTED_VALUE"""),"Potato")</f>
        <v>Potato</v>
      </c>
      <c r="E3" s="18">
        <f>IFERROR(__xludf.DUMMYFUNCTION("""COMPUTED_VALUE"""),2.0)</f>
        <v>2</v>
      </c>
      <c r="F3" s="18" t="str">
        <f>IFERROR(__xludf.DUMMYFUNCTION("""COMPUTED_VALUE"""),"Sita T")</f>
        <v>Sita T</v>
      </c>
      <c r="G3" s="19">
        <f>IFERROR(__xludf.DUMMYFUNCTION("""COMPUTED_VALUE"""),45129.0)</f>
        <v>45129</v>
      </c>
      <c r="H3" s="18" t="str">
        <f>IFERROR(__xludf.DUMMYFUNCTION("""COMPUTED_VALUE"""),"Online Payment")</f>
        <v>Online Payment</v>
      </c>
      <c r="I3" s="18" t="str">
        <f>IFERROR(__xludf.DUMMYFUNCTION("""COMPUTED_VALUE"""),"Delivered")</f>
        <v>Delivered</v>
      </c>
      <c r="J3" s="18" t="str">
        <f>IFERROR(__xludf.DUMMYFUNCTION("""COMPUTED_VALUE"""),"On-time Delivery")</f>
        <v>On-time Delivery</v>
      </c>
      <c r="K3" s="18" t="str">
        <f>IFERROR(__xludf.DUMMYFUNCTION("""COMPUTED_VALUE"""),"Delivered on time")</f>
        <v>Delivered on time</v>
      </c>
      <c r="L3" s="18">
        <f>iferror(VLOOKUP($D3,Details!$A$2:$C$11,2,false),vlookup($D3,Details!$E$2:$G$11,2,false))</f>
        <v>55</v>
      </c>
      <c r="M3" s="18" t="str">
        <f>iferror(VLOOKUP($D3,Details!$A$2:$C$11,3,false),vlookup($D3,Details!$E$2:$G$11,3,false))</f>
        <v>Fruits and Vegetables</v>
      </c>
      <c r="N3" s="18">
        <f t="shared" si="1"/>
        <v>110</v>
      </c>
      <c r="O3" s="17"/>
      <c r="P3" s="17"/>
      <c r="Q3" s="17"/>
      <c r="R3" s="17"/>
      <c r="S3" s="17"/>
      <c r="T3" s="17"/>
      <c r="U3" s="17"/>
      <c r="V3" s="17"/>
      <c r="W3" s="17"/>
      <c r="X3" s="17"/>
      <c r="Y3" s="17"/>
      <c r="Z3" s="17"/>
    </row>
    <row r="4">
      <c r="A4" s="18" t="str">
        <f>IFERROR(__xludf.DUMMYFUNCTION("""COMPUTED_VALUE"""),"ord_12007")</f>
        <v>ord_12007</v>
      </c>
      <c r="B4" s="18" t="str">
        <f>IFERROR(__xludf.DUMMYFUNCTION("""COMPUTED_VALUE"""),"Ishaan Chaturvedi")</f>
        <v>Ishaan Chaturvedi</v>
      </c>
      <c r="C4" s="18" t="str">
        <f>IFERROR(__xludf.DUMMYFUNCTION("""COMPUTED_VALUE"""),"Bandra")</f>
        <v>Bandra</v>
      </c>
      <c r="D4" s="18" t="str">
        <f>IFERROR(__xludf.DUMMYFUNCTION("""COMPUTED_VALUE"""),"Onion")</f>
        <v>Onion</v>
      </c>
      <c r="E4" s="18">
        <f>IFERROR(__xludf.DUMMYFUNCTION("""COMPUTED_VALUE"""),1.0)</f>
        <v>1</v>
      </c>
      <c r="F4" s="18" t="str">
        <f>IFERROR(__xludf.DUMMYFUNCTION("""COMPUTED_VALUE"""),"Sita T")</f>
        <v>Sita T</v>
      </c>
      <c r="G4" s="19">
        <f>IFERROR(__xludf.DUMMYFUNCTION("""COMPUTED_VALUE"""),44934.0)</f>
        <v>44934</v>
      </c>
      <c r="H4" s="18" t="str">
        <f>IFERROR(__xludf.DUMMYFUNCTION("""COMPUTED_VALUE"""),"UPI")</f>
        <v>UPI</v>
      </c>
      <c r="I4" s="18" t="str">
        <f>IFERROR(__xludf.DUMMYFUNCTION("""COMPUTED_VALUE"""),"Delivered")</f>
        <v>Delivered</v>
      </c>
      <c r="J4" s="18" t="str">
        <f>IFERROR(__xludf.DUMMYFUNCTION("""COMPUTED_VALUE"""),"Quality of Items")</f>
        <v>Quality of Items</v>
      </c>
      <c r="K4" s="18" t="str">
        <f>IFERROR(__xludf.DUMMYFUNCTION("""COMPUTED_VALUE"""),"Perfect condition")</f>
        <v>Perfect condition</v>
      </c>
      <c r="L4" s="18">
        <f>iferror(VLOOKUP($D4,Details!$A$2:$C$11,2,false),vlookup($D4,Details!$E$2:$G$11,2,false))</f>
        <v>84</v>
      </c>
      <c r="M4" s="18" t="str">
        <f>iferror(VLOOKUP($D4,Details!$A$2:$C$11,3,false),vlookup($D4,Details!$E$2:$G$11,3,false))</f>
        <v>Fruits and Vegetables</v>
      </c>
      <c r="N4" s="18">
        <f t="shared" si="1"/>
        <v>84</v>
      </c>
      <c r="O4" s="17"/>
      <c r="P4" s="17"/>
      <c r="Q4" s="17"/>
      <c r="R4" s="17"/>
      <c r="S4" s="17"/>
      <c r="T4" s="17"/>
      <c r="U4" s="17"/>
      <c r="V4" s="17"/>
      <c r="W4" s="17"/>
      <c r="X4" s="17"/>
      <c r="Y4" s="17"/>
      <c r="Z4" s="17"/>
    </row>
    <row r="5">
      <c r="A5" s="18" t="str">
        <f>IFERROR(__xludf.DUMMYFUNCTION("""COMPUTED_VALUE"""),"ord_13011")</f>
        <v>ord_13011</v>
      </c>
      <c r="B5" s="18" t="str">
        <f>IFERROR(__xludf.DUMMYFUNCTION("""COMPUTED_VALUE"""),"Mohit Malhotra")</f>
        <v>Mohit Malhotra</v>
      </c>
      <c r="C5" s="18" t="str">
        <f>IFERROR(__xludf.DUMMYFUNCTION("""COMPUTED_VALUE"""),"Lower Parel")</f>
        <v>Lower Parel</v>
      </c>
      <c r="D5" s="18" t="str">
        <f>IFERROR(__xludf.DUMMYFUNCTION("""COMPUTED_VALUE"""),"Tomato")</f>
        <v>Tomato</v>
      </c>
      <c r="E5" s="18">
        <f>IFERROR(__xludf.DUMMYFUNCTION("""COMPUTED_VALUE"""),2.0)</f>
        <v>2</v>
      </c>
      <c r="F5" s="18" t="str">
        <f>IFERROR(__xludf.DUMMYFUNCTION("""COMPUTED_VALUE"""),"Kiran Mehta")</f>
        <v>Kiran Mehta</v>
      </c>
      <c r="G5" s="19">
        <f>IFERROR(__xludf.DUMMYFUNCTION("""COMPUTED_VALUE"""),45134.0)</f>
        <v>45134</v>
      </c>
      <c r="H5" s="18" t="str">
        <f>IFERROR(__xludf.DUMMYFUNCTION("""COMPUTED_VALUE"""),"Credit Card")</f>
        <v>Credit Card</v>
      </c>
      <c r="I5" s="18" t="str">
        <f>IFERROR(__xludf.DUMMYFUNCTION("""COMPUTED_VALUE"""),"Delivered")</f>
        <v>Delivered</v>
      </c>
      <c r="J5" s="18" t="str">
        <f>IFERROR(__xludf.DUMMYFUNCTION("""COMPUTED_VALUE"""),"Packaging")</f>
        <v>Packaging</v>
      </c>
      <c r="K5" s="18" t="str">
        <f>IFERROR(__xludf.DUMMYFUNCTION("""COMPUTED_VALUE"""),"Secure and intact")</f>
        <v>Secure and intact</v>
      </c>
      <c r="L5" s="18">
        <f>iferror(VLOOKUP($D5,Details!$A$2:$C$11,2,false),vlookup($D5,Details!$E$2:$G$11,2,false))</f>
        <v>25</v>
      </c>
      <c r="M5" s="18" t="str">
        <f>iferror(VLOOKUP($D5,Details!$A$2:$C$11,3,false),vlookup($D5,Details!$E$2:$G$11,3,false))</f>
        <v>Fruits and Vegetables</v>
      </c>
      <c r="N5" s="18">
        <f t="shared" si="1"/>
        <v>50</v>
      </c>
      <c r="O5" s="17"/>
      <c r="P5" s="17"/>
      <c r="Q5" s="17"/>
      <c r="R5" s="17"/>
      <c r="S5" s="17"/>
      <c r="T5" s="17"/>
      <c r="U5" s="17"/>
      <c r="V5" s="17"/>
      <c r="W5" s="17"/>
      <c r="X5" s="17"/>
      <c r="Y5" s="17"/>
      <c r="Z5" s="17"/>
    </row>
    <row r="6">
      <c r="A6" s="18" t="str">
        <f>IFERROR(__xludf.DUMMYFUNCTION("""COMPUTED_VALUE"""),"ord_15019")</f>
        <v>ord_15019</v>
      </c>
      <c r="B6" s="18" t="str">
        <f>IFERROR(__xludf.DUMMYFUNCTION("""COMPUTED_VALUE"""),"Ishaan Chaturvedi")</f>
        <v>Ishaan Chaturvedi</v>
      </c>
      <c r="C6" s="18" t="str">
        <f>IFERROR(__xludf.DUMMYFUNCTION("""COMPUTED_VALUE"""),"Bandra")</f>
        <v>Bandra</v>
      </c>
      <c r="D6" s="18" t="str">
        <f>IFERROR(__xludf.DUMMYFUNCTION("""COMPUTED_VALUE"""),"Onion")</f>
        <v>Onion</v>
      </c>
      <c r="E6" s="18">
        <f>IFERROR(__xludf.DUMMYFUNCTION("""COMPUTED_VALUE"""),2.0)</f>
        <v>2</v>
      </c>
      <c r="F6" s="18" t="str">
        <f>IFERROR(__xludf.DUMMYFUNCTION("""COMPUTED_VALUE"""),"Ram Gopal")</f>
        <v>Ram Gopal</v>
      </c>
      <c r="G6" s="19">
        <f>IFERROR(__xludf.DUMMYFUNCTION("""COMPUTED_VALUE"""),45042.0)</f>
        <v>45042</v>
      </c>
      <c r="H6" s="18" t="str">
        <f>IFERROR(__xludf.DUMMYFUNCTION("""COMPUTED_VALUE"""),"Credit Card")</f>
        <v>Credit Card</v>
      </c>
      <c r="I6" s="18" t="str">
        <f>IFERROR(__xludf.DUMMYFUNCTION("""COMPUTED_VALUE"""),"Delivered")</f>
        <v>Delivered</v>
      </c>
      <c r="J6" s="18" t="str">
        <f>IFERROR(__xludf.DUMMYFUNCTION("""COMPUTED_VALUE"""),"Customer Service")</f>
        <v>Customer Service</v>
      </c>
      <c r="K6" s="18" t="str">
        <f>IFERROR(__xludf.DUMMYFUNCTION("""COMPUTED_VALUE"""),"Seamless and easy")</f>
        <v>Seamless and easy</v>
      </c>
      <c r="L6" s="18">
        <f>iferror(VLOOKUP($D6,Details!$A$2:$C$11,2,false),vlookup($D6,Details!$E$2:$G$11,2,false))</f>
        <v>84</v>
      </c>
      <c r="M6" s="18" t="str">
        <f>iferror(VLOOKUP($D6,Details!$A$2:$C$11,3,false),vlookup($D6,Details!$E$2:$G$11,3,false))</f>
        <v>Fruits and Vegetables</v>
      </c>
      <c r="N6" s="18">
        <f t="shared" si="1"/>
        <v>168</v>
      </c>
      <c r="O6" s="17"/>
      <c r="P6" s="17"/>
      <c r="Q6" s="17"/>
      <c r="R6" s="17"/>
      <c r="S6" s="17"/>
      <c r="T6" s="17"/>
      <c r="U6" s="17"/>
      <c r="V6" s="17"/>
      <c r="W6" s="17"/>
      <c r="X6" s="17"/>
      <c r="Y6" s="17"/>
      <c r="Z6" s="17"/>
    </row>
    <row r="7">
      <c r="A7" s="18" t="str">
        <f>IFERROR(__xludf.DUMMYFUNCTION("""COMPUTED_VALUE"""),"ord_16023")</f>
        <v>ord_16023</v>
      </c>
      <c r="B7" s="18" t="str">
        <f>IFERROR(__xludf.DUMMYFUNCTION("""COMPUTED_VALUE"""),"Tanishq Bansal")</f>
        <v>Tanishq Bansal</v>
      </c>
      <c r="C7" s="18" t="str">
        <f>IFERROR(__xludf.DUMMYFUNCTION("""COMPUTED_VALUE"""),"Powai")</f>
        <v>Powai</v>
      </c>
      <c r="D7" s="18" t="str">
        <f>IFERROR(__xludf.DUMMYFUNCTION("""COMPUTED_VALUE"""),"Apple")</f>
        <v>Apple</v>
      </c>
      <c r="E7" s="18">
        <f>IFERROR(__xludf.DUMMYFUNCTION("""COMPUTED_VALUE"""),2.0)</f>
        <v>2</v>
      </c>
      <c r="F7" s="18" t="str">
        <f>IFERROR(__xludf.DUMMYFUNCTION("""COMPUTED_VALUE"""),"Vivek Kumar")</f>
        <v>Vivek Kumar</v>
      </c>
      <c r="G7" s="19">
        <f>IFERROR(__xludf.DUMMYFUNCTION("""COMPUTED_VALUE"""),45070.0)</f>
        <v>45070</v>
      </c>
      <c r="H7" s="18" t="str">
        <f>IFERROR(__xludf.DUMMYFUNCTION("""COMPUTED_VALUE"""),"UPI")</f>
        <v>UPI</v>
      </c>
      <c r="I7" s="18" t="str">
        <f>IFERROR(__xludf.DUMMYFUNCTION("""COMPUTED_VALUE"""),"Delivered")</f>
        <v>Delivered</v>
      </c>
      <c r="J7" s="18" t="str">
        <f>IFERROR(__xludf.DUMMYFUNCTION("""COMPUTED_VALUE"""),"Delivery Experience")</f>
        <v>Delivery Experience</v>
      </c>
      <c r="K7" s="18" t="str">
        <f>IFERROR(__xludf.DUMMYFUNCTION("""COMPUTED_VALUE"""),"Quick and professional")</f>
        <v>Quick and professional</v>
      </c>
      <c r="L7" s="18">
        <f>iferror(VLOOKUP($D7,Details!$A$2:$C$11,2,false),vlookup($D7,Details!$E$2:$G$11,2,false))</f>
        <v>230</v>
      </c>
      <c r="M7" s="18" t="str">
        <f>iferror(VLOOKUP($D7,Details!$A$2:$C$11,3,false),vlookup($D7,Details!$E$2:$G$11,3,false))</f>
        <v>Fruits and Vegetables</v>
      </c>
      <c r="N7" s="18">
        <f t="shared" si="1"/>
        <v>460</v>
      </c>
      <c r="O7" s="17"/>
      <c r="P7" s="17"/>
      <c r="Q7" s="17"/>
      <c r="R7" s="17"/>
      <c r="S7" s="17"/>
      <c r="T7" s="17"/>
      <c r="U7" s="17"/>
      <c r="V7" s="17"/>
      <c r="W7" s="17"/>
      <c r="X7" s="17"/>
      <c r="Y7" s="17"/>
      <c r="Z7" s="17"/>
    </row>
    <row r="8">
      <c r="A8" s="18" t="str">
        <f>IFERROR(__xludf.DUMMYFUNCTION("""COMPUTED_VALUE"""),"ord_17027")</f>
        <v>ord_17027</v>
      </c>
      <c r="B8" s="18" t="str">
        <f>IFERROR(__xludf.DUMMYFUNCTION("""COMPUTED_VALUE"""),"Mohit Malhotra")</f>
        <v>Mohit Malhotra</v>
      </c>
      <c r="C8" s="18" t="str">
        <f>IFERROR(__xludf.DUMMYFUNCTION("""COMPUTED_VALUE"""),"Lower Parel")</f>
        <v>Lower Parel</v>
      </c>
      <c r="D8" s="18" t="str">
        <f>IFERROR(__xludf.DUMMYFUNCTION("""COMPUTED_VALUE"""),"Tomato")</f>
        <v>Tomato</v>
      </c>
      <c r="E8" s="18">
        <f>IFERROR(__xludf.DUMMYFUNCTION("""COMPUTED_VALUE"""),1.0)</f>
        <v>1</v>
      </c>
      <c r="F8" s="18" t="str">
        <f>IFERROR(__xludf.DUMMYFUNCTION("""COMPUTED_VALUE"""),"Venu R")</f>
        <v>Venu R</v>
      </c>
      <c r="G8" s="19">
        <f>IFERROR(__xludf.DUMMYFUNCTION("""COMPUTED_VALUE"""),45096.0)</f>
        <v>45096</v>
      </c>
      <c r="H8" s="18" t="str">
        <f>IFERROR(__xludf.DUMMYFUNCTION("""COMPUTED_VALUE"""),"UPI")</f>
        <v>UPI</v>
      </c>
      <c r="I8" s="18" t="str">
        <f>IFERROR(__xludf.DUMMYFUNCTION("""COMPUTED_VALUE"""),"Delivered")</f>
        <v>Delivered</v>
      </c>
      <c r="J8" s="18" t="str">
        <f>IFERROR(__xludf.DUMMYFUNCTION("""COMPUTED_VALUE"""),"Convenience")</f>
        <v>Convenience</v>
      </c>
      <c r="K8" s="18" t="str">
        <f>IFERROR(__xludf.DUMMYFUNCTION("""COMPUTED_VALUE"""),"Easy tracking")</f>
        <v>Easy tracking</v>
      </c>
      <c r="L8" s="18">
        <f>iferror(VLOOKUP($D8,Details!$A$2:$C$11,2,false),vlookup($D8,Details!$E$2:$G$11,2,false))</f>
        <v>25</v>
      </c>
      <c r="M8" s="18" t="str">
        <f>iferror(VLOOKUP($D8,Details!$A$2:$C$11,3,false),vlookup($D8,Details!$E$2:$G$11,3,false))</f>
        <v>Fruits and Vegetables</v>
      </c>
      <c r="N8" s="18">
        <f t="shared" si="1"/>
        <v>25</v>
      </c>
      <c r="O8" s="17"/>
      <c r="P8" s="17"/>
      <c r="Q8" s="17"/>
      <c r="R8" s="17"/>
      <c r="S8" s="17"/>
      <c r="T8" s="17"/>
      <c r="U8" s="17"/>
      <c r="V8" s="17"/>
      <c r="W8" s="17"/>
      <c r="X8" s="17"/>
      <c r="Y8" s="17"/>
      <c r="Z8" s="17"/>
    </row>
    <row r="9">
      <c r="A9" s="18" t="str">
        <f>IFERROR(__xludf.DUMMYFUNCTION("""COMPUTED_VALUE"""),"ord_18031")</f>
        <v>ord_18031</v>
      </c>
      <c r="B9" s="18" t="str">
        <f>IFERROR(__xludf.DUMMYFUNCTION("""COMPUTED_VALUE"""),"Mehul Thakkar")</f>
        <v>Mehul Thakkar</v>
      </c>
      <c r="C9" s="18" t="str">
        <f>IFERROR(__xludf.DUMMYFUNCTION("""COMPUTED_VALUE"""),"Malad")</f>
        <v>Malad</v>
      </c>
      <c r="D9" s="18" t="str">
        <f>IFERROR(__xludf.DUMMYFUNCTION("""COMPUTED_VALUE"""),"Apple")</f>
        <v>Apple</v>
      </c>
      <c r="E9" s="18">
        <f>IFERROR(__xludf.DUMMYFUNCTION("""COMPUTED_VALUE"""),2.0)</f>
        <v>2</v>
      </c>
      <c r="F9" s="18" t="str">
        <f>IFERROR(__xludf.DUMMYFUNCTION("""COMPUTED_VALUE"""),"Ram Gopal")</f>
        <v>Ram Gopal</v>
      </c>
      <c r="G9" s="19">
        <f>IFERROR(__xludf.DUMMYFUNCTION("""COMPUTED_VALUE"""),44981.0)</f>
        <v>44981</v>
      </c>
      <c r="H9" s="18" t="str">
        <f>IFERROR(__xludf.DUMMYFUNCTION("""COMPUTED_VALUE"""),"COD")</f>
        <v>COD</v>
      </c>
      <c r="I9" s="18" t="str">
        <f>IFERROR(__xludf.DUMMYFUNCTION("""COMPUTED_VALUE"""),"Delivered")</f>
        <v>Delivered</v>
      </c>
      <c r="J9" s="18" t="str">
        <f>IFERROR(__xludf.DUMMYFUNCTION("""COMPUTED_VALUE"""),"Overall Satisfaction")</f>
        <v>Overall Satisfaction</v>
      </c>
      <c r="K9" s="18" t="str">
        <f>IFERROR(__xludf.DUMMYFUNCTION("""COMPUTED_VALUE"""),"Great service will order again")</f>
        <v>Great service will order again</v>
      </c>
      <c r="L9" s="18">
        <f>iferror(VLOOKUP($D9,Details!$A$2:$C$11,2,false),vlookup($D9,Details!$E$2:$G$11,2,false))</f>
        <v>230</v>
      </c>
      <c r="M9" s="18" t="str">
        <f>iferror(VLOOKUP($D9,Details!$A$2:$C$11,3,false),vlookup($D9,Details!$E$2:$G$11,3,false))</f>
        <v>Fruits and Vegetables</v>
      </c>
      <c r="N9" s="18">
        <f t="shared" si="1"/>
        <v>460</v>
      </c>
      <c r="O9" s="17"/>
      <c r="P9" s="17"/>
      <c r="Q9" s="17"/>
      <c r="R9" s="17"/>
      <c r="S9" s="17"/>
      <c r="T9" s="17"/>
      <c r="U9" s="17"/>
      <c r="V9" s="17"/>
      <c r="W9" s="17"/>
      <c r="X9" s="17"/>
      <c r="Y9" s="17"/>
      <c r="Z9" s="17"/>
    </row>
    <row r="10">
      <c r="A10" s="18" t="str">
        <f>IFERROR(__xludf.DUMMYFUNCTION("""COMPUTED_VALUE"""),"ord_19035")</f>
        <v>ord_19035</v>
      </c>
      <c r="B10" s="18" t="str">
        <f>IFERROR(__xludf.DUMMYFUNCTION("""COMPUTED_VALUE"""),"Aditi Iyer")</f>
        <v>Aditi Iyer</v>
      </c>
      <c r="C10" s="18" t="str">
        <f>IFERROR(__xludf.DUMMYFUNCTION("""COMPUTED_VALUE"""),"Dadar")</f>
        <v>Dadar</v>
      </c>
      <c r="D10" s="18" t="str">
        <f>IFERROR(__xludf.DUMMYFUNCTION("""COMPUTED_VALUE"""),"Orange")</f>
        <v>Orange</v>
      </c>
      <c r="E10" s="18">
        <f>IFERROR(__xludf.DUMMYFUNCTION("""COMPUTED_VALUE"""),2.0)</f>
        <v>2</v>
      </c>
      <c r="F10" s="18" t="str">
        <f>IFERROR(__xludf.DUMMYFUNCTION("""COMPUTED_VALUE"""),"Shine Thomas")</f>
        <v>Shine Thomas</v>
      </c>
      <c r="G10" s="19">
        <f>IFERROR(__xludf.DUMMYFUNCTION("""COMPUTED_VALUE"""),45115.0)</f>
        <v>45115</v>
      </c>
      <c r="H10" s="18" t="str">
        <f>IFERROR(__xludf.DUMMYFUNCTION("""COMPUTED_VALUE"""),"UPI")</f>
        <v>UPI</v>
      </c>
      <c r="I10" s="18" t="str">
        <f>IFERROR(__xludf.DUMMYFUNCTION("""COMPUTED_VALUE"""),"Delivered")</f>
        <v>Delivered</v>
      </c>
      <c r="J10" s="18" t="str">
        <f>IFERROR(__xludf.DUMMYFUNCTION("""COMPUTED_VALUE"""),"On-time Delivery")</f>
        <v>On-time Delivery</v>
      </c>
      <c r="K10" s="18" t="str">
        <f>IFERROR(__xludf.DUMMYFUNCTION("""COMPUTED_VALUE"""),"Delivered on time")</f>
        <v>Delivered on time</v>
      </c>
      <c r="L10" s="18">
        <f>iferror(VLOOKUP($D10,Details!$A$2:$C$11,2,false),vlookup($D10,Details!$E$2:$G$11,2,false))</f>
        <v>180</v>
      </c>
      <c r="M10" s="18" t="str">
        <f>iferror(VLOOKUP($D10,Details!$A$2:$C$11,3,false),vlookup($D10,Details!$E$2:$G$11,3,false))</f>
        <v>Fruits and Vegetables</v>
      </c>
      <c r="N10" s="18">
        <f t="shared" si="1"/>
        <v>360</v>
      </c>
      <c r="O10" s="17"/>
      <c r="P10" s="17"/>
      <c r="Q10" s="17"/>
      <c r="R10" s="17"/>
      <c r="S10" s="17"/>
      <c r="T10" s="17"/>
      <c r="U10" s="17"/>
      <c r="V10" s="17"/>
      <c r="W10" s="17"/>
      <c r="X10" s="17"/>
      <c r="Y10" s="17"/>
      <c r="Z10" s="17"/>
    </row>
    <row r="11">
      <c r="A11" s="18" t="str">
        <f>IFERROR(__xludf.DUMMYFUNCTION("""COMPUTED_VALUE"""),"ord_20039")</f>
        <v>ord_20039</v>
      </c>
      <c r="B11" s="18" t="str">
        <f>IFERROR(__xludf.DUMMYFUNCTION("""COMPUTED_VALUE"""),"Sahil Desai")</f>
        <v>Sahil Desai</v>
      </c>
      <c r="C11" s="18" t="str">
        <f>IFERROR(__xludf.DUMMYFUNCTION("""COMPUTED_VALUE"""),"Lower Parel")</f>
        <v>Lower Parel</v>
      </c>
      <c r="D11" s="18" t="str">
        <f>IFERROR(__xludf.DUMMYFUNCTION("""COMPUTED_VALUE"""),"Cucumber")</f>
        <v>Cucumber</v>
      </c>
      <c r="E11" s="18">
        <f>IFERROR(__xludf.DUMMYFUNCTION("""COMPUTED_VALUE"""),2.0)</f>
        <v>2</v>
      </c>
      <c r="F11" s="18" t="str">
        <f>IFERROR(__xludf.DUMMYFUNCTION("""COMPUTED_VALUE"""),"Kiran Mehta")</f>
        <v>Kiran Mehta</v>
      </c>
      <c r="G11" s="19">
        <f>IFERROR(__xludf.DUMMYFUNCTION("""COMPUTED_VALUE"""),45287.0)</f>
        <v>45287</v>
      </c>
      <c r="H11" s="18" t="str">
        <f>IFERROR(__xludf.DUMMYFUNCTION("""COMPUTED_VALUE"""),"Credit Card")</f>
        <v>Credit Card</v>
      </c>
      <c r="I11" s="18" t="str">
        <f>IFERROR(__xludf.DUMMYFUNCTION("""COMPUTED_VALUE"""),"Delivered")</f>
        <v>Delivered</v>
      </c>
      <c r="J11" s="18" t="str">
        <f>IFERROR(__xludf.DUMMYFUNCTION("""COMPUTED_VALUE"""),"Quality of Items")</f>
        <v>Quality of Items</v>
      </c>
      <c r="K11" s="18" t="str">
        <f>IFERROR(__xludf.DUMMYFUNCTION("""COMPUTED_VALUE"""),"Perfect condition")</f>
        <v>Perfect condition</v>
      </c>
      <c r="L11" s="18">
        <f>iferror(VLOOKUP($D11,Details!$A$2:$C$11,2,false),vlookup($D11,Details!$E$2:$G$11,2,false))</f>
        <v>30</v>
      </c>
      <c r="M11" s="18" t="str">
        <f>iferror(VLOOKUP($D11,Details!$A$2:$C$11,3,false),vlookup($D11,Details!$E$2:$G$11,3,false))</f>
        <v>Fruits and Vegetables</v>
      </c>
      <c r="N11" s="18">
        <f t="shared" si="1"/>
        <v>60</v>
      </c>
      <c r="O11" s="17"/>
      <c r="P11" s="17"/>
      <c r="Q11" s="17"/>
      <c r="R11" s="17"/>
      <c r="S11" s="17"/>
      <c r="T11" s="17"/>
      <c r="U11" s="17"/>
      <c r="V11" s="17"/>
      <c r="W11" s="17"/>
      <c r="X11" s="17"/>
      <c r="Y11" s="17"/>
      <c r="Z11" s="17"/>
    </row>
    <row r="12">
      <c r="A12" s="18" t="str">
        <f>IFERROR(__xludf.DUMMYFUNCTION("""COMPUTED_VALUE"""),"ord_21043")</f>
        <v>ord_21043</v>
      </c>
      <c r="B12" s="18" t="str">
        <f>IFERROR(__xludf.DUMMYFUNCTION("""COMPUTED_VALUE"""),"Diya Arora")</f>
        <v>Diya Arora</v>
      </c>
      <c r="C12" s="18" t="str">
        <f>IFERROR(__xludf.DUMMYFUNCTION("""COMPUTED_VALUE"""),"Lower Parel")</f>
        <v>Lower Parel</v>
      </c>
      <c r="D12" s="18" t="str">
        <f>IFERROR(__xludf.DUMMYFUNCTION("""COMPUTED_VALUE"""),"Papaya")</f>
        <v>Papaya</v>
      </c>
      <c r="E12" s="18">
        <f>IFERROR(__xludf.DUMMYFUNCTION("""COMPUTED_VALUE"""),1.0)</f>
        <v>1</v>
      </c>
      <c r="F12" s="18" t="str">
        <f>IFERROR(__xludf.DUMMYFUNCTION("""COMPUTED_VALUE"""),"Ram Gopal")</f>
        <v>Ram Gopal</v>
      </c>
      <c r="G12" s="19">
        <f>IFERROR(__xludf.DUMMYFUNCTION("""COMPUTED_VALUE"""),45264.0)</f>
        <v>45264</v>
      </c>
      <c r="H12" s="18" t="str">
        <f>IFERROR(__xludf.DUMMYFUNCTION("""COMPUTED_VALUE"""),"Credit Card")</f>
        <v>Credit Card</v>
      </c>
      <c r="I12" s="18" t="str">
        <f>IFERROR(__xludf.DUMMYFUNCTION("""COMPUTED_VALUE"""),"Cancelled")</f>
        <v>Cancelled</v>
      </c>
      <c r="J12" s="18" t="str">
        <f>IFERROR(__xludf.DUMMYFUNCTION("""COMPUTED_VALUE"""),"Delayed Delivery")</f>
        <v>Delayed Delivery</v>
      </c>
      <c r="K12" s="18" t="str">
        <f>IFERROR(__xludf.DUMMYFUNCTION("""COMPUTED_VALUE"""),"Heavy Traffic")</f>
        <v>Heavy Traffic</v>
      </c>
      <c r="L12" s="18">
        <f>iferror(VLOOKUP($D12,Details!$A$2:$C$11,2,false),vlookup($D12,Details!$E$2:$G$11,2,false))</f>
        <v>75</v>
      </c>
      <c r="M12" s="18" t="str">
        <f>iferror(VLOOKUP($D12,Details!$A$2:$C$11,3,false),vlookup($D12,Details!$E$2:$G$11,3,false))</f>
        <v>Fruits and Vegetables</v>
      </c>
      <c r="N12" s="18">
        <f t="shared" si="1"/>
        <v>75</v>
      </c>
      <c r="O12" s="17"/>
      <c r="P12" s="17"/>
      <c r="Q12" s="17"/>
      <c r="R12" s="17"/>
      <c r="S12" s="17"/>
      <c r="T12" s="17"/>
      <c r="U12" s="17"/>
      <c r="V12" s="17"/>
      <c r="W12" s="17"/>
      <c r="X12" s="17"/>
      <c r="Y12" s="17"/>
      <c r="Z12" s="17"/>
    </row>
    <row r="13">
      <c r="A13" s="18" t="str">
        <f>IFERROR(__xludf.DUMMYFUNCTION("""COMPUTED_VALUE"""),"ord_22047")</f>
        <v>ord_22047</v>
      </c>
      <c r="B13" s="18" t="str">
        <f>IFERROR(__xludf.DUMMYFUNCTION("""COMPUTED_VALUE"""),"Parth Goel")</f>
        <v>Parth Goel</v>
      </c>
      <c r="C13" s="18" t="str">
        <f>IFERROR(__xludf.DUMMYFUNCTION("""COMPUTED_VALUE"""),"Juhu")</f>
        <v>Juhu</v>
      </c>
      <c r="D13" s="18" t="str">
        <f>IFERROR(__xludf.DUMMYFUNCTION("""COMPUTED_VALUE"""),"Papaya")</f>
        <v>Papaya</v>
      </c>
      <c r="E13" s="18">
        <f>IFERROR(__xludf.DUMMYFUNCTION("""COMPUTED_VALUE"""),2.0)</f>
        <v>2</v>
      </c>
      <c r="F13" s="18" t="str">
        <f>IFERROR(__xludf.DUMMYFUNCTION("""COMPUTED_VALUE"""),"Ram Gopal")</f>
        <v>Ram Gopal</v>
      </c>
      <c r="G13" s="19">
        <f>IFERROR(__xludf.DUMMYFUNCTION("""COMPUTED_VALUE"""),45158.0)</f>
        <v>45158</v>
      </c>
      <c r="H13" s="18" t="str">
        <f>IFERROR(__xludf.DUMMYFUNCTION("""COMPUTED_VALUE"""),"Online Payment")</f>
        <v>Online Payment</v>
      </c>
      <c r="I13" s="18" t="str">
        <f>IFERROR(__xludf.DUMMYFUNCTION("""COMPUTED_VALUE"""),"Delivered")</f>
        <v>Delivered</v>
      </c>
      <c r="J13" s="18" t="str">
        <f>IFERROR(__xludf.DUMMYFUNCTION("""COMPUTED_VALUE"""),"Packaging")</f>
        <v>Packaging</v>
      </c>
      <c r="K13" s="18" t="str">
        <f>IFERROR(__xludf.DUMMYFUNCTION("""COMPUTED_VALUE"""),"Secure and intact")</f>
        <v>Secure and intact</v>
      </c>
      <c r="L13" s="18">
        <f>iferror(VLOOKUP($D13,Details!$A$2:$C$11,2,false),vlookup($D13,Details!$E$2:$G$11,2,false))</f>
        <v>75</v>
      </c>
      <c r="M13" s="18" t="str">
        <f>iferror(VLOOKUP($D13,Details!$A$2:$C$11,3,false),vlookup($D13,Details!$E$2:$G$11,3,false))</f>
        <v>Fruits and Vegetables</v>
      </c>
      <c r="N13" s="18">
        <f t="shared" si="1"/>
        <v>150</v>
      </c>
      <c r="O13" s="17"/>
      <c r="P13" s="17"/>
      <c r="Q13" s="17"/>
      <c r="R13" s="17"/>
      <c r="S13" s="17"/>
      <c r="T13" s="17"/>
      <c r="U13" s="17"/>
      <c r="V13" s="17"/>
      <c r="W13" s="17"/>
      <c r="X13" s="17"/>
      <c r="Y13" s="17"/>
      <c r="Z13" s="17"/>
    </row>
    <row r="14">
      <c r="A14" s="18" t="str">
        <f>IFERROR(__xludf.DUMMYFUNCTION("""COMPUTED_VALUE"""),"ord_23051")</f>
        <v>ord_23051</v>
      </c>
      <c r="B14" s="18" t="str">
        <f>IFERROR(__xludf.DUMMYFUNCTION("""COMPUTED_VALUE"""),"Simran Bhatt")</f>
        <v>Simran Bhatt</v>
      </c>
      <c r="C14" s="18" t="str">
        <f>IFERROR(__xludf.DUMMYFUNCTION("""COMPUTED_VALUE"""),"Juhu")</f>
        <v>Juhu</v>
      </c>
      <c r="D14" s="18" t="str">
        <f>IFERROR(__xludf.DUMMYFUNCTION("""COMPUTED_VALUE"""),"Tomato")</f>
        <v>Tomato</v>
      </c>
      <c r="E14" s="18">
        <f>IFERROR(__xludf.DUMMYFUNCTION("""COMPUTED_VALUE"""),2.0)</f>
        <v>2</v>
      </c>
      <c r="F14" s="18" t="str">
        <f>IFERROR(__xludf.DUMMYFUNCTION("""COMPUTED_VALUE"""),"Ramesh S")</f>
        <v>Ramesh S</v>
      </c>
      <c r="G14" s="19">
        <f>IFERROR(__xludf.DUMMYFUNCTION("""COMPUTED_VALUE"""),45145.0)</f>
        <v>45145</v>
      </c>
      <c r="H14" s="18" t="str">
        <f>IFERROR(__xludf.DUMMYFUNCTION("""COMPUTED_VALUE"""),"UPI")</f>
        <v>UPI</v>
      </c>
      <c r="I14" s="18" t="str">
        <f>IFERROR(__xludf.DUMMYFUNCTION("""COMPUTED_VALUE"""),"Delivered")</f>
        <v>Delivered</v>
      </c>
      <c r="J14" s="18" t="str">
        <f>IFERROR(__xludf.DUMMYFUNCTION("""COMPUTED_VALUE"""),"Satisfied with the Delivery")</f>
        <v>Satisfied with the Delivery</v>
      </c>
      <c r="K14" s="18" t="str">
        <f>IFERROR(__xludf.DUMMYFUNCTION("""COMPUTED_VALUE"""),"Timely and quality")</f>
        <v>Timely and quality</v>
      </c>
      <c r="L14" s="18">
        <f>iferror(VLOOKUP($D14,Details!$A$2:$C$11,2,false),vlookup($D14,Details!$E$2:$G$11,2,false))</f>
        <v>25</v>
      </c>
      <c r="M14" s="18" t="str">
        <f>iferror(VLOOKUP($D14,Details!$A$2:$C$11,3,false),vlookup($D14,Details!$E$2:$G$11,3,false))</f>
        <v>Fruits and Vegetables</v>
      </c>
      <c r="N14" s="18">
        <f t="shared" si="1"/>
        <v>50</v>
      </c>
      <c r="O14" s="17"/>
      <c r="P14" s="17"/>
      <c r="Q14" s="17"/>
      <c r="R14" s="17"/>
      <c r="S14" s="17"/>
      <c r="T14" s="17"/>
      <c r="U14" s="17"/>
      <c r="V14" s="17"/>
      <c r="W14" s="17"/>
      <c r="X14" s="17"/>
      <c r="Y14" s="17"/>
      <c r="Z14" s="17"/>
    </row>
    <row r="15">
      <c r="A15" s="18" t="str">
        <f>IFERROR(__xludf.DUMMYFUNCTION("""COMPUTED_VALUE"""),"ord_24055")</f>
        <v>ord_24055</v>
      </c>
      <c r="B15" s="18" t="str">
        <f>IFERROR(__xludf.DUMMYFUNCTION("""COMPUTED_VALUE"""),"Aditi Iyer")</f>
        <v>Aditi Iyer</v>
      </c>
      <c r="C15" s="18" t="str">
        <f>IFERROR(__xludf.DUMMYFUNCTION("""COMPUTED_VALUE"""),"Dadar")</f>
        <v>Dadar</v>
      </c>
      <c r="D15" s="18" t="str">
        <f>IFERROR(__xludf.DUMMYFUNCTION("""COMPUTED_VALUE"""),"Guava")</f>
        <v>Guava</v>
      </c>
      <c r="E15" s="18">
        <f>IFERROR(__xludf.DUMMYFUNCTION("""COMPUTED_VALUE"""),2.0)</f>
        <v>2</v>
      </c>
      <c r="F15" s="18" t="str">
        <f>IFERROR(__xludf.DUMMYFUNCTION("""COMPUTED_VALUE"""),"Ramesh S")</f>
        <v>Ramesh S</v>
      </c>
      <c r="G15" s="19">
        <f>IFERROR(__xludf.DUMMYFUNCTION("""COMPUTED_VALUE"""),45229.0)</f>
        <v>45229</v>
      </c>
      <c r="H15" s="18" t="str">
        <f>IFERROR(__xludf.DUMMYFUNCTION("""COMPUTED_VALUE"""),"Online Payment")</f>
        <v>Online Payment</v>
      </c>
      <c r="I15" s="18" t="str">
        <f>IFERROR(__xludf.DUMMYFUNCTION("""COMPUTED_VALUE"""),"Delivered")</f>
        <v>Delivered</v>
      </c>
      <c r="J15" s="18" t="str">
        <f>IFERROR(__xludf.DUMMYFUNCTION("""COMPUTED_VALUE"""),"Customer Service")</f>
        <v>Customer Service</v>
      </c>
      <c r="K15" s="18" t="str">
        <f>IFERROR(__xludf.DUMMYFUNCTION("""COMPUTED_VALUE"""),"Seamless and easy")</f>
        <v>Seamless and easy</v>
      </c>
      <c r="L15" s="18">
        <f>iferror(VLOOKUP($D15,Details!$A$2:$C$11,2,false),vlookup($D15,Details!$E$2:$G$11,2,false))</f>
        <v>70</v>
      </c>
      <c r="M15" s="18" t="str">
        <f>iferror(VLOOKUP($D15,Details!$A$2:$C$11,3,false),vlookup($D15,Details!$E$2:$G$11,3,false))</f>
        <v>Fruits and Vegetables</v>
      </c>
      <c r="N15" s="18">
        <f t="shared" si="1"/>
        <v>140</v>
      </c>
      <c r="O15" s="17"/>
      <c r="P15" s="17"/>
      <c r="Q15" s="17"/>
      <c r="R15" s="17"/>
      <c r="S15" s="17"/>
      <c r="T15" s="17"/>
      <c r="U15" s="17"/>
      <c r="V15" s="17"/>
      <c r="W15" s="17"/>
      <c r="X15" s="17"/>
      <c r="Y15" s="17"/>
      <c r="Z15" s="17"/>
    </row>
    <row r="16">
      <c r="A16" s="18" t="str">
        <f>IFERROR(__xludf.DUMMYFUNCTION("""COMPUTED_VALUE"""),"ord_25059")</f>
        <v>ord_25059</v>
      </c>
      <c r="B16" s="18" t="str">
        <f>IFERROR(__xludf.DUMMYFUNCTION("""COMPUTED_VALUE"""),"Aarohi Kapoor")</f>
        <v>Aarohi Kapoor</v>
      </c>
      <c r="C16" s="18" t="str">
        <f>IFERROR(__xludf.DUMMYFUNCTION("""COMPUTED_VALUE"""),"Bandra")</f>
        <v>Bandra</v>
      </c>
      <c r="D16" s="18" t="str">
        <f>IFERROR(__xludf.DUMMYFUNCTION("""COMPUTED_VALUE"""),"Sweet Corn")</f>
        <v>Sweet Corn</v>
      </c>
      <c r="E16" s="18">
        <f>IFERROR(__xludf.DUMMYFUNCTION("""COMPUTED_VALUE"""),1.0)</f>
        <v>1</v>
      </c>
      <c r="F16" s="18" t="str">
        <f>IFERROR(__xludf.DUMMYFUNCTION("""COMPUTED_VALUE"""),"Manju Ajay")</f>
        <v>Manju Ajay</v>
      </c>
      <c r="G16" s="19">
        <f>IFERROR(__xludf.DUMMYFUNCTION("""COMPUTED_VALUE"""),45005.0)</f>
        <v>45005</v>
      </c>
      <c r="H16" s="18" t="str">
        <f>IFERROR(__xludf.DUMMYFUNCTION("""COMPUTED_VALUE"""),"COD")</f>
        <v>COD</v>
      </c>
      <c r="I16" s="18" t="str">
        <f>IFERROR(__xludf.DUMMYFUNCTION("""COMPUTED_VALUE"""),"Delivered")</f>
        <v>Delivered</v>
      </c>
      <c r="J16" s="18" t="str">
        <f>IFERROR(__xludf.DUMMYFUNCTION("""COMPUTED_VALUE"""),"Delivery Experience")</f>
        <v>Delivery Experience</v>
      </c>
      <c r="K16" s="18" t="str">
        <f>IFERROR(__xludf.DUMMYFUNCTION("""COMPUTED_VALUE"""),"Quick and professional")</f>
        <v>Quick and professional</v>
      </c>
      <c r="L16" s="18">
        <f>iferror(VLOOKUP($D16,Details!$A$2:$C$11,2,false),vlookup($D16,Details!$E$2:$G$11,2,false))</f>
        <v>60</v>
      </c>
      <c r="M16" s="18" t="str">
        <f>iferror(VLOOKUP($D16,Details!$A$2:$C$11,3,false),vlookup($D16,Details!$E$2:$G$11,3,false))</f>
        <v>Fruits and Vegetables</v>
      </c>
      <c r="N16" s="18">
        <f t="shared" si="1"/>
        <v>60</v>
      </c>
      <c r="O16" s="17"/>
      <c r="P16" s="17"/>
      <c r="Q16" s="17"/>
      <c r="R16" s="17"/>
      <c r="S16" s="17"/>
      <c r="T16" s="17"/>
      <c r="U16" s="17"/>
      <c r="V16" s="17"/>
      <c r="W16" s="17"/>
      <c r="X16" s="17"/>
      <c r="Y16" s="17"/>
      <c r="Z16" s="17"/>
    </row>
    <row r="17">
      <c r="A17" s="18" t="str">
        <f>IFERROR(__xludf.DUMMYFUNCTION("""COMPUTED_VALUE"""),"ord_26063")</f>
        <v>ord_26063</v>
      </c>
      <c r="B17" s="18" t="str">
        <f>IFERROR(__xludf.DUMMYFUNCTION("""COMPUTED_VALUE"""),"Kunal Sharma")</f>
        <v>Kunal Sharma</v>
      </c>
      <c r="C17" s="18" t="str">
        <f>IFERROR(__xludf.DUMMYFUNCTION("""COMPUTED_VALUE"""),"Powai")</f>
        <v>Powai</v>
      </c>
      <c r="D17" s="18" t="str">
        <f>IFERROR(__xludf.DUMMYFUNCTION("""COMPUTED_VALUE"""),"Icecream")</f>
        <v>Icecream</v>
      </c>
      <c r="E17" s="18">
        <f>IFERROR(__xludf.DUMMYFUNCTION("""COMPUTED_VALUE"""),4.0)</f>
        <v>4</v>
      </c>
      <c r="F17" s="18" t="str">
        <f>IFERROR(__xludf.DUMMYFUNCTION("""COMPUTED_VALUE"""),"Sandeep Kumar")</f>
        <v>Sandeep Kumar</v>
      </c>
      <c r="G17" s="19">
        <f>IFERROR(__xludf.DUMMYFUNCTION("""COMPUTED_VALUE"""),45208.0)</f>
        <v>45208</v>
      </c>
      <c r="H17" s="18" t="str">
        <f>IFERROR(__xludf.DUMMYFUNCTION("""COMPUTED_VALUE"""),"Credit Card")</f>
        <v>Credit Card</v>
      </c>
      <c r="I17" s="18" t="str">
        <f>IFERROR(__xludf.DUMMYFUNCTION("""COMPUTED_VALUE"""),"Delivered")</f>
        <v>Delivered</v>
      </c>
      <c r="J17" s="18" t="str">
        <f>IFERROR(__xludf.DUMMYFUNCTION("""COMPUTED_VALUE"""),"Convenience")</f>
        <v>Convenience</v>
      </c>
      <c r="K17" s="18" t="str">
        <f>IFERROR(__xludf.DUMMYFUNCTION("""COMPUTED_VALUE"""),"Easy tracking")</f>
        <v>Easy tracking</v>
      </c>
      <c r="L17" s="18">
        <f>iferror(VLOOKUP($D17,Details!$A$2:$C$11,2,false),vlookup($D17,Details!$E$2:$G$11,2,false))</f>
        <v>90</v>
      </c>
      <c r="M17" s="18" t="str">
        <f>iferror(VLOOKUP($D17,Details!$A$2:$C$11,3,false),vlookup($D17,Details!$E$2:$G$11,3,false))</f>
        <v>Snacks and Drinks</v>
      </c>
      <c r="N17" s="18">
        <f t="shared" si="1"/>
        <v>360</v>
      </c>
      <c r="O17" s="17"/>
      <c r="P17" s="17"/>
      <c r="Q17" s="17"/>
      <c r="R17" s="17"/>
      <c r="S17" s="17"/>
      <c r="T17" s="17"/>
      <c r="U17" s="17"/>
      <c r="V17" s="17"/>
      <c r="W17" s="17"/>
      <c r="X17" s="17"/>
      <c r="Y17" s="17"/>
      <c r="Z17" s="17"/>
    </row>
    <row r="18">
      <c r="A18" s="18" t="str">
        <f>IFERROR(__xludf.DUMMYFUNCTION("""COMPUTED_VALUE"""),"ord_27067")</f>
        <v>ord_27067</v>
      </c>
      <c r="B18" s="18" t="str">
        <f>IFERROR(__xludf.DUMMYFUNCTION("""COMPUTED_VALUE"""),"Sana Malik")</f>
        <v>Sana Malik</v>
      </c>
      <c r="C18" s="18" t="str">
        <f>IFERROR(__xludf.DUMMYFUNCTION("""COMPUTED_VALUE"""),"Powai")</f>
        <v>Powai</v>
      </c>
      <c r="D18" s="18" t="str">
        <f>IFERROR(__xludf.DUMMYFUNCTION("""COMPUTED_VALUE"""),"Chilli Cheese Toast")</f>
        <v>Chilli Cheese Toast</v>
      </c>
      <c r="E18" s="18">
        <f>IFERROR(__xludf.DUMMYFUNCTION("""COMPUTED_VALUE"""),6.0)</f>
        <v>6</v>
      </c>
      <c r="F18" s="18" t="str">
        <f>IFERROR(__xludf.DUMMYFUNCTION("""COMPUTED_VALUE"""),"Venu R")</f>
        <v>Venu R</v>
      </c>
      <c r="G18" s="19">
        <f>IFERROR(__xludf.DUMMYFUNCTION("""COMPUTED_VALUE"""),45218.0)</f>
        <v>45218</v>
      </c>
      <c r="H18" s="18" t="str">
        <f>IFERROR(__xludf.DUMMYFUNCTION("""COMPUTED_VALUE"""),"Credit Card")</f>
        <v>Credit Card</v>
      </c>
      <c r="I18" s="18" t="str">
        <f>IFERROR(__xludf.DUMMYFUNCTION("""COMPUTED_VALUE"""),"Delivered")</f>
        <v>Delivered</v>
      </c>
      <c r="J18" s="18" t="str">
        <f>IFERROR(__xludf.DUMMYFUNCTION("""COMPUTED_VALUE"""),"Overall Satisfaction")</f>
        <v>Overall Satisfaction</v>
      </c>
      <c r="K18" s="18" t="str">
        <f>IFERROR(__xludf.DUMMYFUNCTION("""COMPUTED_VALUE"""),"Great service will order again")</f>
        <v>Great service will order again</v>
      </c>
      <c r="L18" s="18">
        <f>iferror(VLOOKUP($D18,Details!$A$2:$C$11,2,false),vlookup($D18,Details!$E$2:$G$11,2,false))</f>
        <v>80</v>
      </c>
      <c r="M18" s="18" t="str">
        <f>iferror(VLOOKUP($D18,Details!$A$2:$C$11,3,false),vlookup($D18,Details!$E$2:$G$11,3,false))</f>
        <v>Snacks and Drinks</v>
      </c>
      <c r="N18" s="18">
        <f t="shared" si="1"/>
        <v>480</v>
      </c>
      <c r="O18" s="17"/>
      <c r="P18" s="17"/>
      <c r="Q18" s="17"/>
      <c r="R18" s="17"/>
      <c r="S18" s="17"/>
      <c r="T18" s="17"/>
      <c r="U18" s="17"/>
      <c r="V18" s="17"/>
      <c r="W18" s="17"/>
      <c r="X18" s="17"/>
      <c r="Y18" s="17"/>
      <c r="Z18" s="17"/>
    </row>
    <row r="19">
      <c r="A19" s="18" t="str">
        <f>IFERROR(__xludf.DUMMYFUNCTION("""COMPUTED_VALUE"""),"ord_28071")</f>
        <v>ord_28071</v>
      </c>
      <c r="B19" s="18" t="str">
        <f>IFERROR(__xludf.DUMMYFUNCTION("""COMPUTED_VALUE"""),"Yash Verma")</f>
        <v>Yash Verma</v>
      </c>
      <c r="C19" s="18" t="str">
        <f>IFERROR(__xludf.DUMMYFUNCTION("""COMPUTED_VALUE"""),"Lower Parel")</f>
        <v>Lower Parel</v>
      </c>
      <c r="D19" s="18" t="str">
        <f>IFERROR(__xludf.DUMMYFUNCTION("""COMPUTED_VALUE"""),"Sweet Corn")</f>
        <v>Sweet Corn</v>
      </c>
      <c r="E19" s="18">
        <f>IFERROR(__xludf.DUMMYFUNCTION("""COMPUTED_VALUE"""),2.0)</f>
        <v>2</v>
      </c>
      <c r="F19" s="18" t="str">
        <f>IFERROR(__xludf.DUMMYFUNCTION("""COMPUTED_VALUE"""),"Venu R")</f>
        <v>Venu R</v>
      </c>
      <c r="G19" s="19">
        <f>IFERROR(__xludf.DUMMYFUNCTION("""COMPUTED_VALUE"""),44942.0)</f>
        <v>44942</v>
      </c>
      <c r="H19" s="18" t="str">
        <f>IFERROR(__xludf.DUMMYFUNCTION("""COMPUTED_VALUE"""),"Online Payment")</f>
        <v>Online Payment</v>
      </c>
      <c r="I19" s="18" t="str">
        <f>IFERROR(__xludf.DUMMYFUNCTION("""COMPUTED_VALUE"""),"Delivered")</f>
        <v>Delivered</v>
      </c>
      <c r="J19" s="18" t="str">
        <f>IFERROR(__xludf.DUMMYFUNCTION("""COMPUTED_VALUE"""),"On-time Delivery")</f>
        <v>On-time Delivery</v>
      </c>
      <c r="K19" s="18" t="str">
        <f>IFERROR(__xludf.DUMMYFUNCTION("""COMPUTED_VALUE"""),"Delivered on time")</f>
        <v>Delivered on time</v>
      </c>
      <c r="L19" s="18">
        <f>iferror(VLOOKUP($D19,Details!$A$2:$C$11,2,false),vlookup($D19,Details!$E$2:$G$11,2,false))</f>
        <v>60</v>
      </c>
      <c r="M19" s="18" t="str">
        <f>iferror(VLOOKUP($D19,Details!$A$2:$C$11,3,false),vlookup($D19,Details!$E$2:$G$11,3,false))</f>
        <v>Fruits and Vegetables</v>
      </c>
      <c r="N19" s="18">
        <f t="shared" si="1"/>
        <v>120</v>
      </c>
      <c r="O19" s="17"/>
      <c r="P19" s="17"/>
      <c r="Q19" s="17"/>
      <c r="R19" s="17"/>
      <c r="S19" s="17"/>
      <c r="T19" s="17"/>
      <c r="U19" s="17"/>
      <c r="V19" s="17"/>
      <c r="W19" s="17"/>
      <c r="X19" s="17"/>
      <c r="Y19" s="17"/>
      <c r="Z19" s="17"/>
    </row>
    <row r="20">
      <c r="A20" s="18" t="str">
        <f>IFERROR(__xludf.DUMMYFUNCTION("""COMPUTED_VALUE"""),"ord_29075")</f>
        <v>ord_29075</v>
      </c>
      <c r="B20" s="18" t="str">
        <f>IFERROR(__xludf.DUMMYFUNCTION("""COMPUTED_VALUE"""),"Kunal Sharma")</f>
        <v>Kunal Sharma</v>
      </c>
      <c r="C20" s="18" t="str">
        <f>IFERROR(__xludf.DUMMYFUNCTION("""COMPUTED_VALUE"""),"Powai")</f>
        <v>Powai</v>
      </c>
      <c r="D20" s="18" t="str">
        <f>IFERROR(__xludf.DUMMYFUNCTION("""COMPUTED_VALUE"""),"Juice")</f>
        <v>Juice</v>
      </c>
      <c r="E20" s="18">
        <f>IFERROR(__xludf.DUMMYFUNCTION("""COMPUTED_VALUE"""),3.0)</f>
        <v>3</v>
      </c>
      <c r="F20" s="18" t="str">
        <f>IFERROR(__xludf.DUMMYFUNCTION("""COMPUTED_VALUE"""),"Ram Gopal")</f>
        <v>Ram Gopal</v>
      </c>
      <c r="G20" s="19">
        <f>IFERROR(__xludf.DUMMYFUNCTION("""COMPUTED_VALUE"""),44997.0)</f>
        <v>44997</v>
      </c>
      <c r="H20" s="18" t="str">
        <f>IFERROR(__xludf.DUMMYFUNCTION("""COMPUTED_VALUE"""),"Online Payment")</f>
        <v>Online Payment</v>
      </c>
      <c r="I20" s="18" t="str">
        <f>IFERROR(__xludf.DUMMYFUNCTION("""COMPUTED_VALUE"""),"Delivered")</f>
        <v>Delivered</v>
      </c>
      <c r="J20" s="18" t="str">
        <f>IFERROR(__xludf.DUMMYFUNCTION("""COMPUTED_VALUE"""),"Quality of Items")</f>
        <v>Quality of Items</v>
      </c>
      <c r="K20" s="18" t="str">
        <f>IFERROR(__xludf.DUMMYFUNCTION("""COMPUTED_VALUE"""),"Perfect condition")</f>
        <v>Perfect condition</v>
      </c>
      <c r="L20" s="18">
        <f>iferror(VLOOKUP($D20,Details!$A$2:$C$11,2,false),vlookup($D20,Details!$E$2:$G$11,2,false))</f>
        <v>90</v>
      </c>
      <c r="M20" s="18" t="str">
        <f>iferror(VLOOKUP($D20,Details!$A$2:$C$11,3,false),vlookup($D20,Details!$E$2:$G$11,3,false))</f>
        <v>Snacks and Drinks</v>
      </c>
      <c r="N20" s="18">
        <f t="shared" si="1"/>
        <v>270</v>
      </c>
      <c r="O20" s="17"/>
      <c r="P20" s="17"/>
      <c r="Q20" s="17"/>
      <c r="R20" s="17"/>
      <c r="S20" s="17"/>
      <c r="T20" s="17"/>
      <c r="U20" s="17"/>
      <c r="V20" s="17"/>
      <c r="W20" s="17"/>
      <c r="X20" s="17"/>
      <c r="Y20" s="17"/>
      <c r="Z20" s="17"/>
    </row>
    <row r="21">
      <c r="A21" s="18" t="str">
        <f>IFERROR(__xludf.DUMMYFUNCTION("""COMPUTED_VALUE"""),"ord_30079")</f>
        <v>ord_30079</v>
      </c>
      <c r="B21" s="18" t="str">
        <f>IFERROR(__xludf.DUMMYFUNCTION("""COMPUTED_VALUE"""),"Anaya Rao")</f>
        <v>Anaya Rao</v>
      </c>
      <c r="C21" s="18" t="str">
        <f>IFERROR(__xludf.DUMMYFUNCTION("""COMPUTED_VALUE"""),"Colaba")</f>
        <v>Colaba</v>
      </c>
      <c r="D21" s="18" t="str">
        <f>IFERROR(__xludf.DUMMYFUNCTION("""COMPUTED_VALUE"""),"Cold Coffee")</f>
        <v>Cold Coffee</v>
      </c>
      <c r="E21" s="18">
        <f>IFERROR(__xludf.DUMMYFUNCTION("""COMPUTED_VALUE"""),1.0)</f>
        <v>1</v>
      </c>
      <c r="F21" s="18" t="str">
        <f>IFERROR(__xludf.DUMMYFUNCTION("""COMPUTED_VALUE"""),"Venu R")</f>
        <v>Venu R</v>
      </c>
      <c r="G21" s="19">
        <f>IFERROR(__xludf.DUMMYFUNCTION("""COMPUTED_VALUE"""),45083.0)</f>
        <v>45083</v>
      </c>
      <c r="H21" s="18" t="str">
        <f>IFERROR(__xludf.DUMMYFUNCTION("""COMPUTED_VALUE"""),"Credit Card")</f>
        <v>Credit Card</v>
      </c>
      <c r="I21" s="18" t="str">
        <f>IFERROR(__xludf.DUMMYFUNCTION("""COMPUTED_VALUE"""),"Delivered")</f>
        <v>Delivered</v>
      </c>
      <c r="J21" s="18" t="str">
        <f>IFERROR(__xludf.DUMMYFUNCTION("""COMPUTED_VALUE"""),"Packaging")</f>
        <v>Packaging</v>
      </c>
      <c r="K21" s="18" t="str">
        <f>IFERROR(__xludf.DUMMYFUNCTION("""COMPUTED_VALUE"""),"Secure and intact")</f>
        <v>Secure and intact</v>
      </c>
      <c r="L21" s="18">
        <f>iferror(VLOOKUP($D21,Details!$A$2:$C$11,2,false),vlookup($D21,Details!$E$2:$G$11,2,false))</f>
        <v>270</v>
      </c>
      <c r="M21" s="18" t="str">
        <f>iferror(VLOOKUP($D21,Details!$A$2:$C$11,3,false),vlookup($D21,Details!$E$2:$G$11,3,false))</f>
        <v>Snacks and Drinks</v>
      </c>
      <c r="N21" s="18">
        <f t="shared" si="1"/>
        <v>270</v>
      </c>
      <c r="O21" s="17"/>
      <c r="P21" s="17"/>
      <c r="Q21" s="17"/>
      <c r="R21" s="17"/>
      <c r="S21" s="17"/>
      <c r="T21" s="17"/>
      <c r="U21" s="17"/>
      <c r="V21" s="17"/>
      <c r="W21" s="17"/>
      <c r="X21" s="17"/>
      <c r="Y21" s="17"/>
      <c r="Z21" s="17"/>
    </row>
    <row r="22">
      <c r="A22" s="18" t="str">
        <f>IFERROR(__xludf.DUMMYFUNCTION("""COMPUTED_VALUE"""),"ord_31083")</f>
        <v>ord_31083</v>
      </c>
      <c r="B22" s="18" t="str">
        <f>IFERROR(__xludf.DUMMYFUNCTION("""COMPUTED_VALUE"""),"Ritika Dutta")</f>
        <v>Ritika Dutta</v>
      </c>
      <c r="C22" s="18" t="str">
        <f>IFERROR(__xludf.DUMMYFUNCTION("""COMPUTED_VALUE"""),"Lower Parel")</f>
        <v>Lower Parel</v>
      </c>
      <c r="D22" s="18" t="str">
        <f>IFERROR(__xludf.DUMMYFUNCTION("""COMPUTED_VALUE"""),"Tomato")</f>
        <v>Tomato</v>
      </c>
      <c r="E22" s="18">
        <f>IFERROR(__xludf.DUMMYFUNCTION("""COMPUTED_VALUE"""),3.0)</f>
        <v>3</v>
      </c>
      <c r="F22" s="18" t="str">
        <f>IFERROR(__xludf.DUMMYFUNCTION("""COMPUTED_VALUE"""),"Nithin Lal")</f>
        <v>Nithin Lal</v>
      </c>
      <c r="G22" s="19">
        <f>IFERROR(__xludf.DUMMYFUNCTION("""COMPUTED_VALUE"""),44971.0)</f>
        <v>44971</v>
      </c>
      <c r="H22" s="18" t="str">
        <f>IFERROR(__xludf.DUMMYFUNCTION("""COMPUTED_VALUE"""),"COD")</f>
        <v>COD</v>
      </c>
      <c r="I22" s="18" t="str">
        <f>IFERROR(__xludf.DUMMYFUNCTION("""COMPUTED_VALUE"""),"Delivered")</f>
        <v>Delivered</v>
      </c>
      <c r="J22" s="18" t="str">
        <f>IFERROR(__xludf.DUMMYFUNCTION("""COMPUTED_VALUE"""),"Satisfied with the Delivery")</f>
        <v>Satisfied with the Delivery</v>
      </c>
      <c r="K22" s="18" t="str">
        <f>IFERROR(__xludf.DUMMYFUNCTION("""COMPUTED_VALUE"""),"Timely and quality")</f>
        <v>Timely and quality</v>
      </c>
      <c r="L22" s="18">
        <f>iferror(VLOOKUP($D22,Details!$A$2:$C$11,2,false),vlookup($D22,Details!$E$2:$G$11,2,false))</f>
        <v>25</v>
      </c>
      <c r="M22" s="18" t="str">
        <f>iferror(VLOOKUP($D22,Details!$A$2:$C$11,3,false),vlookup($D22,Details!$E$2:$G$11,3,false))</f>
        <v>Fruits and Vegetables</v>
      </c>
      <c r="N22" s="18">
        <f t="shared" si="1"/>
        <v>75</v>
      </c>
      <c r="O22" s="17"/>
      <c r="P22" s="17"/>
      <c r="Q22" s="17"/>
      <c r="R22" s="17"/>
      <c r="S22" s="17"/>
      <c r="T22" s="17"/>
      <c r="U22" s="17"/>
      <c r="V22" s="17"/>
      <c r="W22" s="17"/>
      <c r="X22" s="17"/>
      <c r="Y22" s="17"/>
      <c r="Z22" s="17"/>
    </row>
    <row r="23">
      <c r="A23" s="18" t="str">
        <f>IFERROR(__xludf.DUMMYFUNCTION("""COMPUTED_VALUE"""),"ord_32087")</f>
        <v>ord_32087</v>
      </c>
      <c r="B23" s="18" t="str">
        <f>IFERROR(__xludf.DUMMYFUNCTION("""COMPUTED_VALUE"""),"Aditya Basu")</f>
        <v>Aditya Basu</v>
      </c>
      <c r="C23" s="18" t="str">
        <f>IFERROR(__xludf.DUMMYFUNCTION("""COMPUTED_VALUE"""),"Juhu")</f>
        <v>Juhu</v>
      </c>
      <c r="D23" s="18" t="str">
        <f>IFERROR(__xludf.DUMMYFUNCTION("""COMPUTED_VALUE"""),"Veg Puff")</f>
        <v>Veg Puff</v>
      </c>
      <c r="E23" s="18">
        <f>IFERROR(__xludf.DUMMYFUNCTION("""COMPUTED_VALUE"""),6.0)</f>
        <v>6</v>
      </c>
      <c r="F23" s="18" t="str">
        <f>IFERROR(__xludf.DUMMYFUNCTION("""COMPUTED_VALUE"""),"Ram Gopal")</f>
        <v>Ram Gopal</v>
      </c>
      <c r="G23" s="19">
        <f>IFERROR(__xludf.DUMMYFUNCTION("""COMPUTED_VALUE"""),45280.0)</f>
        <v>45280</v>
      </c>
      <c r="H23" s="18" t="str">
        <f>IFERROR(__xludf.DUMMYFUNCTION("""COMPUTED_VALUE"""),"UPI")</f>
        <v>UPI</v>
      </c>
      <c r="I23" s="18" t="str">
        <f>IFERROR(__xludf.DUMMYFUNCTION("""COMPUTED_VALUE"""),"Delivered")</f>
        <v>Delivered</v>
      </c>
      <c r="J23" s="18" t="str">
        <f>IFERROR(__xludf.DUMMYFUNCTION("""COMPUTED_VALUE"""),"Customer Service")</f>
        <v>Customer Service</v>
      </c>
      <c r="K23" s="18" t="str">
        <f>IFERROR(__xludf.DUMMYFUNCTION("""COMPUTED_VALUE"""),"Seamless and easy")</f>
        <v>Seamless and easy</v>
      </c>
      <c r="L23" s="18">
        <f>iferror(VLOOKUP($D23,Details!$A$2:$C$11,2,false),vlookup($D23,Details!$E$2:$G$11,2,false))</f>
        <v>80</v>
      </c>
      <c r="M23" s="18" t="str">
        <f>iferror(VLOOKUP($D23,Details!$A$2:$C$11,3,false),vlookup($D23,Details!$E$2:$G$11,3,false))</f>
        <v>Snacks and Drinks</v>
      </c>
      <c r="N23" s="18">
        <f t="shared" si="1"/>
        <v>480</v>
      </c>
      <c r="O23" s="17"/>
      <c r="P23" s="17"/>
      <c r="Q23" s="17"/>
      <c r="R23" s="17"/>
      <c r="S23" s="17"/>
      <c r="T23" s="17"/>
      <c r="U23" s="17"/>
      <c r="V23" s="17"/>
      <c r="W23" s="17"/>
      <c r="X23" s="17"/>
      <c r="Y23" s="17"/>
      <c r="Z23" s="17"/>
    </row>
    <row r="24">
      <c r="A24" s="18" t="str">
        <f>IFERROR(__xludf.DUMMYFUNCTION("""COMPUTED_VALUE"""),"ord_33091")</f>
        <v>ord_33091</v>
      </c>
      <c r="B24" s="18" t="str">
        <f>IFERROR(__xludf.DUMMYFUNCTION("""COMPUTED_VALUE"""),"Aditya Basu")</f>
        <v>Aditya Basu</v>
      </c>
      <c r="C24" s="18" t="str">
        <f>IFERROR(__xludf.DUMMYFUNCTION("""COMPUTED_VALUE"""),"Juhu")</f>
        <v>Juhu</v>
      </c>
      <c r="D24" s="18" t="str">
        <f>IFERROR(__xludf.DUMMYFUNCTION("""COMPUTED_VALUE"""),"Chicken Puff")</f>
        <v>Chicken Puff</v>
      </c>
      <c r="E24" s="18">
        <f>IFERROR(__xludf.DUMMYFUNCTION("""COMPUTED_VALUE"""),5.0)</f>
        <v>5</v>
      </c>
      <c r="F24" s="18" t="str">
        <f>IFERROR(__xludf.DUMMYFUNCTION("""COMPUTED_VALUE"""),"Ramesh S")</f>
        <v>Ramesh S</v>
      </c>
      <c r="G24" s="19">
        <f>IFERROR(__xludf.DUMMYFUNCTION("""COMPUTED_VALUE"""),45286.0)</f>
        <v>45286</v>
      </c>
      <c r="H24" s="18" t="str">
        <f>IFERROR(__xludf.DUMMYFUNCTION("""COMPUTED_VALUE"""),"UPI")</f>
        <v>UPI</v>
      </c>
      <c r="I24" s="18" t="str">
        <f>IFERROR(__xludf.DUMMYFUNCTION("""COMPUTED_VALUE"""),"Delivered")</f>
        <v>Delivered</v>
      </c>
      <c r="J24" s="18" t="str">
        <f>IFERROR(__xludf.DUMMYFUNCTION("""COMPUTED_VALUE"""),"Delivery Experience")</f>
        <v>Delivery Experience</v>
      </c>
      <c r="K24" s="18" t="str">
        <f>IFERROR(__xludf.DUMMYFUNCTION("""COMPUTED_VALUE"""),"Quick and professional")</f>
        <v>Quick and professional</v>
      </c>
      <c r="L24" s="18">
        <f>iferror(VLOOKUP($D24,Details!$A$2:$C$11,2,false),vlookup($D24,Details!$E$2:$G$11,2,false))</f>
        <v>90</v>
      </c>
      <c r="M24" s="18" t="str">
        <f>iferror(VLOOKUP($D24,Details!$A$2:$C$11,3,false),vlookup($D24,Details!$E$2:$G$11,3,false))</f>
        <v>Snacks and Drinks</v>
      </c>
      <c r="N24" s="18">
        <f t="shared" si="1"/>
        <v>450</v>
      </c>
      <c r="O24" s="17"/>
      <c r="P24" s="17"/>
      <c r="Q24" s="17"/>
      <c r="R24" s="17"/>
      <c r="S24" s="17"/>
      <c r="T24" s="17"/>
      <c r="U24" s="17"/>
      <c r="V24" s="17"/>
      <c r="W24" s="17"/>
      <c r="X24" s="17"/>
      <c r="Y24" s="17"/>
      <c r="Z24" s="17"/>
    </row>
    <row r="25">
      <c r="A25" s="18" t="str">
        <f>IFERROR(__xludf.DUMMYFUNCTION("""COMPUTED_VALUE"""),"ord_34095")</f>
        <v>ord_34095</v>
      </c>
      <c r="B25" s="18" t="str">
        <f>IFERROR(__xludf.DUMMYFUNCTION("""COMPUTED_VALUE"""),"Anaya Rao")</f>
        <v>Anaya Rao</v>
      </c>
      <c r="C25" s="18" t="str">
        <f>IFERROR(__xludf.DUMMYFUNCTION("""COMPUTED_VALUE"""),"Colaba")</f>
        <v>Colaba</v>
      </c>
      <c r="D25" s="18" t="str">
        <f>IFERROR(__xludf.DUMMYFUNCTION("""COMPUTED_VALUE"""),"Sweet Corn")</f>
        <v>Sweet Corn</v>
      </c>
      <c r="E25" s="18">
        <f>IFERROR(__xludf.DUMMYFUNCTION("""COMPUTED_VALUE"""),2.0)</f>
        <v>2</v>
      </c>
      <c r="F25" s="18" t="str">
        <f>IFERROR(__xludf.DUMMYFUNCTION("""COMPUTED_VALUE"""),"Ramesh S")</f>
        <v>Ramesh S</v>
      </c>
      <c r="G25" s="19">
        <f>IFERROR(__xludf.DUMMYFUNCTION("""COMPUTED_VALUE"""),45193.0)</f>
        <v>45193</v>
      </c>
      <c r="H25" s="18" t="str">
        <f>IFERROR(__xludf.DUMMYFUNCTION("""COMPUTED_VALUE"""),"Online Payment")</f>
        <v>Online Payment</v>
      </c>
      <c r="I25" s="18" t="str">
        <f>IFERROR(__xludf.DUMMYFUNCTION("""COMPUTED_VALUE"""),"Delivered")</f>
        <v>Delivered</v>
      </c>
      <c r="J25" s="18" t="str">
        <f>IFERROR(__xludf.DUMMYFUNCTION("""COMPUTED_VALUE"""),"Convenience")</f>
        <v>Convenience</v>
      </c>
      <c r="K25" s="18" t="str">
        <f>IFERROR(__xludf.DUMMYFUNCTION("""COMPUTED_VALUE"""),"Easy tracking")</f>
        <v>Easy tracking</v>
      </c>
      <c r="L25" s="18">
        <f>iferror(VLOOKUP($D25,Details!$A$2:$C$11,2,false),vlookup($D25,Details!$E$2:$G$11,2,false))</f>
        <v>60</v>
      </c>
      <c r="M25" s="18" t="str">
        <f>iferror(VLOOKUP($D25,Details!$A$2:$C$11,3,false),vlookup($D25,Details!$E$2:$G$11,3,false))</f>
        <v>Fruits and Vegetables</v>
      </c>
      <c r="N25" s="18">
        <f t="shared" si="1"/>
        <v>120</v>
      </c>
      <c r="O25" s="17"/>
      <c r="P25" s="17"/>
      <c r="Q25" s="17"/>
      <c r="R25" s="17"/>
      <c r="S25" s="17"/>
      <c r="T25" s="17"/>
      <c r="U25" s="17"/>
      <c r="V25" s="17"/>
      <c r="W25" s="17"/>
      <c r="X25" s="17"/>
      <c r="Y25" s="17"/>
      <c r="Z25" s="17"/>
    </row>
    <row r="26">
      <c r="A26" s="18" t="str">
        <f>IFERROR(__xludf.DUMMYFUNCTION("""COMPUTED_VALUE"""),"ord_35099")</f>
        <v>ord_35099</v>
      </c>
      <c r="B26" s="18" t="str">
        <f>IFERROR(__xludf.DUMMYFUNCTION("""COMPUTED_VALUE"""),"Simran Bhatt")</f>
        <v>Simran Bhatt</v>
      </c>
      <c r="C26" s="18" t="str">
        <f>IFERROR(__xludf.DUMMYFUNCTION("""COMPUTED_VALUE"""),"Juhu")</f>
        <v>Juhu</v>
      </c>
      <c r="D26" s="18" t="str">
        <f>IFERROR(__xludf.DUMMYFUNCTION("""COMPUTED_VALUE"""),"Papaya")</f>
        <v>Papaya</v>
      </c>
      <c r="E26" s="18">
        <f>IFERROR(__xludf.DUMMYFUNCTION("""COMPUTED_VALUE"""),1.0)</f>
        <v>1</v>
      </c>
      <c r="F26" s="18" t="str">
        <f>IFERROR(__xludf.DUMMYFUNCTION("""COMPUTED_VALUE"""),"Nithin Lal")</f>
        <v>Nithin Lal</v>
      </c>
      <c r="G26" s="19">
        <f>IFERROR(__xludf.DUMMYFUNCTION("""COMPUTED_VALUE"""),45197.0)</f>
        <v>45197</v>
      </c>
      <c r="H26" s="18" t="str">
        <f>IFERROR(__xludf.DUMMYFUNCTION("""COMPUTED_VALUE"""),"Online Payment")</f>
        <v>Online Payment</v>
      </c>
      <c r="I26" s="18" t="str">
        <f>IFERROR(__xludf.DUMMYFUNCTION("""COMPUTED_VALUE"""),"Delivered")</f>
        <v>Delivered</v>
      </c>
      <c r="J26" s="18" t="str">
        <f>IFERROR(__xludf.DUMMYFUNCTION("""COMPUTED_VALUE"""),"Overall Satisfaction")</f>
        <v>Overall Satisfaction</v>
      </c>
      <c r="K26" s="18" t="str">
        <f>IFERROR(__xludf.DUMMYFUNCTION("""COMPUTED_VALUE"""),"Great service will order again")</f>
        <v>Great service will order again</v>
      </c>
      <c r="L26" s="18">
        <f>iferror(VLOOKUP($D26,Details!$A$2:$C$11,2,false),vlookup($D26,Details!$E$2:$G$11,2,false))</f>
        <v>75</v>
      </c>
      <c r="M26" s="18" t="str">
        <f>iferror(VLOOKUP($D26,Details!$A$2:$C$11,3,false),vlookup($D26,Details!$E$2:$G$11,3,false))</f>
        <v>Fruits and Vegetables</v>
      </c>
      <c r="N26" s="18">
        <f t="shared" si="1"/>
        <v>75</v>
      </c>
      <c r="O26" s="17"/>
      <c r="P26" s="17"/>
      <c r="Q26" s="17"/>
      <c r="R26" s="17"/>
      <c r="S26" s="17"/>
      <c r="T26" s="17"/>
      <c r="U26" s="17"/>
      <c r="V26" s="17"/>
      <c r="W26" s="17"/>
      <c r="X26" s="17"/>
      <c r="Y26" s="17"/>
      <c r="Z26" s="17"/>
    </row>
    <row r="27">
      <c r="A27" s="18" t="str">
        <f>IFERROR(__xludf.DUMMYFUNCTION("""COMPUTED_VALUE"""),"ord_36103")</f>
        <v>ord_36103</v>
      </c>
      <c r="B27" s="18" t="str">
        <f>IFERROR(__xludf.DUMMYFUNCTION("""COMPUTED_VALUE"""),"Aarav Mehta")</f>
        <v>Aarav Mehta</v>
      </c>
      <c r="C27" s="18" t="str">
        <f>IFERROR(__xludf.DUMMYFUNCTION("""COMPUTED_VALUE"""),"Andheri")</f>
        <v>Andheri</v>
      </c>
      <c r="D27" s="18" t="str">
        <f>IFERROR(__xludf.DUMMYFUNCTION("""COMPUTED_VALUE"""),"Sweet Corn")</f>
        <v>Sweet Corn</v>
      </c>
      <c r="E27" s="18">
        <f>IFERROR(__xludf.DUMMYFUNCTION("""COMPUTED_VALUE"""),2.0)</f>
        <v>2</v>
      </c>
      <c r="F27" s="18" t="str">
        <f>IFERROR(__xludf.DUMMYFUNCTION("""COMPUTED_VALUE"""),"Rohan Yadav")</f>
        <v>Rohan Yadav</v>
      </c>
      <c r="G27" s="19">
        <f>IFERROR(__xludf.DUMMYFUNCTION("""COMPUTED_VALUE"""),44972.0)</f>
        <v>44972</v>
      </c>
      <c r="H27" s="18" t="str">
        <f>IFERROR(__xludf.DUMMYFUNCTION("""COMPUTED_VALUE"""),"Credit Card")</f>
        <v>Credit Card</v>
      </c>
      <c r="I27" s="18" t="str">
        <f>IFERROR(__xludf.DUMMYFUNCTION("""COMPUTED_VALUE"""),"Delivered")</f>
        <v>Delivered</v>
      </c>
      <c r="J27" s="18" t="str">
        <f>IFERROR(__xludf.DUMMYFUNCTION("""COMPUTED_VALUE"""),"On-time Delivery")</f>
        <v>On-time Delivery</v>
      </c>
      <c r="K27" s="18" t="str">
        <f>IFERROR(__xludf.DUMMYFUNCTION("""COMPUTED_VALUE"""),"Delivered on time")</f>
        <v>Delivered on time</v>
      </c>
      <c r="L27" s="18">
        <f>iferror(VLOOKUP($D27,Details!$A$2:$C$11,2,false),vlookup($D27,Details!$E$2:$G$11,2,false))</f>
        <v>60</v>
      </c>
      <c r="M27" s="18" t="str">
        <f>iferror(VLOOKUP($D27,Details!$A$2:$C$11,3,false),vlookup($D27,Details!$E$2:$G$11,3,false))</f>
        <v>Fruits and Vegetables</v>
      </c>
      <c r="N27" s="18">
        <f t="shared" si="1"/>
        <v>120</v>
      </c>
      <c r="O27" s="17"/>
      <c r="P27" s="17"/>
      <c r="Q27" s="17"/>
      <c r="R27" s="17"/>
      <c r="S27" s="17"/>
      <c r="T27" s="17"/>
      <c r="U27" s="17"/>
      <c r="V27" s="17"/>
      <c r="W27" s="17"/>
      <c r="X27" s="17"/>
      <c r="Y27" s="17"/>
      <c r="Z27" s="17"/>
    </row>
    <row r="28">
      <c r="A28" s="18" t="str">
        <f>IFERROR(__xludf.DUMMYFUNCTION("""COMPUTED_VALUE"""),"ord_37107")</f>
        <v>ord_37107</v>
      </c>
      <c r="B28" s="18" t="str">
        <f>IFERROR(__xludf.DUMMYFUNCTION("""COMPUTED_VALUE"""),"Simran Bhatt")</f>
        <v>Simran Bhatt</v>
      </c>
      <c r="C28" s="18" t="str">
        <f>IFERROR(__xludf.DUMMYFUNCTION("""COMPUTED_VALUE"""),"Juhu")</f>
        <v>Juhu</v>
      </c>
      <c r="D28" s="18" t="str">
        <f>IFERROR(__xludf.DUMMYFUNCTION("""COMPUTED_VALUE"""),"Orange")</f>
        <v>Orange</v>
      </c>
      <c r="E28" s="18">
        <f>IFERROR(__xludf.DUMMYFUNCTION("""COMPUTED_VALUE"""),2.0)</f>
        <v>2</v>
      </c>
      <c r="F28" s="18" t="str">
        <f>IFERROR(__xludf.DUMMYFUNCTION("""COMPUTED_VALUE"""),"Sita T")</f>
        <v>Sita T</v>
      </c>
      <c r="G28" s="19">
        <f>IFERROR(__xludf.DUMMYFUNCTION("""COMPUTED_VALUE"""),45245.0)</f>
        <v>45245</v>
      </c>
      <c r="H28" s="18" t="str">
        <f>IFERROR(__xludf.DUMMYFUNCTION("""COMPUTED_VALUE"""),"UPI")</f>
        <v>UPI</v>
      </c>
      <c r="I28" s="18" t="str">
        <f>IFERROR(__xludf.DUMMYFUNCTION("""COMPUTED_VALUE"""),"Delivered")</f>
        <v>Delivered</v>
      </c>
      <c r="J28" s="18" t="str">
        <f>IFERROR(__xludf.DUMMYFUNCTION("""COMPUTED_VALUE"""),"Quality of Items")</f>
        <v>Quality of Items</v>
      </c>
      <c r="K28" s="18" t="str">
        <f>IFERROR(__xludf.DUMMYFUNCTION("""COMPUTED_VALUE"""),"Perfect condition")</f>
        <v>Perfect condition</v>
      </c>
      <c r="L28" s="18">
        <f>iferror(VLOOKUP($D28,Details!$A$2:$C$11,2,false),vlookup($D28,Details!$E$2:$G$11,2,false))</f>
        <v>180</v>
      </c>
      <c r="M28" s="18" t="str">
        <f>iferror(VLOOKUP($D28,Details!$A$2:$C$11,3,false),vlookup($D28,Details!$E$2:$G$11,3,false))</f>
        <v>Fruits and Vegetables</v>
      </c>
      <c r="N28" s="18">
        <f t="shared" si="1"/>
        <v>360</v>
      </c>
      <c r="O28" s="17"/>
      <c r="P28" s="17"/>
      <c r="Q28" s="17"/>
      <c r="R28" s="17"/>
      <c r="S28" s="17"/>
      <c r="T28" s="17"/>
      <c r="U28" s="17"/>
      <c r="V28" s="17"/>
      <c r="W28" s="17"/>
      <c r="X28" s="17"/>
      <c r="Y28" s="17"/>
      <c r="Z28" s="17"/>
    </row>
    <row r="29">
      <c r="A29" s="18" t="str">
        <f>IFERROR(__xludf.DUMMYFUNCTION("""COMPUTED_VALUE"""),"ord_38111")</f>
        <v>ord_38111</v>
      </c>
      <c r="B29" s="18" t="str">
        <f>IFERROR(__xludf.DUMMYFUNCTION("""COMPUTED_VALUE"""),"Siya Reddy")</f>
        <v>Siya Reddy</v>
      </c>
      <c r="C29" s="18" t="str">
        <f>IFERROR(__xludf.DUMMYFUNCTION("""COMPUTED_VALUE"""),"Juhu")</f>
        <v>Juhu</v>
      </c>
      <c r="D29" s="18" t="str">
        <f>IFERROR(__xludf.DUMMYFUNCTION("""COMPUTED_VALUE"""),"Chilli Cheese Toast")</f>
        <v>Chilli Cheese Toast</v>
      </c>
      <c r="E29" s="18">
        <f>IFERROR(__xludf.DUMMYFUNCTION("""COMPUTED_VALUE"""),5.0)</f>
        <v>5</v>
      </c>
      <c r="F29" s="18" t="str">
        <f>IFERROR(__xludf.DUMMYFUNCTION("""COMPUTED_VALUE"""),"Priya Joshi")</f>
        <v>Priya Joshi</v>
      </c>
      <c r="G29" s="19">
        <f>IFERROR(__xludf.DUMMYFUNCTION("""COMPUTED_VALUE"""),45084.0)</f>
        <v>45084</v>
      </c>
      <c r="H29" s="18" t="str">
        <f>IFERROR(__xludf.DUMMYFUNCTION("""COMPUTED_VALUE"""),"Credit Card")</f>
        <v>Credit Card</v>
      </c>
      <c r="I29" s="18" t="str">
        <f>IFERROR(__xludf.DUMMYFUNCTION("""COMPUTED_VALUE"""),"Cancelled")</f>
        <v>Cancelled</v>
      </c>
      <c r="J29" s="18" t="str">
        <f>IFERROR(__xludf.DUMMYFUNCTION("""COMPUTED_VALUE"""),"Delayed Delivery")</f>
        <v>Delayed Delivery</v>
      </c>
      <c r="K29" s="18" t="str">
        <f>IFERROR(__xludf.DUMMYFUNCTION("""COMPUTED_VALUE"""),"Bad Weather Conditions")</f>
        <v>Bad Weather Conditions</v>
      </c>
      <c r="L29" s="18">
        <f>iferror(VLOOKUP($D29,Details!$A$2:$C$11,2,false),vlookup($D29,Details!$E$2:$G$11,2,false))</f>
        <v>80</v>
      </c>
      <c r="M29" s="18" t="str">
        <f>iferror(VLOOKUP($D29,Details!$A$2:$C$11,3,false),vlookup($D29,Details!$E$2:$G$11,3,false))</f>
        <v>Snacks and Drinks</v>
      </c>
      <c r="N29" s="18">
        <f t="shared" si="1"/>
        <v>400</v>
      </c>
      <c r="O29" s="17"/>
      <c r="P29" s="17"/>
      <c r="Q29" s="17"/>
      <c r="R29" s="17"/>
      <c r="S29" s="17"/>
      <c r="T29" s="17"/>
      <c r="U29" s="17"/>
      <c r="V29" s="17"/>
      <c r="W29" s="17"/>
      <c r="X29" s="17"/>
      <c r="Y29" s="17"/>
      <c r="Z29" s="17"/>
    </row>
    <row r="30">
      <c r="A30" s="18" t="str">
        <f>IFERROR(__xludf.DUMMYFUNCTION("""COMPUTED_VALUE"""),"ord_39115")</f>
        <v>ord_39115</v>
      </c>
      <c r="B30" s="18" t="str">
        <f>IFERROR(__xludf.DUMMYFUNCTION("""COMPUTED_VALUE"""),"Simran Bhatt")</f>
        <v>Simran Bhatt</v>
      </c>
      <c r="C30" s="18" t="str">
        <f>IFERROR(__xludf.DUMMYFUNCTION("""COMPUTED_VALUE"""),"Juhu")</f>
        <v>Juhu</v>
      </c>
      <c r="D30" s="18" t="str">
        <f>IFERROR(__xludf.DUMMYFUNCTION("""COMPUTED_VALUE"""),"Apple")</f>
        <v>Apple</v>
      </c>
      <c r="E30" s="18">
        <f>IFERROR(__xludf.DUMMYFUNCTION("""COMPUTED_VALUE"""),2.0)</f>
        <v>2</v>
      </c>
      <c r="F30" s="18" t="str">
        <f>IFERROR(__xludf.DUMMYFUNCTION("""COMPUTED_VALUE"""),"Ramesh S")</f>
        <v>Ramesh S</v>
      </c>
      <c r="G30" s="19">
        <f>IFERROR(__xludf.DUMMYFUNCTION("""COMPUTED_VALUE"""),45005.0)</f>
        <v>45005</v>
      </c>
      <c r="H30" s="18" t="str">
        <f>IFERROR(__xludf.DUMMYFUNCTION("""COMPUTED_VALUE"""),"Credit Card")</f>
        <v>Credit Card</v>
      </c>
      <c r="I30" s="18" t="str">
        <f>IFERROR(__xludf.DUMMYFUNCTION("""COMPUTED_VALUE"""),"Delivered")</f>
        <v>Delivered</v>
      </c>
      <c r="J30" s="18" t="str">
        <f>IFERROR(__xludf.DUMMYFUNCTION("""COMPUTED_VALUE"""),"Packaging")</f>
        <v>Packaging</v>
      </c>
      <c r="K30" s="18" t="str">
        <f>IFERROR(__xludf.DUMMYFUNCTION("""COMPUTED_VALUE"""),"Secure and intact")</f>
        <v>Secure and intact</v>
      </c>
      <c r="L30" s="18">
        <f>iferror(VLOOKUP($D30,Details!$A$2:$C$11,2,false),vlookup($D30,Details!$E$2:$G$11,2,false))</f>
        <v>230</v>
      </c>
      <c r="M30" s="18" t="str">
        <f>iferror(VLOOKUP($D30,Details!$A$2:$C$11,3,false),vlookup($D30,Details!$E$2:$G$11,3,false))</f>
        <v>Fruits and Vegetables</v>
      </c>
      <c r="N30" s="18">
        <f t="shared" si="1"/>
        <v>460</v>
      </c>
      <c r="O30" s="17"/>
      <c r="P30" s="17"/>
      <c r="Q30" s="17"/>
      <c r="R30" s="17"/>
      <c r="S30" s="17"/>
      <c r="T30" s="17"/>
      <c r="U30" s="17"/>
      <c r="V30" s="17"/>
      <c r="W30" s="17"/>
      <c r="X30" s="17"/>
      <c r="Y30" s="17"/>
      <c r="Z30" s="17"/>
    </row>
    <row r="31">
      <c r="A31" s="18" t="str">
        <f>IFERROR(__xludf.DUMMYFUNCTION("""COMPUTED_VALUE"""),"ord_40119")</f>
        <v>ord_40119</v>
      </c>
      <c r="B31" s="18" t="str">
        <f>IFERROR(__xludf.DUMMYFUNCTION("""COMPUTED_VALUE"""),"Anaya Rao")</f>
        <v>Anaya Rao</v>
      </c>
      <c r="C31" s="18" t="str">
        <f>IFERROR(__xludf.DUMMYFUNCTION("""COMPUTED_VALUE"""),"Colaba")</f>
        <v>Colaba</v>
      </c>
      <c r="D31" s="18" t="str">
        <f>IFERROR(__xludf.DUMMYFUNCTION("""COMPUTED_VALUE"""),"Chilli Cheese Toast")</f>
        <v>Chilli Cheese Toast</v>
      </c>
      <c r="E31" s="18">
        <f>IFERROR(__xludf.DUMMYFUNCTION("""COMPUTED_VALUE"""),3.0)</f>
        <v>3</v>
      </c>
      <c r="F31" s="18" t="str">
        <f>IFERROR(__xludf.DUMMYFUNCTION("""COMPUTED_VALUE"""),"Ramesh S")</f>
        <v>Ramesh S</v>
      </c>
      <c r="G31" s="19">
        <f>IFERROR(__xludf.DUMMYFUNCTION("""COMPUTED_VALUE"""),44944.0)</f>
        <v>44944</v>
      </c>
      <c r="H31" s="18" t="str">
        <f>IFERROR(__xludf.DUMMYFUNCTION("""COMPUTED_VALUE"""),"UPI")</f>
        <v>UPI</v>
      </c>
      <c r="I31" s="18" t="str">
        <f>IFERROR(__xludf.DUMMYFUNCTION("""COMPUTED_VALUE"""),"Delivered")</f>
        <v>Delivered</v>
      </c>
      <c r="J31" s="18" t="str">
        <f>IFERROR(__xludf.DUMMYFUNCTION("""COMPUTED_VALUE"""),"Satisfied with the Delivery")</f>
        <v>Satisfied with the Delivery</v>
      </c>
      <c r="K31" s="18" t="str">
        <f>IFERROR(__xludf.DUMMYFUNCTION("""COMPUTED_VALUE"""),"Timely and quality")</f>
        <v>Timely and quality</v>
      </c>
      <c r="L31" s="18">
        <f>iferror(VLOOKUP($D31,Details!$A$2:$C$11,2,false),vlookup($D31,Details!$E$2:$G$11,2,false))</f>
        <v>80</v>
      </c>
      <c r="M31" s="18" t="str">
        <f>iferror(VLOOKUP($D31,Details!$A$2:$C$11,3,false),vlookup($D31,Details!$E$2:$G$11,3,false))</f>
        <v>Snacks and Drinks</v>
      </c>
      <c r="N31" s="18">
        <f t="shared" si="1"/>
        <v>240</v>
      </c>
      <c r="O31" s="17"/>
      <c r="P31" s="17"/>
      <c r="Q31" s="17"/>
      <c r="R31" s="17"/>
      <c r="S31" s="17"/>
      <c r="T31" s="17"/>
      <c r="U31" s="17"/>
      <c r="V31" s="17"/>
      <c r="W31" s="17"/>
      <c r="X31" s="17"/>
      <c r="Y31" s="17"/>
      <c r="Z31" s="17"/>
    </row>
    <row r="32">
      <c r="A32" s="18" t="str">
        <f>IFERROR(__xludf.DUMMYFUNCTION("""COMPUTED_VALUE"""),"ord_61123")</f>
        <v>ord_61123</v>
      </c>
      <c r="B32" s="18" t="str">
        <f>IFERROR(__xludf.DUMMYFUNCTION("""COMPUTED_VALUE"""),"Dev Chauhan")</f>
        <v>Dev Chauhan</v>
      </c>
      <c r="C32" s="18" t="str">
        <f>IFERROR(__xludf.DUMMYFUNCTION("""COMPUTED_VALUE"""),"Bandra")</f>
        <v>Bandra</v>
      </c>
      <c r="D32" s="18" t="str">
        <f>IFERROR(__xludf.DUMMYFUNCTION("""COMPUTED_VALUE"""),"Veg Puff")</f>
        <v>Veg Puff</v>
      </c>
      <c r="E32" s="18">
        <f>IFERROR(__xludf.DUMMYFUNCTION("""COMPUTED_VALUE"""),3.0)</f>
        <v>3</v>
      </c>
      <c r="F32" s="18" t="str">
        <f>IFERROR(__xludf.DUMMYFUNCTION("""COMPUTED_VALUE"""),"Nithin Lal")</f>
        <v>Nithin Lal</v>
      </c>
      <c r="G32" s="19">
        <f>IFERROR(__xludf.DUMMYFUNCTION("""COMPUTED_VALUE"""),45017.0)</f>
        <v>45017</v>
      </c>
      <c r="H32" s="18" t="str">
        <f>IFERROR(__xludf.DUMMYFUNCTION("""COMPUTED_VALUE"""),"Credit Card")</f>
        <v>Credit Card</v>
      </c>
      <c r="I32" s="18" t="str">
        <f>IFERROR(__xludf.DUMMYFUNCTION("""COMPUTED_VALUE"""),"Delivered")</f>
        <v>Delivered</v>
      </c>
      <c r="J32" s="18" t="str">
        <f>IFERROR(__xludf.DUMMYFUNCTION("""COMPUTED_VALUE"""),"Customer Service")</f>
        <v>Customer Service</v>
      </c>
      <c r="K32" s="18" t="str">
        <f>IFERROR(__xludf.DUMMYFUNCTION("""COMPUTED_VALUE"""),"Seamless and easy")</f>
        <v>Seamless and easy</v>
      </c>
      <c r="L32" s="18">
        <f>iferror(VLOOKUP($D32,Details!$A$2:$C$11,2,false),vlookup($D32,Details!$E$2:$G$11,2,false))</f>
        <v>80</v>
      </c>
      <c r="M32" s="18" t="str">
        <f>iferror(VLOOKUP($D32,Details!$A$2:$C$11,3,false),vlookup($D32,Details!$E$2:$G$11,3,false))</f>
        <v>Snacks and Drinks</v>
      </c>
      <c r="N32" s="18">
        <f t="shared" si="1"/>
        <v>240</v>
      </c>
      <c r="O32" s="17"/>
      <c r="P32" s="17"/>
      <c r="Q32" s="17"/>
      <c r="R32" s="17"/>
      <c r="S32" s="17"/>
      <c r="T32" s="17"/>
      <c r="U32" s="17"/>
      <c r="V32" s="17"/>
      <c r="W32" s="17"/>
      <c r="X32" s="17"/>
      <c r="Y32" s="17"/>
      <c r="Z32" s="17"/>
    </row>
    <row r="33">
      <c r="A33" s="18" t="str">
        <f>IFERROR(__xludf.DUMMYFUNCTION("""COMPUTED_VALUE"""),"ord_42127")</f>
        <v>ord_42127</v>
      </c>
      <c r="B33" s="18" t="str">
        <f>IFERROR(__xludf.DUMMYFUNCTION("""COMPUTED_VALUE"""),"Parth Goel")</f>
        <v>Parth Goel</v>
      </c>
      <c r="C33" s="18" t="str">
        <f>IFERROR(__xludf.DUMMYFUNCTION("""COMPUTED_VALUE"""),"Juhu")</f>
        <v>Juhu</v>
      </c>
      <c r="D33" s="18" t="str">
        <f>IFERROR(__xludf.DUMMYFUNCTION("""COMPUTED_VALUE"""),"Papaya")</f>
        <v>Papaya</v>
      </c>
      <c r="E33" s="18">
        <f>IFERROR(__xludf.DUMMYFUNCTION("""COMPUTED_VALUE"""),2.0)</f>
        <v>2</v>
      </c>
      <c r="F33" s="18" t="str">
        <f>IFERROR(__xludf.DUMMYFUNCTION("""COMPUTED_VALUE"""),"Vivek Kumar")</f>
        <v>Vivek Kumar</v>
      </c>
      <c r="G33" s="19">
        <f>IFERROR(__xludf.DUMMYFUNCTION("""COMPUTED_VALUE"""),45017.0)</f>
        <v>45017</v>
      </c>
      <c r="H33" s="18" t="str">
        <f>IFERROR(__xludf.DUMMYFUNCTION("""COMPUTED_VALUE"""),"UPI")</f>
        <v>UPI</v>
      </c>
      <c r="I33" s="18" t="str">
        <f>IFERROR(__xludf.DUMMYFUNCTION("""COMPUTED_VALUE"""),"Delivered")</f>
        <v>Delivered</v>
      </c>
      <c r="J33" s="18" t="str">
        <f>IFERROR(__xludf.DUMMYFUNCTION("""COMPUTED_VALUE"""),"Delivery Experience")</f>
        <v>Delivery Experience</v>
      </c>
      <c r="K33" s="18" t="str">
        <f>IFERROR(__xludf.DUMMYFUNCTION("""COMPUTED_VALUE"""),"Quick and professional")</f>
        <v>Quick and professional</v>
      </c>
      <c r="L33" s="18">
        <f>iferror(VLOOKUP($D33,Details!$A$2:$C$11,2,false),vlookup($D33,Details!$E$2:$G$11,2,false))</f>
        <v>75</v>
      </c>
      <c r="M33" s="18" t="str">
        <f>iferror(VLOOKUP($D33,Details!$A$2:$C$11,3,false),vlookup($D33,Details!$E$2:$G$11,3,false))</f>
        <v>Fruits and Vegetables</v>
      </c>
      <c r="N33" s="18">
        <f t="shared" si="1"/>
        <v>150</v>
      </c>
      <c r="O33" s="17"/>
      <c r="P33" s="17"/>
      <c r="Q33" s="17"/>
      <c r="R33" s="17"/>
      <c r="S33" s="17"/>
      <c r="T33" s="17"/>
      <c r="U33" s="17"/>
      <c r="V33" s="17"/>
      <c r="W33" s="17"/>
      <c r="X33" s="17"/>
      <c r="Y33" s="17"/>
      <c r="Z33" s="17"/>
    </row>
    <row r="34">
      <c r="A34" s="18" t="str">
        <f>IFERROR(__xludf.DUMMYFUNCTION("""COMPUTED_VALUE"""),"ord_43131")</f>
        <v>ord_43131</v>
      </c>
      <c r="B34" s="18" t="str">
        <f>IFERROR(__xludf.DUMMYFUNCTION("""COMPUTED_VALUE"""),"Dev Chauhan")</f>
        <v>Dev Chauhan</v>
      </c>
      <c r="C34" s="18" t="str">
        <f>IFERROR(__xludf.DUMMYFUNCTION("""COMPUTED_VALUE"""),"Bandra")</f>
        <v>Bandra</v>
      </c>
      <c r="D34" s="18" t="str">
        <f>IFERROR(__xludf.DUMMYFUNCTION("""COMPUTED_VALUE"""),"Popcorn")</f>
        <v>Popcorn</v>
      </c>
      <c r="E34" s="18">
        <f>IFERROR(__xludf.DUMMYFUNCTION("""COMPUTED_VALUE"""),5.0)</f>
        <v>5</v>
      </c>
      <c r="F34" s="18" t="str">
        <f>IFERROR(__xludf.DUMMYFUNCTION("""COMPUTED_VALUE"""),"Ramesh S")</f>
        <v>Ramesh S</v>
      </c>
      <c r="G34" s="19">
        <f>IFERROR(__xludf.DUMMYFUNCTION("""COMPUTED_VALUE"""),44931.0)</f>
        <v>44931</v>
      </c>
      <c r="H34" s="18" t="str">
        <f>IFERROR(__xludf.DUMMYFUNCTION("""COMPUTED_VALUE"""),"UPI")</f>
        <v>UPI</v>
      </c>
      <c r="I34" s="18" t="str">
        <f>IFERROR(__xludf.DUMMYFUNCTION("""COMPUTED_VALUE"""),"Cancelled")</f>
        <v>Cancelled</v>
      </c>
      <c r="J34" s="18" t="str">
        <f>IFERROR(__xludf.DUMMYFUNCTION("""COMPUTED_VALUE"""),"Delayed Delivery")</f>
        <v>Delayed Delivery</v>
      </c>
      <c r="K34" s="18" t="str">
        <f>IFERROR(__xludf.DUMMYFUNCTION("""COMPUTED_VALUE"""),"Heavy Traffic")</f>
        <v>Heavy Traffic</v>
      </c>
      <c r="L34" s="18">
        <f>iferror(VLOOKUP($D34,Details!$A$2:$C$11,2,false),vlookup($D34,Details!$E$2:$G$11,2,false))</f>
        <v>150</v>
      </c>
      <c r="M34" s="18" t="str">
        <f>iferror(VLOOKUP($D34,Details!$A$2:$C$11,3,false),vlookup($D34,Details!$E$2:$G$11,3,false))</f>
        <v>Snacks and Drinks</v>
      </c>
      <c r="N34" s="18">
        <f t="shared" si="1"/>
        <v>750</v>
      </c>
      <c r="O34" s="17"/>
      <c r="P34" s="17"/>
      <c r="Q34" s="17"/>
      <c r="R34" s="17"/>
      <c r="S34" s="17"/>
      <c r="T34" s="17"/>
      <c r="U34" s="17"/>
      <c r="V34" s="17"/>
      <c r="W34" s="17"/>
      <c r="X34" s="17"/>
      <c r="Y34" s="17"/>
      <c r="Z34" s="17"/>
    </row>
    <row r="35">
      <c r="A35" s="18" t="str">
        <f>IFERROR(__xludf.DUMMYFUNCTION("""COMPUTED_VALUE"""),"ord_44135")</f>
        <v>ord_44135</v>
      </c>
      <c r="B35" s="18" t="str">
        <f>IFERROR(__xludf.DUMMYFUNCTION("""COMPUTED_VALUE"""),"Aarohi Kapoor")</f>
        <v>Aarohi Kapoor</v>
      </c>
      <c r="C35" s="18" t="str">
        <f>IFERROR(__xludf.DUMMYFUNCTION("""COMPUTED_VALUE"""),"Bandra")</f>
        <v>Bandra</v>
      </c>
      <c r="D35" s="18" t="str">
        <f>IFERROR(__xludf.DUMMYFUNCTION("""COMPUTED_VALUE"""),"Tiramisu")</f>
        <v>Tiramisu</v>
      </c>
      <c r="E35" s="18">
        <f>IFERROR(__xludf.DUMMYFUNCTION("""COMPUTED_VALUE"""),4.0)</f>
        <v>4</v>
      </c>
      <c r="F35" s="18" t="str">
        <f>IFERROR(__xludf.DUMMYFUNCTION("""COMPUTED_VALUE"""),"Sandeep Kumar")</f>
        <v>Sandeep Kumar</v>
      </c>
      <c r="G35" s="19">
        <f>IFERROR(__xludf.DUMMYFUNCTION("""COMPUTED_VALUE"""),45222.0)</f>
        <v>45222</v>
      </c>
      <c r="H35" s="18" t="str">
        <f>IFERROR(__xludf.DUMMYFUNCTION("""COMPUTED_VALUE"""),"UPI")</f>
        <v>UPI</v>
      </c>
      <c r="I35" s="18" t="str">
        <f>IFERROR(__xludf.DUMMYFUNCTION("""COMPUTED_VALUE"""),"Cancelled")</f>
        <v>Cancelled</v>
      </c>
      <c r="J35" s="18" t="str">
        <f>IFERROR(__xludf.DUMMYFUNCTION("""COMPUTED_VALUE"""),"Delayed Delivery")</f>
        <v>Delayed Delivery</v>
      </c>
      <c r="K35" s="18" t="str">
        <f>IFERROR(__xludf.DUMMYFUNCTION("""COMPUTED_VALUE"""),"Heavy Traffic")</f>
        <v>Heavy Traffic</v>
      </c>
      <c r="L35" s="18">
        <f>iferror(VLOOKUP($D35,Details!$A$2:$C$11,2,false),vlookup($D35,Details!$E$2:$G$11,2,false))</f>
        <v>150</v>
      </c>
      <c r="M35" s="18" t="str">
        <f>iferror(VLOOKUP($D35,Details!$A$2:$C$11,3,false),vlookup($D35,Details!$E$2:$G$11,3,false))</f>
        <v>Snacks and Drinks</v>
      </c>
      <c r="N35" s="18">
        <f t="shared" si="1"/>
        <v>600</v>
      </c>
      <c r="O35" s="17"/>
      <c r="P35" s="17"/>
      <c r="Q35" s="17"/>
      <c r="R35" s="17"/>
      <c r="S35" s="17"/>
      <c r="T35" s="17"/>
      <c r="U35" s="17"/>
      <c r="V35" s="17"/>
      <c r="W35" s="17"/>
      <c r="X35" s="17"/>
      <c r="Y35" s="17"/>
      <c r="Z35" s="17"/>
    </row>
    <row r="36">
      <c r="A36" s="18" t="str">
        <f>IFERROR(__xludf.DUMMYFUNCTION("""COMPUTED_VALUE"""),"ord_45139")</f>
        <v>ord_45139</v>
      </c>
      <c r="B36" s="18" t="str">
        <f>IFERROR(__xludf.DUMMYFUNCTION("""COMPUTED_VALUE"""),"Kritika Shetty")</f>
        <v>Kritika Shetty</v>
      </c>
      <c r="C36" s="18" t="str">
        <f>IFERROR(__xludf.DUMMYFUNCTION("""COMPUTED_VALUE"""),"Malad")</f>
        <v>Malad</v>
      </c>
      <c r="D36" s="18" t="str">
        <f>IFERROR(__xludf.DUMMYFUNCTION("""COMPUTED_VALUE"""),"Papaya")</f>
        <v>Papaya</v>
      </c>
      <c r="E36" s="18">
        <f>IFERROR(__xludf.DUMMYFUNCTION("""COMPUTED_VALUE"""),2.0)</f>
        <v>2</v>
      </c>
      <c r="F36" s="18" t="str">
        <f>IFERROR(__xludf.DUMMYFUNCTION("""COMPUTED_VALUE"""),"Not Assigned")</f>
        <v>Not Assigned</v>
      </c>
      <c r="G36" s="19">
        <f>IFERROR(__xludf.DUMMYFUNCTION("""COMPUTED_VALUE"""),45193.0)</f>
        <v>45193</v>
      </c>
      <c r="H36" s="18" t="str">
        <f>IFERROR(__xludf.DUMMYFUNCTION("""COMPUTED_VALUE"""),"Credit Card")</f>
        <v>Credit Card</v>
      </c>
      <c r="I36" s="18" t="str">
        <f>IFERROR(__xludf.DUMMYFUNCTION("""COMPUTED_VALUE"""),"Cancelled")</f>
        <v>Cancelled</v>
      </c>
      <c r="J36" s="18" t="str">
        <f>IFERROR(__xludf.DUMMYFUNCTION("""COMPUTED_VALUE"""),"High Delivery Fees")</f>
        <v>High Delivery Fees</v>
      </c>
      <c r="K36" s="18"/>
      <c r="L36" s="18">
        <f>iferror(VLOOKUP($D36,Details!$A$2:$C$11,2,false),vlookup($D36,Details!$E$2:$G$11,2,false))</f>
        <v>75</v>
      </c>
      <c r="M36" s="18" t="str">
        <f>iferror(VLOOKUP($D36,Details!$A$2:$C$11,3,false),vlookup($D36,Details!$E$2:$G$11,3,false))</f>
        <v>Fruits and Vegetables</v>
      </c>
      <c r="N36" s="18">
        <f t="shared" si="1"/>
        <v>150</v>
      </c>
      <c r="O36" s="17"/>
      <c r="P36" s="17"/>
      <c r="Q36" s="17"/>
      <c r="R36" s="17"/>
      <c r="S36" s="17"/>
      <c r="T36" s="17"/>
      <c r="U36" s="17"/>
      <c r="V36" s="17"/>
      <c r="W36" s="17"/>
      <c r="X36" s="17"/>
      <c r="Y36" s="17"/>
      <c r="Z36" s="17"/>
    </row>
    <row r="37">
      <c r="A37" s="18" t="str">
        <f>IFERROR(__xludf.DUMMYFUNCTION("""COMPUTED_VALUE"""),"ord_46143")</f>
        <v>ord_46143</v>
      </c>
      <c r="B37" s="18" t="str">
        <f>IFERROR(__xludf.DUMMYFUNCTION("""COMPUTED_VALUE"""),"Mohit Malhotra")</f>
        <v>Mohit Malhotra</v>
      </c>
      <c r="C37" s="18" t="str">
        <f>IFERROR(__xludf.DUMMYFUNCTION("""COMPUTED_VALUE"""),"Lower Parel")</f>
        <v>Lower Parel</v>
      </c>
      <c r="D37" s="18" t="str">
        <f>IFERROR(__xludf.DUMMYFUNCTION("""COMPUTED_VALUE"""),"Apple")</f>
        <v>Apple</v>
      </c>
      <c r="E37" s="18">
        <f>IFERROR(__xludf.DUMMYFUNCTION("""COMPUTED_VALUE"""),1.0)</f>
        <v>1</v>
      </c>
      <c r="F37" s="18" t="str">
        <f>IFERROR(__xludf.DUMMYFUNCTION("""COMPUTED_VALUE"""),"Shine Thomas")</f>
        <v>Shine Thomas</v>
      </c>
      <c r="G37" s="19">
        <f>IFERROR(__xludf.DUMMYFUNCTION("""COMPUTED_VALUE"""),45226.0)</f>
        <v>45226</v>
      </c>
      <c r="H37" s="18" t="str">
        <f>IFERROR(__xludf.DUMMYFUNCTION("""COMPUTED_VALUE"""),"Online Payment")</f>
        <v>Online Payment</v>
      </c>
      <c r="I37" s="18" t="str">
        <f>IFERROR(__xludf.DUMMYFUNCTION("""COMPUTED_VALUE"""),"Delivered")</f>
        <v>Delivered</v>
      </c>
      <c r="J37" s="18" t="str">
        <f>IFERROR(__xludf.DUMMYFUNCTION("""COMPUTED_VALUE"""),"Convenience")</f>
        <v>Convenience</v>
      </c>
      <c r="K37" s="18" t="str">
        <f>IFERROR(__xludf.DUMMYFUNCTION("""COMPUTED_VALUE"""),"Easy tracking")</f>
        <v>Easy tracking</v>
      </c>
      <c r="L37" s="18">
        <f>iferror(VLOOKUP($D37,Details!$A$2:$C$11,2,false),vlookup($D37,Details!$E$2:$G$11,2,false))</f>
        <v>230</v>
      </c>
      <c r="M37" s="18" t="str">
        <f>iferror(VLOOKUP($D37,Details!$A$2:$C$11,3,false),vlookup($D37,Details!$E$2:$G$11,3,false))</f>
        <v>Fruits and Vegetables</v>
      </c>
      <c r="N37" s="18">
        <f t="shared" si="1"/>
        <v>230</v>
      </c>
      <c r="O37" s="17"/>
      <c r="P37" s="17"/>
      <c r="Q37" s="17"/>
      <c r="R37" s="17"/>
      <c r="S37" s="17"/>
      <c r="T37" s="17"/>
      <c r="U37" s="17"/>
      <c r="V37" s="17"/>
      <c r="W37" s="17"/>
      <c r="X37" s="17"/>
      <c r="Y37" s="17"/>
      <c r="Z37" s="17"/>
    </row>
    <row r="38">
      <c r="A38" s="18" t="str">
        <f>IFERROR(__xludf.DUMMYFUNCTION("""COMPUTED_VALUE"""),"ord_47147")</f>
        <v>ord_47147</v>
      </c>
      <c r="B38" s="18" t="str">
        <f>IFERROR(__xludf.DUMMYFUNCTION("""COMPUTED_VALUE"""),"Dev Chauhan")</f>
        <v>Dev Chauhan</v>
      </c>
      <c r="C38" s="18" t="str">
        <f>IFERROR(__xludf.DUMMYFUNCTION("""COMPUTED_VALUE"""),"Bandra")</f>
        <v>Bandra</v>
      </c>
      <c r="D38" s="18" t="str">
        <f>IFERROR(__xludf.DUMMYFUNCTION("""COMPUTED_VALUE"""),"Chilli Cheese Toast")</f>
        <v>Chilli Cheese Toast</v>
      </c>
      <c r="E38" s="18">
        <f>IFERROR(__xludf.DUMMYFUNCTION("""COMPUTED_VALUE"""),2.0)</f>
        <v>2</v>
      </c>
      <c r="F38" s="18" t="str">
        <f>IFERROR(__xludf.DUMMYFUNCTION("""COMPUTED_VALUE"""),"Ram Gopal")</f>
        <v>Ram Gopal</v>
      </c>
      <c r="G38" s="19">
        <f>IFERROR(__xludf.DUMMYFUNCTION("""COMPUTED_VALUE"""),45053.0)</f>
        <v>45053</v>
      </c>
      <c r="H38" s="18" t="str">
        <f>IFERROR(__xludf.DUMMYFUNCTION("""COMPUTED_VALUE"""),"COD")</f>
        <v>COD</v>
      </c>
      <c r="I38" s="18" t="str">
        <f>IFERROR(__xludf.DUMMYFUNCTION("""COMPUTED_VALUE"""),"Delivered")</f>
        <v>Delivered</v>
      </c>
      <c r="J38" s="18" t="str">
        <f>IFERROR(__xludf.DUMMYFUNCTION("""COMPUTED_VALUE"""),"Overall Satisfaction")</f>
        <v>Overall Satisfaction</v>
      </c>
      <c r="K38" s="18" t="str">
        <f>IFERROR(__xludf.DUMMYFUNCTION("""COMPUTED_VALUE"""),"Great service will order again")</f>
        <v>Great service will order again</v>
      </c>
      <c r="L38" s="18">
        <f>iferror(VLOOKUP($D38,Details!$A$2:$C$11,2,false),vlookup($D38,Details!$E$2:$G$11,2,false))</f>
        <v>80</v>
      </c>
      <c r="M38" s="18" t="str">
        <f>iferror(VLOOKUP($D38,Details!$A$2:$C$11,3,false),vlookup($D38,Details!$E$2:$G$11,3,false))</f>
        <v>Snacks and Drinks</v>
      </c>
      <c r="N38" s="18">
        <f t="shared" si="1"/>
        <v>160</v>
      </c>
      <c r="O38" s="17"/>
      <c r="P38" s="17"/>
      <c r="Q38" s="17"/>
      <c r="R38" s="17"/>
      <c r="S38" s="17"/>
      <c r="T38" s="17"/>
      <c r="U38" s="17"/>
      <c r="V38" s="17"/>
      <c r="W38" s="17"/>
      <c r="X38" s="17"/>
      <c r="Y38" s="17"/>
      <c r="Z38" s="17"/>
    </row>
    <row r="39">
      <c r="A39" s="18" t="str">
        <f>IFERROR(__xludf.DUMMYFUNCTION("""COMPUTED_VALUE"""),"ord_48151")</f>
        <v>ord_48151</v>
      </c>
      <c r="B39" s="18" t="str">
        <f>IFERROR(__xludf.DUMMYFUNCTION("""COMPUTED_VALUE"""),"Riya Chakraborty")</f>
        <v>Riya Chakraborty</v>
      </c>
      <c r="C39" s="18" t="str">
        <f>IFERROR(__xludf.DUMMYFUNCTION("""COMPUTED_VALUE"""),"Juhu")</f>
        <v>Juhu</v>
      </c>
      <c r="D39" s="18" t="str">
        <f>IFERROR(__xludf.DUMMYFUNCTION("""COMPUTED_VALUE"""),"Juice")</f>
        <v>Juice</v>
      </c>
      <c r="E39" s="18">
        <f>IFERROR(__xludf.DUMMYFUNCTION("""COMPUTED_VALUE"""),2.0)</f>
        <v>2</v>
      </c>
      <c r="F39" s="18" t="str">
        <f>IFERROR(__xludf.DUMMYFUNCTION("""COMPUTED_VALUE"""),"Tanvi Jain")</f>
        <v>Tanvi Jain</v>
      </c>
      <c r="G39" s="19">
        <f>IFERROR(__xludf.DUMMYFUNCTION("""COMPUTED_VALUE"""),45224.0)</f>
        <v>45224</v>
      </c>
      <c r="H39" s="18" t="str">
        <f>IFERROR(__xludf.DUMMYFUNCTION("""COMPUTED_VALUE"""),"Credit Card")</f>
        <v>Credit Card</v>
      </c>
      <c r="I39" s="18" t="str">
        <f>IFERROR(__xludf.DUMMYFUNCTION("""COMPUTED_VALUE"""),"Delivered")</f>
        <v>Delivered</v>
      </c>
      <c r="J39" s="18" t="str">
        <f>IFERROR(__xludf.DUMMYFUNCTION("""COMPUTED_VALUE"""),"On-time Delivery")</f>
        <v>On-time Delivery</v>
      </c>
      <c r="K39" s="18" t="str">
        <f>IFERROR(__xludf.DUMMYFUNCTION("""COMPUTED_VALUE"""),"Delivered on time")</f>
        <v>Delivered on time</v>
      </c>
      <c r="L39" s="18">
        <f>iferror(VLOOKUP($D39,Details!$A$2:$C$11,2,false),vlookup($D39,Details!$E$2:$G$11,2,false))</f>
        <v>90</v>
      </c>
      <c r="M39" s="18" t="str">
        <f>iferror(VLOOKUP($D39,Details!$A$2:$C$11,3,false),vlookup($D39,Details!$E$2:$G$11,3,false))</f>
        <v>Snacks and Drinks</v>
      </c>
      <c r="N39" s="18">
        <f t="shared" si="1"/>
        <v>180</v>
      </c>
      <c r="O39" s="17"/>
      <c r="P39" s="17"/>
      <c r="Q39" s="17"/>
      <c r="R39" s="17"/>
      <c r="S39" s="17"/>
      <c r="T39" s="17"/>
      <c r="U39" s="17"/>
      <c r="V39" s="17"/>
      <c r="W39" s="17"/>
      <c r="X39" s="17"/>
      <c r="Y39" s="17"/>
      <c r="Z39" s="17"/>
    </row>
    <row r="40">
      <c r="A40" s="18" t="str">
        <f>IFERROR(__xludf.DUMMYFUNCTION("""COMPUTED_VALUE"""),"ord_49155")</f>
        <v>ord_49155</v>
      </c>
      <c r="B40" s="18" t="str">
        <f>IFERROR(__xludf.DUMMYFUNCTION("""COMPUTED_VALUE"""),"Omkar Mishra")</f>
        <v>Omkar Mishra</v>
      </c>
      <c r="C40" s="18" t="str">
        <f>IFERROR(__xludf.DUMMYFUNCTION("""COMPUTED_VALUE"""),"Powai")</f>
        <v>Powai</v>
      </c>
      <c r="D40" s="18" t="str">
        <f>IFERROR(__xludf.DUMMYFUNCTION("""COMPUTED_VALUE"""),"Chicken Puff")</f>
        <v>Chicken Puff</v>
      </c>
      <c r="E40" s="18">
        <f>IFERROR(__xludf.DUMMYFUNCTION("""COMPUTED_VALUE"""),2.0)</f>
        <v>2</v>
      </c>
      <c r="F40" s="18" t="str">
        <f>IFERROR(__xludf.DUMMYFUNCTION("""COMPUTED_VALUE"""),"Not Assigned")</f>
        <v>Not Assigned</v>
      </c>
      <c r="G40" s="19">
        <f>IFERROR(__xludf.DUMMYFUNCTION("""COMPUTED_VALUE"""),45274.0)</f>
        <v>45274</v>
      </c>
      <c r="H40" s="18" t="str">
        <f>IFERROR(__xludf.DUMMYFUNCTION("""COMPUTED_VALUE"""),"Online Payment")</f>
        <v>Online Payment</v>
      </c>
      <c r="I40" s="18" t="str">
        <f>IFERROR(__xludf.DUMMYFUNCTION("""COMPUTED_VALUE"""),"Cancelled")</f>
        <v>Cancelled</v>
      </c>
      <c r="J40" s="18" t="str">
        <f>IFERROR(__xludf.DUMMYFUNCTION("""COMPUTED_VALUE"""),"Payment Issues")</f>
        <v>Payment Issues</v>
      </c>
      <c r="K40" s="18"/>
      <c r="L40" s="18">
        <f>iferror(VLOOKUP($D40,Details!$A$2:$C$11,2,false),vlookup($D40,Details!$E$2:$G$11,2,false))</f>
        <v>90</v>
      </c>
      <c r="M40" s="18" t="str">
        <f>iferror(VLOOKUP($D40,Details!$A$2:$C$11,3,false),vlookup($D40,Details!$E$2:$G$11,3,false))</f>
        <v>Snacks and Drinks</v>
      </c>
      <c r="N40" s="18">
        <f t="shared" si="1"/>
        <v>180</v>
      </c>
      <c r="O40" s="17"/>
      <c r="P40" s="17"/>
      <c r="Q40" s="17"/>
      <c r="R40" s="17"/>
      <c r="S40" s="17"/>
      <c r="T40" s="17"/>
      <c r="U40" s="17"/>
      <c r="V40" s="17"/>
      <c r="W40" s="17"/>
      <c r="X40" s="17"/>
      <c r="Y40" s="17"/>
      <c r="Z40" s="17"/>
    </row>
    <row r="41">
      <c r="A41" s="18" t="str">
        <f>IFERROR(__xludf.DUMMYFUNCTION("""COMPUTED_VALUE"""),"ord_50159")</f>
        <v>ord_50159</v>
      </c>
      <c r="B41" s="18" t="str">
        <f>IFERROR(__xludf.DUMMYFUNCTION("""COMPUTED_VALUE"""),"Sanjay Nair")</f>
        <v>Sanjay Nair</v>
      </c>
      <c r="C41" s="18" t="str">
        <f>IFERROR(__xludf.DUMMYFUNCTION("""COMPUTED_VALUE"""),"Dadar")</f>
        <v>Dadar</v>
      </c>
      <c r="D41" s="18" t="str">
        <f>IFERROR(__xludf.DUMMYFUNCTION("""COMPUTED_VALUE"""),"Veg Puff")</f>
        <v>Veg Puff</v>
      </c>
      <c r="E41" s="18">
        <f>IFERROR(__xludf.DUMMYFUNCTION("""COMPUTED_VALUE"""),4.0)</f>
        <v>4</v>
      </c>
      <c r="F41" s="18" t="str">
        <f>IFERROR(__xludf.DUMMYFUNCTION("""COMPUTED_VALUE"""),"Venu R")</f>
        <v>Venu R</v>
      </c>
      <c r="G41" s="19">
        <f>IFERROR(__xludf.DUMMYFUNCTION("""COMPUTED_VALUE"""),45151.0)</f>
        <v>45151</v>
      </c>
      <c r="H41" s="18" t="str">
        <f>IFERROR(__xludf.DUMMYFUNCTION("""COMPUTED_VALUE"""),"Credit Card")</f>
        <v>Credit Card</v>
      </c>
      <c r="I41" s="18" t="str">
        <f>IFERROR(__xludf.DUMMYFUNCTION("""COMPUTED_VALUE"""),"Cancelled")</f>
        <v>Cancelled</v>
      </c>
      <c r="J41" s="18" t="str">
        <f>IFERROR(__xludf.DUMMYFUNCTION("""COMPUTED_VALUE"""),"Delayed Delivery")</f>
        <v>Delayed Delivery</v>
      </c>
      <c r="K41" s="18" t="str">
        <f>IFERROR(__xludf.DUMMYFUNCTION("""COMPUTED_VALUE"""),"Heavy Traffic")</f>
        <v>Heavy Traffic</v>
      </c>
      <c r="L41" s="18">
        <f>iferror(VLOOKUP($D41,Details!$A$2:$C$11,2,false),vlookup($D41,Details!$E$2:$G$11,2,false))</f>
        <v>80</v>
      </c>
      <c r="M41" s="18" t="str">
        <f>iferror(VLOOKUP($D41,Details!$A$2:$C$11,3,false),vlookup($D41,Details!$E$2:$G$11,3,false))</f>
        <v>Snacks and Drinks</v>
      </c>
      <c r="N41" s="18">
        <f t="shared" si="1"/>
        <v>320</v>
      </c>
      <c r="O41" s="17"/>
      <c r="P41" s="17"/>
      <c r="Q41" s="17"/>
      <c r="R41" s="17"/>
      <c r="S41" s="17"/>
      <c r="T41" s="17"/>
      <c r="U41" s="17"/>
      <c r="V41" s="17"/>
      <c r="W41" s="17"/>
      <c r="X41" s="17"/>
      <c r="Y41" s="17"/>
      <c r="Z41" s="17"/>
    </row>
    <row r="42">
      <c r="A42" s="18" t="str">
        <f>IFERROR(__xludf.DUMMYFUNCTION("""COMPUTED_VALUE"""),"ord_51163")</f>
        <v>ord_51163</v>
      </c>
      <c r="B42" s="18" t="str">
        <f>IFERROR(__xludf.DUMMYFUNCTION("""COMPUTED_VALUE"""),"Ishita Banerjee")</f>
        <v>Ishita Banerjee</v>
      </c>
      <c r="C42" s="18" t="str">
        <f>IFERROR(__xludf.DUMMYFUNCTION("""COMPUTED_VALUE"""),"Juhu")</f>
        <v>Juhu</v>
      </c>
      <c r="D42" s="18" t="str">
        <f>IFERROR(__xludf.DUMMYFUNCTION("""COMPUTED_VALUE"""),"Rasmalai")</f>
        <v>Rasmalai</v>
      </c>
      <c r="E42" s="18">
        <f>IFERROR(__xludf.DUMMYFUNCTION("""COMPUTED_VALUE"""),4.0)</f>
        <v>4</v>
      </c>
      <c r="F42" s="18" t="str">
        <f>IFERROR(__xludf.DUMMYFUNCTION("""COMPUTED_VALUE"""),"Manju Ajay")</f>
        <v>Manju Ajay</v>
      </c>
      <c r="G42" s="19">
        <f>IFERROR(__xludf.DUMMYFUNCTION("""COMPUTED_VALUE"""),45226.0)</f>
        <v>45226</v>
      </c>
      <c r="H42" s="18" t="str">
        <f>IFERROR(__xludf.DUMMYFUNCTION("""COMPUTED_VALUE"""),"UPI")</f>
        <v>UPI</v>
      </c>
      <c r="I42" s="18" t="str">
        <f>IFERROR(__xludf.DUMMYFUNCTION("""COMPUTED_VALUE"""),"Delivered")</f>
        <v>Delivered</v>
      </c>
      <c r="J42" s="18" t="str">
        <f>IFERROR(__xludf.DUMMYFUNCTION("""COMPUTED_VALUE"""),"Quality of Items")</f>
        <v>Quality of Items</v>
      </c>
      <c r="K42" s="18" t="str">
        <f>IFERROR(__xludf.DUMMYFUNCTION("""COMPUTED_VALUE"""),"Perfect condition")</f>
        <v>Perfect condition</v>
      </c>
      <c r="L42" s="18">
        <f>iferror(VLOOKUP($D42,Details!$A$2:$C$11,2,false),vlookup($D42,Details!$E$2:$G$11,2,false))</f>
        <v>110</v>
      </c>
      <c r="M42" s="18" t="str">
        <f>iferror(VLOOKUP($D42,Details!$A$2:$C$11,3,false),vlookup($D42,Details!$E$2:$G$11,3,false))</f>
        <v>Snacks and Drinks</v>
      </c>
      <c r="N42" s="18">
        <f t="shared" si="1"/>
        <v>440</v>
      </c>
      <c r="O42" s="17"/>
      <c r="P42" s="17"/>
      <c r="Q42" s="17"/>
      <c r="R42" s="17"/>
      <c r="S42" s="17"/>
      <c r="T42" s="17"/>
      <c r="U42" s="17"/>
      <c r="V42" s="17"/>
      <c r="W42" s="17"/>
      <c r="X42" s="17"/>
      <c r="Y42" s="17"/>
      <c r="Z42" s="17"/>
    </row>
    <row r="43">
      <c r="A43" s="18" t="str">
        <f>IFERROR(__xludf.DUMMYFUNCTION("""COMPUTED_VALUE"""),"ord_52167")</f>
        <v>ord_52167</v>
      </c>
      <c r="B43" s="18" t="str">
        <f>IFERROR(__xludf.DUMMYFUNCTION("""COMPUTED_VALUE"""),"Ishita Banerjee")</f>
        <v>Ishita Banerjee</v>
      </c>
      <c r="C43" s="18" t="str">
        <f>IFERROR(__xludf.DUMMYFUNCTION("""COMPUTED_VALUE"""),"Juhu")</f>
        <v>Juhu</v>
      </c>
      <c r="D43" s="18" t="str">
        <f>IFERROR(__xludf.DUMMYFUNCTION("""COMPUTED_VALUE"""),"Juice")</f>
        <v>Juice</v>
      </c>
      <c r="E43" s="18">
        <f>IFERROR(__xludf.DUMMYFUNCTION("""COMPUTED_VALUE"""),5.0)</f>
        <v>5</v>
      </c>
      <c r="F43" s="18" t="str">
        <f>IFERROR(__xludf.DUMMYFUNCTION("""COMPUTED_VALUE"""),"Ramesh S")</f>
        <v>Ramesh S</v>
      </c>
      <c r="G43" s="19">
        <f>IFERROR(__xludf.DUMMYFUNCTION("""COMPUTED_VALUE"""),45120.0)</f>
        <v>45120</v>
      </c>
      <c r="H43" s="18" t="str">
        <f>IFERROR(__xludf.DUMMYFUNCTION("""COMPUTED_VALUE"""),"Credit Card")</f>
        <v>Credit Card</v>
      </c>
      <c r="I43" s="18" t="str">
        <f>IFERROR(__xludf.DUMMYFUNCTION("""COMPUTED_VALUE"""),"Delivered")</f>
        <v>Delivered</v>
      </c>
      <c r="J43" s="18" t="str">
        <f>IFERROR(__xludf.DUMMYFUNCTION("""COMPUTED_VALUE"""),"Packaging")</f>
        <v>Packaging</v>
      </c>
      <c r="K43" s="18" t="str">
        <f>IFERROR(__xludf.DUMMYFUNCTION("""COMPUTED_VALUE"""),"Secure and intact")</f>
        <v>Secure and intact</v>
      </c>
      <c r="L43" s="18">
        <f>iferror(VLOOKUP($D43,Details!$A$2:$C$11,2,false),vlookup($D43,Details!$E$2:$G$11,2,false))</f>
        <v>90</v>
      </c>
      <c r="M43" s="18" t="str">
        <f>iferror(VLOOKUP($D43,Details!$A$2:$C$11,3,false),vlookup($D43,Details!$E$2:$G$11,3,false))</f>
        <v>Snacks and Drinks</v>
      </c>
      <c r="N43" s="18">
        <f t="shared" si="1"/>
        <v>450</v>
      </c>
      <c r="O43" s="17"/>
      <c r="P43" s="17"/>
      <c r="Q43" s="17"/>
      <c r="R43" s="17"/>
      <c r="S43" s="17"/>
      <c r="T43" s="17"/>
      <c r="U43" s="17"/>
      <c r="V43" s="17"/>
      <c r="W43" s="17"/>
      <c r="X43" s="17"/>
      <c r="Y43" s="17"/>
      <c r="Z43" s="17"/>
    </row>
    <row r="44">
      <c r="A44" s="18" t="str">
        <f>IFERROR(__xludf.DUMMYFUNCTION("""COMPUTED_VALUE"""),"ord_53171")</f>
        <v>ord_53171</v>
      </c>
      <c r="B44" s="18" t="str">
        <f>IFERROR(__xludf.DUMMYFUNCTION("""COMPUTED_VALUE"""),"Aarohi Kapoor")</f>
        <v>Aarohi Kapoor</v>
      </c>
      <c r="C44" s="18" t="str">
        <f>IFERROR(__xludf.DUMMYFUNCTION("""COMPUTED_VALUE"""),"Bandra")</f>
        <v>Bandra</v>
      </c>
      <c r="D44" s="18" t="str">
        <f>IFERROR(__xludf.DUMMYFUNCTION("""COMPUTED_VALUE"""),"Apple")</f>
        <v>Apple</v>
      </c>
      <c r="E44" s="18">
        <f>IFERROR(__xludf.DUMMYFUNCTION("""COMPUTED_VALUE"""),1.0)</f>
        <v>1</v>
      </c>
      <c r="F44" s="18" t="str">
        <f>IFERROR(__xludf.DUMMYFUNCTION("""COMPUTED_VALUE"""),"Ramesh S")</f>
        <v>Ramesh S</v>
      </c>
      <c r="G44" s="19">
        <f>IFERROR(__xludf.DUMMYFUNCTION("""COMPUTED_VALUE"""),44933.0)</f>
        <v>44933</v>
      </c>
      <c r="H44" s="18" t="str">
        <f>IFERROR(__xludf.DUMMYFUNCTION("""COMPUTED_VALUE"""),"COD")</f>
        <v>COD</v>
      </c>
      <c r="I44" s="18" t="str">
        <f>IFERROR(__xludf.DUMMYFUNCTION("""COMPUTED_VALUE"""),"Delivered")</f>
        <v>Delivered</v>
      </c>
      <c r="J44" s="18" t="str">
        <f>IFERROR(__xludf.DUMMYFUNCTION("""COMPUTED_VALUE"""),"Satisfied with the Delivery")</f>
        <v>Satisfied with the Delivery</v>
      </c>
      <c r="K44" s="18" t="str">
        <f>IFERROR(__xludf.DUMMYFUNCTION("""COMPUTED_VALUE"""),"Timely and quality")</f>
        <v>Timely and quality</v>
      </c>
      <c r="L44" s="18">
        <f>iferror(VLOOKUP($D44,Details!$A$2:$C$11,2,false),vlookup($D44,Details!$E$2:$G$11,2,false))</f>
        <v>230</v>
      </c>
      <c r="M44" s="18" t="str">
        <f>iferror(VLOOKUP($D44,Details!$A$2:$C$11,3,false),vlookup($D44,Details!$E$2:$G$11,3,false))</f>
        <v>Fruits and Vegetables</v>
      </c>
      <c r="N44" s="18">
        <f t="shared" si="1"/>
        <v>230</v>
      </c>
      <c r="O44" s="17"/>
      <c r="P44" s="17"/>
      <c r="Q44" s="17"/>
      <c r="R44" s="17"/>
      <c r="S44" s="17"/>
      <c r="T44" s="17"/>
      <c r="U44" s="17"/>
      <c r="V44" s="17"/>
      <c r="W44" s="17"/>
      <c r="X44" s="17"/>
      <c r="Y44" s="17"/>
      <c r="Z44" s="17"/>
    </row>
    <row r="45">
      <c r="A45" s="18" t="str">
        <f>IFERROR(__xludf.DUMMYFUNCTION("""COMPUTED_VALUE"""),"ord_54175")</f>
        <v>ord_54175</v>
      </c>
      <c r="B45" s="18" t="str">
        <f>IFERROR(__xludf.DUMMYFUNCTION("""COMPUTED_VALUE"""),"Omkar Mishra")</f>
        <v>Omkar Mishra</v>
      </c>
      <c r="C45" s="18" t="str">
        <f>IFERROR(__xludf.DUMMYFUNCTION("""COMPUTED_VALUE"""),"Powai")</f>
        <v>Powai</v>
      </c>
      <c r="D45" s="18" t="str">
        <f>IFERROR(__xludf.DUMMYFUNCTION("""COMPUTED_VALUE"""),"Juice")</f>
        <v>Juice</v>
      </c>
      <c r="E45" s="18">
        <f>IFERROR(__xludf.DUMMYFUNCTION("""COMPUTED_VALUE"""),5.0)</f>
        <v>5</v>
      </c>
      <c r="F45" s="18" t="str">
        <f>IFERROR(__xludf.DUMMYFUNCTION("""COMPUTED_VALUE"""),"Sandeep Kumar")</f>
        <v>Sandeep Kumar</v>
      </c>
      <c r="G45" s="19">
        <f>IFERROR(__xludf.DUMMYFUNCTION("""COMPUTED_VALUE"""),45175.0)</f>
        <v>45175</v>
      </c>
      <c r="H45" s="18" t="str">
        <f>IFERROR(__xludf.DUMMYFUNCTION("""COMPUTED_VALUE"""),"Credit Card")</f>
        <v>Credit Card</v>
      </c>
      <c r="I45" s="18" t="str">
        <f>IFERROR(__xludf.DUMMYFUNCTION("""COMPUTED_VALUE"""),"Delivered")</f>
        <v>Delivered</v>
      </c>
      <c r="J45" s="18" t="str">
        <f>IFERROR(__xludf.DUMMYFUNCTION("""COMPUTED_VALUE"""),"Customer Service")</f>
        <v>Customer Service</v>
      </c>
      <c r="K45" s="18" t="str">
        <f>IFERROR(__xludf.DUMMYFUNCTION("""COMPUTED_VALUE"""),"Seamless and easy")</f>
        <v>Seamless and easy</v>
      </c>
      <c r="L45" s="18">
        <f>iferror(VLOOKUP($D45,Details!$A$2:$C$11,2,false),vlookup($D45,Details!$E$2:$G$11,2,false))</f>
        <v>90</v>
      </c>
      <c r="M45" s="18" t="str">
        <f>iferror(VLOOKUP($D45,Details!$A$2:$C$11,3,false),vlookup($D45,Details!$E$2:$G$11,3,false))</f>
        <v>Snacks and Drinks</v>
      </c>
      <c r="N45" s="18">
        <f t="shared" si="1"/>
        <v>450</v>
      </c>
      <c r="O45" s="17"/>
      <c r="P45" s="17"/>
      <c r="Q45" s="17"/>
      <c r="R45" s="17"/>
      <c r="S45" s="17"/>
      <c r="T45" s="17"/>
      <c r="U45" s="17"/>
      <c r="V45" s="17"/>
      <c r="W45" s="17"/>
      <c r="X45" s="17"/>
      <c r="Y45" s="17"/>
      <c r="Z45" s="17"/>
    </row>
    <row r="46">
      <c r="A46" s="18" t="str">
        <f>IFERROR(__xludf.DUMMYFUNCTION("""COMPUTED_VALUE"""),"ord_55179")</f>
        <v>ord_55179</v>
      </c>
      <c r="B46" s="18" t="str">
        <f>IFERROR(__xludf.DUMMYFUNCTION("""COMPUTED_VALUE"""),"Aditi Iyer")</f>
        <v>Aditi Iyer</v>
      </c>
      <c r="C46" s="18" t="str">
        <f>IFERROR(__xludf.DUMMYFUNCTION("""COMPUTED_VALUE"""),"Dadar")</f>
        <v>Dadar</v>
      </c>
      <c r="D46" s="18" t="str">
        <f>IFERROR(__xludf.DUMMYFUNCTION("""COMPUTED_VALUE"""),"Papaya")</f>
        <v>Papaya</v>
      </c>
      <c r="E46" s="18">
        <f>IFERROR(__xludf.DUMMYFUNCTION("""COMPUTED_VALUE"""),2.0)</f>
        <v>2</v>
      </c>
      <c r="F46" s="18" t="str">
        <f>IFERROR(__xludf.DUMMYFUNCTION("""COMPUTED_VALUE"""),"Venu R")</f>
        <v>Venu R</v>
      </c>
      <c r="G46" s="19">
        <f>IFERROR(__xludf.DUMMYFUNCTION("""COMPUTED_VALUE"""),44962.0)</f>
        <v>44962</v>
      </c>
      <c r="H46" s="18" t="str">
        <f>IFERROR(__xludf.DUMMYFUNCTION("""COMPUTED_VALUE"""),"Credit Card")</f>
        <v>Credit Card</v>
      </c>
      <c r="I46" s="18" t="str">
        <f>IFERROR(__xludf.DUMMYFUNCTION("""COMPUTED_VALUE"""),"Delivered")</f>
        <v>Delivered</v>
      </c>
      <c r="J46" s="18" t="str">
        <f>IFERROR(__xludf.DUMMYFUNCTION("""COMPUTED_VALUE"""),"Delivery Experience")</f>
        <v>Delivery Experience</v>
      </c>
      <c r="K46" s="18" t="str">
        <f>IFERROR(__xludf.DUMMYFUNCTION("""COMPUTED_VALUE"""),"Quick and professional")</f>
        <v>Quick and professional</v>
      </c>
      <c r="L46" s="18">
        <f>iferror(VLOOKUP($D46,Details!$A$2:$C$11,2,false),vlookup($D46,Details!$E$2:$G$11,2,false))</f>
        <v>75</v>
      </c>
      <c r="M46" s="18" t="str">
        <f>iferror(VLOOKUP($D46,Details!$A$2:$C$11,3,false),vlookup($D46,Details!$E$2:$G$11,3,false))</f>
        <v>Fruits and Vegetables</v>
      </c>
      <c r="N46" s="18">
        <f t="shared" si="1"/>
        <v>150</v>
      </c>
      <c r="O46" s="17"/>
      <c r="P46" s="17"/>
      <c r="Q46" s="17"/>
      <c r="R46" s="17"/>
      <c r="S46" s="17"/>
      <c r="T46" s="17"/>
      <c r="U46" s="17"/>
      <c r="V46" s="17"/>
      <c r="W46" s="17"/>
      <c r="X46" s="17"/>
      <c r="Y46" s="17"/>
      <c r="Z46" s="17"/>
    </row>
    <row r="47">
      <c r="A47" s="18" t="str">
        <f>IFERROR(__xludf.DUMMYFUNCTION("""COMPUTED_VALUE"""),"ord_56183")</f>
        <v>ord_56183</v>
      </c>
      <c r="B47" s="18" t="str">
        <f>IFERROR(__xludf.DUMMYFUNCTION("""COMPUTED_VALUE"""),"Omkar Mishra")</f>
        <v>Omkar Mishra</v>
      </c>
      <c r="C47" s="18" t="str">
        <f>IFERROR(__xludf.DUMMYFUNCTION("""COMPUTED_VALUE"""),"Powai")</f>
        <v>Powai</v>
      </c>
      <c r="D47" s="18" t="str">
        <f>IFERROR(__xludf.DUMMYFUNCTION("""COMPUTED_VALUE"""),"Potato")</f>
        <v>Potato</v>
      </c>
      <c r="E47" s="18">
        <f>IFERROR(__xludf.DUMMYFUNCTION("""COMPUTED_VALUE"""),2.0)</f>
        <v>2</v>
      </c>
      <c r="F47" s="18" t="str">
        <f>IFERROR(__xludf.DUMMYFUNCTION("""COMPUTED_VALUE"""),"Manju Ajay")</f>
        <v>Manju Ajay</v>
      </c>
      <c r="G47" s="19">
        <f>IFERROR(__xludf.DUMMYFUNCTION("""COMPUTED_VALUE"""),44940.0)</f>
        <v>44940</v>
      </c>
      <c r="H47" s="18" t="str">
        <f>IFERROR(__xludf.DUMMYFUNCTION("""COMPUTED_VALUE"""),"UPI")</f>
        <v>UPI</v>
      </c>
      <c r="I47" s="18" t="str">
        <f>IFERROR(__xludf.DUMMYFUNCTION("""COMPUTED_VALUE"""),"Delivered")</f>
        <v>Delivered</v>
      </c>
      <c r="J47" s="18" t="str">
        <f>IFERROR(__xludf.DUMMYFUNCTION("""COMPUTED_VALUE"""),"Convenience")</f>
        <v>Convenience</v>
      </c>
      <c r="K47" s="18" t="str">
        <f>IFERROR(__xludf.DUMMYFUNCTION("""COMPUTED_VALUE"""),"Easy tracking")</f>
        <v>Easy tracking</v>
      </c>
      <c r="L47" s="18">
        <f>iferror(VLOOKUP($D47,Details!$A$2:$C$11,2,false),vlookup($D47,Details!$E$2:$G$11,2,false))</f>
        <v>55</v>
      </c>
      <c r="M47" s="18" t="str">
        <f>iferror(VLOOKUP($D47,Details!$A$2:$C$11,3,false),vlookup($D47,Details!$E$2:$G$11,3,false))</f>
        <v>Fruits and Vegetables</v>
      </c>
      <c r="N47" s="18">
        <f t="shared" si="1"/>
        <v>110</v>
      </c>
      <c r="O47" s="17"/>
      <c r="P47" s="17"/>
      <c r="Q47" s="17"/>
      <c r="R47" s="17"/>
      <c r="S47" s="17"/>
      <c r="T47" s="17"/>
      <c r="U47" s="17"/>
      <c r="V47" s="17"/>
      <c r="W47" s="17"/>
      <c r="X47" s="17"/>
      <c r="Y47" s="17"/>
      <c r="Z47" s="17"/>
    </row>
    <row r="48">
      <c r="A48" s="18" t="str">
        <f>IFERROR(__xludf.DUMMYFUNCTION("""COMPUTED_VALUE"""),"ord_57187")</f>
        <v>ord_57187</v>
      </c>
      <c r="B48" s="18" t="str">
        <f>IFERROR(__xludf.DUMMYFUNCTION("""COMPUTED_VALUE"""),"Siya Reddy")</f>
        <v>Siya Reddy</v>
      </c>
      <c r="C48" s="18" t="str">
        <f>IFERROR(__xludf.DUMMYFUNCTION("""COMPUTED_VALUE"""),"Juhu")</f>
        <v>Juhu</v>
      </c>
      <c r="D48" s="18" t="str">
        <f>IFERROR(__xludf.DUMMYFUNCTION("""COMPUTED_VALUE"""),"Chocolate Mousse")</f>
        <v>Chocolate Mousse</v>
      </c>
      <c r="E48" s="18">
        <f>IFERROR(__xludf.DUMMYFUNCTION("""COMPUTED_VALUE"""),5.0)</f>
        <v>5</v>
      </c>
      <c r="F48" s="18" t="str">
        <f>IFERROR(__xludf.DUMMYFUNCTION("""COMPUTED_VALUE"""),"Venu R")</f>
        <v>Venu R</v>
      </c>
      <c r="G48" s="19">
        <f>IFERROR(__xludf.DUMMYFUNCTION("""COMPUTED_VALUE"""),45168.0)</f>
        <v>45168</v>
      </c>
      <c r="H48" s="18" t="str">
        <f>IFERROR(__xludf.DUMMYFUNCTION("""COMPUTED_VALUE"""),"Online Payment")</f>
        <v>Online Payment</v>
      </c>
      <c r="I48" s="18" t="str">
        <f>IFERROR(__xludf.DUMMYFUNCTION("""COMPUTED_VALUE"""),"Delivered")</f>
        <v>Delivered</v>
      </c>
      <c r="J48" s="18" t="str">
        <f>IFERROR(__xludf.DUMMYFUNCTION("""COMPUTED_VALUE"""),"Overall Satisfaction")</f>
        <v>Overall Satisfaction</v>
      </c>
      <c r="K48" s="18" t="str">
        <f>IFERROR(__xludf.DUMMYFUNCTION("""COMPUTED_VALUE"""),"Great service will order again")</f>
        <v>Great service will order again</v>
      </c>
      <c r="L48" s="18">
        <f>iferror(VLOOKUP($D48,Details!$A$2:$C$11,2,false),vlookup($D48,Details!$E$2:$G$11,2,false))</f>
        <v>145</v>
      </c>
      <c r="M48" s="18" t="str">
        <f>iferror(VLOOKUP($D48,Details!$A$2:$C$11,3,false),vlookup($D48,Details!$E$2:$G$11,3,false))</f>
        <v>Snacks and Drinks</v>
      </c>
      <c r="N48" s="18">
        <f t="shared" si="1"/>
        <v>725</v>
      </c>
      <c r="O48" s="17"/>
      <c r="P48" s="17"/>
      <c r="Q48" s="17"/>
      <c r="R48" s="17"/>
      <c r="S48" s="17"/>
      <c r="T48" s="17"/>
      <c r="U48" s="17"/>
      <c r="V48" s="17"/>
      <c r="W48" s="17"/>
      <c r="X48" s="17"/>
      <c r="Y48" s="17"/>
      <c r="Z48" s="17"/>
    </row>
    <row r="49">
      <c r="A49" s="18" t="str">
        <f>IFERROR(__xludf.DUMMYFUNCTION("""COMPUTED_VALUE"""),"ord_58191")</f>
        <v>ord_58191</v>
      </c>
      <c r="B49" s="18" t="str">
        <f>IFERROR(__xludf.DUMMYFUNCTION("""COMPUTED_VALUE"""),"Arvind Kulkarni")</f>
        <v>Arvind Kulkarni</v>
      </c>
      <c r="C49" s="18" t="str">
        <f>IFERROR(__xludf.DUMMYFUNCTION("""COMPUTED_VALUE"""),"Juhu")</f>
        <v>Juhu</v>
      </c>
      <c r="D49" s="18" t="str">
        <f>IFERROR(__xludf.DUMMYFUNCTION("""COMPUTED_VALUE"""),"Banana")</f>
        <v>Banana</v>
      </c>
      <c r="E49" s="18">
        <f>IFERROR(__xludf.DUMMYFUNCTION("""COMPUTED_VALUE"""),1.0)</f>
        <v>1</v>
      </c>
      <c r="F49" s="18" t="str">
        <f>IFERROR(__xludf.DUMMYFUNCTION("""COMPUTED_VALUE"""),"Nikhil Deshmukh")</f>
        <v>Nikhil Deshmukh</v>
      </c>
      <c r="G49" s="19">
        <f>IFERROR(__xludf.DUMMYFUNCTION("""COMPUTED_VALUE"""),44979.0)</f>
        <v>44979</v>
      </c>
      <c r="H49" s="18" t="str">
        <f>IFERROR(__xludf.DUMMYFUNCTION("""COMPUTED_VALUE"""),"UPI")</f>
        <v>UPI</v>
      </c>
      <c r="I49" s="18" t="str">
        <f>IFERROR(__xludf.DUMMYFUNCTION("""COMPUTED_VALUE"""),"Cancelled")</f>
        <v>Cancelled</v>
      </c>
      <c r="J49" s="18" t="str">
        <f>IFERROR(__xludf.DUMMYFUNCTION("""COMPUTED_VALUE"""),"Delayed Delivery")</f>
        <v>Delayed Delivery</v>
      </c>
      <c r="K49" s="18" t="str">
        <f>IFERROR(__xludf.DUMMYFUNCTION("""COMPUTED_VALUE"""),"Traffic Accidents or Road Closures")</f>
        <v>Traffic Accidents or Road Closures</v>
      </c>
      <c r="L49" s="18">
        <f>iferror(VLOOKUP($D49,Details!$A$2:$C$11,2,false),vlookup($D49,Details!$E$2:$G$11,2,false))</f>
        <v>80</v>
      </c>
      <c r="M49" s="18" t="str">
        <f>iferror(VLOOKUP($D49,Details!$A$2:$C$11,3,false),vlookup($D49,Details!$E$2:$G$11,3,false))</f>
        <v>Fruits and Vegetables</v>
      </c>
      <c r="N49" s="18">
        <f t="shared" si="1"/>
        <v>80</v>
      </c>
      <c r="O49" s="17"/>
      <c r="P49" s="17"/>
      <c r="Q49" s="17"/>
      <c r="R49" s="17"/>
      <c r="S49" s="17"/>
      <c r="T49" s="17"/>
      <c r="U49" s="17"/>
      <c r="V49" s="17"/>
      <c r="W49" s="17"/>
      <c r="X49" s="17"/>
      <c r="Y49" s="17"/>
      <c r="Z49" s="17"/>
    </row>
    <row r="50">
      <c r="A50" s="18" t="str">
        <f>IFERROR(__xludf.DUMMYFUNCTION("""COMPUTED_VALUE"""),"ord_59195")</f>
        <v>ord_59195</v>
      </c>
      <c r="B50" s="18" t="str">
        <f>IFERROR(__xludf.DUMMYFUNCTION("""COMPUTED_VALUE"""),"Pallavi Ghosh")</f>
        <v>Pallavi Ghosh</v>
      </c>
      <c r="C50" s="18" t="str">
        <f>IFERROR(__xludf.DUMMYFUNCTION("""COMPUTED_VALUE"""),"Bandra")</f>
        <v>Bandra</v>
      </c>
      <c r="D50" s="18" t="str">
        <f>IFERROR(__xludf.DUMMYFUNCTION("""COMPUTED_VALUE"""),"Guava")</f>
        <v>Guava</v>
      </c>
      <c r="E50" s="18">
        <f>IFERROR(__xludf.DUMMYFUNCTION("""COMPUTED_VALUE"""),2.0)</f>
        <v>2</v>
      </c>
      <c r="F50" s="18" t="str">
        <f>IFERROR(__xludf.DUMMYFUNCTION("""COMPUTED_VALUE"""),"Ramesh S")</f>
        <v>Ramesh S</v>
      </c>
      <c r="G50" s="19">
        <f>IFERROR(__xludf.DUMMYFUNCTION("""COMPUTED_VALUE"""),45196.0)</f>
        <v>45196</v>
      </c>
      <c r="H50" s="18" t="str">
        <f>IFERROR(__xludf.DUMMYFUNCTION("""COMPUTED_VALUE"""),"UPI")</f>
        <v>UPI</v>
      </c>
      <c r="I50" s="18" t="str">
        <f>IFERROR(__xludf.DUMMYFUNCTION("""COMPUTED_VALUE"""),"Delivered")</f>
        <v>Delivered</v>
      </c>
      <c r="J50" s="18" t="str">
        <f>IFERROR(__xludf.DUMMYFUNCTION("""COMPUTED_VALUE"""),"On-time Delivery")</f>
        <v>On-time Delivery</v>
      </c>
      <c r="K50" s="18" t="str">
        <f>IFERROR(__xludf.DUMMYFUNCTION("""COMPUTED_VALUE"""),"Delivered on time")</f>
        <v>Delivered on time</v>
      </c>
      <c r="L50" s="18">
        <f>iferror(VLOOKUP($D50,Details!$A$2:$C$11,2,false),vlookup($D50,Details!$E$2:$G$11,2,false))</f>
        <v>70</v>
      </c>
      <c r="M50" s="18" t="str">
        <f>iferror(VLOOKUP($D50,Details!$A$2:$C$11,3,false),vlookup($D50,Details!$E$2:$G$11,3,false))</f>
        <v>Fruits and Vegetables</v>
      </c>
      <c r="N50" s="18">
        <f t="shared" si="1"/>
        <v>140</v>
      </c>
      <c r="O50" s="17"/>
      <c r="P50" s="17"/>
      <c r="Q50" s="17"/>
      <c r="R50" s="17"/>
      <c r="S50" s="17"/>
      <c r="T50" s="17"/>
      <c r="U50" s="17"/>
      <c r="V50" s="17"/>
      <c r="W50" s="17"/>
      <c r="X50" s="17"/>
      <c r="Y50" s="17"/>
      <c r="Z50" s="17"/>
    </row>
    <row r="51">
      <c r="A51" s="18" t="str">
        <f>IFERROR(__xludf.DUMMYFUNCTION("""COMPUTED_VALUE"""),"ord_60199")</f>
        <v>ord_60199</v>
      </c>
      <c r="B51" s="18" t="str">
        <f>IFERROR(__xludf.DUMMYFUNCTION("""COMPUTED_VALUE"""),"Parth Goel")</f>
        <v>Parth Goel</v>
      </c>
      <c r="C51" s="18" t="str">
        <f>IFERROR(__xludf.DUMMYFUNCTION("""COMPUTED_VALUE"""),"Juhu")</f>
        <v>Juhu</v>
      </c>
      <c r="D51" s="18" t="str">
        <f>IFERROR(__xludf.DUMMYFUNCTION("""COMPUTED_VALUE"""),"Tomato")</f>
        <v>Tomato</v>
      </c>
      <c r="E51" s="18">
        <f>IFERROR(__xludf.DUMMYFUNCTION("""COMPUTED_VALUE"""),1.0)</f>
        <v>1</v>
      </c>
      <c r="F51" s="18" t="str">
        <f>IFERROR(__xludf.DUMMYFUNCTION("""COMPUTED_VALUE"""),"Vivek Kumar")</f>
        <v>Vivek Kumar</v>
      </c>
      <c r="G51" s="19">
        <f>IFERROR(__xludf.DUMMYFUNCTION("""COMPUTED_VALUE"""),45060.0)</f>
        <v>45060</v>
      </c>
      <c r="H51" s="18" t="str">
        <f>IFERROR(__xludf.DUMMYFUNCTION("""COMPUTED_VALUE"""),"Credit Card")</f>
        <v>Credit Card</v>
      </c>
      <c r="I51" s="18" t="str">
        <f>IFERROR(__xludf.DUMMYFUNCTION("""COMPUTED_VALUE"""),"Cancelled")</f>
        <v>Cancelled</v>
      </c>
      <c r="J51" s="18" t="str">
        <f>IFERROR(__xludf.DUMMYFUNCTION("""COMPUTED_VALUE"""),"Delayed Delivery")</f>
        <v>Delayed Delivery</v>
      </c>
      <c r="K51" s="18" t="str">
        <f>IFERROR(__xludf.DUMMYFUNCTION("""COMPUTED_VALUE"""),"Bad Weather Conditions")</f>
        <v>Bad Weather Conditions</v>
      </c>
      <c r="L51" s="18">
        <f>iferror(VLOOKUP($D51,Details!$A$2:$C$11,2,false),vlookup($D51,Details!$E$2:$G$11,2,false))</f>
        <v>25</v>
      </c>
      <c r="M51" s="18" t="str">
        <f>iferror(VLOOKUP($D51,Details!$A$2:$C$11,3,false),vlookup($D51,Details!$E$2:$G$11,3,false))</f>
        <v>Fruits and Vegetables</v>
      </c>
      <c r="N51" s="18">
        <f t="shared" si="1"/>
        <v>25</v>
      </c>
      <c r="O51" s="17"/>
      <c r="P51" s="17"/>
      <c r="Q51" s="17"/>
      <c r="R51" s="17"/>
      <c r="S51" s="17"/>
      <c r="T51" s="17"/>
      <c r="U51" s="17"/>
      <c r="V51" s="17"/>
      <c r="W51" s="17"/>
      <c r="X51" s="17"/>
      <c r="Y51" s="17"/>
      <c r="Z51" s="17"/>
    </row>
    <row r="52">
      <c r="A52" s="18" t="str">
        <f>IFERROR(__xludf.DUMMYFUNCTION("""COMPUTED_VALUE"""),"ord_11207")</f>
        <v>ord_11207</v>
      </c>
      <c r="B52" s="18" t="str">
        <f>IFERROR(__xludf.DUMMYFUNCTION("""COMPUTED_VALUE"""),"Arvind Kulkarni")</f>
        <v>Arvind Kulkarni</v>
      </c>
      <c r="C52" s="18" t="str">
        <f>IFERROR(__xludf.DUMMYFUNCTION("""COMPUTED_VALUE"""),"Juhu")</f>
        <v>Juhu</v>
      </c>
      <c r="D52" s="18" t="str">
        <f>IFERROR(__xludf.DUMMYFUNCTION("""COMPUTED_VALUE"""),"Tomato")</f>
        <v>Tomato</v>
      </c>
      <c r="E52" s="18">
        <f>IFERROR(__xludf.DUMMYFUNCTION("""COMPUTED_VALUE"""),1.0)</f>
        <v>1</v>
      </c>
      <c r="F52" s="18" t="str">
        <f>IFERROR(__xludf.DUMMYFUNCTION("""COMPUTED_VALUE"""),"Ramesh S")</f>
        <v>Ramesh S</v>
      </c>
      <c r="G52" s="19">
        <f>IFERROR(__xludf.DUMMYFUNCTION("""COMPUTED_VALUE"""),45097.0)</f>
        <v>45097</v>
      </c>
      <c r="H52" s="18" t="str">
        <f>IFERROR(__xludf.DUMMYFUNCTION("""COMPUTED_VALUE"""),"COD")</f>
        <v>COD</v>
      </c>
      <c r="I52" s="18" t="str">
        <f>IFERROR(__xludf.DUMMYFUNCTION("""COMPUTED_VALUE"""),"Delivered")</f>
        <v>Delivered</v>
      </c>
      <c r="J52" s="18" t="str">
        <f>IFERROR(__xludf.DUMMYFUNCTION("""COMPUTED_VALUE"""),"Quality of Items")</f>
        <v>Quality of Items</v>
      </c>
      <c r="K52" s="18" t="str">
        <f>IFERROR(__xludf.DUMMYFUNCTION("""COMPUTED_VALUE"""),"Perfect condition")</f>
        <v>Perfect condition</v>
      </c>
      <c r="L52" s="18">
        <f>iferror(VLOOKUP($D52,Details!$A$2:$C$11,2,false),vlookup($D52,Details!$E$2:$G$11,2,false))</f>
        <v>25</v>
      </c>
      <c r="M52" s="18" t="str">
        <f>iferror(VLOOKUP($D52,Details!$A$2:$C$11,3,false),vlookup($D52,Details!$E$2:$G$11,3,false))</f>
        <v>Fruits and Vegetables</v>
      </c>
      <c r="N52" s="18">
        <f t="shared" si="1"/>
        <v>25</v>
      </c>
      <c r="O52" s="17"/>
      <c r="P52" s="17"/>
      <c r="Q52" s="17"/>
      <c r="R52" s="17"/>
      <c r="S52" s="17"/>
      <c r="T52" s="17"/>
      <c r="U52" s="17"/>
      <c r="V52" s="17"/>
      <c r="W52" s="17"/>
      <c r="X52" s="17"/>
      <c r="Y52" s="17"/>
      <c r="Z52" s="17"/>
    </row>
    <row r="53">
      <c r="A53" s="18" t="str">
        <f>IFERROR(__xludf.DUMMYFUNCTION("""COMPUTED_VALUE"""),"ord_62207")</f>
        <v>ord_62207</v>
      </c>
      <c r="B53" s="18" t="str">
        <f>IFERROR(__xludf.DUMMYFUNCTION("""COMPUTED_VALUE"""),"Nitin Sehgal")</f>
        <v>Nitin Sehgal</v>
      </c>
      <c r="C53" s="18" t="str">
        <f>IFERROR(__xludf.DUMMYFUNCTION("""COMPUTED_VALUE"""),"Bandra")</f>
        <v>Bandra</v>
      </c>
      <c r="D53" s="18" t="str">
        <f>IFERROR(__xludf.DUMMYFUNCTION("""COMPUTED_VALUE"""),"Guava")</f>
        <v>Guava</v>
      </c>
      <c r="E53" s="18">
        <f>IFERROR(__xludf.DUMMYFUNCTION("""COMPUTED_VALUE"""),1.0)</f>
        <v>1</v>
      </c>
      <c r="F53" s="18" t="str">
        <f>IFERROR(__xludf.DUMMYFUNCTION("""COMPUTED_VALUE"""),"Ramesh S")</f>
        <v>Ramesh S</v>
      </c>
      <c r="G53" s="19">
        <f>IFERROR(__xludf.DUMMYFUNCTION("""COMPUTED_VALUE"""),45290.0)</f>
        <v>45290</v>
      </c>
      <c r="H53" s="18" t="str">
        <f>IFERROR(__xludf.DUMMYFUNCTION("""COMPUTED_VALUE"""),"COD")</f>
        <v>COD</v>
      </c>
      <c r="I53" s="18" t="str">
        <f>IFERROR(__xludf.DUMMYFUNCTION("""COMPUTED_VALUE"""),"Delivered")</f>
        <v>Delivered</v>
      </c>
      <c r="J53" s="18" t="str">
        <f>IFERROR(__xludf.DUMMYFUNCTION("""COMPUTED_VALUE"""),"Packaging")</f>
        <v>Packaging</v>
      </c>
      <c r="K53" s="18" t="str">
        <f>IFERROR(__xludf.DUMMYFUNCTION("""COMPUTED_VALUE"""),"Secure and intact")</f>
        <v>Secure and intact</v>
      </c>
      <c r="L53" s="18">
        <f>iferror(VLOOKUP($D53,Details!$A$2:$C$11,2,false),vlookup($D53,Details!$E$2:$G$11,2,false))</f>
        <v>70</v>
      </c>
      <c r="M53" s="18" t="str">
        <f>iferror(VLOOKUP($D53,Details!$A$2:$C$11,3,false),vlookup($D53,Details!$E$2:$G$11,3,false))</f>
        <v>Fruits and Vegetables</v>
      </c>
      <c r="N53" s="18">
        <f t="shared" si="1"/>
        <v>70</v>
      </c>
      <c r="O53" s="17"/>
      <c r="P53" s="17"/>
      <c r="Q53" s="17"/>
      <c r="R53" s="17"/>
      <c r="S53" s="17"/>
      <c r="T53" s="17"/>
      <c r="U53" s="17"/>
      <c r="V53" s="17"/>
      <c r="W53" s="17"/>
      <c r="X53" s="17"/>
      <c r="Y53" s="17"/>
      <c r="Z53" s="17"/>
    </row>
    <row r="54">
      <c r="A54" s="18" t="str">
        <f>IFERROR(__xludf.DUMMYFUNCTION("""COMPUTED_VALUE"""),"ord_63211")</f>
        <v>ord_63211</v>
      </c>
      <c r="B54" s="18" t="str">
        <f>IFERROR(__xludf.DUMMYFUNCTION("""COMPUTED_VALUE"""),"Anaya Rao")</f>
        <v>Anaya Rao</v>
      </c>
      <c r="C54" s="18" t="str">
        <f>IFERROR(__xludf.DUMMYFUNCTION("""COMPUTED_VALUE"""),"Colaba")</f>
        <v>Colaba</v>
      </c>
      <c r="D54" s="18" t="str">
        <f>IFERROR(__xludf.DUMMYFUNCTION("""COMPUTED_VALUE"""),"Tomato")</f>
        <v>Tomato</v>
      </c>
      <c r="E54" s="18">
        <f>IFERROR(__xludf.DUMMYFUNCTION("""COMPUTED_VALUE"""),2.0)</f>
        <v>2</v>
      </c>
      <c r="F54" s="18" t="str">
        <f>IFERROR(__xludf.DUMMYFUNCTION("""COMPUTED_VALUE"""),"Vivek Kumar")</f>
        <v>Vivek Kumar</v>
      </c>
      <c r="G54" s="19">
        <f>IFERROR(__xludf.DUMMYFUNCTION("""COMPUTED_VALUE"""),45255.0)</f>
        <v>45255</v>
      </c>
      <c r="H54" s="18" t="str">
        <f>IFERROR(__xludf.DUMMYFUNCTION("""COMPUTED_VALUE"""),"COD")</f>
        <v>COD</v>
      </c>
      <c r="I54" s="18" t="str">
        <f>IFERROR(__xludf.DUMMYFUNCTION("""COMPUTED_VALUE"""),"Delivered")</f>
        <v>Delivered</v>
      </c>
      <c r="J54" s="18" t="str">
        <f>IFERROR(__xludf.DUMMYFUNCTION("""COMPUTED_VALUE"""),"Satisfied with the Delivery")</f>
        <v>Satisfied with the Delivery</v>
      </c>
      <c r="K54" s="18" t="str">
        <f>IFERROR(__xludf.DUMMYFUNCTION("""COMPUTED_VALUE"""),"Timely and quality")</f>
        <v>Timely and quality</v>
      </c>
      <c r="L54" s="18">
        <f>iferror(VLOOKUP($D54,Details!$A$2:$C$11,2,false),vlookup($D54,Details!$E$2:$G$11,2,false))</f>
        <v>25</v>
      </c>
      <c r="M54" s="18" t="str">
        <f>iferror(VLOOKUP($D54,Details!$A$2:$C$11,3,false),vlookup($D54,Details!$E$2:$G$11,3,false))</f>
        <v>Fruits and Vegetables</v>
      </c>
      <c r="N54" s="18">
        <f t="shared" si="1"/>
        <v>50</v>
      </c>
      <c r="O54" s="17"/>
      <c r="P54" s="17"/>
      <c r="Q54" s="17"/>
      <c r="R54" s="17"/>
      <c r="S54" s="17"/>
      <c r="T54" s="17"/>
      <c r="U54" s="17"/>
      <c r="V54" s="17"/>
      <c r="W54" s="17"/>
      <c r="X54" s="17"/>
      <c r="Y54" s="17"/>
      <c r="Z54" s="17"/>
    </row>
    <row r="55">
      <c r="A55" s="18" t="str">
        <f>IFERROR(__xludf.DUMMYFUNCTION("""COMPUTED_VALUE"""),"ord_64215")</f>
        <v>ord_64215</v>
      </c>
      <c r="B55" s="18" t="str">
        <f>IFERROR(__xludf.DUMMYFUNCTION("""COMPUTED_VALUE"""),"Kritika Shetty")</f>
        <v>Kritika Shetty</v>
      </c>
      <c r="C55" s="18" t="str">
        <f>IFERROR(__xludf.DUMMYFUNCTION("""COMPUTED_VALUE"""),"Malad")</f>
        <v>Malad</v>
      </c>
      <c r="D55" s="18" t="str">
        <f>IFERROR(__xludf.DUMMYFUNCTION("""COMPUTED_VALUE"""),"Orange")</f>
        <v>Orange</v>
      </c>
      <c r="E55" s="18">
        <f>IFERROR(__xludf.DUMMYFUNCTION("""COMPUTED_VALUE"""),1.0)</f>
        <v>1</v>
      </c>
      <c r="F55" s="18" t="str">
        <f>IFERROR(__xludf.DUMMYFUNCTION("""COMPUTED_VALUE"""),"Neha Shah")</f>
        <v>Neha Shah</v>
      </c>
      <c r="G55" s="19">
        <f>IFERROR(__xludf.DUMMYFUNCTION("""COMPUTED_VALUE"""),44934.0)</f>
        <v>44934</v>
      </c>
      <c r="H55" s="18" t="str">
        <f>IFERROR(__xludf.DUMMYFUNCTION("""COMPUTED_VALUE"""),"UPI")</f>
        <v>UPI</v>
      </c>
      <c r="I55" s="18" t="str">
        <f>IFERROR(__xludf.DUMMYFUNCTION("""COMPUTED_VALUE"""),"Cancelled")</f>
        <v>Cancelled</v>
      </c>
      <c r="J55" s="18" t="str">
        <f>IFERROR(__xludf.DUMMYFUNCTION("""COMPUTED_VALUE"""),"Delayed Delivery")</f>
        <v>Delayed Delivery</v>
      </c>
      <c r="K55" s="18" t="str">
        <f>IFERROR(__xludf.DUMMYFUNCTION("""COMPUTED_VALUE"""),"Heavy Traffic")</f>
        <v>Heavy Traffic</v>
      </c>
      <c r="L55" s="18">
        <f>iferror(VLOOKUP($D55,Details!$A$2:$C$11,2,false),vlookup($D55,Details!$E$2:$G$11,2,false))</f>
        <v>180</v>
      </c>
      <c r="M55" s="18" t="str">
        <f>iferror(VLOOKUP($D55,Details!$A$2:$C$11,3,false),vlookup($D55,Details!$E$2:$G$11,3,false))</f>
        <v>Fruits and Vegetables</v>
      </c>
      <c r="N55" s="18">
        <f t="shared" si="1"/>
        <v>180</v>
      </c>
      <c r="O55" s="17"/>
      <c r="P55" s="17"/>
      <c r="Q55" s="17"/>
      <c r="R55" s="17"/>
      <c r="S55" s="17"/>
      <c r="T55" s="17"/>
      <c r="U55" s="17"/>
      <c r="V55" s="17"/>
      <c r="W55" s="17"/>
      <c r="X55" s="17"/>
      <c r="Y55" s="17"/>
      <c r="Z55" s="17"/>
    </row>
    <row r="56">
      <c r="A56" s="18" t="str">
        <f>IFERROR(__xludf.DUMMYFUNCTION("""COMPUTED_VALUE"""),"ord_65219")</f>
        <v>ord_65219</v>
      </c>
      <c r="B56" s="18" t="str">
        <f>IFERROR(__xludf.DUMMYFUNCTION("""COMPUTED_VALUE"""),"Diya Arora")</f>
        <v>Diya Arora</v>
      </c>
      <c r="C56" s="18" t="str">
        <f>IFERROR(__xludf.DUMMYFUNCTION("""COMPUTED_VALUE"""),"Lower Parel")</f>
        <v>Lower Parel</v>
      </c>
      <c r="D56" s="18" t="str">
        <f>IFERROR(__xludf.DUMMYFUNCTION("""COMPUTED_VALUE"""),"Cold Coffee")</f>
        <v>Cold Coffee</v>
      </c>
      <c r="E56" s="18">
        <f>IFERROR(__xludf.DUMMYFUNCTION("""COMPUTED_VALUE"""),4.0)</f>
        <v>4</v>
      </c>
      <c r="F56" s="18" t="str">
        <f>IFERROR(__xludf.DUMMYFUNCTION("""COMPUTED_VALUE"""),"Kiran Mehta")</f>
        <v>Kiran Mehta</v>
      </c>
      <c r="G56" s="19">
        <f>IFERROR(__xludf.DUMMYFUNCTION("""COMPUTED_VALUE"""),45224.0)</f>
        <v>45224</v>
      </c>
      <c r="H56" s="18" t="str">
        <f>IFERROR(__xludf.DUMMYFUNCTION("""COMPUTED_VALUE"""),"Credit Card")</f>
        <v>Credit Card</v>
      </c>
      <c r="I56" s="18" t="str">
        <f>IFERROR(__xludf.DUMMYFUNCTION("""COMPUTED_VALUE"""),"Delivered")</f>
        <v>Delivered</v>
      </c>
      <c r="J56" s="18" t="str">
        <f>IFERROR(__xludf.DUMMYFUNCTION("""COMPUTED_VALUE"""),"Customer Service")</f>
        <v>Customer Service</v>
      </c>
      <c r="K56" s="18" t="str">
        <f>IFERROR(__xludf.DUMMYFUNCTION("""COMPUTED_VALUE"""),"Seamless and easy")</f>
        <v>Seamless and easy</v>
      </c>
      <c r="L56" s="18">
        <f>iferror(VLOOKUP($D56,Details!$A$2:$C$11,2,false),vlookup($D56,Details!$E$2:$G$11,2,false))</f>
        <v>270</v>
      </c>
      <c r="M56" s="18" t="str">
        <f>iferror(VLOOKUP($D56,Details!$A$2:$C$11,3,false),vlookup($D56,Details!$E$2:$G$11,3,false))</f>
        <v>Snacks and Drinks</v>
      </c>
      <c r="N56" s="18">
        <f t="shared" si="1"/>
        <v>1080</v>
      </c>
      <c r="O56" s="17"/>
      <c r="P56" s="17"/>
      <c r="Q56" s="17"/>
      <c r="R56" s="17"/>
      <c r="S56" s="17"/>
      <c r="T56" s="17"/>
      <c r="U56" s="17"/>
      <c r="V56" s="17"/>
      <c r="W56" s="17"/>
      <c r="X56" s="17"/>
      <c r="Y56" s="17"/>
      <c r="Z56" s="17"/>
    </row>
    <row r="57">
      <c r="A57" s="18" t="str">
        <f>IFERROR(__xludf.DUMMYFUNCTION("""COMPUTED_VALUE"""),"ord_66223")</f>
        <v>ord_66223</v>
      </c>
      <c r="B57" s="18" t="str">
        <f>IFERROR(__xludf.DUMMYFUNCTION("""COMPUTED_VALUE"""),"Pallavi Ghosh")</f>
        <v>Pallavi Ghosh</v>
      </c>
      <c r="C57" s="18" t="str">
        <f>IFERROR(__xludf.DUMMYFUNCTION("""COMPUTED_VALUE"""),"Bandra")</f>
        <v>Bandra</v>
      </c>
      <c r="D57" s="18" t="str">
        <f>IFERROR(__xludf.DUMMYFUNCTION("""COMPUTED_VALUE"""),"Cold Coffee")</f>
        <v>Cold Coffee</v>
      </c>
      <c r="E57" s="18">
        <f>IFERROR(__xludf.DUMMYFUNCTION("""COMPUTED_VALUE"""),3.0)</f>
        <v>3</v>
      </c>
      <c r="F57" s="18" t="str">
        <f>IFERROR(__xludf.DUMMYFUNCTION("""COMPUTED_VALUE"""),"Ram Gopal")</f>
        <v>Ram Gopal</v>
      </c>
      <c r="G57" s="19">
        <f>IFERROR(__xludf.DUMMYFUNCTION("""COMPUTED_VALUE"""),45120.0)</f>
        <v>45120</v>
      </c>
      <c r="H57" s="18" t="str">
        <f>IFERROR(__xludf.DUMMYFUNCTION("""COMPUTED_VALUE"""),"Credit Card")</f>
        <v>Credit Card</v>
      </c>
      <c r="I57" s="18" t="str">
        <f>IFERROR(__xludf.DUMMYFUNCTION("""COMPUTED_VALUE"""),"Delivered")</f>
        <v>Delivered</v>
      </c>
      <c r="J57" s="18" t="str">
        <f>IFERROR(__xludf.DUMMYFUNCTION("""COMPUTED_VALUE"""),"Delivery Experience")</f>
        <v>Delivery Experience</v>
      </c>
      <c r="K57" s="18" t="str">
        <f>IFERROR(__xludf.DUMMYFUNCTION("""COMPUTED_VALUE"""),"Quick and professional")</f>
        <v>Quick and professional</v>
      </c>
      <c r="L57" s="18">
        <f>iferror(VLOOKUP($D57,Details!$A$2:$C$11,2,false),vlookup($D57,Details!$E$2:$G$11,2,false))</f>
        <v>270</v>
      </c>
      <c r="M57" s="18" t="str">
        <f>iferror(VLOOKUP($D57,Details!$A$2:$C$11,3,false),vlookup($D57,Details!$E$2:$G$11,3,false))</f>
        <v>Snacks and Drinks</v>
      </c>
      <c r="N57" s="18">
        <f t="shared" si="1"/>
        <v>810</v>
      </c>
      <c r="O57" s="17"/>
      <c r="P57" s="17"/>
      <c r="Q57" s="17"/>
      <c r="R57" s="17"/>
      <c r="S57" s="17"/>
      <c r="T57" s="17"/>
      <c r="U57" s="17"/>
      <c r="V57" s="17"/>
      <c r="W57" s="17"/>
      <c r="X57" s="17"/>
      <c r="Y57" s="17"/>
      <c r="Z57" s="17"/>
    </row>
    <row r="58">
      <c r="A58" s="18" t="str">
        <f>IFERROR(__xludf.DUMMYFUNCTION("""COMPUTED_VALUE"""),"ord_67227")</f>
        <v>ord_67227</v>
      </c>
      <c r="B58" s="18" t="str">
        <f>IFERROR(__xludf.DUMMYFUNCTION("""COMPUTED_VALUE"""),"Omkar Mishra")</f>
        <v>Omkar Mishra</v>
      </c>
      <c r="C58" s="18" t="str">
        <f>IFERROR(__xludf.DUMMYFUNCTION("""COMPUTED_VALUE"""),"Powai")</f>
        <v>Powai</v>
      </c>
      <c r="D58" s="18" t="str">
        <f>IFERROR(__xludf.DUMMYFUNCTION("""COMPUTED_VALUE"""),"Chocolate Mousse")</f>
        <v>Chocolate Mousse</v>
      </c>
      <c r="E58" s="18">
        <f>IFERROR(__xludf.DUMMYFUNCTION("""COMPUTED_VALUE"""),5.0)</f>
        <v>5</v>
      </c>
      <c r="F58" s="18" t="str">
        <f>IFERROR(__xludf.DUMMYFUNCTION("""COMPUTED_VALUE"""),"Vivek Kumar")</f>
        <v>Vivek Kumar</v>
      </c>
      <c r="G58" s="19">
        <f>IFERROR(__xludf.DUMMYFUNCTION("""COMPUTED_VALUE"""),44991.0)</f>
        <v>44991</v>
      </c>
      <c r="H58" s="18" t="str">
        <f>IFERROR(__xludf.DUMMYFUNCTION("""COMPUTED_VALUE"""),"COD")</f>
        <v>COD</v>
      </c>
      <c r="I58" s="18" t="str">
        <f>IFERROR(__xludf.DUMMYFUNCTION("""COMPUTED_VALUE"""),"Delivered")</f>
        <v>Delivered</v>
      </c>
      <c r="J58" s="18" t="str">
        <f>IFERROR(__xludf.DUMMYFUNCTION("""COMPUTED_VALUE"""),"Convenience")</f>
        <v>Convenience</v>
      </c>
      <c r="K58" s="18" t="str">
        <f>IFERROR(__xludf.DUMMYFUNCTION("""COMPUTED_VALUE"""),"Easy tracking")</f>
        <v>Easy tracking</v>
      </c>
      <c r="L58" s="18">
        <f>iferror(VLOOKUP($D58,Details!$A$2:$C$11,2,false),vlookup($D58,Details!$E$2:$G$11,2,false))</f>
        <v>145</v>
      </c>
      <c r="M58" s="18" t="str">
        <f>iferror(VLOOKUP($D58,Details!$A$2:$C$11,3,false),vlookup($D58,Details!$E$2:$G$11,3,false))</f>
        <v>Snacks and Drinks</v>
      </c>
      <c r="N58" s="18">
        <f t="shared" si="1"/>
        <v>725</v>
      </c>
      <c r="O58" s="17"/>
      <c r="P58" s="17"/>
      <c r="Q58" s="17"/>
      <c r="R58" s="17"/>
      <c r="S58" s="17"/>
      <c r="T58" s="17"/>
      <c r="U58" s="17"/>
      <c r="V58" s="17"/>
      <c r="W58" s="17"/>
      <c r="X58" s="17"/>
      <c r="Y58" s="17"/>
      <c r="Z58" s="17"/>
    </row>
    <row r="59">
      <c r="A59" s="18" t="str">
        <f>IFERROR(__xludf.DUMMYFUNCTION("""COMPUTED_VALUE"""),"ord_68231")</f>
        <v>ord_68231</v>
      </c>
      <c r="B59" s="18" t="str">
        <f>IFERROR(__xludf.DUMMYFUNCTION("""COMPUTED_VALUE"""),"Ishaan Chaturvedi")</f>
        <v>Ishaan Chaturvedi</v>
      </c>
      <c r="C59" s="18" t="str">
        <f>IFERROR(__xludf.DUMMYFUNCTION("""COMPUTED_VALUE"""),"Bandra")</f>
        <v>Bandra</v>
      </c>
      <c r="D59" s="18" t="str">
        <f>IFERROR(__xludf.DUMMYFUNCTION("""COMPUTED_VALUE"""),"Orange")</f>
        <v>Orange</v>
      </c>
      <c r="E59" s="18">
        <f>IFERROR(__xludf.DUMMYFUNCTION("""COMPUTED_VALUE"""),2.0)</f>
        <v>2</v>
      </c>
      <c r="F59" s="18" t="str">
        <f>IFERROR(__xludf.DUMMYFUNCTION("""COMPUTED_VALUE"""),"Venu R")</f>
        <v>Venu R</v>
      </c>
      <c r="G59" s="19">
        <f>IFERROR(__xludf.DUMMYFUNCTION("""COMPUTED_VALUE"""),45255.0)</f>
        <v>45255</v>
      </c>
      <c r="H59" s="18" t="str">
        <f>IFERROR(__xludf.DUMMYFUNCTION("""COMPUTED_VALUE"""),"COD")</f>
        <v>COD</v>
      </c>
      <c r="I59" s="18" t="str">
        <f>IFERROR(__xludf.DUMMYFUNCTION("""COMPUTED_VALUE"""),"Delivered")</f>
        <v>Delivered</v>
      </c>
      <c r="J59" s="18" t="str">
        <f>IFERROR(__xludf.DUMMYFUNCTION("""COMPUTED_VALUE"""),"Overall Satisfaction")</f>
        <v>Overall Satisfaction</v>
      </c>
      <c r="K59" s="18" t="str">
        <f>IFERROR(__xludf.DUMMYFUNCTION("""COMPUTED_VALUE"""),"Great service will order again")</f>
        <v>Great service will order again</v>
      </c>
      <c r="L59" s="18">
        <f>iferror(VLOOKUP($D59,Details!$A$2:$C$11,2,false),vlookup($D59,Details!$E$2:$G$11,2,false))</f>
        <v>180</v>
      </c>
      <c r="M59" s="18" t="str">
        <f>iferror(VLOOKUP($D59,Details!$A$2:$C$11,3,false),vlookup($D59,Details!$E$2:$G$11,3,false))</f>
        <v>Fruits and Vegetables</v>
      </c>
      <c r="N59" s="18">
        <f t="shared" si="1"/>
        <v>360</v>
      </c>
      <c r="O59" s="17"/>
      <c r="P59" s="17"/>
      <c r="Q59" s="17"/>
      <c r="R59" s="17"/>
      <c r="S59" s="17"/>
      <c r="T59" s="17"/>
      <c r="U59" s="17"/>
      <c r="V59" s="17"/>
      <c r="W59" s="17"/>
      <c r="X59" s="17"/>
      <c r="Y59" s="17"/>
      <c r="Z59" s="17"/>
    </row>
    <row r="60">
      <c r="A60" s="18" t="str">
        <f>IFERROR(__xludf.DUMMYFUNCTION("""COMPUTED_VALUE"""),"ord_69235")</f>
        <v>ord_69235</v>
      </c>
      <c r="B60" s="18" t="str">
        <f>IFERROR(__xludf.DUMMYFUNCTION("""COMPUTED_VALUE"""),"Kritika Shetty")</f>
        <v>Kritika Shetty</v>
      </c>
      <c r="C60" s="18" t="str">
        <f>IFERROR(__xludf.DUMMYFUNCTION("""COMPUTED_VALUE"""),"Malad")</f>
        <v>Malad</v>
      </c>
      <c r="D60" s="18" t="str">
        <f>IFERROR(__xludf.DUMMYFUNCTION("""COMPUTED_VALUE"""),"Guava")</f>
        <v>Guava</v>
      </c>
      <c r="E60" s="18">
        <f>IFERROR(__xludf.DUMMYFUNCTION("""COMPUTED_VALUE"""),1.0)</f>
        <v>1</v>
      </c>
      <c r="F60" s="18" t="str">
        <f>IFERROR(__xludf.DUMMYFUNCTION("""COMPUTED_VALUE"""),"Vivek Kumar")</f>
        <v>Vivek Kumar</v>
      </c>
      <c r="G60" s="19">
        <f>IFERROR(__xludf.DUMMYFUNCTION("""COMPUTED_VALUE"""),45216.0)</f>
        <v>45216</v>
      </c>
      <c r="H60" s="18" t="str">
        <f>IFERROR(__xludf.DUMMYFUNCTION("""COMPUTED_VALUE"""),"Credit Card")</f>
        <v>Credit Card</v>
      </c>
      <c r="I60" s="18" t="str">
        <f>IFERROR(__xludf.DUMMYFUNCTION("""COMPUTED_VALUE"""),"Cancelled")</f>
        <v>Cancelled</v>
      </c>
      <c r="J60" s="18" t="str">
        <f>IFERROR(__xludf.DUMMYFUNCTION("""COMPUTED_VALUE"""),"Delayed Delivery")</f>
        <v>Delayed Delivery</v>
      </c>
      <c r="K60" s="18" t="str">
        <f>IFERROR(__xludf.DUMMYFUNCTION("""COMPUTED_VALUE"""),"Vehicle Breakdown")</f>
        <v>Vehicle Breakdown</v>
      </c>
      <c r="L60" s="18">
        <f>iferror(VLOOKUP($D60,Details!$A$2:$C$11,2,false),vlookup($D60,Details!$E$2:$G$11,2,false))</f>
        <v>70</v>
      </c>
      <c r="M60" s="18" t="str">
        <f>iferror(VLOOKUP($D60,Details!$A$2:$C$11,3,false),vlookup($D60,Details!$E$2:$G$11,3,false))</f>
        <v>Fruits and Vegetables</v>
      </c>
      <c r="N60" s="18">
        <f t="shared" si="1"/>
        <v>70</v>
      </c>
      <c r="O60" s="17"/>
      <c r="P60" s="17"/>
      <c r="Q60" s="17"/>
      <c r="R60" s="17"/>
      <c r="S60" s="17"/>
      <c r="T60" s="17"/>
      <c r="U60" s="17"/>
      <c r="V60" s="17"/>
      <c r="W60" s="17"/>
      <c r="X60" s="17"/>
      <c r="Y60" s="17"/>
      <c r="Z60" s="17"/>
    </row>
    <row r="61">
      <c r="A61" s="18" t="str">
        <f>IFERROR(__xludf.DUMMYFUNCTION("""COMPUTED_VALUE"""),"ord_70239")</f>
        <v>ord_70239</v>
      </c>
      <c r="B61" s="18" t="str">
        <f>IFERROR(__xludf.DUMMYFUNCTION("""COMPUTED_VALUE"""),"Siya Reddy")</f>
        <v>Siya Reddy</v>
      </c>
      <c r="C61" s="18" t="str">
        <f>IFERROR(__xludf.DUMMYFUNCTION("""COMPUTED_VALUE"""),"Juhu")</f>
        <v>Juhu</v>
      </c>
      <c r="D61" s="18" t="str">
        <f>IFERROR(__xludf.DUMMYFUNCTION("""COMPUTED_VALUE"""),"Tomato")</f>
        <v>Tomato</v>
      </c>
      <c r="E61" s="18">
        <f>IFERROR(__xludf.DUMMYFUNCTION("""COMPUTED_VALUE"""),2.0)</f>
        <v>2</v>
      </c>
      <c r="F61" s="18" t="str">
        <f>IFERROR(__xludf.DUMMYFUNCTION("""COMPUTED_VALUE"""),"Nikhil Deshmukh")</f>
        <v>Nikhil Deshmukh</v>
      </c>
      <c r="G61" s="19">
        <f>IFERROR(__xludf.DUMMYFUNCTION("""COMPUTED_VALUE"""),44995.0)</f>
        <v>44995</v>
      </c>
      <c r="H61" s="18" t="str">
        <f>IFERROR(__xludf.DUMMYFUNCTION("""COMPUTED_VALUE"""),"Credit Card")</f>
        <v>Credit Card</v>
      </c>
      <c r="I61" s="18" t="str">
        <f>IFERROR(__xludf.DUMMYFUNCTION("""COMPUTED_VALUE"""),"Cancelled")</f>
        <v>Cancelled</v>
      </c>
      <c r="J61" s="18" t="str">
        <f>IFERROR(__xludf.DUMMYFUNCTION("""COMPUTED_VALUE"""),"Delayed Delivery")</f>
        <v>Delayed Delivery</v>
      </c>
      <c r="K61" s="18" t="str">
        <f>IFERROR(__xludf.DUMMYFUNCTION("""COMPUTED_VALUE"""),"Heavy Traffic")</f>
        <v>Heavy Traffic</v>
      </c>
      <c r="L61" s="18">
        <f>iferror(VLOOKUP($D61,Details!$A$2:$C$11,2,false),vlookup($D61,Details!$E$2:$G$11,2,false))</f>
        <v>25</v>
      </c>
      <c r="M61" s="18" t="str">
        <f>iferror(VLOOKUP($D61,Details!$A$2:$C$11,3,false),vlookup($D61,Details!$E$2:$G$11,3,false))</f>
        <v>Fruits and Vegetables</v>
      </c>
      <c r="N61" s="18">
        <f t="shared" si="1"/>
        <v>50</v>
      </c>
      <c r="O61" s="17"/>
      <c r="P61" s="17"/>
      <c r="Q61" s="17"/>
      <c r="R61" s="17"/>
      <c r="S61" s="17"/>
      <c r="T61" s="17"/>
      <c r="U61" s="17"/>
      <c r="V61" s="17"/>
      <c r="W61" s="17"/>
      <c r="X61" s="17"/>
      <c r="Y61" s="17"/>
      <c r="Z61" s="17"/>
    </row>
    <row r="62">
      <c r="A62" s="18" t="str">
        <f>IFERROR(__xludf.DUMMYFUNCTION("""COMPUTED_VALUE"""),"ord_71243")</f>
        <v>ord_71243</v>
      </c>
      <c r="B62" s="18" t="str">
        <f>IFERROR(__xludf.DUMMYFUNCTION("""COMPUTED_VALUE"""),"Sanjay Nair")</f>
        <v>Sanjay Nair</v>
      </c>
      <c r="C62" s="18" t="str">
        <f>IFERROR(__xludf.DUMMYFUNCTION("""COMPUTED_VALUE"""),"Dadar")</f>
        <v>Dadar</v>
      </c>
      <c r="D62" s="18" t="str">
        <f>IFERROR(__xludf.DUMMYFUNCTION("""COMPUTED_VALUE"""),"Chilli Cheese Toast")</f>
        <v>Chilli Cheese Toast</v>
      </c>
      <c r="E62" s="18">
        <f>IFERROR(__xludf.DUMMYFUNCTION("""COMPUTED_VALUE"""),3.0)</f>
        <v>3</v>
      </c>
      <c r="F62" s="18" t="str">
        <f>IFERROR(__xludf.DUMMYFUNCTION("""COMPUTED_VALUE"""),"Ramesh S")</f>
        <v>Ramesh S</v>
      </c>
      <c r="G62" s="19">
        <f>IFERROR(__xludf.DUMMYFUNCTION("""COMPUTED_VALUE"""),45225.0)</f>
        <v>45225</v>
      </c>
      <c r="H62" s="18" t="str">
        <f>IFERROR(__xludf.DUMMYFUNCTION("""COMPUTED_VALUE"""),"Online Payment")</f>
        <v>Online Payment</v>
      </c>
      <c r="I62" s="18" t="str">
        <f>IFERROR(__xludf.DUMMYFUNCTION("""COMPUTED_VALUE"""),"Delivered")</f>
        <v>Delivered</v>
      </c>
      <c r="J62" s="18" t="str">
        <f>IFERROR(__xludf.DUMMYFUNCTION("""COMPUTED_VALUE"""),"On-time Delivery")</f>
        <v>On-time Delivery</v>
      </c>
      <c r="K62" s="18" t="str">
        <f>IFERROR(__xludf.DUMMYFUNCTION("""COMPUTED_VALUE"""),"Delivered on time")</f>
        <v>Delivered on time</v>
      </c>
      <c r="L62" s="18">
        <f>iferror(VLOOKUP($D62,Details!$A$2:$C$11,2,false),vlookup($D62,Details!$E$2:$G$11,2,false))</f>
        <v>80</v>
      </c>
      <c r="M62" s="18" t="str">
        <f>iferror(VLOOKUP($D62,Details!$A$2:$C$11,3,false),vlookup($D62,Details!$E$2:$G$11,3,false))</f>
        <v>Snacks and Drinks</v>
      </c>
      <c r="N62" s="18">
        <f t="shared" si="1"/>
        <v>240</v>
      </c>
      <c r="O62" s="17"/>
      <c r="P62" s="17"/>
      <c r="Q62" s="17"/>
      <c r="R62" s="17"/>
      <c r="S62" s="17"/>
      <c r="T62" s="17"/>
      <c r="U62" s="17"/>
      <c r="V62" s="17"/>
      <c r="W62" s="17"/>
      <c r="X62" s="17"/>
      <c r="Y62" s="17"/>
      <c r="Z62" s="17"/>
    </row>
    <row r="63">
      <c r="A63" s="18" t="str">
        <f>IFERROR(__xludf.DUMMYFUNCTION("""COMPUTED_VALUE"""),"ord_72247")</f>
        <v>ord_72247</v>
      </c>
      <c r="B63" s="18" t="str">
        <f>IFERROR(__xludf.DUMMYFUNCTION("""COMPUTED_VALUE"""),"Omkar Mishra")</f>
        <v>Omkar Mishra</v>
      </c>
      <c r="C63" s="18" t="str">
        <f>IFERROR(__xludf.DUMMYFUNCTION("""COMPUTED_VALUE"""),"Powai")</f>
        <v>Powai</v>
      </c>
      <c r="D63" s="18" t="str">
        <f>IFERROR(__xludf.DUMMYFUNCTION("""COMPUTED_VALUE"""),"Potato")</f>
        <v>Potato</v>
      </c>
      <c r="E63" s="18">
        <f>IFERROR(__xludf.DUMMYFUNCTION("""COMPUTED_VALUE"""),1.0)</f>
        <v>1</v>
      </c>
      <c r="F63" s="18" t="str">
        <f>IFERROR(__xludf.DUMMYFUNCTION("""COMPUTED_VALUE"""),"Manju Ajay")</f>
        <v>Manju Ajay</v>
      </c>
      <c r="G63" s="19">
        <f>IFERROR(__xludf.DUMMYFUNCTION("""COMPUTED_VALUE"""),45127.0)</f>
        <v>45127</v>
      </c>
      <c r="H63" s="18" t="str">
        <f>IFERROR(__xludf.DUMMYFUNCTION("""COMPUTED_VALUE"""),"Credit Card")</f>
        <v>Credit Card</v>
      </c>
      <c r="I63" s="18" t="str">
        <f>IFERROR(__xludf.DUMMYFUNCTION("""COMPUTED_VALUE"""),"Delivered")</f>
        <v>Delivered</v>
      </c>
      <c r="J63" s="18" t="str">
        <f>IFERROR(__xludf.DUMMYFUNCTION("""COMPUTED_VALUE"""),"Quality of Items")</f>
        <v>Quality of Items</v>
      </c>
      <c r="K63" s="18" t="str">
        <f>IFERROR(__xludf.DUMMYFUNCTION("""COMPUTED_VALUE"""),"Perfect condition")</f>
        <v>Perfect condition</v>
      </c>
      <c r="L63" s="18">
        <f>iferror(VLOOKUP($D63,Details!$A$2:$C$11,2,false),vlookup($D63,Details!$E$2:$G$11,2,false))</f>
        <v>55</v>
      </c>
      <c r="M63" s="18" t="str">
        <f>iferror(VLOOKUP($D63,Details!$A$2:$C$11,3,false),vlookup($D63,Details!$E$2:$G$11,3,false))</f>
        <v>Fruits and Vegetables</v>
      </c>
      <c r="N63" s="18">
        <f t="shared" si="1"/>
        <v>55</v>
      </c>
      <c r="O63" s="17"/>
      <c r="P63" s="17"/>
      <c r="Q63" s="17"/>
      <c r="R63" s="17"/>
      <c r="S63" s="17"/>
      <c r="T63" s="17"/>
      <c r="U63" s="17"/>
      <c r="V63" s="17"/>
      <c r="W63" s="17"/>
      <c r="X63" s="17"/>
      <c r="Y63" s="17"/>
      <c r="Z63" s="17"/>
    </row>
    <row r="64">
      <c r="A64" s="18" t="str">
        <f>IFERROR(__xludf.DUMMYFUNCTION("""COMPUTED_VALUE"""),"ord_73251")</f>
        <v>ord_73251</v>
      </c>
      <c r="B64" s="18" t="str">
        <f>IFERROR(__xludf.DUMMYFUNCTION("""COMPUTED_VALUE"""),"Kritika Shetty")</f>
        <v>Kritika Shetty</v>
      </c>
      <c r="C64" s="18" t="str">
        <f>IFERROR(__xludf.DUMMYFUNCTION("""COMPUTED_VALUE"""),"Malad")</f>
        <v>Malad</v>
      </c>
      <c r="D64" s="18" t="str">
        <f>IFERROR(__xludf.DUMMYFUNCTION("""COMPUTED_VALUE"""),"Papaya")</f>
        <v>Papaya</v>
      </c>
      <c r="E64" s="18">
        <f>IFERROR(__xludf.DUMMYFUNCTION("""COMPUTED_VALUE"""),1.0)</f>
        <v>1</v>
      </c>
      <c r="F64" s="18" t="str">
        <f>IFERROR(__xludf.DUMMYFUNCTION("""COMPUTED_VALUE"""),"Neha Shah")</f>
        <v>Neha Shah</v>
      </c>
      <c r="G64" s="19">
        <f>IFERROR(__xludf.DUMMYFUNCTION("""COMPUTED_VALUE"""),45094.0)</f>
        <v>45094</v>
      </c>
      <c r="H64" s="18" t="str">
        <f>IFERROR(__xludf.DUMMYFUNCTION("""COMPUTED_VALUE"""),"Credit Card")</f>
        <v>Credit Card</v>
      </c>
      <c r="I64" s="18" t="str">
        <f>IFERROR(__xludf.DUMMYFUNCTION("""COMPUTED_VALUE"""),"Delivered")</f>
        <v>Delivered</v>
      </c>
      <c r="J64" s="18" t="str">
        <f>IFERROR(__xludf.DUMMYFUNCTION("""COMPUTED_VALUE"""),"Packaging")</f>
        <v>Packaging</v>
      </c>
      <c r="K64" s="18" t="str">
        <f>IFERROR(__xludf.DUMMYFUNCTION("""COMPUTED_VALUE"""),"Secure and intact")</f>
        <v>Secure and intact</v>
      </c>
      <c r="L64" s="18">
        <f>iferror(VLOOKUP($D64,Details!$A$2:$C$11,2,false),vlookup($D64,Details!$E$2:$G$11,2,false))</f>
        <v>75</v>
      </c>
      <c r="M64" s="18" t="str">
        <f>iferror(VLOOKUP($D64,Details!$A$2:$C$11,3,false),vlookup($D64,Details!$E$2:$G$11,3,false))</f>
        <v>Fruits and Vegetables</v>
      </c>
      <c r="N64" s="18">
        <f t="shared" si="1"/>
        <v>75</v>
      </c>
      <c r="O64" s="17"/>
      <c r="P64" s="17"/>
      <c r="Q64" s="17"/>
      <c r="R64" s="17"/>
      <c r="S64" s="17"/>
      <c r="T64" s="17"/>
      <c r="U64" s="17"/>
      <c r="V64" s="17"/>
      <c r="W64" s="17"/>
      <c r="X64" s="17"/>
      <c r="Y64" s="17"/>
      <c r="Z64" s="17"/>
    </row>
    <row r="65">
      <c r="A65" s="18" t="str">
        <f>IFERROR(__xludf.DUMMYFUNCTION("""COMPUTED_VALUE"""),"ord_74255")</f>
        <v>ord_74255</v>
      </c>
      <c r="B65" s="18" t="str">
        <f>IFERROR(__xludf.DUMMYFUNCTION("""COMPUTED_VALUE"""),"Aarohi Kapoor")</f>
        <v>Aarohi Kapoor</v>
      </c>
      <c r="C65" s="18" t="str">
        <f>IFERROR(__xludf.DUMMYFUNCTION("""COMPUTED_VALUE"""),"Bandra")</f>
        <v>Bandra</v>
      </c>
      <c r="D65" s="18" t="str">
        <f>IFERROR(__xludf.DUMMYFUNCTION("""COMPUTED_VALUE"""),"Rasmalai")</f>
        <v>Rasmalai</v>
      </c>
      <c r="E65" s="18">
        <f>IFERROR(__xludf.DUMMYFUNCTION("""COMPUTED_VALUE"""),2.0)</f>
        <v>2</v>
      </c>
      <c r="F65" s="18" t="str">
        <f>IFERROR(__xludf.DUMMYFUNCTION("""COMPUTED_VALUE"""),"Shine Thomas")</f>
        <v>Shine Thomas</v>
      </c>
      <c r="G65" s="19">
        <f>IFERROR(__xludf.DUMMYFUNCTION("""COMPUTED_VALUE"""),45099.0)</f>
        <v>45099</v>
      </c>
      <c r="H65" s="18" t="str">
        <f>IFERROR(__xludf.DUMMYFUNCTION("""COMPUTED_VALUE"""),"UPI")</f>
        <v>UPI</v>
      </c>
      <c r="I65" s="18" t="str">
        <f>IFERROR(__xludf.DUMMYFUNCTION("""COMPUTED_VALUE"""),"Delivered")</f>
        <v>Delivered</v>
      </c>
      <c r="J65" s="18" t="str">
        <f>IFERROR(__xludf.DUMMYFUNCTION("""COMPUTED_VALUE"""),"Satisfied with the Delivery")</f>
        <v>Satisfied with the Delivery</v>
      </c>
      <c r="K65" s="18" t="str">
        <f>IFERROR(__xludf.DUMMYFUNCTION("""COMPUTED_VALUE"""),"Timely and quality")</f>
        <v>Timely and quality</v>
      </c>
      <c r="L65" s="18">
        <f>iferror(VLOOKUP($D65,Details!$A$2:$C$11,2,false),vlookup($D65,Details!$E$2:$G$11,2,false))</f>
        <v>110</v>
      </c>
      <c r="M65" s="18" t="str">
        <f>iferror(VLOOKUP($D65,Details!$A$2:$C$11,3,false),vlookup($D65,Details!$E$2:$G$11,3,false))</f>
        <v>Snacks and Drinks</v>
      </c>
      <c r="N65" s="18">
        <f t="shared" si="1"/>
        <v>220</v>
      </c>
      <c r="O65" s="17"/>
      <c r="P65" s="17"/>
      <c r="Q65" s="17"/>
      <c r="R65" s="17"/>
      <c r="S65" s="17"/>
      <c r="T65" s="17"/>
      <c r="U65" s="17"/>
      <c r="V65" s="17"/>
      <c r="W65" s="17"/>
      <c r="X65" s="17"/>
      <c r="Y65" s="17"/>
      <c r="Z65" s="17"/>
    </row>
    <row r="66">
      <c r="A66" s="18" t="str">
        <f>IFERROR(__xludf.DUMMYFUNCTION("""COMPUTED_VALUE"""),"ord_75259")</f>
        <v>ord_75259</v>
      </c>
      <c r="B66" s="18" t="str">
        <f>IFERROR(__xludf.DUMMYFUNCTION("""COMPUTED_VALUE"""),"Sakshi Tandon")</f>
        <v>Sakshi Tandon</v>
      </c>
      <c r="C66" s="18" t="str">
        <f>IFERROR(__xludf.DUMMYFUNCTION("""COMPUTED_VALUE"""),"Colaba")</f>
        <v>Colaba</v>
      </c>
      <c r="D66" s="18" t="str">
        <f>IFERROR(__xludf.DUMMYFUNCTION("""COMPUTED_VALUE"""),"Popcorn")</f>
        <v>Popcorn</v>
      </c>
      <c r="E66" s="18">
        <f>IFERROR(__xludf.DUMMYFUNCTION("""COMPUTED_VALUE"""),3.0)</f>
        <v>3</v>
      </c>
      <c r="F66" s="18" t="str">
        <f>IFERROR(__xludf.DUMMYFUNCTION("""COMPUTED_VALUE"""),"Vivek Kumar")</f>
        <v>Vivek Kumar</v>
      </c>
      <c r="G66" s="19">
        <f>IFERROR(__xludf.DUMMYFUNCTION("""COMPUTED_VALUE"""),44997.0)</f>
        <v>44997</v>
      </c>
      <c r="H66" s="18" t="str">
        <f>IFERROR(__xludf.DUMMYFUNCTION("""COMPUTED_VALUE"""),"UPI")</f>
        <v>UPI</v>
      </c>
      <c r="I66" s="18" t="str">
        <f>IFERROR(__xludf.DUMMYFUNCTION("""COMPUTED_VALUE"""),"Delivered")</f>
        <v>Delivered</v>
      </c>
      <c r="J66" s="18" t="str">
        <f>IFERROR(__xludf.DUMMYFUNCTION("""COMPUTED_VALUE"""),"Customer Service")</f>
        <v>Customer Service</v>
      </c>
      <c r="K66" s="18" t="str">
        <f>IFERROR(__xludf.DUMMYFUNCTION("""COMPUTED_VALUE"""),"Seamless and easy")</f>
        <v>Seamless and easy</v>
      </c>
      <c r="L66" s="18">
        <f>iferror(VLOOKUP($D66,Details!$A$2:$C$11,2,false),vlookup($D66,Details!$E$2:$G$11,2,false))</f>
        <v>150</v>
      </c>
      <c r="M66" s="18" t="str">
        <f>iferror(VLOOKUP($D66,Details!$A$2:$C$11,3,false),vlookup($D66,Details!$E$2:$G$11,3,false))</f>
        <v>Snacks and Drinks</v>
      </c>
      <c r="N66" s="18">
        <f t="shared" si="1"/>
        <v>450</v>
      </c>
      <c r="O66" s="17"/>
      <c r="P66" s="17"/>
      <c r="Q66" s="17"/>
      <c r="R66" s="17"/>
      <c r="S66" s="17"/>
      <c r="T66" s="17"/>
      <c r="U66" s="17"/>
      <c r="V66" s="17"/>
      <c r="W66" s="17"/>
      <c r="X66" s="17"/>
      <c r="Y66" s="17"/>
      <c r="Z66" s="17"/>
    </row>
    <row r="67">
      <c r="A67" s="18" t="str">
        <f>IFERROR(__xludf.DUMMYFUNCTION("""COMPUTED_VALUE"""),"ord_76263")</f>
        <v>ord_76263</v>
      </c>
      <c r="B67" s="18" t="str">
        <f>IFERROR(__xludf.DUMMYFUNCTION("""COMPUTED_VALUE"""),"Sanjay Nair")</f>
        <v>Sanjay Nair</v>
      </c>
      <c r="C67" s="18" t="str">
        <f>IFERROR(__xludf.DUMMYFUNCTION("""COMPUTED_VALUE"""),"Dadar")</f>
        <v>Dadar</v>
      </c>
      <c r="D67" s="18" t="str">
        <f>IFERROR(__xludf.DUMMYFUNCTION("""COMPUTED_VALUE"""),"Rasmalai")</f>
        <v>Rasmalai</v>
      </c>
      <c r="E67" s="18">
        <f>IFERROR(__xludf.DUMMYFUNCTION("""COMPUTED_VALUE"""),1.0)</f>
        <v>1</v>
      </c>
      <c r="F67" s="18" t="str">
        <f>IFERROR(__xludf.DUMMYFUNCTION("""COMPUTED_VALUE"""),"Nithin Lal")</f>
        <v>Nithin Lal</v>
      </c>
      <c r="G67" s="19">
        <f>IFERROR(__xludf.DUMMYFUNCTION("""COMPUTED_VALUE"""),45105.0)</f>
        <v>45105</v>
      </c>
      <c r="H67" s="18" t="str">
        <f>IFERROR(__xludf.DUMMYFUNCTION("""COMPUTED_VALUE"""),"Credit Card")</f>
        <v>Credit Card</v>
      </c>
      <c r="I67" s="18" t="str">
        <f>IFERROR(__xludf.DUMMYFUNCTION("""COMPUTED_VALUE"""),"Delivered")</f>
        <v>Delivered</v>
      </c>
      <c r="J67" s="18" t="str">
        <f>IFERROR(__xludf.DUMMYFUNCTION("""COMPUTED_VALUE"""),"Delivery Experience")</f>
        <v>Delivery Experience</v>
      </c>
      <c r="K67" s="18" t="str">
        <f>IFERROR(__xludf.DUMMYFUNCTION("""COMPUTED_VALUE"""),"Quick and professional")</f>
        <v>Quick and professional</v>
      </c>
      <c r="L67" s="18">
        <f>iferror(VLOOKUP($D67,Details!$A$2:$C$11,2,false),vlookup($D67,Details!$E$2:$G$11,2,false))</f>
        <v>110</v>
      </c>
      <c r="M67" s="18" t="str">
        <f>iferror(VLOOKUP($D67,Details!$A$2:$C$11,3,false),vlookup($D67,Details!$E$2:$G$11,3,false))</f>
        <v>Snacks and Drinks</v>
      </c>
      <c r="N67" s="18">
        <f t="shared" si="1"/>
        <v>110</v>
      </c>
      <c r="O67" s="17"/>
      <c r="P67" s="17"/>
      <c r="Q67" s="17"/>
      <c r="R67" s="17"/>
      <c r="S67" s="17"/>
      <c r="T67" s="17"/>
      <c r="U67" s="17"/>
      <c r="V67" s="17"/>
      <c r="W67" s="17"/>
      <c r="X67" s="17"/>
      <c r="Y67" s="17"/>
      <c r="Z67" s="17"/>
    </row>
    <row r="68">
      <c r="A68" s="18" t="str">
        <f>IFERROR(__xludf.DUMMYFUNCTION("""COMPUTED_VALUE"""),"ord_77267")</f>
        <v>ord_77267</v>
      </c>
      <c r="B68" s="18" t="str">
        <f>IFERROR(__xludf.DUMMYFUNCTION("""COMPUTED_VALUE"""),"Mohit Malhotra")</f>
        <v>Mohit Malhotra</v>
      </c>
      <c r="C68" s="18" t="str">
        <f>IFERROR(__xludf.DUMMYFUNCTION("""COMPUTED_VALUE"""),"Lower Parel")</f>
        <v>Lower Parel</v>
      </c>
      <c r="D68" s="18" t="str">
        <f>IFERROR(__xludf.DUMMYFUNCTION("""COMPUTED_VALUE"""),"Icecream")</f>
        <v>Icecream</v>
      </c>
      <c r="E68" s="18">
        <f>IFERROR(__xludf.DUMMYFUNCTION("""COMPUTED_VALUE"""),2.0)</f>
        <v>2</v>
      </c>
      <c r="F68" s="18" t="str">
        <f>IFERROR(__xludf.DUMMYFUNCTION("""COMPUTED_VALUE"""),"Manju Ajay")</f>
        <v>Manju Ajay</v>
      </c>
      <c r="G68" s="19">
        <f>IFERROR(__xludf.DUMMYFUNCTION("""COMPUTED_VALUE"""),44948.0)</f>
        <v>44948</v>
      </c>
      <c r="H68" s="18" t="str">
        <f>IFERROR(__xludf.DUMMYFUNCTION("""COMPUTED_VALUE"""),"Credit Card")</f>
        <v>Credit Card</v>
      </c>
      <c r="I68" s="18" t="str">
        <f>IFERROR(__xludf.DUMMYFUNCTION("""COMPUTED_VALUE"""),"Delivered")</f>
        <v>Delivered</v>
      </c>
      <c r="J68" s="18" t="str">
        <f>IFERROR(__xludf.DUMMYFUNCTION("""COMPUTED_VALUE"""),"Convenience")</f>
        <v>Convenience</v>
      </c>
      <c r="K68" s="18" t="str">
        <f>IFERROR(__xludf.DUMMYFUNCTION("""COMPUTED_VALUE"""),"Easy tracking")</f>
        <v>Easy tracking</v>
      </c>
      <c r="L68" s="18">
        <f>iferror(VLOOKUP($D68,Details!$A$2:$C$11,2,false),vlookup($D68,Details!$E$2:$G$11,2,false))</f>
        <v>90</v>
      </c>
      <c r="M68" s="18" t="str">
        <f>iferror(VLOOKUP($D68,Details!$A$2:$C$11,3,false),vlookup($D68,Details!$E$2:$G$11,3,false))</f>
        <v>Snacks and Drinks</v>
      </c>
      <c r="N68" s="18">
        <f t="shared" si="1"/>
        <v>180</v>
      </c>
      <c r="O68" s="17"/>
      <c r="P68" s="17"/>
      <c r="Q68" s="17"/>
      <c r="R68" s="17"/>
      <c r="S68" s="17"/>
      <c r="T68" s="17"/>
      <c r="U68" s="17"/>
      <c r="V68" s="17"/>
      <c r="W68" s="17"/>
      <c r="X68" s="17"/>
      <c r="Y68" s="17"/>
      <c r="Z68" s="17"/>
    </row>
    <row r="69">
      <c r="A69" s="18" t="str">
        <f>IFERROR(__xludf.DUMMYFUNCTION("""COMPUTED_VALUE"""),"ord_78271")</f>
        <v>ord_78271</v>
      </c>
      <c r="B69" s="18" t="str">
        <f>IFERROR(__xludf.DUMMYFUNCTION("""COMPUTED_VALUE"""),"Aarav Mehta")</f>
        <v>Aarav Mehta</v>
      </c>
      <c r="C69" s="18" t="str">
        <f>IFERROR(__xludf.DUMMYFUNCTION("""COMPUTED_VALUE"""),"Andheri")</f>
        <v>Andheri</v>
      </c>
      <c r="D69" s="18" t="str">
        <f>IFERROR(__xludf.DUMMYFUNCTION("""COMPUTED_VALUE"""),"Chocolate Mousse")</f>
        <v>Chocolate Mousse</v>
      </c>
      <c r="E69" s="18">
        <f>IFERROR(__xludf.DUMMYFUNCTION("""COMPUTED_VALUE"""),3.0)</f>
        <v>3</v>
      </c>
      <c r="F69" s="18" t="str">
        <f>IFERROR(__xludf.DUMMYFUNCTION("""COMPUTED_VALUE"""),"Rohan Yadav")</f>
        <v>Rohan Yadav</v>
      </c>
      <c r="G69" s="19">
        <f>IFERROR(__xludf.DUMMYFUNCTION("""COMPUTED_VALUE"""),45049.0)</f>
        <v>45049</v>
      </c>
      <c r="H69" s="18" t="str">
        <f>IFERROR(__xludf.DUMMYFUNCTION("""COMPUTED_VALUE"""),"Credit Card")</f>
        <v>Credit Card</v>
      </c>
      <c r="I69" s="18" t="str">
        <f>IFERROR(__xludf.DUMMYFUNCTION("""COMPUTED_VALUE"""),"Delivered")</f>
        <v>Delivered</v>
      </c>
      <c r="J69" s="18" t="str">
        <f>IFERROR(__xludf.DUMMYFUNCTION("""COMPUTED_VALUE"""),"Overall Satisfaction")</f>
        <v>Overall Satisfaction</v>
      </c>
      <c r="K69" s="18" t="str">
        <f>IFERROR(__xludf.DUMMYFUNCTION("""COMPUTED_VALUE"""),"Great service will order again")</f>
        <v>Great service will order again</v>
      </c>
      <c r="L69" s="18">
        <f>iferror(VLOOKUP($D69,Details!$A$2:$C$11,2,false),vlookup($D69,Details!$E$2:$G$11,2,false))</f>
        <v>145</v>
      </c>
      <c r="M69" s="18" t="str">
        <f>iferror(VLOOKUP($D69,Details!$A$2:$C$11,3,false),vlookup($D69,Details!$E$2:$G$11,3,false))</f>
        <v>Snacks and Drinks</v>
      </c>
      <c r="N69" s="18">
        <f t="shared" si="1"/>
        <v>435</v>
      </c>
      <c r="O69" s="17"/>
      <c r="P69" s="17"/>
      <c r="Q69" s="17"/>
      <c r="R69" s="17"/>
      <c r="S69" s="17"/>
      <c r="T69" s="17"/>
      <c r="U69" s="17"/>
      <c r="V69" s="17"/>
      <c r="W69" s="17"/>
      <c r="X69" s="17"/>
      <c r="Y69" s="17"/>
      <c r="Z69" s="17"/>
    </row>
    <row r="70">
      <c r="A70" s="18" t="str">
        <f>IFERROR(__xludf.DUMMYFUNCTION("""COMPUTED_VALUE"""),"ord_79275")</f>
        <v>ord_79275</v>
      </c>
      <c r="B70" s="18" t="str">
        <f>IFERROR(__xludf.DUMMYFUNCTION("""COMPUTED_VALUE"""),"Simran Bhatt")</f>
        <v>Simran Bhatt</v>
      </c>
      <c r="C70" s="18" t="str">
        <f>IFERROR(__xludf.DUMMYFUNCTION("""COMPUTED_VALUE"""),"Juhu")</f>
        <v>Juhu</v>
      </c>
      <c r="D70" s="18" t="str">
        <f>IFERROR(__xludf.DUMMYFUNCTION("""COMPUTED_VALUE"""),"Banana")</f>
        <v>Banana</v>
      </c>
      <c r="E70" s="18">
        <f>IFERROR(__xludf.DUMMYFUNCTION("""COMPUTED_VALUE"""),1.0)</f>
        <v>1</v>
      </c>
      <c r="F70" s="18" t="str">
        <f>IFERROR(__xludf.DUMMYFUNCTION("""COMPUTED_VALUE"""),"Sita T")</f>
        <v>Sita T</v>
      </c>
      <c r="G70" s="19">
        <f>IFERROR(__xludf.DUMMYFUNCTION("""COMPUTED_VALUE"""),45174.0)</f>
        <v>45174</v>
      </c>
      <c r="H70" s="18" t="str">
        <f>IFERROR(__xludf.DUMMYFUNCTION("""COMPUTED_VALUE"""),"UPI")</f>
        <v>UPI</v>
      </c>
      <c r="I70" s="18" t="str">
        <f>IFERROR(__xludf.DUMMYFUNCTION("""COMPUTED_VALUE"""),"Delivered")</f>
        <v>Delivered</v>
      </c>
      <c r="J70" s="18" t="str">
        <f>IFERROR(__xludf.DUMMYFUNCTION("""COMPUTED_VALUE"""),"On-time Delivery")</f>
        <v>On-time Delivery</v>
      </c>
      <c r="K70" s="18" t="str">
        <f>IFERROR(__xludf.DUMMYFUNCTION("""COMPUTED_VALUE"""),"Delivered on time")</f>
        <v>Delivered on time</v>
      </c>
      <c r="L70" s="18">
        <f>iferror(VLOOKUP($D70,Details!$A$2:$C$11,2,false),vlookup($D70,Details!$E$2:$G$11,2,false))</f>
        <v>80</v>
      </c>
      <c r="M70" s="18" t="str">
        <f>iferror(VLOOKUP($D70,Details!$A$2:$C$11,3,false),vlookup($D70,Details!$E$2:$G$11,3,false))</f>
        <v>Fruits and Vegetables</v>
      </c>
      <c r="N70" s="18">
        <f t="shared" si="1"/>
        <v>80</v>
      </c>
      <c r="O70" s="17"/>
      <c r="P70" s="17"/>
      <c r="Q70" s="17"/>
      <c r="R70" s="17"/>
      <c r="S70" s="17"/>
      <c r="T70" s="17"/>
      <c r="U70" s="17"/>
      <c r="V70" s="17"/>
      <c r="W70" s="17"/>
      <c r="X70" s="17"/>
      <c r="Y70" s="17"/>
      <c r="Z70" s="17"/>
    </row>
    <row r="71">
      <c r="A71" s="18" t="str">
        <f>IFERROR(__xludf.DUMMYFUNCTION("""COMPUTED_VALUE"""),"ord_80279")</f>
        <v>ord_80279</v>
      </c>
      <c r="B71" s="18" t="str">
        <f>IFERROR(__xludf.DUMMYFUNCTION("""COMPUTED_VALUE"""),"Simran Bhatt")</f>
        <v>Simran Bhatt</v>
      </c>
      <c r="C71" s="18" t="str">
        <f>IFERROR(__xludf.DUMMYFUNCTION("""COMPUTED_VALUE"""),"Juhu")</f>
        <v>Juhu</v>
      </c>
      <c r="D71" s="18" t="str">
        <f>IFERROR(__xludf.DUMMYFUNCTION("""COMPUTED_VALUE"""),"Tomato")</f>
        <v>Tomato</v>
      </c>
      <c r="E71" s="18">
        <f>IFERROR(__xludf.DUMMYFUNCTION("""COMPUTED_VALUE"""),2.0)</f>
        <v>2</v>
      </c>
      <c r="F71" s="18" t="str">
        <f>IFERROR(__xludf.DUMMYFUNCTION("""COMPUTED_VALUE"""),"Ramesh S")</f>
        <v>Ramesh S</v>
      </c>
      <c r="G71" s="19">
        <f>IFERROR(__xludf.DUMMYFUNCTION("""COMPUTED_VALUE"""),45199.0)</f>
        <v>45199</v>
      </c>
      <c r="H71" s="18" t="str">
        <f>IFERROR(__xludf.DUMMYFUNCTION("""COMPUTED_VALUE"""),"UPI")</f>
        <v>UPI</v>
      </c>
      <c r="I71" s="18" t="str">
        <f>IFERROR(__xludf.DUMMYFUNCTION("""COMPUTED_VALUE"""),"Delivered")</f>
        <v>Delivered</v>
      </c>
      <c r="J71" s="18" t="str">
        <f>IFERROR(__xludf.DUMMYFUNCTION("""COMPUTED_VALUE"""),"Quality of Items")</f>
        <v>Quality of Items</v>
      </c>
      <c r="K71" s="18" t="str">
        <f>IFERROR(__xludf.DUMMYFUNCTION("""COMPUTED_VALUE"""),"Perfect condition")</f>
        <v>Perfect condition</v>
      </c>
      <c r="L71" s="18">
        <f>iferror(VLOOKUP($D71,Details!$A$2:$C$11,2,false),vlookup($D71,Details!$E$2:$G$11,2,false))</f>
        <v>25</v>
      </c>
      <c r="M71" s="18" t="str">
        <f>iferror(VLOOKUP($D71,Details!$A$2:$C$11,3,false),vlookup($D71,Details!$E$2:$G$11,3,false))</f>
        <v>Fruits and Vegetables</v>
      </c>
      <c r="N71" s="18">
        <f t="shared" si="1"/>
        <v>50</v>
      </c>
      <c r="O71" s="17"/>
      <c r="P71" s="17"/>
      <c r="Q71" s="17"/>
      <c r="R71" s="17"/>
      <c r="S71" s="17"/>
      <c r="T71" s="17"/>
      <c r="U71" s="17"/>
      <c r="V71" s="17"/>
      <c r="W71" s="17"/>
      <c r="X71" s="17"/>
      <c r="Y71" s="17"/>
      <c r="Z71" s="17"/>
    </row>
    <row r="72">
      <c r="A72" s="18" t="str">
        <f>IFERROR(__xludf.DUMMYFUNCTION("""COMPUTED_VALUE"""),"ord_81283")</f>
        <v>ord_81283</v>
      </c>
      <c r="B72" s="18" t="str">
        <f>IFERROR(__xludf.DUMMYFUNCTION("""COMPUTED_VALUE"""),"Siya Reddy")</f>
        <v>Siya Reddy</v>
      </c>
      <c r="C72" s="18" t="str">
        <f>IFERROR(__xludf.DUMMYFUNCTION("""COMPUTED_VALUE"""),"Juhu")</f>
        <v>Juhu</v>
      </c>
      <c r="D72" s="18" t="str">
        <f>IFERROR(__xludf.DUMMYFUNCTION("""COMPUTED_VALUE"""),"Guava")</f>
        <v>Guava</v>
      </c>
      <c r="E72" s="18">
        <f>IFERROR(__xludf.DUMMYFUNCTION("""COMPUTED_VALUE"""),2.0)</f>
        <v>2</v>
      </c>
      <c r="F72" s="18" t="str">
        <f>IFERROR(__xludf.DUMMYFUNCTION("""COMPUTED_VALUE"""),"Ramesh S")</f>
        <v>Ramesh S</v>
      </c>
      <c r="G72" s="19">
        <f>IFERROR(__xludf.DUMMYFUNCTION("""COMPUTED_VALUE"""),45189.0)</f>
        <v>45189</v>
      </c>
      <c r="H72" s="18" t="str">
        <f>IFERROR(__xludf.DUMMYFUNCTION("""COMPUTED_VALUE"""),"Credit Card")</f>
        <v>Credit Card</v>
      </c>
      <c r="I72" s="18" t="str">
        <f>IFERROR(__xludf.DUMMYFUNCTION("""COMPUTED_VALUE"""),"Delivered")</f>
        <v>Delivered</v>
      </c>
      <c r="J72" s="18" t="str">
        <f>IFERROR(__xludf.DUMMYFUNCTION("""COMPUTED_VALUE"""),"Packaging")</f>
        <v>Packaging</v>
      </c>
      <c r="K72" s="18" t="str">
        <f>IFERROR(__xludf.DUMMYFUNCTION("""COMPUTED_VALUE"""),"Secure and intact")</f>
        <v>Secure and intact</v>
      </c>
      <c r="L72" s="18">
        <f>iferror(VLOOKUP($D72,Details!$A$2:$C$11,2,false),vlookup($D72,Details!$E$2:$G$11,2,false))</f>
        <v>70</v>
      </c>
      <c r="M72" s="18" t="str">
        <f>iferror(VLOOKUP($D72,Details!$A$2:$C$11,3,false),vlookup($D72,Details!$E$2:$G$11,3,false))</f>
        <v>Fruits and Vegetables</v>
      </c>
      <c r="N72" s="18">
        <f t="shared" si="1"/>
        <v>140</v>
      </c>
      <c r="O72" s="17"/>
      <c r="P72" s="17"/>
      <c r="Q72" s="17"/>
      <c r="R72" s="17"/>
      <c r="S72" s="17"/>
      <c r="T72" s="17"/>
      <c r="U72" s="17"/>
      <c r="V72" s="17"/>
      <c r="W72" s="17"/>
      <c r="X72" s="17"/>
      <c r="Y72" s="17"/>
      <c r="Z72" s="17"/>
    </row>
    <row r="73">
      <c r="A73" s="18" t="str">
        <f>IFERROR(__xludf.DUMMYFUNCTION("""COMPUTED_VALUE"""),"ord_82287")</f>
        <v>ord_82287</v>
      </c>
      <c r="B73" s="18" t="str">
        <f>IFERROR(__xludf.DUMMYFUNCTION("""COMPUTED_VALUE"""),"Aditi Iyer")</f>
        <v>Aditi Iyer</v>
      </c>
      <c r="C73" s="18" t="str">
        <f>IFERROR(__xludf.DUMMYFUNCTION("""COMPUTED_VALUE"""),"Dadar")</f>
        <v>Dadar</v>
      </c>
      <c r="D73" s="18" t="str">
        <f>IFERROR(__xludf.DUMMYFUNCTION("""COMPUTED_VALUE"""),"Orange")</f>
        <v>Orange</v>
      </c>
      <c r="E73" s="18">
        <f>IFERROR(__xludf.DUMMYFUNCTION("""COMPUTED_VALUE"""),2.0)</f>
        <v>2</v>
      </c>
      <c r="F73" s="18" t="str">
        <f>IFERROR(__xludf.DUMMYFUNCTION("""COMPUTED_VALUE"""),"Ramesh S")</f>
        <v>Ramesh S</v>
      </c>
      <c r="G73" s="19">
        <f>IFERROR(__xludf.DUMMYFUNCTION("""COMPUTED_VALUE"""),45178.0)</f>
        <v>45178</v>
      </c>
      <c r="H73" s="18" t="str">
        <f>IFERROR(__xludf.DUMMYFUNCTION("""COMPUTED_VALUE"""),"Credit Card")</f>
        <v>Credit Card</v>
      </c>
      <c r="I73" s="18" t="str">
        <f>IFERROR(__xludf.DUMMYFUNCTION("""COMPUTED_VALUE"""),"Delivered")</f>
        <v>Delivered</v>
      </c>
      <c r="J73" s="18" t="str">
        <f>IFERROR(__xludf.DUMMYFUNCTION("""COMPUTED_VALUE"""),"Satisfied with the Delivery")</f>
        <v>Satisfied with the Delivery</v>
      </c>
      <c r="K73" s="18" t="str">
        <f>IFERROR(__xludf.DUMMYFUNCTION("""COMPUTED_VALUE"""),"Timely and quality")</f>
        <v>Timely and quality</v>
      </c>
      <c r="L73" s="18">
        <f>iferror(VLOOKUP($D73,Details!$A$2:$C$11,2,false),vlookup($D73,Details!$E$2:$G$11,2,false))</f>
        <v>180</v>
      </c>
      <c r="M73" s="18" t="str">
        <f>iferror(VLOOKUP($D73,Details!$A$2:$C$11,3,false),vlookup($D73,Details!$E$2:$G$11,3,false))</f>
        <v>Fruits and Vegetables</v>
      </c>
      <c r="N73" s="18">
        <f t="shared" si="1"/>
        <v>360</v>
      </c>
      <c r="O73" s="17"/>
      <c r="P73" s="17"/>
      <c r="Q73" s="17"/>
      <c r="R73" s="17"/>
      <c r="S73" s="17"/>
      <c r="T73" s="17"/>
      <c r="U73" s="17"/>
      <c r="V73" s="17"/>
      <c r="W73" s="17"/>
      <c r="X73" s="17"/>
      <c r="Y73" s="17"/>
      <c r="Z73" s="17"/>
    </row>
    <row r="74">
      <c r="A74" s="18" t="str">
        <f>IFERROR(__xludf.DUMMYFUNCTION("""COMPUTED_VALUE"""),"ord_83291")</f>
        <v>ord_83291</v>
      </c>
      <c r="B74" s="18" t="str">
        <f>IFERROR(__xludf.DUMMYFUNCTION("""COMPUTED_VALUE"""),"Aarav Mehta")</f>
        <v>Aarav Mehta</v>
      </c>
      <c r="C74" s="18" t="str">
        <f>IFERROR(__xludf.DUMMYFUNCTION("""COMPUTED_VALUE"""),"Andheri")</f>
        <v>Andheri</v>
      </c>
      <c r="D74" s="18" t="str">
        <f>IFERROR(__xludf.DUMMYFUNCTION("""COMPUTED_VALUE"""),"Popcorn")</f>
        <v>Popcorn</v>
      </c>
      <c r="E74" s="18">
        <f>IFERROR(__xludf.DUMMYFUNCTION("""COMPUTED_VALUE"""),5.0)</f>
        <v>5</v>
      </c>
      <c r="F74" s="18" t="str">
        <f>IFERROR(__xludf.DUMMYFUNCTION("""COMPUTED_VALUE"""),"Manju Ajay")</f>
        <v>Manju Ajay</v>
      </c>
      <c r="G74" s="19">
        <f>IFERROR(__xludf.DUMMYFUNCTION("""COMPUTED_VALUE"""),45168.0)</f>
        <v>45168</v>
      </c>
      <c r="H74" s="18" t="str">
        <f>IFERROR(__xludf.DUMMYFUNCTION("""COMPUTED_VALUE"""),"Online Payment")</f>
        <v>Online Payment</v>
      </c>
      <c r="I74" s="18" t="str">
        <f>IFERROR(__xludf.DUMMYFUNCTION("""COMPUTED_VALUE"""),"Delivered")</f>
        <v>Delivered</v>
      </c>
      <c r="J74" s="18" t="str">
        <f>IFERROR(__xludf.DUMMYFUNCTION("""COMPUTED_VALUE"""),"Customer Service")</f>
        <v>Customer Service</v>
      </c>
      <c r="K74" s="18" t="str">
        <f>IFERROR(__xludf.DUMMYFUNCTION("""COMPUTED_VALUE"""),"Seamless and easy")</f>
        <v>Seamless and easy</v>
      </c>
      <c r="L74" s="18">
        <f>iferror(VLOOKUP($D74,Details!$A$2:$C$11,2,false),vlookup($D74,Details!$E$2:$G$11,2,false))</f>
        <v>150</v>
      </c>
      <c r="M74" s="18" t="str">
        <f>iferror(VLOOKUP($D74,Details!$A$2:$C$11,3,false),vlookup($D74,Details!$E$2:$G$11,3,false))</f>
        <v>Snacks and Drinks</v>
      </c>
      <c r="N74" s="18">
        <f t="shared" si="1"/>
        <v>750</v>
      </c>
      <c r="O74" s="17"/>
      <c r="P74" s="17"/>
      <c r="Q74" s="17"/>
      <c r="R74" s="17"/>
      <c r="S74" s="17"/>
      <c r="T74" s="17"/>
      <c r="U74" s="17"/>
      <c r="V74" s="17"/>
      <c r="W74" s="17"/>
      <c r="X74" s="17"/>
      <c r="Y74" s="17"/>
      <c r="Z74" s="17"/>
    </row>
    <row r="75">
      <c r="A75" s="18" t="str">
        <f>IFERROR(__xludf.DUMMYFUNCTION("""COMPUTED_VALUE"""),"ord_84295")</f>
        <v>ord_84295</v>
      </c>
      <c r="B75" s="18" t="str">
        <f>IFERROR(__xludf.DUMMYFUNCTION("""COMPUTED_VALUE"""),"Ishaan Chaturvedi")</f>
        <v>Ishaan Chaturvedi</v>
      </c>
      <c r="C75" s="18" t="str">
        <f>IFERROR(__xludf.DUMMYFUNCTION("""COMPUTED_VALUE"""),"Bandra")</f>
        <v>Bandra</v>
      </c>
      <c r="D75" s="18" t="str">
        <f>IFERROR(__xludf.DUMMYFUNCTION("""COMPUTED_VALUE"""),"Potato")</f>
        <v>Potato</v>
      </c>
      <c r="E75" s="18">
        <f>IFERROR(__xludf.DUMMYFUNCTION("""COMPUTED_VALUE"""),1.0)</f>
        <v>1</v>
      </c>
      <c r="F75" s="18" t="str">
        <f>IFERROR(__xludf.DUMMYFUNCTION("""COMPUTED_VALUE"""),"Priya Joshi")</f>
        <v>Priya Joshi</v>
      </c>
      <c r="G75" s="19">
        <f>IFERROR(__xludf.DUMMYFUNCTION("""COMPUTED_VALUE"""),45217.0)</f>
        <v>45217</v>
      </c>
      <c r="H75" s="18" t="str">
        <f>IFERROR(__xludf.DUMMYFUNCTION("""COMPUTED_VALUE"""),"Credit Card")</f>
        <v>Credit Card</v>
      </c>
      <c r="I75" s="18" t="str">
        <f>IFERROR(__xludf.DUMMYFUNCTION("""COMPUTED_VALUE"""),"Delivered")</f>
        <v>Delivered</v>
      </c>
      <c r="J75" s="18" t="str">
        <f>IFERROR(__xludf.DUMMYFUNCTION("""COMPUTED_VALUE"""),"Delivery Experience")</f>
        <v>Delivery Experience</v>
      </c>
      <c r="K75" s="18" t="str">
        <f>IFERROR(__xludf.DUMMYFUNCTION("""COMPUTED_VALUE"""),"Quick and professional")</f>
        <v>Quick and professional</v>
      </c>
      <c r="L75" s="18">
        <f>iferror(VLOOKUP($D75,Details!$A$2:$C$11,2,false),vlookup($D75,Details!$E$2:$G$11,2,false))</f>
        <v>55</v>
      </c>
      <c r="M75" s="18" t="str">
        <f>iferror(VLOOKUP($D75,Details!$A$2:$C$11,3,false),vlookup($D75,Details!$E$2:$G$11,3,false))</f>
        <v>Fruits and Vegetables</v>
      </c>
      <c r="N75" s="18">
        <f t="shared" si="1"/>
        <v>55</v>
      </c>
      <c r="O75" s="17"/>
      <c r="P75" s="17"/>
      <c r="Q75" s="17"/>
      <c r="R75" s="17"/>
      <c r="S75" s="17"/>
      <c r="T75" s="17"/>
      <c r="U75" s="17"/>
      <c r="V75" s="17"/>
      <c r="W75" s="17"/>
      <c r="X75" s="17"/>
      <c r="Y75" s="17"/>
      <c r="Z75" s="17"/>
    </row>
    <row r="76">
      <c r="A76" s="18" t="str">
        <f>IFERROR(__xludf.DUMMYFUNCTION("""COMPUTED_VALUE"""),"ord_85299")</f>
        <v>ord_85299</v>
      </c>
      <c r="B76" s="18" t="str">
        <f>IFERROR(__xludf.DUMMYFUNCTION("""COMPUTED_VALUE"""),"Aarav Mehta")</f>
        <v>Aarav Mehta</v>
      </c>
      <c r="C76" s="18" t="str">
        <f>IFERROR(__xludf.DUMMYFUNCTION("""COMPUTED_VALUE"""),"Andheri")</f>
        <v>Andheri</v>
      </c>
      <c r="D76" s="18" t="str">
        <f>IFERROR(__xludf.DUMMYFUNCTION("""COMPUTED_VALUE"""),"Guava")</f>
        <v>Guava</v>
      </c>
      <c r="E76" s="18">
        <f>IFERROR(__xludf.DUMMYFUNCTION("""COMPUTED_VALUE"""),1.0)</f>
        <v>1</v>
      </c>
      <c r="F76" s="18" t="str">
        <f>IFERROR(__xludf.DUMMYFUNCTION("""COMPUTED_VALUE"""),"Vivek Kumar")</f>
        <v>Vivek Kumar</v>
      </c>
      <c r="G76" s="19">
        <f>IFERROR(__xludf.DUMMYFUNCTION("""COMPUTED_VALUE"""),45136.0)</f>
        <v>45136</v>
      </c>
      <c r="H76" s="18" t="str">
        <f>IFERROR(__xludf.DUMMYFUNCTION("""COMPUTED_VALUE"""),"UPI")</f>
        <v>UPI</v>
      </c>
      <c r="I76" s="18" t="str">
        <f>IFERROR(__xludf.DUMMYFUNCTION("""COMPUTED_VALUE"""),"Delivered")</f>
        <v>Delivered</v>
      </c>
      <c r="J76" s="18" t="str">
        <f>IFERROR(__xludf.DUMMYFUNCTION("""COMPUTED_VALUE"""),"Convenience")</f>
        <v>Convenience</v>
      </c>
      <c r="K76" s="18" t="str">
        <f>IFERROR(__xludf.DUMMYFUNCTION("""COMPUTED_VALUE"""),"Easy tracking")</f>
        <v>Easy tracking</v>
      </c>
      <c r="L76" s="18">
        <f>iferror(VLOOKUP($D76,Details!$A$2:$C$11,2,false),vlookup($D76,Details!$E$2:$G$11,2,false))</f>
        <v>70</v>
      </c>
      <c r="M76" s="18" t="str">
        <f>iferror(VLOOKUP($D76,Details!$A$2:$C$11,3,false),vlookup($D76,Details!$E$2:$G$11,3,false))</f>
        <v>Fruits and Vegetables</v>
      </c>
      <c r="N76" s="18">
        <f t="shared" si="1"/>
        <v>70</v>
      </c>
      <c r="O76" s="17"/>
      <c r="P76" s="17"/>
      <c r="Q76" s="17"/>
      <c r="R76" s="17"/>
      <c r="S76" s="17"/>
      <c r="T76" s="17"/>
      <c r="U76" s="17"/>
      <c r="V76" s="17"/>
      <c r="W76" s="17"/>
      <c r="X76" s="17"/>
      <c r="Y76" s="17"/>
      <c r="Z76" s="17"/>
    </row>
    <row r="77">
      <c r="A77" s="18" t="str">
        <f>IFERROR(__xludf.DUMMYFUNCTION("""COMPUTED_VALUE"""),"ord_86303")</f>
        <v>ord_86303</v>
      </c>
      <c r="B77" s="18" t="str">
        <f>IFERROR(__xludf.DUMMYFUNCTION("""COMPUTED_VALUE"""),"Sanjay Nair")</f>
        <v>Sanjay Nair</v>
      </c>
      <c r="C77" s="18" t="str">
        <f>IFERROR(__xludf.DUMMYFUNCTION("""COMPUTED_VALUE"""),"Dadar")</f>
        <v>Dadar</v>
      </c>
      <c r="D77" s="18" t="str">
        <f>IFERROR(__xludf.DUMMYFUNCTION("""COMPUTED_VALUE"""),"Sweet Corn")</f>
        <v>Sweet Corn</v>
      </c>
      <c r="E77" s="18">
        <f>IFERROR(__xludf.DUMMYFUNCTION("""COMPUTED_VALUE"""),2.0)</f>
        <v>2</v>
      </c>
      <c r="F77" s="18" t="str">
        <f>IFERROR(__xludf.DUMMYFUNCTION("""COMPUTED_VALUE"""),"Sita T")</f>
        <v>Sita T</v>
      </c>
      <c r="G77" s="19">
        <f>IFERROR(__xludf.DUMMYFUNCTION("""COMPUTED_VALUE"""),45098.0)</f>
        <v>45098</v>
      </c>
      <c r="H77" s="18" t="str">
        <f>IFERROR(__xludf.DUMMYFUNCTION("""COMPUTED_VALUE"""),"Online Payment")</f>
        <v>Online Payment</v>
      </c>
      <c r="I77" s="18" t="str">
        <f>IFERROR(__xludf.DUMMYFUNCTION("""COMPUTED_VALUE"""),"Delivered")</f>
        <v>Delivered</v>
      </c>
      <c r="J77" s="18" t="str">
        <f>IFERROR(__xludf.DUMMYFUNCTION("""COMPUTED_VALUE"""),"Overall Satisfaction")</f>
        <v>Overall Satisfaction</v>
      </c>
      <c r="K77" s="18" t="str">
        <f>IFERROR(__xludf.DUMMYFUNCTION("""COMPUTED_VALUE"""),"Great service will order again")</f>
        <v>Great service will order again</v>
      </c>
      <c r="L77" s="18">
        <f>iferror(VLOOKUP($D77,Details!$A$2:$C$11,2,false),vlookup($D77,Details!$E$2:$G$11,2,false))</f>
        <v>60</v>
      </c>
      <c r="M77" s="18" t="str">
        <f>iferror(VLOOKUP($D77,Details!$A$2:$C$11,3,false),vlookup($D77,Details!$E$2:$G$11,3,false))</f>
        <v>Fruits and Vegetables</v>
      </c>
      <c r="N77" s="18">
        <f t="shared" si="1"/>
        <v>120</v>
      </c>
      <c r="O77" s="17"/>
      <c r="P77" s="17"/>
      <c r="Q77" s="17"/>
      <c r="R77" s="17"/>
      <c r="S77" s="17"/>
      <c r="T77" s="17"/>
      <c r="U77" s="17"/>
      <c r="V77" s="17"/>
      <c r="W77" s="17"/>
      <c r="X77" s="17"/>
      <c r="Y77" s="17"/>
      <c r="Z77" s="17"/>
    </row>
    <row r="78">
      <c r="A78" s="18" t="str">
        <f>IFERROR(__xludf.DUMMYFUNCTION("""COMPUTED_VALUE"""),"ord_87307")</f>
        <v>ord_87307</v>
      </c>
      <c r="B78" s="18" t="str">
        <f>IFERROR(__xludf.DUMMYFUNCTION("""COMPUTED_VALUE"""),"Ishita Banerjee")</f>
        <v>Ishita Banerjee</v>
      </c>
      <c r="C78" s="18" t="str">
        <f>IFERROR(__xludf.DUMMYFUNCTION("""COMPUTED_VALUE"""),"Juhu")</f>
        <v>Juhu</v>
      </c>
      <c r="D78" s="18" t="str">
        <f>IFERROR(__xludf.DUMMYFUNCTION("""COMPUTED_VALUE"""),"Popcorn")</f>
        <v>Popcorn</v>
      </c>
      <c r="E78" s="18">
        <f>IFERROR(__xludf.DUMMYFUNCTION("""COMPUTED_VALUE"""),2.0)</f>
        <v>2</v>
      </c>
      <c r="F78" s="18" t="str">
        <f>IFERROR(__xludf.DUMMYFUNCTION("""COMPUTED_VALUE"""),"Manju Ajay")</f>
        <v>Manju Ajay</v>
      </c>
      <c r="G78" s="19">
        <f>IFERROR(__xludf.DUMMYFUNCTION("""COMPUTED_VALUE"""),45288.0)</f>
        <v>45288</v>
      </c>
      <c r="H78" s="18" t="str">
        <f>IFERROR(__xludf.DUMMYFUNCTION("""COMPUTED_VALUE"""),"Credit Card")</f>
        <v>Credit Card</v>
      </c>
      <c r="I78" s="18" t="str">
        <f>IFERROR(__xludf.DUMMYFUNCTION("""COMPUTED_VALUE"""),"Cancelled")</f>
        <v>Cancelled</v>
      </c>
      <c r="J78" s="18" t="str">
        <f>IFERROR(__xludf.DUMMYFUNCTION("""COMPUTED_VALUE"""),"Delayed Delivery")</f>
        <v>Delayed Delivery</v>
      </c>
      <c r="K78" s="18" t="str">
        <f>IFERROR(__xludf.DUMMYFUNCTION("""COMPUTED_VALUE"""),"Heavy Traffic")</f>
        <v>Heavy Traffic</v>
      </c>
      <c r="L78" s="18">
        <f>iferror(VLOOKUP($D78,Details!$A$2:$C$11,2,false),vlookup($D78,Details!$E$2:$G$11,2,false))</f>
        <v>150</v>
      </c>
      <c r="M78" s="18" t="str">
        <f>iferror(VLOOKUP($D78,Details!$A$2:$C$11,3,false),vlookup($D78,Details!$E$2:$G$11,3,false))</f>
        <v>Snacks and Drinks</v>
      </c>
      <c r="N78" s="18">
        <f t="shared" si="1"/>
        <v>300</v>
      </c>
      <c r="O78" s="17"/>
      <c r="P78" s="17"/>
      <c r="Q78" s="17"/>
      <c r="R78" s="17"/>
      <c r="S78" s="17"/>
      <c r="T78" s="17"/>
      <c r="U78" s="17"/>
      <c r="V78" s="17"/>
      <c r="W78" s="17"/>
      <c r="X78" s="17"/>
      <c r="Y78" s="17"/>
      <c r="Z78" s="17"/>
    </row>
    <row r="79">
      <c r="A79" s="18" t="str">
        <f>IFERROR(__xludf.DUMMYFUNCTION("""COMPUTED_VALUE"""),"ord_88311")</f>
        <v>ord_88311</v>
      </c>
      <c r="B79" s="18" t="str">
        <f>IFERROR(__xludf.DUMMYFUNCTION("""COMPUTED_VALUE"""),"Parth Goel")</f>
        <v>Parth Goel</v>
      </c>
      <c r="C79" s="18" t="str">
        <f>IFERROR(__xludf.DUMMYFUNCTION("""COMPUTED_VALUE"""),"Juhu")</f>
        <v>Juhu</v>
      </c>
      <c r="D79" s="18" t="str">
        <f>IFERROR(__xludf.DUMMYFUNCTION("""COMPUTED_VALUE"""),"Chilli Cheese Toast")</f>
        <v>Chilli Cheese Toast</v>
      </c>
      <c r="E79" s="18">
        <f>IFERROR(__xludf.DUMMYFUNCTION("""COMPUTED_VALUE"""),1.0)</f>
        <v>1</v>
      </c>
      <c r="F79" s="18" t="str">
        <f>IFERROR(__xludf.DUMMYFUNCTION("""COMPUTED_VALUE"""),"Tanvi Jain")</f>
        <v>Tanvi Jain</v>
      </c>
      <c r="G79" s="19">
        <f>IFERROR(__xludf.DUMMYFUNCTION("""COMPUTED_VALUE"""),45151.0)</f>
        <v>45151</v>
      </c>
      <c r="H79" s="18" t="str">
        <f>IFERROR(__xludf.DUMMYFUNCTION("""COMPUTED_VALUE"""),"Credit Card")</f>
        <v>Credit Card</v>
      </c>
      <c r="I79" s="18" t="str">
        <f>IFERROR(__xludf.DUMMYFUNCTION("""COMPUTED_VALUE"""),"Delivered")</f>
        <v>Delivered</v>
      </c>
      <c r="J79" s="18" t="str">
        <f>IFERROR(__xludf.DUMMYFUNCTION("""COMPUTED_VALUE"""),"On-time Delivery")</f>
        <v>On-time Delivery</v>
      </c>
      <c r="K79" s="18" t="str">
        <f>IFERROR(__xludf.DUMMYFUNCTION("""COMPUTED_VALUE"""),"Delivered on time")</f>
        <v>Delivered on time</v>
      </c>
      <c r="L79" s="18">
        <f>iferror(VLOOKUP($D79,Details!$A$2:$C$11,2,false),vlookup($D79,Details!$E$2:$G$11,2,false))</f>
        <v>80</v>
      </c>
      <c r="M79" s="18" t="str">
        <f>iferror(VLOOKUP($D79,Details!$A$2:$C$11,3,false),vlookup($D79,Details!$E$2:$G$11,3,false))</f>
        <v>Snacks and Drinks</v>
      </c>
      <c r="N79" s="18">
        <f t="shared" si="1"/>
        <v>80</v>
      </c>
      <c r="O79" s="17"/>
      <c r="P79" s="17"/>
      <c r="Q79" s="17"/>
      <c r="R79" s="17"/>
      <c r="S79" s="17"/>
      <c r="T79" s="17"/>
      <c r="U79" s="17"/>
      <c r="V79" s="17"/>
      <c r="W79" s="17"/>
      <c r="X79" s="17"/>
      <c r="Y79" s="17"/>
      <c r="Z79" s="17"/>
    </row>
    <row r="80">
      <c r="A80" s="18" t="str">
        <f>IFERROR(__xludf.DUMMYFUNCTION("""COMPUTED_VALUE"""),"ord_89315")</f>
        <v>ord_89315</v>
      </c>
      <c r="B80" s="18" t="str">
        <f>IFERROR(__xludf.DUMMYFUNCTION("""COMPUTED_VALUE"""),"Omkar Mishra")</f>
        <v>Omkar Mishra</v>
      </c>
      <c r="C80" s="18" t="str">
        <f>IFERROR(__xludf.DUMMYFUNCTION("""COMPUTED_VALUE"""),"Powai")</f>
        <v>Powai</v>
      </c>
      <c r="D80" s="18" t="str">
        <f>IFERROR(__xludf.DUMMYFUNCTION("""COMPUTED_VALUE"""),"Tomato")</f>
        <v>Tomato</v>
      </c>
      <c r="E80" s="18">
        <f>IFERROR(__xludf.DUMMYFUNCTION("""COMPUTED_VALUE"""),2.0)</f>
        <v>2</v>
      </c>
      <c r="F80" s="18" t="str">
        <f>IFERROR(__xludf.DUMMYFUNCTION("""COMPUTED_VALUE"""),"Ramesh S")</f>
        <v>Ramesh S</v>
      </c>
      <c r="G80" s="19">
        <f>IFERROR(__xludf.DUMMYFUNCTION("""COMPUTED_VALUE"""),45204.0)</f>
        <v>45204</v>
      </c>
      <c r="H80" s="18" t="str">
        <f>IFERROR(__xludf.DUMMYFUNCTION("""COMPUTED_VALUE"""),"UPI")</f>
        <v>UPI</v>
      </c>
      <c r="I80" s="18" t="str">
        <f>IFERROR(__xludf.DUMMYFUNCTION("""COMPUTED_VALUE"""),"Delivered")</f>
        <v>Delivered</v>
      </c>
      <c r="J80" s="18" t="str">
        <f>IFERROR(__xludf.DUMMYFUNCTION("""COMPUTED_VALUE"""),"Quality of Items")</f>
        <v>Quality of Items</v>
      </c>
      <c r="K80" s="18" t="str">
        <f>IFERROR(__xludf.DUMMYFUNCTION("""COMPUTED_VALUE"""),"Perfect condition")</f>
        <v>Perfect condition</v>
      </c>
      <c r="L80" s="18">
        <f>iferror(VLOOKUP($D80,Details!$A$2:$C$11,2,false),vlookup($D80,Details!$E$2:$G$11,2,false))</f>
        <v>25</v>
      </c>
      <c r="M80" s="18" t="str">
        <f>iferror(VLOOKUP($D80,Details!$A$2:$C$11,3,false),vlookup($D80,Details!$E$2:$G$11,3,false))</f>
        <v>Fruits and Vegetables</v>
      </c>
      <c r="N80" s="18">
        <f t="shared" si="1"/>
        <v>50</v>
      </c>
      <c r="O80" s="17"/>
      <c r="P80" s="17"/>
      <c r="Q80" s="17"/>
      <c r="R80" s="17"/>
      <c r="S80" s="17"/>
      <c r="T80" s="17"/>
      <c r="U80" s="17"/>
      <c r="V80" s="17"/>
      <c r="W80" s="17"/>
      <c r="X80" s="17"/>
      <c r="Y80" s="17"/>
      <c r="Z80" s="17"/>
    </row>
    <row r="81">
      <c r="A81" s="18" t="str">
        <f>IFERROR(__xludf.DUMMYFUNCTION("""COMPUTED_VALUE"""),"ord_90319")</f>
        <v>ord_90319</v>
      </c>
      <c r="B81" s="18" t="str">
        <f>IFERROR(__xludf.DUMMYFUNCTION("""COMPUTED_VALUE"""),"Sakshi Tandon")</f>
        <v>Sakshi Tandon</v>
      </c>
      <c r="C81" s="18" t="str">
        <f>IFERROR(__xludf.DUMMYFUNCTION("""COMPUTED_VALUE"""),"Colaba")</f>
        <v>Colaba</v>
      </c>
      <c r="D81" s="18" t="str">
        <f>IFERROR(__xludf.DUMMYFUNCTION("""COMPUTED_VALUE"""),"Rasmalai")</f>
        <v>Rasmalai</v>
      </c>
      <c r="E81" s="18">
        <f>IFERROR(__xludf.DUMMYFUNCTION("""COMPUTED_VALUE"""),2.0)</f>
        <v>2</v>
      </c>
      <c r="F81" s="18" t="str">
        <f>IFERROR(__xludf.DUMMYFUNCTION("""COMPUTED_VALUE"""),"Venu R")</f>
        <v>Venu R</v>
      </c>
      <c r="G81" s="19">
        <f>IFERROR(__xludf.DUMMYFUNCTION("""COMPUTED_VALUE"""),45127.0)</f>
        <v>45127</v>
      </c>
      <c r="H81" s="18" t="str">
        <f>IFERROR(__xludf.DUMMYFUNCTION("""COMPUTED_VALUE"""),"COD")</f>
        <v>COD</v>
      </c>
      <c r="I81" s="18" t="str">
        <f>IFERROR(__xludf.DUMMYFUNCTION("""COMPUTED_VALUE"""),"Delivered")</f>
        <v>Delivered</v>
      </c>
      <c r="J81" s="18" t="str">
        <f>IFERROR(__xludf.DUMMYFUNCTION("""COMPUTED_VALUE"""),"Packaging")</f>
        <v>Packaging</v>
      </c>
      <c r="K81" s="18" t="str">
        <f>IFERROR(__xludf.DUMMYFUNCTION("""COMPUTED_VALUE"""),"Secure and intact")</f>
        <v>Secure and intact</v>
      </c>
      <c r="L81" s="18">
        <f>iferror(VLOOKUP($D81,Details!$A$2:$C$11,2,false),vlookup($D81,Details!$E$2:$G$11,2,false))</f>
        <v>110</v>
      </c>
      <c r="M81" s="18" t="str">
        <f>iferror(VLOOKUP($D81,Details!$A$2:$C$11,3,false),vlookup($D81,Details!$E$2:$G$11,3,false))</f>
        <v>Snacks and Drinks</v>
      </c>
      <c r="N81" s="18">
        <f t="shared" si="1"/>
        <v>220</v>
      </c>
      <c r="O81" s="17"/>
      <c r="P81" s="17"/>
      <c r="Q81" s="17"/>
      <c r="R81" s="17"/>
      <c r="S81" s="17"/>
      <c r="T81" s="17"/>
      <c r="U81" s="17"/>
      <c r="V81" s="17"/>
      <c r="W81" s="17"/>
      <c r="X81" s="17"/>
      <c r="Y81" s="17"/>
      <c r="Z81" s="17"/>
    </row>
    <row r="82">
      <c r="A82" s="18" t="str">
        <f>IFERROR(__xludf.DUMMYFUNCTION("""COMPUTED_VALUE"""),"ord_91323")</f>
        <v>ord_91323</v>
      </c>
      <c r="B82" s="18" t="str">
        <f>IFERROR(__xludf.DUMMYFUNCTION("""COMPUTED_VALUE"""),"Mohit Malhotra")</f>
        <v>Mohit Malhotra</v>
      </c>
      <c r="C82" s="18" t="str">
        <f>IFERROR(__xludf.DUMMYFUNCTION("""COMPUTED_VALUE"""),"Lower Parel")</f>
        <v>Lower Parel</v>
      </c>
      <c r="D82" s="18" t="str">
        <f>IFERROR(__xludf.DUMMYFUNCTION("""COMPUTED_VALUE"""),"Popcorn")</f>
        <v>Popcorn</v>
      </c>
      <c r="E82" s="18">
        <f>IFERROR(__xludf.DUMMYFUNCTION("""COMPUTED_VALUE"""),1.0)</f>
        <v>1</v>
      </c>
      <c r="F82" s="18" t="str">
        <f>IFERROR(__xludf.DUMMYFUNCTION("""COMPUTED_VALUE"""),"Nithin Lal")</f>
        <v>Nithin Lal</v>
      </c>
      <c r="G82" s="19">
        <f>IFERROR(__xludf.DUMMYFUNCTION("""COMPUTED_VALUE"""),45055.0)</f>
        <v>45055</v>
      </c>
      <c r="H82" s="18" t="str">
        <f>IFERROR(__xludf.DUMMYFUNCTION("""COMPUTED_VALUE"""),"UPI")</f>
        <v>UPI</v>
      </c>
      <c r="I82" s="18" t="str">
        <f>IFERROR(__xludf.DUMMYFUNCTION("""COMPUTED_VALUE"""),"Delivered")</f>
        <v>Delivered</v>
      </c>
      <c r="J82" s="18" t="str">
        <f>IFERROR(__xludf.DUMMYFUNCTION("""COMPUTED_VALUE"""),"Satisfied with the Delivery")</f>
        <v>Satisfied with the Delivery</v>
      </c>
      <c r="K82" s="18" t="str">
        <f>IFERROR(__xludf.DUMMYFUNCTION("""COMPUTED_VALUE"""),"Timely and quality")</f>
        <v>Timely and quality</v>
      </c>
      <c r="L82" s="18">
        <f>iferror(VLOOKUP($D82,Details!$A$2:$C$11,2,false),vlookup($D82,Details!$E$2:$G$11,2,false))</f>
        <v>150</v>
      </c>
      <c r="M82" s="18" t="str">
        <f>iferror(VLOOKUP($D82,Details!$A$2:$C$11,3,false),vlookup($D82,Details!$E$2:$G$11,3,false))</f>
        <v>Snacks and Drinks</v>
      </c>
      <c r="N82" s="18">
        <f t="shared" si="1"/>
        <v>150</v>
      </c>
      <c r="O82" s="17"/>
      <c r="P82" s="17"/>
      <c r="Q82" s="17"/>
      <c r="R82" s="17"/>
      <c r="S82" s="17"/>
      <c r="T82" s="17"/>
      <c r="U82" s="17"/>
      <c r="V82" s="17"/>
      <c r="W82" s="17"/>
      <c r="X82" s="17"/>
      <c r="Y82" s="17"/>
      <c r="Z82" s="17"/>
    </row>
    <row r="83">
      <c r="A83" s="18" t="str">
        <f>IFERROR(__xludf.DUMMYFUNCTION("""COMPUTED_VALUE"""),"ord_32327")</f>
        <v>ord_32327</v>
      </c>
      <c r="B83" s="18" t="str">
        <f>IFERROR(__xludf.DUMMYFUNCTION("""COMPUTED_VALUE"""),"Anaya Rao")</f>
        <v>Anaya Rao</v>
      </c>
      <c r="C83" s="18" t="str">
        <f>IFERROR(__xludf.DUMMYFUNCTION("""COMPUTED_VALUE"""),"Colaba")</f>
        <v>Colaba</v>
      </c>
      <c r="D83" s="18" t="str">
        <f>IFERROR(__xludf.DUMMYFUNCTION("""COMPUTED_VALUE"""),"Cold Coffee")</f>
        <v>Cold Coffee</v>
      </c>
      <c r="E83" s="18">
        <f>IFERROR(__xludf.DUMMYFUNCTION("""COMPUTED_VALUE"""),4.0)</f>
        <v>4</v>
      </c>
      <c r="F83" s="18" t="str">
        <f>IFERROR(__xludf.DUMMYFUNCTION("""COMPUTED_VALUE"""),"Nikhil Deshmukh")</f>
        <v>Nikhil Deshmukh</v>
      </c>
      <c r="G83" s="19">
        <f>IFERROR(__xludf.DUMMYFUNCTION("""COMPUTED_VALUE"""),44987.0)</f>
        <v>44987</v>
      </c>
      <c r="H83" s="18" t="str">
        <f>IFERROR(__xludf.DUMMYFUNCTION("""COMPUTED_VALUE"""),"COD")</f>
        <v>COD</v>
      </c>
      <c r="I83" s="18" t="str">
        <f>IFERROR(__xludf.DUMMYFUNCTION("""COMPUTED_VALUE"""),"Delivered")</f>
        <v>Delivered</v>
      </c>
      <c r="J83" s="18" t="str">
        <f>IFERROR(__xludf.DUMMYFUNCTION("""COMPUTED_VALUE"""),"Customer Service")</f>
        <v>Customer Service</v>
      </c>
      <c r="K83" s="18" t="str">
        <f>IFERROR(__xludf.DUMMYFUNCTION("""COMPUTED_VALUE"""),"Seamless and easy")</f>
        <v>Seamless and easy</v>
      </c>
      <c r="L83" s="18">
        <f>iferror(VLOOKUP($D83,Details!$A$2:$C$11,2,false),vlookup($D83,Details!$E$2:$G$11,2,false))</f>
        <v>270</v>
      </c>
      <c r="M83" s="18" t="str">
        <f>iferror(VLOOKUP($D83,Details!$A$2:$C$11,3,false),vlookup($D83,Details!$E$2:$G$11,3,false))</f>
        <v>Snacks and Drinks</v>
      </c>
      <c r="N83" s="18">
        <f t="shared" si="1"/>
        <v>1080</v>
      </c>
      <c r="O83" s="17"/>
      <c r="P83" s="17"/>
      <c r="Q83" s="17"/>
      <c r="R83" s="17"/>
      <c r="S83" s="17"/>
      <c r="T83" s="17"/>
      <c r="U83" s="17"/>
      <c r="V83" s="17"/>
      <c r="W83" s="17"/>
      <c r="X83" s="17"/>
      <c r="Y83" s="17"/>
      <c r="Z83" s="17"/>
    </row>
    <row r="84">
      <c r="A84" s="18" t="str">
        <f>IFERROR(__xludf.DUMMYFUNCTION("""COMPUTED_VALUE"""),"ord_93331")</f>
        <v>ord_93331</v>
      </c>
      <c r="B84" s="18" t="str">
        <f>IFERROR(__xludf.DUMMYFUNCTION("""COMPUTED_VALUE"""),"Dev Chauhan")</f>
        <v>Dev Chauhan</v>
      </c>
      <c r="C84" s="18" t="str">
        <f>IFERROR(__xludf.DUMMYFUNCTION("""COMPUTED_VALUE"""),"Bandra")</f>
        <v>Bandra</v>
      </c>
      <c r="D84" s="18" t="str">
        <f>IFERROR(__xludf.DUMMYFUNCTION("""COMPUTED_VALUE"""),"Papaya")</f>
        <v>Papaya</v>
      </c>
      <c r="E84" s="18">
        <f>IFERROR(__xludf.DUMMYFUNCTION("""COMPUTED_VALUE"""),1.0)</f>
        <v>1</v>
      </c>
      <c r="F84" s="18" t="str">
        <f>IFERROR(__xludf.DUMMYFUNCTION("""COMPUTED_VALUE"""),"Nithin Lal")</f>
        <v>Nithin Lal</v>
      </c>
      <c r="G84" s="19">
        <f>IFERROR(__xludf.DUMMYFUNCTION("""COMPUTED_VALUE"""),45066.0)</f>
        <v>45066</v>
      </c>
      <c r="H84" s="18" t="str">
        <f>IFERROR(__xludf.DUMMYFUNCTION("""COMPUTED_VALUE"""),"COD")</f>
        <v>COD</v>
      </c>
      <c r="I84" s="18" t="str">
        <f>IFERROR(__xludf.DUMMYFUNCTION("""COMPUTED_VALUE"""),"Delivered")</f>
        <v>Delivered</v>
      </c>
      <c r="J84" s="18" t="str">
        <f>IFERROR(__xludf.DUMMYFUNCTION("""COMPUTED_VALUE"""),"Delivery Experience")</f>
        <v>Delivery Experience</v>
      </c>
      <c r="K84" s="18" t="str">
        <f>IFERROR(__xludf.DUMMYFUNCTION("""COMPUTED_VALUE"""),"Quick and professional")</f>
        <v>Quick and professional</v>
      </c>
      <c r="L84" s="18">
        <f>iferror(VLOOKUP($D84,Details!$A$2:$C$11,2,false),vlookup($D84,Details!$E$2:$G$11,2,false))</f>
        <v>75</v>
      </c>
      <c r="M84" s="18" t="str">
        <f>iferror(VLOOKUP($D84,Details!$A$2:$C$11,3,false),vlookup($D84,Details!$E$2:$G$11,3,false))</f>
        <v>Fruits and Vegetables</v>
      </c>
      <c r="N84" s="18">
        <f t="shared" si="1"/>
        <v>75</v>
      </c>
      <c r="O84" s="17"/>
      <c r="P84" s="17"/>
      <c r="Q84" s="17"/>
      <c r="R84" s="17"/>
      <c r="S84" s="17"/>
      <c r="T84" s="17"/>
      <c r="U84" s="17"/>
      <c r="V84" s="17"/>
      <c r="W84" s="17"/>
      <c r="X84" s="17"/>
      <c r="Y84" s="17"/>
      <c r="Z84" s="17"/>
    </row>
    <row r="85">
      <c r="A85" s="18" t="str">
        <f>IFERROR(__xludf.DUMMYFUNCTION("""COMPUTED_VALUE"""),"ord_94335")</f>
        <v>ord_94335</v>
      </c>
      <c r="B85" s="18" t="str">
        <f>IFERROR(__xludf.DUMMYFUNCTION("""COMPUTED_VALUE"""),"Pallavi Ghosh")</f>
        <v>Pallavi Ghosh</v>
      </c>
      <c r="C85" s="18" t="str">
        <f>IFERROR(__xludf.DUMMYFUNCTION("""COMPUTED_VALUE"""),"Bandra")</f>
        <v>Bandra</v>
      </c>
      <c r="D85" s="18" t="str">
        <f>IFERROR(__xludf.DUMMYFUNCTION("""COMPUTED_VALUE"""),"Potato")</f>
        <v>Potato</v>
      </c>
      <c r="E85" s="18">
        <f>IFERROR(__xludf.DUMMYFUNCTION("""COMPUTED_VALUE"""),2.0)</f>
        <v>2</v>
      </c>
      <c r="F85" s="18" t="str">
        <f>IFERROR(__xludf.DUMMYFUNCTION("""COMPUTED_VALUE"""),"Vivek Kumar")</f>
        <v>Vivek Kumar</v>
      </c>
      <c r="G85" s="19">
        <f>IFERROR(__xludf.DUMMYFUNCTION("""COMPUTED_VALUE"""),45182.0)</f>
        <v>45182</v>
      </c>
      <c r="H85" s="18" t="str">
        <f>IFERROR(__xludf.DUMMYFUNCTION("""COMPUTED_VALUE"""),"COD")</f>
        <v>COD</v>
      </c>
      <c r="I85" s="18" t="str">
        <f>IFERROR(__xludf.DUMMYFUNCTION("""COMPUTED_VALUE"""),"Delivered")</f>
        <v>Delivered</v>
      </c>
      <c r="J85" s="18" t="str">
        <f>IFERROR(__xludf.DUMMYFUNCTION("""COMPUTED_VALUE"""),"Convenience")</f>
        <v>Convenience</v>
      </c>
      <c r="K85" s="18" t="str">
        <f>IFERROR(__xludf.DUMMYFUNCTION("""COMPUTED_VALUE"""),"Easy tracking")</f>
        <v>Easy tracking</v>
      </c>
      <c r="L85" s="18">
        <f>iferror(VLOOKUP($D85,Details!$A$2:$C$11,2,false),vlookup($D85,Details!$E$2:$G$11,2,false))</f>
        <v>55</v>
      </c>
      <c r="M85" s="18" t="str">
        <f>iferror(VLOOKUP($D85,Details!$A$2:$C$11,3,false),vlookup($D85,Details!$E$2:$G$11,3,false))</f>
        <v>Fruits and Vegetables</v>
      </c>
      <c r="N85" s="18">
        <f t="shared" si="1"/>
        <v>110</v>
      </c>
      <c r="O85" s="17"/>
      <c r="P85" s="17"/>
      <c r="Q85" s="17"/>
      <c r="R85" s="17"/>
      <c r="S85" s="17"/>
      <c r="T85" s="17"/>
      <c r="U85" s="17"/>
      <c r="V85" s="17"/>
      <c r="W85" s="17"/>
      <c r="X85" s="17"/>
      <c r="Y85" s="17"/>
      <c r="Z85" s="17"/>
    </row>
    <row r="86">
      <c r="A86" s="18" t="str">
        <f>IFERROR(__xludf.DUMMYFUNCTION("""COMPUTED_VALUE"""),"ord_95339")</f>
        <v>ord_95339</v>
      </c>
      <c r="B86" s="18" t="str">
        <f>IFERROR(__xludf.DUMMYFUNCTION("""COMPUTED_VALUE"""),"Siya Reddy")</f>
        <v>Siya Reddy</v>
      </c>
      <c r="C86" s="18" t="str">
        <f>IFERROR(__xludf.DUMMYFUNCTION("""COMPUTED_VALUE"""),"Juhu")</f>
        <v>Juhu</v>
      </c>
      <c r="D86" s="18" t="str">
        <f>IFERROR(__xludf.DUMMYFUNCTION("""COMPUTED_VALUE"""),"Veg Puff")</f>
        <v>Veg Puff</v>
      </c>
      <c r="E86" s="18">
        <f>IFERROR(__xludf.DUMMYFUNCTION("""COMPUTED_VALUE"""),1.0)</f>
        <v>1</v>
      </c>
      <c r="F86" s="18" t="str">
        <f>IFERROR(__xludf.DUMMYFUNCTION("""COMPUTED_VALUE"""),"Rohan Yadav")</f>
        <v>Rohan Yadav</v>
      </c>
      <c r="G86" s="19">
        <f>IFERROR(__xludf.DUMMYFUNCTION("""COMPUTED_VALUE"""),45176.0)</f>
        <v>45176</v>
      </c>
      <c r="H86" s="18" t="str">
        <f>IFERROR(__xludf.DUMMYFUNCTION("""COMPUTED_VALUE"""),"UPI")</f>
        <v>UPI</v>
      </c>
      <c r="I86" s="18" t="str">
        <f>IFERROR(__xludf.DUMMYFUNCTION("""COMPUTED_VALUE"""),"Cancelled")</f>
        <v>Cancelled</v>
      </c>
      <c r="J86" s="18" t="str">
        <f>IFERROR(__xludf.DUMMYFUNCTION("""COMPUTED_VALUE"""),"Delayed Delivery")</f>
        <v>Delayed Delivery</v>
      </c>
      <c r="K86" s="18" t="str">
        <f>IFERROR(__xludf.DUMMYFUNCTION("""COMPUTED_VALUE"""),"Bad Weather Conditions")</f>
        <v>Bad Weather Conditions</v>
      </c>
      <c r="L86" s="18">
        <f>iferror(VLOOKUP($D86,Details!$A$2:$C$11,2,false),vlookup($D86,Details!$E$2:$G$11,2,false))</f>
        <v>80</v>
      </c>
      <c r="M86" s="18" t="str">
        <f>iferror(VLOOKUP($D86,Details!$A$2:$C$11,3,false),vlookup($D86,Details!$E$2:$G$11,3,false))</f>
        <v>Snacks and Drinks</v>
      </c>
      <c r="N86" s="18">
        <f t="shared" si="1"/>
        <v>80</v>
      </c>
      <c r="O86" s="17"/>
      <c r="P86" s="17"/>
      <c r="Q86" s="17"/>
      <c r="R86" s="17"/>
      <c r="S86" s="17"/>
      <c r="T86" s="17"/>
      <c r="U86" s="17"/>
      <c r="V86" s="17"/>
      <c r="W86" s="17"/>
      <c r="X86" s="17"/>
      <c r="Y86" s="17"/>
      <c r="Z86" s="17"/>
    </row>
    <row r="87">
      <c r="A87" s="18" t="str">
        <f>IFERROR(__xludf.DUMMYFUNCTION("""COMPUTED_VALUE"""),"ord_96343")</f>
        <v>ord_96343</v>
      </c>
      <c r="B87" s="18" t="str">
        <f>IFERROR(__xludf.DUMMYFUNCTION("""COMPUTED_VALUE"""),"Tanishq Bansal")</f>
        <v>Tanishq Bansal</v>
      </c>
      <c r="C87" s="18" t="str">
        <f>IFERROR(__xludf.DUMMYFUNCTION("""COMPUTED_VALUE"""),"Powai")</f>
        <v>Powai</v>
      </c>
      <c r="D87" s="18" t="str">
        <f>IFERROR(__xludf.DUMMYFUNCTION("""COMPUTED_VALUE"""),"Chilli Cheese Toast")</f>
        <v>Chilli Cheese Toast</v>
      </c>
      <c r="E87" s="18">
        <f>IFERROR(__xludf.DUMMYFUNCTION("""COMPUTED_VALUE"""),2.0)</f>
        <v>2</v>
      </c>
      <c r="F87" s="18" t="str">
        <f>IFERROR(__xludf.DUMMYFUNCTION("""COMPUTED_VALUE"""),"Ramesh S")</f>
        <v>Ramesh S</v>
      </c>
      <c r="G87" s="19">
        <f>IFERROR(__xludf.DUMMYFUNCTION("""COMPUTED_VALUE"""),44958.0)</f>
        <v>44958</v>
      </c>
      <c r="H87" s="18" t="str">
        <f>IFERROR(__xludf.DUMMYFUNCTION("""COMPUTED_VALUE"""),"UPI")</f>
        <v>UPI</v>
      </c>
      <c r="I87" s="18" t="str">
        <f>IFERROR(__xludf.DUMMYFUNCTION("""COMPUTED_VALUE"""),"Delivered")</f>
        <v>Delivered</v>
      </c>
      <c r="J87" s="18" t="str">
        <f>IFERROR(__xludf.DUMMYFUNCTION("""COMPUTED_VALUE"""),"Overall Satisfaction")</f>
        <v>Overall Satisfaction</v>
      </c>
      <c r="K87" s="18" t="str">
        <f>IFERROR(__xludf.DUMMYFUNCTION("""COMPUTED_VALUE"""),"Great service will order again")</f>
        <v>Great service will order again</v>
      </c>
      <c r="L87" s="18">
        <f>iferror(VLOOKUP($D87,Details!$A$2:$C$11,2,false),vlookup($D87,Details!$E$2:$G$11,2,false))</f>
        <v>80</v>
      </c>
      <c r="M87" s="18" t="str">
        <f>iferror(VLOOKUP($D87,Details!$A$2:$C$11,3,false),vlookup($D87,Details!$E$2:$G$11,3,false))</f>
        <v>Snacks and Drinks</v>
      </c>
      <c r="N87" s="18">
        <f t="shared" si="1"/>
        <v>160</v>
      </c>
      <c r="O87" s="17"/>
      <c r="P87" s="17"/>
      <c r="Q87" s="17"/>
      <c r="R87" s="17"/>
      <c r="S87" s="17"/>
      <c r="T87" s="17"/>
      <c r="U87" s="17"/>
      <c r="V87" s="17"/>
      <c r="W87" s="17"/>
      <c r="X87" s="17"/>
      <c r="Y87" s="17"/>
      <c r="Z87" s="17"/>
    </row>
    <row r="88">
      <c r="A88" s="18" t="str">
        <f>IFERROR(__xludf.DUMMYFUNCTION("""COMPUTED_VALUE"""),"ord_97347")</f>
        <v>ord_97347</v>
      </c>
      <c r="B88" s="18" t="str">
        <f>IFERROR(__xludf.DUMMYFUNCTION("""COMPUTED_VALUE"""),"Anaya Rao")</f>
        <v>Anaya Rao</v>
      </c>
      <c r="C88" s="18" t="str">
        <f>IFERROR(__xludf.DUMMYFUNCTION("""COMPUTED_VALUE"""),"Colaba")</f>
        <v>Colaba</v>
      </c>
      <c r="D88" s="18" t="str">
        <f>IFERROR(__xludf.DUMMYFUNCTION("""COMPUTED_VALUE"""),"Chilli Cheese Toast")</f>
        <v>Chilli Cheese Toast</v>
      </c>
      <c r="E88" s="18">
        <f>IFERROR(__xludf.DUMMYFUNCTION("""COMPUTED_VALUE"""),3.0)</f>
        <v>3</v>
      </c>
      <c r="F88" s="18" t="str">
        <f>IFERROR(__xludf.DUMMYFUNCTION("""COMPUTED_VALUE"""),"Nikhil Deshmukh")</f>
        <v>Nikhil Deshmukh</v>
      </c>
      <c r="G88" s="19">
        <f>IFERROR(__xludf.DUMMYFUNCTION("""COMPUTED_VALUE"""),45254.0)</f>
        <v>45254</v>
      </c>
      <c r="H88" s="18" t="str">
        <f>IFERROR(__xludf.DUMMYFUNCTION("""COMPUTED_VALUE"""),"Credit Card")</f>
        <v>Credit Card</v>
      </c>
      <c r="I88" s="18" t="str">
        <f>IFERROR(__xludf.DUMMYFUNCTION("""COMPUTED_VALUE"""),"Delivered")</f>
        <v>Delivered</v>
      </c>
      <c r="J88" s="18" t="str">
        <f>IFERROR(__xludf.DUMMYFUNCTION("""COMPUTED_VALUE"""),"On-time Delivery")</f>
        <v>On-time Delivery</v>
      </c>
      <c r="K88" s="18" t="str">
        <f>IFERROR(__xludf.DUMMYFUNCTION("""COMPUTED_VALUE"""),"Delivered on time")</f>
        <v>Delivered on time</v>
      </c>
      <c r="L88" s="18">
        <f>iferror(VLOOKUP($D88,Details!$A$2:$C$11,2,false),vlookup($D88,Details!$E$2:$G$11,2,false))</f>
        <v>80</v>
      </c>
      <c r="M88" s="18" t="str">
        <f>iferror(VLOOKUP($D88,Details!$A$2:$C$11,3,false),vlookup($D88,Details!$E$2:$G$11,3,false))</f>
        <v>Snacks and Drinks</v>
      </c>
      <c r="N88" s="18">
        <f t="shared" si="1"/>
        <v>240</v>
      </c>
      <c r="O88" s="17"/>
      <c r="P88" s="17"/>
      <c r="Q88" s="17"/>
      <c r="R88" s="17"/>
      <c r="S88" s="17"/>
      <c r="T88" s="17"/>
      <c r="U88" s="17"/>
      <c r="V88" s="17"/>
      <c r="W88" s="17"/>
      <c r="X88" s="17"/>
      <c r="Y88" s="17"/>
      <c r="Z88" s="17"/>
    </row>
    <row r="89">
      <c r="A89" s="18" t="str">
        <f>IFERROR(__xludf.DUMMYFUNCTION("""COMPUTED_VALUE"""),"ord_98351")</f>
        <v>ord_98351</v>
      </c>
      <c r="B89" s="18" t="str">
        <f>IFERROR(__xludf.DUMMYFUNCTION("""COMPUTED_VALUE"""),"Sanjay Nair")</f>
        <v>Sanjay Nair</v>
      </c>
      <c r="C89" s="18" t="str">
        <f>IFERROR(__xludf.DUMMYFUNCTION("""COMPUTED_VALUE"""),"Dadar")</f>
        <v>Dadar</v>
      </c>
      <c r="D89" s="18" t="str">
        <f>IFERROR(__xludf.DUMMYFUNCTION("""COMPUTED_VALUE"""),"Juice")</f>
        <v>Juice</v>
      </c>
      <c r="E89" s="18">
        <f>IFERROR(__xludf.DUMMYFUNCTION("""COMPUTED_VALUE"""),3.0)</f>
        <v>3</v>
      </c>
      <c r="F89" s="18" t="str">
        <f>IFERROR(__xludf.DUMMYFUNCTION("""COMPUTED_VALUE"""),"Nithin Lal")</f>
        <v>Nithin Lal</v>
      </c>
      <c r="G89" s="19">
        <f>IFERROR(__xludf.DUMMYFUNCTION("""COMPUTED_VALUE"""),45161.0)</f>
        <v>45161</v>
      </c>
      <c r="H89" s="18" t="str">
        <f>IFERROR(__xludf.DUMMYFUNCTION("""COMPUTED_VALUE"""),"Online Payment")</f>
        <v>Online Payment</v>
      </c>
      <c r="I89" s="18" t="str">
        <f>IFERROR(__xludf.DUMMYFUNCTION("""COMPUTED_VALUE"""),"Delivered")</f>
        <v>Delivered</v>
      </c>
      <c r="J89" s="18" t="str">
        <f>IFERROR(__xludf.DUMMYFUNCTION("""COMPUTED_VALUE"""),"Quality of Items")</f>
        <v>Quality of Items</v>
      </c>
      <c r="K89" s="18" t="str">
        <f>IFERROR(__xludf.DUMMYFUNCTION("""COMPUTED_VALUE"""),"Perfect condition")</f>
        <v>Perfect condition</v>
      </c>
      <c r="L89" s="18">
        <f>iferror(VLOOKUP($D89,Details!$A$2:$C$11,2,false),vlookup($D89,Details!$E$2:$G$11,2,false))</f>
        <v>90</v>
      </c>
      <c r="M89" s="18" t="str">
        <f>iferror(VLOOKUP($D89,Details!$A$2:$C$11,3,false),vlookup($D89,Details!$E$2:$G$11,3,false))</f>
        <v>Snacks and Drinks</v>
      </c>
      <c r="N89" s="18">
        <f t="shared" si="1"/>
        <v>270</v>
      </c>
      <c r="O89" s="17"/>
      <c r="P89" s="17"/>
      <c r="Q89" s="17"/>
      <c r="R89" s="17"/>
      <c r="S89" s="17"/>
      <c r="T89" s="17"/>
      <c r="U89" s="17"/>
      <c r="V89" s="17"/>
      <c r="W89" s="17"/>
      <c r="X89" s="17"/>
      <c r="Y89" s="17"/>
      <c r="Z89" s="17"/>
    </row>
    <row r="90">
      <c r="A90" s="18" t="str">
        <f>IFERROR(__xludf.DUMMYFUNCTION("""COMPUTED_VALUE"""),"ord_99355")</f>
        <v>ord_99355</v>
      </c>
      <c r="B90" s="18" t="str">
        <f>IFERROR(__xludf.DUMMYFUNCTION("""COMPUTED_VALUE"""),"Simran Bhatt")</f>
        <v>Simran Bhatt</v>
      </c>
      <c r="C90" s="18" t="str">
        <f>IFERROR(__xludf.DUMMYFUNCTION("""COMPUTED_VALUE"""),"Juhu")</f>
        <v>Juhu</v>
      </c>
      <c r="D90" s="18" t="str">
        <f>IFERROR(__xludf.DUMMYFUNCTION("""COMPUTED_VALUE"""),"Chicken Puff")</f>
        <v>Chicken Puff</v>
      </c>
      <c r="E90" s="18">
        <f>IFERROR(__xludf.DUMMYFUNCTION("""COMPUTED_VALUE"""),5.0)</f>
        <v>5</v>
      </c>
      <c r="F90" s="18" t="str">
        <f>IFERROR(__xludf.DUMMYFUNCTION("""COMPUTED_VALUE"""),"Tanvi Jain")</f>
        <v>Tanvi Jain</v>
      </c>
      <c r="G90" s="19">
        <f>IFERROR(__xludf.DUMMYFUNCTION("""COMPUTED_VALUE"""),44929.0)</f>
        <v>44929</v>
      </c>
      <c r="H90" s="18" t="str">
        <f>IFERROR(__xludf.DUMMYFUNCTION("""COMPUTED_VALUE"""),"Credit Card")</f>
        <v>Credit Card</v>
      </c>
      <c r="I90" s="18" t="str">
        <f>IFERROR(__xludf.DUMMYFUNCTION("""COMPUTED_VALUE"""),"Delivered")</f>
        <v>Delivered</v>
      </c>
      <c r="J90" s="18" t="str">
        <f>IFERROR(__xludf.DUMMYFUNCTION("""COMPUTED_VALUE"""),"Packaging")</f>
        <v>Packaging</v>
      </c>
      <c r="K90" s="18" t="str">
        <f>IFERROR(__xludf.DUMMYFUNCTION("""COMPUTED_VALUE"""),"Secure and intact")</f>
        <v>Secure and intact</v>
      </c>
      <c r="L90" s="18">
        <f>iferror(VLOOKUP($D90,Details!$A$2:$C$11,2,false),vlookup($D90,Details!$E$2:$G$11,2,false))</f>
        <v>90</v>
      </c>
      <c r="M90" s="18" t="str">
        <f>iferror(VLOOKUP($D90,Details!$A$2:$C$11,3,false),vlookup($D90,Details!$E$2:$G$11,3,false))</f>
        <v>Snacks and Drinks</v>
      </c>
      <c r="N90" s="18">
        <f t="shared" si="1"/>
        <v>450</v>
      </c>
      <c r="O90" s="17"/>
      <c r="P90" s="17"/>
      <c r="Q90" s="17"/>
      <c r="R90" s="17"/>
      <c r="S90" s="17"/>
      <c r="T90" s="17"/>
      <c r="U90" s="17"/>
      <c r="V90" s="17"/>
      <c r="W90" s="17"/>
      <c r="X90" s="17"/>
      <c r="Y90" s="17"/>
      <c r="Z90" s="17"/>
    </row>
    <row r="91">
      <c r="A91" s="18" t="str">
        <f>IFERROR(__xludf.DUMMYFUNCTION("""COMPUTED_VALUE"""),"ord_30039")</f>
        <v>ord_30039</v>
      </c>
      <c r="B91" s="18" t="str">
        <f>IFERROR(__xludf.DUMMYFUNCTION("""COMPUTED_VALUE"""),"Pranav Joshi")</f>
        <v>Pranav Joshi</v>
      </c>
      <c r="C91" s="18" t="str">
        <f>IFERROR(__xludf.DUMMYFUNCTION("""COMPUTED_VALUE"""),"Andheri")</f>
        <v>Andheri</v>
      </c>
      <c r="D91" s="18" t="str">
        <f>IFERROR(__xludf.DUMMYFUNCTION("""COMPUTED_VALUE"""),"Guava")</f>
        <v>Guava</v>
      </c>
      <c r="E91" s="18">
        <f>IFERROR(__xludf.DUMMYFUNCTION("""COMPUTED_VALUE"""),2.0)</f>
        <v>2</v>
      </c>
      <c r="F91" s="18" t="str">
        <f>IFERROR(__xludf.DUMMYFUNCTION("""COMPUTED_VALUE"""),"Not Assigned")</f>
        <v>Not Assigned</v>
      </c>
      <c r="G91" s="19">
        <f>IFERROR(__xludf.DUMMYFUNCTION("""COMPUTED_VALUE"""),45234.0)</f>
        <v>45234</v>
      </c>
      <c r="H91" s="18" t="str">
        <f>IFERROR(__xludf.DUMMYFUNCTION("""COMPUTED_VALUE"""),"Credit Card")</f>
        <v>Credit Card</v>
      </c>
      <c r="I91" s="18" t="str">
        <f>IFERROR(__xludf.DUMMYFUNCTION("""COMPUTED_VALUE"""),"Cancelled")</f>
        <v>Cancelled</v>
      </c>
      <c r="J91" s="18" t="str">
        <f>IFERROR(__xludf.DUMMYFUNCTION("""COMPUTED_VALUE"""),"Out of Stock")</f>
        <v>Out of Stock</v>
      </c>
      <c r="K91" s="18"/>
      <c r="L91" s="18">
        <f>iferror(VLOOKUP($D91,Details!$A$2:$C$11,2,false),vlookup($D91,Details!$E$2:$G$11,2,false))</f>
        <v>70</v>
      </c>
      <c r="M91" s="18" t="str">
        <f>iferror(VLOOKUP($D91,Details!$A$2:$C$11,3,false),vlookup($D91,Details!$E$2:$G$11,3,false))</f>
        <v>Fruits and Vegetables</v>
      </c>
      <c r="N91" s="18">
        <f t="shared" si="1"/>
        <v>140</v>
      </c>
      <c r="O91" s="17"/>
      <c r="P91" s="17"/>
      <c r="Q91" s="17"/>
      <c r="R91" s="17"/>
      <c r="S91" s="17"/>
      <c r="T91" s="17"/>
      <c r="U91" s="17"/>
      <c r="V91" s="17"/>
      <c r="W91" s="17"/>
      <c r="X91" s="17"/>
      <c r="Y91" s="17"/>
      <c r="Z91" s="17"/>
    </row>
    <row r="92">
      <c r="A92" s="18" t="str">
        <f>IFERROR(__xludf.DUMMYFUNCTION("""COMPUTED_VALUE"""),"ord_40133")</f>
        <v>ord_40133</v>
      </c>
      <c r="B92" s="18" t="str">
        <f>IFERROR(__xludf.DUMMYFUNCTION("""COMPUTED_VALUE"""),"Anaya Rao")</f>
        <v>Anaya Rao</v>
      </c>
      <c r="C92" s="18" t="str">
        <f>IFERROR(__xludf.DUMMYFUNCTION("""COMPUTED_VALUE"""),"Colaba")</f>
        <v>Colaba</v>
      </c>
      <c r="D92" s="18" t="str">
        <f>IFERROR(__xludf.DUMMYFUNCTION("""COMPUTED_VALUE"""),"Tiramisu")</f>
        <v>Tiramisu</v>
      </c>
      <c r="E92" s="18">
        <f>IFERROR(__xludf.DUMMYFUNCTION("""COMPUTED_VALUE"""),4.0)</f>
        <v>4</v>
      </c>
      <c r="F92" s="18" t="str">
        <f>IFERROR(__xludf.DUMMYFUNCTION("""COMPUTED_VALUE"""),"Sita T")</f>
        <v>Sita T</v>
      </c>
      <c r="G92" s="19">
        <f>IFERROR(__xludf.DUMMYFUNCTION("""COMPUTED_VALUE"""),45150.0)</f>
        <v>45150</v>
      </c>
      <c r="H92" s="18" t="str">
        <f>IFERROR(__xludf.DUMMYFUNCTION("""COMPUTED_VALUE"""),"Online Payment")</f>
        <v>Online Payment</v>
      </c>
      <c r="I92" s="18" t="str">
        <f>IFERROR(__xludf.DUMMYFUNCTION("""COMPUTED_VALUE"""),"Delivered")</f>
        <v>Delivered</v>
      </c>
      <c r="J92" s="18" t="str">
        <f>IFERROR(__xludf.DUMMYFUNCTION("""COMPUTED_VALUE"""),"Satisfied with the Delivery")</f>
        <v>Satisfied with the Delivery</v>
      </c>
      <c r="K92" s="18" t="str">
        <f>IFERROR(__xludf.DUMMYFUNCTION("""COMPUTED_VALUE"""),"Timely and quality")</f>
        <v>Timely and quality</v>
      </c>
      <c r="L92" s="18">
        <f>iferror(VLOOKUP($D92,Details!$A$2:$C$11,2,false),vlookup($D92,Details!$E$2:$G$11,2,false))</f>
        <v>150</v>
      </c>
      <c r="M92" s="18" t="str">
        <f>iferror(VLOOKUP($D92,Details!$A$2:$C$11,3,false),vlookup($D92,Details!$E$2:$G$11,3,false))</f>
        <v>Snacks and Drinks</v>
      </c>
      <c r="N92" s="18">
        <f t="shared" si="1"/>
        <v>600</v>
      </c>
      <c r="O92" s="17"/>
      <c r="P92" s="17"/>
      <c r="Q92" s="17"/>
      <c r="R92" s="17"/>
      <c r="S92" s="17"/>
      <c r="T92" s="17"/>
      <c r="U92" s="17"/>
      <c r="V92" s="17"/>
      <c r="W92" s="17"/>
      <c r="X92" s="17"/>
      <c r="Y92" s="17"/>
      <c r="Z92" s="17"/>
    </row>
    <row r="93">
      <c r="A93" s="18" t="str">
        <f>IFERROR(__xludf.DUMMYFUNCTION("""COMPUTED_VALUE"""),"ord_50227")</f>
        <v>ord_50227</v>
      </c>
      <c r="B93" s="18" t="str">
        <f>IFERROR(__xludf.DUMMYFUNCTION("""COMPUTED_VALUE"""),"Tanishq Bansal")</f>
        <v>Tanishq Bansal</v>
      </c>
      <c r="C93" s="18" t="str">
        <f>IFERROR(__xludf.DUMMYFUNCTION("""COMPUTED_VALUE"""),"Powai")</f>
        <v>Powai</v>
      </c>
      <c r="D93" s="18" t="str">
        <f>IFERROR(__xludf.DUMMYFUNCTION("""COMPUTED_VALUE"""),"Apple")</f>
        <v>Apple</v>
      </c>
      <c r="E93" s="18">
        <f>IFERROR(__xludf.DUMMYFUNCTION("""COMPUTED_VALUE"""),2.0)</f>
        <v>2</v>
      </c>
      <c r="F93" s="18" t="str">
        <f>IFERROR(__xludf.DUMMYFUNCTION("""COMPUTED_VALUE"""),"Nithin Lal")</f>
        <v>Nithin Lal</v>
      </c>
      <c r="G93" s="19">
        <f>IFERROR(__xludf.DUMMYFUNCTION("""COMPUTED_VALUE"""),45264.0)</f>
        <v>45264</v>
      </c>
      <c r="H93" s="18" t="str">
        <f>IFERROR(__xludf.DUMMYFUNCTION("""COMPUTED_VALUE"""),"Credit Card")</f>
        <v>Credit Card</v>
      </c>
      <c r="I93" s="18" t="str">
        <f>IFERROR(__xludf.DUMMYFUNCTION("""COMPUTED_VALUE"""),"Cancelled")</f>
        <v>Cancelled</v>
      </c>
      <c r="J93" s="18" t="str">
        <f>IFERROR(__xludf.DUMMYFUNCTION("""COMPUTED_VALUE"""),"Delayed Delivery")</f>
        <v>Delayed Delivery</v>
      </c>
      <c r="K93" s="18" t="str">
        <f>IFERROR(__xludf.DUMMYFUNCTION("""COMPUTED_VALUE"""),"Incorrect Address or Location")</f>
        <v>Incorrect Address or Location</v>
      </c>
      <c r="L93" s="18">
        <f>iferror(VLOOKUP($D93,Details!$A$2:$C$11,2,false),vlookup($D93,Details!$E$2:$G$11,2,false))</f>
        <v>230</v>
      </c>
      <c r="M93" s="18" t="str">
        <f>iferror(VLOOKUP($D93,Details!$A$2:$C$11,3,false),vlookup($D93,Details!$E$2:$G$11,3,false))</f>
        <v>Fruits and Vegetables</v>
      </c>
      <c r="N93" s="18">
        <f t="shared" si="1"/>
        <v>460</v>
      </c>
      <c r="O93" s="17"/>
      <c r="P93" s="17"/>
      <c r="Q93" s="17"/>
      <c r="R93" s="17"/>
      <c r="S93" s="17"/>
      <c r="T93" s="17"/>
      <c r="U93" s="17"/>
      <c r="V93" s="17"/>
      <c r="W93" s="17"/>
      <c r="X93" s="17"/>
      <c r="Y93" s="17"/>
      <c r="Z93" s="17"/>
    </row>
    <row r="94">
      <c r="A94" s="18" t="str">
        <f>IFERROR(__xludf.DUMMYFUNCTION("""COMPUTED_VALUE"""),"ord_60321")</f>
        <v>ord_60321</v>
      </c>
      <c r="B94" s="18" t="str">
        <f>IFERROR(__xludf.DUMMYFUNCTION("""COMPUTED_VALUE"""),"Omkar Mishra")</f>
        <v>Omkar Mishra</v>
      </c>
      <c r="C94" s="18" t="str">
        <f>IFERROR(__xludf.DUMMYFUNCTION("""COMPUTED_VALUE"""),"Powai")</f>
        <v>Powai</v>
      </c>
      <c r="D94" s="18" t="str">
        <f>IFERROR(__xludf.DUMMYFUNCTION("""COMPUTED_VALUE"""),"Onion")</f>
        <v>Onion</v>
      </c>
      <c r="E94" s="18">
        <f>IFERROR(__xludf.DUMMYFUNCTION("""COMPUTED_VALUE"""),1.0)</f>
        <v>1</v>
      </c>
      <c r="F94" s="18" t="str">
        <f>IFERROR(__xludf.DUMMYFUNCTION("""COMPUTED_VALUE"""),"Venu R")</f>
        <v>Venu R</v>
      </c>
      <c r="G94" s="19">
        <f>IFERROR(__xludf.DUMMYFUNCTION("""COMPUTED_VALUE"""),45123.0)</f>
        <v>45123</v>
      </c>
      <c r="H94" s="18" t="str">
        <f>IFERROR(__xludf.DUMMYFUNCTION("""COMPUTED_VALUE"""),"COD")</f>
        <v>COD</v>
      </c>
      <c r="I94" s="18" t="str">
        <f>IFERROR(__xludf.DUMMYFUNCTION("""COMPUTED_VALUE"""),"Delivered")</f>
        <v>Delivered</v>
      </c>
      <c r="J94" s="18" t="str">
        <f>IFERROR(__xludf.DUMMYFUNCTION("""COMPUTED_VALUE"""),"Customer Service")</f>
        <v>Customer Service</v>
      </c>
      <c r="K94" s="18" t="str">
        <f>IFERROR(__xludf.DUMMYFUNCTION("""COMPUTED_VALUE"""),"Seamless and easy")</f>
        <v>Seamless and easy</v>
      </c>
      <c r="L94" s="18">
        <f>iferror(VLOOKUP($D94,Details!$A$2:$C$11,2,false),vlookup($D94,Details!$E$2:$G$11,2,false))</f>
        <v>84</v>
      </c>
      <c r="M94" s="18" t="str">
        <f>iferror(VLOOKUP($D94,Details!$A$2:$C$11,3,false),vlookup($D94,Details!$E$2:$G$11,3,false))</f>
        <v>Fruits and Vegetables</v>
      </c>
      <c r="N94" s="18">
        <f t="shared" si="1"/>
        <v>84</v>
      </c>
      <c r="O94" s="17"/>
      <c r="P94" s="17"/>
      <c r="Q94" s="17"/>
      <c r="R94" s="17"/>
      <c r="S94" s="17"/>
      <c r="T94" s="17"/>
      <c r="U94" s="17"/>
      <c r="V94" s="17"/>
      <c r="W94" s="17"/>
      <c r="X94" s="17"/>
      <c r="Y94" s="17"/>
      <c r="Z94" s="17"/>
    </row>
    <row r="95">
      <c r="A95" s="18" t="str">
        <f>IFERROR(__xludf.DUMMYFUNCTION("""COMPUTED_VALUE"""),"ord_70415")</f>
        <v>ord_70415</v>
      </c>
      <c r="B95" s="18" t="str">
        <f>IFERROR(__xludf.DUMMYFUNCTION("""COMPUTED_VALUE"""),"Aarav Mehta")</f>
        <v>Aarav Mehta</v>
      </c>
      <c r="C95" s="18" t="str">
        <f>IFERROR(__xludf.DUMMYFUNCTION("""COMPUTED_VALUE"""),"Andheri")</f>
        <v>Andheri</v>
      </c>
      <c r="D95" s="18" t="str">
        <f>IFERROR(__xludf.DUMMYFUNCTION("""COMPUTED_VALUE"""),"Papaya")</f>
        <v>Papaya</v>
      </c>
      <c r="E95" s="18">
        <f>IFERROR(__xludf.DUMMYFUNCTION("""COMPUTED_VALUE"""),2.0)</f>
        <v>2</v>
      </c>
      <c r="F95" s="18" t="str">
        <f>IFERROR(__xludf.DUMMYFUNCTION("""COMPUTED_VALUE"""),"Sandeep Kumar")</f>
        <v>Sandeep Kumar</v>
      </c>
      <c r="G95" s="19">
        <f>IFERROR(__xludf.DUMMYFUNCTION("""COMPUTED_VALUE"""),45271.0)</f>
        <v>45271</v>
      </c>
      <c r="H95" s="18" t="str">
        <f>IFERROR(__xludf.DUMMYFUNCTION("""COMPUTED_VALUE"""),"Credit Card")</f>
        <v>Credit Card</v>
      </c>
      <c r="I95" s="18" t="str">
        <f>IFERROR(__xludf.DUMMYFUNCTION("""COMPUTED_VALUE"""),"Cancelled")</f>
        <v>Cancelled</v>
      </c>
      <c r="J95" s="18" t="str">
        <f>IFERROR(__xludf.DUMMYFUNCTION("""COMPUTED_VALUE"""),"Delayed Delivery")</f>
        <v>Delayed Delivery</v>
      </c>
      <c r="K95" s="18" t="str">
        <f>IFERROR(__xludf.DUMMYFUNCTION("""COMPUTED_VALUE"""),"Bad Weather Conditions")</f>
        <v>Bad Weather Conditions</v>
      </c>
      <c r="L95" s="18">
        <f>iferror(VLOOKUP($D95,Details!$A$2:$C$11,2,false),vlookup($D95,Details!$E$2:$G$11,2,false))</f>
        <v>75</v>
      </c>
      <c r="M95" s="18" t="str">
        <f>iferror(VLOOKUP($D95,Details!$A$2:$C$11,3,false),vlookup($D95,Details!$E$2:$G$11,3,false))</f>
        <v>Fruits and Vegetables</v>
      </c>
      <c r="N95" s="18">
        <f t="shared" si="1"/>
        <v>150</v>
      </c>
      <c r="O95" s="17"/>
      <c r="P95" s="17"/>
      <c r="Q95" s="17"/>
      <c r="R95" s="17"/>
      <c r="S95" s="17"/>
      <c r="T95" s="17"/>
      <c r="U95" s="17"/>
      <c r="V95" s="17"/>
      <c r="W95" s="17"/>
      <c r="X95" s="17"/>
      <c r="Y95" s="17"/>
      <c r="Z95" s="17"/>
    </row>
    <row r="96">
      <c r="A96" s="18" t="str">
        <f>IFERROR(__xludf.DUMMYFUNCTION("""COMPUTED_VALUE"""),"ord_80509")</f>
        <v>ord_80509</v>
      </c>
      <c r="B96" s="18" t="str">
        <f>IFERROR(__xludf.DUMMYFUNCTION("""COMPUTED_VALUE"""),"Sakshi Tandon")</f>
        <v>Sakshi Tandon</v>
      </c>
      <c r="C96" s="18" t="str">
        <f>IFERROR(__xludf.DUMMYFUNCTION("""COMPUTED_VALUE"""),"Colaba")</f>
        <v>Colaba</v>
      </c>
      <c r="D96" s="18" t="str">
        <f>IFERROR(__xludf.DUMMYFUNCTION("""COMPUTED_VALUE"""),"Veg Puff")</f>
        <v>Veg Puff</v>
      </c>
      <c r="E96" s="18">
        <f>IFERROR(__xludf.DUMMYFUNCTION("""COMPUTED_VALUE"""),3.0)</f>
        <v>3</v>
      </c>
      <c r="F96" s="18" t="str">
        <f>IFERROR(__xludf.DUMMYFUNCTION("""COMPUTED_VALUE"""),"Sita T")</f>
        <v>Sita T</v>
      </c>
      <c r="G96" s="19">
        <f>IFERROR(__xludf.DUMMYFUNCTION("""COMPUTED_VALUE"""),45224.0)</f>
        <v>45224</v>
      </c>
      <c r="H96" s="18" t="str">
        <f>IFERROR(__xludf.DUMMYFUNCTION("""COMPUTED_VALUE"""),"Credit Card")</f>
        <v>Credit Card</v>
      </c>
      <c r="I96" s="18" t="str">
        <f>IFERROR(__xludf.DUMMYFUNCTION("""COMPUTED_VALUE"""),"Delivered")</f>
        <v>Delivered</v>
      </c>
      <c r="J96" s="18" t="str">
        <f>IFERROR(__xludf.DUMMYFUNCTION("""COMPUTED_VALUE"""),"Delivery Experience")</f>
        <v>Delivery Experience</v>
      </c>
      <c r="K96" s="18" t="str">
        <f>IFERROR(__xludf.DUMMYFUNCTION("""COMPUTED_VALUE"""),"Quick and professional")</f>
        <v>Quick and professional</v>
      </c>
      <c r="L96" s="18">
        <f>iferror(VLOOKUP($D96,Details!$A$2:$C$11,2,false),vlookup($D96,Details!$E$2:$G$11,2,false))</f>
        <v>80</v>
      </c>
      <c r="M96" s="18" t="str">
        <f>iferror(VLOOKUP($D96,Details!$A$2:$C$11,3,false),vlookup($D96,Details!$E$2:$G$11,3,false))</f>
        <v>Snacks and Drinks</v>
      </c>
      <c r="N96" s="18">
        <f t="shared" si="1"/>
        <v>240</v>
      </c>
      <c r="O96" s="17"/>
      <c r="P96" s="17"/>
      <c r="Q96" s="17"/>
      <c r="R96" s="17"/>
      <c r="S96" s="17"/>
      <c r="T96" s="17"/>
      <c r="U96" s="17"/>
      <c r="V96" s="17"/>
      <c r="W96" s="17"/>
      <c r="X96" s="17"/>
      <c r="Y96" s="17"/>
      <c r="Z96" s="17"/>
    </row>
    <row r="97">
      <c r="A97" s="18" t="str">
        <f>IFERROR(__xludf.DUMMYFUNCTION("""COMPUTED_VALUE"""),"ord_90603")</f>
        <v>ord_90603</v>
      </c>
      <c r="B97" s="18" t="str">
        <f>IFERROR(__xludf.DUMMYFUNCTION("""COMPUTED_VALUE"""),"Aarav Mehta")</f>
        <v>Aarav Mehta</v>
      </c>
      <c r="C97" s="18" t="str">
        <f>IFERROR(__xludf.DUMMYFUNCTION("""COMPUTED_VALUE"""),"Andheri")</f>
        <v>Andheri</v>
      </c>
      <c r="D97" s="18" t="str">
        <f>IFERROR(__xludf.DUMMYFUNCTION("""COMPUTED_VALUE"""),"Chilli Cheese Toast")</f>
        <v>Chilli Cheese Toast</v>
      </c>
      <c r="E97" s="18">
        <f>IFERROR(__xludf.DUMMYFUNCTION("""COMPUTED_VALUE"""),1.0)</f>
        <v>1</v>
      </c>
      <c r="F97" s="18" t="str">
        <f>IFERROR(__xludf.DUMMYFUNCTION("""COMPUTED_VALUE"""),"Nithin Lal")</f>
        <v>Nithin Lal</v>
      </c>
      <c r="G97" s="19">
        <f>IFERROR(__xludf.DUMMYFUNCTION("""COMPUTED_VALUE"""),45159.0)</f>
        <v>45159</v>
      </c>
      <c r="H97" s="18" t="str">
        <f>IFERROR(__xludf.DUMMYFUNCTION("""COMPUTED_VALUE"""),"Credit Card")</f>
        <v>Credit Card</v>
      </c>
      <c r="I97" s="18" t="str">
        <f>IFERROR(__xludf.DUMMYFUNCTION("""COMPUTED_VALUE"""),"Delivered")</f>
        <v>Delivered</v>
      </c>
      <c r="J97" s="18" t="str">
        <f>IFERROR(__xludf.DUMMYFUNCTION("""COMPUTED_VALUE"""),"Convenience")</f>
        <v>Convenience</v>
      </c>
      <c r="K97" s="18" t="str">
        <f>IFERROR(__xludf.DUMMYFUNCTION("""COMPUTED_VALUE"""),"Easy tracking")</f>
        <v>Easy tracking</v>
      </c>
      <c r="L97" s="18">
        <f>iferror(VLOOKUP($D97,Details!$A$2:$C$11,2,false),vlookup($D97,Details!$E$2:$G$11,2,false))</f>
        <v>80</v>
      </c>
      <c r="M97" s="18" t="str">
        <f>iferror(VLOOKUP($D97,Details!$A$2:$C$11,3,false),vlookup($D97,Details!$E$2:$G$11,3,false))</f>
        <v>Snacks and Drinks</v>
      </c>
      <c r="N97" s="18">
        <f t="shared" si="1"/>
        <v>80</v>
      </c>
      <c r="O97" s="17"/>
      <c r="P97" s="17"/>
      <c r="Q97" s="17"/>
      <c r="R97" s="17"/>
      <c r="S97" s="17"/>
      <c r="T97" s="17"/>
      <c r="U97" s="17"/>
      <c r="V97" s="17"/>
      <c r="W97" s="17"/>
      <c r="X97" s="17"/>
      <c r="Y97" s="17"/>
      <c r="Z97" s="17"/>
    </row>
    <row r="98">
      <c r="A98" s="18" t="str">
        <f>IFERROR(__xludf.DUMMYFUNCTION("""COMPUTED_VALUE"""),"ord_10097")</f>
        <v>ord_10097</v>
      </c>
      <c r="B98" s="18" t="str">
        <f>IFERROR(__xludf.DUMMYFUNCTION("""COMPUTED_VALUE"""),"Sakshi Tandon")</f>
        <v>Sakshi Tandon</v>
      </c>
      <c r="C98" s="18" t="str">
        <f>IFERROR(__xludf.DUMMYFUNCTION("""COMPUTED_VALUE"""),"Colaba")</f>
        <v>Colaba</v>
      </c>
      <c r="D98" s="18" t="str">
        <f>IFERROR(__xludf.DUMMYFUNCTION("""COMPUTED_VALUE"""),"Veg Puff")</f>
        <v>Veg Puff</v>
      </c>
      <c r="E98" s="18">
        <f>IFERROR(__xludf.DUMMYFUNCTION("""COMPUTED_VALUE"""),5.0)</f>
        <v>5</v>
      </c>
      <c r="F98" s="18" t="str">
        <f>IFERROR(__xludf.DUMMYFUNCTION("""COMPUTED_VALUE"""),"Sita T")</f>
        <v>Sita T</v>
      </c>
      <c r="G98" s="19">
        <f>IFERROR(__xludf.DUMMYFUNCTION("""COMPUTED_VALUE"""),45255.0)</f>
        <v>45255</v>
      </c>
      <c r="H98" s="18" t="str">
        <f>IFERROR(__xludf.DUMMYFUNCTION("""COMPUTED_VALUE"""),"Online Payment")</f>
        <v>Online Payment</v>
      </c>
      <c r="I98" s="18" t="str">
        <f>IFERROR(__xludf.DUMMYFUNCTION("""COMPUTED_VALUE"""),"Delivered")</f>
        <v>Delivered</v>
      </c>
      <c r="J98" s="18" t="str">
        <f>IFERROR(__xludf.DUMMYFUNCTION("""COMPUTED_VALUE"""),"Overall Satisfaction")</f>
        <v>Overall Satisfaction</v>
      </c>
      <c r="K98" s="18" t="str">
        <f>IFERROR(__xludf.DUMMYFUNCTION("""COMPUTED_VALUE"""),"Great service will order again")</f>
        <v>Great service will order again</v>
      </c>
      <c r="L98" s="18">
        <f>iferror(VLOOKUP($D98,Details!$A$2:$C$11,2,false),vlookup($D98,Details!$E$2:$G$11,2,false))</f>
        <v>80</v>
      </c>
      <c r="M98" s="18" t="str">
        <f>iferror(VLOOKUP($D98,Details!$A$2:$C$11,3,false),vlookup($D98,Details!$E$2:$G$11,3,false))</f>
        <v>Snacks and Drinks</v>
      </c>
      <c r="N98" s="18">
        <f t="shared" si="1"/>
        <v>400</v>
      </c>
      <c r="O98" s="17"/>
      <c r="P98" s="17"/>
      <c r="Q98" s="17"/>
      <c r="R98" s="17"/>
      <c r="S98" s="17"/>
      <c r="T98" s="17"/>
      <c r="U98" s="17"/>
      <c r="V98" s="17"/>
      <c r="W98" s="17"/>
      <c r="X98" s="17"/>
      <c r="Y98" s="17"/>
      <c r="Z98" s="17"/>
    </row>
    <row r="99">
      <c r="A99" s="18" t="str">
        <f>IFERROR(__xludf.DUMMYFUNCTION("""COMPUTED_VALUE"""),"ord_10098")</f>
        <v>ord_10098</v>
      </c>
      <c r="B99" s="18" t="str">
        <f>IFERROR(__xludf.DUMMYFUNCTION("""COMPUTED_VALUE"""),"Anaya Rao")</f>
        <v>Anaya Rao</v>
      </c>
      <c r="C99" s="18" t="str">
        <f>IFERROR(__xludf.DUMMYFUNCTION("""COMPUTED_VALUE"""),"Colaba")</f>
        <v>Colaba</v>
      </c>
      <c r="D99" s="18" t="str">
        <f>IFERROR(__xludf.DUMMYFUNCTION("""COMPUTED_VALUE"""),"Icecream")</f>
        <v>Icecream</v>
      </c>
      <c r="E99" s="18">
        <f>IFERROR(__xludf.DUMMYFUNCTION("""COMPUTED_VALUE"""),4.0)</f>
        <v>4</v>
      </c>
      <c r="F99" s="18" t="str">
        <f>IFERROR(__xludf.DUMMYFUNCTION("""COMPUTED_VALUE"""),"Not Assigned")</f>
        <v>Not Assigned</v>
      </c>
      <c r="G99" s="19">
        <f>IFERROR(__xludf.DUMMYFUNCTION("""COMPUTED_VALUE"""),45160.0)</f>
        <v>45160</v>
      </c>
      <c r="H99" s="18" t="str">
        <f>IFERROR(__xludf.DUMMYFUNCTION("""COMPUTED_VALUE"""),"Credit Card")</f>
        <v>Credit Card</v>
      </c>
      <c r="I99" s="18" t="str">
        <f>IFERROR(__xludf.DUMMYFUNCTION("""COMPUTED_VALUE"""),"Cancelled")</f>
        <v>Cancelled</v>
      </c>
      <c r="J99" s="18" t="str">
        <f>IFERROR(__xludf.DUMMYFUNCTION("""COMPUTED_VALUE"""),"Payment Issues")</f>
        <v>Payment Issues</v>
      </c>
      <c r="K99" s="18"/>
      <c r="L99" s="18">
        <f>iferror(VLOOKUP($D99,Details!$A$2:$C$11,2,false),vlookup($D99,Details!$E$2:$G$11,2,false))</f>
        <v>90</v>
      </c>
      <c r="M99" s="18" t="str">
        <f>iferror(VLOOKUP($D99,Details!$A$2:$C$11,3,false),vlookup($D99,Details!$E$2:$G$11,3,false))</f>
        <v>Snacks and Drinks</v>
      </c>
      <c r="N99" s="18">
        <f t="shared" si="1"/>
        <v>360</v>
      </c>
      <c r="O99" s="17"/>
      <c r="P99" s="17"/>
      <c r="Q99" s="17"/>
      <c r="R99" s="17"/>
      <c r="S99" s="17"/>
      <c r="T99" s="17"/>
      <c r="U99" s="17"/>
      <c r="V99" s="17"/>
      <c r="W99" s="17"/>
      <c r="X99" s="17"/>
      <c r="Y99" s="17"/>
      <c r="Z99" s="17"/>
    </row>
    <row r="100">
      <c r="A100" s="18" t="str">
        <f>IFERROR(__xludf.DUMMYFUNCTION("""COMPUTED_VALUE"""),"ord_13099")</f>
        <v>ord_13099</v>
      </c>
      <c r="B100" s="18" t="str">
        <f>IFERROR(__xludf.DUMMYFUNCTION("""COMPUTED_VALUE"""),"Omkar Mishra")</f>
        <v>Omkar Mishra</v>
      </c>
      <c r="C100" s="18" t="str">
        <f>IFERROR(__xludf.DUMMYFUNCTION("""COMPUTED_VALUE"""),"Powai")</f>
        <v>Powai</v>
      </c>
      <c r="D100" s="18" t="str">
        <f>IFERROR(__xludf.DUMMYFUNCTION("""COMPUTED_VALUE"""),"Chicken Puff")</f>
        <v>Chicken Puff</v>
      </c>
      <c r="E100" s="18">
        <f>IFERROR(__xludf.DUMMYFUNCTION("""COMPUTED_VALUE"""),5.0)</f>
        <v>5</v>
      </c>
      <c r="F100" s="18" t="str">
        <f>IFERROR(__xludf.DUMMYFUNCTION("""COMPUTED_VALUE"""),"Nithin Lal")</f>
        <v>Nithin Lal</v>
      </c>
      <c r="G100" s="19">
        <f>IFERROR(__xludf.DUMMYFUNCTION("""COMPUTED_VALUE"""),45186.0)</f>
        <v>45186</v>
      </c>
      <c r="H100" s="18" t="str">
        <f>IFERROR(__xludf.DUMMYFUNCTION("""COMPUTED_VALUE"""),"Credit Card")</f>
        <v>Credit Card</v>
      </c>
      <c r="I100" s="18" t="str">
        <f>IFERROR(__xludf.DUMMYFUNCTION("""COMPUTED_VALUE"""),"Cancelled")</f>
        <v>Cancelled</v>
      </c>
      <c r="J100" s="18" t="str">
        <f>IFERROR(__xludf.DUMMYFUNCTION("""COMPUTED_VALUE"""),"Delayed Delivery")</f>
        <v>Delayed Delivery</v>
      </c>
      <c r="K100" s="18" t="str">
        <f>IFERROR(__xludf.DUMMYFUNCTION("""COMPUTED_VALUE"""),"Heavy Traffic")</f>
        <v>Heavy Traffic</v>
      </c>
      <c r="L100" s="18">
        <f>iferror(VLOOKUP($D100,Details!$A$2:$C$11,2,false),vlookup($D100,Details!$E$2:$G$11,2,false))</f>
        <v>90</v>
      </c>
      <c r="M100" s="18" t="str">
        <f>iferror(VLOOKUP($D100,Details!$A$2:$C$11,3,false),vlookup($D100,Details!$E$2:$G$11,3,false))</f>
        <v>Snacks and Drinks</v>
      </c>
      <c r="N100" s="18">
        <f t="shared" si="1"/>
        <v>450</v>
      </c>
      <c r="O100" s="17"/>
      <c r="P100" s="17"/>
      <c r="Q100" s="17"/>
      <c r="R100" s="17"/>
      <c r="S100" s="17"/>
      <c r="T100" s="17"/>
      <c r="U100" s="17"/>
      <c r="V100" s="17"/>
      <c r="W100" s="17"/>
      <c r="X100" s="17"/>
      <c r="Y100" s="17"/>
      <c r="Z100" s="17"/>
    </row>
    <row r="101">
      <c r="A101" s="18" t="str">
        <f>IFERROR(__xludf.DUMMYFUNCTION("""COMPUTED_VALUE"""),"ord_10100")</f>
        <v>ord_10100</v>
      </c>
      <c r="B101" s="18" t="str">
        <f>IFERROR(__xludf.DUMMYFUNCTION("""COMPUTED_VALUE"""),"Nitin Sehgal")</f>
        <v>Nitin Sehgal</v>
      </c>
      <c r="C101" s="18" t="str">
        <f>IFERROR(__xludf.DUMMYFUNCTION("""COMPUTED_VALUE"""),"Bandra")</f>
        <v>Bandra</v>
      </c>
      <c r="D101" s="18" t="str">
        <f>IFERROR(__xludf.DUMMYFUNCTION("""COMPUTED_VALUE"""),"Cold Coffee")</f>
        <v>Cold Coffee</v>
      </c>
      <c r="E101" s="18">
        <f>IFERROR(__xludf.DUMMYFUNCTION("""COMPUTED_VALUE"""),5.0)</f>
        <v>5</v>
      </c>
      <c r="F101" s="18" t="str">
        <f>IFERROR(__xludf.DUMMYFUNCTION("""COMPUTED_VALUE"""),"Venu R")</f>
        <v>Venu R</v>
      </c>
      <c r="G101" s="19">
        <f>IFERROR(__xludf.DUMMYFUNCTION("""COMPUTED_VALUE"""),45225.0)</f>
        <v>45225</v>
      </c>
      <c r="H101" s="18" t="str">
        <f>IFERROR(__xludf.DUMMYFUNCTION("""COMPUTED_VALUE"""),"Online Payment")</f>
        <v>Online Payment</v>
      </c>
      <c r="I101" s="18" t="str">
        <f>IFERROR(__xludf.DUMMYFUNCTION("""COMPUTED_VALUE"""),"Delivered")</f>
        <v>Delivered</v>
      </c>
      <c r="J101" s="18" t="str">
        <f>IFERROR(__xludf.DUMMYFUNCTION("""COMPUTED_VALUE"""),"On-time Delivery")</f>
        <v>On-time Delivery</v>
      </c>
      <c r="K101" s="18" t="str">
        <f>IFERROR(__xludf.DUMMYFUNCTION("""COMPUTED_VALUE"""),"Delivered on time")</f>
        <v>Delivered on time</v>
      </c>
      <c r="L101" s="18">
        <f>iferror(VLOOKUP($D101,Details!$A$2:$C$11,2,false),vlookup($D101,Details!$E$2:$G$11,2,false))</f>
        <v>270</v>
      </c>
      <c r="M101" s="18" t="str">
        <f>iferror(VLOOKUP($D101,Details!$A$2:$C$11,3,false),vlookup($D101,Details!$E$2:$G$11,3,false))</f>
        <v>Snacks and Drinks</v>
      </c>
      <c r="N101" s="18">
        <f t="shared" si="1"/>
        <v>1350</v>
      </c>
      <c r="O101" s="17"/>
      <c r="P101" s="17"/>
      <c r="Q101" s="17"/>
      <c r="R101" s="17"/>
      <c r="S101" s="17"/>
      <c r="T101" s="17"/>
      <c r="U101" s="17"/>
      <c r="V101" s="17"/>
      <c r="W101" s="17"/>
      <c r="X101" s="17"/>
      <c r="Y101" s="17"/>
      <c r="Z101" s="17"/>
    </row>
    <row r="102">
      <c r="A102" s="18" t="str">
        <f>IFERROR(__xludf.DUMMYFUNCTION("""COMPUTED_VALUE"""),"ord_10101")</f>
        <v>ord_10101</v>
      </c>
      <c r="B102" s="18" t="str">
        <f>IFERROR(__xludf.DUMMYFUNCTION("""COMPUTED_VALUE"""),"Kritika Shetty")</f>
        <v>Kritika Shetty</v>
      </c>
      <c r="C102" s="18" t="str">
        <f>IFERROR(__xludf.DUMMYFUNCTION("""COMPUTED_VALUE"""),"Malad")</f>
        <v>Malad</v>
      </c>
      <c r="D102" s="18" t="str">
        <f>IFERROR(__xludf.DUMMYFUNCTION("""COMPUTED_VALUE"""),"Orange")</f>
        <v>Orange</v>
      </c>
      <c r="E102" s="18">
        <f>IFERROR(__xludf.DUMMYFUNCTION("""COMPUTED_VALUE"""),1.0)</f>
        <v>1</v>
      </c>
      <c r="F102" s="18" t="str">
        <f>IFERROR(__xludf.DUMMYFUNCTION("""COMPUTED_VALUE"""),"Not Assigned")</f>
        <v>Not Assigned</v>
      </c>
      <c r="G102" s="19">
        <f>IFERROR(__xludf.DUMMYFUNCTION("""COMPUTED_VALUE"""),44942.0)</f>
        <v>44942</v>
      </c>
      <c r="H102" s="18" t="str">
        <f>IFERROR(__xludf.DUMMYFUNCTION("""COMPUTED_VALUE"""),"Credit Card")</f>
        <v>Credit Card</v>
      </c>
      <c r="I102" s="18" t="str">
        <f>IFERROR(__xludf.DUMMYFUNCTION("""COMPUTED_VALUE"""),"Cancelled")</f>
        <v>Cancelled</v>
      </c>
      <c r="J102" s="18" t="str">
        <f>IFERROR(__xludf.DUMMYFUNCTION("""COMPUTED_VALUE"""),"High Delivery Fees")</f>
        <v>High Delivery Fees</v>
      </c>
      <c r="K102" s="18"/>
      <c r="L102" s="18">
        <f>iferror(VLOOKUP($D102,Details!$A$2:$C$11,2,false),vlookup($D102,Details!$E$2:$G$11,2,false))</f>
        <v>180</v>
      </c>
      <c r="M102" s="18" t="str">
        <f>iferror(VLOOKUP($D102,Details!$A$2:$C$11,3,false),vlookup($D102,Details!$E$2:$G$11,3,false))</f>
        <v>Fruits and Vegetables</v>
      </c>
      <c r="N102" s="18">
        <f t="shared" si="1"/>
        <v>180</v>
      </c>
      <c r="O102" s="17"/>
      <c r="P102" s="17"/>
      <c r="Q102" s="17"/>
      <c r="R102" s="17"/>
      <c r="S102" s="17"/>
      <c r="T102" s="17"/>
      <c r="U102" s="17"/>
      <c r="V102" s="17"/>
      <c r="W102" s="17"/>
      <c r="X102" s="17"/>
      <c r="Y102" s="17"/>
      <c r="Z102" s="17"/>
    </row>
    <row r="103">
      <c r="A103" s="18" t="str">
        <f>IFERROR(__xludf.DUMMYFUNCTION("""COMPUTED_VALUE"""),"ord_10102")</f>
        <v>ord_10102</v>
      </c>
      <c r="B103" s="18" t="str">
        <f>IFERROR(__xludf.DUMMYFUNCTION("""COMPUTED_VALUE"""),"Pranav Joshi")</f>
        <v>Pranav Joshi</v>
      </c>
      <c r="C103" s="18" t="str">
        <f>IFERROR(__xludf.DUMMYFUNCTION("""COMPUTED_VALUE"""),"Andheri")</f>
        <v>Andheri</v>
      </c>
      <c r="D103" s="18" t="str">
        <f>IFERROR(__xludf.DUMMYFUNCTION("""COMPUTED_VALUE"""),"Orange")</f>
        <v>Orange</v>
      </c>
      <c r="E103" s="18">
        <f>IFERROR(__xludf.DUMMYFUNCTION("""COMPUTED_VALUE"""),2.0)</f>
        <v>2</v>
      </c>
      <c r="F103" s="18" t="str">
        <f>IFERROR(__xludf.DUMMYFUNCTION("""COMPUTED_VALUE"""),"Shine Thomas")</f>
        <v>Shine Thomas</v>
      </c>
      <c r="G103" s="19">
        <f>IFERROR(__xludf.DUMMYFUNCTION("""COMPUTED_VALUE"""),45173.0)</f>
        <v>45173</v>
      </c>
      <c r="H103" s="18" t="str">
        <f>IFERROR(__xludf.DUMMYFUNCTION("""COMPUTED_VALUE"""),"COD")</f>
        <v>COD</v>
      </c>
      <c r="I103" s="18" t="str">
        <f>IFERROR(__xludf.DUMMYFUNCTION("""COMPUTED_VALUE"""),"Delivered")</f>
        <v>Delivered</v>
      </c>
      <c r="J103" s="18" t="str">
        <f>IFERROR(__xludf.DUMMYFUNCTION("""COMPUTED_VALUE"""),"Quality of Items")</f>
        <v>Quality of Items</v>
      </c>
      <c r="K103" s="18" t="str">
        <f>IFERROR(__xludf.DUMMYFUNCTION("""COMPUTED_VALUE"""),"Perfect condition")</f>
        <v>Perfect condition</v>
      </c>
      <c r="L103" s="18">
        <f>iferror(VLOOKUP($D103,Details!$A$2:$C$11,2,false),vlookup($D103,Details!$E$2:$G$11,2,false))</f>
        <v>180</v>
      </c>
      <c r="M103" s="18" t="str">
        <f>iferror(VLOOKUP($D103,Details!$A$2:$C$11,3,false),vlookup($D103,Details!$E$2:$G$11,3,false))</f>
        <v>Fruits and Vegetables</v>
      </c>
      <c r="N103" s="18">
        <f t="shared" si="1"/>
        <v>360</v>
      </c>
      <c r="O103" s="17"/>
      <c r="P103" s="17"/>
      <c r="Q103" s="17"/>
      <c r="R103" s="17"/>
      <c r="S103" s="17"/>
      <c r="T103" s="17"/>
      <c r="U103" s="17"/>
      <c r="V103" s="17"/>
      <c r="W103" s="17"/>
      <c r="X103" s="17"/>
      <c r="Y103" s="17"/>
      <c r="Z103" s="17"/>
    </row>
    <row r="104">
      <c r="A104" s="18" t="str">
        <f>IFERROR(__xludf.DUMMYFUNCTION("""COMPUTED_VALUE"""),"ord_10103")</f>
        <v>ord_10103</v>
      </c>
      <c r="B104" s="18" t="str">
        <f>IFERROR(__xludf.DUMMYFUNCTION("""COMPUTED_VALUE"""),"Ishita Banerjee")</f>
        <v>Ishita Banerjee</v>
      </c>
      <c r="C104" s="18" t="str">
        <f>IFERROR(__xludf.DUMMYFUNCTION("""COMPUTED_VALUE"""),"Juhu")</f>
        <v>Juhu</v>
      </c>
      <c r="D104" s="18" t="str">
        <f>IFERROR(__xludf.DUMMYFUNCTION("""COMPUTED_VALUE"""),"Veg Puff")</f>
        <v>Veg Puff</v>
      </c>
      <c r="E104" s="18">
        <f>IFERROR(__xludf.DUMMYFUNCTION("""COMPUTED_VALUE"""),4.0)</f>
        <v>4</v>
      </c>
      <c r="F104" s="18" t="str">
        <f>IFERROR(__xludf.DUMMYFUNCTION("""COMPUTED_VALUE"""),"Tanvi Jain")</f>
        <v>Tanvi Jain</v>
      </c>
      <c r="G104" s="19">
        <f>IFERROR(__xludf.DUMMYFUNCTION("""COMPUTED_VALUE"""),45245.0)</f>
        <v>45245</v>
      </c>
      <c r="H104" s="18" t="str">
        <f>IFERROR(__xludf.DUMMYFUNCTION("""COMPUTED_VALUE"""),"UPI")</f>
        <v>UPI</v>
      </c>
      <c r="I104" s="18" t="str">
        <f>IFERROR(__xludf.DUMMYFUNCTION("""COMPUTED_VALUE"""),"Cancelled")</f>
        <v>Cancelled</v>
      </c>
      <c r="J104" s="18" t="str">
        <f>IFERROR(__xludf.DUMMYFUNCTION("""COMPUTED_VALUE"""),"Delayed Delivery")</f>
        <v>Delayed Delivery</v>
      </c>
      <c r="K104" s="18" t="str">
        <f>IFERROR(__xludf.DUMMYFUNCTION("""COMPUTED_VALUE"""),"High Order Volume")</f>
        <v>High Order Volume</v>
      </c>
      <c r="L104" s="18">
        <f>iferror(VLOOKUP($D104,Details!$A$2:$C$11,2,false),vlookup($D104,Details!$E$2:$G$11,2,false))</f>
        <v>80</v>
      </c>
      <c r="M104" s="18" t="str">
        <f>iferror(VLOOKUP($D104,Details!$A$2:$C$11,3,false),vlookup($D104,Details!$E$2:$G$11,3,false))</f>
        <v>Snacks and Drinks</v>
      </c>
      <c r="N104" s="18">
        <f t="shared" si="1"/>
        <v>320</v>
      </c>
      <c r="O104" s="17"/>
      <c r="P104" s="17"/>
      <c r="Q104" s="17"/>
      <c r="R104" s="17"/>
      <c r="S104" s="17"/>
      <c r="T104" s="17"/>
      <c r="U104" s="17"/>
      <c r="V104" s="17"/>
      <c r="W104" s="17"/>
      <c r="X104" s="17"/>
      <c r="Y104" s="17"/>
      <c r="Z104" s="17"/>
    </row>
    <row r="105">
      <c r="A105" s="18" t="str">
        <f>IFERROR(__xludf.DUMMYFUNCTION("""COMPUTED_VALUE"""),"ord_10104")</f>
        <v>ord_10104</v>
      </c>
      <c r="B105" s="18" t="str">
        <f>IFERROR(__xludf.DUMMYFUNCTION("""COMPUTED_VALUE"""),"Sanjay Nair")</f>
        <v>Sanjay Nair</v>
      </c>
      <c r="C105" s="18" t="str">
        <f>IFERROR(__xludf.DUMMYFUNCTION("""COMPUTED_VALUE"""),"Dadar")</f>
        <v>Dadar</v>
      </c>
      <c r="D105" s="18" t="str">
        <f>IFERROR(__xludf.DUMMYFUNCTION("""COMPUTED_VALUE"""),"Icecream")</f>
        <v>Icecream</v>
      </c>
      <c r="E105" s="18">
        <f>IFERROR(__xludf.DUMMYFUNCTION("""COMPUTED_VALUE"""),3.0)</f>
        <v>3</v>
      </c>
      <c r="F105" s="18" t="str">
        <f>IFERROR(__xludf.DUMMYFUNCTION("""COMPUTED_VALUE"""),"Ramesh S")</f>
        <v>Ramesh S</v>
      </c>
      <c r="G105" s="19">
        <f>IFERROR(__xludf.DUMMYFUNCTION("""COMPUTED_VALUE"""),45171.0)</f>
        <v>45171</v>
      </c>
      <c r="H105" s="18" t="str">
        <f>IFERROR(__xludf.DUMMYFUNCTION("""COMPUTED_VALUE"""),"UPI")</f>
        <v>UPI</v>
      </c>
      <c r="I105" s="18" t="str">
        <f>IFERROR(__xludf.DUMMYFUNCTION("""COMPUTED_VALUE"""),"Delivered")</f>
        <v>Delivered</v>
      </c>
      <c r="J105" s="18" t="str">
        <f>IFERROR(__xludf.DUMMYFUNCTION("""COMPUTED_VALUE"""),"Packaging")</f>
        <v>Packaging</v>
      </c>
      <c r="K105" s="18" t="str">
        <f>IFERROR(__xludf.DUMMYFUNCTION("""COMPUTED_VALUE"""),"Secure and intact")</f>
        <v>Secure and intact</v>
      </c>
      <c r="L105" s="18">
        <f>iferror(VLOOKUP($D105,Details!$A$2:$C$11,2,false),vlookup($D105,Details!$E$2:$G$11,2,false))</f>
        <v>90</v>
      </c>
      <c r="M105" s="18" t="str">
        <f>iferror(VLOOKUP($D105,Details!$A$2:$C$11,3,false),vlookup($D105,Details!$E$2:$G$11,3,false))</f>
        <v>Snacks and Drinks</v>
      </c>
      <c r="N105" s="18">
        <f t="shared" si="1"/>
        <v>270</v>
      </c>
      <c r="O105" s="17"/>
      <c r="P105" s="17"/>
      <c r="Q105" s="17"/>
      <c r="R105" s="17"/>
      <c r="S105" s="17"/>
      <c r="T105" s="17"/>
      <c r="U105" s="17"/>
      <c r="V105" s="17"/>
      <c r="W105" s="17"/>
      <c r="X105" s="17"/>
      <c r="Y105" s="17"/>
      <c r="Z105" s="17"/>
    </row>
    <row r="106">
      <c r="A106" s="18" t="str">
        <f>IFERROR(__xludf.DUMMYFUNCTION("""COMPUTED_VALUE"""),"ord_10105")</f>
        <v>ord_10105</v>
      </c>
      <c r="B106" s="18" t="str">
        <f>IFERROR(__xludf.DUMMYFUNCTION("""COMPUTED_VALUE"""),"Tanishq Bansal")</f>
        <v>Tanishq Bansal</v>
      </c>
      <c r="C106" s="18" t="str">
        <f>IFERROR(__xludf.DUMMYFUNCTION("""COMPUTED_VALUE"""),"Powai")</f>
        <v>Powai</v>
      </c>
      <c r="D106" s="18" t="str">
        <f>IFERROR(__xludf.DUMMYFUNCTION("""COMPUTED_VALUE"""),"Veg Puff")</f>
        <v>Veg Puff</v>
      </c>
      <c r="E106" s="18">
        <f>IFERROR(__xludf.DUMMYFUNCTION("""COMPUTED_VALUE"""),2.0)</f>
        <v>2</v>
      </c>
      <c r="F106" s="18" t="str">
        <f>IFERROR(__xludf.DUMMYFUNCTION("""COMPUTED_VALUE"""),"Manju Ajay")</f>
        <v>Manju Ajay</v>
      </c>
      <c r="G106" s="19">
        <f>IFERROR(__xludf.DUMMYFUNCTION("""COMPUTED_VALUE"""),45250.0)</f>
        <v>45250</v>
      </c>
      <c r="H106" s="18" t="str">
        <f>IFERROR(__xludf.DUMMYFUNCTION("""COMPUTED_VALUE"""),"Credit Card")</f>
        <v>Credit Card</v>
      </c>
      <c r="I106" s="18" t="str">
        <f>IFERROR(__xludf.DUMMYFUNCTION("""COMPUTED_VALUE"""),"Cancelled")</f>
        <v>Cancelled</v>
      </c>
      <c r="J106" s="18" t="str">
        <f>IFERROR(__xludf.DUMMYFUNCTION("""COMPUTED_VALUE"""),"Delayed Delivery")</f>
        <v>Delayed Delivery</v>
      </c>
      <c r="K106" s="18" t="str">
        <f>IFERROR(__xludf.DUMMYFUNCTION("""COMPUTED_VALUE"""),"Vehicle Breakdown")</f>
        <v>Vehicle Breakdown</v>
      </c>
      <c r="L106" s="18">
        <f>iferror(VLOOKUP($D106,Details!$A$2:$C$11,2,false),vlookup($D106,Details!$E$2:$G$11,2,false))</f>
        <v>80</v>
      </c>
      <c r="M106" s="18" t="str">
        <f>iferror(VLOOKUP($D106,Details!$A$2:$C$11,3,false),vlookup($D106,Details!$E$2:$G$11,3,false))</f>
        <v>Snacks and Drinks</v>
      </c>
      <c r="N106" s="18">
        <f t="shared" si="1"/>
        <v>160</v>
      </c>
      <c r="O106" s="17"/>
      <c r="P106" s="17"/>
      <c r="Q106" s="17"/>
      <c r="R106" s="17"/>
      <c r="S106" s="17"/>
      <c r="T106" s="17"/>
      <c r="U106" s="17"/>
      <c r="V106" s="17"/>
      <c r="W106" s="17"/>
      <c r="X106" s="17"/>
      <c r="Y106" s="17"/>
      <c r="Z106" s="17"/>
    </row>
    <row r="107">
      <c r="A107" s="18" t="str">
        <f>IFERROR(__xludf.DUMMYFUNCTION("""COMPUTED_VALUE"""),"ord_10106")</f>
        <v>ord_10106</v>
      </c>
      <c r="B107" s="18" t="str">
        <f>IFERROR(__xludf.DUMMYFUNCTION("""COMPUTED_VALUE"""),"Aarav Mehta")</f>
        <v>Aarav Mehta</v>
      </c>
      <c r="C107" s="18" t="str">
        <f>IFERROR(__xludf.DUMMYFUNCTION("""COMPUTED_VALUE"""),"Andheri")</f>
        <v>Andheri</v>
      </c>
      <c r="D107" s="18" t="str">
        <f>IFERROR(__xludf.DUMMYFUNCTION("""COMPUTED_VALUE"""),"Rasmalai")</f>
        <v>Rasmalai</v>
      </c>
      <c r="E107" s="18">
        <f>IFERROR(__xludf.DUMMYFUNCTION("""COMPUTED_VALUE"""),4.0)</f>
        <v>4</v>
      </c>
      <c r="F107" s="18" t="str">
        <f>IFERROR(__xludf.DUMMYFUNCTION("""COMPUTED_VALUE"""),"Not Assigned")</f>
        <v>Not Assigned</v>
      </c>
      <c r="G107" s="19">
        <f>IFERROR(__xludf.DUMMYFUNCTION("""COMPUTED_VALUE"""),45110.0)</f>
        <v>45110</v>
      </c>
      <c r="H107" s="18" t="str">
        <f>IFERROR(__xludf.DUMMYFUNCTION("""COMPUTED_VALUE"""),"UPI")</f>
        <v>UPI</v>
      </c>
      <c r="I107" s="18" t="str">
        <f>IFERROR(__xludf.DUMMYFUNCTION("""COMPUTED_VALUE"""),"Cancelled")</f>
        <v>Cancelled</v>
      </c>
      <c r="J107" s="18" t="str">
        <f>IFERROR(__xludf.DUMMYFUNCTION("""COMPUTED_VALUE"""),"Out of Stock")</f>
        <v>Out of Stock</v>
      </c>
      <c r="K107" s="18"/>
      <c r="L107" s="18">
        <f>iferror(VLOOKUP($D107,Details!$A$2:$C$11,2,false),vlookup($D107,Details!$E$2:$G$11,2,false))</f>
        <v>110</v>
      </c>
      <c r="M107" s="18" t="str">
        <f>iferror(VLOOKUP($D107,Details!$A$2:$C$11,3,false),vlookup($D107,Details!$E$2:$G$11,3,false))</f>
        <v>Snacks and Drinks</v>
      </c>
      <c r="N107" s="18">
        <f t="shared" si="1"/>
        <v>440</v>
      </c>
      <c r="O107" s="17"/>
      <c r="P107" s="17"/>
      <c r="Q107" s="17"/>
      <c r="R107" s="17"/>
      <c r="S107" s="17"/>
      <c r="T107" s="17"/>
      <c r="U107" s="17"/>
      <c r="V107" s="17"/>
      <c r="W107" s="17"/>
      <c r="X107" s="17"/>
      <c r="Y107" s="17"/>
      <c r="Z107" s="17"/>
    </row>
    <row r="108">
      <c r="A108" s="18" t="str">
        <f>IFERROR(__xludf.DUMMYFUNCTION("""COMPUTED_VALUE"""),"ord_10107")</f>
        <v>ord_10107</v>
      </c>
      <c r="B108" s="18" t="str">
        <f>IFERROR(__xludf.DUMMYFUNCTION("""COMPUTED_VALUE"""),"Sahil Desai")</f>
        <v>Sahil Desai</v>
      </c>
      <c r="C108" s="18" t="str">
        <f>IFERROR(__xludf.DUMMYFUNCTION("""COMPUTED_VALUE"""),"Lower Parel")</f>
        <v>Lower Parel</v>
      </c>
      <c r="D108" s="18" t="str">
        <f>IFERROR(__xludf.DUMMYFUNCTION("""COMPUTED_VALUE"""),"Veg Puff")</f>
        <v>Veg Puff</v>
      </c>
      <c r="E108" s="18">
        <f>IFERROR(__xludf.DUMMYFUNCTION("""COMPUTED_VALUE"""),5.0)</f>
        <v>5</v>
      </c>
      <c r="F108" s="18" t="str">
        <f>IFERROR(__xludf.DUMMYFUNCTION("""COMPUTED_VALUE"""),"Kiran Mehta")</f>
        <v>Kiran Mehta</v>
      </c>
      <c r="G108" s="19">
        <f>IFERROR(__xludf.DUMMYFUNCTION("""COMPUTED_VALUE"""),45118.0)</f>
        <v>45118</v>
      </c>
      <c r="H108" s="18" t="str">
        <f>IFERROR(__xludf.DUMMYFUNCTION("""COMPUTED_VALUE"""),"Online Payment")</f>
        <v>Online Payment</v>
      </c>
      <c r="I108" s="18" t="str">
        <f>IFERROR(__xludf.DUMMYFUNCTION("""COMPUTED_VALUE"""),"Delivered")</f>
        <v>Delivered</v>
      </c>
      <c r="J108" s="18" t="str">
        <f>IFERROR(__xludf.DUMMYFUNCTION("""COMPUTED_VALUE"""),"Satisfied with the Delivery")</f>
        <v>Satisfied with the Delivery</v>
      </c>
      <c r="K108" s="18" t="str">
        <f>IFERROR(__xludf.DUMMYFUNCTION("""COMPUTED_VALUE"""),"Timely and quality")</f>
        <v>Timely and quality</v>
      </c>
      <c r="L108" s="18">
        <f>iferror(VLOOKUP($D108,Details!$A$2:$C$11,2,false),vlookup($D108,Details!$E$2:$G$11,2,false))</f>
        <v>80</v>
      </c>
      <c r="M108" s="18" t="str">
        <f>iferror(VLOOKUP($D108,Details!$A$2:$C$11,3,false),vlookup($D108,Details!$E$2:$G$11,3,false))</f>
        <v>Snacks and Drinks</v>
      </c>
      <c r="N108" s="18">
        <f t="shared" si="1"/>
        <v>400</v>
      </c>
      <c r="O108" s="17"/>
      <c r="P108" s="17"/>
      <c r="Q108" s="17"/>
      <c r="R108" s="17"/>
      <c r="S108" s="17"/>
      <c r="T108" s="17"/>
      <c r="U108" s="17"/>
      <c r="V108" s="17"/>
      <c r="W108" s="17"/>
      <c r="X108" s="17"/>
      <c r="Y108" s="17"/>
      <c r="Z108" s="17"/>
    </row>
    <row r="109">
      <c r="A109" s="18" t="str">
        <f>IFERROR(__xludf.DUMMYFUNCTION("""COMPUTED_VALUE"""),"ord_13108")</f>
        <v>ord_13108</v>
      </c>
      <c r="B109" s="18" t="str">
        <f>IFERROR(__xludf.DUMMYFUNCTION("""COMPUTED_VALUE"""),"Riya Chakraborty")</f>
        <v>Riya Chakraborty</v>
      </c>
      <c r="C109" s="18" t="str">
        <f>IFERROR(__xludf.DUMMYFUNCTION("""COMPUTED_VALUE"""),"Juhu")</f>
        <v>Juhu</v>
      </c>
      <c r="D109" s="18" t="str">
        <f>IFERROR(__xludf.DUMMYFUNCTION("""COMPUTED_VALUE"""),"Chicken Puff")</f>
        <v>Chicken Puff</v>
      </c>
      <c r="E109" s="18">
        <f>IFERROR(__xludf.DUMMYFUNCTION("""COMPUTED_VALUE"""),2.0)</f>
        <v>2</v>
      </c>
      <c r="F109" s="18" t="str">
        <f>IFERROR(__xludf.DUMMYFUNCTION("""COMPUTED_VALUE"""),"Ram Gopal")</f>
        <v>Ram Gopal</v>
      </c>
      <c r="G109" s="19">
        <f>IFERROR(__xludf.DUMMYFUNCTION("""COMPUTED_VALUE"""),44970.0)</f>
        <v>44970</v>
      </c>
      <c r="H109" s="18" t="str">
        <f>IFERROR(__xludf.DUMMYFUNCTION("""COMPUTED_VALUE"""),"COD")</f>
        <v>COD</v>
      </c>
      <c r="I109" s="18" t="str">
        <f>IFERROR(__xludf.DUMMYFUNCTION("""COMPUTED_VALUE"""),"Delivered")</f>
        <v>Delivered</v>
      </c>
      <c r="J109" s="18" t="str">
        <f>IFERROR(__xludf.DUMMYFUNCTION("""COMPUTED_VALUE"""),"Customer Service")</f>
        <v>Customer Service</v>
      </c>
      <c r="K109" s="18" t="str">
        <f>IFERROR(__xludf.DUMMYFUNCTION("""COMPUTED_VALUE"""),"Seamless and easy")</f>
        <v>Seamless and easy</v>
      </c>
      <c r="L109" s="18">
        <f>iferror(VLOOKUP($D109,Details!$A$2:$C$11,2,false),vlookup($D109,Details!$E$2:$G$11,2,false))</f>
        <v>90</v>
      </c>
      <c r="M109" s="18" t="str">
        <f>iferror(VLOOKUP($D109,Details!$A$2:$C$11,3,false),vlookup($D109,Details!$E$2:$G$11,3,false))</f>
        <v>Snacks and Drinks</v>
      </c>
      <c r="N109" s="18">
        <f t="shared" si="1"/>
        <v>180</v>
      </c>
      <c r="O109" s="17"/>
      <c r="P109" s="17"/>
      <c r="Q109" s="17"/>
      <c r="R109" s="17"/>
      <c r="S109" s="17"/>
      <c r="T109" s="17"/>
      <c r="U109" s="17"/>
      <c r="V109" s="17"/>
      <c r="W109" s="17"/>
      <c r="X109" s="17"/>
      <c r="Y109" s="17"/>
      <c r="Z109" s="17"/>
    </row>
    <row r="110">
      <c r="A110" s="18" t="str">
        <f>IFERROR(__xludf.DUMMYFUNCTION("""COMPUTED_VALUE"""),"ord_10109")</f>
        <v>ord_10109</v>
      </c>
      <c r="B110" s="18" t="str">
        <f>IFERROR(__xludf.DUMMYFUNCTION("""COMPUTED_VALUE"""),"Pallavi Ghosh")</f>
        <v>Pallavi Ghosh</v>
      </c>
      <c r="C110" s="18" t="str">
        <f>IFERROR(__xludf.DUMMYFUNCTION("""COMPUTED_VALUE"""),"Bandra")</f>
        <v>Bandra</v>
      </c>
      <c r="D110" s="18" t="str">
        <f>IFERROR(__xludf.DUMMYFUNCTION("""COMPUTED_VALUE"""),"Juice")</f>
        <v>Juice</v>
      </c>
      <c r="E110" s="18">
        <f>IFERROR(__xludf.DUMMYFUNCTION("""COMPUTED_VALUE"""),4.0)</f>
        <v>4</v>
      </c>
      <c r="F110" s="18" t="str">
        <f>IFERROR(__xludf.DUMMYFUNCTION("""COMPUTED_VALUE"""),"Priya Joshi")</f>
        <v>Priya Joshi</v>
      </c>
      <c r="G110" s="19">
        <f>IFERROR(__xludf.DUMMYFUNCTION("""COMPUTED_VALUE"""),44943.0)</f>
        <v>44943</v>
      </c>
      <c r="H110" s="18" t="str">
        <f>IFERROR(__xludf.DUMMYFUNCTION("""COMPUTED_VALUE"""),"UPI")</f>
        <v>UPI</v>
      </c>
      <c r="I110" s="18" t="str">
        <f>IFERROR(__xludf.DUMMYFUNCTION("""COMPUTED_VALUE"""),"Cancelled")</f>
        <v>Cancelled</v>
      </c>
      <c r="J110" s="18" t="str">
        <f>IFERROR(__xludf.DUMMYFUNCTION("""COMPUTED_VALUE"""),"Delayed Delivery")</f>
        <v>Delayed Delivery</v>
      </c>
      <c r="K110" s="18" t="str">
        <f>IFERROR(__xludf.DUMMYFUNCTION("""COMPUTED_VALUE"""),"Heavy Traffic")</f>
        <v>Heavy Traffic</v>
      </c>
      <c r="L110" s="18">
        <f>iferror(VLOOKUP($D110,Details!$A$2:$C$11,2,false),vlookup($D110,Details!$E$2:$G$11,2,false))</f>
        <v>90</v>
      </c>
      <c r="M110" s="18" t="str">
        <f>iferror(VLOOKUP($D110,Details!$A$2:$C$11,3,false),vlookup($D110,Details!$E$2:$G$11,3,false))</f>
        <v>Snacks and Drinks</v>
      </c>
      <c r="N110" s="18">
        <f t="shared" si="1"/>
        <v>360</v>
      </c>
      <c r="O110" s="17"/>
      <c r="P110" s="17"/>
      <c r="Q110" s="17"/>
      <c r="R110" s="17"/>
      <c r="S110" s="17"/>
      <c r="T110" s="17"/>
      <c r="U110" s="17"/>
      <c r="V110" s="17"/>
      <c r="W110" s="17"/>
      <c r="X110" s="17"/>
      <c r="Y110" s="17"/>
      <c r="Z110" s="17"/>
    </row>
    <row r="111">
      <c r="A111" s="18" t="str">
        <f>IFERROR(__xludf.DUMMYFUNCTION("""COMPUTED_VALUE"""),"ord_10110")</f>
        <v>ord_10110</v>
      </c>
      <c r="B111" s="18" t="str">
        <f>IFERROR(__xludf.DUMMYFUNCTION("""COMPUTED_VALUE"""),"Aditi Iyer")</f>
        <v>Aditi Iyer</v>
      </c>
      <c r="C111" s="18" t="str">
        <f>IFERROR(__xludf.DUMMYFUNCTION("""COMPUTED_VALUE"""),"Dadar")</f>
        <v>Dadar</v>
      </c>
      <c r="D111" s="18" t="str">
        <f>IFERROR(__xludf.DUMMYFUNCTION("""COMPUTED_VALUE"""),"Cucumber")</f>
        <v>Cucumber</v>
      </c>
      <c r="E111" s="18">
        <f>IFERROR(__xludf.DUMMYFUNCTION("""COMPUTED_VALUE"""),2.0)</f>
        <v>2</v>
      </c>
      <c r="F111" s="18" t="str">
        <f>IFERROR(__xludf.DUMMYFUNCTION("""COMPUTED_VALUE"""),"Vivek Kumar")</f>
        <v>Vivek Kumar</v>
      </c>
      <c r="G111" s="19">
        <f>IFERROR(__xludf.DUMMYFUNCTION("""COMPUTED_VALUE"""),45133.0)</f>
        <v>45133</v>
      </c>
      <c r="H111" s="18" t="str">
        <f>IFERROR(__xludf.DUMMYFUNCTION("""COMPUTED_VALUE"""),"UPI")</f>
        <v>UPI</v>
      </c>
      <c r="I111" s="18" t="str">
        <f>IFERROR(__xludf.DUMMYFUNCTION("""COMPUTED_VALUE"""),"Delivered")</f>
        <v>Delivered</v>
      </c>
      <c r="J111" s="18" t="str">
        <f>IFERROR(__xludf.DUMMYFUNCTION("""COMPUTED_VALUE"""),"Delivery Experience")</f>
        <v>Delivery Experience</v>
      </c>
      <c r="K111" s="18" t="str">
        <f>IFERROR(__xludf.DUMMYFUNCTION("""COMPUTED_VALUE"""),"Quick and professional")</f>
        <v>Quick and professional</v>
      </c>
      <c r="L111" s="18">
        <f>iferror(VLOOKUP($D111,Details!$A$2:$C$11,2,false),vlookup($D111,Details!$E$2:$G$11,2,false))</f>
        <v>30</v>
      </c>
      <c r="M111" s="18" t="str">
        <f>iferror(VLOOKUP($D111,Details!$A$2:$C$11,3,false),vlookup($D111,Details!$E$2:$G$11,3,false))</f>
        <v>Fruits and Vegetables</v>
      </c>
      <c r="N111" s="18">
        <f t="shared" si="1"/>
        <v>60</v>
      </c>
      <c r="O111" s="17"/>
      <c r="P111" s="17"/>
      <c r="Q111" s="17"/>
      <c r="R111" s="17"/>
      <c r="S111" s="17"/>
      <c r="T111" s="17"/>
      <c r="U111" s="17"/>
      <c r="V111" s="17"/>
      <c r="W111" s="17"/>
      <c r="X111" s="17"/>
      <c r="Y111" s="17"/>
      <c r="Z111" s="17"/>
    </row>
    <row r="112">
      <c r="A112" s="18" t="str">
        <f>IFERROR(__xludf.DUMMYFUNCTION("""COMPUTED_VALUE"""),"ord_10111")</f>
        <v>ord_10111</v>
      </c>
      <c r="B112" s="18" t="str">
        <f>IFERROR(__xludf.DUMMYFUNCTION("""COMPUTED_VALUE"""),"Parth Goel")</f>
        <v>Parth Goel</v>
      </c>
      <c r="C112" s="18" t="str">
        <f>IFERROR(__xludf.DUMMYFUNCTION("""COMPUTED_VALUE"""),"Juhu")</f>
        <v>Juhu</v>
      </c>
      <c r="D112" s="18" t="str">
        <f>IFERROR(__xludf.DUMMYFUNCTION("""COMPUTED_VALUE"""),"Potato")</f>
        <v>Potato</v>
      </c>
      <c r="E112" s="18">
        <f>IFERROR(__xludf.DUMMYFUNCTION("""COMPUTED_VALUE"""),2.0)</f>
        <v>2</v>
      </c>
      <c r="F112" s="18" t="str">
        <f>IFERROR(__xludf.DUMMYFUNCTION("""COMPUTED_VALUE"""),"Manju Ajay")</f>
        <v>Manju Ajay</v>
      </c>
      <c r="G112" s="19">
        <f>IFERROR(__xludf.DUMMYFUNCTION("""COMPUTED_VALUE"""),45069.0)</f>
        <v>45069</v>
      </c>
      <c r="H112" s="18" t="str">
        <f>IFERROR(__xludf.DUMMYFUNCTION("""COMPUTED_VALUE"""),"UPI")</f>
        <v>UPI</v>
      </c>
      <c r="I112" s="18" t="str">
        <f>IFERROR(__xludf.DUMMYFUNCTION("""COMPUTED_VALUE"""),"Cancelled")</f>
        <v>Cancelled</v>
      </c>
      <c r="J112" s="18" t="str">
        <f>IFERROR(__xludf.DUMMYFUNCTION("""COMPUTED_VALUE"""),"Delayed Delivery")</f>
        <v>Delayed Delivery</v>
      </c>
      <c r="K112" s="18" t="str">
        <f>IFERROR(__xludf.DUMMYFUNCTION("""COMPUTED_VALUE"""),"Bad Weather Conditions")</f>
        <v>Bad Weather Conditions</v>
      </c>
      <c r="L112" s="18">
        <f>iferror(VLOOKUP($D112,Details!$A$2:$C$11,2,false),vlookup($D112,Details!$E$2:$G$11,2,false))</f>
        <v>55</v>
      </c>
      <c r="M112" s="18" t="str">
        <f>iferror(VLOOKUP($D112,Details!$A$2:$C$11,3,false),vlookup($D112,Details!$E$2:$G$11,3,false))</f>
        <v>Fruits and Vegetables</v>
      </c>
      <c r="N112" s="18">
        <f t="shared" si="1"/>
        <v>110</v>
      </c>
      <c r="O112" s="17"/>
      <c r="P112" s="17"/>
      <c r="Q112" s="17"/>
      <c r="R112" s="17"/>
      <c r="S112" s="17"/>
      <c r="T112" s="17"/>
      <c r="U112" s="17"/>
      <c r="V112" s="17"/>
      <c r="W112" s="17"/>
      <c r="X112" s="17"/>
      <c r="Y112" s="17"/>
      <c r="Z112" s="17"/>
    </row>
    <row r="113">
      <c r="A113" s="18" t="str">
        <f>IFERROR(__xludf.DUMMYFUNCTION("""COMPUTED_VALUE"""),"ord_10112")</f>
        <v>ord_10112</v>
      </c>
      <c r="B113" s="18" t="str">
        <f>IFERROR(__xludf.DUMMYFUNCTION("""COMPUTED_VALUE"""),"Dev Chauhan")</f>
        <v>Dev Chauhan</v>
      </c>
      <c r="C113" s="18" t="str">
        <f>IFERROR(__xludf.DUMMYFUNCTION("""COMPUTED_VALUE"""),"Bandra")</f>
        <v>Bandra</v>
      </c>
      <c r="D113" s="18" t="str">
        <f>IFERROR(__xludf.DUMMYFUNCTION("""COMPUTED_VALUE"""),"Chilli Cheese Toast")</f>
        <v>Chilli Cheese Toast</v>
      </c>
      <c r="E113" s="18">
        <f>IFERROR(__xludf.DUMMYFUNCTION("""COMPUTED_VALUE"""),5.0)</f>
        <v>5</v>
      </c>
      <c r="F113" s="18" t="str">
        <f>IFERROR(__xludf.DUMMYFUNCTION("""COMPUTED_VALUE"""),"Ramesh S")</f>
        <v>Ramesh S</v>
      </c>
      <c r="G113" s="19">
        <f>IFERROR(__xludf.DUMMYFUNCTION("""COMPUTED_VALUE"""),45257.0)</f>
        <v>45257</v>
      </c>
      <c r="H113" s="18" t="str">
        <f>IFERROR(__xludf.DUMMYFUNCTION("""COMPUTED_VALUE"""),"COD")</f>
        <v>COD</v>
      </c>
      <c r="I113" s="18" t="str">
        <f>IFERROR(__xludf.DUMMYFUNCTION("""COMPUTED_VALUE"""),"Delivered")</f>
        <v>Delivered</v>
      </c>
      <c r="J113" s="18" t="str">
        <f>IFERROR(__xludf.DUMMYFUNCTION("""COMPUTED_VALUE"""),"Convenience")</f>
        <v>Convenience</v>
      </c>
      <c r="K113" s="18" t="str">
        <f>IFERROR(__xludf.DUMMYFUNCTION("""COMPUTED_VALUE"""),"Easy tracking")</f>
        <v>Easy tracking</v>
      </c>
      <c r="L113" s="18">
        <f>iferror(VLOOKUP($D113,Details!$A$2:$C$11,2,false),vlookup($D113,Details!$E$2:$G$11,2,false))</f>
        <v>80</v>
      </c>
      <c r="M113" s="18" t="str">
        <f>iferror(VLOOKUP($D113,Details!$A$2:$C$11,3,false),vlookup($D113,Details!$E$2:$G$11,3,false))</f>
        <v>Snacks and Drinks</v>
      </c>
      <c r="N113" s="18">
        <f t="shared" si="1"/>
        <v>400</v>
      </c>
      <c r="O113" s="17"/>
      <c r="P113" s="17"/>
      <c r="Q113" s="17"/>
      <c r="R113" s="17"/>
      <c r="S113" s="17"/>
      <c r="T113" s="17"/>
      <c r="U113" s="17"/>
      <c r="V113" s="17"/>
      <c r="W113" s="17"/>
      <c r="X113" s="17"/>
      <c r="Y113" s="17"/>
      <c r="Z113" s="17"/>
    </row>
    <row r="114">
      <c r="A114" s="18" t="str">
        <f>IFERROR(__xludf.DUMMYFUNCTION("""COMPUTED_VALUE"""),"ord_10113")</f>
        <v>ord_10113</v>
      </c>
      <c r="B114" s="18" t="str">
        <f>IFERROR(__xludf.DUMMYFUNCTION("""COMPUTED_VALUE"""),"Mohit Malhotra")</f>
        <v>Mohit Malhotra</v>
      </c>
      <c r="C114" s="18" t="str">
        <f>IFERROR(__xludf.DUMMYFUNCTION("""COMPUTED_VALUE"""),"Lower Parel")</f>
        <v>Lower Parel</v>
      </c>
      <c r="D114" s="18" t="str">
        <f>IFERROR(__xludf.DUMMYFUNCTION("""COMPUTED_VALUE"""),"Cold Coffee")</f>
        <v>Cold Coffee</v>
      </c>
      <c r="E114" s="18">
        <f>IFERROR(__xludf.DUMMYFUNCTION("""COMPUTED_VALUE"""),2.0)</f>
        <v>2</v>
      </c>
      <c r="F114" s="18" t="str">
        <f>IFERROR(__xludf.DUMMYFUNCTION("""COMPUTED_VALUE"""),"Kiran Mehta")</f>
        <v>Kiran Mehta</v>
      </c>
      <c r="G114" s="19">
        <f>IFERROR(__xludf.DUMMYFUNCTION("""COMPUTED_VALUE"""),45176.0)</f>
        <v>45176</v>
      </c>
      <c r="H114" s="18" t="str">
        <f>IFERROR(__xludf.DUMMYFUNCTION("""COMPUTED_VALUE"""),"Credit Card")</f>
        <v>Credit Card</v>
      </c>
      <c r="I114" s="18" t="str">
        <f>IFERROR(__xludf.DUMMYFUNCTION("""COMPUTED_VALUE"""),"Delivered")</f>
        <v>Delivered</v>
      </c>
      <c r="J114" s="18" t="str">
        <f>IFERROR(__xludf.DUMMYFUNCTION("""COMPUTED_VALUE"""),"Overall Satisfaction")</f>
        <v>Overall Satisfaction</v>
      </c>
      <c r="K114" s="18" t="str">
        <f>IFERROR(__xludf.DUMMYFUNCTION("""COMPUTED_VALUE"""),"Great service will order again")</f>
        <v>Great service will order again</v>
      </c>
      <c r="L114" s="18">
        <f>iferror(VLOOKUP($D114,Details!$A$2:$C$11,2,false),vlookup($D114,Details!$E$2:$G$11,2,false))</f>
        <v>270</v>
      </c>
      <c r="M114" s="18" t="str">
        <f>iferror(VLOOKUP($D114,Details!$A$2:$C$11,3,false),vlookup($D114,Details!$E$2:$G$11,3,false))</f>
        <v>Snacks and Drinks</v>
      </c>
      <c r="N114" s="18">
        <f t="shared" si="1"/>
        <v>540</v>
      </c>
      <c r="O114" s="17"/>
      <c r="P114" s="17"/>
      <c r="Q114" s="17"/>
      <c r="R114" s="17"/>
      <c r="S114" s="17"/>
      <c r="T114" s="17"/>
      <c r="U114" s="17"/>
      <c r="V114" s="17"/>
      <c r="W114" s="17"/>
      <c r="X114" s="17"/>
      <c r="Y114" s="17"/>
      <c r="Z114" s="17"/>
    </row>
    <row r="115">
      <c r="A115" s="18" t="str">
        <f>IFERROR(__xludf.DUMMYFUNCTION("""COMPUTED_VALUE"""),"ord_10114")</f>
        <v>ord_10114</v>
      </c>
      <c r="B115" s="18" t="str">
        <f>IFERROR(__xludf.DUMMYFUNCTION("""COMPUTED_VALUE"""),"Aarohi Kapoor")</f>
        <v>Aarohi Kapoor</v>
      </c>
      <c r="C115" s="18" t="str">
        <f>IFERROR(__xludf.DUMMYFUNCTION("""COMPUTED_VALUE"""),"Bandra")</f>
        <v>Bandra</v>
      </c>
      <c r="D115" s="18" t="str">
        <f>IFERROR(__xludf.DUMMYFUNCTION("""COMPUTED_VALUE"""),"Cold Coffee")</f>
        <v>Cold Coffee</v>
      </c>
      <c r="E115" s="18">
        <f>IFERROR(__xludf.DUMMYFUNCTION("""COMPUTED_VALUE"""),5.0)</f>
        <v>5</v>
      </c>
      <c r="F115" s="18" t="str">
        <f>IFERROR(__xludf.DUMMYFUNCTION("""COMPUTED_VALUE"""),"Ram Gopal")</f>
        <v>Ram Gopal</v>
      </c>
      <c r="G115" s="19">
        <f>IFERROR(__xludf.DUMMYFUNCTION("""COMPUTED_VALUE"""),45209.0)</f>
        <v>45209</v>
      </c>
      <c r="H115" s="18" t="str">
        <f>IFERROR(__xludf.DUMMYFUNCTION("""COMPUTED_VALUE"""),"Online Payment")</f>
        <v>Online Payment</v>
      </c>
      <c r="I115" s="18" t="str">
        <f>IFERROR(__xludf.DUMMYFUNCTION("""COMPUTED_VALUE"""),"Delivered")</f>
        <v>Delivered</v>
      </c>
      <c r="J115" s="18" t="str">
        <f>IFERROR(__xludf.DUMMYFUNCTION("""COMPUTED_VALUE"""),"On-time Delivery")</f>
        <v>On-time Delivery</v>
      </c>
      <c r="K115" s="18" t="str">
        <f>IFERROR(__xludf.DUMMYFUNCTION("""COMPUTED_VALUE"""),"Delivered on time")</f>
        <v>Delivered on time</v>
      </c>
      <c r="L115" s="18">
        <f>iferror(VLOOKUP($D115,Details!$A$2:$C$11,2,false),vlookup($D115,Details!$E$2:$G$11,2,false))</f>
        <v>270</v>
      </c>
      <c r="M115" s="18" t="str">
        <f>iferror(VLOOKUP($D115,Details!$A$2:$C$11,3,false),vlookup($D115,Details!$E$2:$G$11,3,false))</f>
        <v>Snacks and Drinks</v>
      </c>
      <c r="N115" s="18">
        <f t="shared" si="1"/>
        <v>1350</v>
      </c>
      <c r="O115" s="17"/>
      <c r="P115" s="17"/>
      <c r="Q115" s="17"/>
      <c r="R115" s="17"/>
      <c r="S115" s="17"/>
      <c r="T115" s="17"/>
      <c r="U115" s="17"/>
      <c r="V115" s="17"/>
      <c r="W115" s="17"/>
      <c r="X115" s="17"/>
      <c r="Y115" s="17"/>
      <c r="Z115" s="17"/>
    </row>
    <row r="116">
      <c r="A116" s="18" t="str">
        <f>IFERROR(__xludf.DUMMYFUNCTION("""COMPUTED_VALUE"""),"ord_10115")</f>
        <v>ord_10115</v>
      </c>
      <c r="B116" s="18" t="str">
        <f>IFERROR(__xludf.DUMMYFUNCTION("""COMPUTED_VALUE"""),"Aarohi Kapoor")</f>
        <v>Aarohi Kapoor</v>
      </c>
      <c r="C116" s="18" t="str">
        <f>IFERROR(__xludf.DUMMYFUNCTION("""COMPUTED_VALUE"""),"Bandra")</f>
        <v>Bandra</v>
      </c>
      <c r="D116" s="18" t="str">
        <f>IFERROR(__xludf.DUMMYFUNCTION("""COMPUTED_VALUE"""),"Onion")</f>
        <v>Onion</v>
      </c>
      <c r="E116" s="18">
        <f>IFERROR(__xludf.DUMMYFUNCTION("""COMPUTED_VALUE"""),2.0)</f>
        <v>2</v>
      </c>
      <c r="F116" s="18" t="str">
        <f>IFERROR(__xludf.DUMMYFUNCTION("""COMPUTED_VALUE"""),"Vivek Kumar")</f>
        <v>Vivek Kumar</v>
      </c>
      <c r="G116" s="19">
        <f>IFERROR(__xludf.DUMMYFUNCTION("""COMPUTED_VALUE"""),45182.0)</f>
        <v>45182</v>
      </c>
      <c r="H116" s="18" t="str">
        <f>IFERROR(__xludf.DUMMYFUNCTION("""COMPUTED_VALUE"""),"UPI")</f>
        <v>UPI</v>
      </c>
      <c r="I116" s="18" t="str">
        <f>IFERROR(__xludf.DUMMYFUNCTION("""COMPUTED_VALUE"""),"Delivered")</f>
        <v>Delivered</v>
      </c>
      <c r="J116" s="18" t="str">
        <f>IFERROR(__xludf.DUMMYFUNCTION("""COMPUTED_VALUE"""),"Quality of Items")</f>
        <v>Quality of Items</v>
      </c>
      <c r="K116" s="18" t="str">
        <f>IFERROR(__xludf.DUMMYFUNCTION("""COMPUTED_VALUE"""),"Perfect condition")</f>
        <v>Perfect condition</v>
      </c>
      <c r="L116" s="18">
        <f>iferror(VLOOKUP($D116,Details!$A$2:$C$11,2,false),vlookup($D116,Details!$E$2:$G$11,2,false))</f>
        <v>84</v>
      </c>
      <c r="M116" s="18" t="str">
        <f>iferror(VLOOKUP($D116,Details!$A$2:$C$11,3,false),vlookup($D116,Details!$E$2:$G$11,3,false))</f>
        <v>Fruits and Vegetables</v>
      </c>
      <c r="N116" s="18">
        <f t="shared" si="1"/>
        <v>168</v>
      </c>
      <c r="O116" s="17"/>
      <c r="P116" s="17"/>
      <c r="Q116" s="17"/>
      <c r="R116" s="17"/>
      <c r="S116" s="17"/>
      <c r="T116" s="17"/>
      <c r="U116" s="17"/>
      <c r="V116" s="17"/>
      <c r="W116" s="17"/>
      <c r="X116" s="17"/>
      <c r="Y116" s="17"/>
      <c r="Z116" s="17"/>
    </row>
    <row r="117">
      <c r="A117" s="18" t="str">
        <f>IFERROR(__xludf.DUMMYFUNCTION("""COMPUTED_VALUE"""),"ord_10116")</f>
        <v>ord_10116</v>
      </c>
      <c r="B117" s="18" t="str">
        <f>IFERROR(__xludf.DUMMYFUNCTION("""COMPUTED_VALUE"""),"Aditi Iyer")</f>
        <v>Aditi Iyer</v>
      </c>
      <c r="C117" s="18" t="str">
        <f>IFERROR(__xludf.DUMMYFUNCTION("""COMPUTED_VALUE"""),"Dadar")</f>
        <v>Dadar</v>
      </c>
      <c r="D117" s="18" t="str">
        <f>IFERROR(__xludf.DUMMYFUNCTION("""COMPUTED_VALUE"""),"Cucumber")</f>
        <v>Cucumber</v>
      </c>
      <c r="E117" s="18">
        <f>IFERROR(__xludf.DUMMYFUNCTION("""COMPUTED_VALUE"""),1.0)</f>
        <v>1</v>
      </c>
      <c r="F117" s="18" t="str">
        <f>IFERROR(__xludf.DUMMYFUNCTION("""COMPUTED_VALUE"""),"Aman Kumar")</f>
        <v>Aman Kumar</v>
      </c>
      <c r="G117" s="19">
        <f>IFERROR(__xludf.DUMMYFUNCTION("""COMPUTED_VALUE"""),45175.0)</f>
        <v>45175</v>
      </c>
      <c r="H117" s="18" t="str">
        <f>IFERROR(__xludf.DUMMYFUNCTION("""COMPUTED_VALUE"""),"COD")</f>
        <v>COD</v>
      </c>
      <c r="I117" s="18" t="str">
        <f>IFERROR(__xludf.DUMMYFUNCTION("""COMPUTED_VALUE"""),"Delivered")</f>
        <v>Delivered</v>
      </c>
      <c r="J117" s="18" t="str">
        <f>IFERROR(__xludf.DUMMYFUNCTION("""COMPUTED_VALUE"""),"Packaging")</f>
        <v>Packaging</v>
      </c>
      <c r="K117" s="18" t="str">
        <f>IFERROR(__xludf.DUMMYFUNCTION("""COMPUTED_VALUE"""),"Secure and intact")</f>
        <v>Secure and intact</v>
      </c>
      <c r="L117" s="18">
        <f>iferror(VLOOKUP($D117,Details!$A$2:$C$11,2,false),vlookup($D117,Details!$E$2:$G$11,2,false))</f>
        <v>30</v>
      </c>
      <c r="M117" s="18" t="str">
        <f>iferror(VLOOKUP($D117,Details!$A$2:$C$11,3,false),vlookup($D117,Details!$E$2:$G$11,3,false))</f>
        <v>Fruits and Vegetables</v>
      </c>
      <c r="N117" s="18">
        <f t="shared" si="1"/>
        <v>30</v>
      </c>
      <c r="O117" s="17"/>
      <c r="P117" s="17"/>
      <c r="Q117" s="17"/>
      <c r="R117" s="17"/>
      <c r="S117" s="17"/>
      <c r="T117" s="17"/>
      <c r="U117" s="17"/>
      <c r="V117" s="17"/>
      <c r="W117" s="17"/>
      <c r="X117" s="17"/>
      <c r="Y117" s="17"/>
      <c r="Z117" s="17"/>
    </row>
    <row r="118">
      <c r="A118" s="18" t="str">
        <f>IFERROR(__xludf.DUMMYFUNCTION("""COMPUTED_VALUE"""),"ord_13117")</f>
        <v>ord_13117</v>
      </c>
      <c r="B118" s="18" t="str">
        <f>IFERROR(__xludf.DUMMYFUNCTION("""COMPUTED_VALUE"""),"Aditya Basu")</f>
        <v>Aditya Basu</v>
      </c>
      <c r="C118" s="18" t="str">
        <f>IFERROR(__xludf.DUMMYFUNCTION("""COMPUTED_VALUE"""),"Juhu")</f>
        <v>Juhu</v>
      </c>
      <c r="D118" s="18" t="str">
        <f>IFERROR(__xludf.DUMMYFUNCTION("""COMPUTED_VALUE"""),"Chilli Cheese Toast")</f>
        <v>Chilli Cheese Toast</v>
      </c>
      <c r="E118" s="18">
        <f>IFERROR(__xludf.DUMMYFUNCTION("""COMPUTED_VALUE"""),3.0)</f>
        <v>3</v>
      </c>
      <c r="F118" s="18" t="str">
        <f>IFERROR(__xludf.DUMMYFUNCTION("""COMPUTED_VALUE"""),"Not Assigned")</f>
        <v>Not Assigned</v>
      </c>
      <c r="G118" s="19">
        <f>IFERROR(__xludf.DUMMYFUNCTION("""COMPUTED_VALUE"""),45227.0)</f>
        <v>45227</v>
      </c>
      <c r="H118" s="18" t="str">
        <f>IFERROR(__xludf.DUMMYFUNCTION("""COMPUTED_VALUE"""),"Credit Card")</f>
        <v>Credit Card</v>
      </c>
      <c r="I118" s="18" t="str">
        <f>IFERROR(__xludf.DUMMYFUNCTION("""COMPUTED_VALUE"""),"Cancelled")</f>
        <v>Cancelled</v>
      </c>
      <c r="J118" s="18" t="str">
        <f>IFERROR(__xludf.DUMMYFUNCTION("""COMPUTED_VALUE"""),"High Delivery Fees")</f>
        <v>High Delivery Fees</v>
      </c>
      <c r="K118" s="18"/>
      <c r="L118" s="18">
        <f>iferror(VLOOKUP($D118,Details!$A$2:$C$11,2,false),vlookup($D118,Details!$E$2:$G$11,2,false))</f>
        <v>80</v>
      </c>
      <c r="M118" s="18" t="str">
        <f>iferror(VLOOKUP($D118,Details!$A$2:$C$11,3,false),vlookup($D118,Details!$E$2:$G$11,3,false))</f>
        <v>Snacks and Drinks</v>
      </c>
      <c r="N118" s="18">
        <f t="shared" si="1"/>
        <v>240</v>
      </c>
      <c r="O118" s="17"/>
      <c r="P118" s="17"/>
      <c r="Q118" s="17"/>
      <c r="R118" s="17"/>
      <c r="S118" s="17"/>
      <c r="T118" s="17"/>
      <c r="U118" s="17"/>
      <c r="V118" s="17"/>
      <c r="W118" s="17"/>
      <c r="X118" s="17"/>
      <c r="Y118" s="17"/>
      <c r="Z118" s="17"/>
    </row>
    <row r="119">
      <c r="A119" s="18" t="str">
        <f>IFERROR(__xludf.DUMMYFUNCTION("""COMPUTED_VALUE"""),"ord_10118")</f>
        <v>ord_10118</v>
      </c>
      <c r="B119" s="18" t="str">
        <f>IFERROR(__xludf.DUMMYFUNCTION("""COMPUTED_VALUE"""),"Aarohi Kapoor")</f>
        <v>Aarohi Kapoor</v>
      </c>
      <c r="C119" s="18" t="str">
        <f>IFERROR(__xludf.DUMMYFUNCTION("""COMPUTED_VALUE"""),"Bandra")</f>
        <v>Bandra</v>
      </c>
      <c r="D119" s="18" t="str">
        <f>IFERROR(__xludf.DUMMYFUNCTION("""COMPUTED_VALUE"""),"Rasmalai")</f>
        <v>Rasmalai</v>
      </c>
      <c r="E119" s="18">
        <f>IFERROR(__xludf.DUMMYFUNCTION("""COMPUTED_VALUE"""),1.0)</f>
        <v>1</v>
      </c>
      <c r="F119" s="18" t="str">
        <f>IFERROR(__xludf.DUMMYFUNCTION("""COMPUTED_VALUE"""),"Kiran Mehta")</f>
        <v>Kiran Mehta</v>
      </c>
      <c r="G119" s="19">
        <f>IFERROR(__xludf.DUMMYFUNCTION("""COMPUTED_VALUE"""),45067.0)</f>
        <v>45067</v>
      </c>
      <c r="H119" s="18" t="str">
        <f>IFERROR(__xludf.DUMMYFUNCTION("""COMPUTED_VALUE"""),"Credit Card")</f>
        <v>Credit Card</v>
      </c>
      <c r="I119" s="18" t="str">
        <f>IFERROR(__xludf.DUMMYFUNCTION("""COMPUTED_VALUE"""),"Cancelled")</f>
        <v>Cancelled</v>
      </c>
      <c r="J119" s="18" t="str">
        <f>IFERROR(__xludf.DUMMYFUNCTION("""COMPUTED_VALUE"""),"Delayed Delivery")</f>
        <v>Delayed Delivery</v>
      </c>
      <c r="K119" s="18" t="str">
        <f>IFERROR(__xludf.DUMMYFUNCTION("""COMPUTED_VALUE"""),"Heavy Traffic")</f>
        <v>Heavy Traffic</v>
      </c>
      <c r="L119" s="18">
        <f>iferror(VLOOKUP($D119,Details!$A$2:$C$11,2,false),vlookup($D119,Details!$E$2:$G$11,2,false))</f>
        <v>110</v>
      </c>
      <c r="M119" s="18" t="str">
        <f>iferror(VLOOKUP($D119,Details!$A$2:$C$11,3,false),vlookup($D119,Details!$E$2:$G$11,3,false))</f>
        <v>Snacks and Drinks</v>
      </c>
      <c r="N119" s="18">
        <f t="shared" si="1"/>
        <v>110</v>
      </c>
      <c r="O119" s="17"/>
      <c r="P119" s="17"/>
      <c r="Q119" s="17"/>
      <c r="R119" s="17"/>
      <c r="S119" s="17"/>
      <c r="T119" s="17"/>
      <c r="U119" s="17"/>
      <c r="V119" s="17"/>
      <c r="W119" s="17"/>
      <c r="X119" s="17"/>
      <c r="Y119" s="17"/>
      <c r="Z119" s="17"/>
    </row>
    <row r="120">
      <c r="A120" s="18" t="str">
        <f>IFERROR(__xludf.DUMMYFUNCTION("""COMPUTED_VALUE"""),"ord_10119")</f>
        <v>ord_10119</v>
      </c>
      <c r="B120" s="18" t="str">
        <f>IFERROR(__xludf.DUMMYFUNCTION("""COMPUTED_VALUE"""),"Pranav Joshi")</f>
        <v>Pranav Joshi</v>
      </c>
      <c r="C120" s="18" t="str">
        <f>IFERROR(__xludf.DUMMYFUNCTION("""COMPUTED_VALUE"""),"Andheri")</f>
        <v>Andheri</v>
      </c>
      <c r="D120" s="18" t="str">
        <f>IFERROR(__xludf.DUMMYFUNCTION("""COMPUTED_VALUE"""),"Popcorn")</f>
        <v>Popcorn</v>
      </c>
      <c r="E120" s="18">
        <f>IFERROR(__xludf.DUMMYFUNCTION("""COMPUTED_VALUE"""),4.0)</f>
        <v>4</v>
      </c>
      <c r="F120" s="18" t="str">
        <f>IFERROR(__xludf.DUMMYFUNCTION("""COMPUTED_VALUE"""),"Vivek Kumar")</f>
        <v>Vivek Kumar</v>
      </c>
      <c r="G120" s="19">
        <f>IFERROR(__xludf.DUMMYFUNCTION("""COMPUTED_VALUE"""),45194.0)</f>
        <v>45194</v>
      </c>
      <c r="H120" s="18" t="str">
        <f>IFERROR(__xludf.DUMMYFUNCTION("""COMPUTED_VALUE"""),"Online Payment")</f>
        <v>Online Payment</v>
      </c>
      <c r="I120" s="18" t="str">
        <f>IFERROR(__xludf.DUMMYFUNCTION("""COMPUTED_VALUE"""),"Cancelled")</f>
        <v>Cancelled</v>
      </c>
      <c r="J120" s="18" t="str">
        <f>IFERROR(__xludf.DUMMYFUNCTION("""COMPUTED_VALUE"""),"Delayed Delivery")</f>
        <v>Delayed Delivery</v>
      </c>
      <c r="K120" s="18" t="str">
        <f>IFERROR(__xludf.DUMMYFUNCTION("""COMPUTED_VALUE"""),"Traffic Accidents or Road Closures")</f>
        <v>Traffic Accidents or Road Closures</v>
      </c>
      <c r="L120" s="18">
        <f>iferror(VLOOKUP($D120,Details!$A$2:$C$11,2,false),vlookup($D120,Details!$E$2:$G$11,2,false))</f>
        <v>150</v>
      </c>
      <c r="M120" s="18" t="str">
        <f>iferror(VLOOKUP($D120,Details!$A$2:$C$11,3,false),vlookup($D120,Details!$E$2:$G$11,3,false))</f>
        <v>Snacks and Drinks</v>
      </c>
      <c r="N120" s="18">
        <f t="shared" si="1"/>
        <v>600</v>
      </c>
      <c r="O120" s="17"/>
      <c r="P120" s="17"/>
      <c r="Q120" s="17"/>
      <c r="R120" s="17"/>
      <c r="S120" s="17"/>
      <c r="T120" s="17"/>
      <c r="U120" s="17"/>
      <c r="V120" s="17"/>
      <c r="W120" s="17"/>
      <c r="X120" s="17"/>
      <c r="Y120" s="17"/>
      <c r="Z120" s="17"/>
    </row>
    <row r="121">
      <c r="A121" s="18" t="str">
        <f>IFERROR(__xludf.DUMMYFUNCTION("""COMPUTED_VALUE"""),"ord_10120")</f>
        <v>ord_10120</v>
      </c>
      <c r="B121" s="18" t="str">
        <f>IFERROR(__xludf.DUMMYFUNCTION("""COMPUTED_VALUE"""),"Shruti Aggarwal")</f>
        <v>Shruti Aggarwal</v>
      </c>
      <c r="C121" s="18" t="str">
        <f>IFERROR(__xludf.DUMMYFUNCTION("""COMPUTED_VALUE"""),"Colaba")</f>
        <v>Colaba</v>
      </c>
      <c r="D121" s="18" t="str">
        <f>IFERROR(__xludf.DUMMYFUNCTION("""COMPUTED_VALUE"""),"Onion")</f>
        <v>Onion</v>
      </c>
      <c r="E121" s="18">
        <f>IFERROR(__xludf.DUMMYFUNCTION("""COMPUTED_VALUE"""),3.0)</f>
        <v>3</v>
      </c>
      <c r="F121" s="18" t="str">
        <f>IFERROR(__xludf.DUMMYFUNCTION("""COMPUTED_VALUE"""),"Sita T")</f>
        <v>Sita T</v>
      </c>
      <c r="G121" s="19">
        <f>IFERROR(__xludf.DUMMYFUNCTION("""COMPUTED_VALUE"""),44936.0)</f>
        <v>44936</v>
      </c>
      <c r="H121" s="18" t="str">
        <f>IFERROR(__xludf.DUMMYFUNCTION("""COMPUTED_VALUE"""),"UPI")</f>
        <v>UPI</v>
      </c>
      <c r="I121" s="18" t="str">
        <f>IFERROR(__xludf.DUMMYFUNCTION("""COMPUTED_VALUE"""),"Delivered")</f>
        <v>Delivered</v>
      </c>
      <c r="J121" s="18" t="str">
        <f>IFERROR(__xludf.DUMMYFUNCTION("""COMPUTED_VALUE"""),"Satisfied with the Delivery")</f>
        <v>Satisfied with the Delivery</v>
      </c>
      <c r="K121" s="18" t="str">
        <f>IFERROR(__xludf.DUMMYFUNCTION("""COMPUTED_VALUE"""),"Timely and quality")</f>
        <v>Timely and quality</v>
      </c>
      <c r="L121" s="18">
        <f>iferror(VLOOKUP($D121,Details!$A$2:$C$11,2,false),vlookup($D121,Details!$E$2:$G$11,2,false))</f>
        <v>84</v>
      </c>
      <c r="M121" s="18" t="str">
        <f>iferror(VLOOKUP($D121,Details!$A$2:$C$11,3,false),vlookup($D121,Details!$E$2:$G$11,3,false))</f>
        <v>Fruits and Vegetables</v>
      </c>
      <c r="N121" s="18">
        <f t="shared" si="1"/>
        <v>252</v>
      </c>
      <c r="O121" s="17"/>
      <c r="P121" s="17"/>
      <c r="Q121" s="17"/>
      <c r="R121" s="17"/>
      <c r="S121" s="17"/>
      <c r="T121" s="17"/>
      <c r="U121" s="17"/>
      <c r="V121" s="17"/>
      <c r="W121" s="17"/>
      <c r="X121" s="17"/>
      <c r="Y121" s="17"/>
      <c r="Z121" s="17"/>
    </row>
    <row r="122">
      <c r="A122" s="18" t="str">
        <f>IFERROR(__xludf.DUMMYFUNCTION("""COMPUTED_VALUE"""),"ord_10121")</f>
        <v>ord_10121</v>
      </c>
      <c r="B122" s="18" t="str">
        <f>IFERROR(__xludf.DUMMYFUNCTION("""COMPUTED_VALUE"""),"Harsh Vardhan")</f>
        <v>Harsh Vardhan</v>
      </c>
      <c r="C122" s="18" t="str">
        <f>IFERROR(__xludf.DUMMYFUNCTION("""COMPUTED_VALUE"""),"Bandra")</f>
        <v>Bandra</v>
      </c>
      <c r="D122" s="18" t="str">
        <f>IFERROR(__xludf.DUMMYFUNCTION("""COMPUTED_VALUE"""),"Chicken Puff")</f>
        <v>Chicken Puff</v>
      </c>
      <c r="E122" s="18">
        <f>IFERROR(__xludf.DUMMYFUNCTION("""COMPUTED_VALUE"""),6.0)</f>
        <v>6</v>
      </c>
      <c r="F122" s="18" t="str">
        <f>IFERROR(__xludf.DUMMYFUNCTION("""COMPUTED_VALUE"""),"Nithin Lal")</f>
        <v>Nithin Lal</v>
      </c>
      <c r="G122" s="19">
        <f>IFERROR(__xludf.DUMMYFUNCTION("""COMPUTED_VALUE"""),44978.0)</f>
        <v>44978</v>
      </c>
      <c r="H122" s="18" t="str">
        <f>IFERROR(__xludf.DUMMYFUNCTION("""COMPUTED_VALUE"""),"Online Payment")</f>
        <v>Online Payment</v>
      </c>
      <c r="I122" s="18" t="str">
        <f>IFERROR(__xludf.DUMMYFUNCTION("""COMPUTED_VALUE"""),"Delivered")</f>
        <v>Delivered</v>
      </c>
      <c r="J122" s="18" t="str">
        <f>IFERROR(__xludf.DUMMYFUNCTION("""COMPUTED_VALUE"""),"Customer Service")</f>
        <v>Customer Service</v>
      </c>
      <c r="K122" s="18" t="str">
        <f>IFERROR(__xludf.DUMMYFUNCTION("""COMPUTED_VALUE"""),"Seamless and easy")</f>
        <v>Seamless and easy</v>
      </c>
      <c r="L122" s="18">
        <f>iferror(VLOOKUP($D122,Details!$A$2:$C$11,2,false),vlookup($D122,Details!$E$2:$G$11,2,false))</f>
        <v>90</v>
      </c>
      <c r="M122" s="18" t="str">
        <f>iferror(VLOOKUP($D122,Details!$A$2:$C$11,3,false),vlookup($D122,Details!$E$2:$G$11,3,false))</f>
        <v>Snacks and Drinks</v>
      </c>
      <c r="N122" s="18">
        <f t="shared" si="1"/>
        <v>540</v>
      </c>
      <c r="O122" s="17"/>
      <c r="P122" s="17"/>
      <c r="Q122" s="17"/>
      <c r="R122" s="17"/>
      <c r="S122" s="17"/>
      <c r="T122" s="17"/>
      <c r="U122" s="17"/>
      <c r="V122" s="17"/>
      <c r="W122" s="17"/>
      <c r="X122" s="17"/>
      <c r="Y122" s="17"/>
      <c r="Z122" s="17"/>
    </row>
    <row r="123">
      <c r="A123" s="18" t="str">
        <f>IFERROR(__xludf.DUMMYFUNCTION("""COMPUTED_VALUE"""),"ord_10122")</f>
        <v>ord_10122</v>
      </c>
      <c r="B123" s="18" t="str">
        <f>IFERROR(__xludf.DUMMYFUNCTION("""COMPUTED_VALUE"""),"Sana Malik")</f>
        <v>Sana Malik</v>
      </c>
      <c r="C123" s="18" t="str">
        <f>IFERROR(__xludf.DUMMYFUNCTION("""COMPUTED_VALUE"""),"Powai")</f>
        <v>Powai</v>
      </c>
      <c r="D123" s="18" t="str">
        <f>IFERROR(__xludf.DUMMYFUNCTION("""COMPUTED_VALUE"""),"Sweet Corn")</f>
        <v>Sweet Corn</v>
      </c>
      <c r="E123" s="18">
        <f>IFERROR(__xludf.DUMMYFUNCTION("""COMPUTED_VALUE"""),3.0)</f>
        <v>3</v>
      </c>
      <c r="F123" s="18" t="str">
        <f>IFERROR(__xludf.DUMMYFUNCTION("""COMPUTED_VALUE"""),"Vivek Kumar")</f>
        <v>Vivek Kumar</v>
      </c>
      <c r="G123" s="19">
        <f>IFERROR(__xludf.DUMMYFUNCTION("""COMPUTED_VALUE"""),45121.0)</f>
        <v>45121</v>
      </c>
      <c r="H123" s="18" t="str">
        <f>IFERROR(__xludf.DUMMYFUNCTION("""COMPUTED_VALUE"""),"Online Payment")</f>
        <v>Online Payment</v>
      </c>
      <c r="I123" s="18" t="str">
        <f>IFERROR(__xludf.DUMMYFUNCTION("""COMPUTED_VALUE"""),"Delivered")</f>
        <v>Delivered</v>
      </c>
      <c r="J123" s="18" t="str">
        <f>IFERROR(__xludf.DUMMYFUNCTION("""COMPUTED_VALUE"""),"Delivery Experience")</f>
        <v>Delivery Experience</v>
      </c>
      <c r="K123" s="18" t="str">
        <f>IFERROR(__xludf.DUMMYFUNCTION("""COMPUTED_VALUE"""),"Quick and professional")</f>
        <v>Quick and professional</v>
      </c>
      <c r="L123" s="18">
        <f>iferror(VLOOKUP($D123,Details!$A$2:$C$11,2,false),vlookup($D123,Details!$E$2:$G$11,2,false))</f>
        <v>60</v>
      </c>
      <c r="M123" s="18" t="str">
        <f>iferror(VLOOKUP($D123,Details!$A$2:$C$11,3,false),vlookup($D123,Details!$E$2:$G$11,3,false))</f>
        <v>Fruits and Vegetables</v>
      </c>
      <c r="N123" s="18">
        <f t="shared" si="1"/>
        <v>180</v>
      </c>
      <c r="O123" s="17"/>
      <c r="P123" s="17"/>
      <c r="Q123" s="17"/>
      <c r="R123" s="17"/>
      <c r="S123" s="17"/>
      <c r="T123" s="17"/>
      <c r="U123" s="17"/>
      <c r="V123" s="17"/>
      <c r="W123" s="17"/>
      <c r="X123" s="17"/>
      <c r="Y123" s="17"/>
      <c r="Z123" s="17"/>
    </row>
    <row r="124">
      <c r="A124" s="18" t="str">
        <f>IFERROR(__xludf.DUMMYFUNCTION("""COMPUTED_VALUE"""),"ord_10123")</f>
        <v>ord_10123</v>
      </c>
      <c r="B124" s="18" t="str">
        <f>IFERROR(__xludf.DUMMYFUNCTION("""COMPUTED_VALUE"""),"Yash Verma")</f>
        <v>Yash Verma</v>
      </c>
      <c r="C124" s="18" t="str">
        <f>IFERROR(__xludf.DUMMYFUNCTION("""COMPUTED_VALUE"""),"Lower Parel")</f>
        <v>Lower Parel</v>
      </c>
      <c r="D124" s="18" t="str">
        <f>IFERROR(__xludf.DUMMYFUNCTION("""COMPUTED_VALUE"""),"Papaya")</f>
        <v>Papaya</v>
      </c>
      <c r="E124" s="18">
        <f>IFERROR(__xludf.DUMMYFUNCTION("""COMPUTED_VALUE"""),2.0)</f>
        <v>2</v>
      </c>
      <c r="F124" s="18" t="str">
        <f>IFERROR(__xludf.DUMMYFUNCTION("""COMPUTED_VALUE"""),"Venu R")</f>
        <v>Venu R</v>
      </c>
      <c r="G124" s="19">
        <f>IFERROR(__xludf.DUMMYFUNCTION("""COMPUTED_VALUE"""),45209.0)</f>
        <v>45209</v>
      </c>
      <c r="H124" s="18" t="str">
        <f>IFERROR(__xludf.DUMMYFUNCTION("""COMPUTED_VALUE"""),"UPI")</f>
        <v>UPI</v>
      </c>
      <c r="I124" s="18" t="str">
        <f>IFERROR(__xludf.DUMMYFUNCTION("""COMPUTED_VALUE"""),"Delivered")</f>
        <v>Delivered</v>
      </c>
      <c r="J124" s="18" t="str">
        <f>IFERROR(__xludf.DUMMYFUNCTION("""COMPUTED_VALUE"""),"Convenience")</f>
        <v>Convenience</v>
      </c>
      <c r="K124" s="18" t="str">
        <f>IFERROR(__xludf.DUMMYFUNCTION("""COMPUTED_VALUE"""),"Easy tracking")</f>
        <v>Easy tracking</v>
      </c>
      <c r="L124" s="18">
        <f>iferror(VLOOKUP($D124,Details!$A$2:$C$11,2,false),vlookup($D124,Details!$E$2:$G$11,2,false))</f>
        <v>75</v>
      </c>
      <c r="M124" s="18" t="str">
        <f>iferror(VLOOKUP($D124,Details!$A$2:$C$11,3,false),vlookup($D124,Details!$E$2:$G$11,3,false))</f>
        <v>Fruits and Vegetables</v>
      </c>
      <c r="N124" s="18">
        <f t="shared" si="1"/>
        <v>150</v>
      </c>
      <c r="O124" s="17"/>
      <c r="P124" s="17"/>
      <c r="Q124" s="17"/>
      <c r="R124" s="17"/>
      <c r="S124" s="17"/>
      <c r="T124" s="17"/>
      <c r="U124" s="17"/>
      <c r="V124" s="17"/>
      <c r="W124" s="17"/>
      <c r="X124" s="17"/>
      <c r="Y124" s="17"/>
      <c r="Z124" s="17"/>
    </row>
    <row r="125">
      <c r="A125" s="18" t="str">
        <f>IFERROR(__xludf.DUMMYFUNCTION("""COMPUTED_VALUE"""),"ord_10124")</f>
        <v>ord_10124</v>
      </c>
      <c r="B125" s="18" t="str">
        <f>IFERROR(__xludf.DUMMYFUNCTION("""COMPUTED_VALUE"""),"Leena Das")</f>
        <v>Leena Das</v>
      </c>
      <c r="C125" s="18" t="str">
        <f>IFERROR(__xludf.DUMMYFUNCTION("""COMPUTED_VALUE"""),"Andheri")</f>
        <v>Andheri</v>
      </c>
      <c r="D125" s="18" t="str">
        <f>IFERROR(__xludf.DUMMYFUNCTION("""COMPUTED_VALUE"""),"Orange")</f>
        <v>Orange</v>
      </c>
      <c r="E125" s="18">
        <f>IFERROR(__xludf.DUMMYFUNCTION("""COMPUTED_VALUE"""),2.0)</f>
        <v>2</v>
      </c>
      <c r="F125" s="18" t="str">
        <f>IFERROR(__xludf.DUMMYFUNCTION("""COMPUTED_VALUE"""),"Rohan Yadav")</f>
        <v>Rohan Yadav</v>
      </c>
      <c r="G125" s="19">
        <f>IFERROR(__xludf.DUMMYFUNCTION("""COMPUTED_VALUE"""),45157.0)</f>
        <v>45157</v>
      </c>
      <c r="H125" s="18" t="str">
        <f>IFERROR(__xludf.DUMMYFUNCTION("""COMPUTED_VALUE"""),"COD")</f>
        <v>COD</v>
      </c>
      <c r="I125" s="18" t="str">
        <f>IFERROR(__xludf.DUMMYFUNCTION("""COMPUTED_VALUE"""),"Delivered")</f>
        <v>Delivered</v>
      </c>
      <c r="J125" s="18" t="str">
        <f>IFERROR(__xludf.DUMMYFUNCTION("""COMPUTED_VALUE"""),"Overall Satisfaction")</f>
        <v>Overall Satisfaction</v>
      </c>
      <c r="K125" s="18" t="str">
        <f>IFERROR(__xludf.DUMMYFUNCTION("""COMPUTED_VALUE"""),"Great service will order again")</f>
        <v>Great service will order again</v>
      </c>
      <c r="L125" s="18">
        <f>iferror(VLOOKUP($D125,Details!$A$2:$C$11,2,false),vlookup($D125,Details!$E$2:$G$11,2,false))</f>
        <v>180</v>
      </c>
      <c r="M125" s="18" t="str">
        <f>iferror(VLOOKUP($D125,Details!$A$2:$C$11,3,false),vlookup($D125,Details!$E$2:$G$11,3,false))</f>
        <v>Fruits and Vegetables</v>
      </c>
      <c r="N125" s="18">
        <f t="shared" si="1"/>
        <v>360</v>
      </c>
      <c r="O125" s="17"/>
      <c r="P125" s="17"/>
      <c r="Q125" s="17"/>
      <c r="R125" s="17"/>
      <c r="S125" s="17"/>
      <c r="T125" s="17"/>
      <c r="U125" s="17"/>
      <c r="V125" s="17"/>
      <c r="W125" s="17"/>
      <c r="X125" s="17"/>
      <c r="Y125" s="17"/>
      <c r="Z125" s="17"/>
    </row>
    <row r="126">
      <c r="A126" s="18" t="str">
        <f>IFERROR(__xludf.DUMMYFUNCTION("""COMPUTED_VALUE"""),"ord_10125")</f>
        <v>ord_10125</v>
      </c>
      <c r="B126" s="18" t="str">
        <f>IFERROR(__xludf.DUMMYFUNCTION("""COMPUTED_VALUE"""),"Shruti Aggarwal")</f>
        <v>Shruti Aggarwal</v>
      </c>
      <c r="C126" s="18" t="str">
        <f>IFERROR(__xludf.DUMMYFUNCTION("""COMPUTED_VALUE"""),"Colaba")</f>
        <v>Colaba</v>
      </c>
      <c r="D126" s="18" t="str">
        <f>IFERROR(__xludf.DUMMYFUNCTION("""COMPUTED_VALUE"""),"Icecream")</f>
        <v>Icecream</v>
      </c>
      <c r="E126" s="18">
        <f>IFERROR(__xludf.DUMMYFUNCTION("""COMPUTED_VALUE"""),8.0)</f>
        <v>8</v>
      </c>
      <c r="F126" s="18" t="str">
        <f>IFERROR(__xludf.DUMMYFUNCTION("""COMPUTED_VALUE"""),"Sita T")</f>
        <v>Sita T</v>
      </c>
      <c r="G126" s="19">
        <f>IFERROR(__xludf.DUMMYFUNCTION("""COMPUTED_VALUE"""),44953.0)</f>
        <v>44953</v>
      </c>
      <c r="H126" s="18" t="str">
        <f>IFERROR(__xludf.DUMMYFUNCTION("""COMPUTED_VALUE"""),"Credit Card")</f>
        <v>Credit Card</v>
      </c>
      <c r="I126" s="18" t="str">
        <f>IFERROR(__xludf.DUMMYFUNCTION("""COMPUTED_VALUE"""),"Delivered")</f>
        <v>Delivered</v>
      </c>
      <c r="J126" s="18" t="str">
        <f>IFERROR(__xludf.DUMMYFUNCTION("""COMPUTED_VALUE"""),"On-time Delivery")</f>
        <v>On-time Delivery</v>
      </c>
      <c r="K126" s="18" t="str">
        <f>IFERROR(__xludf.DUMMYFUNCTION("""COMPUTED_VALUE"""),"Delivered on time")</f>
        <v>Delivered on time</v>
      </c>
      <c r="L126" s="18">
        <f>iferror(VLOOKUP($D126,Details!$A$2:$C$11,2,false),vlookup($D126,Details!$E$2:$G$11,2,false))</f>
        <v>90</v>
      </c>
      <c r="M126" s="18" t="str">
        <f>iferror(VLOOKUP($D126,Details!$A$2:$C$11,3,false),vlookup($D126,Details!$E$2:$G$11,3,false))</f>
        <v>Snacks and Drinks</v>
      </c>
      <c r="N126" s="18">
        <f t="shared" si="1"/>
        <v>720</v>
      </c>
      <c r="O126" s="17"/>
      <c r="P126" s="17"/>
      <c r="Q126" s="17"/>
      <c r="R126" s="17"/>
      <c r="S126" s="17"/>
      <c r="T126" s="17"/>
      <c r="U126" s="17"/>
      <c r="V126" s="17"/>
      <c r="W126" s="17"/>
      <c r="X126" s="17"/>
      <c r="Y126" s="17"/>
      <c r="Z126" s="17"/>
    </row>
    <row r="127">
      <c r="A127" s="18" t="str">
        <f>IFERROR(__xludf.DUMMYFUNCTION("""COMPUTED_VALUE"""),"ord_13126")</f>
        <v>ord_13126</v>
      </c>
      <c r="B127" s="18" t="str">
        <f>IFERROR(__xludf.DUMMYFUNCTION("""COMPUTED_VALUE"""),"Omkar Mishra")</f>
        <v>Omkar Mishra</v>
      </c>
      <c r="C127" s="18" t="str">
        <f>IFERROR(__xludf.DUMMYFUNCTION("""COMPUTED_VALUE"""),"Powai")</f>
        <v>Powai</v>
      </c>
      <c r="D127" s="18" t="str">
        <f>IFERROR(__xludf.DUMMYFUNCTION("""COMPUTED_VALUE"""),"Cold Coffee")</f>
        <v>Cold Coffee</v>
      </c>
      <c r="E127" s="18">
        <f>IFERROR(__xludf.DUMMYFUNCTION("""COMPUTED_VALUE"""),2.0)</f>
        <v>2</v>
      </c>
      <c r="F127" s="18" t="str">
        <f>IFERROR(__xludf.DUMMYFUNCTION("""COMPUTED_VALUE"""),"Neha Shah")</f>
        <v>Neha Shah</v>
      </c>
      <c r="G127" s="19">
        <f>IFERROR(__xludf.DUMMYFUNCTION("""COMPUTED_VALUE"""),45129.0)</f>
        <v>45129</v>
      </c>
      <c r="H127" s="18" t="str">
        <f>IFERROR(__xludf.DUMMYFUNCTION("""COMPUTED_VALUE"""),"Online Payment")</f>
        <v>Online Payment</v>
      </c>
      <c r="I127" s="18" t="str">
        <f>IFERROR(__xludf.DUMMYFUNCTION("""COMPUTED_VALUE"""),"Cancelled")</f>
        <v>Cancelled</v>
      </c>
      <c r="J127" s="18" t="str">
        <f>IFERROR(__xludf.DUMMYFUNCTION("""COMPUTED_VALUE"""),"Delayed Delivery")</f>
        <v>Delayed Delivery</v>
      </c>
      <c r="K127" s="18" t="str">
        <f>IFERROR(__xludf.DUMMYFUNCTION("""COMPUTED_VALUE"""),"Heavy Traffic")</f>
        <v>Heavy Traffic</v>
      </c>
      <c r="L127" s="18">
        <f>iferror(VLOOKUP($D127,Details!$A$2:$C$11,2,false),vlookup($D127,Details!$E$2:$G$11,2,false))</f>
        <v>270</v>
      </c>
      <c r="M127" s="18" t="str">
        <f>iferror(VLOOKUP($D127,Details!$A$2:$C$11,3,false),vlookup($D127,Details!$E$2:$G$11,3,false))</f>
        <v>Snacks and Drinks</v>
      </c>
      <c r="N127" s="18">
        <f t="shared" si="1"/>
        <v>540</v>
      </c>
      <c r="O127" s="17"/>
      <c r="P127" s="17"/>
      <c r="Q127" s="17"/>
      <c r="R127" s="17"/>
      <c r="S127" s="17"/>
      <c r="T127" s="17"/>
      <c r="U127" s="17"/>
      <c r="V127" s="17"/>
      <c r="W127" s="17"/>
      <c r="X127" s="17"/>
      <c r="Y127" s="17"/>
      <c r="Z127" s="17"/>
    </row>
    <row r="128">
      <c r="A128" s="18" t="str">
        <f>IFERROR(__xludf.DUMMYFUNCTION("""COMPUTED_VALUE"""),"ord_10127")</f>
        <v>ord_10127</v>
      </c>
      <c r="B128" s="18" t="str">
        <f>IFERROR(__xludf.DUMMYFUNCTION("""COMPUTED_VALUE"""),"Siya Reddy")</f>
        <v>Siya Reddy</v>
      </c>
      <c r="C128" s="18" t="str">
        <f>IFERROR(__xludf.DUMMYFUNCTION("""COMPUTED_VALUE"""),"Juhu")</f>
        <v>Juhu</v>
      </c>
      <c r="D128" s="18" t="str">
        <f>IFERROR(__xludf.DUMMYFUNCTION("""COMPUTED_VALUE"""),"Orange")</f>
        <v>Orange</v>
      </c>
      <c r="E128" s="18">
        <f>IFERROR(__xludf.DUMMYFUNCTION("""COMPUTED_VALUE"""),2.0)</f>
        <v>2</v>
      </c>
      <c r="F128" s="18" t="str">
        <f>IFERROR(__xludf.DUMMYFUNCTION("""COMPUTED_VALUE"""),"Venu R")</f>
        <v>Venu R</v>
      </c>
      <c r="G128" s="19">
        <f>IFERROR(__xludf.DUMMYFUNCTION("""COMPUTED_VALUE"""),45245.0)</f>
        <v>45245</v>
      </c>
      <c r="H128" s="18" t="str">
        <f>IFERROR(__xludf.DUMMYFUNCTION("""COMPUTED_VALUE"""),"Online Payment")</f>
        <v>Online Payment</v>
      </c>
      <c r="I128" s="18" t="str">
        <f>IFERROR(__xludf.DUMMYFUNCTION("""COMPUTED_VALUE"""),"Cancelled")</f>
        <v>Cancelled</v>
      </c>
      <c r="J128" s="18" t="str">
        <f>IFERROR(__xludf.DUMMYFUNCTION("""COMPUTED_VALUE"""),"Delayed Delivery")</f>
        <v>Delayed Delivery</v>
      </c>
      <c r="K128" s="18" t="str">
        <f>IFERROR(__xludf.DUMMYFUNCTION("""COMPUTED_VALUE"""),"Vehicle Breakdown")</f>
        <v>Vehicle Breakdown</v>
      </c>
      <c r="L128" s="18">
        <f>iferror(VLOOKUP($D128,Details!$A$2:$C$11,2,false),vlookup($D128,Details!$E$2:$G$11,2,false))</f>
        <v>180</v>
      </c>
      <c r="M128" s="18" t="str">
        <f>iferror(VLOOKUP($D128,Details!$A$2:$C$11,3,false),vlookup($D128,Details!$E$2:$G$11,3,false))</f>
        <v>Fruits and Vegetables</v>
      </c>
      <c r="N128" s="18">
        <f t="shared" si="1"/>
        <v>360</v>
      </c>
      <c r="O128" s="17"/>
      <c r="P128" s="17"/>
      <c r="Q128" s="17"/>
      <c r="R128" s="17"/>
      <c r="S128" s="17"/>
      <c r="T128" s="17"/>
      <c r="U128" s="17"/>
      <c r="V128" s="17"/>
      <c r="W128" s="17"/>
      <c r="X128" s="17"/>
      <c r="Y128" s="17"/>
      <c r="Z128" s="17"/>
    </row>
    <row r="129">
      <c r="A129" s="18" t="str">
        <f>IFERROR(__xludf.DUMMYFUNCTION("""COMPUTED_VALUE"""),"ord_10128")</f>
        <v>ord_10128</v>
      </c>
      <c r="B129" s="18" t="str">
        <f>IFERROR(__xludf.DUMMYFUNCTION("""COMPUTED_VALUE"""),"Pranav Joshi")</f>
        <v>Pranav Joshi</v>
      </c>
      <c r="C129" s="18" t="str">
        <f>IFERROR(__xludf.DUMMYFUNCTION("""COMPUTED_VALUE"""),"Andheri")</f>
        <v>Andheri</v>
      </c>
      <c r="D129" s="18" t="str">
        <f>IFERROR(__xludf.DUMMYFUNCTION("""COMPUTED_VALUE"""),"Tomato")</f>
        <v>Tomato</v>
      </c>
      <c r="E129" s="18">
        <f>IFERROR(__xludf.DUMMYFUNCTION("""COMPUTED_VALUE"""),1.0)</f>
        <v>1</v>
      </c>
      <c r="F129" s="18" t="str">
        <f>IFERROR(__xludf.DUMMYFUNCTION("""COMPUTED_VALUE"""),"Ramesh S")</f>
        <v>Ramesh S</v>
      </c>
      <c r="G129" s="19">
        <f>IFERROR(__xludf.DUMMYFUNCTION("""COMPUTED_VALUE"""),45157.0)</f>
        <v>45157</v>
      </c>
      <c r="H129" s="18" t="str">
        <f>IFERROR(__xludf.DUMMYFUNCTION("""COMPUTED_VALUE"""),"Credit Card")</f>
        <v>Credit Card</v>
      </c>
      <c r="I129" s="18" t="str">
        <f>IFERROR(__xludf.DUMMYFUNCTION("""COMPUTED_VALUE"""),"Delivered")</f>
        <v>Delivered</v>
      </c>
      <c r="J129" s="18" t="str">
        <f>IFERROR(__xludf.DUMMYFUNCTION("""COMPUTED_VALUE"""),"Quality of Items")</f>
        <v>Quality of Items</v>
      </c>
      <c r="K129" s="18" t="str">
        <f>IFERROR(__xludf.DUMMYFUNCTION("""COMPUTED_VALUE"""),"Perfect condition")</f>
        <v>Perfect condition</v>
      </c>
      <c r="L129" s="18">
        <f>iferror(VLOOKUP($D129,Details!$A$2:$C$11,2,false),vlookup($D129,Details!$E$2:$G$11,2,false))</f>
        <v>25</v>
      </c>
      <c r="M129" s="18" t="str">
        <f>iferror(VLOOKUP($D129,Details!$A$2:$C$11,3,false),vlookup($D129,Details!$E$2:$G$11,3,false))</f>
        <v>Fruits and Vegetables</v>
      </c>
      <c r="N129" s="18">
        <f t="shared" si="1"/>
        <v>25</v>
      </c>
      <c r="O129" s="17"/>
      <c r="P129" s="17"/>
      <c r="Q129" s="17"/>
      <c r="R129" s="17"/>
      <c r="S129" s="17"/>
      <c r="T129" s="17"/>
      <c r="U129" s="17"/>
      <c r="V129" s="17"/>
      <c r="W129" s="17"/>
      <c r="X129" s="17"/>
      <c r="Y129" s="17"/>
      <c r="Z129" s="17"/>
    </row>
    <row r="130">
      <c r="A130" s="18" t="str">
        <f>IFERROR(__xludf.DUMMYFUNCTION("""COMPUTED_VALUE"""),"ord_10129")</f>
        <v>ord_10129</v>
      </c>
      <c r="B130" s="18" t="str">
        <f>IFERROR(__xludf.DUMMYFUNCTION("""COMPUTED_VALUE"""),"Mehul Thakkar")</f>
        <v>Mehul Thakkar</v>
      </c>
      <c r="C130" s="18" t="str">
        <f>IFERROR(__xludf.DUMMYFUNCTION("""COMPUTED_VALUE"""),"Malad")</f>
        <v>Malad</v>
      </c>
      <c r="D130" s="18" t="str">
        <f>IFERROR(__xludf.DUMMYFUNCTION("""COMPUTED_VALUE"""),"Banana")</f>
        <v>Banana</v>
      </c>
      <c r="E130" s="18">
        <f>IFERROR(__xludf.DUMMYFUNCTION("""COMPUTED_VALUE"""),2.0)</f>
        <v>2</v>
      </c>
      <c r="F130" s="18" t="str">
        <f>IFERROR(__xludf.DUMMYFUNCTION("""COMPUTED_VALUE"""),"Kiran Mehta")</f>
        <v>Kiran Mehta</v>
      </c>
      <c r="G130" s="19">
        <f>IFERROR(__xludf.DUMMYFUNCTION("""COMPUTED_VALUE"""),45228.0)</f>
        <v>45228</v>
      </c>
      <c r="H130" s="18" t="str">
        <f>IFERROR(__xludf.DUMMYFUNCTION("""COMPUTED_VALUE"""),"Credit Card")</f>
        <v>Credit Card</v>
      </c>
      <c r="I130" s="18" t="str">
        <f>IFERROR(__xludf.DUMMYFUNCTION("""COMPUTED_VALUE"""),"Cancelled")</f>
        <v>Cancelled</v>
      </c>
      <c r="J130" s="18" t="str">
        <f>IFERROR(__xludf.DUMMYFUNCTION("""COMPUTED_VALUE"""),"Delayed Delivery")</f>
        <v>Delayed Delivery</v>
      </c>
      <c r="K130" s="18" t="str">
        <f>IFERROR(__xludf.DUMMYFUNCTION("""COMPUTED_VALUE"""),"Heavy Traffic")</f>
        <v>Heavy Traffic</v>
      </c>
      <c r="L130" s="18">
        <f>iferror(VLOOKUP($D130,Details!$A$2:$C$11,2,false),vlookup($D130,Details!$E$2:$G$11,2,false))</f>
        <v>80</v>
      </c>
      <c r="M130" s="18" t="str">
        <f>iferror(VLOOKUP($D130,Details!$A$2:$C$11,3,false),vlookup($D130,Details!$E$2:$G$11,3,false))</f>
        <v>Fruits and Vegetables</v>
      </c>
      <c r="N130" s="18">
        <f t="shared" si="1"/>
        <v>160</v>
      </c>
      <c r="O130" s="17"/>
      <c r="P130" s="17"/>
      <c r="Q130" s="17"/>
      <c r="R130" s="17"/>
      <c r="S130" s="17"/>
      <c r="T130" s="17"/>
      <c r="U130" s="17"/>
      <c r="V130" s="17"/>
      <c r="W130" s="17"/>
      <c r="X130" s="17"/>
      <c r="Y130" s="17"/>
      <c r="Z130" s="17"/>
    </row>
    <row r="131">
      <c r="A131" s="18" t="str">
        <f>IFERROR(__xludf.DUMMYFUNCTION("""COMPUTED_VALUE"""),"ord_10130")</f>
        <v>ord_10130</v>
      </c>
      <c r="B131" s="18" t="str">
        <f>IFERROR(__xludf.DUMMYFUNCTION("""COMPUTED_VALUE"""),"Aarohi Kapoor")</f>
        <v>Aarohi Kapoor</v>
      </c>
      <c r="C131" s="18" t="str">
        <f>IFERROR(__xludf.DUMMYFUNCTION("""COMPUTED_VALUE"""),"Bandra")</f>
        <v>Bandra</v>
      </c>
      <c r="D131" s="18" t="str">
        <f>IFERROR(__xludf.DUMMYFUNCTION("""COMPUTED_VALUE"""),"Potato")</f>
        <v>Potato</v>
      </c>
      <c r="E131" s="18">
        <f>IFERROR(__xludf.DUMMYFUNCTION("""COMPUTED_VALUE"""),1.0)</f>
        <v>1</v>
      </c>
      <c r="F131" s="18" t="str">
        <f>IFERROR(__xludf.DUMMYFUNCTION("""COMPUTED_VALUE"""),"Not Assigned")</f>
        <v>Not Assigned</v>
      </c>
      <c r="G131" s="19">
        <f>IFERROR(__xludf.DUMMYFUNCTION("""COMPUTED_VALUE"""),45139.0)</f>
        <v>45139</v>
      </c>
      <c r="H131" s="18" t="str">
        <f>IFERROR(__xludf.DUMMYFUNCTION("""COMPUTED_VALUE"""),"Credit Card")</f>
        <v>Credit Card</v>
      </c>
      <c r="I131" s="18" t="str">
        <f>IFERROR(__xludf.DUMMYFUNCTION("""COMPUTED_VALUE"""),"Cancelled")</f>
        <v>Cancelled</v>
      </c>
      <c r="J131" s="18" t="str">
        <f>IFERROR(__xludf.DUMMYFUNCTION("""COMPUTED_VALUE"""),"Out of Stock")</f>
        <v>Out of Stock</v>
      </c>
      <c r="K131" s="18"/>
      <c r="L131" s="18">
        <f>iferror(VLOOKUP($D131,Details!$A$2:$C$11,2,false),vlookup($D131,Details!$E$2:$G$11,2,false))</f>
        <v>55</v>
      </c>
      <c r="M131" s="18" t="str">
        <f>iferror(VLOOKUP($D131,Details!$A$2:$C$11,3,false),vlookup($D131,Details!$E$2:$G$11,3,false))</f>
        <v>Fruits and Vegetables</v>
      </c>
      <c r="N131" s="18">
        <f t="shared" si="1"/>
        <v>55</v>
      </c>
      <c r="O131" s="17"/>
      <c r="P131" s="17"/>
      <c r="Q131" s="17"/>
      <c r="R131" s="17"/>
      <c r="S131" s="17"/>
      <c r="T131" s="17"/>
      <c r="U131" s="17"/>
      <c r="V131" s="17"/>
      <c r="W131" s="17"/>
      <c r="X131" s="17"/>
      <c r="Y131" s="17"/>
      <c r="Z131" s="17"/>
    </row>
    <row r="132">
      <c r="A132" s="18" t="str">
        <f>IFERROR(__xludf.DUMMYFUNCTION("""COMPUTED_VALUE"""),"ord_10131")</f>
        <v>ord_10131</v>
      </c>
      <c r="B132" s="18" t="str">
        <f>IFERROR(__xludf.DUMMYFUNCTION("""COMPUTED_VALUE"""),"Kritika Shetty")</f>
        <v>Kritika Shetty</v>
      </c>
      <c r="C132" s="18" t="str">
        <f>IFERROR(__xludf.DUMMYFUNCTION("""COMPUTED_VALUE"""),"Malad")</f>
        <v>Malad</v>
      </c>
      <c r="D132" s="18" t="str">
        <f>IFERROR(__xludf.DUMMYFUNCTION("""COMPUTED_VALUE"""),"Apple")</f>
        <v>Apple</v>
      </c>
      <c r="E132" s="18">
        <f>IFERROR(__xludf.DUMMYFUNCTION("""COMPUTED_VALUE"""),2.0)</f>
        <v>2</v>
      </c>
      <c r="F132" s="18" t="str">
        <f>IFERROR(__xludf.DUMMYFUNCTION("""COMPUTED_VALUE"""),"Vivek Kumar")</f>
        <v>Vivek Kumar</v>
      </c>
      <c r="G132" s="19">
        <f>IFERROR(__xludf.DUMMYFUNCTION("""COMPUTED_VALUE"""),44946.0)</f>
        <v>44946</v>
      </c>
      <c r="H132" s="18" t="str">
        <f>IFERROR(__xludf.DUMMYFUNCTION("""COMPUTED_VALUE"""),"Online Payment")</f>
        <v>Online Payment</v>
      </c>
      <c r="I132" s="18" t="str">
        <f>IFERROR(__xludf.DUMMYFUNCTION("""COMPUTED_VALUE"""),"Cancelled")</f>
        <v>Cancelled</v>
      </c>
      <c r="J132" s="18" t="str">
        <f>IFERROR(__xludf.DUMMYFUNCTION("""COMPUTED_VALUE"""),"Delayed Delivery")</f>
        <v>Delayed Delivery</v>
      </c>
      <c r="K132" s="18" t="str">
        <f>IFERROR(__xludf.DUMMYFUNCTION("""COMPUTED_VALUE"""),"Vehicle Breakdown")</f>
        <v>Vehicle Breakdown</v>
      </c>
      <c r="L132" s="18">
        <f>iferror(VLOOKUP($D132,Details!$A$2:$C$11,2,false),vlookup($D132,Details!$E$2:$G$11,2,false))</f>
        <v>230</v>
      </c>
      <c r="M132" s="18" t="str">
        <f>iferror(VLOOKUP($D132,Details!$A$2:$C$11,3,false),vlookup($D132,Details!$E$2:$G$11,3,false))</f>
        <v>Fruits and Vegetables</v>
      </c>
      <c r="N132" s="18">
        <f t="shared" si="1"/>
        <v>460</v>
      </c>
      <c r="O132" s="17"/>
      <c r="P132" s="17"/>
      <c r="Q132" s="17"/>
      <c r="R132" s="17"/>
      <c r="S132" s="17"/>
      <c r="T132" s="17"/>
      <c r="U132" s="17"/>
      <c r="V132" s="17"/>
      <c r="W132" s="17"/>
      <c r="X132" s="17"/>
      <c r="Y132" s="17"/>
      <c r="Z132" s="17"/>
    </row>
    <row r="133">
      <c r="A133" s="18" t="str">
        <f>IFERROR(__xludf.DUMMYFUNCTION("""COMPUTED_VALUE"""),"ord_10132")</f>
        <v>ord_10132</v>
      </c>
      <c r="B133" s="18" t="str">
        <f>IFERROR(__xludf.DUMMYFUNCTION("""COMPUTED_VALUE"""),"Mohit Malhotra")</f>
        <v>Mohit Malhotra</v>
      </c>
      <c r="C133" s="18" t="str">
        <f>IFERROR(__xludf.DUMMYFUNCTION("""COMPUTED_VALUE"""),"Lower Parel")</f>
        <v>Lower Parel</v>
      </c>
      <c r="D133" s="18" t="str">
        <f>IFERROR(__xludf.DUMMYFUNCTION("""COMPUTED_VALUE"""),"Onion")</f>
        <v>Onion</v>
      </c>
      <c r="E133" s="18">
        <f>IFERROR(__xludf.DUMMYFUNCTION("""COMPUTED_VALUE"""),2.0)</f>
        <v>2</v>
      </c>
      <c r="F133" s="18" t="str">
        <f>IFERROR(__xludf.DUMMYFUNCTION("""COMPUTED_VALUE"""),"Not Assigned")</f>
        <v>Not Assigned</v>
      </c>
      <c r="G133" s="19">
        <f>IFERROR(__xludf.DUMMYFUNCTION("""COMPUTED_VALUE"""),45240.0)</f>
        <v>45240</v>
      </c>
      <c r="H133" s="18" t="str">
        <f>IFERROR(__xludf.DUMMYFUNCTION("""COMPUTED_VALUE"""),"Credit Card")</f>
        <v>Credit Card</v>
      </c>
      <c r="I133" s="18" t="str">
        <f>IFERROR(__xludf.DUMMYFUNCTION("""COMPUTED_VALUE"""),"Cancelled")</f>
        <v>Cancelled</v>
      </c>
      <c r="J133" s="18" t="str">
        <f>IFERROR(__xludf.DUMMYFUNCTION("""COMPUTED_VALUE"""),"Payment Issues")</f>
        <v>Payment Issues</v>
      </c>
      <c r="K133" s="18"/>
      <c r="L133" s="18">
        <f>iferror(VLOOKUP($D133,Details!$A$2:$C$11,2,false),vlookup($D133,Details!$E$2:$G$11,2,false))</f>
        <v>84</v>
      </c>
      <c r="M133" s="18" t="str">
        <f>iferror(VLOOKUP($D133,Details!$A$2:$C$11,3,false),vlookup($D133,Details!$E$2:$G$11,3,false))</f>
        <v>Fruits and Vegetables</v>
      </c>
      <c r="N133" s="18">
        <f t="shared" si="1"/>
        <v>168</v>
      </c>
      <c r="O133" s="17"/>
      <c r="P133" s="17"/>
      <c r="Q133" s="17"/>
      <c r="R133" s="17"/>
      <c r="S133" s="17"/>
      <c r="T133" s="17"/>
      <c r="U133" s="17"/>
      <c r="V133" s="17"/>
      <c r="W133" s="17"/>
      <c r="X133" s="17"/>
      <c r="Y133" s="17"/>
      <c r="Z133" s="17"/>
    </row>
    <row r="134">
      <c r="A134" s="18" t="str">
        <f>IFERROR(__xludf.DUMMYFUNCTION("""COMPUTED_VALUE"""),"ord_10133")</f>
        <v>ord_10133</v>
      </c>
      <c r="B134" s="18" t="str">
        <f>IFERROR(__xludf.DUMMYFUNCTION("""COMPUTED_VALUE"""),"Anaya Rao")</f>
        <v>Anaya Rao</v>
      </c>
      <c r="C134" s="18" t="str">
        <f>IFERROR(__xludf.DUMMYFUNCTION("""COMPUTED_VALUE"""),"Colaba")</f>
        <v>Colaba</v>
      </c>
      <c r="D134" s="18" t="str">
        <f>IFERROR(__xludf.DUMMYFUNCTION("""COMPUTED_VALUE"""),"Sweet Corn")</f>
        <v>Sweet Corn</v>
      </c>
      <c r="E134" s="18">
        <f>IFERROR(__xludf.DUMMYFUNCTION("""COMPUTED_VALUE"""),2.0)</f>
        <v>2</v>
      </c>
      <c r="F134" s="18" t="str">
        <f>IFERROR(__xludf.DUMMYFUNCTION("""COMPUTED_VALUE"""),"Ram Gopal")</f>
        <v>Ram Gopal</v>
      </c>
      <c r="G134" s="19">
        <f>IFERROR(__xludf.DUMMYFUNCTION("""COMPUTED_VALUE"""),45074.0)</f>
        <v>45074</v>
      </c>
      <c r="H134" s="18" t="str">
        <f>IFERROR(__xludf.DUMMYFUNCTION("""COMPUTED_VALUE"""),"Credit Card")</f>
        <v>Credit Card</v>
      </c>
      <c r="I134" s="18" t="str">
        <f>IFERROR(__xludf.DUMMYFUNCTION("""COMPUTED_VALUE"""),"Delivered")</f>
        <v>Delivered</v>
      </c>
      <c r="J134" s="18" t="str">
        <f>IFERROR(__xludf.DUMMYFUNCTION("""COMPUTED_VALUE"""),"Packaging")</f>
        <v>Packaging</v>
      </c>
      <c r="K134" s="18" t="str">
        <f>IFERROR(__xludf.DUMMYFUNCTION("""COMPUTED_VALUE"""),"Secure and intact")</f>
        <v>Secure and intact</v>
      </c>
      <c r="L134" s="18">
        <f>iferror(VLOOKUP($D134,Details!$A$2:$C$11,2,false),vlookup($D134,Details!$E$2:$G$11,2,false))</f>
        <v>60</v>
      </c>
      <c r="M134" s="18" t="str">
        <f>iferror(VLOOKUP($D134,Details!$A$2:$C$11,3,false),vlookup($D134,Details!$E$2:$G$11,3,false))</f>
        <v>Fruits and Vegetables</v>
      </c>
      <c r="N134" s="18">
        <f t="shared" si="1"/>
        <v>120</v>
      </c>
      <c r="O134" s="17"/>
      <c r="P134" s="17"/>
      <c r="Q134" s="17"/>
      <c r="R134" s="17"/>
      <c r="S134" s="17"/>
      <c r="T134" s="17"/>
      <c r="U134" s="17"/>
      <c r="V134" s="17"/>
      <c r="W134" s="17"/>
      <c r="X134" s="17"/>
      <c r="Y134" s="17"/>
      <c r="Z134" s="17"/>
    </row>
    <row r="135">
      <c r="A135" s="18" t="str">
        <f>IFERROR(__xludf.DUMMYFUNCTION("""COMPUTED_VALUE"""),"ord_10134")</f>
        <v>ord_10134</v>
      </c>
      <c r="B135" s="18" t="str">
        <f>IFERROR(__xludf.DUMMYFUNCTION("""COMPUTED_VALUE"""),"Diya Arora")</f>
        <v>Diya Arora</v>
      </c>
      <c r="C135" s="18" t="str">
        <f>IFERROR(__xludf.DUMMYFUNCTION("""COMPUTED_VALUE"""),"Lower Parel")</f>
        <v>Lower Parel</v>
      </c>
      <c r="D135" s="18" t="str">
        <f>IFERROR(__xludf.DUMMYFUNCTION("""COMPUTED_VALUE"""),"Cold Coffee")</f>
        <v>Cold Coffee</v>
      </c>
      <c r="E135" s="18">
        <f>IFERROR(__xludf.DUMMYFUNCTION("""COMPUTED_VALUE"""),4.0)</f>
        <v>4</v>
      </c>
      <c r="F135" s="18" t="str">
        <f>IFERROR(__xludf.DUMMYFUNCTION("""COMPUTED_VALUE"""),"Kiran Mehta")</f>
        <v>Kiran Mehta</v>
      </c>
      <c r="G135" s="19">
        <f>IFERROR(__xludf.DUMMYFUNCTION("""COMPUTED_VALUE"""),45277.0)</f>
        <v>45277</v>
      </c>
      <c r="H135" s="18" t="str">
        <f>IFERROR(__xludf.DUMMYFUNCTION("""COMPUTED_VALUE"""),"UPI")</f>
        <v>UPI</v>
      </c>
      <c r="I135" s="18" t="str">
        <f>IFERROR(__xludf.DUMMYFUNCTION("""COMPUTED_VALUE"""),"Delivered")</f>
        <v>Delivered</v>
      </c>
      <c r="J135" s="18" t="str">
        <f>IFERROR(__xludf.DUMMYFUNCTION("""COMPUTED_VALUE"""),"Satisfied with the Delivery")</f>
        <v>Satisfied with the Delivery</v>
      </c>
      <c r="K135" s="18" t="str">
        <f>IFERROR(__xludf.DUMMYFUNCTION("""COMPUTED_VALUE"""),"Timely and quality")</f>
        <v>Timely and quality</v>
      </c>
      <c r="L135" s="18">
        <f>iferror(VLOOKUP($D135,Details!$A$2:$C$11,2,false),vlookup($D135,Details!$E$2:$G$11,2,false))</f>
        <v>270</v>
      </c>
      <c r="M135" s="18" t="str">
        <f>iferror(VLOOKUP($D135,Details!$A$2:$C$11,3,false),vlookup($D135,Details!$E$2:$G$11,3,false))</f>
        <v>Snacks and Drinks</v>
      </c>
      <c r="N135" s="18">
        <f t="shared" si="1"/>
        <v>1080</v>
      </c>
      <c r="O135" s="17"/>
      <c r="P135" s="17"/>
      <c r="Q135" s="17"/>
      <c r="R135" s="17"/>
      <c r="S135" s="17"/>
      <c r="T135" s="17"/>
      <c r="U135" s="17"/>
      <c r="V135" s="17"/>
      <c r="W135" s="17"/>
      <c r="X135" s="17"/>
      <c r="Y135" s="17"/>
      <c r="Z135" s="17"/>
    </row>
    <row r="136">
      <c r="A136" s="18" t="str">
        <f>IFERROR(__xludf.DUMMYFUNCTION("""COMPUTED_VALUE"""),"ord_13135")</f>
        <v>ord_13135</v>
      </c>
      <c r="B136" s="18" t="str">
        <f>IFERROR(__xludf.DUMMYFUNCTION("""COMPUTED_VALUE"""),"Tanishq Bansal")</f>
        <v>Tanishq Bansal</v>
      </c>
      <c r="C136" s="18" t="str">
        <f>IFERROR(__xludf.DUMMYFUNCTION("""COMPUTED_VALUE"""),"Powai")</f>
        <v>Powai</v>
      </c>
      <c r="D136" s="18" t="str">
        <f>IFERROR(__xludf.DUMMYFUNCTION("""COMPUTED_VALUE"""),"Orange")</f>
        <v>Orange</v>
      </c>
      <c r="E136" s="18">
        <f>IFERROR(__xludf.DUMMYFUNCTION("""COMPUTED_VALUE"""),2.0)</f>
        <v>2</v>
      </c>
      <c r="F136" s="18" t="str">
        <f>IFERROR(__xludf.DUMMYFUNCTION("""COMPUTED_VALUE"""),"Ram Gopal")</f>
        <v>Ram Gopal</v>
      </c>
      <c r="G136" s="19">
        <f>IFERROR(__xludf.DUMMYFUNCTION("""COMPUTED_VALUE"""),45119.0)</f>
        <v>45119</v>
      </c>
      <c r="H136" s="18" t="str">
        <f>IFERROR(__xludf.DUMMYFUNCTION("""COMPUTED_VALUE"""),"COD")</f>
        <v>COD</v>
      </c>
      <c r="I136" s="18" t="str">
        <f>IFERROR(__xludf.DUMMYFUNCTION("""COMPUTED_VALUE"""),"Delivered")</f>
        <v>Delivered</v>
      </c>
      <c r="J136" s="18" t="str">
        <f>IFERROR(__xludf.DUMMYFUNCTION("""COMPUTED_VALUE"""),"Customer Service")</f>
        <v>Customer Service</v>
      </c>
      <c r="K136" s="18" t="str">
        <f>IFERROR(__xludf.DUMMYFUNCTION("""COMPUTED_VALUE"""),"Seamless and easy")</f>
        <v>Seamless and easy</v>
      </c>
      <c r="L136" s="18">
        <f>iferror(VLOOKUP($D136,Details!$A$2:$C$11,2,false),vlookup($D136,Details!$E$2:$G$11,2,false))</f>
        <v>180</v>
      </c>
      <c r="M136" s="18" t="str">
        <f>iferror(VLOOKUP($D136,Details!$A$2:$C$11,3,false),vlookup($D136,Details!$E$2:$G$11,3,false))</f>
        <v>Fruits and Vegetables</v>
      </c>
      <c r="N136" s="18">
        <f t="shared" si="1"/>
        <v>360</v>
      </c>
      <c r="O136" s="17"/>
      <c r="P136" s="17"/>
      <c r="Q136" s="17"/>
      <c r="R136" s="17"/>
      <c r="S136" s="17"/>
      <c r="T136" s="17"/>
      <c r="U136" s="17"/>
      <c r="V136" s="17"/>
      <c r="W136" s="17"/>
      <c r="X136" s="17"/>
      <c r="Y136" s="17"/>
      <c r="Z136" s="17"/>
    </row>
    <row r="137">
      <c r="A137" s="18" t="str">
        <f>IFERROR(__xludf.DUMMYFUNCTION("""COMPUTED_VALUE"""),"ord_10136")</f>
        <v>ord_10136</v>
      </c>
      <c r="B137" s="18" t="str">
        <f>IFERROR(__xludf.DUMMYFUNCTION("""COMPUTED_VALUE"""),"Ishaan Chaturvedi")</f>
        <v>Ishaan Chaturvedi</v>
      </c>
      <c r="C137" s="18" t="str">
        <f>IFERROR(__xludf.DUMMYFUNCTION("""COMPUTED_VALUE"""),"Bandra")</f>
        <v>Bandra</v>
      </c>
      <c r="D137" s="18" t="str">
        <f>IFERROR(__xludf.DUMMYFUNCTION("""COMPUTED_VALUE"""),"Cold Coffee")</f>
        <v>Cold Coffee</v>
      </c>
      <c r="E137" s="18">
        <f>IFERROR(__xludf.DUMMYFUNCTION("""COMPUTED_VALUE"""),3.0)</f>
        <v>3</v>
      </c>
      <c r="F137" s="18" t="str">
        <f>IFERROR(__xludf.DUMMYFUNCTION("""COMPUTED_VALUE"""),"Not Assigned")</f>
        <v>Not Assigned</v>
      </c>
      <c r="G137" s="19">
        <f>IFERROR(__xludf.DUMMYFUNCTION("""COMPUTED_VALUE"""),45057.0)</f>
        <v>45057</v>
      </c>
      <c r="H137" s="18" t="str">
        <f>IFERROR(__xludf.DUMMYFUNCTION("""COMPUTED_VALUE"""),"Credit Card")</f>
        <v>Credit Card</v>
      </c>
      <c r="I137" s="18" t="str">
        <f>IFERROR(__xludf.DUMMYFUNCTION("""COMPUTED_VALUE"""),"Cancelled")</f>
        <v>Cancelled</v>
      </c>
      <c r="J137" s="18" t="str">
        <f>IFERROR(__xludf.DUMMYFUNCTION("""COMPUTED_VALUE"""),"Payment Issues")</f>
        <v>Payment Issues</v>
      </c>
      <c r="K137" s="18"/>
      <c r="L137" s="18">
        <f>iferror(VLOOKUP($D137,Details!$A$2:$C$11,2,false),vlookup($D137,Details!$E$2:$G$11,2,false))</f>
        <v>270</v>
      </c>
      <c r="M137" s="18" t="str">
        <f>iferror(VLOOKUP($D137,Details!$A$2:$C$11,3,false),vlookup($D137,Details!$E$2:$G$11,3,false))</f>
        <v>Snacks and Drinks</v>
      </c>
      <c r="N137" s="18">
        <f t="shared" si="1"/>
        <v>810</v>
      </c>
      <c r="O137" s="17"/>
      <c r="P137" s="17"/>
      <c r="Q137" s="17"/>
      <c r="R137" s="17"/>
      <c r="S137" s="17"/>
      <c r="T137" s="17"/>
      <c r="U137" s="17"/>
      <c r="V137" s="17"/>
      <c r="W137" s="17"/>
      <c r="X137" s="17"/>
      <c r="Y137" s="17"/>
      <c r="Z137" s="17"/>
    </row>
    <row r="138">
      <c r="A138" s="18" t="str">
        <f>IFERROR(__xludf.DUMMYFUNCTION("""COMPUTED_VALUE"""),"ord_10137")</f>
        <v>ord_10137</v>
      </c>
      <c r="B138" s="18" t="str">
        <f>IFERROR(__xludf.DUMMYFUNCTION("""COMPUTED_VALUE"""),"Pallavi Ghosh")</f>
        <v>Pallavi Ghosh</v>
      </c>
      <c r="C138" s="18" t="str">
        <f>IFERROR(__xludf.DUMMYFUNCTION("""COMPUTED_VALUE"""),"Bandra")</f>
        <v>Bandra</v>
      </c>
      <c r="D138" s="18" t="str">
        <f>IFERROR(__xludf.DUMMYFUNCTION("""COMPUTED_VALUE"""),"Cucumber")</f>
        <v>Cucumber</v>
      </c>
      <c r="E138" s="18">
        <f>IFERROR(__xludf.DUMMYFUNCTION("""COMPUTED_VALUE"""),1.0)</f>
        <v>1</v>
      </c>
      <c r="F138" s="18" t="str">
        <f>IFERROR(__xludf.DUMMYFUNCTION("""COMPUTED_VALUE"""),"Not Assigned")</f>
        <v>Not Assigned</v>
      </c>
      <c r="G138" s="19">
        <f>IFERROR(__xludf.DUMMYFUNCTION("""COMPUTED_VALUE"""),45257.0)</f>
        <v>45257</v>
      </c>
      <c r="H138" s="18" t="str">
        <f>IFERROR(__xludf.DUMMYFUNCTION("""COMPUTED_VALUE"""),"Credit Card")</f>
        <v>Credit Card</v>
      </c>
      <c r="I138" s="18" t="str">
        <f>IFERROR(__xludf.DUMMYFUNCTION("""COMPUTED_VALUE"""),"Cancelled")</f>
        <v>Cancelled</v>
      </c>
      <c r="J138" s="18" t="str">
        <f>IFERROR(__xludf.DUMMYFUNCTION("""COMPUTED_VALUE"""),"Payment Issues")</f>
        <v>Payment Issues</v>
      </c>
      <c r="K138" s="18"/>
      <c r="L138" s="18">
        <f>iferror(VLOOKUP($D138,Details!$A$2:$C$11,2,false),vlookup($D138,Details!$E$2:$G$11,2,false))</f>
        <v>30</v>
      </c>
      <c r="M138" s="18" t="str">
        <f>iferror(VLOOKUP($D138,Details!$A$2:$C$11,3,false),vlookup($D138,Details!$E$2:$G$11,3,false))</f>
        <v>Fruits and Vegetables</v>
      </c>
      <c r="N138" s="18">
        <f t="shared" si="1"/>
        <v>30</v>
      </c>
      <c r="O138" s="17"/>
      <c r="P138" s="17"/>
      <c r="Q138" s="17"/>
      <c r="R138" s="17"/>
      <c r="S138" s="17"/>
      <c r="T138" s="17"/>
      <c r="U138" s="17"/>
      <c r="V138" s="17"/>
      <c r="W138" s="17"/>
      <c r="X138" s="17"/>
      <c r="Y138" s="17"/>
      <c r="Z138" s="17"/>
    </row>
    <row r="139">
      <c r="A139" s="18" t="str">
        <f>IFERROR(__xludf.DUMMYFUNCTION("""COMPUTED_VALUE"""),"ord_10138")</f>
        <v>ord_10138</v>
      </c>
      <c r="B139" s="18" t="str">
        <f>IFERROR(__xludf.DUMMYFUNCTION("""COMPUTED_VALUE"""),"Tanishq Bansal")</f>
        <v>Tanishq Bansal</v>
      </c>
      <c r="C139" s="18" t="str">
        <f>IFERROR(__xludf.DUMMYFUNCTION("""COMPUTED_VALUE"""),"Powai")</f>
        <v>Powai</v>
      </c>
      <c r="D139" s="18" t="str">
        <f>IFERROR(__xludf.DUMMYFUNCTION("""COMPUTED_VALUE"""),"Icecream")</f>
        <v>Icecream</v>
      </c>
      <c r="E139" s="18">
        <f>IFERROR(__xludf.DUMMYFUNCTION("""COMPUTED_VALUE"""),2.0)</f>
        <v>2</v>
      </c>
      <c r="F139" s="18" t="str">
        <f>IFERROR(__xludf.DUMMYFUNCTION("""COMPUTED_VALUE"""),"Vivek Kumar")</f>
        <v>Vivek Kumar</v>
      </c>
      <c r="G139" s="19">
        <f>IFERROR(__xludf.DUMMYFUNCTION("""COMPUTED_VALUE"""),45210.0)</f>
        <v>45210</v>
      </c>
      <c r="H139" s="18" t="str">
        <f>IFERROR(__xludf.DUMMYFUNCTION("""COMPUTED_VALUE"""),"Online Payment")</f>
        <v>Online Payment</v>
      </c>
      <c r="I139" s="18" t="str">
        <f>IFERROR(__xludf.DUMMYFUNCTION("""COMPUTED_VALUE"""),"Delivered")</f>
        <v>Delivered</v>
      </c>
      <c r="J139" s="18" t="str">
        <f>IFERROR(__xludf.DUMMYFUNCTION("""COMPUTED_VALUE"""),"Delivery Experience")</f>
        <v>Delivery Experience</v>
      </c>
      <c r="K139" s="18" t="str">
        <f>IFERROR(__xludf.DUMMYFUNCTION("""COMPUTED_VALUE"""),"Quick and professional")</f>
        <v>Quick and professional</v>
      </c>
      <c r="L139" s="18">
        <f>iferror(VLOOKUP($D139,Details!$A$2:$C$11,2,false),vlookup($D139,Details!$E$2:$G$11,2,false))</f>
        <v>90</v>
      </c>
      <c r="M139" s="18" t="str">
        <f>iferror(VLOOKUP($D139,Details!$A$2:$C$11,3,false),vlookup($D139,Details!$E$2:$G$11,3,false))</f>
        <v>Snacks and Drinks</v>
      </c>
      <c r="N139" s="18">
        <f t="shared" si="1"/>
        <v>180</v>
      </c>
      <c r="O139" s="17"/>
      <c r="P139" s="17"/>
      <c r="Q139" s="17"/>
      <c r="R139" s="17"/>
      <c r="S139" s="17"/>
      <c r="T139" s="17"/>
      <c r="U139" s="17"/>
      <c r="V139" s="17"/>
      <c r="W139" s="17"/>
      <c r="X139" s="17"/>
      <c r="Y139" s="17"/>
      <c r="Z139" s="17"/>
    </row>
    <row r="140">
      <c r="A140" s="18" t="str">
        <f>IFERROR(__xludf.DUMMYFUNCTION("""COMPUTED_VALUE"""),"ord_10139")</f>
        <v>ord_10139</v>
      </c>
      <c r="B140" s="18" t="str">
        <f>IFERROR(__xludf.DUMMYFUNCTION("""COMPUTED_VALUE"""),"Mehul Thakkar")</f>
        <v>Mehul Thakkar</v>
      </c>
      <c r="C140" s="18" t="str">
        <f>IFERROR(__xludf.DUMMYFUNCTION("""COMPUTED_VALUE"""),"Malad")</f>
        <v>Malad</v>
      </c>
      <c r="D140" s="18" t="str">
        <f>IFERROR(__xludf.DUMMYFUNCTION("""COMPUTED_VALUE"""),"Veg Puff")</f>
        <v>Veg Puff</v>
      </c>
      <c r="E140" s="18">
        <f>IFERROR(__xludf.DUMMYFUNCTION("""COMPUTED_VALUE"""),1.0)</f>
        <v>1</v>
      </c>
      <c r="F140" s="18" t="str">
        <f>IFERROR(__xludf.DUMMYFUNCTION("""COMPUTED_VALUE"""),"Not Assigned")</f>
        <v>Not Assigned</v>
      </c>
      <c r="G140" s="19">
        <f>IFERROR(__xludf.DUMMYFUNCTION("""COMPUTED_VALUE"""),45117.0)</f>
        <v>45117</v>
      </c>
      <c r="H140" s="18" t="str">
        <f>IFERROR(__xludf.DUMMYFUNCTION("""COMPUTED_VALUE"""),"UPI")</f>
        <v>UPI</v>
      </c>
      <c r="I140" s="18" t="str">
        <f>IFERROR(__xludf.DUMMYFUNCTION("""COMPUTED_VALUE"""),"Cancelled")</f>
        <v>Cancelled</v>
      </c>
      <c r="J140" s="18" t="str">
        <f>IFERROR(__xludf.DUMMYFUNCTION("""COMPUTED_VALUE"""),"Out of Stock")</f>
        <v>Out of Stock</v>
      </c>
      <c r="K140" s="18"/>
      <c r="L140" s="18">
        <f>iferror(VLOOKUP($D140,Details!$A$2:$C$11,2,false),vlookup($D140,Details!$E$2:$G$11,2,false))</f>
        <v>80</v>
      </c>
      <c r="M140" s="18" t="str">
        <f>iferror(VLOOKUP($D140,Details!$A$2:$C$11,3,false),vlookup($D140,Details!$E$2:$G$11,3,false))</f>
        <v>Snacks and Drinks</v>
      </c>
      <c r="N140" s="18">
        <f t="shared" si="1"/>
        <v>80</v>
      </c>
      <c r="O140" s="17"/>
      <c r="P140" s="17"/>
      <c r="Q140" s="17"/>
      <c r="R140" s="17"/>
      <c r="S140" s="17"/>
      <c r="T140" s="17"/>
      <c r="U140" s="17"/>
      <c r="V140" s="17"/>
      <c r="W140" s="17"/>
      <c r="X140" s="17"/>
      <c r="Y140" s="17"/>
      <c r="Z140" s="17"/>
    </row>
    <row r="141">
      <c r="A141" s="18" t="str">
        <f>IFERROR(__xludf.DUMMYFUNCTION("""COMPUTED_VALUE"""),"ord_10140")</f>
        <v>ord_10140</v>
      </c>
      <c r="B141" s="18" t="str">
        <f>IFERROR(__xludf.DUMMYFUNCTION("""COMPUTED_VALUE"""),"Sana Malik")</f>
        <v>Sana Malik</v>
      </c>
      <c r="C141" s="18" t="str">
        <f>IFERROR(__xludf.DUMMYFUNCTION("""COMPUTED_VALUE"""),"Powai")</f>
        <v>Powai</v>
      </c>
      <c r="D141" s="18" t="str">
        <f>IFERROR(__xludf.DUMMYFUNCTION("""COMPUTED_VALUE"""),"Tomato")</f>
        <v>Tomato</v>
      </c>
      <c r="E141" s="18">
        <f>IFERROR(__xludf.DUMMYFUNCTION("""COMPUTED_VALUE"""),2.0)</f>
        <v>2</v>
      </c>
      <c r="F141" s="18" t="str">
        <f>IFERROR(__xludf.DUMMYFUNCTION("""COMPUTED_VALUE"""),"Shine Thomas")</f>
        <v>Shine Thomas</v>
      </c>
      <c r="G141" s="19">
        <f>IFERROR(__xludf.DUMMYFUNCTION("""COMPUTED_VALUE"""),45290.0)</f>
        <v>45290</v>
      </c>
      <c r="H141" s="18" t="str">
        <f>IFERROR(__xludf.DUMMYFUNCTION("""COMPUTED_VALUE"""),"UPI")</f>
        <v>UPI</v>
      </c>
      <c r="I141" s="18" t="str">
        <f>IFERROR(__xludf.DUMMYFUNCTION("""COMPUTED_VALUE"""),"Delivered")</f>
        <v>Delivered</v>
      </c>
      <c r="J141" s="18" t="str">
        <f>IFERROR(__xludf.DUMMYFUNCTION("""COMPUTED_VALUE"""),"Convenience")</f>
        <v>Convenience</v>
      </c>
      <c r="K141" s="18" t="str">
        <f>IFERROR(__xludf.DUMMYFUNCTION("""COMPUTED_VALUE"""),"Easy tracking")</f>
        <v>Easy tracking</v>
      </c>
      <c r="L141" s="18">
        <f>iferror(VLOOKUP($D141,Details!$A$2:$C$11,2,false),vlookup($D141,Details!$E$2:$G$11,2,false))</f>
        <v>25</v>
      </c>
      <c r="M141" s="18" t="str">
        <f>iferror(VLOOKUP($D141,Details!$A$2:$C$11,3,false),vlookup($D141,Details!$E$2:$G$11,3,false))</f>
        <v>Fruits and Vegetables</v>
      </c>
      <c r="N141" s="18">
        <f t="shared" si="1"/>
        <v>50</v>
      </c>
      <c r="O141" s="17"/>
      <c r="P141" s="17"/>
      <c r="Q141" s="17"/>
      <c r="R141" s="17"/>
      <c r="S141" s="17"/>
      <c r="T141" s="17"/>
      <c r="U141" s="17"/>
      <c r="V141" s="17"/>
      <c r="W141" s="17"/>
      <c r="X141" s="17"/>
      <c r="Y141" s="17"/>
      <c r="Z141" s="17"/>
    </row>
    <row r="142">
      <c r="A142" s="18" t="str">
        <f>IFERROR(__xludf.DUMMYFUNCTION("""COMPUTED_VALUE"""),"ord_10141")</f>
        <v>ord_10141</v>
      </c>
      <c r="B142" s="18" t="str">
        <f>IFERROR(__xludf.DUMMYFUNCTION("""COMPUTED_VALUE"""),"Yash Verma")</f>
        <v>Yash Verma</v>
      </c>
      <c r="C142" s="18" t="str">
        <f>IFERROR(__xludf.DUMMYFUNCTION("""COMPUTED_VALUE"""),"Lower Parel")</f>
        <v>Lower Parel</v>
      </c>
      <c r="D142" s="18" t="str">
        <f>IFERROR(__xludf.DUMMYFUNCTION("""COMPUTED_VALUE"""),"Banana")</f>
        <v>Banana</v>
      </c>
      <c r="E142" s="18">
        <f>IFERROR(__xludf.DUMMYFUNCTION("""COMPUTED_VALUE"""),2.0)</f>
        <v>2</v>
      </c>
      <c r="F142" s="18" t="str">
        <f>IFERROR(__xludf.DUMMYFUNCTION("""COMPUTED_VALUE"""),"Venu R")</f>
        <v>Venu R</v>
      </c>
      <c r="G142" s="19">
        <f>IFERROR(__xludf.DUMMYFUNCTION("""COMPUTED_VALUE"""),45281.0)</f>
        <v>45281</v>
      </c>
      <c r="H142" s="18" t="str">
        <f>IFERROR(__xludf.DUMMYFUNCTION("""COMPUTED_VALUE"""),"Credit Card")</f>
        <v>Credit Card</v>
      </c>
      <c r="I142" s="18" t="str">
        <f>IFERROR(__xludf.DUMMYFUNCTION("""COMPUTED_VALUE"""),"Delivered")</f>
        <v>Delivered</v>
      </c>
      <c r="J142" s="18" t="str">
        <f>IFERROR(__xludf.DUMMYFUNCTION("""COMPUTED_VALUE"""),"Overall Satisfaction")</f>
        <v>Overall Satisfaction</v>
      </c>
      <c r="K142" s="18" t="str">
        <f>IFERROR(__xludf.DUMMYFUNCTION("""COMPUTED_VALUE"""),"Great service will order again")</f>
        <v>Great service will order again</v>
      </c>
      <c r="L142" s="18">
        <f>iferror(VLOOKUP($D142,Details!$A$2:$C$11,2,false),vlookup($D142,Details!$E$2:$G$11,2,false))</f>
        <v>80</v>
      </c>
      <c r="M142" s="18" t="str">
        <f>iferror(VLOOKUP($D142,Details!$A$2:$C$11,3,false),vlookup($D142,Details!$E$2:$G$11,3,false))</f>
        <v>Fruits and Vegetables</v>
      </c>
      <c r="N142" s="18">
        <f t="shared" si="1"/>
        <v>160</v>
      </c>
      <c r="O142" s="17"/>
      <c r="P142" s="17"/>
      <c r="Q142" s="17"/>
      <c r="R142" s="17"/>
      <c r="S142" s="17"/>
      <c r="T142" s="17"/>
      <c r="U142" s="17"/>
      <c r="V142" s="17"/>
      <c r="W142" s="17"/>
      <c r="X142" s="17"/>
      <c r="Y142" s="17"/>
      <c r="Z142" s="17"/>
    </row>
    <row r="143">
      <c r="A143" s="18" t="str">
        <f>IFERROR(__xludf.DUMMYFUNCTION("""COMPUTED_VALUE"""),"ord_10142")</f>
        <v>ord_10142</v>
      </c>
      <c r="B143" s="18" t="str">
        <f>IFERROR(__xludf.DUMMYFUNCTION("""COMPUTED_VALUE"""),"Anaya Rao")</f>
        <v>Anaya Rao</v>
      </c>
      <c r="C143" s="18" t="str">
        <f>IFERROR(__xludf.DUMMYFUNCTION("""COMPUTED_VALUE"""),"Colaba")</f>
        <v>Colaba</v>
      </c>
      <c r="D143" s="18" t="str">
        <f>IFERROR(__xludf.DUMMYFUNCTION("""COMPUTED_VALUE"""),"Cold Coffee")</f>
        <v>Cold Coffee</v>
      </c>
      <c r="E143" s="18">
        <f>IFERROR(__xludf.DUMMYFUNCTION("""COMPUTED_VALUE"""),3.0)</f>
        <v>3</v>
      </c>
      <c r="F143" s="18" t="str">
        <f>IFERROR(__xludf.DUMMYFUNCTION("""COMPUTED_VALUE"""),"Rohan Yadav")</f>
        <v>Rohan Yadav</v>
      </c>
      <c r="G143" s="19">
        <f>IFERROR(__xludf.DUMMYFUNCTION("""COMPUTED_VALUE"""),45171.0)</f>
        <v>45171</v>
      </c>
      <c r="H143" s="18" t="str">
        <f>IFERROR(__xludf.DUMMYFUNCTION("""COMPUTED_VALUE"""),"Credit Card")</f>
        <v>Credit Card</v>
      </c>
      <c r="I143" s="18" t="str">
        <f>IFERROR(__xludf.DUMMYFUNCTION("""COMPUTED_VALUE"""),"Cancelled")</f>
        <v>Cancelled</v>
      </c>
      <c r="J143" s="18" t="str">
        <f>IFERROR(__xludf.DUMMYFUNCTION("""COMPUTED_VALUE"""),"Delayed Delivery")</f>
        <v>Delayed Delivery</v>
      </c>
      <c r="K143" s="18" t="str">
        <f>IFERROR(__xludf.DUMMYFUNCTION("""COMPUTED_VALUE"""),"Heavy Traffic")</f>
        <v>Heavy Traffic</v>
      </c>
      <c r="L143" s="18">
        <f>iferror(VLOOKUP($D143,Details!$A$2:$C$11,2,false),vlookup($D143,Details!$E$2:$G$11,2,false))</f>
        <v>270</v>
      </c>
      <c r="M143" s="18" t="str">
        <f>iferror(VLOOKUP($D143,Details!$A$2:$C$11,3,false),vlookup($D143,Details!$E$2:$G$11,3,false))</f>
        <v>Snacks and Drinks</v>
      </c>
      <c r="N143" s="18">
        <f t="shared" si="1"/>
        <v>810</v>
      </c>
      <c r="O143" s="17"/>
      <c r="P143" s="17"/>
      <c r="Q143" s="17"/>
      <c r="R143" s="17"/>
      <c r="S143" s="17"/>
      <c r="T143" s="17"/>
      <c r="U143" s="17"/>
      <c r="V143" s="17"/>
      <c r="W143" s="17"/>
      <c r="X143" s="17"/>
      <c r="Y143" s="17"/>
      <c r="Z143" s="17"/>
    </row>
    <row r="144">
      <c r="A144" s="18" t="str">
        <f>IFERROR(__xludf.DUMMYFUNCTION("""COMPUTED_VALUE"""),"ord_10143")</f>
        <v>ord_10143</v>
      </c>
      <c r="B144" s="18" t="str">
        <f>IFERROR(__xludf.DUMMYFUNCTION("""COMPUTED_VALUE"""),"Arvind Kulkarni")</f>
        <v>Arvind Kulkarni</v>
      </c>
      <c r="C144" s="18" t="str">
        <f>IFERROR(__xludf.DUMMYFUNCTION("""COMPUTED_VALUE"""),"Juhu")</f>
        <v>Juhu</v>
      </c>
      <c r="D144" s="18" t="str">
        <f>IFERROR(__xludf.DUMMYFUNCTION("""COMPUTED_VALUE"""),"Rasmalai")</f>
        <v>Rasmalai</v>
      </c>
      <c r="E144" s="18">
        <f>IFERROR(__xludf.DUMMYFUNCTION("""COMPUTED_VALUE"""),4.0)</f>
        <v>4</v>
      </c>
      <c r="F144" s="18" t="str">
        <f>IFERROR(__xludf.DUMMYFUNCTION("""COMPUTED_VALUE"""),"Nithin Lal")</f>
        <v>Nithin Lal</v>
      </c>
      <c r="G144" s="19">
        <f>IFERROR(__xludf.DUMMYFUNCTION("""COMPUTED_VALUE"""),44974.0)</f>
        <v>44974</v>
      </c>
      <c r="H144" s="18" t="str">
        <f>IFERROR(__xludf.DUMMYFUNCTION("""COMPUTED_VALUE"""),"Credit Card")</f>
        <v>Credit Card</v>
      </c>
      <c r="I144" s="18" t="str">
        <f>IFERROR(__xludf.DUMMYFUNCTION("""COMPUTED_VALUE"""),"Cancelled")</f>
        <v>Cancelled</v>
      </c>
      <c r="J144" s="18" t="str">
        <f>IFERROR(__xludf.DUMMYFUNCTION("""COMPUTED_VALUE"""),"Delayed Delivery")</f>
        <v>Delayed Delivery</v>
      </c>
      <c r="K144" s="18" t="str">
        <f>IFERROR(__xludf.DUMMYFUNCTION("""COMPUTED_VALUE"""),"Heavy Traffic")</f>
        <v>Heavy Traffic</v>
      </c>
      <c r="L144" s="18">
        <f>iferror(VLOOKUP($D144,Details!$A$2:$C$11,2,false),vlookup($D144,Details!$E$2:$G$11,2,false))</f>
        <v>110</v>
      </c>
      <c r="M144" s="18" t="str">
        <f>iferror(VLOOKUP($D144,Details!$A$2:$C$11,3,false),vlookup($D144,Details!$E$2:$G$11,3,false))</f>
        <v>Snacks and Drinks</v>
      </c>
      <c r="N144" s="18">
        <f t="shared" si="1"/>
        <v>440</v>
      </c>
      <c r="O144" s="17"/>
      <c r="P144" s="17"/>
      <c r="Q144" s="17"/>
      <c r="R144" s="17"/>
      <c r="S144" s="17"/>
      <c r="T144" s="17"/>
      <c r="U144" s="17"/>
      <c r="V144" s="17"/>
      <c r="W144" s="17"/>
      <c r="X144" s="17"/>
      <c r="Y144" s="17"/>
      <c r="Z144" s="17"/>
    </row>
    <row r="145">
      <c r="A145" s="18" t="str">
        <f>IFERROR(__xludf.DUMMYFUNCTION("""COMPUTED_VALUE"""),"ord_13144")</f>
        <v>ord_13144</v>
      </c>
      <c r="B145" s="18" t="str">
        <f>IFERROR(__xludf.DUMMYFUNCTION("""COMPUTED_VALUE"""),"Aditya Rao")</f>
        <v>Aditya Rao</v>
      </c>
      <c r="C145" s="18" t="str">
        <f>IFERROR(__xludf.DUMMYFUNCTION("""COMPUTED_VALUE"""),"Lower Parel")</f>
        <v>Lower Parel</v>
      </c>
      <c r="D145" s="18" t="str">
        <f>IFERROR(__xludf.DUMMYFUNCTION("""COMPUTED_VALUE"""),"Chicken Puff")</f>
        <v>Chicken Puff</v>
      </c>
      <c r="E145" s="18">
        <f>IFERROR(__xludf.DUMMYFUNCTION("""COMPUTED_VALUE"""),3.0)</f>
        <v>3</v>
      </c>
      <c r="F145" s="18" t="str">
        <f>IFERROR(__xludf.DUMMYFUNCTION("""COMPUTED_VALUE"""),"Not Assigned")</f>
        <v>Not Assigned</v>
      </c>
      <c r="G145" s="19">
        <f>IFERROR(__xludf.DUMMYFUNCTION("""COMPUTED_VALUE"""),45261.0)</f>
        <v>45261</v>
      </c>
      <c r="H145" s="18" t="str">
        <f>IFERROR(__xludf.DUMMYFUNCTION("""COMPUTED_VALUE"""),"UPI")</f>
        <v>UPI</v>
      </c>
      <c r="I145" s="18" t="str">
        <f>IFERROR(__xludf.DUMMYFUNCTION("""COMPUTED_VALUE"""),"Cancelled")</f>
        <v>Cancelled</v>
      </c>
      <c r="J145" s="18" t="str">
        <f>IFERROR(__xludf.DUMMYFUNCTION("""COMPUTED_VALUE"""),"Out of Stock")</f>
        <v>Out of Stock</v>
      </c>
      <c r="K145" s="18"/>
      <c r="L145" s="18">
        <f>iferror(VLOOKUP($D145,Details!$A$2:$C$11,2,false),vlookup($D145,Details!$E$2:$G$11,2,false))</f>
        <v>90</v>
      </c>
      <c r="M145" s="18" t="str">
        <f>iferror(VLOOKUP($D145,Details!$A$2:$C$11,3,false),vlookup($D145,Details!$E$2:$G$11,3,false))</f>
        <v>Snacks and Drinks</v>
      </c>
      <c r="N145" s="18">
        <f t="shared" si="1"/>
        <v>270</v>
      </c>
      <c r="O145" s="17"/>
      <c r="P145" s="17"/>
      <c r="Q145" s="17"/>
      <c r="R145" s="17"/>
      <c r="S145" s="17"/>
      <c r="T145" s="17"/>
      <c r="U145" s="17"/>
      <c r="V145" s="17"/>
      <c r="W145" s="17"/>
      <c r="X145" s="17"/>
      <c r="Y145" s="17"/>
      <c r="Z145" s="17"/>
    </row>
    <row r="146">
      <c r="A146" s="18" t="str">
        <f>IFERROR(__xludf.DUMMYFUNCTION("""COMPUTED_VALUE"""),"ord_10145")</f>
        <v>ord_10145</v>
      </c>
      <c r="B146" s="18" t="str">
        <f>IFERROR(__xludf.DUMMYFUNCTION("""COMPUTED_VALUE"""),"Mehul Thakkar")</f>
        <v>Mehul Thakkar</v>
      </c>
      <c r="C146" s="18" t="str">
        <f>IFERROR(__xludf.DUMMYFUNCTION("""COMPUTED_VALUE"""),"Malad")</f>
        <v>Malad</v>
      </c>
      <c r="D146" s="18" t="str">
        <f>IFERROR(__xludf.DUMMYFUNCTION("""COMPUTED_VALUE"""),"Veg Puff")</f>
        <v>Veg Puff</v>
      </c>
      <c r="E146" s="18">
        <f>IFERROR(__xludf.DUMMYFUNCTION("""COMPUTED_VALUE"""),2.0)</f>
        <v>2</v>
      </c>
      <c r="F146" s="18" t="str">
        <f>IFERROR(__xludf.DUMMYFUNCTION("""COMPUTED_VALUE"""),"Kiran Mehta")</f>
        <v>Kiran Mehta</v>
      </c>
      <c r="G146" s="19">
        <f>IFERROR(__xludf.DUMMYFUNCTION("""COMPUTED_VALUE"""),45137.0)</f>
        <v>45137</v>
      </c>
      <c r="H146" s="18" t="str">
        <f>IFERROR(__xludf.DUMMYFUNCTION("""COMPUTED_VALUE"""),"Credit Card")</f>
        <v>Credit Card</v>
      </c>
      <c r="I146" s="18" t="str">
        <f>IFERROR(__xludf.DUMMYFUNCTION("""COMPUTED_VALUE"""),"Cancelled")</f>
        <v>Cancelled</v>
      </c>
      <c r="J146" s="18" t="str">
        <f>IFERROR(__xludf.DUMMYFUNCTION("""COMPUTED_VALUE"""),"Delayed Delivery")</f>
        <v>Delayed Delivery</v>
      </c>
      <c r="K146" s="18" t="str">
        <f>IFERROR(__xludf.DUMMYFUNCTION("""COMPUTED_VALUE"""),"Bad Weather Conditions")</f>
        <v>Bad Weather Conditions</v>
      </c>
      <c r="L146" s="18">
        <f>iferror(VLOOKUP($D146,Details!$A$2:$C$11,2,false),vlookup($D146,Details!$E$2:$G$11,2,false))</f>
        <v>80</v>
      </c>
      <c r="M146" s="18" t="str">
        <f>iferror(VLOOKUP($D146,Details!$A$2:$C$11,3,false),vlookup($D146,Details!$E$2:$G$11,3,false))</f>
        <v>Snacks and Drinks</v>
      </c>
      <c r="N146" s="18">
        <f t="shared" si="1"/>
        <v>160</v>
      </c>
      <c r="O146" s="17"/>
      <c r="P146" s="17"/>
      <c r="Q146" s="17"/>
      <c r="R146" s="17"/>
      <c r="S146" s="17"/>
      <c r="T146" s="17"/>
      <c r="U146" s="17"/>
      <c r="V146" s="17"/>
      <c r="W146" s="17"/>
      <c r="X146" s="17"/>
      <c r="Y146" s="17"/>
      <c r="Z146" s="17"/>
    </row>
    <row r="147">
      <c r="A147" s="18" t="str">
        <f>IFERROR(__xludf.DUMMYFUNCTION("""COMPUTED_VALUE"""),"ord_10146")</f>
        <v>ord_10146</v>
      </c>
      <c r="B147" s="18" t="str">
        <f>IFERROR(__xludf.DUMMYFUNCTION("""COMPUTED_VALUE"""),"Siya Reddy")</f>
        <v>Siya Reddy</v>
      </c>
      <c r="C147" s="18" t="str">
        <f>IFERROR(__xludf.DUMMYFUNCTION("""COMPUTED_VALUE"""),"Juhu")</f>
        <v>Juhu</v>
      </c>
      <c r="D147" s="18" t="str">
        <f>IFERROR(__xludf.DUMMYFUNCTION("""COMPUTED_VALUE"""),"Veg Puff")</f>
        <v>Veg Puff</v>
      </c>
      <c r="E147" s="18">
        <f>IFERROR(__xludf.DUMMYFUNCTION("""COMPUTED_VALUE"""),5.0)</f>
        <v>5</v>
      </c>
      <c r="F147" s="18" t="str">
        <f>IFERROR(__xludf.DUMMYFUNCTION("""COMPUTED_VALUE"""),"Shine Thomas")</f>
        <v>Shine Thomas</v>
      </c>
      <c r="G147" s="19">
        <f>IFERROR(__xludf.DUMMYFUNCTION("""COMPUTED_VALUE"""),45137.0)</f>
        <v>45137</v>
      </c>
      <c r="H147" s="18" t="str">
        <f>IFERROR(__xludf.DUMMYFUNCTION("""COMPUTED_VALUE"""),"Online Payment")</f>
        <v>Online Payment</v>
      </c>
      <c r="I147" s="18" t="str">
        <f>IFERROR(__xludf.DUMMYFUNCTION("""COMPUTED_VALUE"""),"Cancelled")</f>
        <v>Cancelled</v>
      </c>
      <c r="J147" s="18" t="str">
        <f>IFERROR(__xludf.DUMMYFUNCTION("""COMPUTED_VALUE"""),"Delayed Delivery")</f>
        <v>Delayed Delivery</v>
      </c>
      <c r="K147" s="18" t="str">
        <f>IFERROR(__xludf.DUMMYFUNCTION("""COMPUTED_VALUE"""),"Incorrect Address or Location")</f>
        <v>Incorrect Address or Location</v>
      </c>
      <c r="L147" s="18">
        <f>iferror(VLOOKUP($D147,Details!$A$2:$C$11,2,false),vlookup($D147,Details!$E$2:$G$11,2,false))</f>
        <v>80</v>
      </c>
      <c r="M147" s="18" t="str">
        <f>iferror(VLOOKUP($D147,Details!$A$2:$C$11,3,false),vlookup($D147,Details!$E$2:$G$11,3,false))</f>
        <v>Snacks and Drinks</v>
      </c>
      <c r="N147" s="18">
        <f t="shared" si="1"/>
        <v>400</v>
      </c>
      <c r="O147" s="17"/>
      <c r="P147" s="17"/>
      <c r="Q147" s="17"/>
      <c r="R147" s="17"/>
      <c r="S147" s="17"/>
      <c r="T147" s="17"/>
      <c r="U147" s="17"/>
      <c r="V147" s="17"/>
      <c r="W147" s="17"/>
      <c r="X147" s="17"/>
      <c r="Y147" s="17"/>
      <c r="Z147" s="17"/>
    </row>
    <row r="148">
      <c r="A148" s="18" t="str">
        <f>IFERROR(__xludf.DUMMYFUNCTION("""COMPUTED_VALUE"""),"ord_10147")</f>
        <v>ord_10147</v>
      </c>
      <c r="B148" s="18" t="str">
        <f>IFERROR(__xludf.DUMMYFUNCTION("""COMPUTED_VALUE"""),"Aarav Mehta")</f>
        <v>Aarav Mehta</v>
      </c>
      <c r="C148" s="18" t="str">
        <f>IFERROR(__xludf.DUMMYFUNCTION("""COMPUTED_VALUE"""),"Andheri")</f>
        <v>Andheri</v>
      </c>
      <c r="D148" s="18" t="str">
        <f>IFERROR(__xludf.DUMMYFUNCTION("""COMPUTED_VALUE"""),"Juice")</f>
        <v>Juice</v>
      </c>
      <c r="E148" s="18">
        <f>IFERROR(__xludf.DUMMYFUNCTION("""COMPUTED_VALUE"""),5.0)</f>
        <v>5</v>
      </c>
      <c r="F148" s="18" t="str">
        <f>IFERROR(__xludf.DUMMYFUNCTION("""COMPUTED_VALUE"""),"Not Assigned")</f>
        <v>Not Assigned</v>
      </c>
      <c r="G148" s="19">
        <f>IFERROR(__xludf.DUMMYFUNCTION("""COMPUTED_VALUE"""),45228.0)</f>
        <v>45228</v>
      </c>
      <c r="H148" s="18" t="str">
        <f>IFERROR(__xludf.DUMMYFUNCTION("""COMPUTED_VALUE"""),"UPI")</f>
        <v>UPI</v>
      </c>
      <c r="I148" s="18" t="str">
        <f>IFERROR(__xludf.DUMMYFUNCTION("""COMPUTED_VALUE"""),"Cancelled")</f>
        <v>Cancelled</v>
      </c>
      <c r="J148" s="18" t="str">
        <f>IFERROR(__xludf.DUMMYFUNCTION("""COMPUTED_VALUE"""),"Payment Issues")</f>
        <v>Payment Issues</v>
      </c>
      <c r="K148" s="18"/>
      <c r="L148" s="18">
        <f>iferror(VLOOKUP($D148,Details!$A$2:$C$11,2,false),vlookup($D148,Details!$E$2:$G$11,2,false))</f>
        <v>90</v>
      </c>
      <c r="M148" s="18" t="str">
        <f>iferror(VLOOKUP($D148,Details!$A$2:$C$11,3,false),vlookup($D148,Details!$E$2:$G$11,3,false))</f>
        <v>Snacks and Drinks</v>
      </c>
      <c r="N148" s="18">
        <f t="shared" si="1"/>
        <v>450</v>
      </c>
      <c r="O148" s="17"/>
      <c r="P148" s="17"/>
      <c r="Q148" s="17"/>
      <c r="R148" s="17"/>
      <c r="S148" s="17"/>
      <c r="T148" s="17"/>
      <c r="U148" s="17"/>
      <c r="V148" s="17"/>
      <c r="W148" s="17"/>
      <c r="X148" s="17"/>
      <c r="Y148" s="17"/>
      <c r="Z148" s="17"/>
    </row>
    <row r="149">
      <c r="A149" s="18" t="str">
        <f>IFERROR(__xludf.DUMMYFUNCTION("""COMPUTED_VALUE"""),"ord_10148")</f>
        <v>ord_10148</v>
      </c>
      <c r="B149" s="18" t="str">
        <f>IFERROR(__xludf.DUMMYFUNCTION("""COMPUTED_VALUE"""),"Pallavi Ghosh")</f>
        <v>Pallavi Ghosh</v>
      </c>
      <c r="C149" s="18" t="str">
        <f>IFERROR(__xludf.DUMMYFUNCTION("""COMPUTED_VALUE"""),"Bandra")</f>
        <v>Bandra</v>
      </c>
      <c r="D149" s="18" t="str">
        <f>IFERROR(__xludf.DUMMYFUNCTION("""COMPUTED_VALUE"""),"Chicken Puff")</f>
        <v>Chicken Puff</v>
      </c>
      <c r="E149" s="18">
        <f>IFERROR(__xludf.DUMMYFUNCTION("""COMPUTED_VALUE"""),3.0)</f>
        <v>3</v>
      </c>
      <c r="F149" s="18" t="str">
        <f>IFERROR(__xludf.DUMMYFUNCTION("""COMPUTED_VALUE"""),"Sita T")</f>
        <v>Sita T</v>
      </c>
      <c r="G149" s="19">
        <f>IFERROR(__xludf.DUMMYFUNCTION("""COMPUTED_VALUE"""),44960.0)</f>
        <v>44960</v>
      </c>
      <c r="H149" s="18" t="str">
        <f>IFERROR(__xludf.DUMMYFUNCTION("""COMPUTED_VALUE"""),"Credit Card")</f>
        <v>Credit Card</v>
      </c>
      <c r="I149" s="18" t="str">
        <f>IFERROR(__xludf.DUMMYFUNCTION("""COMPUTED_VALUE"""),"Delivered")</f>
        <v>Delivered</v>
      </c>
      <c r="J149" s="18" t="str">
        <f>IFERROR(__xludf.DUMMYFUNCTION("""COMPUTED_VALUE"""),"On-time Delivery")</f>
        <v>On-time Delivery</v>
      </c>
      <c r="K149" s="18" t="str">
        <f>IFERROR(__xludf.DUMMYFUNCTION("""COMPUTED_VALUE"""),"Delivered on time")</f>
        <v>Delivered on time</v>
      </c>
      <c r="L149" s="18">
        <f>iferror(VLOOKUP($D149,Details!$A$2:$C$11,2,false),vlookup($D149,Details!$E$2:$G$11,2,false))</f>
        <v>90</v>
      </c>
      <c r="M149" s="18" t="str">
        <f>iferror(VLOOKUP($D149,Details!$A$2:$C$11,3,false),vlookup($D149,Details!$E$2:$G$11,3,false))</f>
        <v>Snacks and Drinks</v>
      </c>
      <c r="N149" s="18">
        <f t="shared" si="1"/>
        <v>270</v>
      </c>
      <c r="O149" s="17"/>
      <c r="P149" s="17"/>
      <c r="Q149" s="17"/>
      <c r="R149" s="17"/>
      <c r="S149" s="17"/>
      <c r="T149" s="17"/>
      <c r="U149" s="17"/>
      <c r="V149" s="17"/>
      <c r="W149" s="17"/>
      <c r="X149" s="17"/>
      <c r="Y149" s="17"/>
      <c r="Z149" s="17"/>
    </row>
    <row r="150">
      <c r="A150" s="18" t="str">
        <f>IFERROR(__xludf.DUMMYFUNCTION("""COMPUTED_VALUE"""),"ord_10149")</f>
        <v>ord_10149</v>
      </c>
      <c r="B150" s="18" t="str">
        <f>IFERROR(__xludf.DUMMYFUNCTION("""COMPUTED_VALUE"""),"Ishita Banerjee")</f>
        <v>Ishita Banerjee</v>
      </c>
      <c r="C150" s="18" t="str">
        <f>IFERROR(__xludf.DUMMYFUNCTION("""COMPUTED_VALUE"""),"Juhu")</f>
        <v>Juhu</v>
      </c>
      <c r="D150" s="18" t="str">
        <f>IFERROR(__xludf.DUMMYFUNCTION("""COMPUTED_VALUE"""),"Chicken Puff")</f>
        <v>Chicken Puff</v>
      </c>
      <c r="E150" s="18">
        <f>IFERROR(__xludf.DUMMYFUNCTION("""COMPUTED_VALUE"""),4.0)</f>
        <v>4</v>
      </c>
      <c r="F150" s="18" t="str">
        <f>IFERROR(__xludf.DUMMYFUNCTION("""COMPUTED_VALUE"""),"Not Assigned")</f>
        <v>Not Assigned</v>
      </c>
      <c r="G150" s="19">
        <f>IFERROR(__xludf.DUMMYFUNCTION("""COMPUTED_VALUE"""),45214.0)</f>
        <v>45214</v>
      </c>
      <c r="H150" s="18" t="str">
        <f>IFERROR(__xludf.DUMMYFUNCTION("""COMPUTED_VALUE"""),"UPI")</f>
        <v>UPI</v>
      </c>
      <c r="I150" s="18" t="str">
        <f>IFERROR(__xludf.DUMMYFUNCTION("""COMPUTED_VALUE"""),"Cancelled")</f>
        <v>Cancelled</v>
      </c>
      <c r="J150" s="18" t="str">
        <f>IFERROR(__xludf.DUMMYFUNCTION("""COMPUTED_VALUE"""),"Out of Stock")</f>
        <v>Out of Stock</v>
      </c>
      <c r="K150" s="18"/>
      <c r="L150" s="18">
        <f>iferror(VLOOKUP($D150,Details!$A$2:$C$11,2,false),vlookup($D150,Details!$E$2:$G$11,2,false))</f>
        <v>90</v>
      </c>
      <c r="M150" s="18" t="str">
        <f>iferror(VLOOKUP($D150,Details!$A$2:$C$11,3,false),vlookup($D150,Details!$E$2:$G$11,3,false))</f>
        <v>Snacks and Drinks</v>
      </c>
      <c r="N150" s="18">
        <f t="shared" si="1"/>
        <v>360</v>
      </c>
      <c r="O150" s="17"/>
      <c r="P150" s="17"/>
      <c r="Q150" s="17"/>
      <c r="R150" s="17"/>
      <c r="S150" s="17"/>
      <c r="T150" s="17"/>
      <c r="U150" s="17"/>
      <c r="V150" s="17"/>
      <c r="W150" s="17"/>
      <c r="X150" s="17"/>
      <c r="Y150" s="17"/>
      <c r="Z150" s="17"/>
    </row>
    <row r="151">
      <c r="A151" s="18" t="str">
        <f>IFERROR(__xludf.DUMMYFUNCTION("""COMPUTED_VALUE"""),"ord_10150")</f>
        <v>ord_10150</v>
      </c>
      <c r="B151" s="18" t="str">
        <f>IFERROR(__xludf.DUMMYFUNCTION("""COMPUTED_VALUE"""),"Diya Arora")</f>
        <v>Diya Arora</v>
      </c>
      <c r="C151" s="18" t="str">
        <f>IFERROR(__xludf.DUMMYFUNCTION("""COMPUTED_VALUE"""),"Lower Parel")</f>
        <v>Lower Parel</v>
      </c>
      <c r="D151" s="18" t="str">
        <f>IFERROR(__xludf.DUMMYFUNCTION("""COMPUTED_VALUE"""),"Banana")</f>
        <v>Banana</v>
      </c>
      <c r="E151" s="18">
        <f>IFERROR(__xludf.DUMMYFUNCTION("""COMPUTED_VALUE"""),2.0)</f>
        <v>2</v>
      </c>
      <c r="F151" s="18" t="str">
        <f>IFERROR(__xludf.DUMMYFUNCTION("""COMPUTED_VALUE"""),"Kiran Mehta")</f>
        <v>Kiran Mehta</v>
      </c>
      <c r="G151" s="19">
        <f>IFERROR(__xludf.DUMMYFUNCTION("""COMPUTED_VALUE"""),45196.0)</f>
        <v>45196</v>
      </c>
      <c r="H151" s="18" t="str">
        <f>IFERROR(__xludf.DUMMYFUNCTION("""COMPUTED_VALUE"""),"UPI")</f>
        <v>UPI</v>
      </c>
      <c r="I151" s="18" t="str">
        <f>IFERROR(__xludf.DUMMYFUNCTION("""COMPUTED_VALUE"""),"Delivered")</f>
        <v>Delivered</v>
      </c>
      <c r="J151" s="18" t="str">
        <f>IFERROR(__xludf.DUMMYFUNCTION("""COMPUTED_VALUE"""),"Quality of Items")</f>
        <v>Quality of Items</v>
      </c>
      <c r="K151" s="18" t="str">
        <f>IFERROR(__xludf.DUMMYFUNCTION("""COMPUTED_VALUE"""),"Perfect condition")</f>
        <v>Perfect condition</v>
      </c>
      <c r="L151" s="18">
        <f>iferror(VLOOKUP($D151,Details!$A$2:$C$11,2,false),vlookup($D151,Details!$E$2:$G$11,2,false))</f>
        <v>80</v>
      </c>
      <c r="M151" s="18" t="str">
        <f>iferror(VLOOKUP($D151,Details!$A$2:$C$11,3,false),vlookup($D151,Details!$E$2:$G$11,3,false))</f>
        <v>Fruits and Vegetables</v>
      </c>
      <c r="N151" s="18">
        <f t="shared" si="1"/>
        <v>160</v>
      </c>
      <c r="O151" s="17"/>
      <c r="P151" s="17"/>
      <c r="Q151" s="17"/>
      <c r="R151" s="17"/>
      <c r="S151" s="17"/>
      <c r="T151" s="17"/>
      <c r="U151" s="17"/>
      <c r="V151" s="17"/>
      <c r="W151" s="17"/>
      <c r="X151" s="17"/>
      <c r="Y151" s="17"/>
      <c r="Z151" s="17"/>
    </row>
    <row r="152">
      <c r="A152" s="18" t="str">
        <f>IFERROR(__xludf.DUMMYFUNCTION("""COMPUTED_VALUE"""),"ord_10151")</f>
        <v>ord_10151</v>
      </c>
      <c r="B152" s="18" t="str">
        <f>IFERROR(__xludf.DUMMYFUNCTION("""COMPUTED_VALUE"""),"Mohit Malhotra")</f>
        <v>Mohit Malhotra</v>
      </c>
      <c r="C152" s="18" t="str">
        <f>IFERROR(__xludf.DUMMYFUNCTION("""COMPUTED_VALUE"""),"Lower Parel")</f>
        <v>Lower Parel</v>
      </c>
      <c r="D152" s="18" t="str">
        <f>IFERROR(__xludf.DUMMYFUNCTION("""COMPUTED_VALUE"""),"Papaya")</f>
        <v>Papaya</v>
      </c>
      <c r="E152" s="18">
        <f>IFERROR(__xludf.DUMMYFUNCTION("""COMPUTED_VALUE"""),1.0)</f>
        <v>1</v>
      </c>
      <c r="F152" s="18" t="str">
        <f>IFERROR(__xludf.DUMMYFUNCTION("""COMPUTED_VALUE"""),"Ram Gopal")</f>
        <v>Ram Gopal</v>
      </c>
      <c r="G152" s="19">
        <f>IFERROR(__xludf.DUMMYFUNCTION("""COMPUTED_VALUE"""),45116.0)</f>
        <v>45116</v>
      </c>
      <c r="H152" s="18" t="str">
        <f>IFERROR(__xludf.DUMMYFUNCTION("""COMPUTED_VALUE"""),"COD")</f>
        <v>COD</v>
      </c>
      <c r="I152" s="18" t="str">
        <f>IFERROR(__xludf.DUMMYFUNCTION("""COMPUTED_VALUE"""),"Delivered")</f>
        <v>Delivered</v>
      </c>
      <c r="J152" s="18" t="str">
        <f>IFERROR(__xludf.DUMMYFUNCTION("""COMPUTED_VALUE"""),"Packaging")</f>
        <v>Packaging</v>
      </c>
      <c r="K152" s="18" t="str">
        <f>IFERROR(__xludf.DUMMYFUNCTION("""COMPUTED_VALUE"""),"Secure and intact")</f>
        <v>Secure and intact</v>
      </c>
      <c r="L152" s="18">
        <f>iferror(VLOOKUP($D152,Details!$A$2:$C$11,2,false),vlookup($D152,Details!$E$2:$G$11,2,false))</f>
        <v>75</v>
      </c>
      <c r="M152" s="18" t="str">
        <f>iferror(VLOOKUP($D152,Details!$A$2:$C$11,3,false),vlookup($D152,Details!$E$2:$G$11,3,false))</f>
        <v>Fruits and Vegetables</v>
      </c>
      <c r="N152" s="18">
        <f t="shared" si="1"/>
        <v>75</v>
      </c>
      <c r="O152" s="17"/>
      <c r="P152" s="17"/>
      <c r="Q152" s="17"/>
      <c r="R152" s="17"/>
      <c r="S152" s="17"/>
      <c r="T152" s="17"/>
      <c r="U152" s="17"/>
      <c r="V152" s="17"/>
      <c r="W152" s="17"/>
      <c r="X152" s="17"/>
      <c r="Y152" s="17"/>
      <c r="Z152" s="17"/>
    </row>
    <row r="153">
      <c r="A153" s="18" t="str">
        <f>IFERROR(__xludf.DUMMYFUNCTION("""COMPUTED_VALUE"""),"ord_10152")</f>
        <v>ord_10152</v>
      </c>
      <c r="B153" s="18" t="str">
        <f>IFERROR(__xludf.DUMMYFUNCTION("""COMPUTED_VALUE"""),"Omkar Mishra")</f>
        <v>Omkar Mishra</v>
      </c>
      <c r="C153" s="18" t="str">
        <f>IFERROR(__xludf.DUMMYFUNCTION("""COMPUTED_VALUE"""),"Powai")</f>
        <v>Powai</v>
      </c>
      <c r="D153" s="18" t="str">
        <f>IFERROR(__xludf.DUMMYFUNCTION("""COMPUTED_VALUE"""),"Popcorn")</f>
        <v>Popcorn</v>
      </c>
      <c r="E153" s="18">
        <f>IFERROR(__xludf.DUMMYFUNCTION("""COMPUTED_VALUE"""),3.0)</f>
        <v>3</v>
      </c>
      <c r="F153" s="18" t="str">
        <f>IFERROR(__xludf.DUMMYFUNCTION("""COMPUTED_VALUE"""),"Ram Gopal")</f>
        <v>Ram Gopal</v>
      </c>
      <c r="G153" s="19">
        <f>IFERROR(__xludf.DUMMYFUNCTION("""COMPUTED_VALUE"""),45154.0)</f>
        <v>45154</v>
      </c>
      <c r="H153" s="18" t="str">
        <f>IFERROR(__xludf.DUMMYFUNCTION("""COMPUTED_VALUE"""),"UPI")</f>
        <v>UPI</v>
      </c>
      <c r="I153" s="18" t="str">
        <f>IFERROR(__xludf.DUMMYFUNCTION("""COMPUTED_VALUE"""),"Delivered")</f>
        <v>Delivered</v>
      </c>
      <c r="J153" s="18" t="str">
        <f>IFERROR(__xludf.DUMMYFUNCTION("""COMPUTED_VALUE"""),"Satisfied with the Delivery")</f>
        <v>Satisfied with the Delivery</v>
      </c>
      <c r="K153" s="18" t="str">
        <f>IFERROR(__xludf.DUMMYFUNCTION("""COMPUTED_VALUE"""),"Timely and quality")</f>
        <v>Timely and quality</v>
      </c>
      <c r="L153" s="18">
        <f>iferror(VLOOKUP($D153,Details!$A$2:$C$11,2,false),vlookup($D153,Details!$E$2:$G$11,2,false))</f>
        <v>150</v>
      </c>
      <c r="M153" s="18" t="str">
        <f>iferror(VLOOKUP($D153,Details!$A$2:$C$11,3,false),vlookup($D153,Details!$E$2:$G$11,3,false))</f>
        <v>Snacks and Drinks</v>
      </c>
      <c r="N153" s="18">
        <f t="shared" si="1"/>
        <v>450</v>
      </c>
      <c r="O153" s="17"/>
      <c r="P153" s="17"/>
      <c r="Q153" s="17"/>
      <c r="R153" s="17"/>
      <c r="S153" s="17"/>
      <c r="T153" s="17"/>
      <c r="U153" s="17"/>
      <c r="V153" s="17"/>
      <c r="W153" s="17"/>
      <c r="X153" s="17"/>
      <c r="Y153" s="17"/>
      <c r="Z153" s="17"/>
    </row>
    <row r="154">
      <c r="A154" s="18" t="str">
        <f>IFERROR(__xludf.DUMMYFUNCTION("""COMPUTED_VALUE"""),"ord_10153")</f>
        <v>ord_10153</v>
      </c>
      <c r="B154" s="18" t="str">
        <f>IFERROR(__xludf.DUMMYFUNCTION("""COMPUTED_VALUE"""),"Aarohi Kapoor")</f>
        <v>Aarohi Kapoor</v>
      </c>
      <c r="C154" s="18" t="str">
        <f>IFERROR(__xludf.DUMMYFUNCTION("""COMPUTED_VALUE"""),"Bandra")</f>
        <v>Bandra</v>
      </c>
      <c r="D154" s="18" t="str">
        <f>IFERROR(__xludf.DUMMYFUNCTION("""COMPUTED_VALUE"""),"Rasmalai")</f>
        <v>Rasmalai</v>
      </c>
      <c r="E154" s="18">
        <f>IFERROR(__xludf.DUMMYFUNCTION("""COMPUTED_VALUE"""),4.0)</f>
        <v>4</v>
      </c>
      <c r="F154" s="18" t="str">
        <f>IFERROR(__xludf.DUMMYFUNCTION("""COMPUTED_VALUE"""),"Priya Joshi")</f>
        <v>Priya Joshi</v>
      </c>
      <c r="G154" s="19">
        <f>IFERROR(__xludf.DUMMYFUNCTION("""COMPUTED_VALUE"""),45274.0)</f>
        <v>45274</v>
      </c>
      <c r="H154" s="18" t="str">
        <f>IFERROR(__xludf.DUMMYFUNCTION("""COMPUTED_VALUE"""),"UPI")</f>
        <v>UPI</v>
      </c>
      <c r="I154" s="18" t="str">
        <f>IFERROR(__xludf.DUMMYFUNCTION("""COMPUTED_VALUE"""),"Delivered")</f>
        <v>Delivered</v>
      </c>
      <c r="J154" s="18" t="str">
        <f>IFERROR(__xludf.DUMMYFUNCTION("""COMPUTED_VALUE"""),"Customer Service")</f>
        <v>Customer Service</v>
      </c>
      <c r="K154" s="18" t="str">
        <f>IFERROR(__xludf.DUMMYFUNCTION("""COMPUTED_VALUE"""),"Seamless and easy")</f>
        <v>Seamless and easy</v>
      </c>
      <c r="L154" s="18">
        <f>iferror(VLOOKUP($D154,Details!$A$2:$C$11,2,false),vlookup($D154,Details!$E$2:$G$11,2,false))</f>
        <v>110</v>
      </c>
      <c r="M154" s="18" t="str">
        <f>iferror(VLOOKUP($D154,Details!$A$2:$C$11,3,false),vlookup($D154,Details!$E$2:$G$11,3,false))</f>
        <v>Snacks and Drinks</v>
      </c>
      <c r="N154" s="18">
        <f t="shared" si="1"/>
        <v>440</v>
      </c>
      <c r="O154" s="17"/>
      <c r="P154" s="17"/>
      <c r="Q154" s="17"/>
      <c r="R154" s="17"/>
      <c r="S154" s="17"/>
      <c r="T154" s="17"/>
      <c r="U154" s="17"/>
      <c r="V154" s="17"/>
      <c r="W154" s="17"/>
      <c r="X154" s="17"/>
      <c r="Y154" s="17"/>
      <c r="Z154" s="17"/>
    </row>
    <row r="155">
      <c r="A155" s="18" t="str">
        <f>IFERROR(__xludf.DUMMYFUNCTION("""COMPUTED_VALUE"""),"ord_10154")</f>
        <v>ord_10154</v>
      </c>
      <c r="B155" s="18" t="str">
        <f>IFERROR(__xludf.DUMMYFUNCTION("""COMPUTED_VALUE"""),"Pallavi Ghosh")</f>
        <v>Pallavi Ghosh</v>
      </c>
      <c r="C155" s="18" t="str">
        <f>IFERROR(__xludf.DUMMYFUNCTION("""COMPUTED_VALUE"""),"Bandra")</f>
        <v>Bandra</v>
      </c>
      <c r="D155" s="18" t="str">
        <f>IFERROR(__xludf.DUMMYFUNCTION("""COMPUTED_VALUE"""),"Onion")</f>
        <v>Onion</v>
      </c>
      <c r="E155" s="18">
        <f>IFERROR(__xludf.DUMMYFUNCTION("""COMPUTED_VALUE"""),1.0)</f>
        <v>1</v>
      </c>
      <c r="F155" s="18" t="str">
        <f>IFERROR(__xludf.DUMMYFUNCTION("""COMPUTED_VALUE"""),"Vivek Kumar")</f>
        <v>Vivek Kumar</v>
      </c>
      <c r="G155" s="19">
        <f>IFERROR(__xludf.DUMMYFUNCTION("""COMPUTED_VALUE"""),45117.0)</f>
        <v>45117</v>
      </c>
      <c r="H155" s="18" t="str">
        <f>IFERROR(__xludf.DUMMYFUNCTION("""COMPUTED_VALUE"""),"Online Payment")</f>
        <v>Online Payment</v>
      </c>
      <c r="I155" s="18" t="str">
        <f>IFERROR(__xludf.DUMMYFUNCTION("""COMPUTED_VALUE"""),"Delivered")</f>
        <v>Delivered</v>
      </c>
      <c r="J155" s="18" t="str">
        <f>IFERROR(__xludf.DUMMYFUNCTION("""COMPUTED_VALUE"""),"Delivery Experience")</f>
        <v>Delivery Experience</v>
      </c>
      <c r="K155" s="18" t="str">
        <f>IFERROR(__xludf.DUMMYFUNCTION("""COMPUTED_VALUE"""),"Quick and professional")</f>
        <v>Quick and professional</v>
      </c>
      <c r="L155" s="18">
        <f>iferror(VLOOKUP($D155,Details!$A$2:$C$11,2,false),vlookup($D155,Details!$E$2:$G$11,2,false))</f>
        <v>84</v>
      </c>
      <c r="M155" s="18" t="str">
        <f>iferror(VLOOKUP($D155,Details!$A$2:$C$11,3,false),vlookup($D155,Details!$E$2:$G$11,3,false))</f>
        <v>Fruits and Vegetables</v>
      </c>
      <c r="N155" s="18">
        <f t="shared" si="1"/>
        <v>84</v>
      </c>
      <c r="O155" s="17"/>
      <c r="P155" s="17"/>
      <c r="Q155" s="17"/>
      <c r="R155" s="17"/>
      <c r="S155" s="17"/>
      <c r="T155" s="17"/>
      <c r="U155" s="17"/>
      <c r="V155" s="17"/>
      <c r="W155" s="17"/>
      <c r="X155" s="17"/>
      <c r="Y155" s="17"/>
      <c r="Z155" s="17"/>
    </row>
    <row r="156">
      <c r="A156" s="18" t="str">
        <f>IFERROR(__xludf.DUMMYFUNCTION("""COMPUTED_VALUE"""),"ord_10155")</f>
        <v>ord_10155</v>
      </c>
      <c r="B156" s="18" t="str">
        <f>IFERROR(__xludf.DUMMYFUNCTION("""COMPUTED_VALUE"""),"Aarav Mehta")</f>
        <v>Aarav Mehta</v>
      </c>
      <c r="C156" s="18" t="str">
        <f>IFERROR(__xludf.DUMMYFUNCTION("""COMPUTED_VALUE"""),"Andheri")</f>
        <v>Andheri</v>
      </c>
      <c r="D156" s="18" t="str">
        <f>IFERROR(__xludf.DUMMYFUNCTION("""COMPUTED_VALUE"""),"Orange")</f>
        <v>Orange</v>
      </c>
      <c r="E156" s="18">
        <f>IFERROR(__xludf.DUMMYFUNCTION("""COMPUTED_VALUE"""),1.0)</f>
        <v>1</v>
      </c>
      <c r="F156" s="18" t="str">
        <f>IFERROR(__xludf.DUMMYFUNCTION("""COMPUTED_VALUE"""),"Vivek Kumar")</f>
        <v>Vivek Kumar</v>
      </c>
      <c r="G156" s="19">
        <f>IFERROR(__xludf.DUMMYFUNCTION("""COMPUTED_VALUE"""),45083.0)</f>
        <v>45083</v>
      </c>
      <c r="H156" s="18" t="str">
        <f>IFERROR(__xludf.DUMMYFUNCTION("""COMPUTED_VALUE"""),"UPI")</f>
        <v>UPI</v>
      </c>
      <c r="I156" s="18" t="str">
        <f>IFERROR(__xludf.DUMMYFUNCTION("""COMPUTED_VALUE"""),"Delivered")</f>
        <v>Delivered</v>
      </c>
      <c r="J156" s="18" t="str">
        <f>IFERROR(__xludf.DUMMYFUNCTION("""COMPUTED_VALUE"""),"Convenience")</f>
        <v>Convenience</v>
      </c>
      <c r="K156" s="18" t="str">
        <f>IFERROR(__xludf.DUMMYFUNCTION("""COMPUTED_VALUE"""),"Easy tracking")</f>
        <v>Easy tracking</v>
      </c>
      <c r="L156" s="18">
        <f>iferror(VLOOKUP($D156,Details!$A$2:$C$11,2,false),vlookup($D156,Details!$E$2:$G$11,2,false))</f>
        <v>180</v>
      </c>
      <c r="M156" s="18" t="str">
        <f>iferror(VLOOKUP($D156,Details!$A$2:$C$11,3,false),vlookup($D156,Details!$E$2:$G$11,3,false))</f>
        <v>Fruits and Vegetables</v>
      </c>
      <c r="N156" s="18">
        <f t="shared" si="1"/>
        <v>180</v>
      </c>
      <c r="O156" s="17"/>
      <c r="P156" s="17"/>
      <c r="Q156" s="17"/>
      <c r="R156" s="17"/>
      <c r="S156" s="17"/>
      <c r="T156" s="17"/>
      <c r="U156" s="17"/>
      <c r="V156" s="17"/>
      <c r="W156" s="17"/>
      <c r="X156" s="17"/>
      <c r="Y156" s="17"/>
      <c r="Z156" s="17"/>
    </row>
    <row r="157">
      <c r="A157" s="18" t="str">
        <f>IFERROR(__xludf.DUMMYFUNCTION("""COMPUTED_VALUE"""),"ord_10156")</f>
        <v>ord_10156</v>
      </c>
      <c r="B157" s="18" t="str">
        <f>IFERROR(__xludf.DUMMYFUNCTION("""COMPUTED_VALUE"""),"Omkar Mishra")</f>
        <v>Omkar Mishra</v>
      </c>
      <c r="C157" s="18" t="str">
        <f>IFERROR(__xludf.DUMMYFUNCTION("""COMPUTED_VALUE"""),"Powai")</f>
        <v>Powai</v>
      </c>
      <c r="D157" s="18" t="str">
        <f>IFERROR(__xludf.DUMMYFUNCTION("""COMPUTED_VALUE"""),"Papaya")</f>
        <v>Papaya</v>
      </c>
      <c r="E157" s="18">
        <f>IFERROR(__xludf.DUMMYFUNCTION("""COMPUTED_VALUE"""),2.0)</f>
        <v>2</v>
      </c>
      <c r="F157" s="18" t="str">
        <f>IFERROR(__xludf.DUMMYFUNCTION("""COMPUTED_VALUE"""),"Sita T")</f>
        <v>Sita T</v>
      </c>
      <c r="G157" s="19">
        <f>IFERROR(__xludf.DUMMYFUNCTION("""COMPUTED_VALUE"""),45117.0)</f>
        <v>45117</v>
      </c>
      <c r="H157" s="18" t="str">
        <f>IFERROR(__xludf.DUMMYFUNCTION("""COMPUTED_VALUE"""),"Online Payment")</f>
        <v>Online Payment</v>
      </c>
      <c r="I157" s="18" t="str">
        <f>IFERROR(__xludf.DUMMYFUNCTION("""COMPUTED_VALUE"""),"Delivered")</f>
        <v>Delivered</v>
      </c>
      <c r="J157" s="18" t="str">
        <f>IFERROR(__xludf.DUMMYFUNCTION("""COMPUTED_VALUE"""),"Overall Satisfaction")</f>
        <v>Overall Satisfaction</v>
      </c>
      <c r="K157" s="18" t="str">
        <f>IFERROR(__xludf.DUMMYFUNCTION("""COMPUTED_VALUE"""),"Great service will order again")</f>
        <v>Great service will order again</v>
      </c>
      <c r="L157" s="18">
        <f>iferror(VLOOKUP($D157,Details!$A$2:$C$11,2,false),vlookup($D157,Details!$E$2:$G$11,2,false))</f>
        <v>75</v>
      </c>
      <c r="M157" s="18" t="str">
        <f>iferror(VLOOKUP($D157,Details!$A$2:$C$11,3,false),vlookup($D157,Details!$E$2:$G$11,3,false))</f>
        <v>Fruits and Vegetables</v>
      </c>
      <c r="N157" s="18">
        <f t="shared" si="1"/>
        <v>150</v>
      </c>
      <c r="O157" s="17"/>
      <c r="P157" s="17"/>
      <c r="Q157" s="17"/>
      <c r="R157" s="17"/>
      <c r="S157" s="17"/>
      <c r="T157" s="17"/>
      <c r="U157" s="17"/>
      <c r="V157" s="17"/>
      <c r="W157" s="17"/>
      <c r="X157" s="17"/>
      <c r="Y157" s="17"/>
      <c r="Z157" s="17"/>
    </row>
    <row r="158">
      <c r="A158" s="18" t="str">
        <f>IFERROR(__xludf.DUMMYFUNCTION("""COMPUTED_VALUE"""),"ord_10157")</f>
        <v>ord_10157</v>
      </c>
      <c r="B158" s="18" t="str">
        <f>IFERROR(__xludf.DUMMYFUNCTION("""COMPUTED_VALUE"""),"Tanishq Bansal")</f>
        <v>Tanishq Bansal</v>
      </c>
      <c r="C158" s="18" t="str">
        <f>IFERROR(__xludf.DUMMYFUNCTION("""COMPUTED_VALUE"""),"Powai")</f>
        <v>Powai</v>
      </c>
      <c r="D158" s="18" t="str">
        <f>IFERROR(__xludf.DUMMYFUNCTION("""COMPUTED_VALUE"""),"Chocolate Mousse")</f>
        <v>Chocolate Mousse</v>
      </c>
      <c r="E158" s="18">
        <f>IFERROR(__xludf.DUMMYFUNCTION("""COMPUTED_VALUE"""),5.0)</f>
        <v>5</v>
      </c>
      <c r="F158" s="18" t="str">
        <f>IFERROR(__xludf.DUMMYFUNCTION("""COMPUTED_VALUE"""),"Venu R")</f>
        <v>Venu R</v>
      </c>
      <c r="G158" s="19">
        <f>IFERROR(__xludf.DUMMYFUNCTION("""COMPUTED_VALUE"""),45197.0)</f>
        <v>45197</v>
      </c>
      <c r="H158" s="18" t="str">
        <f>IFERROR(__xludf.DUMMYFUNCTION("""COMPUTED_VALUE"""),"Online Payment")</f>
        <v>Online Payment</v>
      </c>
      <c r="I158" s="18" t="str">
        <f>IFERROR(__xludf.DUMMYFUNCTION("""COMPUTED_VALUE"""),"Delivered")</f>
        <v>Delivered</v>
      </c>
      <c r="J158" s="18" t="str">
        <f>IFERROR(__xludf.DUMMYFUNCTION("""COMPUTED_VALUE"""),"On-time Delivery")</f>
        <v>On-time Delivery</v>
      </c>
      <c r="K158" s="18" t="str">
        <f>IFERROR(__xludf.DUMMYFUNCTION("""COMPUTED_VALUE"""),"Delivered on time")</f>
        <v>Delivered on time</v>
      </c>
      <c r="L158" s="18">
        <f>iferror(VLOOKUP($D158,Details!$A$2:$C$11,2,false),vlookup($D158,Details!$E$2:$G$11,2,false))</f>
        <v>145</v>
      </c>
      <c r="M158" s="18" t="str">
        <f>iferror(VLOOKUP($D158,Details!$A$2:$C$11,3,false),vlookup($D158,Details!$E$2:$G$11,3,false))</f>
        <v>Snacks and Drinks</v>
      </c>
      <c r="N158" s="18">
        <f t="shared" si="1"/>
        <v>725</v>
      </c>
      <c r="O158" s="17"/>
      <c r="P158" s="17"/>
      <c r="Q158" s="17"/>
      <c r="R158" s="17"/>
      <c r="S158" s="17"/>
      <c r="T158" s="17"/>
      <c r="U158" s="17"/>
      <c r="V158" s="17"/>
      <c r="W158" s="17"/>
      <c r="X158" s="17"/>
      <c r="Y158" s="17"/>
      <c r="Z158" s="17"/>
    </row>
    <row r="159">
      <c r="A159" s="18" t="str">
        <f>IFERROR(__xludf.DUMMYFUNCTION("""COMPUTED_VALUE"""),"ord_10158")</f>
        <v>ord_10158</v>
      </c>
      <c r="B159" s="18" t="str">
        <f>IFERROR(__xludf.DUMMYFUNCTION("""COMPUTED_VALUE"""),"Mohit Malhotra")</f>
        <v>Mohit Malhotra</v>
      </c>
      <c r="C159" s="18" t="str">
        <f>IFERROR(__xludf.DUMMYFUNCTION("""COMPUTED_VALUE"""),"Lower Parel")</f>
        <v>Lower Parel</v>
      </c>
      <c r="D159" s="18" t="str">
        <f>IFERROR(__xludf.DUMMYFUNCTION("""COMPUTED_VALUE"""),"Papaya")</f>
        <v>Papaya</v>
      </c>
      <c r="E159" s="18">
        <f>IFERROR(__xludf.DUMMYFUNCTION("""COMPUTED_VALUE"""),2.0)</f>
        <v>2</v>
      </c>
      <c r="F159" s="18" t="str">
        <f>IFERROR(__xludf.DUMMYFUNCTION("""COMPUTED_VALUE"""),"Venu R")</f>
        <v>Venu R</v>
      </c>
      <c r="G159" s="19">
        <f>IFERROR(__xludf.DUMMYFUNCTION("""COMPUTED_VALUE"""),45181.0)</f>
        <v>45181</v>
      </c>
      <c r="H159" s="18" t="str">
        <f>IFERROR(__xludf.DUMMYFUNCTION("""COMPUTED_VALUE"""),"UPI")</f>
        <v>UPI</v>
      </c>
      <c r="I159" s="18" t="str">
        <f>IFERROR(__xludf.DUMMYFUNCTION("""COMPUTED_VALUE"""),"Delivered")</f>
        <v>Delivered</v>
      </c>
      <c r="J159" s="18" t="str">
        <f>IFERROR(__xludf.DUMMYFUNCTION("""COMPUTED_VALUE"""),"Quality of Items")</f>
        <v>Quality of Items</v>
      </c>
      <c r="K159" s="18" t="str">
        <f>IFERROR(__xludf.DUMMYFUNCTION("""COMPUTED_VALUE"""),"Perfect condition")</f>
        <v>Perfect condition</v>
      </c>
      <c r="L159" s="18">
        <f>iferror(VLOOKUP($D159,Details!$A$2:$C$11,2,false),vlookup($D159,Details!$E$2:$G$11,2,false))</f>
        <v>75</v>
      </c>
      <c r="M159" s="18" t="str">
        <f>iferror(VLOOKUP($D159,Details!$A$2:$C$11,3,false),vlookup($D159,Details!$E$2:$G$11,3,false))</f>
        <v>Fruits and Vegetables</v>
      </c>
      <c r="N159" s="18">
        <f t="shared" si="1"/>
        <v>150</v>
      </c>
      <c r="O159" s="17"/>
      <c r="P159" s="17"/>
      <c r="Q159" s="17"/>
      <c r="R159" s="17"/>
      <c r="S159" s="17"/>
      <c r="T159" s="17"/>
      <c r="U159" s="17"/>
      <c r="V159" s="17"/>
      <c r="W159" s="17"/>
      <c r="X159" s="17"/>
      <c r="Y159" s="17"/>
      <c r="Z159" s="17"/>
    </row>
    <row r="160">
      <c r="A160" s="18" t="str">
        <f>IFERROR(__xludf.DUMMYFUNCTION("""COMPUTED_VALUE"""),"ord_10159")</f>
        <v>ord_10159</v>
      </c>
      <c r="B160" s="18" t="str">
        <f>IFERROR(__xludf.DUMMYFUNCTION("""COMPUTED_VALUE"""),"Yash Verma")</f>
        <v>Yash Verma</v>
      </c>
      <c r="C160" s="18" t="str">
        <f>IFERROR(__xludf.DUMMYFUNCTION("""COMPUTED_VALUE"""),"Lower Parel")</f>
        <v>Lower Parel</v>
      </c>
      <c r="D160" s="18" t="str">
        <f>IFERROR(__xludf.DUMMYFUNCTION("""COMPUTED_VALUE"""),"Icecream")</f>
        <v>Icecream</v>
      </c>
      <c r="E160" s="18">
        <f>IFERROR(__xludf.DUMMYFUNCTION("""COMPUTED_VALUE"""),2.0)</f>
        <v>2</v>
      </c>
      <c r="F160" s="18" t="str">
        <f>IFERROR(__xludf.DUMMYFUNCTION("""COMPUTED_VALUE"""),"Ram Gopal")</f>
        <v>Ram Gopal</v>
      </c>
      <c r="G160" s="19">
        <f>IFERROR(__xludf.DUMMYFUNCTION("""COMPUTED_VALUE"""),45065.0)</f>
        <v>45065</v>
      </c>
      <c r="H160" s="18" t="str">
        <f>IFERROR(__xludf.DUMMYFUNCTION("""COMPUTED_VALUE"""),"UPI")</f>
        <v>UPI</v>
      </c>
      <c r="I160" s="18" t="str">
        <f>IFERROR(__xludf.DUMMYFUNCTION("""COMPUTED_VALUE"""),"Delivered")</f>
        <v>Delivered</v>
      </c>
      <c r="J160" s="18" t="str">
        <f>IFERROR(__xludf.DUMMYFUNCTION("""COMPUTED_VALUE"""),"Packaging")</f>
        <v>Packaging</v>
      </c>
      <c r="K160" s="18" t="str">
        <f>IFERROR(__xludf.DUMMYFUNCTION("""COMPUTED_VALUE"""),"Secure and intact")</f>
        <v>Secure and intact</v>
      </c>
      <c r="L160" s="18">
        <f>iferror(VLOOKUP($D160,Details!$A$2:$C$11,2,false),vlookup($D160,Details!$E$2:$G$11,2,false))</f>
        <v>90</v>
      </c>
      <c r="M160" s="18" t="str">
        <f>iferror(VLOOKUP($D160,Details!$A$2:$C$11,3,false),vlookup($D160,Details!$E$2:$G$11,3,false))</f>
        <v>Snacks and Drinks</v>
      </c>
      <c r="N160" s="18">
        <f t="shared" si="1"/>
        <v>180</v>
      </c>
      <c r="O160" s="17"/>
      <c r="P160" s="17"/>
      <c r="Q160" s="17"/>
      <c r="R160" s="17"/>
      <c r="S160" s="17"/>
      <c r="T160" s="17"/>
      <c r="U160" s="17"/>
      <c r="V160" s="17"/>
      <c r="W160" s="17"/>
      <c r="X160" s="17"/>
      <c r="Y160" s="17"/>
      <c r="Z160" s="17"/>
    </row>
    <row r="161">
      <c r="A161" s="18" t="str">
        <f>IFERROR(__xludf.DUMMYFUNCTION("""COMPUTED_VALUE"""),"ord_10160")</f>
        <v>ord_10160</v>
      </c>
      <c r="B161" s="18" t="str">
        <f>IFERROR(__xludf.DUMMYFUNCTION("""COMPUTED_VALUE"""),"Arvind Kulkarni")</f>
        <v>Arvind Kulkarni</v>
      </c>
      <c r="C161" s="18" t="str">
        <f>IFERROR(__xludf.DUMMYFUNCTION("""COMPUTED_VALUE"""),"Juhu")</f>
        <v>Juhu</v>
      </c>
      <c r="D161" s="18" t="str">
        <f>IFERROR(__xludf.DUMMYFUNCTION("""COMPUTED_VALUE"""),"Veg Puff")</f>
        <v>Veg Puff</v>
      </c>
      <c r="E161" s="18">
        <f>IFERROR(__xludf.DUMMYFUNCTION("""COMPUTED_VALUE"""),3.0)</f>
        <v>3</v>
      </c>
      <c r="F161" s="18" t="str">
        <f>IFERROR(__xludf.DUMMYFUNCTION("""COMPUTED_VALUE"""),"Kiran Mehta")</f>
        <v>Kiran Mehta</v>
      </c>
      <c r="G161" s="19">
        <f>IFERROR(__xludf.DUMMYFUNCTION("""COMPUTED_VALUE"""),45271.0)</f>
        <v>45271</v>
      </c>
      <c r="H161" s="18" t="str">
        <f>IFERROR(__xludf.DUMMYFUNCTION("""COMPUTED_VALUE"""),"Online Payment")</f>
        <v>Online Payment</v>
      </c>
      <c r="I161" s="18" t="str">
        <f>IFERROR(__xludf.DUMMYFUNCTION("""COMPUTED_VALUE"""),"Cancelled")</f>
        <v>Cancelled</v>
      </c>
      <c r="J161" s="18" t="str">
        <f>IFERROR(__xludf.DUMMYFUNCTION("""COMPUTED_VALUE"""),"Delayed Delivery")</f>
        <v>Delayed Delivery</v>
      </c>
      <c r="K161" s="18" t="str">
        <f>IFERROR(__xludf.DUMMYFUNCTION("""COMPUTED_VALUE"""),"Bad Weather Conditions")</f>
        <v>Bad Weather Conditions</v>
      </c>
      <c r="L161" s="18">
        <f>iferror(VLOOKUP($D161,Details!$A$2:$C$11,2,false),vlookup($D161,Details!$E$2:$G$11,2,false))</f>
        <v>80</v>
      </c>
      <c r="M161" s="18" t="str">
        <f>iferror(VLOOKUP($D161,Details!$A$2:$C$11,3,false),vlookup($D161,Details!$E$2:$G$11,3,false))</f>
        <v>Snacks and Drinks</v>
      </c>
      <c r="N161" s="18">
        <f t="shared" si="1"/>
        <v>240</v>
      </c>
      <c r="O161" s="17"/>
      <c r="P161" s="17"/>
      <c r="Q161" s="17"/>
      <c r="R161" s="17"/>
      <c r="S161" s="17"/>
      <c r="T161" s="17"/>
      <c r="U161" s="17"/>
      <c r="V161" s="17"/>
      <c r="W161" s="17"/>
      <c r="X161" s="17"/>
      <c r="Y161" s="17"/>
      <c r="Z161" s="17"/>
    </row>
    <row r="162">
      <c r="A162" s="18" t="str">
        <f>IFERROR(__xludf.DUMMYFUNCTION("""COMPUTED_VALUE"""),"ord_10161")</f>
        <v>ord_10161</v>
      </c>
      <c r="B162" s="18" t="str">
        <f>IFERROR(__xludf.DUMMYFUNCTION("""COMPUTED_VALUE"""),"Mohit Malhotra")</f>
        <v>Mohit Malhotra</v>
      </c>
      <c r="C162" s="18" t="str">
        <f>IFERROR(__xludf.DUMMYFUNCTION("""COMPUTED_VALUE"""),"Lower Parel")</f>
        <v>Lower Parel</v>
      </c>
      <c r="D162" s="18" t="str">
        <f>IFERROR(__xludf.DUMMYFUNCTION("""COMPUTED_VALUE"""),"Papaya")</f>
        <v>Papaya</v>
      </c>
      <c r="E162" s="18">
        <f>IFERROR(__xludf.DUMMYFUNCTION("""COMPUTED_VALUE"""),2.0)</f>
        <v>2</v>
      </c>
      <c r="F162" s="18" t="str">
        <f>IFERROR(__xludf.DUMMYFUNCTION("""COMPUTED_VALUE"""),"Kiran Mehta")</f>
        <v>Kiran Mehta</v>
      </c>
      <c r="G162" s="19">
        <f>IFERROR(__xludf.DUMMYFUNCTION("""COMPUTED_VALUE"""),45181.0)</f>
        <v>45181</v>
      </c>
      <c r="H162" s="18" t="str">
        <f>IFERROR(__xludf.DUMMYFUNCTION("""COMPUTED_VALUE"""),"Online Payment")</f>
        <v>Online Payment</v>
      </c>
      <c r="I162" s="18" t="str">
        <f>IFERROR(__xludf.DUMMYFUNCTION("""COMPUTED_VALUE"""),"Delivered")</f>
        <v>Delivered</v>
      </c>
      <c r="J162" s="18" t="str">
        <f>IFERROR(__xludf.DUMMYFUNCTION("""COMPUTED_VALUE"""),"Satisfied with the Delivery")</f>
        <v>Satisfied with the Delivery</v>
      </c>
      <c r="K162" s="18" t="str">
        <f>IFERROR(__xludf.DUMMYFUNCTION("""COMPUTED_VALUE"""),"Timely and quality")</f>
        <v>Timely and quality</v>
      </c>
      <c r="L162" s="18">
        <f>iferror(VLOOKUP($D162,Details!$A$2:$C$11,2,false),vlookup($D162,Details!$E$2:$G$11,2,false))</f>
        <v>75</v>
      </c>
      <c r="M162" s="18" t="str">
        <f>iferror(VLOOKUP($D162,Details!$A$2:$C$11,3,false),vlookup($D162,Details!$E$2:$G$11,3,false))</f>
        <v>Fruits and Vegetables</v>
      </c>
      <c r="N162" s="18">
        <f t="shared" si="1"/>
        <v>150</v>
      </c>
      <c r="O162" s="17"/>
      <c r="P162" s="17"/>
      <c r="Q162" s="17"/>
      <c r="R162" s="17"/>
      <c r="S162" s="17"/>
      <c r="T162" s="17"/>
      <c r="U162" s="17"/>
      <c r="V162" s="17"/>
      <c r="W162" s="17"/>
      <c r="X162" s="17"/>
      <c r="Y162" s="17"/>
      <c r="Z162" s="17"/>
    </row>
    <row r="163">
      <c r="A163" s="18" t="str">
        <f>IFERROR(__xludf.DUMMYFUNCTION("""COMPUTED_VALUE"""),"ord_10162")</f>
        <v>ord_10162</v>
      </c>
      <c r="B163" s="18" t="str">
        <f>IFERROR(__xludf.DUMMYFUNCTION("""COMPUTED_VALUE"""),"Ishita Banerjee")</f>
        <v>Ishita Banerjee</v>
      </c>
      <c r="C163" s="18" t="str">
        <f>IFERROR(__xludf.DUMMYFUNCTION("""COMPUTED_VALUE"""),"Juhu")</f>
        <v>Juhu</v>
      </c>
      <c r="D163" s="18" t="str">
        <f>IFERROR(__xludf.DUMMYFUNCTION("""COMPUTED_VALUE"""),"Onion")</f>
        <v>Onion</v>
      </c>
      <c r="E163" s="18">
        <f>IFERROR(__xludf.DUMMYFUNCTION("""COMPUTED_VALUE"""),2.0)</f>
        <v>2</v>
      </c>
      <c r="F163" s="18" t="str">
        <f>IFERROR(__xludf.DUMMYFUNCTION("""COMPUTED_VALUE"""),"Ram Gopal")</f>
        <v>Ram Gopal</v>
      </c>
      <c r="G163" s="19">
        <f>IFERROR(__xludf.DUMMYFUNCTION("""COMPUTED_VALUE"""),45205.0)</f>
        <v>45205</v>
      </c>
      <c r="H163" s="18" t="str">
        <f>IFERROR(__xludf.DUMMYFUNCTION("""COMPUTED_VALUE"""),"Online Payment")</f>
        <v>Online Payment</v>
      </c>
      <c r="I163" s="18" t="str">
        <f>IFERROR(__xludf.DUMMYFUNCTION("""COMPUTED_VALUE"""),"Delivered")</f>
        <v>Delivered</v>
      </c>
      <c r="J163" s="18" t="str">
        <f>IFERROR(__xludf.DUMMYFUNCTION("""COMPUTED_VALUE"""),"Customer Service")</f>
        <v>Customer Service</v>
      </c>
      <c r="K163" s="18" t="str">
        <f>IFERROR(__xludf.DUMMYFUNCTION("""COMPUTED_VALUE"""),"Seamless and easy")</f>
        <v>Seamless and easy</v>
      </c>
      <c r="L163" s="18">
        <f>iferror(VLOOKUP($D163,Details!$A$2:$C$11,2,false),vlookup($D163,Details!$E$2:$G$11,2,false))</f>
        <v>84</v>
      </c>
      <c r="M163" s="18" t="str">
        <f>iferror(VLOOKUP($D163,Details!$A$2:$C$11,3,false),vlookup($D163,Details!$E$2:$G$11,3,false))</f>
        <v>Fruits and Vegetables</v>
      </c>
      <c r="N163" s="18">
        <f t="shared" si="1"/>
        <v>168</v>
      </c>
      <c r="O163" s="17"/>
      <c r="P163" s="17"/>
      <c r="Q163" s="17"/>
      <c r="R163" s="17"/>
      <c r="S163" s="17"/>
      <c r="T163" s="17"/>
      <c r="U163" s="17"/>
      <c r="V163" s="17"/>
      <c r="W163" s="17"/>
      <c r="X163" s="17"/>
      <c r="Y163" s="17"/>
      <c r="Z163" s="17"/>
    </row>
    <row r="164">
      <c r="A164" s="18" t="str">
        <f>IFERROR(__xludf.DUMMYFUNCTION("""COMPUTED_VALUE"""),"ord_10163")</f>
        <v>ord_10163</v>
      </c>
      <c r="B164" s="18" t="str">
        <f>IFERROR(__xludf.DUMMYFUNCTION("""COMPUTED_VALUE"""),"Leena Das")</f>
        <v>Leena Das</v>
      </c>
      <c r="C164" s="18" t="str">
        <f>IFERROR(__xludf.DUMMYFUNCTION("""COMPUTED_VALUE"""),"Andheri")</f>
        <v>Andheri</v>
      </c>
      <c r="D164" s="18" t="str">
        <f>IFERROR(__xludf.DUMMYFUNCTION("""COMPUTED_VALUE"""),"Tomato")</f>
        <v>Tomato</v>
      </c>
      <c r="E164" s="18">
        <f>IFERROR(__xludf.DUMMYFUNCTION("""COMPUTED_VALUE"""),3.0)</f>
        <v>3</v>
      </c>
      <c r="F164" s="18" t="str">
        <f>IFERROR(__xludf.DUMMYFUNCTION("""COMPUTED_VALUE"""),"Ramesh S")</f>
        <v>Ramesh S</v>
      </c>
      <c r="G164" s="19">
        <f>IFERROR(__xludf.DUMMYFUNCTION("""COMPUTED_VALUE"""),45233.0)</f>
        <v>45233</v>
      </c>
      <c r="H164" s="18" t="str">
        <f>IFERROR(__xludf.DUMMYFUNCTION("""COMPUTED_VALUE"""),"UPI")</f>
        <v>UPI</v>
      </c>
      <c r="I164" s="18" t="str">
        <f>IFERROR(__xludf.DUMMYFUNCTION("""COMPUTED_VALUE"""),"Delivered")</f>
        <v>Delivered</v>
      </c>
      <c r="J164" s="18" t="str">
        <f>IFERROR(__xludf.DUMMYFUNCTION("""COMPUTED_VALUE"""),"Delivery Experience")</f>
        <v>Delivery Experience</v>
      </c>
      <c r="K164" s="18" t="str">
        <f>IFERROR(__xludf.DUMMYFUNCTION("""COMPUTED_VALUE"""),"Quick and professional")</f>
        <v>Quick and professional</v>
      </c>
      <c r="L164" s="18">
        <f>iferror(VLOOKUP($D164,Details!$A$2:$C$11,2,false),vlookup($D164,Details!$E$2:$G$11,2,false))</f>
        <v>25</v>
      </c>
      <c r="M164" s="18" t="str">
        <f>iferror(VLOOKUP($D164,Details!$A$2:$C$11,3,false),vlookup($D164,Details!$E$2:$G$11,3,false))</f>
        <v>Fruits and Vegetables</v>
      </c>
      <c r="N164" s="18">
        <f t="shared" si="1"/>
        <v>75</v>
      </c>
      <c r="O164" s="17"/>
      <c r="P164" s="17"/>
      <c r="Q164" s="17"/>
      <c r="R164" s="17"/>
      <c r="S164" s="17"/>
      <c r="T164" s="17"/>
      <c r="U164" s="17"/>
      <c r="V164" s="17"/>
      <c r="W164" s="17"/>
      <c r="X164" s="17"/>
      <c r="Y164" s="17"/>
      <c r="Z164" s="17"/>
    </row>
    <row r="165">
      <c r="A165" s="18" t="str">
        <f>IFERROR(__xludf.DUMMYFUNCTION("""COMPUTED_VALUE"""),"ord_10164")</f>
        <v>ord_10164</v>
      </c>
      <c r="B165" s="18" t="str">
        <f>IFERROR(__xludf.DUMMYFUNCTION("""COMPUTED_VALUE"""),"Sana Malik")</f>
        <v>Sana Malik</v>
      </c>
      <c r="C165" s="18" t="str">
        <f>IFERROR(__xludf.DUMMYFUNCTION("""COMPUTED_VALUE"""),"Powai")</f>
        <v>Powai</v>
      </c>
      <c r="D165" s="18" t="str">
        <f>IFERROR(__xludf.DUMMYFUNCTION("""COMPUTED_VALUE"""),"Tiramisu")</f>
        <v>Tiramisu</v>
      </c>
      <c r="E165" s="18">
        <f>IFERROR(__xludf.DUMMYFUNCTION("""COMPUTED_VALUE"""),6.0)</f>
        <v>6</v>
      </c>
      <c r="F165" s="18" t="str">
        <f>IFERROR(__xludf.DUMMYFUNCTION("""COMPUTED_VALUE"""),"Sandeep Kumar")</f>
        <v>Sandeep Kumar</v>
      </c>
      <c r="G165" s="19">
        <f>IFERROR(__xludf.DUMMYFUNCTION("""COMPUTED_VALUE"""),45244.0)</f>
        <v>45244</v>
      </c>
      <c r="H165" s="18" t="str">
        <f>IFERROR(__xludf.DUMMYFUNCTION("""COMPUTED_VALUE"""),"Credit Card")</f>
        <v>Credit Card</v>
      </c>
      <c r="I165" s="18" t="str">
        <f>IFERROR(__xludf.DUMMYFUNCTION("""COMPUTED_VALUE"""),"Delivered")</f>
        <v>Delivered</v>
      </c>
      <c r="J165" s="18" t="str">
        <f>IFERROR(__xludf.DUMMYFUNCTION("""COMPUTED_VALUE"""),"Convenience")</f>
        <v>Convenience</v>
      </c>
      <c r="K165" s="18" t="str">
        <f>IFERROR(__xludf.DUMMYFUNCTION("""COMPUTED_VALUE"""),"Easy tracking")</f>
        <v>Easy tracking</v>
      </c>
      <c r="L165" s="18">
        <f>iferror(VLOOKUP($D165,Details!$A$2:$C$11,2,false),vlookup($D165,Details!$E$2:$G$11,2,false))</f>
        <v>150</v>
      </c>
      <c r="M165" s="18" t="str">
        <f>iferror(VLOOKUP($D165,Details!$A$2:$C$11,3,false),vlookup($D165,Details!$E$2:$G$11,3,false))</f>
        <v>Snacks and Drinks</v>
      </c>
      <c r="N165" s="18">
        <f t="shared" si="1"/>
        <v>900</v>
      </c>
      <c r="O165" s="17"/>
      <c r="P165" s="17"/>
      <c r="Q165" s="17"/>
      <c r="R165" s="17"/>
      <c r="S165" s="17"/>
      <c r="T165" s="17"/>
      <c r="U165" s="17"/>
      <c r="V165" s="17"/>
      <c r="W165" s="17"/>
      <c r="X165" s="17"/>
      <c r="Y165" s="17"/>
      <c r="Z165" s="17"/>
    </row>
    <row r="166">
      <c r="A166" s="18" t="str">
        <f>IFERROR(__xludf.DUMMYFUNCTION("""COMPUTED_VALUE"""),"ord_10165")</f>
        <v>ord_10165</v>
      </c>
      <c r="B166" s="18" t="str">
        <f>IFERROR(__xludf.DUMMYFUNCTION("""COMPUTED_VALUE"""),"Diya Arora")</f>
        <v>Diya Arora</v>
      </c>
      <c r="C166" s="18" t="str">
        <f>IFERROR(__xludf.DUMMYFUNCTION("""COMPUTED_VALUE"""),"Lower Parel")</f>
        <v>Lower Parel</v>
      </c>
      <c r="D166" s="18" t="str">
        <f>IFERROR(__xludf.DUMMYFUNCTION("""COMPUTED_VALUE"""),"Cold Coffee")</f>
        <v>Cold Coffee</v>
      </c>
      <c r="E166" s="18">
        <f>IFERROR(__xludf.DUMMYFUNCTION("""COMPUTED_VALUE"""),2.0)</f>
        <v>2</v>
      </c>
      <c r="F166" s="18" t="str">
        <f>IFERROR(__xludf.DUMMYFUNCTION("""COMPUTED_VALUE"""),"Venu R")</f>
        <v>Venu R</v>
      </c>
      <c r="G166" s="19">
        <f>IFERROR(__xludf.DUMMYFUNCTION("""COMPUTED_VALUE"""),45204.0)</f>
        <v>45204</v>
      </c>
      <c r="H166" s="18" t="str">
        <f>IFERROR(__xludf.DUMMYFUNCTION("""COMPUTED_VALUE"""),"Credit Card")</f>
        <v>Credit Card</v>
      </c>
      <c r="I166" s="18" t="str">
        <f>IFERROR(__xludf.DUMMYFUNCTION("""COMPUTED_VALUE"""),"Cancelled")</f>
        <v>Cancelled</v>
      </c>
      <c r="J166" s="18" t="str">
        <f>IFERROR(__xludf.DUMMYFUNCTION("""COMPUTED_VALUE"""),"Delayed Delivery")</f>
        <v>Delayed Delivery</v>
      </c>
      <c r="K166" s="18" t="str">
        <f>IFERROR(__xludf.DUMMYFUNCTION("""COMPUTED_VALUE"""),"Traffic Accidents or Road Closures")</f>
        <v>Traffic Accidents or Road Closures</v>
      </c>
      <c r="L166" s="18">
        <f>iferror(VLOOKUP($D166,Details!$A$2:$C$11,2,false),vlookup($D166,Details!$E$2:$G$11,2,false))</f>
        <v>270</v>
      </c>
      <c r="M166" s="18" t="str">
        <f>iferror(VLOOKUP($D166,Details!$A$2:$C$11,3,false),vlookup($D166,Details!$E$2:$G$11,3,false))</f>
        <v>Snacks and Drinks</v>
      </c>
      <c r="N166" s="18">
        <f t="shared" si="1"/>
        <v>540</v>
      </c>
      <c r="O166" s="17"/>
      <c r="P166" s="17"/>
      <c r="Q166" s="17"/>
      <c r="R166" s="17"/>
      <c r="S166" s="17"/>
      <c r="T166" s="17"/>
      <c r="U166" s="17"/>
      <c r="V166" s="17"/>
      <c r="W166" s="17"/>
      <c r="X166" s="17"/>
      <c r="Y166" s="17"/>
      <c r="Z166" s="17"/>
    </row>
    <row r="167">
      <c r="A167" s="18" t="str">
        <f>IFERROR(__xludf.DUMMYFUNCTION("""COMPUTED_VALUE"""),"ord_10166")</f>
        <v>ord_10166</v>
      </c>
      <c r="B167" s="18" t="str">
        <f>IFERROR(__xludf.DUMMYFUNCTION("""COMPUTED_VALUE"""),"Omkar Mishra")</f>
        <v>Omkar Mishra</v>
      </c>
      <c r="C167" s="18" t="str">
        <f>IFERROR(__xludf.DUMMYFUNCTION("""COMPUTED_VALUE"""),"Powai")</f>
        <v>Powai</v>
      </c>
      <c r="D167" s="18" t="str">
        <f>IFERROR(__xludf.DUMMYFUNCTION("""COMPUTED_VALUE"""),"Rasmalai")</f>
        <v>Rasmalai</v>
      </c>
      <c r="E167" s="18">
        <f>IFERROR(__xludf.DUMMYFUNCTION("""COMPUTED_VALUE"""),3.0)</f>
        <v>3</v>
      </c>
      <c r="F167" s="18" t="str">
        <f>IFERROR(__xludf.DUMMYFUNCTION("""COMPUTED_VALUE"""),"Ram Gopal")</f>
        <v>Ram Gopal</v>
      </c>
      <c r="G167" s="19">
        <f>IFERROR(__xludf.DUMMYFUNCTION("""COMPUTED_VALUE"""),45074.0)</f>
        <v>45074</v>
      </c>
      <c r="H167" s="18" t="str">
        <f>IFERROR(__xludf.DUMMYFUNCTION("""COMPUTED_VALUE"""),"Online Payment")</f>
        <v>Online Payment</v>
      </c>
      <c r="I167" s="18" t="str">
        <f>IFERROR(__xludf.DUMMYFUNCTION("""COMPUTED_VALUE"""),"Delivered")</f>
        <v>Delivered</v>
      </c>
      <c r="J167" s="18" t="str">
        <f>IFERROR(__xludf.DUMMYFUNCTION("""COMPUTED_VALUE"""),"Overall Satisfaction")</f>
        <v>Overall Satisfaction</v>
      </c>
      <c r="K167" s="18" t="str">
        <f>IFERROR(__xludf.DUMMYFUNCTION("""COMPUTED_VALUE"""),"Great service will order again")</f>
        <v>Great service will order again</v>
      </c>
      <c r="L167" s="18">
        <f>iferror(VLOOKUP($D167,Details!$A$2:$C$11,2,false),vlookup($D167,Details!$E$2:$G$11,2,false))</f>
        <v>110</v>
      </c>
      <c r="M167" s="18" t="str">
        <f>iferror(VLOOKUP($D167,Details!$A$2:$C$11,3,false),vlookup($D167,Details!$E$2:$G$11,3,false))</f>
        <v>Snacks and Drinks</v>
      </c>
      <c r="N167" s="18">
        <f t="shared" si="1"/>
        <v>330</v>
      </c>
      <c r="O167" s="17"/>
      <c r="P167" s="17"/>
      <c r="Q167" s="17"/>
      <c r="R167" s="17"/>
      <c r="S167" s="17"/>
      <c r="T167" s="17"/>
      <c r="U167" s="17"/>
      <c r="V167" s="17"/>
      <c r="W167" s="17"/>
      <c r="X167" s="17"/>
      <c r="Y167" s="17"/>
      <c r="Z167" s="17"/>
    </row>
    <row r="168">
      <c r="A168" s="18" t="str">
        <f>IFERROR(__xludf.DUMMYFUNCTION("""COMPUTED_VALUE"""),"ord_10167")</f>
        <v>ord_10167</v>
      </c>
      <c r="B168" s="18" t="str">
        <f>IFERROR(__xludf.DUMMYFUNCTION("""COMPUTED_VALUE"""),"Aarohi Kapoor")</f>
        <v>Aarohi Kapoor</v>
      </c>
      <c r="C168" s="18" t="str">
        <f>IFERROR(__xludf.DUMMYFUNCTION("""COMPUTED_VALUE"""),"Bandra")</f>
        <v>Bandra</v>
      </c>
      <c r="D168" s="18" t="str">
        <f>IFERROR(__xludf.DUMMYFUNCTION("""COMPUTED_VALUE"""),"Potato")</f>
        <v>Potato</v>
      </c>
      <c r="E168" s="18">
        <f>IFERROR(__xludf.DUMMYFUNCTION("""COMPUTED_VALUE"""),1.0)</f>
        <v>1</v>
      </c>
      <c r="F168" s="18" t="str">
        <f>IFERROR(__xludf.DUMMYFUNCTION("""COMPUTED_VALUE"""),"Priya Joshi")</f>
        <v>Priya Joshi</v>
      </c>
      <c r="G168" s="19">
        <f>IFERROR(__xludf.DUMMYFUNCTION("""COMPUTED_VALUE"""),45181.0)</f>
        <v>45181</v>
      </c>
      <c r="H168" s="18" t="str">
        <f>IFERROR(__xludf.DUMMYFUNCTION("""COMPUTED_VALUE"""),"Online Payment")</f>
        <v>Online Payment</v>
      </c>
      <c r="I168" s="18" t="str">
        <f>IFERROR(__xludf.DUMMYFUNCTION("""COMPUTED_VALUE"""),"Delivered")</f>
        <v>Delivered</v>
      </c>
      <c r="J168" s="18" t="str">
        <f>IFERROR(__xludf.DUMMYFUNCTION("""COMPUTED_VALUE"""),"On-time Delivery")</f>
        <v>On-time Delivery</v>
      </c>
      <c r="K168" s="18" t="str">
        <f>IFERROR(__xludf.DUMMYFUNCTION("""COMPUTED_VALUE"""),"Delivered on time")</f>
        <v>Delivered on time</v>
      </c>
      <c r="L168" s="18">
        <f>iferror(VLOOKUP($D168,Details!$A$2:$C$11,2,false),vlookup($D168,Details!$E$2:$G$11,2,false))</f>
        <v>55</v>
      </c>
      <c r="M168" s="18" t="str">
        <f>iferror(VLOOKUP($D168,Details!$A$2:$C$11,3,false),vlookup($D168,Details!$E$2:$G$11,3,false))</f>
        <v>Fruits and Vegetables</v>
      </c>
      <c r="N168" s="18">
        <f t="shared" si="1"/>
        <v>55</v>
      </c>
      <c r="O168" s="17"/>
      <c r="P168" s="17"/>
      <c r="Q168" s="17"/>
      <c r="R168" s="17"/>
      <c r="S168" s="17"/>
      <c r="T168" s="17"/>
      <c r="U168" s="17"/>
      <c r="V168" s="17"/>
      <c r="W168" s="17"/>
      <c r="X168" s="17"/>
      <c r="Y168" s="17"/>
      <c r="Z168" s="17"/>
    </row>
    <row r="169">
      <c r="A169" s="18" t="str">
        <f>IFERROR(__xludf.DUMMYFUNCTION("""COMPUTED_VALUE"""),"ord_10168")</f>
        <v>ord_10168</v>
      </c>
      <c r="B169" s="18" t="str">
        <f>IFERROR(__xludf.DUMMYFUNCTION("""COMPUTED_VALUE"""),"Aarav Mehta")</f>
        <v>Aarav Mehta</v>
      </c>
      <c r="C169" s="18" t="str">
        <f>IFERROR(__xludf.DUMMYFUNCTION("""COMPUTED_VALUE"""),"Andheri")</f>
        <v>Andheri</v>
      </c>
      <c r="D169" s="18" t="str">
        <f>IFERROR(__xludf.DUMMYFUNCTION("""COMPUTED_VALUE"""),"Chicken Puff")</f>
        <v>Chicken Puff</v>
      </c>
      <c r="E169" s="18">
        <f>IFERROR(__xludf.DUMMYFUNCTION("""COMPUTED_VALUE"""),3.0)</f>
        <v>3</v>
      </c>
      <c r="F169" s="18" t="str">
        <f>IFERROR(__xludf.DUMMYFUNCTION("""COMPUTED_VALUE"""),"Vivek Kumar")</f>
        <v>Vivek Kumar</v>
      </c>
      <c r="G169" s="19">
        <f>IFERROR(__xludf.DUMMYFUNCTION("""COMPUTED_VALUE"""),45208.0)</f>
        <v>45208</v>
      </c>
      <c r="H169" s="18" t="str">
        <f>IFERROR(__xludf.DUMMYFUNCTION("""COMPUTED_VALUE"""),"UPI")</f>
        <v>UPI</v>
      </c>
      <c r="I169" s="18" t="str">
        <f>IFERROR(__xludf.DUMMYFUNCTION("""COMPUTED_VALUE"""),"Delivered")</f>
        <v>Delivered</v>
      </c>
      <c r="J169" s="18" t="str">
        <f>IFERROR(__xludf.DUMMYFUNCTION("""COMPUTED_VALUE"""),"Quality of Items")</f>
        <v>Quality of Items</v>
      </c>
      <c r="K169" s="18" t="str">
        <f>IFERROR(__xludf.DUMMYFUNCTION("""COMPUTED_VALUE"""),"Perfect condition")</f>
        <v>Perfect condition</v>
      </c>
      <c r="L169" s="18">
        <f>iferror(VLOOKUP($D169,Details!$A$2:$C$11,2,false),vlookup($D169,Details!$E$2:$G$11,2,false))</f>
        <v>90</v>
      </c>
      <c r="M169" s="18" t="str">
        <f>iferror(VLOOKUP($D169,Details!$A$2:$C$11,3,false),vlookup($D169,Details!$E$2:$G$11,3,false))</f>
        <v>Snacks and Drinks</v>
      </c>
      <c r="N169" s="18">
        <f t="shared" si="1"/>
        <v>270</v>
      </c>
      <c r="O169" s="17"/>
      <c r="P169" s="17"/>
      <c r="Q169" s="17"/>
      <c r="R169" s="17"/>
      <c r="S169" s="17"/>
      <c r="T169" s="17"/>
      <c r="U169" s="17"/>
      <c r="V169" s="17"/>
      <c r="W169" s="17"/>
      <c r="X169" s="17"/>
      <c r="Y169" s="17"/>
      <c r="Z169" s="17"/>
    </row>
    <row r="170">
      <c r="A170" s="18" t="str">
        <f>IFERROR(__xludf.DUMMYFUNCTION("""COMPUTED_VALUE"""),"ord_10169")</f>
        <v>ord_10169</v>
      </c>
      <c r="B170" s="18" t="str">
        <f>IFERROR(__xludf.DUMMYFUNCTION("""COMPUTED_VALUE"""),"Mohit Malhotra")</f>
        <v>Mohit Malhotra</v>
      </c>
      <c r="C170" s="18" t="str">
        <f>IFERROR(__xludf.DUMMYFUNCTION("""COMPUTED_VALUE"""),"Lower Parel")</f>
        <v>Lower Parel</v>
      </c>
      <c r="D170" s="18" t="str">
        <f>IFERROR(__xludf.DUMMYFUNCTION("""COMPUTED_VALUE"""),"Banana")</f>
        <v>Banana</v>
      </c>
      <c r="E170" s="18">
        <f>IFERROR(__xludf.DUMMYFUNCTION("""COMPUTED_VALUE"""),2.0)</f>
        <v>2</v>
      </c>
      <c r="F170" s="18" t="str">
        <f>IFERROR(__xludf.DUMMYFUNCTION("""COMPUTED_VALUE"""),"Sita T")</f>
        <v>Sita T</v>
      </c>
      <c r="G170" s="19">
        <f>IFERROR(__xludf.DUMMYFUNCTION("""COMPUTED_VALUE"""),45228.0)</f>
        <v>45228</v>
      </c>
      <c r="H170" s="18" t="str">
        <f>IFERROR(__xludf.DUMMYFUNCTION("""COMPUTED_VALUE"""),"Credit Card")</f>
        <v>Credit Card</v>
      </c>
      <c r="I170" s="18" t="str">
        <f>IFERROR(__xludf.DUMMYFUNCTION("""COMPUTED_VALUE"""),"Delivered")</f>
        <v>Delivered</v>
      </c>
      <c r="J170" s="18" t="str">
        <f>IFERROR(__xludf.DUMMYFUNCTION("""COMPUTED_VALUE"""),"Packaging")</f>
        <v>Packaging</v>
      </c>
      <c r="K170" s="18" t="str">
        <f>IFERROR(__xludf.DUMMYFUNCTION("""COMPUTED_VALUE"""),"Secure and intact")</f>
        <v>Secure and intact</v>
      </c>
      <c r="L170" s="18">
        <f>iferror(VLOOKUP($D170,Details!$A$2:$C$11,2,false),vlookup($D170,Details!$E$2:$G$11,2,false))</f>
        <v>80</v>
      </c>
      <c r="M170" s="18" t="str">
        <f>iferror(VLOOKUP($D170,Details!$A$2:$C$11,3,false),vlookup($D170,Details!$E$2:$G$11,3,false))</f>
        <v>Fruits and Vegetables</v>
      </c>
      <c r="N170" s="18">
        <f t="shared" si="1"/>
        <v>160</v>
      </c>
      <c r="O170" s="17"/>
      <c r="P170" s="17"/>
      <c r="Q170" s="17"/>
      <c r="R170" s="17"/>
      <c r="S170" s="17"/>
      <c r="T170" s="17"/>
      <c r="U170" s="17"/>
      <c r="V170" s="17"/>
      <c r="W170" s="17"/>
      <c r="X170" s="17"/>
      <c r="Y170" s="17"/>
      <c r="Z170" s="17"/>
    </row>
    <row r="171">
      <c r="A171" s="18" t="str">
        <f>IFERROR(__xludf.DUMMYFUNCTION("""COMPUTED_VALUE"""),"ord_10170")</f>
        <v>ord_10170</v>
      </c>
      <c r="B171" s="18" t="str">
        <f>IFERROR(__xludf.DUMMYFUNCTION("""COMPUTED_VALUE"""),"Omkar Mishra")</f>
        <v>Omkar Mishra</v>
      </c>
      <c r="C171" s="18" t="str">
        <f>IFERROR(__xludf.DUMMYFUNCTION("""COMPUTED_VALUE"""),"Powai")</f>
        <v>Powai</v>
      </c>
      <c r="D171" s="18" t="str">
        <f>IFERROR(__xludf.DUMMYFUNCTION("""COMPUTED_VALUE"""),"Tiramisu")</f>
        <v>Tiramisu</v>
      </c>
      <c r="E171" s="18">
        <f>IFERROR(__xludf.DUMMYFUNCTION("""COMPUTED_VALUE"""),3.0)</f>
        <v>3</v>
      </c>
      <c r="F171" s="18" t="str">
        <f>IFERROR(__xludf.DUMMYFUNCTION("""COMPUTED_VALUE"""),"Ram Gopal")</f>
        <v>Ram Gopal</v>
      </c>
      <c r="G171" s="19">
        <f>IFERROR(__xludf.DUMMYFUNCTION("""COMPUTED_VALUE"""),45035.0)</f>
        <v>45035</v>
      </c>
      <c r="H171" s="18" t="str">
        <f>IFERROR(__xludf.DUMMYFUNCTION("""COMPUTED_VALUE"""),"UPI")</f>
        <v>UPI</v>
      </c>
      <c r="I171" s="18" t="str">
        <f>IFERROR(__xludf.DUMMYFUNCTION("""COMPUTED_VALUE"""),"Delivered")</f>
        <v>Delivered</v>
      </c>
      <c r="J171" s="18" t="str">
        <f>IFERROR(__xludf.DUMMYFUNCTION("""COMPUTED_VALUE"""),"Satisfied with the Delivery")</f>
        <v>Satisfied with the Delivery</v>
      </c>
      <c r="K171" s="18" t="str">
        <f>IFERROR(__xludf.DUMMYFUNCTION("""COMPUTED_VALUE"""),"Timely and quality")</f>
        <v>Timely and quality</v>
      </c>
      <c r="L171" s="18">
        <f>iferror(VLOOKUP($D171,Details!$A$2:$C$11,2,false),vlookup($D171,Details!$E$2:$G$11,2,false))</f>
        <v>150</v>
      </c>
      <c r="M171" s="18" t="str">
        <f>iferror(VLOOKUP($D171,Details!$A$2:$C$11,3,false),vlookup($D171,Details!$E$2:$G$11,3,false))</f>
        <v>Snacks and Drinks</v>
      </c>
      <c r="N171" s="18">
        <f t="shared" si="1"/>
        <v>450</v>
      </c>
      <c r="O171" s="17"/>
      <c r="P171" s="17"/>
      <c r="Q171" s="17"/>
      <c r="R171" s="17"/>
      <c r="S171" s="17"/>
      <c r="T171" s="17"/>
      <c r="U171" s="17"/>
      <c r="V171" s="17"/>
      <c r="W171" s="17"/>
      <c r="X171" s="17"/>
      <c r="Y171" s="17"/>
      <c r="Z171" s="17"/>
    </row>
    <row r="172">
      <c r="A172" s="18" t="str">
        <f>IFERROR(__xludf.DUMMYFUNCTION("""COMPUTED_VALUE"""),"ord_10171")</f>
        <v>ord_10171</v>
      </c>
      <c r="B172" s="18" t="str">
        <f>IFERROR(__xludf.DUMMYFUNCTION("""COMPUTED_VALUE"""),"Sakshi Tandon")</f>
        <v>Sakshi Tandon</v>
      </c>
      <c r="C172" s="18" t="str">
        <f>IFERROR(__xludf.DUMMYFUNCTION("""COMPUTED_VALUE"""),"Colaba")</f>
        <v>Colaba</v>
      </c>
      <c r="D172" s="18" t="str">
        <f>IFERROR(__xludf.DUMMYFUNCTION("""COMPUTED_VALUE"""),"Juice")</f>
        <v>Juice</v>
      </c>
      <c r="E172" s="18">
        <f>IFERROR(__xludf.DUMMYFUNCTION("""COMPUTED_VALUE"""),4.0)</f>
        <v>4</v>
      </c>
      <c r="F172" s="18" t="str">
        <f>IFERROR(__xludf.DUMMYFUNCTION("""COMPUTED_VALUE"""),"Priya Joshi")</f>
        <v>Priya Joshi</v>
      </c>
      <c r="G172" s="19">
        <f>IFERROR(__xludf.DUMMYFUNCTION("""COMPUTED_VALUE"""),45111.0)</f>
        <v>45111</v>
      </c>
      <c r="H172" s="18" t="str">
        <f>IFERROR(__xludf.DUMMYFUNCTION("""COMPUTED_VALUE"""),"Credit Card")</f>
        <v>Credit Card</v>
      </c>
      <c r="I172" s="18" t="str">
        <f>IFERROR(__xludf.DUMMYFUNCTION("""COMPUTED_VALUE"""),"Cancelled")</f>
        <v>Cancelled</v>
      </c>
      <c r="J172" s="18" t="str">
        <f>IFERROR(__xludf.DUMMYFUNCTION("""COMPUTED_VALUE"""),"Delayed Delivery")</f>
        <v>Delayed Delivery</v>
      </c>
      <c r="K172" s="18" t="str">
        <f>IFERROR(__xludf.DUMMYFUNCTION("""COMPUTED_VALUE"""),"High Order Volume")</f>
        <v>High Order Volume</v>
      </c>
      <c r="L172" s="18">
        <f>iferror(VLOOKUP($D172,Details!$A$2:$C$11,2,false),vlookup($D172,Details!$E$2:$G$11,2,false))</f>
        <v>90</v>
      </c>
      <c r="M172" s="18" t="str">
        <f>iferror(VLOOKUP($D172,Details!$A$2:$C$11,3,false),vlookup($D172,Details!$E$2:$G$11,3,false))</f>
        <v>Snacks and Drinks</v>
      </c>
      <c r="N172" s="18">
        <f t="shared" si="1"/>
        <v>360</v>
      </c>
      <c r="O172" s="17"/>
      <c r="P172" s="17"/>
      <c r="Q172" s="17"/>
      <c r="R172" s="17"/>
      <c r="S172" s="17"/>
      <c r="T172" s="17"/>
      <c r="U172" s="17"/>
      <c r="V172" s="17"/>
      <c r="W172" s="17"/>
      <c r="X172" s="17"/>
      <c r="Y172" s="17"/>
      <c r="Z172" s="17"/>
    </row>
    <row r="173">
      <c r="A173" s="18" t="str">
        <f>IFERROR(__xludf.DUMMYFUNCTION("""COMPUTED_VALUE"""),"ord_10172")</f>
        <v>ord_10172</v>
      </c>
      <c r="B173" s="18" t="str">
        <f>IFERROR(__xludf.DUMMYFUNCTION("""COMPUTED_VALUE"""),"Dev Chauhan")</f>
        <v>Dev Chauhan</v>
      </c>
      <c r="C173" s="18" t="str">
        <f>IFERROR(__xludf.DUMMYFUNCTION("""COMPUTED_VALUE"""),"Bandra")</f>
        <v>Bandra</v>
      </c>
      <c r="D173" s="18" t="str">
        <f>IFERROR(__xludf.DUMMYFUNCTION("""COMPUTED_VALUE"""),"Juice")</f>
        <v>Juice</v>
      </c>
      <c r="E173" s="18">
        <f>IFERROR(__xludf.DUMMYFUNCTION("""COMPUTED_VALUE"""),3.0)</f>
        <v>3</v>
      </c>
      <c r="F173" s="18" t="str">
        <f>IFERROR(__xludf.DUMMYFUNCTION("""COMPUTED_VALUE"""),"Nithin Lal")</f>
        <v>Nithin Lal</v>
      </c>
      <c r="G173" s="19">
        <f>IFERROR(__xludf.DUMMYFUNCTION("""COMPUTED_VALUE"""),45279.0)</f>
        <v>45279</v>
      </c>
      <c r="H173" s="18" t="str">
        <f>IFERROR(__xludf.DUMMYFUNCTION("""COMPUTED_VALUE"""),"UPI")</f>
        <v>UPI</v>
      </c>
      <c r="I173" s="18" t="str">
        <f>IFERROR(__xludf.DUMMYFUNCTION("""COMPUTED_VALUE"""),"Delivered")</f>
        <v>Delivered</v>
      </c>
      <c r="J173" s="18" t="str">
        <f>IFERROR(__xludf.DUMMYFUNCTION("""COMPUTED_VALUE"""),"Customer Service")</f>
        <v>Customer Service</v>
      </c>
      <c r="K173" s="18" t="str">
        <f>IFERROR(__xludf.DUMMYFUNCTION("""COMPUTED_VALUE"""),"Seamless and easy")</f>
        <v>Seamless and easy</v>
      </c>
      <c r="L173" s="18">
        <f>iferror(VLOOKUP($D173,Details!$A$2:$C$11,2,false),vlookup($D173,Details!$E$2:$G$11,2,false))</f>
        <v>90</v>
      </c>
      <c r="M173" s="18" t="str">
        <f>iferror(VLOOKUP($D173,Details!$A$2:$C$11,3,false),vlookup($D173,Details!$E$2:$G$11,3,false))</f>
        <v>Snacks and Drinks</v>
      </c>
      <c r="N173" s="18">
        <f t="shared" si="1"/>
        <v>270</v>
      </c>
      <c r="O173" s="17"/>
      <c r="P173" s="17"/>
      <c r="Q173" s="17"/>
      <c r="R173" s="17"/>
      <c r="S173" s="17"/>
      <c r="T173" s="17"/>
      <c r="U173" s="17"/>
      <c r="V173" s="17"/>
      <c r="W173" s="17"/>
      <c r="X173" s="17"/>
      <c r="Y173" s="17"/>
      <c r="Z173" s="17"/>
    </row>
    <row r="174">
      <c r="A174" s="18" t="str">
        <f>IFERROR(__xludf.DUMMYFUNCTION("""COMPUTED_VALUE"""),"ord_10173")</f>
        <v>ord_10173</v>
      </c>
      <c r="B174" s="18" t="str">
        <f>IFERROR(__xludf.DUMMYFUNCTION("""COMPUTED_VALUE"""),"Nitin Sehgal")</f>
        <v>Nitin Sehgal</v>
      </c>
      <c r="C174" s="18" t="str">
        <f>IFERROR(__xludf.DUMMYFUNCTION("""COMPUTED_VALUE"""),"Bandra")</f>
        <v>Bandra</v>
      </c>
      <c r="D174" s="18" t="str">
        <f>IFERROR(__xludf.DUMMYFUNCTION("""COMPUTED_VALUE"""),"Tiramisu")</f>
        <v>Tiramisu</v>
      </c>
      <c r="E174" s="18">
        <f>IFERROR(__xludf.DUMMYFUNCTION("""COMPUTED_VALUE"""),2.0)</f>
        <v>2</v>
      </c>
      <c r="F174" s="18" t="str">
        <f>IFERROR(__xludf.DUMMYFUNCTION("""COMPUTED_VALUE"""),"Vivek Kumar")</f>
        <v>Vivek Kumar</v>
      </c>
      <c r="G174" s="19">
        <f>IFERROR(__xludf.DUMMYFUNCTION("""COMPUTED_VALUE"""),45205.0)</f>
        <v>45205</v>
      </c>
      <c r="H174" s="18" t="str">
        <f>IFERROR(__xludf.DUMMYFUNCTION("""COMPUTED_VALUE"""),"COD")</f>
        <v>COD</v>
      </c>
      <c r="I174" s="18" t="str">
        <f>IFERROR(__xludf.DUMMYFUNCTION("""COMPUTED_VALUE"""),"Delivered")</f>
        <v>Delivered</v>
      </c>
      <c r="J174" s="18" t="str">
        <f>IFERROR(__xludf.DUMMYFUNCTION("""COMPUTED_VALUE"""),"Delivery Experience")</f>
        <v>Delivery Experience</v>
      </c>
      <c r="K174" s="18" t="str">
        <f>IFERROR(__xludf.DUMMYFUNCTION("""COMPUTED_VALUE"""),"Quick and professional")</f>
        <v>Quick and professional</v>
      </c>
      <c r="L174" s="18">
        <f>iferror(VLOOKUP($D174,Details!$A$2:$C$11,2,false),vlookup($D174,Details!$E$2:$G$11,2,false))</f>
        <v>150</v>
      </c>
      <c r="M174" s="18" t="str">
        <f>iferror(VLOOKUP($D174,Details!$A$2:$C$11,3,false),vlookup($D174,Details!$E$2:$G$11,3,false))</f>
        <v>Snacks and Drinks</v>
      </c>
      <c r="N174" s="18">
        <f t="shared" si="1"/>
        <v>300</v>
      </c>
      <c r="O174" s="17"/>
      <c r="P174" s="17"/>
      <c r="Q174" s="17"/>
      <c r="R174" s="17"/>
      <c r="S174" s="17"/>
      <c r="T174" s="17"/>
      <c r="U174" s="17"/>
      <c r="V174" s="17"/>
      <c r="W174" s="17"/>
      <c r="X174" s="17"/>
      <c r="Y174" s="17"/>
      <c r="Z174" s="17"/>
    </row>
    <row r="175">
      <c r="A175" s="18" t="str">
        <f>IFERROR(__xludf.DUMMYFUNCTION("""COMPUTED_VALUE"""),"ord_10174")</f>
        <v>ord_10174</v>
      </c>
      <c r="B175" s="18" t="str">
        <f>IFERROR(__xludf.DUMMYFUNCTION("""COMPUTED_VALUE"""),"Omkar Mishra")</f>
        <v>Omkar Mishra</v>
      </c>
      <c r="C175" s="18" t="str">
        <f>IFERROR(__xludf.DUMMYFUNCTION("""COMPUTED_VALUE"""),"Powai")</f>
        <v>Powai</v>
      </c>
      <c r="D175" s="18" t="str">
        <f>IFERROR(__xludf.DUMMYFUNCTION("""COMPUTED_VALUE"""),"Banana")</f>
        <v>Banana</v>
      </c>
      <c r="E175" s="18">
        <f>IFERROR(__xludf.DUMMYFUNCTION("""COMPUTED_VALUE"""),2.0)</f>
        <v>2</v>
      </c>
      <c r="F175" s="18" t="str">
        <f>IFERROR(__xludf.DUMMYFUNCTION("""COMPUTED_VALUE"""),"Sandeep Kumar")</f>
        <v>Sandeep Kumar</v>
      </c>
      <c r="G175" s="19">
        <f>IFERROR(__xludf.DUMMYFUNCTION("""COMPUTED_VALUE"""),45080.0)</f>
        <v>45080</v>
      </c>
      <c r="H175" s="18" t="str">
        <f>IFERROR(__xludf.DUMMYFUNCTION("""COMPUTED_VALUE"""),"UPI")</f>
        <v>UPI</v>
      </c>
      <c r="I175" s="18" t="str">
        <f>IFERROR(__xludf.DUMMYFUNCTION("""COMPUTED_VALUE"""),"Delivered")</f>
        <v>Delivered</v>
      </c>
      <c r="J175" s="18" t="str">
        <f>IFERROR(__xludf.DUMMYFUNCTION("""COMPUTED_VALUE"""),"Convenience")</f>
        <v>Convenience</v>
      </c>
      <c r="K175" s="18" t="str">
        <f>IFERROR(__xludf.DUMMYFUNCTION("""COMPUTED_VALUE"""),"Easy tracking")</f>
        <v>Easy tracking</v>
      </c>
      <c r="L175" s="18">
        <f>iferror(VLOOKUP($D175,Details!$A$2:$C$11,2,false),vlookup($D175,Details!$E$2:$G$11,2,false))</f>
        <v>80</v>
      </c>
      <c r="M175" s="18" t="str">
        <f>iferror(VLOOKUP($D175,Details!$A$2:$C$11,3,false),vlookup($D175,Details!$E$2:$G$11,3,false))</f>
        <v>Fruits and Vegetables</v>
      </c>
      <c r="N175" s="18">
        <f t="shared" si="1"/>
        <v>160</v>
      </c>
      <c r="O175" s="17"/>
      <c r="P175" s="17"/>
      <c r="Q175" s="17"/>
      <c r="R175" s="17"/>
      <c r="S175" s="17"/>
      <c r="T175" s="17"/>
      <c r="U175" s="17"/>
      <c r="V175" s="17"/>
      <c r="W175" s="17"/>
      <c r="X175" s="17"/>
      <c r="Y175" s="17"/>
      <c r="Z175" s="17"/>
    </row>
    <row r="176">
      <c r="A176" s="18" t="str">
        <f>IFERROR(__xludf.DUMMYFUNCTION("""COMPUTED_VALUE"""),"ord_10175")</f>
        <v>ord_10175</v>
      </c>
      <c r="B176" s="18" t="str">
        <f>IFERROR(__xludf.DUMMYFUNCTION("""COMPUTED_VALUE"""),"Omkar Mishra")</f>
        <v>Omkar Mishra</v>
      </c>
      <c r="C176" s="18" t="str">
        <f>IFERROR(__xludf.DUMMYFUNCTION("""COMPUTED_VALUE"""),"Powai")</f>
        <v>Powai</v>
      </c>
      <c r="D176" s="18" t="str">
        <f>IFERROR(__xludf.DUMMYFUNCTION("""COMPUTED_VALUE"""),"Apple")</f>
        <v>Apple</v>
      </c>
      <c r="E176" s="18">
        <f>IFERROR(__xludf.DUMMYFUNCTION("""COMPUTED_VALUE"""),2.0)</f>
        <v>2</v>
      </c>
      <c r="F176" s="18" t="str">
        <f>IFERROR(__xludf.DUMMYFUNCTION("""COMPUTED_VALUE"""),"Venu R")</f>
        <v>Venu R</v>
      </c>
      <c r="G176" s="19">
        <f>IFERROR(__xludf.DUMMYFUNCTION("""COMPUTED_VALUE"""),45117.0)</f>
        <v>45117</v>
      </c>
      <c r="H176" s="18" t="str">
        <f>IFERROR(__xludf.DUMMYFUNCTION("""COMPUTED_VALUE"""),"Online Payment")</f>
        <v>Online Payment</v>
      </c>
      <c r="I176" s="18" t="str">
        <f>IFERROR(__xludf.DUMMYFUNCTION("""COMPUTED_VALUE"""),"Cancelled")</f>
        <v>Cancelled</v>
      </c>
      <c r="J176" s="18" t="str">
        <f>IFERROR(__xludf.DUMMYFUNCTION("""COMPUTED_VALUE"""),"Delayed Delivery")</f>
        <v>Delayed Delivery</v>
      </c>
      <c r="K176" s="18" t="str">
        <f>IFERROR(__xludf.DUMMYFUNCTION("""COMPUTED_VALUE"""),"Vehicle Breakdown")</f>
        <v>Vehicle Breakdown</v>
      </c>
      <c r="L176" s="18">
        <f>iferror(VLOOKUP($D176,Details!$A$2:$C$11,2,false),vlookup($D176,Details!$E$2:$G$11,2,false))</f>
        <v>230</v>
      </c>
      <c r="M176" s="18" t="str">
        <f>iferror(VLOOKUP($D176,Details!$A$2:$C$11,3,false),vlookup($D176,Details!$E$2:$G$11,3,false))</f>
        <v>Fruits and Vegetables</v>
      </c>
      <c r="N176" s="18">
        <f t="shared" si="1"/>
        <v>460</v>
      </c>
      <c r="O176" s="17"/>
      <c r="P176" s="17"/>
      <c r="Q176" s="17"/>
      <c r="R176" s="17"/>
      <c r="S176" s="17"/>
      <c r="T176" s="17"/>
      <c r="U176" s="17"/>
      <c r="V176" s="17"/>
      <c r="W176" s="17"/>
      <c r="X176" s="17"/>
      <c r="Y176" s="17"/>
      <c r="Z176" s="17"/>
    </row>
    <row r="177">
      <c r="A177" s="18" t="str">
        <f>IFERROR(__xludf.DUMMYFUNCTION("""COMPUTED_VALUE"""),"ord_10176")</f>
        <v>ord_10176</v>
      </c>
      <c r="B177" s="18" t="str">
        <f>IFERROR(__xludf.DUMMYFUNCTION("""COMPUTED_VALUE"""),"Ishaan Chaturvedi")</f>
        <v>Ishaan Chaturvedi</v>
      </c>
      <c r="C177" s="18" t="str">
        <f>IFERROR(__xludf.DUMMYFUNCTION("""COMPUTED_VALUE"""),"Bandra")</f>
        <v>Bandra</v>
      </c>
      <c r="D177" s="18" t="str">
        <f>IFERROR(__xludf.DUMMYFUNCTION("""COMPUTED_VALUE"""),"Apple")</f>
        <v>Apple</v>
      </c>
      <c r="E177" s="18">
        <f>IFERROR(__xludf.DUMMYFUNCTION("""COMPUTED_VALUE"""),2.0)</f>
        <v>2</v>
      </c>
      <c r="F177" s="18" t="str">
        <f>IFERROR(__xludf.DUMMYFUNCTION("""COMPUTED_VALUE"""),"Rohan Yadav")</f>
        <v>Rohan Yadav</v>
      </c>
      <c r="G177" s="19">
        <f>IFERROR(__xludf.DUMMYFUNCTION("""COMPUTED_VALUE"""),45160.0)</f>
        <v>45160</v>
      </c>
      <c r="H177" s="18" t="str">
        <f>IFERROR(__xludf.DUMMYFUNCTION("""COMPUTED_VALUE"""),"UPI")</f>
        <v>UPI</v>
      </c>
      <c r="I177" s="18" t="str">
        <f>IFERROR(__xludf.DUMMYFUNCTION("""COMPUTED_VALUE"""),"Cancelled")</f>
        <v>Cancelled</v>
      </c>
      <c r="J177" s="18" t="str">
        <f>IFERROR(__xludf.DUMMYFUNCTION("""COMPUTED_VALUE"""),"Delayed Delivery")</f>
        <v>Delayed Delivery</v>
      </c>
      <c r="K177" s="18" t="str">
        <f>IFERROR(__xludf.DUMMYFUNCTION("""COMPUTED_VALUE"""),"Heavy Traffic")</f>
        <v>Heavy Traffic</v>
      </c>
      <c r="L177" s="18">
        <f>iferror(VLOOKUP($D177,Details!$A$2:$C$11,2,false),vlookup($D177,Details!$E$2:$G$11,2,false))</f>
        <v>230</v>
      </c>
      <c r="M177" s="18" t="str">
        <f>iferror(VLOOKUP($D177,Details!$A$2:$C$11,3,false),vlookup($D177,Details!$E$2:$G$11,3,false))</f>
        <v>Fruits and Vegetables</v>
      </c>
      <c r="N177" s="18">
        <f t="shared" si="1"/>
        <v>460</v>
      </c>
      <c r="O177" s="17"/>
      <c r="P177" s="17"/>
      <c r="Q177" s="17"/>
      <c r="R177" s="17"/>
      <c r="S177" s="17"/>
      <c r="T177" s="17"/>
      <c r="U177" s="17"/>
      <c r="V177" s="17"/>
      <c r="W177" s="17"/>
      <c r="X177" s="17"/>
      <c r="Y177" s="17"/>
      <c r="Z177" s="17"/>
    </row>
    <row r="178">
      <c r="A178" s="18" t="str">
        <f>IFERROR(__xludf.DUMMYFUNCTION("""COMPUTED_VALUE"""),"ord_10177")</f>
        <v>ord_10177</v>
      </c>
      <c r="B178" s="18" t="str">
        <f>IFERROR(__xludf.DUMMYFUNCTION("""COMPUTED_VALUE"""),"Diya Arora")</f>
        <v>Diya Arora</v>
      </c>
      <c r="C178" s="18" t="str">
        <f>IFERROR(__xludf.DUMMYFUNCTION("""COMPUTED_VALUE"""),"Lower Parel")</f>
        <v>Lower Parel</v>
      </c>
      <c r="D178" s="18" t="str">
        <f>IFERROR(__xludf.DUMMYFUNCTION("""COMPUTED_VALUE"""),"Rasmalai")</f>
        <v>Rasmalai</v>
      </c>
      <c r="E178" s="18">
        <f>IFERROR(__xludf.DUMMYFUNCTION("""COMPUTED_VALUE"""),2.0)</f>
        <v>2</v>
      </c>
      <c r="F178" s="18" t="str">
        <f>IFERROR(__xludf.DUMMYFUNCTION("""COMPUTED_VALUE"""),"Vivek Kumar")</f>
        <v>Vivek Kumar</v>
      </c>
      <c r="G178" s="19">
        <f>IFERROR(__xludf.DUMMYFUNCTION("""COMPUTED_VALUE"""),45277.0)</f>
        <v>45277</v>
      </c>
      <c r="H178" s="18" t="str">
        <f>IFERROR(__xludf.DUMMYFUNCTION("""COMPUTED_VALUE"""),"COD")</f>
        <v>COD</v>
      </c>
      <c r="I178" s="18" t="str">
        <f>IFERROR(__xludf.DUMMYFUNCTION("""COMPUTED_VALUE"""),"Delivered")</f>
        <v>Delivered</v>
      </c>
      <c r="J178" s="18" t="str">
        <f>IFERROR(__xludf.DUMMYFUNCTION("""COMPUTED_VALUE"""),"Overall Satisfaction")</f>
        <v>Overall Satisfaction</v>
      </c>
      <c r="K178" s="18" t="str">
        <f>IFERROR(__xludf.DUMMYFUNCTION("""COMPUTED_VALUE"""),"Great service will order again")</f>
        <v>Great service will order again</v>
      </c>
      <c r="L178" s="18">
        <f>iferror(VLOOKUP($D178,Details!$A$2:$C$11,2,false),vlookup($D178,Details!$E$2:$G$11,2,false))</f>
        <v>110</v>
      </c>
      <c r="M178" s="18" t="str">
        <f>iferror(VLOOKUP($D178,Details!$A$2:$C$11,3,false),vlookup($D178,Details!$E$2:$G$11,3,false))</f>
        <v>Snacks and Drinks</v>
      </c>
      <c r="N178" s="18">
        <f t="shared" si="1"/>
        <v>220</v>
      </c>
      <c r="O178" s="17"/>
      <c r="P178" s="17"/>
      <c r="Q178" s="17"/>
      <c r="R178" s="17"/>
      <c r="S178" s="17"/>
      <c r="T178" s="17"/>
      <c r="U178" s="17"/>
      <c r="V178" s="17"/>
      <c r="W178" s="17"/>
      <c r="X178" s="17"/>
      <c r="Y178" s="17"/>
      <c r="Z178" s="17"/>
    </row>
    <row r="179">
      <c r="A179" s="18" t="str">
        <f>IFERROR(__xludf.DUMMYFUNCTION("""COMPUTED_VALUE"""),"ord_10178")</f>
        <v>ord_10178</v>
      </c>
      <c r="B179" s="18" t="str">
        <f>IFERROR(__xludf.DUMMYFUNCTION("""COMPUTED_VALUE"""),"Parth Goel")</f>
        <v>Parth Goel</v>
      </c>
      <c r="C179" s="18" t="str">
        <f>IFERROR(__xludf.DUMMYFUNCTION("""COMPUTED_VALUE"""),"Juhu")</f>
        <v>Juhu</v>
      </c>
      <c r="D179" s="18" t="str">
        <f>IFERROR(__xludf.DUMMYFUNCTION("""COMPUTED_VALUE"""),"Chocolate Mousse")</f>
        <v>Chocolate Mousse</v>
      </c>
      <c r="E179" s="18">
        <f>IFERROR(__xludf.DUMMYFUNCTION("""COMPUTED_VALUE"""),3.0)</f>
        <v>3</v>
      </c>
      <c r="F179" s="18" t="str">
        <f>IFERROR(__xludf.DUMMYFUNCTION("""COMPUTED_VALUE"""),"Ram Gopal")</f>
        <v>Ram Gopal</v>
      </c>
      <c r="G179" s="19">
        <f>IFERROR(__xludf.DUMMYFUNCTION("""COMPUTED_VALUE"""),45095.0)</f>
        <v>45095</v>
      </c>
      <c r="H179" s="18" t="str">
        <f>IFERROR(__xludf.DUMMYFUNCTION("""COMPUTED_VALUE"""),"Credit Card")</f>
        <v>Credit Card</v>
      </c>
      <c r="I179" s="18" t="str">
        <f>IFERROR(__xludf.DUMMYFUNCTION("""COMPUTED_VALUE"""),"Cancelled")</f>
        <v>Cancelled</v>
      </c>
      <c r="J179" s="18" t="str">
        <f>IFERROR(__xludf.DUMMYFUNCTION("""COMPUTED_VALUE"""),"Delayed Delivery")</f>
        <v>Delayed Delivery</v>
      </c>
      <c r="K179" s="18" t="str">
        <f>IFERROR(__xludf.DUMMYFUNCTION("""COMPUTED_VALUE"""),"Bad Weather Conditions")</f>
        <v>Bad Weather Conditions</v>
      </c>
      <c r="L179" s="18">
        <f>iferror(VLOOKUP($D179,Details!$A$2:$C$11,2,false),vlookup($D179,Details!$E$2:$G$11,2,false))</f>
        <v>145</v>
      </c>
      <c r="M179" s="18" t="str">
        <f>iferror(VLOOKUP($D179,Details!$A$2:$C$11,3,false),vlookup($D179,Details!$E$2:$G$11,3,false))</f>
        <v>Snacks and Drinks</v>
      </c>
      <c r="N179" s="18">
        <f t="shared" si="1"/>
        <v>435</v>
      </c>
      <c r="O179" s="17"/>
      <c r="P179" s="17"/>
      <c r="Q179" s="17"/>
      <c r="R179" s="17"/>
      <c r="S179" s="17"/>
      <c r="T179" s="17"/>
      <c r="U179" s="17"/>
      <c r="V179" s="17"/>
      <c r="W179" s="17"/>
      <c r="X179" s="17"/>
      <c r="Y179" s="17"/>
      <c r="Z179" s="17"/>
    </row>
    <row r="180">
      <c r="A180" s="18" t="str">
        <f>IFERROR(__xludf.DUMMYFUNCTION("""COMPUTED_VALUE"""),"ord_10179")</f>
        <v>ord_10179</v>
      </c>
      <c r="B180" s="18" t="str">
        <f>IFERROR(__xludf.DUMMYFUNCTION("""COMPUTED_VALUE"""),"Siya Reddy")</f>
        <v>Siya Reddy</v>
      </c>
      <c r="C180" s="18" t="str">
        <f>IFERROR(__xludf.DUMMYFUNCTION("""COMPUTED_VALUE"""),"Juhu")</f>
        <v>Juhu</v>
      </c>
      <c r="D180" s="18" t="str">
        <f>IFERROR(__xludf.DUMMYFUNCTION("""COMPUTED_VALUE"""),"Chicken Puff")</f>
        <v>Chicken Puff</v>
      </c>
      <c r="E180" s="18">
        <f>IFERROR(__xludf.DUMMYFUNCTION("""COMPUTED_VALUE"""),5.0)</f>
        <v>5</v>
      </c>
      <c r="F180" s="18" t="str">
        <f>IFERROR(__xludf.DUMMYFUNCTION("""COMPUTED_VALUE"""),"Ramesh S")</f>
        <v>Ramesh S</v>
      </c>
      <c r="G180" s="19">
        <f>IFERROR(__xludf.DUMMYFUNCTION("""COMPUTED_VALUE"""),45166.0)</f>
        <v>45166</v>
      </c>
      <c r="H180" s="18" t="str">
        <f>IFERROR(__xludf.DUMMYFUNCTION("""COMPUTED_VALUE"""),"COD")</f>
        <v>COD</v>
      </c>
      <c r="I180" s="18" t="str">
        <f>IFERROR(__xludf.DUMMYFUNCTION("""COMPUTED_VALUE"""),"Delivered")</f>
        <v>Delivered</v>
      </c>
      <c r="J180" s="18" t="str">
        <f>IFERROR(__xludf.DUMMYFUNCTION("""COMPUTED_VALUE"""),"On-time Delivery")</f>
        <v>On-time Delivery</v>
      </c>
      <c r="K180" s="18" t="str">
        <f>IFERROR(__xludf.DUMMYFUNCTION("""COMPUTED_VALUE"""),"Delivered on time")</f>
        <v>Delivered on time</v>
      </c>
      <c r="L180" s="18">
        <f>iferror(VLOOKUP($D180,Details!$A$2:$C$11,2,false),vlookup($D180,Details!$E$2:$G$11,2,false))</f>
        <v>90</v>
      </c>
      <c r="M180" s="18" t="str">
        <f>iferror(VLOOKUP($D180,Details!$A$2:$C$11,3,false),vlookup($D180,Details!$E$2:$G$11,3,false))</f>
        <v>Snacks and Drinks</v>
      </c>
      <c r="N180" s="18">
        <f t="shared" si="1"/>
        <v>450</v>
      </c>
      <c r="O180" s="17"/>
      <c r="P180" s="17"/>
      <c r="Q180" s="17"/>
      <c r="R180" s="17"/>
      <c r="S180" s="17"/>
      <c r="T180" s="17"/>
      <c r="U180" s="17"/>
      <c r="V180" s="17"/>
      <c r="W180" s="17"/>
      <c r="X180" s="17"/>
      <c r="Y180" s="17"/>
      <c r="Z180" s="17"/>
    </row>
    <row r="181">
      <c r="A181" s="18" t="str">
        <f>IFERROR(__xludf.DUMMYFUNCTION("""COMPUTED_VALUE"""),"ord_10180")</f>
        <v>ord_10180</v>
      </c>
      <c r="B181" s="18" t="str">
        <f>IFERROR(__xludf.DUMMYFUNCTION("""COMPUTED_VALUE"""),"Sanjay Nair")</f>
        <v>Sanjay Nair</v>
      </c>
      <c r="C181" s="18" t="str">
        <f>IFERROR(__xludf.DUMMYFUNCTION("""COMPUTED_VALUE"""),"Dadar")</f>
        <v>Dadar</v>
      </c>
      <c r="D181" s="18" t="str">
        <f>IFERROR(__xludf.DUMMYFUNCTION("""COMPUTED_VALUE"""),"Chocolate Mousse")</f>
        <v>Chocolate Mousse</v>
      </c>
      <c r="E181" s="18">
        <f>IFERROR(__xludf.DUMMYFUNCTION("""COMPUTED_VALUE"""),5.0)</f>
        <v>5</v>
      </c>
      <c r="F181" s="18" t="str">
        <f>IFERROR(__xludf.DUMMYFUNCTION("""COMPUTED_VALUE"""),"Ramesh S")</f>
        <v>Ramesh S</v>
      </c>
      <c r="G181" s="19">
        <f>IFERROR(__xludf.DUMMYFUNCTION("""COMPUTED_VALUE"""),45157.0)</f>
        <v>45157</v>
      </c>
      <c r="H181" s="18" t="str">
        <f>IFERROR(__xludf.DUMMYFUNCTION("""COMPUTED_VALUE"""),"Credit Card")</f>
        <v>Credit Card</v>
      </c>
      <c r="I181" s="18" t="str">
        <f>IFERROR(__xludf.DUMMYFUNCTION("""COMPUTED_VALUE"""),"Delivered")</f>
        <v>Delivered</v>
      </c>
      <c r="J181" s="18" t="str">
        <f>IFERROR(__xludf.DUMMYFUNCTION("""COMPUTED_VALUE"""),"Quality of Items")</f>
        <v>Quality of Items</v>
      </c>
      <c r="K181" s="18" t="str">
        <f>IFERROR(__xludf.DUMMYFUNCTION("""COMPUTED_VALUE"""),"Perfect condition")</f>
        <v>Perfect condition</v>
      </c>
      <c r="L181" s="18">
        <f>iferror(VLOOKUP($D181,Details!$A$2:$C$11,2,false),vlookup($D181,Details!$E$2:$G$11,2,false))</f>
        <v>145</v>
      </c>
      <c r="M181" s="18" t="str">
        <f>iferror(VLOOKUP($D181,Details!$A$2:$C$11,3,false),vlookup($D181,Details!$E$2:$G$11,3,false))</f>
        <v>Snacks and Drinks</v>
      </c>
      <c r="N181" s="18">
        <f t="shared" si="1"/>
        <v>725</v>
      </c>
      <c r="O181" s="17"/>
      <c r="P181" s="17"/>
      <c r="Q181" s="17"/>
      <c r="R181" s="17"/>
      <c r="S181" s="17"/>
      <c r="T181" s="17"/>
      <c r="U181" s="17"/>
      <c r="V181" s="17"/>
      <c r="W181" s="17"/>
      <c r="X181" s="17"/>
      <c r="Y181" s="17"/>
      <c r="Z181" s="17"/>
    </row>
    <row r="182">
      <c r="A182" s="18" t="str">
        <f>IFERROR(__xludf.DUMMYFUNCTION("""COMPUTED_VALUE"""),"ord_10181")</f>
        <v>ord_10181</v>
      </c>
      <c r="B182" s="18" t="str">
        <f>IFERROR(__xludf.DUMMYFUNCTION("""COMPUTED_VALUE"""),"Aarav Mehta")</f>
        <v>Aarav Mehta</v>
      </c>
      <c r="C182" s="18" t="str">
        <f>IFERROR(__xludf.DUMMYFUNCTION("""COMPUTED_VALUE"""),"Andheri")</f>
        <v>Andheri</v>
      </c>
      <c r="D182" s="18" t="str">
        <f>IFERROR(__xludf.DUMMYFUNCTION("""COMPUTED_VALUE"""),"Potato")</f>
        <v>Potato</v>
      </c>
      <c r="E182" s="18">
        <f>IFERROR(__xludf.DUMMYFUNCTION("""COMPUTED_VALUE"""),1.0)</f>
        <v>1</v>
      </c>
      <c r="F182" s="18" t="str">
        <f>IFERROR(__xludf.DUMMYFUNCTION("""COMPUTED_VALUE"""),"Manju Ajay")</f>
        <v>Manju Ajay</v>
      </c>
      <c r="G182" s="19">
        <f>IFERROR(__xludf.DUMMYFUNCTION("""COMPUTED_VALUE"""),45281.0)</f>
        <v>45281</v>
      </c>
      <c r="H182" s="18" t="str">
        <f>IFERROR(__xludf.DUMMYFUNCTION("""COMPUTED_VALUE"""),"COD")</f>
        <v>COD</v>
      </c>
      <c r="I182" s="18" t="str">
        <f>IFERROR(__xludf.DUMMYFUNCTION("""COMPUTED_VALUE"""),"Delivered")</f>
        <v>Delivered</v>
      </c>
      <c r="J182" s="18" t="str">
        <f>IFERROR(__xludf.DUMMYFUNCTION("""COMPUTED_VALUE"""),"Packaging")</f>
        <v>Packaging</v>
      </c>
      <c r="K182" s="18" t="str">
        <f>IFERROR(__xludf.DUMMYFUNCTION("""COMPUTED_VALUE"""),"Secure and intact")</f>
        <v>Secure and intact</v>
      </c>
      <c r="L182" s="18">
        <f>iferror(VLOOKUP($D182,Details!$A$2:$C$11,2,false),vlookup($D182,Details!$E$2:$G$11,2,false))</f>
        <v>55</v>
      </c>
      <c r="M182" s="18" t="str">
        <f>iferror(VLOOKUP($D182,Details!$A$2:$C$11,3,false),vlookup($D182,Details!$E$2:$G$11,3,false))</f>
        <v>Fruits and Vegetables</v>
      </c>
      <c r="N182" s="18">
        <f t="shared" si="1"/>
        <v>55</v>
      </c>
      <c r="O182" s="17"/>
      <c r="P182" s="17"/>
      <c r="Q182" s="17"/>
      <c r="R182" s="17"/>
      <c r="S182" s="17"/>
      <c r="T182" s="17"/>
      <c r="U182" s="17"/>
      <c r="V182" s="17"/>
      <c r="W182" s="17"/>
      <c r="X182" s="17"/>
      <c r="Y182" s="17"/>
      <c r="Z182" s="17"/>
    </row>
    <row r="183">
      <c r="A183" s="18" t="str">
        <f>IFERROR(__xludf.DUMMYFUNCTION("""COMPUTED_VALUE"""),"ord_10182")</f>
        <v>ord_10182</v>
      </c>
      <c r="B183" s="18" t="str">
        <f>IFERROR(__xludf.DUMMYFUNCTION("""COMPUTED_VALUE"""),"Mohit Malhotra")</f>
        <v>Mohit Malhotra</v>
      </c>
      <c r="C183" s="18" t="str">
        <f>IFERROR(__xludf.DUMMYFUNCTION("""COMPUTED_VALUE"""),"Lower Parel")</f>
        <v>Lower Parel</v>
      </c>
      <c r="D183" s="18" t="str">
        <f>IFERROR(__xludf.DUMMYFUNCTION("""COMPUTED_VALUE"""),"Icecream")</f>
        <v>Icecream</v>
      </c>
      <c r="E183" s="18">
        <f>IFERROR(__xludf.DUMMYFUNCTION("""COMPUTED_VALUE"""),2.0)</f>
        <v>2</v>
      </c>
      <c r="F183" s="18" t="str">
        <f>IFERROR(__xludf.DUMMYFUNCTION("""COMPUTED_VALUE"""),"Kiran Mehta")</f>
        <v>Kiran Mehta</v>
      </c>
      <c r="G183" s="19">
        <f>IFERROR(__xludf.DUMMYFUNCTION("""COMPUTED_VALUE"""),45222.0)</f>
        <v>45222</v>
      </c>
      <c r="H183" s="18" t="str">
        <f>IFERROR(__xludf.DUMMYFUNCTION("""COMPUTED_VALUE"""),"Credit Card")</f>
        <v>Credit Card</v>
      </c>
      <c r="I183" s="18" t="str">
        <f>IFERROR(__xludf.DUMMYFUNCTION("""COMPUTED_VALUE"""),"Delivered")</f>
        <v>Delivered</v>
      </c>
      <c r="J183" s="18" t="str">
        <f>IFERROR(__xludf.DUMMYFUNCTION("""COMPUTED_VALUE"""),"Satisfied with the Delivery")</f>
        <v>Satisfied with the Delivery</v>
      </c>
      <c r="K183" s="18" t="str">
        <f>IFERROR(__xludf.DUMMYFUNCTION("""COMPUTED_VALUE"""),"Timely and quality")</f>
        <v>Timely and quality</v>
      </c>
      <c r="L183" s="18">
        <f>iferror(VLOOKUP($D183,Details!$A$2:$C$11,2,false),vlookup($D183,Details!$E$2:$G$11,2,false))</f>
        <v>90</v>
      </c>
      <c r="M183" s="18" t="str">
        <f>iferror(VLOOKUP($D183,Details!$A$2:$C$11,3,false),vlookup($D183,Details!$E$2:$G$11,3,false))</f>
        <v>Snacks and Drinks</v>
      </c>
      <c r="N183" s="18">
        <f t="shared" si="1"/>
        <v>180</v>
      </c>
      <c r="O183" s="17"/>
      <c r="P183" s="17"/>
      <c r="Q183" s="17"/>
      <c r="R183" s="17"/>
      <c r="S183" s="17"/>
      <c r="T183" s="17"/>
      <c r="U183" s="17"/>
      <c r="V183" s="17"/>
      <c r="W183" s="17"/>
      <c r="X183" s="17"/>
      <c r="Y183" s="17"/>
      <c r="Z183" s="17"/>
    </row>
    <row r="184">
      <c r="A184" s="18" t="str">
        <f>IFERROR(__xludf.DUMMYFUNCTION("""COMPUTED_VALUE"""),"ord_10183")</f>
        <v>ord_10183</v>
      </c>
      <c r="B184" s="18" t="str">
        <f>IFERROR(__xludf.DUMMYFUNCTION("""COMPUTED_VALUE"""),"Pallavi Ghosh")</f>
        <v>Pallavi Ghosh</v>
      </c>
      <c r="C184" s="18" t="str">
        <f>IFERROR(__xludf.DUMMYFUNCTION("""COMPUTED_VALUE"""),"Bandra")</f>
        <v>Bandra</v>
      </c>
      <c r="D184" s="18" t="str">
        <f>IFERROR(__xludf.DUMMYFUNCTION("""COMPUTED_VALUE"""),"Tomato")</f>
        <v>Tomato</v>
      </c>
      <c r="E184" s="18">
        <f>IFERROR(__xludf.DUMMYFUNCTION("""COMPUTED_VALUE"""),1.0)</f>
        <v>1</v>
      </c>
      <c r="F184" s="18" t="str">
        <f>IFERROR(__xludf.DUMMYFUNCTION("""COMPUTED_VALUE"""),"Not Assigned")</f>
        <v>Not Assigned</v>
      </c>
      <c r="G184" s="19">
        <f>IFERROR(__xludf.DUMMYFUNCTION("""COMPUTED_VALUE"""),45229.0)</f>
        <v>45229</v>
      </c>
      <c r="H184" s="18" t="str">
        <f>IFERROR(__xludf.DUMMYFUNCTION("""COMPUTED_VALUE"""),"UPI")</f>
        <v>UPI</v>
      </c>
      <c r="I184" s="18" t="str">
        <f>IFERROR(__xludf.DUMMYFUNCTION("""COMPUTED_VALUE"""),"Cancelled")</f>
        <v>Cancelled</v>
      </c>
      <c r="J184" s="18" t="str">
        <f>IFERROR(__xludf.DUMMYFUNCTION("""COMPUTED_VALUE"""),"Payment Issues")</f>
        <v>Payment Issues</v>
      </c>
      <c r="K184" s="18"/>
      <c r="L184" s="18">
        <f>iferror(VLOOKUP($D184,Details!$A$2:$C$11,2,false),vlookup($D184,Details!$E$2:$G$11,2,false))</f>
        <v>25</v>
      </c>
      <c r="M184" s="18" t="str">
        <f>iferror(VLOOKUP($D184,Details!$A$2:$C$11,3,false),vlookup($D184,Details!$E$2:$G$11,3,false))</f>
        <v>Fruits and Vegetables</v>
      </c>
      <c r="N184" s="18">
        <f t="shared" si="1"/>
        <v>25</v>
      </c>
      <c r="O184" s="17"/>
      <c r="P184" s="17"/>
      <c r="Q184" s="17"/>
      <c r="R184" s="17"/>
      <c r="S184" s="17"/>
      <c r="T184" s="17"/>
      <c r="U184" s="17"/>
      <c r="V184" s="17"/>
      <c r="W184" s="17"/>
      <c r="X184" s="17"/>
      <c r="Y184" s="17"/>
      <c r="Z184" s="17"/>
    </row>
    <row r="185">
      <c r="A185" s="18" t="str">
        <f>IFERROR(__xludf.DUMMYFUNCTION("""COMPUTED_VALUE"""),"ord_10184")</f>
        <v>ord_10184</v>
      </c>
      <c r="B185" s="18" t="str">
        <f>IFERROR(__xludf.DUMMYFUNCTION("""COMPUTED_VALUE"""),"Nitin Sehgal")</f>
        <v>Nitin Sehgal</v>
      </c>
      <c r="C185" s="18" t="str">
        <f>IFERROR(__xludf.DUMMYFUNCTION("""COMPUTED_VALUE"""),"Bandra")</f>
        <v>Bandra</v>
      </c>
      <c r="D185" s="18" t="str">
        <f>IFERROR(__xludf.DUMMYFUNCTION("""COMPUTED_VALUE"""),"Chilli Cheese Toast")</f>
        <v>Chilli Cheese Toast</v>
      </c>
      <c r="E185" s="18">
        <f>IFERROR(__xludf.DUMMYFUNCTION("""COMPUTED_VALUE"""),3.0)</f>
        <v>3</v>
      </c>
      <c r="F185" s="18" t="str">
        <f>IFERROR(__xludf.DUMMYFUNCTION("""COMPUTED_VALUE"""),"Vivek Kumar")</f>
        <v>Vivek Kumar</v>
      </c>
      <c r="G185" s="19">
        <f>IFERROR(__xludf.DUMMYFUNCTION("""COMPUTED_VALUE"""),45247.0)</f>
        <v>45247</v>
      </c>
      <c r="H185" s="18" t="str">
        <f>IFERROR(__xludf.DUMMYFUNCTION("""COMPUTED_VALUE"""),"Online Payment")</f>
        <v>Online Payment</v>
      </c>
      <c r="I185" s="18" t="str">
        <f>IFERROR(__xludf.DUMMYFUNCTION("""COMPUTED_VALUE"""),"Delivered")</f>
        <v>Delivered</v>
      </c>
      <c r="J185" s="18" t="str">
        <f>IFERROR(__xludf.DUMMYFUNCTION("""COMPUTED_VALUE"""),"Customer Service")</f>
        <v>Customer Service</v>
      </c>
      <c r="K185" s="18" t="str">
        <f>IFERROR(__xludf.DUMMYFUNCTION("""COMPUTED_VALUE"""),"Seamless and easy")</f>
        <v>Seamless and easy</v>
      </c>
      <c r="L185" s="18">
        <f>iferror(VLOOKUP($D185,Details!$A$2:$C$11,2,false),vlookup($D185,Details!$E$2:$G$11,2,false))</f>
        <v>80</v>
      </c>
      <c r="M185" s="18" t="str">
        <f>iferror(VLOOKUP($D185,Details!$A$2:$C$11,3,false),vlookup($D185,Details!$E$2:$G$11,3,false))</f>
        <v>Snacks and Drinks</v>
      </c>
      <c r="N185" s="18">
        <f t="shared" si="1"/>
        <v>240</v>
      </c>
      <c r="O185" s="17"/>
      <c r="P185" s="17"/>
      <c r="Q185" s="17"/>
      <c r="R185" s="17"/>
      <c r="S185" s="17"/>
      <c r="T185" s="17"/>
      <c r="U185" s="17"/>
      <c r="V185" s="17"/>
      <c r="W185" s="17"/>
      <c r="X185" s="17"/>
      <c r="Y185" s="17"/>
      <c r="Z185" s="17"/>
    </row>
    <row r="186">
      <c r="A186" s="18" t="str">
        <f>IFERROR(__xludf.DUMMYFUNCTION("""COMPUTED_VALUE"""),"ord_10185")</f>
        <v>ord_10185</v>
      </c>
      <c r="B186" s="18" t="str">
        <f>IFERROR(__xludf.DUMMYFUNCTION("""COMPUTED_VALUE"""),"Arvind Kulkarni")</f>
        <v>Arvind Kulkarni</v>
      </c>
      <c r="C186" s="18" t="str">
        <f>IFERROR(__xludf.DUMMYFUNCTION("""COMPUTED_VALUE"""),"Juhu")</f>
        <v>Juhu</v>
      </c>
      <c r="D186" s="18" t="str">
        <f>IFERROR(__xludf.DUMMYFUNCTION("""COMPUTED_VALUE"""),"Chilli Cheese Toast")</f>
        <v>Chilli Cheese Toast</v>
      </c>
      <c r="E186" s="18">
        <f>IFERROR(__xludf.DUMMYFUNCTION("""COMPUTED_VALUE"""),5.0)</f>
        <v>5</v>
      </c>
      <c r="F186" s="18" t="str">
        <f>IFERROR(__xludf.DUMMYFUNCTION("""COMPUTED_VALUE"""),"Not Assigned")</f>
        <v>Not Assigned</v>
      </c>
      <c r="G186" s="19">
        <f>IFERROR(__xludf.DUMMYFUNCTION("""COMPUTED_VALUE"""),45268.0)</f>
        <v>45268</v>
      </c>
      <c r="H186" s="18" t="str">
        <f>IFERROR(__xludf.DUMMYFUNCTION("""COMPUTED_VALUE"""),"Credit Card")</f>
        <v>Credit Card</v>
      </c>
      <c r="I186" s="18" t="str">
        <f>IFERROR(__xludf.DUMMYFUNCTION("""COMPUTED_VALUE"""),"Cancelled")</f>
        <v>Cancelled</v>
      </c>
      <c r="J186" s="18" t="str">
        <f>IFERROR(__xludf.DUMMYFUNCTION("""COMPUTED_VALUE"""),"Out of Stock")</f>
        <v>Out of Stock</v>
      </c>
      <c r="K186" s="18"/>
      <c r="L186" s="18">
        <f>iferror(VLOOKUP($D186,Details!$A$2:$C$11,2,false),vlookup($D186,Details!$E$2:$G$11,2,false))</f>
        <v>80</v>
      </c>
      <c r="M186" s="18" t="str">
        <f>iferror(VLOOKUP($D186,Details!$A$2:$C$11,3,false),vlookup($D186,Details!$E$2:$G$11,3,false))</f>
        <v>Snacks and Drinks</v>
      </c>
      <c r="N186" s="18">
        <f t="shared" si="1"/>
        <v>400</v>
      </c>
      <c r="O186" s="17"/>
      <c r="P186" s="17"/>
      <c r="Q186" s="17"/>
      <c r="R186" s="17"/>
      <c r="S186" s="17"/>
      <c r="T186" s="17"/>
      <c r="U186" s="17"/>
      <c r="V186" s="17"/>
      <c r="W186" s="17"/>
      <c r="X186" s="17"/>
      <c r="Y186" s="17"/>
      <c r="Z186" s="17"/>
    </row>
    <row r="187">
      <c r="A187" s="18" t="str">
        <f>IFERROR(__xludf.DUMMYFUNCTION("""COMPUTED_VALUE"""),"ord_10186")</f>
        <v>ord_10186</v>
      </c>
      <c r="B187" s="18" t="str">
        <f>IFERROR(__xludf.DUMMYFUNCTION("""COMPUTED_VALUE"""),"Tanishq Bansal")</f>
        <v>Tanishq Bansal</v>
      </c>
      <c r="C187" s="18" t="str">
        <f>IFERROR(__xludf.DUMMYFUNCTION("""COMPUTED_VALUE"""),"Powai")</f>
        <v>Powai</v>
      </c>
      <c r="D187" s="18" t="str">
        <f>IFERROR(__xludf.DUMMYFUNCTION("""COMPUTED_VALUE"""),"Chilli Cheese Toast")</f>
        <v>Chilli Cheese Toast</v>
      </c>
      <c r="E187" s="18">
        <f>IFERROR(__xludf.DUMMYFUNCTION("""COMPUTED_VALUE"""),1.0)</f>
        <v>1</v>
      </c>
      <c r="F187" s="18" t="str">
        <f>IFERROR(__xludf.DUMMYFUNCTION("""COMPUTED_VALUE"""),"Not Assigned")</f>
        <v>Not Assigned</v>
      </c>
      <c r="G187" s="19">
        <f>IFERROR(__xludf.DUMMYFUNCTION("""COMPUTED_VALUE"""),45182.0)</f>
        <v>45182</v>
      </c>
      <c r="H187" s="18" t="str">
        <f>IFERROR(__xludf.DUMMYFUNCTION("""COMPUTED_VALUE"""),"Credit Card")</f>
        <v>Credit Card</v>
      </c>
      <c r="I187" s="18" t="str">
        <f>IFERROR(__xludf.DUMMYFUNCTION("""COMPUTED_VALUE"""),"Cancelled")</f>
        <v>Cancelled</v>
      </c>
      <c r="J187" s="18" t="str">
        <f>IFERROR(__xludf.DUMMYFUNCTION("""COMPUTED_VALUE"""),"High Delivery Fees")</f>
        <v>High Delivery Fees</v>
      </c>
      <c r="K187" s="18"/>
      <c r="L187" s="18">
        <f>iferror(VLOOKUP($D187,Details!$A$2:$C$11,2,false),vlookup($D187,Details!$E$2:$G$11,2,false))</f>
        <v>80</v>
      </c>
      <c r="M187" s="18" t="str">
        <f>iferror(VLOOKUP($D187,Details!$A$2:$C$11,3,false),vlookup($D187,Details!$E$2:$G$11,3,false))</f>
        <v>Snacks and Drinks</v>
      </c>
      <c r="N187" s="18">
        <f t="shared" si="1"/>
        <v>80</v>
      </c>
      <c r="O187" s="17"/>
      <c r="P187" s="17"/>
      <c r="Q187" s="17"/>
      <c r="R187" s="17"/>
      <c r="S187" s="17"/>
      <c r="T187" s="17"/>
      <c r="U187" s="17"/>
      <c r="V187" s="17"/>
      <c r="W187" s="17"/>
      <c r="X187" s="17"/>
      <c r="Y187" s="17"/>
      <c r="Z187" s="17"/>
    </row>
    <row r="188">
      <c r="A188" s="18" t="str">
        <f>IFERROR(__xludf.DUMMYFUNCTION("""COMPUTED_VALUE"""),"ord_10187")</f>
        <v>ord_10187</v>
      </c>
      <c r="B188" s="18" t="str">
        <f>IFERROR(__xludf.DUMMYFUNCTION("""COMPUTED_VALUE"""),"Mohit Malhotra")</f>
        <v>Mohit Malhotra</v>
      </c>
      <c r="C188" s="18" t="str">
        <f>IFERROR(__xludf.DUMMYFUNCTION("""COMPUTED_VALUE"""),"Lower Parel")</f>
        <v>Lower Parel</v>
      </c>
      <c r="D188" s="18" t="str">
        <f>IFERROR(__xludf.DUMMYFUNCTION("""COMPUTED_VALUE"""),"Veg Puff")</f>
        <v>Veg Puff</v>
      </c>
      <c r="E188" s="18">
        <f>IFERROR(__xludf.DUMMYFUNCTION("""COMPUTED_VALUE"""),3.0)</f>
        <v>3</v>
      </c>
      <c r="F188" s="18" t="str">
        <f>IFERROR(__xludf.DUMMYFUNCTION("""COMPUTED_VALUE"""),"Neha Shah")</f>
        <v>Neha Shah</v>
      </c>
      <c r="G188" s="19">
        <f>IFERROR(__xludf.DUMMYFUNCTION("""COMPUTED_VALUE"""),45182.0)</f>
        <v>45182</v>
      </c>
      <c r="H188" s="18" t="str">
        <f>IFERROR(__xludf.DUMMYFUNCTION("""COMPUTED_VALUE"""),"Credit Card")</f>
        <v>Credit Card</v>
      </c>
      <c r="I188" s="18" t="str">
        <f>IFERROR(__xludf.DUMMYFUNCTION("""COMPUTED_VALUE"""),"Cancelled")</f>
        <v>Cancelled</v>
      </c>
      <c r="J188" s="18" t="str">
        <f>IFERROR(__xludf.DUMMYFUNCTION("""COMPUTED_VALUE"""),"Delayed Delivery")</f>
        <v>Delayed Delivery</v>
      </c>
      <c r="K188" s="18" t="str">
        <f>IFERROR(__xludf.DUMMYFUNCTION("""COMPUTED_VALUE"""),"Heavy Traffic")</f>
        <v>Heavy Traffic</v>
      </c>
      <c r="L188" s="18">
        <f>iferror(VLOOKUP($D188,Details!$A$2:$C$11,2,false),vlookup($D188,Details!$E$2:$G$11,2,false))</f>
        <v>80</v>
      </c>
      <c r="M188" s="18" t="str">
        <f>iferror(VLOOKUP($D188,Details!$A$2:$C$11,3,false),vlookup($D188,Details!$E$2:$G$11,3,false))</f>
        <v>Snacks and Drinks</v>
      </c>
      <c r="N188" s="18">
        <f t="shared" si="1"/>
        <v>240</v>
      </c>
      <c r="O188" s="17"/>
      <c r="P188" s="17"/>
      <c r="Q188" s="17"/>
      <c r="R188" s="17"/>
      <c r="S188" s="17"/>
      <c r="T188" s="17"/>
      <c r="U188" s="17"/>
      <c r="V188" s="17"/>
      <c r="W188" s="17"/>
      <c r="X188" s="17"/>
      <c r="Y188" s="17"/>
      <c r="Z188" s="17"/>
    </row>
    <row r="189">
      <c r="A189" s="18" t="str">
        <f>IFERROR(__xludf.DUMMYFUNCTION("""COMPUTED_VALUE"""),"ord_10188")</f>
        <v>ord_10188</v>
      </c>
      <c r="B189" s="18" t="str">
        <f>IFERROR(__xludf.DUMMYFUNCTION("""COMPUTED_VALUE"""),"Parth Goel")</f>
        <v>Parth Goel</v>
      </c>
      <c r="C189" s="18" t="str">
        <f>IFERROR(__xludf.DUMMYFUNCTION("""COMPUTED_VALUE"""),"Juhu")</f>
        <v>Juhu</v>
      </c>
      <c r="D189" s="18" t="str">
        <f>IFERROR(__xludf.DUMMYFUNCTION("""COMPUTED_VALUE"""),"Icecream")</f>
        <v>Icecream</v>
      </c>
      <c r="E189" s="18">
        <f>IFERROR(__xludf.DUMMYFUNCTION("""COMPUTED_VALUE"""),1.0)</f>
        <v>1</v>
      </c>
      <c r="F189" s="18" t="str">
        <f>IFERROR(__xludf.DUMMYFUNCTION("""COMPUTED_VALUE"""),"Ram Gopal")</f>
        <v>Ram Gopal</v>
      </c>
      <c r="G189" s="19">
        <f>IFERROR(__xludf.DUMMYFUNCTION("""COMPUTED_VALUE"""),45086.0)</f>
        <v>45086</v>
      </c>
      <c r="H189" s="18" t="str">
        <f>IFERROR(__xludf.DUMMYFUNCTION("""COMPUTED_VALUE"""),"Online Payment")</f>
        <v>Online Payment</v>
      </c>
      <c r="I189" s="18" t="str">
        <f>IFERROR(__xludf.DUMMYFUNCTION("""COMPUTED_VALUE"""),"Delivered")</f>
        <v>Delivered</v>
      </c>
      <c r="J189" s="18" t="str">
        <f>IFERROR(__xludf.DUMMYFUNCTION("""COMPUTED_VALUE"""),"Delivery Experience")</f>
        <v>Delivery Experience</v>
      </c>
      <c r="K189" s="18" t="str">
        <f>IFERROR(__xludf.DUMMYFUNCTION("""COMPUTED_VALUE"""),"Quick and professional")</f>
        <v>Quick and professional</v>
      </c>
      <c r="L189" s="18">
        <f>iferror(VLOOKUP($D189,Details!$A$2:$C$11,2,false),vlookup($D189,Details!$E$2:$G$11,2,false))</f>
        <v>90</v>
      </c>
      <c r="M189" s="18" t="str">
        <f>iferror(VLOOKUP($D189,Details!$A$2:$C$11,3,false),vlookup($D189,Details!$E$2:$G$11,3,false))</f>
        <v>Snacks and Drinks</v>
      </c>
      <c r="N189" s="18">
        <f t="shared" si="1"/>
        <v>90</v>
      </c>
      <c r="O189" s="17"/>
      <c r="P189" s="17"/>
      <c r="Q189" s="17"/>
      <c r="R189" s="17"/>
      <c r="S189" s="17"/>
      <c r="T189" s="17"/>
      <c r="U189" s="17"/>
      <c r="V189" s="17"/>
      <c r="W189" s="17"/>
      <c r="X189" s="17"/>
      <c r="Y189" s="17"/>
      <c r="Z189" s="17"/>
    </row>
    <row r="190">
      <c r="A190" s="18" t="str">
        <f>IFERROR(__xludf.DUMMYFUNCTION("""COMPUTED_VALUE"""),"ord_10189")</f>
        <v>ord_10189</v>
      </c>
      <c r="B190" s="18" t="str">
        <f>IFERROR(__xludf.DUMMYFUNCTION("""COMPUTED_VALUE"""),"Dev Chauhan")</f>
        <v>Dev Chauhan</v>
      </c>
      <c r="C190" s="18" t="str">
        <f>IFERROR(__xludf.DUMMYFUNCTION("""COMPUTED_VALUE"""),"Bandra")</f>
        <v>Bandra</v>
      </c>
      <c r="D190" s="18" t="str">
        <f>IFERROR(__xludf.DUMMYFUNCTION("""COMPUTED_VALUE"""),"Chicken Puff")</f>
        <v>Chicken Puff</v>
      </c>
      <c r="E190" s="18">
        <f>IFERROR(__xludf.DUMMYFUNCTION("""COMPUTED_VALUE"""),2.0)</f>
        <v>2</v>
      </c>
      <c r="F190" s="18" t="str">
        <f>IFERROR(__xludf.DUMMYFUNCTION("""COMPUTED_VALUE"""),"Ramesh S")</f>
        <v>Ramesh S</v>
      </c>
      <c r="G190" s="19">
        <f>IFERROR(__xludf.DUMMYFUNCTION("""COMPUTED_VALUE"""),45063.0)</f>
        <v>45063</v>
      </c>
      <c r="H190" s="18" t="str">
        <f>IFERROR(__xludf.DUMMYFUNCTION("""COMPUTED_VALUE"""),"Credit Card")</f>
        <v>Credit Card</v>
      </c>
      <c r="I190" s="18" t="str">
        <f>IFERROR(__xludf.DUMMYFUNCTION("""COMPUTED_VALUE"""),"Delivered")</f>
        <v>Delivered</v>
      </c>
      <c r="J190" s="18" t="str">
        <f>IFERROR(__xludf.DUMMYFUNCTION("""COMPUTED_VALUE"""),"Convenience")</f>
        <v>Convenience</v>
      </c>
      <c r="K190" s="18" t="str">
        <f>IFERROR(__xludf.DUMMYFUNCTION("""COMPUTED_VALUE"""),"Easy tracking")</f>
        <v>Easy tracking</v>
      </c>
      <c r="L190" s="18">
        <f>iferror(VLOOKUP($D190,Details!$A$2:$C$11,2,false),vlookup($D190,Details!$E$2:$G$11,2,false))</f>
        <v>90</v>
      </c>
      <c r="M190" s="18" t="str">
        <f>iferror(VLOOKUP($D190,Details!$A$2:$C$11,3,false),vlookup($D190,Details!$E$2:$G$11,3,false))</f>
        <v>Snacks and Drinks</v>
      </c>
      <c r="N190" s="18">
        <f t="shared" si="1"/>
        <v>180</v>
      </c>
      <c r="O190" s="17"/>
      <c r="P190" s="17"/>
      <c r="Q190" s="17"/>
      <c r="R190" s="17"/>
      <c r="S190" s="17"/>
      <c r="T190" s="17"/>
      <c r="U190" s="17"/>
      <c r="V190" s="17"/>
      <c r="W190" s="17"/>
      <c r="X190" s="17"/>
      <c r="Y190" s="17"/>
      <c r="Z190" s="17"/>
    </row>
    <row r="191">
      <c r="A191" s="18" t="str">
        <f>IFERROR(__xludf.DUMMYFUNCTION("""COMPUTED_VALUE"""),"ord_10190")</f>
        <v>ord_10190</v>
      </c>
      <c r="B191" s="18" t="str">
        <f>IFERROR(__xludf.DUMMYFUNCTION("""COMPUTED_VALUE"""),"Tanishq Bansal")</f>
        <v>Tanishq Bansal</v>
      </c>
      <c r="C191" s="18" t="str">
        <f>IFERROR(__xludf.DUMMYFUNCTION("""COMPUTED_VALUE"""),"Powai")</f>
        <v>Powai</v>
      </c>
      <c r="D191" s="18" t="str">
        <f>IFERROR(__xludf.DUMMYFUNCTION("""COMPUTED_VALUE"""),"Chilli Cheese Toast")</f>
        <v>Chilli Cheese Toast</v>
      </c>
      <c r="E191" s="18">
        <f>IFERROR(__xludf.DUMMYFUNCTION("""COMPUTED_VALUE"""),3.0)</f>
        <v>3</v>
      </c>
      <c r="F191" s="18" t="str">
        <f>IFERROR(__xludf.DUMMYFUNCTION("""COMPUTED_VALUE"""),"Vivek Kumar")</f>
        <v>Vivek Kumar</v>
      </c>
      <c r="G191" s="19">
        <f>IFERROR(__xludf.DUMMYFUNCTION("""COMPUTED_VALUE"""),45258.0)</f>
        <v>45258</v>
      </c>
      <c r="H191" s="18" t="str">
        <f>IFERROR(__xludf.DUMMYFUNCTION("""COMPUTED_VALUE"""),"Credit Card")</f>
        <v>Credit Card</v>
      </c>
      <c r="I191" s="18" t="str">
        <f>IFERROR(__xludf.DUMMYFUNCTION("""COMPUTED_VALUE"""),"Cancelled")</f>
        <v>Cancelled</v>
      </c>
      <c r="J191" s="18" t="str">
        <f>IFERROR(__xludf.DUMMYFUNCTION("""COMPUTED_VALUE"""),"Delayed Delivery")</f>
        <v>Delayed Delivery</v>
      </c>
      <c r="K191" s="18" t="str">
        <f>IFERROR(__xludf.DUMMYFUNCTION("""COMPUTED_VALUE"""),"Incorrect Address or Location")</f>
        <v>Incorrect Address or Location</v>
      </c>
      <c r="L191" s="18">
        <f>iferror(VLOOKUP($D191,Details!$A$2:$C$11,2,false),vlookup($D191,Details!$E$2:$G$11,2,false))</f>
        <v>80</v>
      </c>
      <c r="M191" s="18" t="str">
        <f>iferror(VLOOKUP($D191,Details!$A$2:$C$11,3,false),vlookup($D191,Details!$E$2:$G$11,3,false))</f>
        <v>Snacks and Drinks</v>
      </c>
      <c r="N191" s="18">
        <f t="shared" si="1"/>
        <v>240</v>
      </c>
      <c r="O191" s="17"/>
      <c r="P191" s="17"/>
      <c r="Q191" s="17"/>
      <c r="R191" s="17"/>
      <c r="S191" s="17"/>
      <c r="T191" s="17"/>
      <c r="U191" s="17"/>
      <c r="V191" s="17"/>
      <c r="W191" s="17"/>
      <c r="X191" s="17"/>
      <c r="Y191" s="17"/>
      <c r="Z191" s="17"/>
    </row>
    <row r="192">
      <c r="A192" s="18" t="str">
        <f>IFERROR(__xludf.DUMMYFUNCTION("""COMPUTED_VALUE"""),"ord_10191")</f>
        <v>ord_10191</v>
      </c>
      <c r="B192" s="18" t="str">
        <f>IFERROR(__xludf.DUMMYFUNCTION("""COMPUTED_VALUE"""),"Parth Goel")</f>
        <v>Parth Goel</v>
      </c>
      <c r="C192" s="18" t="str">
        <f>IFERROR(__xludf.DUMMYFUNCTION("""COMPUTED_VALUE"""),"Juhu")</f>
        <v>Juhu</v>
      </c>
      <c r="D192" s="18" t="str">
        <f>IFERROR(__xludf.DUMMYFUNCTION("""COMPUTED_VALUE"""),"Guava")</f>
        <v>Guava</v>
      </c>
      <c r="E192" s="18">
        <f>IFERROR(__xludf.DUMMYFUNCTION("""COMPUTED_VALUE"""),1.0)</f>
        <v>1</v>
      </c>
      <c r="F192" s="18" t="str">
        <f>IFERROR(__xludf.DUMMYFUNCTION("""COMPUTED_VALUE"""),"Tanvi Jain")</f>
        <v>Tanvi Jain</v>
      </c>
      <c r="G192" s="19">
        <f>IFERROR(__xludf.DUMMYFUNCTION("""COMPUTED_VALUE"""),45241.0)</f>
        <v>45241</v>
      </c>
      <c r="H192" s="18" t="str">
        <f>IFERROR(__xludf.DUMMYFUNCTION("""COMPUTED_VALUE"""),"Online Payment")</f>
        <v>Online Payment</v>
      </c>
      <c r="I192" s="18" t="str">
        <f>IFERROR(__xludf.DUMMYFUNCTION("""COMPUTED_VALUE"""),"Cancelled")</f>
        <v>Cancelled</v>
      </c>
      <c r="J192" s="18" t="str">
        <f>IFERROR(__xludf.DUMMYFUNCTION("""COMPUTED_VALUE"""),"Delayed Delivery")</f>
        <v>Delayed Delivery</v>
      </c>
      <c r="K192" s="18" t="str">
        <f>IFERROR(__xludf.DUMMYFUNCTION("""COMPUTED_VALUE"""),"Traffic Accidents or Road Closures")</f>
        <v>Traffic Accidents or Road Closures</v>
      </c>
      <c r="L192" s="18">
        <f>iferror(VLOOKUP($D192,Details!$A$2:$C$11,2,false),vlookup($D192,Details!$E$2:$G$11,2,false))</f>
        <v>70</v>
      </c>
      <c r="M192" s="18" t="str">
        <f>iferror(VLOOKUP($D192,Details!$A$2:$C$11,3,false),vlookup($D192,Details!$E$2:$G$11,3,false))</f>
        <v>Fruits and Vegetables</v>
      </c>
      <c r="N192" s="18">
        <f t="shared" si="1"/>
        <v>70</v>
      </c>
      <c r="O192" s="17"/>
      <c r="P192" s="17"/>
      <c r="Q192" s="17"/>
      <c r="R192" s="17"/>
      <c r="S192" s="17"/>
      <c r="T192" s="17"/>
      <c r="U192" s="17"/>
      <c r="V192" s="17"/>
      <c r="W192" s="17"/>
      <c r="X192" s="17"/>
      <c r="Y192" s="17"/>
      <c r="Z192" s="17"/>
    </row>
    <row r="193">
      <c r="A193" s="18" t="str">
        <f>IFERROR(__xludf.DUMMYFUNCTION("""COMPUTED_VALUE"""),"ord_10192")</f>
        <v>ord_10192</v>
      </c>
      <c r="B193" s="18" t="str">
        <f>IFERROR(__xludf.DUMMYFUNCTION("""COMPUTED_VALUE"""),"Mehul Thakkar")</f>
        <v>Mehul Thakkar</v>
      </c>
      <c r="C193" s="18" t="str">
        <f>IFERROR(__xludf.DUMMYFUNCTION("""COMPUTED_VALUE"""),"Malad")</f>
        <v>Malad</v>
      </c>
      <c r="D193" s="18" t="str">
        <f>IFERROR(__xludf.DUMMYFUNCTION("""COMPUTED_VALUE"""),"Sweet Corn")</f>
        <v>Sweet Corn</v>
      </c>
      <c r="E193" s="18">
        <f>IFERROR(__xludf.DUMMYFUNCTION("""COMPUTED_VALUE"""),1.0)</f>
        <v>1</v>
      </c>
      <c r="F193" s="18" t="str">
        <f>IFERROR(__xludf.DUMMYFUNCTION("""COMPUTED_VALUE"""),"Ramesh S")</f>
        <v>Ramesh S</v>
      </c>
      <c r="G193" s="19">
        <f>IFERROR(__xludf.DUMMYFUNCTION("""COMPUTED_VALUE"""),45032.0)</f>
        <v>45032</v>
      </c>
      <c r="H193" s="18" t="str">
        <f>IFERROR(__xludf.DUMMYFUNCTION("""COMPUTED_VALUE"""),"Credit Card")</f>
        <v>Credit Card</v>
      </c>
      <c r="I193" s="18" t="str">
        <f>IFERROR(__xludf.DUMMYFUNCTION("""COMPUTED_VALUE"""),"Delivered")</f>
        <v>Delivered</v>
      </c>
      <c r="J193" s="18" t="str">
        <f>IFERROR(__xludf.DUMMYFUNCTION("""COMPUTED_VALUE"""),"Overall Satisfaction")</f>
        <v>Overall Satisfaction</v>
      </c>
      <c r="K193" s="18" t="str">
        <f>IFERROR(__xludf.DUMMYFUNCTION("""COMPUTED_VALUE"""),"Great service will order again")</f>
        <v>Great service will order again</v>
      </c>
      <c r="L193" s="18">
        <f>iferror(VLOOKUP($D193,Details!$A$2:$C$11,2,false),vlookup($D193,Details!$E$2:$G$11,2,false))</f>
        <v>60</v>
      </c>
      <c r="M193" s="18" t="str">
        <f>iferror(VLOOKUP($D193,Details!$A$2:$C$11,3,false),vlookup($D193,Details!$E$2:$G$11,3,false))</f>
        <v>Fruits and Vegetables</v>
      </c>
      <c r="N193" s="18">
        <f t="shared" si="1"/>
        <v>60</v>
      </c>
      <c r="O193" s="17"/>
      <c r="P193" s="17"/>
      <c r="Q193" s="17"/>
      <c r="R193" s="17"/>
      <c r="S193" s="17"/>
      <c r="T193" s="17"/>
      <c r="U193" s="17"/>
      <c r="V193" s="17"/>
      <c r="W193" s="17"/>
      <c r="X193" s="17"/>
      <c r="Y193" s="17"/>
      <c r="Z193" s="17"/>
    </row>
    <row r="194">
      <c r="A194" s="18" t="str">
        <f>IFERROR(__xludf.DUMMYFUNCTION("""COMPUTED_VALUE"""),"ord_10193")</f>
        <v>ord_10193</v>
      </c>
      <c r="B194" s="18" t="str">
        <f>IFERROR(__xludf.DUMMYFUNCTION("""COMPUTED_VALUE"""),"Aditi Iyer")</f>
        <v>Aditi Iyer</v>
      </c>
      <c r="C194" s="18" t="str">
        <f>IFERROR(__xludf.DUMMYFUNCTION("""COMPUTED_VALUE"""),"Dadar")</f>
        <v>Dadar</v>
      </c>
      <c r="D194" s="18" t="str">
        <f>IFERROR(__xludf.DUMMYFUNCTION("""COMPUTED_VALUE"""),"Tomato")</f>
        <v>Tomato</v>
      </c>
      <c r="E194" s="18">
        <f>IFERROR(__xludf.DUMMYFUNCTION("""COMPUTED_VALUE"""),1.0)</f>
        <v>1</v>
      </c>
      <c r="F194" s="18" t="str">
        <f>IFERROR(__xludf.DUMMYFUNCTION("""COMPUTED_VALUE"""),"Shine Thomas")</f>
        <v>Shine Thomas</v>
      </c>
      <c r="G194" s="19">
        <f>IFERROR(__xludf.DUMMYFUNCTION("""COMPUTED_VALUE"""),45144.0)</f>
        <v>45144</v>
      </c>
      <c r="H194" s="18" t="str">
        <f>IFERROR(__xludf.DUMMYFUNCTION("""COMPUTED_VALUE"""),"UPI")</f>
        <v>UPI</v>
      </c>
      <c r="I194" s="18" t="str">
        <f>IFERROR(__xludf.DUMMYFUNCTION("""COMPUTED_VALUE"""),"Delivered")</f>
        <v>Delivered</v>
      </c>
      <c r="J194" s="18" t="str">
        <f>IFERROR(__xludf.DUMMYFUNCTION("""COMPUTED_VALUE"""),"On-time Delivery")</f>
        <v>On-time Delivery</v>
      </c>
      <c r="K194" s="18" t="str">
        <f>IFERROR(__xludf.DUMMYFUNCTION("""COMPUTED_VALUE"""),"Delivered on time")</f>
        <v>Delivered on time</v>
      </c>
      <c r="L194" s="18">
        <f>iferror(VLOOKUP($D194,Details!$A$2:$C$11,2,false),vlookup($D194,Details!$E$2:$G$11,2,false))</f>
        <v>25</v>
      </c>
      <c r="M194" s="18" t="str">
        <f>iferror(VLOOKUP($D194,Details!$A$2:$C$11,3,false),vlookup($D194,Details!$E$2:$G$11,3,false))</f>
        <v>Fruits and Vegetables</v>
      </c>
      <c r="N194" s="18">
        <f t="shared" si="1"/>
        <v>25</v>
      </c>
      <c r="O194" s="17"/>
      <c r="P194" s="17"/>
      <c r="Q194" s="17"/>
      <c r="R194" s="17"/>
      <c r="S194" s="17"/>
      <c r="T194" s="17"/>
      <c r="U194" s="17"/>
      <c r="V194" s="17"/>
      <c r="W194" s="17"/>
      <c r="X194" s="17"/>
      <c r="Y194" s="17"/>
      <c r="Z194" s="17"/>
    </row>
    <row r="195">
      <c r="A195" s="18" t="str">
        <f>IFERROR(__xludf.DUMMYFUNCTION("""COMPUTED_VALUE"""),"ord_10194")</f>
        <v>ord_10194</v>
      </c>
      <c r="B195" s="18" t="str">
        <f>IFERROR(__xludf.DUMMYFUNCTION("""COMPUTED_VALUE"""),"Kritika Shetty")</f>
        <v>Kritika Shetty</v>
      </c>
      <c r="C195" s="18" t="str">
        <f>IFERROR(__xludf.DUMMYFUNCTION("""COMPUTED_VALUE"""),"Malad")</f>
        <v>Malad</v>
      </c>
      <c r="D195" s="18" t="str">
        <f>IFERROR(__xludf.DUMMYFUNCTION("""COMPUTED_VALUE"""),"Icecream")</f>
        <v>Icecream</v>
      </c>
      <c r="E195" s="18">
        <f>IFERROR(__xludf.DUMMYFUNCTION("""COMPUTED_VALUE"""),5.0)</f>
        <v>5</v>
      </c>
      <c r="F195" s="18" t="str">
        <f>IFERROR(__xludf.DUMMYFUNCTION("""COMPUTED_VALUE"""),"Neha Shah")</f>
        <v>Neha Shah</v>
      </c>
      <c r="G195" s="19">
        <f>IFERROR(__xludf.DUMMYFUNCTION("""COMPUTED_VALUE"""),45125.0)</f>
        <v>45125</v>
      </c>
      <c r="H195" s="18" t="str">
        <f>IFERROR(__xludf.DUMMYFUNCTION("""COMPUTED_VALUE"""),"Online Payment")</f>
        <v>Online Payment</v>
      </c>
      <c r="I195" s="18" t="str">
        <f>IFERROR(__xludf.DUMMYFUNCTION("""COMPUTED_VALUE"""),"Delivered")</f>
        <v>Delivered</v>
      </c>
      <c r="J195" s="18" t="str">
        <f>IFERROR(__xludf.DUMMYFUNCTION("""COMPUTED_VALUE"""),"Quality of Items")</f>
        <v>Quality of Items</v>
      </c>
      <c r="K195" s="18" t="str">
        <f>IFERROR(__xludf.DUMMYFUNCTION("""COMPUTED_VALUE"""),"Perfect condition")</f>
        <v>Perfect condition</v>
      </c>
      <c r="L195" s="18">
        <f>iferror(VLOOKUP($D195,Details!$A$2:$C$11,2,false),vlookup($D195,Details!$E$2:$G$11,2,false))</f>
        <v>90</v>
      </c>
      <c r="M195" s="18" t="str">
        <f>iferror(VLOOKUP($D195,Details!$A$2:$C$11,3,false),vlookup($D195,Details!$E$2:$G$11,3,false))</f>
        <v>Snacks and Drinks</v>
      </c>
      <c r="N195" s="18">
        <f t="shared" si="1"/>
        <v>450</v>
      </c>
      <c r="O195" s="17"/>
      <c r="P195" s="17"/>
      <c r="Q195" s="17"/>
      <c r="R195" s="17"/>
      <c r="S195" s="17"/>
      <c r="T195" s="17"/>
      <c r="U195" s="17"/>
      <c r="V195" s="17"/>
      <c r="W195" s="17"/>
      <c r="X195" s="17"/>
      <c r="Y195" s="17"/>
      <c r="Z195" s="17"/>
    </row>
    <row r="196">
      <c r="A196" s="18" t="str">
        <f>IFERROR(__xludf.DUMMYFUNCTION("""COMPUTED_VALUE"""),"ord_10195")</f>
        <v>ord_10195</v>
      </c>
      <c r="B196" s="18" t="str">
        <f>IFERROR(__xludf.DUMMYFUNCTION("""COMPUTED_VALUE"""),"Tanishq Bansal")</f>
        <v>Tanishq Bansal</v>
      </c>
      <c r="C196" s="18" t="str">
        <f>IFERROR(__xludf.DUMMYFUNCTION("""COMPUTED_VALUE"""),"Powai")</f>
        <v>Powai</v>
      </c>
      <c r="D196" s="18" t="str">
        <f>IFERROR(__xludf.DUMMYFUNCTION("""COMPUTED_VALUE"""),"Papaya")</f>
        <v>Papaya</v>
      </c>
      <c r="E196" s="18">
        <f>IFERROR(__xludf.DUMMYFUNCTION("""COMPUTED_VALUE"""),1.0)</f>
        <v>1</v>
      </c>
      <c r="F196" s="18" t="str">
        <f>IFERROR(__xludf.DUMMYFUNCTION("""COMPUTED_VALUE"""),"Shine Thomas")</f>
        <v>Shine Thomas</v>
      </c>
      <c r="G196" s="19">
        <f>IFERROR(__xludf.DUMMYFUNCTION("""COMPUTED_VALUE"""),45068.0)</f>
        <v>45068</v>
      </c>
      <c r="H196" s="18" t="str">
        <f>IFERROR(__xludf.DUMMYFUNCTION("""COMPUTED_VALUE"""),"COD")</f>
        <v>COD</v>
      </c>
      <c r="I196" s="18" t="str">
        <f>IFERROR(__xludf.DUMMYFUNCTION("""COMPUTED_VALUE"""),"Delivered")</f>
        <v>Delivered</v>
      </c>
      <c r="J196" s="18" t="str">
        <f>IFERROR(__xludf.DUMMYFUNCTION("""COMPUTED_VALUE"""),"Packaging")</f>
        <v>Packaging</v>
      </c>
      <c r="K196" s="18" t="str">
        <f>IFERROR(__xludf.DUMMYFUNCTION("""COMPUTED_VALUE"""),"Secure and intact")</f>
        <v>Secure and intact</v>
      </c>
      <c r="L196" s="18">
        <f>iferror(VLOOKUP($D196,Details!$A$2:$C$11,2,false),vlookup($D196,Details!$E$2:$G$11,2,false))</f>
        <v>75</v>
      </c>
      <c r="M196" s="18" t="str">
        <f>iferror(VLOOKUP($D196,Details!$A$2:$C$11,3,false),vlookup($D196,Details!$E$2:$G$11,3,false))</f>
        <v>Fruits and Vegetables</v>
      </c>
      <c r="N196" s="18">
        <f t="shared" si="1"/>
        <v>75</v>
      </c>
      <c r="O196" s="17"/>
      <c r="P196" s="17"/>
      <c r="Q196" s="17"/>
      <c r="R196" s="17"/>
      <c r="S196" s="17"/>
      <c r="T196" s="17"/>
      <c r="U196" s="17"/>
      <c r="V196" s="17"/>
      <c r="W196" s="17"/>
      <c r="X196" s="17"/>
      <c r="Y196" s="17"/>
      <c r="Z196" s="17"/>
    </row>
    <row r="197">
      <c r="A197" s="18" t="str">
        <f>IFERROR(__xludf.DUMMYFUNCTION("""COMPUTED_VALUE"""),"ord_10196")</f>
        <v>ord_10196</v>
      </c>
      <c r="B197" s="18" t="str">
        <f>IFERROR(__xludf.DUMMYFUNCTION("""COMPUTED_VALUE"""),"Parth Goel")</f>
        <v>Parth Goel</v>
      </c>
      <c r="C197" s="18" t="str">
        <f>IFERROR(__xludf.DUMMYFUNCTION("""COMPUTED_VALUE"""),"Juhu")</f>
        <v>Juhu</v>
      </c>
      <c r="D197" s="18" t="str">
        <f>IFERROR(__xludf.DUMMYFUNCTION("""COMPUTED_VALUE"""),"Potato")</f>
        <v>Potato</v>
      </c>
      <c r="E197" s="18">
        <f>IFERROR(__xludf.DUMMYFUNCTION("""COMPUTED_VALUE"""),1.0)</f>
        <v>1</v>
      </c>
      <c r="F197" s="18" t="str">
        <f>IFERROR(__xludf.DUMMYFUNCTION("""COMPUTED_VALUE"""),"Venu R")</f>
        <v>Venu R</v>
      </c>
      <c r="G197" s="19">
        <f>IFERROR(__xludf.DUMMYFUNCTION("""COMPUTED_VALUE"""),45279.0)</f>
        <v>45279</v>
      </c>
      <c r="H197" s="18" t="str">
        <f>IFERROR(__xludf.DUMMYFUNCTION("""COMPUTED_VALUE"""),"Online Payment")</f>
        <v>Online Payment</v>
      </c>
      <c r="I197" s="18" t="str">
        <f>IFERROR(__xludf.DUMMYFUNCTION("""COMPUTED_VALUE"""),"Delivered")</f>
        <v>Delivered</v>
      </c>
      <c r="J197" s="18" t="str">
        <f>IFERROR(__xludf.DUMMYFUNCTION("""COMPUTED_VALUE"""),"Satisfied with the Delivery")</f>
        <v>Satisfied with the Delivery</v>
      </c>
      <c r="K197" s="18" t="str">
        <f>IFERROR(__xludf.DUMMYFUNCTION("""COMPUTED_VALUE"""),"Timely and quality")</f>
        <v>Timely and quality</v>
      </c>
      <c r="L197" s="18">
        <f>iferror(VLOOKUP($D197,Details!$A$2:$C$11,2,false),vlookup($D197,Details!$E$2:$G$11,2,false))</f>
        <v>55</v>
      </c>
      <c r="M197" s="18" t="str">
        <f>iferror(VLOOKUP($D197,Details!$A$2:$C$11,3,false),vlookup($D197,Details!$E$2:$G$11,3,false))</f>
        <v>Fruits and Vegetables</v>
      </c>
      <c r="N197" s="18">
        <f t="shared" si="1"/>
        <v>55</v>
      </c>
      <c r="O197" s="17"/>
      <c r="P197" s="17"/>
      <c r="Q197" s="17"/>
      <c r="R197" s="17"/>
      <c r="S197" s="17"/>
      <c r="T197" s="17"/>
      <c r="U197" s="17"/>
      <c r="V197" s="17"/>
      <c r="W197" s="17"/>
      <c r="X197" s="17"/>
      <c r="Y197" s="17"/>
      <c r="Z197" s="17"/>
    </row>
    <row r="198">
      <c r="A198" s="18" t="str">
        <f>IFERROR(__xludf.DUMMYFUNCTION("""COMPUTED_VALUE"""),"ord_10197")</f>
        <v>ord_10197</v>
      </c>
      <c r="B198" s="18" t="str">
        <f>IFERROR(__xludf.DUMMYFUNCTION("""COMPUTED_VALUE"""),"Tanishq Bansal")</f>
        <v>Tanishq Bansal</v>
      </c>
      <c r="C198" s="18" t="str">
        <f>IFERROR(__xludf.DUMMYFUNCTION("""COMPUTED_VALUE"""),"Powai")</f>
        <v>Powai</v>
      </c>
      <c r="D198" s="18" t="str">
        <f>IFERROR(__xludf.DUMMYFUNCTION("""COMPUTED_VALUE"""),"Orange")</f>
        <v>Orange</v>
      </c>
      <c r="E198" s="18">
        <f>IFERROR(__xludf.DUMMYFUNCTION("""COMPUTED_VALUE"""),2.0)</f>
        <v>2</v>
      </c>
      <c r="F198" s="18" t="str">
        <f>IFERROR(__xludf.DUMMYFUNCTION("""COMPUTED_VALUE"""),"Ramesh S")</f>
        <v>Ramesh S</v>
      </c>
      <c r="G198" s="19">
        <f>IFERROR(__xludf.DUMMYFUNCTION("""COMPUTED_VALUE"""),45119.0)</f>
        <v>45119</v>
      </c>
      <c r="H198" s="18" t="str">
        <f>IFERROR(__xludf.DUMMYFUNCTION("""COMPUTED_VALUE"""),"UPI")</f>
        <v>UPI</v>
      </c>
      <c r="I198" s="18" t="str">
        <f>IFERROR(__xludf.DUMMYFUNCTION("""COMPUTED_VALUE"""),"Delivered")</f>
        <v>Delivered</v>
      </c>
      <c r="J198" s="18" t="str">
        <f>IFERROR(__xludf.DUMMYFUNCTION("""COMPUTED_VALUE"""),"Customer Service")</f>
        <v>Customer Service</v>
      </c>
      <c r="K198" s="18" t="str">
        <f>IFERROR(__xludf.DUMMYFUNCTION("""COMPUTED_VALUE"""),"Seamless and easy")</f>
        <v>Seamless and easy</v>
      </c>
      <c r="L198" s="18">
        <f>iferror(VLOOKUP($D198,Details!$A$2:$C$11,2,false),vlookup($D198,Details!$E$2:$G$11,2,false))</f>
        <v>180</v>
      </c>
      <c r="M198" s="18" t="str">
        <f>iferror(VLOOKUP($D198,Details!$A$2:$C$11,3,false),vlookup($D198,Details!$E$2:$G$11,3,false))</f>
        <v>Fruits and Vegetables</v>
      </c>
      <c r="N198" s="18">
        <f t="shared" si="1"/>
        <v>360</v>
      </c>
      <c r="O198" s="17"/>
      <c r="P198" s="17"/>
      <c r="Q198" s="17"/>
      <c r="R198" s="17"/>
      <c r="S198" s="17"/>
      <c r="T198" s="17"/>
      <c r="U198" s="17"/>
      <c r="V198" s="17"/>
      <c r="W198" s="17"/>
      <c r="X198" s="17"/>
      <c r="Y198" s="17"/>
      <c r="Z198" s="17"/>
    </row>
    <row r="199">
      <c r="A199" s="18" t="str">
        <f>IFERROR(__xludf.DUMMYFUNCTION("""COMPUTED_VALUE"""),"ord_10198")</f>
        <v>ord_10198</v>
      </c>
      <c r="B199" s="18" t="str">
        <f>IFERROR(__xludf.DUMMYFUNCTION("""COMPUTED_VALUE"""),"Aditi Iyer")</f>
        <v>Aditi Iyer</v>
      </c>
      <c r="C199" s="18" t="str">
        <f>IFERROR(__xludf.DUMMYFUNCTION("""COMPUTED_VALUE"""),"Dadar")</f>
        <v>Dadar</v>
      </c>
      <c r="D199" s="18" t="str">
        <f>IFERROR(__xludf.DUMMYFUNCTION("""COMPUTED_VALUE"""),"Veg Puff")</f>
        <v>Veg Puff</v>
      </c>
      <c r="E199" s="18">
        <f>IFERROR(__xludf.DUMMYFUNCTION("""COMPUTED_VALUE"""),2.0)</f>
        <v>2</v>
      </c>
      <c r="F199" s="18" t="str">
        <f>IFERROR(__xludf.DUMMYFUNCTION("""COMPUTED_VALUE"""),"Venu R")</f>
        <v>Venu R</v>
      </c>
      <c r="G199" s="19">
        <f>IFERROR(__xludf.DUMMYFUNCTION("""COMPUTED_VALUE"""),45235.0)</f>
        <v>45235</v>
      </c>
      <c r="H199" s="18" t="str">
        <f>IFERROR(__xludf.DUMMYFUNCTION("""COMPUTED_VALUE"""),"Online Payment")</f>
        <v>Online Payment</v>
      </c>
      <c r="I199" s="18" t="str">
        <f>IFERROR(__xludf.DUMMYFUNCTION("""COMPUTED_VALUE"""),"Delivered")</f>
        <v>Delivered</v>
      </c>
      <c r="J199" s="18" t="str">
        <f>IFERROR(__xludf.DUMMYFUNCTION("""COMPUTED_VALUE"""),"Delivery Experience")</f>
        <v>Delivery Experience</v>
      </c>
      <c r="K199" s="18" t="str">
        <f>IFERROR(__xludf.DUMMYFUNCTION("""COMPUTED_VALUE"""),"Quick and professional")</f>
        <v>Quick and professional</v>
      </c>
      <c r="L199" s="18">
        <f>iferror(VLOOKUP($D199,Details!$A$2:$C$11,2,false),vlookup($D199,Details!$E$2:$G$11,2,false))</f>
        <v>80</v>
      </c>
      <c r="M199" s="18" t="str">
        <f>iferror(VLOOKUP($D199,Details!$A$2:$C$11,3,false),vlookup($D199,Details!$E$2:$G$11,3,false))</f>
        <v>Snacks and Drinks</v>
      </c>
      <c r="N199" s="18">
        <f t="shared" si="1"/>
        <v>160</v>
      </c>
      <c r="O199" s="17"/>
      <c r="P199" s="17"/>
      <c r="Q199" s="17"/>
      <c r="R199" s="17"/>
      <c r="S199" s="17"/>
      <c r="T199" s="17"/>
      <c r="U199" s="17"/>
      <c r="V199" s="17"/>
      <c r="W199" s="17"/>
      <c r="X199" s="17"/>
      <c r="Y199" s="17"/>
      <c r="Z199" s="17"/>
    </row>
    <row r="200">
      <c r="A200" s="18" t="str">
        <f>IFERROR(__xludf.DUMMYFUNCTION("""COMPUTED_VALUE"""),"ord_10199")</f>
        <v>ord_10199</v>
      </c>
      <c r="B200" s="18" t="str">
        <f>IFERROR(__xludf.DUMMYFUNCTION("""COMPUTED_VALUE"""),"Mohit Malhotra")</f>
        <v>Mohit Malhotra</v>
      </c>
      <c r="C200" s="18" t="str">
        <f>IFERROR(__xludf.DUMMYFUNCTION("""COMPUTED_VALUE"""),"Lower Parel")</f>
        <v>Lower Parel</v>
      </c>
      <c r="D200" s="18" t="str">
        <f>IFERROR(__xludf.DUMMYFUNCTION("""COMPUTED_VALUE"""),"Popcorn")</f>
        <v>Popcorn</v>
      </c>
      <c r="E200" s="18">
        <f>IFERROR(__xludf.DUMMYFUNCTION("""COMPUTED_VALUE"""),1.0)</f>
        <v>1</v>
      </c>
      <c r="F200" s="18" t="str">
        <f>IFERROR(__xludf.DUMMYFUNCTION("""COMPUTED_VALUE"""),"Manju Ajay")</f>
        <v>Manju Ajay</v>
      </c>
      <c r="G200" s="19">
        <f>IFERROR(__xludf.DUMMYFUNCTION("""COMPUTED_VALUE"""),45178.0)</f>
        <v>45178</v>
      </c>
      <c r="H200" s="18" t="str">
        <f>IFERROR(__xludf.DUMMYFUNCTION("""COMPUTED_VALUE"""),"Credit Card")</f>
        <v>Credit Card</v>
      </c>
      <c r="I200" s="18" t="str">
        <f>IFERROR(__xludf.DUMMYFUNCTION("""COMPUTED_VALUE"""),"Delivered")</f>
        <v>Delivered</v>
      </c>
      <c r="J200" s="18" t="str">
        <f>IFERROR(__xludf.DUMMYFUNCTION("""COMPUTED_VALUE"""),"Convenience")</f>
        <v>Convenience</v>
      </c>
      <c r="K200" s="18" t="str">
        <f>IFERROR(__xludf.DUMMYFUNCTION("""COMPUTED_VALUE"""),"Easy tracking")</f>
        <v>Easy tracking</v>
      </c>
      <c r="L200" s="18">
        <f>iferror(VLOOKUP($D200,Details!$A$2:$C$11,2,false),vlookup($D200,Details!$E$2:$G$11,2,false))</f>
        <v>150</v>
      </c>
      <c r="M200" s="18" t="str">
        <f>iferror(VLOOKUP($D200,Details!$A$2:$C$11,3,false),vlookup($D200,Details!$E$2:$G$11,3,false))</f>
        <v>Snacks and Drinks</v>
      </c>
      <c r="N200" s="18">
        <f t="shared" si="1"/>
        <v>150</v>
      </c>
      <c r="O200" s="17"/>
      <c r="P200" s="17"/>
      <c r="Q200" s="17"/>
      <c r="R200" s="17"/>
      <c r="S200" s="17"/>
      <c r="T200" s="17"/>
      <c r="U200" s="17"/>
      <c r="V200" s="17"/>
      <c r="W200" s="17"/>
      <c r="X200" s="17"/>
      <c r="Y200" s="17"/>
      <c r="Z200" s="17"/>
    </row>
    <row r="201">
      <c r="A201" s="18" t="str">
        <f>IFERROR(__xludf.DUMMYFUNCTION("""COMPUTED_VALUE"""),"ord_10200")</f>
        <v>ord_10200</v>
      </c>
      <c r="B201" s="18" t="str">
        <f>IFERROR(__xludf.DUMMYFUNCTION("""COMPUTED_VALUE"""),"Ishaan Chaturvedi")</f>
        <v>Ishaan Chaturvedi</v>
      </c>
      <c r="C201" s="18" t="str">
        <f>IFERROR(__xludf.DUMMYFUNCTION("""COMPUTED_VALUE"""),"Bandra")</f>
        <v>Bandra</v>
      </c>
      <c r="D201" s="18" t="str">
        <f>IFERROR(__xludf.DUMMYFUNCTION("""COMPUTED_VALUE"""),"Papaya")</f>
        <v>Papaya</v>
      </c>
      <c r="E201" s="18">
        <f>IFERROR(__xludf.DUMMYFUNCTION("""COMPUTED_VALUE"""),2.0)</f>
        <v>2</v>
      </c>
      <c r="F201" s="18" t="str">
        <f>IFERROR(__xludf.DUMMYFUNCTION("""COMPUTED_VALUE"""),"Ram Gopal")</f>
        <v>Ram Gopal</v>
      </c>
      <c r="G201" s="19">
        <f>IFERROR(__xludf.DUMMYFUNCTION("""COMPUTED_VALUE"""),45045.0)</f>
        <v>45045</v>
      </c>
      <c r="H201" s="18" t="str">
        <f>IFERROR(__xludf.DUMMYFUNCTION("""COMPUTED_VALUE"""),"COD")</f>
        <v>COD</v>
      </c>
      <c r="I201" s="18" t="str">
        <f>IFERROR(__xludf.DUMMYFUNCTION("""COMPUTED_VALUE"""),"Delivered")</f>
        <v>Delivered</v>
      </c>
      <c r="J201" s="18" t="str">
        <f>IFERROR(__xludf.DUMMYFUNCTION("""COMPUTED_VALUE"""),"Overall Satisfaction")</f>
        <v>Overall Satisfaction</v>
      </c>
      <c r="K201" s="18" t="str">
        <f>IFERROR(__xludf.DUMMYFUNCTION("""COMPUTED_VALUE"""),"Great service will order again")</f>
        <v>Great service will order again</v>
      </c>
      <c r="L201" s="18">
        <f>iferror(VLOOKUP($D201,Details!$A$2:$C$11,2,false),vlookup($D201,Details!$E$2:$G$11,2,false))</f>
        <v>75</v>
      </c>
      <c r="M201" s="18" t="str">
        <f>iferror(VLOOKUP($D201,Details!$A$2:$C$11,3,false),vlookup($D201,Details!$E$2:$G$11,3,false))</f>
        <v>Fruits and Vegetables</v>
      </c>
      <c r="N201" s="18">
        <f t="shared" si="1"/>
        <v>150</v>
      </c>
      <c r="O201" s="17"/>
      <c r="P201" s="17"/>
      <c r="Q201" s="17"/>
      <c r="R201" s="17"/>
      <c r="S201" s="17"/>
      <c r="T201" s="17"/>
      <c r="U201" s="17"/>
      <c r="V201" s="17"/>
      <c r="W201" s="17"/>
      <c r="X201" s="17"/>
      <c r="Y201" s="17"/>
      <c r="Z201" s="17"/>
    </row>
    <row r="202">
      <c r="A202" s="18" t="str">
        <f>IFERROR(__xludf.DUMMYFUNCTION("""COMPUTED_VALUE"""),"ord_10201")</f>
        <v>ord_10201</v>
      </c>
      <c r="B202" s="18" t="str">
        <f>IFERROR(__xludf.DUMMYFUNCTION("""COMPUTED_VALUE"""),"Aarav Mehta")</f>
        <v>Aarav Mehta</v>
      </c>
      <c r="C202" s="18" t="str">
        <f>IFERROR(__xludf.DUMMYFUNCTION("""COMPUTED_VALUE"""),"Andheri")</f>
        <v>Andheri</v>
      </c>
      <c r="D202" s="18" t="str">
        <f>IFERROR(__xludf.DUMMYFUNCTION("""COMPUTED_VALUE"""),"Sweet Corn")</f>
        <v>Sweet Corn</v>
      </c>
      <c r="E202" s="18">
        <f>IFERROR(__xludf.DUMMYFUNCTION("""COMPUTED_VALUE"""),2.0)</f>
        <v>2</v>
      </c>
      <c r="F202" s="18" t="str">
        <f>IFERROR(__xludf.DUMMYFUNCTION("""COMPUTED_VALUE"""),"Rohan Yadav")</f>
        <v>Rohan Yadav</v>
      </c>
      <c r="G202" s="19">
        <f>IFERROR(__xludf.DUMMYFUNCTION("""COMPUTED_VALUE"""),45131.0)</f>
        <v>45131</v>
      </c>
      <c r="H202" s="18" t="str">
        <f>IFERROR(__xludf.DUMMYFUNCTION("""COMPUTED_VALUE"""),"Online Payment")</f>
        <v>Online Payment</v>
      </c>
      <c r="I202" s="18" t="str">
        <f>IFERROR(__xludf.DUMMYFUNCTION("""COMPUTED_VALUE"""),"Delivered")</f>
        <v>Delivered</v>
      </c>
      <c r="J202" s="18" t="str">
        <f>IFERROR(__xludf.DUMMYFUNCTION("""COMPUTED_VALUE"""),"On-time Delivery")</f>
        <v>On-time Delivery</v>
      </c>
      <c r="K202" s="18" t="str">
        <f>IFERROR(__xludf.DUMMYFUNCTION("""COMPUTED_VALUE"""),"Delivered on time")</f>
        <v>Delivered on time</v>
      </c>
      <c r="L202" s="18">
        <f>iferror(VLOOKUP($D202,Details!$A$2:$C$11,2,false),vlookup($D202,Details!$E$2:$G$11,2,false))</f>
        <v>60</v>
      </c>
      <c r="M202" s="18" t="str">
        <f>iferror(VLOOKUP($D202,Details!$A$2:$C$11,3,false),vlookup($D202,Details!$E$2:$G$11,3,false))</f>
        <v>Fruits and Vegetables</v>
      </c>
      <c r="N202" s="18">
        <f t="shared" si="1"/>
        <v>120</v>
      </c>
      <c r="O202" s="17"/>
      <c r="P202" s="17"/>
      <c r="Q202" s="17"/>
      <c r="R202" s="17"/>
      <c r="S202" s="17"/>
      <c r="T202" s="17"/>
      <c r="U202" s="17"/>
      <c r="V202" s="17"/>
      <c r="W202" s="17"/>
      <c r="X202" s="17"/>
      <c r="Y202" s="17"/>
      <c r="Z202" s="17"/>
    </row>
    <row r="203">
      <c r="A203" s="18" t="str">
        <f>IFERROR(__xludf.DUMMYFUNCTION("""COMPUTED_VALUE"""),"ord_10202")</f>
        <v>ord_10202</v>
      </c>
      <c r="B203" s="18" t="str">
        <f>IFERROR(__xludf.DUMMYFUNCTION("""COMPUTED_VALUE"""),"Mehul Thakkar")</f>
        <v>Mehul Thakkar</v>
      </c>
      <c r="C203" s="18" t="str">
        <f>IFERROR(__xludf.DUMMYFUNCTION("""COMPUTED_VALUE"""),"Malad")</f>
        <v>Malad</v>
      </c>
      <c r="D203" s="18" t="str">
        <f>IFERROR(__xludf.DUMMYFUNCTION("""COMPUTED_VALUE"""),"Papaya")</f>
        <v>Papaya</v>
      </c>
      <c r="E203" s="18">
        <f>IFERROR(__xludf.DUMMYFUNCTION("""COMPUTED_VALUE"""),1.0)</f>
        <v>1</v>
      </c>
      <c r="F203" s="18" t="str">
        <f>IFERROR(__xludf.DUMMYFUNCTION("""COMPUTED_VALUE"""),"Sita T")</f>
        <v>Sita T</v>
      </c>
      <c r="G203" s="19">
        <f>IFERROR(__xludf.DUMMYFUNCTION("""COMPUTED_VALUE"""),45184.0)</f>
        <v>45184</v>
      </c>
      <c r="H203" s="18" t="str">
        <f>IFERROR(__xludf.DUMMYFUNCTION("""COMPUTED_VALUE"""),"COD")</f>
        <v>COD</v>
      </c>
      <c r="I203" s="18" t="str">
        <f>IFERROR(__xludf.DUMMYFUNCTION("""COMPUTED_VALUE"""),"Delivered")</f>
        <v>Delivered</v>
      </c>
      <c r="J203" s="18" t="str">
        <f>IFERROR(__xludf.DUMMYFUNCTION("""COMPUTED_VALUE"""),"Quality of Items")</f>
        <v>Quality of Items</v>
      </c>
      <c r="K203" s="18" t="str">
        <f>IFERROR(__xludf.DUMMYFUNCTION("""COMPUTED_VALUE"""),"Perfect condition")</f>
        <v>Perfect condition</v>
      </c>
      <c r="L203" s="18">
        <f>iferror(VLOOKUP($D203,Details!$A$2:$C$11,2,false),vlookup($D203,Details!$E$2:$G$11,2,false))</f>
        <v>75</v>
      </c>
      <c r="M203" s="18" t="str">
        <f>iferror(VLOOKUP($D203,Details!$A$2:$C$11,3,false),vlookup($D203,Details!$E$2:$G$11,3,false))</f>
        <v>Fruits and Vegetables</v>
      </c>
      <c r="N203" s="18">
        <f t="shared" si="1"/>
        <v>75</v>
      </c>
      <c r="O203" s="17"/>
      <c r="P203" s="17"/>
      <c r="Q203" s="17"/>
      <c r="R203" s="17"/>
      <c r="S203" s="17"/>
      <c r="T203" s="17"/>
      <c r="U203" s="17"/>
      <c r="V203" s="17"/>
      <c r="W203" s="17"/>
      <c r="X203" s="17"/>
      <c r="Y203" s="17"/>
      <c r="Z203" s="17"/>
    </row>
    <row r="204">
      <c r="A204" s="18" t="str">
        <f>IFERROR(__xludf.DUMMYFUNCTION("""COMPUTED_VALUE"""),"ord_10203")</f>
        <v>ord_10203</v>
      </c>
      <c r="B204" s="18" t="str">
        <f>IFERROR(__xludf.DUMMYFUNCTION("""COMPUTED_VALUE"""),"Kritika Shetty")</f>
        <v>Kritika Shetty</v>
      </c>
      <c r="C204" s="18" t="str">
        <f>IFERROR(__xludf.DUMMYFUNCTION("""COMPUTED_VALUE"""),"Malad")</f>
        <v>Malad</v>
      </c>
      <c r="D204" s="18" t="str">
        <f>IFERROR(__xludf.DUMMYFUNCTION("""COMPUTED_VALUE"""),"Cucumber")</f>
        <v>Cucumber</v>
      </c>
      <c r="E204" s="18">
        <f>IFERROR(__xludf.DUMMYFUNCTION("""COMPUTED_VALUE"""),2.0)</f>
        <v>2</v>
      </c>
      <c r="F204" s="18" t="str">
        <f>IFERROR(__xludf.DUMMYFUNCTION("""COMPUTED_VALUE"""),"Shine Thomas")</f>
        <v>Shine Thomas</v>
      </c>
      <c r="G204" s="19">
        <f>IFERROR(__xludf.DUMMYFUNCTION("""COMPUTED_VALUE"""),45076.0)</f>
        <v>45076</v>
      </c>
      <c r="H204" s="18" t="str">
        <f>IFERROR(__xludf.DUMMYFUNCTION("""COMPUTED_VALUE"""),"COD")</f>
        <v>COD</v>
      </c>
      <c r="I204" s="18" t="str">
        <f>IFERROR(__xludf.DUMMYFUNCTION("""COMPUTED_VALUE"""),"Delivered")</f>
        <v>Delivered</v>
      </c>
      <c r="J204" s="18" t="str">
        <f>IFERROR(__xludf.DUMMYFUNCTION("""COMPUTED_VALUE"""),"Packaging")</f>
        <v>Packaging</v>
      </c>
      <c r="K204" s="18" t="str">
        <f>IFERROR(__xludf.DUMMYFUNCTION("""COMPUTED_VALUE"""),"Secure and intact")</f>
        <v>Secure and intact</v>
      </c>
      <c r="L204" s="18">
        <f>iferror(VLOOKUP($D204,Details!$A$2:$C$11,2,false),vlookup($D204,Details!$E$2:$G$11,2,false))</f>
        <v>30</v>
      </c>
      <c r="M204" s="18" t="str">
        <f>iferror(VLOOKUP($D204,Details!$A$2:$C$11,3,false),vlookup($D204,Details!$E$2:$G$11,3,false))</f>
        <v>Fruits and Vegetables</v>
      </c>
      <c r="N204" s="18">
        <f t="shared" si="1"/>
        <v>60</v>
      </c>
      <c r="O204" s="17"/>
      <c r="P204" s="17"/>
      <c r="Q204" s="17"/>
      <c r="R204" s="17"/>
      <c r="S204" s="17"/>
      <c r="T204" s="17"/>
      <c r="U204" s="17"/>
      <c r="V204" s="17"/>
      <c r="W204" s="17"/>
      <c r="X204" s="17"/>
      <c r="Y204" s="17"/>
      <c r="Z204" s="17"/>
    </row>
    <row r="205">
      <c r="A205" s="18" t="str">
        <f>IFERROR(__xludf.DUMMYFUNCTION("""COMPUTED_VALUE"""),"ord_10204")</f>
        <v>ord_10204</v>
      </c>
      <c r="B205" s="18" t="str">
        <f>IFERROR(__xludf.DUMMYFUNCTION("""COMPUTED_VALUE"""),"Parth Goel")</f>
        <v>Parth Goel</v>
      </c>
      <c r="C205" s="18" t="str">
        <f>IFERROR(__xludf.DUMMYFUNCTION("""COMPUTED_VALUE"""),"Juhu")</f>
        <v>Juhu</v>
      </c>
      <c r="D205" s="18" t="str">
        <f>IFERROR(__xludf.DUMMYFUNCTION("""COMPUTED_VALUE"""),"Chocolate Mousse")</f>
        <v>Chocolate Mousse</v>
      </c>
      <c r="E205" s="18">
        <f>IFERROR(__xludf.DUMMYFUNCTION("""COMPUTED_VALUE"""),3.0)</f>
        <v>3</v>
      </c>
      <c r="F205" s="18" t="str">
        <f>IFERROR(__xludf.DUMMYFUNCTION("""COMPUTED_VALUE"""),"Shine Thomas")</f>
        <v>Shine Thomas</v>
      </c>
      <c r="G205" s="19">
        <f>IFERROR(__xludf.DUMMYFUNCTION("""COMPUTED_VALUE"""),44979.0)</f>
        <v>44979</v>
      </c>
      <c r="H205" s="18" t="str">
        <f>IFERROR(__xludf.DUMMYFUNCTION("""COMPUTED_VALUE"""),"COD")</f>
        <v>COD</v>
      </c>
      <c r="I205" s="18" t="str">
        <f>IFERROR(__xludf.DUMMYFUNCTION("""COMPUTED_VALUE"""),"Delivered")</f>
        <v>Delivered</v>
      </c>
      <c r="J205" s="18" t="str">
        <f>IFERROR(__xludf.DUMMYFUNCTION("""COMPUTED_VALUE"""),"Satisfied with the Delivery")</f>
        <v>Satisfied with the Delivery</v>
      </c>
      <c r="K205" s="18" t="str">
        <f>IFERROR(__xludf.DUMMYFUNCTION("""COMPUTED_VALUE"""),"Timely and quality")</f>
        <v>Timely and quality</v>
      </c>
      <c r="L205" s="18">
        <f>iferror(VLOOKUP($D205,Details!$A$2:$C$11,2,false),vlookup($D205,Details!$E$2:$G$11,2,false))</f>
        <v>145</v>
      </c>
      <c r="M205" s="18" t="str">
        <f>iferror(VLOOKUP($D205,Details!$A$2:$C$11,3,false),vlookup($D205,Details!$E$2:$G$11,3,false))</f>
        <v>Snacks and Drinks</v>
      </c>
      <c r="N205" s="18">
        <f t="shared" si="1"/>
        <v>435</v>
      </c>
      <c r="O205" s="17"/>
      <c r="P205" s="17"/>
      <c r="Q205" s="17"/>
      <c r="R205" s="17"/>
      <c r="S205" s="17"/>
      <c r="T205" s="17"/>
      <c r="U205" s="17"/>
      <c r="V205" s="17"/>
      <c r="W205" s="17"/>
      <c r="X205" s="17"/>
      <c r="Y205" s="17"/>
      <c r="Z205" s="17"/>
    </row>
    <row r="206">
      <c r="A206" s="18" t="str">
        <f>IFERROR(__xludf.DUMMYFUNCTION("""COMPUTED_VALUE"""),"ord_10205")</f>
        <v>ord_10205</v>
      </c>
      <c r="B206" s="18" t="str">
        <f>IFERROR(__xludf.DUMMYFUNCTION("""COMPUTED_VALUE"""),"Sanjay Nair")</f>
        <v>Sanjay Nair</v>
      </c>
      <c r="C206" s="18" t="str">
        <f>IFERROR(__xludf.DUMMYFUNCTION("""COMPUTED_VALUE"""),"Dadar")</f>
        <v>Dadar</v>
      </c>
      <c r="D206" s="18" t="str">
        <f>IFERROR(__xludf.DUMMYFUNCTION("""COMPUTED_VALUE"""),"Cucumber")</f>
        <v>Cucumber</v>
      </c>
      <c r="E206" s="18">
        <f>IFERROR(__xludf.DUMMYFUNCTION("""COMPUTED_VALUE"""),2.0)</f>
        <v>2</v>
      </c>
      <c r="F206" s="18" t="str">
        <f>IFERROR(__xludf.DUMMYFUNCTION("""COMPUTED_VALUE"""),"Aman Kumar")</f>
        <v>Aman Kumar</v>
      </c>
      <c r="G206" s="19">
        <f>IFERROR(__xludf.DUMMYFUNCTION("""COMPUTED_VALUE"""),45072.0)</f>
        <v>45072</v>
      </c>
      <c r="H206" s="18" t="str">
        <f>IFERROR(__xludf.DUMMYFUNCTION("""COMPUTED_VALUE"""),"Credit Card")</f>
        <v>Credit Card</v>
      </c>
      <c r="I206" s="18" t="str">
        <f>IFERROR(__xludf.DUMMYFUNCTION("""COMPUTED_VALUE"""),"Delivered")</f>
        <v>Delivered</v>
      </c>
      <c r="J206" s="18" t="str">
        <f>IFERROR(__xludf.DUMMYFUNCTION("""COMPUTED_VALUE"""),"Customer Service")</f>
        <v>Customer Service</v>
      </c>
      <c r="K206" s="18" t="str">
        <f>IFERROR(__xludf.DUMMYFUNCTION("""COMPUTED_VALUE"""),"Seamless and easy")</f>
        <v>Seamless and easy</v>
      </c>
      <c r="L206" s="18">
        <f>iferror(VLOOKUP($D206,Details!$A$2:$C$11,2,false),vlookup($D206,Details!$E$2:$G$11,2,false))</f>
        <v>30</v>
      </c>
      <c r="M206" s="18" t="str">
        <f>iferror(VLOOKUP($D206,Details!$A$2:$C$11,3,false),vlookup($D206,Details!$E$2:$G$11,3,false))</f>
        <v>Fruits and Vegetables</v>
      </c>
      <c r="N206" s="18">
        <f t="shared" si="1"/>
        <v>60</v>
      </c>
      <c r="O206" s="17"/>
      <c r="P206" s="17"/>
      <c r="Q206" s="17"/>
      <c r="R206" s="17"/>
      <c r="S206" s="17"/>
      <c r="T206" s="17"/>
      <c r="U206" s="17"/>
      <c r="V206" s="17"/>
      <c r="W206" s="17"/>
      <c r="X206" s="17"/>
      <c r="Y206" s="17"/>
      <c r="Z206" s="17"/>
    </row>
    <row r="207">
      <c r="A207" s="18" t="str">
        <f>IFERROR(__xludf.DUMMYFUNCTION("""COMPUTED_VALUE"""),"ord_10206")</f>
        <v>ord_10206</v>
      </c>
      <c r="B207" s="18" t="str">
        <f>IFERROR(__xludf.DUMMYFUNCTION("""COMPUTED_VALUE"""),"Parth Goel")</f>
        <v>Parth Goel</v>
      </c>
      <c r="C207" s="18" t="str">
        <f>IFERROR(__xludf.DUMMYFUNCTION("""COMPUTED_VALUE"""),"Juhu")</f>
        <v>Juhu</v>
      </c>
      <c r="D207" s="18" t="str">
        <f>IFERROR(__xludf.DUMMYFUNCTION("""COMPUTED_VALUE"""),"Sweet Corn")</f>
        <v>Sweet Corn</v>
      </c>
      <c r="E207" s="18">
        <f>IFERROR(__xludf.DUMMYFUNCTION("""COMPUTED_VALUE"""),2.0)</f>
        <v>2</v>
      </c>
      <c r="F207" s="18" t="str">
        <f>IFERROR(__xludf.DUMMYFUNCTION("""COMPUTED_VALUE"""),"Manju Ajay")</f>
        <v>Manju Ajay</v>
      </c>
      <c r="G207" s="19">
        <f>IFERROR(__xludf.DUMMYFUNCTION("""COMPUTED_VALUE"""),45257.0)</f>
        <v>45257</v>
      </c>
      <c r="H207" s="18" t="str">
        <f>IFERROR(__xludf.DUMMYFUNCTION("""COMPUTED_VALUE"""),"Credit Card")</f>
        <v>Credit Card</v>
      </c>
      <c r="I207" s="18" t="str">
        <f>IFERROR(__xludf.DUMMYFUNCTION("""COMPUTED_VALUE"""),"Delivered")</f>
        <v>Delivered</v>
      </c>
      <c r="J207" s="18" t="str">
        <f>IFERROR(__xludf.DUMMYFUNCTION("""COMPUTED_VALUE"""),"Delivery Experience")</f>
        <v>Delivery Experience</v>
      </c>
      <c r="K207" s="18" t="str">
        <f>IFERROR(__xludf.DUMMYFUNCTION("""COMPUTED_VALUE"""),"Quick and professional")</f>
        <v>Quick and professional</v>
      </c>
      <c r="L207" s="18">
        <f>iferror(VLOOKUP($D207,Details!$A$2:$C$11,2,false),vlookup($D207,Details!$E$2:$G$11,2,false))</f>
        <v>60</v>
      </c>
      <c r="M207" s="18" t="str">
        <f>iferror(VLOOKUP($D207,Details!$A$2:$C$11,3,false),vlookup($D207,Details!$E$2:$G$11,3,false))</f>
        <v>Fruits and Vegetables</v>
      </c>
      <c r="N207" s="18">
        <f t="shared" si="1"/>
        <v>120</v>
      </c>
      <c r="O207" s="17"/>
      <c r="P207" s="17"/>
      <c r="Q207" s="17"/>
      <c r="R207" s="17"/>
      <c r="S207" s="17"/>
      <c r="T207" s="17"/>
      <c r="U207" s="17"/>
      <c r="V207" s="17"/>
      <c r="W207" s="17"/>
      <c r="X207" s="17"/>
      <c r="Y207" s="17"/>
      <c r="Z207" s="17"/>
    </row>
    <row r="208">
      <c r="A208" s="18" t="str">
        <f>IFERROR(__xludf.DUMMYFUNCTION("""COMPUTED_VALUE"""),"ord_10207")</f>
        <v>ord_10207</v>
      </c>
      <c r="B208" s="18" t="str">
        <f>IFERROR(__xludf.DUMMYFUNCTION("""COMPUTED_VALUE"""),"Ishita Banerjee")</f>
        <v>Ishita Banerjee</v>
      </c>
      <c r="C208" s="18" t="str">
        <f>IFERROR(__xludf.DUMMYFUNCTION("""COMPUTED_VALUE"""),"Juhu")</f>
        <v>Juhu</v>
      </c>
      <c r="D208" s="18" t="str">
        <f>IFERROR(__xludf.DUMMYFUNCTION("""COMPUTED_VALUE"""),"Juice")</f>
        <v>Juice</v>
      </c>
      <c r="E208" s="18">
        <f>IFERROR(__xludf.DUMMYFUNCTION("""COMPUTED_VALUE"""),3.0)</f>
        <v>3</v>
      </c>
      <c r="F208" s="18" t="str">
        <f>IFERROR(__xludf.DUMMYFUNCTION("""COMPUTED_VALUE"""),"Ramesh S")</f>
        <v>Ramesh S</v>
      </c>
      <c r="G208" s="19">
        <f>IFERROR(__xludf.DUMMYFUNCTION("""COMPUTED_VALUE"""),45085.0)</f>
        <v>45085</v>
      </c>
      <c r="H208" s="18" t="str">
        <f>IFERROR(__xludf.DUMMYFUNCTION("""COMPUTED_VALUE"""),"Credit Card")</f>
        <v>Credit Card</v>
      </c>
      <c r="I208" s="18" t="str">
        <f>IFERROR(__xludf.DUMMYFUNCTION("""COMPUTED_VALUE"""),"Delivered")</f>
        <v>Delivered</v>
      </c>
      <c r="J208" s="18" t="str">
        <f>IFERROR(__xludf.DUMMYFUNCTION("""COMPUTED_VALUE"""),"Convenience")</f>
        <v>Convenience</v>
      </c>
      <c r="K208" s="18" t="str">
        <f>IFERROR(__xludf.DUMMYFUNCTION("""COMPUTED_VALUE"""),"Easy tracking")</f>
        <v>Easy tracking</v>
      </c>
      <c r="L208" s="18">
        <f>iferror(VLOOKUP($D208,Details!$A$2:$C$11,2,false),vlookup($D208,Details!$E$2:$G$11,2,false))</f>
        <v>90</v>
      </c>
      <c r="M208" s="18" t="str">
        <f>iferror(VLOOKUP($D208,Details!$A$2:$C$11,3,false),vlookup($D208,Details!$E$2:$G$11,3,false))</f>
        <v>Snacks and Drinks</v>
      </c>
      <c r="N208" s="18">
        <f t="shared" si="1"/>
        <v>270</v>
      </c>
      <c r="O208" s="17"/>
      <c r="P208" s="17"/>
      <c r="Q208" s="17"/>
      <c r="R208" s="17"/>
      <c r="S208" s="17"/>
      <c r="T208" s="17"/>
      <c r="U208" s="17"/>
      <c r="V208" s="17"/>
      <c r="W208" s="17"/>
      <c r="X208" s="17"/>
      <c r="Y208" s="17"/>
      <c r="Z208" s="17"/>
    </row>
    <row r="209">
      <c r="A209" s="18" t="str">
        <f>IFERROR(__xludf.DUMMYFUNCTION("""COMPUTED_VALUE"""),"ord_10208")</f>
        <v>ord_10208</v>
      </c>
      <c r="B209" s="18" t="str">
        <f>IFERROR(__xludf.DUMMYFUNCTION("""COMPUTED_VALUE"""),"Anaya Rao")</f>
        <v>Anaya Rao</v>
      </c>
      <c r="C209" s="18" t="str">
        <f>IFERROR(__xludf.DUMMYFUNCTION("""COMPUTED_VALUE"""),"Colaba")</f>
        <v>Colaba</v>
      </c>
      <c r="D209" s="18" t="str">
        <f>IFERROR(__xludf.DUMMYFUNCTION("""COMPUTED_VALUE"""),"Onion")</f>
        <v>Onion</v>
      </c>
      <c r="E209" s="18">
        <f>IFERROR(__xludf.DUMMYFUNCTION("""COMPUTED_VALUE"""),1.0)</f>
        <v>1</v>
      </c>
      <c r="F209" s="18" t="str">
        <f>IFERROR(__xludf.DUMMYFUNCTION("""COMPUTED_VALUE"""),"Ramesh S")</f>
        <v>Ramesh S</v>
      </c>
      <c r="G209" s="19">
        <f>IFERROR(__xludf.DUMMYFUNCTION("""COMPUTED_VALUE"""),45234.0)</f>
        <v>45234</v>
      </c>
      <c r="H209" s="18" t="str">
        <f>IFERROR(__xludf.DUMMYFUNCTION("""COMPUTED_VALUE"""),"Online Payment")</f>
        <v>Online Payment</v>
      </c>
      <c r="I209" s="18" t="str">
        <f>IFERROR(__xludf.DUMMYFUNCTION("""COMPUTED_VALUE"""),"Delivered")</f>
        <v>Delivered</v>
      </c>
      <c r="J209" s="18" t="str">
        <f>IFERROR(__xludf.DUMMYFUNCTION("""COMPUTED_VALUE"""),"Overall Satisfaction")</f>
        <v>Overall Satisfaction</v>
      </c>
      <c r="K209" s="18" t="str">
        <f>IFERROR(__xludf.DUMMYFUNCTION("""COMPUTED_VALUE"""),"Great service will order again")</f>
        <v>Great service will order again</v>
      </c>
      <c r="L209" s="18">
        <f>iferror(VLOOKUP($D209,Details!$A$2:$C$11,2,false),vlookup($D209,Details!$E$2:$G$11,2,false))</f>
        <v>84</v>
      </c>
      <c r="M209" s="18" t="str">
        <f>iferror(VLOOKUP($D209,Details!$A$2:$C$11,3,false),vlookup($D209,Details!$E$2:$G$11,3,false))</f>
        <v>Fruits and Vegetables</v>
      </c>
      <c r="N209" s="18">
        <f t="shared" si="1"/>
        <v>84</v>
      </c>
      <c r="O209" s="17"/>
      <c r="P209" s="17"/>
      <c r="Q209" s="17"/>
      <c r="R209" s="17"/>
      <c r="S209" s="17"/>
      <c r="T209" s="17"/>
      <c r="U209" s="17"/>
      <c r="V209" s="17"/>
      <c r="W209" s="17"/>
      <c r="X209" s="17"/>
      <c r="Y209" s="17"/>
      <c r="Z209" s="17"/>
    </row>
    <row r="210">
      <c r="A210" s="18" t="str">
        <f>IFERROR(__xludf.DUMMYFUNCTION("""COMPUTED_VALUE"""),"ord_10209")</f>
        <v>ord_10209</v>
      </c>
      <c r="B210" s="18" t="str">
        <f>IFERROR(__xludf.DUMMYFUNCTION("""COMPUTED_VALUE"""),"Kritika Shetty")</f>
        <v>Kritika Shetty</v>
      </c>
      <c r="C210" s="18" t="str">
        <f>IFERROR(__xludf.DUMMYFUNCTION("""COMPUTED_VALUE"""),"Malad")</f>
        <v>Malad</v>
      </c>
      <c r="D210" s="18" t="str">
        <f>IFERROR(__xludf.DUMMYFUNCTION("""COMPUTED_VALUE"""),"Chocolate Mousse")</f>
        <v>Chocolate Mousse</v>
      </c>
      <c r="E210" s="18">
        <f>IFERROR(__xludf.DUMMYFUNCTION("""COMPUTED_VALUE"""),4.0)</f>
        <v>4</v>
      </c>
      <c r="F210" s="18" t="str">
        <f>IFERROR(__xludf.DUMMYFUNCTION("""COMPUTED_VALUE"""),"Nithin Lal")</f>
        <v>Nithin Lal</v>
      </c>
      <c r="G210" s="19">
        <f>IFERROR(__xludf.DUMMYFUNCTION("""COMPUTED_VALUE"""),45029.0)</f>
        <v>45029</v>
      </c>
      <c r="H210" s="18" t="str">
        <f>IFERROR(__xludf.DUMMYFUNCTION("""COMPUTED_VALUE"""),"Online Payment")</f>
        <v>Online Payment</v>
      </c>
      <c r="I210" s="18" t="str">
        <f>IFERROR(__xludf.DUMMYFUNCTION("""COMPUTED_VALUE"""),"Delivered")</f>
        <v>Delivered</v>
      </c>
      <c r="J210" s="18" t="str">
        <f>IFERROR(__xludf.DUMMYFUNCTION("""COMPUTED_VALUE"""),"On-time Delivery")</f>
        <v>On-time Delivery</v>
      </c>
      <c r="K210" s="18" t="str">
        <f>IFERROR(__xludf.DUMMYFUNCTION("""COMPUTED_VALUE"""),"Delivered on time")</f>
        <v>Delivered on time</v>
      </c>
      <c r="L210" s="18">
        <f>iferror(VLOOKUP($D210,Details!$A$2:$C$11,2,false),vlookup($D210,Details!$E$2:$G$11,2,false))</f>
        <v>145</v>
      </c>
      <c r="M210" s="18" t="str">
        <f>iferror(VLOOKUP($D210,Details!$A$2:$C$11,3,false),vlookup($D210,Details!$E$2:$G$11,3,false))</f>
        <v>Snacks and Drinks</v>
      </c>
      <c r="N210" s="18">
        <f t="shared" si="1"/>
        <v>580</v>
      </c>
      <c r="O210" s="17"/>
      <c r="P210" s="17"/>
      <c r="Q210" s="17"/>
      <c r="R210" s="17"/>
      <c r="S210" s="17"/>
      <c r="T210" s="17"/>
      <c r="U210" s="17"/>
      <c r="V210" s="17"/>
      <c r="W210" s="17"/>
      <c r="X210" s="17"/>
      <c r="Y210" s="17"/>
      <c r="Z210" s="17"/>
    </row>
    <row r="211">
      <c r="A211" s="18" t="str">
        <f>IFERROR(__xludf.DUMMYFUNCTION("""COMPUTED_VALUE"""),"ord_10210")</f>
        <v>ord_10210</v>
      </c>
      <c r="B211" s="18" t="str">
        <f>IFERROR(__xludf.DUMMYFUNCTION("""COMPUTED_VALUE"""),"Mohit Malhotra")</f>
        <v>Mohit Malhotra</v>
      </c>
      <c r="C211" s="18" t="str">
        <f>IFERROR(__xludf.DUMMYFUNCTION("""COMPUTED_VALUE"""),"Lower Parel")</f>
        <v>Lower Parel</v>
      </c>
      <c r="D211" s="18" t="str">
        <f>IFERROR(__xludf.DUMMYFUNCTION("""COMPUTED_VALUE"""),"Rasmalai")</f>
        <v>Rasmalai</v>
      </c>
      <c r="E211" s="18">
        <f>IFERROR(__xludf.DUMMYFUNCTION("""COMPUTED_VALUE"""),3.0)</f>
        <v>3</v>
      </c>
      <c r="F211" s="18" t="str">
        <f>IFERROR(__xludf.DUMMYFUNCTION("""COMPUTED_VALUE"""),"Shine Thomas")</f>
        <v>Shine Thomas</v>
      </c>
      <c r="G211" s="19">
        <f>IFERROR(__xludf.DUMMYFUNCTION("""COMPUTED_VALUE"""),45070.0)</f>
        <v>45070</v>
      </c>
      <c r="H211" s="18" t="str">
        <f>IFERROR(__xludf.DUMMYFUNCTION("""COMPUTED_VALUE"""),"Online Payment")</f>
        <v>Online Payment</v>
      </c>
      <c r="I211" s="18" t="str">
        <f>IFERROR(__xludf.DUMMYFUNCTION("""COMPUTED_VALUE"""),"Delivered")</f>
        <v>Delivered</v>
      </c>
      <c r="J211" s="18" t="str">
        <f>IFERROR(__xludf.DUMMYFUNCTION("""COMPUTED_VALUE"""),"Quality of Items")</f>
        <v>Quality of Items</v>
      </c>
      <c r="K211" s="18" t="str">
        <f>IFERROR(__xludf.DUMMYFUNCTION("""COMPUTED_VALUE"""),"Perfect condition")</f>
        <v>Perfect condition</v>
      </c>
      <c r="L211" s="18">
        <f>iferror(VLOOKUP($D211,Details!$A$2:$C$11,2,false),vlookup($D211,Details!$E$2:$G$11,2,false))</f>
        <v>110</v>
      </c>
      <c r="M211" s="18" t="str">
        <f>iferror(VLOOKUP($D211,Details!$A$2:$C$11,3,false),vlookup($D211,Details!$E$2:$G$11,3,false))</f>
        <v>Snacks and Drinks</v>
      </c>
      <c r="N211" s="18">
        <f t="shared" si="1"/>
        <v>330</v>
      </c>
      <c r="O211" s="17"/>
      <c r="P211" s="17"/>
      <c r="Q211" s="17"/>
      <c r="R211" s="17"/>
      <c r="S211" s="17"/>
      <c r="T211" s="17"/>
      <c r="U211" s="17"/>
      <c r="V211" s="17"/>
      <c r="W211" s="17"/>
      <c r="X211" s="17"/>
      <c r="Y211" s="17"/>
      <c r="Z211" s="17"/>
    </row>
    <row r="212">
      <c r="A212" s="18" t="str">
        <f>IFERROR(__xludf.DUMMYFUNCTION("""COMPUTED_VALUE"""),"ord_10211")</f>
        <v>ord_10211</v>
      </c>
      <c r="B212" s="18" t="str">
        <f>IFERROR(__xludf.DUMMYFUNCTION("""COMPUTED_VALUE"""),"Tanishq Bansal")</f>
        <v>Tanishq Bansal</v>
      </c>
      <c r="C212" s="18" t="str">
        <f>IFERROR(__xludf.DUMMYFUNCTION("""COMPUTED_VALUE"""),"Powai")</f>
        <v>Powai</v>
      </c>
      <c r="D212" s="18" t="str">
        <f>IFERROR(__xludf.DUMMYFUNCTION("""COMPUTED_VALUE"""),"Orange")</f>
        <v>Orange</v>
      </c>
      <c r="E212" s="18">
        <f>IFERROR(__xludf.DUMMYFUNCTION("""COMPUTED_VALUE"""),2.0)</f>
        <v>2</v>
      </c>
      <c r="F212" s="18" t="str">
        <f>IFERROR(__xludf.DUMMYFUNCTION("""COMPUTED_VALUE"""),"Ram Gopal")</f>
        <v>Ram Gopal</v>
      </c>
      <c r="G212" s="19">
        <f>IFERROR(__xludf.DUMMYFUNCTION("""COMPUTED_VALUE"""),45119.0)</f>
        <v>45119</v>
      </c>
      <c r="H212" s="18" t="str">
        <f>IFERROR(__xludf.DUMMYFUNCTION("""COMPUTED_VALUE"""),"UPI")</f>
        <v>UPI</v>
      </c>
      <c r="I212" s="18" t="str">
        <f>IFERROR(__xludf.DUMMYFUNCTION("""COMPUTED_VALUE"""),"Delivered")</f>
        <v>Delivered</v>
      </c>
      <c r="J212" s="18" t="str">
        <f>IFERROR(__xludf.DUMMYFUNCTION("""COMPUTED_VALUE"""),"Packaging")</f>
        <v>Packaging</v>
      </c>
      <c r="K212" s="18" t="str">
        <f>IFERROR(__xludf.DUMMYFUNCTION("""COMPUTED_VALUE"""),"Secure and intact")</f>
        <v>Secure and intact</v>
      </c>
      <c r="L212" s="18">
        <f>iferror(VLOOKUP($D212,Details!$A$2:$C$11,2,false),vlookup($D212,Details!$E$2:$G$11,2,false))</f>
        <v>180</v>
      </c>
      <c r="M212" s="18" t="str">
        <f>iferror(VLOOKUP($D212,Details!$A$2:$C$11,3,false),vlookup($D212,Details!$E$2:$G$11,3,false))</f>
        <v>Fruits and Vegetables</v>
      </c>
      <c r="N212" s="18">
        <f t="shared" si="1"/>
        <v>360</v>
      </c>
      <c r="O212" s="17"/>
      <c r="P212" s="17"/>
      <c r="Q212" s="17"/>
      <c r="R212" s="17"/>
      <c r="S212" s="17"/>
      <c r="T212" s="17"/>
      <c r="U212" s="17"/>
      <c r="V212" s="17"/>
      <c r="W212" s="17"/>
      <c r="X212" s="17"/>
      <c r="Y212" s="17"/>
      <c r="Z212" s="17"/>
    </row>
    <row r="213">
      <c r="A213" s="18" t="str">
        <f>IFERROR(__xludf.DUMMYFUNCTION("""COMPUTED_VALUE"""),"ord_10212")</f>
        <v>ord_10212</v>
      </c>
      <c r="B213" s="18" t="str">
        <f>IFERROR(__xludf.DUMMYFUNCTION("""COMPUTED_VALUE"""),"Kavya Menon")</f>
        <v>Kavya Menon</v>
      </c>
      <c r="C213" s="18" t="str">
        <f>IFERROR(__xludf.DUMMYFUNCTION("""COMPUTED_VALUE"""),"Andheri")</f>
        <v>Andheri</v>
      </c>
      <c r="D213" s="18" t="str">
        <f>IFERROR(__xludf.DUMMYFUNCTION("""COMPUTED_VALUE"""),"Apple")</f>
        <v>Apple</v>
      </c>
      <c r="E213" s="18">
        <f>IFERROR(__xludf.DUMMYFUNCTION("""COMPUTED_VALUE"""),3.0)</f>
        <v>3</v>
      </c>
      <c r="F213" s="18" t="str">
        <f>IFERROR(__xludf.DUMMYFUNCTION("""COMPUTED_VALUE"""),"Rohan Yadav")</f>
        <v>Rohan Yadav</v>
      </c>
      <c r="G213" s="19">
        <f>IFERROR(__xludf.DUMMYFUNCTION("""COMPUTED_VALUE"""),45284.0)</f>
        <v>45284</v>
      </c>
      <c r="H213" s="18" t="str">
        <f>IFERROR(__xludf.DUMMYFUNCTION("""COMPUTED_VALUE"""),"Online Payment")</f>
        <v>Online Payment</v>
      </c>
      <c r="I213" s="18" t="str">
        <f>IFERROR(__xludf.DUMMYFUNCTION("""COMPUTED_VALUE"""),"Delivered")</f>
        <v>Delivered</v>
      </c>
      <c r="J213" s="18" t="str">
        <f>IFERROR(__xludf.DUMMYFUNCTION("""COMPUTED_VALUE"""),"Satisfied with the Delivery")</f>
        <v>Satisfied with the Delivery</v>
      </c>
      <c r="K213" s="18" t="str">
        <f>IFERROR(__xludf.DUMMYFUNCTION("""COMPUTED_VALUE"""),"Timely and quality")</f>
        <v>Timely and quality</v>
      </c>
      <c r="L213" s="18">
        <f>iferror(VLOOKUP($D213,Details!$A$2:$C$11,2,false),vlookup($D213,Details!$E$2:$G$11,2,false))</f>
        <v>230</v>
      </c>
      <c r="M213" s="18" t="str">
        <f>iferror(VLOOKUP($D213,Details!$A$2:$C$11,3,false),vlookup($D213,Details!$E$2:$G$11,3,false))</f>
        <v>Fruits and Vegetables</v>
      </c>
      <c r="N213" s="18">
        <f t="shared" si="1"/>
        <v>690</v>
      </c>
      <c r="O213" s="17"/>
      <c r="P213" s="17"/>
      <c r="Q213" s="17"/>
      <c r="R213" s="17"/>
      <c r="S213" s="17"/>
      <c r="T213" s="17"/>
      <c r="U213" s="17"/>
      <c r="V213" s="17"/>
      <c r="W213" s="17"/>
      <c r="X213" s="17"/>
      <c r="Y213" s="17"/>
      <c r="Z213" s="17"/>
    </row>
    <row r="214">
      <c r="A214" s="18" t="str">
        <f>IFERROR(__xludf.DUMMYFUNCTION("""COMPUTED_VALUE"""),"ord_10213")</f>
        <v>ord_10213</v>
      </c>
      <c r="B214" s="18" t="str">
        <f>IFERROR(__xludf.DUMMYFUNCTION("""COMPUTED_VALUE"""),"Kavya Menon")</f>
        <v>Kavya Menon</v>
      </c>
      <c r="C214" s="18" t="str">
        <f>IFERROR(__xludf.DUMMYFUNCTION("""COMPUTED_VALUE"""),"Andheri")</f>
        <v>Andheri</v>
      </c>
      <c r="D214" s="18" t="str">
        <f>IFERROR(__xludf.DUMMYFUNCTION("""COMPUTED_VALUE"""),"Rasmalai")</f>
        <v>Rasmalai</v>
      </c>
      <c r="E214" s="18">
        <f>IFERROR(__xludf.DUMMYFUNCTION("""COMPUTED_VALUE"""),6.0)</f>
        <v>6</v>
      </c>
      <c r="F214" s="18" t="str">
        <f>IFERROR(__xludf.DUMMYFUNCTION("""COMPUTED_VALUE"""),"Sita T")</f>
        <v>Sita T</v>
      </c>
      <c r="G214" s="19">
        <f>IFERROR(__xludf.DUMMYFUNCTION("""COMPUTED_VALUE"""),45121.0)</f>
        <v>45121</v>
      </c>
      <c r="H214" s="18" t="str">
        <f>IFERROR(__xludf.DUMMYFUNCTION("""COMPUTED_VALUE"""),"Credit Card")</f>
        <v>Credit Card</v>
      </c>
      <c r="I214" s="18" t="str">
        <f>IFERROR(__xludf.DUMMYFUNCTION("""COMPUTED_VALUE"""),"Delivered")</f>
        <v>Delivered</v>
      </c>
      <c r="J214" s="18" t="str">
        <f>IFERROR(__xludf.DUMMYFUNCTION("""COMPUTED_VALUE"""),"Customer Service")</f>
        <v>Customer Service</v>
      </c>
      <c r="K214" s="18" t="str">
        <f>IFERROR(__xludf.DUMMYFUNCTION("""COMPUTED_VALUE"""),"Seamless and easy")</f>
        <v>Seamless and easy</v>
      </c>
      <c r="L214" s="18">
        <f>iferror(VLOOKUP($D214,Details!$A$2:$C$11,2,false),vlookup($D214,Details!$E$2:$G$11,2,false))</f>
        <v>110</v>
      </c>
      <c r="M214" s="18" t="str">
        <f>iferror(VLOOKUP($D214,Details!$A$2:$C$11,3,false),vlookup($D214,Details!$E$2:$G$11,3,false))</f>
        <v>Snacks and Drinks</v>
      </c>
      <c r="N214" s="18">
        <f t="shared" si="1"/>
        <v>660</v>
      </c>
      <c r="O214" s="17"/>
      <c r="P214" s="17"/>
      <c r="Q214" s="17"/>
      <c r="R214" s="17"/>
      <c r="S214" s="17"/>
      <c r="T214" s="17"/>
      <c r="U214" s="17"/>
      <c r="V214" s="17"/>
      <c r="W214" s="17"/>
      <c r="X214" s="17"/>
      <c r="Y214" s="17"/>
      <c r="Z214" s="17"/>
    </row>
    <row r="215">
      <c r="A215" s="18" t="str">
        <f>IFERROR(__xludf.DUMMYFUNCTION("""COMPUTED_VALUE"""),"ord_10214")</f>
        <v>ord_10214</v>
      </c>
      <c r="B215" s="18" t="str">
        <f>IFERROR(__xludf.DUMMYFUNCTION("""COMPUTED_VALUE"""),"Mehul Thakkar")</f>
        <v>Mehul Thakkar</v>
      </c>
      <c r="C215" s="18" t="str">
        <f>IFERROR(__xludf.DUMMYFUNCTION("""COMPUTED_VALUE"""),"Malad")</f>
        <v>Malad</v>
      </c>
      <c r="D215" s="18" t="str">
        <f>IFERROR(__xludf.DUMMYFUNCTION("""COMPUTED_VALUE"""),"Guava")</f>
        <v>Guava</v>
      </c>
      <c r="E215" s="18">
        <f>IFERROR(__xludf.DUMMYFUNCTION("""COMPUTED_VALUE"""),1.0)</f>
        <v>1</v>
      </c>
      <c r="F215" s="18" t="str">
        <f>IFERROR(__xludf.DUMMYFUNCTION("""COMPUTED_VALUE"""),"Not Assigned")</f>
        <v>Not Assigned</v>
      </c>
      <c r="G215" s="19">
        <f>IFERROR(__xludf.DUMMYFUNCTION("""COMPUTED_VALUE"""),45088.0)</f>
        <v>45088</v>
      </c>
      <c r="H215" s="18" t="str">
        <f>IFERROR(__xludf.DUMMYFUNCTION("""COMPUTED_VALUE"""),"Credit Card")</f>
        <v>Credit Card</v>
      </c>
      <c r="I215" s="18" t="str">
        <f>IFERROR(__xludf.DUMMYFUNCTION("""COMPUTED_VALUE"""),"Cancelled")</f>
        <v>Cancelled</v>
      </c>
      <c r="J215" s="18" t="str">
        <f>IFERROR(__xludf.DUMMYFUNCTION("""COMPUTED_VALUE"""),"Out of Stock")</f>
        <v>Out of Stock</v>
      </c>
      <c r="K215" s="18"/>
      <c r="L215" s="18">
        <f>iferror(VLOOKUP($D215,Details!$A$2:$C$11,2,false),vlookup($D215,Details!$E$2:$G$11,2,false))</f>
        <v>70</v>
      </c>
      <c r="M215" s="18" t="str">
        <f>iferror(VLOOKUP($D215,Details!$A$2:$C$11,3,false),vlookup($D215,Details!$E$2:$G$11,3,false))</f>
        <v>Fruits and Vegetables</v>
      </c>
      <c r="N215" s="18">
        <f t="shared" si="1"/>
        <v>70</v>
      </c>
      <c r="O215" s="17"/>
      <c r="P215" s="17"/>
      <c r="Q215" s="17"/>
      <c r="R215" s="17"/>
      <c r="S215" s="17"/>
      <c r="T215" s="17"/>
      <c r="U215" s="17"/>
      <c r="V215" s="17"/>
      <c r="W215" s="17"/>
      <c r="X215" s="17"/>
      <c r="Y215" s="17"/>
      <c r="Z215" s="17"/>
    </row>
    <row r="216">
      <c r="A216" s="18" t="str">
        <f>IFERROR(__xludf.DUMMYFUNCTION("""COMPUTED_VALUE"""),"ord_10215")</f>
        <v>ord_10215</v>
      </c>
      <c r="B216" s="18" t="str">
        <f>IFERROR(__xludf.DUMMYFUNCTION("""COMPUTED_VALUE"""),"Mehul Thakkar")</f>
        <v>Mehul Thakkar</v>
      </c>
      <c r="C216" s="18" t="str">
        <f>IFERROR(__xludf.DUMMYFUNCTION("""COMPUTED_VALUE"""),"Malad")</f>
        <v>Malad</v>
      </c>
      <c r="D216" s="18" t="str">
        <f>IFERROR(__xludf.DUMMYFUNCTION("""COMPUTED_VALUE"""),"Papaya")</f>
        <v>Papaya</v>
      </c>
      <c r="E216" s="18">
        <f>IFERROR(__xludf.DUMMYFUNCTION("""COMPUTED_VALUE"""),2.0)</f>
        <v>2</v>
      </c>
      <c r="F216" s="18" t="str">
        <f>IFERROR(__xludf.DUMMYFUNCTION("""COMPUTED_VALUE"""),"Neha Shah")</f>
        <v>Neha Shah</v>
      </c>
      <c r="G216" s="19">
        <f>IFERROR(__xludf.DUMMYFUNCTION("""COMPUTED_VALUE"""),45196.0)</f>
        <v>45196</v>
      </c>
      <c r="H216" s="18" t="str">
        <f>IFERROR(__xludf.DUMMYFUNCTION("""COMPUTED_VALUE"""),"Online Payment")</f>
        <v>Online Payment</v>
      </c>
      <c r="I216" s="18" t="str">
        <f>IFERROR(__xludf.DUMMYFUNCTION("""COMPUTED_VALUE"""),"Delivered")</f>
        <v>Delivered</v>
      </c>
      <c r="J216" s="18" t="str">
        <f>IFERROR(__xludf.DUMMYFUNCTION("""COMPUTED_VALUE"""),"Delivery Experience")</f>
        <v>Delivery Experience</v>
      </c>
      <c r="K216" s="18" t="str">
        <f>IFERROR(__xludf.DUMMYFUNCTION("""COMPUTED_VALUE"""),"Quick and professional")</f>
        <v>Quick and professional</v>
      </c>
      <c r="L216" s="18">
        <f>iferror(VLOOKUP($D216,Details!$A$2:$C$11,2,false),vlookup($D216,Details!$E$2:$G$11,2,false))</f>
        <v>75</v>
      </c>
      <c r="M216" s="18" t="str">
        <f>iferror(VLOOKUP($D216,Details!$A$2:$C$11,3,false),vlookup($D216,Details!$E$2:$G$11,3,false))</f>
        <v>Fruits and Vegetables</v>
      </c>
      <c r="N216" s="18">
        <f t="shared" si="1"/>
        <v>150</v>
      </c>
      <c r="O216" s="17"/>
      <c r="P216" s="17"/>
      <c r="Q216" s="17"/>
      <c r="R216" s="17"/>
      <c r="S216" s="17"/>
      <c r="T216" s="17"/>
      <c r="U216" s="17"/>
      <c r="V216" s="17"/>
      <c r="W216" s="17"/>
      <c r="X216" s="17"/>
      <c r="Y216" s="17"/>
      <c r="Z216" s="17"/>
    </row>
    <row r="217">
      <c r="A217" s="18" t="str">
        <f>IFERROR(__xludf.DUMMYFUNCTION("""COMPUTED_VALUE"""),"ord_10216")</f>
        <v>ord_10216</v>
      </c>
      <c r="B217" s="18" t="str">
        <f>IFERROR(__xludf.DUMMYFUNCTION("""COMPUTED_VALUE"""),"Aarohi Kapoor")</f>
        <v>Aarohi Kapoor</v>
      </c>
      <c r="C217" s="18" t="str">
        <f>IFERROR(__xludf.DUMMYFUNCTION("""COMPUTED_VALUE"""),"Bandra")</f>
        <v>Bandra</v>
      </c>
      <c r="D217" s="18" t="str">
        <f>IFERROR(__xludf.DUMMYFUNCTION("""COMPUTED_VALUE"""),"Chocolate Mousse")</f>
        <v>Chocolate Mousse</v>
      </c>
      <c r="E217" s="18">
        <f>IFERROR(__xludf.DUMMYFUNCTION("""COMPUTED_VALUE"""),4.0)</f>
        <v>4</v>
      </c>
      <c r="F217" s="18" t="str">
        <f>IFERROR(__xludf.DUMMYFUNCTION("""COMPUTED_VALUE"""),"Priya Joshi")</f>
        <v>Priya Joshi</v>
      </c>
      <c r="G217" s="19">
        <f>IFERROR(__xludf.DUMMYFUNCTION("""COMPUTED_VALUE"""),45097.0)</f>
        <v>45097</v>
      </c>
      <c r="H217" s="18" t="str">
        <f>IFERROR(__xludf.DUMMYFUNCTION("""COMPUTED_VALUE"""),"Credit Card")</f>
        <v>Credit Card</v>
      </c>
      <c r="I217" s="18" t="str">
        <f>IFERROR(__xludf.DUMMYFUNCTION("""COMPUTED_VALUE"""),"Delivered")</f>
        <v>Delivered</v>
      </c>
      <c r="J217" s="18" t="str">
        <f>IFERROR(__xludf.DUMMYFUNCTION("""COMPUTED_VALUE"""),"Convenience")</f>
        <v>Convenience</v>
      </c>
      <c r="K217" s="18" t="str">
        <f>IFERROR(__xludf.DUMMYFUNCTION("""COMPUTED_VALUE"""),"Easy tracking")</f>
        <v>Easy tracking</v>
      </c>
      <c r="L217" s="18">
        <f>iferror(VLOOKUP($D217,Details!$A$2:$C$11,2,false),vlookup($D217,Details!$E$2:$G$11,2,false))</f>
        <v>145</v>
      </c>
      <c r="M217" s="18" t="str">
        <f>iferror(VLOOKUP($D217,Details!$A$2:$C$11,3,false),vlookup($D217,Details!$E$2:$G$11,3,false))</f>
        <v>Snacks and Drinks</v>
      </c>
      <c r="N217" s="18">
        <f t="shared" si="1"/>
        <v>580</v>
      </c>
      <c r="O217" s="17"/>
      <c r="P217" s="17"/>
      <c r="Q217" s="17"/>
      <c r="R217" s="17"/>
      <c r="S217" s="17"/>
      <c r="T217" s="17"/>
      <c r="U217" s="17"/>
      <c r="V217" s="17"/>
      <c r="W217" s="17"/>
      <c r="X217" s="17"/>
      <c r="Y217" s="17"/>
      <c r="Z217" s="17"/>
    </row>
    <row r="218">
      <c r="A218" s="18" t="str">
        <f>IFERROR(__xludf.DUMMYFUNCTION("""COMPUTED_VALUE"""),"ord_10217")</f>
        <v>ord_10217</v>
      </c>
      <c r="B218" s="18" t="str">
        <f>IFERROR(__xludf.DUMMYFUNCTION("""COMPUTED_VALUE"""),"Kritika Shetty")</f>
        <v>Kritika Shetty</v>
      </c>
      <c r="C218" s="18" t="str">
        <f>IFERROR(__xludf.DUMMYFUNCTION("""COMPUTED_VALUE"""),"Malad")</f>
        <v>Malad</v>
      </c>
      <c r="D218" s="18" t="str">
        <f>IFERROR(__xludf.DUMMYFUNCTION("""COMPUTED_VALUE"""),"Rasmalai")</f>
        <v>Rasmalai</v>
      </c>
      <c r="E218" s="18">
        <f>IFERROR(__xludf.DUMMYFUNCTION("""COMPUTED_VALUE"""),5.0)</f>
        <v>5</v>
      </c>
      <c r="F218" s="18" t="str">
        <f>IFERROR(__xludf.DUMMYFUNCTION("""COMPUTED_VALUE"""),"Not Assigned")</f>
        <v>Not Assigned</v>
      </c>
      <c r="G218" s="19">
        <f>IFERROR(__xludf.DUMMYFUNCTION("""COMPUTED_VALUE"""),45275.0)</f>
        <v>45275</v>
      </c>
      <c r="H218" s="18" t="str">
        <f>IFERROR(__xludf.DUMMYFUNCTION("""COMPUTED_VALUE"""),"UPI")</f>
        <v>UPI</v>
      </c>
      <c r="I218" s="18" t="str">
        <f>IFERROR(__xludf.DUMMYFUNCTION("""COMPUTED_VALUE"""),"Cancelled")</f>
        <v>Cancelled</v>
      </c>
      <c r="J218" s="18" t="str">
        <f>IFERROR(__xludf.DUMMYFUNCTION("""COMPUTED_VALUE"""),"High Delivery Fees")</f>
        <v>High Delivery Fees</v>
      </c>
      <c r="K218" s="18"/>
      <c r="L218" s="18">
        <f>iferror(VLOOKUP($D218,Details!$A$2:$C$11,2,false),vlookup($D218,Details!$E$2:$G$11,2,false))</f>
        <v>110</v>
      </c>
      <c r="M218" s="18" t="str">
        <f>iferror(VLOOKUP($D218,Details!$A$2:$C$11,3,false),vlookup($D218,Details!$E$2:$G$11,3,false))</f>
        <v>Snacks and Drinks</v>
      </c>
      <c r="N218" s="18">
        <f t="shared" si="1"/>
        <v>550</v>
      </c>
      <c r="O218" s="17"/>
      <c r="P218" s="17"/>
      <c r="Q218" s="17"/>
      <c r="R218" s="17"/>
      <c r="S218" s="17"/>
      <c r="T218" s="17"/>
      <c r="U218" s="17"/>
      <c r="V218" s="17"/>
      <c r="W218" s="17"/>
      <c r="X218" s="17"/>
      <c r="Y218" s="17"/>
      <c r="Z218" s="17"/>
    </row>
    <row r="219">
      <c r="A219" s="18" t="str">
        <f>IFERROR(__xludf.DUMMYFUNCTION("""COMPUTED_VALUE"""),"ord_10218")</f>
        <v>ord_10218</v>
      </c>
      <c r="B219" s="18" t="str">
        <f>IFERROR(__xludf.DUMMYFUNCTION("""COMPUTED_VALUE"""),"Aarav Mehta")</f>
        <v>Aarav Mehta</v>
      </c>
      <c r="C219" s="18" t="str">
        <f>IFERROR(__xludf.DUMMYFUNCTION("""COMPUTED_VALUE"""),"Andheri")</f>
        <v>Andheri</v>
      </c>
      <c r="D219" s="18" t="str">
        <f>IFERROR(__xludf.DUMMYFUNCTION("""COMPUTED_VALUE"""),"Onion")</f>
        <v>Onion</v>
      </c>
      <c r="E219" s="18">
        <f>IFERROR(__xludf.DUMMYFUNCTION("""COMPUTED_VALUE"""),2.0)</f>
        <v>2</v>
      </c>
      <c r="F219" s="18" t="str">
        <f>IFERROR(__xludf.DUMMYFUNCTION("""COMPUTED_VALUE"""),"Shine Thomas")</f>
        <v>Shine Thomas</v>
      </c>
      <c r="G219" s="19">
        <f>IFERROR(__xludf.DUMMYFUNCTION("""COMPUTED_VALUE"""),45190.0)</f>
        <v>45190</v>
      </c>
      <c r="H219" s="18" t="str">
        <f>IFERROR(__xludf.DUMMYFUNCTION("""COMPUTED_VALUE"""),"Credit Card")</f>
        <v>Credit Card</v>
      </c>
      <c r="I219" s="18" t="str">
        <f>IFERROR(__xludf.DUMMYFUNCTION("""COMPUTED_VALUE"""),"Delivered")</f>
        <v>Delivered</v>
      </c>
      <c r="J219" s="18" t="str">
        <f>IFERROR(__xludf.DUMMYFUNCTION("""COMPUTED_VALUE"""),"Overall Satisfaction")</f>
        <v>Overall Satisfaction</v>
      </c>
      <c r="K219" s="18" t="str">
        <f>IFERROR(__xludf.DUMMYFUNCTION("""COMPUTED_VALUE"""),"Great service will order again")</f>
        <v>Great service will order again</v>
      </c>
      <c r="L219" s="18">
        <f>iferror(VLOOKUP($D219,Details!$A$2:$C$11,2,false),vlookup($D219,Details!$E$2:$G$11,2,false))</f>
        <v>84</v>
      </c>
      <c r="M219" s="18" t="str">
        <f>iferror(VLOOKUP($D219,Details!$A$2:$C$11,3,false),vlookup($D219,Details!$E$2:$G$11,3,false))</f>
        <v>Fruits and Vegetables</v>
      </c>
      <c r="N219" s="18">
        <f t="shared" si="1"/>
        <v>168</v>
      </c>
      <c r="O219" s="17"/>
      <c r="P219" s="17"/>
      <c r="Q219" s="17"/>
      <c r="R219" s="17"/>
      <c r="S219" s="17"/>
      <c r="T219" s="17"/>
      <c r="U219" s="17"/>
      <c r="V219" s="17"/>
      <c r="W219" s="17"/>
      <c r="X219" s="17"/>
      <c r="Y219" s="17"/>
      <c r="Z219" s="17"/>
    </row>
    <row r="220">
      <c r="A220" s="18" t="str">
        <f>IFERROR(__xludf.DUMMYFUNCTION("""COMPUTED_VALUE"""),"ord_10219")</f>
        <v>ord_10219</v>
      </c>
      <c r="B220" s="18" t="str">
        <f>IFERROR(__xludf.DUMMYFUNCTION("""COMPUTED_VALUE"""),"Kritika Shetty")</f>
        <v>Kritika Shetty</v>
      </c>
      <c r="C220" s="18" t="str">
        <f>IFERROR(__xludf.DUMMYFUNCTION("""COMPUTED_VALUE"""),"Malad")</f>
        <v>Malad</v>
      </c>
      <c r="D220" s="18" t="str">
        <f>IFERROR(__xludf.DUMMYFUNCTION("""COMPUTED_VALUE"""),"Cold Coffee")</f>
        <v>Cold Coffee</v>
      </c>
      <c r="E220" s="18">
        <f>IFERROR(__xludf.DUMMYFUNCTION("""COMPUTED_VALUE"""),4.0)</f>
        <v>4</v>
      </c>
      <c r="F220" s="18" t="str">
        <f>IFERROR(__xludf.DUMMYFUNCTION("""COMPUTED_VALUE"""),"Sita T")</f>
        <v>Sita T</v>
      </c>
      <c r="G220" s="19">
        <f>IFERROR(__xludf.DUMMYFUNCTION("""COMPUTED_VALUE"""),45289.0)</f>
        <v>45289</v>
      </c>
      <c r="H220" s="18" t="str">
        <f>IFERROR(__xludf.DUMMYFUNCTION("""COMPUTED_VALUE"""),"Online Payment")</f>
        <v>Online Payment</v>
      </c>
      <c r="I220" s="18" t="str">
        <f>IFERROR(__xludf.DUMMYFUNCTION("""COMPUTED_VALUE"""),"Delivered")</f>
        <v>Delivered</v>
      </c>
      <c r="J220" s="18" t="str">
        <f>IFERROR(__xludf.DUMMYFUNCTION("""COMPUTED_VALUE"""),"On-time Delivery")</f>
        <v>On-time Delivery</v>
      </c>
      <c r="K220" s="18" t="str">
        <f>IFERROR(__xludf.DUMMYFUNCTION("""COMPUTED_VALUE"""),"Delivered on time")</f>
        <v>Delivered on time</v>
      </c>
      <c r="L220" s="18">
        <f>iferror(VLOOKUP($D220,Details!$A$2:$C$11,2,false),vlookup($D220,Details!$E$2:$G$11,2,false))</f>
        <v>270</v>
      </c>
      <c r="M220" s="18" t="str">
        <f>iferror(VLOOKUP($D220,Details!$A$2:$C$11,3,false),vlookup($D220,Details!$E$2:$G$11,3,false))</f>
        <v>Snacks and Drinks</v>
      </c>
      <c r="N220" s="18">
        <f t="shared" si="1"/>
        <v>1080</v>
      </c>
      <c r="O220" s="17"/>
      <c r="P220" s="17"/>
      <c r="Q220" s="17"/>
      <c r="R220" s="17"/>
      <c r="S220" s="17"/>
      <c r="T220" s="17"/>
      <c r="U220" s="17"/>
      <c r="V220" s="17"/>
      <c r="W220" s="17"/>
      <c r="X220" s="17"/>
      <c r="Y220" s="17"/>
      <c r="Z220" s="17"/>
    </row>
    <row r="221">
      <c r="A221" s="18" t="str">
        <f>IFERROR(__xludf.DUMMYFUNCTION("""COMPUTED_VALUE"""),"ord_10220")</f>
        <v>ord_10220</v>
      </c>
      <c r="B221" s="18" t="str">
        <f>IFERROR(__xludf.DUMMYFUNCTION("""COMPUTED_VALUE"""),"Anaya Rao")</f>
        <v>Anaya Rao</v>
      </c>
      <c r="C221" s="18" t="str">
        <f>IFERROR(__xludf.DUMMYFUNCTION("""COMPUTED_VALUE"""),"Colaba")</f>
        <v>Colaba</v>
      </c>
      <c r="D221" s="18" t="str">
        <f>IFERROR(__xludf.DUMMYFUNCTION("""COMPUTED_VALUE"""),"Cold Coffee")</f>
        <v>Cold Coffee</v>
      </c>
      <c r="E221" s="18">
        <f>IFERROR(__xludf.DUMMYFUNCTION("""COMPUTED_VALUE"""),2.0)</f>
        <v>2</v>
      </c>
      <c r="F221" s="18" t="str">
        <f>IFERROR(__xludf.DUMMYFUNCTION("""COMPUTED_VALUE"""),"Nikhil Deshmukh")</f>
        <v>Nikhil Deshmukh</v>
      </c>
      <c r="G221" s="19">
        <f>IFERROR(__xludf.DUMMYFUNCTION("""COMPUTED_VALUE"""),45083.0)</f>
        <v>45083</v>
      </c>
      <c r="H221" s="18" t="str">
        <f>IFERROR(__xludf.DUMMYFUNCTION("""COMPUTED_VALUE"""),"Online Payment")</f>
        <v>Online Payment</v>
      </c>
      <c r="I221" s="18" t="str">
        <f>IFERROR(__xludf.DUMMYFUNCTION("""COMPUTED_VALUE"""),"Delivered")</f>
        <v>Delivered</v>
      </c>
      <c r="J221" s="18" t="str">
        <f>IFERROR(__xludf.DUMMYFUNCTION("""COMPUTED_VALUE"""),"Quality of Items")</f>
        <v>Quality of Items</v>
      </c>
      <c r="K221" s="18" t="str">
        <f>IFERROR(__xludf.DUMMYFUNCTION("""COMPUTED_VALUE"""),"Perfect condition")</f>
        <v>Perfect condition</v>
      </c>
      <c r="L221" s="18">
        <f>iferror(VLOOKUP($D221,Details!$A$2:$C$11,2,false),vlookup($D221,Details!$E$2:$G$11,2,false))</f>
        <v>270</v>
      </c>
      <c r="M221" s="18" t="str">
        <f>iferror(VLOOKUP($D221,Details!$A$2:$C$11,3,false),vlookup($D221,Details!$E$2:$G$11,3,false))</f>
        <v>Snacks and Drinks</v>
      </c>
      <c r="N221" s="18">
        <f t="shared" si="1"/>
        <v>540</v>
      </c>
      <c r="O221" s="17"/>
      <c r="P221" s="17"/>
      <c r="Q221" s="17"/>
      <c r="R221" s="17"/>
      <c r="S221" s="17"/>
      <c r="T221" s="17"/>
      <c r="U221" s="17"/>
      <c r="V221" s="17"/>
      <c r="W221" s="17"/>
      <c r="X221" s="17"/>
      <c r="Y221" s="17"/>
      <c r="Z221" s="17"/>
    </row>
    <row r="222">
      <c r="A222" s="18" t="str">
        <f>IFERROR(__xludf.DUMMYFUNCTION("""COMPUTED_VALUE"""),"ord_10221")</f>
        <v>ord_10221</v>
      </c>
      <c r="B222" s="18" t="str">
        <f>IFERROR(__xludf.DUMMYFUNCTION("""COMPUTED_VALUE"""),"Aditi Iyer")</f>
        <v>Aditi Iyer</v>
      </c>
      <c r="C222" s="18" t="str">
        <f>IFERROR(__xludf.DUMMYFUNCTION("""COMPUTED_VALUE"""),"Dadar")</f>
        <v>Dadar</v>
      </c>
      <c r="D222" s="18" t="str">
        <f>IFERROR(__xludf.DUMMYFUNCTION("""COMPUTED_VALUE"""),"Chicken Puff")</f>
        <v>Chicken Puff</v>
      </c>
      <c r="E222" s="18">
        <f>IFERROR(__xludf.DUMMYFUNCTION("""COMPUTED_VALUE"""),4.0)</f>
        <v>4</v>
      </c>
      <c r="F222" s="18" t="str">
        <f>IFERROR(__xludf.DUMMYFUNCTION("""COMPUTED_VALUE"""),"Nithin Lal")</f>
        <v>Nithin Lal</v>
      </c>
      <c r="G222" s="19">
        <f>IFERROR(__xludf.DUMMYFUNCTION("""COMPUTED_VALUE"""),45261.0)</f>
        <v>45261</v>
      </c>
      <c r="H222" s="18" t="str">
        <f>IFERROR(__xludf.DUMMYFUNCTION("""COMPUTED_VALUE"""),"Online Payment")</f>
        <v>Online Payment</v>
      </c>
      <c r="I222" s="18" t="str">
        <f>IFERROR(__xludf.DUMMYFUNCTION("""COMPUTED_VALUE"""),"Delivered")</f>
        <v>Delivered</v>
      </c>
      <c r="J222" s="18" t="str">
        <f>IFERROR(__xludf.DUMMYFUNCTION("""COMPUTED_VALUE"""),"Packaging")</f>
        <v>Packaging</v>
      </c>
      <c r="K222" s="18" t="str">
        <f>IFERROR(__xludf.DUMMYFUNCTION("""COMPUTED_VALUE"""),"Secure and intact")</f>
        <v>Secure and intact</v>
      </c>
      <c r="L222" s="18">
        <f>iferror(VLOOKUP($D222,Details!$A$2:$C$11,2,false),vlookup($D222,Details!$E$2:$G$11,2,false))</f>
        <v>90</v>
      </c>
      <c r="M222" s="18" t="str">
        <f>iferror(VLOOKUP($D222,Details!$A$2:$C$11,3,false),vlookup($D222,Details!$E$2:$G$11,3,false))</f>
        <v>Snacks and Drinks</v>
      </c>
      <c r="N222" s="18">
        <f t="shared" si="1"/>
        <v>360</v>
      </c>
      <c r="O222" s="17"/>
      <c r="P222" s="17"/>
      <c r="Q222" s="17"/>
      <c r="R222" s="17"/>
      <c r="S222" s="17"/>
      <c r="T222" s="17"/>
      <c r="U222" s="17"/>
      <c r="V222" s="17"/>
      <c r="W222" s="17"/>
      <c r="X222" s="17"/>
      <c r="Y222" s="17"/>
      <c r="Z222" s="17"/>
    </row>
    <row r="223">
      <c r="A223" s="18" t="str">
        <f>IFERROR(__xludf.DUMMYFUNCTION("""COMPUTED_VALUE"""),"ord_10222")</f>
        <v>ord_10222</v>
      </c>
      <c r="B223" s="18" t="str">
        <f>IFERROR(__xludf.DUMMYFUNCTION("""COMPUTED_VALUE"""),"Omkar Mishra")</f>
        <v>Omkar Mishra</v>
      </c>
      <c r="C223" s="18" t="str">
        <f>IFERROR(__xludf.DUMMYFUNCTION("""COMPUTED_VALUE"""),"Powai")</f>
        <v>Powai</v>
      </c>
      <c r="D223" s="18" t="str">
        <f>IFERROR(__xludf.DUMMYFUNCTION("""COMPUTED_VALUE"""),"Chicken Puff")</f>
        <v>Chicken Puff</v>
      </c>
      <c r="E223" s="18">
        <f>IFERROR(__xludf.DUMMYFUNCTION("""COMPUTED_VALUE"""),5.0)</f>
        <v>5</v>
      </c>
      <c r="F223" s="18" t="str">
        <f>IFERROR(__xludf.DUMMYFUNCTION("""COMPUTED_VALUE"""),"Manju Ajay")</f>
        <v>Manju Ajay</v>
      </c>
      <c r="G223" s="19">
        <f>IFERROR(__xludf.DUMMYFUNCTION("""COMPUTED_VALUE"""),45207.0)</f>
        <v>45207</v>
      </c>
      <c r="H223" s="18" t="str">
        <f>IFERROR(__xludf.DUMMYFUNCTION("""COMPUTED_VALUE"""),"Online Payment")</f>
        <v>Online Payment</v>
      </c>
      <c r="I223" s="18" t="str">
        <f>IFERROR(__xludf.DUMMYFUNCTION("""COMPUTED_VALUE"""),"Delivered")</f>
        <v>Delivered</v>
      </c>
      <c r="J223" s="18" t="str">
        <f>IFERROR(__xludf.DUMMYFUNCTION("""COMPUTED_VALUE"""),"Satisfied with the Delivery")</f>
        <v>Satisfied with the Delivery</v>
      </c>
      <c r="K223" s="18" t="str">
        <f>IFERROR(__xludf.DUMMYFUNCTION("""COMPUTED_VALUE"""),"Timely and quality")</f>
        <v>Timely and quality</v>
      </c>
      <c r="L223" s="18">
        <f>iferror(VLOOKUP($D223,Details!$A$2:$C$11,2,false),vlookup($D223,Details!$E$2:$G$11,2,false))</f>
        <v>90</v>
      </c>
      <c r="M223" s="18" t="str">
        <f>iferror(VLOOKUP($D223,Details!$A$2:$C$11,3,false),vlookup($D223,Details!$E$2:$G$11,3,false))</f>
        <v>Snacks and Drinks</v>
      </c>
      <c r="N223" s="18">
        <f t="shared" si="1"/>
        <v>450</v>
      </c>
      <c r="O223" s="17"/>
      <c r="P223" s="17"/>
      <c r="Q223" s="17"/>
      <c r="R223" s="17"/>
      <c r="S223" s="17"/>
      <c r="T223" s="17"/>
      <c r="U223" s="17"/>
      <c r="V223" s="17"/>
      <c r="W223" s="17"/>
      <c r="X223" s="17"/>
      <c r="Y223" s="17"/>
      <c r="Z223" s="17"/>
    </row>
    <row r="224">
      <c r="A224" s="18" t="str">
        <f>IFERROR(__xludf.DUMMYFUNCTION("""COMPUTED_VALUE"""),"ord_10223")</f>
        <v>ord_10223</v>
      </c>
      <c r="B224" s="18" t="str">
        <f>IFERROR(__xludf.DUMMYFUNCTION("""COMPUTED_VALUE"""),"Parth Goel")</f>
        <v>Parth Goel</v>
      </c>
      <c r="C224" s="18" t="str">
        <f>IFERROR(__xludf.DUMMYFUNCTION("""COMPUTED_VALUE"""),"Juhu")</f>
        <v>Juhu</v>
      </c>
      <c r="D224" s="18" t="str">
        <f>IFERROR(__xludf.DUMMYFUNCTION("""COMPUTED_VALUE"""),"Papaya")</f>
        <v>Papaya</v>
      </c>
      <c r="E224" s="18">
        <f>IFERROR(__xludf.DUMMYFUNCTION("""COMPUTED_VALUE"""),1.0)</f>
        <v>1</v>
      </c>
      <c r="F224" s="18" t="str">
        <f>IFERROR(__xludf.DUMMYFUNCTION("""COMPUTED_VALUE"""),"Tanvi Jain")</f>
        <v>Tanvi Jain</v>
      </c>
      <c r="G224" s="19">
        <f>IFERROR(__xludf.DUMMYFUNCTION("""COMPUTED_VALUE"""),45221.0)</f>
        <v>45221</v>
      </c>
      <c r="H224" s="18" t="str">
        <f>IFERROR(__xludf.DUMMYFUNCTION("""COMPUTED_VALUE"""),"Online Payment")</f>
        <v>Online Payment</v>
      </c>
      <c r="I224" s="18" t="str">
        <f>IFERROR(__xludf.DUMMYFUNCTION("""COMPUTED_VALUE"""),"Delivered")</f>
        <v>Delivered</v>
      </c>
      <c r="J224" s="18" t="str">
        <f>IFERROR(__xludf.DUMMYFUNCTION("""COMPUTED_VALUE"""),"Customer Service")</f>
        <v>Customer Service</v>
      </c>
      <c r="K224" s="18" t="str">
        <f>IFERROR(__xludf.DUMMYFUNCTION("""COMPUTED_VALUE"""),"Seamless and easy")</f>
        <v>Seamless and easy</v>
      </c>
      <c r="L224" s="18">
        <f>iferror(VLOOKUP($D224,Details!$A$2:$C$11,2,false),vlookup($D224,Details!$E$2:$G$11,2,false))</f>
        <v>75</v>
      </c>
      <c r="M224" s="18" t="str">
        <f>iferror(VLOOKUP($D224,Details!$A$2:$C$11,3,false),vlookup($D224,Details!$E$2:$G$11,3,false))</f>
        <v>Fruits and Vegetables</v>
      </c>
      <c r="N224" s="18">
        <f t="shared" si="1"/>
        <v>75</v>
      </c>
      <c r="O224" s="17"/>
      <c r="P224" s="17"/>
      <c r="Q224" s="17"/>
      <c r="R224" s="17"/>
      <c r="S224" s="17"/>
      <c r="T224" s="17"/>
      <c r="U224" s="17"/>
      <c r="V224" s="17"/>
      <c r="W224" s="17"/>
      <c r="X224" s="17"/>
      <c r="Y224" s="17"/>
      <c r="Z224" s="17"/>
    </row>
    <row r="225">
      <c r="A225" s="18" t="str">
        <f>IFERROR(__xludf.DUMMYFUNCTION("""COMPUTED_VALUE"""),"ord_10224")</f>
        <v>ord_10224</v>
      </c>
      <c r="B225" s="18" t="str">
        <f>IFERROR(__xludf.DUMMYFUNCTION("""COMPUTED_VALUE"""),"Kritika Shetty")</f>
        <v>Kritika Shetty</v>
      </c>
      <c r="C225" s="18" t="str">
        <f>IFERROR(__xludf.DUMMYFUNCTION("""COMPUTED_VALUE"""),"Malad")</f>
        <v>Malad</v>
      </c>
      <c r="D225" s="18" t="str">
        <f>IFERROR(__xludf.DUMMYFUNCTION("""COMPUTED_VALUE"""),"Tiramisu")</f>
        <v>Tiramisu</v>
      </c>
      <c r="E225" s="18">
        <f>IFERROR(__xludf.DUMMYFUNCTION("""COMPUTED_VALUE"""),4.0)</f>
        <v>4</v>
      </c>
      <c r="F225" s="18" t="str">
        <f>IFERROR(__xludf.DUMMYFUNCTION("""COMPUTED_VALUE"""),"Ramesh S")</f>
        <v>Ramesh S</v>
      </c>
      <c r="G225" s="19">
        <f>IFERROR(__xludf.DUMMYFUNCTION("""COMPUTED_VALUE"""),44976.0)</f>
        <v>44976</v>
      </c>
      <c r="H225" s="18" t="str">
        <f>IFERROR(__xludf.DUMMYFUNCTION("""COMPUTED_VALUE"""),"Credit Card")</f>
        <v>Credit Card</v>
      </c>
      <c r="I225" s="18" t="str">
        <f>IFERROR(__xludf.DUMMYFUNCTION("""COMPUTED_VALUE"""),"Cancelled")</f>
        <v>Cancelled</v>
      </c>
      <c r="J225" s="18" t="str">
        <f>IFERROR(__xludf.DUMMYFUNCTION("""COMPUTED_VALUE"""),"Delayed Delivery")</f>
        <v>Delayed Delivery</v>
      </c>
      <c r="K225" s="18" t="str">
        <f>IFERROR(__xludf.DUMMYFUNCTION("""COMPUTED_VALUE"""),"High Order Volume")</f>
        <v>High Order Volume</v>
      </c>
      <c r="L225" s="18">
        <f>iferror(VLOOKUP($D225,Details!$A$2:$C$11,2,false),vlookup($D225,Details!$E$2:$G$11,2,false))</f>
        <v>150</v>
      </c>
      <c r="M225" s="18" t="str">
        <f>iferror(VLOOKUP($D225,Details!$A$2:$C$11,3,false),vlookup($D225,Details!$E$2:$G$11,3,false))</f>
        <v>Snacks and Drinks</v>
      </c>
      <c r="N225" s="18">
        <f t="shared" si="1"/>
        <v>600</v>
      </c>
      <c r="O225" s="17"/>
      <c r="P225" s="17"/>
      <c r="Q225" s="17"/>
      <c r="R225" s="17"/>
      <c r="S225" s="17"/>
      <c r="T225" s="17"/>
      <c r="U225" s="17"/>
      <c r="V225" s="17"/>
      <c r="W225" s="17"/>
      <c r="X225" s="17"/>
      <c r="Y225" s="17"/>
      <c r="Z225" s="17"/>
    </row>
    <row r="226">
      <c r="A226" s="18" t="str">
        <f>IFERROR(__xludf.DUMMYFUNCTION("""COMPUTED_VALUE"""),"ord_10225")</f>
        <v>ord_10225</v>
      </c>
      <c r="B226" s="18" t="str">
        <f>IFERROR(__xludf.DUMMYFUNCTION("""COMPUTED_VALUE"""),"Dev Chauhan")</f>
        <v>Dev Chauhan</v>
      </c>
      <c r="C226" s="18" t="str">
        <f>IFERROR(__xludf.DUMMYFUNCTION("""COMPUTED_VALUE"""),"Bandra")</f>
        <v>Bandra</v>
      </c>
      <c r="D226" s="18" t="str">
        <f>IFERROR(__xludf.DUMMYFUNCTION("""COMPUTED_VALUE"""),"Veg Puff")</f>
        <v>Veg Puff</v>
      </c>
      <c r="E226" s="18">
        <f>IFERROR(__xludf.DUMMYFUNCTION("""COMPUTED_VALUE"""),4.0)</f>
        <v>4</v>
      </c>
      <c r="F226" s="18" t="str">
        <f>IFERROR(__xludf.DUMMYFUNCTION("""COMPUTED_VALUE"""),"Shine Thomas")</f>
        <v>Shine Thomas</v>
      </c>
      <c r="G226" s="19">
        <f>IFERROR(__xludf.DUMMYFUNCTION("""COMPUTED_VALUE"""),45211.0)</f>
        <v>45211</v>
      </c>
      <c r="H226" s="18" t="str">
        <f>IFERROR(__xludf.DUMMYFUNCTION("""COMPUTED_VALUE"""),"Online Payment")</f>
        <v>Online Payment</v>
      </c>
      <c r="I226" s="18" t="str">
        <f>IFERROR(__xludf.DUMMYFUNCTION("""COMPUTED_VALUE"""),"Delivered")</f>
        <v>Delivered</v>
      </c>
      <c r="J226" s="18" t="str">
        <f>IFERROR(__xludf.DUMMYFUNCTION("""COMPUTED_VALUE"""),"Delivery Experience")</f>
        <v>Delivery Experience</v>
      </c>
      <c r="K226" s="18" t="str">
        <f>IFERROR(__xludf.DUMMYFUNCTION("""COMPUTED_VALUE"""),"Quick and professional")</f>
        <v>Quick and professional</v>
      </c>
      <c r="L226" s="18">
        <f>iferror(VLOOKUP($D226,Details!$A$2:$C$11,2,false),vlookup($D226,Details!$E$2:$G$11,2,false))</f>
        <v>80</v>
      </c>
      <c r="M226" s="18" t="str">
        <f>iferror(VLOOKUP($D226,Details!$A$2:$C$11,3,false),vlookup($D226,Details!$E$2:$G$11,3,false))</f>
        <v>Snacks and Drinks</v>
      </c>
      <c r="N226" s="18">
        <f t="shared" si="1"/>
        <v>320</v>
      </c>
      <c r="O226" s="17"/>
      <c r="P226" s="17"/>
      <c r="Q226" s="17"/>
      <c r="R226" s="17"/>
      <c r="S226" s="17"/>
      <c r="T226" s="17"/>
      <c r="U226" s="17"/>
      <c r="V226" s="17"/>
      <c r="W226" s="17"/>
      <c r="X226" s="17"/>
      <c r="Y226" s="17"/>
      <c r="Z226" s="17"/>
    </row>
    <row r="227">
      <c r="A227" s="18" t="str">
        <f>IFERROR(__xludf.DUMMYFUNCTION("""COMPUTED_VALUE"""),"ord_10226")</f>
        <v>ord_10226</v>
      </c>
      <c r="B227" s="18" t="str">
        <f>IFERROR(__xludf.DUMMYFUNCTION("""COMPUTED_VALUE"""),"Parth Goel")</f>
        <v>Parth Goel</v>
      </c>
      <c r="C227" s="18" t="str">
        <f>IFERROR(__xludf.DUMMYFUNCTION("""COMPUTED_VALUE"""),"Juhu")</f>
        <v>Juhu</v>
      </c>
      <c r="D227" s="18" t="str">
        <f>IFERROR(__xludf.DUMMYFUNCTION("""COMPUTED_VALUE"""),"Icecream")</f>
        <v>Icecream</v>
      </c>
      <c r="E227" s="18">
        <f>IFERROR(__xludf.DUMMYFUNCTION("""COMPUTED_VALUE"""),5.0)</f>
        <v>5</v>
      </c>
      <c r="F227" s="18" t="str">
        <f>IFERROR(__xludf.DUMMYFUNCTION("""COMPUTED_VALUE"""),"Vivek Kumar")</f>
        <v>Vivek Kumar</v>
      </c>
      <c r="G227" s="19">
        <f>IFERROR(__xludf.DUMMYFUNCTION("""COMPUTED_VALUE"""),45214.0)</f>
        <v>45214</v>
      </c>
      <c r="H227" s="18" t="str">
        <f>IFERROR(__xludf.DUMMYFUNCTION("""COMPUTED_VALUE"""),"Online Payment")</f>
        <v>Online Payment</v>
      </c>
      <c r="I227" s="18" t="str">
        <f>IFERROR(__xludf.DUMMYFUNCTION("""COMPUTED_VALUE"""),"Delivered")</f>
        <v>Delivered</v>
      </c>
      <c r="J227" s="18" t="str">
        <f>IFERROR(__xludf.DUMMYFUNCTION("""COMPUTED_VALUE"""),"Convenience")</f>
        <v>Convenience</v>
      </c>
      <c r="K227" s="18" t="str">
        <f>IFERROR(__xludf.DUMMYFUNCTION("""COMPUTED_VALUE"""),"Easy tracking")</f>
        <v>Easy tracking</v>
      </c>
      <c r="L227" s="18">
        <f>iferror(VLOOKUP($D227,Details!$A$2:$C$11,2,false),vlookup($D227,Details!$E$2:$G$11,2,false))</f>
        <v>90</v>
      </c>
      <c r="M227" s="18" t="str">
        <f>iferror(VLOOKUP($D227,Details!$A$2:$C$11,3,false),vlookup($D227,Details!$E$2:$G$11,3,false))</f>
        <v>Snacks and Drinks</v>
      </c>
      <c r="N227" s="18">
        <f t="shared" si="1"/>
        <v>450</v>
      </c>
      <c r="O227" s="17"/>
      <c r="P227" s="17"/>
      <c r="Q227" s="17"/>
      <c r="R227" s="17"/>
      <c r="S227" s="17"/>
      <c r="T227" s="17"/>
      <c r="U227" s="17"/>
      <c r="V227" s="17"/>
      <c r="W227" s="17"/>
      <c r="X227" s="17"/>
      <c r="Y227" s="17"/>
      <c r="Z227" s="17"/>
    </row>
    <row r="228">
      <c r="A228" s="18" t="str">
        <f>IFERROR(__xludf.DUMMYFUNCTION("""COMPUTED_VALUE"""),"ord_10227")</f>
        <v>ord_10227</v>
      </c>
      <c r="B228" s="18" t="str">
        <f>IFERROR(__xludf.DUMMYFUNCTION("""COMPUTED_VALUE"""),"Pallavi Ghosh")</f>
        <v>Pallavi Ghosh</v>
      </c>
      <c r="C228" s="18" t="str">
        <f>IFERROR(__xludf.DUMMYFUNCTION("""COMPUTED_VALUE"""),"Bandra")</f>
        <v>Bandra</v>
      </c>
      <c r="D228" s="18" t="str">
        <f>IFERROR(__xludf.DUMMYFUNCTION("""COMPUTED_VALUE"""),"Popcorn")</f>
        <v>Popcorn</v>
      </c>
      <c r="E228" s="18">
        <f>IFERROR(__xludf.DUMMYFUNCTION("""COMPUTED_VALUE"""),4.0)</f>
        <v>4</v>
      </c>
      <c r="F228" s="18" t="str">
        <f>IFERROR(__xludf.DUMMYFUNCTION("""COMPUTED_VALUE"""),"Ramesh S")</f>
        <v>Ramesh S</v>
      </c>
      <c r="G228" s="19">
        <f>IFERROR(__xludf.DUMMYFUNCTION("""COMPUTED_VALUE"""),45015.0)</f>
        <v>45015</v>
      </c>
      <c r="H228" s="18" t="str">
        <f>IFERROR(__xludf.DUMMYFUNCTION("""COMPUTED_VALUE"""),"COD")</f>
        <v>COD</v>
      </c>
      <c r="I228" s="18" t="str">
        <f>IFERROR(__xludf.DUMMYFUNCTION("""COMPUTED_VALUE"""),"Delivered")</f>
        <v>Delivered</v>
      </c>
      <c r="J228" s="18" t="str">
        <f>IFERROR(__xludf.DUMMYFUNCTION("""COMPUTED_VALUE"""),"On-time Delivery")</f>
        <v>On-time Delivery</v>
      </c>
      <c r="K228" s="18" t="str">
        <f>IFERROR(__xludf.DUMMYFUNCTION("""COMPUTED_VALUE"""),"Delivered on time")</f>
        <v>Delivered on time</v>
      </c>
      <c r="L228" s="18">
        <f>iferror(VLOOKUP($D228,Details!$A$2:$C$11,2,false),vlookup($D228,Details!$E$2:$G$11,2,false))</f>
        <v>150</v>
      </c>
      <c r="M228" s="18" t="str">
        <f>iferror(VLOOKUP($D228,Details!$A$2:$C$11,3,false),vlookup($D228,Details!$E$2:$G$11,3,false))</f>
        <v>Snacks and Drinks</v>
      </c>
      <c r="N228" s="18">
        <f t="shared" si="1"/>
        <v>600</v>
      </c>
      <c r="O228" s="17"/>
      <c r="P228" s="17"/>
      <c r="Q228" s="17"/>
      <c r="R228" s="17"/>
      <c r="S228" s="17"/>
      <c r="T228" s="17"/>
      <c r="U228" s="17"/>
      <c r="V228" s="17"/>
      <c r="W228" s="17"/>
      <c r="X228" s="17"/>
      <c r="Y228" s="17"/>
      <c r="Z228" s="17"/>
    </row>
    <row r="229">
      <c r="A229" s="18" t="str">
        <f>IFERROR(__xludf.DUMMYFUNCTION("""COMPUTED_VALUE"""),"ord_10228")</f>
        <v>ord_10228</v>
      </c>
      <c r="B229" s="18" t="str">
        <f>IFERROR(__xludf.DUMMYFUNCTION("""COMPUTED_VALUE"""),"Mohit Malhotra")</f>
        <v>Mohit Malhotra</v>
      </c>
      <c r="C229" s="18" t="str">
        <f>IFERROR(__xludf.DUMMYFUNCTION("""COMPUTED_VALUE"""),"Lower Parel")</f>
        <v>Lower Parel</v>
      </c>
      <c r="D229" s="18" t="str">
        <f>IFERROR(__xludf.DUMMYFUNCTION("""COMPUTED_VALUE"""),"Juice")</f>
        <v>Juice</v>
      </c>
      <c r="E229" s="18">
        <f>IFERROR(__xludf.DUMMYFUNCTION("""COMPUTED_VALUE"""),1.0)</f>
        <v>1</v>
      </c>
      <c r="F229" s="18" t="str">
        <f>IFERROR(__xludf.DUMMYFUNCTION("""COMPUTED_VALUE"""),"Vivek Kumar")</f>
        <v>Vivek Kumar</v>
      </c>
      <c r="G229" s="19">
        <f>IFERROR(__xludf.DUMMYFUNCTION("""COMPUTED_VALUE"""),45006.0)</f>
        <v>45006</v>
      </c>
      <c r="H229" s="18" t="str">
        <f>IFERROR(__xludf.DUMMYFUNCTION("""COMPUTED_VALUE"""),"UPI")</f>
        <v>UPI</v>
      </c>
      <c r="I229" s="18" t="str">
        <f>IFERROR(__xludf.DUMMYFUNCTION("""COMPUTED_VALUE"""),"Delivered")</f>
        <v>Delivered</v>
      </c>
      <c r="J229" s="18" t="str">
        <f>IFERROR(__xludf.DUMMYFUNCTION("""COMPUTED_VALUE"""),"Quality of Items")</f>
        <v>Quality of Items</v>
      </c>
      <c r="K229" s="18" t="str">
        <f>IFERROR(__xludf.DUMMYFUNCTION("""COMPUTED_VALUE"""),"Perfect condition")</f>
        <v>Perfect condition</v>
      </c>
      <c r="L229" s="18">
        <f>iferror(VLOOKUP($D229,Details!$A$2:$C$11,2,false),vlookup($D229,Details!$E$2:$G$11,2,false))</f>
        <v>90</v>
      </c>
      <c r="M229" s="18" t="str">
        <f>iferror(VLOOKUP($D229,Details!$A$2:$C$11,3,false),vlookup($D229,Details!$E$2:$G$11,3,false))</f>
        <v>Snacks and Drinks</v>
      </c>
      <c r="N229" s="18">
        <f t="shared" si="1"/>
        <v>90</v>
      </c>
      <c r="O229" s="17"/>
      <c r="P229" s="17"/>
      <c r="Q229" s="17"/>
      <c r="R229" s="17"/>
      <c r="S229" s="17"/>
      <c r="T229" s="17"/>
      <c r="U229" s="17"/>
      <c r="V229" s="17"/>
      <c r="W229" s="17"/>
      <c r="X229" s="17"/>
      <c r="Y229" s="17"/>
      <c r="Z229" s="17"/>
    </row>
    <row r="230">
      <c r="A230" s="18" t="str">
        <f>IFERROR(__xludf.DUMMYFUNCTION("""COMPUTED_VALUE"""),"ord_10229")</f>
        <v>ord_10229</v>
      </c>
      <c r="B230" s="18" t="str">
        <f>IFERROR(__xludf.DUMMYFUNCTION("""COMPUTED_VALUE"""),"Sahil Desai")</f>
        <v>Sahil Desai</v>
      </c>
      <c r="C230" s="18" t="str">
        <f>IFERROR(__xludf.DUMMYFUNCTION("""COMPUTED_VALUE"""),"Lower Parel")</f>
        <v>Lower Parel</v>
      </c>
      <c r="D230" s="18" t="str">
        <f>IFERROR(__xludf.DUMMYFUNCTION("""COMPUTED_VALUE"""),"Orange")</f>
        <v>Orange</v>
      </c>
      <c r="E230" s="18">
        <f>IFERROR(__xludf.DUMMYFUNCTION("""COMPUTED_VALUE"""),2.0)</f>
        <v>2</v>
      </c>
      <c r="F230" s="18" t="str">
        <f>IFERROR(__xludf.DUMMYFUNCTION("""COMPUTED_VALUE"""),"Ram Gopal")</f>
        <v>Ram Gopal</v>
      </c>
      <c r="G230" s="19">
        <f>IFERROR(__xludf.DUMMYFUNCTION("""COMPUTED_VALUE"""),45175.0)</f>
        <v>45175</v>
      </c>
      <c r="H230" s="18" t="str">
        <f>IFERROR(__xludf.DUMMYFUNCTION("""COMPUTED_VALUE"""),"Online Payment")</f>
        <v>Online Payment</v>
      </c>
      <c r="I230" s="18" t="str">
        <f>IFERROR(__xludf.DUMMYFUNCTION("""COMPUTED_VALUE"""),"Delivered")</f>
        <v>Delivered</v>
      </c>
      <c r="J230" s="18" t="str">
        <f>IFERROR(__xludf.DUMMYFUNCTION("""COMPUTED_VALUE"""),"Packaging")</f>
        <v>Packaging</v>
      </c>
      <c r="K230" s="18" t="str">
        <f>IFERROR(__xludf.DUMMYFUNCTION("""COMPUTED_VALUE"""),"Secure and intact")</f>
        <v>Secure and intact</v>
      </c>
      <c r="L230" s="18">
        <f>iferror(VLOOKUP($D230,Details!$A$2:$C$11,2,false),vlookup($D230,Details!$E$2:$G$11,2,false))</f>
        <v>180</v>
      </c>
      <c r="M230" s="18" t="str">
        <f>iferror(VLOOKUP($D230,Details!$A$2:$C$11,3,false),vlookup($D230,Details!$E$2:$G$11,3,false))</f>
        <v>Fruits and Vegetables</v>
      </c>
      <c r="N230" s="18">
        <f t="shared" si="1"/>
        <v>360</v>
      </c>
      <c r="O230" s="17"/>
      <c r="P230" s="17"/>
      <c r="Q230" s="17"/>
      <c r="R230" s="17"/>
      <c r="S230" s="17"/>
      <c r="T230" s="17"/>
      <c r="U230" s="17"/>
      <c r="V230" s="17"/>
      <c r="W230" s="17"/>
      <c r="X230" s="17"/>
      <c r="Y230" s="17"/>
      <c r="Z230" s="17"/>
    </row>
    <row r="231">
      <c r="A231" s="18" t="str">
        <f>IFERROR(__xludf.DUMMYFUNCTION("""COMPUTED_VALUE"""),"ord_10230")</f>
        <v>ord_10230</v>
      </c>
      <c r="B231" s="18" t="str">
        <f>IFERROR(__xludf.DUMMYFUNCTION("""COMPUTED_VALUE"""),"Sakshi Tandon")</f>
        <v>Sakshi Tandon</v>
      </c>
      <c r="C231" s="18" t="str">
        <f>IFERROR(__xludf.DUMMYFUNCTION("""COMPUTED_VALUE"""),"Colaba")</f>
        <v>Colaba</v>
      </c>
      <c r="D231" s="18" t="str">
        <f>IFERROR(__xludf.DUMMYFUNCTION("""COMPUTED_VALUE"""),"Potato")</f>
        <v>Potato</v>
      </c>
      <c r="E231" s="18">
        <f>IFERROR(__xludf.DUMMYFUNCTION("""COMPUTED_VALUE"""),2.0)</f>
        <v>2</v>
      </c>
      <c r="F231" s="18" t="str">
        <f>IFERROR(__xludf.DUMMYFUNCTION("""COMPUTED_VALUE"""),"Ram Gopal")</f>
        <v>Ram Gopal</v>
      </c>
      <c r="G231" s="19">
        <f>IFERROR(__xludf.DUMMYFUNCTION("""COMPUTED_VALUE"""),45040.0)</f>
        <v>45040</v>
      </c>
      <c r="H231" s="18" t="str">
        <f>IFERROR(__xludf.DUMMYFUNCTION("""COMPUTED_VALUE"""),"Credit Card")</f>
        <v>Credit Card</v>
      </c>
      <c r="I231" s="18" t="str">
        <f>IFERROR(__xludf.DUMMYFUNCTION("""COMPUTED_VALUE"""),"Delivered")</f>
        <v>Delivered</v>
      </c>
      <c r="J231" s="18" t="str">
        <f>IFERROR(__xludf.DUMMYFUNCTION("""COMPUTED_VALUE"""),"Satisfied with the Delivery")</f>
        <v>Satisfied with the Delivery</v>
      </c>
      <c r="K231" s="18" t="str">
        <f>IFERROR(__xludf.DUMMYFUNCTION("""COMPUTED_VALUE"""),"Timely and quality")</f>
        <v>Timely and quality</v>
      </c>
      <c r="L231" s="18">
        <f>iferror(VLOOKUP($D231,Details!$A$2:$C$11,2,false),vlookup($D231,Details!$E$2:$G$11,2,false))</f>
        <v>55</v>
      </c>
      <c r="M231" s="18" t="str">
        <f>iferror(VLOOKUP($D231,Details!$A$2:$C$11,3,false),vlookup($D231,Details!$E$2:$G$11,3,false))</f>
        <v>Fruits and Vegetables</v>
      </c>
      <c r="N231" s="18">
        <f t="shared" si="1"/>
        <v>110</v>
      </c>
      <c r="O231" s="17"/>
      <c r="P231" s="17"/>
      <c r="Q231" s="17"/>
      <c r="R231" s="17"/>
      <c r="S231" s="17"/>
      <c r="T231" s="17"/>
      <c r="U231" s="17"/>
      <c r="V231" s="17"/>
      <c r="W231" s="17"/>
      <c r="X231" s="17"/>
      <c r="Y231" s="17"/>
      <c r="Z231" s="17"/>
    </row>
    <row r="232">
      <c r="A232" s="18" t="str">
        <f>IFERROR(__xludf.DUMMYFUNCTION("""COMPUTED_VALUE"""),"ord_10231")</f>
        <v>ord_10231</v>
      </c>
      <c r="B232" s="18" t="str">
        <f>IFERROR(__xludf.DUMMYFUNCTION("""COMPUTED_VALUE"""),"Mehul Thakkar")</f>
        <v>Mehul Thakkar</v>
      </c>
      <c r="C232" s="18" t="str">
        <f>IFERROR(__xludf.DUMMYFUNCTION("""COMPUTED_VALUE"""),"Malad")</f>
        <v>Malad</v>
      </c>
      <c r="D232" s="18" t="str">
        <f>IFERROR(__xludf.DUMMYFUNCTION("""COMPUTED_VALUE"""),"Veg Puff")</f>
        <v>Veg Puff</v>
      </c>
      <c r="E232" s="18">
        <f>IFERROR(__xludf.DUMMYFUNCTION("""COMPUTED_VALUE"""),3.0)</f>
        <v>3</v>
      </c>
      <c r="F232" s="18" t="str">
        <f>IFERROR(__xludf.DUMMYFUNCTION("""COMPUTED_VALUE"""),"Nithin Lal")</f>
        <v>Nithin Lal</v>
      </c>
      <c r="G232" s="19">
        <f>IFERROR(__xludf.DUMMYFUNCTION("""COMPUTED_VALUE"""),45280.0)</f>
        <v>45280</v>
      </c>
      <c r="H232" s="18" t="str">
        <f>IFERROR(__xludf.DUMMYFUNCTION("""COMPUTED_VALUE"""),"Online Payment")</f>
        <v>Online Payment</v>
      </c>
      <c r="I232" s="18" t="str">
        <f>IFERROR(__xludf.DUMMYFUNCTION("""COMPUTED_VALUE"""),"Delivered")</f>
        <v>Delivered</v>
      </c>
      <c r="J232" s="18" t="str">
        <f>IFERROR(__xludf.DUMMYFUNCTION("""COMPUTED_VALUE"""),"Customer Service")</f>
        <v>Customer Service</v>
      </c>
      <c r="K232" s="18" t="str">
        <f>IFERROR(__xludf.DUMMYFUNCTION("""COMPUTED_VALUE"""),"Seamless and easy")</f>
        <v>Seamless and easy</v>
      </c>
      <c r="L232" s="18">
        <f>iferror(VLOOKUP($D232,Details!$A$2:$C$11,2,false),vlookup($D232,Details!$E$2:$G$11,2,false))</f>
        <v>80</v>
      </c>
      <c r="M232" s="18" t="str">
        <f>iferror(VLOOKUP($D232,Details!$A$2:$C$11,3,false),vlookup($D232,Details!$E$2:$G$11,3,false))</f>
        <v>Snacks and Drinks</v>
      </c>
      <c r="N232" s="18">
        <f t="shared" si="1"/>
        <v>240</v>
      </c>
      <c r="O232" s="17"/>
      <c r="P232" s="17"/>
      <c r="Q232" s="17"/>
      <c r="R232" s="17"/>
      <c r="S232" s="17"/>
      <c r="T232" s="17"/>
      <c r="U232" s="17"/>
      <c r="V232" s="17"/>
      <c r="W232" s="17"/>
      <c r="X232" s="17"/>
      <c r="Y232" s="17"/>
      <c r="Z232" s="17"/>
    </row>
    <row r="233">
      <c r="A233" s="18" t="str">
        <f>IFERROR(__xludf.DUMMYFUNCTION("""COMPUTED_VALUE"""),"ord_10232")</f>
        <v>ord_10232</v>
      </c>
      <c r="B233" s="18" t="str">
        <f>IFERROR(__xludf.DUMMYFUNCTION("""COMPUTED_VALUE"""),"Pallavi Ghosh")</f>
        <v>Pallavi Ghosh</v>
      </c>
      <c r="C233" s="18" t="str">
        <f>IFERROR(__xludf.DUMMYFUNCTION("""COMPUTED_VALUE"""),"Bandra")</f>
        <v>Bandra</v>
      </c>
      <c r="D233" s="18" t="str">
        <f>IFERROR(__xludf.DUMMYFUNCTION("""COMPUTED_VALUE"""),"Papaya")</f>
        <v>Papaya</v>
      </c>
      <c r="E233" s="18">
        <f>IFERROR(__xludf.DUMMYFUNCTION("""COMPUTED_VALUE"""),1.0)</f>
        <v>1</v>
      </c>
      <c r="F233" s="18" t="str">
        <f>IFERROR(__xludf.DUMMYFUNCTION("""COMPUTED_VALUE"""),"Priya Joshi")</f>
        <v>Priya Joshi</v>
      </c>
      <c r="G233" s="19">
        <f>IFERROR(__xludf.DUMMYFUNCTION("""COMPUTED_VALUE"""),45242.0)</f>
        <v>45242</v>
      </c>
      <c r="H233" s="18" t="str">
        <f>IFERROR(__xludf.DUMMYFUNCTION("""COMPUTED_VALUE"""),"Credit Card")</f>
        <v>Credit Card</v>
      </c>
      <c r="I233" s="18" t="str">
        <f>IFERROR(__xludf.DUMMYFUNCTION("""COMPUTED_VALUE"""),"Delivered")</f>
        <v>Delivered</v>
      </c>
      <c r="J233" s="18" t="str">
        <f>IFERROR(__xludf.DUMMYFUNCTION("""COMPUTED_VALUE"""),"Customer Service")</f>
        <v>Customer Service</v>
      </c>
      <c r="K233" s="18" t="str">
        <f>IFERROR(__xludf.DUMMYFUNCTION("""COMPUTED_VALUE"""),"Seamless and easy")</f>
        <v>Seamless and easy</v>
      </c>
      <c r="L233" s="18">
        <f>iferror(VLOOKUP($D233,Details!$A$2:$C$11,2,false),vlookup($D233,Details!$E$2:$G$11,2,false))</f>
        <v>75</v>
      </c>
      <c r="M233" s="18" t="str">
        <f>iferror(VLOOKUP($D233,Details!$A$2:$C$11,3,false),vlookup($D233,Details!$E$2:$G$11,3,false))</f>
        <v>Fruits and Vegetables</v>
      </c>
      <c r="N233" s="18">
        <f t="shared" si="1"/>
        <v>75</v>
      </c>
      <c r="O233" s="17"/>
      <c r="P233" s="17"/>
      <c r="Q233" s="17"/>
      <c r="R233" s="17"/>
      <c r="S233" s="17"/>
      <c r="T233" s="17"/>
      <c r="U233" s="17"/>
      <c r="V233" s="17"/>
      <c r="W233" s="17"/>
      <c r="X233" s="17"/>
      <c r="Y233" s="17"/>
      <c r="Z233" s="17"/>
    </row>
    <row r="234">
      <c r="A234" s="18" t="str">
        <f>IFERROR(__xludf.DUMMYFUNCTION("""COMPUTED_VALUE"""),"ord_10233")</f>
        <v>ord_10233</v>
      </c>
      <c r="B234" s="18" t="str">
        <f>IFERROR(__xludf.DUMMYFUNCTION("""COMPUTED_VALUE"""),"Aditi Iyer")</f>
        <v>Aditi Iyer</v>
      </c>
      <c r="C234" s="18" t="str">
        <f>IFERROR(__xludf.DUMMYFUNCTION("""COMPUTED_VALUE"""),"Dadar")</f>
        <v>Dadar</v>
      </c>
      <c r="D234" s="18" t="str">
        <f>IFERROR(__xludf.DUMMYFUNCTION("""COMPUTED_VALUE"""),"Potato")</f>
        <v>Potato</v>
      </c>
      <c r="E234" s="18">
        <f>IFERROR(__xludf.DUMMYFUNCTION("""COMPUTED_VALUE"""),2.0)</f>
        <v>2</v>
      </c>
      <c r="F234" s="18" t="str">
        <f>IFERROR(__xludf.DUMMYFUNCTION("""COMPUTED_VALUE"""),"Vivek Kumar")</f>
        <v>Vivek Kumar</v>
      </c>
      <c r="G234" s="19">
        <f>IFERROR(__xludf.DUMMYFUNCTION("""COMPUTED_VALUE"""),45237.0)</f>
        <v>45237</v>
      </c>
      <c r="H234" s="18" t="str">
        <f>IFERROR(__xludf.DUMMYFUNCTION("""COMPUTED_VALUE"""),"UPI")</f>
        <v>UPI</v>
      </c>
      <c r="I234" s="18" t="str">
        <f>IFERROR(__xludf.DUMMYFUNCTION("""COMPUTED_VALUE"""),"Delivered")</f>
        <v>Delivered</v>
      </c>
      <c r="J234" s="18" t="str">
        <f>IFERROR(__xludf.DUMMYFUNCTION("""COMPUTED_VALUE"""),"Delivery Experience")</f>
        <v>Delivery Experience</v>
      </c>
      <c r="K234" s="18" t="str">
        <f>IFERROR(__xludf.DUMMYFUNCTION("""COMPUTED_VALUE"""),"Quick and professional")</f>
        <v>Quick and professional</v>
      </c>
      <c r="L234" s="18">
        <f>iferror(VLOOKUP($D234,Details!$A$2:$C$11,2,false),vlookup($D234,Details!$E$2:$G$11,2,false))</f>
        <v>55</v>
      </c>
      <c r="M234" s="18" t="str">
        <f>iferror(VLOOKUP($D234,Details!$A$2:$C$11,3,false),vlookup($D234,Details!$E$2:$G$11,3,false))</f>
        <v>Fruits and Vegetables</v>
      </c>
      <c r="N234" s="18">
        <f t="shared" si="1"/>
        <v>110</v>
      </c>
      <c r="O234" s="17"/>
      <c r="P234" s="17"/>
      <c r="Q234" s="17"/>
      <c r="R234" s="17"/>
      <c r="S234" s="17"/>
      <c r="T234" s="17"/>
      <c r="U234" s="17"/>
      <c r="V234" s="17"/>
      <c r="W234" s="17"/>
      <c r="X234" s="17"/>
      <c r="Y234" s="17"/>
      <c r="Z234" s="17"/>
    </row>
    <row r="235">
      <c r="A235" s="18" t="str">
        <f>IFERROR(__xludf.DUMMYFUNCTION("""COMPUTED_VALUE"""),"ord_10234")</f>
        <v>ord_10234</v>
      </c>
      <c r="B235" s="18" t="str">
        <f>IFERROR(__xludf.DUMMYFUNCTION("""COMPUTED_VALUE"""),"Arvind Kulkarni")</f>
        <v>Arvind Kulkarni</v>
      </c>
      <c r="C235" s="18" t="str">
        <f>IFERROR(__xludf.DUMMYFUNCTION("""COMPUTED_VALUE"""),"Juhu")</f>
        <v>Juhu</v>
      </c>
      <c r="D235" s="18" t="str">
        <f>IFERROR(__xludf.DUMMYFUNCTION("""COMPUTED_VALUE"""),"Papaya")</f>
        <v>Papaya</v>
      </c>
      <c r="E235" s="18">
        <f>IFERROR(__xludf.DUMMYFUNCTION("""COMPUTED_VALUE"""),2.0)</f>
        <v>2</v>
      </c>
      <c r="F235" s="18" t="str">
        <f>IFERROR(__xludf.DUMMYFUNCTION("""COMPUTED_VALUE"""),"Tanvi Jain")</f>
        <v>Tanvi Jain</v>
      </c>
      <c r="G235" s="19">
        <f>IFERROR(__xludf.DUMMYFUNCTION("""COMPUTED_VALUE"""),45005.0)</f>
        <v>45005</v>
      </c>
      <c r="H235" s="18" t="str">
        <f>IFERROR(__xludf.DUMMYFUNCTION("""COMPUTED_VALUE"""),"UPI")</f>
        <v>UPI</v>
      </c>
      <c r="I235" s="18" t="str">
        <f>IFERROR(__xludf.DUMMYFUNCTION("""COMPUTED_VALUE"""),"Cancelled")</f>
        <v>Cancelled</v>
      </c>
      <c r="J235" s="18" t="str">
        <f>IFERROR(__xludf.DUMMYFUNCTION("""COMPUTED_VALUE"""),"Delayed Delivery")</f>
        <v>Delayed Delivery</v>
      </c>
      <c r="K235" s="18" t="str">
        <f>IFERROR(__xludf.DUMMYFUNCTION("""COMPUTED_VALUE"""),"Heavy Traffic")</f>
        <v>Heavy Traffic</v>
      </c>
      <c r="L235" s="18">
        <f>iferror(VLOOKUP($D235,Details!$A$2:$C$11,2,false),vlookup($D235,Details!$E$2:$G$11,2,false))</f>
        <v>75</v>
      </c>
      <c r="M235" s="18" t="str">
        <f>iferror(VLOOKUP($D235,Details!$A$2:$C$11,3,false),vlookup($D235,Details!$E$2:$G$11,3,false))</f>
        <v>Fruits and Vegetables</v>
      </c>
      <c r="N235" s="18">
        <f t="shared" si="1"/>
        <v>150</v>
      </c>
      <c r="O235" s="17"/>
      <c r="P235" s="17"/>
      <c r="Q235" s="17"/>
      <c r="R235" s="17"/>
      <c r="S235" s="17"/>
      <c r="T235" s="17"/>
      <c r="U235" s="17"/>
      <c r="V235" s="17"/>
      <c r="W235" s="17"/>
      <c r="X235" s="17"/>
      <c r="Y235" s="17"/>
      <c r="Z235" s="17"/>
    </row>
    <row r="236">
      <c r="A236" s="18" t="str">
        <f>IFERROR(__xludf.DUMMYFUNCTION("""COMPUTED_VALUE"""),"ord_10235")</f>
        <v>ord_10235</v>
      </c>
      <c r="B236" s="18" t="str">
        <f>IFERROR(__xludf.DUMMYFUNCTION("""COMPUTED_VALUE"""),"Mohit Malhotra")</f>
        <v>Mohit Malhotra</v>
      </c>
      <c r="C236" s="18" t="str">
        <f>IFERROR(__xludf.DUMMYFUNCTION("""COMPUTED_VALUE"""),"Lower Parel")</f>
        <v>Lower Parel</v>
      </c>
      <c r="D236" s="18" t="str">
        <f>IFERROR(__xludf.DUMMYFUNCTION("""COMPUTED_VALUE"""),"Orange")</f>
        <v>Orange</v>
      </c>
      <c r="E236" s="18">
        <f>IFERROR(__xludf.DUMMYFUNCTION("""COMPUTED_VALUE"""),2.0)</f>
        <v>2</v>
      </c>
      <c r="F236" s="18" t="str">
        <f>IFERROR(__xludf.DUMMYFUNCTION("""COMPUTED_VALUE"""),"Kiran Mehta")</f>
        <v>Kiran Mehta</v>
      </c>
      <c r="G236" s="19">
        <f>IFERROR(__xludf.DUMMYFUNCTION("""COMPUTED_VALUE"""),45164.0)</f>
        <v>45164</v>
      </c>
      <c r="H236" s="18" t="str">
        <f>IFERROR(__xludf.DUMMYFUNCTION("""COMPUTED_VALUE"""),"Credit Card")</f>
        <v>Credit Card</v>
      </c>
      <c r="I236" s="18" t="str">
        <f>IFERROR(__xludf.DUMMYFUNCTION("""COMPUTED_VALUE"""),"Delivered")</f>
        <v>Delivered</v>
      </c>
      <c r="J236" s="18" t="str">
        <f>IFERROR(__xludf.DUMMYFUNCTION("""COMPUTED_VALUE"""),"Convenience")</f>
        <v>Convenience</v>
      </c>
      <c r="K236" s="18" t="str">
        <f>IFERROR(__xludf.DUMMYFUNCTION("""COMPUTED_VALUE"""),"Easy tracking")</f>
        <v>Easy tracking</v>
      </c>
      <c r="L236" s="18">
        <f>iferror(VLOOKUP($D236,Details!$A$2:$C$11,2,false),vlookup($D236,Details!$E$2:$G$11,2,false))</f>
        <v>180</v>
      </c>
      <c r="M236" s="18" t="str">
        <f>iferror(VLOOKUP($D236,Details!$A$2:$C$11,3,false),vlookup($D236,Details!$E$2:$G$11,3,false))</f>
        <v>Fruits and Vegetables</v>
      </c>
      <c r="N236" s="18">
        <f t="shared" si="1"/>
        <v>360</v>
      </c>
      <c r="O236" s="17"/>
      <c r="P236" s="17"/>
      <c r="Q236" s="17"/>
      <c r="R236" s="17"/>
      <c r="S236" s="17"/>
      <c r="T236" s="17"/>
      <c r="U236" s="17"/>
      <c r="V236" s="17"/>
      <c r="W236" s="17"/>
      <c r="X236" s="17"/>
      <c r="Y236" s="17"/>
      <c r="Z236" s="17"/>
    </row>
    <row r="237">
      <c r="A237" s="18" t="str">
        <f>IFERROR(__xludf.DUMMYFUNCTION("""COMPUTED_VALUE"""),"ord_10236")</f>
        <v>ord_10236</v>
      </c>
      <c r="B237" s="18" t="str">
        <f>IFERROR(__xludf.DUMMYFUNCTION("""COMPUTED_VALUE"""),"Sakshi Tandon")</f>
        <v>Sakshi Tandon</v>
      </c>
      <c r="C237" s="18" t="str">
        <f>IFERROR(__xludf.DUMMYFUNCTION("""COMPUTED_VALUE"""),"Colaba")</f>
        <v>Colaba</v>
      </c>
      <c r="D237" s="18" t="str">
        <f>IFERROR(__xludf.DUMMYFUNCTION("""COMPUTED_VALUE"""),"Icecream")</f>
        <v>Icecream</v>
      </c>
      <c r="E237" s="18">
        <f>IFERROR(__xludf.DUMMYFUNCTION("""COMPUTED_VALUE"""),5.0)</f>
        <v>5</v>
      </c>
      <c r="F237" s="18" t="str">
        <f>IFERROR(__xludf.DUMMYFUNCTION("""COMPUTED_VALUE"""),"Nikhil Deshmukh")</f>
        <v>Nikhil Deshmukh</v>
      </c>
      <c r="G237" s="19">
        <f>IFERROR(__xludf.DUMMYFUNCTION("""COMPUTED_VALUE"""),45187.0)</f>
        <v>45187</v>
      </c>
      <c r="H237" s="18" t="str">
        <f>IFERROR(__xludf.DUMMYFUNCTION("""COMPUTED_VALUE"""),"UPI")</f>
        <v>UPI</v>
      </c>
      <c r="I237" s="18" t="str">
        <f>IFERROR(__xludf.DUMMYFUNCTION("""COMPUTED_VALUE"""),"Delivered")</f>
        <v>Delivered</v>
      </c>
      <c r="J237" s="18" t="str">
        <f>IFERROR(__xludf.DUMMYFUNCTION("""COMPUTED_VALUE"""),"Overall Satisfaction")</f>
        <v>Overall Satisfaction</v>
      </c>
      <c r="K237" s="18" t="str">
        <f>IFERROR(__xludf.DUMMYFUNCTION("""COMPUTED_VALUE"""),"Great service will order again")</f>
        <v>Great service will order again</v>
      </c>
      <c r="L237" s="18">
        <f>iferror(VLOOKUP($D237,Details!$A$2:$C$11,2,false),vlookup($D237,Details!$E$2:$G$11,2,false))</f>
        <v>90</v>
      </c>
      <c r="M237" s="18" t="str">
        <f>iferror(VLOOKUP($D237,Details!$A$2:$C$11,3,false),vlookup($D237,Details!$E$2:$G$11,3,false))</f>
        <v>Snacks and Drinks</v>
      </c>
      <c r="N237" s="18">
        <f t="shared" si="1"/>
        <v>450</v>
      </c>
      <c r="O237" s="17"/>
      <c r="P237" s="17"/>
      <c r="Q237" s="17"/>
      <c r="R237" s="17"/>
      <c r="S237" s="17"/>
      <c r="T237" s="17"/>
      <c r="U237" s="17"/>
      <c r="V237" s="17"/>
      <c r="W237" s="17"/>
      <c r="X237" s="17"/>
      <c r="Y237" s="17"/>
      <c r="Z237" s="17"/>
    </row>
    <row r="238">
      <c r="A238" s="18" t="str">
        <f>IFERROR(__xludf.DUMMYFUNCTION("""COMPUTED_VALUE"""),"ord_10237")</f>
        <v>ord_10237</v>
      </c>
      <c r="B238" s="18" t="str">
        <f>IFERROR(__xludf.DUMMYFUNCTION("""COMPUTED_VALUE"""),"Aarohi Kapoor")</f>
        <v>Aarohi Kapoor</v>
      </c>
      <c r="C238" s="18" t="str">
        <f>IFERROR(__xludf.DUMMYFUNCTION("""COMPUTED_VALUE"""),"Bandra")</f>
        <v>Bandra</v>
      </c>
      <c r="D238" s="18" t="str">
        <f>IFERROR(__xludf.DUMMYFUNCTION("""COMPUTED_VALUE"""),"Chilli Cheese Toast")</f>
        <v>Chilli Cheese Toast</v>
      </c>
      <c r="E238" s="18">
        <f>IFERROR(__xludf.DUMMYFUNCTION("""COMPUTED_VALUE"""),1.0)</f>
        <v>1</v>
      </c>
      <c r="F238" s="18" t="str">
        <f>IFERROR(__xludf.DUMMYFUNCTION("""COMPUTED_VALUE"""),"Nithin Lal")</f>
        <v>Nithin Lal</v>
      </c>
      <c r="G238" s="19">
        <f>IFERROR(__xludf.DUMMYFUNCTION("""COMPUTED_VALUE"""),45033.0)</f>
        <v>45033</v>
      </c>
      <c r="H238" s="18" t="str">
        <f>IFERROR(__xludf.DUMMYFUNCTION("""COMPUTED_VALUE"""),"COD")</f>
        <v>COD</v>
      </c>
      <c r="I238" s="18" t="str">
        <f>IFERROR(__xludf.DUMMYFUNCTION("""COMPUTED_VALUE"""),"Delivered")</f>
        <v>Delivered</v>
      </c>
      <c r="J238" s="18" t="str">
        <f>IFERROR(__xludf.DUMMYFUNCTION("""COMPUTED_VALUE"""),"On-time Delivery")</f>
        <v>On-time Delivery</v>
      </c>
      <c r="K238" s="18" t="str">
        <f>IFERROR(__xludf.DUMMYFUNCTION("""COMPUTED_VALUE"""),"Delivered on time")</f>
        <v>Delivered on time</v>
      </c>
      <c r="L238" s="18">
        <f>iferror(VLOOKUP($D238,Details!$A$2:$C$11,2,false),vlookup($D238,Details!$E$2:$G$11,2,false))</f>
        <v>80</v>
      </c>
      <c r="M238" s="18" t="str">
        <f>iferror(VLOOKUP($D238,Details!$A$2:$C$11,3,false),vlookup($D238,Details!$E$2:$G$11,3,false))</f>
        <v>Snacks and Drinks</v>
      </c>
      <c r="N238" s="18">
        <f t="shared" si="1"/>
        <v>80</v>
      </c>
      <c r="O238" s="17"/>
      <c r="P238" s="17"/>
      <c r="Q238" s="17"/>
      <c r="R238" s="17"/>
      <c r="S238" s="17"/>
      <c r="T238" s="17"/>
      <c r="U238" s="17"/>
      <c r="V238" s="17"/>
      <c r="W238" s="17"/>
      <c r="X238" s="17"/>
      <c r="Y238" s="17"/>
      <c r="Z238" s="17"/>
    </row>
    <row r="239">
      <c r="A239" s="18" t="str">
        <f>IFERROR(__xludf.DUMMYFUNCTION("""COMPUTED_VALUE"""),"ord_10238")</f>
        <v>ord_10238</v>
      </c>
      <c r="B239" s="18" t="str">
        <f>IFERROR(__xludf.DUMMYFUNCTION("""COMPUTED_VALUE"""),"Omkar Mishra")</f>
        <v>Omkar Mishra</v>
      </c>
      <c r="C239" s="18" t="str">
        <f>IFERROR(__xludf.DUMMYFUNCTION("""COMPUTED_VALUE"""),"Powai")</f>
        <v>Powai</v>
      </c>
      <c r="D239" s="18" t="str">
        <f>IFERROR(__xludf.DUMMYFUNCTION("""COMPUTED_VALUE"""),"Cold Coffee")</f>
        <v>Cold Coffee</v>
      </c>
      <c r="E239" s="18">
        <f>IFERROR(__xludf.DUMMYFUNCTION("""COMPUTED_VALUE"""),4.0)</f>
        <v>4</v>
      </c>
      <c r="F239" s="18" t="str">
        <f>IFERROR(__xludf.DUMMYFUNCTION("""COMPUTED_VALUE"""),"Vivek Kumar")</f>
        <v>Vivek Kumar</v>
      </c>
      <c r="G239" s="19">
        <f>IFERROR(__xludf.DUMMYFUNCTION("""COMPUTED_VALUE"""),45171.0)</f>
        <v>45171</v>
      </c>
      <c r="H239" s="18" t="str">
        <f>IFERROR(__xludf.DUMMYFUNCTION("""COMPUTED_VALUE"""),"UPI")</f>
        <v>UPI</v>
      </c>
      <c r="I239" s="18" t="str">
        <f>IFERROR(__xludf.DUMMYFUNCTION("""COMPUTED_VALUE"""),"Delivered")</f>
        <v>Delivered</v>
      </c>
      <c r="J239" s="18" t="str">
        <f>IFERROR(__xludf.DUMMYFUNCTION("""COMPUTED_VALUE"""),"Quality of Items")</f>
        <v>Quality of Items</v>
      </c>
      <c r="K239" s="18" t="str">
        <f>IFERROR(__xludf.DUMMYFUNCTION("""COMPUTED_VALUE"""),"Perfect condition")</f>
        <v>Perfect condition</v>
      </c>
      <c r="L239" s="18">
        <f>iferror(VLOOKUP($D239,Details!$A$2:$C$11,2,false),vlookup($D239,Details!$E$2:$G$11,2,false))</f>
        <v>270</v>
      </c>
      <c r="M239" s="18" t="str">
        <f>iferror(VLOOKUP($D239,Details!$A$2:$C$11,3,false),vlookup($D239,Details!$E$2:$G$11,3,false))</f>
        <v>Snacks and Drinks</v>
      </c>
      <c r="N239" s="18">
        <f t="shared" si="1"/>
        <v>1080</v>
      </c>
      <c r="O239" s="17"/>
      <c r="P239" s="17"/>
      <c r="Q239" s="17"/>
      <c r="R239" s="17"/>
      <c r="S239" s="17"/>
      <c r="T239" s="17"/>
      <c r="U239" s="17"/>
      <c r="V239" s="17"/>
      <c r="W239" s="17"/>
      <c r="X239" s="17"/>
      <c r="Y239" s="17"/>
      <c r="Z239" s="17"/>
    </row>
    <row r="240">
      <c r="A240" s="18" t="str">
        <f>IFERROR(__xludf.DUMMYFUNCTION("""COMPUTED_VALUE"""),"ord_10239")</f>
        <v>ord_10239</v>
      </c>
      <c r="B240" s="18" t="str">
        <f>IFERROR(__xludf.DUMMYFUNCTION("""COMPUTED_VALUE"""),"Ishita Banerjee")</f>
        <v>Ishita Banerjee</v>
      </c>
      <c r="C240" s="18" t="str">
        <f>IFERROR(__xludf.DUMMYFUNCTION("""COMPUTED_VALUE"""),"Juhu")</f>
        <v>Juhu</v>
      </c>
      <c r="D240" s="18" t="str">
        <f>IFERROR(__xludf.DUMMYFUNCTION("""COMPUTED_VALUE"""),"Cucumber")</f>
        <v>Cucumber</v>
      </c>
      <c r="E240" s="18">
        <f>IFERROR(__xludf.DUMMYFUNCTION("""COMPUTED_VALUE"""),2.0)</f>
        <v>2</v>
      </c>
      <c r="F240" s="18" t="str">
        <f>IFERROR(__xludf.DUMMYFUNCTION("""COMPUTED_VALUE"""),"Venu R")</f>
        <v>Venu R</v>
      </c>
      <c r="G240" s="19">
        <f>IFERROR(__xludf.DUMMYFUNCTION("""COMPUTED_VALUE"""),45086.0)</f>
        <v>45086</v>
      </c>
      <c r="H240" s="18" t="str">
        <f>IFERROR(__xludf.DUMMYFUNCTION("""COMPUTED_VALUE"""),"UPI")</f>
        <v>UPI</v>
      </c>
      <c r="I240" s="18" t="str">
        <f>IFERROR(__xludf.DUMMYFUNCTION("""COMPUTED_VALUE"""),"Cancelled")</f>
        <v>Cancelled</v>
      </c>
      <c r="J240" s="18" t="str">
        <f>IFERROR(__xludf.DUMMYFUNCTION("""COMPUTED_VALUE"""),"Delayed Delivery")</f>
        <v>Delayed Delivery</v>
      </c>
      <c r="K240" s="18" t="str">
        <f>IFERROR(__xludf.DUMMYFUNCTION("""COMPUTED_VALUE"""),"High Order Volume")</f>
        <v>High Order Volume</v>
      </c>
      <c r="L240" s="18">
        <f>iferror(VLOOKUP($D240,Details!$A$2:$C$11,2,false),vlookup($D240,Details!$E$2:$G$11,2,false))</f>
        <v>30</v>
      </c>
      <c r="M240" s="18" t="str">
        <f>iferror(VLOOKUP($D240,Details!$A$2:$C$11,3,false),vlookup($D240,Details!$E$2:$G$11,3,false))</f>
        <v>Fruits and Vegetables</v>
      </c>
      <c r="N240" s="18">
        <f t="shared" si="1"/>
        <v>60</v>
      </c>
      <c r="O240" s="17"/>
      <c r="P240" s="17"/>
      <c r="Q240" s="17"/>
      <c r="R240" s="17"/>
      <c r="S240" s="17"/>
      <c r="T240" s="17"/>
      <c r="U240" s="17"/>
      <c r="V240" s="17"/>
      <c r="W240" s="17"/>
      <c r="X240" s="17"/>
      <c r="Y240" s="17"/>
      <c r="Z240" s="17"/>
    </row>
    <row r="241">
      <c r="A241" s="18" t="str">
        <f>IFERROR(__xludf.DUMMYFUNCTION("""COMPUTED_VALUE"""),"ord_10240")</f>
        <v>ord_10240</v>
      </c>
      <c r="B241" s="18" t="str">
        <f>IFERROR(__xludf.DUMMYFUNCTION("""COMPUTED_VALUE"""),"Pranav Joshi")</f>
        <v>Pranav Joshi</v>
      </c>
      <c r="C241" s="18" t="str">
        <f>IFERROR(__xludf.DUMMYFUNCTION("""COMPUTED_VALUE"""),"Andheri")</f>
        <v>Andheri</v>
      </c>
      <c r="D241" s="18" t="str">
        <f>IFERROR(__xludf.DUMMYFUNCTION("""COMPUTED_VALUE"""),"Guava")</f>
        <v>Guava</v>
      </c>
      <c r="E241" s="18">
        <f>IFERROR(__xludf.DUMMYFUNCTION("""COMPUTED_VALUE"""),1.0)</f>
        <v>1</v>
      </c>
      <c r="F241" s="18" t="str">
        <f>IFERROR(__xludf.DUMMYFUNCTION("""COMPUTED_VALUE"""),"Ramesh S")</f>
        <v>Ramesh S</v>
      </c>
      <c r="G241" s="19">
        <f>IFERROR(__xludf.DUMMYFUNCTION("""COMPUTED_VALUE"""),45245.0)</f>
        <v>45245</v>
      </c>
      <c r="H241" s="18" t="str">
        <f>IFERROR(__xludf.DUMMYFUNCTION("""COMPUTED_VALUE"""),"Credit Card")</f>
        <v>Credit Card</v>
      </c>
      <c r="I241" s="18" t="str">
        <f>IFERROR(__xludf.DUMMYFUNCTION("""COMPUTED_VALUE"""),"Delivered")</f>
        <v>Delivered</v>
      </c>
      <c r="J241" s="18" t="str">
        <f>IFERROR(__xludf.DUMMYFUNCTION("""COMPUTED_VALUE"""),"On-time Delivery")</f>
        <v>On-time Delivery</v>
      </c>
      <c r="K241" s="18" t="str">
        <f>IFERROR(__xludf.DUMMYFUNCTION("""COMPUTED_VALUE"""),"Delivered on time")</f>
        <v>Delivered on time</v>
      </c>
      <c r="L241" s="18">
        <f>iferror(VLOOKUP($D241,Details!$A$2:$C$11,2,false),vlookup($D241,Details!$E$2:$G$11,2,false))</f>
        <v>70</v>
      </c>
      <c r="M241" s="18" t="str">
        <f>iferror(VLOOKUP($D241,Details!$A$2:$C$11,3,false),vlookup($D241,Details!$E$2:$G$11,3,false))</f>
        <v>Fruits and Vegetables</v>
      </c>
      <c r="N241" s="18">
        <f t="shared" si="1"/>
        <v>70</v>
      </c>
      <c r="O241" s="17"/>
      <c r="P241" s="17"/>
      <c r="Q241" s="17"/>
      <c r="R241" s="17"/>
      <c r="S241" s="17"/>
      <c r="T241" s="17"/>
      <c r="U241" s="17"/>
      <c r="V241" s="17"/>
      <c r="W241" s="17"/>
      <c r="X241" s="17"/>
      <c r="Y241" s="17"/>
      <c r="Z241" s="17"/>
    </row>
    <row r="242">
      <c r="A242" s="18" t="str">
        <f>IFERROR(__xludf.DUMMYFUNCTION("""COMPUTED_VALUE"""),"ord_10241")</f>
        <v>ord_10241</v>
      </c>
      <c r="B242" s="18" t="str">
        <f>IFERROR(__xludf.DUMMYFUNCTION("""COMPUTED_VALUE"""),"Parth Goel")</f>
        <v>Parth Goel</v>
      </c>
      <c r="C242" s="18" t="str">
        <f>IFERROR(__xludf.DUMMYFUNCTION("""COMPUTED_VALUE"""),"Juhu")</f>
        <v>Juhu</v>
      </c>
      <c r="D242" s="18" t="str">
        <f>IFERROR(__xludf.DUMMYFUNCTION("""COMPUTED_VALUE"""),"Tomato")</f>
        <v>Tomato</v>
      </c>
      <c r="E242" s="18">
        <f>IFERROR(__xludf.DUMMYFUNCTION("""COMPUTED_VALUE"""),1.0)</f>
        <v>1</v>
      </c>
      <c r="F242" s="18" t="str">
        <f>IFERROR(__xludf.DUMMYFUNCTION("""COMPUTED_VALUE"""),"Sita T")</f>
        <v>Sita T</v>
      </c>
      <c r="G242" s="19">
        <f>IFERROR(__xludf.DUMMYFUNCTION("""COMPUTED_VALUE"""),45012.0)</f>
        <v>45012</v>
      </c>
      <c r="H242" s="18" t="str">
        <f>IFERROR(__xludf.DUMMYFUNCTION("""COMPUTED_VALUE"""),"COD")</f>
        <v>COD</v>
      </c>
      <c r="I242" s="18" t="str">
        <f>IFERROR(__xludf.DUMMYFUNCTION("""COMPUTED_VALUE"""),"Delivered")</f>
        <v>Delivered</v>
      </c>
      <c r="J242" s="18" t="str">
        <f>IFERROR(__xludf.DUMMYFUNCTION("""COMPUTED_VALUE"""),"Quality of Items")</f>
        <v>Quality of Items</v>
      </c>
      <c r="K242" s="18" t="str">
        <f>IFERROR(__xludf.DUMMYFUNCTION("""COMPUTED_VALUE"""),"Perfect condition")</f>
        <v>Perfect condition</v>
      </c>
      <c r="L242" s="18">
        <f>iferror(VLOOKUP($D242,Details!$A$2:$C$11,2,false),vlookup($D242,Details!$E$2:$G$11,2,false))</f>
        <v>25</v>
      </c>
      <c r="M242" s="18" t="str">
        <f>iferror(VLOOKUP($D242,Details!$A$2:$C$11,3,false),vlookup($D242,Details!$E$2:$G$11,3,false))</f>
        <v>Fruits and Vegetables</v>
      </c>
      <c r="N242" s="18">
        <f t="shared" si="1"/>
        <v>25</v>
      </c>
      <c r="O242" s="17"/>
      <c r="P242" s="17"/>
      <c r="Q242" s="17"/>
      <c r="R242" s="17"/>
      <c r="S242" s="17"/>
      <c r="T242" s="17"/>
      <c r="U242" s="17"/>
      <c r="V242" s="17"/>
      <c r="W242" s="17"/>
      <c r="X242" s="17"/>
      <c r="Y242" s="17"/>
      <c r="Z242" s="17"/>
    </row>
    <row r="243">
      <c r="A243" s="18" t="str">
        <f>IFERROR(__xludf.DUMMYFUNCTION("""COMPUTED_VALUE"""),"ord_10242")</f>
        <v>ord_10242</v>
      </c>
      <c r="B243" s="18" t="str">
        <f>IFERROR(__xludf.DUMMYFUNCTION("""COMPUTED_VALUE"""),"Anaya Rao")</f>
        <v>Anaya Rao</v>
      </c>
      <c r="C243" s="18" t="str">
        <f>IFERROR(__xludf.DUMMYFUNCTION("""COMPUTED_VALUE"""),"Colaba")</f>
        <v>Colaba</v>
      </c>
      <c r="D243" s="18" t="str">
        <f>IFERROR(__xludf.DUMMYFUNCTION("""COMPUTED_VALUE"""),"Papaya")</f>
        <v>Papaya</v>
      </c>
      <c r="E243" s="18">
        <f>IFERROR(__xludf.DUMMYFUNCTION("""COMPUTED_VALUE"""),2.0)</f>
        <v>2</v>
      </c>
      <c r="F243" s="18" t="str">
        <f>IFERROR(__xludf.DUMMYFUNCTION("""COMPUTED_VALUE"""),"Ramesh S")</f>
        <v>Ramesh S</v>
      </c>
      <c r="G243" s="19">
        <f>IFERROR(__xludf.DUMMYFUNCTION("""COMPUTED_VALUE"""),45134.0)</f>
        <v>45134</v>
      </c>
      <c r="H243" s="18" t="str">
        <f>IFERROR(__xludf.DUMMYFUNCTION("""COMPUTED_VALUE"""),"Online Payment")</f>
        <v>Online Payment</v>
      </c>
      <c r="I243" s="18" t="str">
        <f>IFERROR(__xludf.DUMMYFUNCTION("""COMPUTED_VALUE"""),"Delivered")</f>
        <v>Delivered</v>
      </c>
      <c r="J243" s="18" t="str">
        <f>IFERROR(__xludf.DUMMYFUNCTION("""COMPUTED_VALUE"""),"Packaging")</f>
        <v>Packaging</v>
      </c>
      <c r="K243" s="18" t="str">
        <f>IFERROR(__xludf.DUMMYFUNCTION("""COMPUTED_VALUE"""),"Secure and intact")</f>
        <v>Secure and intact</v>
      </c>
      <c r="L243" s="18">
        <f>iferror(VLOOKUP($D243,Details!$A$2:$C$11,2,false),vlookup($D243,Details!$E$2:$G$11,2,false))</f>
        <v>75</v>
      </c>
      <c r="M243" s="18" t="str">
        <f>iferror(VLOOKUP($D243,Details!$A$2:$C$11,3,false),vlookup($D243,Details!$E$2:$G$11,3,false))</f>
        <v>Fruits and Vegetables</v>
      </c>
      <c r="N243" s="18">
        <f t="shared" si="1"/>
        <v>150</v>
      </c>
      <c r="O243" s="17"/>
      <c r="P243" s="17"/>
      <c r="Q243" s="17"/>
      <c r="R243" s="17"/>
      <c r="S243" s="17"/>
      <c r="T243" s="17"/>
      <c r="U243" s="17"/>
      <c r="V243" s="17"/>
      <c r="W243" s="17"/>
      <c r="X243" s="17"/>
      <c r="Y243" s="17"/>
      <c r="Z243" s="17"/>
    </row>
    <row r="244">
      <c r="A244" s="18" t="str">
        <f>IFERROR(__xludf.DUMMYFUNCTION("""COMPUTED_VALUE"""),"ord_10243")</f>
        <v>ord_10243</v>
      </c>
      <c r="B244" s="18" t="str">
        <f>IFERROR(__xludf.DUMMYFUNCTION("""COMPUTED_VALUE"""),"Ishita Banerjee")</f>
        <v>Ishita Banerjee</v>
      </c>
      <c r="C244" s="18" t="str">
        <f>IFERROR(__xludf.DUMMYFUNCTION("""COMPUTED_VALUE"""),"Juhu")</f>
        <v>Juhu</v>
      </c>
      <c r="D244" s="18" t="str">
        <f>IFERROR(__xludf.DUMMYFUNCTION("""COMPUTED_VALUE"""),"Onion")</f>
        <v>Onion</v>
      </c>
      <c r="E244" s="18">
        <f>IFERROR(__xludf.DUMMYFUNCTION("""COMPUTED_VALUE"""),2.0)</f>
        <v>2</v>
      </c>
      <c r="F244" s="18" t="str">
        <f>IFERROR(__xludf.DUMMYFUNCTION("""COMPUTED_VALUE"""),"Tanvi Jain")</f>
        <v>Tanvi Jain</v>
      </c>
      <c r="G244" s="19">
        <f>IFERROR(__xludf.DUMMYFUNCTION("""COMPUTED_VALUE"""),45024.0)</f>
        <v>45024</v>
      </c>
      <c r="H244" s="18" t="str">
        <f>IFERROR(__xludf.DUMMYFUNCTION("""COMPUTED_VALUE"""),"Online Payment")</f>
        <v>Online Payment</v>
      </c>
      <c r="I244" s="18" t="str">
        <f>IFERROR(__xludf.DUMMYFUNCTION("""COMPUTED_VALUE"""),"Cancelled")</f>
        <v>Cancelled</v>
      </c>
      <c r="J244" s="18" t="str">
        <f>IFERROR(__xludf.DUMMYFUNCTION("""COMPUTED_VALUE"""),"Delayed Delivery")</f>
        <v>Delayed Delivery</v>
      </c>
      <c r="K244" s="18" t="str">
        <f>IFERROR(__xludf.DUMMYFUNCTION("""COMPUTED_VALUE"""),"Vehicle Breakdown")</f>
        <v>Vehicle Breakdown</v>
      </c>
      <c r="L244" s="18">
        <f>iferror(VLOOKUP($D244,Details!$A$2:$C$11,2,false),vlookup($D244,Details!$E$2:$G$11,2,false))</f>
        <v>84</v>
      </c>
      <c r="M244" s="18" t="str">
        <f>iferror(VLOOKUP($D244,Details!$A$2:$C$11,3,false),vlookup($D244,Details!$E$2:$G$11,3,false))</f>
        <v>Fruits and Vegetables</v>
      </c>
      <c r="N244" s="18">
        <f t="shared" si="1"/>
        <v>168</v>
      </c>
      <c r="O244" s="17"/>
      <c r="P244" s="17"/>
      <c r="Q244" s="17"/>
      <c r="R244" s="17"/>
      <c r="S244" s="17"/>
      <c r="T244" s="17"/>
      <c r="U244" s="17"/>
      <c r="V244" s="17"/>
      <c r="W244" s="17"/>
      <c r="X244" s="17"/>
      <c r="Y244" s="17"/>
      <c r="Z244" s="17"/>
    </row>
    <row r="245">
      <c r="A245" s="18" t="str">
        <f>IFERROR(__xludf.DUMMYFUNCTION("""COMPUTED_VALUE"""),"ord_10244")</f>
        <v>ord_10244</v>
      </c>
      <c r="B245" s="18" t="str">
        <f>IFERROR(__xludf.DUMMYFUNCTION("""COMPUTED_VALUE"""),"Dev Chauhan")</f>
        <v>Dev Chauhan</v>
      </c>
      <c r="C245" s="18" t="str">
        <f>IFERROR(__xludf.DUMMYFUNCTION("""COMPUTED_VALUE"""),"Bandra")</f>
        <v>Bandra</v>
      </c>
      <c r="D245" s="18" t="str">
        <f>IFERROR(__xludf.DUMMYFUNCTION("""COMPUTED_VALUE"""),"Icecream")</f>
        <v>Icecream</v>
      </c>
      <c r="E245" s="18">
        <f>IFERROR(__xludf.DUMMYFUNCTION("""COMPUTED_VALUE"""),4.0)</f>
        <v>4</v>
      </c>
      <c r="F245" s="18" t="str">
        <f>IFERROR(__xludf.DUMMYFUNCTION("""COMPUTED_VALUE"""),"Ramesh S")</f>
        <v>Ramesh S</v>
      </c>
      <c r="G245" s="19">
        <f>IFERROR(__xludf.DUMMYFUNCTION("""COMPUTED_VALUE"""),45256.0)</f>
        <v>45256</v>
      </c>
      <c r="H245" s="18" t="str">
        <f>IFERROR(__xludf.DUMMYFUNCTION("""COMPUTED_VALUE"""),"COD")</f>
        <v>COD</v>
      </c>
      <c r="I245" s="18" t="str">
        <f>IFERROR(__xludf.DUMMYFUNCTION("""COMPUTED_VALUE"""),"Delivered")</f>
        <v>Delivered</v>
      </c>
      <c r="J245" s="18" t="str">
        <f>IFERROR(__xludf.DUMMYFUNCTION("""COMPUTED_VALUE"""),"Satisfied with the Delivery")</f>
        <v>Satisfied with the Delivery</v>
      </c>
      <c r="K245" s="18" t="str">
        <f>IFERROR(__xludf.DUMMYFUNCTION("""COMPUTED_VALUE"""),"Timely and quality")</f>
        <v>Timely and quality</v>
      </c>
      <c r="L245" s="18">
        <f>iferror(VLOOKUP($D245,Details!$A$2:$C$11,2,false),vlookup($D245,Details!$E$2:$G$11,2,false))</f>
        <v>90</v>
      </c>
      <c r="M245" s="18" t="str">
        <f>iferror(VLOOKUP($D245,Details!$A$2:$C$11,3,false),vlookup($D245,Details!$E$2:$G$11,3,false))</f>
        <v>Snacks and Drinks</v>
      </c>
      <c r="N245" s="18">
        <f t="shared" si="1"/>
        <v>360</v>
      </c>
      <c r="O245" s="17"/>
      <c r="P245" s="17"/>
      <c r="Q245" s="17"/>
      <c r="R245" s="17"/>
      <c r="S245" s="17"/>
      <c r="T245" s="17"/>
      <c r="U245" s="17"/>
      <c r="V245" s="17"/>
      <c r="W245" s="17"/>
      <c r="X245" s="17"/>
      <c r="Y245" s="17"/>
      <c r="Z245" s="17"/>
    </row>
    <row r="246">
      <c r="A246" s="18" t="str">
        <f>IFERROR(__xludf.DUMMYFUNCTION("""COMPUTED_VALUE"""),"ord_10245")</f>
        <v>ord_10245</v>
      </c>
      <c r="B246" s="18" t="str">
        <f>IFERROR(__xludf.DUMMYFUNCTION("""COMPUTED_VALUE"""),"Parth Goel")</f>
        <v>Parth Goel</v>
      </c>
      <c r="C246" s="18" t="str">
        <f>IFERROR(__xludf.DUMMYFUNCTION("""COMPUTED_VALUE"""),"Juhu")</f>
        <v>Juhu</v>
      </c>
      <c r="D246" s="18" t="str">
        <f>IFERROR(__xludf.DUMMYFUNCTION("""COMPUTED_VALUE"""),"Chicken Puff")</f>
        <v>Chicken Puff</v>
      </c>
      <c r="E246" s="18">
        <f>IFERROR(__xludf.DUMMYFUNCTION("""COMPUTED_VALUE"""),4.0)</f>
        <v>4</v>
      </c>
      <c r="F246" s="18" t="str">
        <f>IFERROR(__xludf.DUMMYFUNCTION("""COMPUTED_VALUE"""),"Tanvi Jain")</f>
        <v>Tanvi Jain</v>
      </c>
      <c r="G246" s="19">
        <f>IFERROR(__xludf.DUMMYFUNCTION("""COMPUTED_VALUE"""),45241.0)</f>
        <v>45241</v>
      </c>
      <c r="H246" s="18" t="str">
        <f>IFERROR(__xludf.DUMMYFUNCTION("""COMPUTED_VALUE"""),"COD")</f>
        <v>COD</v>
      </c>
      <c r="I246" s="18" t="str">
        <f>IFERROR(__xludf.DUMMYFUNCTION("""COMPUTED_VALUE"""),"Delivered")</f>
        <v>Delivered</v>
      </c>
      <c r="J246" s="18" t="str">
        <f>IFERROR(__xludf.DUMMYFUNCTION("""COMPUTED_VALUE"""),"Customer Service")</f>
        <v>Customer Service</v>
      </c>
      <c r="K246" s="18" t="str">
        <f>IFERROR(__xludf.DUMMYFUNCTION("""COMPUTED_VALUE"""),"Seamless and easy")</f>
        <v>Seamless and easy</v>
      </c>
      <c r="L246" s="18">
        <f>iferror(VLOOKUP($D246,Details!$A$2:$C$11,2,false),vlookup($D246,Details!$E$2:$G$11,2,false))</f>
        <v>90</v>
      </c>
      <c r="M246" s="18" t="str">
        <f>iferror(VLOOKUP($D246,Details!$A$2:$C$11,3,false),vlookup($D246,Details!$E$2:$G$11,3,false))</f>
        <v>Snacks and Drinks</v>
      </c>
      <c r="N246" s="18">
        <f t="shared" si="1"/>
        <v>360</v>
      </c>
      <c r="O246" s="17"/>
      <c r="P246" s="17"/>
      <c r="Q246" s="17"/>
      <c r="R246" s="17"/>
      <c r="S246" s="17"/>
      <c r="T246" s="17"/>
      <c r="U246" s="17"/>
      <c r="V246" s="17"/>
      <c r="W246" s="17"/>
      <c r="X246" s="17"/>
      <c r="Y246" s="17"/>
      <c r="Z246" s="17"/>
    </row>
    <row r="247">
      <c r="A247" s="18" t="str">
        <f>IFERROR(__xludf.DUMMYFUNCTION("""COMPUTED_VALUE"""),"ord_10246")</f>
        <v>ord_10246</v>
      </c>
      <c r="B247" s="18" t="str">
        <f>IFERROR(__xludf.DUMMYFUNCTION("""COMPUTED_VALUE"""),"Tanishq Bansal")</f>
        <v>Tanishq Bansal</v>
      </c>
      <c r="C247" s="18" t="str">
        <f>IFERROR(__xludf.DUMMYFUNCTION("""COMPUTED_VALUE"""),"Powai")</f>
        <v>Powai</v>
      </c>
      <c r="D247" s="18" t="str">
        <f>IFERROR(__xludf.DUMMYFUNCTION("""COMPUTED_VALUE"""),"Onion")</f>
        <v>Onion</v>
      </c>
      <c r="E247" s="18">
        <f>IFERROR(__xludf.DUMMYFUNCTION("""COMPUTED_VALUE"""),1.0)</f>
        <v>1</v>
      </c>
      <c r="F247" s="18" t="str">
        <f>IFERROR(__xludf.DUMMYFUNCTION("""COMPUTED_VALUE"""),"Ramesh S")</f>
        <v>Ramesh S</v>
      </c>
      <c r="G247" s="19">
        <f>IFERROR(__xludf.DUMMYFUNCTION("""COMPUTED_VALUE"""),45255.0)</f>
        <v>45255</v>
      </c>
      <c r="H247" s="18" t="str">
        <f>IFERROR(__xludf.DUMMYFUNCTION("""COMPUTED_VALUE"""),"Online Payment")</f>
        <v>Online Payment</v>
      </c>
      <c r="I247" s="18" t="str">
        <f>IFERROR(__xludf.DUMMYFUNCTION("""COMPUTED_VALUE"""),"Delivered")</f>
        <v>Delivered</v>
      </c>
      <c r="J247" s="18" t="str">
        <f>IFERROR(__xludf.DUMMYFUNCTION("""COMPUTED_VALUE"""),"Delivery Experience")</f>
        <v>Delivery Experience</v>
      </c>
      <c r="K247" s="18" t="str">
        <f>IFERROR(__xludf.DUMMYFUNCTION("""COMPUTED_VALUE"""),"Quick and professional")</f>
        <v>Quick and professional</v>
      </c>
      <c r="L247" s="18">
        <f>iferror(VLOOKUP($D247,Details!$A$2:$C$11,2,false),vlookup($D247,Details!$E$2:$G$11,2,false))</f>
        <v>84</v>
      </c>
      <c r="M247" s="18" t="str">
        <f>iferror(VLOOKUP($D247,Details!$A$2:$C$11,3,false),vlookup($D247,Details!$E$2:$G$11,3,false))</f>
        <v>Fruits and Vegetables</v>
      </c>
      <c r="N247" s="18">
        <f t="shared" si="1"/>
        <v>84</v>
      </c>
      <c r="O247" s="17"/>
      <c r="P247" s="17"/>
      <c r="Q247" s="17"/>
      <c r="R247" s="17"/>
      <c r="S247" s="17"/>
      <c r="T247" s="17"/>
      <c r="U247" s="17"/>
      <c r="V247" s="17"/>
      <c r="W247" s="17"/>
      <c r="X247" s="17"/>
      <c r="Y247" s="17"/>
      <c r="Z247" s="17"/>
    </row>
    <row r="248">
      <c r="A248" s="18" t="str">
        <f>IFERROR(__xludf.DUMMYFUNCTION("""COMPUTED_VALUE"""),"ord_10247")</f>
        <v>ord_10247</v>
      </c>
      <c r="B248" s="18" t="str">
        <f>IFERROR(__xludf.DUMMYFUNCTION("""COMPUTED_VALUE"""),"Siya Reddy")</f>
        <v>Siya Reddy</v>
      </c>
      <c r="C248" s="18" t="str">
        <f>IFERROR(__xludf.DUMMYFUNCTION("""COMPUTED_VALUE"""),"Juhu")</f>
        <v>Juhu</v>
      </c>
      <c r="D248" s="18" t="str">
        <f>IFERROR(__xludf.DUMMYFUNCTION("""COMPUTED_VALUE"""),"Banana")</f>
        <v>Banana</v>
      </c>
      <c r="E248" s="18">
        <f>IFERROR(__xludf.DUMMYFUNCTION("""COMPUTED_VALUE"""),1.0)</f>
        <v>1</v>
      </c>
      <c r="F248" s="18" t="str">
        <f>IFERROR(__xludf.DUMMYFUNCTION("""COMPUTED_VALUE"""),"Tanvi Jain")</f>
        <v>Tanvi Jain</v>
      </c>
      <c r="G248" s="19">
        <f>IFERROR(__xludf.DUMMYFUNCTION("""COMPUTED_VALUE"""),45102.0)</f>
        <v>45102</v>
      </c>
      <c r="H248" s="18" t="str">
        <f>IFERROR(__xludf.DUMMYFUNCTION("""COMPUTED_VALUE"""),"Online Payment")</f>
        <v>Online Payment</v>
      </c>
      <c r="I248" s="18" t="str">
        <f>IFERROR(__xludf.DUMMYFUNCTION("""COMPUTED_VALUE"""),"Delivered")</f>
        <v>Delivered</v>
      </c>
      <c r="J248" s="18" t="str">
        <f>IFERROR(__xludf.DUMMYFUNCTION("""COMPUTED_VALUE"""),"Convenience")</f>
        <v>Convenience</v>
      </c>
      <c r="K248" s="18" t="str">
        <f>IFERROR(__xludf.DUMMYFUNCTION("""COMPUTED_VALUE"""),"Easy tracking")</f>
        <v>Easy tracking</v>
      </c>
      <c r="L248" s="18">
        <f>iferror(VLOOKUP($D248,Details!$A$2:$C$11,2,false),vlookup($D248,Details!$E$2:$G$11,2,false))</f>
        <v>80</v>
      </c>
      <c r="M248" s="18" t="str">
        <f>iferror(VLOOKUP($D248,Details!$A$2:$C$11,3,false),vlookup($D248,Details!$E$2:$G$11,3,false))</f>
        <v>Fruits and Vegetables</v>
      </c>
      <c r="N248" s="18">
        <f t="shared" si="1"/>
        <v>80</v>
      </c>
      <c r="O248" s="17"/>
      <c r="P248" s="17"/>
      <c r="Q248" s="17"/>
      <c r="R248" s="17"/>
      <c r="S248" s="17"/>
      <c r="T248" s="17"/>
      <c r="U248" s="17"/>
      <c r="V248" s="17"/>
      <c r="W248" s="17"/>
      <c r="X248" s="17"/>
      <c r="Y248" s="17"/>
      <c r="Z248" s="17"/>
    </row>
    <row r="249">
      <c r="A249" s="18" t="str">
        <f>IFERROR(__xludf.DUMMYFUNCTION("""COMPUTED_VALUE"""),"ord_10248")</f>
        <v>ord_10248</v>
      </c>
      <c r="B249" s="18" t="str">
        <f>IFERROR(__xludf.DUMMYFUNCTION("""COMPUTED_VALUE"""),"Siya Reddy")</f>
        <v>Siya Reddy</v>
      </c>
      <c r="C249" s="18" t="str">
        <f>IFERROR(__xludf.DUMMYFUNCTION("""COMPUTED_VALUE"""),"Juhu")</f>
        <v>Juhu</v>
      </c>
      <c r="D249" s="18" t="str">
        <f>IFERROR(__xludf.DUMMYFUNCTION("""COMPUTED_VALUE"""),"Popcorn")</f>
        <v>Popcorn</v>
      </c>
      <c r="E249" s="18">
        <f>IFERROR(__xludf.DUMMYFUNCTION("""COMPUTED_VALUE"""),1.0)</f>
        <v>1</v>
      </c>
      <c r="F249" s="18" t="str">
        <f>IFERROR(__xludf.DUMMYFUNCTION("""COMPUTED_VALUE"""),"Ramesh S")</f>
        <v>Ramesh S</v>
      </c>
      <c r="G249" s="19">
        <f>IFERROR(__xludf.DUMMYFUNCTION("""COMPUTED_VALUE"""),45252.0)</f>
        <v>45252</v>
      </c>
      <c r="H249" s="18" t="str">
        <f>IFERROR(__xludf.DUMMYFUNCTION("""COMPUTED_VALUE"""),"UPI")</f>
        <v>UPI</v>
      </c>
      <c r="I249" s="18" t="str">
        <f>IFERROR(__xludf.DUMMYFUNCTION("""COMPUTED_VALUE"""),"Delivered")</f>
        <v>Delivered</v>
      </c>
      <c r="J249" s="18" t="str">
        <f>IFERROR(__xludf.DUMMYFUNCTION("""COMPUTED_VALUE"""),"Overall Satisfaction")</f>
        <v>Overall Satisfaction</v>
      </c>
      <c r="K249" s="18" t="str">
        <f>IFERROR(__xludf.DUMMYFUNCTION("""COMPUTED_VALUE"""),"Great service will order again")</f>
        <v>Great service will order again</v>
      </c>
      <c r="L249" s="18">
        <f>iferror(VLOOKUP($D249,Details!$A$2:$C$11,2,false),vlookup($D249,Details!$E$2:$G$11,2,false))</f>
        <v>150</v>
      </c>
      <c r="M249" s="18" t="str">
        <f>iferror(VLOOKUP($D249,Details!$A$2:$C$11,3,false),vlookup($D249,Details!$E$2:$G$11,3,false))</f>
        <v>Snacks and Drinks</v>
      </c>
      <c r="N249" s="18">
        <f t="shared" si="1"/>
        <v>150</v>
      </c>
      <c r="O249" s="17"/>
      <c r="P249" s="17"/>
      <c r="Q249" s="17"/>
      <c r="R249" s="17"/>
      <c r="S249" s="17"/>
      <c r="T249" s="17"/>
      <c r="U249" s="17"/>
      <c r="V249" s="17"/>
      <c r="W249" s="17"/>
      <c r="X249" s="17"/>
      <c r="Y249" s="17"/>
      <c r="Z249" s="17"/>
    </row>
    <row r="250">
      <c r="A250" s="18" t="str">
        <f>IFERROR(__xludf.DUMMYFUNCTION("""COMPUTED_VALUE"""),"ord_10249")</f>
        <v>ord_10249</v>
      </c>
      <c r="B250" s="18" t="str">
        <f>IFERROR(__xludf.DUMMYFUNCTION("""COMPUTED_VALUE"""),"Aarohi Kapoor")</f>
        <v>Aarohi Kapoor</v>
      </c>
      <c r="C250" s="18" t="str">
        <f>IFERROR(__xludf.DUMMYFUNCTION("""COMPUTED_VALUE"""),"Bandra")</f>
        <v>Bandra</v>
      </c>
      <c r="D250" s="18" t="str">
        <f>IFERROR(__xludf.DUMMYFUNCTION("""COMPUTED_VALUE"""),"Icecream")</f>
        <v>Icecream</v>
      </c>
      <c r="E250" s="18">
        <f>IFERROR(__xludf.DUMMYFUNCTION("""COMPUTED_VALUE"""),1.0)</f>
        <v>1</v>
      </c>
      <c r="F250" s="18" t="str">
        <f>IFERROR(__xludf.DUMMYFUNCTION("""COMPUTED_VALUE"""),"Ramesh S")</f>
        <v>Ramesh S</v>
      </c>
      <c r="G250" s="19">
        <f>IFERROR(__xludf.DUMMYFUNCTION("""COMPUTED_VALUE"""),45285.0)</f>
        <v>45285</v>
      </c>
      <c r="H250" s="18" t="str">
        <f>IFERROR(__xludf.DUMMYFUNCTION("""COMPUTED_VALUE"""),"UPI")</f>
        <v>UPI</v>
      </c>
      <c r="I250" s="18" t="str">
        <f>IFERROR(__xludf.DUMMYFUNCTION("""COMPUTED_VALUE"""),"Delivered")</f>
        <v>Delivered</v>
      </c>
      <c r="J250" s="18" t="str">
        <f>IFERROR(__xludf.DUMMYFUNCTION("""COMPUTED_VALUE"""),"On-time Delivery")</f>
        <v>On-time Delivery</v>
      </c>
      <c r="K250" s="18" t="str">
        <f>IFERROR(__xludf.DUMMYFUNCTION("""COMPUTED_VALUE"""),"Delivered on time")</f>
        <v>Delivered on time</v>
      </c>
      <c r="L250" s="18">
        <f>iferror(VLOOKUP($D250,Details!$A$2:$C$11,2,false),vlookup($D250,Details!$E$2:$G$11,2,false))</f>
        <v>90</v>
      </c>
      <c r="M250" s="18" t="str">
        <f>iferror(VLOOKUP($D250,Details!$A$2:$C$11,3,false),vlookup($D250,Details!$E$2:$G$11,3,false))</f>
        <v>Snacks and Drinks</v>
      </c>
      <c r="N250" s="18">
        <f t="shared" si="1"/>
        <v>90</v>
      </c>
      <c r="O250" s="17"/>
      <c r="P250" s="17"/>
      <c r="Q250" s="17"/>
      <c r="R250" s="17"/>
      <c r="S250" s="17"/>
      <c r="T250" s="17"/>
      <c r="U250" s="17"/>
      <c r="V250" s="17"/>
      <c r="W250" s="17"/>
      <c r="X250" s="17"/>
      <c r="Y250" s="17"/>
      <c r="Z250" s="17"/>
    </row>
    <row r="251">
      <c r="A251" s="18" t="str">
        <f>IFERROR(__xludf.DUMMYFUNCTION("""COMPUTED_VALUE"""),"ord_10250")</f>
        <v>ord_10250</v>
      </c>
      <c r="B251" s="18" t="str">
        <f>IFERROR(__xludf.DUMMYFUNCTION("""COMPUTED_VALUE"""),"Siya Reddy")</f>
        <v>Siya Reddy</v>
      </c>
      <c r="C251" s="18" t="str">
        <f>IFERROR(__xludf.DUMMYFUNCTION("""COMPUTED_VALUE"""),"Juhu")</f>
        <v>Juhu</v>
      </c>
      <c r="D251" s="18" t="str">
        <f>IFERROR(__xludf.DUMMYFUNCTION("""COMPUTED_VALUE"""),"Chicken Puff")</f>
        <v>Chicken Puff</v>
      </c>
      <c r="E251" s="18">
        <f>IFERROR(__xludf.DUMMYFUNCTION("""COMPUTED_VALUE"""),3.0)</f>
        <v>3</v>
      </c>
      <c r="F251" s="18" t="str">
        <f>IFERROR(__xludf.DUMMYFUNCTION("""COMPUTED_VALUE"""),"Vivek Kumar")</f>
        <v>Vivek Kumar</v>
      </c>
      <c r="G251" s="19">
        <f>IFERROR(__xludf.DUMMYFUNCTION("""COMPUTED_VALUE"""),45008.0)</f>
        <v>45008</v>
      </c>
      <c r="H251" s="18" t="str">
        <f>IFERROR(__xludf.DUMMYFUNCTION("""COMPUTED_VALUE"""),"Online Payment")</f>
        <v>Online Payment</v>
      </c>
      <c r="I251" s="18" t="str">
        <f>IFERROR(__xludf.DUMMYFUNCTION("""COMPUTED_VALUE"""),"Delivered")</f>
        <v>Delivered</v>
      </c>
      <c r="J251" s="18" t="str">
        <f>IFERROR(__xludf.DUMMYFUNCTION("""COMPUTED_VALUE"""),"Quality of Items")</f>
        <v>Quality of Items</v>
      </c>
      <c r="K251" s="18" t="str">
        <f>IFERROR(__xludf.DUMMYFUNCTION("""COMPUTED_VALUE"""),"Perfect condition")</f>
        <v>Perfect condition</v>
      </c>
      <c r="L251" s="18">
        <f>iferror(VLOOKUP($D251,Details!$A$2:$C$11,2,false),vlookup($D251,Details!$E$2:$G$11,2,false))</f>
        <v>90</v>
      </c>
      <c r="M251" s="18" t="str">
        <f>iferror(VLOOKUP($D251,Details!$A$2:$C$11,3,false),vlookup($D251,Details!$E$2:$G$11,3,false))</f>
        <v>Snacks and Drinks</v>
      </c>
      <c r="N251" s="18">
        <f t="shared" si="1"/>
        <v>270</v>
      </c>
      <c r="O251" s="17"/>
      <c r="P251" s="17"/>
      <c r="Q251" s="17"/>
      <c r="R251" s="17"/>
      <c r="S251" s="17"/>
      <c r="T251" s="17"/>
      <c r="U251" s="17"/>
      <c r="V251" s="17"/>
      <c r="W251" s="17"/>
      <c r="X251" s="17"/>
      <c r="Y251" s="17"/>
      <c r="Z251" s="17"/>
    </row>
    <row r="252">
      <c r="A252" s="18" t="str">
        <f>IFERROR(__xludf.DUMMYFUNCTION("""COMPUTED_VALUE"""),"ord_10251")</f>
        <v>ord_10251</v>
      </c>
      <c r="B252" s="18" t="str">
        <f>IFERROR(__xludf.DUMMYFUNCTION("""COMPUTED_VALUE"""),"Siya Reddy")</f>
        <v>Siya Reddy</v>
      </c>
      <c r="C252" s="18" t="str">
        <f>IFERROR(__xludf.DUMMYFUNCTION("""COMPUTED_VALUE"""),"Juhu")</f>
        <v>Juhu</v>
      </c>
      <c r="D252" s="18" t="str">
        <f>IFERROR(__xludf.DUMMYFUNCTION("""COMPUTED_VALUE"""),"Papaya")</f>
        <v>Papaya</v>
      </c>
      <c r="E252" s="18">
        <f>IFERROR(__xludf.DUMMYFUNCTION("""COMPUTED_VALUE"""),1.0)</f>
        <v>1</v>
      </c>
      <c r="F252" s="18" t="str">
        <f>IFERROR(__xludf.DUMMYFUNCTION("""COMPUTED_VALUE"""),"Ramesh S")</f>
        <v>Ramesh S</v>
      </c>
      <c r="G252" s="19">
        <f>IFERROR(__xludf.DUMMYFUNCTION("""COMPUTED_VALUE"""),44958.0)</f>
        <v>44958</v>
      </c>
      <c r="H252" s="18" t="str">
        <f>IFERROR(__xludf.DUMMYFUNCTION("""COMPUTED_VALUE"""),"Credit Card")</f>
        <v>Credit Card</v>
      </c>
      <c r="I252" s="18" t="str">
        <f>IFERROR(__xludf.DUMMYFUNCTION("""COMPUTED_VALUE"""),"Delivered")</f>
        <v>Delivered</v>
      </c>
      <c r="J252" s="18" t="str">
        <f>IFERROR(__xludf.DUMMYFUNCTION("""COMPUTED_VALUE"""),"On-time Delivery")</f>
        <v>On-time Delivery</v>
      </c>
      <c r="K252" s="18" t="str">
        <f>IFERROR(__xludf.DUMMYFUNCTION("""COMPUTED_VALUE"""),"Delivered on time")</f>
        <v>Delivered on time</v>
      </c>
      <c r="L252" s="18">
        <f>iferror(VLOOKUP($D252,Details!$A$2:$C$11,2,false),vlookup($D252,Details!$E$2:$G$11,2,false))</f>
        <v>75</v>
      </c>
      <c r="M252" s="18" t="str">
        <f>iferror(VLOOKUP($D252,Details!$A$2:$C$11,3,false),vlookup($D252,Details!$E$2:$G$11,3,false))</f>
        <v>Fruits and Vegetables</v>
      </c>
      <c r="N252" s="18">
        <f t="shared" si="1"/>
        <v>75</v>
      </c>
      <c r="O252" s="17"/>
      <c r="P252" s="17"/>
      <c r="Q252" s="17"/>
      <c r="R252" s="17"/>
      <c r="S252" s="17"/>
      <c r="T252" s="17"/>
      <c r="U252" s="17"/>
      <c r="V252" s="17"/>
      <c r="W252" s="17"/>
      <c r="X252" s="17"/>
      <c r="Y252" s="17"/>
      <c r="Z252" s="17"/>
    </row>
    <row r="253">
      <c r="A253" s="18" t="str">
        <f>IFERROR(__xludf.DUMMYFUNCTION("""COMPUTED_VALUE"""),"ord_10252")</f>
        <v>ord_10252</v>
      </c>
      <c r="B253" s="18" t="str">
        <f>IFERROR(__xludf.DUMMYFUNCTION("""COMPUTED_VALUE"""),"Sakshi Tandon")</f>
        <v>Sakshi Tandon</v>
      </c>
      <c r="C253" s="18" t="str">
        <f>IFERROR(__xludf.DUMMYFUNCTION("""COMPUTED_VALUE"""),"Colaba")</f>
        <v>Colaba</v>
      </c>
      <c r="D253" s="18" t="str">
        <f>IFERROR(__xludf.DUMMYFUNCTION("""COMPUTED_VALUE"""),"Onion")</f>
        <v>Onion</v>
      </c>
      <c r="E253" s="18">
        <f>IFERROR(__xludf.DUMMYFUNCTION("""COMPUTED_VALUE"""),1.0)</f>
        <v>1</v>
      </c>
      <c r="F253" s="18" t="str">
        <f>IFERROR(__xludf.DUMMYFUNCTION("""COMPUTED_VALUE"""),"Ramesh S")</f>
        <v>Ramesh S</v>
      </c>
      <c r="G253" s="19">
        <f>IFERROR(__xludf.DUMMYFUNCTION("""COMPUTED_VALUE"""),45285.0)</f>
        <v>45285</v>
      </c>
      <c r="H253" s="18" t="str">
        <f>IFERROR(__xludf.DUMMYFUNCTION("""COMPUTED_VALUE"""),"Online Payment")</f>
        <v>Online Payment</v>
      </c>
      <c r="I253" s="18" t="str">
        <f>IFERROR(__xludf.DUMMYFUNCTION("""COMPUTED_VALUE"""),"Delivered")</f>
        <v>Delivered</v>
      </c>
      <c r="J253" s="18" t="str">
        <f>IFERROR(__xludf.DUMMYFUNCTION("""COMPUTED_VALUE"""),"Quality of Items")</f>
        <v>Quality of Items</v>
      </c>
      <c r="K253" s="18" t="str">
        <f>IFERROR(__xludf.DUMMYFUNCTION("""COMPUTED_VALUE"""),"Perfect condition")</f>
        <v>Perfect condition</v>
      </c>
      <c r="L253" s="18">
        <f>iferror(VLOOKUP($D253,Details!$A$2:$C$11,2,false),vlookup($D253,Details!$E$2:$G$11,2,false))</f>
        <v>84</v>
      </c>
      <c r="M253" s="18" t="str">
        <f>iferror(VLOOKUP($D253,Details!$A$2:$C$11,3,false),vlookup($D253,Details!$E$2:$G$11,3,false))</f>
        <v>Fruits and Vegetables</v>
      </c>
      <c r="N253" s="18">
        <f t="shared" si="1"/>
        <v>84</v>
      </c>
      <c r="O253" s="17"/>
      <c r="P253" s="17"/>
      <c r="Q253" s="17"/>
      <c r="R253" s="17"/>
      <c r="S253" s="17"/>
      <c r="T253" s="17"/>
      <c r="U253" s="17"/>
      <c r="V253" s="17"/>
      <c r="W253" s="17"/>
      <c r="X253" s="17"/>
      <c r="Y253" s="17"/>
      <c r="Z253" s="17"/>
    </row>
    <row r="254">
      <c r="A254" s="18" t="str">
        <f>IFERROR(__xludf.DUMMYFUNCTION("""COMPUTED_VALUE"""),"ord_10253")</f>
        <v>ord_10253</v>
      </c>
      <c r="B254" s="18" t="str">
        <f>IFERROR(__xludf.DUMMYFUNCTION("""COMPUTED_VALUE"""),"Mehul Thakkar")</f>
        <v>Mehul Thakkar</v>
      </c>
      <c r="C254" s="18" t="str">
        <f>IFERROR(__xludf.DUMMYFUNCTION("""COMPUTED_VALUE"""),"Malad")</f>
        <v>Malad</v>
      </c>
      <c r="D254" s="18" t="str">
        <f>IFERROR(__xludf.DUMMYFUNCTION("""COMPUTED_VALUE"""),"Orange")</f>
        <v>Orange</v>
      </c>
      <c r="E254" s="18">
        <f>IFERROR(__xludf.DUMMYFUNCTION("""COMPUTED_VALUE"""),2.0)</f>
        <v>2</v>
      </c>
      <c r="F254" s="18" t="str">
        <f>IFERROR(__xludf.DUMMYFUNCTION("""COMPUTED_VALUE"""),"Nithin Lal")</f>
        <v>Nithin Lal</v>
      </c>
      <c r="G254" s="19">
        <f>IFERROR(__xludf.DUMMYFUNCTION("""COMPUTED_VALUE"""),45125.0)</f>
        <v>45125</v>
      </c>
      <c r="H254" s="18" t="str">
        <f>IFERROR(__xludf.DUMMYFUNCTION("""COMPUTED_VALUE"""),"Credit Card")</f>
        <v>Credit Card</v>
      </c>
      <c r="I254" s="18" t="str">
        <f>IFERROR(__xludf.DUMMYFUNCTION("""COMPUTED_VALUE"""),"Cancelled")</f>
        <v>Cancelled</v>
      </c>
      <c r="J254" s="18" t="str">
        <f>IFERROR(__xludf.DUMMYFUNCTION("""COMPUTED_VALUE"""),"Delayed Delivery")</f>
        <v>Delayed Delivery</v>
      </c>
      <c r="K254" s="18" t="str">
        <f>IFERROR(__xludf.DUMMYFUNCTION("""COMPUTED_VALUE"""),"Bad Weather Conditions")</f>
        <v>Bad Weather Conditions</v>
      </c>
      <c r="L254" s="18">
        <f>iferror(VLOOKUP($D254,Details!$A$2:$C$11,2,false),vlookup($D254,Details!$E$2:$G$11,2,false))</f>
        <v>180</v>
      </c>
      <c r="M254" s="18" t="str">
        <f>iferror(VLOOKUP($D254,Details!$A$2:$C$11,3,false),vlookup($D254,Details!$E$2:$G$11,3,false))</f>
        <v>Fruits and Vegetables</v>
      </c>
      <c r="N254" s="18">
        <f t="shared" si="1"/>
        <v>360</v>
      </c>
      <c r="O254" s="17"/>
      <c r="P254" s="17"/>
      <c r="Q254" s="17"/>
      <c r="R254" s="17"/>
      <c r="S254" s="17"/>
      <c r="T254" s="17"/>
      <c r="U254" s="17"/>
      <c r="V254" s="17"/>
      <c r="W254" s="17"/>
      <c r="X254" s="17"/>
      <c r="Y254" s="17"/>
      <c r="Z254" s="17"/>
    </row>
    <row r="255">
      <c r="A255" s="18" t="str">
        <f>IFERROR(__xludf.DUMMYFUNCTION("""COMPUTED_VALUE"""),"ord_10254")</f>
        <v>ord_10254</v>
      </c>
      <c r="B255" s="18" t="str">
        <f>IFERROR(__xludf.DUMMYFUNCTION("""COMPUTED_VALUE"""),"Sakshi Tandon")</f>
        <v>Sakshi Tandon</v>
      </c>
      <c r="C255" s="18" t="str">
        <f>IFERROR(__xludf.DUMMYFUNCTION("""COMPUTED_VALUE"""),"Colaba")</f>
        <v>Colaba</v>
      </c>
      <c r="D255" s="18" t="str">
        <f>IFERROR(__xludf.DUMMYFUNCTION("""COMPUTED_VALUE"""),"Tomato")</f>
        <v>Tomato</v>
      </c>
      <c r="E255" s="18">
        <f>IFERROR(__xludf.DUMMYFUNCTION("""COMPUTED_VALUE"""),1.0)</f>
        <v>1</v>
      </c>
      <c r="F255" s="18" t="str">
        <f>IFERROR(__xludf.DUMMYFUNCTION("""COMPUTED_VALUE"""),"Shine Thomas")</f>
        <v>Shine Thomas</v>
      </c>
      <c r="G255" s="19">
        <f>IFERROR(__xludf.DUMMYFUNCTION("""COMPUTED_VALUE"""),44997.0)</f>
        <v>44997</v>
      </c>
      <c r="H255" s="18" t="str">
        <f>IFERROR(__xludf.DUMMYFUNCTION("""COMPUTED_VALUE"""),"COD")</f>
        <v>COD</v>
      </c>
      <c r="I255" s="18" t="str">
        <f>IFERROR(__xludf.DUMMYFUNCTION("""COMPUTED_VALUE"""),"Delivered")</f>
        <v>Delivered</v>
      </c>
      <c r="J255" s="18" t="str">
        <f>IFERROR(__xludf.DUMMYFUNCTION("""COMPUTED_VALUE"""),"Packaging")</f>
        <v>Packaging</v>
      </c>
      <c r="K255" s="18" t="str">
        <f>IFERROR(__xludf.DUMMYFUNCTION("""COMPUTED_VALUE"""),"Secure and intact")</f>
        <v>Secure and intact</v>
      </c>
      <c r="L255" s="18">
        <f>iferror(VLOOKUP($D255,Details!$A$2:$C$11,2,false),vlookup($D255,Details!$E$2:$G$11,2,false))</f>
        <v>25</v>
      </c>
      <c r="M255" s="18" t="str">
        <f>iferror(VLOOKUP($D255,Details!$A$2:$C$11,3,false),vlookup($D255,Details!$E$2:$G$11,3,false))</f>
        <v>Fruits and Vegetables</v>
      </c>
      <c r="N255" s="18">
        <f t="shared" si="1"/>
        <v>25</v>
      </c>
      <c r="O255" s="17"/>
      <c r="P255" s="17"/>
      <c r="Q255" s="17"/>
      <c r="R255" s="17"/>
      <c r="S255" s="17"/>
      <c r="T255" s="17"/>
      <c r="U255" s="17"/>
      <c r="V255" s="17"/>
      <c r="W255" s="17"/>
      <c r="X255" s="17"/>
      <c r="Y255" s="17"/>
      <c r="Z255" s="17"/>
    </row>
    <row r="256">
      <c r="A256" s="18" t="str">
        <f>IFERROR(__xludf.DUMMYFUNCTION("""COMPUTED_VALUE"""),"ord_10255")</f>
        <v>ord_10255</v>
      </c>
      <c r="B256" s="18" t="str">
        <f>IFERROR(__xludf.DUMMYFUNCTION("""COMPUTED_VALUE"""),"Sanjay Nair")</f>
        <v>Sanjay Nair</v>
      </c>
      <c r="C256" s="18" t="str">
        <f>IFERROR(__xludf.DUMMYFUNCTION("""COMPUTED_VALUE"""),"Dadar")</f>
        <v>Dadar</v>
      </c>
      <c r="D256" s="18" t="str">
        <f>IFERROR(__xludf.DUMMYFUNCTION("""COMPUTED_VALUE"""),"Sweet Corn")</f>
        <v>Sweet Corn</v>
      </c>
      <c r="E256" s="18">
        <f>IFERROR(__xludf.DUMMYFUNCTION("""COMPUTED_VALUE"""),1.0)</f>
        <v>1</v>
      </c>
      <c r="F256" s="18" t="str">
        <f>IFERROR(__xludf.DUMMYFUNCTION("""COMPUTED_VALUE"""),"Nithin Lal")</f>
        <v>Nithin Lal</v>
      </c>
      <c r="G256" s="19">
        <f>IFERROR(__xludf.DUMMYFUNCTION("""COMPUTED_VALUE"""),45131.0)</f>
        <v>45131</v>
      </c>
      <c r="H256" s="18" t="str">
        <f>IFERROR(__xludf.DUMMYFUNCTION("""COMPUTED_VALUE"""),"UPI")</f>
        <v>UPI</v>
      </c>
      <c r="I256" s="18" t="str">
        <f>IFERROR(__xludf.DUMMYFUNCTION("""COMPUTED_VALUE"""),"Delivered")</f>
        <v>Delivered</v>
      </c>
      <c r="J256" s="18" t="str">
        <f>IFERROR(__xludf.DUMMYFUNCTION("""COMPUTED_VALUE"""),"Satisfied with the Delivery")</f>
        <v>Satisfied with the Delivery</v>
      </c>
      <c r="K256" s="18" t="str">
        <f>IFERROR(__xludf.DUMMYFUNCTION("""COMPUTED_VALUE"""),"Timely and quality")</f>
        <v>Timely and quality</v>
      </c>
      <c r="L256" s="18">
        <f>iferror(VLOOKUP($D256,Details!$A$2:$C$11,2,false),vlookup($D256,Details!$E$2:$G$11,2,false))</f>
        <v>60</v>
      </c>
      <c r="M256" s="18" t="str">
        <f>iferror(VLOOKUP($D256,Details!$A$2:$C$11,3,false),vlookup($D256,Details!$E$2:$G$11,3,false))</f>
        <v>Fruits and Vegetables</v>
      </c>
      <c r="N256" s="18">
        <f t="shared" si="1"/>
        <v>60</v>
      </c>
      <c r="O256" s="17"/>
      <c r="P256" s="17"/>
      <c r="Q256" s="17"/>
      <c r="R256" s="17"/>
      <c r="S256" s="17"/>
      <c r="T256" s="17"/>
      <c r="U256" s="17"/>
      <c r="V256" s="17"/>
      <c r="W256" s="17"/>
      <c r="X256" s="17"/>
      <c r="Y256" s="17"/>
      <c r="Z256" s="17"/>
    </row>
    <row r="257">
      <c r="A257" s="18" t="str">
        <f>IFERROR(__xludf.DUMMYFUNCTION("""COMPUTED_VALUE"""),"ord_10256")</f>
        <v>ord_10256</v>
      </c>
      <c r="B257" s="18" t="str">
        <f>IFERROR(__xludf.DUMMYFUNCTION("""COMPUTED_VALUE"""),"Diya Arora")</f>
        <v>Diya Arora</v>
      </c>
      <c r="C257" s="18" t="str">
        <f>IFERROR(__xludf.DUMMYFUNCTION("""COMPUTED_VALUE"""),"Lower Parel")</f>
        <v>Lower Parel</v>
      </c>
      <c r="D257" s="18" t="str">
        <f>IFERROR(__xludf.DUMMYFUNCTION("""COMPUTED_VALUE"""),"Cold Coffee")</f>
        <v>Cold Coffee</v>
      </c>
      <c r="E257" s="18">
        <f>IFERROR(__xludf.DUMMYFUNCTION("""COMPUTED_VALUE"""),3.0)</f>
        <v>3</v>
      </c>
      <c r="F257" s="18" t="str">
        <f>IFERROR(__xludf.DUMMYFUNCTION("""COMPUTED_VALUE"""),"Manju Ajay")</f>
        <v>Manju Ajay</v>
      </c>
      <c r="G257" s="19">
        <f>IFERROR(__xludf.DUMMYFUNCTION("""COMPUTED_VALUE"""),45273.0)</f>
        <v>45273</v>
      </c>
      <c r="H257" s="18" t="str">
        <f>IFERROR(__xludf.DUMMYFUNCTION("""COMPUTED_VALUE"""),"Online Payment")</f>
        <v>Online Payment</v>
      </c>
      <c r="I257" s="18" t="str">
        <f>IFERROR(__xludf.DUMMYFUNCTION("""COMPUTED_VALUE"""),"Delivered")</f>
        <v>Delivered</v>
      </c>
      <c r="J257" s="18" t="str">
        <f>IFERROR(__xludf.DUMMYFUNCTION("""COMPUTED_VALUE"""),"Customer Service")</f>
        <v>Customer Service</v>
      </c>
      <c r="K257" s="18" t="str">
        <f>IFERROR(__xludf.DUMMYFUNCTION("""COMPUTED_VALUE"""),"Seamless and easy")</f>
        <v>Seamless and easy</v>
      </c>
      <c r="L257" s="18">
        <f>iferror(VLOOKUP($D257,Details!$A$2:$C$11,2,false),vlookup($D257,Details!$E$2:$G$11,2,false))</f>
        <v>270</v>
      </c>
      <c r="M257" s="18" t="str">
        <f>iferror(VLOOKUP($D257,Details!$A$2:$C$11,3,false),vlookup($D257,Details!$E$2:$G$11,3,false))</f>
        <v>Snacks and Drinks</v>
      </c>
      <c r="N257" s="18">
        <f t="shared" si="1"/>
        <v>810</v>
      </c>
      <c r="O257" s="17"/>
      <c r="P257" s="17"/>
      <c r="Q257" s="17"/>
      <c r="R257" s="17"/>
      <c r="S257" s="17"/>
      <c r="T257" s="17"/>
      <c r="U257" s="17"/>
      <c r="V257" s="17"/>
      <c r="W257" s="17"/>
      <c r="X257" s="17"/>
      <c r="Y257" s="17"/>
      <c r="Z257" s="17"/>
    </row>
    <row r="258">
      <c r="A258" s="18" t="str">
        <f>IFERROR(__xludf.DUMMYFUNCTION("""COMPUTED_VALUE"""),"ord_10257")</f>
        <v>ord_10257</v>
      </c>
      <c r="B258" s="18" t="str">
        <f>IFERROR(__xludf.DUMMYFUNCTION("""COMPUTED_VALUE"""),"Arvind Kulkarni")</f>
        <v>Arvind Kulkarni</v>
      </c>
      <c r="C258" s="18" t="str">
        <f>IFERROR(__xludf.DUMMYFUNCTION("""COMPUTED_VALUE"""),"Juhu")</f>
        <v>Juhu</v>
      </c>
      <c r="D258" s="18" t="str">
        <f>IFERROR(__xludf.DUMMYFUNCTION("""COMPUTED_VALUE"""),"Papaya")</f>
        <v>Papaya</v>
      </c>
      <c r="E258" s="18">
        <f>IFERROR(__xludf.DUMMYFUNCTION("""COMPUTED_VALUE"""),2.0)</f>
        <v>2</v>
      </c>
      <c r="F258" s="18" t="str">
        <f>IFERROR(__xludf.DUMMYFUNCTION("""COMPUTED_VALUE"""),"Tanvi Jain")</f>
        <v>Tanvi Jain</v>
      </c>
      <c r="G258" s="19">
        <f>IFERROR(__xludf.DUMMYFUNCTION("""COMPUTED_VALUE"""),45042.0)</f>
        <v>45042</v>
      </c>
      <c r="H258" s="18" t="str">
        <f>IFERROR(__xludf.DUMMYFUNCTION("""COMPUTED_VALUE"""),"Online Payment")</f>
        <v>Online Payment</v>
      </c>
      <c r="I258" s="18" t="str">
        <f>IFERROR(__xludf.DUMMYFUNCTION("""COMPUTED_VALUE"""),"Cancelled")</f>
        <v>Cancelled</v>
      </c>
      <c r="J258" s="18" t="str">
        <f>IFERROR(__xludf.DUMMYFUNCTION("""COMPUTED_VALUE"""),"Delayed Delivery")</f>
        <v>Delayed Delivery</v>
      </c>
      <c r="K258" s="18" t="str">
        <f>IFERROR(__xludf.DUMMYFUNCTION("""COMPUTED_VALUE"""),"Heavy Traffic")</f>
        <v>Heavy Traffic</v>
      </c>
      <c r="L258" s="18">
        <f>iferror(VLOOKUP($D258,Details!$A$2:$C$11,2,false),vlookup($D258,Details!$E$2:$G$11,2,false))</f>
        <v>75</v>
      </c>
      <c r="M258" s="18" t="str">
        <f>iferror(VLOOKUP($D258,Details!$A$2:$C$11,3,false),vlookup($D258,Details!$E$2:$G$11,3,false))</f>
        <v>Fruits and Vegetables</v>
      </c>
      <c r="N258" s="18">
        <f t="shared" si="1"/>
        <v>150</v>
      </c>
      <c r="O258" s="17"/>
      <c r="P258" s="17"/>
      <c r="Q258" s="17"/>
      <c r="R258" s="17"/>
      <c r="S258" s="17"/>
      <c r="T258" s="17"/>
      <c r="U258" s="17"/>
      <c r="V258" s="17"/>
      <c r="W258" s="17"/>
      <c r="X258" s="17"/>
      <c r="Y258" s="17"/>
      <c r="Z258" s="17"/>
    </row>
    <row r="259">
      <c r="A259" s="18" t="str">
        <f>IFERROR(__xludf.DUMMYFUNCTION("""COMPUTED_VALUE"""),"ord_10258")</f>
        <v>ord_10258</v>
      </c>
      <c r="B259" s="18" t="str">
        <f>IFERROR(__xludf.DUMMYFUNCTION("""COMPUTED_VALUE"""),"Ishita Banerjee")</f>
        <v>Ishita Banerjee</v>
      </c>
      <c r="C259" s="18" t="str">
        <f>IFERROR(__xludf.DUMMYFUNCTION("""COMPUTED_VALUE"""),"Juhu")</f>
        <v>Juhu</v>
      </c>
      <c r="D259" s="18" t="str">
        <f>IFERROR(__xludf.DUMMYFUNCTION("""COMPUTED_VALUE"""),"Juice")</f>
        <v>Juice</v>
      </c>
      <c r="E259" s="18">
        <f>IFERROR(__xludf.DUMMYFUNCTION("""COMPUTED_VALUE"""),3.0)</f>
        <v>3</v>
      </c>
      <c r="F259" s="18" t="str">
        <f>IFERROR(__xludf.DUMMYFUNCTION("""COMPUTED_VALUE"""),"Ramesh S")</f>
        <v>Ramesh S</v>
      </c>
      <c r="G259" s="19">
        <f>IFERROR(__xludf.DUMMYFUNCTION("""COMPUTED_VALUE"""),45271.0)</f>
        <v>45271</v>
      </c>
      <c r="H259" s="18" t="str">
        <f>IFERROR(__xludf.DUMMYFUNCTION("""COMPUTED_VALUE"""),"Credit Card")</f>
        <v>Credit Card</v>
      </c>
      <c r="I259" s="18" t="str">
        <f>IFERROR(__xludf.DUMMYFUNCTION("""COMPUTED_VALUE"""),"Cancelled")</f>
        <v>Cancelled</v>
      </c>
      <c r="J259" s="18" t="str">
        <f>IFERROR(__xludf.DUMMYFUNCTION("""COMPUTED_VALUE"""),"Delayed Delivery")</f>
        <v>Delayed Delivery</v>
      </c>
      <c r="K259" s="18" t="str">
        <f>IFERROR(__xludf.DUMMYFUNCTION("""COMPUTED_VALUE"""),"Heavy Traffic")</f>
        <v>Heavy Traffic</v>
      </c>
      <c r="L259" s="18">
        <f>iferror(VLOOKUP($D259,Details!$A$2:$C$11,2,false),vlookup($D259,Details!$E$2:$G$11,2,false))</f>
        <v>90</v>
      </c>
      <c r="M259" s="18" t="str">
        <f>iferror(VLOOKUP($D259,Details!$A$2:$C$11,3,false),vlookup($D259,Details!$E$2:$G$11,3,false))</f>
        <v>Snacks and Drinks</v>
      </c>
      <c r="N259" s="18">
        <f t="shared" si="1"/>
        <v>270</v>
      </c>
      <c r="O259" s="17"/>
      <c r="P259" s="17"/>
      <c r="Q259" s="17"/>
      <c r="R259" s="17"/>
      <c r="S259" s="17"/>
      <c r="T259" s="17"/>
      <c r="U259" s="17"/>
      <c r="V259" s="17"/>
      <c r="W259" s="17"/>
      <c r="X259" s="17"/>
      <c r="Y259" s="17"/>
      <c r="Z259" s="17"/>
    </row>
    <row r="260">
      <c r="A260" s="18" t="str">
        <f>IFERROR(__xludf.DUMMYFUNCTION("""COMPUTED_VALUE"""),"ord_10259")</f>
        <v>ord_10259</v>
      </c>
      <c r="B260" s="18" t="str">
        <f>IFERROR(__xludf.DUMMYFUNCTION("""COMPUTED_VALUE"""),"Ishaan Chaturvedi")</f>
        <v>Ishaan Chaturvedi</v>
      </c>
      <c r="C260" s="18" t="str">
        <f>IFERROR(__xludf.DUMMYFUNCTION("""COMPUTED_VALUE"""),"Bandra")</f>
        <v>Bandra</v>
      </c>
      <c r="D260" s="18" t="str">
        <f>IFERROR(__xludf.DUMMYFUNCTION("""COMPUTED_VALUE"""),"Banana")</f>
        <v>Banana</v>
      </c>
      <c r="E260" s="18">
        <f>IFERROR(__xludf.DUMMYFUNCTION("""COMPUTED_VALUE"""),2.0)</f>
        <v>2</v>
      </c>
      <c r="F260" s="18" t="str">
        <f>IFERROR(__xludf.DUMMYFUNCTION("""COMPUTED_VALUE"""),"Ramesh S")</f>
        <v>Ramesh S</v>
      </c>
      <c r="G260" s="19">
        <f>IFERROR(__xludf.DUMMYFUNCTION("""COMPUTED_VALUE"""),45122.0)</f>
        <v>45122</v>
      </c>
      <c r="H260" s="18" t="str">
        <f>IFERROR(__xludf.DUMMYFUNCTION("""COMPUTED_VALUE"""),"Credit Card")</f>
        <v>Credit Card</v>
      </c>
      <c r="I260" s="18" t="str">
        <f>IFERROR(__xludf.DUMMYFUNCTION("""COMPUTED_VALUE"""),"Delivered")</f>
        <v>Delivered</v>
      </c>
      <c r="J260" s="18" t="str">
        <f>IFERROR(__xludf.DUMMYFUNCTION("""COMPUTED_VALUE"""),"Delivery Experience")</f>
        <v>Delivery Experience</v>
      </c>
      <c r="K260" s="18" t="str">
        <f>IFERROR(__xludf.DUMMYFUNCTION("""COMPUTED_VALUE"""),"Quick and professional")</f>
        <v>Quick and professional</v>
      </c>
      <c r="L260" s="18">
        <f>iferror(VLOOKUP($D260,Details!$A$2:$C$11,2,false),vlookup($D260,Details!$E$2:$G$11,2,false))</f>
        <v>80</v>
      </c>
      <c r="M260" s="18" t="str">
        <f>iferror(VLOOKUP($D260,Details!$A$2:$C$11,3,false),vlookup($D260,Details!$E$2:$G$11,3,false))</f>
        <v>Fruits and Vegetables</v>
      </c>
      <c r="N260" s="18">
        <f t="shared" si="1"/>
        <v>160</v>
      </c>
      <c r="O260" s="17"/>
      <c r="P260" s="17"/>
      <c r="Q260" s="17"/>
      <c r="R260" s="17"/>
      <c r="S260" s="17"/>
      <c r="T260" s="17"/>
      <c r="U260" s="17"/>
      <c r="V260" s="17"/>
      <c r="W260" s="17"/>
      <c r="X260" s="17"/>
      <c r="Y260" s="17"/>
      <c r="Z260" s="17"/>
    </row>
    <row r="261">
      <c r="A261" s="18" t="str">
        <f>IFERROR(__xludf.DUMMYFUNCTION("""COMPUTED_VALUE"""),"ord_10260")</f>
        <v>ord_10260</v>
      </c>
      <c r="B261" s="18" t="str">
        <f>IFERROR(__xludf.DUMMYFUNCTION("""COMPUTED_VALUE"""),"Siya Reddy")</f>
        <v>Siya Reddy</v>
      </c>
      <c r="C261" s="18" t="str">
        <f>IFERROR(__xludf.DUMMYFUNCTION("""COMPUTED_VALUE"""),"Juhu")</f>
        <v>Juhu</v>
      </c>
      <c r="D261" s="18" t="str">
        <f>IFERROR(__xludf.DUMMYFUNCTION("""COMPUTED_VALUE"""),"Guava")</f>
        <v>Guava</v>
      </c>
      <c r="E261" s="18">
        <f>IFERROR(__xludf.DUMMYFUNCTION("""COMPUTED_VALUE"""),1.0)</f>
        <v>1</v>
      </c>
      <c r="F261" s="18" t="str">
        <f>IFERROR(__xludf.DUMMYFUNCTION("""COMPUTED_VALUE"""),"Vivek Kumar")</f>
        <v>Vivek Kumar</v>
      </c>
      <c r="G261" s="19">
        <f>IFERROR(__xludf.DUMMYFUNCTION("""COMPUTED_VALUE"""),45204.0)</f>
        <v>45204</v>
      </c>
      <c r="H261" s="18" t="str">
        <f>IFERROR(__xludf.DUMMYFUNCTION("""COMPUTED_VALUE"""),"Online Payment")</f>
        <v>Online Payment</v>
      </c>
      <c r="I261" s="18" t="str">
        <f>IFERROR(__xludf.DUMMYFUNCTION("""COMPUTED_VALUE"""),"Delivered")</f>
        <v>Delivered</v>
      </c>
      <c r="J261" s="18" t="str">
        <f>IFERROR(__xludf.DUMMYFUNCTION("""COMPUTED_VALUE"""),"Convenience")</f>
        <v>Convenience</v>
      </c>
      <c r="K261" s="18" t="str">
        <f>IFERROR(__xludf.DUMMYFUNCTION("""COMPUTED_VALUE"""),"Easy tracking")</f>
        <v>Easy tracking</v>
      </c>
      <c r="L261" s="18">
        <f>iferror(VLOOKUP($D261,Details!$A$2:$C$11,2,false),vlookup($D261,Details!$E$2:$G$11,2,false))</f>
        <v>70</v>
      </c>
      <c r="M261" s="18" t="str">
        <f>iferror(VLOOKUP($D261,Details!$A$2:$C$11,3,false),vlookup($D261,Details!$E$2:$G$11,3,false))</f>
        <v>Fruits and Vegetables</v>
      </c>
      <c r="N261" s="18">
        <f t="shared" si="1"/>
        <v>70</v>
      </c>
      <c r="O261" s="17"/>
      <c r="P261" s="17"/>
      <c r="Q261" s="17"/>
      <c r="R261" s="17"/>
      <c r="S261" s="17"/>
      <c r="T261" s="17"/>
      <c r="U261" s="17"/>
      <c r="V261" s="17"/>
      <c r="W261" s="17"/>
      <c r="X261" s="17"/>
      <c r="Y261" s="17"/>
      <c r="Z261" s="17"/>
    </row>
    <row r="262">
      <c r="A262" s="18" t="str">
        <f>IFERROR(__xludf.DUMMYFUNCTION("""COMPUTED_VALUE"""),"ord_10261")</f>
        <v>ord_10261</v>
      </c>
      <c r="B262" s="18" t="str">
        <f>IFERROR(__xludf.DUMMYFUNCTION("""COMPUTED_VALUE"""),"Arvind Kulkarni")</f>
        <v>Arvind Kulkarni</v>
      </c>
      <c r="C262" s="18" t="str">
        <f>IFERROR(__xludf.DUMMYFUNCTION("""COMPUTED_VALUE"""),"Juhu")</f>
        <v>Juhu</v>
      </c>
      <c r="D262" s="18" t="str">
        <f>IFERROR(__xludf.DUMMYFUNCTION("""COMPUTED_VALUE"""),"Icecream")</f>
        <v>Icecream</v>
      </c>
      <c r="E262" s="18">
        <f>IFERROR(__xludf.DUMMYFUNCTION("""COMPUTED_VALUE"""),4.0)</f>
        <v>4</v>
      </c>
      <c r="F262" s="18" t="str">
        <f>IFERROR(__xludf.DUMMYFUNCTION("""COMPUTED_VALUE"""),"Ramesh S")</f>
        <v>Ramesh S</v>
      </c>
      <c r="G262" s="19">
        <f>IFERROR(__xludf.DUMMYFUNCTION("""COMPUTED_VALUE"""),44936.0)</f>
        <v>44936</v>
      </c>
      <c r="H262" s="18" t="str">
        <f>IFERROR(__xludf.DUMMYFUNCTION("""COMPUTED_VALUE"""),"Credit Card")</f>
        <v>Credit Card</v>
      </c>
      <c r="I262" s="18" t="str">
        <f>IFERROR(__xludf.DUMMYFUNCTION("""COMPUTED_VALUE"""),"Delivered")</f>
        <v>Delivered</v>
      </c>
      <c r="J262" s="18" t="str">
        <f>IFERROR(__xludf.DUMMYFUNCTION("""COMPUTED_VALUE"""),"Overall Satisfaction")</f>
        <v>Overall Satisfaction</v>
      </c>
      <c r="K262" s="18" t="str">
        <f>IFERROR(__xludf.DUMMYFUNCTION("""COMPUTED_VALUE"""),"Great service will order again")</f>
        <v>Great service will order again</v>
      </c>
      <c r="L262" s="18">
        <f>iferror(VLOOKUP($D262,Details!$A$2:$C$11,2,false),vlookup($D262,Details!$E$2:$G$11,2,false))</f>
        <v>90</v>
      </c>
      <c r="M262" s="18" t="str">
        <f>iferror(VLOOKUP($D262,Details!$A$2:$C$11,3,false),vlookup($D262,Details!$E$2:$G$11,3,false))</f>
        <v>Snacks and Drinks</v>
      </c>
      <c r="N262" s="18">
        <f t="shared" si="1"/>
        <v>360</v>
      </c>
      <c r="O262" s="17"/>
      <c r="P262" s="17"/>
      <c r="Q262" s="17"/>
      <c r="R262" s="17"/>
      <c r="S262" s="17"/>
      <c r="T262" s="17"/>
      <c r="U262" s="17"/>
      <c r="V262" s="17"/>
      <c r="W262" s="17"/>
      <c r="X262" s="17"/>
      <c r="Y262" s="17"/>
      <c r="Z262" s="17"/>
    </row>
    <row r="263">
      <c r="A263" s="18" t="str">
        <f>IFERROR(__xludf.DUMMYFUNCTION("""COMPUTED_VALUE"""),"ord_10262")</f>
        <v>ord_10262</v>
      </c>
      <c r="B263" s="18" t="str">
        <f>IFERROR(__xludf.DUMMYFUNCTION("""COMPUTED_VALUE"""),"Siya Reddy")</f>
        <v>Siya Reddy</v>
      </c>
      <c r="C263" s="18" t="str">
        <f>IFERROR(__xludf.DUMMYFUNCTION("""COMPUTED_VALUE"""),"Juhu")</f>
        <v>Juhu</v>
      </c>
      <c r="D263" s="18" t="str">
        <f>IFERROR(__xludf.DUMMYFUNCTION("""COMPUTED_VALUE"""),"Tiramisu")</f>
        <v>Tiramisu</v>
      </c>
      <c r="E263" s="18">
        <f>IFERROR(__xludf.DUMMYFUNCTION("""COMPUTED_VALUE"""),4.0)</f>
        <v>4</v>
      </c>
      <c r="F263" s="18" t="str">
        <f>IFERROR(__xludf.DUMMYFUNCTION("""COMPUTED_VALUE"""),"Aman Kumar")</f>
        <v>Aman Kumar</v>
      </c>
      <c r="G263" s="19">
        <f>IFERROR(__xludf.DUMMYFUNCTION("""COMPUTED_VALUE"""),44975.0)</f>
        <v>44975</v>
      </c>
      <c r="H263" s="18" t="str">
        <f>IFERROR(__xludf.DUMMYFUNCTION("""COMPUTED_VALUE"""),"Credit Card")</f>
        <v>Credit Card</v>
      </c>
      <c r="I263" s="18" t="str">
        <f>IFERROR(__xludf.DUMMYFUNCTION("""COMPUTED_VALUE"""),"Cancelled")</f>
        <v>Cancelled</v>
      </c>
      <c r="J263" s="18" t="str">
        <f>IFERROR(__xludf.DUMMYFUNCTION("""COMPUTED_VALUE"""),"Delayed Delivery")</f>
        <v>Delayed Delivery</v>
      </c>
      <c r="K263" s="18" t="str">
        <f>IFERROR(__xludf.DUMMYFUNCTION("""COMPUTED_VALUE"""),"Bad Weather Conditions")</f>
        <v>Bad Weather Conditions</v>
      </c>
      <c r="L263" s="18">
        <f>iferror(VLOOKUP($D263,Details!$A$2:$C$11,2,false),vlookup($D263,Details!$E$2:$G$11,2,false))</f>
        <v>150</v>
      </c>
      <c r="M263" s="18" t="str">
        <f>iferror(VLOOKUP($D263,Details!$A$2:$C$11,3,false),vlookup($D263,Details!$E$2:$G$11,3,false))</f>
        <v>Snacks and Drinks</v>
      </c>
      <c r="N263" s="18">
        <f t="shared" si="1"/>
        <v>600</v>
      </c>
      <c r="O263" s="17"/>
      <c r="P263" s="17"/>
      <c r="Q263" s="17"/>
      <c r="R263" s="17"/>
      <c r="S263" s="17"/>
      <c r="T263" s="17"/>
      <c r="U263" s="17"/>
      <c r="V263" s="17"/>
      <c r="W263" s="17"/>
      <c r="X263" s="17"/>
      <c r="Y263" s="17"/>
      <c r="Z263" s="17"/>
    </row>
    <row r="264">
      <c r="A264" s="18" t="str">
        <f>IFERROR(__xludf.DUMMYFUNCTION("""COMPUTED_VALUE"""),"ord_10263")</f>
        <v>ord_10263</v>
      </c>
      <c r="B264" s="18" t="str">
        <f>IFERROR(__xludf.DUMMYFUNCTION("""COMPUTED_VALUE"""),"Aditi Iyer")</f>
        <v>Aditi Iyer</v>
      </c>
      <c r="C264" s="18" t="str">
        <f>IFERROR(__xludf.DUMMYFUNCTION("""COMPUTED_VALUE"""),"Dadar")</f>
        <v>Dadar</v>
      </c>
      <c r="D264" s="18" t="str">
        <f>IFERROR(__xludf.DUMMYFUNCTION("""COMPUTED_VALUE"""),"Chilli Cheese Toast")</f>
        <v>Chilli Cheese Toast</v>
      </c>
      <c r="E264" s="18">
        <f>IFERROR(__xludf.DUMMYFUNCTION("""COMPUTED_VALUE"""),3.0)</f>
        <v>3</v>
      </c>
      <c r="F264" s="18" t="str">
        <f>IFERROR(__xludf.DUMMYFUNCTION("""COMPUTED_VALUE"""),"Aman Kumar")</f>
        <v>Aman Kumar</v>
      </c>
      <c r="G264" s="19">
        <f>IFERROR(__xludf.DUMMYFUNCTION("""COMPUTED_VALUE"""),44938.0)</f>
        <v>44938</v>
      </c>
      <c r="H264" s="18" t="str">
        <f>IFERROR(__xludf.DUMMYFUNCTION("""COMPUTED_VALUE"""),"Credit Card")</f>
        <v>Credit Card</v>
      </c>
      <c r="I264" s="18" t="str">
        <f>IFERROR(__xludf.DUMMYFUNCTION("""COMPUTED_VALUE"""),"Delivered")</f>
        <v>Delivered</v>
      </c>
      <c r="J264" s="18" t="str">
        <f>IFERROR(__xludf.DUMMYFUNCTION("""COMPUTED_VALUE"""),"On-time Delivery")</f>
        <v>On-time Delivery</v>
      </c>
      <c r="K264" s="18" t="str">
        <f>IFERROR(__xludf.DUMMYFUNCTION("""COMPUTED_VALUE"""),"Delivered on time")</f>
        <v>Delivered on time</v>
      </c>
      <c r="L264" s="18">
        <f>iferror(VLOOKUP($D264,Details!$A$2:$C$11,2,false),vlookup($D264,Details!$E$2:$G$11,2,false))</f>
        <v>80</v>
      </c>
      <c r="M264" s="18" t="str">
        <f>iferror(VLOOKUP($D264,Details!$A$2:$C$11,3,false),vlookup($D264,Details!$E$2:$G$11,3,false))</f>
        <v>Snacks and Drinks</v>
      </c>
      <c r="N264" s="18">
        <f t="shared" si="1"/>
        <v>240</v>
      </c>
      <c r="O264" s="17"/>
      <c r="P264" s="17"/>
      <c r="Q264" s="17"/>
      <c r="R264" s="17"/>
      <c r="S264" s="17"/>
      <c r="T264" s="17"/>
      <c r="U264" s="17"/>
      <c r="V264" s="17"/>
      <c r="W264" s="17"/>
      <c r="X264" s="17"/>
      <c r="Y264" s="17"/>
      <c r="Z264" s="17"/>
    </row>
    <row r="265">
      <c r="A265" s="18" t="str">
        <f>IFERROR(__xludf.DUMMYFUNCTION("""COMPUTED_VALUE"""),"ord_10264")</f>
        <v>ord_10264</v>
      </c>
      <c r="B265" s="18" t="str">
        <f>IFERROR(__xludf.DUMMYFUNCTION("""COMPUTED_VALUE"""),"Aarav Mehta")</f>
        <v>Aarav Mehta</v>
      </c>
      <c r="C265" s="18" t="str">
        <f>IFERROR(__xludf.DUMMYFUNCTION("""COMPUTED_VALUE"""),"Andheri")</f>
        <v>Andheri</v>
      </c>
      <c r="D265" s="18" t="str">
        <f>IFERROR(__xludf.DUMMYFUNCTION("""COMPUTED_VALUE"""),"Chicken Puff")</f>
        <v>Chicken Puff</v>
      </c>
      <c r="E265" s="18">
        <f>IFERROR(__xludf.DUMMYFUNCTION("""COMPUTED_VALUE"""),3.0)</f>
        <v>3</v>
      </c>
      <c r="F265" s="18" t="str">
        <f>IFERROR(__xludf.DUMMYFUNCTION("""COMPUTED_VALUE"""),"Manju Ajay")</f>
        <v>Manju Ajay</v>
      </c>
      <c r="G265" s="19">
        <f>IFERROR(__xludf.DUMMYFUNCTION("""COMPUTED_VALUE"""),44980.0)</f>
        <v>44980</v>
      </c>
      <c r="H265" s="18" t="str">
        <f>IFERROR(__xludf.DUMMYFUNCTION("""COMPUTED_VALUE"""),"Credit Card")</f>
        <v>Credit Card</v>
      </c>
      <c r="I265" s="18" t="str">
        <f>IFERROR(__xludf.DUMMYFUNCTION("""COMPUTED_VALUE"""),"Delivered")</f>
        <v>Delivered</v>
      </c>
      <c r="J265" s="18" t="str">
        <f>IFERROR(__xludf.DUMMYFUNCTION("""COMPUTED_VALUE"""),"Quality of Items")</f>
        <v>Quality of Items</v>
      </c>
      <c r="K265" s="18" t="str">
        <f>IFERROR(__xludf.DUMMYFUNCTION("""COMPUTED_VALUE"""),"Perfect condition")</f>
        <v>Perfect condition</v>
      </c>
      <c r="L265" s="18">
        <f>iferror(VLOOKUP($D265,Details!$A$2:$C$11,2,false),vlookup($D265,Details!$E$2:$G$11,2,false))</f>
        <v>90</v>
      </c>
      <c r="M265" s="18" t="str">
        <f>iferror(VLOOKUP($D265,Details!$A$2:$C$11,3,false),vlookup($D265,Details!$E$2:$G$11,3,false))</f>
        <v>Snacks and Drinks</v>
      </c>
      <c r="N265" s="18">
        <f t="shared" si="1"/>
        <v>270</v>
      </c>
      <c r="O265" s="17"/>
      <c r="P265" s="17"/>
      <c r="Q265" s="17"/>
      <c r="R265" s="17"/>
      <c r="S265" s="17"/>
      <c r="T265" s="17"/>
      <c r="U265" s="17"/>
      <c r="V265" s="17"/>
      <c r="W265" s="17"/>
      <c r="X265" s="17"/>
      <c r="Y265" s="17"/>
      <c r="Z265" s="17"/>
    </row>
    <row r="266">
      <c r="A266" s="18" t="str">
        <f>IFERROR(__xludf.DUMMYFUNCTION("""COMPUTED_VALUE"""),"ord_10265")</f>
        <v>ord_10265</v>
      </c>
      <c r="B266" s="18" t="str">
        <f>IFERROR(__xludf.DUMMYFUNCTION("""COMPUTED_VALUE"""),"Omkar Mishra")</f>
        <v>Omkar Mishra</v>
      </c>
      <c r="C266" s="18" t="str">
        <f>IFERROR(__xludf.DUMMYFUNCTION("""COMPUTED_VALUE"""),"Powai")</f>
        <v>Powai</v>
      </c>
      <c r="D266" s="18" t="str">
        <f>IFERROR(__xludf.DUMMYFUNCTION("""COMPUTED_VALUE"""),"Potato")</f>
        <v>Potato</v>
      </c>
      <c r="E266" s="18">
        <f>IFERROR(__xludf.DUMMYFUNCTION("""COMPUTED_VALUE"""),2.0)</f>
        <v>2</v>
      </c>
      <c r="F266" s="18" t="str">
        <f>IFERROR(__xludf.DUMMYFUNCTION("""COMPUTED_VALUE"""),"Sita T")</f>
        <v>Sita T</v>
      </c>
      <c r="G266" s="19">
        <f>IFERROR(__xludf.DUMMYFUNCTION("""COMPUTED_VALUE"""),45286.0)</f>
        <v>45286</v>
      </c>
      <c r="H266" s="18" t="str">
        <f>IFERROR(__xludf.DUMMYFUNCTION("""COMPUTED_VALUE"""),"COD")</f>
        <v>COD</v>
      </c>
      <c r="I266" s="18" t="str">
        <f>IFERROR(__xludf.DUMMYFUNCTION("""COMPUTED_VALUE"""),"Delivered")</f>
        <v>Delivered</v>
      </c>
      <c r="J266" s="18" t="str">
        <f>IFERROR(__xludf.DUMMYFUNCTION("""COMPUTED_VALUE"""),"On-time Delivery")</f>
        <v>On-time Delivery</v>
      </c>
      <c r="K266" s="18" t="str">
        <f>IFERROR(__xludf.DUMMYFUNCTION("""COMPUTED_VALUE"""),"Delivered on time")</f>
        <v>Delivered on time</v>
      </c>
      <c r="L266" s="18">
        <f>iferror(VLOOKUP($D266,Details!$A$2:$C$11,2,false),vlookup($D266,Details!$E$2:$G$11,2,false))</f>
        <v>55</v>
      </c>
      <c r="M266" s="18" t="str">
        <f>iferror(VLOOKUP($D266,Details!$A$2:$C$11,3,false),vlookup($D266,Details!$E$2:$G$11,3,false))</f>
        <v>Fruits and Vegetables</v>
      </c>
      <c r="N266" s="18">
        <f t="shared" si="1"/>
        <v>110</v>
      </c>
      <c r="O266" s="17"/>
      <c r="P266" s="17"/>
      <c r="Q266" s="17"/>
      <c r="R266" s="17"/>
      <c r="S266" s="17"/>
      <c r="T266" s="17"/>
      <c r="U266" s="17"/>
      <c r="V266" s="17"/>
      <c r="W266" s="17"/>
      <c r="X266" s="17"/>
      <c r="Y266" s="17"/>
      <c r="Z266" s="17"/>
    </row>
    <row r="267">
      <c r="A267" s="18" t="str">
        <f>IFERROR(__xludf.DUMMYFUNCTION("""COMPUTED_VALUE"""),"ord_10266")</f>
        <v>ord_10266</v>
      </c>
      <c r="B267" s="18" t="str">
        <f>IFERROR(__xludf.DUMMYFUNCTION("""COMPUTED_VALUE"""),"Diya Arora")</f>
        <v>Diya Arora</v>
      </c>
      <c r="C267" s="18" t="str">
        <f>IFERROR(__xludf.DUMMYFUNCTION("""COMPUTED_VALUE"""),"Lower Parel")</f>
        <v>Lower Parel</v>
      </c>
      <c r="D267" s="18" t="str">
        <f>IFERROR(__xludf.DUMMYFUNCTION("""COMPUTED_VALUE"""),"Onion")</f>
        <v>Onion</v>
      </c>
      <c r="E267" s="18">
        <f>IFERROR(__xludf.DUMMYFUNCTION("""COMPUTED_VALUE"""),2.0)</f>
        <v>2</v>
      </c>
      <c r="F267" s="18" t="str">
        <f>IFERROR(__xludf.DUMMYFUNCTION("""COMPUTED_VALUE"""),"Venu R")</f>
        <v>Venu R</v>
      </c>
      <c r="G267" s="19">
        <f>IFERROR(__xludf.DUMMYFUNCTION("""COMPUTED_VALUE"""),45010.0)</f>
        <v>45010</v>
      </c>
      <c r="H267" s="18" t="str">
        <f>IFERROR(__xludf.DUMMYFUNCTION("""COMPUTED_VALUE"""),"Online Payment")</f>
        <v>Online Payment</v>
      </c>
      <c r="I267" s="18" t="str">
        <f>IFERROR(__xludf.DUMMYFUNCTION("""COMPUTED_VALUE"""),"Delivered")</f>
        <v>Delivered</v>
      </c>
      <c r="J267" s="18" t="str">
        <f>IFERROR(__xludf.DUMMYFUNCTION("""COMPUTED_VALUE"""),"Quality of Items")</f>
        <v>Quality of Items</v>
      </c>
      <c r="K267" s="18" t="str">
        <f>IFERROR(__xludf.DUMMYFUNCTION("""COMPUTED_VALUE"""),"Perfect condition")</f>
        <v>Perfect condition</v>
      </c>
      <c r="L267" s="18">
        <f>iferror(VLOOKUP($D267,Details!$A$2:$C$11,2,false),vlookup($D267,Details!$E$2:$G$11,2,false))</f>
        <v>84</v>
      </c>
      <c r="M267" s="18" t="str">
        <f>iferror(VLOOKUP($D267,Details!$A$2:$C$11,3,false),vlookup($D267,Details!$E$2:$G$11,3,false))</f>
        <v>Fruits and Vegetables</v>
      </c>
      <c r="N267" s="18">
        <f t="shared" si="1"/>
        <v>168</v>
      </c>
      <c r="O267" s="17"/>
      <c r="P267" s="17"/>
      <c r="Q267" s="17"/>
      <c r="R267" s="17"/>
      <c r="S267" s="17"/>
      <c r="T267" s="17"/>
      <c r="U267" s="17"/>
      <c r="V267" s="17"/>
      <c r="W267" s="17"/>
      <c r="X267" s="17"/>
      <c r="Y267" s="17"/>
      <c r="Z267" s="17"/>
    </row>
    <row r="268">
      <c r="A268" s="18" t="str">
        <f>IFERROR(__xludf.DUMMYFUNCTION("""COMPUTED_VALUE"""),"ord_10267")</f>
        <v>ord_10267</v>
      </c>
      <c r="B268" s="18" t="str">
        <f>IFERROR(__xludf.DUMMYFUNCTION("""COMPUTED_VALUE"""),"Aditi Iyer")</f>
        <v>Aditi Iyer</v>
      </c>
      <c r="C268" s="18" t="str">
        <f>IFERROR(__xludf.DUMMYFUNCTION("""COMPUTED_VALUE"""),"Dadar")</f>
        <v>Dadar</v>
      </c>
      <c r="D268" s="18" t="str">
        <f>IFERROR(__xludf.DUMMYFUNCTION("""COMPUTED_VALUE"""),"Papaya")</f>
        <v>Papaya</v>
      </c>
      <c r="E268" s="18">
        <f>IFERROR(__xludf.DUMMYFUNCTION("""COMPUTED_VALUE"""),2.0)</f>
        <v>2</v>
      </c>
      <c r="F268" s="18" t="str">
        <f>IFERROR(__xludf.DUMMYFUNCTION("""COMPUTED_VALUE"""),"Aman Kumar")</f>
        <v>Aman Kumar</v>
      </c>
      <c r="G268" s="19">
        <f>IFERROR(__xludf.DUMMYFUNCTION("""COMPUTED_VALUE"""),45003.0)</f>
        <v>45003</v>
      </c>
      <c r="H268" s="18" t="str">
        <f>IFERROR(__xludf.DUMMYFUNCTION("""COMPUTED_VALUE"""),"COD")</f>
        <v>COD</v>
      </c>
      <c r="I268" s="18" t="str">
        <f>IFERROR(__xludf.DUMMYFUNCTION("""COMPUTED_VALUE"""),"Delivered")</f>
        <v>Delivered</v>
      </c>
      <c r="J268" s="18" t="str">
        <f>IFERROR(__xludf.DUMMYFUNCTION("""COMPUTED_VALUE"""),"Packaging")</f>
        <v>Packaging</v>
      </c>
      <c r="K268" s="18" t="str">
        <f>IFERROR(__xludf.DUMMYFUNCTION("""COMPUTED_VALUE"""),"Secure and intact")</f>
        <v>Secure and intact</v>
      </c>
      <c r="L268" s="18">
        <f>iferror(VLOOKUP($D268,Details!$A$2:$C$11,2,false),vlookup($D268,Details!$E$2:$G$11,2,false))</f>
        <v>75</v>
      </c>
      <c r="M268" s="18" t="str">
        <f>iferror(VLOOKUP($D268,Details!$A$2:$C$11,3,false),vlookup($D268,Details!$E$2:$G$11,3,false))</f>
        <v>Fruits and Vegetables</v>
      </c>
      <c r="N268" s="18">
        <f t="shared" si="1"/>
        <v>150</v>
      </c>
      <c r="O268" s="17"/>
      <c r="P268" s="17"/>
      <c r="Q268" s="17"/>
      <c r="R268" s="17"/>
      <c r="S268" s="17"/>
      <c r="T268" s="17"/>
      <c r="U268" s="17"/>
      <c r="V268" s="17"/>
      <c r="W268" s="17"/>
      <c r="X268" s="17"/>
      <c r="Y268" s="17"/>
      <c r="Z268" s="17"/>
    </row>
    <row r="269">
      <c r="A269" s="18" t="str">
        <f>IFERROR(__xludf.DUMMYFUNCTION("""COMPUTED_VALUE"""),"ord_10268")</f>
        <v>ord_10268</v>
      </c>
      <c r="B269" s="18" t="str">
        <f>IFERROR(__xludf.DUMMYFUNCTION("""COMPUTED_VALUE"""),"Aditya Rao")</f>
        <v>Aditya Rao</v>
      </c>
      <c r="C269" s="18" t="str">
        <f>IFERROR(__xludf.DUMMYFUNCTION("""COMPUTED_VALUE"""),"Lower Parel")</f>
        <v>Lower Parel</v>
      </c>
      <c r="D269" s="18" t="str">
        <f>IFERROR(__xludf.DUMMYFUNCTION("""COMPUTED_VALUE"""),"Icecream")</f>
        <v>Icecream</v>
      </c>
      <c r="E269" s="18">
        <f>IFERROR(__xludf.DUMMYFUNCTION("""COMPUTED_VALUE"""),4.0)</f>
        <v>4</v>
      </c>
      <c r="F269" s="18" t="str">
        <f>IFERROR(__xludf.DUMMYFUNCTION("""COMPUTED_VALUE"""),"Not Assigned")</f>
        <v>Not Assigned</v>
      </c>
      <c r="G269" s="19">
        <f>IFERROR(__xludf.DUMMYFUNCTION("""COMPUTED_VALUE"""),45216.0)</f>
        <v>45216</v>
      </c>
      <c r="H269" s="18" t="str">
        <f>IFERROR(__xludf.DUMMYFUNCTION("""COMPUTED_VALUE"""),"UPI")</f>
        <v>UPI</v>
      </c>
      <c r="I269" s="18" t="str">
        <f>IFERROR(__xludf.DUMMYFUNCTION("""COMPUTED_VALUE"""),"Cancelled")</f>
        <v>Cancelled</v>
      </c>
      <c r="J269" s="18" t="str">
        <f>IFERROR(__xludf.DUMMYFUNCTION("""COMPUTED_VALUE"""),"High Delivery Fees")</f>
        <v>High Delivery Fees</v>
      </c>
      <c r="K269" s="18"/>
      <c r="L269" s="18">
        <f>iferror(VLOOKUP($D269,Details!$A$2:$C$11,2,false),vlookup($D269,Details!$E$2:$G$11,2,false))</f>
        <v>90</v>
      </c>
      <c r="M269" s="18" t="str">
        <f>iferror(VLOOKUP($D269,Details!$A$2:$C$11,3,false),vlookup($D269,Details!$E$2:$G$11,3,false))</f>
        <v>Snacks and Drinks</v>
      </c>
      <c r="N269" s="18">
        <f t="shared" si="1"/>
        <v>360</v>
      </c>
      <c r="O269" s="17"/>
      <c r="P269" s="17"/>
      <c r="Q269" s="17"/>
      <c r="R269" s="17"/>
      <c r="S269" s="17"/>
      <c r="T269" s="17"/>
      <c r="U269" s="17"/>
      <c r="V269" s="17"/>
      <c r="W269" s="17"/>
      <c r="X269" s="17"/>
      <c r="Y269" s="17"/>
      <c r="Z269" s="17"/>
    </row>
    <row r="270">
      <c r="A270" s="18" t="str">
        <f>IFERROR(__xludf.DUMMYFUNCTION("""COMPUTED_VALUE"""),"ord_10269")</f>
        <v>ord_10269</v>
      </c>
      <c r="B270" s="18" t="str">
        <f>IFERROR(__xludf.DUMMYFUNCTION("""COMPUTED_VALUE"""),"Pallavi Ghosh")</f>
        <v>Pallavi Ghosh</v>
      </c>
      <c r="C270" s="18" t="str">
        <f>IFERROR(__xludf.DUMMYFUNCTION("""COMPUTED_VALUE"""),"Bandra")</f>
        <v>Bandra</v>
      </c>
      <c r="D270" s="18" t="str">
        <f>IFERROR(__xludf.DUMMYFUNCTION("""COMPUTED_VALUE"""),"Cold Coffee")</f>
        <v>Cold Coffee</v>
      </c>
      <c r="E270" s="18">
        <f>IFERROR(__xludf.DUMMYFUNCTION("""COMPUTED_VALUE"""),5.0)</f>
        <v>5</v>
      </c>
      <c r="F270" s="18" t="str">
        <f>IFERROR(__xludf.DUMMYFUNCTION("""COMPUTED_VALUE"""),"Priya Joshi")</f>
        <v>Priya Joshi</v>
      </c>
      <c r="G270" s="19">
        <f>IFERROR(__xludf.DUMMYFUNCTION("""COMPUTED_VALUE"""),45092.0)</f>
        <v>45092</v>
      </c>
      <c r="H270" s="18" t="str">
        <f>IFERROR(__xludf.DUMMYFUNCTION("""COMPUTED_VALUE"""),"COD")</f>
        <v>COD</v>
      </c>
      <c r="I270" s="18" t="str">
        <f>IFERROR(__xludf.DUMMYFUNCTION("""COMPUTED_VALUE"""),"Delivered")</f>
        <v>Delivered</v>
      </c>
      <c r="J270" s="18" t="str">
        <f>IFERROR(__xludf.DUMMYFUNCTION("""COMPUTED_VALUE"""),"Satisfied with the Delivery")</f>
        <v>Satisfied with the Delivery</v>
      </c>
      <c r="K270" s="18" t="str">
        <f>IFERROR(__xludf.DUMMYFUNCTION("""COMPUTED_VALUE"""),"Timely and quality")</f>
        <v>Timely and quality</v>
      </c>
      <c r="L270" s="18">
        <f>iferror(VLOOKUP($D270,Details!$A$2:$C$11,2,false),vlookup($D270,Details!$E$2:$G$11,2,false))</f>
        <v>270</v>
      </c>
      <c r="M270" s="18" t="str">
        <f>iferror(VLOOKUP($D270,Details!$A$2:$C$11,3,false),vlookup($D270,Details!$E$2:$G$11,3,false))</f>
        <v>Snacks and Drinks</v>
      </c>
      <c r="N270" s="18">
        <f t="shared" si="1"/>
        <v>1350</v>
      </c>
      <c r="O270" s="17"/>
      <c r="P270" s="17"/>
      <c r="Q270" s="17"/>
      <c r="R270" s="17"/>
      <c r="S270" s="17"/>
      <c r="T270" s="17"/>
      <c r="U270" s="17"/>
      <c r="V270" s="17"/>
      <c r="W270" s="17"/>
      <c r="X270" s="17"/>
      <c r="Y270" s="17"/>
      <c r="Z270" s="17"/>
    </row>
    <row r="271">
      <c r="A271" s="18" t="str">
        <f>IFERROR(__xludf.DUMMYFUNCTION("""COMPUTED_VALUE"""),"ord_10270")</f>
        <v>ord_10270</v>
      </c>
      <c r="B271" s="18" t="str">
        <f>IFERROR(__xludf.DUMMYFUNCTION("""COMPUTED_VALUE"""),"Aditi Iyer")</f>
        <v>Aditi Iyer</v>
      </c>
      <c r="C271" s="18" t="str">
        <f>IFERROR(__xludf.DUMMYFUNCTION("""COMPUTED_VALUE"""),"Dadar")</f>
        <v>Dadar</v>
      </c>
      <c r="D271" s="18" t="str">
        <f>IFERROR(__xludf.DUMMYFUNCTION("""COMPUTED_VALUE"""),"Juice")</f>
        <v>Juice</v>
      </c>
      <c r="E271" s="18">
        <f>IFERROR(__xludf.DUMMYFUNCTION("""COMPUTED_VALUE"""),5.0)</f>
        <v>5</v>
      </c>
      <c r="F271" s="18" t="str">
        <f>IFERROR(__xludf.DUMMYFUNCTION("""COMPUTED_VALUE"""),"Vivek Kumar")</f>
        <v>Vivek Kumar</v>
      </c>
      <c r="G271" s="19">
        <f>IFERROR(__xludf.DUMMYFUNCTION("""COMPUTED_VALUE"""),45184.0)</f>
        <v>45184</v>
      </c>
      <c r="H271" s="18" t="str">
        <f>IFERROR(__xludf.DUMMYFUNCTION("""COMPUTED_VALUE"""),"Credit Card")</f>
        <v>Credit Card</v>
      </c>
      <c r="I271" s="18" t="str">
        <f>IFERROR(__xludf.DUMMYFUNCTION("""COMPUTED_VALUE"""),"Delivered")</f>
        <v>Delivered</v>
      </c>
      <c r="J271" s="18" t="str">
        <f>IFERROR(__xludf.DUMMYFUNCTION("""COMPUTED_VALUE"""),"Customer Service")</f>
        <v>Customer Service</v>
      </c>
      <c r="K271" s="18" t="str">
        <f>IFERROR(__xludf.DUMMYFUNCTION("""COMPUTED_VALUE"""),"Seamless and easy")</f>
        <v>Seamless and easy</v>
      </c>
      <c r="L271" s="18">
        <f>iferror(VLOOKUP($D271,Details!$A$2:$C$11,2,false),vlookup($D271,Details!$E$2:$G$11,2,false))</f>
        <v>90</v>
      </c>
      <c r="M271" s="18" t="str">
        <f>iferror(VLOOKUP($D271,Details!$A$2:$C$11,3,false),vlookup($D271,Details!$E$2:$G$11,3,false))</f>
        <v>Snacks and Drinks</v>
      </c>
      <c r="N271" s="18">
        <f t="shared" si="1"/>
        <v>450</v>
      </c>
      <c r="O271" s="17"/>
      <c r="P271" s="17"/>
      <c r="Q271" s="17"/>
      <c r="R271" s="17"/>
      <c r="S271" s="17"/>
      <c r="T271" s="17"/>
      <c r="U271" s="17"/>
      <c r="V271" s="17"/>
      <c r="W271" s="17"/>
      <c r="X271" s="17"/>
      <c r="Y271" s="17"/>
      <c r="Z271" s="17"/>
    </row>
    <row r="272">
      <c r="A272" s="18" t="str">
        <f>IFERROR(__xludf.DUMMYFUNCTION("""COMPUTED_VALUE"""),"ord_10271")</f>
        <v>ord_10271</v>
      </c>
      <c r="B272" s="18" t="str">
        <f>IFERROR(__xludf.DUMMYFUNCTION("""COMPUTED_VALUE"""),"Aditi Iyer")</f>
        <v>Aditi Iyer</v>
      </c>
      <c r="C272" s="18" t="str">
        <f>IFERROR(__xludf.DUMMYFUNCTION("""COMPUTED_VALUE"""),"Dadar")</f>
        <v>Dadar</v>
      </c>
      <c r="D272" s="18" t="str">
        <f>IFERROR(__xludf.DUMMYFUNCTION("""COMPUTED_VALUE"""),"Juice")</f>
        <v>Juice</v>
      </c>
      <c r="E272" s="18">
        <f>IFERROR(__xludf.DUMMYFUNCTION("""COMPUTED_VALUE"""),3.0)</f>
        <v>3</v>
      </c>
      <c r="F272" s="18" t="str">
        <f>IFERROR(__xludf.DUMMYFUNCTION("""COMPUTED_VALUE"""),"Manju Ajay")</f>
        <v>Manju Ajay</v>
      </c>
      <c r="G272" s="19">
        <f>IFERROR(__xludf.DUMMYFUNCTION("""COMPUTED_VALUE"""),45017.0)</f>
        <v>45017</v>
      </c>
      <c r="H272" s="18" t="str">
        <f>IFERROR(__xludf.DUMMYFUNCTION("""COMPUTED_VALUE"""),"Online Payment")</f>
        <v>Online Payment</v>
      </c>
      <c r="I272" s="18" t="str">
        <f>IFERROR(__xludf.DUMMYFUNCTION("""COMPUTED_VALUE"""),"Cancelled")</f>
        <v>Cancelled</v>
      </c>
      <c r="J272" s="18" t="str">
        <f>IFERROR(__xludf.DUMMYFUNCTION("""COMPUTED_VALUE"""),"Delayed Delivery")</f>
        <v>Delayed Delivery</v>
      </c>
      <c r="K272" s="18" t="str">
        <f>IFERROR(__xludf.DUMMYFUNCTION("""COMPUTED_VALUE"""),"Bad Weather Conditions")</f>
        <v>Bad Weather Conditions</v>
      </c>
      <c r="L272" s="18">
        <f>iferror(VLOOKUP($D272,Details!$A$2:$C$11,2,false),vlookup($D272,Details!$E$2:$G$11,2,false))</f>
        <v>90</v>
      </c>
      <c r="M272" s="18" t="str">
        <f>iferror(VLOOKUP($D272,Details!$A$2:$C$11,3,false),vlookup($D272,Details!$E$2:$G$11,3,false))</f>
        <v>Snacks and Drinks</v>
      </c>
      <c r="N272" s="18">
        <f t="shared" si="1"/>
        <v>270</v>
      </c>
      <c r="O272" s="17"/>
      <c r="P272" s="17"/>
      <c r="Q272" s="17"/>
      <c r="R272" s="17"/>
      <c r="S272" s="17"/>
      <c r="T272" s="17"/>
      <c r="U272" s="17"/>
      <c r="V272" s="17"/>
      <c r="W272" s="17"/>
      <c r="X272" s="17"/>
      <c r="Y272" s="17"/>
      <c r="Z272" s="17"/>
    </row>
    <row r="273">
      <c r="A273" s="18" t="str">
        <f>IFERROR(__xludf.DUMMYFUNCTION("""COMPUTED_VALUE"""),"ord_10272")</f>
        <v>ord_10272</v>
      </c>
      <c r="B273" s="18" t="str">
        <f>IFERROR(__xludf.DUMMYFUNCTION("""COMPUTED_VALUE"""),"Parth Goel")</f>
        <v>Parth Goel</v>
      </c>
      <c r="C273" s="18" t="str">
        <f>IFERROR(__xludf.DUMMYFUNCTION("""COMPUTED_VALUE"""),"Juhu")</f>
        <v>Juhu</v>
      </c>
      <c r="D273" s="18" t="str">
        <f>IFERROR(__xludf.DUMMYFUNCTION("""COMPUTED_VALUE"""),"Juice")</f>
        <v>Juice</v>
      </c>
      <c r="E273" s="18">
        <f>IFERROR(__xludf.DUMMYFUNCTION("""COMPUTED_VALUE"""),1.0)</f>
        <v>1</v>
      </c>
      <c r="F273" s="18" t="str">
        <f>IFERROR(__xludf.DUMMYFUNCTION("""COMPUTED_VALUE"""),"Kiran Mehta")</f>
        <v>Kiran Mehta</v>
      </c>
      <c r="G273" s="19">
        <f>IFERROR(__xludf.DUMMYFUNCTION("""COMPUTED_VALUE"""),45175.0)</f>
        <v>45175</v>
      </c>
      <c r="H273" s="18" t="str">
        <f>IFERROR(__xludf.DUMMYFUNCTION("""COMPUTED_VALUE"""),"Credit Card")</f>
        <v>Credit Card</v>
      </c>
      <c r="I273" s="18" t="str">
        <f>IFERROR(__xludf.DUMMYFUNCTION("""COMPUTED_VALUE"""),"Cancelled")</f>
        <v>Cancelled</v>
      </c>
      <c r="J273" s="18" t="str">
        <f>IFERROR(__xludf.DUMMYFUNCTION("""COMPUTED_VALUE"""),"Delayed Delivery")</f>
        <v>Delayed Delivery</v>
      </c>
      <c r="K273" s="18" t="str">
        <f>IFERROR(__xludf.DUMMYFUNCTION("""COMPUTED_VALUE"""),"Heavy Traffic")</f>
        <v>Heavy Traffic</v>
      </c>
      <c r="L273" s="18">
        <f>iferror(VLOOKUP($D273,Details!$A$2:$C$11,2,false),vlookup($D273,Details!$E$2:$G$11,2,false))</f>
        <v>90</v>
      </c>
      <c r="M273" s="18" t="str">
        <f>iferror(VLOOKUP($D273,Details!$A$2:$C$11,3,false),vlookup($D273,Details!$E$2:$G$11,3,false))</f>
        <v>Snacks and Drinks</v>
      </c>
      <c r="N273" s="18">
        <f t="shared" si="1"/>
        <v>90</v>
      </c>
      <c r="O273" s="17"/>
      <c r="P273" s="17"/>
      <c r="Q273" s="17"/>
      <c r="R273" s="17"/>
      <c r="S273" s="17"/>
      <c r="T273" s="17"/>
      <c r="U273" s="17"/>
      <c r="V273" s="17"/>
      <c r="W273" s="17"/>
      <c r="X273" s="17"/>
      <c r="Y273" s="17"/>
      <c r="Z273" s="17"/>
    </row>
    <row r="274">
      <c r="A274" s="18" t="str">
        <f>IFERROR(__xludf.DUMMYFUNCTION("""COMPUTED_VALUE"""),"ord_10273")</f>
        <v>ord_10273</v>
      </c>
      <c r="B274" s="18" t="str">
        <f>IFERROR(__xludf.DUMMYFUNCTION("""COMPUTED_VALUE"""),"Mehul Thakkar")</f>
        <v>Mehul Thakkar</v>
      </c>
      <c r="C274" s="18" t="str">
        <f>IFERROR(__xludf.DUMMYFUNCTION("""COMPUTED_VALUE"""),"Malad")</f>
        <v>Malad</v>
      </c>
      <c r="D274" s="18" t="str">
        <f>IFERROR(__xludf.DUMMYFUNCTION("""COMPUTED_VALUE"""),"Juice")</f>
        <v>Juice</v>
      </c>
      <c r="E274" s="18">
        <f>IFERROR(__xludf.DUMMYFUNCTION("""COMPUTED_VALUE"""),4.0)</f>
        <v>4</v>
      </c>
      <c r="F274" s="18" t="str">
        <f>IFERROR(__xludf.DUMMYFUNCTION("""COMPUTED_VALUE"""),"Ramesh S")</f>
        <v>Ramesh S</v>
      </c>
      <c r="G274" s="19">
        <f>IFERROR(__xludf.DUMMYFUNCTION("""COMPUTED_VALUE"""),44942.0)</f>
        <v>44942</v>
      </c>
      <c r="H274" s="18" t="str">
        <f>IFERROR(__xludf.DUMMYFUNCTION("""COMPUTED_VALUE"""),"Credit Card")</f>
        <v>Credit Card</v>
      </c>
      <c r="I274" s="18" t="str">
        <f>IFERROR(__xludf.DUMMYFUNCTION("""COMPUTED_VALUE"""),"Cancelled")</f>
        <v>Cancelled</v>
      </c>
      <c r="J274" s="18" t="str">
        <f>IFERROR(__xludf.DUMMYFUNCTION("""COMPUTED_VALUE"""),"Delayed Delivery")</f>
        <v>Delayed Delivery</v>
      </c>
      <c r="K274" s="18" t="str">
        <f>IFERROR(__xludf.DUMMYFUNCTION("""COMPUTED_VALUE"""),"Incorrect Address or Location")</f>
        <v>Incorrect Address or Location</v>
      </c>
      <c r="L274" s="18">
        <f>iferror(VLOOKUP($D274,Details!$A$2:$C$11,2,false),vlookup($D274,Details!$E$2:$G$11,2,false))</f>
        <v>90</v>
      </c>
      <c r="M274" s="18" t="str">
        <f>iferror(VLOOKUP($D274,Details!$A$2:$C$11,3,false),vlookup($D274,Details!$E$2:$G$11,3,false))</f>
        <v>Snacks and Drinks</v>
      </c>
      <c r="N274" s="18">
        <f t="shared" si="1"/>
        <v>360</v>
      </c>
      <c r="O274" s="17"/>
      <c r="P274" s="17"/>
      <c r="Q274" s="17"/>
      <c r="R274" s="17"/>
      <c r="S274" s="17"/>
      <c r="T274" s="17"/>
      <c r="U274" s="17"/>
      <c r="V274" s="17"/>
      <c r="W274" s="17"/>
      <c r="X274" s="17"/>
      <c r="Y274" s="17"/>
      <c r="Z274" s="17"/>
    </row>
    <row r="275">
      <c r="A275" s="18" t="str">
        <f>IFERROR(__xludf.DUMMYFUNCTION("""COMPUTED_VALUE"""),"ord_10274")</f>
        <v>ord_10274</v>
      </c>
      <c r="B275" s="18" t="str">
        <f>IFERROR(__xludf.DUMMYFUNCTION("""COMPUTED_VALUE"""),"Aarav Mehta")</f>
        <v>Aarav Mehta</v>
      </c>
      <c r="C275" s="18" t="str">
        <f>IFERROR(__xludf.DUMMYFUNCTION("""COMPUTED_VALUE"""),"Andheri")</f>
        <v>Andheri</v>
      </c>
      <c r="D275" s="18" t="str">
        <f>IFERROR(__xludf.DUMMYFUNCTION("""COMPUTED_VALUE"""),"Popcorn")</f>
        <v>Popcorn</v>
      </c>
      <c r="E275" s="18">
        <f>IFERROR(__xludf.DUMMYFUNCTION("""COMPUTED_VALUE"""),1.0)</f>
        <v>1</v>
      </c>
      <c r="F275" s="18" t="str">
        <f>IFERROR(__xludf.DUMMYFUNCTION("""COMPUTED_VALUE"""),"Not Assigned")</f>
        <v>Not Assigned</v>
      </c>
      <c r="G275" s="19">
        <f>IFERROR(__xludf.DUMMYFUNCTION("""COMPUTED_VALUE"""),45153.0)</f>
        <v>45153</v>
      </c>
      <c r="H275" s="18" t="str">
        <f>IFERROR(__xludf.DUMMYFUNCTION("""COMPUTED_VALUE"""),"Credit Card")</f>
        <v>Credit Card</v>
      </c>
      <c r="I275" s="18" t="str">
        <f>IFERROR(__xludf.DUMMYFUNCTION("""COMPUTED_VALUE"""),"Cancelled")</f>
        <v>Cancelled</v>
      </c>
      <c r="J275" s="18" t="str">
        <f>IFERROR(__xludf.DUMMYFUNCTION("""COMPUTED_VALUE"""),"High Delivery Fees")</f>
        <v>High Delivery Fees</v>
      </c>
      <c r="K275" s="18"/>
      <c r="L275" s="18">
        <f>iferror(VLOOKUP($D275,Details!$A$2:$C$11,2,false),vlookup($D275,Details!$E$2:$G$11,2,false))</f>
        <v>150</v>
      </c>
      <c r="M275" s="18" t="str">
        <f>iferror(VLOOKUP($D275,Details!$A$2:$C$11,3,false),vlookup($D275,Details!$E$2:$G$11,3,false))</f>
        <v>Snacks and Drinks</v>
      </c>
      <c r="N275" s="18">
        <f t="shared" si="1"/>
        <v>150</v>
      </c>
      <c r="O275" s="17"/>
      <c r="P275" s="17"/>
      <c r="Q275" s="17"/>
      <c r="R275" s="17"/>
      <c r="S275" s="17"/>
      <c r="T275" s="17"/>
      <c r="U275" s="17"/>
      <c r="V275" s="17"/>
      <c r="W275" s="17"/>
      <c r="X275" s="17"/>
      <c r="Y275" s="17"/>
      <c r="Z275" s="17"/>
    </row>
    <row r="276">
      <c r="A276" s="18" t="str">
        <f>IFERROR(__xludf.DUMMYFUNCTION("""COMPUTED_VALUE"""),"ord_10275")</f>
        <v>ord_10275</v>
      </c>
      <c r="B276" s="18" t="str">
        <f>IFERROR(__xludf.DUMMYFUNCTION("""COMPUTED_VALUE"""),"Ishita Banerjee")</f>
        <v>Ishita Banerjee</v>
      </c>
      <c r="C276" s="18" t="str">
        <f>IFERROR(__xludf.DUMMYFUNCTION("""COMPUTED_VALUE"""),"Juhu")</f>
        <v>Juhu</v>
      </c>
      <c r="D276" s="18" t="str">
        <f>IFERROR(__xludf.DUMMYFUNCTION("""COMPUTED_VALUE"""),"Onion")</f>
        <v>Onion</v>
      </c>
      <c r="E276" s="18">
        <f>IFERROR(__xludf.DUMMYFUNCTION("""COMPUTED_VALUE"""),1.0)</f>
        <v>1</v>
      </c>
      <c r="F276" s="18" t="str">
        <f>IFERROR(__xludf.DUMMYFUNCTION("""COMPUTED_VALUE"""),"Sita T")</f>
        <v>Sita T</v>
      </c>
      <c r="G276" s="19">
        <f>IFERROR(__xludf.DUMMYFUNCTION("""COMPUTED_VALUE"""),44997.0)</f>
        <v>44997</v>
      </c>
      <c r="H276" s="18" t="str">
        <f>IFERROR(__xludf.DUMMYFUNCTION("""COMPUTED_VALUE"""),"Online Payment")</f>
        <v>Online Payment</v>
      </c>
      <c r="I276" s="18" t="str">
        <f>IFERROR(__xludf.DUMMYFUNCTION("""COMPUTED_VALUE"""),"Delivered")</f>
        <v>Delivered</v>
      </c>
      <c r="J276" s="18" t="str">
        <f>IFERROR(__xludf.DUMMYFUNCTION("""COMPUTED_VALUE"""),"Delivery Experience")</f>
        <v>Delivery Experience</v>
      </c>
      <c r="K276" s="18" t="str">
        <f>IFERROR(__xludf.DUMMYFUNCTION("""COMPUTED_VALUE"""),"Quick and professional")</f>
        <v>Quick and professional</v>
      </c>
      <c r="L276" s="18">
        <f>iferror(VLOOKUP($D276,Details!$A$2:$C$11,2,false),vlookup($D276,Details!$E$2:$G$11,2,false))</f>
        <v>84</v>
      </c>
      <c r="M276" s="18" t="str">
        <f>iferror(VLOOKUP($D276,Details!$A$2:$C$11,3,false),vlookup($D276,Details!$E$2:$G$11,3,false))</f>
        <v>Fruits and Vegetables</v>
      </c>
      <c r="N276" s="18">
        <f t="shared" si="1"/>
        <v>84</v>
      </c>
      <c r="O276" s="17"/>
      <c r="P276" s="17"/>
      <c r="Q276" s="17"/>
      <c r="R276" s="17"/>
      <c r="S276" s="17"/>
      <c r="T276" s="17"/>
      <c r="U276" s="17"/>
      <c r="V276" s="17"/>
      <c r="W276" s="17"/>
      <c r="X276" s="17"/>
      <c r="Y276" s="17"/>
      <c r="Z276" s="17"/>
    </row>
    <row r="277">
      <c r="A277" s="18" t="str">
        <f>IFERROR(__xludf.DUMMYFUNCTION("""COMPUTED_VALUE"""),"ord_10276")</f>
        <v>ord_10276</v>
      </c>
      <c r="B277" s="18" t="str">
        <f>IFERROR(__xludf.DUMMYFUNCTION("""COMPUTED_VALUE"""),"Kritika Shetty")</f>
        <v>Kritika Shetty</v>
      </c>
      <c r="C277" s="18" t="str">
        <f>IFERROR(__xludf.DUMMYFUNCTION("""COMPUTED_VALUE"""),"Malad")</f>
        <v>Malad</v>
      </c>
      <c r="D277" s="18" t="str">
        <f>IFERROR(__xludf.DUMMYFUNCTION("""COMPUTED_VALUE"""),"Rasmalai")</f>
        <v>Rasmalai</v>
      </c>
      <c r="E277" s="18">
        <f>IFERROR(__xludf.DUMMYFUNCTION("""COMPUTED_VALUE"""),3.0)</f>
        <v>3</v>
      </c>
      <c r="F277" s="18" t="str">
        <f>IFERROR(__xludf.DUMMYFUNCTION("""COMPUTED_VALUE"""),"Tanvi Jain")</f>
        <v>Tanvi Jain</v>
      </c>
      <c r="G277" s="19">
        <f>IFERROR(__xludf.DUMMYFUNCTION("""COMPUTED_VALUE"""),45015.0)</f>
        <v>45015</v>
      </c>
      <c r="H277" s="18" t="str">
        <f>IFERROR(__xludf.DUMMYFUNCTION("""COMPUTED_VALUE"""),"Credit Card")</f>
        <v>Credit Card</v>
      </c>
      <c r="I277" s="18" t="str">
        <f>IFERROR(__xludf.DUMMYFUNCTION("""COMPUTED_VALUE"""),"Cancelled")</f>
        <v>Cancelled</v>
      </c>
      <c r="J277" s="18" t="str">
        <f>IFERROR(__xludf.DUMMYFUNCTION("""COMPUTED_VALUE"""),"Delayed Delivery")</f>
        <v>Delayed Delivery</v>
      </c>
      <c r="K277" s="18" t="str">
        <f>IFERROR(__xludf.DUMMYFUNCTION("""COMPUTED_VALUE"""),"Bad Weather Conditions")</f>
        <v>Bad Weather Conditions</v>
      </c>
      <c r="L277" s="18">
        <f>iferror(VLOOKUP($D277,Details!$A$2:$C$11,2,false),vlookup($D277,Details!$E$2:$G$11,2,false))</f>
        <v>110</v>
      </c>
      <c r="M277" s="18" t="str">
        <f>iferror(VLOOKUP($D277,Details!$A$2:$C$11,3,false),vlookup($D277,Details!$E$2:$G$11,3,false))</f>
        <v>Snacks and Drinks</v>
      </c>
      <c r="N277" s="18">
        <f t="shared" si="1"/>
        <v>330</v>
      </c>
      <c r="O277" s="17"/>
      <c r="P277" s="17"/>
      <c r="Q277" s="17"/>
      <c r="R277" s="17"/>
      <c r="S277" s="17"/>
      <c r="T277" s="17"/>
      <c r="U277" s="17"/>
      <c r="V277" s="17"/>
      <c r="W277" s="17"/>
      <c r="X277" s="17"/>
      <c r="Y277" s="17"/>
      <c r="Z277" s="17"/>
    </row>
    <row r="278">
      <c r="A278" s="18" t="str">
        <f>IFERROR(__xludf.DUMMYFUNCTION("""COMPUTED_VALUE"""),"ord_10277")</f>
        <v>ord_10277</v>
      </c>
      <c r="B278" s="18" t="str">
        <f>IFERROR(__xludf.DUMMYFUNCTION("""COMPUTED_VALUE"""),"Diya Arora")</f>
        <v>Diya Arora</v>
      </c>
      <c r="C278" s="18" t="str">
        <f>IFERROR(__xludf.DUMMYFUNCTION("""COMPUTED_VALUE"""),"Lower Parel")</f>
        <v>Lower Parel</v>
      </c>
      <c r="D278" s="18" t="str">
        <f>IFERROR(__xludf.DUMMYFUNCTION("""COMPUTED_VALUE"""),"Chocolate Mousse")</f>
        <v>Chocolate Mousse</v>
      </c>
      <c r="E278" s="18">
        <f>IFERROR(__xludf.DUMMYFUNCTION("""COMPUTED_VALUE"""),3.0)</f>
        <v>3</v>
      </c>
      <c r="F278" s="18" t="str">
        <f>IFERROR(__xludf.DUMMYFUNCTION("""COMPUTED_VALUE"""),"Shine Thomas")</f>
        <v>Shine Thomas</v>
      </c>
      <c r="G278" s="19">
        <f>IFERROR(__xludf.DUMMYFUNCTION("""COMPUTED_VALUE"""),45266.0)</f>
        <v>45266</v>
      </c>
      <c r="H278" s="18" t="str">
        <f>IFERROR(__xludf.DUMMYFUNCTION("""COMPUTED_VALUE"""),"UPI")</f>
        <v>UPI</v>
      </c>
      <c r="I278" s="18" t="str">
        <f>IFERROR(__xludf.DUMMYFUNCTION("""COMPUTED_VALUE"""),"Delivered")</f>
        <v>Delivered</v>
      </c>
      <c r="J278" s="18" t="str">
        <f>IFERROR(__xludf.DUMMYFUNCTION("""COMPUTED_VALUE"""),"Convenience")</f>
        <v>Convenience</v>
      </c>
      <c r="K278" s="18" t="str">
        <f>IFERROR(__xludf.DUMMYFUNCTION("""COMPUTED_VALUE"""),"Easy tracking")</f>
        <v>Easy tracking</v>
      </c>
      <c r="L278" s="18">
        <f>iferror(VLOOKUP($D278,Details!$A$2:$C$11,2,false),vlookup($D278,Details!$E$2:$G$11,2,false))</f>
        <v>145</v>
      </c>
      <c r="M278" s="18" t="str">
        <f>iferror(VLOOKUP($D278,Details!$A$2:$C$11,3,false),vlookup($D278,Details!$E$2:$G$11,3,false))</f>
        <v>Snacks and Drinks</v>
      </c>
      <c r="N278" s="18">
        <f t="shared" si="1"/>
        <v>435</v>
      </c>
      <c r="O278" s="17"/>
      <c r="P278" s="17"/>
      <c r="Q278" s="17"/>
      <c r="R278" s="17"/>
      <c r="S278" s="17"/>
      <c r="T278" s="17"/>
      <c r="U278" s="17"/>
      <c r="V278" s="17"/>
      <c r="W278" s="17"/>
      <c r="X278" s="17"/>
      <c r="Y278" s="17"/>
      <c r="Z278" s="17"/>
    </row>
    <row r="279">
      <c r="A279" s="18" t="str">
        <f>IFERROR(__xludf.DUMMYFUNCTION("""COMPUTED_VALUE"""),"ord_10278")</f>
        <v>ord_10278</v>
      </c>
      <c r="B279" s="18" t="str">
        <f>IFERROR(__xludf.DUMMYFUNCTION("""COMPUTED_VALUE"""),"Siya Reddy")</f>
        <v>Siya Reddy</v>
      </c>
      <c r="C279" s="18" t="str">
        <f>IFERROR(__xludf.DUMMYFUNCTION("""COMPUTED_VALUE"""),"Juhu")</f>
        <v>Juhu</v>
      </c>
      <c r="D279" s="18" t="str">
        <f>IFERROR(__xludf.DUMMYFUNCTION("""COMPUTED_VALUE"""),"Chicken Puff")</f>
        <v>Chicken Puff</v>
      </c>
      <c r="E279" s="18">
        <f>IFERROR(__xludf.DUMMYFUNCTION("""COMPUTED_VALUE"""),4.0)</f>
        <v>4</v>
      </c>
      <c r="F279" s="18" t="str">
        <f>IFERROR(__xludf.DUMMYFUNCTION("""COMPUTED_VALUE"""),"Ram Gopal")</f>
        <v>Ram Gopal</v>
      </c>
      <c r="G279" s="19">
        <f>IFERROR(__xludf.DUMMYFUNCTION("""COMPUTED_VALUE"""),45246.0)</f>
        <v>45246</v>
      </c>
      <c r="H279" s="18" t="str">
        <f>IFERROR(__xludf.DUMMYFUNCTION("""COMPUTED_VALUE"""),"Credit Card")</f>
        <v>Credit Card</v>
      </c>
      <c r="I279" s="18" t="str">
        <f>IFERROR(__xludf.DUMMYFUNCTION("""COMPUTED_VALUE"""),"Cancelled")</f>
        <v>Cancelled</v>
      </c>
      <c r="J279" s="18" t="str">
        <f>IFERROR(__xludf.DUMMYFUNCTION("""COMPUTED_VALUE"""),"Delayed Delivery")</f>
        <v>Delayed Delivery</v>
      </c>
      <c r="K279" s="18" t="str">
        <f>IFERROR(__xludf.DUMMYFUNCTION("""COMPUTED_VALUE"""),"Heavy Traffic")</f>
        <v>Heavy Traffic</v>
      </c>
      <c r="L279" s="18">
        <f>iferror(VLOOKUP($D279,Details!$A$2:$C$11,2,false),vlookup($D279,Details!$E$2:$G$11,2,false))</f>
        <v>90</v>
      </c>
      <c r="M279" s="18" t="str">
        <f>iferror(VLOOKUP($D279,Details!$A$2:$C$11,3,false),vlookup($D279,Details!$E$2:$G$11,3,false))</f>
        <v>Snacks and Drinks</v>
      </c>
      <c r="N279" s="18">
        <f t="shared" si="1"/>
        <v>360</v>
      </c>
      <c r="O279" s="17"/>
      <c r="P279" s="17"/>
      <c r="Q279" s="17"/>
      <c r="R279" s="17"/>
      <c r="S279" s="17"/>
      <c r="T279" s="17"/>
      <c r="U279" s="17"/>
      <c r="V279" s="17"/>
      <c r="W279" s="17"/>
      <c r="X279" s="17"/>
      <c r="Y279" s="17"/>
      <c r="Z279" s="17"/>
    </row>
    <row r="280">
      <c r="A280" s="18" t="str">
        <f>IFERROR(__xludf.DUMMYFUNCTION("""COMPUTED_VALUE"""),"ord_10279")</f>
        <v>ord_10279</v>
      </c>
      <c r="B280" s="18" t="str">
        <f>IFERROR(__xludf.DUMMYFUNCTION("""COMPUTED_VALUE"""),"Diya Arora")</f>
        <v>Diya Arora</v>
      </c>
      <c r="C280" s="18" t="str">
        <f>IFERROR(__xludf.DUMMYFUNCTION("""COMPUTED_VALUE"""),"Lower Parel")</f>
        <v>Lower Parel</v>
      </c>
      <c r="D280" s="18" t="str">
        <f>IFERROR(__xludf.DUMMYFUNCTION("""COMPUTED_VALUE"""),"Popcorn")</f>
        <v>Popcorn</v>
      </c>
      <c r="E280" s="18">
        <f>IFERROR(__xludf.DUMMYFUNCTION("""COMPUTED_VALUE"""),1.0)</f>
        <v>1</v>
      </c>
      <c r="F280" s="18" t="str">
        <f>IFERROR(__xludf.DUMMYFUNCTION("""COMPUTED_VALUE"""),"Not Assigned")</f>
        <v>Not Assigned</v>
      </c>
      <c r="G280" s="19">
        <f>IFERROR(__xludf.DUMMYFUNCTION("""COMPUTED_VALUE"""),45005.0)</f>
        <v>45005</v>
      </c>
      <c r="H280" s="18" t="str">
        <f>IFERROR(__xludf.DUMMYFUNCTION("""COMPUTED_VALUE"""),"Credit Card")</f>
        <v>Credit Card</v>
      </c>
      <c r="I280" s="18" t="str">
        <f>IFERROR(__xludf.DUMMYFUNCTION("""COMPUTED_VALUE"""),"Cancelled")</f>
        <v>Cancelled</v>
      </c>
      <c r="J280" s="18" t="str">
        <f>IFERROR(__xludf.DUMMYFUNCTION("""COMPUTED_VALUE"""),"Payment Issues")</f>
        <v>Payment Issues</v>
      </c>
      <c r="K280" s="18"/>
      <c r="L280" s="18">
        <f>iferror(VLOOKUP($D280,Details!$A$2:$C$11,2,false),vlookup($D280,Details!$E$2:$G$11,2,false))</f>
        <v>150</v>
      </c>
      <c r="M280" s="18" t="str">
        <f>iferror(VLOOKUP($D280,Details!$A$2:$C$11,3,false),vlookup($D280,Details!$E$2:$G$11,3,false))</f>
        <v>Snacks and Drinks</v>
      </c>
      <c r="N280" s="18">
        <f t="shared" si="1"/>
        <v>150</v>
      </c>
      <c r="O280" s="17"/>
      <c r="P280" s="17"/>
      <c r="Q280" s="17"/>
      <c r="R280" s="17"/>
      <c r="S280" s="17"/>
      <c r="T280" s="17"/>
      <c r="U280" s="17"/>
      <c r="V280" s="17"/>
      <c r="W280" s="17"/>
      <c r="X280" s="17"/>
      <c r="Y280" s="17"/>
      <c r="Z280" s="17"/>
    </row>
    <row r="281">
      <c r="A281" s="18" t="str">
        <f>IFERROR(__xludf.DUMMYFUNCTION("""COMPUTED_VALUE"""),"ord_10280")</f>
        <v>ord_10280</v>
      </c>
      <c r="B281" s="18" t="str">
        <f>IFERROR(__xludf.DUMMYFUNCTION("""COMPUTED_VALUE"""),"Ishita Banerjee")</f>
        <v>Ishita Banerjee</v>
      </c>
      <c r="C281" s="18" t="str">
        <f>IFERROR(__xludf.DUMMYFUNCTION("""COMPUTED_VALUE"""),"Juhu")</f>
        <v>Juhu</v>
      </c>
      <c r="D281" s="18" t="str">
        <f>IFERROR(__xludf.DUMMYFUNCTION("""COMPUTED_VALUE"""),"Banana")</f>
        <v>Banana</v>
      </c>
      <c r="E281" s="18">
        <f>IFERROR(__xludf.DUMMYFUNCTION("""COMPUTED_VALUE"""),2.0)</f>
        <v>2</v>
      </c>
      <c r="F281" s="18" t="str">
        <f>IFERROR(__xludf.DUMMYFUNCTION("""COMPUTED_VALUE"""),"Kiran Mehta")</f>
        <v>Kiran Mehta</v>
      </c>
      <c r="G281" s="19">
        <f>IFERROR(__xludf.DUMMYFUNCTION("""COMPUTED_VALUE"""),44985.0)</f>
        <v>44985</v>
      </c>
      <c r="H281" s="18" t="str">
        <f>IFERROR(__xludf.DUMMYFUNCTION("""COMPUTED_VALUE"""),"Online Payment")</f>
        <v>Online Payment</v>
      </c>
      <c r="I281" s="18" t="str">
        <f>IFERROR(__xludf.DUMMYFUNCTION("""COMPUTED_VALUE"""),"Cancelled")</f>
        <v>Cancelled</v>
      </c>
      <c r="J281" s="18" t="str">
        <f>IFERROR(__xludf.DUMMYFUNCTION("""COMPUTED_VALUE"""),"Delayed Delivery")</f>
        <v>Delayed Delivery</v>
      </c>
      <c r="K281" s="18" t="str">
        <f>IFERROR(__xludf.DUMMYFUNCTION("""COMPUTED_VALUE"""),"High Order Volume")</f>
        <v>High Order Volume</v>
      </c>
      <c r="L281" s="18">
        <f>iferror(VLOOKUP($D281,Details!$A$2:$C$11,2,false),vlookup($D281,Details!$E$2:$G$11,2,false))</f>
        <v>80</v>
      </c>
      <c r="M281" s="18" t="str">
        <f>iferror(VLOOKUP($D281,Details!$A$2:$C$11,3,false),vlookup($D281,Details!$E$2:$G$11,3,false))</f>
        <v>Fruits and Vegetables</v>
      </c>
      <c r="N281" s="18">
        <f t="shared" si="1"/>
        <v>160</v>
      </c>
      <c r="O281" s="17"/>
      <c r="P281" s="17"/>
      <c r="Q281" s="17"/>
      <c r="R281" s="17"/>
      <c r="S281" s="17"/>
      <c r="T281" s="17"/>
      <c r="U281" s="17"/>
      <c r="V281" s="17"/>
      <c r="W281" s="17"/>
      <c r="X281" s="17"/>
      <c r="Y281" s="17"/>
      <c r="Z281" s="17"/>
    </row>
    <row r="282">
      <c r="A282" s="18" t="str">
        <f>IFERROR(__xludf.DUMMYFUNCTION("""COMPUTED_VALUE"""),"ord_10281")</f>
        <v>ord_10281</v>
      </c>
      <c r="B282" s="18" t="str">
        <f>IFERROR(__xludf.DUMMYFUNCTION("""COMPUTED_VALUE"""),"Parth Goel")</f>
        <v>Parth Goel</v>
      </c>
      <c r="C282" s="18" t="str">
        <f>IFERROR(__xludf.DUMMYFUNCTION("""COMPUTED_VALUE"""),"Juhu")</f>
        <v>Juhu</v>
      </c>
      <c r="D282" s="18" t="str">
        <f>IFERROR(__xludf.DUMMYFUNCTION("""COMPUTED_VALUE"""),"Cucumber")</f>
        <v>Cucumber</v>
      </c>
      <c r="E282" s="18">
        <f>IFERROR(__xludf.DUMMYFUNCTION("""COMPUTED_VALUE"""),1.0)</f>
        <v>1</v>
      </c>
      <c r="F282" s="18" t="str">
        <f>IFERROR(__xludf.DUMMYFUNCTION("""COMPUTED_VALUE"""),"Tanvi Jain")</f>
        <v>Tanvi Jain</v>
      </c>
      <c r="G282" s="19">
        <f>IFERROR(__xludf.DUMMYFUNCTION("""COMPUTED_VALUE"""),45007.0)</f>
        <v>45007</v>
      </c>
      <c r="H282" s="18" t="str">
        <f>IFERROR(__xludf.DUMMYFUNCTION("""COMPUTED_VALUE"""),"UPI")</f>
        <v>UPI</v>
      </c>
      <c r="I282" s="18" t="str">
        <f>IFERROR(__xludf.DUMMYFUNCTION("""COMPUTED_VALUE"""),"Delivered")</f>
        <v>Delivered</v>
      </c>
      <c r="J282" s="18" t="str">
        <f>IFERROR(__xludf.DUMMYFUNCTION("""COMPUTED_VALUE"""),"Overall Satisfaction")</f>
        <v>Overall Satisfaction</v>
      </c>
      <c r="K282" s="18" t="str">
        <f>IFERROR(__xludf.DUMMYFUNCTION("""COMPUTED_VALUE"""),"Great service will order again")</f>
        <v>Great service will order again</v>
      </c>
      <c r="L282" s="18">
        <f>iferror(VLOOKUP($D282,Details!$A$2:$C$11,2,false),vlookup($D282,Details!$E$2:$G$11,2,false))</f>
        <v>30</v>
      </c>
      <c r="M282" s="18" t="str">
        <f>iferror(VLOOKUP($D282,Details!$A$2:$C$11,3,false),vlookup($D282,Details!$E$2:$G$11,3,false))</f>
        <v>Fruits and Vegetables</v>
      </c>
      <c r="N282" s="18">
        <f t="shared" si="1"/>
        <v>30</v>
      </c>
      <c r="O282" s="17"/>
      <c r="P282" s="17"/>
      <c r="Q282" s="17"/>
      <c r="R282" s="17"/>
      <c r="S282" s="17"/>
      <c r="T282" s="17"/>
      <c r="U282" s="17"/>
      <c r="V282" s="17"/>
      <c r="W282" s="17"/>
      <c r="X282" s="17"/>
      <c r="Y282" s="17"/>
      <c r="Z282" s="17"/>
    </row>
    <row r="283">
      <c r="A283" s="18" t="str">
        <f>IFERROR(__xludf.DUMMYFUNCTION("""COMPUTED_VALUE"""),"ord_10282")</f>
        <v>ord_10282</v>
      </c>
      <c r="B283" s="18" t="str">
        <f>IFERROR(__xludf.DUMMYFUNCTION("""COMPUTED_VALUE"""),"Anaya Rao")</f>
        <v>Anaya Rao</v>
      </c>
      <c r="C283" s="18" t="str">
        <f>IFERROR(__xludf.DUMMYFUNCTION("""COMPUTED_VALUE"""),"Colaba")</f>
        <v>Colaba</v>
      </c>
      <c r="D283" s="18" t="str">
        <f>IFERROR(__xludf.DUMMYFUNCTION("""COMPUTED_VALUE"""),"Icecream")</f>
        <v>Icecream</v>
      </c>
      <c r="E283" s="18">
        <f>IFERROR(__xludf.DUMMYFUNCTION("""COMPUTED_VALUE"""),3.0)</f>
        <v>3</v>
      </c>
      <c r="F283" s="18" t="str">
        <f>IFERROR(__xludf.DUMMYFUNCTION("""COMPUTED_VALUE"""),"Ramesh S")</f>
        <v>Ramesh S</v>
      </c>
      <c r="G283" s="19">
        <f>IFERROR(__xludf.DUMMYFUNCTION("""COMPUTED_VALUE"""),44938.0)</f>
        <v>44938</v>
      </c>
      <c r="H283" s="18" t="str">
        <f>IFERROR(__xludf.DUMMYFUNCTION("""COMPUTED_VALUE"""),"Credit Card")</f>
        <v>Credit Card</v>
      </c>
      <c r="I283" s="18" t="str">
        <f>IFERROR(__xludf.DUMMYFUNCTION("""COMPUTED_VALUE"""),"Cancelled")</f>
        <v>Cancelled</v>
      </c>
      <c r="J283" s="18" t="str">
        <f>IFERROR(__xludf.DUMMYFUNCTION("""COMPUTED_VALUE"""),"Delayed Delivery")</f>
        <v>Delayed Delivery</v>
      </c>
      <c r="K283" s="18" t="str">
        <f>IFERROR(__xludf.DUMMYFUNCTION("""COMPUTED_VALUE"""),"Vehicle Breakdown")</f>
        <v>Vehicle Breakdown</v>
      </c>
      <c r="L283" s="18">
        <f>iferror(VLOOKUP($D283,Details!$A$2:$C$11,2,false),vlookup($D283,Details!$E$2:$G$11,2,false))</f>
        <v>90</v>
      </c>
      <c r="M283" s="18" t="str">
        <f>iferror(VLOOKUP($D283,Details!$A$2:$C$11,3,false),vlookup($D283,Details!$E$2:$G$11,3,false))</f>
        <v>Snacks and Drinks</v>
      </c>
      <c r="N283" s="18">
        <f t="shared" si="1"/>
        <v>270</v>
      </c>
      <c r="O283" s="17"/>
      <c r="P283" s="17"/>
      <c r="Q283" s="17"/>
      <c r="R283" s="17"/>
      <c r="S283" s="17"/>
      <c r="T283" s="17"/>
      <c r="U283" s="17"/>
      <c r="V283" s="17"/>
      <c r="W283" s="17"/>
      <c r="X283" s="17"/>
      <c r="Y283" s="17"/>
      <c r="Z283" s="17"/>
    </row>
    <row r="284">
      <c r="A284" s="18" t="str">
        <f>IFERROR(__xludf.DUMMYFUNCTION("""COMPUTED_VALUE"""),"ord_10283")</f>
        <v>ord_10283</v>
      </c>
      <c r="B284" s="18" t="str">
        <f>IFERROR(__xludf.DUMMYFUNCTION("""COMPUTED_VALUE"""),"Anaya Rao")</f>
        <v>Anaya Rao</v>
      </c>
      <c r="C284" s="18" t="str">
        <f>IFERROR(__xludf.DUMMYFUNCTION("""COMPUTED_VALUE"""),"Colaba")</f>
        <v>Colaba</v>
      </c>
      <c r="D284" s="18" t="str">
        <f>IFERROR(__xludf.DUMMYFUNCTION("""COMPUTED_VALUE"""),"Rasmalai")</f>
        <v>Rasmalai</v>
      </c>
      <c r="E284" s="18">
        <f>IFERROR(__xludf.DUMMYFUNCTION("""COMPUTED_VALUE"""),4.0)</f>
        <v>4</v>
      </c>
      <c r="F284" s="18" t="str">
        <f>IFERROR(__xludf.DUMMYFUNCTION("""COMPUTED_VALUE"""),"Nithin Lal")</f>
        <v>Nithin Lal</v>
      </c>
      <c r="G284" s="19">
        <f>IFERROR(__xludf.DUMMYFUNCTION("""COMPUTED_VALUE"""),45037.0)</f>
        <v>45037</v>
      </c>
      <c r="H284" s="18" t="str">
        <f>IFERROR(__xludf.DUMMYFUNCTION("""COMPUTED_VALUE"""),"Online Payment")</f>
        <v>Online Payment</v>
      </c>
      <c r="I284" s="18" t="str">
        <f>IFERROR(__xludf.DUMMYFUNCTION("""COMPUTED_VALUE"""),"Delivered")</f>
        <v>Delivered</v>
      </c>
      <c r="J284" s="18" t="str">
        <f>IFERROR(__xludf.DUMMYFUNCTION("""COMPUTED_VALUE"""),"On-time Delivery")</f>
        <v>On-time Delivery</v>
      </c>
      <c r="K284" s="18" t="str">
        <f>IFERROR(__xludf.DUMMYFUNCTION("""COMPUTED_VALUE"""),"Delivered on time")</f>
        <v>Delivered on time</v>
      </c>
      <c r="L284" s="18">
        <f>iferror(VLOOKUP($D284,Details!$A$2:$C$11,2,false),vlookup($D284,Details!$E$2:$G$11,2,false))</f>
        <v>110</v>
      </c>
      <c r="M284" s="18" t="str">
        <f>iferror(VLOOKUP($D284,Details!$A$2:$C$11,3,false),vlookup($D284,Details!$E$2:$G$11,3,false))</f>
        <v>Snacks and Drinks</v>
      </c>
      <c r="N284" s="18">
        <f t="shared" si="1"/>
        <v>440</v>
      </c>
      <c r="O284" s="17"/>
      <c r="P284" s="17"/>
      <c r="Q284" s="17"/>
      <c r="R284" s="17"/>
      <c r="S284" s="17"/>
      <c r="T284" s="17"/>
      <c r="U284" s="17"/>
      <c r="V284" s="17"/>
      <c r="W284" s="17"/>
      <c r="X284" s="17"/>
      <c r="Y284" s="17"/>
      <c r="Z284" s="17"/>
    </row>
    <row r="285">
      <c r="A285" s="18" t="str">
        <f>IFERROR(__xludf.DUMMYFUNCTION("""COMPUTED_VALUE"""),"ord_10284")</f>
        <v>ord_10284</v>
      </c>
      <c r="B285" s="18" t="str">
        <f>IFERROR(__xludf.DUMMYFUNCTION("""COMPUTED_VALUE"""),"Siya Reddy")</f>
        <v>Siya Reddy</v>
      </c>
      <c r="C285" s="18" t="str">
        <f>IFERROR(__xludf.DUMMYFUNCTION("""COMPUTED_VALUE"""),"Juhu")</f>
        <v>Juhu</v>
      </c>
      <c r="D285" s="18" t="str">
        <f>IFERROR(__xludf.DUMMYFUNCTION("""COMPUTED_VALUE"""),"Chilli Cheese Toast")</f>
        <v>Chilli Cheese Toast</v>
      </c>
      <c r="E285" s="18">
        <f>IFERROR(__xludf.DUMMYFUNCTION("""COMPUTED_VALUE"""),2.0)</f>
        <v>2</v>
      </c>
      <c r="F285" s="18" t="str">
        <f>IFERROR(__xludf.DUMMYFUNCTION("""COMPUTED_VALUE"""),"Not Assigned")</f>
        <v>Not Assigned</v>
      </c>
      <c r="G285" s="19">
        <f>IFERROR(__xludf.DUMMYFUNCTION("""COMPUTED_VALUE"""),45279.0)</f>
        <v>45279</v>
      </c>
      <c r="H285" s="18" t="str">
        <f>IFERROR(__xludf.DUMMYFUNCTION("""COMPUTED_VALUE"""),"Online Payment")</f>
        <v>Online Payment</v>
      </c>
      <c r="I285" s="18" t="str">
        <f>IFERROR(__xludf.DUMMYFUNCTION("""COMPUTED_VALUE"""),"Cancelled")</f>
        <v>Cancelled</v>
      </c>
      <c r="J285" s="18" t="str">
        <f>IFERROR(__xludf.DUMMYFUNCTION("""COMPUTED_VALUE"""),"Out of Stock")</f>
        <v>Out of Stock</v>
      </c>
      <c r="K285" s="18"/>
      <c r="L285" s="18">
        <f>iferror(VLOOKUP($D285,Details!$A$2:$C$11,2,false),vlookup($D285,Details!$E$2:$G$11,2,false))</f>
        <v>80</v>
      </c>
      <c r="M285" s="18" t="str">
        <f>iferror(VLOOKUP($D285,Details!$A$2:$C$11,3,false),vlookup($D285,Details!$E$2:$G$11,3,false))</f>
        <v>Snacks and Drinks</v>
      </c>
      <c r="N285" s="18">
        <f t="shared" si="1"/>
        <v>160</v>
      </c>
      <c r="O285" s="17"/>
      <c r="P285" s="17"/>
      <c r="Q285" s="17"/>
      <c r="R285" s="17"/>
      <c r="S285" s="17"/>
      <c r="T285" s="17"/>
      <c r="U285" s="17"/>
      <c r="V285" s="17"/>
      <c r="W285" s="17"/>
      <c r="X285" s="17"/>
      <c r="Y285" s="17"/>
      <c r="Z285" s="17"/>
    </row>
    <row r="286">
      <c r="A286" s="18" t="str">
        <f>IFERROR(__xludf.DUMMYFUNCTION("""COMPUTED_VALUE"""),"ord_10285")</f>
        <v>ord_10285</v>
      </c>
      <c r="B286" s="18" t="str">
        <f>IFERROR(__xludf.DUMMYFUNCTION("""COMPUTED_VALUE"""),"Aditya Rao")</f>
        <v>Aditya Rao</v>
      </c>
      <c r="C286" s="18" t="str">
        <f>IFERROR(__xludf.DUMMYFUNCTION("""COMPUTED_VALUE"""),"Lower Parel")</f>
        <v>Lower Parel</v>
      </c>
      <c r="D286" s="18" t="str">
        <f>IFERROR(__xludf.DUMMYFUNCTION("""COMPUTED_VALUE"""),"Apple")</f>
        <v>Apple</v>
      </c>
      <c r="E286" s="18">
        <f>IFERROR(__xludf.DUMMYFUNCTION("""COMPUTED_VALUE"""),2.0)</f>
        <v>2</v>
      </c>
      <c r="F286" s="18" t="str">
        <f>IFERROR(__xludf.DUMMYFUNCTION("""COMPUTED_VALUE"""),"Ramesh S")</f>
        <v>Ramesh S</v>
      </c>
      <c r="G286" s="19">
        <f>IFERROR(__xludf.DUMMYFUNCTION("""COMPUTED_VALUE"""),45284.0)</f>
        <v>45284</v>
      </c>
      <c r="H286" s="18" t="str">
        <f>IFERROR(__xludf.DUMMYFUNCTION("""COMPUTED_VALUE"""),"Online Payment")</f>
        <v>Online Payment</v>
      </c>
      <c r="I286" s="18" t="str">
        <f>IFERROR(__xludf.DUMMYFUNCTION("""COMPUTED_VALUE"""),"Delivered")</f>
        <v>Delivered</v>
      </c>
      <c r="J286" s="18" t="str">
        <f>IFERROR(__xludf.DUMMYFUNCTION("""COMPUTED_VALUE"""),"Quality of Items")</f>
        <v>Quality of Items</v>
      </c>
      <c r="K286" s="18" t="str">
        <f>IFERROR(__xludf.DUMMYFUNCTION("""COMPUTED_VALUE"""),"Perfect condition")</f>
        <v>Perfect condition</v>
      </c>
      <c r="L286" s="18">
        <f>iferror(VLOOKUP($D286,Details!$A$2:$C$11,2,false),vlookup($D286,Details!$E$2:$G$11,2,false))</f>
        <v>230</v>
      </c>
      <c r="M286" s="18" t="str">
        <f>iferror(VLOOKUP($D286,Details!$A$2:$C$11,3,false),vlookup($D286,Details!$E$2:$G$11,3,false))</f>
        <v>Fruits and Vegetables</v>
      </c>
      <c r="N286" s="18">
        <f t="shared" si="1"/>
        <v>460</v>
      </c>
      <c r="O286" s="17"/>
      <c r="P286" s="17"/>
      <c r="Q286" s="17"/>
      <c r="R286" s="17"/>
      <c r="S286" s="17"/>
      <c r="T286" s="17"/>
      <c r="U286" s="17"/>
      <c r="V286" s="17"/>
      <c r="W286" s="17"/>
      <c r="X286" s="17"/>
      <c r="Y286" s="17"/>
      <c r="Z286" s="17"/>
    </row>
    <row r="287">
      <c r="A287" s="18" t="str">
        <f>IFERROR(__xludf.DUMMYFUNCTION("""COMPUTED_VALUE"""),"ord_10286")</f>
        <v>ord_10286</v>
      </c>
      <c r="B287" s="18" t="str">
        <f>IFERROR(__xludf.DUMMYFUNCTION("""COMPUTED_VALUE"""),"Mohit Malhotra")</f>
        <v>Mohit Malhotra</v>
      </c>
      <c r="C287" s="18" t="str">
        <f>IFERROR(__xludf.DUMMYFUNCTION("""COMPUTED_VALUE"""),"Lower Parel")</f>
        <v>Lower Parel</v>
      </c>
      <c r="D287" s="18" t="str">
        <f>IFERROR(__xludf.DUMMYFUNCTION("""COMPUTED_VALUE"""),"Banana")</f>
        <v>Banana</v>
      </c>
      <c r="E287" s="18">
        <f>IFERROR(__xludf.DUMMYFUNCTION("""COMPUTED_VALUE"""),1.0)</f>
        <v>1</v>
      </c>
      <c r="F287" s="18" t="str">
        <f>IFERROR(__xludf.DUMMYFUNCTION("""COMPUTED_VALUE"""),"Not Assigned")</f>
        <v>Not Assigned</v>
      </c>
      <c r="G287" s="19">
        <f>IFERROR(__xludf.DUMMYFUNCTION("""COMPUTED_VALUE"""),45123.0)</f>
        <v>45123</v>
      </c>
      <c r="H287" s="18" t="str">
        <f>IFERROR(__xludf.DUMMYFUNCTION("""COMPUTED_VALUE"""),"Online Payment")</f>
        <v>Online Payment</v>
      </c>
      <c r="I287" s="18" t="str">
        <f>IFERROR(__xludf.DUMMYFUNCTION("""COMPUTED_VALUE"""),"Cancelled")</f>
        <v>Cancelled</v>
      </c>
      <c r="J287" s="18" t="str">
        <f>IFERROR(__xludf.DUMMYFUNCTION("""COMPUTED_VALUE"""),"High Delivery Fees")</f>
        <v>High Delivery Fees</v>
      </c>
      <c r="K287" s="18"/>
      <c r="L287" s="18">
        <f>iferror(VLOOKUP($D287,Details!$A$2:$C$11,2,false),vlookup($D287,Details!$E$2:$G$11,2,false))</f>
        <v>80</v>
      </c>
      <c r="M287" s="18" t="str">
        <f>iferror(VLOOKUP($D287,Details!$A$2:$C$11,3,false),vlookup($D287,Details!$E$2:$G$11,3,false))</f>
        <v>Fruits and Vegetables</v>
      </c>
      <c r="N287" s="18">
        <f t="shared" si="1"/>
        <v>80</v>
      </c>
      <c r="O287" s="17"/>
      <c r="P287" s="17"/>
      <c r="Q287" s="17"/>
      <c r="R287" s="17"/>
      <c r="S287" s="17"/>
      <c r="T287" s="17"/>
      <c r="U287" s="17"/>
      <c r="V287" s="17"/>
      <c r="W287" s="17"/>
      <c r="X287" s="17"/>
      <c r="Y287" s="17"/>
      <c r="Z287" s="17"/>
    </row>
    <row r="288">
      <c r="A288" s="18" t="str">
        <f>IFERROR(__xludf.DUMMYFUNCTION("""COMPUTED_VALUE"""),"ord_10287")</f>
        <v>ord_10287</v>
      </c>
      <c r="B288" s="18" t="str">
        <f>IFERROR(__xludf.DUMMYFUNCTION("""COMPUTED_VALUE"""),"Diya Arora")</f>
        <v>Diya Arora</v>
      </c>
      <c r="C288" s="18" t="str">
        <f>IFERROR(__xludf.DUMMYFUNCTION("""COMPUTED_VALUE"""),"Lower Parel")</f>
        <v>Lower Parel</v>
      </c>
      <c r="D288" s="18" t="str">
        <f>IFERROR(__xludf.DUMMYFUNCTION("""COMPUTED_VALUE"""),"Chicken Puff")</f>
        <v>Chicken Puff</v>
      </c>
      <c r="E288" s="18">
        <f>IFERROR(__xludf.DUMMYFUNCTION("""COMPUTED_VALUE"""),1.0)</f>
        <v>1</v>
      </c>
      <c r="F288" s="18" t="str">
        <f>IFERROR(__xludf.DUMMYFUNCTION("""COMPUTED_VALUE"""),"Not Assigned")</f>
        <v>Not Assigned</v>
      </c>
      <c r="G288" s="19">
        <f>IFERROR(__xludf.DUMMYFUNCTION("""COMPUTED_VALUE"""),44930.0)</f>
        <v>44930</v>
      </c>
      <c r="H288" s="18" t="str">
        <f>IFERROR(__xludf.DUMMYFUNCTION("""COMPUTED_VALUE"""),"Online Payment")</f>
        <v>Online Payment</v>
      </c>
      <c r="I288" s="18" t="str">
        <f>IFERROR(__xludf.DUMMYFUNCTION("""COMPUTED_VALUE"""),"Cancelled")</f>
        <v>Cancelled</v>
      </c>
      <c r="J288" s="18" t="str">
        <f>IFERROR(__xludf.DUMMYFUNCTION("""COMPUTED_VALUE"""),"High Delivery Fees")</f>
        <v>High Delivery Fees</v>
      </c>
      <c r="K288" s="18"/>
      <c r="L288" s="18">
        <f>iferror(VLOOKUP($D288,Details!$A$2:$C$11,2,false),vlookup($D288,Details!$E$2:$G$11,2,false))</f>
        <v>90</v>
      </c>
      <c r="M288" s="18" t="str">
        <f>iferror(VLOOKUP($D288,Details!$A$2:$C$11,3,false),vlookup($D288,Details!$E$2:$G$11,3,false))</f>
        <v>Snacks and Drinks</v>
      </c>
      <c r="N288" s="18">
        <f t="shared" si="1"/>
        <v>90</v>
      </c>
      <c r="O288" s="17"/>
      <c r="P288" s="17"/>
      <c r="Q288" s="17"/>
      <c r="R288" s="17"/>
      <c r="S288" s="17"/>
      <c r="T288" s="17"/>
      <c r="U288" s="17"/>
      <c r="V288" s="17"/>
      <c r="W288" s="17"/>
      <c r="X288" s="17"/>
      <c r="Y288" s="17"/>
      <c r="Z288" s="17"/>
    </row>
    <row r="289">
      <c r="A289" s="18" t="str">
        <f>IFERROR(__xludf.DUMMYFUNCTION("""COMPUTED_VALUE"""),"ord_10288")</f>
        <v>ord_10288</v>
      </c>
      <c r="B289" s="18" t="str">
        <f>IFERROR(__xludf.DUMMYFUNCTION("""COMPUTED_VALUE"""),"Aditya Basu")</f>
        <v>Aditya Basu</v>
      </c>
      <c r="C289" s="18" t="str">
        <f>IFERROR(__xludf.DUMMYFUNCTION("""COMPUTED_VALUE"""),"Juhu")</f>
        <v>Juhu</v>
      </c>
      <c r="D289" s="18" t="str">
        <f>IFERROR(__xludf.DUMMYFUNCTION("""COMPUTED_VALUE"""),"Icecream")</f>
        <v>Icecream</v>
      </c>
      <c r="E289" s="18">
        <f>IFERROR(__xludf.DUMMYFUNCTION("""COMPUTED_VALUE"""),8.0)</f>
        <v>8</v>
      </c>
      <c r="F289" s="18" t="str">
        <f>IFERROR(__xludf.DUMMYFUNCTION("""COMPUTED_VALUE"""),"Not Assigned")</f>
        <v>Not Assigned</v>
      </c>
      <c r="G289" s="19">
        <f>IFERROR(__xludf.DUMMYFUNCTION("""COMPUTED_VALUE"""),45092.0)</f>
        <v>45092</v>
      </c>
      <c r="H289" s="18" t="str">
        <f>IFERROR(__xludf.DUMMYFUNCTION("""COMPUTED_VALUE"""),"Credit Card")</f>
        <v>Credit Card</v>
      </c>
      <c r="I289" s="18" t="str">
        <f>IFERROR(__xludf.DUMMYFUNCTION("""COMPUTED_VALUE"""),"Cancelled")</f>
        <v>Cancelled</v>
      </c>
      <c r="J289" s="18" t="str">
        <f>IFERROR(__xludf.DUMMYFUNCTION("""COMPUTED_VALUE"""),"Payment Issues")</f>
        <v>Payment Issues</v>
      </c>
      <c r="K289" s="18"/>
      <c r="L289" s="18">
        <f>iferror(VLOOKUP($D289,Details!$A$2:$C$11,2,false),vlookup($D289,Details!$E$2:$G$11,2,false))</f>
        <v>90</v>
      </c>
      <c r="M289" s="18" t="str">
        <f>iferror(VLOOKUP($D289,Details!$A$2:$C$11,3,false),vlookup($D289,Details!$E$2:$G$11,3,false))</f>
        <v>Snacks and Drinks</v>
      </c>
      <c r="N289" s="18">
        <f t="shared" si="1"/>
        <v>720</v>
      </c>
      <c r="O289" s="17"/>
      <c r="P289" s="17"/>
      <c r="Q289" s="17"/>
      <c r="R289" s="17"/>
      <c r="S289" s="17"/>
      <c r="T289" s="17"/>
      <c r="U289" s="17"/>
      <c r="V289" s="17"/>
      <c r="W289" s="17"/>
      <c r="X289" s="17"/>
      <c r="Y289" s="17"/>
      <c r="Z289" s="17"/>
    </row>
    <row r="290">
      <c r="A290" s="18" t="str">
        <f>IFERROR(__xludf.DUMMYFUNCTION("""COMPUTED_VALUE"""),"ord_10289")</f>
        <v>ord_10289</v>
      </c>
      <c r="B290" s="18" t="str">
        <f>IFERROR(__xludf.DUMMYFUNCTION("""COMPUTED_VALUE"""),"Sakshi Tandon")</f>
        <v>Sakshi Tandon</v>
      </c>
      <c r="C290" s="18" t="str">
        <f>IFERROR(__xludf.DUMMYFUNCTION("""COMPUTED_VALUE"""),"Colaba")</f>
        <v>Colaba</v>
      </c>
      <c r="D290" s="18" t="str">
        <f>IFERROR(__xludf.DUMMYFUNCTION("""COMPUTED_VALUE"""),"Chocolate Mousse")</f>
        <v>Chocolate Mousse</v>
      </c>
      <c r="E290" s="18">
        <f>IFERROR(__xludf.DUMMYFUNCTION("""COMPUTED_VALUE"""),1.0)</f>
        <v>1</v>
      </c>
      <c r="F290" s="18" t="str">
        <f>IFERROR(__xludf.DUMMYFUNCTION("""COMPUTED_VALUE"""),"Not Assigned")</f>
        <v>Not Assigned</v>
      </c>
      <c r="G290" s="19">
        <f>IFERROR(__xludf.DUMMYFUNCTION("""COMPUTED_VALUE"""),45274.0)</f>
        <v>45274</v>
      </c>
      <c r="H290" s="18" t="str">
        <f>IFERROR(__xludf.DUMMYFUNCTION("""COMPUTED_VALUE"""),"Credit Card")</f>
        <v>Credit Card</v>
      </c>
      <c r="I290" s="18" t="str">
        <f>IFERROR(__xludf.DUMMYFUNCTION("""COMPUTED_VALUE"""),"Cancelled")</f>
        <v>Cancelled</v>
      </c>
      <c r="J290" s="18" t="str">
        <f>IFERROR(__xludf.DUMMYFUNCTION("""COMPUTED_VALUE"""),"High Delivery Fees")</f>
        <v>High Delivery Fees</v>
      </c>
      <c r="K290" s="18"/>
      <c r="L290" s="18">
        <f>iferror(VLOOKUP($D290,Details!$A$2:$C$11,2,false),vlookup($D290,Details!$E$2:$G$11,2,false))</f>
        <v>145</v>
      </c>
      <c r="M290" s="18" t="str">
        <f>iferror(VLOOKUP($D290,Details!$A$2:$C$11,3,false),vlookup($D290,Details!$E$2:$G$11,3,false))</f>
        <v>Snacks and Drinks</v>
      </c>
      <c r="N290" s="18">
        <f t="shared" si="1"/>
        <v>145</v>
      </c>
      <c r="O290" s="17"/>
      <c r="P290" s="17"/>
      <c r="Q290" s="17"/>
      <c r="R290" s="17"/>
      <c r="S290" s="17"/>
      <c r="T290" s="17"/>
      <c r="U290" s="17"/>
      <c r="V290" s="17"/>
      <c r="W290" s="17"/>
      <c r="X290" s="17"/>
      <c r="Y290" s="17"/>
      <c r="Z290" s="17"/>
    </row>
    <row r="291">
      <c r="A291" s="18" t="str">
        <f>IFERROR(__xludf.DUMMYFUNCTION("""COMPUTED_VALUE"""),"ord_10290")</f>
        <v>ord_10290</v>
      </c>
      <c r="B291" s="18" t="str">
        <f>IFERROR(__xludf.DUMMYFUNCTION("""COMPUTED_VALUE"""),"Parth Goel")</f>
        <v>Parth Goel</v>
      </c>
      <c r="C291" s="18" t="str">
        <f>IFERROR(__xludf.DUMMYFUNCTION("""COMPUTED_VALUE"""),"Juhu")</f>
        <v>Juhu</v>
      </c>
      <c r="D291" s="18" t="str">
        <f>IFERROR(__xludf.DUMMYFUNCTION("""COMPUTED_VALUE"""),"Apple")</f>
        <v>Apple</v>
      </c>
      <c r="E291" s="18">
        <f>IFERROR(__xludf.DUMMYFUNCTION("""COMPUTED_VALUE"""),1.0)</f>
        <v>1</v>
      </c>
      <c r="F291" s="18" t="str">
        <f>IFERROR(__xludf.DUMMYFUNCTION("""COMPUTED_VALUE"""),"Tanvi Jain")</f>
        <v>Tanvi Jain</v>
      </c>
      <c r="G291" s="19">
        <f>IFERROR(__xludf.DUMMYFUNCTION("""COMPUTED_VALUE"""),45231.0)</f>
        <v>45231</v>
      </c>
      <c r="H291" s="18" t="str">
        <f>IFERROR(__xludf.DUMMYFUNCTION("""COMPUTED_VALUE"""),"COD")</f>
        <v>COD</v>
      </c>
      <c r="I291" s="18" t="str">
        <f>IFERROR(__xludf.DUMMYFUNCTION("""COMPUTED_VALUE"""),"Delivered")</f>
        <v>Delivered</v>
      </c>
      <c r="J291" s="18" t="str">
        <f>IFERROR(__xludf.DUMMYFUNCTION("""COMPUTED_VALUE"""),"On-time Delivery")</f>
        <v>On-time Delivery</v>
      </c>
      <c r="K291" s="18" t="str">
        <f>IFERROR(__xludf.DUMMYFUNCTION("""COMPUTED_VALUE"""),"Delivered on time")</f>
        <v>Delivered on time</v>
      </c>
      <c r="L291" s="18">
        <f>iferror(VLOOKUP($D291,Details!$A$2:$C$11,2,false),vlookup($D291,Details!$E$2:$G$11,2,false))</f>
        <v>230</v>
      </c>
      <c r="M291" s="18" t="str">
        <f>iferror(VLOOKUP($D291,Details!$A$2:$C$11,3,false),vlookup($D291,Details!$E$2:$G$11,3,false))</f>
        <v>Fruits and Vegetables</v>
      </c>
      <c r="N291" s="18">
        <f t="shared" si="1"/>
        <v>230</v>
      </c>
      <c r="O291" s="17"/>
      <c r="P291" s="17"/>
      <c r="Q291" s="17"/>
      <c r="R291" s="17"/>
      <c r="S291" s="17"/>
      <c r="T291" s="17"/>
      <c r="U291" s="17"/>
      <c r="V291" s="17"/>
      <c r="W291" s="17"/>
      <c r="X291" s="17"/>
      <c r="Y291" s="17"/>
      <c r="Z291" s="17"/>
    </row>
    <row r="292">
      <c r="A292" s="18" t="str">
        <f>IFERROR(__xludf.DUMMYFUNCTION("""COMPUTED_VALUE"""),"ord_10291")</f>
        <v>ord_10291</v>
      </c>
      <c r="B292" s="18" t="str">
        <f>IFERROR(__xludf.DUMMYFUNCTION("""COMPUTED_VALUE"""),"Pallavi Ghosh")</f>
        <v>Pallavi Ghosh</v>
      </c>
      <c r="C292" s="18" t="str">
        <f>IFERROR(__xludf.DUMMYFUNCTION("""COMPUTED_VALUE"""),"Bandra")</f>
        <v>Bandra</v>
      </c>
      <c r="D292" s="18" t="str">
        <f>IFERROR(__xludf.DUMMYFUNCTION("""COMPUTED_VALUE"""),"Popcorn")</f>
        <v>Popcorn</v>
      </c>
      <c r="E292" s="18">
        <f>IFERROR(__xludf.DUMMYFUNCTION("""COMPUTED_VALUE"""),4.0)</f>
        <v>4</v>
      </c>
      <c r="F292" s="18" t="str">
        <f>IFERROR(__xludf.DUMMYFUNCTION("""COMPUTED_VALUE"""),"Ramesh S")</f>
        <v>Ramesh S</v>
      </c>
      <c r="G292" s="19">
        <f>IFERROR(__xludf.DUMMYFUNCTION("""COMPUTED_VALUE"""),45201.0)</f>
        <v>45201</v>
      </c>
      <c r="H292" s="18" t="str">
        <f>IFERROR(__xludf.DUMMYFUNCTION("""COMPUTED_VALUE"""),"COD")</f>
        <v>COD</v>
      </c>
      <c r="I292" s="18" t="str">
        <f>IFERROR(__xludf.DUMMYFUNCTION("""COMPUTED_VALUE"""),"Delivered")</f>
        <v>Delivered</v>
      </c>
      <c r="J292" s="18" t="str">
        <f>IFERROR(__xludf.DUMMYFUNCTION("""COMPUTED_VALUE"""),"Quality of Items")</f>
        <v>Quality of Items</v>
      </c>
      <c r="K292" s="18" t="str">
        <f>IFERROR(__xludf.DUMMYFUNCTION("""COMPUTED_VALUE"""),"Perfect condition")</f>
        <v>Perfect condition</v>
      </c>
      <c r="L292" s="18">
        <f>iferror(VLOOKUP($D292,Details!$A$2:$C$11,2,false),vlookup($D292,Details!$E$2:$G$11,2,false))</f>
        <v>150</v>
      </c>
      <c r="M292" s="18" t="str">
        <f>iferror(VLOOKUP($D292,Details!$A$2:$C$11,3,false),vlookup($D292,Details!$E$2:$G$11,3,false))</f>
        <v>Snacks and Drinks</v>
      </c>
      <c r="N292" s="18">
        <f t="shared" si="1"/>
        <v>600</v>
      </c>
      <c r="O292" s="17"/>
      <c r="P292" s="17"/>
      <c r="Q292" s="17"/>
      <c r="R292" s="17"/>
      <c r="S292" s="17"/>
      <c r="T292" s="17"/>
      <c r="U292" s="17"/>
      <c r="V292" s="17"/>
      <c r="W292" s="17"/>
      <c r="X292" s="17"/>
      <c r="Y292" s="17"/>
      <c r="Z292" s="17"/>
    </row>
    <row r="293">
      <c r="A293" s="18" t="str">
        <f>IFERROR(__xludf.DUMMYFUNCTION("""COMPUTED_VALUE"""),"ord_10292")</f>
        <v>ord_10292</v>
      </c>
      <c r="B293" s="18" t="str">
        <f>IFERROR(__xludf.DUMMYFUNCTION("""COMPUTED_VALUE"""),"Tanishq Bansal")</f>
        <v>Tanishq Bansal</v>
      </c>
      <c r="C293" s="18" t="str">
        <f>IFERROR(__xludf.DUMMYFUNCTION("""COMPUTED_VALUE"""),"Powai")</f>
        <v>Powai</v>
      </c>
      <c r="D293" s="18" t="str">
        <f>IFERROR(__xludf.DUMMYFUNCTION("""COMPUTED_VALUE"""),"Banana")</f>
        <v>Banana</v>
      </c>
      <c r="E293" s="18">
        <f>IFERROR(__xludf.DUMMYFUNCTION("""COMPUTED_VALUE"""),2.0)</f>
        <v>2</v>
      </c>
      <c r="F293" s="18" t="str">
        <f>IFERROR(__xludf.DUMMYFUNCTION("""COMPUTED_VALUE"""),"Vivek Kumar")</f>
        <v>Vivek Kumar</v>
      </c>
      <c r="G293" s="19">
        <f>IFERROR(__xludf.DUMMYFUNCTION("""COMPUTED_VALUE"""),44980.0)</f>
        <v>44980</v>
      </c>
      <c r="H293" s="18" t="str">
        <f>IFERROR(__xludf.DUMMYFUNCTION("""COMPUTED_VALUE"""),"UPI")</f>
        <v>UPI</v>
      </c>
      <c r="I293" s="18" t="str">
        <f>IFERROR(__xludf.DUMMYFUNCTION("""COMPUTED_VALUE"""),"Delivered")</f>
        <v>Delivered</v>
      </c>
      <c r="J293" s="18" t="str">
        <f>IFERROR(__xludf.DUMMYFUNCTION("""COMPUTED_VALUE"""),"Packaging")</f>
        <v>Packaging</v>
      </c>
      <c r="K293" s="18" t="str">
        <f>IFERROR(__xludf.DUMMYFUNCTION("""COMPUTED_VALUE"""),"Secure and intact")</f>
        <v>Secure and intact</v>
      </c>
      <c r="L293" s="18">
        <f>iferror(VLOOKUP($D293,Details!$A$2:$C$11,2,false),vlookup($D293,Details!$E$2:$G$11,2,false))</f>
        <v>80</v>
      </c>
      <c r="M293" s="18" t="str">
        <f>iferror(VLOOKUP($D293,Details!$A$2:$C$11,3,false),vlookup($D293,Details!$E$2:$G$11,3,false))</f>
        <v>Fruits and Vegetables</v>
      </c>
      <c r="N293" s="18">
        <f t="shared" si="1"/>
        <v>160</v>
      </c>
      <c r="O293" s="17"/>
      <c r="P293" s="17"/>
      <c r="Q293" s="17"/>
      <c r="R293" s="17"/>
      <c r="S293" s="17"/>
      <c r="T293" s="17"/>
      <c r="U293" s="17"/>
      <c r="V293" s="17"/>
      <c r="W293" s="17"/>
      <c r="X293" s="17"/>
      <c r="Y293" s="17"/>
      <c r="Z293" s="17"/>
    </row>
    <row r="294">
      <c r="A294" s="18" t="str">
        <f>IFERROR(__xludf.DUMMYFUNCTION("""COMPUTED_VALUE"""),"ord_10293")</f>
        <v>ord_10293</v>
      </c>
      <c r="B294" s="18" t="str">
        <f>IFERROR(__xludf.DUMMYFUNCTION("""COMPUTED_VALUE"""),"Aarav Mehta")</f>
        <v>Aarav Mehta</v>
      </c>
      <c r="C294" s="18" t="str">
        <f>IFERROR(__xludf.DUMMYFUNCTION("""COMPUTED_VALUE"""),"Andheri")</f>
        <v>Andheri</v>
      </c>
      <c r="D294" s="18" t="str">
        <f>IFERROR(__xludf.DUMMYFUNCTION("""COMPUTED_VALUE"""),"Potato")</f>
        <v>Potato</v>
      </c>
      <c r="E294" s="18">
        <f>IFERROR(__xludf.DUMMYFUNCTION("""COMPUTED_VALUE"""),1.0)</f>
        <v>1</v>
      </c>
      <c r="F294" s="18" t="str">
        <f>IFERROR(__xludf.DUMMYFUNCTION("""COMPUTED_VALUE"""),"Priya Joshi")</f>
        <v>Priya Joshi</v>
      </c>
      <c r="G294" s="19">
        <f>IFERROR(__xludf.DUMMYFUNCTION("""COMPUTED_VALUE"""),45200.0)</f>
        <v>45200</v>
      </c>
      <c r="H294" s="18" t="str">
        <f>IFERROR(__xludf.DUMMYFUNCTION("""COMPUTED_VALUE"""),"Online Payment")</f>
        <v>Online Payment</v>
      </c>
      <c r="I294" s="18" t="str">
        <f>IFERROR(__xludf.DUMMYFUNCTION("""COMPUTED_VALUE"""),"Cancelled")</f>
        <v>Cancelled</v>
      </c>
      <c r="J294" s="18" t="str">
        <f>IFERROR(__xludf.DUMMYFUNCTION("""COMPUTED_VALUE"""),"Delayed Delivery")</f>
        <v>Delayed Delivery</v>
      </c>
      <c r="K294" s="18" t="str">
        <f>IFERROR(__xludf.DUMMYFUNCTION("""COMPUTED_VALUE"""),"Heavy Traffic")</f>
        <v>Heavy Traffic</v>
      </c>
      <c r="L294" s="18">
        <f>iferror(VLOOKUP($D294,Details!$A$2:$C$11,2,false),vlookup($D294,Details!$E$2:$G$11,2,false))</f>
        <v>55</v>
      </c>
      <c r="M294" s="18" t="str">
        <f>iferror(VLOOKUP($D294,Details!$A$2:$C$11,3,false),vlookup($D294,Details!$E$2:$G$11,3,false))</f>
        <v>Fruits and Vegetables</v>
      </c>
      <c r="N294" s="18">
        <f t="shared" si="1"/>
        <v>55</v>
      </c>
      <c r="O294" s="17"/>
      <c r="P294" s="17"/>
      <c r="Q294" s="17"/>
      <c r="R294" s="17"/>
      <c r="S294" s="17"/>
      <c r="T294" s="17"/>
      <c r="U294" s="17"/>
      <c r="V294" s="17"/>
      <c r="W294" s="17"/>
      <c r="X294" s="17"/>
      <c r="Y294" s="17"/>
      <c r="Z294" s="17"/>
    </row>
    <row r="295">
      <c r="A295" s="18" t="str">
        <f>IFERROR(__xludf.DUMMYFUNCTION("""COMPUTED_VALUE"""),"ord_10294")</f>
        <v>ord_10294</v>
      </c>
      <c r="B295" s="18" t="str">
        <f>IFERROR(__xludf.DUMMYFUNCTION("""COMPUTED_VALUE"""),"Sanjay Nair")</f>
        <v>Sanjay Nair</v>
      </c>
      <c r="C295" s="18" t="str">
        <f>IFERROR(__xludf.DUMMYFUNCTION("""COMPUTED_VALUE"""),"Dadar")</f>
        <v>Dadar</v>
      </c>
      <c r="D295" s="18" t="str">
        <f>IFERROR(__xludf.DUMMYFUNCTION("""COMPUTED_VALUE"""),"Cucumber")</f>
        <v>Cucumber</v>
      </c>
      <c r="E295" s="18">
        <f>IFERROR(__xludf.DUMMYFUNCTION("""COMPUTED_VALUE"""),2.0)</f>
        <v>2</v>
      </c>
      <c r="F295" s="18" t="str">
        <f>IFERROR(__xludf.DUMMYFUNCTION("""COMPUTED_VALUE"""),"Sita T")</f>
        <v>Sita T</v>
      </c>
      <c r="G295" s="19">
        <f>IFERROR(__xludf.DUMMYFUNCTION("""COMPUTED_VALUE"""),44995.0)</f>
        <v>44995</v>
      </c>
      <c r="H295" s="18" t="str">
        <f>IFERROR(__xludf.DUMMYFUNCTION("""COMPUTED_VALUE"""),"UPI")</f>
        <v>UPI</v>
      </c>
      <c r="I295" s="18" t="str">
        <f>IFERROR(__xludf.DUMMYFUNCTION("""COMPUTED_VALUE"""),"Cancelled")</f>
        <v>Cancelled</v>
      </c>
      <c r="J295" s="18" t="str">
        <f>IFERROR(__xludf.DUMMYFUNCTION("""COMPUTED_VALUE"""),"Delayed Delivery")</f>
        <v>Delayed Delivery</v>
      </c>
      <c r="K295" s="18" t="str">
        <f>IFERROR(__xludf.DUMMYFUNCTION("""COMPUTED_VALUE"""),"Bad Weather Conditions")</f>
        <v>Bad Weather Conditions</v>
      </c>
      <c r="L295" s="18">
        <f>iferror(VLOOKUP($D295,Details!$A$2:$C$11,2,false),vlookup($D295,Details!$E$2:$G$11,2,false))</f>
        <v>30</v>
      </c>
      <c r="M295" s="18" t="str">
        <f>iferror(VLOOKUP($D295,Details!$A$2:$C$11,3,false),vlookup($D295,Details!$E$2:$G$11,3,false))</f>
        <v>Fruits and Vegetables</v>
      </c>
      <c r="N295" s="18">
        <f t="shared" si="1"/>
        <v>60</v>
      </c>
      <c r="O295" s="17"/>
      <c r="P295" s="17"/>
      <c r="Q295" s="17"/>
      <c r="R295" s="17"/>
      <c r="S295" s="17"/>
      <c r="T295" s="17"/>
      <c r="U295" s="17"/>
      <c r="V295" s="17"/>
      <c r="W295" s="17"/>
      <c r="X295" s="17"/>
      <c r="Y295" s="17"/>
      <c r="Z295" s="17"/>
    </row>
    <row r="296">
      <c r="A296" s="18" t="str">
        <f>IFERROR(__xludf.DUMMYFUNCTION("""COMPUTED_VALUE"""),"ord_10295")</f>
        <v>ord_10295</v>
      </c>
      <c r="B296" s="18" t="str">
        <f>IFERROR(__xludf.DUMMYFUNCTION("""COMPUTED_VALUE"""),"Mehul Thakkar")</f>
        <v>Mehul Thakkar</v>
      </c>
      <c r="C296" s="18" t="str">
        <f>IFERROR(__xludf.DUMMYFUNCTION("""COMPUTED_VALUE"""),"Malad")</f>
        <v>Malad</v>
      </c>
      <c r="D296" s="18" t="str">
        <f>IFERROR(__xludf.DUMMYFUNCTION("""COMPUTED_VALUE"""),"Chocolate Mousse")</f>
        <v>Chocolate Mousse</v>
      </c>
      <c r="E296" s="18">
        <f>IFERROR(__xludf.DUMMYFUNCTION("""COMPUTED_VALUE"""),5.0)</f>
        <v>5</v>
      </c>
      <c r="F296" s="18" t="str">
        <f>IFERROR(__xludf.DUMMYFUNCTION("""COMPUTED_VALUE"""),"Neha Shah")</f>
        <v>Neha Shah</v>
      </c>
      <c r="G296" s="19">
        <f>IFERROR(__xludf.DUMMYFUNCTION("""COMPUTED_VALUE"""),45117.0)</f>
        <v>45117</v>
      </c>
      <c r="H296" s="18" t="str">
        <f>IFERROR(__xludf.DUMMYFUNCTION("""COMPUTED_VALUE"""),"Online Payment")</f>
        <v>Online Payment</v>
      </c>
      <c r="I296" s="18" t="str">
        <f>IFERROR(__xludf.DUMMYFUNCTION("""COMPUTED_VALUE"""),"Cancelled")</f>
        <v>Cancelled</v>
      </c>
      <c r="J296" s="18" t="str">
        <f>IFERROR(__xludf.DUMMYFUNCTION("""COMPUTED_VALUE"""),"Delayed Delivery")</f>
        <v>Delayed Delivery</v>
      </c>
      <c r="K296" s="18" t="str">
        <f>IFERROR(__xludf.DUMMYFUNCTION("""COMPUTED_VALUE"""),"Incorrect Address or Location")</f>
        <v>Incorrect Address or Location</v>
      </c>
      <c r="L296" s="18">
        <f>iferror(VLOOKUP($D296,Details!$A$2:$C$11,2,false),vlookup($D296,Details!$E$2:$G$11,2,false))</f>
        <v>145</v>
      </c>
      <c r="M296" s="18" t="str">
        <f>iferror(VLOOKUP($D296,Details!$A$2:$C$11,3,false),vlookup($D296,Details!$E$2:$G$11,3,false))</f>
        <v>Snacks and Drinks</v>
      </c>
      <c r="N296" s="18">
        <f t="shared" si="1"/>
        <v>725</v>
      </c>
      <c r="O296" s="17"/>
      <c r="P296" s="17"/>
      <c r="Q296" s="17"/>
      <c r="R296" s="17"/>
      <c r="S296" s="17"/>
      <c r="T296" s="17"/>
      <c r="U296" s="17"/>
      <c r="V296" s="17"/>
      <c r="W296" s="17"/>
      <c r="X296" s="17"/>
      <c r="Y296" s="17"/>
      <c r="Z296" s="17"/>
    </row>
    <row r="297">
      <c r="A297" s="18" t="str">
        <f>IFERROR(__xludf.DUMMYFUNCTION("""COMPUTED_VALUE"""),"ord_10296")</f>
        <v>ord_10296</v>
      </c>
      <c r="B297" s="18" t="str">
        <f>IFERROR(__xludf.DUMMYFUNCTION("""COMPUTED_VALUE"""),"Sanjay Nair")</f>
        <v>Sanjay Nair</v>
      </c>
      <c r="C297" s="18" t="str">
        <f>IFERROR(__xludf.DUMMYFUNCTION("""COMPUTED_VALUE"""),"Dadar")</f>
        <v>Dadar</v>
      </c>
      <c r="D297" s="18" t="str">
        <f>IFERROR(__xludf.DUMMYFUNCTION("""COMPUTED_VALUE"""),"Onion")</f>
        <v>Onion</v>
      </c>
      <c r="E297" s="18">
        <f>IFERROR(__xludf.DUMMYFUNCTION("""COMPUTED_VALUE"""),2.0)</f>
        <v>2</v>
      </c>
      <c r="F297" s="18" t="str">
        <f>IFERROR(__xludf.DUMMYFUNCTION("""COMPUTED_VALUE"""),"Shine Thomas")</f>
        <v>Shine Thomas</v>
      </c>
      <c r="G297" s="19">
        <f>IFERROR(__xludf.DUMMYFUNCTION("""COMPUTED_VALUE"""),45186.0)</f>
        <v>45186</v>
      </c>
      <c r="H297" s="18" t="str">
        <f>IFERROR(__xludf.DUMMYFUNCTION("""COMPUTED_VALUE"""),"COD")</f>
        <v>COD</v>
      </c>
      <c r="I297" s="18" t="str">
        <f>IFERROR(__xludf.DUMMYFUNCTION("""COMPUTED_VALUE"""),"Delivered")</f>
        <v>Delivered</v>
      </c>
      <c r="J297" s="18" t="str">
        <f>IFERROR(__xludf.DUMMYFUNCTION("""COMPUTED_VALUE"""),"Satisfied with the Delivery")</f>
        <v>Satisfied with the Delivery</v>
      </c>
      <c r="K297" s="18" t="str">
        <f>IFERROR(__xludf.DUMMYFUNCTION("""COMPUTED_VALUE"""),"Timely and quality")</f>
        <v>Timely and quality</v>
      </c>
      <c r="L297" s="18">
        <f>iferror(VLOOKUP($D297,Details!$A$2:$C$11,2,false),vlookup($D297,Details!$E$2:$G$11,2,false))</f>
        <v>84</v>
      </c>
      <c r="M297" s="18" t="str">
        <f>iferror(VLOOKUP($D297,Details!$A$2:$C$11,3,false),vlookup($D297,Details!$E$2:$G$11,3,false))</f>
        <v>Fruits and Vegetables</v>
      </c>
      <c r="N297" s="18">
        <f t="shared" si="1"/>
        <v>168</v>
      </c>
      <c r="O297" s="17"/>
      <c r="P297" s="17"/>
      <c r="Q297" s="17"/>
      <c r="R297" s="17"/>
      <c r="S297" s="17"/>
      <c r="T297" s="17"/>
      <c r="U297" s="17"/>
      <c r="V297" s="17"/>
      <c r="W297" s="17"/>
      <c r="X297" s="17"/>
      <c r="Y297" s="17"/>
      <c r="Z297" s="17"/>
    </row>
    <row r="298">
      <c r="A298" s="18" t="str">
        <f>IFERROR(__xludf.DUMMYFUNCTION("""COMPUTED_VALUE"""),"ord_10297")</f>
        <v>ord_10297</v>
      </c>
      <c r="B298" s="18" t="str">
        <f>IFERROR(__xludf.DUMMYFUNCTION("""COMPUTED_VALUE"""),"Ishaan Chaturvedi")</f>
        <v>Ishaan Chaturvedi</v>
      </c>
      <c r="C298" s="18" t="str">
        <f>IFERROR(__xludf.DUMMYFUNCTION("""COMPUTED_VALUE"""),"Bandra")</f>
        <v>Bandra</v>
      </c>
      <c r="D298" s="18" t="str">
        <f>IFERROR(__xludf.DUMMYFUNCTION("""COMPUTED_VALUE"""),"Onion")</f>
        <v>Onion</v>
      </c>
      <c r="E298" s="18">
        <f>IFERROR(__xludf.DUMMYFUNCTION("""COMPUTED_VALUE"""),1.0)</f>
        <v>1</v>
      </c>
      <c r="F298" s="18" t="str">
        <f>IFERROR(__xludf.DUMMYFUNCTION("""COMPUTED_VALUE"""),"Priya Joshi")</f>
        <v>Priya Joshi</v>
      </c>
      <c r="G298" s="19">
        <f>IFERROR(__xludf.DUMMYFUNCTION("""COMPUTED_VALUE"""),45125.0)</f>
        <v>45125</v>
      </c>
      <c r="H298" s="18" t="str">
        <f>IFERROR(__xludf.DUMMYFUNCTION("""COMPUTED_VALUE"""),"COD")</f>
        <v>COD</v>
      </c>
      <c r="I298" s="18" t="str">
        <f>IFERROR(__xludf.DUMMYFUNCTION("""COMPUTED_VALUE"""),"Delivered")</f>
        <v>Delivered</v>
      </c>
      <c r="J298" s="18" t="str">
        <f>IFERROR(__xludf.DUMMYFUNCTION("""COMPUTED_VALUE"""),"Customer Service")</f>
        <v>Customer Service</v>
      </c>
      <c r="K298" s="18" t="str">
        <f>IFERROR(__xludf.DUMMYFUNCTION("""COMPUTED_VALUE"""),"Seamless and easy")</f>
        <v>Seamless and easy</v>
      </c>
      <c r="L298" s="18">
        <f>iferror(VLOOKUP($D298,Details!$A$2:$C$11,2,false),vlookup($D298,Details!$E$2:$G$11,2,false))</f>
        <v>84</v>
      </c>
      <c r="M298" s="18" t="str">
        <f>iferror(VLOOKUP($D298,Details!$A$2:$C$11,3,false),vlookup($D298,Details!$E$2:$G$11,3,false))</f>
        <v>Fruits and Vegetables</v>
      </c>
      <c r="N298" s="18">
        <f t="shared" si="1"/>
        <v>84</v>
      </c>
      <c r="O298" s="17"/>
      <c r="P298" s="17"/>
      <c r="Q298" s="17"/>
      <c r="R298" s="17"/>
      <c r="S298" s="17"/>
      <c r="T298" s="17"/>
      <c r="U298" s="17"/>
      <c r="V298" s="17"/>
      <c r="W298" s="17"/>
      <c r="X298" s="17"/>
      <c r="Y298" s="17"/>
      <c r="Z298" s="17"/>
    </row>
    <row r="299">
      <c r="A299" s="18" t="str">
        <f>IFERROR(__xludf.DUMMYFUNCTION("""COMPUTED_VALUE"""),"ord_10298")</f>
        <v>ord_10298</v>
      </c>
      <c r="B299" s="18" t="str">
        <f>IFERROR(__xludf.DUMMYFUNCTION("""COMPUTED_VALUE"""),"Dev Chauhan")</f>
        <v>Dev Chauhan</v>
      </c>
      <c r="C299" s="18" t="str">
        <f>IFERROR(__xludf.DUMMYFUNCTION("""COMPUTED_VALUE"""),"Bandra")</f>
        <v>Bandra</v>
      </c>
      <c r="D299" s="18" t="str">
        <f>IFERROR(__xludf.DUMMYFUNCTION("""COMPUTED_VALUE"""),"Juice")</f>
        <v>Juice</v>
      </c>
      <c r="E299" s="18">
        <f>IFERROR(__xludf.DUMMYFUNCTION("""COMPUTED_VALUE"""),2.0)</f>
        <v>2</v>
      </c>
      <c r="F299" s="18" t="str">
        <f>IFERROR(__xludf.DUMMYFUNCTION("""COMPUTED_VALUE"""),"Not Assigned")</f>
        <v>Not Assigned</v>
      </c>
      <c r="G299" s="19">
        <f>IFERROR(__xludf.DUMMYFUNCTION("""COMPUTED_VALUE"""),45131.0)</f>
        <v>45131</v>
      </c>
      <c r="H299" s="18" t="str">
        <f>IFERROR(__xludf.DUMMYFUNCTION("""COMPUTED_VALUE"""),"Credit Card")</f>
        <v>Credit Card</v>
      </c>
      <c r="I299" s="18" t="str">
        <f>IFERROR(__xludf.DUMMYFUNCTION("""COMPUTED_VALUE"""),"Cancelled")</f>
        <v>Cancelled</v>
      </c>
      <c r="J299" s="18" t="str">
        <f>IFERROR(__xludf.DUMMYFUNCTION("""COMPUTED_VALUE"""),"Payment Issues")</f>
        <v>Payment Issues</v>
      </c>
      <c r="K299" s="18"/>
      <c r="L299" s="18">
        <f>iferror(VLOOKUP($D299,Details!$A$2:$C$11,2,false),vlookup($D299,Details!$E$2:$G$11,2,false))</f>
        <v>90</v>
      </c>
      <c r="M299" s="18" t="str">
        <f>iferror(VLOOKUP($D299,Details!$A$2:$C$11,3,false),vlookup($D299,Details!$E$2:$G$11,3,false))</f>
        <v>Snacks and Drinks</v>
      </c>
      <c r="N299" s="18">
        <f t="shared" si="1"/>
        <v>180</v>
      </c>
      <c r="O299" s="17"/>
      <c r="P299" s="17"/>
      <c r="Q299" s="17"/>
      <c r="R299" s="17"/>
      <c r="S299" s="17"/>
      <c r="T299" s="17"/>
      <c r="U299" s="17"/>
      <c r="V299" s="17"/>
      <c r="W299" s="17"/>
      <c r="X299" s="17"/>
      <c r="Y299" s="17"/>
      <c r="Z299" s="17"/>
    </row>
    <row r="300">
      <c r="A300" s="18" t="str">
        <f>IFERROR(__xludf.DUMMYFUNCTION("""COMPUTED_VALUE"""),"ord_10299")</f>
        <v>ord_10299</v>
      </c>
      <c r="B300" s="18" t="str">
        <f>IFERROR(__xludf.DUMMYFUNCTION("""COMPUTED_VALUE"""),"Tanishq Bansal")</f>
        <v>Tanishq Bansal</v>
      </c>
      <c r="C300" s="18" t="str">
        <f>IFERROR(__xludf.DUMMYFUNCTION("""COMPUTED_VALUE"""),"Powai")</f>
        <v>Powai</v>
      </c>
      <c r="D300" s="18" t="str">
        <f>IFERROR(__xludf.DUMMYFUNCTION("""COMPUTED_VALUE"""),"Cucumber")</f>
        <v>Cucumber</v>
      </c>
      <c r="E300" s="18">
        <f>IFERROR(__xludf.DUMMYFUNCTION("""COMPUTED_VALUE"""),2.0)</f>
        <v>2</v>
      </c>
      <c r="F300" s="18" t="str">
        <f>IFERROR(__xludf.DUMMYFUNCTION("""COMPUTED_VALUE"""),"Vivek Kumar")</f>
        <v>Vivek Kumar</v>
      </c>
      <c r="G300" s="19">
        <f>IFERROR(__xludf.DUMMYFUNCTION("""COMPUTED_VALUE"""),45083.0)</f>
        <v>45083</v>
      </c>
      <c r="H300" s="18" t="str">
        <f>IFERROR(__xludf.DUMMYFUNCTION("""COMPUTED_VALUE"""),"Online Payment")</f>
        <v>Online Payment</v>
      </c>
      <c r="I300" s="18" t="str">
        <f>IFERROR(__xludf.DUMMYFUNCTION("""COMPUTED_VALUE"""),"Delivered")</f>
        <v>Delivered</v>
      </c>
      <c r="J300" s="18" t="str">
        <f>IFERROR(__xludf.DUMMYFUNCTION("""COMPUTED_VALUE"""),"Delivery Experience")</f>
        <v>Delivery Experience</v>
      </c>
      <c r="K300" s="18" t="str">
        <f>IFERROR(__xludf.DUMMYFUNCTION("""COMPUTED_VALUE"""),"Quick and professional")</f>
        <v>Quick and professional</v>
      </c>
      <c r="L300" s="18">
        <f>iferror(VLOOKUP($D300,Details!$A$2:$C$11,2,false),vlookup($D300,Details!$E$2:$G$11,2,false))</f>
        <v>30</v>
      </c>
      <c r="M300" s="18" t="str">
        <f>iferror(VLOOKUP($D300,Details!$A$2:$C$11,3,false),vlookup($D300,Details!$E$2:$G$11,3,false))</f>
        <v>Fruits and Vegetables</v>
      </c>
      <c r="N300" s="18">
        <f t="shared" si="1"/>
        <v>60</v>
      </c>
      <c r="O300" s="17"/>
      <c r="P300" s="17"/>
      <c r="Q300" s="17"/>
      <c r="R300" s="17"/>
      <c r="S300" s="17"/>
      <c r="T300" s="17"/>
      <c r="U300" s="17"/>
      <c r="V300" s="17"/>
      <c r="W300" s="17"/>
      <c r="X300" s="17"/>
      <c r="Y300" s="17"/>
      <c r="Z300" s="17"/>
    </row>
    <row r="301">
      <c r="A301" s="18" t="str">
        <f>IFERROR(__xludf.DUMMYFUNCTION("""COMPUTED_VALUE"""),"ord_10300")</f>
        <v>ord_10300</v>
      </c>
      <c r="B301" s="18" t="str">
        <f>IFERROR(__xludf.DUMMYFUNCTION("""COMPUTED_VALUE"""),"Kritika Shetty")</f>
        <v>Kritika Shetty</v>
      </c>
      <c r="C301" s="18" t="str">
        <f>IFERROR(__xludf.DUMMYFUNCTION("""COMPUTED_VALUE"""),"Malad")</f>
        <v>Malad</v>
      </c>
      <c r="D301" s="18" t="str">
        <f>IFERROR(__xludf.DUMMYFUNCTION("""COMPUTED_VALUE"""),"Potato")</f>
        <v>Potato</v>
      </c>
      <c r="E301" s="18">
        <f>IFERROR(__xludf.DUMMYFUNCTION("""COMPUTED_VALUE"""),1.0)</f>
        <v>1</v>
      </c>
      <c r="F301" s="18" t="str">
        <f>IFERROR(__xludf.DUMMYFUNCTION("""COMPUTED_VALUE"""),"Venu R")</f>
        <v>Venu R</v>
      </c>
      <c r="G301" s="19">
        <f>IFERROR(__xludf.DUMMYFUNCTION("""COMPUTED_VALUE"""),45116.0)</f>
        <v>45116</v>
      </c>
      <c r="H301" s="18" t="str">
        <f>IFERROR(__xludf.DUMMYFUNCTION("""COMPUTED_VALUE"""),"Credit Card")</f>
        <v>Credit Card</v>
      </c>
      <c r="I301" s="18" t="str">
        <f>IFERROR(__xludf.DUMMYFUNCTION("""COMPUTED_VALUE"""),"Cancelled")</f>
        <v>Cancelled</v>
      </c>
      <c r="J301" s="18" t="str">
        <f>IFERROR(__xludf.DUMMYFUNCTION("""COMPUTED_VALUE"""),"Delayed Delivery")</f>
        <v>Delayed Delivery</v>
      </c>
      <c r="K301" s="18" t="str">
        <f>IFERROR(__xludf.DUMMYFUNCTION("""COMPUTED_VALUE"""),"Heavy Traffic")</f>
        <v>Heavy Traffic</v>
      </c>
      <c r="L301" s="18">
        <f>iferror(VLOOKUP($D301,Details!$A$2:$C$11,2,false),vlookup($D301,Details!$E$2:$G$11,2,false))</f>
        <v>55</v>
      </c>
      <c r="M301" s="18" t="str">
        <f>iferror(VLOOKUP($D301,Details!$A$2:$C$11,3,false),vlookup($D301,Details!$E$2:$G$11,3,false))</f>
        <v>Fruits and Vegetables</v>
      </c>
      <c r="N301" s="18">
        <f t="shared" si="1"/>
        <v>55</v>
      </c>
      <c r="O301" s="17"/>
      <c r="P301" s="17"/>
      <c r="Q301" s="17"/>
      <c r="R301" s="17"/>
      <c r="S301" s="17"/>
      <c r="T301" s="17"/>
      <c r="U301" s="17"/>
      <c r="V301" s="17"/>
      <c r="W301" s="17"/>
      <c r="X301" s="17"/>
      <c r="Y301" s="17"/>
      <c r="Z301" s="17"/>
    </row>
    <row r="302">
      <c r="A302" s="18" t="str">
        <f>IFERROR(__xludf.DUMMYFUNCTION("""COMPUTED_VALUE"""),"ord_10301")</f>
        <v>ord_10301</v>
      </c>
      <c r="B302" s="18" t="str">
        <f>IFERROR(__xludf.DUMMYFUNCTION("""COMPUTED_VALUE"""),"Kunal Sharma")</f>
        <v>Kunal Sharma</v>
      </c>
      <c r="C302" s="18" t="str">
        <f>IFERROR(__xludf.DUMMYFUNCTION("""COMPUTED_VALUE"""),"Powai")</f>
        <v>Powai</v>
      </c>
      <c r="D302" s="18" t="str">
        <f>IFERROR(__xludf.DUMMYFUNCTION("""COMPUTED_VALUE"""),"Chicken Puff")</f>
        <v>Chicken Puff</v>
      </c>
      <c r="E302" s="18">
        <f>IFERROR(__xludf.DUMMYFUNCTION("""COMPUTED_VALUE"""),8.0)</f>
        <v>8</v>
      </c>
      <c r="F302" s="18" t="str">
        <f>IFERROR(__xludf.DUMMYFUNCTION("""COMPUTED_VALUE"""),"Shine Thomas")</f>
        <v>Shine Thomas</v>
      </c>
      <c r="G302" s="19">
        <f>IFERROR(__xludf.DUMMYFUNCTION("""COMPUTED_VALUE"""),44946.0)</f>
        <v>44946</v>
      </c>
      <c r="H302" s="18" t="str">
        <f>IFERROR(__xludf.DUMMYFUNCTION("""COMPUTED_VALUE"""),"Credit Card")</f>
        <v>Credit Card</v>
      </c>
      <c r="I302" s="18" t="str">
        <f>IFERROR(__xludf.DUMMYFUNCTION("""COMPUTED_VALUE"""),"Delivered")</f>
        <v>Delivered</v>
      </c>
      <c r="J302" s="18" t="str">
        <f>IFERROR(__xludf.DUMMYFUNCTION("""COMPUTED_VALUE"""),"Convenience")</f>
        <v>Convenience</v>
      </c>
      <c r="K302" s="18" t="str">
        <f>IFERROR(__xludf.DUMMYFUNCTION("""COMPUTED_VALUE"""),"Easy tracking")</f>
        <v>Easy tracking</v>
      </c>
      <c r="L302" s="18">
        <f>iferror(VLOOKUP($D302,Details!$A$2:$C$11,2,false),vlookup($D302,Details!$E$2:$G$11,2,false))</f>
        <v>90</v>
      </c>
      <c r="M302" s="18" t="str">
        <f>iferror(VLOOKUP($D302,Details!$A$2:$C$11,3,false),vlookup($D302,Details!$E$2:$G$11,3,false))</f>
        <v>Snacks and Drinks</v>
      </c>
      <c r="N302" s="18">
        <f t="shared" si="1"/>
        <v>720</v>
      </c>
      <c r="O302" s="17"/>
      <c r="P302" s="17"/>
      <c r="Q302" s="17"/>
      <c r="R302" s="17"/>
      <c r="S302" s="17"/>
      <c r="T302" s="17"/>
      <c r="U302" s="17"/>
      <c r="V302" s="17"/>
      <c r="W302" s="17"/>
      <c r="X302" s="17"/>
      <c r="Y302" s="17"/>
      <c r="Z302" s="17"/>
    </row>
    <row r="303">
      <c r="A303" s="18" t="str">
        <f>IFERROR(__xludf.DUMMYFUNCTION("""COMPUTED_VALUE"""),"ord_10302")</f>
        <v>ord_10302</v>
      </c>
      <c r="B303" s="18" t="str">
        <f>IFERROR(__xludf.DUMMYFUNCTION("""COMPUTED_VALUE"""),"Kunal Sharma")</f>
        <v>Kunal Sharma</v>
      </c>
      <c r="C303" s="18" t="str">
        <f>IFERROR(__xludf.DUMMYFUNCTION("""COMPUTED_VALUE"""),"Powai")</f>
        <v>Powai</v>
      </c>
      <c r="D303" s="18" t="str">
        <f>IFERROR(__xludf.DUMMYFUNCTION("""COMPUTED_VALUE"""),"Cold Coffee")</f>
        <v>Cold Coffee</v>
      </c>
      <c r="E303" s="18">
        <f>IFERROR(__xludf.DUMMYFUNCTION("""COMPUTED_VALUE"""),8.0)</f>
        <v>8</v>
      </c>
      <c r="F303" s="18" t="str">
        <f>IFERROR(__xludf.DUMMYFUNCTION("""COMPUTED_VALUE"""),"Sandeep Kumar")</f>
        <v>Sandeep Kumar</v>
      </c>
      <c r="G303" s="19">
        <f>IFERROR(__xludf.DUMMYFUNCTION("""COMPUTED_VALUE"""),44984.0)</f>
        <v>44984</v>
      </c>
      <c r="H303" s="18" t="str">
        <f>IFERROR(__xludf.DUMMYFUNCTION("""COMPUTED_VALUE"""),"COD")</f>
        <v>COD</v>
      </c>
      <c r="I303" s="18" t="str">
        <f>IFERROR(__xludf.DUMMYFUNCTION("""COMPUTED_VALUE"""),"Delivered")</f>
        <v>Delivered</v>
      </c>
      <c r="J303" s="18" t="str">
        <f>IFERROR(__xludf.DUMMYFUNCTION("""COMPUTED_VALUE"""),"Overall Satisfaction")</f>
        <v>Overall Satisfaction</v>
      </c>
      <c r="K303" s="18" t="str">
        <f>IFERROR(__xludf.DUMMYFUNCTION("""COMPUTED_VALUE"""),"Great service will order again")</f>
        <v>Great service will order again</v>
      </c>
      <c r="L303" s="18">
        <f>iferror(VLOOKUP($D303,Details!$A$2:$C$11,2,false),vlookup($D303,Details!$E$2:$G$11,2,false))</f>
        <v>270</v>
      </c>
      <c r="M303" s="18" t="str">
        <f>iferror(VLOOKUP($D303,Details!$A$2:$C$11,3,false),vlookup($D303,Details!$E$2:$G$11,3,false))</f>
        <v>Snacks and Drinks</v>
      </c>
      <c r="N303" s="18">
        <f t="shared" si="1"/>
        <v>2160</v>
      </c>
      <c r="O303" s="17"/>
      <c r="P303" s="17"/>
      <c r="Q303" s="17"/>
      <c r="R303" s="17"/>
      <c r="S303" s="17"/>
      <c r="T303" s="17"/>
      <c r="U303" s="17"/>
      <c r="V303" s="17"/>
      <c r="W303" s="17"/>
      <c r="X303" s="17"/>
      <c r="Y303" s="17"/>
      <c r="Z303" s="17"/>
    </row>
    <row r="304">
      <c r="A304" s="18" t="str">
        <f>IFERROR(__xludf.DUMMYFUNCTION("""COMPUTED_VALUE"""),"ord_10303")</f>
        <v>ord_10303</v>
      </c>
      <c r="B304" s="18" t="str">
        <f>IFERROR(__xludf.DUMMYFUNCTION("""COMPUTED_VALUE"""),"Arvind Kulkarni")</f>
        <v>Arvind Kulkarni</v>
      </c>
      <c r="C304" s="18" t="str">
        <f>IFERROR(__xludf.DUMMYFUNCTION("""COMPUTED_VALUE"""),"Juhu")</f>
        <v>Juhu</v>
      </c>
      <c r="D304" s="18" t="str">
        <f>IFERROR(__xludf.DUMMYFUNCTION("""COMPUTED_VALUE"""),"Juice")</f>
        <v>Juice</v>
      </c>
      <c r="E304" s="18">
        <f>IFERROR(__xludf.DUMMYFUNCTION("""COMPUTED_VALUE"""),3.0)</f>
        <v>3</v>
      </c>
      <c r="F304" s="18" t="str">
        <f>IFERROR(__xludf.DUMMYFUNCTION("""COMPUTED_VALUE"""),"Tanvi Jain")</f>
        <v>Tanvi Jain</v>
      </c>
      <c r="G304" s="19">
        <f>IFERROR(__xludf.DUMMYFUNCTION("""COMPUTED_VALUE"""),45033.0)</f>
        <v>45033</v>
      </c>
      <c r="H304" s="18" t="str">
        <f>IFERROR(__xludf.DUMMYFUNCTION("""COMPUTED_VALUE"""),"UPI")</f>
        <v>UPI</v>
      </c>
      <c r="I304" s="18" t="str">
        <f>IFERROR(__xludf.DUMMYFUNCTION("""COMPUTED_VALUE"""),"Cancelled")</f>
        <v>Cancelled</v>
      </c>
      <c r="J304" s="18" t="str">
        <f>IFERROR(__xludf.DUMMYFUNCTION("""COMPUTED_VALUE"""),"Delayed Delivery")</f>
        <v>Delayed Delivery</v>
      </c>
      <c r="K304" s="18" t="str">
        <f>IFERROR(__xludf.DUMMYFUNCTION("""COMPUTED_VALUE"""),"Traffic Accidents or Road Closures")</f>
        <v>Traffic Accidents or Road Closures</v>
      </c>
      <c r="L304" s="18">
        <f>iferror(VLOOKUP($D304,Details!$A$2:$C$11,2,false),vlookup($D304,Details!$E$2:$G$11,2,false))</f>
        <v>90</v>
      </c>
      <c r="M304" s="18" t="str">
        <f>iferror(VLOOKUP($D304,Details!$A$2:$C$11,3,false),vlookup($D304,Details!$E$2:$G$11,3,false))</f>
        <v>Snacks and Drinks</v>
      </c>
      <c r="N304" s="18">
        <f t="shared" si="1"/>
        <v>270</v>
      </c>
      <c r="O304" s="17"/>
      <c r="P304" s="17"/>
      <c r="Q304" s="17"/>
      <c r="R304" s="17"/>
      <c r="S304" s="17"/>
      <c r="T304" s="17"/>
      <c r="U304" s="17"/>
      <c r="V304" s="17"/>
      <c r="W304" s="17"/>
      <c r="X304" s="17"/>
      <c r="Y304" s="17"/>
      <c r="Z304" s="17"/>
    </row>
    <row r="305">
      <c r="A305" s="18" t="str">
        <f>IFERROR(__xludf.DUMMYFUNCTION("""COMPUTED_VALUE"""),"ord_10304")</f>
        <v>ord_10304</v>
      </c>
      <c r="B305" s="18" t="str">
        <f>IFERROR(__xludf.DUMMYFUNCTION("""COMPUTED_VALUE"""),"Harsh Vardhan")</f>
        <v>Harsh Vardhan</v>
      </c>
      <c r="C305" s="18" t="str">
        <f>IFERROR(__xludf.DUMMYFUNCTION("""COMPUTED_VALUE"""),"Bandra")</f>
        <v>Bandra</v>
      </c>
      <c r="D305" s="18" t="str">
        <f>IFERROR(__xludf.DUMMYFUNCTION("""COMPUTED_VALUE"""),"Tiramisu")</f>
        <v>Tiramisu</v>
      </c>
      <c r="E305" s="18">
        <f>IFERROR(__xludf.DUMMYFUNCTION("""COMPUTED_VALUE"""),4.0)</f>
        <v>4</v>
      </c>
      <c r="F305" s="18" t="str">
        <f>IFERROR(__xludf.DUMMYFUNCTION("""COMPUTED_VALUE"""),"Ramesh S")</f>
        <v>Ramesh S</v>
      </c>
      <c r="G305" s="19">
        <f>IFERROR(__xludf.DUMMYFUNCTION("""COMPUTED_VALUE"""),45043.0)</f>
        <v>45043</v>
      </c>
      <c r="H305" s="18" t="str">
        <f>IFERROR(__xludf.DUMMYFUNCTION("""COMPUTED_VALUE"""),"UPI")</f>
        <v>UPI</v>
      </c>
      <c r="I305" s="18" t="str">
        <f>IFERROR(__xludf.DUMMYFUNCTION("""COMPUTED_VALUE"""),"Delivered")</f>
        <v>Delivered</v>
      </c>
      <c r="J305" s="18" t="str">
        <f>IFERROR(__xludf.DUMMYFUNCTION("""COMPUTED_VALUE"""),"On-time Delivery")</f>
        <v>On-time Delivery</v>
      </c>
      <c r="K305" s="18" t="str">
        <f>IFERROR(__xludf.DUMMYFUNCTION("""COMPUTED_VALUE"""),"Delivered on time")</f>
        <v>Delivered on time</v>
      </c>
      <c r="L305" s="18">
        <f>iferror(VLOOKUP($D305,Details!$A$2:$C$11,2,false),vlookup($D305,Details!$E$2:$G$11,2,false))</f>
        <v>150</v>
      </c>
      <c r="M305" s="18" t="str">
        <f>iferror(VLOOKUP($D305,Details!$A$2:$C$11,3,false),vlookup($D305,Details!$E$2:$G$11,3,false))</f>
        <v>Snacks and Drinks</v>
      </c>
      <c r="N305" s="18">
        <f t="shared" si="1"/>
        <v>600</v>
      </c>
      <c r="O305" s="17"/>
      <c r="P305" s="17"/>
      <c r="Q305" s="17"/>
      <c r="R305" s="17"/>
      <c r="S305" s="17"/>
      <c r="T305" s="17"/>
      <c r="U305" s="17"/>
      <c r="V305" s="17"/>
      <c r="W305" s="17"/>
      <c r="X305" s="17"/>
      <c r="Y305" s="17"/>
      <c r="Z305" s="17"/>
    </row>
    <row r="306">
      <c r="A306" s="18" t="str">
        <f>IFERROR(__xludf.DUMMYFUNCTION("""COMPUTED_VALUE"""),"ord_10305")</f>
        <v>ord_10305</v>
      </c>
      <c r="B306" s="18" t="str">
        <f>IFERROR(__xludf.DUMMYFUNCTION("""COMPUTED_VALUE"""),"Leena Das")</f>
        <v>Leena Das</v>
      </c>
      <c r="C306" s="18" t="str">
        <f>IFERROR(__xludf.DUMMYFUNCTION("""COMPUTED_VALUE"""),"Andheri")</f>
        <v>Andheri</v>
      </c>
      <c r="D306" s="18" t="str">
        <f>IFERROR(__xludf.DUMMYFUNCTION("""COMPUTED_VALUE"""),"Potato")</f>
        <v>Potato</v>
      </c>
      <c r="E306" s="18">
        <f>IFERROR(__xludf.DUMMYFUNCTION("""COMPUTED_VALUE"""),5.0)</f>
        <v>5</v>
      </c>
      <c r="F306" s="18" t="str">
        <f>IFERROR(__xludf.DUMMYFUNCTION("""COMPUTED_VALUE"""),"Vivek Kumar")</f>
        <v>Vivek Kumar</v>
      </c>
      <c r="G306" s="19">
        <f>IFERROR(__xludf.DUMMYFUNCTION("""COMPUTED_VALUE"""),45251.0)</f>
        <v>45251</v>
      </c>
      <c r="H306" s="18" t="str">
        <f>IFERROR(__xludf.DUMMYFUNCTION("""COMPUTED_VALUE"""),"Credit Card")</f>
        <v>Credit Card</v>
      </c>
      <c r="I306" s="18" t="str">
        <f>IFERROR(__xludf.DUMMYFUNCTION("""COMPUTED_VALUE"""),"Delivered")</f>
        <v>Delivered</v>
      </c>
      <c r="J306" s="18" t="str">
        <f>IFERROR(__xludf.DUMMYFUNCTION("""COMPUTED_VALUE"""),"Quality of Items")</f>
        <v>Quality of Items</v>
      </c>
      <c r="K306" s="18" t="str">
        <f>IFERROR(__xludf.DUMMYFUNCTION("""COMPUTED_VALUE"""),"Perfect condition")</f>
        <v>Perfect condition</v>
      </c>
      <c r="L306" s="18">
        <f>iferror(VLOOKUP($D306,Details!$A$2:$C$11,2,false),vlookup($D306,Details!$E$2:$G$11,2,false))</f>
        <v>55</v>
      </c>
      <c r="M306" s="18" t="str">
        <f>iferror(VLOOKUP($D306,Details!$A$2:$C$11,3,false),vlookup($D306,Details!$E$2:$G$11,3,false))</f>
        <v>Fruits and Vegetables</v>
      </c>
      <c r="N306" s="18">
        <f t="shared" si="1"/>
        <v>275</v>
      </c>
      <c r="O306" s="17"/>
      <c r="P306" s="17"/>
      <c r="Q306" s="17"/>
      <c r="R306" s="17"/>
      <c r="S306" s="17"/>
      <c r="T306" s="17"/>
      <c r="U306" s="17"/>
      <c r="V306" s="17"/>
      <c r="W306" s="17"/>
      <c r="X306" s="17"/>
      <c r="Y306" s="17"/>
      <c r="Z306" s="17"/>
    </row>
    <row r="307">
      <c r="A307" s="18" t="str">
        <f>IFERROR(__xludf.DUMMYFUNCTION("""COMPUTED_VALUE"""),"ord_10306")</f>
        <v>ord_10306</v>
      </c>
      <c r="B307" s="18" t="str">
        <f>IFERROR(__xludf.DUMMYFUNCTION("""COMPUTED_VALUE"""),"Kritika Shetty")</f>
        <v>Kritika Shetty</v>
      </c>
      <c r="C307" s="18" t="str">
        <f>IFERROR(__xludf.DUMMYFUNCTION("""COMPUTED_VALUE"""),"Malad")</f>
        <v>Malad</v>
      </c>
      <c r="D307" s="18" t="str">
        <f>IFERROR(__xludf.DUMMYFUNCTION("""COMPUTED_VALUE"""),"Popcorn")</f>
        <v>Popcorn</v>
      </c>
      <c r="E307" s="18">
        <f>IFERROR(__xludf.DUMMYFUNCTION("""COMPUTED_VALUE"""),4.0)</f>
        <v>4</v>
      </c>
      <c r="F307" s="18" t="str">
        <f>IFERROR(__xludf.DUMMYFUNCTION("""COMPUTED_VALUE"""),"Sita T")</f>
        <v>Sita T</v>
      </c>
      <c r="G307" s="19">
        <f>IFERROR(__xludf.DUMMYFUNCTION("""COMPUTED_VALUE"""),45097.0)</f>
        <v>45097</v>
      </c>
      <c r="H307" s="18" t="str">
        <f>IFERROR(__xludf.DUMMYFUNCTION("""COMPUTED_VALUE"""),"Online Payment")</f>
        <v>Online Payment</v>
      </c>
      <c r="I307" s="18" t="str">
        <f>IFERROR(__xludf.DUMMYFUNCTION("""COMPUTED_VALUE"""),"Cancelled")</f>
        <v>Cancelled</v>
      </c>
      <c r="J307" s="18" t="str">
        <f>IFERROR(__xludf.DUMMYFUNCTION("""COMPUTED_VALUE"""),"Delayed Delivery")</f>
        <v>Delayed Delivery</v>
      </c>
      <c r="K307" s="18" t="str">
        <f>IFERROR(__xludf.DUMMYFUNCTION("""COMPUTED_VALUE"""),"High Order Volume")</f>
        <v>High Order Volume</v>
      </c>
      <c r="L307" s="18">
        <f>iferror(VLOOKUP($D307,Details!$A$2:$C$11,2,false),vlookup($D307,Details!$E$2:$G$11,2,false))</f>
        <v>150</v>
      </c>
      <c r="M307" s="18" t="str">
        <f>iferror(VLOOKUP($D307,Details!$A$2:$C$11,3,false),vlookup($D307,Details!$E$2:$G$11,3,false))</f>
        <v>Snacks and Drinks</v>
      </c>
      <c r="N307" s="18">
        <f t="shared" si="1"/>
        <v>600</v>
      </c>
      <c r="O307" s="17"/>
      <c r="P307" s="17"/>
      <c r="Q307" s="17"/>
      <c r="R307" s="17"/>
      <c r="S307" s="17"/>
      <c r="T307" s="17"/>
      <c r="U307" s="17"/>
      <c r="V307" s="17"/>
      <c r="W307" s="17"/>
      <c r="X307" s="17"/>
      <c r="Y307" s="17"/>
      <c r="Z307" s="17"/>
    </row>
    <row r="308">
      <c r="A308" s="18" t="str">
        <f>IFERROR(__xludf.DUMMYFUNCTION("""COMPUTED_VALUE"""),"ord_10307")</f>
        <v>ord_10307</v>
      </c>
      <c r="B308" s="18" t="str">
        <f>IFERROR(__xludf.DUMMYFUNCTION("""COMPUTED_VALUE"""),"Arvind Kulkarni")</f>
        <v>Arvind Kulkarni</v>
      </c>
      <c r="C308" s="18" t="str">
        <f>IFERROR(__xludf.DUMMYFUNCTION("""COMPUTED_VALUE"""),"Juhu")</f>
        <v>Juhu</v>
      </c>
      <c r="D308" s="18" t="str">
        <f>IFERROR(__xludf.DUMMYFUNCTION("""COMPUTED_VALUE"""),"Guava")</f>
        <v>Guava</v>
      </c>
      <c r="E308" s="18">
        <f>IFERROR(__xludf.DUMMYFUNCTION("""COMPUTED_VALUE"""),2.0)</f>
        <v>2</v>
      </c>
      <c r="F308" s="18" t="str">
        <f>IFERROR(__xludf.DUMMYFUNCTION("""COMPUTED_VALUE"""),"Nikhil Deshmukh")</f>
        <v>Nikhil Deshmukh</v>
      </c>
      <c r="G308" s="19">
        <f>IFERROR(__xludf.DUMMYFUNCTION("""COMPUTED_VALUE"""),45210.0)</f>
        <v>45210</v>
      </c>
      <c r="H308" s="18" t="str">
        <f>IFERROR(__xludf.DUMMYFUNCTION("""COMPUTED_VALUE"""),"UPI")</f>
        <v>UPI</v>
      </c>
      <c r="I308" s="18" t="str">
        <f>IFERROR(__xludf.DUMMYFUNCTION("""COMPUTED_VALUE"""),"Cancelled")</f>
        <v>Cancelled</v>
      </c>
      <c r="J308" s="18" t="str">
        <f>IFERROR(__xludf.DUMMYFUNCTION("""COMPUTED_VALUE"""),"Delayed Delivery")</f>
        <v>Delayed Delivery</v>
      </c>
      <c r="K308" s="18" t="str">
        <f>IFERROR(__xludf.DUMMYFUNCTION("""COMPUTED_VALUE"""),"Vehicle Breakdown")</f>
        <v>Vehicle Breakdown</v>
      </c>
      <c r="L308" s="18">
        <f>iferror(VLOOKUP($D308,Details!$A$2:$C$11,2,false),vlookup($D308,Details!$E$2:$G$11,2,false))</f>
        <v>70</v>
      </c>
      <c r="M308" s="18" t="str">
        <f>iferror(VLOOKUP($D308,Details!$A$2:$C$11,3,false),vlookup($D308,Details!$E$2:$G$11,3,false))</f>
        <v>Fruits and Vegetables</v>
      </c>
      <c r="N308" s="18">
        <f t="shared" si="1"/>
        <v>140</v>
      </c>
      <c r="O308" s="17"/>
      <c r="P308" s="17"/>
      <c r="Q308" s="17"/>
      <c r="R308" s="17"/>
      <c r="S308" s="17"/>
      <c r="T308" s="17"/>
      <c r="U308" s="17"/>
      <c r="V308" s="17"/>
      <c r="W308" s="17"/>
      <c r="X308" s="17"/>
      <c r="Y308" s="17"/>
      <c r="Z308" s="17"/>
    </row>
    <row r="309">
      <c r="A309" s="18" t="str">
        <f>IFERROR(__xludf.DUMMYFUNCTION("""COMPUTED_VALUE"""),"ord_10308")</f>
        <v>ord_10308</v>
      </c>
      <c r="B309" s="18" t="str">
        <f>IFERROR(__xludf.DUMMYFUNCTION("""COMPUTED_VALUE"""),"Ishita Banerjee")</f>
        <v>Ishita Banerjee</v>
      </c>
      <c r="C309" s="18" t="str">
        <f>IFERROR(__xludf.DUMMYFUNCTION("""COMPUTED_VALUE"""),"Juhu")</f>
        <v>Juhu</v>
      </c>
      <c r="D309" s="18" t="str">
        <f>IFERROR(__xludf.DUMMYFUNCTION("""COMPUTED_VALUE"""),"Chilli Cheese Toast")</f>
        <v>Chilli Cheese Toast</v>
      </c>
      <c r="E309" s="18">
        <f>IFERROR(__xludf.DUMMYFUNCTION("""COMPUTED_VALUE"""),3.0)</f>
        <v>3</v>
      </c>
      <c r="F309" s="18" t="str">
        <f>IFERROR(__xludf.DUMMYFUNCTION("""COMPUTED_VALUE"""),"Ramesh S")</f>
        <v>Ramesh S</v>
      </c>
      <c r="G309" s="19">
        <f>IFERROR(__xludf.DUMMYFUNCTION("""COMPUTED_VALUE"""),45277.0)</f>
        <v>45277</v>
      </c>
      <c r="H309" s="18" t="str">
        <f>IFERROR(__xludf.DUMMYFUNCTION("""COMPUTED_VALUE"""),"Credit Card")</f>
        <v>Credit Card</v>
      </c>
      <c r="I309" s="18" t="str">
        <f>IFERROR(__xludf.DUMMYFUNCTION("""COMPUTED_VALUE"""),"Delivered")</f>
        <v>Delivered</v>
      </c>
      <c r="J309" s="18" t="str">
        <f>IFERROR(__xludf.DUMMYFUNCTION("""COMPUTED_VALUE"""),"On-time Delivery")</f>
        <v>On-time Delivery</v>
      </c>
      <c r="K309" s="18" t="str">
        <f>IFERROR(__xludf.DUMMYFUNCTION("""COMPUTED_VALUE"""),"Delivered on time")</f>
        <v>Delivered on time</v>
      </c>
      <c r="L309" s="18">
        <f>iferror(VLOOKUP($D309,Details!$A$2:$C$11,2,false),vlookup($D309,Details!$E$2:$G$11,2,false))</f>
        <v>80</v>
      </c>
      <c r="M309" s="18" t="str">
        <f>iferror(VLOOKUP($D309,Details!$A$2:$C$11,3,false),vlookup($D309,Details!$E$2:$G$11,3,false))</f>
        <v>Snacks and Drinks</v>
      </c>
      <c r="N309" s="18">
        <f t="shared" si="1"/>
        <v>240</v>
      </c>
      <c r="O309" s="17"/>
      <c r="P309" s="17"/>
      <c r="Q309" s="17"/>
      <c r="R309" s="17"/>
      <c r="S309" s="17"/>
      <c r="T309" s="17"/>
      <c r="U309" s="17"/>
      <c r="V309" s="17"/>
      <c r="W309" s="17"/>
      <c r="X309" s="17"/>
      <c r="Y309" s="17"/>
      <c r="Z309" s="17"/>
    </row>
    <row r="310">
      <c r="A310" s="18" t="str">
        <f>IFERROR(__xludf.DUMMYFUNCTION("""COMPUTED_VALUE"""),"ord_10309")</f>
        <v>ord_10309</v>
      </c>
      <c r="B310" s="18" t="str">
        <f>IFERROR(__xludf.DUMMYFUNCTION("""COMPUTED_VALUE"""),"Sakshi Tandon")</f>
        <v>Sakshi Tandon</v>
      </c>
      <c r="C310" s="18" t="str">
        <f>IFERROR(__xludf.DUMMYFUNCTION("""COMPUTED_VALUE"""),"Colaba")</f>
        <v>Colaba</v>
      </c>
      <c r="D310" s="18" t="str">
        <f>IFERROR(__xludf.DUMMYFUNCTION("""COMPUTED_VALUE"""),"Onion")</f>
        <v>Onion</v>
      </c>
      <c r="E310" s="18">
        <f>IFERROR(__xludf.DUMMYFUNCTION("""COMPUTED_VALUE"""),2.0)</f>
        <v>2</v>
      </c>
      <c r="F310" s="18" t="str">
        <f>IFERROR(__xludf.DUMMYFUNCTION("""COMPUTED_VALUE"""),"Ramesh S")</f>
        <v>Ramesh S</v>
      </c>
      <c r="G310" s="19">
        <f>IFERROR(__xludf.DUMMYFUNCTION("""COMPUTED_VALUE"""),45132.0)</f>
        <v>45132</v>
      </c>
      <c r="H310" s="18" t="str">
        <f>IFERROR(__xludf.DUMMYFUNCTION("""COMPUTED_VALUE"""),"Credit Card")</f>
        <v>Credit Card</v>
      </c>
      <c r="I310" s="18" t="str">
        <f>IFERROR(__xludf.DUMMYFUNCTION("""COMPUTED_VALUE"""),"Cancelled")</f>
        <v>Cancelled</v>
      </c>
      <c r="J310" s="18" t="str">
        <f>IFERROR(__xludf.DUMMYFUNCTION("""COMPUTED_VALUE"""),"Delayed Delivery")</f>
        <v>Delayed Delivery</v>
      </c>
      <c r="K310" s="18" t="str">
        <f>IFERROR(__xludf.DUMMYFUNCTION("""COMPUTED_VALUE"""),"Heavy Traffic")</f>
        <v>Heavy Traffic</v>
      </c>
      <c r="L310" s="18">
        <f>iferror(VLOOKUP($D310,Details!$A$2:$C$11,2,false),vlookup($D310,Details!$E$2:$G$11,2,false))</f>
        <v>84</v>
      </c>
      <c r="M310" s="18" t="str">
        <f>iferror(VLOOKUP($D310,Details!$A$2:$C$11,3,false),vlookup($D310,Details!$E$2:$G$11,3,false))</f>
        <v>Fruits and Vegetables</v>
      </c>
      <c r="N310" s="18">
        <f t="shared" si="1"/>
        <v>168</v>
      </c>
      <c r="O310" s="17"/>
      <c r="P310" s="17"/>
      <c r="Q310" s="17"/>
      <c r="R310" s="17"/>
      <c r="S310" s="17"/>
      <c r="T310" s="17"/>
      <c r="U310" s="17"/>
      <c r="V310" s="17"/>
      <c r="W310" s="17"/>
      <c r="X310" s="17"/>
      <c r="Y310" s="17"/>
      <c r="Z310" s="17"/>
    </row>
    <row r="311">
      <c r="A311" s="18" t="str">
        <f>IFERROR(__xludf.DUMMYFUNCTION("""COMPUTED_VALUE"""),"ord_10310")</f>
        <v>ord_10310</v>
      </c>
      <c r="B311" s="18" t="str">
        <f>IFERROR(__xludf.DUMMYFUNCTION("""COMPUTED_VALUE"""),"Dev Chauhan")</f>
        <v>Dev Chauhan</v>
      </c>
      <c r="C311" s="18" t="str">
        <f>IFERROR(__xludf.DUMMYFUNCTION("""COMPUTED_VALUE"""),"Bandra")</f>
        <v>Bandra</v>
      </c>
      <c r="D311" s="18" t="str">
        <f>IFERROR(__xludf.DUMMYFUNCTION("""COMPUTED_VALUE"""),"Veg Puff")</f>
        <v>Veg Puff</v>
      </c>
      <c r="E311" s="18">
        <f>IFERROR(__xludf.DUMMYFUNCTION("""COMPUTED_VALUE"""),3.0)</f>
        <v>3</v>
      </c>
      <c r="F311" s="18" t="str">
        <f>IFERROR(__xludf.DUMMYFUNCTION("""COMPUTED_VALUE"""),"Not Assigned")</f>
        <v>Not Assigned</v>
      </c>
      <c r="G311" s="19">
        <f>IFERROR(__xludf.DUMMYFUNCTION("""COMPUTED_VALUE"""),45118.0)</f>
        <v>45118</v>
      </c>
      <c r="H311" s="18" t="str">
        <f>IFERROR(__xludf.DUMMYFUNCTION("""COMPUTED_VALUE"""),"Credit Card")</f>
        <v>Credit Card</v>
      </c>
      <c r="I311" s="18" t="str">
        <f>IFERROR(__xludf.DUMMYFUNCTION("""COMPUTED_VALUE"""),"Cancelled")</f>
        <v>Cancelled</v>
      </c>
      <c r="J311" s="18" t="str">
        <f>IFERROR(__xludf.DUMMYFUNCTION("""COMPUTED_VALUE"""),"Payment Issues")</f>
        <v>Payment Issues</v>
      </c>
      <c r="K311" s="18"/>
      <c r="L311" s="18">
        <f>iferror(VLOOKUP($D311,Details!$A$2:$C$11,2,false),vlookup($D311,Details!$E$2:$G$11,2,false))</f>
        <v>80</v>
      </c>
      <c r="M311" s="18" t="str">
        <f>iferror(VLOOKUP($D311,Details!$A$2:$C$11,3,false),vlookup($D311,Details!$E$2:$G$11,3,false))</f>
        <v>Snacks and Drinks</v>
      </c>
      <c r="N311" s="18">
        <f t="shared" si="1"/>
        <v>240</v>
      </c>
      <c r="O311" s="17"/>
      <c r="P311" s="17"/>
      <c r="Q311" s="17"/>
      <c r="R311" s="17"/>
      <c r="S311" s="17"/>
      <c r="T311" s="17"/>
      <c r="U311" s="17"/>
      <c r="V311" s="17"/>
      <c r="W311" s="17"/>
      <c r="X311" s="17"/>
      <c r="Y311" s="17"/>
      <c r="Z311" s="17"/>
    </row>
    <row r="312">
      <c r="A312" s="18" t="str">
        <f>IFERROR(__xludf.DUMMYFUNCTION("""COMPUTED_VALUE"""),"ord_10311")</f>
        <v>ord_10311</v>
      </c>
      <c r="B312" s="18" t="str">
        <f>IFERROR(__xludf.DUMMYFUNCTION("""COMPUTED_VALUE"""),"Dev Chauhan")</f>
        <v>Dev Chauhan</v>
      </c>
      <c r="C312" s="18" t="str">
        <f>IFERROR(__xludf.DUMMYFUNCTION("""COMPUTED_VALUE"""),"Bandra")</f>
        <v>Bandra</v>
      </c>
      <c r="D312" s="18" t="str">
        <f>IFERROR(__xludf.DUMMYFUNCTION("""COMPUTED_VALUE"""),"Cucumber")</f>
        <v>Cucumber</v>
      </c>
      <c r="E312" s="18">
        <f>IFERROR(__xludf.DUMMYFUNCTION("""COMPUTED_VALUE"""),2.0)</f>
        <v>2</v>
      </c>
      <c r="F312" s="18" t="str">
        <f>IFERROR(__xludf.DUMMYFUNCTION("""COMPUTED_VALUE"""),"Not Assigned")</f>
        <v>Not Assigned</v>
      </c>
      <c r="G312" s="19">
        <f>IFERROR(__xludf.DUMMYFUNCTION("""COMPUTED_VALUE"""),45090.0)</f>
        <v>45090</v>
      </c>
      <c r="H312" s="18" t="str">
        <f>IFERROR(__xludf.DUMMYFUNCTION("""COMPUTED_VALUE"""),"UPI")</f>
        <v>UPI</v>
      </c>
      <c r="I312" s="18" t="str">
        <f>IFERROR(__xludf.DUMMYFUNCTION("""COMPUTED_VALUE"""),"Cancelled")</f>
        <v>Cancelled</v>
      </c>
      <c r="J312" s="18" t="str">
        <f>IFERROR(__xludf.DUMMYFUNCTION("""COMPUTED_VALUE"""),"Out of Stock")</f>
        <v>Out of Stock</v>
      </c>
      <c r="K312" s="18"/>
      <c r="L312" s="18">
        <f>iferror(VLOOKUP($D312,Details!$A$2:$C$11,2,false),vlookup($D312,Details!$E$2:$G$11,2,false))</f>
        <v>30</v>
      </c>
      <c r="M312" s="18" t="str">
        <f>iferror(VLOOKUP($D312,Details!$A$2:$C$11,3,false),vlookup($D312,Details!$E$2:$G$11,3,false))</f>
        <v>Fruits and Vegetables</v>
      </c>
      <c r="N312" s="18">
        <f t="shared" si="1"/>
        <v>60</v>
      </c>
      <c r="O312" s="17"/>
      <c r="P312" s="17"/>
      <c r="Q312" s="17"/>
      <c r="R312" s="17"/>
      <c r="S312" s="17"/>
      <c r="T312" s="17"/>
      <c r="U312" s="17"/>
      <c r="V312" s="17"/>
      <c r="W312" s="17"/>
      <c r="X312" s="17"/>
      <c r="Y312" s="17"/>
      <c r="Z312" s="17"/>
    </row>
    <row r="313">
      <c r="A313" s="18" t="str">
        <f>IFERROR(__xludf.DUMMYFUNCTION("""COMPUTED_VALUE"""),"ord_10312")</f>
        <v>ord_10312</v>
      </c>
      <c r="B313" s="18" t="str">
        <f>IFERROR(__xludf.DUMMYFUNCTION("""COMPUTED_VALUE"""),"Anaya Rao")</f>
        <v>Anaya Rao</v>
      </c>
      <c r="C313" s="18" t="str">
        <f>IFERROR(__xludf.DUMMYFUNCTION("""COMPUTED_VALUE"""),"Colaba")</f>
        <v>Colaba</v>
      </c>
      <c r="D313" s="18" t="str">
        <f>IFERROR(__xludf.DUMMYFUNCTION("""COMPUTED_VALUE"""),"Guava")</f>
        <v>Guava</v>
      </c>
      <c r="E313" s="18">
        <f>IFERROR(__xludf.DUMMYFUNCTION("""COMPUTED_VALUE"""),1.0)</f>
        <v>1</v>
      </c>
      <c r="F313" s="18" t="str">
        <f>IFERROR(__xludf.DUMMYFUNCTION("""COMPUTED_VALUE"""),"Vivek Kumar")</f>
        <v>Vivek Kumar</v>
      </c>
      <c r="G313" s="19">
        <f>IFERROR(__xludf.DUMMYFUNCTION("""COMPUTED_VALUE"""),45073.0)</f>
        <v>45073</v>
      </c>
      <c r="H313" s="18" t="str">
        <f>IFERROR(__xludf.DUMMYFUNCTION("""COMPUTED_VALUE"""),"Online Payment")</f>
        <v>Online Payment</v>
      </c>
      <c r="I313" s="18" t="str">
        <f>IFERROR(__xludf.DUMMYFUNCTION("""COMPUTED_VALUE"""),"Delivered")</f>
        <v>Delivered</v>
      </c>
      <c r="J313" s="18" t="str">
        <f>IFERROR(__xludf.DUMMYFUNCTION("""COMPUTED_VALUE"""),"Quality of Items")</f>
        <v>Quality of Items</v>
      </c>
      <c r="K313" s="18" t="str">
        <f>IFERROR(__xludf.DUMMYFUNCTION("""COMPUTED_VALUE"""),"Perfect condition")</f>
        <v>Perfect condition</v>
      </c>
      <c r="L313" s="18">
        <f>iferror(VLOOKUP($D313,Details!$A$2:$C$11,2,false),vlookup($D313,Details!$E$2:$G$11,2,false))</f>
        <v>70</v>
      </c>
      <c r="M313" s="18" t="str">
        <f>iferror(VLOOKUP($D313,Details!$A$2:$C$11,3,false),vlookup($D313,Details!$E$2:$G$11,3,false))</f>
        <v>Fruits and Vegetables</v>
      </c>
      <c r="N313" s="18">
        <f t="shared" si="1"/>
        <v>70</v>
      </c>
      <c r="O313" s="17"/>
      <c r="P313" s="17"/>
      <c r="Q313" s="17"/>
      <c r="R313" s="17"/>
      <c r="S313" s="17"/>
      <c r="T313" s="17"/>
      <c r="U313" s="17"/>
      <c r="V313" s="17"/>
      <c r="W313" s="17"/>
      <c r="X313" s="17"/>
      <c r="Y313" s="17"/>
      <c r="Z313" s="17"/>
    </row>
    <row r="314">
      <c r="A314" s="18" t="str">
        <f>IFERROR(__xludf.DUMMYFUNCTION("""COMPUTED_VALUE"""),"ord_10018")</f>
        <v>ord_10018</v>
      </c>
      <c r="B314" s="18" t="str">
        <f>IFERROR(__xludf.DUMMYFUNCTION("""COMPUTED_VALUE"""),"Pranav Joshi")</f>
        <v>Pranav Joshi</v>
      </c>
      <c r="C314" s="18" t="str">
        <f>IFERROR(__xludf.DUMMYFUNCTION("""COMPUTED_VALUE"""),"Andheri")</f>
        <v>Andheri</v>
      </c>
      <c r="D314" s="18" t="str">
        <f>IFERROR(__xludf.DUMMYFUNCTION("""COMPUTED_VALUE"""),"Cold Coffee")</f>
        <v>Cold Coffee</v>
      </c>
      <c r="E314" s="18">
        <f>IFERROR(__xludf.DUMMYFUNCTION("""COMPUTED_VALUE"""),4.0)</f>
        <v>4</v>
      </c>
      <c r="F314" s="18" t="str">
        <f>IFERROR(__xludf.DUMMYFUNCTION("""COMPUTED_VALUE"""),"Nithin Lal")</f>
        <v>Nithin Lal</v>
      </c>
      <c r="G314" s="19">
        <f>IFERROR(__xludf.DUMMYFUNCTION("""COMPUTED_VALUE"""),45152.0)</f>
        <v>45152</v>
      </c>
      <c r="H314" s="18" t="str">
        <f>IFERROR(__xludf.DUMMYFUNCTION("""COMPUTED_VALUE"""),"Online Payment")</f>
        <v>Online Payment</v>
      </c>
      <c r="I314" s="18" t="str">
        <f>IFERROR(__xludf.DUMMYFUNCTION("""COMPUTED_VALUE"""),"Delivered")</f>
        <v>Delivered</v>
      </c>
      <c r="J314" s="18" t="str">
        <f>IFERROR(__xludf.DUMMYFUNCTION("""COMPUTED_VALUE"""),"On-time Delivery")</f>
        <v>On-time Delivery</v>
      </c>
      <c r="K314" s="18" t="str">
        <f>IFERROR(__xludf.DUMMYFUNCTION("""COMPUTED_VALUE"""),"Delivered on time")</f>
        <v>Delivered on time</v>
      </c>
      <c r="L314" s="18">
        <f>iferror(VLOOKUP($D314,Details!$A$2:$C$11,2,false),vlookup($D314,Details!$E$2:$G$11,2,false))</f>
        <v>270</v>
      </c>
      <c r="M314" s="18" t="str">
        <f>iferror(VLOOKUP($D314,Details!$A$2:$C$11,3,false),vlookup($D314,Details!$E$2:$G$11,3,false))</f>
        <v>Snacks and Drinks</v>
      </c>
      <c r="N314" s="18">
        <f t="shared" si="1"/>
        <v>1080</v>
      </c>
      <c r="O314" s="17"/>
      <c r="P314" s="17"/>
      <c r="Q314" s="17"/>
      <c r="R314" s="17"/>
      <c r="S314" s="17"/>
      <c r="T314" s="17"/>
      <c r="U314" s="17"/>
      <c r="V314" s="17"/>
      <c r="W314" s="17"/>
      <c r="X314" s="17"/>
      <c r="Y314" s="17"/>
      <c r="Z314" s="17"/>
    </row>
    <row r="315">
      <c r="A315" s="18" t="str">
        <f>IFERROR(__xludf.DUMMYFUNCTION("""COMPUTED_VALUE"""),"ord_10027")</f>
        <v>ord_10027</v>
      </c>
      <c r="B315" s="18" t="str">
        <f>IFERROR(__xludf.DUMMYFUNCTION("""COMPUTED_VALUE"""),"Shruti Aggarwal")</f>
        <v>Shruti Aggarwal</v>
      </c>
      <c r="C315" s="18" t="str">
        <f>IFERROR(__xludf.DUMMYFUNCTION("""COMPUTED_VALUE"""),"Colaba")</f>
        <v>Colaba</v>
      </c>
      <c r="D315" s="18" t="str">
        <f>IFERROR(__xludf.DUMMYFUNCTION("""COMPUTED_VALUE"""),"Banana")</f>
        <v>Banana</v>
      </c>
      <c r="E315" s="18">
        <f>IFERROR(__xludf.DUMMYFUNCTION("""COMPUTED_VALUE"""),2.0)</f>
        <v>2</v>
      </c>
      <c r="F315" s="18" t="str">
        <f>IFERROR(__xludf.DUMMYFUNCTION("""COMPUTED_VALUE"""),"Nikhil Deshmukh")</f>
        <v>Nikhil Deshmukh</v>
      </c>
      <c r="G315" s="19">
        <f>IFERROR(__xludf.DUMMYFUNCTION("""COMPUTED_VALUE"""),45083.0)</f>
        <v>45083</v>
      </c>
      <c r="H315" s="18" t="str">
        <f>IFERROR(__xludf.DUMMYFUNCTION("""COMPUTED_VALUE"""),"UPI")</f>
        <v>UPI</v>
      </c>
      <c r="I315" s="18" t="str">
        <f>IFERROR(__xludf.DUMMYFUNCTION("""COMPUTED_VALUE"""),"Delivered")</f>
        <v>Delivered</v>
      </c>
      <c r="J315" s="18" t="str">
        <f>IFERROR(__xludf.DUMMYFUNCTION("""COMPUTED_VALUE"""),"Quality of Items")</f>
        <v>Quality of Items</v>
      </c>
      <c r="K315" s="18" t="str">
        <f>IFERROR(__xludf.DUMMYFUNCTION("""COMPUTED_VALUE"""),"Perfect condition")</f>
        <v>Perfect condition</v>
      </c>
      <c r="L315" s="18">
        <f>iferror(VLOOKUP($D315,Details!$A$2:$C$11,2,false),vlookup($D315,Details!$E$2:$G$11,2,false))</f>
        <v>80</v>
      </c>
      <c r="M315" s="18" t="str">
        <f>iferror(VLOOKUP($D315,Details!$A$2:$C$11,3,false),vlookup($D315,Details!$E$2:$G$11,3,false))</f>
        <v>Fruits and Vegetables</v>
      </c>
      <c r="N315" s="18">
        <f t="shared" si="1"/>
        <v>160</v>
      </c>
      <c r="O315" s="17"/>
      <c r="P315" s="17"/>
      <c r="Q315" s="17"/>
      <c r="R315" s="17"/>
      <c r="S315" s="17"/>
      <c r="T315" s="17"/>
      <c r="U315" s="17"/>
      <c r="V315" s="17"/>
      <c r="W315" s="17"/>
      <c r="X315" s="17"/>
      <c r="Y315" s="17"/>
      <c r="Z315" s="17"/>
    </row>
    <row r="316">
      <c r="A316" s="18" t="str">
        <f>IFERROR(__xludf.DUMMYFUNCTION("""COMPUTED_VALUE"""),"ord_10036")</f>
        <v>ord_10036</v>
      </c>
      <c r="B316" s="18" t="str">
        <f>IFERROR(__xludf.DUMMYFUNCTION("""COMPUTED_VALUE"""),"Harsh Vardhan")</f>
        <v>Harsh Vardhan</v>
      </c>
      <c r="C316" s="18" t="str">
        <f>IFERROR(__xludf.DUMMYFUNCTION("""COMPUTED_VALUE"""),"Bandra")</f>
        <v>Bandra</v>
      </c>
      <c r="D316" s="18" t="str">
        <f>IFERROR(__xludf.DUMMYFUNCTION("""COMPUTED_VALUE"""),"Cold Coffee")</f>
        <v>Cold Coffee</v>
      </c>
      <c r="E316" s="18">
        <f>IFERROR(__xludf.DUMMYFUNCTION("""COMPUTED_VALUE"""),5.0)</f>
        <v>5</v>
      </c>
      <c r="F316" s="18" t="str">
        <f>IFERROR(__xludf.DUMMYFUNCTION("""COMPUTED_VALUE"""),"Nithin Lal")</f>
        <v>Nithin Lal</v>
      </c>
      <c r="G316" s="19">
        <f>IFERROR(__xludf.DUMMYFUNCTION("""COMPUTED_VALUE"""),45049.0)</f>
        <v>45049</v>
      </c>
      <c r="H316" s="18" t="str">
        <f>IFERROR(__xludf.DUMMYFUNCTION("""COMPUTED_VALUE"""),"Online Payment")</f>
        <v>Online Payment</v>
      </c>
      <c r="I316" s="18" t="str">
        <f>IFERROR(__xludf.DUMMYFUNCTION("""COMPUTED_VALUE"""),"Delivered")</f>
        <v>Delivered</v>
      </c>
      <c r="J316" s="18" t="str">
        <f>IFERROR(__xludf.DUMMYFUNCTION("""COMPUTED_VALUE"""),"Packaging")</f>
        <v>Packaging</v>
      </c>
      <c r="K316" s="18" t="str">
        <f>IFERROR(__xludf.DUMMYFUNCTION("""COMPUTED_VALUE"""),"Secure and intact")</f>
        <v>Secure and intact</v>
      </c>
      <c r="L316" s="18">
        <f>iferror(VLOOKUP($D316,Details!$A$2:$C$11,2,false),vlookup($D316,Details!$E$2:$G$11,2,false))</f>
        <v>270</v>
      </c>
      <c r="M316" s="18" t="str">
        <f>iferror(VLOOKUP($D316,Details!$A$2:$C$11,3,false),vlookup($D316,Details!$E$2:$G$11,3,false))</f>
        <v>Snacks and Drinks</v>
      </c>
      <c r="N316" s="18">
        <f t="shared" si="1"/>
        <v>1350</v>
      </c>
      <c r="O316" s="17"/>
      <c r="P316" s="17"/>
      <c r="Q316" s="17"/>
      <c r="R316" s="17"/>
      <c r="S316" s="17"/>
      <c r="T316" s="17"/>
      <c r="U316" s="17"/>
      <c r="V316" s="17"/>
      <c r="W316" s="17"/>
      <c r="X316" s="17"/>
      <c r="Y316" s="17"/>
      <c r="Z316" s="17"/>
    </row>
    <row r="317">
      <c r="A317" s="18" t="str">
        <f>IFERROR(__xludf.DUMMYFUNCTION("""COMPUTED_VALUE"""),"ord_10045")</f>
        <v>ord_10045</v>
      </c>
      <c r="B317" s="18" t="str">
        <f>IFERROR(__xludf.DUMMYFUNCTION("""COMPUTED_VALUE"""),"Sana Malik")</f>
        <v>Sana Malik</v>
      </c>
      <c r="C317" s="18" t="str">
        <f>IFERROR(__xludf.DUMMYFUNCTION("""COMPUTED_VALUE"""),"Powai")</f>
        <v>Powai</v>
      </c>
      <c r="D317" s="18" t="str">
        <f>IFERROR(__xludf.DUMMYFUNCTION("""COMPUTED_VALUE"""),"Banana")</f>
        <v>Banana</v>
      </c>
      <c r="E317" s="18">
        <f>IFERROR(__xludf.DUMMYFUNCTION("""COMPUTED_VALUE"""),2.0)</f>
        <v>2</v>
      </c>
      <c r="F317" s="18" t="str">
        <f>IFERROR(__xludf.DUMMYFUNCTION("""COMPUTED_VALUE"""),"Vivek Kumar")</f>
        <v>Vivek Kumar</v>
      </c>
      <c r="G317" s="19">
        <f>IFERROR(__xludf.DUMMYFUNCTION("""COMPUTED_VALUE"""),45205.0)</f>
        <v>45205</v>
      </c>
      <c r="H317" s="18" t="str">
        <f>IFERROR(__xludf.DUMMYFUNCTION("""COMPUTED_VALUE"""),"Online Payment")</f>
        <v>Online Payment</v>
      </c>
      <c r="I317" s="18" t="str">
        <f>IFERROR(__xludf.DUMMYFUNCTION("""COMPUTED_VALUE"""),"Delivered")</f>
        <v>Delivered</v>
      </c>
      <c r="J317" s="18" t="str">
        <f>IFERROR(__xludf.DUMMYFUNCTION("""COMPUTED_VALUE"""),"Satisfied with the Delivery")</f>
        <v>Satisfied with the Delivery</v>
      </c>
      <c r="K317" s="18" t="str">
        <f>IFERROR(__xludf.DUMMYFUNCTION("""COMPUTED_VALUE"""),"Timely and quality")</f>
        <v>Timely and quality</v>
      </c>
      <c r="L317" s="18">
        <f>iferror(VLOOKUP($D317,Details!$A$2:$C$11,2,false),vlookup($D317,Details!$E$2:$G$11,2,false))</f>
        <v>80</v>
      </c>
      <c r="M317" s="18" t="str">
        <f>iferror(VLOOKUP($D317,Details!$A$2:$C$11,3,false),vlookup($D317,Details!$E$2:$G$11,3,false))</f>
        <v>Fruits and Vegetables</v>
      </c>
      <c r="N317" s="18">
        <f t="shared" si="1"/>
        <v>160</v>
      </c>
      <c r="O317" s="17"/>
      <c r="P317" s="17"/>
      <c r="Q317" s="17"/>
      <c r="R317" s="17"/>
      <c r="S317" s="17"/>
      <c r="T317" s="17"/>
      <c r="U317" s="17"/>
      <c r="V317" s="17"/>
      <c r="W317" s="17"/>
      <c r="X317" s="17"/>
      <c r="Y317" s="17"/>
      <c r="Z317" s="17"/>
    </row>
    <row r="318">
      <c r="A318" s="18" t="str">
        <f>IFERROR(__xludf.DUMMYFUNCTION("""COMPUTED_VALUE"""),"ord_10054")</f>
        <v>ord_10054</v>
      </c>
      <c r="B318" s="18" t="str">
        <f>IFERROR(__xludf.DUMMYFUNCTION("""COMPUTED_VALUE"""),"Yash Verma")</f>
        <v>Yash Verma</v>
      </c>
      <c r="C318" s="18" t="str">
        <f>IFERROR(__xludf.DUMMYFUNCTION("""COMPUTED_VALUE"""),"Lower Parel")</f>
        <v>Lower Parel</v>
      </c>
      <c r="D318" s="18" t="str">
        <f>IFERROR(__xludf.DUMMYFUNCTION("""COMPUTED_VALUE"""),"Apple")</f>
        <v>Apple</v>
      </c>
      <c r="E318" s="18">
        <f>IFERROR(__xludf.DUMMYFUNCTION("""COMPUTED_VALUE"""),2.0)</f>
        <v>2</v>
      </c>
      <c r="F318" s="18" t="str">
        <f>IFERROR(__xludf.DUMMYFUNCTION("""COMPUTED_VALUE"""),"Venu R")</f>
        <v>Venu R</v>
      </c>
      <c r="G318" s="19">
        <f>IFERROR(__xludf.DUMMYFUNCTION("""COMPUTED_VALUE"""),44961.0)</f>
        <v>44961</v>
      </c>
      <c r="H318" s="18" t="str">
        <f>IFERROR(__xludf.DUMMYFUNCTION("""COMPUTED_VALUE"""),"UPI")</f>
        <v>UPI</v>
      </c>
      <c r="I318" s="18" t="str">
        <f>IFERROR(__xludf.DUMMYFUNCTION("""COMPUTED_VALUE"""),"Delivered")</f>
        <v>Delivered</v>
      </c>
      <c r="J318" s="18" t="str">
        <f>IFERROR(__xludf.DUMMYFUNCTION("""COMPUTED_VALUE"""),"Customer Service")</f>
        <v>Customer Service</v>
      </c>
      <c r="K318" s="18" t="str">
        <f>IFERROR(__xludf.DUMMYFUNCTION("""COMPUTED_VALUE"""),"Seamless and easy")</f>
        <v>Seamless and easy</v>
      </c>
      <c r="L318" s="18">
        <f>iferror(VLOOKUP($D318,Details!$A$2:$C$11,2,false),vlookup($D318,Details!$E$2:$G$11,2,false))</f>
        <v>230</v>
      </c>
      <c r="M318" s="18" t="str">
        <f>iferror(VLOOKUP($D318,Details!$A$2:$C$11,3,false),vlookup($D318,Details!$E$2:$G$11,3,false))</f>
        <v>Fruits and Vegetables</v>
      </c>
      <c r="N318" s="18">
        <f t="shared" si="1"/>
        <v>460</v>
      </c>
      <c r="O318" s="17"/>
      <c r="P318" s="17"/>
      <c r="Q318" s="17"/>
      <c r="R318" s="17"/>
      <c r="S318" s="17"/>
      <c r="T318" s="17"/>
      <c r="U318" s="17"/>
      <c r="V318" s="17"/>
      <c r="W318" s="17"/>
      <c r="X318" s="17"/>
      <c r="Y318" s="17"/>
      <c r="Z318" s="17"/>
    </row>
    <row r="319">
      <c r="A319" s="18" t="str">
        <f>IFERROR(__xludf.DUMMYFUNCTION("""COMPUTED_VALUE"""),"ord_10063")</f>
        <v>ord_10063</v>
      </c>
      <c r="B319" s="18" t="str">
        <f>IFERROR(__xludf.DUMMYFUNCTION("""COMPUTED_VALUE"""),"Leena Das")</f>
        <v>Leena Das</v>
      </c>
      <c r="C319" s="18" t="str">
        <f>IFERROR(__xludf.DUMMYFUNCTION("""COMPUTED_VALUE"""),"Andheri")</f>
        <v>Andheri</v>
      </c>
      <c r="D319" s="18" t="str">
        <f>IFERROR(__xludf.DUMMYFUNCTION("""COMPUTED_VALUE"""),"Tiramisu")</f>
        <v>Tiramisu</v>
      </c>
      <c r="E319" s="18">
        <f>IFERROR(__xludf.DUMMYFUNCTION("""COMPUTED_VALUE"""),6.0)</f>
        <v>6</v>
      </c>
      <c r="F319" s="18" t="str">
        <f>IFERROR(__xludf.DUMMYFUNCTION("""COMPUTED_VALUE"""),"Ram Gopal")</f>
        <v>Ram Gopal</v>
      </c>
      <c r="G319" s="19">
        <f>IFERROR(__xludf.DUMMYFUNCTION("""COMPUTED_VALUE"""),45185.0)</f>
        <v>45185</v>
      </c>
      <c r="H319" s="18" t="str">
        <f>IFERROR(__xludf.DUMMYFUNCTION("""COMPUTED_VALUE"""),"COD")</f>
        <v>COD</v>
      </c>
      <c r="I319" s="18" t="str">
        <f>IFERROR(__xludf.DUMMYFUNCTION("""COMPUTED_VALUE"""),"Delivered")</f>
        <v>Delivered</v>
      </c>
      <c r="J319" s="18" t="str">
        <f>IFERROR(__xludf.DUMMYFUNCTION("""COMPUTED_VALUE"""),"Delivery Experience")</f>
        <v>Delivery Experience</v>
      </c>
      <c r="K319" s="18" t="str">
        <f>IFERROR(__xludf.DUMMYFUNCTION("""COMPUTED_VALUE"""),"Quick and professional")</f>
        <v>Quick and professional</v>
      </c>
      <c r="L319" s="18">
        <f>iferror(VLOOKUP($D319,Details!$A$2:$C$11,2,false),vlookup($D319,Details!$E$2:$G$11,2,false))</f>
        <v>150</v>
      </c>
      <c r="M319" s="18" t="str">
        <f>iferror(VLOOKUP($D319,Details!$A$2:$C$11,3,false),vlookup($D319,Details!$E$2:$G$11,3,false))</f>
        <v>Snacks and Drinks</v>
      </c>
      <c r="N319" s="18">
        <f t="shared" si="1"/>
        <v>900</v>
      </c>
      <c r="O319" s="17"/>
      <c r="P319" s="17"/>
      <c r="Q319" s="17"/>
      <c r="R319" s="17"/>
      <c r="S319" s="17"/>
      <c r="T319" s="17"/>
      <c r="U319" s="17"/>
      <c r="V319" s="17"/>
      <c r="W319" s="17"/>
      <c r="X319" s="17"/>
      <c r="Y319" s="17"/>
      <c r="Z319" s="17"/>
    </row>
    <row r="320">
      <c r="A320" s="18" t="str">
        <f>IFERROR(__xludf.DUMMYFUNCTION("""COMPUTED_VALUE"""),"ord_10072")</f>
        <v>ord_10072</v>
      </c>
      <c r="B320" s="18" t="str">
        <f>IFERROR(__xludf.DUMMYFUNCTION("""COMPUTED_VALUE"""),"Shruti Aggarwal")</f>
        <v>Shruti Aggarwal</v>
      </c>
      <c r="C320" s="18" t="str">
        <f>IFERROR(__xludf.DUMMYFUNCTION("""COMPUTED_VALUE"""),"Colaba")</f>
        <v>Colaba</v>
      </c>
      <c r="D320" s="18" t="str">
        <f>IFERROR(__xludf.DUMMYFUNCTION("""COMPUTED_VALUE"""),"Chocolate Mousse")</f>
        <v>Chocolate Mousse</v>
      </c>
      <c r="E320" s="18">
        <f>IFERROR(__xludf.DUMMYFUNCTION("""COMPUTED_VALUE"""),6.0)</f>
        <v>6</v>
      </c>
      <c r="F320" s="18" t="str">
        <f>IFERROR(__xludf.DUMMYFUNCTION("""COMPUTED_VALUE"""),"Sita T")</f>
        <v>Sita T</v>
      </c>
      <c r="G320" s="19">
        <f>IFERROR(__xludf.DUMMYFUNCTION("""COMPUTED_VALUE"""),45121.0)</f>
        <v>45121</v>
      </c>
      <c r="H320" s="18" t="str">
        <f>IFERROR(__xludf.DUMMYFUNCTION("""COMPUTED_VALUE"""),"Credit Card")</f>
        <v>Credit Card</v>
      </c>
      <c r="I320" s="18" t="str">
        <f>IFERROR(__xludf.DUMMYFUNCTION("""COMPUTED_VALUE"""),"Delivered")</f>
        <v>Delivered</v>
      </c>
      <c r="J320" s="18" t="str">
        <f>IFERROR(__xludf.DUMMYFUNCTION("""COMPUTED_VALUE"""),"Convenience")</f>
        <v>Convenience</v>
      </c>
      <c r="K320" s="18" t="str">
        <f>IFERROR(__xludf.DUMMYFUNCTION("""COMPUTED_VALUE"""),"Easy tracking")</f>
        <v>Easy tracking</v>
      </c>
      <c r="L320" s="18">
        <f>iferror(VLOOKUP($D320,Details!$A$2:$C$11,2,false),vlookup($D320,Details!$E$2:$G$11,2,false))</f>
        <v>145</v>
      </c>
      <c r="M320" s="18" t="str">
        <f>iferror(VLOOKUP($D320,Details!$A$2:$C$11,3,false),vlookup($D320,Details!$E$2:$G$11,3,false))</f>
        <v>Snacks and Drinks</v>
      </c>
      <c r="N320" s="18">
        <f t="shared" si="1"/>
        <v>870</v>
      </c>
      <c r="O320" s="17"/>
      <c r="P320" s="17"/>
      <c r="Q320" s="17"/>
      <c r="R320" s="17"/>
      <c r="S320" s="17"/>
      <c r="T320" s="17"/>
      <c r="U320" s="17"/>
      <c r="V320" s="17"/>
      <c r="W320" s="17"/>
      <c r="X320" s="17"/>
      <c r="Y320" s="17"/>
      <c r="Z320" s="17"/>
    </row>
    <row r="321">
      <c r="A321" s="18" t="str">
        <f>IFERROR(__xludf.DUMMYFUNCTION("""COMPUTED_VALUE"""),"ord_10081")</f>
        <v>ord_10081</v>
      </c>
      <c r="B321" s="18" t="str">
        <f>IFERROR(__xludf.DUMMYFUNCTION("""COMPUTED_VALUE"""),"Omkar Mishra")</f>
        <v>Omkar Mishra</v>
      </c>
      <c r="C321" s="18" t="str">
        <f>IFERROR(__xludf.DUMMYFUNCTION("""COMPUTED_VALUE"""),"Powai")</f>
        <v>Powai</v>
      </c>
      <c r="D321" s="18" t="str">
        <f>IFERROR(__xludf.DUMMYFUNCTION("""COMPUTED_VALUE"""),"Cold Coffee")</f>
        <v>Cold Coffee</v>
      </c>
      <c r="E321" s="18">
        <f>IFERROR(__xludf.DUMMYFUNCTION("""COMPUTED_VALUE"""),2.0)</f>
        <v>2</v>
      </c>
      <c r="F321" s="18" t="str">
        <f>IFERROR(__xludf.DUMMYFUNCTION("""COMPUTED_VALUE"""),"Sandeep Kumar")</f>
        <v>Sandeep Kumar</v>
      </c>
      <c r="G321" s="19">
        <f>IFERROR(__xludf.DUMMYFUNCTION("""COMPUTED_VALUE"""),44977.0)</f>
        <v>44977</v>
      </c>
      <c r="H321" s="18" t="str">
        <f>IFERROR(__xludf.DUMMYFUNCTION("""COMPUTED_VALUE"""),"Online Payment")</f>
        <v>Online Payment</v>
      </c>
      <c r="I321" s="18" t="str">
        <f>IFERROR(__xludf.DUMMYFUNCTION("""COMPUTED_VALUE"""),"Delivered")</f>
        <v>Delivered</v>
      </c>
      <c r="J321" s="18" t="str">
        <f>IFERROR(__xludf.DUMMYFUNCTION("""COMPUTED_VALUE"""),"Overall Satisfaction")</f>
        <v>Overall Satisfaction</v>
      </c>
      <c r="K321" s="18" t="str">
        <f>IFERROR(__xludf.DUMMYFUNCTION("""COMPUTED_VALUE"""),"Great service will order again")</f>
        <v>Great service will order again</v>
      </c>
      <c r="L321" s="18">
        <f>iferror(VLOOKUP($D321,Details!$A$2:$C$11,2,false),vlookup($D321,Details!$E$2:$G$11,2,false))</f>
        <v>270</v>
      </c>
      <c r="M321" s="18" t="str">
        <f>iferror(VLOOKUP($D321,Details!$A$2:$C$11,3,false),vlookup($D321,Details!$E$2:$G$11,3,false))</f>
        <v>Snacks and Drinks</v>
      </c>
      <c r="N321" s="18">
        <f t="shared" si="1"/>
        <v>540</v>
      </c>
      <c r="O321" s="17"/>
      <c r="P321" s="17"/>
      <c r="Q321" s="17"/>
      <c r="R321" s="17"/>
      <c r="S321" s="17"/>
      <c r="T321" s="17"/>
      <c r="U321" s="17"/>
      <c r="V321" s="17"/>
      <c r="W321" s="17"/>
      <c r="X321" s="17"/>
      <c r="Y321" s="17"/>
      <c r="Z321" s="17"/>
    </row>
    <row r="322">
      <c r="A322" s="18" t="str">
        <f>IFERROR(__xludf.DUMMYFUNCTION("""COMPUTED_VALUE"""),"ord_10313")</f>
        <v>ord_10313</v>
      </c>
      <c r="B322" s="18" t="str">
        <f>IFERROR(__xludf.DUMMYFUNCTION("""COMPUTED_VALUE"""),"Aarav Mehta")</f>
        <v>Aarav Mehta</v>
      </c>
      <c r="C322" s="18" t="str">
        <f>IFERROR(__xludf.DUMMYFUNCTION("""COMPUTED_VALUE"""),"Andheri")</f>
        <v>Andheri</v>
      </c>
      <c r="D322" s="18" t="str">
        <f>IFERROR(__xludf.DUMMYFUNCTION("""COMPUTED_VALUE"""),"Potato")</f>
        <v>Potato</v>
      </c>
      <c r="E322" s="18">
        <f>IFERROR(__xludf.DUMMYFUNCTION("""COMPUTED_VALUE"""),1.0)</f>
        <v>1</v>
      </c>
      <c r="F322" s="18" t="str">
        <f>IFERROR(__xludf.DUMMYFUNCTION("""COMPUTED_VALUE"""),"Priya Joshi")</f>
        <v>Priya Joshi</v>
      </c>
      <c r="G322" s="19">
        <f>IFERROR(__xludf.DUMMYFUNCTION("""COMPUTED_VALUE"""),44946.0)</f>
        <v>44946</v>
      </c>
      <c r="H322" s="18" t="str">
        <f>IFERROR(__xludf.DUMMYFUNCTION("""COMPUTED_VALUE"""),"Credit Card")</f>
        <v>Credit Card</v>
      </c>
      <c r="I322" s="18" t="str">
        <f>IFERROR(__xludf.DUMMYFUNCTION("""COMPUTED_VALUE"""),"Cancelled")</f>
        <v>Cancelled</v>
      </c>
      <c r="J322" s="18" t="str">
        <f>IFERROR(__xludf.DUMMYFUNCTION("""COMPUTED_VALUE"""),"Delayed Delivery")</f>
        <v>Delayed Delivery</v>
      </c>
      <c r="K322" s="18" t="str">
        <f>IFERROR(__xludf.DUMMYFUNCTION("""COMPUTED_VALUE"""),"Bad Weather Conditions")</f>
        <v>Bad Weather Conditions</v>
      </c>
      <c r="L322" s="18">
        <f>iferror(VLOOKUP($D322,Details!$A$2:$C$11,2,false),vlookup($D322,Details!$E$2:$G$11,2,false))</f>
        <v>55</v>
      </c>
      <c r="M322" s="18" t="str">
        <f>iferror(VLOOKUP($D322,Details!$A$2:$C$11,3,false),vlookup($D322,Details!$E$2:$G$11,3,false))</f>
        <v>Fruits and Vegetables</v>
      </c>
      <c r="N322" s="18">
        <f t="shared" si="1"/>
        <v>55</v>
      </c>
      <c r="O322" s="17"/>
      <c r="P322" s="17"/>
      <c r="Q322" s="17"/>
      <c r="R322" s="17"/>
      <c r="S322" s="17"/>
      <c r="T322" s="17"/>
      <c r="U322" s="17"/>
      <c r="V322" s="17"/>
      <c r="W322" s="17"/>
      <c r="X322" s="17"/>
      <c r="Y322" s="17"/>
      <c r="Z322" s="17"/>
    </row>
    <row r="323">
      <c r="A323" s="18" t="str">
        <f>IFERROR(__xludf.DUMMYFUNCTION("""COMPUTED_VALUE"""),"ord_10314")</f>
        <v>ord_10314</v>
      </c>
      <c r="B323" s="18" t="str">
        <f>IFERROR(__xludf.DUMMYFUNCTION("""COMPUTED_VALUE"""),"Nitin Sehgal")</f>
        <v>Nitin Sehgal</v>
      </c>
      <c r="C323" s="18" t="str">
        <f>IFERROR(__xludf.DUMMYFUNCTION("""COMPUTED_VALUE"""),"Bandra")</f>
        <v>Bandra</v>
      </c>
      <c r="D323" s="18" t="str">
        <f>IFERROR(__xludf.DUMMYFUNCTION("""COMPUTED_VALUE"""),"Sweet Corn")</f>
        <v>Sweet Corn</v>
      </c>
      <c r="E323" s="18">
        <f>IFERROR(__xludf.DUMMYFUNCTION("""COMPUTED_VALUE"""),1.0)</f>
        <v>1</v>
      </c>
      <c r="F323" s="18" t="str">
        <f>IFERROR(__xludf.DUMMYFUNCTION("""COMPUTED_VALUE"""),"Sita T")</f>
        <v>Sita T</v>
      </c>
      <c r="G323" s="19">
        <f>IFERROR(__xludf.DUMMYFUNCTION("""COMPUTED_VALUE"""),45274.0)</f>
        <v>45274</v>
      </c>
      <c r="H323" s="18" t="str">
        <f>IFERROR(__xludf.DUMMYFUNCTION("""COMPUTED_VALUE"""),"Credit Card")</f>
        <v>Credit Card</v>
      </c>
      <c r="I323" s="18" t="str">
        <f>IFERROR(__xludf.DUMMYFUNCTION("""COMPUTED_VALUE"""),"Delivered")</f>
        <v>Delivered</v>
      </c>
      <c r="J323" s="18" t="str">
        <f>IFERROR(__xludf.DUMMYFUNCTION("""COMPUTED_VALUE"""),"Packaging")</f>
        <v>Packaging</v>
      </c>
      <c r="K323" s="18" t="str">
        <f>IFERROR(__xludf.DUMMYFUNCTION("""COMPUTED_VALUE"""),"Secure and intact")</f>
        <v>Secure and intact</v>
      </c>
      <c r="L323" s="18">
        <f>iferror(VLOOKUP($D323,Details!$A$2:$C$11,2,false),vlookup($D323,Details!$E$2:$G$11,2,false))</f>
        <v>60</v>
      </c>
      <c r="M323" s="18" t="str">
        <f>iferror(VLOOKUP($D323,Details!$A$2:$C$11,3,false),vlookup($D323,Details!$E$2:$G$11,3,false))</f>
        <v>Fruits and Vegetables</v>
      </c>
      <c r="N323" s="18">
        <f t="shared" si="1"/>
        <v>60</v>
      </c>
      <c r="O323" s="17"/>
      <c r="P323" s="17"/>
      <c r="Q323" s="17"/>
      <c r="R323" s="17"/>
      <c r="S323" s="17"/>
      <c r="T323" s="17"/>
      <c r="U323" s="17"/>
      <c r="V323" s="17"/>
      <c r="W323" s="17"/>
      <c r="X323" s="17"/>
      <c r="Y323" s="17"/>
      <c r="Z323" s="17"/>
    </row>
    <row r="324">
      <c r="A324" s="18" t="str">
        <f>IFERROR(__xludf.DUMMYFUNCTION("""COMPUTED_VALUE"""),"ord_10315")</f>
        <v>ord_10315</v>
      </c>
      <c r="B324" s="18" t="str">
        <f>IFERROR(__xludf.DUMMYFUNCTION("""COMPUTED_VALUE"""),"Parth Goel")</f>
        <v>Parth Goel</v>
      </c>
      <c r="C324" s="18" t="str">
        <f>IFERROR(__xludf.DUMMYFUNCTION("""COMPUTED_VALUE"""),"Juhu")</f>
        <v>Juhu</v>
      </c>
      <c r="D324" s="18" t="str">
        <f>IFERROR(__xludf.DUMMYFUNCTION("""COMPUTED_VALUE"""),"Onion")</f>
        <v>Onion</v>
      </c>
      <c r="E324" s="18">
        <f>IFERROR(__xludf.DUMMYFUNCTION("""COMPUTED_VALUE"""),2.0)</f>
        <v>2</v>
      </c>
      <c r="F324" s="18" t="str">
        <f>IFERROR(__xludf.DUMMYFUNCTION("""COMPUTED_VALUE"""),"Vivek Kumar")</f>
        <v>Vivek Kumar</v>
      </c>
      <c r="G324" s="19">
        <f>IFERROR(__xludf.DUMMYFUNCTION("""COMPUTED_VALUE"""),45284.0)</f>
        <v>45284</v>
      </c>
      <c r="H324" s="18" t="str">
        <f>IFERROR(__xludf.DUMMYFUNCTION("""COMPUTED_VALUE"""),"UPI")</f>
        <v>UPI</v>
      </c>
      <c r="I324" s="18" t="str">
        <f>IFERROR(__xludf.DUMMYFUNCTION("""COMPUTED_VALUE"""),"Delivered")</f>
        <v>Delivered</v>
      </c>
      <c r="J324" s="18" t="str">
        <f>IFERROR(__xludf.DUMMYFUNCTION("""COMPUTED_VALUE"""),"Satisfied with the Delivery")</f>
        <v>Satisfied with the Delivery</v>
      </c>
      <c r="K324" s="18" t="str">
        <f>IFERROR(__xludf.DUMMYFUNCTION("""COMPUTED_VALUE"""),"Timely and quality")</f>
        <v>Timely and quality</v>
      </c>
      <c r="L324" s="18">
        <f>iferror(VLOOKUP($D324,Details!$A$2:$C$11,2,false),vlookup($D324,Details!$E$2:$G$11,2,false))</f>
        <v>84</v>
      </c>
      <c r="M324" s="18" t="str">
        <f>iferror(VLOOKUP($D324,Details!$A$2:$C$11,3,false),vlookup($D324,Details!$E$2:$G$11,3,false))</f>
        <v>Fruits and Vegetables</v>
      </c>
      <c r="N324" s="18">
        <f t="shared" si="1"/>
        <v>168</v>
      </c>
      <c r="O324" s="17"/>
      <c r="P324" s="17"/>
      <c r="Q324" s="17"/>
      <c r="R324" s="17"/>
      <c r="S324" s="17"/>
      <c r="T324" s="17"/>
      <c r="U324" s="17"/>
      <c r="V324" s="17"/>
      <c r="W324" s="17"/>
      <c r="X324" s="17"/>
      <c r="Y324" s="17"/>
      <c r="Z324" s="17"/>
    </row>
    <row r="325">
      <c r="A325" s="18" t="str">
        <f>IFERROR(__xludf.DUMMYFUNCTION("""COMPUTED_VALUE"""),"ord_10316")</f>
        <v>ord_10316</v>
      </c>
      <c r="B325" s="18" t="str">
        <f>IFERROR(__xludf.DUMMYFUNCTION("""COMPUTED_VALUE"""),"Diya Arora")</f>
        <v>Diya Arora</v>
      </c>
      <c r="C325" s="18" t="str">
        <f>IFERROR(__xludf.DUMMYFUNCTION("""COMPUTED_VALUE"""),"Lower Parel")</f>
        <v>Lower Parel</v>
      </c>
      <c r="D325" s="18" t="str">
        <f>IFERROR(__xludf.DUMMYFUNCTION("""COMPUTED_VALUE"""),"Cucumber")</f>
        <v>Cucumber</v>
      </c>
      <c r="E325" s="18">
        <f>IFERROR(__xludf.DUMMYFUNCTION("""COMPUTED_VALUE"""),1.0)</f>
        <v>1</v>
      </c>
      <c r="F325" s="18" t="str">
        <f>IFERROR(__xludf.DUMMYFUNCTION("""COMPUTED_VALUE"""),"Kiran Mehta")</f>
        <v>Kiran Mehta</v>
      </c>
      <c r="G325" s="19">
        <f>IFERROR(__xludf.DUMMYFUNCTION("""COMPUTED_VALUE"""),45191.0)</f>
        <v>45191</v>
      </c>
      <c r="H325" s="18" t="str">
        <f>IFERROR(__xludf.DUMMYFUNCTION("""COMPUTED_VALUE"""),"COD")</f>
        <v>COD</v>
      </c>
      <c r="I325" s="18" t="str">
        <f>IFERROR(__xludf.DUMMYFUNCTION("""COMPUTED_VALUE"""),"Delivered")</f>
        <v>Delivered</v>
      </c>
      <c r="J325" s="18" t="str">
        <f>IFERROR(__xludf.DUMMYFUNCTION("""COMPUTED_VALUE"""),"Customer Service")</f>
        <v>Customer Service</v>
      </c>
      <c r="K325" s="18" t="str">
        <f>IFERROR(__xludf.DUMMYFUNCTION("""COMPUTED_VALUE"""),"Seamless and easy")</f>
        <v>Seamless and easy</v>
      </c>
      <c r="L325" s="18">
        <f>iferror(VLOOKUP($D325,Details!$A$2:$C$11,2,false),vlookup($D325,Details!$E$2:$G$11,2,false))</f>
        <v>30</v>
      </c>
      <c r="M325" s="18" t="str">
        <f>iferror(VLOOKUP($D325,Details!$A$2:$C$11,3,false),vlookup($D325,Details!$E$2:$G$11,3,false))</f>
        <v>Fruits and Vegetables</v>
      </c>
      <c r="N325" s="18">
        <f t="shared" si="1"/>
        <v>30</v>
      </c>
      <c r="O325" s="17"/>
      <c r="P325" s="17"/>
      <c r="Q325" s="17"/>
      <c r="R325" s="17"/>
      <c r="S325" s="17"/>
      <c r="T325" s="17"/>
      <c r="U325" s="17"/>
      <c r="V325" s="17"/>
      <c r="W325" s="17"/>
      <c r="X325" s="17"/>
      <c r="Y325" s="17"/>
      <c r="Z325" s="17"/>
    </row>
    <row r="326">
      <c r="A326" s="18" t="str">
        <f>IFERROR(__xludf.DUMMYFUNCTION("""COMPUTED_VALUE"""),"ord_10317")</f>
        <v>ord_10317</v>
      </c>
      <c r="B326" s="18" t="str">
        <f>IFERROR(__xludf.DUMMYFUNCTION("""COMPUTED_VALUE"""),"Kritika Shetty")</f>
        <v>Kritika Shetty</v>
      </c>
      <c r="C326" s="18" t="str">
        <f>IFERROR(__xludf.DUMMYFUNCTION("""COMPUTED_VALUE"""),"Malad")</f>
        <v>Malad</v>
      </c>
      <c r="D326" s="18" t="str">
        <f>IFERROR(__xludf.DUMMYFUNCTION("""COMPUTED_VALUE"""),"Tomato")</f>
        <v>Tomato</v>
      </c>
      <c r="E326" s="18">
        <f>IFERROR(__xludf.DUMMYFUNCTION("""COMPUTED_VALUE"""),1.0)</f>
        <v>1</v>
      </c>
      <c r="F326" s="18" t="str">
        <f>IFERROR(__xludf.DUMMYFUNCTION("""COMPUTED_VALUE"""),"Not Assigned")</f>
        <v>Not Assigned</v>
      </c>
      <c r="G326" s="19">
        <f>IFERROR(__xludf.DUMMYFUNCTION("""COMPUTED_VALUE"""),45199.0)</f>
        <v>45199</v>
      </c>
      <c r="H326" s="18" t="str">
        <f>IFERROR(__xludf.DUMMYFUNCTION("""COMPUTED_VALUE"""),"Credit Card")</f>
        <v>Credit Card</v>
      </c>
      <c r="I326" s="18" t="str">
        <f>IFERROR(__xludf.DUMMYFUNCTION("""COMPUTED_VALUE"""),"Cancelled")</f>
        <v>Cancelled</v>
      </c>
      <c r="J326" s="18" t="str">
        <f>IFERROR(__xludf.DUMMYFUNCTION("""COMPUTED_VALUE"""),"Payment Issues")</f>
        <v>Payment Issues</v>
      </c>
      <c r="K326" s="18"/>
      <c r="L326" s="18">
        <f>iferror(VLOOKUP($D326,Details!$A$2:$C$11,2,false),vlookup($D326,Details!$E$2:$G$11,2,false))</f>
        <v>25</v>
      </c>
      <c r="M326" s="18" t="str">
        <f>iferror(VLOOKUP($D326,Details!$A$2:$C$11,3,false),vlookup($D326,Details!$E$2:$G$11,3,false))</f>
        <v>Fruits and Vegetables</v>
      </c>
      <c r="N326" s="18">
        <f t="shared" si="1"/>
        <v>25</v>
      </c>
      <c r="O326" s="17"/>
      <c r="P326" s="17"/>
      <c r="Q326" s="17"/>
      <c r="R326" s="17"/>
      <c r="S326" s="17"/>
      <c r="T326" s="17"/>
      <c r="U326" s="17"/>
      <c r="V326" s="17"/>
      <c r="W326" s="17"/>
      <c r="X326" s="17"/>
      <c r="Y326" s="17"/>
      <c r="Z326" s="17"/>
    </row>
    <row r="327">
      <c r="A327" s="18" t="str">
        <f>IFERROR(__xludf.DUMMYFUNCTION("""COMPUTED_VALUE"""),"ord_10318")</f>
        <v>ord_10318</v>
      </c>
      <c r="B327" s="18" t="str">
        <f>IFERROR(__xludf.DUMMYFUNCTION("""COMPUTED_VALUE"""),"Aarohi Kapoor")</f>
        <v>Aarohi Kapoor</v>
      </c>
      <c r="C327" s="18" t="str">
        <f>IFERROR(__xludf.DUMMYFUNCTION("""COMPUTED_VALUE"""),"Bandra")</f>
        <v>Bandra</v>
      </c>
      <c r="D327" s="18" t="str">
        <f>IFERROR(__xludf.DUMMYFUNCTION("""COMPUTED_VALUE"""),"Sweet Corn")</f>
        <v>Sweet Corn</v>
      </c>
      <c r="E327" s="18">
        <f>IFERROR(__xludf.DUMMYFUNCTION("""COMPUTED_VALUE"""),1.0)</f>
        <v>1</v>
      </c>
      <c r="F327" s="18" t="str">
        <f>IFERROR(__xludf.DUMMYFUNCTION("""COMPUTED_VALUE"""),"Shine Thomas")</f>
        <v>Shine Thomas</v>
      </c>
      <c r="G327" s="19">
        <f>IFERROR(__xludf.DUMMYFUNCTION("""COMPUTED_VALUE"""),45018.0)</f>
        <v>45018</v>
      </c>
      <c r="H327" s="18" t="str">
        <f>IFERROR(__xludf.DUMMYFUNCTION("""COMPUTED_VALUE"""),"Credit Card")</f>
        <v>Credit Card</v>
      </c>
      <c r="I327" s="18" t="str">
        <f>IFERROR(__xludf.DUMMYFUNCTION("""COMPUTED_VALUE"""),"Delivered")</f>
        <v>Delivered</v>
      </c>
      <c r="J327" s="18" t="str">
        <f>IFERROR(__xludf.DUMMYFUNCTION("""COMPUTED_VALUE"""),"Delivery Experience")</f>
        <v>Delivery Experience</v>
      </c>
      <c r="K327" s="18" t="str">
        <f>IFERROR(__xludf.DUMMYFUNCTION("""COMPUTED_VALUE"""),"Quick and professional")</f>
        <v>Quick and professional</v>
      </c>
      <c r="L327" s="18">
        <f>iferror(VLOOKUP($D327,Details!$A$2:$C$11,2,false),vlookup($D327,Details!$E$2:$G$11,2,false))</f>
        <v>60</v>
      </c>
      <c r="M327" s="18" t="str">
        <f>iferror(VLOOKUP($D327,Details!$A$2:$C$11,3,false),vlookup($D327,Details!$E$2:$G$11,3,false))</f>
        <v>Fruits and Vegetables</v>
      </c>
      <c r="N327" s="18">
        <f t="shared" si="1"/>
        <v>60</v>
      </c>
      <c r="O327" s="17"/>
      <c r="P327" s="17"/>
      <c r="Q327" s="17"/>
      <c r="R327" s="17"/>
      <c r="S327" s="17"/>
      <c r="T327" s="17"/>
      <c r="U327" s="17"/>
      <c r="V327" s="17"/>
      <c r="W327" s="17"/>
      <c r="X327" s="17"/>
      <c r="Y327" s="17"/>
      <c r="Z327" s="17"/>
    </row>
    <row r="328">
      <c r="A328" s="18" t="str">
        <f>IFERROR(__xludf.DUMMYFUNCTION("""COMPUTED_VALUE"""),"ord_10319")</f>
        <v>ord_10319</v>
      </c>
      <c r="B328" s="18" t="str">
        <f>IFERROR(__xludf.DUMMYFUNCTION("""COMPUTED_VALUE"""),"Anaya Rao")</f>
        <v>Anaya Rao</v>
      </c>
      <c r="C328" s="18" t="str">
        <f>IFERROR(__xludf.DUMMYFUNCTION("""COMPUTED_VALUE"""),"Colaba")</f>
        <v>Colaba</v>
      </c>
      <c r="D328" s="18" t="str">
        <f>IFERROR(__xludf.DUMMYFUNCTION("""COMPUTED_VALUE"""),"Orange")</f>
        <v>Orange</v>
      </c>
      <c r="E328" s="18">
        <f>IFERROR(__xludf.DUMMYFUNCTION("""COMPUTED_VALUE"""),1.0)</f>
        <v>1</v>
      </c>
      <c r="F328" s="18" t="str">
        <f>IFERROR(__xludf.DUMMYFUNCTION("""COMPUTED_VALUE"""),"Vivek Kumar")</f>
        <v>Vivek Kumar</v>
      </c>
      <c r="G328" s="19">
        <f>IFERROR(__xludf.DUMMYFUNCTION("""COMPUTED_VALUE"""),45208.0)</f>
        <v>45208</v>
      </c>
      <c r="H328" s="18" t="str">
        <f>IFERROR(__xludf.DUMMYFUNCTION("""COMPUTED_VALUE"""),"Online Payment")</f>
        <v>Online Payment</v>
      </c>
      <c r="I328" s="18" t="str">
        <f>IFERROR(__xludf.DUMMYFUNCTION("""COMPUTED_VALUE"""),"Delivered")</f>
        <v>Delivered</v>
      </c>
      <c r="J328" s="18" t="str">
        <f>IFERROR(__xludf.DUMMYFUNCTION("""COMPUTED_VALUE"""),"Convenience")</f>
        <v>Convenience</v>
      </c>
      <c r="K328" s="18" t="str">
        <f>IFERROR(__xludf.DUMMYFUNCTION("""COMPUTED_VALUE"""),"Easy tracking")</f>
        <v>Easy tracking</v>
      </c>
      <c r="L328" s="18">
        <f>iferror(VLOOKUP($D328,Details!$A$2:$C$11,2,false),vlookup($D328,Details!$E$2:$G$11,2,false))</f>
        <v>180</v>
      </c>
      <c r="M328" s="18" t="str">
        <f>iferror(VLOOKUP($D328,Details!$A$2:$C$11,3,false),vlookup($D328,Details!$E$2:$G$11,3,false))</f>
        <v>Fruits and Vegetables</v>
      </c>
      <c r="N328" s="18">
        <f t="shared" si="1"/>
        <v>180</v>
      </c>
      <c r="O328" s="17"/>
      <c r="P328" s="17"/>
      <c r="Q328" s="17"/>
      <c r="R328" s="17"/>
      <c r="S328" s="17"/>
      <c r="T328" s="17"/>
      <c r="U328" s="17"/>
      <c r="V328" s="17"/>
      <c r="W328" s="17"/>
      <c r="X328" s="17"/>
      <c r="Y328" s="17"/>
      <c r="Z328" s="17"/>
    </row>
    <row r="329">
      <c r="A329" s="18" t="str">
        <f>IFERROR(__xludf.DUMMYFUNCTION("""COMPUTED_VALUE"""),"ord_10320")</f>
        <v>ord_10320</v>
      </c>
      <c r="B329" s="18" t="str">
        <f>IFERROR(__xludf.DUMMYFUNCTION("""COMPUTED_VALUE"""),"Aarohi Kapoor")</f>
        <v>Aarohi Kapoor</v>
      </c>
      <c r="C329" s="18" t="str">
        <f>IFERROR(__xludf.DUMMYFUNCTION("""COMPUTED_VALUE"""),"Bandra")</f>
        <v>Bandra</v>
      </c>
      <c r="D329" s="18" t="str">
        <f>IFERROR(__xludf.DUMMYFUNCTION("""COMPUTED_VALUE"""),"Icecream")</f>
        <v>Icecream</v>
      </c>
      <c r="E329" s="18">
        <f>IFERROR(__xludf.DUMMYFUNCTION("""COMPUTED_VALUE"""),1.0)</f>
        <v>1</v>
      </c>
      <c r="F329" s="18" t="str">
        <f>IFERROR(__xludf.DUMMYFUNCTION("""COMPUTED_VALUE"""),"Priya Joshi")</f>
        <v>Priya Joshi</v>
      </c>
      <c r="G329" s="19">
        <f>IFERROR(__xludf.DUMMYFUNCTION("""COMPUTED_VALUE"""),45288.0)</f>
        <v>45288</v>
      </c>
      <c r="H329" s="18" t="str">
        <f>IFERROR(__xludf.DUMMYFUNCTION("""COMPUTED_VALUE"""),"UPI")</f>
        <v>UPI</v>
      </c>
      <c r="I329" s="18" t="str">
        <f>IFERROR(__xludf.DUMMYFUNCTION("""COMPUTED_VALUE"""),"Delivered")</f>
        <v>Delivered</v>
      </c>
      <c r="J329" s="18" t="str">
        <f>IFERROR(__xludf.DUMMYFUNCTION("""COMPUTED_VALUE"""),"Overall Satisfaction")</f>
        <v>Overall Satisfaction</v>
      </c>
      <c r="K329" s="18" t="str">
        <f>IFERROR(__xludf.DUMMYFUNCTION("""COMPUTED_VALUE"""),"Great service will order again")</f>
        <v>Great service will order again</v>
      </c>
      <c r="L329" s="18">
        <f>iferror(VLOOKUP($D329,Details!$A$2:$C$11,2,false),vlookup($D329,Details!$E$2:$G$11,2,false))</f>
        <v>90</v>
      </c>
      <c r="M329" s="18" t="str">
        <f>iferror(VLOOKUP($D329,Details!$A$2:$C$11,3,false),vlookup($D329,Details!$E$2:$G$11,3,false))</f>
        <v>Snacks and Drinks</v>
      </c>
      <c r="N329" s="18">
        <f t="shared" si="1"/>
        <v>90</v>
      </c>
      <c r="O329" s="17"/>
      <c r="P329" s="17"/>
      <c r="Q329" s="17"/>
      <c r="R329" s="17"/>
      <c r="S329" s="17"/>
      <c r="T329" s="17"/>
      <c r="U329" s="17"/>
      <c r="V329" s="17"/>
      <c r="W329" s="17"/>
      <c r="X329" s="17"/>
      <c r="Y329" s="17"/>
      <c r="Z329" s="17"/>
    </row>
    <row r="330">
      <c r="A330" s="18" t="str">
        <f>IFERROR(__xludf.DUMMYFUNCTION("""COMPUTED_VALUE"""),"ord_10321")</f>
        <v>ord_10321</v>
      </c>
      <c r="B330" s="18" t="str">
        <f>IFERROR(__xludf.DUMMYFUNCTION("""COMPUTED_VALUE"""),"Parth Goel")</f>
        <v>Parth Goel</v>
      </c>
      <c r="C330" s="18" t="str">
        <f>IFERROR(__xludf.DUMMYFUNCTION("""COMPUTED_VALUE"""),"Juhu")</f>
        <v>Juhu</v>
      </c>
      <c r="D330" s="18" t="str">
        <f>IFERROR(__xludf.DUMMYFUNCTION("""COMPUTED_VALUE"""),"Chocolate Mousse")</f>
        <v>Chocolate Mousse</v>
      </c>
      <c r="E330" s="18">
        <f>IFERROR(__xludf.DUMMYFUNCTION("""COMPUTED_VALUE"""),4.0)</f>
        <v>4</v>
      </c>
      <c r="F330" s="18" t="str">
        <f>IFERROR(__xludf.DUMMYFUNCTION("""COMPUTED_VALUE"""),"Tanvi Jain")</f>
        <v>Tanvi Jain</v>
      </c>
      <c r="G330" s="19">
        <f>IFERROR(__xludf.DUMMYFUNCTION("""COMPUTED_VALUE"""),45146.0)</f>
        <v>45146</v>
      </c>
      <c r="H330" s="18" t="str">
        <f>IFERROR(__xludf.DUMMYFUNCTION("""COMPUTED_VALUE"""),"Credit Card")</f>
        <v>Credit Card</v>
      </c>
      <c r="I330" s="18" t="str">
        <f>IFERROR(__xludf.DUMMYFUNCTION("""COMPUTED_VALUE"""),"Delivered")</f>
        <v>Delivered</v>
      </c>
      <c r="J330" s="18" t="str">
        <f>IFERROR(__xludf.DUMMYFUNCTION("""COMPUTED_VALUE"""),"On-time Delivery")</f>
        <v>On-time Delivery</v>
      </c>
      <c r="K330" s="18" t="str">
        <f>IFERROR(__xludf.DUMMYFUNCTION("""COMPUTED_VALUE"""),"Delivered on time")</f>
        <v>Delivered on time</v>
      </c>
      <c r="L330" s="18">
        <f>iferror(VLOOKUP($D330,Details!$A$2:$C$11,2,false),vlookup($D330,Details!$E$2:$G$11,2,false))</f>
        <v>145</v>
      </c>
      <c r="M330" s="18" t="str">
        <f>iferror(VLOOKUP($D330,Details!$A$2:$C$11,3,false),vlookup($D330,Details!$E$2:$G$11,3,false))</f>
        <v>Snacks and Drinks</v>
      </c>
      <c r="N330" s="18">
        <f t="shared" si="1"/>
        <v>580</v>
      </c>
      <c r="O330" s="17"/>
      <c r="P330" s="17"/>
      <c r="Q330" s="17"/>
      <c r="R330" s="17"/>
      <c r="S330" s="17"/>
      <c r="T330" s="17"/>
      <c r="U330" s="17"/>
      <c r="V330" s="17"/>
      <c r="W330" s="17"/>
      <c r="X330" s="17"/>
      <c r="Y330" s="17"/>
      <c r="Z330" s="17"/>
    </row>
    <row r="331">
      <c r="A331" s="18" t="str">
        <f>IFERROR(__xludf.DUMMYFUNCTION("""COMPUTED_VALUE"""),"ord_10322")</f>
        <v>ord_10322</v>
      </c>
      <c r="B331" s="18" t="str">
        <f>IFERROR(__xludf.DUMMYFUNCTION("""COMPUTED_VALUE"""),"Dev Chauhan")</f>
        <v>Dev Chauhan</v>
      </c>
      <c r="C331" s="18" t="str">
        <f>IFERROR(__xludf.DUMMYFUNCTION("""COMPUTED_VALUE"""),"Bandra")</f>
        <v>Bandra</v>
      </c>
      <c r="D331" s="18" t="str">
        <f>IFERROR(__xludf.DUMMYFUNCTION("""COMPUTED_VALUE"""),"Apple")</f>
        <v>Apple</v>
      </c>
      <c r="E331" s="18">
        <f>IFERROR(__xludf.DUMMYFUNCTION("""COMPUTED_VALUE"""),2.0)</f>
        <v>2</v>
      </c>
      <c r="F331" s="18" t="str">
        <f>IFERROR(__xludf.DUMMYFUNCTION("""COMPUTED_VALUE"""),"Priya Joshi")</f>
        <v>Priya Joshi</v>
      </c>
      <c r="G331" s="19">
        <f>IFERROR(__xludf.DUMMYFUNCTION("""COMPUTED_VALUE"""),45277.0)</f>
        <v>45277</v>
      </c>
      <c r="H331" s="18" t="str">
        <f>IFERROR(__xludf.DUMMYFUNCTION("""COMPUTED_VALUE"""),"Online Payment")</f>
        <v>Online Payment</v>
      </c>
      <c r="I331" s="18" t="str">
        <f>IFERROR(__xludf.DUMMYFUNCTION("""COMPUTED_VALUE"""),"Delivered")</f>
        <v>Delivered</v>
      </c>
      <c r="J331" s="18" t="str">
        <f>IFERROR(__xludf.DUMMYFUNCTION("""COMPUTED_VALUE"""),"Quality of Items")</f>
        <v>Quality of Items</v>
      </c>
      <c r="K331" s="18" t="str">
        <f>IFERROR(__xludf.DUMMYFUNCTION("""COMPUTED_VALUE"""),"Perfect condition")</f>
        <v>Perfect condition</v>
      </c>
      <c r="L331" s="18">
        <f>iferror(VLOOKUP($D331,Details!$A$2:$C$11,2,false),vlookup($D331,Details!$E$2:$G$11,2,false))</f>
        <v>230</v>
      </c>
      <c r="M331" s="18" t="str">
        <f>iferror(VLOOKUP($D331,Details!$A$2:$C$11,3,false),vlookup($D331,Details!$E$2:$G$11,3,false))</f>
        <v>Fruits and Vegetables</v>
      </c>
      <c r="N331" s="18">
        <f t="shared" si="1"/>
        <v>460</v>
      </c>
      <c r="O331" s="17"/>
      <c r="P331" s="17"/>
      <c r="Q331" s="17"/>
      <c r="R331" s="17"/>
      <c r="S331" s="17"/>
      <c r="T331" s="17"/>
      <c r="U331" s="17"/>
      <c r="V331" s="17"/>
      <c r="W331" s="17"/>
      <c r="X331" s="17"/>
      <c r="Y331" s="17"/>
      <c r="Z331" s="17"/>
    </row>
    <row r="332">
      <c r="A332" s="18" t="str">
        <f>IFERROR(__xludf.DUMMYFUNCTION("""COMPUTED_VALUE"""),"ord_10323")</f>
        <v>ord_10323</v>
      </c>
      <c r="B332" s="18" t="str">
        <f>IFERROR(__xludf.DUMMYFUNCTION("""COMPUTED_VALUE"""),"Kritika Shetty")</f>
        <v>Kritika Shetty</v>
      </c>
      <c r="C332" s="18" t="str">
        <f>IFERROR(__xludf.DUMMYFUNCTION("""COMPUTED_VALUE"""),"Malad")</f>
        <v>Malad</v>
      </c>
      <c r="D332" s="18" t="str">
        <f>IFERROR(__xludf.DUMMYFUNCTION("""COMPUTED_VALUE"""),"Rasmalai")</f>
        <v>Rasmalai</v>
      </c>
      <c r="E332" s="18">
        <f>IFERROR(__xludf.DUMMYFUNCTION("""COMPUTED_VALUE"""),3.0)</f>
        <v>3</v>
      </c>
      <c r="F332" s="18" t="str">
        <f>IFERROR(__xludf.DUMMYFUNCTION("""COMPUTED_VALUE"""),"Vivek Kumar")</f>
        <v>Vivek Kumar</v>
      </c>
      <c r="G332" s="19">
        <f>IFERROR(__xludf.DUMMYFUNCTION("""COMPUTED_VALUE"""),45018.0)</f>
        <v>45018</v>
      </c>
      <c r="H332" s="18" t="str">
        <f>IFERROR(__xludf.DUMMYFUNCTION("""COMPUTED_VALUE"""),"COD")</f>
        <v>COD</v>
      </c>
      <c r="I332" s="18" t="str">
        <f>IFERROR(__xludf.DUMMYFUNCTION("""COMPUTED_VALUE"""),"Delivered")</f>
        <v>Delivered</v>
      </c>
      <c r="J332" s="18" t="str">
        <f>IFERROR(__xludf.DUMMYFUNCTION("""COMPUTED_VALUE"""),"On-time Delivery")</f>
        <v>On-time Delivery</v>
      </c>
      <c r="K332" s="18" t="str">
        <f>IFERROR(__xludf.DUMMYFUNCTION("""COMPUTED_VALUE"""),"Delivered on time")</f>
        <v>Delivered on time</v>
      </c>
      <c r="L332" s="18">
        <f>iferror(VLOOKUP($D332,Details!$A$2:$C$11,2,false),vlookup($D332,Details!$E$2:$G$11,2,false))</f>
        <v>110</v>
      </c>
      <c r="M332" s="18" t="str">
        <f>iferror(VLOOKUP($D332,Details!$A$2:$C$11,3,false),vlookup($D332,Details!$E$2:$G$11,3,false))</f>
        <v>Snacks and Drinks</v>
      </c>
      <c r="N332" s="18">
        <f t="shared" si="1"/>
        <v>330</v>
      </c>
      <c r="O332" s="17"/>
      <c r="P332" s="17"/>
      <c r="Q332" s="17"/>
      <c r="R332" s="17"/>
      <c r="S332" s="17"/>
      <c r="T332" s="17"/>
      <c r="U332" s="17"/>
      <c r="V332" s="17"/>
      <c r="W332" s="17"/>
      <c r="X332" s="17"/>
      <c r="Y332" s="17"/>
      <c r="Z332" s="17"/>
    </row>
    <row r="333">
      <c r="A333" s="18" t="str">
        <f>IFERROR(__xludf.DUMMYFUNCTION("""COMPUTED_VALUE"""),"ord_10324")</f>
        <v>ord_10324</v>
      </c>
      <c r="B333" s="18" t="str">
        <f>IFERROR(__xludf.DUMMYFUNCTION("""COMPUTED_VALUE"""),"Mohit Malhotra")</f>
        <v>Mohit Malhotra</v>
      </c>
      <c r="C333" s="18" t="str">
        <f>IFERROR(__xludf.DUMMYFUNCTION("""COMPUTED_VALUE"""),"Lower Parel")</f>
        <v>Lower Parel</v>
      </c>
      <c r="D333" s="18" t="str">
        <f>IFERROR(__xludf.DUMMYFUNCTION("""COMPUTED_VALUE"""),"Cold Coffee")</f>
        <v>Cold Coffee</v>
      </c>
      <c r="E333" s="18">
        <f>IFERROR(__xludf.DUMMYFUNCTION("""COMPUTED_VALUE"""),2.0)</f>
        <v>2</v>
      </c>
      <c r="F333" s="18" t="str">
        <f>IFERROR(__xludf.DUMMYFUNCTION("""COMPUTED_VALUE"""),"Not Assigned")</f>
        <v>Not Assigned</v>
      </c>
      <c r="G333" s="19">
        <f>IFERROR(__xludf.DUMMYFUNCTION("""COMPUTED_VALUE"""),45108.0)</f>
        <v>45108</v>
      </c>
      <c r="H333" s="18" t="str">
        <f>IFERROR(__xludf.DUMMYFUNCTION("""COMPUTED_VALUE"""),"UPI")</f>
        <v>UPI</v>
      </c>
      <c r="I333" s="18" t="str">
        <f>IFERROR(__xludf.DUMMYFUNCTION("""COMPUTED_VALUE"""),"Cancelled")</f>
        <v>Cancelled</v>
      </c>
      <c r="J333" s="18" t="str">
        <f>IFERROR(__xludf.DUMMYFUNCTION("""COMPUTED_VALUE"""),"Payment Issues")</f>
        <v>Payment Issues</v>
      </c>
      <c r="K333" s="18"/>
      <c r="L333" s="18">
        <f>iferror(VLOOKUP($D333,Details!$A$2:$C$11,2,false),vlookup($D333,Details!$E$2:$G$11,2,false))</f>
        <v>270</v>
      </c>
      <c r="M333" s="18" t="str">
        <f>iferror(VLOOKUP($D333,Details!$A$2:$C$11,3,false),vlookup($D333,Details!$E$2:$G$11,3,false))</f>
        <v>Snacks and Drinks</v>
      </c>
      <c r="N333" s="18">
        <f t="shared" si="1"/>
        <v>540</v>
      </c>
      <c r="O333" s="17"/>
      <c r="P333" s="17"/>
      <c r="Q333" s="17"/>
      <c r="R333" s="17"/>
      <c r="S333" s="17"/>
      <c r="T333" s="17"/>
      <c r="U333" s="17"/>
      <c r="V333" s="17"/>
      <c r="W333" s="17"/>
      <c r="X333" s="17"/>
      <c r="Y333" s="17"/>
      <c r="Z333" s="17"/>
    </row>
    <row r="334">
      <c r="A334" s="18" t="str">
        <f>IFERROR(__xludf.DUMMYFUNCTION("""COMPUTED_VALUE"""),"ord_10325")</f>
        <v>ord_10325</v>
      </c>
      <c r="B334" s="18" t="str">
        <f>IFERROR(__xludf.DUMMYFUNCTION("""COMPUTED_VALUE"""),"Aditi Iyer")</f>
        <v>Aditi Iyer</v>
      </c>
      <c r="C334" s="18" t="str">
        <f>IFERROR(__xludf.DUMMYFUNCTION("""COMPUTED_VALUE"""),"Dadar")</f>
        <v>Dadar</v>
      </c>
      <c r="D334" s="18" t="str">
        <f>IFERROR(__xludf.DUMMYFUNCTION("""COMPUTED_VALUE"""),"Banana")</f>
        <v>Banana</v>
      </c>
      <c r="E334" s="18">
        <f>IFERROR(__xludf.DUMMYFUNCTION("""COMPUTED_VALUE"""),2.0)</f>
        <v>2</v>
      </c>
      <c r="F334" s="18" t="str">
        <f>IFERROR(__xludf.DUMMYFUNCTION("""COMPUTED_VALUE"""),"Not Assigned")</f>
        <v>Not Assigned</v>
      </c>
      <c r="G334" s="19">
        <f>IFERROR(__xludf.DUMMYFUNCTION("""COMPUTED_VALUE"""),45033.0)</f>
        <v>45033</v>
      </c>
      <c r="H334" s="18" t="str">
        <f>IFERROR(__xludf.DUMMYFUNCTION("""COMPUTED_VALUE"""),"UPI")</f>
        <v>UPI</v>
      </c>
      <c r="I334" s="18" t="str">
        <f>IFERROR(__xludf.DUMMYFUNCTION("""COMPUTED_VALUE"""),"Cancelled")</f>
        <v>Cancelled</v>
      </c>
      <c r="J334" s="18" t="str">
        <f>IFERROR(__xludf.DUMMYFUNCTION("""COMPUTED_VALUE"""),"Payment Issues")</f>
        <v>Payment Issues</v>
      </c>
      <c r="K334" s="18"/>
      <c r="L334" s="18">
        <f>iferror(VLOOKUP($D334,Details!$A$2:$C$11,2,false),vlookup($D334,Details!$E$2:$G$11,2,false))</f>
        <v>80</v>
      </c>
      <c r="M334" s="18" t="str">
        <f>iferror(VLOOKUP($D334,Details!$A$2:$C$11,3,false),vlookup($D334,Details!$E$2:$G$11,3,false))</f>
        <v>Fruits and Vegetables</v>
      </c>
      <c r="N334" s="18">
        <f t="shared" si="1"/>
        <v>160</v>
      </c>
      <c r="O334" s="17"/>
      <c r="P334" s="17"/>
      <c r="Q334" s="17"/>
      <c r="R334" s="17"/>
      <c r="S334" s="17"/>
      <c r="T334" s="17"/>
      <c r="U334" s="17"/>
      <c r="V334" s="17"/>
      <c r="W334" s="17"/>
      <c r="X334" s="17"/>
      <c r="Y334" s="17"/>
      <c r="Z334" s="17"/>
    </row>
    <row r="335">
      <c r="A335" s="18" t="str">
        <f>IFERROR(__xludf.DUMMYFUNCTION("""COMPUTED_VALUE"""),"ord_10326")</f>
        <v>ord_10326</v>
      </c>
      <c r="B335" s="18" t="str">
        <f>IFERROR(__xludf.DUMMYFUNCTION("""COMPUTED_VALUE"""),"Anaya Rao")</f>
        <v>Anaya Rao</v>
      </c>
      <c r="C335" s="18" t="str">
        <f>IFERROR(__xludf.DUMMYFUNCTION("""COMPUTED_VALUE"""),"Malad")</f>
        <v>Malad</v>
      </c>
      <c r="D335" s="18" t="str">
        <f>IFERROR(__xludf.DUMMYFUNCTION("""COMPUTED_VALUE"""),"Banana")</f>
        <v>Banana</v>
      </c>
      <c r="E335" s="18">
        <f>IFERROR(__xludf.DUMMYFUNCTION("""COMPUTED_VALUE"""),1.0)</f>
        <v>1</v>
      </c>
      <c r="F335" s="18" t="str">
        <f>IFERROR(__xludf.DUMMYFUNCTION("""COMPUTED_VALUE"""),"Neha Shah")</f>
        <v>Neha Shah</v>
      </c>
      <c r="G335" s="19">
        <f>IFERROR(__xludf.DUMMYFUNCTION("""COMPUTED_VALUE"""),45128.0)</f>
        <v>45128</v>
      </c>
      <c r="H335" s="18" t="str">
        <f>IFERROR(__xludf.DUMMYFUNCTION("""COMPUTED_VALUE"""),"Online Payment")</f>
        <v>Online Payment</v>
      </c>
      <c r="I335" s="18" t="str">
        <f>IFERROR(__xludf.DUMMYFUNCTION("""COMPUTED_VALUE"""),"Delivered")</f>
        <v>Delivered</v>
      </c>
      <c r="J335" s="18" t="str">
        <f>IFERROR(__xludf.DUMMYFUNCTION("""COMPUTED_VALUE"""),"Quality of Items")</f>
        <v>Quality of Items</v>
      </c>
      <c r="K335" s="18" t="str">
        <f>IFERROR(__xludf.DUMMYFUNCTION("""COMPUTED_VALUE"""),"Perfect condition")</f>
        <v>Perfect condition</v>
      </c>
      <c r="L335" s="18">
        <f>iferror(VLOOKUP($D335,Details!$A$2:$C$11,2,false),vlookup($D335,Details!$E$2:$G$11,2,false))</f>
        <v>80</v>
      </c>
      <c r="M335" s="18" t="str">
        <f>iferror(VLOOKUP($D335,Details!$A$2:$C$11,3,false),vlookup($D335,Details!$E$2:$G$11,3,false))</f>
        <v>Fruits and Vegetables</v>
      </c>
      <c r="N335" s="18">
        <f t="shared" si="1"/>
        <v>80</v>
      </c>
      <c r="O335" s="17"/>
      <c r="P335" s="17"/>
      <c r="Q335" s="17"/>
      <c r="R335" s="17"/>
      <c r="S335" s="17"/>
      <c r="T335" s="17"/>
      <c r="U335" s="17"/>
      <c r="V335" s="17"/>
      <c r="W335" s="17"/>
      <c r="X335" s="17"/>
      <c r="Y335" s="17"/>
      <c r="Z335" s="17"/>
    </row>
    <row r="336">
      <c r="A336" s="18" t="str">
        <f>IFERROR(__xludf.DUMMYFUNCTION("""COMPUTED_VALUE"""),"ord_10327")</f>
        <v>ord_10327</v>
      </c>
      <c r="B336" s="18" t="str">
        <f>IFERROR(__xludf.DUMMYFUNCTION("""COMPUTED_VALUE"""),"Arvind Kulkarni")</f>
        <v>Arvind Kulkarni</v>
      </c>
      <c r="C336" s="18" t="str">
        <f>IFERROR(__xludf.DUMMYFUNCTION("""COMPUTED_VALUE"""),"Juhu")</f>
        <v>Juhu</v>
      </c>
      <c r="D336" s="18" t="str">
        <f>IFERROR(__xludf.DUMMYFUNCTION("""COMPUTED_VALUE"""),"Chicken Puff")</f>
        <v>Chicken Puff</v>
      </c>
      <c r="E336" s="18">
        <f>IFERROR(__xludf.DUMMYFUNCTION("""COMPUTED_VALUE"""),2.0)</f>
        <v>2</v>
      </c>
      <c r="F336" s="18" t="str">
        <f>IFERROR(__xludf.DUMMYFUNCTION("""COMPUTED_VALUE"""),"Tanvi Jain")</f>
        <v>Tanvi Jain</v>
      </c>
      <c r="G336" s="19">
        <f>IFERROR(__xludf.DUMMYFUNCTION("""COMPUTED_VALUE"""),45081.0)</f>
        <v>45081</v>
      </c>
      <c r="H336" s="18" t="str">
        <f>IFERROR(__xludf.DUMMYFUNCTION("""COMPUTED_VALUE"""),"Online Payment")</f>
        <v>Online Payment</v>
      </c>
      <c r="I336" s="18" t="str">
        <f>IFERROR(__xludf.DUMMYFUNCTION("""COMPUTED_VALUE"""),"Delivered")</f>
        <v>Delivered</v>
      </c>
      <c r="J336" s="18" t="str">
        <f>IFERROR(__xludf.DUMMYFUNCTION("""COMPUTED_VALUE"""),"Packaging")</f>
        <v>Packaging</v>
      </c>
      <c r="K336" s="18" t="str">
        <f>IFERROR(__xludf.DUMMYFUNCTION("""COMPUTED_VALUE"""),"Secure and intact")</f>
        <v>Secure and intact</v>
      </c>
      <c r="L336" s="18">
        <f>iferror(VLOOKUP($D336,Details!$A$2:$C$11,2,false),vlookup($D336,Details!$E$2:$G$11,2,false))</f>
        <v>90</v>
      </c>
      <c r="M336" s="18" t="str">
        <f>iferror(VLOOKUP($D336,Details!$A$2:$C$11,3,false),vlookup($D336,Details!$E$2:$G$11,3,false))</f>
        <v>Snacks and Drinks</v>
      </c>
      <c r="N336" s="18">
        <f t="shared" si="1"/>
        <v>180</v>
      </c>
      <c r="O336" s="17"/>
      <c r="P336" s="17"/>
      <c r="Q336" s="17"/>
      <c r="R336" s="17"/>
      <c r="S336" s="17"/>
      <c r="T336" s="17"/>
      <c r="U336" s="17"/>
      <c r="V336" s="17"/>
      <c r="W336" s="17"/>
      <c r="X336" s="17"/>
      <c r="Y336" s="17"/>
      <c r="Z336" s="17"/>
    </row>
    <row r="337">
      <c r="A337" s="18" t="str">
        <f>IFERROR(__xludf.DUMMYFUNCTION("""COMPUTED_VALUE"""),"ord_10328")</f>
        <v>ord_10328</v>
      </c>
      <c r="B337" s="18" t="str">
        <f>IFERROR(__xludf.DUMMYFUNCTION("""COMPUTED_VALUE"""),"Aarohi Kapoor")</f>
        <v>Aarohi Kapoor</v>
      </c>
      <c r="C337" s="18" t="str">
        <f>IFERROR(__xludf.DUMMYFUNCTION("""COMPUTED_VALUE"""),"Bandra")</f>
        <v>Bandra</v>
      </c>
      <c r="D337" s="18" t="str">
        <f>IFERROR(__xludf.DUMMYFUNCTION("""COMPUTED_VALUE"""),"Sweet Corn")</f>
        <v>Sweet Corn</v>
      </c>
      <c r="E337" s="18">
        <f>IFERROR(__xludf.DUMMYFUNCTION("""COMPUTED_VALUE"""),1.0)</f>
        <v>1</v>
      </c>
      <c r="F337" s="18" t="str">
        <f>IFERROR(__xludf.DUMMYFUNCTION("""COMPUTED_VALUE"""),"Priya Joshi")</f>
        <v>Priya Joshi</v>
      </c>
      <c r="G337" s="19">
        <f>IFERROR(__xludf.DUMMYFUNCTION("""COMPUTED_VALUE"""),45211.0)</f>
        <v>45211</v>
      </c>
      <c r="H337" s="18" t="str">
        <f>IFERROR(__xludf.DUMMYFUNCTION("""COMPUTED_VALUE"""),"Credit Card")</f>
        <v>Credit Card</v>
      </c>
      <c r="I337" s="18" t="str">
        <f>IFERROR(__xludf.DUMMYFUNCTION("""COMPUTED_VALUE"""),"Delivered")</f>
        <v>Delivered</v>
      </c>
      <c r="J337" s="18" t="str">
        <f>IFERROR(__xludf.DUMMYFUNCTION("""COMPUTED_VALUE"""),"Satisfied with the Delivery")</f>
        <v>Satisfied with the Delivery</v>
      </c>
      <c r="K337" s="18" t="str">
        <f>IFERROR(__xludf.DUMMYFUNCTION("""COMPUTED_VALUE"""),"Timely and quality")</f>
        <v>Timely and quality</v>
      </c>
      <c r="L337" s="18">
        <f>iferror(VLOOKUP($D337,Details!$A$2:$C$11,2,false),vlookup($D337,Details!$E$2:$G$11,2,false))</f>
        <v>60</v>
      </c>
      <c r="M337" s="18" t="str">
        <f>iferror(VLOOKUP($D337,Details!$A$2:$C$11,3,false),vlookup($D337,Details!$E$2:$G$11,3,false))</f>
        <v>Fruits and Vegetables</v>
      </c>
      <c r="N337" s="18">
        <f t="shared" si="1"/>
        <v>60</v>
      </c>
      <c r="O337" s="17"/>
      <c r="P337" s="17"/>
      <c r="Q337" s="17"/>
      <c r="R337" s="17"/>
      <c r="S337" s="17"/>
      <c r="T337" s="17"/>
      <c r="U337" s="17"/>
      <c r="V337" s="17"/>
      <c r="W337" s="17"/>
      <c r="X337" s="17"/>
      <c r="Y337" s="17"/>
      <c r="Z337" s="17"/>
    </row>
    <row r="338">
      <c r="A338" s="18" t="str">
        <f>IFERROR(__xludf.DUMMYFUNCTION("""COMPUTED_VALUE"""),"ord_10329")</f>
        <v>ord_10329</v>
      </c>
      <c r="B338" s="18" t="str">
        <f>IFERROR(__xludf.DUMMYFUNCTION("""COMPUTED_VALUE"""),"Ishita Banerjee")</f>
        <v>Ishita Banerjee</v>
      </c>
      <c r="C338" s="18" t="str">
        <f>IFERROR(__xludf.DUMMYFUNCTION("""COMPUTED_VALUE"""),"Juhu")</f>
        <v>Juhu</v>
      </c>
      <c r="D338" s="18" t="str">
        <f>IFERROR(__xludf.DUMMYFUNCTION("""COMPUTED_VALUE"""),"Banana")</f>
        <v>Banana</v>
      </c>
      <c r="E338" s="18">
        <f>IFERROR(__xludf.DUMMYFUNCTION("""COMPUTED_VALUE"""),1.0)</f>
        <v>1</v>
      </c>
      <c r="F338" s="18" t="str">
        <f>IFERROR(__xludf.DUMMYFUNCTION("""COMPUTED_VALUE"""),"Tanvi Jain")</f>
        <v>Tanvi Jain</v>
      </c>
      <c r="G338" s="19">
        <f>IFERROR(__xludf.DUMMYFUNCTION("""COMPUTED_VALUE"""),45114.0)</f>
        <v>45114</v>
      </c>
      <c r="H338" s="18" t="str">
        <f>IFERROR(__xludf.DUMMYFUNCTION("""COMPUTED_VALUE"""),"UPI")</f>
        <v>UPI</v>
      </c>
      <c r="I338" s="18" t="str">
        <f>IFERROR(__xludf.DUMMYFUNCTION("""COMPUTED_VALUE"""),"Delivered")</f>
        <v>Delivered</v>
      </c>
      <c r="J338" s="18" t="str">
        <f>IFERROR(__xludf.DUMMYFUNCTION("""COMPUTED_VALUE"""),"Customer Service")</f>
        <v>Customer Service</v>
      </c>
      <c r="K338" s="18" t="str">
        <f>IFERROR(__xludf.DUMMYFUNCTION("""COMPUTED_VALUE"""),"Seamless and easy")</f>
        <v>Seamless and easy</v>
      </c>
      <c r="L338" s="18">
        <f>iferror(VLOOKUP($D338,Details!$A$2:$C$11,2,false),vlookup($D338,Details!$E$2:$G$11,2,false))</f>
        <v>80</v>
      </c>
      <c r="M338" s="18" t="str">
        <f>iferror(VLOOKUP($D338,Details!$A$2:$C$11,3,false),vlookup($D338,Details!$E$2:$G$11,3,false))</f>
        <v>Fruits and Vegetables</v>
      </c>
      <c r="N338" s="18">
        <f t="shared" si="1"/>
        <v>80</v>
      </c>
      <c r="O338" s="17"/>
      <c r="P338" s="17"/>
      <c r="Q338" s="17"/>
      <c r="R338" s="17"/>
      <c r="S338" s="17"/>
      <c r="T338" s="17"/>
      <c r="U338" s="17"/>
      <c r="V338" s="17"/>
      <c r="W338" s="17"/>
      <c r="X338" s="17"/>
      <c r="Y338" s="17"/>
      <c r="Z338" s="17"/>
    </row>
    <row r="339">
      <c r="A339" s="18" t="str">
        <f>IFERROR(__xludf.DUMMYFUNCTION("""COMPUTED_VALUE"""),"ord_10330")</f>
        <v>ord_10330</v>
      </c>
      <c r="B339" s="18" t="str">
        <f>IFERROR(__xludf.DUMMYFUNCTION("""COMPUTED_VALUE"""),"Pranav Joshi")</f>
        <v>Pranav Joshi</v>
      </c>
      <c r="C339" s="18" t="str">
        <f>IFERROR(__xludf.DUMMYFUNCTION("""COMPUTED_VALUE"""),"Andheri")</f>
        <v>Andheri</v>
      </c>
      <c r="D339" s="18" t="str">
        <f>IFERROR(__xludf.DUMMYFUNCTION("""COMPUTED_VALUE"""),"Banana")</f>
        <v>Banana</v>
      </c>
      <c r="E339" s="18">
        <f>IFERROR(__xludf.DUMMYFUNCTION("""COMPUTED_VALUE"""),1.0)</f>
        <v>1</v>
      </c>
      <c r="F339" s="18" t="str">
        <f>IFERROR(__xludf.DUMMYFUNCTION("""COMPUTED_VALUE"""),"Not Assigned")</f>
        <v>Not Assigned</v>
      </c>
      <c r="G339" s="19">
        <f>IFERROR(__xludf.DUMMYFUNCTION("""COMPUTED_VALUE"""),45023.0)</f>
        <v>45023</v>
      </c>
      <c r="H339" s="18" t="str">
        <f>IFERROR(__xludf.DUMMYFUNCTION("""COMPUTED_VALUE"""),"Credit Card")</f>
        <v>Credit Card</v>
      </c>
      <c r="I339" s="18" t="str">
        <f>IFERROR(__xludf.DUMMYFUNCTION("""COMPUTED_VALUE"""),"Cancelled")</f>
        <v>Cancelled</v>
      </c>
      <c r="J339" s="18" t="str">
        <f>IFERROR(__xludf.DUMMYFUNCTION("""COMPUTED_VALUE"""),"Payment Issues")</f>
        <v>Payment Issues</v>
      </c>
      <c r="K339" s="18"/>
      <c r="L339" s="18">
        <f>iferror(VLOOKUP($D339,Details!$A$2:$C$11,2,false),vlookup($D339,Details!$E$2:$G$11,2,false))</f>
        <v>80</v>
      </c>
      <c r="M339" s="18" t="str">
        <f>iferror(VLOOKUP($D339,Details!$A$2:$C$11,3,false),vlookup($D339,Details!$E$2:$G$11,3,false))</f>
        <v>Fruits and Vegetables</v>
      </c>
      <c r="N339" s="18">
        <f t="shared" si="1"/>
        <v>80</v>
      </c>
      <c r="O339" s="17"/>
      <c r="P339" s="17"/>
      <c r="Q339" s="17"/>
      <c r="R339" s="17"/>
      <c r="S339" s="17"/>
      <c r="T339" s="17"/>
      <c r="U339" s="17"/>
      <c r="V339" s="17"/>
      <c r="W339" s="17"/>
      <c r="X339" s="17"/>
      <c r="Y339" s="17"/>
      <c r="Z339" s="17"/>
    </row>
    <row r="340">
      <c r="A340" s="18" t="str">
        <f>IFERROR(__xludf.DUMMYFUNCTION("""COMPUTED_VALUE"""),"ord_10331")</f>
        <v>ord_10331</v>
      </c>
      <c r="B340" s="18" t="str">
        <f>IFERROR(__xludf.DUMMYFUNCTION("""COMPUTED_VALUE"""),"Dev Chauhan")</f>
        <v>Dev Chauhan</v>
      </c>
      <c r="C340" s="18" t="str">
        <f>IFERROR(__xludf.DUMMYFUNCTION("""COMPUTED_VALUE"""),"Bandra")</f>
        <v>Bandra</v>
      </c>
      <c r="D340" s="18" t="str">
        <f>IFERROR(__xludf.DUMMYFUNCTION("""COMPUTED_VALUE"""),"Popcorn")</f>
        <v>Popcorn</v>
      </c>
      <c r="E340" s="18">
        <f>IFERROR(__xludf.DUMMYFUNCTION("""COMPUTED_VALUE"""),2.0)</f>
        <v>2</v>
      </c>
      <c r="F340" s="18" t="str">
        <f>IFERROR(__xludf.DUMMYFUNCTION("""COMPUTED_VALUE"""),"Priya Joshi")</f>
        <v>Priya Joshi</v>
      </c>
      <c r="G340" s="19">
        <f>IFERROR(__xludf.DUMMYFUNCTION("""COMPUTED_VALUE"""),45121.0)</f>
        <v>45121</v>
      </c>
      <c r="H340" s="18" t="str">
        <f>IFERROR(__xludf.DUMMYFUNCTION("""COMPUTED_VALUE"""),"Credit Card")</f>
        <v>Credit Card</v>
      </c>
      <c r="I340" s="18" t="str">
        <f>IFERROR(__xludf.DUMMYFUNCTION("""COMPUTED_VALUE"""),"Delivered")</f>
        <v>Delivered</v>
      </c>
      <c r="J340" s="18" t="str">
        <f>IFERROR(__xludf.DUMMYFUNCTION("""COMPUTED_VALUE"""),"Delivery Experience")</f>
        <v>Delivery Experience</v>
      </c>
      <c r="K340" s="18" t="str">
        <f>IFERROR(__xludf.DUMMYFUNCTION("""COMPUTED_VALUE"""),"Quick and professional")</f>
        <v>Quick and professional</v>
      </c>
      <c r="L340" s="18">
        <f>iferror(VLOOKUP($D340,Details!$A$2:$C$11,2,false),vlookup($D340,Details!$E$2:$G$11,2,false))</f>
        <v>150</v>
      </c>
      <c r="M340" s="18" t="str">
        <f>iferror(VLOOKUP($D340,Details!$A$2:$C$11,3,false),vlookup($D340,Details!$E$2:$G$11,3,false))</f>
        <v>Snacks and Drinks</v>
      </c>
      <c r="N340" s="18">
        <f t="shared" si="1"/>
        <v>300</v>
      </c>
      <c r="O340" s="17"/>
      <c r="P340" s="17"/>
      <c r="Q340" s="17"/>
      <c r="R340" s="17"/>
      <c r="S340" s="17"/>
      <c r="T340" s="17"/>
      <c r="U340" s="17"/>
      <c r="V340" s="17"/>
      <c r="W340" s="17"/>
      <c r="X340" s="17"/>
      <c r="Y340" s="17"/>
      <c r="Z340" s="17"/>
    </row>
    <row r="341">
      <c r="A341" s="18" t="str">
        <f>IFERROR(__xludf.DUMMYFUNCTION("""COMPUTED_VALUE"""),"ord_10332")</f>
        <v>ord_10332</v>
      </c>
      <c r="B341" s="18" t="str">
        <f>IFERROR(__xludf.DUMMYFUNCTION("""COMPUTED_VALUE"""),"Aditya Basu")</f>
        <v>Aditya Basu</v>
      </c>
      <c r="C341" s="18" t="str">
        <f>IFERROR(__xludf.DUMMYFUNCTION("""COMPUTED_VALUE"""),"Juhu")</f>
        <v>Juhu</v>
      </c>
      <c r="D341" s="18" t="str">
        <f>IFERROR(__xludf.DUMMYFUNCTION("""COMPUTED_VALUE"""),"Guava")</f>
        <v>Guava</v>
      </c>
      <c r="E341" s="18">
        <f>IFERROR(__xludf.DUMMYFUNCTION("""COMPUTED_VALUE"""),3.0)</f>
        <v>3</v>
      </c>
      <c r="F341" s="18" t="str">
        <f>IFERROR(__xludf.DUMMYFUNCTION("""COMPUTED_VALUE"""),"Tanvi Jain")</f>
        <v>Tanvi Jain</v>
      </c>
      <c r="G341" s="19">
        <f>IFERROR(__xludf.DUMMYFUNCTION("""COMPUTED_VALUE"""),45143.0)</f>
        <v>45143</v>
      </c>
      <c r="H341" s="18" t="str">
        <f>IFERROR(__xludf.DUMMYFUNCTION("""COMPUTED_VALUE"""),"UPI")</f>
        <v>UPI</v>
      </c>
      <c r="I341" s="18" t="str">
        <f>IFERROR(__xludf.DUMMYFUNCTION("""COMPUTED_VALUE"""),"Delivered")</f>
        <v>Delivered</v>
      </c>
      <c r="J341" s="18" t="str">
        <f>IFERROR(__xludf.DUMMYFUNCTION("""COMPUTED_VALUE"""),"Convenience")</f>
        <v>Convenience</v>
      </c>
      <c r="K341" s="18" t="str">
        <f>IFERROR(__xludf.DUMMYFUNCTION("""COMPUTED_VALUE"""),"Easy tracking")</f>
        <v>Easy tracking</v>
      </c>
      <c r="L341" s="18">
        <f>iferror(VLOOKUP($D341,Details!$A$2:$C$11,2,false),vlookup($D341,Details!$E$2:$G$11,2,false))</f>
        <v>70</v>
      </c>
      <c r="M341" s="18" t="str">
        <f>iferror(VLOOKUP($D341,Details!$A$2:$C$11,3,false),vlookup($D341,Details!$E$2:$G$11,3,false))</f>
        <v>Fruits and Vegetables</v>
      </c>
      <c r="N341" s="18">
        <f t="shared" si="1"/>
        <v>210</v>
      </c>
      <c r="O341" s="17"/>
      <c r="P341" s="17"/>
      <c r="Q341" s="17"/>
      <c r="R341" s="17"/>
      <c r="S341" s="17"/>
      <c r="T341" s="17"/>
      <c r="U341" s="17"/>
      <c r="V341" s="17"/>
      <c r="W341" s="17"/>
      <c r="X341" s="17"/>
      <c r="Y341" s="17"/>
      <c r="Z341" s="17"/>
    </row>
    <row r="342">
      <c r="A342" s="18" t="str">
        <f>IFERROR(__xludf.DUMMYFUNCTION("""COMPUTED_VALUE"""),"ord_10333")</f>
        <v>ord_10333</v>
      </c>
      <c r="B342" s="18" t="str">
        <f>IFERROR(__xludf.DUMMYFUNCTION("""COMPUTED_VALUE"""),"Mehul Thakkar")</f>
        <v>Mehul Thakkar</v>
      </c>
      <c r="C342" s="18" t="str">
        <f>IFERROR(__xludf.DUMMYFUNCTION("""COMPUTED_VALUE"""),"Malad")</f>
        <v>Malad</v>
      </c>
      <c r="D342" s="18" t="str">
        <f>IFERROR(__xludf.DUMMYFUNCTION("""COMPUTED_VALUE"""),"Potato")</f>
        <v>Potato</v>
      </c>
      <c r="E342" s="18">
        <f>IFERROR(__xludf.DUMMYFUNCTION("""COMPUTED_VALUE"""),2.0)</f>
        <v>2</v>
      </c>
      <c r="F342" s="18" t="str">
        <f>IFERROR(__xludf.DUMMYFUNCTION("""COMPUTED_VALUE"""),"Ramesh S")</f>
        <v>Ramesh S</v>
      </c>
      <c r="G342" s="19">
        <f>IFERROR(__xludf.DUMMYFUNCTION("""COMPUTED_VALUE"""),45100.0)</f>
        <v>45100</v>
      </c>
      <c r="H342" s="18" t="str">
        <f>IFERROR(__xludf.DUMMYFUNCTION("""COMPUTED_VALUE"""),"UPI")</f>
        <v>UPI</v>
      </c>
      <c r="I342" s="18" t="str">
        <f>IFERROR(__xludf.DUMMYFUNCTION("""COMPUTED_VALUE"""),"Cancelled")</f>
        <v>Cancelled</v>
      </c>
      <c r="J342" s="18" t="str">
        <f>IFERROR(__xludf.DUMMYFUNCTION("""COMPUTED_VALUE"""),"Delayed Delivery")</f>
        <v>Delayed Delivery</v>
      </c>
      <c r="K342" s="18" t="str">
        <f>IFERROR(__xludf.DUMMYFUNCTION("""COMPUTED_VALUE"""),"Bad Weather Conditions")</f>
        <v>Bad Weather Conditions</v>
      </c>
      <c r="L342" s="18">
        <f>iferror(VLOOKUP($D342,Details!$A$2:$C$11,2,false),vlookup($D342,Details!$E$2:$G$11,2,false))</f>
        <v>55</v>
      </c>
      <c r="M342" s="18" t="str">
        <f>iferror(VLOOKUP($D342,Details!$A$2:$C$11,3,false),vlookup($D342,Details!$E$2:$G$11,3,false))</f>
        <v>Fruits and Vegetables</v>
      </c>
      <c r="N342" s="18">
        <f t="shared" si="1"/>
        <v>110</v>
      </c>
      <c r="O342" s="17"/>
      <c r="P342" s="17"/>
      <c r="Q342" s="17"/>
      <c r="R342" s="17"/>
      <c r="S342" s="17"/>
      <c r="T342" s="17"/>
      <c r="U342" s="17"/>
      <c r="V342" s="17"/>
      <c r="W342" s="17"/>
      <c r="X342" s="17"/>
      <c r="Y342" s="17"/>
      <c r="Z342" s="17"/>
    </row>
    <row r="343">
      <c r="A343" s="18" t="str">
        <f>IFERROR(__xludf.DUMMYFUNCTION("""COMPUTED_VALUE"""),"ord_10334")</f>
        <v>ord_10334</v>
      </c>
      <c r="B343" s="18" t="str">
        <f>IFERROR(__xludf.DUMMYFUNCTION("""COMPUTED_VALUE"""),"Tanishq Bansal")</f>
        <v>Tanishq Bansal</v>
      </c>
      <c r="C343" s="18" t="str">
        <f>IFERROR(__xludf.DUMMYFUNCTION("""COMPUTED_VALUE"""),"Powai")</f>
        <v>Powai</v>
      </c>
      <c r="D343" s="18" t="str">
        <f>IFERROR(__xludf.DUMMYFUNCTION("""COMPUTED_VALUE"""),"Rasmalai")</f>
        <v>Rasmalai</v>
      </c>
      <c r="E343" s="18">
        <f>IFERROR(__xludf.DUMMYFUNCTION("""COMPUTED_VALUE"""),5.0)</f>
        <v>5</v>
      </c>
      <c r="F343" s="18" t="str">
        <f>IFERROR(__xludf.DUMMYFUNCTION("""COMPUTED_VALUE"""),"Shine Thomas")</f>
        <v>Shine Thomas</v>
      </c>
      <c r="G343" s="19">
        <f>IFERROR(__xludf.DUMMYFUNCTION("""COMPUTED_VALUE"""),45253.0)</f>
        <v>45253</v>
      </c>
      <c r="H343" s="18" t="str">
        <f>IFERROR(__xludf.DUMMYFUNCTION("""COMPUTED_VALUE"""),"COD")</f>
        <v>COD</v>
      </c>
      <c r="I343" s="18" t="str">
        <f>IFERROR(__xludf.DUMMYFUNCTION("""COMPUTED_VALUE"""),"Delivered")</f>
        <v>Delivered</v>
      </c>
      <c r="J343" s="18" t="str">
        <f>IFERROR(__xludf.DUMMYFUNCTION("""COMPUTED_VALUE"""),"Overall Satisfaction")</f>
        <v>Overall Satisfaction</v>
      </c>
      <c r="K343" s="18" t="str">
        <f>IFERROR(__xludf.DUMMYFUNCTION("""COMPUTED_VALUE"""),"Great service will order again")</f>
        <v>Great service will order again</v>
      </c>
      <c r="L343" s="18">
        <f>iferror(VLOOKUP($D343,Details!$A$2:$C$11,2,false),vlookup($D343,Details!$E$2:$G$11,2,false))</f>
        <v>110</v>
      </c>
      <c r="M343" s="18" t="str">
        <f>iferror(VLOOKUP($D343,Details!$A$2:$C$11,3,false),vlookup($D343,Details!$E$2:$G$11,3,false))</f>
        <v>Snacks and Drinks</v>
      </c>
      <c r="N343" s="18">
        <f t="shared" si="1"/>
        <v>550</v>
      </c>
      <c r="O343" s="17"/>
      <c r="P343" s="17"/>
      <c r="Q343" s="17"/>
      <c r="R343" s="17"/>
      <c r="S343" s="17"/>
      <c r="T343" s="17"/>
      <c r="U343" s="17"/>
      <c r="V343" s="17"/>
      <c r="W343" s="17"/>
      <c r="X343" s="17"/>
      <c r="Y343" s="17"/>
      <c r="Z343" s="17"/>
    </row>
    <row r="344">
      <c r="A344" s="18" t="str">
        <f>IFERROR(__xludf.DUMMYFUNCTION("""COMPUTED_VALUE"""),"ord_10335")</f>
        <v>ord_10335</v>
      </c>
      <c r="B344" s="18" t="str">
        <f>IFERROR(__xludf.DUMMYFUNCTION("""COMPUTED_VALUE"""),"Mehul Thakkar")</f>
        <v>Mehul Thakkar</v>
      </c>
      <c r="C344" s="18" t="str">
        <f>IFERROR(__xludf.DUMMYFUNCTION("""COMPUTED_VALUE"""),"Malad")</f>
        <v>Malad</v>
      </c>
      <c r="D344" s="18" t="str">
        <f>IFERROR(__xludf.DUMMYFUNCTION("""COMPUTED_VALUE"""),"Potato")</f>
        <v>Potato</v>
      </c>
      <c r="E344" s="18">
        <f>IFERROR(__xludf.DUMMYFUNCTION("""COMPUTED_VALUE"""),2.0)</f>
        <v>2</v>
      </c>
      <c r="F344" s="18" t="str">
        <f>IFERROR(__xludf.DUMMYFUNCTION("""COMPUTED_VALUE"""),"Venu R")</f>
        <v>Venu R</v>
      </c>
      <c r="G344" s="19">
        <f>IFERROR(__xludf.DUMMYFUNCTION("""COMPUTED_VALUE"""),45072.0)</f>
        <v>45072</v>
      </c>
      <c r="H344" s="18" t="str">
        <f>IFERROR(__xludf.DUMMYFUNCTION("""COMPUTED_VALUE"""),"UPI")</f>
        <v>UPI</v>
      </c>
      <c r="I344" s="18" t="str">
        <f>IFERROR(__xludf.DUMMYFUNCTION("""COMPUTED_VALUE"""),"Delivered")</f>
        <v>Delivered</v>
      </c>
      <c r="J344" s="18" t="str">
        <f>IFERROR(__xludf.DUMMYFUNCTION("""COMPUTED_VALUE"""),"On-time Delivery")</f>
        <v>On-time Delivery</v>
      </c>
      <c r="K344" s="18" t="str">
        <f>IFERROR(__xludf.DUMMYFUNCTION("""COMPUTED_VALUE"""),"Delivered on time")</f>
        <v>Delivered on time</v>
      </c>
      <c r="L344" s="18">
        <f>iferror(VLOOKUP($D344,Details!$A$2:$C$11,2,false),vlookup($D344,Details!$E$2:$G$11,2,false))</f>
        <v>55</v>
      </c>
      <c r="M344" s="18" t="str">
        <f>iferror(VLOOKUP($D344,Details!$A$2:$C$11,3,false),vlookup($D344,Details!$E$2:$G$11,3,false))</f>
        <v>Fruits and Vegetables</v>
      </c>
      <c r="N344" s="18">
        <f t="shared" si="1"/>
        <v>110</v>
      </c>
      <c r="O344" s="17"/>
      <c r="P344" s="17"/>
      <c r="Q344" s="17"/>
      <c r="R344" s="17"/>
      <c r="S344" s="17"/>
      <c r="T344" s="17"/>
      <c r="U344" s="17"/>
      <c r="V344" s="17"/>
      <c r="W344" s="17"/>
      <c r="X344" s="17"/>
      <c r="Y344" s="17"/>
      <c r="Z344" s="17"/>
    </row>
    <row r="345">
      <c r="A345" s="18" t="str">
        <f>IFERROR(__xludf.DUMMYFUNCTION("""COMPUTED_VALUE"""),"ord_10336")</f>
        <v>ord_10336</v>
      </c>
      <c r="B345" s="18" t="str">
        <f>IFERROR(__xludf.DUMMYFUNCTION("""COMPUTED_VALUE"""),"Sakshi Tandon")</f>
        <v>Sakshi Tandon</v>
      </c>
      <c r="C345" s="18" t="str">
        <f>IFERROR(__xludf.DUMMYFUNCTION("""COMPUTED_VALUE"""),"Colaba")</f>
        <v>Colaba</v>
      </c>
      <c r="D345" s="18" t="str">
        <f>IFERROR(__xludf.DUMMYFUNCTION("""COMPUTED_VALUE"""),"Veg Puff")</f>
        <v>Veg Puff</v>
      </c>
      <c r="E345" s="18">
        <f>IFERROR(__xludf.DUMMYFUNCTION("""COMPUTED_VALUE"""),1.0)</f>
        <v>1</v>
      </c>
      <c r="F345" s="18" t="str">
        <f>IFERROR(__xludf.DUMMYFUNCTION("""COMPUTED_VALUE"""),"Rohan Yadav")</f>
        <v>Rohan Yadav</v>
      </c>
      <c r="G345" s="19">
        <f>IFERROR(__xludf.DUMMYFUNCTION("""COMPUTED_VALUE"""),45137.0)</f>
        <v>45137</v>
      </c>
      <c r="H345" s="18" t="str">
        <f>IFERROR(__xludf.DUMMYFUNCTION("""COMPUTED_VALUE"""),"Online Payment")</f>
        <v>Online Payment</v>
      </c>
      <c r="I345" s="18" t="str">
        <f>IFERROR(__xludf.DUMMYFUNCTION("""COMPUTED_VALUE"""),"Cancelled")</f>
        <v>Cancelled</v>
      </c>
      <c r="J345" s="18" t="str">
        <f>IFERROR(__xludf.DUMMYFUNCTION("""COMPUTED_VALUE"""),"Delayed Delivery")</f>
        <v>Delayed Delivery</v>
      </c>
      <c r="K345" s="18" t="str">
        <f>IFERROR(__xludf.DUMMYFUNCTION("""COMPUTED_VALUE"""),"Heavy Traffic")</f>
        <v>Heavy Traffic</v>
      </c>
      <c r="L345" s="18">
        <f>iferror(VLOOKUP($D345,Details!$A$2:$C$11,2,false),vlookup($D345,Details!$E$2:$G$11,2,false))</f>
        <v>80</v>
      </c>
      <c r="M345" s="18" t="str">
        <f>iferror(VLOOKUP($D345,Details!$A$2:$C$11,3,false),vlookup($D345,Details!$E$2:$G$11,3,false))</f>
        <v>Snacks and Drinks</v>
      </c>
      <c r="N345" s="18">
        <f t="shared" si="1"/>
        <v>80</v>
      </c>
      <c r="O345" s="17"/>
      <c r="P345" s="17"/>
      <c r="Q345" s="17"/>
      <c r="R345" s="17"/>
      <c r="S345" s="17"/>
      <c r="T345" s="17"/>
      <c r="U345" s="17"/>
      <c r="V345" s="17"/>
      <c r="W345" s="17"/>
      <c r="X345" s="17"/>
      <c r="Y345" s="17"/>
      <c r="Z345" s="17"/>
    </row>
    <row r="346">
      <c r="A346" s="18" t="str">
        <f>IFERROR(__xludf.DUMMYFUNCTION("""COMPUTED_VALUE"""),"ord_10337")</f>
        <v>ord_10337</v>
      </c>
      <c r="B346" s="18" t="str">
        <f>IFERROR(__xludf.DUMMYFUNCTION("""COMPUTED_VALUE"""),"Mehul Thakkar")</f>
        <v>Mehul Thakkar</v>
      </c>
      <c r="C346" s="18" t="str">
        <f>IFERROR(__xludf.DUMMYFUNCTION("""COMPUTED_VALUE"""),"Malad")</f>
        <v>Malad</v>
      </c>
      <c r="D346" s="18" t="str">
        <f>IFERROR(__xludf.DUMMYFUNCTION("""COMPUTED_VALUE"""),"Orange")</f>
        <v>Orange</v>
      </c>
      <c r="E346" s="18">
        <f>IFERROR(__xludf.DUMMYFUNCTION("""COMPUTED_VALUE"""),2.0)</f>
        <v>2</v>
      </c>
      <c r="F346" s="18" t="str">
        <f>IFERROR(__xludf.DUMMYFUNCTION("""COMPUTED_VALUE"""),"Nithin Lal")</f>
        <v>Nithin Lal</v>
      </c>
      <c r="G346" s="19">
        <f>IFERROR(__xludf.DUMMYFUNCTION("""COMPUTED_VALUE"""),45223.0)</f>
        <v>45223</v>
      </c>
      <c r="H346" s="18" t="str">
        <f>IFERROR(__xludf.DUMMYFUNCTION("""COMPUTED_VALUE"""),"COD")</f>
        <v>COD</v>
      </c>
      <c r="I346" s="18" t="str">
        <f>IFERROR(__xludf.DUMMYFUNCTION("""COMPUTED_VALUE"""),"Delivered")</f>
        <v>Delivered</v>
      </c>
      <c r="J346" s="18" t="str">
        <f>IFERROR(__xludf.DUMMYFUNCTION("""COMPUTED_VALUE"""),"Quality of Items")</f>
        <v>Quality of Items</v>
      </c>
      <c r="K346" s="18" t="str">
        <f>IFERROR(__xludf.DUMMYFUNCTION("""COMPUTED_VALUE"""),"Perfect condition")</f>
        <v>Perfect condition</v>
      </c>
      <c r="L346" s="18">
        <f>iferror(VLOOKUP($D346,Details!$A$2:$C$11,2,false),vlookup($D346,Details!$E$2:$G$11,2,false))</f>
        <v>180</v>
      </c>
      <c r="M346" s="18" t="str">
        <f>iferror(VLOOKUP($D346,Details!$A$2:$C$11,3,false),vlookup($D346,Details!$E$2:$G$11,3,false))</f>
        <v>Fruits and Vegetables</v>
      </c>
      <c r="N346" s="18">
        <f t="shared" si="1"/>
        <v>360</v>
      </c>
      <c r="O346" s="17"/>
      <c r="P346" s="17"/>
      <c r="Q346" s="17"/>
      <c r="R346" s="17"/>
      <c r="S346" s="17"/>
      <c r="T346" s="17"/>
      <c r="U346" s="17"/>
      <c r="V346" s="17"/>
      <c r="W346" s="17"/>
      <c r="X346" s="17"/>
      <c r="Y346" s="17"/>
      <c r="Z346" s="17"/>
    </row>
    <row r="347">
      <c r="A347" s="18" t="str">
        <f>IFERROR(__xludf.DUMMYFUNCTION("""COMPUTED_VALUE"""),"ord_10338")</f>
        <v>ord_10338</v>
      </c>
      <c r="B347" s="18" t="str">
        <f>IFERROR(__xludf.DUMMYFUNCTION("""COMPUTED_VALUE"""),"Diya Arora")</f>
        <v>Diya Arora</v>
      </c>
      <c r="C347" s="18" t="str">
        <f>IFERROR(__xludf.DUMMYFUNCTION("""COMPUTED_VALUE"""),"Lower Parel")</f>
        <v>Lower Parel</v>
      </c>
      <c r="D347" s="18" t="str">
        <f>IFERROR(__xludf.DUMMYFUNCTION("""COMPUTED_VALUE"""),"Papaya")</f>
        <v>Papaya</v>
      </c>
      <c r="E347" s="18">
        <f>IFERROR(__xludf.DUMMYFUNCTION("""COMPUTED_VALUE"""),1.0)</f>
        <v>1</v>
      </c>
      <c r="F347" s="18" t="str">
        <f>IFERROR(__xludf.DUMMYFUNCTION("""COMPUTED_VALUE"""),"Shine Thomas")</f>
        <v>Shine Thomas</v>
      </c>
      <c r="G347" s="19">
        <f>IFERROR(__xludf.DUMMYFUNCTION("""COMPUTED_VALUE"""),45019.0)</f>
        <v>45019</v>
      </c>
      <c r="H347" s="18" t="str">
        <f>IFERROR(__xludf.DUMMYFUNCTION("""COMPUTED_VALUE"""),"Credit Card")</f>
        <v>Credit Card</v>
      </c>
      <c r="I347" s="18" t="str">
        <f>IFERROR(__xludf.DUMMYFUNCTION("""COMPUTED_VALUE"""),"Cancelled")</f>
        <v>Cancelled</v>
      </c>
      <c r="J347" s="18" t="str">
        <f>IFERROR(__xludf.DUMMYFUNCTION("""COMPUTED_VALUE"""),"Delayed Delivery")</f>
        <v>Delayed Delivery</v>
      </c>
      <c r="K347" s="18" t="str">
        <f>IFERROR(__xludf.DUMMYFUNCTION("""COMPUTED_VALUE"""),"Heavy Traffic")</f>
        <v>Heavy Traffic</v>
      </c>
      <c r="L347" s="18">
        <f>iferror(VLOOKUP($D347,Details!$A$2:$C$11,2,false),vlookup($D347,Details!$E$2:$G$11,2,false))</f>
        <v>75</v>
      </c>
      <c r="M347" s="18" t="str">
        <f>iferror(VLOOKUP($D347,Details!$A$2:$C$11,3,false),vlookup($D347,Details!$E$2:$G$11,3,false))</f>
        <v>Fruits and Vegetables</v>
      </c>
      <c r="N347" s="18">
        <f t="shared" si="1"/>
        <v>75</v>
      </c>
      <c r="O347" s="17"/>
      <c r="P347" s="17"/>
      <c r="Q347" s="17"/>
      <c r="R347" s="17"/>
      <c r="S347" s="17"/>
      <c r="T347" s="17"/>
      <c r="U347" s="17"/>
      <c r="V347" s="17"/>
      <c r="W347" s="17"/>
      <c r="X347" s="17"/>
      <c r="Y347" s="17"/>
      <c r="Z347" s="17"/>
    </row>
    <row r="348">
      <c r="A348" s="18" t="str">
        <f>IFERROR(__xludf.DUMMYFUNCTION("""COMPUTED_VALUE"""),"ord_10339")</f>
        <v>ord_10339</v>
      </c>
      <c r="B348" s="18" t="str">
        <f>IFERROR(__xludf.DUMMYFUNCTION("""COMPUTED_VALUE"""),"Aarohi Kapoor")</f>
        <v>Aarohi Kapoor</v>
      </c>
      <c r="C348" s="18" t="str">
        <f>IFERROR(__xludf.DUMMYFUNCTION("""COMPUTED_VALUE"""),"Bandra")</f>
        <v>Bandra</v>
      </c>
      <c r="D348" s="18" t="str">
        <f>IFERROR(__xludf.DUMMYFUNCTION("""COMPUTED_VALUE"""),"Juice")</f>
        <v>Juice</v>
      </c>
      <c r="E348" s="18">
        <f>IFERROR(__xludf.DUMMYFUNCTION("""COMPUTED_VALUE"""),3.0)</f>
        <v>3</v>
      </c>
      <c r="F348" s="18" t="str">
        <f>IFERROR(__xludf.DUMMYFUNCTION("""COMPUTED_VALUE"""),"Nikhil Deshmukh")</f>
        <v>Nikhil Deshmukh</v>
      </c>
      <c r="G348" s="19">
        <f>IFERROR(__xludf.DUMMYFUNCTION("""COMPUTED_VALUE"""),45029.0)</f>
        <v>45029</v>
      </c>
      <c r="H348" s="18" t="str">
        <f>IFERROR(__xludf.DUMMYFUNCTION("""COMPUTED_VALUE"""),"UPI")</f>
        <v>UPI</v>
      </c>
      <c r="I348" s="18" t="str">
        <f>IFERROR(__xludf.DUMMYFUNCTION("""COMPUTED_VALUE"""),"Cancelled")</f>
        <v>Cancelled</v>
      </c>
      <c r="J348" s="18" t="str">
        <f>IFERROR(__xludf.DUMMYFUNCTION("""COMPUTED_VALUE"""),"Delayed Delivery")</f>
        <v>Delayed Delivery</v>
      </c>
      <c r="K348" s="18" t="str">
        <f>IFERROR(__xludf.DUMMYFUNCTION("""COMPUTED_VALUE"""),"Traffic Accidents or Road Closures")</f>
        <v>Traffic Accidents or Road Closures</v>
      </c>
      <c r="L348" s="18">
        <f>iferror(VLOOKUP($D348,Details!$A$2:$C$11,2,false),vlookup($D348,Details!$E$2:$G$11,2,false))</f>
        <v>90</v>
      </c>
      <c r="M348" s="18" t="str">
        <f>iferror(VLOOKUP($D348,Details!$A$2:$C$11,3,false),vlookup($D348,Details!$E$2:$G$11,3,false))</f>
        <v>Snacks and Drinks</v>
      </c>
      <c r="N348" s="18">
        <f t="shared" si="1"/>
        <v>270</v>
      </c>
      <c r="O348" s="17"/>
      <c r="P348" s="17"/>
      <c r="Q348" s="17"/>
      <c r="R348" s="17"/>
      <c r="S348" s="17"/>
      <c r="T348" s="17"/>
      <c r="U348" s="17"/>
      <c r="V348" s="17"/>
      <c r="W348" s="17"/>
      <c r="X348" s="17"/>
      <c r="Y348" s="17"/>
      <c r="Z348" s="17"/>
    </row>
    <row r="349">
      <c r="A349" s="18" t="str">
        <f>IFERROR(__xludf.DUMMYFUNCTION("""COMPUTED_VALUE"""),"ord_10340")</f>
        <v>ord_10340</v>
      </c>
      <c r="B349" s="18" t="str">
        <f>IFERROR(__xludf.DUMMYFUNCTION("""COMPUTED_VALUE"""),"Siya Reddy")</f>
        <v>Siya Reddy</v>
      </c>
      <c r="C349" s="18" t="str">
        <f>IFERROR(__xludf.DUMMYFUNCTION("""COMPUTED_VALUE"""),"Juhu")</f>
        <v>Juhu</v>
      </c>
      <c r="D349" s="18" t="str">
        <f>IFERROR(__xludf.DUMMYFUNCTION("""COMPUTED_VALUE"""),"Onion")</f>
        <v>Onion</v>
      </c>
      <c r="E349" s="18">
        <f>IFERROR(__xludf.DUMMYFUNCTION("""COMPUTED_VALUE"""),1.0)</f>
        <v>1</v>
      </c>
      <c r="F349" s="18" t="str">
        <f>IFERROR(__xludf.DUMMYFUNCTION("""COMPUTED_VALUE"""),"Not Assigned")</f>
        <v>Not Assigned</v>
      </c>
      <c r="G349" s="19">
        <f>IFERROR(__xludf.DUMMYFUNCTION("""COMPUTED_VALUE"""),44966.0)</f>
        <v>44966</v>
      </c>
      <c r="H349" s="18" t="str">
        <f>IFERROR(__xludf.DUMMYFUNCTION("""COMPUTED_VALUE"""),"UPI")</f>
        <v>UPI</v>
      </c>
      <c r="I349" s="18" t="str">
        <f>IFERROR(__xludf.DUMMYFUNCTION("""COMPUTED_VALUE"""),"Cancelled")</f>
        <v>Cancelled</v>
      </c>
      <c r="J349" s="18" t="str">
        <f>IFERROR(__xludf.DUMMYFUNCTION("""COMPUTED_VALUE"""),"High Delivery Fees")</f>
        <v>High Delivery Fees</v>
      </c>
      <c r="K349" s="18"/>
      <c r="L349" s="18">
        <f>iferror(VLOOKUP($D349,Details!$A$2:$C$11,2,false),vlookup($D349,Details!$E$2:$G$11,2,false))</f>
        <v>84</v>
      </c>
      <c r="M349" s="18" t="str">
        <f>iferror(VLOOKUP($D349,Details!$A$2:$C$11,3,false),vlookup($D349,Details!$E$2:$G$11,3,false))</f>
        <v>Fruits and Vegetables</v>
      </c>
      <c r="N349" s="18">
        <f t="shared" si="1"/>
        <v>84</v>
      </c>
      <c r="O349" s="17"/>
      <c r="P349" s="17"/>
      <c r="Q349" s="17"/>
      <c r="R349" s="17"/>
      <c r="S349" s="17"/>
      <c r="T349" s="17"/>
      <c r="U349" s="17"/>
      <c r="V349" s="17"/>
      <c r="W349" s="17"/>
      <c r="X349" s="17"/>
      <c r="Y349" s="17"/>
      <c r="Z349" s="17"/>
    </row>
    <row r="350">
      <c r="A350" s="18" t="str">
        <f>IFERROR(__xludf.DUMMYFUNCTION("""COMPUTED_VALUE"""),"ord_10341")</f>
        <v>ord_10341</v>
      </c>
      <c r="B350" s="18" t="str">
        <f>IFERROR(__xludf.DUMMYFUNCTION("""COMPUTED_VALUE"""),"Aarav Mehta")</f>
        <v>Aarav Mehta</v>
      </c>
      <c r="C350" s="18" t="str">
        <f>IFERROR(__xludf.DUMMYFUNCTION("""COMPUTED_VALUE"""),"Andheri")</f>
        <v>Andheri</v>
      </c>
      <c r="D350" s="18" t="str">
        <f>IFERROR(__xludf.DUMMYFUNCTION("""COMPUTED_VALUE"""),"Banana")</f>
        <v>Banana</v>
      </c>
      <c r="E350" s="18">
        <f>IFERROR(__xludf.DUMMYFUNCTION("""COMPUTED_VALUE"""),2.0)</f>
        <v>2</v>
      </c>
      <c r="F350" s="18" t="str">
        <f>IFERROR(__xludf.DUMMYFUNCTION("""COMPUTED_VALUE"""),"Not Assigned")</f>
        <v>Not Assigned</v>
      </c>
      <c r="G350" s="19">
        <f>IFERROR(__xludf.DUMMYFUNCTION("""COMPUTED_VALUE"""),45268.0)</f>
        <v>45268</v>
      </c>
      <c r="H350" s="18" t="str">
        <f>IFERROR(__xludf.DUMMYFUNCTION("""COMPUTED_VALUE"""),"Credit Card")</f>
        <v>Credit Card</v>
      </c>
      <c r="I350" s="18" t="str">
        <f>IFERROR(__xludf.DUMMYFUNCTION("""COMPUTED_VALUE"""),"Cancelled")</f>
        <v>Cancelled</v>
      </c>
      <c r="J350" s="18" t="str">
        <f>IFERROR(__xludf.DUMMYFUNCTION("""COMPUTED_VALUE"""),"High Delivery Fees")</f>
        <v>High Delivery Fees</v>
      </c>
      <c r="K350" s="18"/>
      <c r="L350" s="18">
        <f>iferror(VLOOKUP($D350,Details!$A$2:$C$11,2,false),vlookup($D350,Details!$E$2:$G$11,2,false))</f>
        <v>80</v>
      </c>
      <c r="M350" s="18" t="str">
        <f>iferror(VLOOKUP($D350,Details!$A$2:$C$11,3,false),vlookup($D350,Details!$E$2:$G$11,3,false))</f>
        <v>Fruits and Vegetables</v>
      </c>
      <c r="N350" s="18">
        <f t="shared" si="1"/>
        <v>160</v>
      </c>
      <c r="O350" s="17"/>
      <c r="P350" s="17"/>
      <c r="Q350" s="17"/>
      <c r="R350" s="17"/>
      <c r="S350" s="17"/>
      <c r="T350" s="17"/>
      <c r="U350" s="17"/>
      <c r="V350" s="17"/>
      <c r="W350" s="17"/>
      <c r="X350" s="17"/>
      <c r="Y350" s="17"/>
      <c r="Z350" s="17"/>
    </row>
    <row r="351">
      <c r="A351" s="18" t="str">
        <f>IFERROR(__xludf.DUMMYFUNCTION("""COMPUTED_VALUE"""),"ord_10342")</f>
        <v>ord_10342</v>
      </c>
      <c r="B351" s="18" t="str">
        <f>IFERROR(__xludf.DUMMYFUNCTION("""COMPUTED_VALUE"""),"Sakshi Tandon")</f>
        <v>Sakshi Tandon</v>
      </c>
      <c r="C351" s="18" t="str">
        <f>IFERROR(__xludf.DUMMYFUNCTION("""COMPUTED_VALUE"""),"Colaba")</f>
        <v>Colaba</v>
      </c>
      <c r="D351" s="18" t="str">
        <f>IFERROR(__xludf.DUMMYFUNCTION("""COMPUTED_VALUE"""),"Popcorn")</f>
        <v>Popcorn</v>
      </c>
      <c r="E351" s="18">
        <f>IFERROR(__xludf.DUMMYFUNCTION("""COMPUTED_VALUE"""),1.0)</f>
        <v>1</v>
      </c>
      <c r="F351" s="18" t="str">
        <f>IFERROR(__xludf.DUMMYFUNCTION("""COMPUTED_VALUE"""),"Nikhil Deshmukh")</f>
        <v>Nikhil Deshmukh</v>
      </c>
      <c r="G351" s="19">
        <f>IFERROR(__xludf.DUMMYFUNCTION("""COMPUTED_VALUE"""),45121.0)</f>
        <v>45121</v>
      </c>
      <c r="H351" s="18" t="str">
        <f>IFERROR(__xludf.DUMMYFUNCTION("""COMPUTED_VALUE"""),"Online Payment")</f>
        <v>Online Payment</v>
      </c>
      <c r="I351" s="18" t="str">
        <f>IFERROR(__xludf.DUMMYFUNCTION("""COMPUTED_VALUE"""),"Delivered")</f>
        <v>Delivered</v>
      </c>
      <c r="J351" s="18" t="str">
        <f>IFERROR(__xludf.DUMMYFUNCTION("""COMPUTED_VALUE"""),"On-time Delivery")</f>
        <v>On-time Delivery</v>
      </c>
      <c r="K351" s="18" t="str">
        <f>IFERROR(__xludf.DUMMYFUNCTION("""COMPUTED_VALUE"""),"Delivered on time")</f>
        <v>Delivered on time</v>
      </c>
      <c r="L351" s="18">
        <f>iferror(VLOOKUP($D351,Details!$A$2:$C$11,2,false),vlookup($D351,Details!$E$2:$G$11,2,false))</f>
        <v>150</v>
      </c>
      <c r="M351" s="18" t="str">
        <f>iferror(VLOOKUP($D351,Details!$A$2:$C$11,3,false),vlookup($D351,Details!$E$2:$G$11,3,false))</f>
        <v>Snacks and Drinks</v>
      </c>
      <c r="N351" s="18">
        <f t="shared" si="1"/>
        <v>150</v>
      </c>
      <c r="O351" s="17"/>
      <c r="P351" s="17"/>
      <c r="Q351" s="17"/>
      <c r="R351" s="17"/>
      <c r="S351" s="17"/>
      <c r="T351" s="17"/>
      <c r="U351" s="17"/>
      <c r="V351" s="17"/>
      <c r="W351" s="17"/>
      <c r="X351" s="17"/>
      <c r="Y351" s="17"/>
      <c r="Z351" s="17"/>
    </row>
    <row r="352">
      <c r="A352" s="18" t="str">
        <f>IFERROR(__xludf.DUMMYFUNCTION("""COMPUTED_VALUE"""),"ord_10343")</f>
        <v>ord_10343</v>
      </c>
      <c r="B352" s="18" t="str">
        <f>IFERROR(__xludf.DUMMYFUNCTION("""COMPUTED_VALUE"""),"Ishita Banerjee")</f>
        <v>Ishita Banerjee</v>
      </c>
      <c r="C352" s="18" t="str">
        <f>IFERROR(__xludf.DUMMYFUNCTION("""COMPUTED_VALUE"""),"Juhu")</f>
        <v>Juhu</v>
      </c>
      <c r="D352" s="18" t="str">
        <f>IFERROR(__xludf.DUMMYFUNCTION("""COMPUTED_VALUE"""),"Tomato")</f>
        <v>Tomato</v>
      </c>
      <c r="E352" s="18">
        <f>IFERROR(__xludf.DUMMYFUNCTION("""COMPUTED_VALUE"""),1.0)</f>
        <v>1</v>
      </c>
      <c r="F352" s="18" t="str">
        <f>IFERROR(__xludf.DUMMYFUNCTION("""COMPUTED_VALUE"""),"Tanvi Jain")</f>
        <v>Tanvi Jain</v>
      </c>
      <c r="G352" s="19">
        <f>IFERROR(__xludf.DUMMYFUNCTION("""COMPUTED_VALUE"""),44987.0)</f>
        <v>44987</v>
      </c>
      <c r="H352" s="18" t="str">
        <f>IFERROR(__xludf.DUMMYFUNCTION("""COMPUTED_VALUE"""),"COD")</f>
        <v>COD</v>
      </c>
      <c r="I352" s="18" t="str">
        <f>IFERROR(__xludf.DUMMYFUNCTION("""COMPUTED_VALUE"""),"Delivered")</f>
        <v>Delivered</v>
      </c>
      <c r="J352" s="18" t="str">
        <f>IFERROR(__xludf.DUMMYFUNCTION("""COMPUTED_VALUE"""),"Quality of Items")</f>
        <v>Quality of Items</v>
      </c>
      <c r="K352" s="18" t="str">
        <f>IFERROR(__xludf.DUMMYFUNCTION("""COMPUTED_VALUE"""),"Perfect condition")</f>
        <v>Perfect condition</v>
      </c>
      <c r="L352" s="18">
        <f>iferror(VLOOKUP($D352,Details!$A$2:$C$11,2,false),vlookup($D352,Details!$E$2:$G$11,2,false))</f>
        <v>25</v>
      </c>
      <c r="M352" s="18" t="str">
        <f>iferror(VLOOKUP($D352,Details!$A$2:$C$11,3,false),vlookup($D352,Details!$E$2:$G$11,3,false))</f>
        <v>Fruits and Vegetables</v>
      </c>
      <c r="N352" s="18">
        <f t="shared" si="1"/>
        <v>25</v>
      </c>
      <c r="O352" s="17"/>
      <c r="P352" s="17"/>
      <c r="Q352" s="17"/>
      <c r="R352" s="17"/>
      <c r="S352" s="17"/>
      <c r="T352" s="17"/>
      <c r="U352" s="17"/>
      <c r="V352" s="17"/>
      <c r="W352" s="17"/>
      <c r="X352" s="17"/>
      <c r="Y352" s="17"/>
      <c r="Z352" s="17"/>
    </row>
    <row r="353">
      <c r="A353" s="18" t="str">
        <f>IFERROR(__xludf.DUMMYFUNCTION("""COMPUTED_VALUE"""),"ord_10344")</f>
        <v>ord_10344</v>
      </c>
      <c r="B353" s="18" t="str">
        <f>IFERROR(__xludf.DUMMYFUNCTION("""COMPUTED_VALUE"""),"Sakshi Tandon")</f>
        <v>Sakshi Tandon</v>
      </c>
      <c r="C353" s="18" t="str">
        <f>IFERROR(__xludf.DUMMYFUNCTION("""COMPUTED_VALUE"""),"Colaba")</f>
        <v>Colaba</v>
      </c>
      <c r="D353" s="18" t="str">
        <f>IFERROR(__xludf.DUMMYFUNCTION("""COMPUTED_VALUE"""),"Orange")</f>
        <v>Orange</v>
      </c>
      <c r="E353" s="18">
        <f>IFERROR(__xludf.DUMMYFUNCTION("""COMPUTED_VALUE"""),2.0)</f>
        <v>2</v>
      </c>
      <c r="F353" s="18" t="str">
        <f>IFERROR(__xludf.DUMMYFUNCTION("""COMPUTED_VALUE"""),"Nikhil Deshmukh")</f>
        <v>Nikhil Deshmukh</v>
      </c>
      <c r="G353" s="19">
        <f>IFERROR(__xludf.DUMMYFUNCTION("""COMPUTED_VALUE"""),45251.0)</f>
        <v>45251</v>
      </c>
      <c r="H353" s="18" t="str">
        <f>IFERROR(__xludf.DUMMYFUNCTION("""COMPUTED_VALUE"""),"Credit Card")</f>
        <v>Credit Card</v>
      </c>
      <c r="I353" s="18" t="str">
        <f>IFERROR(__xludf.DUMMYFUNCTION("""COMPUTED_VALUE"""),"Delivered")</f>
        <v>Delivered</v>
      </c>
      <c r="J353" s="18" t="str">
        <f>IFERROR(__xludf.DUMMYFUNCTION("""COMPUTED_VALUE"""),"Packaging")</f>
        <v>Packaging</v>
      </c>
      <c r="K353" s="18" t="str">
        <f>IFERROR(__xludf.DUMMYFUNCTION("""COMPUTED_VALUE"""),"Secure and intact")</f>
        <v>Secure and intact</v>
      </c>
      <c r="L353" s="18">
        <f>iferror(VLOOKUP($D353,Details!$A$2:$C$11,2,false),vlookup($D353,Details!$E$2:$G$11,2,false))</f>
        <v>180</v>
      </c>
      <c r="M353" s="18" t="str">
        <f>iferror(VLOOKUP($D353,Details!$A$2:$C$11,3,false),vlookup($D353,Details!$E$2:$G$11,3,false))</f>
        <v>Fruits and Vegetables</v>
      </c>
      <c r="N353" s="18">
        <f t="shared" si="1"/>
        <v>360</v>
      </c>
      <c r="O353" s="17"/>
      <c r="P353" s="17"/>
      <c r="Q353" s="17"/>
      <c r="R353" s="17"/>
      <c r="S353" s="17"/>
      <c r="T353" s="17"/>
      <c r="U353" s="17"/>
      <c r="V353" s="17"/>
      <c r="W353" s="17"/>
      <c r="X353" s="17"/>
      <c r="Y353" s="17"/>
      <c r="Z353" s="17"/>
    </row>
    <row r="354">
      <c r="A354" s="18" t="str">
        <f>IFERROR(__xludf.DUMMYFUNCTION("""COMPUTED_VALUE"""),"ord_10345")</f>
        <v>ord_10345</v>
      </c>
      <c r="B354" s="18" t="str">
        <f>IFERROR(__xludf.DUMMYFUNCTION("""COMPUTED_VALUE"""),"Kritika Shetty")</f>
        <v>Kritika Shetty</v>
      </c>
      <c r="C354" s="18" t="str">
        <f>IFERROR(__xludf.DUMMYFUNCTION("""COMPUTED_VALUE"""),"Malad")</f>
        <v>Malad</v>
      </c>
      <c r="D354" s="18" t="str">
        <f>IFERROR(__xludf.DUMMYFUNCTION("""COMPUTED_VALUE"""),"Juice")</f>
        <v>Juice</v>
      </c>
      <c r="E354" s="18">
        <f>IFERROR(__xludf.DUMMYFUNCTION("""COMPUTED_VALUE"""),4.0)</f>
        <v>4</v>
      </c>
      <c r="F354" s="18" t="str">
        <f>IFERROR(__xludf.DUMMYFUNCTION("""COMPUTED_VALUE"""),"Nithin Lal")</f>
        <v>Nithin Lal</v>
      </c>
      <c r="G354" s="19">
        <f>IFERROR(__xludf.DUMMYFUNCTION("""COMPUTED_VALUE"""),44933.0)</f>
        <v>44933</v>
      </c>
      <c r="H354" s="18" t="str">
        <f>IFERROR(__xludf.DUMMYFUNCTION("""COMPUTED_VALUE"""),"Online Payment")</f>
        <v>Online Payment</v>
      </c>
      <c r="I354" s="18" t="str">
        <f>IFERROR(__xludf.DUMMYFUNCTION("""COMPUTED_VALUE"""),"Cancelled")</f>
        <v>Cancelled</v>
      </c>
      <c r="J354" s="18" t="str">
        <f>IFERROR(__xludf.DUMMYFUNCTION("""COMPUTED_VALUE"""),"Delayed Delivery")</f>
        <v>Delayed Delivery</v>
      </c>
      <c r="K354" s="18" t="str">
        <f>IFERROR(__xludf.DUMMYFUNCTION("""COMPUTED_VALUE"""),"Heavy Traffic")</f>
        <v>Heavy Traffic</v>
      </c>
      <c r="L354" s="18">
        <f>iferror(VLOOKUP($D354,Details!$A$2:$C$11,2,false),vlookup($D354,Details!$E$2:$G$11,2,false))</f>
        <v>90</v>
      </c>
      <c r="M354" s="18" t="str">
        <f>iferror(VLOOKUP($D354,Details!$A$2:$C$11,3,false),vlookup($D354,Details!$E$2:$G$11,3,false))</f>
        <v>Snacks and Drinks</v>
      </c>
      <c r="N354" s="18">
        <f t="shared" si="1"/>
        <v>360</v>
      </c>
      <c r="O354" s="17"/>
      <c r="P354" s="17"/>
      <c r="Q354" s="17"/>
      <c r="R354" s="17"/>
      <c r="S354" s="17"/>
      <c r="T354" s="17"/>
      <c r="U354" s="17"/>
      <c r="V354" s="17"/>
      <c r="W354" s="17"/>
      <c r="X354" s="17"/>
      <c r="Y354" s="17"/>
      <c r="Z354" s="17"/>
    </row>
    <row r="355">
      <c r="A355" s="18" t="str">
        <f>IFERROR(__xludf.DUMMYFUNCTION("""COMPUTED_VALUE"""),"ord_10346")</f>
        <v>ord_10346</v>
      </c>
      <c r="B355" s="18" t="str">
        <f>IFERROR(__xludf.DUMMYFUNCTION("""COMPUTED_VALUE"""),"Sanjay Nair")</f>
        <v>Sanjay Nair</v>
      </c>
      <c r="C355" s="18" t="str">
        <f>IFERROR(__xludf.DUMMYFUNCTION("""COMPUTED_VALUE"""),"Dadar")</f>
        <v>Dadar</v>
      </c>
      <c r="D355" s="18" t="str">
        <f>IFERROR(__xludf.DUMMYFUNCTION("""COMPUTED_VALUE"""),"Apple")</f>
        <v>Apple</v>
      </c>
      <c r="E355" s="18">
        <f>IFERROR(__xludf.DUMMYFUNCTION("""COMPUTED_VALUE"""),2.0)</f>
        <v>2</v>
      </c>
      <c r="F355" s="18" t="str">
        <f>IFERROR(__xludf.DUMMYFUNCTION("""COMPUTED_VALUE"""),"Aman Kumar")</f>
        <v>Aman Kumar</v>
      </c>
      <c r="G355" s="19">
        <f>IFERROR(__xludf.DUMMYFUNCTION("""COMPUTED_VALUE"""),45228.0)</f>
        <v>45228</v>
      </c>
      <c r="H355" s="18" t="str">
        <f>IFERROR(__xludf.DUMMYFUNCTION("""COMPUTED_VALUE"""),"Credit Card")</f>
        <v>Credit Card</v>
      </c>
      <c r="I355" s="18" t="str">
        <f>IFERROR(__xludf.DUMMYFUNCTION("""COMPUTED_VALUE"""),"Delivered")</f>
        <v>Delivered</v>
      </c>
      <c r="J355" s="18" t="str">
        <f>IFERROR(__xludf.DUMMYFUNCTION("""COMPUTED_VALUE"""),"Satisfied with the Delivery")</f>
        <v>Satisfied with the Delivery</v>
      </c>
      <c r="K355" s="18" t="str">
        <f>IFERROR(__xludf.DUMMYFUNCTION("""COMPUTED_VALUE"""),"Timely and quality")</f>
        <v>Timely and quality</v>
      </c>
      <c r="L355" s="18">
        <f>iferror(VLOOKUP($D355,Details!$A$2:$C$11,2,false),vlookup($D355,Details!$E$2:$G$11,2,false))</f>
        <v>230</v>
      </c>
      <c r="M355" s="18" t="str">
        <f>iferror(VLOOKUP($D355,Details!$A$2:$C$11,3,false),vlookup($D355,Details!$E$2:$G$11,3,false))</f>
        <v>Fruits and Vegetables</v>
      </c>
      <c r="N355" s="18">
        <f t="shared" si="1"/>
        <v>460</v>
      </c>
      <c r="O355" s="17"/>
      <c r="P355" s="17"/>
      <c r="Q355" s="17"/>
      <c r="R355" s="17"/>
      <c r="S355" s="17"/>
      <c r="T355" s="17"/>
      <c r="U355" s="17"/>
      <c r="V355" s="17"/>
      <c r="W355" s="17"/>
      <c r="X355" s="17"/>
      <c r="Y355" s="17"/>
      <c r="Z355" s="17"/>
    </row>
    <row r="356">
      <c r="A356" s="18" t="str">
        <f>IFERROR(__xludf.DUMMYFUNCTION("""COMPUTED_VALUE"""),"ord_10347")</f>
        <v>ord_10347</v>
      </c>
      <c r="B356" s="18" t="str">
        <f>IFERROR(__xludf.DUMMYFUNCTION("""COMPUTED_VALUE"""),"Aditi Iyer")</f>
        <v>Aditi Iyer</v>
      </c>
      <c r="C356" s="18" t="str">
        <f>IFERROR(__xludf.DUMMYFUNCTION("""COMPUTED_VALUE"""),"Dadar")</f>
        <v>Dadar</v>
      </c>
      <c r="D356" s="18" t="str">
        <f>IFERROR(__xludf.DUMMYFUNCTION("""COMPUTED_VALUE"""),"Cold Coffee")</f>
        <v>Cold Coffee</v>
      </c>
      <c r="E356" s="18">
        <f>IFERROR(__xludf.DUMMYFUNCTION("""COMPUTED_VALUE"""),4.0)</f>
        <v>4</v>
      </c>
      <c r="F356" s="18" t="str">
        <f>IFERROR(__xludf.DUMMYFUNCTION("""COMPUTED_VALUE"""),"Aman Kumar")</f>
        <v>Aman Kumar</v>
      </c>
      <c r="G356" s="19">
        <f>IFERROR(__xludf.DUMMYFUNCTION("""COMPUTED_VALUE"""),45239.0)</f>
        <v>45239</v>
      </c>
      <c r="H356" s="18" t="str">
        <f>IFERROR(__xludf.DUMMYFUNCTION("""COMPUTED_VALUE"""),"Credit Card")</f>
        <v>Credit Card</v>
      </c>
      <c r="I356" s="18" t="str">
        <f>IFERROR(__xludf.DUMMYFUNCTION("""COMPUTED_VALUE"""),"Cancelled")</f>
        <v>Cancelled</v>
      </c>
      <c r="J356" s="18" t="str">
        <f>IFERROR(__xludf.DUMMYFUNCTION("""COMPUTED_VALUE"""),"Delayed Delivery")</f>
        <v>Delayed Delivery</v>
      </c>
      <c r="K356" s="18" t="str">
        <f>IFERROR(__xludf.DUMMYFUNCTION("""COMPUTED_VALUE"""),"Vehicle Breakdown")</f>
        <v>Vehicle Breakdown</v>
      </c>
      <c r="L356" s="18">
        <f>iferror(VLOOKUP($D356,Details!$A$2:$C$11,2,false),vlookup($D356,Details!$E$2:$G$11,2,false))</f>
        <v>270</v>
      </c>
      <c r="M356" s="18" t="str">
        <f>iferror(VLOOKUP($D356,Details!$A$2:$C$11,3,false),vlookup($D356,Details!$E$2:$G$11,3,false))</f>
        <v>Snacks and Drinks</v>
      </c>
      <c r="N356" s="18">
        <f t="shared" si="1"/>
        <v>1080</v>
      </c>
      <c r="O356" s="17"/>
      <c r="P356" s="17"/>
      <c r="Q356" s="17"/>
      <c r="R356" s="17"/>
      <c r="S356" s="17"/>
      <c r="T356" s="17"/>
      <c r="U356" s="17"/>
      <c r="V356" s="17"/>
      <c r="W356" s="17"/>
      <c r="X356" s="17"/>
      <c r="Y356" s="17"/>
      <c r="Z356" s="17"/>
    </row>
    <row r="357">
      <c r="A357" s="18" t="str">
        <f>IFERROR(__xludf.DUMMYFUNCTION("""COMPUTED_VALUE"""),"ord_10348")</f>
        <v>ord_10348</v>
      </c>
      <c r="B357" s="18" t="str">
        <f>IFERROR(__xludf.DUMMYFUNCTION("""COMPUTED_VALUE"""),"Omkar Mishra")</f>
        <v>Omkar Mishra</v>
      </c>
      <c r="C357" s="18" t="str">
        <f>IFERROR(__xludf.DUMMYFUNCTION("""COMPUTED_VALUE"""),"Powai")</f>
        <v>Powai</v>
      </c>
      <c r="D357" s="18" t="str">
        <f>IFERROR(__xludf.DUMMYFUNCTION("""COMPUTED_VALUE"""),"Sweet Corn")</f>
        <v>Sweet Corn</v>
      </c>
      <c r="E357" s="18">
        <f>IFERROR(__xludf.DUMMYFUNCTION("""COMPUTED_VALUE"""),2.0)</f>
        <v>2</v>
      </c>
      <c r="F357" s="18" t="str">
        <f>IFERROR(__xludf.DUMMYFUNCTION("""COMPUTED_VALUE"""),"Sandeep Kumar")</f>
        <v>Sandeep Kumar</v>
      </c>
      <c r="G357" s="19">
        <f>IFERROR(__xludf.DUMMYFUNCTION("""COMPUTED_VALUE"""),45171.0)</f>
        <v>45171</v>
      </c>
      <c r="H357" s="18" t="str">
        <f>IFERROR(__xludf.DUMMYFUNCTION("""COMPUTED_VALUE"""),"Online Payment")</f>
        <v>Online Payment</v>
      </c>
      <c r="I357" s="18" t="str">
        <f>IFERROR(__xludf.DUMMYFUNCTION("""COMPUTED_VALUE"""),"Delivered")</f>
        <v>Delivered</v>
      </c>
      <c r="J357" s="18" t="str">
        <f>IFERROR(__xludf.DUMMYFUNCTION("""COMPUTED_VALUE"""),"Customer Service")</f>
        <v>Customer Service</v>
      </c>
      <c r="K357" s="18" t="str">
        <f>IFERROR(__xludf.DUMMYFUNCTION("""COMPUTED_VALUE"""),"Seamless and easy")</f>
        <v>Seamless and easy</v>
      </c>
      <c r="L357" s="18">
        <f>iferror(VLOOKUP($D357,Details!$A$2:$C$11,2,false),vlookup($D357,Details!$E$2:$G$11,2,false))</f>
        <v>60</v>
      </c>
      <c r="M357" s="18" t="str">
        <f>iferror(VLOOKUP($D357,Details!$A$2:$C$11,3,false),vlookup($D357,Details!$E$2:$G$11,3,false))</f>
        <v>Fruits and Vegetables</v>
      </c>
      <c r="N357" s="18">
        <f t="shared" si="1"/>
        <v>120</v>
      </c>
      <c r="O357" s="17"/>
      <c r="P357" s="17"/>
      <c r="Q357" s="17"/>
      <c r="R357" s="17"/>
      <c r="S357" s="17"/>
      <c r="T357" s="17"/>
      <c r="U357" s="17"/>
      <c r="V357" s="17"/>
      <c r="W357" s="17"/>
      <c r="X357" s="17"/>
      <c r="Y357" s="17"/>
      <c r="Z357" s="17"/>
    </row>
    <row r="358">
      <c r="A358" s="18" t="str">
        <f>IFERROR(__xludf.DUMMYFUNCTION("""COMPUTED_VALUE"""),"ord_10349")</f>
        <v>ord_10349</v>
      </c>
      <c r="B358" s="18" t="str">
        <f>IFERROR(__xludf.DUMMYFUNCTION("""COMPUTED_VALUE"""),"Arvind Kulkarni")</f>
        <v>Arvind Kulkarni</v>
      </c>
      <c r="C358" s="18" t="str">
        <f>IFERROR(__xludf.DUMMYFUNCTION("""COMPUTED_VALUE"""),"Juhu")</f>
        <v>Juhu</v>
      </c>
      <c r="D358" s="18" t="str">
        <f>IFERROR(__xludf.DUMMYFUNCTION("""COMPUTED_VALUE"""),"Potato")</f>
        <v>Potato</v>
      </c>
      <c r="E358" s="18">
        <f>IFERROR(__xludf.DUMMYFUNCTION("""COMPUTED_VALUE"""),2.0)</f>
        <v>2</v>
      </c>
      <c r="F358" s="18" t="str">
        <f>IFERROR(__xludf.DUMMYFUNCTION("""COMPUTED_VALUE"""),"Venu R")</f>
        <v>Venu R</v>
      </c>
      <c r="G358" s="19">
        <f>IFERROR(__xludf.DUMMYFUNCTION("""COMPUTED_VALUE"""),45135.0)</f>
        <v>45135</v>
      </c>
      <c r="H358" s="18" t="str">
        <f>IFERROR(__xludf.DUMMYFUNCTION("""COMPUTED_VALUE"""),"Credit Card")</f>
        <v>Credit Card</v>
      </c>
      <c r="I358" s="18" t="str">
        <f>IFERROR(__xludf.DUMMYFUNCTION("""COMPUTED_VALUE"""),"Delivered")</f>
        <v>Delivered</v>
      </c>
      <c r="J358" s="18" t="str">
        <f>IFERROR(__xludf.DUMMYFUNCTION("""COMPUTED_VALUE"""),"Delivery Experience")</f>
        <v>Delivery Experience</v>
      </c>
      <c r="K358" s="18" t="str">
        <f>IFERROR(__xludf.DUMMYFUNCTION("""COMPUTED_VALUE"""),"Quick and professional")</f>
        <v>Quick and professional</v>
      </c>
      <c r="L358" s="18">
        <f>iferror(VLOOKUP($D358,Details!$A$2:$C$11,2,false),vlookup($D358,Details!$E$2:$G$11,2,false))</f>
        <v>55</v>
      </c>
      <c r="M358" s="18" t="str">
        <f>iferror(VLOOKUP($D358,Details!$A$2:$C$11,3,false),vlookup($D358,Details!$E$2:$G$11,3,false))</f>
        <v>Fruits and Vegetables</v>
      </c>
      <c r="N358" s="18">
        <f t="shared" si="1"/>
        <v>110</v>
      </c>
      <c r="O358" s="17"/>
      <c r="P358" s="17"/>
      <c r="Q358" s="17"/>
      <c r="R358" s="17"/>
      <c r="S358" s="17"/>
      <c r="T358" s="17"/>
      <c r="U358" s="17"/>
      <c r="V358" s="17"/>
      <c r="W358" s="17"/>
      <c r="X358" s="17"/>
      <c r="Y358" s="17"/>
      <c r="Z358" s="17"/>
    </row>
    <row r="359">
      <c r="A359" s="18" t="str">
        <f>IFERROR(__xludf.DUMMYFUNCTION("""COMPUTED_VALUE"""),"ord_10350")</f>
        <v>ord_10350</v>
      </c>
      <c r="B359" s="18" t="str">
        <f>IFERROR(__xludf.DUMMYFUNCTION("""COMPUTED_VALUE"""),"Pallavi Ghosh")</f>
        <v>Pallavi Ghosh</v>
      </c>
      <c r="C359" s="18" t="str">
        <f>IFERROR(__xludf.DUMMYFUNCTION("""COMPUTED_VALUE"""),"Bandra")</f>
        <v>Bandra</v>
      </c>
      <c r="D359" s="18" t="str">
        <f>IFERROR(__xludf.DUMMYFUNCTION("""COMPUTED_VALUE"""),"Papaya")</f>
        <v>Papaya</v>
      </c>
      <c r="E359" s="18">
        <f>IFERROR(__xludf.DUMMYFUNCTION("""COMPUTED_VALUE"""),1.0)</f>
        <v>1</v>
      </c>
      <c r="F359" s="18" t="str">
        <f>IFERROR(__xludf.DUMMYFUNCTION("""COMPUTED_VALUE"""),"Not Assigned")</f>
        <v>Not Assigned</v>
      </c>
      <c r="G359" s="19">
        <f>IFERROR(__xludf.DUMMYFUNCTION("""COMPUTED_VALUE"""),45210.0)</f>
        <v>45210</v>
      </c>
      <c r="H359" s="18" t="str">
        <f>IFERROR(__xludf.DUMMYFUNCTION("""COMPUTED_VALUE"""),"UPI")</f>
        <v>UPI</v>
      </c>
      <c r="I359" s="18" t="str">
        <f>IFERROR(__xludf.DUMMYFUNCTION("""COMPUTED_VALUE"""),"Cancelled")</f>
        <v>Cancelled</v>
      </c>
      <c r="J359" s="18" t="str">
        <f>IFERROR(__xludf.DUMMYFUNCTION("""COMPUTED_VALUE"""),"Payment Issues")</f>
        <v>Payment Issues</v>
      </c>
      <c r="K359" s="18"/>
      <c r="L359" s="18">
        <f>iferror(VLOOKUP($D359,Details!$A$2:$C$11,2,false),vlookup($D359,Details!$E$2:$G$11,2,false))</f>
        <v>75</v>
      </c>
      <c r="M359" s="18" t="str">
        <f>iferror(VLOOKUP($D359,Details!$A$2:$C$11,3,false),vlookup($D359,Details!$E$2:$G$11,3,false))</f>
        <v>Fruits and Vegetables</v>
      </c>
      <c r="N359" s="18">
        <f t="shared" si="1"/>
        <v>75</v>
      </c>
      <c r="O359" s="17"/>
      <c r="P359" s="17"/>
      <c r="Q359" s="17"/>
      <c r="R359" s="17"/>
      <c r="S359" s="17"/>
      <c r="T359" s="17"/>
      <c r="U359" s="17"/>
      <c r="V359" s="17"/>
      <c r="W359" s="17"/>
      <c r="X359" s="17"/>
      <c r="Y359" s="17"/>
      <c r="Z359" s="17"/>
    </row>
    <row r="360">
      <c r="A360" s="18" t="str">
        <f>IFERROR(__xludf.DUMMYFUNCTION("""COMPUTED_VALUE"""),"ord_10351")</f>
        <v>ord_10351</v>
      </c>
      <c r="B360" s="18" t="str">
        <f>IFERROR(__xludf.DUMMYFUNCTION("""COMPUTED_VALUE"""),"Pallavi Ghosh")</f>
        <v>Pallavi Ghosh</v>
      </c>
      <c r="C360" s="18" t="str">
        <f>IFERROR(__xludf.DUMMYFUNCTION("""COMPUTED_VALUE"""),"Bandra")</f>
        <v>Bandra</v>
      </c>
      <c r="D360" s="18" t="str">
        <f>IFERROR(__xludf.DUMMYFUNCTION("""COMPUTED_VALUE"""),"Tiramisu")</f>
        <v>Tiramisu</v>
      </c>
      <c r="E360" s="18">
        <f>IFERROR(__xludf.DUMMYFUNCTION("""COMPUTED_VALUE"""),1.0)</f>
        <v>1</v>
      </c>
      <c r="F360" s="18" t="str">
        <f>IFERROR(__xludf.DUMMYFUNCTION("""COMPUTED_VALUE"""),"Vivek Kumar")</f>
        <v>Vivek Kumar</v>
      </c>
      <c r="G360" s="19">
        <f>IFERROR(__xludf.DUMMYFUNCTION("""COMPUTED_VALUE"""),44949.0)</f>
        <v>44949</v>
      </c>
      <c r="H360" s="18" t="str">
        <f>IFERROR(__xludf.DUMMYFUNCTION("""COMPUTED_VALUE"""),"COD")</f>
        <v>COD</v>
      </c>
      <c r="I360" s="18" t="str">
        <f>IFERROR(__xludf.DUMMYFUNCTION("""COMPUTED_VALUE"""),"Delivered")</f>
        <v>Delivered</v>
      </c>
      <c r="J360" s="18" t="str">
        <f>IFERROR(__xludf.DUMMYFUNCTION("""COMPUTED_VALUE"""),"Convenience")</f>
        <v>Convenience</v>
      </c>
      <c r="K360" s="18" t="str">
        <f>IFERROR(__xludf.DUMMYFUNCTION("""COMPUTED_VALUE"""),"Easy tracking")</f>
        <v>Easy tracking</v>
      </c>
      <c r="L360" s="18">
        <f>iferror(VLOOKUP($D360,Details!$A$2:$C$11,2,false),vlookup($D360,Details!$E$2:$G$11,2,false))</f>
        <v>150</v>
      </c>
      <c r="M360" s="18" t="str">
        <f>iferror(VLOOKUP($D360,Details!$A$2:$C$11,3,false),vlookup($D360,Details!$E$2:$G$11,3,false))</f>
        <v>Snacks and Drinks</v>
      </c>
      <c r="N360" s="18">
        <f t="shared" si="1"/>
        <v>150</v>
      </c>
      <c r="O360" s="17"/>
      <c r="P360" s="17"/>
      <c r="Q360" s="17"/>
      <c r="R360" s="17"/>
      <c r="S360" s="17"/>
      <c r="T360" s="17"/>
      <c r="U360" s="17"/>
      <c r="V360" s="17"/>
      <c r="W360" s="17"/>
      <c r="X360" s="17"/>
      <c r="Y360" s="17"/>
      <c r="Z360" s="17"/>
    </row>
    <row r="361">
      <c r="A361" s="18" t="str">
        <f>IFERROR(__xludf.DUMMYFUNCTION("""COMPUTED_VALUE"""),"ord_10352")</f>
        <v>ord_10352</v>
      </c>
      <c r="B361" s="18" t="str">
        <f>IFERROR(__xludf.DUMMYFUNCTION("""COMPUTED_VALUE"""),"Sanjay Nair")</f>
        <v>Sanjay Nair</v>
      </c>
      <c r="C361" s="18" t="str">
        <f>IFERROR(__xludf.DUMMYFUNCTION("""COMPUTED_VALUE"""),"Dadar")</f>
        <v>Dadar</v>
      </c>
      <c r="D361" s="18" t="str">
        <f>IFERROR(__xludf.DUMMYFUNCTION("""COMPUTED_VALUE"""),"Cucumber")</f>
        <v>Cucumber</v>
      </c>
      <c r="E361" s="18">
        <f>IFERROR(__xludf.DUMMYFUNCTION("""COMPUTED_VALUE"""),1.0)</f>
        <v>1</v>
      </c>
      <c r="F361" s="18" t="str">
        <f>IFERROR(__xludf.DUMMYFUNCTION("""COMPUTED_VALUE"""),"Vivek Kumar")</f>
        <v>Vivek Kumar</v>
      </c>
      <c r="G361" s="19">
        <f>IFERROR(__xludf.DUMMYFUNCTION("""COMPUTED_VALUE"""),45062.0)</f>
        <v>45062</v>
      </c>
      <c r="H361" s="18" t="str">
        <f>IFERROR(__xludf.DUMMYFUNCTION("""COMPUTED_VALUE"""),"Credit Card")</f>
        <v>Credit Card</v>
      </c>
      <c r="I361" s="18" t="str">
        <f>IFERROR(__xludf.DUMMYFUNCTION("""COMPUTED_VALUE"""),"Delivered")</f>
        <v>Delivered</v>
      </c>
      <c r="J361" s="18" t="str">
        <f>IFERROR(__xludf.DUMMYFUNCTION("""COMPUTED_VALUE"""),"Overall Satisfaction")</f>
        <v>Overall Satisfaction</v>
      </c>
      <c r="K361" s="18" t="str">
        <f>IFERROR(__xludf.DUMMYFUNCTION("""COMPUTED_VALUE"""),"Great service will order again")</f>
        <v>Great service will order again</v>
      </c>
      <c r="L361" s="18">
        <f>iferror(VLOOKUP($D361,Details!$A$2:$C$11,2,false),vlookup($D361,Details!$E$2:$G$11,2,false))</f>
        <v>30</v>
      </c>
      <c r="M361" s="18" t="str">
        <f>iferror(VLOOKUP($D361,Details!$A$2:$C$11,3,false),vlookup($D361,Details!$E$2:$G$11,3,false))</f>
        <v>Fruits and Vegetables</v>
      </c>
      <c r="N361" s="18">
        <f t="shared" si="1"/>
        <v>30</v>
      </c>
      <c r="O361" s="17"/>
      <c r="P361" s="17"/>
      <c r="Q361" s="17"/>
      <c r="R361" s="17"/>
      <c r="S361" s="17"/>
      <c r="T361" s="17"/>
      <c r="U361" s="17"/>
      <c r="V361" s="17"/>
      <c r="W361" s="17"/>
      <c r="X361" s="17"/>
      <c r="Y361" s="17"/>
      <c r="Z361" s="17"/>
    </row>
    <row r="362">
      <c r="A362" s="18" t="str">
        <f>IFERROR(__xludf.DUMMYFUNCTION("""COMPUTED_VALUE"""),"ord_10353")</f>
        <v>ord_10353</v>
      </c>
      <c r="B362" s="18" t="str">
        <f>IFERROR(__xludf.DUMMYFUNCTION("""COMPUTED_VALUE"""),"Diya Arora")</f>
        <v>Diya Arora</v>
      </c>
      <c r="C362" s="18" t="str">
        <f>IFERROR(__xludf.DUMMYFUNCTION("""COMPUTED_VALUE"""),"Lower Parel")</f>
        <v>Lower Parel</v>
      </c>
      <c r="D362" s="18" t="str">
        <f>IFERROR(__xludf.DUMMYFUNCTION("""COMPUTED_VALUE"""),"Rasmalai")</f>
        <v>Rasmalai</v>
      </c>
      <c r="E362" s="18">
        <f>IFERROR(__xludf.DUMMYFUNCTION("""COMPUTED_VALUE"""),5.0)</f>
        <v>5</v>
      </c>
      <c r="F362" s="18" t="str">
        <f>IFERROR(__xludf.DUMMYFUNCTION("""COMPUTED_VALUE"""),"Manju Ajay")</f>
        <v>Manju Ajay</v>
      </c>
      <c r="G362" s="19">
        <f>IFERROR(__xludf.DUMMYFUNCTION("""COMPUTED_VALUE"""),45232.0)</f>
        <v>45232</v>
      </c>
      <c r="H362" s="18" t="str">
        <f>IFERROR(__xludf.DUMMYFUNCTION("""COMPUTED_VALUE"""),"UPI")</f>
        <v>UPI</v>
      </c>
      <c r="I362" s="18" t="str">
        <f>IFERROR(__xludf.DUMMYFUNCTION("""COMPUTED_VALUE"""),"Delivered")</f>
        <v>Delivered</v>
      </c>
      <c r="J362" s="18" t="str">
        <f>IFERROR(__xludf.DUMMYFUNCTION("""COMPUTED_VALUE"""),"On-time Delivery")</f>
        <v>On-time Delivery</v>
      </c>
      <c r="K362" s="18" t="str">
        <f>IFERROR(__xludf.DUMMYFUNCTION("""COMPUTED_VALUE"""),"Delivered on time")</f>
        <v>Delivered on time</v>
      </c>
      <c r="L362" s="18">
        <f>iferror(VLOOKUP($D362,Details!$A$2:$C$11,2,false),vlookup($D362,Details!$E$2:$G$11,2,false))</f>
        <v>110</v>
      </c>
      <c r="M362" s="18" t="str">
        <f>iferror(VLOOKUP($D362,Details!$A$2:$C$11,3,false),vlookup($D362,Details!$E$2:$G$11,3,false))</f>
        <v>Snacks and Drinks</v>
      </c>
      <c r="N362" s="18">
        <f t="shared" si="1"/>
        <v>550</v>
      </c>
      <c r="O362" s="17"/>
      <c r="P362" s="17"/>
      <c r="Q362" s="17"/>
      <c r="R362" s="17"/>
      <c r="S362" s="17"/>
      <c r="T362" s="17"/>
      <c r="U362" s="17"/>
      <c r="V362" s="17"/>
      <c r="W362" s="17"/>
      <c r="X362" s="17"/>
      <c r="Y362" s="17"/>
      <c r="Z362" s="17"/>
    </row>
    <row r="363">
      <c r="A363" s="18" t="str">
        <f>IFERROR(__xludf.DUMMYFUNCTION("""COMPUTED_VALUE"""),"ord_10354")</f>
        <v>ord_10354</v>
      </c>
      <c r="B363" s="18" t="str">
        <f>IFERROR(__xludf.DUMMYFUNCTION("""COMPUTED_VALUE"""),"Mehul Thakkar")</f>
        <v>Mehul Thakkar</v>
      </c>
      <c r="C363" s="18" t="str">
        <f>IFERROR(__xludf.DUMMYFUNCTION("""COMPUTED_VALUE"""),"Malad")</f>
        <v>Malad</v>
      </c>
      <c r="D363" s="18" t="str">
        <f>IFERROR(__xludf.DUMMYFUNCTION("""COMPUTED_VALUE"""),"Tomato")</f>
        <v>Tomato</v>
      </c>
      <c r="E363" s="18">
        <f>IFERROR(__xludf.DUMMYFUNCTION("""COMPUTED_VALUE"""),1.0)</f>
        <v>1</v>
      </c>
      <c r="F363" s="18" t="str">
        <f>IFERROR(__xludf.DUMMYFUNCTION("""COMPUTED_VALUE"""),"Ram Gopal")</f>
        <v>Ram Gopal</v>
      </c>
      <c r="G363" s="19">
        <f>IFERROR(__xludf.DUMMYFUNCTION("""COMPUTED_VALUE"""),45137.0)</f>
        <v>45137</v>
      </c>
      <c r="H363" s="18" t="str">
        <f>IFERROR(__xludf.DUMMYFUNCTION("""COMPUTED_VALUE"""),"Credit Card")</f>
        <v>Credit Card</v>
      </c>
      <c r="I363" s="18" t="str">
        <f>IFERROR(__xludf.DUMMYFUNCTION("""COMPUTED_VALUE"""),"Cancelled")</f>
        <v>Cancelled</v>
      </c>
      <c r="J363" s="18" t="str">
        <f>IFERROR(__xludf.DUMMYFUNCTION("""COMPUTED_VALUE"""),"Delayed Delivery")</f>
        <v>Delayed Delivery</v>
      </c>
      <c r="K363" s="18" t="str">
        <f>IFERROR(__xludf.DUMMYFUNCTION("""COMPUTED_VALUE"""),"Heavy Traffic")</f>
        <v>Heavy Traffic</v>
      </c>
      <c r="L363" s="18">
        <f>iferror(VLOOKUP($D363,Details!$A$2:$C$11,2,false),vlookup($D363,Details!$E$2:$G$11,2,false))</f>
        <v>25</v>
      </c>
      <c r="M363" s="18" t="str">
        <f>iferror(VLOOKUP($D363,Details!$A$2:$C$11,3,false),vlookup($D363,Details!$E$2:$G$11,3,false))</f>
        <v>Fruits and Vegetables</v>
      </c>
      <c r="N363" s="18">
        <f t="shared" si="1"/>
        <v>25</v>
      </c>
      <c r="O363" s="17"/>
      <c r="P363" s="17"/>
      <c r="Q363" s="17"/>
      <c r="R363" s="17"/>
      <c r="S363" s="17"/>
      <c r="T363" s="17"/>
      <c r="U363" s="17"/>
      <c r="V363" s="17"/>
      <c r="W363" s="17"/>
      <c r="X363" s="17"/>
      <c r="Y363" s="17"/>
      <c r="Z363" s="17"/>
    </row>
    <row r="364">
      <c r="A364" s="18" t="str">
        <f>IFERROR(__xludf.DUMMYFUNCTION("""COMPUTED_VALUE"""),"ord_10355")</f>
        <v>ord_10355</v>
      </c>
      <c r="B364" s="18" t="str">
        <f>IFERROR(__xludf.DUMMYFUNCTION("""COMPUTED_VALUE"""),"Simran Bhatt")</f>
        <v>Simran Bhatt</v>
      </c>
      <c r="C364" s="18" t="str">
        <f>IFERROR(__xludf.DUMMYFUNCTION("""COMPUTED_VALUE"""),"Juhu")</f>
        <v>Juhu</v>
      </c>
      <c r="D364" s="18" t="str">
        <f>IFERROR(__xludf.DUMMYFUNCTION("""COMPUTED_VALUE"""),"Banana")</f>
        <v>Banana</v>
      </c>
      <c r="E364" s="18">
        <f>IFERROR(__xludf.DUMMYFUNCTION("""COMPUTED_VALUE"""),2.0)</f>
        <v>2</v>
      </c>
      <c r="F364" s="18" t="str">
        <f>IFERROR(__xludf.DUMMYFUNCTION("""COMPUTED_VALUE"""),"Shine Thomas")</f>
        <v>Shine Thomas</v>
      </c>
      <c r="G364" s="19">
        <f>IFERROR(__xludf.DUMMYFUNCTION("""COMPUTED_VALUE"""),45043.0)</f>
        <v>45043</v>
      </c>
      <c r="H364" s="18" t="str">
        <f>IFERROR(__xludf.DUMMYFUNCTION("""COMPUTED_VALUE"""),"UPI")</f>
        <v>UPI</v>
      </c>
      <c r="I364" s="18" t="str">
        <f>IFERROR(__xludf.DUMMYFUNCTION("""COMPUTED_VALUE"""),"Delivered")</f>
        <v>Delivered</v>
      </c>
      <c r="J364" s="18" t="str">
        <f>IFERROR(__xludf.DUMMYFUNCTION("""COMPUTED_VALUE"""),"Quality of Items")</f>
        <v>Quality of Items</v>
      </c>
      <c r="K364" s="18" t="str">
        <f>IFERROR(__xludf.DUMMYFUNCTION("""COMPUTED_VALUE"""),"Perfect condition")</f>
        <v>Perfect condition</v>
      </c>
      <c r="L364" s="18">
        <f>iferror(VLOOKUP($D364,Details!$A$2:$C$11,2,false),vlookup($D364,Details!$E$2:$G$11,2,false))</f>
        <v>80</v>
      </c>
      <c r="M364" s="18" t="str">
        <f>iferror(VLOOKUP($D364,Details!$A$2:$C$11,3,false),vlookup($D364,Details!$E$2:$G$11,3,false))</f>
        <v>Fruits and Vegetables</v>
      </c>
      <c r="N364" s="18">
        <f t="shared" si="1"/>
        <v>160</v>
      </c>
      <c r="O364" s="17"/>
      <c r="P364" s="17"/>
      <c r="Q364" s="17"/>
      <c r="R364" s="17"/>
      <c r="S364" s="17"/>
      <c r="T364" s="17"/>
      <c r="U364" s="17"/>
      <c r="V364" s="17"/>
      <c r="W364" s="17"/>
      <c r="X364" s="17"/>
      <c r="Y364" s="17"/>
      <c r="Z364" s="17"/>
    </row>
    <row r="365">
      <c r="A365" s="18" t="str">
        <f>IFERROR(__xludf.DUMMYFUNCTION("""COMPUTED_VALUE"""),"ord_10356")</f>
        <v>ord_10356</v>
      </c>
      <c r="B365" s="18" t="str">
        <f>IFERROR(__xludf.DUMMYFUNCTION("""COMPUTED_VALUE"""),"Arvind Kulkarni")</f>
        <v>Arvind Kulkarni</v>
      </c>
      <c r="C365" s="18" t="str">
        <f>IFERROR(__xludf.DUMMYFUNCTION("""COMPUTED_VALUE"""),"Juhu")</f>
        <v>Juhu</v>
      </c>
      <c r="D365" s="18" t="str">
        <f>IFERROR(__xludf.DUMMYFUNCTION("""COMPUTED_VALUE"""),"Orange")</f>
        <v>Orange</v>
      </c>
      <c r="E365" s="18">
        <f>IFERROR(__xludf.DUMMYFUNCTION("""COMPUTED_VALUE"""),2.0)</f>
        <v>2</v>
      </c>
      <c r="F365" s="18" t="str">
        <f>IFERROR(__xludf.DUMMYFUNCTION("""COMPUTED_VALUE"""),"Ramesh S")</f>
        <v>Ramesh S</v>
      </c>
      <c r="G365" s="19">
        <f>IFERROR(__xludf.DUMMYFUNCTION("""COMPUTED_VALUE"""),45270.0)</f>
        <v>45270</v>
      </c>
      <c r="H365" s="18" t="str">
        <f>IFERROR(__xludf.DUMMYFUNCTION("""COMPUTED_VALUE"""),"COD")</f>
        <v>COD</v>
      </c>
      <c r="I365" s="18" t="str">
        <f>IFERROR(__xludf.DUMMYFUNCTION("""COMPUTED_VALUE"""),"Delivered")</f>
        <v>Delivered</v>
      </c>
      <c r="J365" s="18" t="str">
        <f>IFERROR(__xludf.DUMMYFUNCTION("""COMPUTED_VALUE"""),"On-time Delivery")</f>
        <v>On-time Delivery</v>
      </c>
      <c r="K365" s="18" t="str">
        <f>IFERROR(__xludf.DUMMYFUNCTION("""COMPUTED_VALUE"""),"Delivered on time")</f>
        <v>Delivered on time</v>
      </c>
      <c r="L365" s="18">
        <f>iferror(VLOOKUP($D365,Details!$A$2:$C$11,2,false),vlookup($D365,Details!$E$2:$G$11,2,false))</f>
        <v>180</v>
      </c>
      <c r="M365" s="18" t="str">
        <f>iferror(VLOOKUP($D365,Details!$A$2:$C$11,3,false),vlookup($D365,Details!$E$2:$G$11,3,false))</f>
        <v>Fruits and Vegetables</v>
      </c>
      <c r="N365" s="18">
        <f t="shared" si="1"/>
        <v>360</v>
      </c>
      <c r="O365" s="17"/>
      <c r="P365" s="17"/>
      <c r="Q365" s="17"/>
      <c r="R365" s="17"/>
      <c r="S365" s="17"/>
      <c r="T365" s="17"/>
      <c r="U365" s="17"/>
      <c r="V365" s="17"/>
      <c r="W365" s="17"/>
      <c r="X365" s="17"/>
      <c r="Y365" s="17"/>
      <c r="Z365" s="17"/>
    </row>
    <row r="366">
      <c r="A366" s="18" t="str">
        <f>IFERROR(__xludf.DUMMYFUNCTION("""COMPUTED_VALUE"""),"ord_10357")</f>
        <v>ord_10357</v>
      </c>
      <c r="B366" s="18" t="str">
        <f>IFERROR(__xludf.DUMMYFUNCTION("""COMPUTED_VALUE"""),"Omkar Mishra")</f>
        <v>Omkar Mishra</v>
      </c>
      <c r="C366" s="18" t="str">
        <f>IFERROR(__xludf.DUMMYFUNCTION("""COMPUTED_VALUE"""),"Powai")</f>
        <v>Powai</v>
      </c>
      <c r="D366" s="18" t="str">
        <f>IFERROR(__xludf.DUMMYFUNCTION("""COMPUTED_VALUE"""),"Icecream")</f>
        <v>Icecream</v>
      </c>
      <c r="E366" s="18">
        <f>IFERROR(__xludf.DUMMYFUNCTION("""COMPUTED_VALUE"""),3.0)</f>
        <v>3</v>
      </c>
      <c r="F366" s="18" t="str">
        <f>IFERROR(__xludf.DUMMYFUNCTION("""COMPUTED_VALUE"""),"Ramesh S")</f>
        <v>Ramesh S</v>
      </c>
      <c r="G366" s="19">
        <f>IFERROR(__xludf.DUMMYFUNCTION("""COMPUTED_VALUE"""),45255.0)</f>
        <v>45255</v>
      </c>
      <c r="H366" s="18" t="str">
        <f>IFERROR(__xludf.DUMMYFUNCTION("""COMPUTED_VALUE"""),"Credit Card")</f>
        <v>Credit Card</v>
      </c>
      <c r="I366" s="18" t="str">
        <f>IFERROR(__xludf.DUMMYFUNCTION("""COMPUTED_VALUE"""),"Delivered")</f>
        <v>Delivered</v>
      </c>
      <c r="J366" s="18" t="str">
        <f>IFERROR(__xludf.DUMMYFUNCTION("""COMPUTED_VALUE"""),"Quality of Items")</f>
        <v>Quality of Items</v>
      </c>
      <c r="K366" s="18" t="str">
        <f>IFERROR(__xludf.DUMMYFUNCTION("""COMPUTED_VALUE"""),"Perfect condition")</f>
        <v>Perfect condition</v>
      </c>
      <c r="L366" s="18">
        <f>iferror(VLOOKUP($D366,Details!$A$2:$C$11,2,false),vlookup($D366,Details!$E$2:$G$11,2,false))</f>
        <v>90</v>
      </c>
      <c r="M366" s="18" t="str">
        <f>iferror(VLOOKUP($D366,Details!$A$2:$C$11,3,false),vlookup($D366,Details!$E$2:$G$11,3,false))</f>
        <v>Snacks and Drinks</v>
      </c>
      <c r="N366" s="18">
        <f t="shared" si="1"/>
        <v>270</v>
      </c>
      <c r="O366" s="17"/>
      <c r="P366" s="17"/>
      <c r="Q366" s="17"/>
      <c r="R366" s="17"/>
      <c r="S366" s="17"/>
      <c r="T366" s="17"/>
      <c r="U366" s="17"/>
      <c r="V366" s="17"/>
      <c r="W366" s="17"/>
      <c r="X366" s="17"/>
      <c r="Y366" s="17"/>
      <c r="Z366" s="17"/>
    </row>
    <row r="367">
      <c r="A367" s="18" t="str">
        <f>IFERROR(__xludf.DUMMYFUNCTION("""COMPUTED_VALUE"""),"ord_10358")</f>
        <v>ord_10358</v>
      </c>
      <c r="B367" s="18" t="str">
        <f>IFERROR(__xludf.DUMMYFUNCTION("""COMPUTED_VALUE"""),"Parth Goel")</f>
        <v>Parth Goel</v>
      </c>
      <c r="C367" s="18" t="str">
        <f>IFERROR(__xludf.DUMMYFUNCTION("""COMPUTED_VALUE"""),"Juhu")</f>
        <v>Juhu</v>
      </c>
      <c r="D367" s="18" t="str">
        <f>IFERROR(__xludf.DUMMYFUNCTION("""COMPUTED_VALUE"""),"Popcorn")</f>
        <v>Popcorn</v>
      </c>
      <c r="E367" s="18">
        <f>IFERROR(__xludf.DUMMYFUNCTION("""COMPUTED_VALUE"""),3.0)</f>
        <v>3</v>
      </c>
      <c r="F367" s="18" t="str">
        <f>IFERROR(__xludf.DUMMYFUNCTION("""COMPUTED_VALUE"""),"Tanvi Jain")</f>
        <v>Tanvi Jain</v>
      </c>
      <c r="G367" s="19">
        <f>IFERROR(__xludf.DUMMYFUNCTION("""COMPUTED_VALUE"""),45224.0)</f>
        <v>45224</v>
      </c>
      <c r="H367" s="18" t="str">
        <f>IFERROR(__xludf.DUMMYFUNCTION("""COMPUTED_VALUE"""),"COD")</f>
        <v>COD</v>
      </c>
      <c r="I367" s="18" t="str">
        <f>IFERROR(__xludf.DUMMYFUNCTION("""COMPUTED_VALUE"""),"Delivered")</f>
        <v>Delivered</v>
      </c>
      <c r="J367" s="18" t="str">
        <f>IFERROR(__xludf.DUMMYFUNCTION("""COMPUTED_VALUE"""),"Packaging")</f>
        <v>Packaging</v>
      </c>
      <c r="K367" s="18" t="str">
        <f>IFERROR(__xludf.DUMMYFUNCTION("""COMPUTED_VALUE"""),"Secure and intact")</f>
        <v>Secure and intact</v>
      </c>
      <c r="L367" s="18">
        <f>iferror(VLOOKUP($D367,Details!$A$2:$C$11,2,false),vlookup($D367,Details!$E$2:$G$11,2,false))</f>
        <v>150</v>
      </c>
      <c r="M367" s="18" t="str">
        <f>iferror(VLOOKUP($D367,Details!$A$2:$C$11,3,false),vlookup($D367,Details!$E$2:$G$11,3,false))</f>
        <v>Snacks and Drinks</v>
      </c>
      <c r="N367" s="18">
        <f t="shared" si="1"/>
        <v>450</v>
      </c>
      <c r="O367" s="17"/>
      <c r="P367" s="17"/>
      <c r="Q367" s="17"/>
      <c r="R367" s="17"/>
      <c r="S367" s="17"/>
      <c r="T367" s="17"/>
      <c r="U367" s="17"/>
      <c r="V367" s="17"/>
      <c r="W367" s="17"/>
      <c r="X367" s="17"/>
      <c r="Y367" s="17"/>
      <c r="Z367" s="17"/>
    </row>
    <row r="368">
      <c r="A368" s="18" t="str">
        <f>IFERROR(__xludf.DUMMYFUNCTION("""COMPUTED_VALUE"""),"ord_10359")</f>
        <v>ord_10359</v>
      </c>
      <c r="B368" s="18" t="str">
        <f>IFERROR(__xludf.DUMMYFUNCTION("""COMPUTED_VALUE"""),"Mehul Thakkar")</f>
        <v>Mehul Thakkar</v>
      </c>
      <c r="C368" s="18" t="str">
        <f>IFERROR(__xludf.DUMMYFUNCTION("""COMPUTED_VALUE"""),"Malad")</f>
        <v>Malad</v>
      </c>
      <c r="D368" s="18" t="str">
        <f>IFERROR(__xludf.DUMMYFUNCTION("""COMPUTED_VALUE"""),"Popcorn")</f>
        <v>Popcorn</v>
      </c>
      <c r="E368" s="18">
        <f>IFERROR(__xludf.DUMMYFUNCTION("""COMPUTED_VALUE"""),5.0)</f>
        <v>5</v>
      </c>
      <c r="F368" s="18" t="str">
        <f>IFERROR(__xludf.DUMMYFUNCTION("""COMPUTED_VALUE"""),"Sandeep Kumar")</f>
        <v>Sandeep Kumar</v>
      </c>
      <c r="G368" s="19">
        <f>IFERROR(__xludf.DUMMYFUNCTION("""COMPUTED_VALUE"""),45037.0)</f>
        <v>45037</v>
      </c>
      <c r="H368" s="18" t="str">
        <f>IFERROR(__xludf.DUMMYFUNCTION("""COMPUTED_VALUE"""),"Online Payment")</f>
        <v>Online Payment</v>
      </c>
      <c r="I368" s="18" t="str">
        <f>IFERROR(__xludf.DUMMYFUNCTION("""COMPUTED_VALUE"""),"Cancelled")</f>
        <v>Cancelled</v>
      </c>
      <c r="J368" s="18" t="str">
        <f>IFERROR(__xludf.DUMMYFUNCTION("""COMPUTED_VALUE"""),"Delayed Delivery")</f>
        <v>Delayed Delivery</v>
      </c>
      <c r="K368" s="18" t="str">
        <f>IFERROR(__xludf.DUMMYFUNCTION("""COMPUTED_VALUE"""),"Bad Weather Conditions")</f>
        <v>Bad Weather Conditions</v>
      </c>
      <c r="L368" s="18">
        <f>iferror(VLOOKUP($D368,Details!$A$2:$C$11,2,false),vlookup($D368,Details!$E$2:$G$11,2,false))</f>
        <v>150</v>
      </c>
      <c r="M368" s="18" t="str">
        <f>iferror(VLOOKUP($D368,Details!$A$2:$C$11,3,false),vlookup($D368,Details!$E$2:$G$11,3,false))</f>
        <v>Snacks and Drinks</v>
      </c>
      <c r="N368" s="18">
        <f t="shared" si="1"/>
        <v>750</v>
      </c>
      <c r="O368" s="17"/>
      <c r="P368" s="17"/>
      <c r="Q368" s="17"/>
      <c r="R368" s="17"/>
      <c r="S368" s="17"/>
      <c r="T368" s="17"/>
      <c r="U368" s="17"/>
      <c r="V368" s="17"/>
      <c r="W368" s="17"/>
      <c r="X368" s="17"/>
      <c r="Y368" s="17"/>
      <c r="Z368" s="17"/>
    </row>
    <row r="369">
      <c r="A369" s="18" t="str">
        <f>IFERROR(__xludf.DUMMYFUNCTION("""COMPUTED_VALUE"""),"ord_10360")</f>
        <v>ord_10360</v>
      </c>
      <c r="B369" s="18" t="str">
        <f>IFERROR(__xludf.DUMMYFUNCTION("""COMPUTED_VALUE"""),"Omkar Mishra")</f>
        <v>Omkar Mishra</v>
      </c>
      <c r="C369" s="18" t="str">
        <f>IFERROR(__xludf.DUMMYFUNCTION("""COMPUTED_VALUE"""),"Powai")</f>
        <v>Powai</v>
      </c>
      <c r="D369" s="18" t="str">
        <f>IFERROR(__xludf.DUMMYFUNCTION("""COMPUTED_VALUE"""),"Juice")</f>
        <v>Juice</v>
      </c>
      <c r="E369" s="18">
        <f>IFERROR(__xludf.DUMMYFUNCTION("""COMPUTED_VALUE"""),4.0)</f>
        <v>4</v>
      </c>
      <c r="F369" s="18" t="str">
        <f>IFERROR(__xludf.DUMMYFUNCTION("""COMPUTED_VALUE"""),"Sandeep Kumar")</f>
        <v>Sandeep Kumar</v>
      </c>
      <c r="G369" s="19">
        <f>IFERROR(__xludf.DUMMYFUNCTION("""COMPUTED_VALUE"""),45165.0)</f>
        <v>45165</v>
      </c>
      <c r="H369" s="18" t="str">
        <f>IFERROR(__xludf.DUMMYFUNCTION("""COMPUTED_VALUE"""),"Online Payment")</f>
        <v>Online Payment</v>
      </c>
      <c r="I369" s="18" t="str">
        <f>IFERROR(__xludf.DUMMYFUNCTION("""COMPUTED_VALUE"""),"Delivered")</f>
        <v>Delivered</v>
      </c>
      <c r="J369" s="18" t="str">
        <f>IFERROR(__xludf.DUMMYFUNCTION("""COMPUTED_VALUE"""),"Satisfied with the Delivery")</f>
        <v>Satisfied with the Delivery</v>
      </c>
      <c r="K369" s="18" t="str">
        <f>IFERROR(__xludf.DUMMYFUNCTION("""COMPUTED_VALUE"""),"Timely and quality")</f>
        <v>Timely and quality</v>
      </c>
      <c r="L369" s="18">
        <f>iferror(VLOOKUP($D369,Details!$A$2:$C$11,2,false),vlookup($D369,Details!$E$2:$G$11,2,false))</f>
        <v>90</v>
      </c>
      <c r="M369" s="18" t="str">
        <f>iferror(VLOOKUP($D369,Details!$A$2:$C$11,3,false),vlookup($D369,Details!$E$2:$G$11,3,false))</f>
        <v>Snacks and Drinks</v>
      </c>
      <c r="N369" s="18">
        <f t="shared" si="1"/>
        <v>360</v>
      </c>
      <c r="O369" s="17"/>
      <c r="P369" s="17"/>
      <c r="Q369" s="17"/>
      <c r="R369" s="17"/>
      <c r="S369" s="17"/>
      <c r="T369" s="17"/>
      <c r="U369" s="17"/>
      <c r="V369" s="17"/>
      <c r="W369" s="17"/>
      <c r="X369" s="17"/>
      <c r="Y369" s="17"/>
      <c r="Z369" s="17"/>
    </row>
    <row r="370">
      <c r="A370" s="18" t="str">
        <f>IFERROR(__xludf.DUMMYFUNCTION("""COMPUTED_VALUE"""),"ord_10361")</f>
        <v>ord_10361</v>
      </c>
      <c r="B370" s="18" t="str">
        <f>IFERROR(__xludf.DUMMYFUNCTION("""COMPUTED_VALUE"""),"Aarohi Kapoor")</f>
        <v>Aarohi Kapoor</v>
      </c>
      <c r="C370" s="18" t="str">
        <f>IFERROR(__xludf.DUMMYFUNCTION("""COMPUTED_VALUE"""),"Bandra")</f>
        <v>Bandra</v>
      </c>
      <c r="D370" s="18" t="str">
        <f>IFERROR(__xludf.DUMMYFUNCTION("""COMPUTED_VALUE"""),"Popcorn")</f>
        <v>Popcorn</v>
      </c>
      <c r="E370" s="18">
        <f>IFERROR(__xludf.DUMMYFUNCTION("""COMPUTED_VALUE"""),5.0)</f>
        <v>5</v>
      </c>
      <c r="F370" s="18" t="str">
        <f>IFERROR(__xludf.DUMMYFUNCTION("""COMPUTED_VALUE"""),"Priya Joshi")</f>
        <v>Priya Joshi</v>
      </c>
      <c r="G370" s="19">
        <f>IFERROR(__xludf.DUMMYFUNCTION("""COMPUTED_VALUE"""),45025.0)</f>
        <v>45025</v>
      </c>
      <c r="H370" s="18" t="str">
        <f>IFERROR(__xludf.DUMMYFUNCTION("""COMPUTED_VALUE"""),"Credit Card")</f>
        <v>Credit Card</v>
      </c>
      <c r="I370" s="18" t="str">
        <f>IFERROR(__xludf.DUMMYFUNCTION("""COMPUTED_VALUE"""),"Delivered")</f>
        <v>Delivered</v>
      </c>
      <c r="J370" s="18" t="str">
        <f>IFERROR(__xludf.DUMMYFUNCTION("""COMPUTED_VALUE"""),"Customer Service")</f>
        <v>Customer Service</v>
      </c>
      <c r="K370" s="18" t="str">
        <f>IFERROR(__xludf.DUMMYFUNCTION("""COMPUTED_VALUE"""),"Seamless and easy")</f>
        <v>Seamless and easy</v>
      </c>
      <c r="L370" s="18">
        <f>iferror(VLOOKUP($D370,Details!$A$2:$C$11,2,false),vlookup($D370,Details!$E$2:$G$11,2,false))</f>
        <v>150</v>
      </c>
      <c r="M370" s="18" t="str">
        <f>iferror(VLOOKUP($D370,Details!$A$2:$C$11,3,false),vlookup($D370,Details!$E$2:$G$11,3,false))</f>
        <v>Snacks and Drinks</v>
      </c>
      <c r="N370" s="18">
        <f t="shared" si="1"/>
        <v>750</v>
      </c>
      <c r="O370" s="17"/>
      <c r="P370" s="17"/>
      <c r="Q370" s="17"/>
      <c r="R370" s="17"/>
      <c r="S370" s="17"/>
      <c r="T370" s="17"/>
      <c r="U370" s="17"/>
      <c r="V370" s="17"/>
      <c r="W370" s="17"/>
      <c r="X370" s="17"/>
      <c r="Y370" s="17"/>
      <c r="Z370" s="17"/>
    </row>
    <row r="371">
      <c r="A371" s="18" t="str">
        <f>IFERROR(__xludf.DUMMYFUNCTION("""COMPUTED_VALUE"""),"ord_10362")</f>
        <v>ord_10362</v>
      </c>
      <c r="B371" s="18" t="str">
        <f>IFERROR(__xludf.DUMMYFUNCTION("""COMPUTED_VALUE"""),"Diya Arora")</f>
        <v>Diya Arora</v>
      </c>
      <c r="C371" s="18" t="str">
        <f>IFERROR(__xludf.DUMMYFUNCTION("""COMPUTED_VALUE"""),"Lower Parel")</f>
        <v>Lower Parel</v>
      </c>
      <c r="D371" s="18" t="str">
        <f>IFERROR(__xludf.DUMMYFUNCTION("""COMPUTED_VALUE"""),"Onion")</f>
        <v>Onion</v>
      </c>
      <c r="E371" s="18">
        <f>IFERROR(__xludf.DUMMYFUNCTION("""COMPUTED_VALUE"""),2.0)</f>
        <v>2</v>
      </c>
      <c r="F371" s="18" t="str">
        <f>IFERROR(__xludf.DUMMYFUNCTION("""COMPUTED_VALUE"""),"Kiran Mehta")</f>
        <v>Kiran Mehta</v>
      </c>
      <c r="G371" s="19">
        <f>IFERROR(__xludf.DUMMYFUNCTION("""COMPUTED_VALUE"""),44958.0)</f>
        <v>44958</v>
      </c>
      <c r="H371" s="18" t="str">
        <f>IFERROR(__xludf.DUMMYFUNCTION("""COMPUTED_VALUE"""),"COD")</f>
        <v>COD</v>
      </c>
      <c r="I371" s="18" t="str">
        <f>IFERROR(__xludf.DUMMYFUNCTION("""COMPUTED_VALUE"""),"Delivered")</f>
        <v>Delivered</v>
      </c>
      <c r="J371" s="18" t="str">
        <f>IFERROR(__xludf.DUMMYFUNCTION("""COMPUTED_VALUE"""),"Delivery Experience")</f>
        <v>Delivery Experience</v>
      </c>
      <c r="K371" s="18" t="str">
        <f>IFERROR(__xludf.DUMMYFUNCTION("""COMPUTED_VALUE"""),"Quick and professional")</f>
        <v>Quick and professional</v>
      </c>
      <c r="L371" s="18">
        <f>iferror(VLOOKUP($D371,Details!$A$2:$C$11,2,false),vlookup($D371,Details!$E$2:$G$11,2,false))</f>
        <v>84</v>
      </c>
      <c r="M371" s="18" t="str">
        <f>iferror(VLOOKUP($D371,Details!$A$2:$C$11,3,false),vlookup($D371,Details!$E$2:$G$11,3,false))</f>
        <v>Fruits and Vegetables</v>
      </c>
      <c r="N371" s="18">
        <f t="shared" si="1"/>
        <v>168</v>
      </c>
      <c r="O371" s="17"/>
      <c r="P371" s="17"/>
      <c r="Q371" s="17"/>
      <c r="R371" s="17"/>
      <c r="S371" s="17"/>
      <c r="T371" s="17"/>
      <c r="U371" s="17"/>
      <c r="V371" s="17"/>
      <c r="W371" s="17"/>
      <c r="X371" s="17"/>
      <c r="Y371" s="17"/>
      <c r="Z371" s="17"/>
    </row>
    <row r="372">
      <c r="A372" s="18" t="str">
        <f>IFERROR(__xludf.DUMMYFUNCTION("""COMPUTED_VALUE"""),"ord_10363")</f>
        <v>ord_10363</v>
      </c>
      <c r="B372" s="18" t="str">
        <f>IFERROR(__xludf.DUMMYFUNCTION("""COMPUTED_VALUE"""),"Ishita Banerjee")</f>
        <v>Ishita Banerjee</v>
      </c>
      <c r="C372" s="18" t="str">
        <f>IFERROR(__xludf.DUMMYFUNCTION("""COMPUTED_VALUE"""),"Juhu")</f>
        <v>Juhu</v>
      </c>
      <c r="D372" s="18" t="str">
        <f>IFERROR(__xludf.DUMMYFUNCTION("""COMPUTED_VALUE"""),"Banana")</f>
        <v>Banana</v>
      </c>
      <c r="E372" s="18">
        <f>IFERROR(__xludf.DUMMYFUNCTION("""COMPUTED_VALUE"""),1.0)</f>
        <v>1</v>
      </c>
      <c r="F372" s="18" t="str">
        <f>IFERROR(__xludf.DUMMYFUNCTION("""COMPUTED_VALUE"""),"Ram Gopal")</f>
        <v>Ram Gopal</v>
      </c>
      <c r="G372" s="19">
        <f>IFERROR(__xludf.DUMMYFUNCTION("""COMPUTED_VALUE"""),45103.0)</f>
        <v>45103</v>
      </c>
      <c r="H372" s="18" t="str">
        <f>IFERROR(__xludf.DUMMYFUNCTION("""COMPUTED_VALUE"""),"Credit Card")</f>
        <v>Credit Card</v>
      </c>
      <c r="I372" s="18" t="str">
        <f>IFERROR(__xludf.DUMMYFUNCTION("""COMPUTED_VALUE"""),"Cancelled")</f>
        <v>Cancelled</v>
      </c>
      <c r="J372" s="18" t="str">
        <f>IFERROR(__xludf.DUMMYFUNCTION("""COMPUTED_VALUE"""),"Delayed Delivery")</f>
        <v>Delayed Delivery</v>
      </c>
      <c r="K372" s="18" t="str">
        <f>IFERROR(__xludf.DUMMYFUNCTION("""COMPUTED_VALUE"""),"Incorrect Address or Location")</f>
        <v>Incorrect Address or Location</v>
      </c>
      <c r="L372" s="18">
        <f>iferror(VLOOKUP($D372,Details!$A$2:$C$11,2,false),vlookup($D372,Details!$E$2:$G$11,2,false))</f>
        <v>80</v>
      </c>
      <c r="M372" s="18" t="str">
        <f>iferror(VLOOKUP($D372,Details!$A$2:$C$11,3,false),vlookup($D372,Details!$E$2:$G$11,3,false))</f>
        <v>Fruits and Vegetables</v>
      </c>
      <c r="N372" s="18">
        <f t="shared" si="1"/>
        <v>80</v>
      </c>
      <c r="O372" s="17"/>
      <c r="P372" s="17"/>
      <c r="Q372" s="17"/>
      <c r="R372" s="17"/>
      <c r="S372" s="17"/>
      <c r="T372" s="17"/>
      <c r="U372" s="17"/>
      <c r="V372" s="17"/>
      <c r="W372" s="17"/>
      <c r="X372" s="17"/>
      <c r="Y372" s="17"/>
      <c r="Z372" s="17"/>
    </row>
    <row r="373">
      <c r="A373" s="18" t="str">
        <f>IFERROR(__xludf.DUMMYFUNCTION("""COMPUTED_VALUE"""),"ord_10364")</f>
        <v>ord_10364</v>
      </c>
      <c r="B373" s="18" t="str">
        <f>IFERROR(__xludf.DUMMYFUNCTION("""COMPUTED_VALUE"""),"Omkar Mishra")</f>
        <v>Omkar Mishra</v>
      </c>
      <c r="C373" s="18" t="str">
        <f>IFERROR(__xludf.DUMMYFUNCTION("""COMPUTED_VALUE"""),"Powai")</f>
        <v>Powai</v>
      </c>
      <c r="D373" s="18" t="str">
        <f>IFERROR(__xludf.DUMMYFUNCTION("""COMPUTED_VALUE"""),"Chocolate Mousse")</f>
        <v>Chocolate Mousse</v>
      </c>
      <c r="E373" s="18">
        <f>IFERROR(__xludf.DUMMYFUNCTION("""COMPUTED_VALUE"""),5.0)</f>
        <v>5</v>
      </c>
      <c r="F373" s="18" t="str">
        <f>IFERROR(__xludf.DUMMYFUNCTION("""COMPUTED_VALUE"""),"Ramesh S")</f>
        <v>Ramesh S</v>
      </c>
      <c r="G373" s="19">
        <f>IFERROR(__xludf.DUMMYFUNCTION("""COMPUTED_VALUE"""),45236.0)</f>
        <v>45236</v>
      </c>
      <c r="H373" s="18" t="str">
        <f>IFERROR(__xludf.DUMMYFUNCTION("""COMPUTED_VALUE"""),"UPI")</f>
        <v>UPI</v>
      </c>
      <c r="I373" s="18" t="str">
        <f>IFERROR(__xludf.DUMMYFUNCTION("""COMPUTED_VALUE"""),"Delivered")</f>
        <v>Delivered</v>
      </c>
      <c r="J373" s="18" t="str">
        <f>IFERROR(__xludf.DUMMYFUNCTION("""COMPUTED_VALUE"""),"Convenience")</f>
        <v>Convenience</v>
      </c>
      <c r="K373" s="18" t="str">
        <f>IFERROR(__xludf.DUMMYFUNCTION("""COMPUTED_VALUE"""),"Easy tracking")</f>
        <v>Easy tracking</v>
      </c>
      <c r="L373" s="18">
        <f>iferror(VLOOKUP($D373,Details!$A$2:$C$11,2,false),vlookup($D373,Details!$E$2:$G$11,2,false))</f>
        <v>145</v>
      </c>
      <c r="M373" s="18" t="str">
        <f>iferror(VLOOKUP($D373,Details!$A$2:$C$11,3,false),vlookup($D373,Details!$E$2:$G$11,3,false))</f>
        <v>Snacks and Drinks</v>
      </c>
      <c r="N373" s="18">
        <f t="shared" si="1"/>
        <v>725</v>
      </c>
      <c r="O373" s="17"/>
      <c r="P373" s="17"/>
      <c r="Q373" s="17"/>
      <c r="R373" s="17"/>
      <c r="S373" s="17"/>
      <c r="T373" s="17"/>
      <c r="U373" s="17"/>
      <c r="V373" s="17"/>
      <c r="W373" s="17"/>
      <c r="X373" s="17"/>
      <c r="Y373" s="17"/>
      <c r="Z373" s="17"/>
    </row>
    <row r="374">
      <c r="A374" s="18" t="str">
        <f>IFERROR(__xludf.DUMMYFUNCTION("""COMPUTED_VALUE"""),"ord_10365")</f>
        <v>ord_10365</v>
      </c>
      <c r="B374" s="18" t="str">
        <f>IFERROR(__xludf.DUMMYFUNCTION("""COMPUTED_VALUE"""),"Mohit Malhotra")</f>
        <v>Mohit Malhotra</v>
      </c>
      <c r="C374" s="18" t="str">
        <f>IFERROR(__xludf.DUMMYFUNCTION("""COMPUTED_VALUE"""),"Lower Parel")</f>
        <v>Lower Parel</v>
      </c>
      <c r="D374" s="18" t="str">
        <f>IFERROR(__xludf.DUMMYFUNCTION("""COMPUTED_VALUE"""),"Tomato")</f>
        <v>Tomato</v>
      </c>
      <c r="E374" s="18">
        <f>IFERROR(__xludf.DUMMYFUNCTION("""COMPUTED_VALUE"""),2.0)</f>
        <v>2</v>
      </c>
      <c r="F374" s="18" t="str">
        <f>IFERROR(__xludf.DUMMYFUNCTION("""COMPUTED_VALUE"""),"Venu R")</f>
        <v>Venu R</v>
      </c>
      <c r="G374" s="19">
        <f>IFERROR(__xludf.DUMMYFUNCTION("""COMPUTED_VALUE"""),45051.0)</f>
        <v>45051</v>
      </c>
      <c r="H374" s="18" t="str">
        <f>IFERROR(__xludf.DUMMYFUNCTION("""COMPUTED_VALUE"""),"UPI")</f>
        <v>UPI</v>
      </c>
      <c r="I374" s="18" t="str">
        <f>IFERROR(__xludf.DUMMYFUNCTION("""COMPUTED_VALUE"""),"Delivered")</f>
        <v>Delivered</v>
      </c>
      <c r="J374" s="18" t="str">
        <f>IFERROR(__xludf.DUMMYFUNCTION("""COMPUTED_VALUE"""),"Overall Satisfaction")</f>
        <v>Overall Satisfaction</v>
      </c>
      <c r="K374" s="18" t="str">
        <f>IFERROR(__xludf.DUMMYFUNCTION("""COMPUTED_VALUE"""),"Great service will order again")</f>
        <v>Great service will order again</v>
      </c>
      <c r="L374" s="18">
        <f>iferror(VLOOKUP($D374,Details!$A$2:$C$11,2,false),vlookup($D374,Details!$E$2:$G$11,2,false))</f>
        <v>25</v>
      </c>
      <c r="M374" s="18" t="str">
        <f>iferror(VLOOKUP($D374,Details!$A$2:$C$11,3,false),vlookup($D374,Details!$E$2:$G$11,3,false))</f>
        <v>Fruits and Vegetables</v>
      </c>
      <c r="N374" s="18">
        <f t="shared" si="1"/>
        <v>50</v>
      </c>
      <c r="O374" s="17"/>
      <c r="P374" s="17"/>
      <c r="Q374" s="17"/>
      <c r="R374" s="17"/>
      <c r="S374" s="17"/>
      <c r="T374" s="17"/>
      <c r="U374" s="17"/>
      <c r="V374" s="17"/>
      <c r="W374" s="17"/>
      <c r="X374" s="17"/>
      <c r="Y374" s="17"/>
      <c r="Z374" s="17"/>
    </row>
    <row r="375">
      <c r="A375" s="18" t="str">
        <f>IFERROR(__xludf.DUMMYFUNCTION("""COMPUTED_VALUE"""),"ord_10366")</f>
        <v>ord_10366</v>
      </c>
      <c r="B375" s="18" t="str">
        <f>IFERROR(__xludf.DUMMYFUNCTION("""COMPUTED_VALUE"""),"Tanishq Bansal")</f>
        <v>Tanishq Bansal</v>
      </c>
      <c r="C375" s="18" t="str">
        <f>IFERROR(__xludf.DUMMYFUNCTION("""COMPUTED_VALUE"""),"Powai")</f>
        <v>Powai</v>
      </c>
      <c r="D375" s="18" t="str">
        <f>IFERROR(__xludf.DUMMYFUNCTION("""COMPUTED_VALUE"""),"Guava")</f>
        <v>Guava</v>
      </c>
      <c r="E375" s="18">
        <f>IFERROR(__xludf.DUMMYFUNCTION("""COMPUTED_VALUE"""),2.0)</f>
        <v>2</v>
      </c>
      <c r="F375" s="18" t="str">
        <f>IFERROR(__xludf.DUMMYFUNCTION("""COMPUTED_VALUE"""),"Ram Gopal")</f>
        <v>Ram Gopal</v>
      </c>
      <c r="G375" s="19">
        <f>IFERROR(__xludf.DUMMYFUNCTION("""COMPUTED_VALUE"""),45110.0)</f>
        <v>45110</v>
      </c>
      <c r="H375" s="18" t="str">
        <f>IFERROR(__xludf.DUMMYFUNCTION("""COMPUTED_VALUE"""),"UPI")</f>
        <v>UPI</v>
      </c>
      <c r="I375" s="18" t="str">
        <f>IFERROR(__xludf.DUMMYFUNCTION("""COMPUTED_VALUE"""),"Delivered")</f>
        <v>Delivered</v>
      </c>
      <c r="J375" s="18" t="str">
        <f>IFERROR(__xludf.DUMMYFUNCTION("""COMPUTED_VALUE"""),"On-time Delivery")</f>
        <v>On-time Delivery</v>
      </c>
      <c r="K375" s="18" t="str">
        <f>IFERROR(__xludf.DUMMYFUNCTION("""COMPUTED_VALUE"""),"Delivered on time")</f>
        <v>Delivered on time</v>
      </c>
      <c r="L375" s="18">
        <f>iferror(VLOOKUP($D375,Details!$A$2:$C$11,2,false),vlookup($D375,Details!$E$2:$G$11,2,false))</f>
        <v>70</v>
      </c>
      <c r="M375" s="18" t="str">
        <f>iferror(VLOOKUP($D375,Details!$A$2:$C$11,3,false),vlookup($D375,Details!$E$2:$G$11,3,false))</f>
        <v>Fruits and Vegetables</v>
      </c>
      <c r="N375" s="18">
        <f t="shared" si="1"/>
        <v>140</v>
      </c>
      <c r="O375" s="17"/>
      <c r="P375" s="17"/>
      <c r="Q375" s="17"/>
      <c r="R375" s="17"/>
      <c r="S375" s="17"/>
      <c r="T375" s="17"/>
      <c r="U375" s="17"/>
      <c r="V375" s="17"/>
      <c r="W375" s="17"/>
      <c r="X375" s="17"/>
      <c r="Y375" s="17"/>
      <c r="Z375" s="17"/>
    </row>
    <row r="376">
      <c r="A376" s="18" t="str">
        <f>IFERROR(__xludf.DUMMYFUNCTION("""COMPUTED_VALUE"""),"ord_10367")</f>
        <v>ord_10367</v>
      </c>
      <c r="B376" s="18" t="str">
        <f>IFERROR(__xludf.DUMMYFUNCTION("""COMPUTED_VALUE"""),"Siya Reddy")</f>
        <v>Siya Reddy</v>
      </c>
      <c r="C376" s="18" t="str">
        <f>IFERROR(__xludf.DUMMYFUNCTION("""COMPUTED_VALUE"""),"Juhu")</f>
        <v>Juhu</v>
      </c>
      <c r="D376" s="18" t="str">
        <f>IFERROR(__xludf.DUMMYFUNCTION("""COMPUTED_VALUE"""),"Potato")</f>
        <v>Potato</v>
      </c>
      <c r="E376" s="18">
        <f>IFERROR(__xludf.DUMMYFUNCTION("""COMPUTED_VALUE"""),1.0)</f>
        <v>1</v>
      </c>
      <c r="F376" s="18" t="str">
        <f>IFERROR(__xludf.DUMMYFUNCTION("""COMPUTED_VALUE"""),"Priya Joshi")</f>
        <v>Priya Joshi</v>
      </c>
      <c r="G376" s="19">
        <f>IFERROR(__xludf.DUMMYFUNCTION("""COMPUTED_VALUE"""),45146.0)</f>
        <v>45146</v>
      </c>
      <c r="H376" s="18" t="str">
        <f>IFERROR(__xludf.DUMMYFUNCTION("""COMPUTED_VALUE"""),"Online Payment")</f>
        <v>Online Payment</v>
      </c>
      <c r="I376" s="18" t="str">
        <f>IFERROR(__xludf.DUMMYFUNCTION("""COMPUTED_VALUE"""),"Cancelled")</f>
        <v>Cancelled</v>
      </c>
      <c r="J376" s="18" t="str">
        <f>IFERROR(__xludf.DUMMYFUNCTION("""COMPUTED_VALUE"""),"Delayed Delivery")</f>
        <v>Delayed Delivery</v>
      </c>
      <c r="K376" s="18" t="str">
        <f>IFERROR(__xludf.DUMMYFUNCTION("""COMPUTED_VALUE"""),"Traffic Accidents or Road Closures")</f>
        <v>Traffic Accidents or Road Closures</v>
      </c>
      <c r="L376" s="18">
        <f>iferror(VLOOKUP($D376,Details!$A$2:$C$11,2,false),vlookup($D376,Details!$E$2:$G$11,2,false))</f>
        <v>55</v>
      </c>
      <c r="M376" s="18" t="str">
        <f>iferror(VLOOKUP($D376,Details!$A$2:$C$11,3,false),vlookup($D376,Details!$E$2:$G$11,3,false))</f>
        <v>Fruits and Vegetables</v>
      </c>
      <c r="N376" s="18">
        <f t="shared" si="1"/>
        <v>55</v>
      </c>
      <c r="O376" s="17"/>
      <c r="P376" s="17"/>
      <c r="Q376" s="17"/>
      <c r="R376" s="17"/>
      <c r="S376" s="17"/>
      <c r="T376" s="17"/>
      <c r="U376" s="17"/>
      <c r="V376" s="17"/>
      <c r="W376" s="17"/>
      <c r="X376" s="17"/>
      <c r="Y376" s="17"/>
      <c r="Z376" s="17"/>
    </row>
    <row r="377">
      <c r="A377" s="18" t="str">
        <f>IFERROR(__xludf.DUMMYFUNCTION("""COMPUTED_VALUE"""),"ord_10368")</f>
        <v>ord_10368</v>
      </c>
      <c r="B377" s="18" t="str">
        <f>IFERROR(__xludf.DUMMYFUNCTION("""COMPUTED_VALUE"""),"Sanjay Nair")</f>
        <v>Sanjay Nair</v>
      </c>
      <c r="C377" s="18" t="str">
        <f>IFERROR(__xludf.DUMMYFUNCTION("""COMPUTED_VALUE"""),"Dadar")</f>
        <v>Dadar</v>
      </c>
      <c r="D377" s="18" t="str">
        <f>IFERROR(__xludf.DUMMYFUNCTION("""COMPUTED_VALUE"""),"Cold Coffee")</f>
        <v>Cold Coffee</v>
      </c>
      <c r="E377" s="18">
        <f>IFERROR(__xludf.DUMMYFUNCTION("""COMPUTED_VALUE"""),4.0)</f>
        <v>4</v>
      </c>
      <c r="F377" s="18" t="str">
        <f>IFERROR(__xludf.DUMMYFUNCTION("""COMPUTED_VALUE"""),"Ramesh S")</f>
        <v>Ramesh S</v>
      </c>
      <c r="G377" s="19">
        <f>IFERROR(__xludf.DUMMYFUNCTION("""COMPUTED_VALUE"""),45207.0)</f>
        <v>45207</v>
      </c>
      <c r="H377" s="18" t="str">
        <f>IFERROR(__xludf.DUMMYFUNCTION("""COMPUTED_VALUE"""),"UPI")</f>
        <v>UPI</v>
      </c>
      <c r="I377" s="18" t="str">
        <f>IFERROR(__xludf.DUMMYFUNCTION("""COMPUTED_VALUE"""),"Delivered")</f>
        <v>Delivered</v>
      </c>
      <c r="J377" s="18" t="str">
        <f>IFERROR(__xludf.DUMMYFUNCTION("""COMPUTED_VALUE"""),"Quality of Items")</f>
        <v>Quality of Items</v>
      </c>
      <c r="K377" s="18" t="str">
        <f>IFERROR(__xludf.DUMMYFUNCTION("""COMPUTED_VALUE"""),"Perfect condition")</f>
        <v>Perfect condition</v>
      </c>
      <c r="L377" s="18">
        <f>iferror(VLOOKUP($D377,Details!$A$2:$C$11,2,false),vlookup($D377,Details!$E$2:$G$11,2,false))</f>
        <v>270</v>
      </c>
      <c r="M377" s="18" t="str">
        <f>iferror(VLOOKUP($D377,Details!$A$2:$C$11,3,false),vlookup($D377,Details!$E$2:$G$11,3,false))</f>
        <v>Snacks and Drinks</v>
      </c>
      <c r="N377" s="18">
        <f t="shared" si="1"/>
        <v>1080</v>
      </c>
      <c r="O377" s="17"/>
      <c r="P377" s="17"/>
      <c r="Q377" s="17"/>
      <c r="R377" s="17"/>
      <c r="S377" s="17"/>
      <c r="T377" s="17"/>
      <c r="U377" s="17"/>
      <c r="V377" s="17"/>
      <c r="W377" s="17"/>
      <c r="X377" s="17"/>
      <c r="Y377" s="17"/>
      <c r="Z377" s="17"/>
    </row>
    <row r="378">
      <c r="A378" s="18" t="str">
        <f>IFERROR(__xludf.DUMMYFUNCTION("""COMPUTED_VALUE"""),"ord_10369")</f>
        <v>ord_10369</v>
      </c>
      <c r="B378" s="18" t="str">
        <f>IFERROR(__xludf.DUMMYFUNCTION("""COMPUTED_VALUE"""),"Siya Reddy")</f>
        <v>Siya Reddy</v>
      </c>
      <c r="C378" s="18" t="str">
        <f>IFERROR(__xludf.DUMMYFUNCTION("""COMPUTED_VALUE"""),"Juhu")</f>
        <v>Juhu</v>
      </c>
      <c r="D378" s="18" t="str">
        <f>IFERROR(__xludf.DUMMYFUNCTION("""COMPUTED_VALUE"""),"Banana")</f>
        <v>Banana</v>
      </c>
      <c r="E378" s="18">
        <f>IFERROR(__xludf.DUMMYFUNCTION("""COMPUTED_VALUE"""),2.0)</f>
        <v>2</v>
      </c>
      <c r="F378" s="18" t="str">
        <f>IFERROR(__xludf.DUMMYFUNCTION("""COMPUTED_VALUE"""),"Manju Ajay")</f>
        <v>Manju Ajay</v>
      </c>
      <c r="G378" s="19">
        <f>IFERROR(__xludf.DUMMYFUNCTION("""COMPUTED_VALUE"""),45021.0)</f>
        <v>45021</v>
      </c>
      <c r="H378" s="18" t="str">
        <f>IFERROR(__xludf.DUMMYFUNCTION("""COMPUTED_VALUE"""),"UPI")</f>
        <v>UPI</v>
      </c>
      <c r="I378" s="18" t="str">
        <f>IFERROR(__xludf.DUMMYFUNCTION("""COMPUTED_VALUE"""),"Cancelled")</f>
        <v>Cancelled</v>
      </c>
      <c r="J378" s="18" t="str">
        <f>IFERROR(__xludf.DUMMYFUNCTION("""COMPUTED_VALUE"""),"Delayed Delivery")</f>
        <v>Delayed Delivery</v>
      </c>
      <c r="K378" s="18" t="str">
        <f>IFERROR(__xludf.DUMMYFUNCTION("""COMPUTED_VALUE"""),"High Order Volume")</f>
        <v>High Order Volume</v>
      </c>
      <c r="L378" s="18">
        <f>iferror(VLOOKUP($D378,Details!$A$2:$C$11,2,false),vlookup($D378,Details!$E$2:$G$11,2,false))</f>
        <v>80</v>
      </c>
      <c r="M378" s="18" t="str">
        <f>iferror(VLOOKUP($D378,Details!$A$2:$C$11,3,false),vlookup($D378,Details!$E$2:$G$11,3,false))</f>
        <v>Fruits and Vegetables</v>
      </c>
      <c r="N378" s="18">
        <f t="shared" si="1"/>
        <v>160</v>
      </c>
      <c r="O378" s="17"/>
      <c r="P378" s="17"/>
      <c r="Q378" s="17"/>
      <c r="R378" s="17"/>
      <c r="S378" s="17"/>
      <c r="T378" s="17"/>
      <c r="U378" s="17"/>
      <c r="V378" s="17"/>
      <c r="W378" s="17"/>
      <c r="X378" s="17"/>
      <c r="Y378" s="17"/>
      <c r="Z378" s="17"/>
    </row>
    <row r="379">
      <c r="A379" s="18" t="str">
        <f>IFERROR(__xludf.DUMMYFUNCTION("""COMPUTED_VALUE"""),"ord_10370")</f>
        <v>ord_10370</v>
      </c>
      <c r="B379" s="18" t="str">
        <f>IFERROR(__xludf.DUMMYFUNCTION("""COMPUTED_VALUE"""),"Mehul Thakkar")</f>
        <v>Mehul Thakkar</v>
      </c>
      <c r="C379" s="18" t="str">
        <f>IFERROR(__xludf.DUMMYFUNCTION("""COMPUTED_VALUE"""),"Malad")</f>
        <v>Malad</v>
      </c>
      <c r="D379" s="18" t="str">
        <f>IFERROR(__xludf.DUMMYFUNCTION("""COMPUTED_VALUE"""),"Veg Puff")</f>
        <v>Veg Puff</v>
      </c>
      <c r="E379" s="18">
        <f>IFERROR(__xludf.DUMMYFUNCTION("""COMPUTED_VALUE"""),2.0)</f>
        <v>2</v>
      </c>
      <c r="F379" s="18" t="str">
        <f>IFERROR(__xludf.DUMMYFUNCTION("""COMPUTED_VALUE"""),"Ramesh S")</f>
        <v>Ramesh S</v>
      </c>
      <c r="G379" s="19">
        <f>IFERROR(__xludf.DUMMYFUNCTION("""COMPUTED_VALUE"""),45129.0)</f>
        <v>45129</v>
      </c>
      <c r="H379" s="18" t="str">
        <f>IFERROR(__xludf.DUMMYFUNCTION("""COMPUTED_VALUE"""),"Credit Card")</f>
        <v>Credit Card</v>
      </c>
      <c r="I379" s="18" t="str">
        <f>IFERROR(__xludf.DUMMYFUNCTION("""COMPUTED_VALUE"""),"Delivered")</f>
        <v>Delivered</v>
      </c>
      <c r="J379" s="18" t="str">
        <f>IFERROR(__xludf.DUMMYFUNCTION("""COMPUTED_VALUE"""),"On-time Delivery")</f>
        <v>On-time Delivery</v>
      </c>
      <c r="K379" s="18" t="str">
        <f>IFERROR(__xludf.DUMMYFUNCTION("""COMPUTED_VALUE"""),"Delivered on time")</f>
        <v>Delivered on time</v>
      </c>
      <c r="L379" s="18">
        <f>iferror(VLOOKUP($D379,Details!$A$2:$C$11,2,false),vlookup($D379,Details!$E$2:$G$11,2,false))</f>
        <v>80</v>
      </c>
      <c r="M379" s="18" t="str">
        <f>iferror(VLOOKUP($D379,Details!$A$2:$C$11,3,false),vlookup($D379,Details!$E$2:$G$11,3,false))</f>
        <v>Snacks and Drinks</v>
      </c>
      <c r="N379" s="18">
        <f t="shared" si="1"/>
        <v>160</v>
      </c>
      <c r="O379" s="17"/>
      <c r="P379" s="17"/>
      <c r="Q379" s="17"/>
      <c r="R379" s="17"/>
      <c r="S379" s="17"/>
      <c r="T379" s="17"/>
      <c r="U379" s="17"/>
      <c r="V379" s="17"/>
      <c r="W379" s="17"/>
      <c r="X379" s="17"/>
      <c r="Y379" s="17"/>
      <c r="Z379" s="17"/>
    </row>
    <row r="380">
      <c r="A380" s="18" t="str">
        <f>IFERROR(__xludf.DUMMYFUNCTION("""COMPUTED_VALUE"""),"ord_10371")</f>
        <v>ord_10371</v>
      </c>
      <c r="B380" s="18" t="str">
        <f>IFERROR(__xludf.DUMMYFUNCTION("""COMPUTED_VALUE"""),"Aditi Iyer")</f>
        <v>Aditi Iyer</v>
      </c>
      <c r="C380" s="18" t="str">
        <f>IFERROR(__xludf.DUMMYFUNCTION("""COMPUTED_VALUE"""),"Dadar")</f>
        <v>Dadar</v>
      </c>
      <c r="D380" s="18" t="str">
        <f>IFERROR(__xludf.DUMMYFUNCTION("""COMPUTED_VALUE"""),"Cucumber")</f>
        <v>Cucumber</v>
      </c>
      <c r="E380" s="18">
        <f>IFERROR(__xludf.DUMMYFUNCTION("""COMPUTED_VALUE"""),2.0)</f>
        <v>2</v>
      </c>
      <c r="F380" s="18" t="str">
        <f>IFERROR(__xludf.DUMMYFUNCTION("""COMPUTED_VALUE"""),"Shine Thomas")</f>
        <v>Shine Thomas</v>
      </c>
      <c r="G380" s="19">
        <f>IFERROR(__xludf.DUMMYFUNCTION("""COMPUTED_VALUE"""),45127.0)</f>
        <v>45127</v>
      </c>
      <c r="H380" s="18" t="str">
        <f>IFERROR(__xludf.DUMMYFUNCTION("""COMPUTED_VALUE"""),"UPI")</f>
        <v>UPI</v>
      </c>
      <c r="I380" s="18" t="str">
        <f>IFERROR(__xludf.DUMMYFUNCTION("""COMPUTED_VALUE"""),"Delivered")</f>
        <v>Delivered</v>
      </c>
      <c r="J380" s="18" t="str">
        <f>IFERROR(__xludf.DUMMYFUNCTION("""COMPUTED_VALUE"""),"Quality of Items")</f>
        <v>Quality of Items</v>
      </c>
      <c r="K380" s="18" t="str">
        <f>IFERROR(__xludf.DUMMYFUNCTION("""COMPUTED_VALUE"""),"Perfect condition")</f>
        <v>Perfect condition</v>
      </c>
      <c r="L380" s="18">
        <f>iferror(VLOOKUP($D380,Details!$A$2:$C$11,2,false),vlookup($D380,Details!$E$2:$G$11,2,false))</f>
        <v>30</v>
      </c>
      <c r="M380" s="18" t="str">
        <f>iferror(VLOOKUP($D380,Details!$A$2:$C$11,3,false),vlookup($D380,Details!$E$2:$G$11,3,false))</f>
        <v>Fruits and Vegetables</v>
      </c>
      <c r="N380" s="18">
        <f t="shared" si="1"/>
        <v>60</v>
      </c>
      <c r="O380" s="17"/>
      <c r="P380" s="17"/>
      <c r="Q380" s="17"/>
      <c r="R380" s="17"/>
      <c r="S380" s="17"/>
      <c r="T380" s="17"/>
      <c r="U380" s="17"/>
      <c r="V380" s="17"/>
      <c r="W380" s="17"/>
      <c r="X380" s="17"/>
      <c r="Y380" s="17"/>
      <c r="Z380" s="17"/>
    </row>
    <row r="381">
      <c r="A381" s="18" t="str">
        <f>IFERROR(__xludf.DUMMYFUNCTION("""COMPUTED_VALUE"""),"ord_10372")</f>
        <v>ord_10372</v>
      </c>
      <c r="B381" s="18" t="str">
        <f>IFERROR(__xludf.DUMMYFUNCTION("""COMPUTED_VALUE"""),"Ishaan Chaturvedi")</f>
        <v>Ishaan Chaturvedi</v>
      </c>
      <c r="C381" s="18" t="str">
        <f>IFERROR(__xludf.DUMMYFUNCTION("""COMPUTED_VALUE"""),"Bandra")</f>
        <v>Bandra</v>
      </c>
      <c r="D381" s="18" t="str">
        <f>IFERROR(__xludf.DUMMYFUNCTION("""COMPUTED_VALUE"""),"Potato")</f>
        <v>Potato</v>
      </c>
      <c r="E381" s="18">
        <f>IFERROR(__xludf.DUMMYFUNCTION("""COMPUTED_VALUE"""),1.0)</f>
        <v>1</v>
      </c>
      <c r="F381" s="18" t="str">
        <f>IFERROR(__xludf.DUMMYFUNCTION("""COMPUTED_VALUE"""),"Priya Joshi")</f>
        <v>Priya Joshi</v>
      </c>
      <c r="G381" s="19">
        <f>IFERROR(__xludf.DUMMYFUNCTION("""COMPUTED_VALUE"""),45201.0)</f>
        <v>45201</v>
      </c>
      <c r="H381" s="18" t="str">
        <f>IFERROR(__xludf.DUMMYFUNCTION("""COMPUTED_VALUE"""),"Online Payment")</f>
        <v>Online Payment</v>
      </c>
      <c r="I381" s="18" t="str">
        <f>IFERROR(__xludf.DUMMYFUNCTION("""COMPUTED_VALUE"""),"Delivered")</f>
        <v>Delivered</v>
      </c>
      <c r="J381" s="18" t="str">
        <f>IFERROR(__xludf.DUMMYFUNCTION("""COMPUTED_VALUE"""),"Packaging")</f>
        <v>Packaging</v>
      </c>
      <c r="K381" s="18" t="str">
        <f>IFERROR(__xludf.DUMMYFUNCTION("""COMPUTED_VALUE"""),"Secure and intact")</f>
        <v>Secure and intact</v>
      </c>
      <c r="L381" s="18">
        <f>iferror(VLOOKUP($D381,Details!$A$2:$C$11,2,false),vlookup($D381,Details!$E$2:$G$11,2,false))</f>
        <v>55</v>
      </c>
      <c r="M381" s="18" t="str">
        <f>iferror(VLOOKUP($D381,Details!$A$2:$C$11,3,false),vlookup($D381,Details!$E$2:$G$11,3,false))</f>
        <v>Fruits and Vegetables</v>
      </c>
      <c r="N381" s="18">
        <f t="shared" si="1"/>
        <v>55</v>
      </c>
      <c r="O381" s="17"/>
      <c r="P381" s="17"/>
      <c r="Q381" s="17"/>
      <c r="R381" s="17"/>
      <c r="S381" s="17"/>
      <c r="T381" s="17"/>
      <c r="U381" s="17"/>
      <c r="V381" s="17"/>
      <c r="W381" s="17"/>
      <c r="X381" s="17"/>
      <c r="Y381" s="17"/>
      <c r="Z381" s="17"/>
    </row>
    <row r="382">
      <c r="A382" s="18" t="str">
        <f>IFERROR(__xludf.DUMMYFUNCTION("""COMPUTED_VALUE"""),"ord_10373")</f>
        <v>ord_10373</v>
      </c>
      <c r="B382" s="18" t="str">
        <f>IFERROR(__xludf.DUMMYFUNCTION("""COMPUTED_VALUE"""),"Pranav Joshi")</f>
        <v>Pranav Joshi</v>
      </c>
      <c r="C382" s="18" t="str">
        <f>IFERROR(__xludf.DUMMYFUNCTION("""COMPUTED_VALUE"""),"Andheri")</f>
        <v>Andheri</v>
      </c>
      <c r="D382" s="18" t="str">
        <f>IFERROR(__xludf.DUMMYFUNCTION("""COMPUTED_VALUE"""),"Sweet Corn")</f>
        <v>Sweet Corn</v>
      </c>
      <c r="E382" s="18">
        <f>IFERROR(__xludf.DUMMYFUNCTION("""COMPUTED_VALUE"""),1.0)</f>
        <v>1</v>
      </c>
      <c r="F382" s="18" t="str">
        <f>IFERROR(__xludf.DUMMYFUNCTION("""COMPUTED_VALUE"""),"Rohan Yadav")</f>
        <v>Rohan Yadav</v>
      </c>
      <c r="G382" s="19">
        <f>IFERROR(__xludf.DUMMYFUNCTION("""COMPUTED_VALUE"""),44987.0)</f>
        <v>44987</v>
      </c>
      <c r="H382" s="18" t="str">
        <f>IFERROR(__xludf.DUMMYFUNCTION("""COMPUTED_VALUE"""),"Online Payment")</f>
        <v>Online Payment</v>
      </c>
      <c r="I382" s="18" t="str">
        <f>IFERROR(__xludf.DUMMYFUNCTION("""COMPUTED_VALUE"""),"Delivered")</f>
        <v>Delivered</v>
      </c>
      <c r="J382" s="18" t="str">
        <f>IFERROR(__xludf.DUMMYFUNCTION("""COMPUTED_VALUE"""),"Satisfied with the Delivery")</f>
        <v>Satisfied with the Delivery</v>
      </c>
      <c r="K382" s="18" t="str">
        <f>IFERROR(__xludf.DUMMYFUNCTION("""COMPUTED_VALUE"""),"Timely and quality")</f>
        <v>Timely and quality</v>
      </c>
      <c r="L382" s="18">
        <f>iferror(VLOOKUP($D382,Details!$A$2:$C$11,2,false),vlookup($D382,Details!$E$2:$G$11,2,false))</f>
        <v>60</v>
      </c>
      <c r="M382" s="18" t="str">
        <f>iferror(VLOOKUP($D382,Details!$A$2:$C$11,3,false),vlookup($D382,Details!$E$2:$G$11,3,false))</f>
        <v>Fruits and Vegetables</v>
      </c>
      <c r="N382" s="18">
        <f t="shared" si="1"/>
        <v>60</v>
      </c>
      <c r="O382" s="17"/>
      <c r="P382" s="17"/>
      <c r="Q382" s="17"/>
      <c r="R382" s="17"/>
      <c r="S382" s="17"/>
      <c r="T382" s="17"/>
      <c r="U382" s="17"/>
      <c r="V382" s="17"/>
      <c r="W382" s="17"/>
      <c r="X382" s="17"/>
      <c r="Y382" s="17"/>
      <c r="Z382" s="17"/>
    </row>
    <row r="383">
      <c r="A383" s="18" t="str">
        <f>IFERROR(__xludf.DUMMYFUNCTION("""COMPUTED_VALUE"""),"ord_10374")</f>
        <v>ord_10374</v>
      </c>
      <c r="B383" s="18" t="str">
        <f>IFERROR(__xludf.DUMMYFUNCTION("""COMPUTED_VALUE"""),"Kritika Shetty")</f>
        <v>Kritika Shetty</v>
      </c>
      <c r="C383" s="18" t="str">
        <f>IFERROR(__xludf.DUMMYFUNCTION("""COMPUTED_VALUE"""),"Malad")</f>
        <v>Malad</v>
      </c>
      <c r="D383" s="18" t="str">
        <f>IFERROR(__xludf.DUMMYFUNCTION("""COMPUTED_VALUE"""),"Potato")</f>
        <v>Potato</v>
      </c>
      <c r="E383" s="18">
        <f>IFERROR(__xludf.DUMMYFUNCTION("""COMPUTED_VALUE"""),1.0)</f>
        <v>1</v>
      </c>
      <c r="F383" s="18" t="str">
        <f>IFERROR(__xludf.DUMMYFUNCTION("""COMPUTED_VALUE"""),"Rohan Yadav")</f>
        <v>Rohan Yadav</v>
      </c>
      <c r="G383" s="19">
        <f>IFERROR(__xludf.DUMMYFUNCTION("""COMPUTED_VALUE"""),45269.0)</f>
        <v>45269</v>
      </c>
      <c r="H383" s="18" t="str">
        <f>IFERROR(__xludf.DUMMYFUNCTION("""COMPUTED_VALUE"""),"UPI")</f>
        <v>UPI</v>
      </c>
      <c r="I383" s="18" t="str">
        <f>IFERROR(__xludf.DUMMYFUNCTION("""COMPUTED_VALUE"""),"Cancelled")</f>
        <v>Cancelled</v>
      </c>
      <c r="J383" s="18" t="str">
        <f>IFERROR(__xludf.DUMMYFUNCTION("""COMPUTED_VALUE"""),"Delayed Delivery")</f>
        <v>Delayed Delivery</v>
      </c>
      <c r="K383" s="18" t="str">
        <f>IFERROR(__xludf.DUMMYFUNCTION("""COMPUTED_VALUE"""),"Bad Weather Conditions")</f>
        <v>Bad Weather Conditions</v>
      </c>
      <c r="L383" s="18">
        <f>iferror(VLOOKUP($D383,Details!$A$2:$C$11,2,false),vlookup($D383,Details!$E$2:$G$11,2,false))</f>
        <v>55</v>
      </c>
      <c r="M383" s="18" t="str">
        <f>iferror(VLOOKUP($D383,Details!$A$2:$C$11,3,false),vlookup($D383,Details!$E$2:$G$11,3,false))</f>
        <v>Fruits and Vegetables</v>
      </c>
      <c r="N383" s="18">
        <f t="shared" si="1"/>
        <v>55</v>
      </c>
      <c r="O383" s="17"/>
      <c r="P383" s="17"/>
      <c r="Q383" s="17"/>
      <c r="R383" s="17"/>
      <c r="S383" s="17"/>
      <c r="T383" s="17"/>
      <c r="U383" s="17"/>
      <c r="V383" s="17"/>
      <c r="W383" s="17"/>
      <c r="X383" s="17"/>
      <c r="Y383" s="17"/>
      <c r="Z383" s="17"/>
    </row>
    <row r="384">
      <c r="A384" s="18" t="str">
        <f>IFERROR(__xludf.DUMMYFUNCTION("""COMPUTED_VALUE"""),"ord_10375")</f>
        <v>ord_10375</v>
      </c>
      <c r="B384" s="18" t="str">
        <f>IFERROR(__xludf.DUMMYFUNCTION("""COMPUTED_VALUE"""),"Siya Reddy")</f>
        <v>Siya Reddy</v>
      </c>
      <c r="C384" s="18" t="str">
        <f>IFERROR(__xludf.DUMMYFUNCTION("""COMPUTED_VALUE"""),"Juhu")</f>
        <v>Juhu</v>
      </c>
      <c r="D384" s="18" t="str">
        <f>IFERROR(__xludf.DUMMYFUNCTION("""COMPUTED_VALUE"""),"Chilli Cheese Toast")</f>
        <v>Chilli Cheese Toast</v>
      </c>
      <c r="E384" s="18">
        <f>IFERROR(__xludf.DUMMYFUNCTION("""COMPUTED_VALUE"""),4.0)</f>
        <v>4</v>
      </c>
      <c r="F384" s="18" t="str">
        <f>IFERROR(__xludf.DUMMYFUNCTION("""COMPUTED_VALUE"""),"Shine Thomas")</f>
        <v>Shine Thomas</v>
      </c>
      <c r="G384" s="19">
        <f>IFERROR(__xludf.DUMMYFUNCTION("""COMPUTED_VALUE"""),45020.0)</f>
        <v>45020</v>
      </c>
      <c r="H384" s="18" t="str">
        <f>IFERROR(__xludf.DUMMYFUNCTION("""COMPUTED_VALUE"""),"Online Payment")</f>
        <v>Online Payment</v>
      </c>
      <c r="I384" s="18" t="str">
        <f>IFERROR(__xludf.DUMMYFUNCTION("""COMPUTED_VALUE"""),"Cancelled")</f>
        <v>Cancelled</v>
      </c>
      <c r="J384" s="18" t="str">
        <f>IFERROR(__xludf.DUMMYFUNCTION("""COMPUTED_VALUE"""),"Delayed Delivery")</f>
        <v>Delayed Delivery</v>
      </c>
      <c r="K384" s="18" t="str">
        <f>IFERROR(__xludf.DUMMYFUNCTION("""COMPUTED_VALUE"""),"Vehicle Breakdown")</f>
        <v>Vehicle Breakdown</v>
      </c>
      <c r="L384" s="18">
        <f>iferror(VLOOKUP($D384,Details!$A$2:$C$11,2,false),vlookup($D384,Details!$E$2:$G$11,2,false))</f>
        <v>80</v>
      </c>
      <c r="M384" s="18" t="str">
        <f>iferror(VLOOKUP($D384,Details!$A$2:$C$11,3,false),vlookup($D384,Details!$E$2:$G$11,3,false))</f>
        <v>Snacks and Drinks</v>
      </c>
      <c r="N384" s="18">
        <f t="shared" si="1"/>
        <v>320</v>
      </c>
      <c r="O384" s="17"/>
      <c r="P384" s="17"/>
      <c r="Q384" s="17"/>
      <c r="R384" s="17"/>
      <c r="S384" s="17"/>
      <c r="T384" s="17"/>
      <c r="U384" s="17"/>
      <c r="V384" s="17"/>
      <c r="W384" s="17"/>
      <c r="X384" s="17"/>
      <c r="Y384" s="17"/>
      <c r="Z384" s="17"/>
    </row>
    <row r="385">
      <c r="A385" s="18" t="str">
        <f>IFERROR(__xludf.DUMMYFUNCTION("""COMPUTED_VALUE"""),"ord_10376")</f>
        <v>ord_10376</v>
      </c>
      <c r="B385" s="18" t="str">
        <f>IFERROR(__xludf.DUMMYFUNCTION("""COMPUTED_VALUE"""),"Dev Chauhan")</f>
        <v>Dev Chauhan</v>
      </c>
      <c r="C385" s="18" t="str">
        <f>IFERROR(__xludf.DUMMYFUNCTION("""COMPUTED_VALUE"""),"Bandra")</f>
        <v>Bandra</v>
      </c>
      <c r="D385" s="18" t="str">
        <f>IFERROR(__xludf.DUMMYFUNCTION("""COMPUTED_VALUE"""),"Sweet Corn")</f>
        <v>Sweet Corn</v>
      </c>
      <c r="E385" s="18">
        <f>IFERROR(__xludf.DUMMYFUNCTION("""COMPUTED_VALUE"""),2.0)</f>
        <v>2</v>
      </c>
      <c r="F385" s="18" t="str">
        <f>IFERROR(__xludf.DUMMYFUNCTION("""COMPUTED_VALUE"""),"Priya Joshi")</f>
        <v>Priya Joshi</v>
      </c>
      <c r="G385" s="19">
        <f>IFERROR(__xludf.DUMMYFUNCTION("""COMPUTED_VALUE"""),45156.0)</f>
        <v>45156</v>
      </c>
      <c r="H385" s="18" t="str">
        <f>IFERROR(__xludf.DUMMYFUNCTION("""COMPUTED_VALUE"""),"Credit Card")</f>
        <v>Credit Card</v>
      </c>
      <c r="I385" s="18" t="str">
        <f>IFERROR(__xludf.DUMMYFUNCTION("""COMPUTED_VALUE"""),"Delivered")</f>
        <v>Delivered</v>
      </c>
      <c r="J385" s="18" t="str">
        <f>IFERROR(__xludf.DUMMYFUNCTION("""COMPUTED_VALUE"""),"Customer Service")</f>
        <v>Customer Service</v>
      </c>
      <c r="K385" s="18" t="str">
        <f>IFERROR(__xludf.DUMMYFUNCTION("""COMPUTED_VALUE"""),"Seamless and easy")</f>
        <v>Seamless and easy</v>
      </c>
      <c r="L385" s="18">
        <f>iferror(VLOOKUP($D385,Details!$A$2:$C$11,2,false),vlookup($D385,Details!$E$2:$G$11,2,false))</f>
        <v>60</v>
      </c>
      <c r="M385" s="18" t="str">
        <f>iferror(VLOOKUP($D385,Details!$A$2:$C$11,3,false),vlookup($D385,Details!$E$2:$G$11,3,false))</f>
        <v>Fruits and Vegetables</v>
      </c>
      <c r="N385" s="18">
        <f t="shared" si="1"/>
        <v>120</v>
      </c>
      <c r="O385" s="17"/>
      <c r="P385" s="17"/>
      <c r="Q385" s="17"/>
      <c r="R385" s="17"/>
      <c r="S385" s="17"/>
      <c r="T385" s="17"/>
      <c r="U385" s="17"/>
      <c r="V385" s="17"/>
      <c r="W385" s="17"/>
      <c r="X385" s="17"/>
      <c r="Y385" s="17"/>
      <c r="Z385" s="17"/>
    </row>
    <row r="386">
      <c r="A386" s="18" t="str">
        <f>IFERROR(__xludf.DUMMYFUNCTION("""COMPUTED_VALUE"""),"ord_10377")</f>
        <v>ord_10377</v>
      </c>
      <c r="B386" s="18" t="str">
        <f>IFERROR(__xludf.DUMMYFUNCTION("""COMPUTED_VALUE"""),"Pallavi Ghosh")</f>
        <v>Pallavi Ghosh</v>
      </c>
      <c r="C386" s="18" t="str">
        <f>IFERROR(__xludf.DUMMYFUNCTION("""COMPUTED_VALUE"""),"Bandra")</f>
        <v>Bandra</v>
      </c>
      <c r="D386" s="18" t="str">
        <f>IFERROR(__xludf.DUMMYFUNCTION("""COMPUTED_VALUE"""),"Orange")</f>
        <v>Orange</v>
      </c>
      <c r="E386" s="18">
        <f>IFERROR(__xludf.DUMMYFUNCTION("""COMPUTED_VALUE"""),2.0)</f>
        <v>2</v>
      </c>
      <c r="F386" s="18" t="str">
        <f>IFERROR(__xludf.DUMMYFUNCTION("""COMPUTED_VALUE"""),"Priya Joshi")</f>
        <v>Priya Joshi</v>
      </c>
      <c r="G386" s="19">
        <f>IFERROR(__xludf.DUMMYFUNCTION("""COMPUTED_VALUE"""),45037.0)</f>
        <v>45037</v>
      </c>
      <c r="H386" s="18" t="str">
        <f>IFERROR(__xludf.DUMMYFUNCTION("""COMPUTED_VALUE"""),"Credit Card")</f>
        <v>Credit Card</v>
      </c>
      <c r="I386" s="18" t="str">
        <f>IFERROR(__xludf.DUMMYFUNCTION("""COMPUTED_VALUE"""),"Delivered")</f>
        <v>Delivered</v>
      </c>
      <c r="J386" s="18" t="str">
        <f>IFERROR(__xludf.DUMMYFUNCTION("""COMPUTED_VALUE"""),"Delivery Experience")</f>
        <v>Delivery Experience</v>
      </c>
      <c r="K386" s="18" t="str">
        <f>IFERROR(__xludf.DUMMYFUNCTION("""COMPUTED_VALUE"""),"Quick and professional")</f>
        <v>Quick and professional</v>
      </c>
      <c r="L386" s="18">
        <f>iferror(VLOOKUP($D386,Details!$A$2:$C$11,2,false),vlookup($D386,Details!$E$2:$G$11,2,false))</f>
        <v>180</v>
      </c>
      <c r="M386" s="18" t="str">
        <f>iferror(VLOOKUP($D386,Details!$A$2:$C$11,3,false),vlookup($D386,Details!$E$2:$G$11,3,false))</f>
        <v>Fruits and Vegetables</v>
      </c>
      <c r="N386" s="18">
        <f t="shared" si="1"/>
        <v>360</v>
      </c>
      <c r="O386" s="17"/>
      <c r="P386" s="17"/>
      <c r="Q386" s="17"/>
      <c r="R386" s="17"/>
      <c r="S386" s="17"/>
      <c r="T386" s="17"/>
      <c r="U386" s="17"/>
      <c r="V386" s="17"/>
      <c r="W386" s="17"/>
      <c r="X386" s="17"/>
      <c r="Y386" s="17"/>
      <c r="Z386" s="17"/>
    </row>
    <row r="387">
      <c r="A387" s="18" t="str">
        <f>IFERROR(__xludf.DUMMYFUNCTION("""COMPUTED_VALUE"""),"ord_10378")</f>
        <v>ord_10378</v>
      </c>
      <c r="B387" s="18" t="str">
        <f>IFERROR(__xludf.DUMMYFUNCTION("""COMPUTED_VALUE"""),"Aarohi Kapoor")</f>
        <v>Aarohi Kapoor</v>
      </c>
      <c r="C387" s="18" t="str">
        <f>IFERROR(__xludf.DUMMYFUNCTION("""COMPUTED_VALUE"""),"Bandra")</f>
        <v>Bandra</v>
      </c>
      <c r="D387" s="18" t="str">
        <f>IFERROR(__xludf.DUMMYFUNCTION("""COMPUTED_VALUE"""),"Juice")</f>
        <v>Juice</v>
      </c>
      <c r="E387" s="18">
        <f>IFERROR(__xludf.DUMMYFUNCTION("""COMPUTED_VALUE"""),2.0)</f>
        <v>2</v>
      </c>
      <c r="F387" s="18" t="str">
        <f>IFERROR(__xludf.DUMMYFUNCTION("""COMPUTED_VALUE"""),"Vivek Kumar")</f>
        <v>Vivek Kumar</v>
      </c>
      <c r="G387" s="19">
        <f>IFERROR(__xludf.DUMMYFUNCTION("""COMPUTED_VALUE"""),44934.0)</f>
        <v>44934</v>
      </c>
      <c r="H387" s="18" t="str">
        <f>IFERROR(__xludf.DUMMYFUNCTION("""COMPUTED_VALUE"""),"Online Payment")</f>
        <v>Online Payment</v>
      </c>
      <c r="I387" s="18" t="str">
        <f>IFERROR(__xludf.DUMMYFUNCTION("""COMPUTED_VALUE"""),"Delivered")</f>
        <v>Delivered</v>
      </c>
      <c r="J387" s="18" t="str">
        <f>IFERROR(__xludf.DUMMYFUNCTION("""COMPUTED_VALUE"""),"Convenience")</f>
        <v>Convenience</v>
      </c>
      <c r="K387" s="18" t="str">
        <f>IFERROR(__xludf.DUMMYFUNCTION("""COMPUTED_VALUE"""),"Easy tracking")</f>
        <v>Easy tracking</v>
      </c>
      <c r="L387" s="18">
        <f>iferror(VLOOKUP($D387,Details!$A$2:$C$11,2,false),vlookup($D387,Details!$E$2:$G$11,2,false))</f>
        <v>90</v>
      </c>
      <c r="M387" s="18" t="str">
        <f>iferror(VLOOKUP($D387,Details!$A$2:$C$11,3,false),vlookup($D387,Details!$E$2:$G$11,3,false))</f>
        <v>Snacks and Drinks</v>
      </c>
      <c r="N387" s="18">
        <f t="shared" si="1"/>
        <v>180</v>
      </c>
      <c r="O387" s="17"/>
      <c r="P387" s="17"/>
      <c r="Q387" s="17"/>
      <c r="R387" s="17"/>
      <c r="S387" s="17"/>
      <c r="T387" s="17"/>
      <c r="U387" s="17"/>
      <c r="V387" s="17"/>
      <c r="W387" s="17"/>
      <c r="X387" s="17"/>
      <c r="Y387" s="17"/>
      <c r="Z387" s="17"/>
    </row>
    <row r="388">
      <c r="A388" s="18" t="str">
        <f>IFERROR(__xludf.DUMMYFUNCTION("""COMPUTED_VALUE"""),"ord_10379")</f>
        <v>ord_10379</v>
      </c>
      <c r="B388" s="18" t="str">
        <f>IFERROR(__xludf.DUMMYFUNCTION("""COMPUTED_VALUE"""),"Pranav Joshi")</f>
        <v>Pranav Joshi</v>
      </c>
      <c r="C388" s="18" t="str">
        <f>IFERROR(__xludf.DUMMYFUNCTION("""COMPUTED_VALUE"""),"Andheri")</f>
        <v>Andheri</v>
      </c>
      <c r="D388" s="18" t="str">
        <f>IFERROR(__xludf.DUMMYFUNCTION("""COMPUTED_VALUE"""),"Icecream")</f>
        <v>Icecream</v>
      </c>
      <c r="E388" s="18">
        <f>IFERROR(__xludf.DUMMYFUNCTION("""COMPUTED_VALUE"""),1.0)</f>
        <v>1</v>
      </c>
      <c r="F388" s="18" t="str">
        <f>IFERROR(__xludf.DUMMYFUNCTION("""COMPUTED_VALUE"""),"Vivek Kumar")</f>
        <v>Vivek Kumar</v>
      </c>
      <c r="G388" s="19">
        <f>IFERROR(__xludf.DUMMYFUNCTION("""COMPUTED_VALUE"""),45251.0)</f>
        <v>45251</v>
      </c>
      <c r="H388" s="18" t="str">
        <f>IFERROR(__xludf.DUMMYFUNCTION("""COMPUTED_VALUE"""),"Online Payment")</f>
        <v>Online Payment</v>
      </c>
      <c r="I388" s="18" t="str">
        <f>IFERROR(__xludf.DUMMYFUNCTION("""COMPUTED_VALUE"""),"Delivered")</f>
        <v>Delivered</v>
      </c>
      <c r="J388" s="18" t="str">
        <f>IFERROR(__xludf.DUMMYFUNCTION("""COMPUTED_VALUE"""),"Overall Satisfaction")</f>
        <v>Overall Satisfaction</v>
      </c>
      <c r="K388" s="18" t="str">
        <f>IFERROR(__xludf.DUMMYFUNCTION("""COMPUTED_VALUE"""),"Great service will order again")</f>
        <v>Great service will order again</v>
      </c>
      <c r="L388" s="18">
        <f>iferror(VLOOKUP($D388,Details!$A$2:$C$11,2,false),vlookup($D388,Details!$E$2:$G$11,2,false))</f>
        <v>90</v>
      </c>
      <c r="M388" s="18" t="str">
        <f>iferror(VLOOKUP($D388,Details!$A$2:$C$11,3,false),vlookup($D388,Details!$E$2:$G$11,3,false))</f>
        <v>Snacks and Drinks</v>
      </c>
      <c r="N388" s="18">
        <f t="shared" si="1"/>
        <v>90</v>
      </c>
      <c r="O388" s="17"/>
      <c r="P388" s="17"/>
      <c r="Q388" s="17"/>
      <c r="R388" s="17"/>
      <c r="S388" s="17"/>
      <c r="T388" s="17"/>
      <c r="U388" s="17"/>
      <c r="V388" s="17"/>
      <c r="W388" s="17"/>
      <c r="X388" s="17"/>
      <c r="Y388" s="17"/>
      <c r="Z388" s="17"/>
    </row>
    <row r="389">
      <c r="A389" s="18" t="str">
        <f>IFERROR(__xludf.DUMMYFUNCTION("""COMPUTED_VALUE"""),"ord_10380")</f>
        <v>ord_10380</v>
      </c>
      <c r="B389" s="18" t="str">
        <f>IFERROR(__xludf.DUMMYFUNCTION("""COMPUTED_VALUE"""),"Aditya Rao")</f>
        <v>Aditya Rao</v>
      </c>
      <c r="C389" s="18" t="str">
        <f>IFERROR(__xludf.DUMMYFUNCTION("""COMPUTED_VALUE"""),"Lower Parel")</f>
        <v>Lower Parel</v>
      </c>
      <c r="D389" s="18" t="str">
        <f>IFERROR(__xludf.DUMMYFUNCTION("""COMPUTED_VALUE"""),"Orange")</f>
        <v>Orange</v>
      </c>
      <c r="E389" s="18">
        <f>IFERROR(__xludf.DUMMYFUNCTION("""COMPUTED_VALUE"""),2.0)</f>
        <v>2</v>
      </c>
      <c r="F389" s="18" t="str">
        <f>IFERROR(__xludf.DUMMYFUNCTION("""COMPUTED_VALUE"""),"Sita T")</f>
        <v>Sita T</v>
      </c>
      <c r="G389" s="19">
        <f>IFERROR(__xludf.DUMMYFUNCTION("""COMPUTED_VALUE"""),45129.0)</f>
        <v>45129</v>
      </c>
      <c r="H389" s="18" t="str">
        <f>IFERROR(__xludf.DUMMYFUNCTION("""COMPUTED_VALUE"""),"UPI")</f>
        <v>UPI</v>
      </c>
      <c r="I389" s="18" t="str">
        <f>IFERROR(__xludf.DUMMYFUNCTION("""COMPUTED_VALUE"""),"Delivered")</f>
        <v>Delivered</v>
      </c>
      <c r="J389" s="18" t="str">
        <f>IFERROR(__xludf.DUMMYFUNCTION("""COMPUTED_VALUE"""),"On-time Delivery")</f>
        <v>On-time Delivery</v>
      </c>
      <c r="K389" s="18" t="str">
        <f>IFERROR(__xludf.DUMMYFUNCTION("""COMPUTED_VALUE"""),"Delivered on time")</f>
        <v>Delivered on time</v>
      </c>
      <c r="L389" s="18">
        <f>iferror(VLOOKUP($D389,Details!$A$2:$C$11,2,false),vlookup($D389,Details!$E$2:$G$11,2,false))</f>
        <v>180</v>
      </c>
      <c r="M389" s="18" t="str">
        <f>iferror(VLOOKUP($D389,Details!$A$2:$C$11,3,false),vlookup($D389,Details!$E$2:$G$11,3,false))</f>
        <v>Fruits and Vegetables</v>
      </c>
      <c r="N389" s="18">
        <f t="shared" si="1"/>
        <v>360</v>
      </c>
      <c r="O389" s="17"/>
      <c r="P389" s="17"/>
      <c r="Q389" s="17"/>
      <c r="R389" s="17"/>
      <c r="S389" s="17"/>
      <c r="T389" s="17"/>
      <c r="U389" s="17"/>
      <c r="V389" s="17"/>
      <c r="W389" s="17"/>
      <c r="X389" s="17"/>
      <c r="Y389" s="17"/>
      <c r="Z389" s="17"/>
    </row>
    <row r="390">
      <c r="A390" s="18" t="str">
        <f>IFERROR(__xludf.DUMMYFUNCTION("""COMPUTED_VALUE"""),"ord_10381")</f>
        <v>ord_10381</v>
      </c>
      <c r="B390" s="18" t="str">
        <f>IFERROR(__xludf.DUMMYFUNCTION("""COMPUTED_VALUE"""),"Mehul Thakkar")</f>
        <v>Mehul Thakkar</v>
      </c>
      <c r="C390" s="18" t="str">
        <f>IFERROR(__xludf.DUMMYFUNCTION("""COMPUTED_VALUE"""),"Malad")</f>
        <v>Malad</v>
      </c>
      <c r="D390" s="18" t="str">
        <f>IFERROR(__xludf.DUMMYFUNCTION("""COMPUTED_VALUE"""),"Chicken Puff")</f>
        <v>Chicken Puff</v>
      </c>
      <c r="E390" s="18">
        <f>IFERROR(__xludf.DUMMYFUNCTION("""COMPUTED_VALUE"""),1.0)</f>
        <v>1</v>
      </c>
      <c r="F390" s="18" t="str">
        <f>IFERROR(__xludf.DUMMYFUNCTION("""COMPUTED_VALUE"""),"Neha Shah")</f>
        <v>Neha Shah</v>
      </c>
      <c r="G390" s="19">
        <f>IFERROR(__xludf.DUMMYFUNCTION("""COMPUTED_VALUE"""),45056.0)</f>
        <v>45056</v>
      </c>
      <c r="H390" s="18" t="str">
        <f>IFERROR(__xludf.DUMMYFUNCTION("""COMPUTED_VALUE"""),"Credit Card")</f>
        <v>Credit Card</v>
      </c>
      <c r="I390" s="18" t="str">
        <f>IFERROR(__xludf.DUMMYFUNCTION("""COMPUTED_VALUE"""),"Cancelled")</f>
        <v>Cancelled</v>
      </c>
      <c r="J390" s="18" t="str">
        <f>IFERROR(__xludf.DUMMYFUNCTION("""COMPUTED_VALUE"""),"Delayed Delivery")</f>
        <v>Delayed Delivery</v>
      </c>
      <c r="K390" s="18" t="str">
        <f>IFERROR(__xludf.DUMMYFUNCTION("""COMPUTED_VALUE"""),"Heavy Traffic")</f>
        <v>Heavy Traffic</v>
      </c>
      <c r="L390" s="18">
        <f>iferror(VLOOKUP($D390,Details!$A$2:$C$11,2,false),vlookup($D390,Details!$E$2:$G$11,2,false))</f>
        <v>90</v>
      </c>
      <c r="M390" s="18" t="str">
        <f>iferror(VLOOKUP($D390,Details!$A$2:$C$11,3,false),vlookup($D390,Details!$E$2:$G$11,3,false))</f>
        <v>Snacks and Drinks</v>
      </c>
      <c r="N390" s="18">
        <f t="shared" si="1"/>
        <v>90</v>
      </c>
      <c r="O390" s="17"/>
      <c r="P390" s="17"/>
      <c r="Q390" s="17"/>
      <c r="R390" s="17"/>
      <c r="S390" s="17"/>
      <c r="T390" s="17"/>
      <c r="U390" s="17"/>
      <c r="V390" s="17"/>
      <c r="W390" s="17"/>
      <c r="X390" s="17"/>
      <c r="Y390" s="17"/>
      <c r="Z390" s="17"/>
    </row>
    <row r="391">
      <c r="A391" s="18" t="str">
        <f>IFERROR(__xludf.DUMMYFUNCTION("""COMPUTED_VALUE"""),"ord_10382")</f>
        <v>ord_10382</v>
      </c>
      <c r="B391" s="18" t="str">
        <f>IFERROR(__xludf.DUMMYFUNCTION("""COMPUTED_VALUE"""),"Pallavi Ghosh")</f>
        <v>Pallavi Ghosh</v>
      </c>
      <c r="C391" s="18" t="str">
        <f>IFERROR(__xludf.DUMMYFUNCTION("""COMPUTED_VALUE"""),"Bandra")</f>
        <v>Bandra</v>
      </c>
      <c r="D391" s="18" t="str">
        <f>IFERROR(__xludf.DUMMYFUNCTION("""COMPUTED_VALUE"""),"Juice")</f>
        <v>Juice</v>
      </c>
      <c r="E391" s="18">
        <f>IFERROR(__xludf.DUMMYFUNCTION("""COMPUTED_VALUE"""),1.0)</f>
        <v>1</v>
      </c>
      <c r="F391" s="18" t="str">
        <f>IFERROR(__xludf.DUMMYFUNCTION("""COMPUTED_VALUE"""),"Shine Thomas")</f>
        <v>Shine Thomas</v>
      </c>
      <c r="G391" s="19">
        <f>IFERROR(__xludf.DUMMYFUNCTION("""COMPUTED_VALUE"""),45086.0)</f>
        <v>45086</v>
      </c>
      <c r="H391" s="18" t="str">
        <f>IFERROR(__xludf.DUMMYFUNCTION("""COMPUTED_VALUE"""),"Online Payment")</f>
        <v>Online Payment</v>
      </c>
      <c r="I391" s="18" t="str">
        <f>IFERROR(__xludf.DUMMYFUNCTION("""COMPUTED_VALUE"""),"Delivered")</f>
        <v>Delivered</v>
      </c>
      <c r="J391" s="18" t="str">
        <f>IFERROR(__xludf.DUMMYFUNCTION("""COMPUTED_VALUE"""),"Quality of Items")</f>
        <v>Quality of Items</v>
      </c>
      <c r="K391" s="18" t="str">
        <f>IFERROR(__xludf.DUMMYFUNCTION("""COMPUTED_VALUE"""),"Perfect condition")</f>
        <v>Perfect condition</v>
      </c>
      <c r="L391" s="18">
        <f>iferror(VLOOKUP($D391,Details!$A$2:$C$11,2,false),vlookup($D391,Details!$E$2:$G$11,2,false))</f>
        <v>90</v>
      </c>
      <c r="M391" s="18" t="str">
        <f>iferror(VLOOKUP($D391,Details!$A$2:$C$11,3,false),vlookup($D391,Details!$E$2:$G$11,3,false))</f>
        <v>Snacks and Drinks</v>
      </c>
      <c r="N391" s="18">
        <f t="shared" si="1"/>
        <v>90</v>
      </c>
      <c r="O391" s="17"/>
      <c r="P391" s="17"/>
      <c r="Q391" s="17"/>
      <c r="R391" s="17"/>
      <c r="S391" s="17"/>
      <c r="T391" s="17"/>
      <c r="U391" s="17"/>
      <c r="V391" s="17"/>
      <c r="W391" s="17"/>
      <c r="X391" s="17"/>
      <c r="Y391" s="17"/>
      <c r="Z391" s="17"/>
    </row>
    <row r="392">
      <c r="A392" s="18" t="str">
        <f>IFERROR(__xludf.DUMMYFUNCTION("""COMPUTED_VALUE"""),"ord_10383")</f>
        <v>ord_10383</v>
      </c>
      <c r="B392" s="18" t="str">
        <f>IFERROR(__xludf.DUMMYFUNCTION("""COMPUTED_VALUE"""),"Aarohi Kapoor")</f>
        <v>Aarohi Kapoor</v>
      </c>
      <c r="C392" s="18" t="str">
        <f>IFERROR(__xludf.DUMMYFUNCTION("""COMPUTED_VALUE"""),"Bandra")</f>
        <v>Bandra</v>
      </c>
      <c r="D392" s="18" t="str">
        <f>IFERROR(__xludf.DUMMYFUNCTION("""COMPUTED_VALUE"""),"Cold Coffee")</f>
        <v>Cold Coffee</v>
      </c>
      <c r="E392" s="18">
        <f>IFERROR(__xludf.DUMMYFUNCTION("""COMPUTED_VALUE"""),4.0)</f>
        <v>4</v>
      </c>
      <c r="F392" s="18" t="str">
        <f>IFERROR(__xludf.DUMMYFUNCTION("""COMPUTED_VALUE"""),"Vivek Kumar")</f>
        <v>Vivek Kumar</v>
      </c>
      <c r="G392" s="19">
        <f>IFERROR(__xludf.DUMMYFUNCTION("""COMPUTED_VALUE"""),45170.0)</f>
        <v>45170</v>
      </c>
      <c r="H392" s="18" t="str">
        <f>IFERROR(__xludf.DUMMYFUNCTION("""COMPUTED_VALUE"""),"Credit Card")</f>
        <v>Credit Card</v>
      </c>
      <c r="I392" s="18" t="str">
        <f>IFERROR(__xludf.DUMMYFUNCTION("""COMPUTED_VALUE"""),"Delivered")</f>
        <v>Delivered</v>
      </c>
      <c r="J392" s="18" t="str">
        <f>IFERROR(__xludf.DUMMYFUNCTION("""COMPUTED_VALUE"""),"On-time Delivery")</f>
        <v>On-time Delivery</v>
      </c>
      <c r="K392" s="18" t="str">
        <f>IFERROR(__xludf.DUMMYFUNCTION("""COMPUTED_VALUE"""),"Delivered on time")</f>
        <v>Delivered on time</v>
      </c>
      <c r="L392" s="18">
        <f>iferror(VLOOKUP($D392,Details!$A$2:$C$11,2,false),vlookup($D392,Details!$E$2:$G$11,2,false))</f>
        <v>270</v>
      </c>
      <c r="M392" s="18" t="str">
        <f>iferror(VLOOKUP($D392,Details!$A$2:$C$11,3,false),vlookup($D392,Details!$E$2:$G$11,3,false))</f>
        <v>Snacks and Drinks</v>
      </c>
      <c r="N392" s="18">
        <f t="shared" si="1"/>
        <v>1080</v>
      </c>
      <c r="O392" s="17"/>
      <c r="P392" s="17"/>
      <c r="Q392" s="17"/>
      <c r="R392" s="17"/>
      <c r="S392" s="17"/>
      <c r="T392" s="17"/>
      <c r="U392" s="17"/>
      <c r="V392" s="17"/>
      <c r="W392" s="17"/>
      <c r="X392" s="17"/>
      <c r="Y392" s="17"/>
      <c r="Z392" s="17"/>
    </row>
    <row r="393">
      <c r="A393" s="18" t="str">
        <f>IFERROR(__xludf.DUMMYFUNCTION("""COMPUTED_VALUE"""),"ord_10384")</f>
        <v>ord_10384</v>
      </c>
      <c r="B393" s="18" t="str">
        <f>IFERROR(__xludf.DUMMYFUNCTION("""COMPUTED_VALUE"""),"Simran Bhatt")</f>
        <v>Simran Bhatt</v>
      </c>
      <c r="C393" s="18" t="str">
        <f>IFERROR(__xludf.DUMMYFUNCTION("""COMPUTED_VALUE"""),"Juhu")</f>
        <v>Juhu</v>
      </c>
      <c r="D393" s="18" t="str">
        <f>IFERROR(__xludf.DUMMYFUNCTION("""COMPUTED_VALUE"""),"Tiramisu")</f>
        <v>Tiramisu</v>
      </c>
      <c r="E393" s="18">
        <f>IFERROR(__xludf.DUMMYFUNCTION("""COMPUTED_VALUE"""),1.0)</f>
        <v>1</v>
      </c>
      <c r="F393" s="18" t="str">
        <f>IFERROR(__xludf.DUMMYFUNCTION("""COMPUTED_VALUE"""),"Tanvi Jain")</f>
        <v>Tanvi Jain</v>
      </c>
      <c r="G393" s="19">
        <f>IFERROR(__xludf.DUMMYFUNCTION("""COMPUTED_VALUE"""),45235.0)</f>
        <v>45235</v>
      </c>
      <c r="H393" s="18" t="str">
        <f>IFERROR(__xludf.DUMMYFUNCTION("""COMPUTED_VALUE"""),"Credit Card")</f>
        <v>Credit Card</v>
      </c>
      <c r="I393" s="18" t="str">
        <f>IFERROR(__xludf.DUMMYFUNCTION("""COMPUTED_VALUE"""),"Delivered")</f>
        <v>Delivered</v>
      </c>
      <c r="J393" s="18" t="str">
        <f>IFERROR(__xludf.DUMMYFUNCTION("""COMPUTED_VALUE"""),"Quality of Items")</f>
        <v>Quality of Items</v>
      </c>
      <c r="K393" s="18" t="str">
        <f>IFERROR(__xludf.DUMMYFUNCTION("""COMPUTED_VALUE"""),"Perfect condition")</f>
        <v>Perfect condition</v>
      </c>
      <c r="L393" s="18">
        <f>iferror(VLOOKUP($D393,Details!$A$2:$C$11,2,false),vlookup($D393,Details!$E$2:$G$11,2,false))</f>
        <v>150</v>
      </c>
      <c r="M393" s="18" t="str">
        <f>iferror(VLOOKUP($D393,Details!$A$2:$C$11,3,false),vlookup($D393,Details!$E$2:$G$11,3,false))</f>
        <v>Snacks and Drinks</v>
      </c>
      <c r="N393" s="18">
        <f t="shared" si="1"/>
        <v>150</v>
      </c>
      <c r="O393" s="17"/>
      <c r="P393" s="17"/>
      <c r="Q393" s="17"/>
      <c r="R393" s="17"/>
      <c r="S393" s="17"/>
      <c r="T393" s="17"/>
      <c r="U393" s="17"/>
      <c r="V393" s="17"/>
      <c r="W393" s="17"/>
      <c r="X393" s="17"/>
      <c r="Y393" s="17"/>
      <c r="Z393" s="17"/>
    </row>
    <row r="394">
      <c r="A394" s="18" t="str">
        <f>IFERROR(__xludf.DUMMYFUNCTION("""COMPUTED_VALUE"""),"ord_10385")</f>
        <v>ord_10385</v>
      </c>
      <c r="B394" s="18" t="str">
        <f>IFERROR(__xludf.DUMMYFUNCTION("""COMPUTED_VALUE"""),"Diya Arora")</f>
        <v>Diya Arora</v>
      </c>
      <c r="C394" s="18" t="str">
        <f>IFERROR(__xludf.DUMMYFUNCTION("""COMPUTED_VALUE"""),"Lower Parel")</f>
        <v>Lower Parel</v>
      </c>
      <c r="D394" s="18" t="str">
        <f>IFERROR(__xludf.DUMMYFUNCTION("""COMPUTED_VALUE"""),"Veg Puff")</f>
        <v>Veg Puff</v>
      </c>
      <c r="E394" s="18">
        <f>IFERROR(__xludf.DUMMYFUNCTION("""COMPUTED_VALUE"""),5.0)</f>
        <v>5</v>
      </c>
      <c r="F394" s="18" t="str">
        <f>IFERROR(__xludf.DUMMYFUNCTION("""COMPUTED_VALUE"""),"Kiran Mehta")</f>
        <v>Kiran Mehta</v>
      </c>
      <c r="G394" s="19">
        <f>IFERROR(__xludf.DUMMYFUNCTION("""COMPUTED_VALUE"""),44999.0)</f>
        <v>44999</v>
      </c>
      <c r="H394" s="18" t="str">
        <f>IFERROR(__xludf.DUMMYFUNCTION("""COMPUTED_VALUE"""),"Online Payment")</f>
        <v>Online Payment</v>
      </c>
      <c r="I394" s="18" t="str">
        <f>IFERROR(__xludf.DUMMYFUNCTION("""COMPUTED_VALUE"""),"Delivered")</f>
        <v>Delivered</v>
      </c>
      <c r="J394" s="18" t="str">
        <f>IFERROR(__xludf.DUMMYFUNCTION("""COMPUTED_VALUE"""),"Packaging")</f>
        <v>Packaging</v>
      </c>
      <c r="K394" s="18" t="str">
        <f>IFERROR(__xludf.DUMMYFUNCTION("""COMPUTED_VALUE"""),"Secure and intact")</f>
        <v>Secure and intact</v>
      </c>
      <c r="L394" s="18">
        <f>iferror(VLOOKUP($D394,Details!$A$2:$C$11,2,false),vlookup($D394,Details!$E$2:$G$11,2,false))</f>
        <v>80</v>
      </c>
      <c r="M394" s="18" t="str">
        <f>iferror(VLOOKUP($D394,Details!$A$2:$C$11,3,false),vlookup($D394,Details!$E$2:$G$11,3,false))</f>
        <v>Snacks and Drinks</v>
      </c>
      <c r="N394" s="18">
        <f t="shared" si="1"/>
        <v>400</v>
      </c>
      <c r="O394" s="17"/>
      <c r="P394" s="17"/>
      <c r="Q394" s="17"/>
      <c r="R394" s="17"/>
      <c r="S394" s="17"/>
      <c r="T394" s="17"/>
      <c r="U394" s="17"/>
      <c r="V394" s="17"/>
      <c r="W394" s="17"/>
      <c r="X394" s="17"/>
      <c r="Y394" s="17"/>
      <c r="Z394" s="17"/>
    </row>
    <row r="395">
      <c r="A395" s="18" t="str">
        <f>IFERROR(__xludf.DUMMYFUNCTION("""COMPUTED_VALUE"""),"ord_10386")</f>
        <v>ord_10386</v>
      </c>
      <c r="B395" s="18" t="str">
        <f>IFERROR(__xludf.DUMMYFUNCTION("""COMPUTED_VALUE"""),"Mehul Thakkar")</f>
        <v>Mehul Thakkar</v>
      </c>
      <c r="C395" s="18" t="str">
        <f>IFERROR(__xludf.DUMMYFUNCTION("""COMPUTED_VALUE"""),"Malad")</f>
        <v>Malad</v>
      </c>
      <c r="D395" s="18" t="str">
        <f>IFERROR(__xludf.DUMMYFUNCTION("""COMPUTED_VALUE"""),"Cucumber")</f>
        <v>Cucumber</v>
      </c>
      <c r="E395" s="18">
        <f>IFERROR(__xludf.DUMMYFUNCTION("""COMPUTED_VALUE"""),2.0)</f>
        <v>2</v>
      </c>
      <c r="F395" s="18" t="str">
        <f>IFERROR(__xludf.DUMMYFUNCTION("""COMPUTED_VALUE"""),"Ram Gopal")</f>
        <v>Ram Gopal</v>
      </c>
      <c r="G395" s="19">
        <f>IFERROR(__xludf.DUMMYFUNCTION("""COMPUTED_VALUE"""),45033.0)</f>
        <v>45033</v>
      </c>
      <c r="H395" s="18" t="str">
        <f>IFERROR(__xludf.DUMMYFUNCTION("""COMPUTED_VALUE"""),"Credit Card")</f>
        <v>Credit Card</v>
      </c>
      <c r="I395" s="18" t="str">
        <f>IFERROR(__xludf.DUMMYFUNCTION("""COMPUTED_VALUE"""),"Cancelled")</f>
        <v>Cancelled</v>
      </c>
      <c r="J395" s="18" t="str">
        <f>IFERROR(__xludf.DUMMYFUNCTION("""COMPUTED_VALUE"""),"Delayed Delivery")</f>
        <v>Delayed Delivery</v>
      </c>
      <c r="K395" s="18" t="str">
        <f>IFERROR(__xludf.DUMMYFUNCTION("""COMPUTED_VALUE"""),"Incorrect Address or Location")</f>
        <v>Incorrect Address or Location</v>
      </c>
      <c r="L395" s="18">
        <f>iferror(VLOOKUP($D395,Details!$A$2:$C$11,2,false),vlookup($D395,Details!$E$2:$G$11,2,false))</f>
        <v>30</v>
      </c>
      <c r="M395" s="18" t="str">
        <f>iferror(VLOOKUP($D395,Details!$A$2:$C$11,3,false),vlookup($D395,Details!$E$2:$G$11,3,false))</f>
        <v>Fruits and Vegetables</v>
      </c>
      <c r="N395" s="18">
        <f t="shared" si="1"/>
        <v>60</v>
      </c>
      <c r="O395" s="17"/>
      <c r="P395" s="17"/>
      <c r="Q395" s="17"/>
      <c r="R395" s="17"/>
      <c r="S395" s="17"/>
      <c r="T395" s="17"/>
      <c r="U395" s="17"/>
      <c r="V395" s="17"/>
      <c r="W395" s="17"/>
      <c r="X395" s="17"/>
      <c r="Y395" s="17"/>
      <c r="Z395" s="17"/>
    </row>
    <row r="396">
      <c r="A396" s="18" t="str">
        <f>IFERROR(__xludf.DUMMYFUNCTION("""COMPUTED_VALUE"""),"ord_10387")</f>
        <v>ord_10387</v>
      </c>
      <c r="B396" s="18" t="str">
        <f>IFERROR(__xludf.DUMMYFUNCTION("""COMPUTED_VALUE"""),"Diya Arora")</f>
        <v>Diya Arora</v>
      </c>
      <c r="C396" s="18" t="str">
        <f>IFERROR(__xludf.DUMMYFUNCTION("""COMPUTED_VALUE"""),"Lower Parel")</f>
        <v>Lower Parel</v>
      </c>
      <c r="D396" s="18" t="str">
        <f>IFERROR(__xludf.DUMMYFUNCTION("""COMPUTED_VALUE"""),"Onion")</f>
        <v>Onion</v>
      </c>
      <c r="E396" s="18">
        <f>IFERROR(__xludf.DUMMYFUNCTION("""COMPUTED_VALUE"""),1.0)</f>
        <v>1</v>
      </c>
      <c r="F396" s="18" t="str">
        <f>IFERROR(__xludf.DUMMYFUNCTION("""COMPUTED_VALUE"""),"Kiran Mehta")</f>
        <v>Kiran Mehta</v>
      </c>
      <c r="G396" s="19">
        <f>IFERROR(__xludf.DUMMYFUNCTION("""COMPUTED_VALUE"""),45009.0)</f>
        <v>45009</v>
      </c>
      <c r="H396" s="18" t="str">
        <f>IFERROR(__xludf.DUMMYFUNCTION("""COMPUTED_VALUE"""),"COD")</f>
        <v>COD</v>
      </c>
      <c r="I396" s="18" t="str">
        <f>IFERROR(__xludf.DUMMYFUNCTION("""COMPUTED_VALUE"""),"Delivered")</f>
        <v>Delivered</v>
      </c>
      <c r="J396" s="18" t="str">
        <f>IFERROR(__xludf.DUMMYFUNCTION("""COMPUTED_VALUE"""),"Satisfied with the Delivery")</f>
        <v>Satisfied with the Delivery</v>
      </c>
      <c r="K396" s="18" t="str">
        <f>IFERROR(__xludf.DUMMYFUNCTION("""COMPUTED_VALUE"""),"Timely and quality")</f>
        <v>Timely and quality</v>
      </c>
      <c r="L396" s="18">
        <f>iferror(VLOOKUP($D396,Details!$A$2:$C$11,2,false),vlookup($D396,Details!$E$2:$G$11,2,false))</f>
        <v>84</v>
      </c>
      <c r="M396" s="18" t="str">
        <f>iferror(VLOOKUP($D396,Details!$A$2:$C$11,3,false),vlookup($D396,Details!$E$2:$G$11,3,false))</f>
        <v>Fruits and Vegetables</v>
      </c>
      <c r="N396" s="18">
        <f t="shared" si="1"/>
        <v>84</v>
      </c>
      <c r="O396" s="17"/>
      <c r="P396" s="17"/>
      <c r="Q396" s="17"/>
      <c r="R396" s="17"/>
      <c r="S396" s="17"/>
      <c r="T396" s="17"/>
      <c r="U396" s="17"/>
      <c r="V396" s="17"/>
      <c r="W396" s="17"/>
      <c r="X396" s="17"/>
      <c r="Y396" s="17"/>
      <c r="Z396" s="17"/>
    </row>
    <row r="397">
      <c r="A397" s="18" t="str">
        <f>IFERROR(__xludf.DUMMYFUNCTION("""COMPUTED_VALUE"""),"ord_10388")</f>
        <v>ord_10388</v>
      </c>
      <c r="B397" s="18" t="str">
        <f>IFERROR(__xludf.DUMMYFUNCTION("""COMPUTED_VALUE"""),"Mehul Thakkar")</f>
        <v>Mehul Thakkar</v>
      </c>
      <c r="C397" s="18" t="str">
        <f>IFERROR(__xludf.DUMMYFUNCTION("""COMPUTED_VALUE"""),"Malad")</f>
        <v>Malad</v>
      </c>
      <c r="D397" s="18" t="str">
        <f>IFERROR(__xludf.DUMMYFUNCTION("""COMPUTED_VALUE"""),"Rasmalai")</f>
        <v>Rasmalai</v>
      </c>
      <c r="E397" s="18">
        <f>IFERROR(__xludf.DUMMYFUNCTION("""COMPUTED_VALUE"""),5.0)</f>
        <v>5</v>
      </c>
      <c r="F397" s="18" t="str">
        <f>IFERROR(__xludf.DUMMYFUNCTION("""COMPUTED_VALUE"""),"Priya Joshi")</f>
        <v>Priya Joshi</v>
      </c>
      <c r="G397" s="19">
        <f>IFERROR(__xludf.DUMMYFUNCTION("""COMPUTED_VALUE"""),45082.0)</f>
        <v>45082</v>
      </c>
      <c r="H397" s="18" t="str">
        <f>IFERROR(__xludf.DUMMYFUNCTION("""COMPUTED_VALUE"""),"Online Payment")</f>
        <v>Online Payment</v>
      </c>
      <c r="I397" s="18" t="str">
        <f>IFERROR(__xludf.DUMMYFUNCTION("""COMPUTED_VALUE"""),"Cancelled")</f>
        <v>Cancelled</v>
      </c>
      <c r="J397" s="18" t="str">
        <f>IFERROR(__xludf.DUMMYFUNCTION("""COMPUTED_VALUE"""),"Delayed Delivery")</f>
        <v>Delayed Delivery</v>
      </c>
      <c r="K397" s="18" t="str">
        <f>IFERROR(__xludf.DUMMYFUNCTION("""COMPUTED_VALUE"""),"Bad Weather Conditions")</f>
        <v>Bad Weather Conditions</v>
      </c>
      <c r="L397" s="18">
        <f>iferror(VLOOKUP($D397,Details!$A$2:$C$11,2,false),vlookup($D397,Details!$E$2:$G$11,2,false))</f>
        <v>110</v>
      </c>
      <c r="M397" s="18" t="str">
        <f>iferror(VLOOKUP($D397,Details!$A$2:$C$11,3,false),vlookup($D397,Details!$E$2:$G$11,3,false))</f>
        <v>Snacks and Drinks</v>
      </c>
      <c r="N397" s="18">
        <f t="shared" si="1"/>
        <v>550</v>
      </c>
      <c r="O397" s="17"/>
      <c r="P397" s="17"/>
      <c r="Q397" s="17"/>
      <c r="R397" s="17"/>
      <c r="S397" s="17"/>
      <c r="T397" s="17"/>
      <c r="U397" s="17"/>
      <c r="V397" s="17"/>
      <c r="W397" s="17"/>
      <c r="X397" s="17"/>
      <c r="Y397" s="17"/>
      <c r="Z397" s="17"/>
    </row>
    <row r="398">
      <c r="A398" s="18" t="str">
        <f>IFERROR(__xludf.DUMMYFUNCTION("""COMPUTED_VALUE"""),"ord_10389")</f>
        <v>ord_10389</v>
      </c>
      <c r="B398" s="18" t="str">
        <f>IFERROR(__xludf.DUMMYFUNCTION("""COMPUTED_VALUE"""),"Dev Chauhan")</f>
        <v>Dev Chauhan</v>
      </c>
      <c r="C398" s="18" t="str">
        <f>IFERROR(__xludf.DUMMYFUNCTION("""COMPUTED_VALUE"""),"Bandra")</f>
        <v>Bandra</v>
      </c>
      <c r="D398" s="18" t="str">
        <f>IFERROR(__xludf.DUMMYFUNCTION("""COMPUTED_VALUE"""),"Cold Coffee")</f>
        <v>Cold Coffee</v>
      </c>
      <c r="E398" s="18">
        <f>IFERROR(__xludf.DUMMYFUNCTION("""COMPUTED_VALUE"""),2.0)</f>
        <v>2</v>
      </c>
      <c r="F398" s="18" t="str">
        <f>IFERROR(__xludf.DUMMYFUNCTION("""COMPUTED_VALUE"""),"Shine Thomas")</f>
        <v>Shine Thomas</v>
      </c>
      <c r="G398" s="19">
        <f>IFERROR(__xludf.DUMMYFUNCTION("""COMPUTED_VALUE"""),44939.0)</f>
        <v>44939</v>
      </c>
      <c r="H398" s="18" t="str">
        <f>IFERROR(__xludf.DUMMYFUNCTION("""COMPUTED_VALUE"""),"Online Payment")</f>
        <v>Online Payment</v>
      </c>
      <c r="I398" s="18" t="str">
        <f>IFERROR(__xludf.DUMMYFUNCTION("""COMPUTED_VALUE"""),"Delivered")</f>
        <v>Delivered</v>
      </c>
      <c r="J398" s="18" t="str">
        <f>IFERROR(__xludf.DUMMYFUNCTION("""COMPUTED_VALUE"""),"Customer Service")</f>
        <v>Customer Service</v>
      </c>
      <c r="K398" s="18" t="str">
        <f>IFERROR(__xludf.DUMMYFUNCTION("""COMPUTED_VALUE"""),"Seamless and easy")</f>
        <v>Seamless and easy</v>
      </c>
      <c r="L398" s="18">
        <f>iferror(VLOOKUP($D398,Details!$A$2:$C$11,2,false),vlookup($D398,Details!$E$2:$G$11,2,false))</f>
        <v>270</v>
      </c>
      <c r="M398" s="18" t="str">
        <f>iferror(VLOOKUP($D398,Details!$A$2:$C$11,3,false),vlookup($D398,Details!$E$2:$G$11,3,false))</f>
        <v>Snacks and Drinks</v>
      </c>
      <c r="N398" s="18">
        <f t="shared" si="1"/>
        <v>540</v>
      </c>
      <c r="O398" s="17"/>
      <c r="P398" s="17"/>
      <c r="Q398" s="17"/>
      <c r="R398" s="17"/>
      <c r="S398" s="17"/>
      <c r="T398" s="17"/>
      <c r="U398" s="17"/>
      <c r="V398" s="17"/>
      <c r="W398" s="17"/>
      <c r="X398" s="17"/>
      <c r="Y398" s="17"/>
      <c r="Z398" s="17"/>
    </row>
    <row r="399">
      <c r="A399" s="18" t="str">
        <f>IFERROR(__xludf.DUMMYFUNCTION("""COMPUTED_VALUE"""),"ord_10390")</f>
        <v>ord_10390</v>
      </c>
      <c r="B399" s="18" t="str">
        <f>IFERROR(__xludf.DUMMYFUNCTION("""COMPUTED_VALUE"""),"Ishaan Chaturvedi")</f>
        <v>Ishaan Chaturvedi</v>
      </c>
      <c r="C399" s="18" t="str">
        <f>IFERROR(__xludf.DUMMYFUNCTION("""COMPUTED_VALUE"""),"Bandra")</f>
        <v>Bandra</v>
      </c>
      <c r="D399" s="18" t="str">
        <f>IFERROR(__xludf.DUMMYFUNCTION("""COMPUTED_VALUE"""),"Juice")</f>
        <v>Juice</v>
      </c>
      <c r="E399" s="18">
        <f>IFERROR(__xludf.DUMMYFUNCTION("""COMPUTED_VALUE"""),4.0)</f>
        <v>4</v>
      </c>
      <c r="F399" s="18" t="str">
        <f>IFERROR(__xludf.DUMMYFUNCTION("""COMPUTED_VALUE"""),"Vivek Kumar")</f>
        <v>Vivek Kumar</v>
      </c>
      <c r="G399" s="19">
        <f>IFERROR(__xludf.DUMMYFUNCTION("""COMPUTED_VALUE"""),45067.0)</f>
        <v>45067</v>
      </c>
      <c r="H399" s="18" t="str">
        <f>IFERROR(__xludf.DUMMYFUNCTION("""COMPUTED_VALUE"""),"UPI")</f>
        <v>UPI</v>
      </c>
      <c r="I399" s="18" t="str">
        <f>IFERROR(__xludf.DUMMYFUNCTION("""COMPUTED_VALUE"""),"Delivered")</f>
        <v>Delivered</v>
      </c>
      <c r="J399" s="18" t="str">
        <f>IFERROR(__xludf.DUMMYFUNCTION("""COMPUTED_VALUE"""),"Delivery Experience")</f>
        <v>Delivery Experience</v>
      </c>
      <c r="K399" s="18" t="str">
        <f>IFERROR(__xludf.DUMMYFUNCTION("""COMPUTED_VALUE"""),"Quick and professional")</f>
        <v>Quick and professional</v>
      </c>
      <c r="L399" s="18">
        <f>iferror(VLOOKUP($D399,Details!$A$2:$C$11,2,false),vlookup($D399,Details!$E$2:$G$11,2,false))</f>
        <v>90</v>
      </c>
      <c r="M399" s="18" t="str">
        <f>iferror(VLOOKUP($D399,Details!$A$2:$C$11,3,false),vlookup($D399,Details!$E$2:$G$11,3,false))</f>
        <v>Snacks and Drinks</v>
      </c>
      <c r="N399" s="18">
        <f t="shared" si="1"/>
        <v>360</v>
      </c>
      <c r="O399" s="17"/>
      <c r="P399" s="17"/>
      <c r="Q399" s="17"/>
      <c r="R399" s="17"/>
      <c r="S399" s="17"/>
      <c r="T399" s="17"/>
      <c r="U399" s="17"/>
      <c r="V399" s="17"/>
      <c r="W399" s="17"/>
      <c r="X399" s="17"/>
      <c r="Y399" s="17"/>
      <c r="Z399" s="17"/>
    </row>
    <row r="400">
      <c r="A400" s="18" t="str">
        <f>IFERROR(__xludf.DUMMYFUNCTION("""COMPUTED_VALUE"""),"ord_10391")</f>
        <v>ord_10391</v>
      </c>
      <c r="B400" s="18" t="str">
        <f>IFERROR(__xludf.DUMMYFUNCTION("""COMPUTED_VALUE"""),"Sanjay Nair")</f>
        <v>Sanjay Nair</v>
      </c>
      <c r="C400" s="18" t="str">
        <f>IFERROR(__xludf.DUMMYFUNCTION("""COMPUTED_VALUE"""),"Dadar")</f>
        <v>Dadar</v>
      </c>
      <c r="D400" s="18" t="str">
        <f>IFERROR(__xludf.DUMMYFUNCTION("""COMPUTED_VALUE"""),"Juice")</f>
        <v>Juice</v>
      </c>
      <c r="E400" s="18">
        <f>IFERROR(__xludf.DUMMYFUNCTION("""COMPUTED_VALUE"""),2.0)</f>
        <v>2</v>
      </c>
      <c r="F400" s="18" t="str">
        <f>IFERROR(__xludf.DUMMYFUNCTION("""COMPUTED_VALUE"""),"Vivek Kumar")</f>
        <v>Vivek Kumar</v>
      </c>
      <c r="G400" s="19">
        <f>IFERROR(__xludf.DUMMYFUNCTION("""COMPUTED_VALUE"""),45085.0)</f>
        <v>45085</v>
      </c>
      <c r="H400" s="18" t="str">
        <f>IFERROR(__xludf.DUMMYFUNCTION("""COMPUTED_VALUE"""),"Credit Card")</f>
        <v>Credit Card</v>
      </c>
      <c r="I400" s="18" t="str">
        <f>IFERROR(__xludf.DUMMYFUNCTION("""COMPUTED_VALUE"""),"Delivered")</f>
        <v>Delivered</v>
      </c>
      <c r="J400" s="18" t="str">
        <f>IFERROR(__xludf.DUMMYFUNCTION("""COMPUTED_VALUE"""),"Convenience")</f>
        <v>Convenience</v>
      </c>
      <c r="K400" s="18" t="str">
        <f>IFERROR(__xludf.DUMMYFUNCTION("""COMPUTED_VALUE"""),"Easy tracking")</f>
        <v>Easy tracking</v>
      </c>
      <c r="L400" s="18">
        <f>iferror(VLOOKUP($D400,Details!$A$2:$C$11,2,false),vlookup($D400,Details!$E$2:$G$11,2,false))</f>
        <v>90</v>
      </c>
      <c r="M400" s="18" t="str">
        <f>iferror(VLOOKUP($D400,Details!$A$2:$C$11,3,false),vlookup($D400,Details!$E$2:$G$11,3,false))</f>
        <v>Snacks and Drinks</v>
      </c>
      <c r="N400" s="18">
        <f t="shared" si="1"/>
        <v>180</v>
      </c>
      <c r="O400" s="17"/>
      <c r="P400" s="17"/>
      <c r="Q400" s="17"/>
      <c r="R400" s="17"/>
      <c r="S400" s="17"/>
      <c r="T400" s="17"/>
      <c r="U400" s="17"/>
      <c r="V400" s="17"/>
      <c r="W400" s="17"/>
      <c r="X400" s="17"/>
      <c r="Y400" s="17"/>
      <c r="Z400" s="17"/>
    </row>
    <row r="401">
      <c r="A401" s="18" t="str">
        <f>IFERROR(__xludf.DUMMYFUNCTION("""COMPUTED_VALUE"""),"ord_10392")</f>
        <v>ord_10392</v>
      </c>
      <c r="B401" s="18" t="str">
        <f>IFERROR(__xludf.DUMMYFUNCTION("""COMPUTED_VALUE"""),"Ishita Banerjee")</f>
        <v>Ishita Banerjee</v>
      </c>
      <c r="C401" s="18" t="str">
        <f>IFERROR(__xludf.DUMMYFUNCTION("""COMPUTED_VALUE"""),"Juhu")</f>
        <v>Juhu</v>
      </c>
      <c r="D401" s="18" t="str">
        <f>IFERROR(__xludf.DUMMYFUNCTION("""COMPUTED_VALUE"""),"Chicken Puff")</f>
        <v>Chicken Puff</v>
      </c>
      <c r="E401" s="18">
        <f>IFERROR(__xludf.DUMMYFUNCTION("""COMPUTED_VALUE"""),3.0)</f>
        <v>3</v>
      </c>
      <c r="F401" s="18" t="str">
        <f>IFERROR(__xludf.DUMMYFUNCTION("""COMPUTED_VALUE"""),"Manju Ajay")</f>
        <v>Manju Ajay</v>
      </c>
      <c r="G401" s="19">
        <f>IFERROR(__xludf.DUMMYFUNCTION("""COMPUTED_VALUE"""),45218.0)</f>
        <v>45218</v>
      </c>
      <c r="H401" s="18" t="str">
        <f>IFERROR(__xludf.DUMMYFUNCTION("""COMPUTED_VALUE"""),"UPI")</f>
        <v>UPI</v>
      </c>
      <c r="I401" s="18" t="str">
        <f>IFERROR(__xludf.DUMMYFUNCTION("""COMPUTED_VALUE"""),"Delivered")</f>
        <v>Delivered</v>
      </c>
      <c r="J401" s="18" t="str">
        <f>IFERROR(__xludf.DUMMYFUNCTION("""COMPUTED_VALUE"""),"Overall Satisfaction")</f>
        <v>Overall Satisfaction</v>
      </c>
      <c r="K401" s="18" t="str">
        <f>IFERROR(__xludf.DUMMYFUNCTION("""COMPUTED_VALUE"""),"Great service will order again")</f>
        <v>Great service will order again</v>
      </c>
      <c r="L401" s="18">
        <f>iferror(VLOOKUP($D401,Details!$A$2:$C$11,2,false),vlookup($D401,Details!$E$2:$G$11,2,false))</f>
        <v>90</v>
      </c>
      <c r="M401" s="18" t="str">
        <f>iferror(VLOOKUP($D401,Details!$A$2:$C$11,3,false),vlookup($D401,Details!$E$2:$G$11,3,false))</f>
        <v>Snacks and Drinks</v>
      </c>
      <c r="N401" s="18">
        <f t="shared" si="1"/>
        <v>270</v>
      </c>
      <c r="O401" s="17"/>
      <c r="P401" s="17"/>
      <c r="Q401" s="17"/>
      <c r="R401" s="17"/>
      <c r="S401" s="17"/>
      <c r="T401" s="17"/>
      <c r="U401" s="17"/>
      <c r="V401" s="17"/>
      <c r="W401" s="17"/>
      <c r="X401" s="17"/>
      <c r="Y401" s="17"/>
      <c r="Z401" s="17"/>
    </row>
    <row r="402">
      <c r="A402" s="18" t="str">
        <f>IFERROR(__xludf.DUMMYFUNCTION("""COMPUTED_VALUE"""),"ord_10393")</f>
        <v>ord_10393</v>
      </c>
      <c r="B402" s="18" t="str">
        <f>IFERROR(__xludf.DUMMYFUNCTION("""COMPUTED_VALUE"""),"Dev Chauhan")</f>
        <v>Dev Chauhan</v>
      </c>
      <c r="C402" s="18" t="str">
        <f>IFERROR(__xludf.DUMMYFUNCTION("""COMPUTED_VALUE"""),"Bandra")</f>
        <v>Bandra</v>
      </c>
      <c r="D402" s="18" t="str">
        <f>IFERROR(__xludf.DUMMYFUNCTION("""COMPUTED_VALUE"""),"Papaya")</f>
        <v>Papaya</v>
      </c>
      <c r="E402" s="18">
        <f>IFERROR(__xludf.DUMMYFUNCTION("""COMPUTED_VALUE"""),1.0)</f>
        <v>1</v>
      </c>
      <c r="F402" s="18" t="str">
        <f>IFERROR(__xludf.DUMMYFUNCTION("""COMPUTED_VALUE"""),"Ramesh S")</f>
        <v>Ramesh S</v>
      </c>
      <c r="G402" s="19">
        <f>IFERROR(__xludf.DUMMYFUNCTION("""COMPUTED_VALUE"""),45209.0)</f>
        <v>45209</v>
      </c>
      <c r="H402" s="18" t="str">
        <f>IFERROR(__xludf.DUMMYFUNCTION("""COMPUTED_VALUE"""),"COD")</f>
        <v>COD</v>
      </c>
      <c r="I402" s="18" t="str">
        <f>IFERROR(__xludf.DUMMYFUNCTION("""COMPUTED_VALUE"""),"Delivered")</f>
        <v>Delivered</v>
      </c>
      <c r="J402" s="18" t="str">
        <f>IFERROR(__xludf.DUMMYFUNCTION("""COMPUTED_VALUE"""),"On-time Delivery")</f>
        <v>On-time Delivery</v>
      </c>
      <c r="K402" s="18" t="str">
        <f>IFERROR(__xludf.DUMMYFUNCTION("""COMPUTED_VALUE"""),"Delivered on time")</f>
        <v>Delivered on time</v>
      </c>
      <c r="L402" s="18">
        <f>iferror(VLOOKUP($D402,Details!$A$2:$C$11,2,false),vlookup($D402,Details!$E$2:$G$11,2,false))</f>
        <v>75</v>
      </c>
      <c r="M402" s="18" t="str">
        <f>iferror(VLOOKUP($D402,Details!$A$2:$C$11,3,false),vlookup($D402,Details!$E$2:$G$11,3,false))</f>
        <v>Fruits and Vegetables</v>
      </c>
      <c r="N402" s="18">
        <f t="shared" si="1"/>
        <v>75</v>
      </c>
      <c r="O402" s="17"/>
      <c r="P402" s="17"/>
      <c r="Q402" s="17"/>
      <c r="R402" s="17"/>
      <c r="S402" s="17"/>
      <c r="T402" s="17"/>
      <c r="U402" s="17"/>
      <c r="V402" s="17"/>
      <c r="W402" s="17"/>
      <c r="X402" s="17"/>
      <c r="Y402" s="17"/>
      <c r="Z402" s="17"/>
    </row>
    <row r="403">
      <c r="A403" s="18" t="str">
        <f>IFERROR(__xludf.DUMMYFUNCTION("""COMPUTED_VALUE"""),"ord_10394")</f>
        <v>ord_10394</v>
      </c>
      <c r="B403" s="18" t="str">
        <f>IFERROR(__xludf.DUMMYFUNCTION("""COMPUTED_VALUE"""),"Aarav Mehta")</f>
        <v>Aarav Mehta</v>
      </c>
      <c r="C403" s="18" t="str">
        <f>IFERROR(__xludf.DUMMYFUNCTION("""COMPUTED_VALUE"""),"Andheri")</f>
        <v>Andheri</v>
      </c>
      <c r="D403" s="18" t="str">
        <f>IFERROR(__xludf.DUMMYFUNCTION("""COMPUTED_VALUE"""),"Apple")</f>
        <v>Apple</v>
      </c>
      <c r="E403" s="18">
        <f>IFERROR(__xludf.DUMMYFUNCTION("""COMPUTED_VALUE"""),1.0)</f>
        <v>1</v>
      </c>
      <c r="F403" s="18" t="str">
        <f>IFERROR(__xludf.DUMMYFUNCTION("""COMPUTED_VALUE"""),"Vivek Kumar")</f>
        <v>Vivek Kumar</v>
      </c>
      <c r="G403" s="19">
        <f>IFERROR(__xludf.DUMMYFUNCTION("""COMPUTED_VALUE"""),45275.0)</f>
        <v>45275</v>
      </c>
      <c r="H403" s="18" t="str">
        <f>IFERROR(__xludf.DUMMYFUNCTION("""COMPUTED_VALUE"""),"UPI")</f>
        <v>UPI</v>
      </c>
      <c r="I403" s="18" t="str">
        <f>IFERROR(__xludf.DUMMYFUNCTION("""COMPUTED_VALUE"""),"Delivered")</f>
        <v>Delivered</v>
      </c>
      <c r="J403" s="18" t="str">
        <f>IFERROR(__xludf.DUMMYFUNCTION("""COMPUTED_VALUE"""),"Quality of Items")</f>
        <v>Quality of Items</v>
      </c>
      <c r="K403" s="18" t="str">
        <f>IFERROR(__xludf.DUMMYFUNCTION("""COMPUTED_VALUE"""),"Perfect condition")</f>
        <v>Perfect condition</v>
      </c>
      <c r="L403" s="18">
        <f>iferror(VLOOKUP($D403,Details!$A$2:$C$11,2,false),vlookup($D403,Details!$E$2:$G$11,2,false))</f>
        <v>230</v>
      </c>
      <c r="M403" s="18" t="str">
        <f>iferror(VLOOKUP($D403,Details!$A$2:$C$11,3,false),vlookup($D403,Details!$E$2:$G$11,3,false))</f>
        <v>Fruits and Vegetables</v>
      </c>
      <c r="N403" s="18">
        <f t="shared" si="1"/>
        <v>230</v>
      </c>
      <c r="O403" s="17"/>
      <c r="P403" s="17"/>
      <c r="Q403" s="17"/>
      <c r="R403" s="17"/>
      <c r="S403" s="17"/>
      <c r="T403" s="17"/>
      <c r="U403" s="17"/>
      <c r="V403" s="17"/>
      <c r="W403" s="17"/>
      <c r="X403" s="17"/>
      <c r="Y403" s="17"/>
      <c r="Z403" s="17"/>
    </row>
    <row r="404">
      <c r="A404" s="18" t="str">
        <f>IFERROR(__xludf.DUMMYFUNCTION("""COMPUTED_VALUE"""),"ord_10395")</f>
        <v>ord_10395</v>
      </c>
      <c r="B404" s="18" t="str">
        <f>IFERROR(__xludf.DUMMYFUNCTION("""COMPUTED_VALUE"""),"Anaya Rao")</f>
        <v>Anaya Rao</v>
      </c>
      <c r="C404" s="18" t="str">
        <f>IFERROR(__xludf.DUMMYFUNCTION("""COMPUTED_VALUE"""),"Colaba")</f>
        <v>Colaba</v>
      </c>
      <c r="D404" s="18" t="str">
        <f>IFERROR(__xludf.DUMMYFUNCTION("""COMPUTED_VALUE"""),"Chicken Puff")</f>
        <v>Chicken Puff</v>
      </c>
      <c r="E404" s="18">
        <f>IFERROR(__xludf.DUMMYFUNCTION("""COMPUTED_VALUE"""),2.0)</f>
        <v>2</v>
      </c>
      <c r="F404" s="18" t="str">
        <f>IFERROR(__xludf.DUMMYFUNCTION("""COMPUTED_VALUE"""),"Sita T")</f>
        <v>Sita T</v>
      </c>
      <c r="G404" s="19">
        <f>IFERROR(__xludf.DUMMYFUNCTION("""COMPUTED_VALUE"""),45276.0)</f>
        <v>45276</v>
      </c>
      <c r="H404" s="18" t="str">
        <f>IFERROR(__xludf.DUMMYFUNCTION("""COMPUTED_VALUE"""),"Online Payment")</f>
        <v>Online Payment</v>
      </c>
      <c r="I404" s="18" t="str">
        <f>IFERROR(__xludf.DUMMYFUNCTION("""COMPUTED_VALUE"""),"Delivered")</f>
        <v>Delivered</v>
      </c>
      <c r="J404" s="18" t="str">
        <f>IFERROR(__xludf.DUMMYFUNCTION("""COMPUTED_VALUE"""),"On-time Delivery")</f>
        <v>On-time Delivery</v>
      </c>
      <c r="K404" s="18" t="str">
        <f>IFERROR(__xludf.DUMMYFUNCTION("""COMPUTED_VALUE"""),"Delivered on time")</f>
        <v>Delivered on time</v>
      </c>
      <c r="L404" s="18">
        <f>iferror(VLOOKUP($D404,Details!$A$2:$C$11,2,false),vlookup($D404,Details!$E$2:$G$11,2,false))</f>
        <v>90</v>
      </c>
      <c r="M404" s="18" t="str">
        <f>iferror(VLOOKUP($D404,Details!$A$2:$C$11,3,false),vlookup($D404,Details!$E$2:$G$11,3,false))</f>
        <v>Snacks and Drinks</v>
      </c>
      <c r="N404" s="18">
        <f t="shared" si="1"/>
        <v>180</v>
      </c>
      <c r="O404" s="17"/>
      <c r="P404" s="17"/>
      <c r="Q404" s="17"/>
      <c r="R404" s="17"/>
      <c r="S404" s="17"/>
      <c r="T404" s="17"/>
      <c r="U404" s="17"/>
      <c r="V404" s="17"/>
      <c r="W404" s="17"/>
      <c r="X404" s="17"/>
      <c r="Y404" s="17"/>
      <c r="Z404" s="17"/>
    </row>
    <row r="405">
      <c r="A405" s="18" t="str">
        <f>IFERROR(__xludf.DUMMYFUNCTION("""COMPUTED_VALUE"""),"ord_10396")</f>
        <v>ord_10396</v>
      </c>
      <c r="B405" s="18" t="str">
        <f>IFERROR(__xludf.DUMMYFUNCTION("""COMPUTED_VALUE"""),"Dev Chauhan")</f>
        <v>Dev Chauhan</v>
      </c>
      <c r="C405" s="18" t="str">
        <f>IFERROR(__xludf.DUMMYFUNCTION("""COMPUTED_VALUE"""),"Bandra")</f>
        <v>Bandra</v>
      </c>
      <c r="D405" s="18" t="str">
        <f>IFERROR(__xludf.DUMMYFUNCTION("""COMPUTED_VALUE"""),"Orange")</f>
        <v>Orange</v>
      </c>
      <c r="E405" s="18">
        <f>IFERROR(__xludf.DUMMYFUNCTION("""COMPUTED_VALUE"""),2.0)</f>
        <v>2</v>
      </c>
      <c r="F405" s="18" t="str">
        <f>IFERROR(__xludf.DUMMYFUNCTION("""COMPUTED_VALUE"""),"Nithin Lal")</f>
        <v>Nithin Lal</v>
      </c>
      <c r="G405" s="19">
        <f>IFERROR(__xludf.DUMMYFUNCTION("""COMPUTED_VALUE"""),45262.0)</f>
        <v>45262</v>
      </c>
      <c r="H405" s="18" t="str">
        <f>IFERROR(__xludf.DUMMYFUNCTION("""COMPUTED_VALUE"""),"Credit Card")</f>
        <v>Credit Card</v>
      </c>
      <c r="I405" s="18" t="str">
        <f>IFERROR(__xludf.DUMMYFUNCTION("""COMPUTED_VALUE"""),"Delivered")</f>
        <v>Delivered</v>
      </c>
      <c r="J405" s="18" t="str">
        <f>IFERROR(__xludf.DUMMYFUNCTION("""COMPUTED_VALUE"""),"Quality of Items")</f>
        <v>Quality of Items</v>
      </c>
      <c r="K405" s="18" t="str">
        <f>IFERROR(__xludf.DUMMYFUNCTION("""COMPUTED_VALUE"""),"Perfect condition")</f>
        <v>Perfect condition</v>
      </c>
      <c r="L405" s="18">
        <f>iferror(VLOOKUP($D405,Details!$A$2:$C$11,2,false),vlookup($D405,Details!$E$2:$G$11,2,false))</f>
        <v>180</v>
      </c>
      <c r="M405" s="18" t="str">
        <f>iferror(VLOOKUP($D405,Details!$A$2:$C$11,3,false),vlookup($D405,Details!$E$2:$G$11,3,false))</f>
        <v>Fruits and Vegetables</v>
      </c>
      <c r="N405" s="18">
        <f t="shared" si="1"/>
        <v>360</v>
      </c>
      <c r="O405" s="17"/>
      <c r="P405" s="17"/>
      <c r="Q405" s="17"/>
      <c r="R405" s="17"/>
      <c r="S405" s="17"/>
      <c r="T405" s="17"/>
      <c r="U405" s="17"/>
      <c r="V405" s="17"/>
      <c r="W405" s="17"/>
      <c r="X405" s="17"/>
      <c r="Y405" s="17"/>
      <c r="Z405" s="17"/>
    </row>
    <row r="406">
      <c r="A406" s="18" t="str">
        <f>IFERROR(__xludf.DUMMYFUNCTION("""COMPUTED_VALUE"""),"ord_10397")</f>
        <v>ord_10397</v>
      </c>
      <c r="B406" s="18" t="str">
        <f>IFERROR(__xludf.DUMMYFUNCTION("""COMPUTED_VALUE"""),"Dev Chauhan")</f>
        <v>Dev Chauhan</v>
      </c>
      <c r="C406" s="18" t="str">
        <f>IFERROR(__xludf.DUMMYFUNCTION("""COMPUTED_VALUE"""),"Bandra")</f>
        <v>Bandra</v>
      </c>
      <c r="D406" s="18" t="str">
        <f>IFERROR(__xludf.DUMMYFUNCTION("""COMPUTED_VALUE"""),"Cucumber")</f>
        <v>Cucumber</v>
      </c>
      <c r="E406" s="18">
        <f>IFERROR(__xludf.DUMMYFUNCTION("""COMPUTED_VALUE"""),1.0)</f>
        <v>1</v>
      </c>
      <c r="F406" s="18" t="str">
        <f>IFERROR(__xludf.DUMMYFUNCTION("""COMPUTED_VALUE"""),"Priya Joshi")</f>
        <v>Priya Joshi</v>
      </c>
      <c r="G406" s="19">
        <f>IFERROR(__xludf.DUMMYFUNCTION("""COMPUTED_VALUE"""),45206.0)</f>
        <v>45206</v>
      </c>
      <c r="H406" s="18" t="str">
        <f>IFERROR(__xludf.DUMMYFUNCTION("""COMPUTED_VALUE"""),"Online Payment")</f>
        <v>Online Payment</v>
      </c>
      <c r="I406" s="18" t="str">
        <f>IFERROR(__xludf.DUMMYFUNCTION("""COMPUTED_VALUE"""),"Delivered")</f>
        <v>Delivered</v>
      </c>
      <c r="J406" s="18" t="str">
        <f>IFERROR(__xludf.DUMMYFUNCTION("""COMPUTED_VALUE"""),"Packaging")</f>
        <v>Packaging</v>
      </c>
      <c r="K406" s="18" t="str">
        <f>IFERROR(__xludf.DUMMYFUNCTION("""COMPUTED_VALUE"""),"Secure and intact")</f>
        <v>Secure and intact</v>
      </c>
      <c r="L406" s="18">
        <f>iferror(VLOOKUP($D406,Details!$A$2:$C$11,2,false),vlookup($D406,Details!$E$2:$G$11,2,false))</f>
        <v>30</v>
      </c>
      <c r="M406" s="18" t="str">
        <f>iferror(VLOOKUP($D406,Details!$A$2:$C$11,3,false),vlookup($D406,Details!$E$2:$G$11,3,false))</f>
        <v>Fruits and Vegetables</v>
      </c>
      <c r="N406" s="18">
        <f t="shared" si="1"/>
        <v>30</v>
      </c>
      <c r="O406" s="17"/>
      <c r="P406" s="17"/>
      <c r="Q406" s="17"/>
      <c r="R406" s="17"/>
      <c r="S406" s="17"/>
      <c r="T406" s="17"/>
      <c r="U406" s="17"/>
      <c r="V406" s="17"/>
      <c r="W406" s="17"/>
      <c r="X406" s="17"/>
      <c r="Y406" s="17"/>
      <c r="Z406" s="17"/>
    </row>
    <row r="407">
      <c r="A407" s="18" t="str">
        <f>IFERROR(__xludf.DUMMYFUNCTION("""COMPUTED_VALUE"""),"ord_10398")</f>
        <v>ord_10398</v>
      </c>
      <c r="B407" s="18" t="str">
        <f>IFERROR(__xludf.DUMMYFUNCTION("""COMPUTED_VALUE"""),"Simran Bhatt")</f>
        <v>Simran Bhatt</v>
      </c>
      <c r="C407" s="18" t="str">
        <f>IFERROR(__xludf.DUMMYFUNCTION("""COMPUTED_VALUE"""),"Juhu")</f>
        <v>Juhu</v>
      </c>
      <c r="D407" s="18" t="str">
        <f>IFERROR(__xludf.DUMMYFUNCTION("""COMPUTED_VALUE"""),"Orange")</f>
        <v>Orange</v>
      </c>
      <c r="E407" s="18">
        <f>IFERROR(__xludf.DUMMYFUNCTION("""COMPUTED_VALUE"""),2.0)</f>
        <v>2</v>
      </c>
      <c r="F407" s="18" t="str">
        <f>IFERROR(__xludf.DUMMYFUNCTION("""COMPUTED_VALUE"""),"Tanvi Jain")</f>
        <v>Tanvi Jain</v>
      </c>
      <c r="G407" s="19">
        <f>IFERROR(__xludf.DUMMYFUNCTION("""COMPUTED_VALUE"""),44935.0)</f>
        <v>44935</v>
      </c>
      <c r="H407" s="18" t="str">
        <f>IFERROR(__xludf.DUMMYFUNCTION("""COMPUTED_VALUE"""),"Credit Card")</f>
        <v>Credit Card</v>
      </c>
      <c r="I407" s="18" t="str">
        <f>IFERROR(__xludf.DUMMYFUNCTION("""COMPUTED_VALUE"""),"Delivered")</f>
        <v>Delivered</v>
      </c>
      <c r="J407" s="18" t="str">
        <f>IFERROR(__xludf.DUMMYFUNCTION("""COMPUTED_VALUE"""),"Satisfied with the Delivery")</f>
        <v>Satisfied with the Delivery</v>
      </c>
      <c r="K407" s="18" t="str">
        <f>IFERROR(__xludf.DUMMYFUNCTION("""COMPUTED_VALUE"""),"Timely and quality")</f>
        <v>Timely and quality</v>
      </c>
      <c r="L407" s="18">
        <f>iferror(VLOOKUP($D407,Details!$A$2:$C$11,2,false),vlookup($D407,Details!$E$2:$G$11,2,false))</f>
        <v>180</v>
      </c>
      <c r="M407" s="18" t="str">
        <f>iferror(VLOOKUP($D407,Details!$A$2:$C$11,3,false),vlookup($D407,Details!$E$2:$G$11,3,false))</f>
        <v>Fruits and Vegetables</v>
      </c>
      <c r="N407" s="18">
        <f t="shared" si="1"/>
        <v>360</v>
      </c>
      <c r="O407" s="17"/>
      <c r="P407" s="17"/>
      <c r="Q407" s="17"/>
      <c r="R407" s="17"/>
      <c r="S407" s="17"/>
      <c r="T407" s="17"/>
      <c r="U407" s="17"/>
      <c r="V407" s="17"/>
      <c r="W407" s="17"/>
      <c r="X407" s="17"/>
      <c r="Y407" s="17"/>
      <c r="Z407" s="17"/>
    </row>
    <row r="408">
      <c r="A408" s="18" t="str">
        <f>IFERROR(__xludf.DUMMYFUNCTION("""COMPUTED_VALUE"""),"ord_10399")</f>
        <v>ord_10399</v>
      </c>
      <c r="B408" s="18" t="str">
        <f>IFERROR(__xludf.DUMMYFUNCTION("""COMPUTED_VALUE"""),"Pranav Joshi")</f>
        <v>Pranav Joshi</v>
      </c>
      <c r="C408" s="18" t="str">
        <f>IFERROR(__xludf.DUMMYFUNCTION("""COMPUTED_VALUE"""),"Andheri")</f>
        <v>Andheri</v>
      </c>
      <c r="D408" s="18" t="str">
        <f>IFERROR(__xludf.DUMMYFUNCTION("""COMPUTED_VALUE"""),"Juice")</f>
        <v>Juice</v>
      </c>
      <c r="E408" s="18">
        <f>IFERROR(__xludf.DUMMYFUNCTION("""COMPUTED_VALUE"""),5.0)</f>
        <v>5</v>
      </c>
      <c r="F408" s="18" t="str">
        <f>IFERROR(__xludf.DUMMYFUNCTION("""COMPUTED_VALUE"""),"Rohan Yadav")</f>
        <v>Rohan Yadav</v>
      </c>
      <c r="G408" s="19">
        <f>IFERROR(__xludf.DUMMYFUNCTION("""COMPUTED_VALUE"""),45171.0)</f>
        <v>45171</v>
      </c>
      <c r="H408" s="18" t="str">
        <f>IFERROR(__xludf.DUMMYFUNCTION("""COMPUTED_VALUE"""),"Credit Card")</f>
        <v>Credit Card</v>
      </c>
      <c r="I408" s="18" t="str">
        <f>IFERROR(__xludf.DUMMYFUNCTION("""COMPUTED_VALUE"""),"Delivered")</f>
        <v>Delivered</v>
      </c>
      <c r="J408" s="18" t="str">
        <f>IFERROR(__xludf.DUMMYFUNCTION("""COMPUTED_VALUE"""),"Customer Service")</f>
        <v>Customer Service</v>
      </c>
      <c r="K408" s="18" t="str">
        <f>IFERROR(__xludf.DUMMYFUNCTION("""COMPUTED_VALUE"""),"Seamless and easy")</f>
        <v>Seamless and easy</v>
      </c>
      <c r="L408" s="18">
        <f>iferror(VLOOKUP($D408,Details!$A$2:$C$11,2,false),vlookup($D408,Details!$E$2:$G$11,2,false))</f>
        <v>90</v>
      </c>
      <c r="M408" s="18" t="str">
        <f>iferror(VLOOKUP($D408,Details!$A$2:$C$11,3,false),vlookup($D408,Details!$E$2:$G$11,3,false))</f>
        <v>Snacks and Drinks</v>
      </c>
      <c r="N408" s="18">
        <f t="shared" si="1"/>
        <v>450</v>
      </c>
      <c r="O408" s="17"/>
      <c r="P408" s="17"/>
      <c r="Q408" s="17"/>
      <c r="R408" s="17"/>
      <c r="S408" s="17"/>
      <c r="T408" s="17"/>
      <c r="U408" s="17"/>
      <c r="V408" s="17"/>
      <c r="W408" s="17"/>
      <c r="X408" s="17"/>
      <c r="Y408" s="17"/>
      <c r="Z408" s="17"/>
    </row>
    <row r="409">
      <c r="A409" s="18" t="str">
        <f>IFERROR(__xludf.DUMMYFUNCTION("""COMPUTED_VALUE"""),"ord_10400")</f>
        <v>ord_10400</v>
      </c>
      <c r="B409" s="18" t="str">
        <f>IFERROR(__xludf.DUMMYFUNCTION("""COMPUTED_VALUE"""),"Aarohi Kapoor")</f>
        <v>Aarohi Kapoor</v>
      </c>
      <c r="C409" s="18" t="str">
        <f>IFERROR(__xludf.DUMMYFUNCTION("""COMPUTED_VALUE"""),"Bandra")</f>
        <v>Bandra</v>
      </c>
      <c r="D409" s="18" t="str">
        <f>IFERROR(__xludf.DUMMYFUNCTION("""COMPUTED_VALUE"""),"Rasmalai")</f>
        <v>Rasmalai</v>
      </c>
      <c r="E409" s="18">
        <f>IFERROR(__xludf.DUMMYFUNCTION("""COMPUTED_VALUE"""),1.0)</f>
        <v>1</v>
      </c>
      <c r="F409" s="18" t="str">
        <f>IFERROR(__xludf.DUMMYFUNCTION("""COMPUTED_VALUE"""),"Priya Joshi")</f>
        <v>Priya Joshi</v>
      </c>
      <c r="G409" s="19">
        <f>IFERROR(__xludf.DUMMYFUNCTION("""COMPUTED_VALUE"""),44985.0)</f>
        <v>44985</v>
      </c>
      <c r="H409" s="18" t="str">
        <f>IFERROR(__xludf.DUMMYFUNCTION("""COMPUTED_VALUE"""),"COD")</f>
        <v>COD</v>
      </c>
      <c r="I409" s="18" t="str">
        <f>IFERROR(__xludf.DUMMYFUNCTION("""COMPUTED_VALUE"""),"Delivered")</f>
        <v>Delivered</v>
      </c>
      <c r="J409" s="18" t="str">
        <f>IFERROR(__xludf.DUMMYFUNCTION("""COMPUTED_VALUE"""),"Delivery Experience")</f>
        <v>Delivery Experience</v>
      </c>
      <c r="K409" s="18" t="str">
        <f>IFERROR(__xludf.DUMMYFUNCTION("""COMPUTED_VALUE"""),"Quick and professional")</f>
        <v>Quick and professional</v>
      </c>
      <c r="L409" s="18">
        <f>iferror(VLOOKUP($D409,Details!$A$2:$C$11,2,false),vlookup($D409,Details!$E$2:$G$11,2,false))</f>
        <v>110</v>
      </c>
      <c r="M409" s="18" t="str">
        <f>iferror(VLOOKUP($D409,Details!$A$2:$C$11,3,false),vlookup($D409,Details!$E$2:$G$11,3,false))</f>
        <v>Snacks and Drinks</v>
      </c>
      <c r="N409" s="18">
        <f t="shared" si="1"/>
        <v>110</v>
      </c>
      <c r="O409" s="17"/>
      <c r="P409" s="17"/>
      <c r="Q409" s="17"/>
      <c r="R409" s="17"/>
      <c r="S409" s="17"/>
      <c r="T409" s="17"/>
      <c r="U409" s="17"/>
      <c r="V409" s="17"/>
      <c r="W409" s="17"/>
      <c r="X409" s="17"/>
      <c r="Y409" s="17"/>
      <c r="Z409" s="17"/>
    </row>
    <row r="410">
      <c r="A410" s="18" t="str">
        <f>IFERROR(__xludf.DUMMYFUNCTION("""COMPUTED_VALUE"""),"ord_10401")</f>
        <v>ord_10401</v>
      </c>
      <c r="B410" s="18" t="str">
        <f>IFERROR(__xludf.DUMMYFUNCTION("""COMPUTED_VALUE"""),"Ishita Banerjee")</f>
        <v>Ishita Banerjee</v>
      </c>
      <c r="C410" s="18" t="str">
        <f>IFERROR(__xludf.DUMMYFUNCTION("""COMPUTED_VALUE"""),"Juhu")</f>
        <v>Juhu</v>
      </c>
      <c r="D410" s="18" t="str">
        <f>IFERROR(__xludf.DUMMYFUNCTION("""COMPUTED_VALUE"""),"Apple")</f>
        <v>Apple</v>
      </c>
      <c r="E410" s="18">
        <f>IFERROR(__xludf.DUMMYFUNCTION("""COMPUTED_VALUE"""),2.0)</f>
        <v>2</v>
      </c>
      <c r="F410" s="18" t="str">
        <f>IFERROR(__xludf.DUMMYFUNCTION("""COMPUTED_VALUE"""),"Not Assigned")</f>
        <v>Not Assigned</v>
      </c>
      <c r="G410" s="19">
        <f>IFERROR(__xludf.DUMMYFUNCTION("""COMPUTED_VALUE"""),45007.0)</f>
        <v>45007</v>
      </c>
      <c r="H410" s="18" t="str">
        <f>IFERROR(__xludf.DUMMYFUNCTION("""COMPUTED_VALUE"""),"Credit Card")</f>
        <v>Credit Card</v>
      </c>
      <c r="I410" s="18" t="str">
        <f>IFERROR(__xludf.DUMMYFUNCTION("""COMPUTED_VALUE"""),"Cancelled")</f>
        <v>Cancelled</v>
      </c>
      <c r="J410" s="18" t="str">
        <f>IFERROR(__xludf.DUMMYFUNCTION("""COMPUTED_VALUE"""),"High Delivery Fees")</f>
        <v>High Delivery Fees</v>
      </c>
      <c r="K410" s="18"/>
      <c r="L410" s="18">
        <f>iferror(VLOOKUP($D410,Details!$A$2:$C$11,2,false),vlookup($D410,Details!$E$2:$G$11,2,false))</f>
        <v>230</v>
      </c>
      <c r="M410" s="18" t="str">
        <f>iferror(VLOOKUP($D410,Details!$A$2:$C$11,3,false),vlookup($D410,Details!$E$2:$G$11,3,false))</f>
        <v>Fruits and Vegetables</v>
      </c>
      <c r="N410" s="18">
        <f t="shared" si="1"/>
        <v>460</v>
      </c>
      <c r="O410" s="17"/>
      <c r="P410" s="17"/>
      <c r="Q410" s="17"/>
      <c r="R410" s="17"/>
      <c r="S410" s="17"/>
      <c r="T410" s="17"/>
      <c r="U410" s="17"/>
      <c r="V410" s="17"/>
      <c r="W410" s="17"/>
      <c r="X410" s="17"/>
      <c r="Y410" s="17"/>
      <c r="Z410" s="17"/>
    </row>
    <row r="411">
      <c r="A411" s="18" t="str">
        <f>IFERROR(__xludf.DUMMYFUNCTION("""COMPUTED_VALUE"""),"ord_10402")</f>
        <v>ord_10402</v>
      </c>
      <c r="B411" s="18" t="str">
        <f>IFERROR(__xludf.DUMMYFUNCTION("""COMPUTED_VALUE"""),"Ishita Banerjee")</f>
        <v>Ishita Banerjee</v>
      </c>
      <c r="C411" s="18" t="str">
        <f>IFERROR(__xludf.DUMMYFUNCTION("""COMPUTED_VALUE"""),"Juhu")</f>
        <v>Juhu</v>
      </c>
      <c r="D411" s="18" t="str">
        <f>IFERROR(__xludf.DUMMYFUNCTION("""COMPUTED_VALUE"""),"Banana")</f>
        <v>Banana</v>
      </c>
      <c r="E411" s="18">
        <f>IFERROR(__xludf.DUMMYFUNCTION("""COMPUTED_VALUE"""),2.0)</f>
        <v>2</v>
      </c>
      <c r="F411" s="18" t="str">
        <f>IFERROR(__xludf.DUMMYFUNCTION("""COMPUTED_VALUE"""),"Tanvi Jain")</f>
        <v>Tanvi Jain</v>
      </c>
      <c r="G411" s="19">
        <f>IFERROR(__xludf.DUMMYFUNCTION("""COMPUTED_VALUE"""),45091.0)</f>
        <v>45091</v>
      </c>
      <c r="H411" s="18" t="str">
        <f>IFERROR(__xludf.DUMMYFUNCTION("""COMPUTED_VALUE"""),"COD")</f>
        <v>COD</v>
      </c>
      <c r="I411" s="18" t="str">
        <f>IFERROR(__xludf.DUMMYFUNCTION("""COMPUTED_VALUE"""),"Delivered")</f>
        <v>Delivered</v>
      </c>
      <c r="J411" s="18" t="str">
        <f>IFERROR(__xludf.DUMMYFUNCTION("""COMPUTED_VALUE"""),"Convenience")</f>
        <v>Convenience</v>
      </c>
      <c r="K411" s="18" t="str">
        <f>IFERROR(__xludf.DUMMYFUNCTION("""COMPUTED_VALUE"""),"Easy tracking")</f>
        <v>Easy tracking</v>
      </c>
      <c r="L411" s="18">
        <f>iferror(VLOOKUP($D411,Details!$A$2:$C$11,2,false),vlookup($D411,Details!$E$2:$G$11,2,false))</f>
        <v>80</v>
      </c>
      <c r="M411" s="18" t="str">
        <f>iferror(VLOOKUP($D411,Details!$A$2:$C$11,3,false),vlookup($D411,Details!$E$2:$G$11,3,false))</f>
        <v>Fruits and Vegetables</v>
      </c>
      <c r="N411" s="18">
        <f t="shared" si="1"/>
        <v>160</v>
      </c>
      <c r="O411" s="17"/>
      <c r="P411" s="17"/>
      <c r="Q411" s="17"/>
      <c r="R411" s="17"/>
      <c r="S411" s="17"/>
      <c r="T411" s="17"/>
      <c r="U411" s="17"/>
      <c r="V411" s="17"/>
      <c r="W411" s="17"/>
      <c r="X411" s="17"/>
      <c r="Y411" s="17"/>
      <c r="Z411" s="17"/>
    </row>
    <row r="412">
      <c r="A412" s="18" t="str">
        <f>IFERROR(__xludf.DUMMYFUNCTION("""COMPUTED_VALUE"""),"ord_10403")</f>
        <v>ord_10403</v>
      </c>
      <c r="B412" s="18" t="str">
        <f>IFERROR(__xludf.DUMMYFUNCTION("""COMPUTED_VALUE"""),"Omkar Mishra")</f>
        <v>Omkar Mishra</v>
      </c>
      <c r="C412" s="18" t="str">
        <f>IFERROR(__xludf.DUMMYFUNCTION("""COMPUTED_VALUE"""),"Powai")</f>
        <v>Powai</v>
      </c>
      <c r="D412" s="18" t="str">
        <f>IFERROR(__xludf.DUMMYFUNCTION("""COMPUTED_VALUE"""),"Sweet Corn")</f>
        <v>Sweet Corn</v>
      </c>
      <c r="E412" s="18">
        <f>IFERROR(__xludf.DUMMYFUNCTION("""COMPUTED_VALUE"""),2.0)</f>
        <v>2</v>
      </c>
      <c r="F412" s="18" t="str">
        <f>IFERROR(__xludf.DUMMYFUNCTION("""COMPUTED_VALUE"""),"Sandeep Kumar")</f>
        <v>Sandeep Kumar</v>
      </c>
      <c r="G412" s="19">
        <f>IFERROR(__xludf.DUMMYFUNCTION("""COMPUTED_VALUE"""),45114.0)</f>
        <v>45114</v>
      </c>
      <c r="H412" s="18" t="str">
        <f>IFERROR(__xludf.DUMMYFUNCTION("""COMPUTED_VALUE"""),"Credit Card")</f>
        <v>Credit Card</v>
      </c>
      <c r="I412" s="18" t="str">
        <f>IFERROR(__xludf.DUMMYFUNCTION("""COMPUTED_VALUE"""),"Delivered")</f>
        <v>Delivered</v>
      </c>
      <c r="J412" s="18" t="str">
        <f>IFERROR(__xludf.DUMMYFUNCTION("""COMPUTED_VALUE"""),"Overall Satisfaction")</f>
        <v>Overall Satisfaction</v>
      </c>
      <c r="K412" s="18" t="str">
        <f>IFERROR(__xludf.DUMMYFUNCTION("""COMPUTED_VALUE"""),"Great service will order again")</f>
        <v>Great service will order again</v>
      </c>
      <c r="L412" s="18">
        <f>iferror(VLOOKUP($D412,Details!$A$2:$C$11,2,false),vlookup($D412,Details!$E$2:$G$11,2,false))</f>
        <v>60</v>
      </c>
      <c r="M412" s="18" t="str">
        <f>iferror(VLOOKUP($D412,Details!$A$2:$C$11,3,false),vlookup($D412,Details!$E$2:$G$11,3,false))</f>
        <v>Fruits and Vegetables</v>
      </c>
      <c r="N412" s="18">
        <f t="shared" si="1"/>
        <v>120</v>
      </c>
      <c r="O412" s="17"/>
      <c r="P412" s="17"/>
      <c r="Q412" s="17"/>
      <c r="R412" s="17"/>
      <c r="S412" s="17"/>
      <c r="T412" s="17"/>
      <c r="U412" s="17"/>
      <c r="V412" s="17"/>
      <c r="W412" s="17"/>
      <c r="X412" s="17"/>
      <c r="Y412" s="17"/>
      <c r="Z412" s="17"/>
    </row>
    <row r="413">
      <c r="A413" s="18" t="str">
        <f>IFERROR(__xludf.DUMMYFUNCTION("""COMPUTED_VALUE"""),"ord_10404")</f>
        <v>ord_10404</v>
      </c>
      <c r="B413" s="18" t="str">
        <f>IFERROR(__xludf.DUMMYFUNCTION("""COMPUTED_VALUE"""),"Aarohi Kapoor")</f>
        <v>Aarohi Kapoor</v>
      </c>
      <c r="C413" s="18" t="str">
        <f>IFERROR(__xludf.DUMMYFUNCTION("""COMPUTED_VALUE"""),"Bandra")</f>
        <v>Bandra</v>
      </c>
      <c r="D413" s="18" t="str">
        <f>IFERROR(__xludf.DUMMYFUNCTION("""COMPUTED_VALUE"""),"Chocolate Mousse")</f>
        <v>Chocolate Mousse</v>
      </c>
      <c r="E413" s="18">
        <f>IFERROR(__xludf.DUMMYFUNCTION("""COMPUTED_VALUE"""),5.0)</f>
        <v>5</v>
      </c>
      <c r="F413" s="18" t="str">
        <f>IFERROR(__xludf.DUMMYFUNCTION("""COMPUTED_VALUE"""),"Priya Joshi")</f>
        <v>Priya Joshi</v>
      </c>
      <c r="G413" s="19">
        <f>IFERROR(__xludf.DUMMYFUNCTION("""COMPUTED_VALUE"""),45094.0)</f>
        <v>45094</v>
      </c>
      <c r="H413" s="18" t="str">
        <f>IFERROR(__xludf.DUMMYFUNCTION("""COMPUTED_VALUE"""),"COD")</f>
        <v>COD</v>
      </c>
      <c r="I413" s="18" t="str">
        <f>IFERROR(__xludf.DUMMYFUNCTION("""COMPUTED_VALUE"""),"Delivered")</f>
        <v>Delivered</v>
      </c>
      <c r="J413" s="18" t="str">
        <f>IFERROR(__xludf.DUMMYFUNCTION("""COMPUTED_VALUE"""),"On-time Delivery")</f>
        <v>On-time Delivery</v>
      </c>
      <c r="K413" s="18" t="str">
        <f>IFERROR(__xludf.DUMMYFUNCTION("""COMPUTED_VALUE"""),"Delivered on time")</f>
        <v>Delivered on time</v>
      </c>
      <c r="L413" s="18">
        <f>iferror(VLOOKUP($D413,Details!$A$2:$C$11,2,false),vlookup($D413,Details!$E$2:$G$11,2,false))</f>
        <v>145</v>
      </c>
      <c r="M413" s="18" t="str">
        <f>iferror(VLOOKUP($D413,Details!$A$2:$C$11,3,false),vlookup($D413,Details!$E$2:$G$11,3,false))</f>
        <v>Snacks and Drinks</v>
      </c>
      <c r="N413" s="18">
        <f t="shared" si="1"/>
        <v>725</v>
      </c>
      <c r="O413" s="17"/>
      <c r="P413" s="17"/>
      <c r="Q413" s="17"/>
      <c r="R413" s="17"/>
      <c r="S413" s="17"/>
      <c r="T413" s="17"/>
      <c r="U413" s="17"/>
      <c r="V413" s="17"/>
      <c r="W413" s="17"/>
      <c r="X413" s="17"/>
      <c r="Y413" s="17"/>
      <c r="Z413" s="17"/>
    </row>
    <row r="414">
      <c r="A414" s="18" t="str">
        <f>IFERROR(__xludf.DUMMYFUNCTION("""COMPUTED_VALUE"""),"ord_10405")</f>
        <v>ord_10405</v>
      </c>
      <c r="B414" s="18" t="str">
        <f>IFERROR(__xludf.DUMMYFUNCTION("""COMPUTED_VALUE"""),"Ishaan Chaturvedi")</f>
        <v>Ishaan Chaturvedi</v>
      </c>
      <c r="C414" s="18" t="str">
        <f>IFERROR(__xludf.DUMMYFUNCTION("""COMPUTED_VALUE"""),"Bandra")</f>
        <v>Bandra</v>
      </c>
      <c r="D414" s="18" t="str">
        <f>IFERROR(__xludf.DUMMYFUNCTION("""COMPUTED_VALUE"""),"Tiramisu")</f>
        <v>Tiramisu</v>
      </c>
      <c r="E414" s="18">
        <f>IFERROR(__xludf.DUMMYFUNCTION("""COMPUTED_VALUE"""),2.0)</f>
        <v>2</v>
      </c>
      <c r="F414" s="18" t="str">
        <f>IFERROR(__xludf.DUMMYFUNCTION("""COMPUTED_VALUE"""),"Priya Joshi")</f>
        <v>Priya Joshi</v>
      </c>
      <c r="G414" s="19">
        <f>IFERROR(__xludf.DUMMYFUNCTION("""COMPUTED_VALUE"""),45197.0)</f>
        <v>45197</v>
      </c>
      <c r="H414" s="18" t="str">
        <f>IFERROR(__xludf.DUMMYFUNCTION("""COMPUTED_VALUE"""),"UPI")</f>
        <v>UPI</v>
      </c>
      <c r="I414" s="18" t="str">
        <f>IFERROR(__xludf.DUMMYFUNCTION("""COMPUTED_VALUE"""),"Delivered")</f>
        <v>Delivered</v>
      </c>
      <c r="J414" s="18" t="str">
        <f>IFERROR(__xludf.DUMMYFUNCTION("""COMPUTED_VALUE"""),"Quality of Items")</f>
        <v>Quality of Items</v>
      </c>
      <c r="K414" s="18" t="str">
        <f>IFERROR(__xludf.DUMMYFUNCTION("""COMPUTED_VALUE"""),"Perfect condition")</f>
        <v>Perfect condition</v>
      </c>
      <c r="L414" s="18">
        <f>iferror(VLOOKUP($D414,Details!$A$2:$C$11,2,false),vlookup($D414,Details!$E$2:$G$11,2,false))</f>
        <v>150</v>
      </c>
      <c r="M414" s="18" t="str">
        <f>iferror(VLOOKUP($D414,Details!$A$2:$C$11,3,false),vlookup($D414,Details!$E$2:$G$11,3,false))</f>
        <v>Snacks and Drinks</v>
      </c>
      <c r="N414" s="18">
        <f t="shared" si="1"/>
        <v>300</v>
      </c>
      <c r="O414" s="17"/>
      <c r="P414" s="17"/>
      <c r="Q414" s="17"/>
      <c r="R414" s="17"/>
      <c r="S414" s="17"/>
      <c r="T414" s="17"/>
      <c r="U414" s="17"/>
      <c r="V414" s="17"/>
      <c r="W414" s="17"/>
      <c r="X414" s="17"/>
      <c r="Y414" s="17"/>
      <c r="Z414" s="17"/>
    </row>
    <row r="415">
      <c r="A415" s="18" t="str">
        <f>IFERROR(__xludf.DUMMYFUNCTION("""COMPUTED_VALUE"""),"ord_10406")</f>
        <v>ord_10406</v>
      </c>
      <c r="B415" s="18" t="str">
        <f>IFERROR(__xludf.DUMMYFUNCTION("""COMPUTED_VALUE"""),"Mehul Thakkar")</f>
        <v>Mehul Thakkar</v>
      </c>
      <c r="C415" s="18" t="str">
        <f>IFERROR(__xludf.DUMMYFUNCTION("""COMPUTED_VALUE"""),"Malad")</f>
        <v>Malad</v>
      </c>
      <c r="D415" s="18" t="str">
        <f>IFERROR(__xludf.DUMMYFUNCTION("""COMPUTED_VALUE"""),"Apple")</f>
        <v>Apple</v>
      </c>
      <c r="E415" s="18">
        <f>IFERROR(__xludf.DUMMYFUNCTION("""COMPUTED_VALUE"""),1.0)</f>
        <v>1</v>
      </c>
      <c r="F415" s="18" t="str">
        <f>IFERROR(__xludf.DUMMYFUNCTION("""COMPUTED_VALUE"""),"Vivek Kumar")</f>
        <v>Vivek Kumar</v>
      </c>
      <c r="G415" s="19">
        <f>IFERROR(__xludf.DUMMYFUNCTION("""COMPUTED_VALUE"""),45248.0)</f>
        <v>45248</v>
      </c>
      <c r="H415" s="18" t="str">
        <f>IFERROR(__xludf.DUMMYFUNCTION("""COMPUTED_VALUE"""),"Credit Card")</f>
        <v>Credit Card</v>
      </c>
      <c r="I415" s="18" t="str">
        <f>IFERROR(__xludf.DUMMYFUNCTION("""COMPUTED_VALUE"""),"Cancelled")</f>
        <v>Cancelled</v>
      </c>
      <c r="J415" s="18" t="str">
        <f>IFERROR(__xludf.DUMMYFUNCTION("""COMPUTED_VALUE"""),"Delayed Delivery")</f>
        <v>Delayed Delivery</v>
      </c>
      <c r="K415" s="18" t="str">
        <f>IFERROR(__xludf.DUMMYFUNCTION("""COMPUTED_VALUE"""),"Traffic Accidents or Road Closures")</f>
        <v>Traffic Accidents or Road Closures</v>
      </c>
      <c r="L415" s="18">
        <f>iferror(VLOOKUP($D415,Details!$A$2:$C$11,2,false),vlookup($D415,Details!$E$2:$G$11,2,false))</f>
        <v>230</v>
      </c>
      <c r="M415" s="18" t="str">
        <f>iferror(VLOOKUP($D415,Details!$A$2:$C$11,3,false),vlookup($D415,Details!$E$2:$G$11,3,false))</f>
        <v>Fruits and Vegetables</v>
      </c>
      <c r="N415" s="18">
        <f t="shared" si="1"/>
        <v>230</v>
      </c>
      <c r="O415" s="17"/>
      <c r="P415" s="17"/>
      <c r="Q415" s="17"/>
      <c r="R415" s="17"/>
      <c r="S415" s="17"/>
      <c r="T415" s="17"/>
      <c r="U415" s="17"/>
      <c r="V415" s="17"/>
      <c r="W415" s="17"/>
      <c r="X415" s="17"/>
      <c r="Y415" s="17"/>
      <c r="Z415" s="17"/>
    </row>
    <row r="416">
      <c r="A416" s="18" t="str">
        <f>IFERROR(__xludf.DUMMYFUNCTION("""COMPUTED_VALUE"""),"ord_10407")</f>
        <v>ord_10407</v>
      </c>
      <c r="B416" s="18" t="str">
        <f>IFERROR(__xludf.DUMMYFUNCTION("""COMPUTED_VALUE"""),"Omkar Mishra")</f>
        <v>Omkar Mishra</v>
      </c>
      <c r="C416" s="18" t="str">
        <f>IFERROR(__xludf.DUMMYFUNCTION("""COMPUTED_VALUE"""),"Powai")</f>
        <v>Powai</v>
      </c>
      <c r="D416" s="18" t="str">
        <f>IFERROR(__xludf.DUMMYFUNCTION("""COMPUTED_VALUE"""),"Juice")</f>
        <v>Juice</v>
      </c>
      <c r="E416" s="18">
        <f>IFERROR(__xludf.DUMMYFUNCTION("""COMPUTED_VALUE"""),5.0)</f>
        <v>5</v>
      </c>
      <c r="F416" s="18" t="str">
        <f>IFERROR(__xludf.DUMMYFUNCTION("""COMPUTED_VALUE"""),"Shine Thomas")</f>
        <v>Shine Thomas</v>
      </c>
      <c r="G416" s="19">
        <f>IFERROR(__xludf.DUMMYFUNCTION("""COMPUTED_VALUE"""),44953.0)</f>
        <v>44953</v>
      </c>
      <c r="H416" s="18" t="str">
        <f>IFERROR(__xludf.DUMMYFUNCTION("""COMPUTED_VALUE"""),"Credit Card")</f>
        <v>Credit Card</v>
      </c>
      <c r="I416" s="18" t="str">
        <f>IFERROR(__xludf.DUMMYFUNCTION("""COMPUTED_VALUE"""),"Delivered")</f>
        <v>Delivered</v>
      </c>
      <c r="J416" s="18" t="str">
        <f>IFERROR(__xludf.DUMMYFUNCTION("""COMPUTED_VALUE"""),"On-time Delivery")</f>
        <v>On-time Delivery</v>
      </c>
      <c r="K416" s="18" t="str">
        <f>IFERROR(__xludf.DUMMYFUNCTION("""COMPUTED_VALUE"""),"Delivered on time")</f>
        <v>Delivered on time</v>
      </c>
      <c r="L416" s="18">
        <f>iferror(VLOOKUP($D416,Details!$A$2:$C$11,2,false),vlookup($D416,Details!$E$2:$G$11,2,false))</f>
        <v>90</v>
      </c>
      <c r="M416" s="18" t="str">
        <f>iferror(VLOOKUP($D416,Details!$A$2:$C$11,3,false),vlookup($D416,Details!$E$2:$G$11,3,false))</f>
        <v>Snacks and Drinks</v>
      </c>
      <c r="N416" s="18">
        <f t="shared" si="1"/>
        <v>450</v>
      </c>
      <c r="O416" s="17"/>
      <c r="P416" s="17"/>
      <c r="Q416" s="17"/>
      <c r="R416" s="17"/>
      <c r="S416" s="17"/>
      <c r="T416" s="17"/>
      <c r="U416" s="17"/>
      <c r="V416" s="17"/>
      <c r="W416" s="17"/>
      <c r="X416" s="17"/>
      <c r="Y416" s="17"/>
      <c r="Z416" s="17"/>
    </row>
    <row r="417">
      <c r="A417" s="18" t="str">
        <f>IFERROR(__xludf.DUMMYFUNCTION("""COMPUTED_VALUE"""),"ord_10408")</f>
        <v>ord_10408</v>
      </c>
      <c r="B417" s="18" t="str">
        <f>IFERROR(__xludf.DUMMYFUNCTION("""COMPUTED_VALUE"""),"Omkar Mishra")</f>
        <v>Omkar Mishra</v>
      </c>
      <c r="C417" s="18" t="str">
        <f>IFERROR(__xludf.DUMMYFUNCTION("""COMPUTED_VALUE"""),"Powai")</f>
        <v>Powai</v>
      </c>
      <c r="D417" s="18" t="str">
        <f>IFERROR(__xludf.DUMMYFUNCTION("""COMPUTED_VALUE"""),"Banana")</f>
        <v>Banana</v>
      </c>
      <c r="E417" s="18">
        <f>IFERROR(__xludf.DUMMYFUNCTION("""COMPUTED_VALUE"""),1.0)</f>
        <v>1</v>
      </c>
      <c r="F417" s="18" t="str">
        <f>IFERROR(__xludf.DUMMYFUNCTION("""COMPUTED_VALUE"""),"Venu R")</f>
        <v>Venu R</v>
      </c>
      <c r="G417" s="19">
        <f>IFERROR(__xludf.DUMMYFUNCTION("""COMPUTED_VALUE"""),45160.0)</f>
        <v>45160</v>
      </c>
      <c r="H417" s="18" t="str">
        <f>IFERROR(__xludf.DUMMYFUNCTION("""COMPUTED_VALUE"""),"UPI")</f>
        <v>UPI</v>
      </c>
      <c r="I417" s="18" t="str">
        <f>IFERROR(__xludf.DUMMYFUNCTION("""COMPUTED_VALUE"""),"Delivered")</f>
        <v>Delivered</v>
      </c>
      <c r="J417" s="18" t="str">
        <f>IFERROR(__xludf.DUMMYFUNCTION("""COMPUTED_VALUE"""),"Quality of Items")</f>
        <v>Quality of Items</v>
      </c>
      <c r="K417" s="18" t="str">
        <f>IFERROR(__xludf.DUMMYFUNCTION("""COMPUTED_VALUE"""),"Perfect condition")</f>
        <v>Perfect condition</v>
      </c>
      <c r="L417" s="18">
        <f>iferror(VLOOKUP($D417,Details!$A$2:$C$11,2,false),vlookup($D417,Details!$E$2:$G$11,2,false))</f>
        <v>80</v>
      </c>
      <c r="M417" s="18" t="str">
        <f>iferror(VLOOKUP($D417,Details!$A$2:$C$11,3,false),vlookup($D417,Details!$E$2:$G$11,3,false))</f>
        <v>Fruits and Vegetables</v>
      </c>
      <c r="N417" s="18">
        <f t="shared" si="1"/>
        <v>80</v>
      </c>
      <c r="O417" s="17"/>
      <c r="P417" s="17"/>
      <c r="Q417" s="17"/>
      <c r="R417" s="17"/>
      <c r="S417" s="17"/>
      <c r="T417" s="17"/>
      <c r="U417" s="17"/>
      <c r="V417" s="17"/>
      <c r="W417" s="17"/>
      <c r="X417" s="17"/>
      <c r="Y417" s="17"/>
      <c r="Z417" s="17"/>
    </row>
    <row r="418">
      <c r="A418" s="18" t="str">
        <f>IFERROR(__xludf.DUMMYFUNCTION("""COMPUTED_VALUE"""),"ord_10409")</f>
        <v>ord_10409</v>
      </c>
      <c r="B418" s="18" t="str">
        <f>IFERROR(__xludf.DUMMYFUNCTION("""COMPUTED_VALUE"""),"Sanjay Nair")</f>
        <v>Sanjay Nair</v>
      </c>
      <c r="C418" s="18" t="str">
        <f>IFERROR(__xludf.DUMMYFUNCTION("""COMPUTED_VALUE"""),"Dadar")</f>
        <v>Dadar</v>
      </c>
      <c r="D418" s="18" t="str">
        <f>IFERROR(__xludf.DUMMYFUNCTION("""COMPUTED_VALUE"""),"Potato")</f>
        <v>Potato</v>
      </c>
      <c r="E418" s="18">
        <f>IFERROR(__xludf.DUMMYFUNCTION("""COMPUTED_VALUE"""),1.0)</f>
        <v>1</v>
      </c>
      <c r="F418" s="18" t="str">
        <f>IFERROR(__xludf.DUMMYFUNCTION("""COMPUTED_VALUE"""),"Venu R")</f>
        <v>Venu R</v>
      </c>
      <c r="G418" s="19">
        <f>IFERROR(__xludf.DUMMYFUNCTION("""COMPUTED_VALUE"""),45133.0)</f>
        <v>45133</v>
      </c>
      <c r="H418" s="18" t="str">
        <f>IFERROR(__xludf.DUMMYFUNCTION("""COMPUTED_VALUE"""),"UPI")</f>
        <v>UPI</v>
      </c>
      <c r="I418" s="18" t="str">
        <f>IFERROR(__xludf.DUMMYFUNCTION("""COMPUTED_VALUE"""),"Delivered")</f>
        <v>Delivered</v>
      </c>
      <c r="J418" s="18" t="str">
        <f>IFERROR(__xludf.DUMMYFUNCTION("""COMPUTED_VALUE"""),"Packaging")</f>
        <v>Packaging</v>
      </c>
      <c r="K418" s="18" t="str">
        <f>IFERROR(__xludf.DUMMYFUNCTION("""COMPUTED_VALUE"""),"Secure and intact")</f>
        <v>Secure and intact</v>
      </c>
      <c r="L418" s="18">
        <f>iferror(VLOOKUP($D418,Details!$A$2:$C$11,2,false),vlookup($D418,Details!$E$2:$G$11,2,false))</f>
        <v>55</v>
      </c>
      <c r="M418" s="18" t="str">
        <f>iferror(VLOOKUP($D418,Details!$A$2:$C$11,3,false),vlookup($D418,Details!$E$2:$G$11,3,false))</f>
        <v>Fruits and Vegetables</v>
      </c>
      <c r="N418" s="18">
        <f t="shared" si="1"/>
        <v>55</v>
      </c>
      <c r="O418" s="17"/>
      <c r="P418" s="17"/>
      <c r="Q418" s="17"/>
      <c r="R418" s="17"/>
      <c r="S418" s="17"/>
      <c r="T418" s="17"/>
      <c r="U418" s="17"/>
      <c r="V418" s="17"/>
      <c r="W418" s="17"/>
      <c r="X418" s="17"/>
      <c r="Y418" s="17"/>
      <c r="Z418" s="17"/>
    </row>
    <row r="419">
      <c r="A419" s="18" t="str">
        <f>IFERROR(__xludf.DUMMYFUNCTION("""COMPUTED_VALUE"""),"ord_10410")</f>
        <v>ord_10410</v>
      </c>
      <c r="B419" s="18" t="str">
        <f>IFERROR(__xludf.DUMMYFUNCTION("""COMPUTED_VALUE"""),"Aarav Mehta")</f>
        <v>Aarav Mehta</v>
      </c>
      <c r="C419" s="18" t="str">
        <f>IFERROR(__xludf.DUMMYFUNCTION("""COMPUTED_VALUE"""),"Andheri")</f>
        <v>Andheri</v>
      </c>
      <c r="D419" s="18" t="str">
        <f>IFERROR(__xludf.DUMMYFUNCTION("""COMPUTED_VALUE"""),"Chicken Puff")</f>
        <v>Chicken Puff</v>
      </c>
      <c r="E419" s="18">
        <f>IFERROR(__xludf.DUMMYFUNCTION("""COMPUTED_VALUE"""),5.0)</f>
        <v>5</v>
      </c>
      <c r="F419" s="18" t="str">
        <f>IFERROR(__xludf.DUMMYFUNCTION("""COMPUTED_VALUE"""),"Rohan Yadav")</f>
        <v>Rohan Yadav</v>
      </c>
      <c r="G419" s="19">
        <f>IFERROR(__xludf.DUMMYFUNCTION("""COMPUTED_VALUE"""),45010.0)</f>
        <v>45010</v>
      </c>
      <c r="H419" s="18" t="str">
        <f>IFERROR(__xludf.DUMMYFUNCTION("""COMPUTED_VALUE"""),"Credit Card")</f>
        <v>Credit Card</v>
      </c>
      <c r="I419" s="18" t="str">
        <f>IFERROR(__xludf.DUMMYFUNCTION("""COMPUTED_VALUE"""),"Delivered")</f>
        <v>Delivered</v>
      </c>
      <c r="J419" s="18" t="str">
        <f>IFERROR(__xludf.DUMMYFUNCTION("""COMPUTED_VALUE"""),"Satisfied with the Delivery")</f>
        <v>Satisfied with the Delivery</v>
      </c>
      <c r="K419" s="18" t="str">
        <f>IFERROR(__xludf.DUMMYFUNCTION("""COMPUTED_VALUE"""),"Timely and quality")</f>
        <v>Timely and quality</v>
      </c>
      <c r="L419" s="18">
        <f>iferror(VLOOKUP($D419,Details!$A$2:$C$11,2,false),vlookup($D419,Details!$E$2:$G$11,2,false))</f>
        <v>90</v>
      </c>
      <c r="M419" s="18" t="str">
        <f>iferror(VLOOKUP($D419,Details!$A$2:$C$11,3,false),vlookup($D419,Details!$E$2:$G$11,3,false))</f>
        <v>Snacks and Drinks</v>
      </c>
      <c r="N419" s="18">
        <f t="shared" si="1"/>
        <v>450</v>
      </c>
      <c r="O419" s="17"/>
      <c r="P419" s="17"/>
      <c r="Q419" s="17"/>
      <c r="R419" s="17"/>
      <c r="S419" s="17"/>
      <c r="T419" s="17"/>
      <c r="U419" s="17"/>
      <c r="V419" s="17"/>
      <c r="W419" s="17"/>
      <c r="X419" s="17"/>
      <c r="Y419" s="17"/>
      <c r="Z419" s="17"/>
    </row>
    <row r="420">
      <c r="A420" s="18" t="str">
        <f>IFERROR(__xludf.DUMMYFUNCTION("""COMPUTED_VALUE"""),"ord_10411")</f>
        <v>ord_10411</v>
      </c>
      <c r="B420" s="18" t="str">
        <f>IFERROR(__xludf.DUMMYFUNCTION("""COMPUTED_VALUE"""),"Tanishq Bansal")</f>
        <v>Tanishq Bansal</v>
      </c>
      <c r="C420" s="18" t="str">
        <f>IFERROR(__xludf.DUMMYFUNCTION("""COMPUTED_VALUE"""),"Powai")</f>
        <v>Powai</v>
      </c>
      <c r="D420" s="18" t="str">
        <f>IFERROR(__xludf.DUMMYFUNCTION("""COMPUTED_VALUE"""),"Guava")</f>
        <v>Guava</v>
      </c>
      <c r="E420" s="18">
        <f>IFERROR(__xludf.DUMMYFUNCTION("""COMPUTED_VALUE"""),2.0)</f>
        <v>2</v>
      </c>
      <c r="F420" s="18" t="str">
        <f>IFERROR(__xludf.DUMMYFUNCTION("""COMPUTED_VALUE"""),"Sandeep Kumar")</f>
        <v>Sandeep Kumar</v>
      </c>
      <c r="G420" s="19">
        <f>IFERROR(__xludf.DUMMYFUNCTION("""COMPUTED_VALUE"""),44975.0)</f>
        <v>44975</v>
      </c>
      <c r="H420" s="18" t="str">
        <f>IFERROR(__xludf.DUMMYFUNCTION("""COMPUTED_VALUE"""),"COD")</f>
        <v>COD</v>
      </c>
      <c r="I420" s="18" t="str">
        <f>IFERROR(__xludf.DUMMYFUNCTION("""COMPUTED_VALUE"""),"Delivered")</f>
        <v>Delivered</v>
      </c>
      <c r="J420" s="18" t="str">
        <f>IFERROR(__xludf.DUMMYFUNCTION("""COMPUTED_VALUE"""),"Customer Service")</f>
        <v>Customer Service</v>
      </c>
      <c r="K420" s="18" t="str">
        <f>IFERROR(__xludf.DUMMYFUNCTION("""COMPUTED_VALUE"""),"Seamless and easy")</f>
        <v>Seamless and easy</v>
      </c>
      <c r="L420" s="18">
        <f>iferror(VLOOKUP($D420,Details!$A$2:$C$11,2,false),vlookup($D420,Details!$E$2:$G$11,2,false))</f>
        <v>70</v>
      </c>
      <c r="M420" s="18" t="str">
        <f>iferror(VLOOKUP($D420,Details!$A$2:$C$11,3,false),vlookup($D420,Details!$E$2:$G$11,3,false))</f>
        <v>Fruits and Vegetables</v>
      </c>
      <c r="N420" s="18">
        <f t="shared" si="1"/>
        <v>140</v>
      </c>
      <c r="O420" s="17"/>
      <c r="P420" s="17"/>
      <c r="Q420" s="17"/>
      <c r="R420" s="17"/>
      <c r="S420" s="17"/>
      <c r="T420" s="17"/>
      <c r="U420" s="17"/>
      <c r="V420" s="17"/>
      <c r="W420" s="17"/>
      <c r="X420" s="17"/>
      <c r="Y420" s="17"/>
      <c r="Z420" s="17"/>
    </row>
    <row r="421">
      <c r="A421" s="18" t="str">
        <f>IFERROR(__xludf.DUMMYFUNCTION("""COMPUTED_VALUE"""),"ord_10412")</f>
        <v>ord_10412</v>
      </c>
      <c r="B421" s="18" t="str">
        <f>IFERROR(__xludf.DUMMYFUNCTION("""COMPUTED_VALUE"""),"Anaya Rao")</f>
        <v>Anaya Rao</v>
      </c>
      <c r="C421" s="18" t="str">
        <f>IFERROR(__xludf.DUMMYFUNCTION("""COMPUTED_VALUE"""),"Malad")</f>
        <v>Malad</v>
      </c>
      <c r="D421" s="18" t="str">
        <f>IFERROR(__xludf.DUMMYFUNCTION("""COMPUTED_VALUE"""),"Tiramisu")</f>
        <v>Tiramisu</v>
      </c>
      <c r="E421" s="18">
        <f>IFERROR(__xludf.DUMMYFUNCTION("""COMPUTED_VALUE"""),4.0)</f>
        <v>4</v>
      </c>
      <c r="F421" s="18" t="str">
        <f>IFERROR(__xludf.DUMMYFUNCTION("""COMPUTED_VALUE"""),"Neha Shah")</f>
        <v>Neha Shah</v>
      </c>
      <c r="G421" s="19">
        <f>IFERROR(__xludf.DUMMYFUNCTION("""COMPUTED_VALUE"""),45100.0)</f>
        <v>45100</v>
      </c>
      <c r="H421" s="18" t="str">
        <f>IFERROR(__xludf.DUMMYFUNCTION("""COMPUTED_VALUE"""),"Credit Card")</f>
        <v>Credit Card</v>
      </c>
      <c r="I421" s="18" t="str">
        <f>IFERROR(__xludf.DUMMYFUNCTION("""COMPUTED_VALUE"""),"Delivered")</f>
        <v>Delivered</v>
      </c>
      <c r="J421" s="18" t="str">
        <f>IFERROR(__xludf.DUMMYFUNCTION("""COMPUTED_VALUE"""),"Delivery Experience")</f>
        <v>Delivery Experience</v>
      </c>
      <c r="K421" s="18" t="str">
        <f>IFERROR(__xludf.DUMMYFUNCTION("""COMPUTED_VALUE"""),"Quick and professional")</f>
        <v>Quick and professional</v>
      </c>
      <c r="L421" s="18">
        <f>iferror(VLOOKUP($D421,Details!$A$2:$C$11,2,false),vlookup($D421,Details!$E$2:$G$11,2,false))</f>
        <v>150</v>
      </c>
      <c r="M421" s="18" t="str">
        <f>iferror(VLOOKUP($D421,Details!$A$2:$C$11,3,false),vlookup($D421,Details!$E$2:$G$11,3,false))</f>
        <v>Snacks and Drinks</v>
      </c>
      <c r="N421" s="18">
        <f t="shared" si="1"/>
        <v>600</v>
      </c>
      <c r="O421" s="17"/>
      <c r="P421" s="17"/>
      <c r="Q421" s="17"/>
      <c r="R421" s="17"/>
      <c r="S421" s="17"/>
      <c r="T421" s="17"/>
      <c r="U421" s="17"/>
      <c r="V421" s="17"/>
      <c r="W421" s="17"/>
      <c r="X421" s="17"/>
      <c r="Y421" s="17"/>
      <c r="Z421" s="17"/>
    </row>
    <row r="422">
      <c r="A422" s="18" t="str">
        <f>IFERROR(__xludf.DUMMYFUNCTION("""COMPUTED_VALUE"""),"ord_10413")</f>
        <v>ord_10413</v>
      </c>
      <c r="B422" s="18" t="str">
        <f>IFERROR(__xludf.DUMMYFUNCTION("""COMPUTED_VALUE"""),"Dev Chauhan")</f>
        <v>Dev Chauhan</v>
      </c>
      <c r="C422" s="18" t="str">
        <f>IFERROR(__xludf.DUMMYFUNCTION("""COMPUTED_VALUE"""),"Bandra")</f>
        <v>Bandra</v>
      </c>
      <c r="D422" s="18" t="str">
        <f>IFERROR(__xludf.DUMMYFUNCTION("""COMPUTED_VALUE"""),"Tomato")</f>
        <v>Tomato</v>
      </c>
      <c r="E422" s="18">
        <f>IFERROR(__xludf.DUMMYFUNCTION("""COMPUTED_VALUE"""),2.0)</f>
        <v>2</v>
      </c>
      <c r="F422" s="18" t="str">
        <f>IFERROR(__xludf.DUMMYFUNCTION("""COMPUTED_VALUE"""),"Priya Joshi")</f>
        <v>Priya Joshi</v>
      </c>
      <c r="G422" s="19">
        <f>IFERROR(__xludf.DUMMYFUNCTION("""COMPUTED_VALUE"""),44967.0)</f>
        <v>44967</v>
      </c>
      <c r="H422" s="18" t="str">
        <f>IFERROR(__xludf.DUMMYFUNCTION("""COMPUTED_VALUE"""),"Online Payment")</f>
        <v>Online Payment</v>
      </c>
      <c r="I422" s="18" t="str">
        <f>IFERROR(__xludf.DUMMYFUNCTION("""COMPUTED_VALUE"""),"Delivered")</f>
        <v>Delivered</v>
      </c>
      <c r="J422" s="18" t="str">
        <f>IFERROR(__xludf.DUMMYFUNCTION("""COMPUTED_VALUE"""),"Convenience")</f>
        <v>Convenience</v>
      </c>
      <c r="K422" s="18" t="str">
        <f>IFERROR(__xludf.DUMMYFUNCTION("""COMPUTED_VALUE"""),"Easy tracking")</f>
        <v>Easy tracking</v>
      </c>
      <c r="L422" s="18">
        <f>iferror(VLOOKUP($D422,Details!$A$2:$C$11,2,false),vlookup($D422,Details!$E$2:$G$11,2,false))</f>
        <v>25</v>
      </c>
      <c r="M422" s="18" t="str">
        <f>iferror(VLOOKUP($D422,Details!$A$2:$C$11,3,false),vlookup($D422,Details!$E$2:$G$11,3,false))</f>
        <v>Fruits and Vegetables</v>
      </c>
      <c r="N422" s="18">
        <f t="shared" si="1"/>
        <v>50</v>
      </c>
      <c r="O422" s="17"/>
      <c r="P422" s="17"/>
      <c r="Q422" s="17"/>
      <c r="R422" s="17"/>
      <c r="S422" s="17"/>
      <c r="T422" s="17"/>
      <c r="U422" s="17"/>
      <c r="V422" s="17"/>
      <c r="W422" s="17"/>
      <c r="X422" s="17"/>
      <c r="Y422" s="17"/>
      <c r="Z422" s="17"/>
    </row>
    <row r="423">
      <c r="A423" s="18" t="str">
        <f>IFERROR(__xludf.DUMMYFUNCTION("""COMPUTED_VALUE"""),"ord_10414")</f>
        <v>ord_10414</v>
      </c>
      <c r="B423" s="18" t="str">
        <f>IFERROR(__xludf.DUMMYFUNCTION("""COMPUTED_VALUE"""),"Sakshi Tandon")</f>
        <v>Sakshi Tandon</v>
      </c>
      <c r="C423" s="18" t="str">
        <f>IFERROR(__xludf.DUMMYFUNCTION("""COMPUTED_VALUE"""),"Colaba")</f>
        <v>Colaba</v>
      </c>
      <c r="D423" s="18" t="str">
        <f>IFERROR(__xludf.DUMMYFUNCTION("""COMPUTED_VALUE"""),"Orange")</f>
        <v>Orange</v>
      </c>
      <c r="E423" s="18">
        <f>IFERROR(__xludf.DUMMYFUNCTION("""COMPUTED_VALUE"""),2.0)</f>
        <v>2</v>
      </c>
      <c r="F423" s="18" t="str">
        <f>IFERROR(__xludf.DUMMYFUNCTION("""COMPUTED_VALUE"""),"Nikhil Deshmukh")</f>
        <v>Nikhil Deshmukh</v>
      </c>
      <c r="G423" s="19">
        <f>IFERROR(__xludf.DUMMYFUNCTION("""COMPUTED_VALUE"""),45116.0)</f>
        <v>45116</v>
      </c>
      <c r="H423" s="18" t="str">
        <f>IFERROR(__xludf.DUMMYFUNCTION("""COMPUTED_VALUE"""),"COD")</f>
        <v>COD</v>
      </c>
      <c r="I423" s="18" t="str">
        <f>IFERROR(__xludf.DUMMYFUNCTION("""COMPUTED_VALUE"""),"Delivered")</f>
        <v>Delivered</v>
      </c>
      <c r="J423" s="18" t="str">
        <f>IFERROR(__xludf.DUMMYFUNCTION("""COMPUTED_VALUE"""),"Overall Satisfaction")</f>
        <v>Overall Satisfaction</v>
      </c>
      <c r="K423" s="18" t="str">
        <f>IFERROR(__xludf.DUMMYFUNCTION("""COMPUTED_VALUE"""),"Great service will order again")</f>
        <v>Great service will order again</v>
      </c>
      <c r="L423" s="18">
        <f>iferror(VLOOKUP($D423,Details!$A$2:$C$11,2,false),vlookup($D423,Details!$E$2:$G$11,2,false))</f>
        <v>180</v>
      </c>
      <c r="M423" s="18" t="str">
        <f>iferror(VLOOKUP($D423,Details!$A$2:$C$11,3,false),vlookup($D423,Details!$E$2:$G$11,3,false))</f>
        <v>Fruits and Vegetables</v>
      </c>
      <c r="N423" s="18">
        <f t="shared" si="1"/>
        <v>360</v>
      </c>
      <c r="O423" s="17"/>
      <c r="P423" s="17"/>
      <c r="Q423" s="17"/>
      <c r="R423" s="17"/>
      <c r="S423" s="17"/>
      <c r="T423" s="17"/>
      <c r="U423" s="17"/>
      <c r="V423" s="17"/>
      <c r="W423" s="17"/>
      <c r="X423" s="17"/>
      <c r="Y423" s="17"/>
      <c r="Z423" s="17"/>
    </row>
    <row r="424">
      <c r="A424" s="18" t="str">
        <f>IFERROR(__xludf.DUMMYFUNCTION("""COMPUTED_VALUE"""),"ord_10415")</f>
        <v>ord_10415</v>
      </c>
      <c r="B424" s="18" t="str">
        <f>IFERROR(__xludf.DUMMYFUNCTION("""COMPUTED_VALUE"""),"Mohit Malhotra")</f>
        <v>Mohit Malhotra</v>
      </c>
      <c r="C424" s="18" t="str">
        <f>IFERROR(__xludf.DUMMYFUNCTION("""COMPUTED_VALUE"""),"Lower Parel")</f>
        <v>Lower Parel</v>
      </c>
      <c r="D424" s="18" t="str">
        <f>IFERROR(__xludf.DUMMYFUNCTION("""COMPUTED_VALUE"""),"Juice")</f>
        <v>Juice</v>
      </c>
      <c r="E424" s="18">
        <f>IFERROR(__xludf.DUMMYFUNCTION("""COMPUTED_VALUE"""),1.0)</f>
        <v>1</v>
      </c>
      <c r="F424" s="18" t="str">
        <f>IFERROR(__xludf.DUMMYFUNCTION("""COMPUTED_VALUE"""),"Kiran Mehta")</f>
        <v>Kiran Mehta</v>
      </c>
      <c r="G424" s="19">
        <f>IFERROR(__xludf.DUMMYFUNCTION("""COMPUTED_VALUE"""),44929.0)</f>
        <v>44929</v>
      </c>
      <c r="H424" s="18" t="str">
        <f>IFERROR(__xludf.DUMMYFUNCTION("""COMPUTED_VALUE"""),"Credit Card")</f>
        <v>Credit Card</v>
      </c>
      <c r="I424" s="18" t="str">
        <f>IFERROR(__xludf.DUMMYFUNCTION("""COMPUTED_VALUE"""),"Delivered")</f>
        <v>Delivered</v>
      </c>
      <c r="J424" s="18" t="str">
        <f>IFERROR(__xludf.DUMMYFUNCTION("""COMPUTED_VALUE"""),"On-time Delivery")</f>
        <v>On-time Delivery</v>
      </c>
      <c r="K424" s="18" t="str">
        <f>IFERROR(__xludf.DUMMYFUNCTION("""COMPUTED_VALUE"""),"Delivered on time")</f>
        <v>Delivered on time</v>
      </c>
      <c r="L424" s="18">
        <f>iferror(VLOOKUP($D424,Details!$A$2:$C$11,2,false),vlookup($D424,Details!$E$2:$G$11,2,false))</f>
        <v>90</v>
      </c>
      <c r="M424" s="18" t="str">
        <f>iferror(VLOOKUP($D424,Details!$A$2:$C$11,3,false),vlookup($D424,Details!$E$2:$G$11,3,false))</f>
        <v>Snacks and Drinks</v>
      </c>
      <c r="N424" s="18">
        <f t="shared" si="1"/>
        <v>90</v>
      </c>
      <c r="O424" s="17"/>
      <c r="P424" s="17"/>
      <c r="Q424" s="17"/>
      <c r="R424" s="17"/>
      <c r="S424" s="17"/>
      <c r="T424" s="17"/>
      <c r="U424" s="17"/>
      <c r="V424" s="17"/>
      <c r="W424" s="17"/>
      <c r="X424" s="17"/>
      <c r="Y424" s="17"/>
      <c r="Z424" s="17"/>
    </row>
    <row r="425">
      <c r="A425" s="18" t="str">
        <f>IFERROR(__xludf.DUMMYFUNCTION("""COMPUTED_VALUE"""),"ord_10416")</f>
        <v>ord_10416</v>
      </c>
      <c r="B425" s="18" t="str">
        <f>IFERROR(__xludf.DUMMYFUNCTION("""COMPUTED_VALUE"""),"Arvind Kulkarni")</f>
        <v>Arvind Kulkarni</v>
      </c>
      <c r="C425" s="18" t="str">
        <f>IFERROR(__xludf.DUMMYFUNCTION("""COMPUTED_VALUE"""),"Juhu")</f>
        <v>Juhu</v>
      </c>
      <c r="D425" s="18" t="str">
        <f>IFERROR(__xludf.DUMMYFUNCTION("""COMPUTED_VALUE"""),"Potato")</f>
        <v>Potato</v>
      </c>
      <c r="E425" s="18">
        <f>IFERROR(__xludf.DUMMYFUNCTION("""COMPUTED_VALUE"""),1.0)</f>
        <v>1</v>
      </c>
      <c r="F425" s="18" t="str">
        <f>IFERROR(__xludf.DUMMYFUNCTION("""COMPUTED_VALUE"""),"Tanvi Jain")</f>
        <v>Tanvi Jain</v>
      </c>
      <c r="G425" s="19">
        <f>IFERROR(__xludf.DUMMYFUNCTION("""COMPUTED_VALUE"""),45081.0)</f>
        <v>45081</v>
      </c>
      <c r="H425" s="18" t="str">
        <f>IFERROR(__xludf.DUMMYFUNCTION("""COMPUTED_VALUE"""),"Credit Card")</f>
        <v>Credit Card</v>
      </c>
      <c r="I425" s="18" t="str">
        <f>IFERROR(__xludf.DUMMYFUNCTION("""COMPUTED_VALUE"""),"Delivered")</f>
        <v>Delivered</v>
      </c>
      <c r="J425" s="18" t="str">
        <f>IFERROR(__xludf.DUMMYFUNCTION("""COMPUTED_VALUE"""),"Quality of Items")</f>
        <v>Quality of Items</v>
      </c>
      <c r="K425" s="18" t="str">
        <f>IFERROR(__xludf.DUMMYFUNCTION("""COMPUTED_VALUE"""),"Perfect condition")</f>
        <v>Perfect condition</v>
      </c>
      <c r="L425" s="18">
        <f>iferror(VLOOKUP($D425,Details!$A$2:$C$11,2,false),vlookup($D425,Details!$E$2:$G$11,2,false))</f>
        <v>55</v>
      </c>
      <c r="M425" s="18" t="str">
        <f>iferror(VLOOKUP($D425,Details!$A$2:$C$11,3,false),vlookup($D425,Details!$E$2:$G$11,3,false))</f>
        <v>Fruits and Vegetables</v>
      </c>
      <c r="N425" s="18">
        <f t="shared" si="1"/>
        <v>55</v>
      </c>
      <c r="O425" s="17"/>
      <c r="P425" s="17"/>
      <c r="Q425" s="17"/>
      <c r="R425" s="17"/>
      <c r="S425" s="17"/>
      <c r="T425" s="17"/>
      <c r="U425" s="17"/>
      <c r="V425" s="17"/>
      <c r="W425" s="17"/>
      <c r="X425" s="17"/>
      <c r="Y425" s="17"/>
      <c r="Z425" s="17"/>
    </row>
    <row r="426">
      <c r="A426" s="18" t="str">
        <f>IFERROR(__xludf.DUMMYFUNCTION("""COMPUTED_VALUE"""),"ord_10417")</f>
        <v>ord_10417</v>
      </c>
      <c r="B426" s="18" t="str">
        <f>IFERROR(__xludf.DUMMYFUNCTION("""COMPUTED_VALUE"""),"Diya Arora")</f>
        <v>Diya Arora</v>
      </c>
      <c r="C426" s="18" t="str">
        <f>IFERROR(__xludf.DUMMYFUNCTION("""COMPUTED_VALUE"""),"Lower Parel")</f>
        <v>Lower Parel</v>
      </c>
      <c r="D426" s="18" t="str">
        <f>IFERROR(__xludf.DUMMYFUNCTION("""COMPUTED_VALUE"""),"Apple")</f>
        <v>Apple</v>
      </c>
      <c r="E426" s="18">
        <f>IFERROR(__xludf.DUMMYFUNCTION("""COMPUTED_VALUE"""),2.0)</f>
        <v>2</v>
      </c>
      <c r="F426" s="18" t="str">
        <f>IFERROR(__xludf.DUMMYFUNCTION("""COMPUTED_VALUE"""),"Kiran Mehta")</f>
        <v>Kiran Mehta</v>
      </c>
      <c r="G426" s="19">
        <f>IFERROR(__xludf.DUMMYFUNCTION("""COMPUTED_VALUE"""),45127.0)</f>
        <v>45127</v>
      </c>
      <c r="H426" s="18" t="str">
        <f>IFERROR(__xludf.DUMMYFUNCTION("""COMPUTED_VALUE"""),"COD")</f>
        <v>COD</v>
      </c>
      <c r="I426" s="18" t="str">
        <f>IFERROR(__xludf.DUMMYFUNCTION("""COMPUTED_VALUE"""),"Delivered")</f>
        <v>Delivered</v>
      </c>
      <c r="J426" s="18" t="str">
        <f>IFERROR(__xludf.DUMMYFUNCTION("""COMPUTED_VALUE"""),"On-time Delivery")</f>
        <v>On-time Delivery</v>
      </c>
      <c r="K426" s="18" t="str">
        <f>IFERROR(__xludf.DUMMYFUNCTION("""COMPUTED_VALUE"""),"Delivered on time")</f>
        <v>Delivered on time</v>
      </c>
      <c r="L426" s="18">
        <f>iferror(VLOOKUP($D426,Details!$A$2:$C$11,2,false),vlookup($D426,Details!$E$2:$G$11,2,false))</f>
        <v>230</v>
      </c>
      <c r="M426" s="18" t="str">
        <f>iferror(VLOOKUP($D426,Details!$A$2:$C$11,3,false),vlookup($D426,Details!$E$2:$G$11,3,false))</f>
        <v>Fruits and Vegetables</v>
      </c>
      <c r="N426" s="18">
        <f t="shared" si="1"/>
        <v>460</v>
      </c>
      <c r="O426" s="17"/>
      <c r="P426" s="17"/>
      <c r="Q426" s="17"/>
      <c r="R426" s="17"/>
      <c r="S426" s="17"/>
      <c r="T426" s="17"/>
      <c r="U426" s="17"/>
      <c r="V426" s="17"/>
      <c r="W426" s="17"/>
      <c r="X426" s="17"/>
      <c r="Y426" s="17"/>
      <c r="Z426" s="17"/>
    </row>
    <row r="427">
      <c r="A427" s="18" t="str">
        <f>IFERROR(__xludf.DUMMYFUNCTION("""COMPUTED_VALUE"""),"ord_10418")</f>
        <v>ord_10418</v>
      </c>
      <c r="B427" s="18" t="str">
        <f>IFERROR(__xludf.DUMMYFUNCTION("""COMPUTED_VALUE"""),"Simran Bhatt")</f>
        <v>Simran Bhatt</v>
      </c>
      <c r="C427" s="18" t="str">
        <f>IFERROR(__xludf.DUMMYFUNCTION("""COMPUTED_VALUE"""),"Juhu")</f>
        <v>Juhu</v>
      </c>
      <c r="D427" s="18" t="str">
        <f>IFERROR(__xludf.DUMMYFUNCTION("""COMPUTED_VALUE"""),"Papaya")</f>
        <v>Papaya</v>
      </c>
      <c r="E427" s="18">
        <f>IFERROR(__xludf.DUMMYFUNCTION("""COMPUTED_VALUE"""),2.0)</f>
        <v>2</v>
      </c>
      <c r="F427" s="18" t="str">
        <f>IFERROR(__xludf.DUMMYFUNCTION("""COMPUTED_VALUE"""),"Tanvi Jain")</f>
        <v>Tanvi Jain</v>
      </c>
      <c r="G427" s="19">
        <f>IFERROR(__xludf.DUMMYFUNCTION("""COMPUTED_VALUE"""),45017.0)</f>
        <v>45017</v>
      </c>
      <c r="H427" s="18" t="str">
        <f>IFERROR(__xludf.DUMMYFUNCTION("""COMPUTED_VALUE"""),"COD")</f>
        <v>COD</v>
      </c>
      <c r="I427" s="18" t="str">
        <f>IFERROR(__xludf.DUMMYFUNCTION("""COMPUTED_VALUE"""),"Delivered")</f>
        <v>Delivered</v>
      </c>
      <c r="J427" s="18" t="str">
        <f>IFERROR(__xludf.DUMMYFUNCTION("""COMPUTED_VALUE"""),"Quality of Items")</f>
        <v>Quality of Items</v>
      </c>
      <c r="K427" s="18" t="str">
        <f>IFERROR(__xludf.DUMMYFUNCTION("""COMPUTED_VALUE"""),"Perfect condition")</f>
        <v>Perfect condition</v>
      </c>
      <c r="L427" s="18">
        <f>iferror(VLOOKUP($D427,Details!$A$2:$C$11,2,false),vlookup($D427,Details!$E$2:$G$11,2,false))</f>
        <v>75</v>
      </c>
      <c r="M427" s="18" t="str">
        <f>iferror(VLOOKUP($D427,Details!$A$2:$C$11,3,false),vlookup($D427,Details!$E$2:$G$11,3,false))</f>
        <v>Fruits and Vegetables</v>
      </c>
      <c r="N427" s="18">
        <f t="shared" si="1"/>
        <v>150</v>
      </c>
      <c r="O427" s="17"/>
      <c r="P427" s="17"/>
      <c r="Q427" s="17"/>
      <c r="R427" s="17"/>
      <c r="S427" s="17"/>
      <c r="T427" s="17"/>
      <c r="U427" s="17"/>
      <c r="V427" s="17"/>
      <c r="W427" s="17"/>
      <c r="X427" s="17"/>
      <c r="Y427" s="17"/>
      <c r="Z427" s="17"/>
    </row>
    <row r="428">
      <c r="A428" s="18" t="str">
        <f>IFERROR(__xludf.DUMMYFUNCTION("""COMPUTED_VALUE"""),"ord_10419")</f>
        <v>ord_10419</v>
      </c>
      <c r="B428" s="18" t="str">
        <f>IFERROR(__xludf.DUMMYFUNCTION("""COMPUTED_VALUE"""),"Mehul Thakkar")</f>
        <v>Mehul Thakkar</v>
      </c>
      <c r="C428" s="18" t="str">
        <f>IFERROR(__xludf.DUMMYFUNCTION("""COMPUTED_VALUE"""),"Malad")</f>
        <v>Malad</v>
      </c>
      <c r="D428" s="18" t="str">
        <f>IFERROR(__xludf.DUMMYFUNCTION("""COMPUTED_VALUE"""),"Tiramisu")</f>
        <v>Tiramisu</v>
      </c>
      <c r="E428" s="18">
        <f>IFERROR(__xludf.DUMMYFUNCTION("""COMPUTED_VALUE"""),1.0)</f>
        <v>1</v>
      </c>
      <c r="F428" s="18" t="str">
        <f>IFERROR(__xludf.DUMMYFUNCTION("""COMPUTED_VALUE"""),"Neha Shah")</f>
        <v>Neha Shah</v>
      </c>
      <c r="G428" s="19">
        <f>IFERROR(__xludf.DUMMYFUNCTION("""COMPUTED_VALUE"""),44985.0)</f>
        <v>44985</v>
      </c>
      <c r="H428" s="18" t="str">
        <f>IFERROR(__xludf.DUMMYFUNCTION("""COMPUTED_VALUE"""),"Credit Card")</f>
        <v>Credit Card</v>
      </c>
      <c r="I428" s="18" t="str">
        <f>IFERROR(__xludf.DUMMYFUNCTION("""COMPUTED_VALUE"""),"Delivered")</f>
        <v>Delivered</v>
      </c>
      <c r="J428" s="18" t="str">
        <f>IFERROR(__xludf.DUMMYFUNCTION("""COMPUTED_VALUE"""),"Packaging")</f>
        <v>Packaging</v>
      </c>
      <c r="K428" s="18" t="str">
        <f>IFERROR(__xludf.DUMMYFUNCTION("""COMPUTED_VALUE"""),"Secure and intact")</f>
        <v>Secure and intact</v>
      </c>
      <c r="L428" s="18">
        <f>iferror(VLOOKUP($D428,Details!$A$2:$C$11,2,false),vlookup($D428,Details!$E$2:$G$11,2,false))</f>
        <v>150</v>
      </c>
      <c r="M428" s="18" t="str">
        <f>iferror(VLOOKUP($D428,Details!$A$2:$C$11,3,false),vlookup($D428,Details!$E$2:$G$11,3,false))</f>
        <v>Snacks and Drinks</v>
      </c>
      <c r="N428" s="18">
        <f t="shared" si="1"/>
        <v>150</v>
      </c>
      <c r="O428" s="17"/>
      <c r="P428" s="17"/>
      <c r="Q428" s="17"/>
      <c r="R428" s="17"/>
      <c r="S428" s="17"/>
      <c r="T428" s="17"/>
      <c r="U428" s="17"/>
      <c r="V428" s="17"/>
      <c r="W428" s="17"/>
      <c r="X428" s="17"/>
      <c r="Y428" s="17"/>
      <c r="Z428" s="17"/>
    </row>
    <row r="429">
      <c r="A429" s="18" t="str">
        <f>IFERROR(__xludf.DUMMYFUNCTION("""COMPUTED_VALUE"""),"ord_10420")</f>
        <v>ord_10420</v>
      </c>
      <c r="B429" s="18" t="str">
        <f>IFERROR(__xludf.DUMMYFUNCTION("""COMPUTED_VALUE"""),"Ishita Banerjee")</f>
        <v>Ishita Banerjee</v>
      </c>
      <c r="C429" s="18" t="str">
        <f>IFERROR(__xludf.DUMMYFUNCTION("""COMPUTED_VALUE"""),"Juhu")</f>
        <v>Juhu</v>
      </c>
      <c r="D429" s="18" t="str">
        <f>IFERROR(__xludf.DUMMYFUNCTION("""COMPUTED_VALUE"""),"Juice")</f>
        <v>Juice</v>
      </c>
      <c r="E429" s="18">
        <f>IFERROR(__xludf.DUMMYFUNCTION("""COMPUTED_VALUE"""),2.0)</f>
        <v>2</v>
      </c>
      <c r="F429" s="18" t="str">
        <f>IFERROR(__xludf.DUMMYFUNCTION("""COMPUTED_VALUE"""),"Kiran Mehta")</f>
        <v>Kiran Mehta</v>
      </c>
      <c r="G429" s="19">
        <f>IFERROR(__xludf.DUMMYFUNCTION("""COMPUTED_VALUE"""),45276.0)</f>
        <v>45276</v>
      </c>
      <c r="H429" s="18" t="str">
        <f>IFERROR(__xludf.DUMMYFUNCTION("""COMPUTED_VALUE"""),"Online Payment")</f>
        <v>Online Payment</v>
      </c>
      <c r="I429" s="18" t="str">
        <f>IFERROR(__xludf.DUMMYFUNCTION("""COMPUTED_VALUE"""),"Cancelled")</f>
        <v>Cancelled</v>
      </c>
      <c r="J429" s="18" t="str">
        <f>IFERROR(__xludf.DUMMYFUNCTION("""COMPUTED_VALUE"""),"Delayed Delivery")</f>
        <v>Delayed Delivery</v>
      </c>
      <c r="K429" s="18" t="str">
        <f>IFERROR(__xludf.DUMMYFUNCTION("""COMPUTED_VALUE"""),"Heavy Traffic")</f>
        <v>Heavy Traffic</v>
      </c>
      <c r="L429" s="18">
        <f>iferror(VLOOKUP($D429,Details!$A$2:$C$11,2,false),vlookup($D429,Details!$E$2:$G$11,2,false))</f>
        <v>90</v>
      </c>
      <c r="M429" s="18" t="str">
        <f>iferror(VLOOKUP($D429,Details!$A$2:$C$11,3,false),vlookup($D429,Details!$E$2:$G$11,3,false))</f>
        <v>Snacks and Drinks</v>
      </c>
      <c r="N429" s="18">
        <f t="shared" si="1"/>
        <v>180</v>
      </c>
      <c r="O429" s="17"/>
      <c r="P429" s="17"/>
      <c r="Q429" s="17"/>
      <c r="R429" s="17"/>
      <c r="S429" s="17"/>
      <c r="T429" s="17"/>
      <c r="U429" s="17"/>
      <c r="V429" s="17"/>
      <c r="W429" s="17"/>
      <c r="X429" s="17"/>
      <c r="Y429" s="17"/>
      <c r="Z429" s="17"/>
    </row>
    <row r="430">
      <c r="A430" s="18" t="str">
        <f>IFERROR(__xludf.DUMMYFUNCTION("""COMPUTED_VALUE"""),"ord_10421")</f>
        <v>ord_10421</v>
      </c>
      <c r="B430" s="18" t="str">
        <f>IFERROR(__xludf.DUMMYFUNCTION("""COMPUTED_VALUE"""),"Tanishq Bansal")</f>
        <v>Tanishq Bansal</v>
      </c>
      <c r="C430" s="18" t="str">
        <f>IFERROR(__xludf.DUMMYFUNCTION("""COMPUTED_VALUE"""),"Powai")</f>
        <v>Powai</v>
      </c>
      <c r="D430" s="18" t="str">
        <f>IFERROR(__xludf.DUMMYFUNCTION("""COMPUTED_VALUE"""),"Guava")</f>
        <v>Guava</v>
      </c>
      <c r="E430" s="18">
        <f>IFERROR(__xludf.DUMMYFUNCTION("""COMPUTED_VALUE"""),1.0)</f>
        <v>1</v>
      </c>
      <c r="F430" s="18" t="str">
        <f>IFERROR(__xludf.DUMMYFUNCTION("""COMPUTED_VALUE"""),"Sandeep Kumar")</f>
        <v>Sandeep Kumar</v>
      </c>
      <c r="G430" s="19">
        <f>IFERROR(__xludf.DUMMYFUNCTION("""COMPUTED_VALUE"""),44952.0)</f>
        <v>44952</v>
      </c>
      <c r="H430" s="18" t="str">
        <f>IFERROR(__xludf.DUMMYFUNCTION("""COMPUTED_VALUE"""),"Credit Card")</f>
        <v>Credit Card</v>
      </c>
      <c r="I430" s="18" t="str">
        <f>IFERROR(__xludf.DUMMYFUNCTION("""COMPUTED_VALUE"""),"Delivered")</f>
        <v>Delivered</v>
      </c>
      <c r="J430" s="18" t="str">
        <f>IFERROR(__xludf.DUMMYFUNCTION("""COMPUTED_VALUE"""),"Satisfied with the Delivery")</f>
        <v>Satisfied with the Delivery</v>
      </c>
      <c r="K430" s="18" t="str">
        <f>IFERROR(__xludf.DUMMYFUNCTION("""COMPUTED_VALUE"""),"Timely and quality")</f>
        <v>Timely and quality</v>
      </c>
      <c r="L430" s="18">
        <f>iferror(VLOOKUP($D430,Details!$A$2:$C$11,2,false),vlookup($D430,Details!$E$2:$G$11,2,false))</f>
        <v>70</v>
      </c>
      <c r="M430" s="18" t="str">
        <f>iferror(VLOOKUP($D430,Details!$A$2:$C$11,3,false),vlookup($D430,Details!$E$2:$G$11,3,false))</f>
        <v>Fruits and Vegetables</v>
      </c>
      <c r="N430" s="18">
        <f t="shared" si="1"/>
        <v>70</v>
      </c>
      <c r="O430" s="17"/>
      <c r="P430" s="17"/>
      <c r="Q430" s="17"/>
      <c r="R430" s="17"/>
      <c r="S430" s="17"/>
      <c r="T430" s="17"/>
      <c r="U430" s="17"/>
      <c r="V430" s="17"/>
      <c r="W430" s="17"/>
      <c r="X430" s="17"/>
      <c r="Y430" s="17"/>
      <c r="Z430" s="17"/>
    </row>
    <row r="431">
      <c r="A431" s="18" t="str">
        <f>IFERROR(__xludf.DUMMYFUNCTION("""COMPUTED_VALUE"""),"ord_10422")</f>
        <v>ord_10422</v>
      </c>
      <c r="B431" s="18" t="str">
        <f>IFERROR(__xludf.DUMMYFUNCTION("""COMPUTED_VALUE"""),"Aditi Iyer")</f>
        <v>Aditi Iyer</v>
      </c>
      <c r="C431" s="18" t="str">
        <f>IFERROR(__xludf.DUMMYFUNCTION("""COMPUTED_VALUE"""),"Dadar")</f>
        <v>Dadar</v>
      </c>
      <c r="D431" s="18" t="str">
        <f>IFERROR(__xludf.DUMMYFUNCTION("""COMPUTED_VALUE"""),"Orange")</f>
        <v>Orange</v>
      </c>
      <c r="E431" s="18">
        <f>IFERROR(__xludf.DUMMYFUNCTION("""COMPUTED_VALUE"""),2.0)</f>
        <v>2</v>
      </c>
      <c r="F431" s="18" t="str">
        <f>IFERROR(__xludf.DUMMYFUNCTION("""COMPUTED_VALUE"""),"Aman Kumar")</f>
        <v>Aman Kumar</v>
      </c>
      <c r="G431" s="19">
        <f>IFERROR(__xludf.DUMMYFUNCTION("""COMPUTED_VALUE"""),45168.0)</f>
        <v>45168</v>
      </c>
      <c r="H431" s="18" t="str">
        <f>IFERROR(__xludf.DUMMYFUNCTION("""COMPUTED_VALUE"""),"Online Payment")</f>
        <v>Online Payment</v>
      </c>
      <c r="I431" s="18" t="str">
        <f>IFERROR(__xludf.DUMMYFUNCTION("""COMPUTED_VALUE"""),"Delivered")</f>
        <v>Delivered</v>
      </c>
      <c r="J431" s="18" t="str">
        <f>IFERROR(__xludf.DUMMYFUNCTION("""COMPUTED_VALUE"""),"Customer Service")</f>
        <v>Customer Service</v>
      </c>
      <c r="K431" s="18" t="str">
        <f>IFERROR(__xludf.DUMMYFUNCTION("""COMPUTED_VALUE"""),"Seamless and easy")</f>
        <v>Seamless and easy</v>
      </c>
      <c r="L431" s="18">
        <f>iferror(VLOOKUP($D431,Details!$A$2:$C$11,2,false),vlookup($D431,Details!$E$2:$G$11,2,false))</f>
        <v>180</v>
      </c>
      <c r="M431" s="18" t="str">
        <f>iferror(VLOOKUP($D431,Details!$A$2:$C$11,3,false),vlookup($D431,Details!$E$2:$G$11,3,false))</f>
        <v>Fruits and Vegetables</v>
      </c>
      <c r="N431" s="18">
        <f t="shared" si="1"/>
        <v>360</v>
      </c>
      <c r="O431" s="17"/>
      <c r="P431" s="17"/>
      <c r="Q431" s="17"/>
      <c r="R431" s="17"/>
      <c r="S431" s="17"/>
      <c r="T431" s="17"/>
      <c r="U431" s="17"/>
      <c r="V431" s="17"/>
      <c r="W431" s="17"/>
      <c r="X431" s="17"/>
      <c r="Y431" s="17"/>
      <c r="Z431" s="17"/>
    </row>
    <row r="432">
      <c r="A432" s="18" t="str">
        <f>IFERROR(__xludf.DUMMYFUNCTION("""COMPUTED_VALUE"""),"ord_10423")</f>
        <v>ord_10423</v>
      </c>
      <c r="B432" s="18" t="str">
        <f>IFERROR(__xludf.DUMMYFUNCTION("""COMPUTED_VALUE"""),"Diya Arora")</f>
        <v>Diya Arora</v>
      </c>
      <c r="C432" s="18" t="str">
        <f>IFERROR(__xludf.DUMMYFUNCTION("""COMPUTED_VALUE"""),"Lower Parel")</f>
        <v>Lower Parel</v>
      </c>
      <c r="D432" s="18" t="str">
        <f>IFERROR(__xludf.DUMMYFUNCTION("""COMPUTED_VALUE"""),"Sweet Corn")</f>
        <v>Sweet Corn</v>
      </c>
      <c r="E432" s="18">
        <f>IFERROR(__xludf.DUMMYFUNCTION("""COMPUTED_VALUE"""),2.0)</f>
        <v>2</v>
      </c>
      <c r="F432" s="18" t="str">
        <f>IFERROR(__xludf.DUMMYFUNCTION("""COMPUTED_VALUE"""),"Kiran Mehta")</f>
        <v>Kiran Mehta</v>
      </c>
      <c r="G432" s="19">
        <f>IFERROR(__xludf.DUMMYFUNCTION("""COMPUTED_VALUE"""),44938.0)</f>
        <v>44938</v>
      </c>
      <c r="H432" s="18" t="str">
        <f>IFERROR(__xludf.DUMMYFUNCTION("""COMPUTED_VALUE"""),"Online Payment")</f>
        <v>Online Payment</v>
      </c>
      <c r="I432" s="18" t="str">
        <f>IFERROR(__xludf.DUMMYFUNCTION("""COMPUTED_VALUE"""),"Delivered")</f>
        <v>Delivered</v>
      </c>
      <c r="J432" s="18" t="str">
        <f>IFERROR(__xludf.DUMMYFUNCTION("""COMPUTED_VALUE"""),"Delivery Experience")</f>
        <v>Delivery Experience</v>
      </c>
      <c r="K432" s="18" t="str">
        <f>IFERROR(__xludf.DUMMYFUNCTION("""COMPUTED_VALUE"""),"Quick and professional")</f>
        <v>Quick and professional</v>
      </c>
      <c r="L432" s="18">
        <f>iferror(VLOOKUP($D432,Details!$A$2:$C$11,2,false),vlookup($D432,Details!$E$2:$G$11,2,false))</f>
        <v>60</v>
      </c>
      <c r="M432" s="18" t="str">
        <f>iferror(VLOOKUP($D432,Details!$A$2:$C$11,3,false),vlookup($D432,Details!$E$2:$G$11,3,false))</f>
        <v>Fruits and Vegetables</v>
      </c>
      <c r="N432" s="18">
        <f t="shared" si="1"/>
        <v>120</v>
      </c>
      <c r="O432" s="17"/>
      <c r="P432" s="17"/>
      <c r="Q432" s="17"/>
      <c r="R432" s="17"/>
      <c r="S432" s="17"/>
      <c r="T432" s="17"/>
      <c r="U432" s="17"/>
      <c r="V432" s="17"/>
      <c r="W432" s="17"/>
      <c r="X432" s="17"/>
      <c r="Y432" s="17"/>
      <c r="Z432" s="17"/>
    </row>
    <row r="433">
      <c r="A433" s="18" t="str">
        <f>IFERROR(__xludf.DUMMYFUNCTION("""COMPUTED_VALUE"""),"ord_10424")</f>
        <v>ord_10424</v>
      </c>
      <c r="B433" s="18" t="str">
        <f>IFERROR(__xludf.DUMMYFUNCTION("""COMPUTED_VALUE"""),"Mehul Thakkar")</f>
        <v>Mehul Thakkar</v>
      </c>
      <c r="C433" s="18" t="str">
        <f>IFERROR(__xludf.DUMMYFUNCTION("""COMPUTED_VALUE"""),"Malad")</f>
        <v>Malad</v>
      </c>
      <c r="D433" s="18" t="str">
        <f>IFERROR(__xludf.DUMMYFUNCTION("""COMPUTED_VALUE"""),"Juice")</f>
        <v>Juice</v>
      </c>
      <c r="E433" s="18">
        <f>IFERROR(__xludf.DUMMYFUNCTION("""COMPUTED_VALUE"""),5.0)</f>
        <v>5</v>
      </c>
      <c r="F433" s="18" t="str">
        <f>IFERROR(__xludf.DUMMYFUNCTION("""COMPUTED_VALUE"""),"Not Assigned")</f>
        <v>Not Assigned</v>
      </c>
      <c r="G433" s="19">
        <f>IFERROR(__xludf.DUMMYFUNCTION("""COMPUTED_VALUE"""),44948.0)</f>
        <v>44948</v>
      </c>
      <c r="H433" s="18" t="str">
        <f>IFERROR(__xludf.DUMMYFUNCTION("""COMPUTED_VALUE"""),"Online Payment")</f>
        <v>Online Payment</v>
      </c>
      <c r="I433" s="18" t="str">
        <f>IFERROR(__xludf.DUMMYFUNCTION("""COMPUTED_VALUE"""),"Cancelled")</f>
        <v>Cancelled</v>
      </c>
      <c r="J433" s="18" t="str">
        <f>IFERROR(__xludf.DUMMYFUNCTION("""COMPUTED_VALUE"""),"High Delivery Fees")</f>
        <v>High Delivery Fees</v>
      </c>
      <c r="K433" s="18"/>
      <c r="L433" s="18">
        <f>iferror(VLOOKUP($D433,Details!$A$2:$C$11,2,false),vlookup($D433,Details!$E$2:$G$11,2,false))</f>
        <v>90</v>
      </c>
      <c r="M433" s="18" t="str">
        <f>iferror(VLOOKUP($D433,Details!$A$2:$C$11,3,false),vlookup($D433,Details!$E$2:$G$11,3,false))</f>
        <v>Snacks and Drinks</v>
      </c>
      <c r="N433" s="18">
        <f t="shared" si="1"/>
        <v>450</v>
      </c>
      <c r="O433" s="17"/>
      <c r="P433" s="17"/>
      <c r="Q433" s="17"/>
      <c r="R433" s="17"/>
      <c r="S433" s="17"/>
      <c r="T433" s="17"/>
      <c r="U433" s="17"/>
      <c r="V433" s="17"/>
      <c r="W433" s="17"/>
      <c r="X433" s="17"/>
      <c r="Y433" s="17"/>
      <c r="Z433" s="17"/>
    </row>
    <row r="434">
      <c r="A434" s="18" t="str">
        <f>IFERROR(__xludf.DUMMYFUNCTION("""COMPUTED_VALUE"""),"ord_10425")</f>
        <v>ord_10425</v>
      </c>
      <c r="B434" s="18" t="str">
        <f>IFERROR(__xludf.DUMMYFUNCTION("""COMPUTED_VALUE"""),"Mohit Malhotra")</f>
        <v>Mohit Malhotra</v>
      </c>
      <c r="C434" s="18" t="str">
        <f>IFERROR(__xludf.DUMMYFUNCTION("""COMPUTED_VALUE"""),"Lower Parel")</f>
        <v>Lower Parel</v>
      </c>
      <c r="D434" s="18" t="str">
        <f>IFERROR(__xludf.DUMMYFUNCTION("""COMPUTED_VALUE"""),"Chilli Cheese Toast")</f>
        <v>Chilli Cheese Toast</v>
      </c>
      <c r="E434" s="18">
        <f>IFERROR(__xludf.DUMMYFUNCTION("""COMPUTED_VALUE"""),5.0)</f>
        <v>5</v>
      </c>
      <c r="F434" s="18" t="str">
        <f>IFERROR(__xludf.DUMMYFUNCTION("""COMPUTED_VALUE"""),"Kiran Mehta")</f>
        <v>Kiran Mehta</v>
      </c>
      <c r="G434" s="19">
        <f>IFERROR(__xludf.DUMMYFUNCTION("""COMPUTED_VALUE"""),45080.0)</f>
        <v>45080</v>
      </c>
      <c r="H434" s="18" t="str">
        <f>IFERROR(__xludf.DUMMYFUNCTION("""COMPUTED_VALUE"""),"Online Payment")</f>
        <v>Online Payment</v>
      </c>
      <c r="I434" s="18" t="str">
        <f>IFERROR(__xludf.DUMMYFUNCTION("""COMPUTED_VALUE"""),"Delivered")</f>
        <v>Delivered</v>
      </c>
      <c r="J434" s="18" t="str">
        <f>IFERROR(__xludf.DUMMYFUNCTION("""COMPUTED_VALUE"""),"Convenience")</f>
        <v>Convenience</v>
      </c>
      <c r="K434" s="18" t="str">
        <f>IFERROR(__xludf.DUMMYFUNCTION("""COMPUTED_VALUE"""),"Easy tracking")</f>
        <v>Easy tracking</v>
      </c>
      <c r="L434" s="18">
        <f>iferror(VLOOKUP($D434,Details!$A$2:$C$11,2,false),vlookup($D434,Details!$E$2:$G$11,2,false))</f>
        <v>80</v>
      </c>
      <c r="M434" s="18" t="str">
        <f>iferror(VLOOKUP($D434,Details!$A$2:$C$11,3,false),vlookup($D434,Details!$E$2:$G$11,3,false))</f>
        <v>Snacks and Drinks</v>
      </c>
      <c r="N434" s="18">
        <f t="shared" si="1"/>
        <v>400</v>
      </c>
      <c r="O434" s="17"/>
      <c r="P434" s="17"/>
      <c r="Q434" s="17"/>
      <c r="R434" s="17"/>
      <c r="S434" s="17"/>
      <c r="T434" s="17"/>
      <c r="U434" s="17"/>
      <c r="V434" s="17"/>
      <c r="W434" s="17"/>
      <c r="X434" s="17"/>
      <c r="Y434" s="17"/>
      <c r="Z434" s="17"/>
    </row>
    <row r="435">
      <c r="A435" s="18" t="str">
        <f>IFERROR(__xludf.DUMMYFUNCTION("""COMPUTED_VALUE"""),"ord_10426")</f>
        <v>ord_10426</v>
      </c>
      <c r="B435" s="18" t="str">
        <f>IFERROR(__xludf.DUMMYFUNCTION("""COMPUTED_VALUE"""),"Arvind Kulkarni")</f>
        <v>Arvind Kulkarni</v>
      </c>
      <c r="C435" s="18" t="str">
        <f>IFERROR(__xludf.DUMMYFUNCTION("""COMPUTED_VALUE"""),"Juhu")</f>
        <v>Juhu</v>
      </c>
      <c r="D435" s="18" t="str">
        <f>IFERROR(__xludf.DUMMYFUNCTION("""COMPUTED_VALUE"""),"Potato")</f>
        <v>Potato</v>
      </c>
      <c r="E435" s="18">
        <f>IFERROR(__xludf.DUMMYFUNCTION("""COMPUTED_VALUE"""),2.0)</f>
        <v>2</v>
      </c>
      <c r="F435" s="18" t="str">
        <f>IFERROR(__xludf.DUMMYFUNCTION("""COMPUTED_VALUE"""),"Ram Gopal")</f>
        <v>Ram Gopal</v>
      </c>
      <c r="G435" s="19">
        <f>IFERROR(__xludf.DUMMYFUNCTION("""COMPUTED_VALUE"""),45274.0)</f>
        <v>45274</v>
      </c>
      <c r="H435" s="18" t="str">
        <f>IFERROR(__xludf.DUMMYFUNCTION("""COMPUTED_VALUE"""),"Online Payment")</f>
        <v>Online Payment</v>
      </c>
      <c r="I435" s="18" t="str">
        <f>IFERROR(__xludf.DUMMYFUNCTION("""COMPUTED_VALUE"""),"Cancelled")</f>
        <v>Cancelled</v>
      </c>
      <c r="J435" s="18" t="str">
        <f>IFERROR(__xludf.DUMMYFUNCTION("""COMPUTED_VALUE"""),"Delayed Delivery")</f>
        <v>Delayed Delivery</v>
      </c>
      <c r="K435" s="18" t="str">
        <f>IFERROR(__xludf.DUMMYFUNCTION("""COMPUTED_VALUE"""),"Traffic Accidents or Road Closures")</f>
        <v>Traffic Accidents or Road Closures</v>
      </c>
      <c r="L435" s="18">
        <f>iferror(VLOOKUP($D435,Details!$A$2:$C$11,2,false),vlookup($D435,Details!$E$2:$G$11,2,false))</f>
        <v>55</v>
      </c>
      <c r="M435" s="18" t="str">
        <f>iferror(VLOOKUP($D435,Details!$A$2:$C$11,3,false),vlookup($D435,Details!$E$2:$G$11,3,false))</f>
        <v>Fruits and Vegetables</v>
      </c>
      <c r="N435" s="18">
        <f t="shared" si="1"/>
        <v>110</v>
      </c>
      <c r="O435" s="17"/>
      <c r="P435" s="17"/>
      <c r="Q435" s="17"/>
      <c r="R435" s="17"/>
      <c r="S435" s="17"/>
      <c r="T435" s="17"/>
      <c r="U435" s="17"/>
      <c r="V435" s="17"/>
      <c r="W435" s="17"/>
      <c r="X435" s="17"/>
      <c r="Y435" s="17"/>
      <c r="Z435" s="17"/>
    </row>
    <row r="436">
      <c r="A436" s="18" t="str">
        <f>IFERROR(__xludf.DUMMYFUNCTION("""COMPUTED_VALUE"""),"ord_10427")</f>
        <v>ord_10427</v>
      </c>
      <c r="B436" s="18" t="str">
        <f>IFERROR(__xludf.DUMMYFUNCTION("""COMPUTED_VALUE"""),"Nitin Sehgal")</f>
        <v>Nitin Sehgal</v>
      </c>
      <c r="C436" s="18" t="str">
        <f>IFERROR(__xludf.DUMMYFUNCTION("""COMPUTED_VALUE"""),"Bandra")</f>
        <v>Bandra</v>
      </c>
      <c r="D436" s="18" t="str">
        <f>IFERROR(__xludf.DUMMYFUNCTION("""COMPUTED_VALUE"""),"Chicken Puff")</f>
        <v>Chicken Puff</v>
      </c>
      <c r="E436" s="18">
        <f>IFERROR(__xludf.DUMMYFUNCTION("""COMPUTED_VALUE"""),4.0)</f>
        <v>4</v>
      </c>
      <c r="F436" s="18" t="str">
        <f>IFERROR(__xludf.DUMMYFUNCTION("""COMPUTED_VALUE"""),"Priya Joshi")</f>
        <v>Priya Joshi</v>
      </c>
      <c r="G436" s="19">
        <f>IFERROR(__xludf.DUMMYFUNCTION("""COMPUTED_VALUE"""),45189.0)</f>
        <v>45189</v>
      </c>
      <c r="H436" s="18" t="str">
        <f>IFERROR(__xludf.DUMMYFUNCTION("""COMPUTED_VALUE"""),"Online Payment")</f>
        <v>Online Payment</v>
      </c>
      <c r="I436" s="18" t="str">
        <f>IFERROR(__xludf.DUMMYFUNCTION("""COMPUTED_VALUE"""),"Delivered")</f>
        <v>Delivered</v>
      </c>
      <c r="J436" s="18" t="str">
        <f>IFERROR(__xludf.DUMMYFUNCTION("""COMPUTED_VALUE"""),"Overall Satisfaction")</f>
        <v>Overall Satisfaction</v>
      </c>
      <c r="K436" s="18" t="str">
        <f>IFERROR(__xludf.DUMMYFUNCTION("""COMPUTED_VALUE"""),"Great service will order again")</f>
        <v>Great service will order again</v>
      </c>
      <c r="L436" s="18">
        <f>iferror(VLOOKUP($D436,Details!$A$2:$C$11,2,false),vlookup($D436,Details!$E$2:$G$11,2,false))</f>
        <v>90</v>
      </c>
      <c r="M436" s="18" t="str">
        <f>iferror(VLOOKUP($D436,Details!$A$2:$C$11,3,false),vlookup($D436,Details!$E$2:$G$11,3,false))</f>
        <v>Snacks and Drinks</v>
      </c>
      <c r="N436" s="18">
        <f t="shared" si="1"/>
        <v>360</v>
      </c>
      <c r="O436" s="17"/>
      <c r="P436" s="17"/>
      <c r="Q436" s="17"/>
      <c r="R436" s="17"/>
      <c r="S436" s="17"/>
      <c r="T436" s="17"/>
      <c r="U436" s="17"/>
      <c r="V436" s="17"/>
      <c r="W436" s="17"/>
      <c r="X436" s="17"/>
      <c r="Y436" s="17"/>
      <c r="Z436" s="17"/>
    </row>
    <row r="437">
      <c r="A437" s="18" t="str">
        <f>IFERROR(__xludf.DUMMYFUNCTION("""COMPUTED_VALUE"""),"ord_10428")</f>
        <v>ord_10428</v>
      </c>
      <c r="B437" s="18" t="str">
        <f>IFERROR(__xludf.DUMMYFUNCTION("""COMPUTED_VALUE"""),"Siya Reddy")</f>
        <v>Siya Reddy</v>
      </c>
      <c r="C437" s="18" t="str">
        <f>IFERROR(__xludf.DUMMYFUNCTION("""COMPUTED_VALUE"""),"Juhu")</f>
        <v>Juhu</v>
      </c>
      <c r="D437" s="18" t="str">
        <f>IFERROR(__xludf.DUMMYFUNCTION("""COMPUTED_VALUE"""),"Chicken Puff")</f>
        <v>Chicken Puff</v>
      </c>
      <c r="E437" s="18">
        <f>IFERROR(__xludf.DUMMYFUNCTION("""COMPUTED_VALUE"""),2.0)</f>
        <v>2</v>
      </c>
      <c r="F437" s="18" t="str">
        <f>IFERROR(__xludf.DUMMYFUNCTION("""COMPUTED_VALUE"""),"Tanvi Jain")</f>
        <v>Tanvi Jain</v>
      </c>
      <c r="G437" s="19">
        <f>IFERROR(__xludf.DUMMYFUNCTION("""COMPUTED_VALUE"""),45209.0)</f>
        <v>45209</v>
      </c>
      <c r="H437" s="18" t="str">
        <f>IFERROR(__xludf.DUMMYFUNCTION("""COMPUTED_VALUE"""),"Online Payment")</f>
        <v>Online Payment</v>
      </c>
      <c r="I437" s="18" t="str">
        <f>IFERROR(__xludf.DUMMYFUNCTION("""COMPUTED_VALUE"""),"Cancelled")</f>
        <v>Cancelled</v>
      </c>
      <c r="J437" s="18" t="str">
        <f>IFERROR(__xludf.DUMMYFUNCTION("""COMPUTED_VALUE"""),"Delayed Delivery")</f>
        <v>Delayed Delivery</v>
      </c>
      <c r="K437" s="18" t="str">
        <f>IFERROR(__xludf.DUMMYFUNCTION("""COMPUTED_VALUE"""),"Heavy Traffic")</f>
        <v>Heavy Traffic</v>
      </c>
      <c r="L437" s="18">
        <f>iferror(VLOOKUP($D437,Details!$A$2:$C$11,2,false),vlookup($D437,Details!$E$2:$G$11,2,false))</f>
        <v>90</v>
      </c>
      <c r="M437" s="18" t="str">
        <f>iferror(VLOOKUP($D437,Details!$A$2:$C$11,3,false),vlookup($D437,Details!$E$2:$G$11,3,false))</f>
        <v>Snacks and Drinks</v>
      </c>
      <c r="N437" s="18">
        <f t="shared" si="1"/>
        <v>180</v>
      </c>
      <c r="O437" s="17"/>
      <c r="P437" s="17"/>
      <c r="Q437" s="17"/>
      <c r="R437" s="17"/>
      <c r="S437" s="17"/>
      <c r="T437" s="17"/>
      <c r="U437" s="17"/>
      <c r="V437" s="17"/>
      <c r="W437" s="17"/>
      <c r="X437" s="17"/>
      <c r="Y437" s="17"/>
      <c r="Z437" s="17"/>
    </row>
    <row r="438">
      <c r="A438" s="18" t="str">
        <f>IFERROR(__xludf.DUMMYFUNCTION("""COMPUTED_VALUE"""),"ord_10429")</f>
        <v>ord_10429</v>
      </c>
      <c r="B438" s="18" t="str">
        <f>IFERROR(__xludf.DUMMYFUNCTION("""COMPUTED_VALUE"""),"Mohit Malhotra")</f>
        <v>Mohit Malhotra</v>
      </c>
      <c r="C438" s="18" t="str">
        <f>IFERROR(__xludf.DUMMYFUNCTION("""COMPUTED_VALUE"""),"Lower Parel")</f>
        <v>Lower Parel</v>
      </c>
      <c r="D438" s="18" t="str">
        <f>IFERROR(__xludf.DUMMYFUNCTION("""COMPUTED_VALUE"""),"Popcorn")</f>
        <v>Popcorn</v>
      </c>
      <c r="E438" s="18">
        <f>IFERROR(__xludf.DUMMYFUNCTION("""COMPUTED_VALUE"""),4.0)</f>
        <v>4</v>
      </c>
      <c r="F438" s="18" t="str">
        <f>IFERROR(__xludf.DUMMYFUNCTION("""COMPUTED_VALUE"""),"Ramesh S")</f>
        <v>Ramesh S</v>
      </c>
      <c r="G438" s="19">
        <f>IFERROR(__xludf.DUMMYFUNCTION("""COMPUTED_VALUE"""),44984.0)</f>
        <v>44984</v>
      </c>
      <c r="H438" s="18" t="str">
        <f>IFERROR(__xludf.DUMMYFUNCTION("""COMPUTED_VALUE"""),"Credit Card")</f>
        <v>Credit Card</v>
      </c>
      <c r="I438" s="18" t="str">
        <f>IFERROR(__xludf.DUMMYFUNCTION("""COMPUTED_VALUE"""),"Delivered")</f>
        <v>Delivered</v>
      </c>
      <c r="J438" s="18" t="str">
        <f>IFERROR(__xludf.DUMMYFUNCTION("""COMPUTED_VALUE"""),"On-time Delivery")</f>
        <v>On-time Delivery</v>
      </c>
      <c r="K438" s="18" t="str">
        <f>IFERROR(__xludf.DUMMYFUNCTION("""COMPUTED_VALUE"""),"Delivered on time")</f>
        <v>Delivered on time</v>
      </c>
      <c r="L438" s="18">
        <f>iferror(VLOOKUP($D438,Details!$A$2:$C$11,2,false),vlookup($D438,Details!$E$2:$G$11,2,false))</f>
        <v>150</v>
      </c>
      <c r="M438" s="18" t="str">
        <f>iferror(VLOOKUP($D438,Details!$A$2:$C$11,3,false),vlookup($D438,Details!$E$2:$G$11,3,false))</f>
        <v>Snacks and Drinks</v>
      </c>
      <c r="N438" s="18">
        <f t="shared" si="1"/>
        <v>600</v>
      </c>
      <c r="O438" s="17"/>
      <c r="P438" s="17"/>
      <c r="Q438" s="17"/>
      <c r="R438" s="17"/>
      <c r="S438" s="17"/>
      <c r="T438" s="17"/>
      <c r="U438" s="17"/>
      <c r="V438" s="17"/>
      <c r="W438" s="17"/>
      <c r="X438" s="17"/>
      <c r="Y438" s="17"/>
      <c r="Z438" s="17"/>
    </row>
    <row r="439">
      <c r="A439" s="18" t="str">
        <f>IFERROR(__xludf.DUMMYFUNCTION("""COMPUTED_VALUE"""),"ord_10430")</f>
        <v>ord_10430</v>
      </c>
      <c r="B439" s="18" t="str">
        <f>IFERROR(__xludf.DUMMYFUNCTION("""COMPUTED_VALUE"""),"Parth Goel")</f>
        <v>Parth Goel</v>
      </c>
      <c r="C439" s="18" t="str">
        <f>IFERROR(__xludf.DUMMYFUNCTION("""COMPUTED_VALUE"""),"Juhu")</f>
        <v>Juhu</v>
      </c>
      <c r="D439" s="18" t="str">
        <f>IFERROR(__xludf.DUMMYFUNCTION("""COMPUTED_VALUE"""),"Papaya")</f>
        <v>Papaya</v>
      </c>
      <c r="E439" s="18">
        <f>IFERROR(__xludf.DUMMYFUNCTION("""COMPUTED_VALUE"""),1.0)</f>
        <v>1</v>
      </c>
      <c r="F439" s="18" t="str">
        <f>IFERROR(__xludf.DUMMYFUNCTION("""COMPUTED_VALUE"""),"Ram Gopal")</f>
        <v>Ram Gopal</v>
      </c>
      <c r="G439" s="19">
        <f>IFERROR(__xludf.DUMMYFUNCTION("""COMPUTED_VALUE"""),45000.0)</f>
        <v>45000</v>
      </c>
      <c r="H439" s="18" t="str">
        <f>IFERROR(__xludf.DUMMYFUNCTION("""COMPUTED_VALUE"""),"Online Payment")</f>
        <v>Online Payment</v>
      </c>
      <c r="I439" s="18" t="str">
        <f>IFERROR(__xludf.DUMMYFUNCTION("""COMPUTED_VALUE"""),"Delivered")</f>
        <v>Delivered</v>
      </c>
      <c r="J439" s="18" t="str">
        <f>IFERROR(__xludf.DUMMYFUNCTION("""COMPUTED_VALUE"""),"Quality of Items")</f>
        <v>Quality of Items</v>
      </c>
      <c r="K439" s="18" t="str">
        <f>IFERROR(__xludf.DUMMYFUNCTION("""COMPUTED_VALUE"""),"Perfect condition")</f>
        <v>Perfect condition</v>
      </c>
      <c r="L439" s="18">
        <f>iferror(VLOOKUP($D439,Details!$A$2:$C$11,2,false),vlookup($D439,Details!$E$2:$G$11,2,false))</f>
        <v>75</v>
      </c>
      <c r="M439" s="18" t="str">
        <f>iferror(VLOOKUP($D439,Details!$A$2:$C$11,3,false),vlookup($D439,Details!$E$2:$G$11,3,false))</f>
        <v>Fruits and Vegetables</v>
      </c>
      <c r="N439" s="18">
        <f t="shared" si="1"/>
        <v>75</v>
      </c>
      <c r="O439" s="17"/>
      <c r="P439" s="17"/>
      <c r="Q439" s="17"/>
      <c r="R439" s="17"/>
      <c r="S439" s="17"/>
      <c r="T439" s="17"/>
      <c r="U439" s="17"/>
      <c r="V439" s="17"/>
      <c r="W439" s="17"/>
      <c r="X439" s="17"/>
      <c r="Y439" s="17"/>
      <c r="Z439" s="17"/>
    </row>
    <row r="440">
      <c r="A440" s="18" t="str">
        <f>IFERROR(__xludf.DUMMYFUNCTION("""COMPUTED_VALUE"""),"ord_10431")</f>
        <v>ord_10431</v>
      </c>
      <c r="B440" s="18" t="str">
        <f>IFERROR(__xludf.DUMMYFUNCTION("""COMPUTED_VALUE"""),"Pranav Joshi")</f>
        <v>Pranav Joshi</v>
      </c>
      <c r="C440" s="18" t="str">
        <f>IFERROR(__xludf.DUMMYFUNCTION("""COMPUTED_VALUE"""),"Andheri")</f>
        <v>Andheri</v>
      </c>
      <c r="D440" s="18" t="str">
        <f>IFERROR(__xludf.DUMMYFUNCTION("""COMPUTED_VALUE"""),"Apple")</f>
        <v>Apple</v>
      </c>
      <c r="E440" s="18">
        <f>IFERROR(__xludf.DUMMYFUNCTION("""COMPUTED_VALUE"""),2.0)</f>
        <v>2</v>
      </c>
      <c r="F440" s="18" t="str">
        <f>IFERROR(__xludf.DUMMYFUNCTION("""COMPUTED_VALUE"""),"Ramesh S")</f>
        <v>Ramesh S</v>
      </c>
      <c r="G440" s="19">
        <f>IFERROR(__xludf.DUMMYFUNCTION("""COMPUTED_VALUE"""),45067.0)</f>
        <v>45067</v>
      </c>
      <c r="H440" s="18" t="str">
        <f>IFERROR(__xludf.DUMMYFUNCTION("""COMPUTED_VALUE"""),"Online Payment")</f>
        <v>Online Payment</v>
      </c>
      <c r="I440" s="18" t="str">
        <f>IFERROR(__xludf.DUMMYFUNCTION("""COMPUTED_VALUE"""),"Delivered")</f>
        <v>Delivered</v>
      </c>
      <c r="J440" s="18" t="str">
        <f>IFERROR(__xludf.DUMMYFUNCTION("""COMPUTED_VALUE"""),"On-time Delivery")</f>
        <v>On-time Delivery</v>
      </c>
      <c r="K440" s="18" t="str">
        <f>IFERROR(__xludf.DUMMYFUNCTION("""COMPUTED_VALUE"""),"Delivered on time")</f>
        <v>Delivered on time</v>
      </c>
      <c r="L440" s="18">
        <f>iferror(VLOOKUP($D440,Details!$A$2:$C$11,2,false),vlookup($D440,Details!$E$2:$G$11,2,false))</f>
        <v>230</v>
      </c>
      <c r="M440" s="18" t="str">
        <f>iferror(VLOOKUP($D440,Details!$A$2:$C$11,3,false),vlookup($D440,Details!$E$2:$G$11,3,false))</f>
        <v>Fruits and Vegetables</v>
      </c>
      <c r="N440" s="18">
        <f t="shared" si="1"/>
        <v>460</v>
      </c>
      <c r="O440" s="17"/>
      <c r="P440" s="17"/>
      <c r="Q440" s="17"/>
      <c r="R440" s="17"/>
      <c r="S440" s="17"/>
      <c r="T440" s="17"/>
      <c r="U440" s="17"/>
      <c r="V440" s="17"/>
      <c r="W440" s="17"/>
      <c r="X440" s="17"/>
      <c r="Y440" s="17"/>
      <c r="Z440" s="17"/>
    </row>
    <row r="441">
      <c r="A441" s="18" t="str">
        <f>IFERROR(__xludf.DUMMYFUNCTION("""COMPUTED_VALUE"""),"ord_10432")</f>
        <v>ord_10432</v>
      </c>
      <c r="B441" s="18" t="str">
        <f>IFERROR(__xludf.DUMMYFUNCTION("""COMPUTED_VALUE"""),"Aarohi Kapoor")</f>
        <v>Aarohi Kapoor</v>
      </c>
      <c r="C441" s="18" t="str">
        <f>IFERROR(__xludf.DUMMYFUNCTION("""COMPUTED_VALUE"""),"Bandra")</f>
        <v>Bandra</v>
      </c>
      <c r="D441" s="18" t="str">
        <f>IFERROR(__xludf.DUMMYFUNCTION("""COMPUTED_VALUE"""),"Guava")</f>
        <v>Guava</v>
      </c>
      <c r="E441" s="18">
        <f>IFERROR(__xludf.DUMMYFUNCTION("""COMPUTED_VALUE"""),2.0)</f>
        <v>2</v>
      </c>
      <c r="F441" s="18" t="str">
        <f>IFERROR(__xludf.DUMMYFUNCTION("""COMPUTED_VALUE"""),"Sita T")</f>
        <v>Sita T</v>
      </c>
      <c r="G441" s="19">
        <f>IFERROR(__xludf.DUMMYFUNCTION("""COMPUTED_VALUE"""),45190.0)</f>
        <v>45190</v>
      </c>
      <c r="H441" s="18" t="str">
        <f>IFERROR(__xludf.DUMMYFUNCTION("""COMPUTED_VALUE"""),"COD")</f>
        <v>COD</v>
      </c>
      <c r="I441" s="18" t="str">
        <f>IFERROR(__xludf.DUMMYFUNCTION("""COMPUTED_VALUE"""),"Delivered")</f>
        <v>Delivered</v>
      </c>
      <c r="J441" s="18" t="str">
        <f>IFERROR(__xludf.DUMMYFUNCTION("""COMPUTED_VALUE"""),"Quality of Items")</f>
        <v>Quality of Items</v>
      </c>
      <c r="K441" s="18" t="str">
        <f>IFERROR(__xludf.DUMMYFUNCTION("""COMPUTED_VALUE"""),"Perfect condition")</f>
        <v>Perfect condition</v>
      </c>
      <c r="L441" s="18">
        <f>iferror(VLOOKUP($D441,Details!$A$2:$C$11,2,false),vlookup($D441,Details!$E$2:$G$11,2,false))</f>
        <v>70</v>
      </c>
      <c r="M441" s="18" t="str">
        <f>iferror(VLOOKUP($D441,Details!$A$2:$C$11,3,false),vlookup($D441,Details!$E$2:$G$11,3,false))</f>
        <v>Fruits and Vegetables</v>
      </c>
      <c r="N441" s="18">
        <f t="shared" si="1"/>
        <v>140</v>
      </c>
      <c r="O441" s="17"/>
      <c r="P441" s="17"/>
      <c r="Q441" s="17"/>
      <c r="R441" s="17"/>
      <c r="S441" s="17"/>
      <c r="T441" s="17"/>
      <c r="U441" s="17"/>
      <c r="V441" s="17"/>
      <c r="W441" s="17"/>
      <c r="X441" s="17"/>
      <c r="Y441" s="17"/>
      <c r="Z441" s="17"/>
    </row>
    <row r="442">
      <c r="A442" s="18" t="str">
        <f>IFERROR(__xludf.DUMMYFUNCTION("""COMPUTED_VALUE"""),"ord_10433")</f>
        <v>ord_10433</v>
      </c>
      <c r="B442" s="18" t="str">
        <f>IFERROR(__xludf.DUMMYFUNCTION("""COMPUTED_VALUE"""),"Parth Goel")</f>
        <v>Parth Goel</v>
      </c>
      <c r="C442" s="18" t="str">
        <f>IFERROR(__xludf.DUMMYFUNCTION("""COMPUTED_VALUE"""),"Juhu")</f>
        <v>Juhu</v>
      </c>
      <c r="D442" s="18" t="str">
        <f>IFERROR(__xludf.DUMMYFUNCTION("""COMPUTED_VALUE"""),"Banana")</f>
        <v>Banana</v>
      </c>
      <c r="E442" s="18">
        <f>IFERROR(__xludf.DUMMYFUNCTION("""COMPUTED_VALUE"""),1.0)</f>
        <v>1</v>
      </c>
      <c r="F442" s="18" t="str">
        <f>IFERROR(__xludf.DUMMYFUNCTION("""COMPUTED_VALUE"""),"Vivek Kumar")</f>
        <v>Vivek Kumar</v>
      </c>
      <c r="G442" s="19">
        <f>IFERROR(__xludf.DUMMYFUNCTION("""COMPUTED_VALUE"""),45035.0)</f>
        <v>45035</v>
      </c>
      <c r="H442" s="18" t="str">
        <f>IFERROR(__xludf.DUMMYFUNCTION("""COMPUTED_VALUE"""),"Online Payment")</f>
        <v>Online Payment</v>
      </c>
      <c r="I442" s="18" t="str">
        <f>IFERROR(__xludf.DUMMYFUNCTION("""COMPUTED_VALUE"""),"Delivered")</f>
        <v>Delivered</v>
      </c>
      <c r="J442" s="18" t="str">
        <f>IFERROR(__xludf.DUMMYFUNCTION("""COMPUTED_VALUE"""),"Packaging")</f>
        <v>Packaging</v>
      </c>
      <c r="K442" s="18" t="str">
        <f>IFERROR(__xludf.DUMMYFUNCTION("""COMPUTED_VALUE"""),"Secure and intact")</f>
        <v>Secure and intact</v>
      </c>
      <c r="L442" s="18">
        <f>iferror(VLOOKUP($D442,Details!$A$2:$C$11,2,false),vlookup($D442,Details!$E$2:$G$11,2,false))</f>
        <v>80</v>
      </c>
      <c r="M442" s="18" t="str">
        <f>iferror(VLOOKUP($D442,Details!$A$2:$C$11,3,false),vlookup($D442,Details!$E$2:$G$11,3,false))</f>
        <v>Fruits and Vegetables</v>
      </c>
      <c r="N442" s="18">
        <f t="shared" si="1"/>
        <v>80</v>
      </c>
      <c r="O442" s="17"/>
      <c r="P442" s="17"/>
      <c r="Q442" s="17"/>
      <c r="R442" s="17"/>
      <c r="S442" s="17"/>
      <c r="T442" s="17"/>
      <c r="U442" s="17"/>
      <c r="V442" s="17"/>
      <c r="W442" s="17"/>
      <c r="X442" s="17"/>
      <c r="Y442" s="17"/>
      <c r="Z442" s="17"/>
    </row>
    <row r="443">
      <c r="A443" s="18" t="str">
        <f>IFERROR(__xludf.DUMMYFUNCTION("""COMPUTED_VALUE"""),"ord_10434")</f>
        <v>ord_10434</v>
      </c>
      <c r="B443" s="18" t="str">
        <f>IFERROR(__xludf.DUMMYFUNCTION("""COMPUTED_VALUE"""),"Mehul Thakkar")</f>
        <v>Mehul Thakkar</v>
      </c>
      <c r="C443" s="18" t="str">
        <f>IFERROR(__xludf.DUMMYFUNCTION("""COMPUTED_VALUE"""),"Malad")</f>
        <v>Malad</v>
      </c>
      <c r="D443" s="18" t="str">
        <f>IFERROR(__xludf.DUMMYFUNCTION("""COMPUTED_VALUE"""),"Tiramisu")</f>
        <v>Tiramisu</v>
      </c>
      <c r="E443" s="18">
        <f>IFERROR(__xludf.DUMMYFUNCTION("""COMPUTED_VALUE"""),5.0)</f>
        <v>5</v>
      </c>
      <c r="F443" s="18" t="str">
        <f>IFERROR(__xludf.DUMMYFUNCTION("""COMPUTED_VALUE"""),"Not Assigned")</f>
        <v>Not Assigned</v>
      </c>
      <c r="G443" s="19">
        <f>IFERROR(__xludf.DUMMYFUNCTION("""COMPUTED_VALUE"""),45141.0)</f>
        <v>45141</v>
      </c>
      <c r="H443" s="18" t="str">
        <f>IFERROR(__xludf.DUMMYFUNCTION("""COMPUTED_VALUE"""),"Online Payment")</f>
        <v>Online Payment</v>
      </c>
      <c r="I443" s="18" t="str">
        <f>IFERROR(__xludf.DUMMYFUNCTION("""COMPUTED_VALUE"""),"Cancelled")</f>
        <v>Cancelled</v>
      </c>
      <c r="J443" s="18" t="str">
        <f>IFERROR(__xludf.DUMMYFUNCTION("""COMPUTED_VALUE"""),"App Glitches")</f>
        <v>App Glitches</v>
      </c>
      <c r="K443" s="18" t="str">
        <f>IFERROR(__xludf.DUMMYFUNCTION("""COMPUTED_VALUE"""),"Slow Loading Time")</f>
        <v>Slow Loading Time</v>
      </c>
      <c r="L443" s="18">
        <f>iferror(VLOOKUP($D443,Details!$A$2:$C$11,2,false),vlookup($D443,Details!$E$2:$G$11,2,false))</f>
        <v>150</v>
      </c>
      <c r="M443" s="18" t="str">
        <f>iferror(VLOOKUP($D443,Details!$A$2:$C$11,3,false),vlookup($D443,Details!$E$2:$G$11,3,false))</f>
        <v>Snacks and Drinks</v>
      </c>
      <c r="N443" s="18">
        <f t="shared" si="1"/>
        <v>750</v>
      </c>
      <c r="O443" s="17"/>
      <c r="P443" s="17"/>
      <c r="Q443" s="17"/>
      <c r="R443" s="17"/>
      <c r="S443" s="17"/>
      <c r="T443" s="17"/>
      <c r="U443" s="17"/>
      <c r="V443" s="17"/>
      <c r="W443" s="17"/>
      <c r="X443" s="17"/>
      <c r="Y443" s="17"/>
      <c r="Z443" s="17"/>
    </row>
    <row r="444">
      <c r="A444" s="18" t="str">
        <f>IFERROR(__xludf.DUMMYFUNCTION("""COMPUTED_VALUE"""),"ord_10435")</f>
        <v>ord_10435</v>
      </c>
      <c r="B444" s="18" t="str">
        <f>IFERROR(__xludf.DUMMYFUNCTION("""COMPUTED_VALUE"""),"Diya Arora")</f>
        <v>Diya Arora</v>
      </c>
      <c r="C444" s="18" t="str">
        <f>IFERROR(__xludf.DUMMYFUNCTION("""COMPUTED_VALUE"""),"Lower Parel")</f>
        <v>Lower Parel</v>
      </c>
      <c r="D444" s="18" t="str">
        <f>IFERROR(__xludf.DUMMYFUNCTION("""COMPUTED_VALUE"""),"Juice")</f>
        <v>Juice</v>
      </c>
      <c r="E444" s="18">
        <f>IFERROR(__xludf.DUMMYFUNCTION("""COMPUTED_VALUE"""),1.0)</f>
        <v>1</v>
      </c>
      <c r="F444" s="18" t="str">
        <f>IFERROR(__xludf.DUMMYFUNCTION("""COMPUTED_VALUE"""),"Shine Thomas")</f>
        <v>Shine Thomas</v>
      </c>
      <c r="G444" s="19">
        <f>IFERROR(__xludf.DUMMYFUNCTION("""COMPUTED_VALUE"""),45176.0)</f>
        <v>45176</v>
      </c>
      <c r="H444" s="18" t="str">
        <f>IFERROR(__xludf.DUMMYFUNCTION("""COMPUTED_VALUE"""),"UPI")</f>
        <v>UPI</v>
      </c>
      <c r="I444" s="18" t="str">
        <f>IFERROR(__xludf.DUMMYFUNCTION("""COMPUTED_VALUE"""),"Delivered")</f>
        <v>Delivered</v>
      </c>
      <c r="J444" s="18" t="str">
        <f>IFERROR(__xludf.DUMMYFUNCTION("""COMPUTED_VALUE"""),"Satisfied with the Delivery")</f>
        <v>Satisfied with the Delivery</v>
      </c>
      <c r="K444" s="18" t="str">
        <f>IFERROR(__xludf.DUMMYFUNCTION("""COMPUTED_VALUE"""),"Timely and quality")</f>
        <v>Timely and quality</v>
      </c>
      <c r="L444" s="18">
        <f>iferror(VLOOKUP($D444,Details!$A$2:$C$11,2,false),vlookup($D444,Details!$E$2:$G$11,2,false))</f>
        <v>90</v>
      </c>
      <c r="M444" s="18" t="str">
        <f>iferror(VLOOKUP($D444,Details!$A$2:$C$11,3,false),vlookup($D444,Details!$E$2:$G$11,3,false))</f>
        <v>Snacks and Drinks</v>
      </c>
      <c r="N444" s="18">
        <f t="shared" si="1"/>
        <v>90</v>
      </c>
      <c r="O444" s="17"/>
      <c r="P444" s="17"/>
      <c r="Q444" s="17"/>
      <c r="R444" s="17"/>
      <c r="S444" s="17"/>
      <c r="T444" s="17"/>
      <c r="U444" s="17"/>
      <c r="V444" s="17"/>
      <c r="W444" s="17"/>
      <c r="X444" s="17"/>
      <c r="Y444" s="17"/>
      <c r="Z444" s="17"/>
    </row>
    <row r="445">
      <c r="A445" s="18" t="str">
        <f>IFERROR(__xludf.DUMMYFUNCTION("""COMPUTED_VALUE"""),"ord_10436")</f>
        <v>ord_10436</v>
      </c>
      <c r="B445" s="18" t="str">
        <f>IFERROR(__xludf.DUMMYFUNCTION("""COMPUTED_VALUE"""),"Sanjay Nair")</f>
        <v>Sanjay Nair</v>
      </c>
      <c r="C445" s="18" t="str">
        <f>IFERROR(__xludf.DUMMYFUNCTION("""COMPUTED_VALUE"""),"Dadar")</f>
        <v>Dadar</v>
      </c>
      <c r="D445" s="18" t="str">
        <f>IFERROR(__xludf.DUMMYFUNCTION("""COMPUTED_VALUE"""),"Potato")</f>
        <v>Potato</v>
      </c>
      <c r="E445" s="18">
        <f>IFERROR(__xludf.DUMMYFUNCTION("""COMPUTED_VALUE"""),2.0)</f>
        <v>2</v>
      </c>
      <c r="F445" s="18" t="str">
        <f>IFERROR(__xludf.DUMMYFUNCTION("""COMPUTED_VALUE"""),"Ram Gopal")</f>
        <v>Ram Gopal</v>
      </c>
      <c r="G445" s="19">
        <f>IFERROR(__xludf.DUMMYFUNCTION("""COMPUTED_VALUE"""),45155.0)</f>
        <v>45155</v>
      </c>
      <c r="H445" s="18" t="str">
        <f>IFERROR(__xludf.DUMMYFUNCTION("""COMPUTED_VALUE"""),"UPI")</f>
        <v>UPI</v>
      </c>
      <c r="I445" s="18" t="str">
        <f>IFERROR(__xludf.DUMMYFUNCTION("""COMPUTED_VALUE"""),"Delivered")</f>
        <v>Delivered</v>
      </c>
      <c r="J445" s="18" t="str">
        <f>IFERROR(__xludf.DUMMYFUNCTION("""COMPUTED_VALUE"""),"Customer Service")</f>
        <v>Customer Service</v>
      </c>
      <c r="K445" s="18" t="str">
        <f>IFERROR(__xludf.DUMMYFUNCTION("""COMPUTED_VALUE"""),"Seamless and easy")</f>
        <v>Seamless and easy</v>
      </c>
      <c r="L445" s="18">
        <f>iferror(VLOOKUP($D445,Details!$A$2:$C$11,2,false),vlookup($D445,Details!$E$2:$G$11,2,false))</f>
        <v>55</v>
      </c>
      <c r="M445" s="18" t="str">
        <f>iferror(VLOOKUP($D445,Details!$A$2:$C$11,3,false),vlookup($D445,Details!$E$2:$G$11,3,false))</f>
        <v>Fruits and Vegetables</v>
      </c>
      <c r="N445" s="18">
        <f t="shared" si="1"/>
        <v>110</v>
      </c>
      <c r="O445" s="17"/>
      <c r="P445" s="17"/>
      <c r="Q445" s="17"/>
      <c r="R445" s="17"/>
      <c r="S445" s="17"/>
      <c r="T445" s="17"/>
      <c r="U445" s="17"/>
      <c r="V445" s="17"/>
      <c r="W445" s="17"/>
      <c r="X445" s="17"/>
      <c r="Y445" s="17"/>
      <c r="Z445" s="17"/>
    </row>
    <row r="446">
      <c r="A446" s="18" t="str">
        <f>IFERROR(__xludf.DUMMYFUNCTION("""COMPUTED_VALUE"""),"ord_10437")</f>
        <v>ord_10437</v>
      </c>
      <c r="B446" s="18" t="str">
        <f>IFERROR(__xludf.DUMMYFUNCTION("""COMPUTED_VALUE"""),"Sakshi Tandon")</f>
        <v>Sakshi Tandon</v>
      </c>
      <c r="C446" s="18" t="str">
        <f>IFERROR(__xludf.DUMMYFUNCTION("""COMPUTED_VALUE"""),"Colaba")</f>
        <v>Colaba</v>
      </c>
      <c r="D446" s="18" t="str">
        <f>IFERROR(__xludf.DUMMYFUNCTION("""COMPUTED_VALUE"""),"Tiramisu")</f>
        <v>Tiramisu</v>
      </c>
      <c r="E446" s="18">
        <f>IFERROR(__xludf.DUMMYFUNCTION("""COMPUTED_VALUE"""),2.0)</f>
        <v>2</v>
      </c>
      <c r="F446" s="18" t="str">
        <f>IFERROR(__xludf.DUMMYFUNCTION("""COMPUTED_VALUE"""),"Manju Ajay")</f>
        <v>Manju Ajay</v>
      </c>
      <c r="G446" s="19">
        <f>IFERROR(__xludf.DUMMYFUNCTION("""COMPUTED_VALUE"""),45276.0)</f>
        <v>45276</v>
      </c>
      <c r="H446" s="18" t="str">
        <f>IFERROR(__xludf.DUMMYFUNCTION("""COMPUTED_VALUE"""),"UPI")</f>
        <v>UPI</v>
      </c>
      <c r="I446" s="18" t="str">
        <f>IFERROR(__xludf.DUMMYFUNCTION("""COMPUTED_VALUE"""),"Delivered")</f>
        <v>Delivered</v>
      </c>
      <c r="J446" s="18" t="str">
        <f>IFERROR(__xludf.DUMMYFUNCTION("""COMPUTED_VALUE"""),"Delivery Experience")</f>
        <v>Delivery Experience</v>
      </c>
      <c r="K446" s="18" t="str">
        <f>IFERROR(__xludf.DUMMYFUNCTION("""COMPUTED_VALUE"""),"Quick and professional")</f>
        <v>Quick and professional</v>
      </c>
      <c r="L446" s="18">
        <f>iferror(VLOOKUP($D446,Details!$A$2:$C$11,2,false),vlookup($D446,Details!$E$2:$G$11,2,false))</f>
        <v>150</v>
      </c>
      <c r="M446" s="18" t="str">
        <f>iferror(VLOOKUP($D446,Details!$A$2:$C$11,3,false),vlookup($D446,Details!$E$2:$G$11,3,false))</f>
        <v>Snacks and Drinks</v>
      </c>
      <c r="N446" s="18">
        <f t="shared" si="1"/>
        <v>300</v>
      </c>
      <c r="O446" s="17"/>
      <c r="P446" s="17"/>
      <c r="Q446" s="17"/>
      <c r="R446" s="17"/>
      <c r="S446" s="17"/>
      <c r="T446" s="17"/>
      <c r="U446" s="17"/>
      <c r="V446" s="17"/>
      <c r="W446" s="17"/>
      <c r="X446" s="17"/>
      <c r="Y446" s="17"/>
      <c r="Z446" s="17"/>
    </row>
    <row r="447">
      <c r="A447" s="18" t="str">
        <f>IFERROR(__xludf.DUMMYFUNCTION("""COMPUTED_VALUE"""),"ord_10438")</f>
        <v>ord_10438</v>
      </c>
      <c r="B447" s="18" t="str">
        <f>IFERROR(__xludf.DUMMYFUNCTION("""COMPUTED_VALUE"""),"Tanishq Bansal")</f>
        <v>Tanishq Bansal</v>
      </c>
      <c r="C447" s="18" t="str">
        <f>IFERROR(__xludf.DUMMYFUNCTION("""COMPUTED_VALUE"""),"Powai")</f>
        <v>Powai</v>
      </c>
      <c r="D447" s="18" t="str">
        <f>IFERROR(__xludf.DUMMYFUNCTION("""COMPUTED_VALUE"""),"Juice")</f>
        <v>Juice</v>
      </c>
      <c r="E447" s="18">
        <f>IFERROR(__xludf.DUMMYFUNCTION("""COMPUTED_VALUE"""),2.0)</f>
        <v>2</v>
      </c>
      <c r="F447" s="18" t="str">
        <f>IFERROR(__xludf.DUMMYFUNCTION("""COMPUTED_VALUE"""),"Nithin Lal")</f>
        <v>Nithin Lal</v>
      </c>
      <c r="G447" s="19">
        <f>IFERROR(__xludf.DUMMYFUNCTION("""COMPUTED_VALUE"""),45075.0)</f>
        <v>45075</v>
      </c>
      <c r="H447" s="18" t="str">
        <f>IFERROR(__xludf.DUMMYFUNCTION("""COMPUTED_VALUE"""),"Credit Card")</f>
        <v>Credit Card</v>
      </c>
      <c r="I447" s="18" t="str">
        <f>IFERROR(__xludf.DUMMYFUNCTION("""COMPUTED_VALUE"""),"Delivered")</f>
        <v>Delivered</v>
      </c>
      <c r="J447" s="18" t="str">
        <f>IFERROR(__xludf.DUMMYFUNCTION("""COMPUTED_VALUE"""),"Convenience")</f>
        <v>Convenience</v>
      </c>
      <c r="K447" s="18" t="str">
        <f>IFERROR(__xludf.DUMMYFUNCTION("""COMPUTED_VALUE"""),"Easy tracking")</f>
        <v>Easy tracking</v>
      </c>
      <c r="L447" s="18">
        <f>iferror(VLOOKUP($D447,Details!$A$2:$C$11,2,false),vlookup($D447,Details!$E$2:$G$11,2,false))</f>
        <v>90</v>
      </c>
      <c r="M447" s="18" t="str">
        <f>iferror(VLOOKUP($D447,Details!$A$2:$C$11,3,false),vlookup($D447,Details!$E$2:$G$11,3,false))</f>
        <v>Snacks and Drinks</v>
      </c>
      <c r="N447" s="18">
        <f t="shared" si="1"/>
        <v>180</v>
      </c>
      <c r="O447" s="17"/>
      <c r="P447" s="17"/>
      <c r="Q447" s="17"/>
      <c r="R447" s="17"/>
      <c r="S447" s="17"/>
      <c r="T447" s="17"/>
      <c r="U447" s="17"/>
      <c r="V447" s="17"/>
      <c r="W447" s="17"/>
      <c r="X447" s="17"/>
      <c r="Y447" s="17"/>
      <c r="Z447" s="17"/>
    </row>
    <row r="448">
      <c r="A448" s="18" t="str">
        <f>IFERROR(__xludf.DUMMYFUNCTION("""COMPUTED_VALUE"""),"ord_10439")</f>
        <v>ord_10439</v>
      </c>
      <c r="B448" s="18" t="str">
        <f>IFERROR(__xludf.DUMMYFUNCTION("""COMPUTED_VALUE"""),"Sakshi Tandon")</f>
        <v>Sakshi Tandon</v>
      </c>
      <c r="C448" s="18" t="str">
        <f>IFERROR(__xludf.DUMMYFUNCTION("""COMPUTED_VALUE"""),"Colaba")</f>
        <v>Colaba</v>
      </c>
      <c r="D448" s="18" t="str">
        <f>IFERROR(__xludf.DUMMYFUNCTION("""COMPUTED_VALUE"""),"Chocolate Mousse")</f>
        <v>Chocolate Mousse</v>
      </c>
      <c r="E448" s="18">
        <f>IFERROR(__xludf.DUMMYFUNCTION("""COMPUTED_VALUE"""),1.0)</f>
        <v>1</v>
      </c>
      <c r="F448" s="18" t="str">
        <f>IFERROR(__xludf.DUMMYFUNCTION("""COMPUTED_VALUE"""),"Nikhil Deshmukh")</f>
        <v>Nikhil Deshmukh</v>
      </c>
      <c r="G448" s="19">
        <f>IFERROR(__xludf.DUMMYFUNCTION("""COMPUTED_VALUE"""),45157.0)</f>
        <v>45157</v>
      </c>
      <c r="H448" s="18" t="str">
        <f>IFERROR(__xludf.DUMMYFUNCTION("""COMPUTED_VALUE"""),"Credit Card")</f>
        <v>Credit Card</v>
      </c>
      <c r="I448" s="18" t="str">
        <f>IFERROR(__xludf.DUMMYFUNCTION("""COMPUTED_VALUE"""),"Delivered")</f>
        <v>Delivered</v>
      </c>
      <c r="J448" s="18" t="str">
        <f>IFERROR(__xludf.DUMMYFUNCTION("""COMPUTED_VALUE"""),"Overall Satisfaction")</f>
        <v>Overall Satisfaction</v>
      </c>
      <c r="K448" s="18" t="str">
        <f>IFERROR(__xludf.DUMMYFUNCTION("""COMPUTED_VALUE"""),"Great service will order again")</f>
        <v>Great service will order again</v>
      </c>
      <c r="L448" s="18">
        <f>iferror(VLOOKUP($D448,Details!$A$2:$C$11,2,false),vlookup($D448,Details!$E$2:$G$11,2,false))</f>
        <v>145</v>
      </c>
      <c r="M448" s="18" t="str">
        <f>iferror(VLOOKUP($D448,Details!$A$2:$C$11,3,false),vlookup($D448,Details!$E$2:$G$11,3,false))</f>
        <v>Snacks and Drinks</v>
      </c>
      <c r="N448" s="18">
        <f t="shared" si="1"/>
        <v>145</v>
      </c>
      <c r="O448" s="17"/>
      <c r="P448" s="17"/>
      <c r="Q448" s="17"/>
      <c r="R448" s="17"/>
      <c r="S448" s="17"/>
      <c r="T448" s="17"/>
      <c r="U448" s="17"/>
      <c r="V448" s="17"/>
      <c r="W448" s="17"/>
      <c r="X448" s="17"/>
      <c r="Y448" s="17"/>
      <c r="Z448" s="17"/>
    </row>
    <row r="449">
      <c r="A449" s="18" t="str">
        <f>IFERROR(__xludf.DUMMYFUNCTION("""COMPUTED_VALUE"""),"ord_10440")</f>
        <v>ord_10440</v>
      </c>
      <c r="B449" s="18" t="str">
        <f>IFERROR(__xludf.DUMMYFUNCTION("""COMPUTED_VALUE"""),"Kritika Shetty")</f>
        <v>Kritika Shetty</v>
      </c>
      <c r="C449" s="18" t="str">
        <f>IFERROR(__xludf.DUMMYFUNCTION("""COMPUTED_VALUE"""),"Malad")</f>
        <v>Malad</v>
      </c>
      <c r="D449" s="18" t="str">
        <f>IFERROR(__xludf.DUMMYFUNCTION("""COMPUTED_VALUE"""),"Guava")</f>
        <v>Guava</v>
      </c>
      <c r="E449" s="18">
        <f>IFERROR(__xludf.DUMMYFUNCTION("""COMPUTED_VALUE"""),2.0)</f>
        <v>2</v>
      </c>
      <c r="F449" s="18" t="str">
        <f>IFERROR(__xludf.DUMMYFUNCTION("""COMPUTED_VALUE"""),"Nithin Lal")</f>
        <v>Nithin Lal</v>
      </c>
      <c r="G449" s="19">
        <f>IFERROR(__xludf.DUMMYFUNCTION("""COMPUTED_VALUE"""),45261.0)</f>
        <v>45261</v>
      </c>
      <c r="H449" s="18" t="str">
        <f>IFERROR(__xludf.DUMMYFUNCTION("""COMPUTED_VALUE"""),"Credit Card")</f>
        <v>Credit Card</v>
      </c>
      <c r="I449" s="18" t="str">
        <f>IFERROR(__xludf.DUMMYFUNCTION("""COMPUTED_VALUE"""),"Cancelled")</f>
        <v>Cancelled</v>
      </c>
      <c r="J449" s="18" t="str">
        <f>IFERROR(__xludf.DUMMYFUNCTION("""COMPUTED_VALUE"""),"Delayed Delivery")</f>
        <v>Delayed Delivery</v>
      </c>
      <c r="K449" s="18" t="str">
        <f>IFERROR(__xludf.DUMMYFUNCTION("""COMPUTED_VALUE"""),"High Order Volume")</f>
        <v>High Order Volume</v>
      </c>
      <c r="L449" s="18">
        <f>iferror(VLOOKUP($D449,Details!$A$2:$C$11,2,false),vlookup($D449,Details!$E$2:$G$11,2,false))</f>
        <v>70</v>
      </c>
      <c r="M449" s="18" t="str">
        <f>iferror(VLOOKUP($D449,Details!$A$2:$C$11,3,false),vlookup($D449,Details!$E$2:$G$11,3,false))</f>
        <v>Fruits and Vegetables</v>
      </c>
      <c r="N449" s="18">
        <f t="shared" si="1"/>
        <v>140</v>
      </c>
      <c r="O449" s="17"/>
      <c r="P449" s="17"/>
      <c r="Q449" s="17"/>
      <c r="R449" s="17"/>
      <c r="S449" s="17"/>
      <c r="T449" s="17"/>
      <c r="U449" s="17"/>
      <c r="V449" s="17"/>
      <c r="W449" s="17"/>
      <c r="X449" s="17"/>
      <c r="Y449" s="17"/>
      <c r="Z449" s="17"/>
    </row>
    <row r="450">
      <c r="A450" s="18" t="str">
        <f>IFERROR(__xludf.DUMMYFUNCTION("""COMPUTED_VALUE"""),"ord_10441")</f>
        <v>ord_10441</v>
      </c>
      <c r="B450" s="18" t="str">
        <f>IFERROR(__xludf.DUMMYFUNCTION("""COMPUTED_VALUE"""),"Arvind Kulkarni")</f>
        <v>Arvind Kulkarni</v>
      </c>
      <c r="C450" s="18" t="str">
        <f>IFERROR(__xludf.DUMMYFUNCTION("""COMPUTED_VALUE"""),"Juhu")</f>
        <v>Juhu</v>
      </c>
      <c r="D450" s="18" t="str">
        <f>IFERROR(__xludf.DUMMYFUNCTION("""COMPUTED_VALUE"""),"Tiramisu")</f>
        <v>Tiramisu</v>
      </c>
      <c r="E450" s="18">
        <f>IFERROR(__xludf.DUMMYFUNCTION("""COMPUTED_VALUE"""),4.0)</f>
        <v>4</v>
      </c>
      <c r="F450" s="18" t="str">
        <f>IFERROR(__xludf.DUMMYFUNCTION("""COMPUTED_VALUE"""),"Not Assigned")</f>
        <v>Not Assigned</v>
      </c>
      <c r="G450" s="19">
        <f>IFERROR(__xludf.DUMMYFUNCTION("""COMPUTED_VALUE"""),45107.0)</f>
        <v>45107</v>
      </c>
      <c r="H450" s="18" t="str">
        <f>IFERROR(__xludf.DUMMYFUNCTION("""COMPUTED_VALUE"""),"Online Payment")</f>
        <v>Online Payment</v>
      </c>
      <c r="I450" s="18" t="str">
        <f>IFERROR(__xludf.DUMMYFUNCTION("""COMPUTED_VALUE"""),"Cancelled")</f>
        <v>Cancelled</v>
      </c>
      <c r="J450" s="18" t="str">
        <f>IFERROR(__xludf.DUMMYFUNCTION("""COMPUTED_VALUE"""),"Out of Stock")</f>
        <v>Out of Stock</v>
      </c>
      <c r="K450" s="18"/>
      <c r="L450" s="18">
        <f>iferror(VLOOKUP($D450,Details!$A$2:$C$11,2,false),vlookup($D450,Details!$E$2:$G$11,2,false))</f>
        <v>150</v>
      </c>
      <c r="M450" s="18" t="str">
        <f>iferror(VLOOKUP($D450,Details!$A$2:$C$11,3,false),vlookup($D450,Details!$E$2:$G$11,3,false))</f>
        <v>Snacks and Drinks</v>
      </c>
      <c r="N450" s="18">
        <f t="shared" si="1"/>
        <v>600</v>
      </c>
      <c r="O450" s="17"/>
      <c r="P450" s="17"/>
      <c r="Q450" s="17"/>
      <c r="R450" s="17"/>
      <c r="S450" s="17"/>
      <c r="T450" s="17"/>
      <c r="U450" s="17"/>
      <c r="V450" s="17"/>
      <c r="W450" s="17"/>
      <c r="X450" s="17"/>
      <c r="Y450" s="17"/>
      <c r="Z450" s="17"/>
    </row>
    <row r="451">
      <c r="A451" s="18" t="str">
        <f>IFERROR(__xludf.DUMMYFUNCTION("""COMPUTED_VALUE"""),"ord_10442")</f>
        <v>ord_10442</v>
      </c>
      <c r="B451" s="18" t="str">
        <f>IFERROR(__xludf.DUMMYFUNCTION("""COMPUTED_VALUE"""),"Pranav Joshi")</f>
        <v>Pranav Joshi</v>
      </c>
      <c r="C451" s="18" t="str">
        <f>IFERROR(__xludf.DUMMYFUNCTION("""COMPUTED_VALUE"""),"Andheri")</f>
        <v>Andheri</v>
      </c>
      <c r="D451" s="18" t="str">
        <f>IFERROR(__xludf.DUMMYFUNCTION("""COMPUTED_VALUE"""),"Tiramisu")</f>
        <v>Tiramisu</v>
      </c>
      <c r="E451" s="18">
        <f>IFERROR(__xludf.DUMMYFUNCTION("""COMPUTED_VALUE"""),2.0)</f>
        <v>2</v>
      </c>
      <c r="F451" s="18" t="str">
        <f>IFERROR(__xludf.DUMMYFUNCTION("""COMPUTED_VALUE"""),"Rohan Yadav")</f>
        <v>Rohan Yadav</v>
      </c>
      <c r="G451" s="19">
        <f>IFERROR(__xludf.DUMMYFUNCTION("""COMPUTED_VALUE"""),44927.0)</f>
        <v>44927</v>
      </c>
      <c r="H451" s="18" t="str">
        <f>IFERROR(__xludf.DUMMYFUNCTION("""COMPUTED_VALUE"""),"UPI")</f>
        <v>UPI</v>
      </c>
      <c r="I451" s="18" t="str">
        <f>IFERROR(__xludf.DUMMYFUNCTION("""COMPUTED_VALUE"""),"Delivered")</f>
        <v>Delivered</v>
      </c>
      <c r="J451" s="18" t="str">
        <f>IFERROR(__xludf.DUMMYFUNCTION("""COMPUTED_VALUE"""),"On-time Delivery")</f>
        <v>On-time Delivery</v>
      </c>
      <c r="K451" s="18" t="str">
        <f>IFERROR(__xludf.DUMMYFUNCTION("""COMPUTED_VALUE"""),"Delivered on time")</f>
        <v>Delivered on time</v>
      </c>
      <c r="L451" s="18">
        <f>iferror(VLOOKUP($D451,Details!$A$2:$C$11,2,false),vlookup($D451,Details!$E$2:$G$11,2,false))</f>
        <v>150</v>
      </c>
      <c r="M451" s="18" t="str">
        <f>iferror(VLOOKUP($D451,Details!$A$2:$C$11,3,false),vlookup($D451,Details!$E$2:$G$11,3,false))</f>
        <v>Snacks and Drinks</v>
      </c>
      <c r="N451" s="18">
        <f t="shared" si="1"/>
        <v>300</v>
      </c>
      <c r="O451" s="17"/>
      <c r="P451" s="17"/>
      <c r="Q451" s="17"/>
      <c r="R451" s="17"/>
      <c r="S451" s="17"/>
      <c r="T451" s="17"/>
      <c r="U451" s="17"/>
      <c r="V451" s="17"/>
      <c r="W451" s="17"/>
      <c r="X451" s="17"/>
      <c r="Y451" s="17"/>
      <c r="Z451" s="17"/>
    </row>
    <row r="452">
      <c r="A452" s="18" t="str">
        <f>IFERROR(__xludf.DUMMYFUNCTION("""COMPUTED_VALUE"""),"ord_10443")</f>
        <v>ord_10443</v>
      </c>
      <c r="B452" s="18" t="str">
        <f>IFERROR(__xludf.DUMMYFUNCTION("""COMPUTED_VALUE"""),"Omkar Mishra")</f>
        <v>Omkar Mishra</v>
      </c>
      <c r="C452" s="18" t="str">
        <f>IFERROR(__xludf.DUMMYFUNCTION("""COMPUTED_VALUE"""),"Powai")</f>
        <v>Powai</v>
      </c>
      <c r="D452" s="18" t="str">
        <f>IFERROR(__xludf.DUMMYFUNCTION("""COMPUTED_VALUE"""),"Cold Coffee")</f>
        <v>Cold Coffee</v>
      </c>
      <c r="E452" s="18">
        <f>IFERROR(__xludf.DUMMYFUNCTION("""COMPUTED_VALUE"""),5.0)</f>
        <v>5</v>
      </c>
      <c r="F452" s="18" t="str">
        <f>IFERROR(__xludf.DUMMYFUNCTION("""COMPUTED_VALUE"""),"Sandeep Kumar")</f>
        <v>Sandeep Kumar</v>
      </c>
      <c r="G452" s="19">
        <f>IFERROR(__xludf.DUMMYFUNCTION("""COMPUTED_VALUE"""),45199.0)</f>
        <v>45199</v>
      </c>
      <c r="H452" s="18" t="str">
        <f>IFERROR(__xludf.DUMMYFUNCTION("""COMPUTED_VALUE"""),"Online Payment")</f>
        <v>Online Payment</v>
      </c>
      <c r="I452" s="18" t="str">
        <f>IFERROR(__xludf.DUMMYFUNCTION("""COMPUTED_VALUE"""),"Delivered")</f>
        <v>Delivered</v>
      </c>
      <c r="J452" s="18" t="str">
        <f>IFERROR(__xludf.DUMMYFUNCTION("""COMPUTED_VALUE"""),"Quality of Items")</f>
        <v>Quality of Items</v>
      </c>
      <c r="K452" s="18" t="str">
        <f>IFERROR(__xludf.DUMMYFUNCTION("""COMPUTED_VALUE"""),"Perfect condition")</f>
        <v>Perfect condition</v>
      </c>
      <c r="L452" s="18">
        <f>iferror(VLOOKUP($D452,Details!$A$2:$C$11,2,false),vlookup($D452,Details!$E$2:$G$11,2,false))</f>
        <v>270</v>
      </c>
      <c r="M452" s="18" t="str">
        <f>iferror(VLOOKUP($D452,Details!$A$2:$C$11,3,false),vlookup($D452,Details!$E$2:$G$11,3,false))</f>
        <v>Snacks and Drinks</v>
      </c>
      <c r="N452" s="18">
        <f t="shared" si="1"/>
        <v>1350</v>
      </c>
      <c r="O452" s="17"/>
      <c r="P452" s="17"/>
      <c r="Q452" s="17"/>
      <c r="R452" s="17"/>
      <c r="S452" s="17"/>
      <c r="T452" s="17"/>
      <c r="U452" s="17"/>
      <c r="V452" s="17"/>
      <c r="W452" s="17"/>
      <c r="X452" s="17"/>
      <c r="Y452" s="17"/>
      <c r="Z452" s="17"/>
    </row>
    <row r="453">
      <c r="A453" s="18" t="str">
        <f>IFERROR(__xludf.DUMMYFUNCTION("""COMPUTED_VALUE"""),"ord_10444")</f>
        <v>ord_10444</v>
      </c>
      <c r="B453" s="18" t="str">
        <f>IFERROR(__xludf.DUMMYFUNCTION("""COMPUTED_VALUE"""),"Tanishq Bansal")</f>
        <v>Tanishq Bansal</v>
      </c>
      <c r="C453" s="18" t="str">
        <f>IFERROR(__xludf.DUMMYFUNCTION("""COMPUTED_VALUE"""),"Powai")</f>
        <v>Powai</v>
      </c>
      <c r="D453" s="18" t="str">
        <f>IFERROR(__xludf.DUMMYFUNCTION("""COMPUTED_VALUE"""),"Banana")</f>
        <v>Banana</v>
      </c>
      <c r="E453" s="18">
        <f>IFERROR(__xludf.DUMMYFUNCTION("""COMPUTED_VALUE"""),1.0)</f>
        <v>1</v>
      </c>
      <c r="F453" s="18" t="str">
        <f>IFERROR(__xludf.DUMMYFUNCTION("""COMPUTED_VALUE"""),"Sandeep Kumar")</f>
        <v>Sandeep Kumar</v>
      </c>
      <c r="G453" s="19">
        <f>IFERROR(__xludf.DUMMYFUNCTION("""COMPUTED_VALUE"""),45013.0)</f>
        <v>45013</v>
      </c>
      <c r="H453" s="18" t="str">
        <f>IFERROR(__xludf.DUMMYFUNCTION("""COMPUTED_VALUE"""),"Online Payment")</f>
        <v>Online Payment</v>
      </c>
      <c r="I453" s="18" t="str">
        <f>IFERROR(__xludf.DUMMYFUNCTION("""COMPUTED_VALUE"""),"Delivered")</f>
        <v>Delivered</v>
      </c>
      <c r="J453" s="18" t="str">
        <f>IFERROR(__xludf.DUMMYFUNCTION("""COMPUTED_VALUE"""),"On-time Delivery")</f>
        <v>On-time Delivery</v>
      </c>
      <c r="K453" s="18" t="str">
        <f>IFERROR(__xludf.DUMMYFUNCTION("""COMPUTED_VALUE"""),"Delivered on time")</f>
        <v>Delivered on time</v>
      </c>
      <c r="L453" s="18">
        <f>iferror(VLOOKUP($D453,Details!$A$2:$C$11,2,false),vlookup($D453,Details!$E$2:$G$11,2,false))</f>
        <v>80</v>
      </c>
      <c r="M453" s="18" t="str">
        <f>iferror(VLOOKUP($D453,Details!$A$2:$C$11,3,false),vlookup($D453,Details!$E$2:$G$11,3,false))</f>
        <v>Fruits and Vegetables</v>
      </c>
      <c r="N453" s="18">
        <f t="shared" si="1"/>
        <v>80</v>
      </c>
      <c r="O453" s="17"/>
      <c r="P453" s="17"/>
      <c r="Q453" s="17"/>
      <c r="R453" s="17"/>
      <c r="S453" s="17"/>
      <c r="T453" s="17"/>
      <c r="U453" s="17"/>
      <c r="V453" s="17"/>
      <c r="W453" s="17"/>
      <c r="X453" s="17"/>
      <c r="Y453" s="17"/>
      <c r="Z453" s="17"/>
    </row>
    <row r="454">
      <c r="A454" s="18" t="str">
        <f>IFERROR(__xludf.DUMMYFUNCTION("""COMPUTED_VALUE"""),"ord_10445")</f>
        <v>ord_10445</v>
      </c>
      <c r="B454" s="18" t="str">
        <f>IFERROR(__xludf.DUMMYFUNCTION("""COMPUTED_VALUE"""),"Aditi Iyer")</f>
        <v>Aditi Iyer</v>
      </c>
      <c r="C454" s="18" t="str">
        <f>IFERROR(__xludf.DUMMYFUNCTION("""COMPUTED_VALUE"""),"Dadar")</f>
        <v>Dadar</v>
      </c>
      <c r="D454" s="18" t="str">
        <f>IFERROR(__xludf.DUMMYFUNCTION("""COMPUTED_VALUE"""),"Popcorn")</f>
        <v>Popcorn</v>
      </c>
      <c r="E454" s="18">
        <f>IFERROR(__xludf.DUMMYFUNCTION("""COMPUTED_VALUE"""),3.0)</f>
        <v>3</v>
      </c>
      <c r="F454" s="18" t="str">
        <f>IFERROR(__xludf.DUMMYFUNCTION("""COMPUTED_VALUE"""),"Aman Kumar")</f>
        <v>Aman Kumar</v>
      </c>
      <c r="G454" s="19">
        <f>IFERROR(__xludf.DUMMYFUNCTION("""COMPUTED_VALUE"""),45087.0)</f>
        <v>45087</v>
      </c>
      <c r="H454" s="18" t="str">
        <f>IFERROR(__xludf.DUMMYFUNCTION("""COMPUTED_VALUE"""),"COD")</f>
        <v>COD</v>
      </c>
      <c r="I454" s="18" t="str">
        <f>IFERROR(__xludf.DUMMYFUNCTION("""COMPUTED_VALUE"""),"Delivered")</f>
        <v>Delivered</v>
      </c>
      <c r="J454" s="18" t="str">
        <f>IFERROR(__xludf.DUMMYFUNCTION("""COMPUTED_VALUE"""),"Quality of Items")</f>
        <v>Quality of Items</v>
      </c>
      <c r="K454" s="18" t="str">
        <f>IFERROR(__xludf.DUMMYFUNCTION("""COMPUTED_VALUE"""),"Perfect condition")</f>
        <v>Perfect condition</v>
      </c>
      <c r="L454" s="18">
        <f>iferror(VLOOKUP($D454,Details!$A$2:$C$11,2,false),vlookup($D454,Details!$E$2:$G$11,2,false))</f>
        <v>150</v>
      </c>
      <c r="M454" s="18" t="str">
        <f>iferror(VLOOKUP($D454,Details!$A$2:$C$11,3,false),vlookup($D454,Details!$E$2:$G$11,3,false))</f>
        <v>Snacks and Drinks</v>
      </c>
      <c r="N454" s="18">
        <f t="shared" si="1"/>
        <v>450</v>
      </c>
      <c r="O454" s="17"/>
      <c r="P454" s="17"/>
      <c r="Q454" s="17"/>
      <c r="R454" s="17"/>
      <c r="S454" s="17"/>
      <c r="T454" s="17"/>
      <c r="U454" s="17"/>
      <c r="V454" s="17"/>
      <c r="W454" s="17"/>
      <c r="X454" s="17"/>
      <c r="Y454" s="17"/>
      <c r="Z454" s="17"/>
    </row>
    <row r="455">
      <c r="A455" s="18" t="str">
        <f>IFERROR(__xludf.DUMMYFUNCTION("""COMPUTED_VALUE"""),"ord_10446")</f>
        <v>ord_10446</v>
      </c>
      <c r="B455" s="18" t="str">
        <f>IFERROR(__xludf.DUMMYFUNCTION("""COMPUTED_VALUE"""),"Aditi Iyer")</f>
        <v>Aditi Iyer</v>
      </c>
      <c r="C455" s="18" t="str">
        <f>IFERROR(__xludf.DUMMYFUNCTION("""COMPUTED_VALUE"""),"Dadar")</f>
        <v>Dadar</v>
      </c>
      <c r="D455" s="18" t="str">
        <f>IFERROR(__xludf.DUMMYFUNCTION("""COMPUTED_VALUE"""),"Chocolate Mousse")</f>
        <v>Chocolate Mousse</v>
      </c>
      <c r="E455" s="18">
        <f>IFERROR(__xludf.DUMMYFUNCTION("""COMPUTED_VALUE"""),3.0)</f>
        <v>3</v>
      </c>
      <c r="F455" s="18" t="str">
        <f>IFERROR(__xludf.DUMMYFUNCTION("""COMPUTED_VALUE"""),"Aman Kumar")</f>
        <v>Aman Kumar</v>
      </c>
      <c r="G455" s="19">
        <f>IFERROR(__xludf.DUMMYFUNCTION("""COMPUTED_VALUE"""),45155.0)</f>
        <v>45155</v>
      </c>
      <c r="H455" s="18" t="str">
        <f>IFERROR(__xludf.DUMMYFUNCTION("""COMPUTED_VALUE"""),"Online Payment")</f>
        <v>Online Payment</v>
      </c>
      <c r="I455" s="18" t="str">
        <f>IFERROR(__xludf.DUMMYFUNCTION("""COMPUTED_VALUE"""),"Delivered")</f>
        <v>Delivered</v>
      </c>
      <c r="J455" s="18" t="str">
        <f>IFERROR(__xludf.DUMMYFUNCTION("""COMPUTED_VALUE"""),"Packaging")</f>
        <v>Packaging</v>
      </c>
      <c r="K455" s="18" t="str">
        <f>IFERROR(__xludf.DUMMYFUNCTION("""COMPUTED_VALUE"""),"Secure and intact")</f>
        <v>Secure and intact</v>
      </c>
      <c r="L455" s="18">
        <f>iferror(VLOOKUP($D455,Details!$A$2:$C$11,2,false),vlookup($D455,Details!$E$2:$G$11,2,false))</f>
        <v>145</v>
      </c>
      <c r="M455" s="18" t="str">
        <f>iferror(VLOOKUP($D455,Details!$A$2:$C$11,3,false),vlookup($D455,Details!$E$2:$G$11,3,false))</f>
        <v>Snacks and Drinks</v>
      </c>
      <c r="N455" s="18">
        <f t="shared" si="1"/>
        <v>435</v>
      </c>
      <c r="O455" s="17"/>
      <c r="P455" s="17"/>
      <c r="Q455" s="17"/>
      <c r="R455" s="17"/>
      <c r="S455" s="17"/>
      <c r="T455" s="17"/>
      <c r="U455" s="17"/>
      <c r="V455" s="17"/>
      <c r="W455" s="17"/>
      <c r="X455" s="17"/>
      <c r="Y455" s="17"/>
      <c r="Z455" s="17"/>
    </row>
    <row r="456">
      <c r="A456" s="18" t="str">
        <f>IFERROR(__xludf.DUMMYFUNCTION("""COMPUTED_VALUE"""),"ord_10447")</f>
        <v>ord_10447</v>
      </c>
      <c r="B456" s="18" t="str">
        <f>IFERROR(__xludf.DUMMYFUNCTION("""COMPUTED_VALUE"""),"Siya Reddy")</f>
        <v>Siya Reddy</v>
      </c>
      <c r="C456" s="18" t="str">
        <f>IFERROR(__xludf.DUMMYFUNCTION("""COMPUTED_VALUE"""),"Juhu")</f>
        <v>Juhu</v>
      </c>
      <c r="D456" s="18" t="str">
        <f>IFERROR(__xludf.DUMMYFUNCTION("""COMPUTED_VALUE"""),"Rasmalai")</f>
        <v>Rasmalai</v>
      </c>
      <c r="E456" s="18">
        <f>IFERROR(__xludf.DUMMYFUNCTION("""COMPUTED_VALUE"""),1.0)</f>
        <v>1</v>
      </c>
      <c r="F456" s="18" t="str">
        <f>IFERROR(__xludf.DUMMYFUNCTION("""COMPUTED_VALUE"""),"Neha Shah")</f>
        <v>Neha Shah</v>
      </c>
      <c r="G456" s="19">
        <f>IFERROR(__xludf.DUMMYFUNCTION("""COMPUTED_VALUE"""),45286.0)</f>
        <v>45286</v>
      </c>
      <c r="H456" s="18" t="str">
        <f>IFERROR(__xludf.DUMMYFUNCTION("""COMPUTED_VALUE"""),"UPI")</f>
        <v>UPI</v>
      </c>
      <c r="I456" s="18" t="str">
        <f>IFERROR(__xludf.DUMMYFUNCTION("""COMPUTED_VALUE"""),"Cancelled")</f>
        <v>Cancelled</v>
      </c>
      <c r="J456" s="18" t="str">
        <f>IFERROR(__xludf.DUMMYFUNCTION("""COMPUTED_VALUE"""),"Delayed Delivery")</f>
        <v>Delayed Delivery</v>
      </c>
      <c r="K456" s="18" t="str">
        <f>IFERROR(__xludf.DUMMYFUNCTION("""COMPUTED_VALUE"""),"Bad Weather Conditions")</f>
        <v>Bad Weather Conditions</v>
      </c>
      <c r="L456" s="18">
        <f>iferror(VLOOKUP($D456,Details!$A$2:$C$11,2,false),vlookup($D456,Details!$E$2:$G$11,2,false))</f>
        <v>110</v>
      </c>
      <c r="M456" s="18" t="str">
        <f>iferror(VLOOKUP($D456,Details!$A$2:$C$11,3,false),vlookup($D456,Details!$E$2:$G$11,3,false))</f>
        <v>Snacks and Drinks</v>
      </c>
      <c r="N456" s="18">
        <f t="shared" si="1"/>
        <v>110</v>
      </c>
      <c r="O456" s="17"/>
      <c r="P456" s="17"/>
      <c r="Q456" s="17"/>
      <c r="R456" s="17"/>
      <c r="S456" s="17"/>
      <c r="T456" s="17"/>
      <c r="U456" s="17"/>
      <c r="V456" s="17"/>
      <c r="W456" s="17"/>
      <c r="X456" s="17"/>
      <c r="Y456" s="17"/>
      <c r="Z456" s="17"/>
    </row>
    <row r="457">
      <c r="A457" s="18" t="str">
        <f>IFERROR(__xludf.DUMMYFUNCTION("""COMPUTED_VALUE"""),"ord_10448")</f>
        <v>ord_10448</v>
      </c>
      <c r="B457" s="18" t="str">
        <f>IFERROR(__xludf.DUMMYFUNCTION("""COMPUTED_VALUE"""),"Anaya Rao")</f>
        <v>Anaya Rao</v>
      </c>
      <c r="C457" s="18" t="str">
        <f>IFERROR(__xludf.DUMMYFUNCTION("""COMPUTED_VALUE"""),"Colaba")</f>
        <v>Colaba</v>
      </c>
      <c r="D457" s="18" t="str">
        <f>IFERROR(__xludf.DUMMYFUNCTION("""COMPUTED_VALUE"""),"Rasmalai")</f>
        <v>Rasmalai</v>
      </c>
      <c r="E457" s="18">
        <f>IFERROR(__xludf.DUMMYFUNCTION("""COMPUTED_VALUE"""),3.0)</f>
        <v>3</v>
      </c>
      <c r="F457" s="18" t="str">
        <f>IFERROR(__xludf.DUMMYFUNCTION("""COMPUTED_VALUE"""),"Nikhil Deshmukh")</f>
        <v>Nikhil Deshmukh</v>
      </c>
      <c r="G457" s="19">
        <f>IFERROR(__xludf.DUMMYFUNCTION("""COMPUTED_VALUE"""),45144.0)</f>
        <v>45144</v>
      </c>
      <c r="H457" s="18" t="str">
        <f>IFERROR(__xludf.DUMMYFUNCTION("""COMPUTED_VALUE"""),"Online Payment")</f>
        <v>Online Payment</v>
      </c>
      <c r="I457" s="18" t="str">
        <f>IFERROR(__xludf.DUMMYFUNCTION("""COMPUTED_VALUE"""),"Delivered")</f>
        <v>Delivered</v>
      </c>
      <c r="J457" s="18" t="str">
        <f>IFERROR(__xludf.DUMMYFUNCTION("""COMPUTED_VALUE"""),"Satisfied with the Delivery")</f>
        <v>Satisfied with the Delivery</v>
      </c>
      <c r="K457" s="18" t="str">
        <f>IFERROR(__xludf.DUMMYFUNCTION("""COMPUTED_VALUE"""),"Timely and quality")</f>
        <v>Timely and quality</v>
      </c>
      <c r="L457" s="18">
        <f>iferror(VLOOKUP($D457,Details!$A$2:$C$11,2,false),vlookup($D457,Details!$E$2:$G$11,2,false))</f>
        <v>110</v>
      </c>
      <c r="M457" s="18" t="str">
        <f>iferror(VLOOKUP($D457,Details!$A$2:$C$11,3,false),vlookup($D457,Details!$E$2:$G$11,3,false))</f>
        <v>Snacks and Drinks</v>
      </c>
      <c r="N457" s="18">
        <f t="shared" si="1"/>
        <v>330</v>
      </c>
      <c r="O457" s="17"/>
      <c r="P457" s="17"/>
      <c r="Q457" s="17"/>
      <c r="R457" s="17"/>
      <c r="S457" s="17"/>
      <c r="T457" s="17"/>
      <c r="U457" s="17"/>
      <c r="V457" s="17"/>
      <c r="W457" s="17"/>
      <c r="X457" s="17"/>
      <c r="Y457" s="17"/>
      <c r="Z457" s="17"/>
    </row>
    <row r="458">
      <c r="A458" s="18" t="str">
        <f>IFERROR(__xludf.DUMMYFUNCTION("""COMPUTED_VALUE"""),"ord_10449")</f>
        <v>ord_10449</v>
      </c>
      <c r="B458" s="18" t="str">
        <f>IFERROR(__xludf.DUMMYFUNCTION("""COMPUTED_VALUE"""),"Mehul Thakkar")</f>
        <v>Mehul Thakkar</v>
      </c>
      <c r="C458" s="18" t="str">
        <f>IFERROR(__xludf.DUMMYFUNCTION("""COMPUTED_VALUE"""),"Malad")</f>
        <v>Malad</v>
      </c>
      <c r="D458" s="18" t="str">
        <f>IFERROR(__xludf.DUMMYFUNCTION("""COMPUTED_VALUE"""),"Cucumber")</f>
        <v>Cucumber</v>
      </c>
      <c r="E458" s="18">
        <f>IFERROR(__xludf.DUMMYFUNCTION("""COMPUTED_VALUE"""),2.0)</f>
        <v>2</v>
      </c>
      <c r="F458" s="18" t="str">
        <f>IFERROR(__xludf.DUMMYFUNCTION("""COMPUTED_VALUE"""),"Not Assigned")</f>
        <v>Not Assigned</v>
      </c>
      <c r="G458" s="19">
        <f>IFERROR(__xludf.DUMMYFUNCTION("""COMPUTED_VALUE"""),45044.0)</f>
        <v>45044</v>
      </c>
      <c r="H458" s="18" t="str">
        <f>IFERROR(__xludf.DUMMYFUNCTION("""COMPUTED_VALUE"""),"Credit Card")</f>
        <v>Credit Card</v>
      </c>
      <c r="I458" s="18" t="str">
        <f>IFERROR(__xludf.DUMMYFUNCTION("""COMPUTED_VALUE"""),"Cancelled")</f>
        <v>Cancelled</v>
      </c>
      <c r="J458" s="18" t="str">
        <f>IFERROR(__xludf.DUMMYFUNCTION("""COMPUTED_VALUE"""),"Payment Issues")</f>
        <v>Payment Issues</v>
      </c>
      <c r="K458" s="18"/>
      <c r="L458" s="18">
        <f>iferror(VLOOKUP($D458,Details!$A$2:$C$11,2,false),vlookup($D458,Details!$E$2:$G$11,2,false))</f>
        <v>30</v>
      </c>
      <c r="M458" s="18" t="str">
        <f>iferror(VLOOKUP($D458,Details!$A$2:$C$11,3,false),vlookup($D458,Details!$E$2:$G$11,3,false))</f>
        <v>Fruits and Vegetables</v>
      </c>
      <c r="N458" s="18">
        <f t="shared" si="1"/>
        <v>60</v>
      </c>
      <c r="O458" s="17"/>
      <c r="P458" s="17"/>
      <c r="Q458" s="17"/>
      <c r="R458" s="17"/>
      <c r="S458" s="17"/>
      <c r="T458" s="17"/>
      <c r="U458" s="17"/>
      <c r="V458" s="17"/>
      <c r="W458" s="17"/>
      <c r="X458" s="17"/>
      <c r="Y458" s="17"/>
      <c r="Z458" s="17"/>
    </row>
    <row r="459">
      <c r="A459" s="18" t="str">
        <f>IFERROR(__xludf.DUMMYFUNCTION("""COMPUTED_VALUE"""),"ord_10450")</f>
        <v>ord_10450</v>
      </c>
      <c r="B459" s="18" t="str">
        <f>IFERROR(__xludf.DUMMYFUNCTION("""COMPUTED_VALUE"""),"Siya Reddy")</f>
        <v>Siya Reddy</v>
      </c>
      <c r="C459" s="18" t="str">
        <f>IFERROR(__xludf.DUMMYFUNCTION("""COMPUTED_VALUE"""),"Juhu")</f>
        <v>Juhu</v>
      </c>
      <c r="D459" s="18" t="str">
        <f>IFERROR(__xludf.DUMMYFUNCTION("""COMPUTED_VALUE"""),"Popcorn")</f>
        <v>Popcorn</v>
      </c>
      <c r="E459" s="18">
        <f>IFERROR(__xludf.DUMMYFUNCTION("""COMPUTED_VALUE"""),4.0)</f>
        <v>4</v>
      </c>
      <c r="F459" s="18" t="str">
        <f>IFERROR(__xludf.DUMMYFUNCTION("""COMPUTED_VALUE"""),"Not Assigned")</f>
        <v>Not Assigned</v>
      </c>
      <c r="G459" s="19">
        <f>IFERROR(__xludf.DUMMYFUNCTION("""COMPUTED_VALUE"""),45058.0)</f>
        <v>45058</v>
      </c>
      <c r="H459" s="18" t="str">
        <f>IFERROR(__xludf.DUMMYFUNCTION("""COMPUTED_VALUE"""),"Credit Card")</f>
        <v>Credit Card</v>
      </c>
      <c r="I459" s="18" t="str">
        <f>IFERROR(__xludf.DUMMYFUNCTION("""COMPUTED_VALUE"""),"Cancelled")</f>
        <v>Cancelled</v>
      </c>
      <c r="J459" s="18" t="str">
        <f>IFERROR(__xludf.DUMMYFUNCTION("""COMPUTED_VALUE"""),"App Glitches")</f>
        <v>App Glitches</v>
      </c>
      <c r="K459" s="18" t="str">
        <f>IFERROR(__xludf.DUMMYFUNCTION("""COMPUTED_VALUE"""),"Slow Loading Time")</f>
        <v>Slow Loading Time</v>
      </c>
      <c r="L459" s="18">
        <f>iferror(VLOOKUP($D459,Details!$A$2:$C$11,2,false),vlookup($D459,Details!$E$2:$G$11,2,false))</f>
        <v>150</v>
      </c>
      <c r="M459" s="18" t="str">
        <f>iferror(VLOOKUP($D459,Details!$A$2:$C$11,3,false),vlookup($D459,Details!$E$2:$G$11,3,false))</f>
        <v>Snacks and Drinks</v>
      </c>
      <c r="N459" s="18">
        <f t="shared" si="1"/>
        <v>600</v>
      </c>
      <c r="O459" s="17"/>
      <c r="P459" s="17"/>
      <c r="Q459" s="17"/>
      <c r="R459" s="17"/>
      <c r="S459" s="17"/>
      <c r="T459" s="17"/>
      <c r="U459" s="17"/>
      <c r="V459" s="17"/>
      <c r="W459" s="17"/>
      <c r="X459" s="17"/>
      <c r="Y459" s="17"/>
      <c r="Z459" s="17"/>
    </row>
    <row r="460">
      <c r="A460" s="18" t="str">
        <f>IFERROR(__xludf.DUMMYFUNCTION("""COMPUTED_VALUE"""),"ord_10451")</f>
        <v>ord_10451</v>
      </c>
      <c r="B460" s="18" t="str">
        <f>IFERROR(__xludf.DUMMYFUNCTION("""COMPUTED_VALUE"""),"Diya Arora")</f>
        <v>Diya Arora</v>
      </c>
      <c r="C460" s="18" t="str">
        <f>IFERROR(__xludf.DUMMYFUNCTION("""COMPUTED_VALUE"""),"Lower Parel")</f>
        <v>Lower Parel</v>
      </c>
      <c r="D460" s="18" t="str">
        <f>IFERROR(__xludf.DUMMYFUNCTION("""COMPUTED_VALUE"""),"Tiramisu")</f>
        <v>Tiramisu</v>
      </c>
      <c r="E460" s="18">
        <f>IFERROR(__xludf.DUMMYFUNCTION("""COMPUTED_VALUE"""),4.0)</f>
        <v>4</v>
      </c>
      <c r="F460" s="18" t="str">
        <f>IFERROR(__xludf.DUMMYFUNCTION("""COMPUTED_VALUE"""),"Kiran Mehta")</f>
        <v>Kiran Mehta</v>
      </c>
      <c r="G460" s="19">
        <f>IFERROR(__xludf.DUMMYFUNCTION("""COMPUTED_VALUE"""),45213.0)</f>
        <v>45213</v>
      </c>
      <c r="H460" s="18" t="str">
        <f>IFERROR(__xludf.DUMMYFUNCTION("""COMPUTED_VALUE"""),"Online Payment")</f>
        <v>Online Payment</v>
      </c>
      <c r="I460" s="18" t="str">
        <f>IFERROR(__xludf.DUMMYFUNCTION("""COMPUTED_VALUE"""),"Delivered")</f>
        <v>Delivered</v>
      </c>
      <c r="J460" s="18" t="str">
        <f>IFERROR(__xludf.DUMMYFUNCTION("""COMPUTED_VALUE"""),"Customer Service")</f>
        <v>Customer Service</v>
      </c>
      <c r="K460" s="18" t="str">
        <f>IFERROR(__xludf.DUMMYFUNCTION("""COMPUTED_VALUE"""),"Seamless and easy")</f>
        <v>Seamless and easy</v>
      </c>
      <c r="L460" s="18">
        <f>iferror(VLOOKUP($D460,Details!$A$2:$C$11,2,false),vlookup($D460,Details!$E$2:$G$11,2,false))</f>
        <v>150</v>
      </c>
      <c r="M460" s="18" t="str">
        <f>iferror(VLOOKUP($D460,Details!$A$2:$C$11,3,false),vlookup($D460,Details!$E$2:$G$11,3,false))</f>
        <v>Snacks and Drinks</v>
      </c>
      <c r="N460" s="18">
        <f t="shared" si="1"/>
        <v>600</v>
      </c>
      <c r="O460" s="17"/>
      <c r="P460" s="17"/>
      <c r="Q460" s="17"/>
      <c r="R460" s="17"/>
      <c r="S460" s="17"/>
      <c r="T460" s="17"/>
      <c r="U460" s="17"/>
      <c r="V460" s="17"/>
      <c r="W460" s="17"/>
      <c r="X460" s="17"/>
      <c r="Y460" s="17"/>
      <c r="Z460" s="17"/>
    </row>
    <row r="461">
      <c r="A461" s="18" t="str">
        <f>IFERROR(__xludf.DUMMYFUNCTION("""COMPUTED_VALUE"""),"ord_10452")</f>
        <v>ord_10452</v>
      </c>
      <c r="B461" s="18" t="str">
        <f>IFERROR(__xludf.DUMMYFUNCTION("""COMPUTED_VALUE"""),"Kritika Shetty")</f>
        <v>Kritika Shetty</v>
      </c>
      <c r="C461" s="18" t="str">
        <f>IFERROR(__xludf.DUMMYFUNCTION("""COMPUTED_VALUE"""),"Malad")</f>
        <v>Malad</v>
      </c>
      <c r="D461" s="18" t="str">
        <f>IFERROR(__xludf.DUMMYFUNCTION("""COMPUTED_VALUE"""),"Icecream")</f>
        <v>Icecream</v>
      </c>
      <c r="E461" s="18">
        <f>IFERROR(__xludf.DUMMYFUNCTION("""COMPUTED_VALUE"""),3.0)</f>
        <v>3</v>
      </c>
      <c r="F461" s="18" t="str">
        <f>IFERROR(__xludf.DUMMYFUNCTION("""COMPUTED_VALUE"""),"Ram Gopal")</f>
        <v>Ram Gopal</v>
      </c>
      <c r="G461" s="19">
        <f>IFERROR(__xludf.DUMMYFUNCTION("""COMPUTED_VALUE"""),45129.0)</f>
        <v>45129</v>
      </c>
      <c r="H461" s="18" t="str">
        <f>IFERROR(__xludf.DUMMYFUNCTION("""COMPUTED_VALUE"""),"Credit Card")</f>
        <v>Credit Card</v>
      </c>
      <c r="I461" s="18" t="str">
        <f>IFERROR(__xludf.DUMMYFUNCTION("""COMPUTED_VALUE"""),"Cancelled")</f>
        <v>Cancelled</v>
      </c>
      <c r="J461" s="18" t="str">
        <f>IFERROR(__xludf.DUMMYFUNCTION("""COMPUTED_VALUE"""),"Delayed Delivery")</f>
        <v>Delayed Delivery</v>
      </c>
      <c r="K461" s="18" t="str">
        <f>IFERROR(__xludf.DUMMYFUNCTION("""COMPUTED_VALUE"""),"Heavy Traffic")</f>
        <v>Heavy Traffic</v>
      </c>
      <c r="L461" s="18">
        <f>iferror(VLOOKUP($D461,Details!$A$2:$C$11,2,false),vlookup($D461,Details!$E$2:$G$11,2,false))</f>
        <v>90</v>
      </c>
      <c r="M461" s="18" t="str">
        <f>iferror(VLOOKUP($D461,Details!$A$2:$C$11,3,false),vlookup($D461,Details!$E$2:$G$11,3,false))</f>
        <v>Snacks and Drinks</v>
      </c>
      <c r="N461" s="18">
        <f t="shared" si="1"/>
        <v>270</v>
      </c>
      <c r="O461" s="17"/>
      <c r="P461" s="17"/>
      <c r="Q461" s="17"/>
      <c r="R461" s="17"/>
      <c r="S461" s="17"/>
      <c r="T461" s="17"/>
      <c r="U461" s="17"/>
      <c r="V461" s="17"/>
      <c r="W461" s="17"/>
      <c r="X461" s="17"/>
      <c r="Y461" s="17"/>
      <c r="Z461" s="17"/>
    </row>
    <row r="462">
      <c r="A462" s="18" t="str">
        <f>IFERROR(__xludf.DUMMYFUNCTION("""COMPUTED_VALUE"""),"ord_10453")</f>
        <v>ord_10453</v>
      </c>
      <c r="B462" s="18" t="str">
        <f>IFERROR(__xludf.DUMMYFUNCTION("""COMPUTED_VALUE"""),"Ishita Banerjee")</f>
        <v>Ishita Banerjee</v>
      </c>
      <c r="C462" s="18" t="str">
        <f>IFERROR(__xludf.DUMMYFUNCTION("""COMPUTED_VALUE"""),"Juhu")</f>
        <v>Juhu</v>
      </c>
      <c r="D462" s="18" t="str">
        <f>IFERROR(__xludf.DUMMYFUNCTION("""COMPUTED_VALUE"""),"Chilli Cheese Toast")</f>
        <v>Chilli Cheese Toast</v>
      </c>
      <c r="E462" s="18">
        <f>IFERROR(__xludf.DUMMYFUNCTION("""COMPUTED_VALUE"""),4.0)</f>
        <v>4</v>
      </c>
      <c r="F462" s="18" t="str">
        <f>IFERROR(__xludf.DUMMYFUNCTION("""COMPUTED_VALUE"""),"Not Assigned")</f>
        <v>Not Assigned</v>
      </c>
      <c r="G462" s="19">
        <f>IFERROR(__xludf.DUMMYFUNCTION("""COMPUTED_VALUE"""),45199.0)</f>
        <v>45199</v>
      </c>
      <c r="H462" s="18" t="str">
        <f>IFERROR(__xludf.DUMMYFUNCTION("""COMPUTED_VALUE"""),"Credit Card")</f>
        <v>Credit Card</v>
      </c>
      <c r="I462" s="18" t="str">
        <f>IFERROR(__xludf.DUMMYFUNCTION("""COMPUTED_VALUE"""),"Cancelled")</f>
        <v>Cancelled</v>
      </c>
      <c r="J462" s="18" t="str">
        <f>IFERROR(__xludf.DUMMYFUNCTION("""COMPUTED_VALUE"""),"App Glitches")</f>
        <v>App Glitches</v>
      </c>
      <c r="K462" s="18" t="str">
        <f>IFERROR(__xludf.DUMMYFUNCTION("""COMPUTED_VALUE"""),"Payment Button Malfunction")</f>
        <v>Payment Button Malfunction</v>
      </c>
      <c r="L462" s="18">
        <f>iferror(VLOOKUP($D462,Details!$A$2:$C$11,2,false),vlookup($D462,Details!$E$2:$G$11,2,false))</f>
        <v>80</v>
      </c>
      <c r="M462" s="18" t="str">
        <f>iferror(VLOOKUP($D462,Details!$A$2:$C$11,3,false),vlookup($D462,Details!$E$2:$G$11,3,false))</f>
        <v>Snacks and Drinks</v>
      </c>
      <c r="N462" s="18">
        <f t="shared" si="1"/>
        <v>320</v>
      </c>
      <c r="O462" s="17"/>
      <c r="P462" s="17"/>
      <c r="Q462" s="17"/>
      <c r="R462" s="17"/>
      <c r="S462" s="17"/>
      <c r="T462" s="17"/>
      <c r="U462" s="17"/>
      <c r="V462" s="17"/>
      <c r="W462" s="17"/>
      <c r="X462" s="17"/>
      <c r="Y462" s="17"/>
      <c r="Z462" s="17"/>
    </row>
    <row r="463">
      <c r="A463" s="18" t="str">
        <f>IFERROR(__xludf.DUMMYFUNCTION("""COMPUTED_VALUE"""),"ord_10454")</f>
        <v>ord_10454</v>
      </c>
      <c r="B463" s="18" t="str">
        <f>IFERROR(__xludf.DUMMYFUNCTION("""COMPUTED_VALUE"""),"Tanishq Bansal")</f>
        <v>Tanishq Bansal</v>
      </c>
      <c r="C463" s="18" t="str">
        <f>IFERROR(__xludf.DUMMYFUNCTION("""COMPUTED_VALUE"""),"Powai")</f>
        <v>Powai</v>
      </c>
      <c r="D463" s="18" t="str">
        <f>IFERROR(__xludf.DUMMYFUNCTION("""COMPUTED_VALUE"""),"Papaya")</f>
        <v>Papaya</v>
      </c>
      <c r="E463" s="18">
        <f>IFERROR(__xludf.DUMMYFUNCTION("""COMPUTED_VALUE"""),2.0)</f>
        <v>2</v>
      </c>
      <c r="F463" s="18" t="str">
        <f>IFERROR(__xludf.DUMMYFUNCTION("""COMPUTED_VALUE"""),"Sandeep Kumar")</f>
        <v>Sandeep Kumar</v>
      </c>
      <c r="G463" s="19">
        <f>IFERROR(__xludf.DUMMYFUNCTION("""COMPUTED_VALUE"""),45264.0)</f>
        <v>45264</v>
      </c>
      <c r="H463" s="18" t="str">
        <f>IFERROR(__xludf.DUMMYFUNCTION("""COMPUTED_VALUE"""),"Online Payment")</f>
        <v>Online Payment</v>
      </c>
      <c r="I463" s="18" t="str">
        <f>IFERROR(__xludf.DUMMYFUNCTION("""COMPUTED_VALUE"""),"Delivered")</f>
        <v>Delivered</v>
      </c>
      <c r="J463" s="18" t="str">
        <f>IFERROR(__xludf.DUMMYFUNCTION("""COMPUTED_VALUE"""),"Delivery Experience")</f>
        <v>Delivery Experience</v>
      </c>
      <c r="K463" s="18" t="str">
        <f>IFERROR(__xludf.DUMMYFUNCTION("""COMPUTED_VALUE"""),"Quick and professional")</f>
        <v>Quick and professional</v>
      </c>
      <c r="L463" s="18">
        <f>iferror(VLOOKUP($D463,Details!$A$2:$C$11,2,false),vlookup($D463,Details!$E$2:$G$11,2,false))</f>
        <v>75</v>
      </c>
      <c r="M463" s="18" t="str">
        <f>iferror(VLOOKUP($D463,Details!$A$2:$C$11,3,false),vlookup($D463,Details!$E$2:$G$11,3,false))</f>
        <v>Fruits and Vegetables</v>
      </c>
      <c r="N463" s="18">
        <f t="shared" si="1"/>
        <v>150</v>
      </c>
      <c r="O463" s="17"/>
      <c r="P463" s="17"/>
      <c r="Q463" s="17"/>
      <c r="R463" s="17"/>
      <c r="S463" s="17"/>
      <c r="T463" s="17"/>
      <c r="U463" s="17"/>
      <c r="V463" s="17"/>
      <c r="W463" s="17"/>
      <c r="X463" s="17"/>
      <c r="Y463" s="17"/>
      <c r="Z463" s="17"/>
    </row>
    <row r="464">
      <c r="A464" s="18" t="str">
        <f>IFERROR(__xludf.DUMMYFUNCTION("""COMPUTED_VALUE"""),"ord_10455")</f>
        <v>ord_10455</v>
      </c>
      <c r="B464" s="18" t="str">
        <f>IFERROR(__xludf.DUMMYFUNCTION("""COMPUTED_VALUE"""),"Kritika Shetty")</f>
        <v>Kritika Shetty</v>
      </c>
      <c r="C464" s="18" t="str">
        <f>IFERROR(__xludf.DUMMYFUNCTION("""COMPUTED_VALUE"""),"Malad")</f>
        <v>Malad</v>
      </c>
      <c r="D464" s="18" t="str">
        <f>IFERROR(__xludf.DUMMYFUNCTION("""COMPUTED_VALUE"""),"Banana")</f>
        <v>Banana</v>
      </c>
      <c r="E464" s="18">
        <f>IFERROR(__xludf.DUMMYFUNCTION("""COMPUTED_VALUE"""),2.0)</f>
        <v>2</v>
      </c>
      <c r="F464" s="18" t="str">
        <f>IFERROR(__xludf.DUMMYFUNCTION("""COMPUTED_VALUE"""),"Not Assigned")</f>
        <v>Not Assigned</v>
      </c>
      <c r="G464" s="19">
        <f>IFERROR(__xludf.DUMMYFUNCTION("""COMPUTED_VALUE"""),45131.0)</f>
        <v>45131</v>
      </c>
      <c r="H464" s="18" t="str">
        <f>IFERROR(__xludf.DUMMYFUNCTION("""COMPUTED_VALUE"""),"UPI")</f>
        <v>UPI</v>
      </c>
      <c r="I464" s="18" t="str">
        <f>IFERROR(__xludf.DUMMYFUNCTION("""COMPUTED_VALUE"""),"Cancelled")</f>
        <v>Cancelled</v>
      </c>
      <c r="J464" s="18" t="str">
        <f>IFERROR(__xludf.DUMMYFUNCTION("""COMPUTED_VALUE"""),"App Glitches")</f>
        <v>App Glitches</v>
      </c>
      <c r="K464" s="18" t="str">
        <f>IFERROR(__xludf.DUMMYFUNCTION("""COMPUTED_VALUE"""),"Payment Button Malfunction")</f>
        <v>Payment Button Malfunction</v>
      </c>
      <c r="L464" s="18">
        <f>iferror(VLOOKUP($D464,Details!$A$2:$C$11,2,false),vlookup($D464,Details!$E$2:$G$11,2,false))</f>
        <v>80</v>
      </c>
      <c r="M464" s="18" t="str">
        <f>iferror(VLOOKUP($D464,Details!$A$2:$C$11,3,false),vlookup($D464,Details!$E$2:$G$11,3,false))</f>
        <v>Fruits and Vegetables</v>
      </c>
      <c r="N464" s="18">
        <f t="shared" si="1"/>
        <v>160</v>
      </c>
      <c r="O464" s="17"/>
      <c r="P464" s="17"/>
      <c r="Q464" s="17"/>
      <c r="R464" s="17"/>
      <c r="S464" s="17"/>
      <c r="T464" s="17"/>
      <c r="U464" s="17"/>
      <c r="V464" s="17"/>
      <c r="W464" s="17"/>
      <c r="X464" s="17"/>
      <c r="Y464" s="17"/>
      <c r="Z464" s="17"/>
    </row>
    <row r="465">
      <c r="A465" s="18" t="str">
        <f>IFERROR(__xludf.DUMMYFUNCTION("""COMPUTED_VALUE"""),"ord_10456")</f>
        <v>ord_10456</v>
      </c>
      <c r="B465" s="18" t="str">
        <f>IFERROR(__xludf.DUMMYFUNCTION("""COMPUTED_VALUE"""),"Omkar Mishra")</f>
        <v>Omkar Mishra</v>
      </c>
      <c r="C465" s="18" t="str">
        <f>IFERROR(__xludf.DUMMYFUNCTION("""COMPUTED_VALUE"""),"Powai")</f>
        <v>Powai</v>
      </c>
      <c r="D465" s="18" t="str">
        <f>IFERROR(__xludf.DUMMYFUNCTION("""COMPUTED_VALUE"""),"Guava")</f>
        <v>Guava</v>
      </c>
      <c r="E465" s="18">
        <f>IFERROR(__xludf.DUMMYFUNCTION("""COMPUTED_VALUE"""),2.0)</f>
        <v>2</v>
      </c>
      <c r="F465" s="18" t="str">
        <f>IFERROR(__xludf.DUMMYFUNCTION("""COMPUTED_VALUE"""),"Shine Thomas")</f>
        <v>Shine Thomas</v>
      </c>
      <c r="G465" s="19">
        <f>IFERROR(__xludf.DUMMYFUNCTION("""COMPUTED_VALUE"""),45058.0)</f>
        <v>45058</v>
      </c>
      <c r="H465" s="18" t="str">
        <f>IFERROR(__xludf.DUMMYFUNCTION("""COMPUTED_VALUE"""),"COD")</f>
        <v>COD</v>
      </c>
      <c r="I465" s="18" t="str">
        <f>IFERROR(__xludf.DUMMYFUNCTION("""COMPUTED_VALUE"""),"Delivered")</f>
        <v>Delivered</v>
      </c>
      <c r="J465" s="18" t="str">
        <f>IFERROR(__xludf.DUMMYFUNCTION("""COMPUTED_VALUE"""),"Convenience")</f>
        <v>Convenience</v>
      </c>
      <c r="K465" s="18" t="str">
        <f>IFERROR(__xludf.DUMMYFUNCTION("""COMPUTED_VALUE"""),"Easy tracking")</f>
        <v>Easy tracking</v>
      </c>
      <c r="L465" s="18">
        <f>iferror(VLOOKUP($D465,Details!$A$2:$C$11,2,false),vlookup($D465,Details!$E$2:$G$11,2,false))</f>
        <v>70</v>
      </c>
      <c r="M465" s="18" t="str">
        <f>iferror(VLOOKUP($D465,Details!$A$2:$C$11,3,false),vlookup($D465,Details!$E$2:$G$11,3,false))</f>
        <v>Fruits and Vegetables</v>
      </c>
      <c r="N465" s="18">
        <f t="shared" si="1"/>
        <v>140</v>
      </c>
      <c r="O465" s="17"/>
      <c r="P465" s="17"/>
      <c r="Q465" s="17"/>
      <c r="R465" s="17"/>
      <c r="S465" s="17"/>
      <c r="T465" s="17"/>
      <c r="U465" s="17"/>
      <c r="V465" s="17"/>
      <c r="W465" s="17"/>
      <c r="X465" s="17"/>
      <c r="Y465" s="17"/>
      <c r="Z465" s="17"/>
    </row>
    <row r="466">
      <c r="A466" s="18" t="str">
        <f>IFERROR(__xludf.DUMMYFUNCTION("""COMPUTED_VALUE"""),"ord_10457")</f>
        <v>ord_10457</v>
      </c>
      <c r="B466" s="18" t="str">
        <f>IFERROR(__xludf.DUMMYFUNCTION("""COMPUTED_VALUE"""),"Arvind Kulkarni")</f>
        <v>Arvind Kulkarni</v>
      </c>
      <c r="C466" s="18" t="str">
        <f>IFERROR(__xludf.DUMMYFUNCTION("""COMPUTED_VALUE"""),"Juhu")</f>
        <v>Juhu</v>
      </c>
      <c r="D466" s="18" t="str">
        <f>IFERROR(__xludf.DUMMYFUNCTION("""COMPUTED_VALUE"""),"Tomato")</f>
        <v>Tomato</v>
      </c>
      <c r="E466" s="18">
        <f>IFERROR(__xludf.DUMMYFUNCTION("""COMPUTED_VALUE"""),1.0)</f>
        <v>1</v>
      </c>
      <c r="F466" s="18" t="str">
        <f>IFERROR(__xludf.DUMMYFUNCTION("""COMPUTED_VALUE"""),"Priya Joshi")</f>
        <v>Priya Joshi</v>
      </c>
      <c r="G466" s="19">
        <f>IFERROR(__xludf.DUMMYFUNCTION("""COMPUTED_VALUE"""),45240.0)</f>
        <v>45240</v>
      </c>
      <c r="H466" s="18" t="str">
        <f>IFERROR(__xludf.DUMMYFUNCTION("""COMPUTED_VALUE"""),"Online Payment")</f>
        <v>Online Payment</v>
      </c>
      <c r="I466" s="18" t="str">
        <f>IFERROR(__xludf.DUMMYFUNCTION("""COMPUTED_VALUE"""),"Cancelled")</f>
        <v>Cancelled</v>
      </c>
      <c r="J466" s="18" t="str">
        <f>IFERROR(__xludf.DUMMYFUNCTION("""COMPUTED_VALUE"""),"Delayed Delivery")</f>
        <v>Delayed Delivery</v>
      </c>
      <c r="K466" s="18" t="str">
        <f>IFERROR(__xludf.DUMMYFUNCTION("""COMPUTED_VALUE"""),"Bad Weather Conditions")</f>
        <v>Bad Weather Conditions</v>
      </c>
      <c r="L466" s="18">
        <f>iferror(VLOOKUP($D466,Details!$A$2:$C$11,2,false),vlookup($D466,Details!$E$2:$G$11,2,false))</f>
        <v>25</v>
      </c>
      <c r="M466" s="18" t="str">
        <f>iferror(VLOOKUP($D466,Details!$A$2:$C$11,3,false),vlookup($D466,Details!$E$2:$G$11,3,false))</f>
        <v>Fruits and Vegetables</v>
      </c>
      <c r="N466" s="18">
        <f t="shared" si="1"/>
        <v>25</v>
      </c>
      <c r="O466" s="17"/>
      <c r="P466" s="17"/>
      <c r="Q466" s="17"/>
      <c r="R466" s="17"/>
      <c r="S466" s="17"/>
      <c r="T466" s="17"/>
      <c r="U466" s="17"/>
      <c r="V466" s="17"/>
      <c r="W466" s="17"/>
      <c r="X466" s="17"/>
      <c r="Y466" s="17"/>
      <c r="Z466" s="17"/>
    </row>
    <row r="467">
      <c r="A467" s="18" t="str">
        <f>IFERROR(__xludf.DUMMYFUNCTION("""COMPUTED_VALUE"""),"ord_10458")</f>
        <v>ord_10458</v>
      </c>
      <c r="B467" s="18" t="str">
        <f>IFERROR(__xludf.DUMMYFUNCTION("""COMPUTED_VALUE"""),"Omkar Mishra")</f>
        <v>Omkar Mishra</v>
      </c>
      <c r="C467" s="18" t="str">
        <f>IFERROR(__xludf.DUMMYFUNCTION("""COMPUTED_VALUE"""),"Powai")</f>
        <v>Powai</v>
      </c>
      <c r="D467" s="18" t="str">
        <f>IFERROR(__xludf.DUMMYFUNCTION("""COMPUTED_VALUE"""),"Banana")</f>
        <v>Banana</v>
      </c>
      <c r="E467" s="18">
        <f>IFERROR(__xludf.DUMMYFUNCTION("""COMPUTED_VALUE"""),2.0)</f>
        <v>2</v>
      </c>
      <c r="F467" s="18" t="str">
        <f>IFERROR(__xludf.DUMMYFUNCTION("""COMPUTED_VALUE"""),"Ramesh S")</f>
        <v>Ramesh S</v>
      </c>
      <c r="G467" s="19">
        <f>IFERROR(__xludf.DUMMYFUNCTION("""COMPUTED_VALUE"""),45284.0)</f>
        <v>45284</v>
      </c>
      <c r="H467" s="18" t="str">
        <f>IFERROR(__xludf.DUMMYFUNCTION("""COMPUTED_VALUE"""),"UPI")</f>
        <v>UPI</v>
      </c>
      <c r="I467" s="18" t="str">
        <f>IFERROR(__xludf.DUMMYFUNCTION("""COMPUTED_VALUE"""),"Delivered")</f>
        <v>Delivered</v>
      </c>
      <c r="J467" s="18" t="str">
        <f>IFERROR(__xludf.DUMMYFUNCTION("""COMPUTED_VALUE"""),"Overall Satisfaction")</f>
        <v>Overall Satisfaction</v>
      </c>
      <c r="K467" s="18" t="str">
        <f>IFERROR(__xludf.DUMMYFUNCTION("""COMPUTED_VALUE"""),"Great service will order again")</f>
        <v>Great service will order again</v>
      </c>
      <c r="L467" s="18">
        <f>iferror(VLOOKUP($D467,Details!$A$2:$C$11,2,false),vlookup($D467,Details!$E$2:$G$11,2,false))</f>
        <v>80</v>
      </c>
      <c r="M467" s="18" t="str">
        <f>iferror(VLOOKUP($D467,Details!$A$2:$C$11,3,false),vlookup($D467,Details!$E$2:$G$11,3,false))</f>
        <v>Fruits and Vegetables</v>
      </c>
      <c r="N467" s="18">
        <f t="shared" si="1"/>
        <v>160</v>
      </c>
      <c r="O467" s="17"/>
      <c r="P467" s="17"/>
      <c r="Q467" s="17"/>
      <c r="R467" s="17"/>
      <c r="S467" s="17"/>
      <c r="T467" s="17"/>
      <c r="U467" s="17"/>
      <c r="V467" s="17"/>
      <c r="W467" s="17"/>
      <c r="X467" s="17"/>
      <c r="Y467" s="17"/>
      <c r="Z467" s="17"/>
    </row>
    <row r="468">
      <c r="A468" s="18" t="str">
        <f>IFERROR(__xludf.DUMMYFUNCTION("""COMPUTED_VALUE"""),"ord_10459")</f>
        <v>ord_10459</v>
      </c>
      <c r="B468" s="18" t="str">
        <f>IFERROR(__xludf.DUMMYFUNCTION("""COMPUTED_VALUE"""),"Kritika Shetty")</f>
        <v>Kritika Shetty</v>
      </c>
      <c r="C468" s="18" t="str">
        <f>IFERROR(__xludf.DUMMYFUNCTION("""COMPUTED_VALUE"""),"Malad")</f>
        <v>Malad</v>
      </c>
      <c r="D468" s="18" t="str">
        <f>IFERROR(__xludf.DUMMYFUNCTION("""COMPUTED_VALUE"""),"Orange")</f>
        <v>Orange</v>
      </c>
      <c r="E468" s="18">
        <f>IFERROR(__xludf.DUMMYFUNCTION("""COMPUTED_VALUE"""),2.0)</f>
        <v>2</v>
      </c>
      <c r="F468" s="18" t="str">
        <f>IFERROR(__xludf.DUMMYFUNCTION("""COMPUTED_VALUE"""),"Venu R")</f>
        <v>Venu R</v>
      </c>
      <c r="G468" s="19">
        <f>IFERROR(__xludf.DUMMYFUNCTION("""COMPUTED_VALUE"""),45113.0)</f>
        <v>45113</v>
      </c>
      <c r="H468" s="18" t="str">
        <f>IFERROR(__xludf.DUMMYFUNCTION("""COMPUTED_VALUE"""),"UPI")</f>
        <v>UPI</v>
      </c>
      <c r="I468" s="18" t="str">
        <f>IFERROR(__xludf.DUMMYFUNCTION("""COMPUTED_VALUE"""),"Cancelled")</f>
        <v>Cancelled</v>
      </c>
      <c r="J468" s="18" t="str">
        <f>IFERROR(__xludf.DUMMYFUNCTION("""COMPUTED_VALUE"""),"Delayed Delivery")</f>
        <v>Delayed Delivery</v>
      </c>
      <c r="K468" s="18" t="str">
        <f>IFERROR(__xludf.DUMMYFUNCTION("""COMPUTED_VALUE"""),"Heavy Traffic")</f>
        <v>Heavy Traffic</v>
      </c>
      <c r="L468" s="18">
        <f>iferror(VLOOKUP($D468,Details!$A$2:$C$11,2,false),vlookup($D468,Details!$E$2:$G$11,2,false))</f>
        <v>180</v>
      </c>
      <c r="M468" s="18" t="str">
        <f>iferror(VLOOKUP($D468,Details!$A$2:$C$11,3,false),vlookup($D468,Details!$E$2:$G$11,3,false))</f>
        <v>Fruits and Vegetables</v>
      </c>
      <c r="N468" s="18">
        <f t="shared" si="1"/>
        <v>360</v>
      </c>
      <c r="O468" s="17"/>
      <c r="P468" s="17"/>
      <c r="Q468" s="17"/>
      <c r="R468" s="17"/>
      <c r="S468" s="17"/>
      <c r="T468" s="17"/>
      <c r="U468" s="17"/>
      <c r="V468" s="17"/>
      <c r="W468" s="17"/>
      <c r="X468" s="17"/>
      <c r="Y468" s="17"/>
      <c r="Z468" s="17"/>
    </row>
    <row r="469">
      <c r="A469" s="18" t="str">
        <f>IFERROR(__xludf.DUMMYFUNCTION("""COMPUTED_VALUE"""),"ord_10460")</f>
        <v>ord_10460</v>
      </c>
      <c r="B469" s="18" t="str">
        <f>IFERROR(__xludf.DUMMYFUNCTION("""COMPUTED_VALUE"""),"Kritika Shetty")</f>
        <v>Kritika Shetty</v>
      </c>
      <c r="C469" s="18" t="str">
        <f>IFERROR(__xludf.DUMMYFUNCTION("""COMPUTED_VALUE"""),"Malad")</f>
        <v>Malad</v>
      </c>
      <c r="D469" s="18" t="str">
        <f>IFERROR(__xludf.DUMMYFUNCTION("""COMPUTED_VALUE"""),"Icecream")</f>
        <v>Icecream</v>
      </c>
      <c r="E469" s="18">
        <f>IFERROR(__xludf.DUMMYFUNCTION("""COMPUTED_VALUE"""),4.0)</f>
        <v>4</v>
      </c>
      <c r="F469" s="18" t="str">
        <f>IFERROR(__xludf.DUMMYFUNCTION("""COMPUTED_VALUE"""),"Not Assigned")</f>
        <v>Not Assigned</v>
      </c>
      <c r="G469" s="19">
        <f>IFERROR(__xludf.DUMMYFUNCTION("""COMPUTED_VALUE"""),44927.0)</f>
        <v>44927</v>
      </c>
      <c r="H469" s="18" t="str">
        <f>IFERROR(__xludf.DUMMYFUNCTION("""COMPUTED_VALUE"""),"UPI")</f>
        <v>UPI</v>
      </c>
      <c r="I469" s="18" t="str">
        <f>IFERROR(__xludf.DUMMYFUNCTION("""COMPUTED_VALUE"""),"Cancelled")</f>
        <v>Cancelled</v>
      </c>
      <c r="J469" s="18" t="str">
        <f>IFERROR(__xludf.DUMMYFUNCTION("""COMPUTED_VALUE"""),"Out of Stock")</f>
        <v>Out of Stock</v>
      </c>
      <c r="K469" s="18"/>
      <c r="L469" s="18">
        <f>iferror(VLOOKUP($D469,Details!$A$2:$C$11,2,false),vlookup($D469,Details!$E$2:$G$11,2,false))</f>
        <v>90</v>
      </c>
      <c r="M469" s="18" t="str">
        <f>iferror(VLOOKUP($D469,Details!$A$2:$C$11,3,false),vlookup($D469,Details!$E$2:$G$11,3,false))</f>
        <v>Snacks and Drinks</v>
      </c>
      <c r="N469" s="18">
        <f t="shared" si="1"/>
        <v>360</v>
      </c>
      <c r="O469" s="17"/>
      <c r="P469" s="17"/>
      <c r="Q469" s="17"/>
      <c r="R469" s="17"/>
      <c r="S469" s="17"/>
      <c r="T469" s="17"/>
      <c r="U469" s="17"/>
      <c r="V469" s="17"/>
      <c r="W469" s="17"/>
      <c r="X469" s="17"/>
      <c r="Y469" s="17"/>
      <c r="Z469" s="17"/>
    </row>
    <row r="470">
      <c r="A470" s="18" t="str">
        <f>IFERROR(__xludf.DUMMYFUNCTION("""COMPUTED_VALUE"""),"ord_10461")</f>
        <v>ord_10461</v>
      </c>
      <c r="B470" s="18" t="str">
        <f>IFERROR(__xludf.DUMMYFUNCTION("""COMPUTED_VALUE"""),"Aditya Rao")</f>
        <v>Aditya Rao</v>
      </c>
      <c r="C470" s="18" t="str">
        <f>IFERROR(__xludf.DUMMYFUNCTION("""COMPUTED_VALUE"""),"Lower Parel")</f>
        <v>Lower Parel</v>
      </c>
      <c r="D470" s="18" t="str">
        <f>IFERROR(__xludf.DUMMYFUNCTION("""COMPUTED_VALUE"""),"Tiramisu")</f>
        <v>Tiramisu</v>
      </c>
      <c r="E470" s="18">
        <f>IFERROR(__xludf.DUMMYFUNCTION("""COMPUTED_VALUE"""),2.0)</f>
        <v>2</v>
      </c>
      <c r="F470" s="18" t="str">
        <f>IFERROR(__xludf.DUMMYFUNCTION("""COMPUTED_VALUE"""),"Shine Thomas")</f>
        <v>Shine Thomas</v>
      </c>
      <c r="G470" s="19">
        <f>IFERROR(__xludf.DUMMYFUNCTION("""COMPUTED_VALUE"""),45243.0)</f>
        <v>45243</v>
      </c>
      <c r="H470" s="18" t="str">
        <f>IFERROR(__xludf.DUMMYFUNCTION("""COMPUTED_VALUE"""),"COD")</f>
        <v>COD</v>
      </c>
      <c r="I470" s="18" t="str">
        <f>IFERROR(__xludf.DUMMYFUNCTION("""COMPUTED_VALUE"""),"Delivered")</f>
        <v>Delivered</v>
      </c>
      <c r="J470" s="18" t="str">
        <f>IFERROR(__xludf.DUMMYFUNCTION("""COMPUTED_VALUE"""),"On-time Delivery")</f>
        <v>On-time Delivery</v>
      </c>
      <c r="K470" s="18" t="str">
        <f>IFERROR(__xludf.DUMMYFUNCTION("""COMPUTED_VALUE"""),"Delivered on time")</f>
        <v>Delivered on time</v>
      </c>
      <c r="L470" s="18">
        <f>iferror(VLOOKUP($D470,Details!$A$2:$C$11,2,false),vlookup($D470,Details!$E$2:$G$11,2,false))</f>
        <v>150</v>
      </c>
      <c r="M470" s="18" t="str">
        <f>iferror(VLOOKUP($D470,Details!$A$2:$C$11,3,false),vlookup($D470,Details!$E$2:$G$11,3,false))</f>
        <v>Snacks and Drinks</v>
      </c>
      <c r="N470" s="18">
        <f t="shared" si="1"/>
        <v>300</v>
      </c>
      <c r="O470" s="17"/>
      <c r="P470" s="17"/>
      <c r="Q470" s="17"/>
      <c r="R470" s="17"/>
      <c r="S470" s="17"/>
      <c r="T470" s="17"/>
      <c r="U470" s="17"/>
      <c r="V470" s="17"/>
      <c r="W470" s="17"/>
      <c r="X470" s="17"/>
      <c r="Y470" s="17"/>
      <c r="Z470" s="17"/>
    </row>
    <row r="471">
      <c r="A471" s="18" t="str">
        <f>IFERROR(__xludf.DUMMYFUNCTION("""COMPUTED_VALUE"""),"ord_10462")</f>
        <v>ord_10462</v>
      </c>
      <c r="B471" s="18" t="str">
        <f>IFERROR(__xludf.DUMMYFUNCTION("""COMPUTED_VALUE"""),"Dev Chauhan")</f>
        <v>Dev Chauhan</v>
      </c>
      <c r="C471" s="18" t="str">
        <f>IFERROR(__xludf.DUMMYFUNCTION("""COMPUTED_VALUE"""),"Bandra")</f>
        <v>Bandra</v>
      </c>
      <c r="D471" s="18" t="str">
        <f>IFERROR(__xludf.DUMMYFUNCTION("""COMPUTED_VALUE"""),"Banana")</f>
        <v>Banana</v>
      </c>
      <c r="E471" s="18">
        <f>IFERROR(__xludf.DUMMYFUNCTION("""COMPUTED_VALUE"""),1.0)</f>
        <v>1</v>
      </c>
      <c r="F471" s="18" t="str">
        <f>IFERROR(__xludf.DUMMYFUNCTION("""COMPUTED_VALUE"""),"Ram Gopal")</f>
        <v>Ram Gopal</v>
      </c>
      <c r="G471" s="19">
        <f>IFERROR(__xludf.DUMMYFUNCTION("""COMPUTED_VALUE"""),44938.0)</f>
        <v>44938</v>
      </c>
      <c r="H471" s="18" t="str">
        <f>IFERROR(__xludf.DUMMYFUNCTION("""COMPUTED_VALUE"""),"COD")</f>
        <v>COD</v>
      </c>
      <c r="I471" s="18" t="str">
        <f>IFERROR(__xludf.DUMMYFUNCTION("""COMPUTED_VALUE"""),"Delivered")</f>
        <v>Delivered</v>
      </c>
      <c r="J471" s="18" t="str">
        <f>IFERROR(__xludf.DUMMYFUNCTION("""COMPUTED_VALUE"""),"Quality of Items")</f>
        <v>Quality of Items</v>
      </c>
      <c r="K471" s="18" t="str">
        <f>IFERROR(__xludf.DUMMYFUNCTION("""COMPUTED_VALUE"""),"Perfect condition")</f>
        <v>Perfect condition</v>
      </c>
      <c r="L471" s="18">
        <f>iferror(VLOOKUP($D471,Details!$A$2:$C$11,2,false),vlookup($D471,Details!$E$2:$G$11,2,false))</f>
        <v>80</v>
      </c>
      <c r="M471" s="18" t="str">
        <f>iferror(VLOOKUP($D471,Details!$A$2:$C$11,3,false),vlookup($D471,Details!$E$2:$G$11,3,false))</f>
        <v>Fruits and Vegetables</v>
      </c>
      <c r="N471" s="18">
        <f t="shared" si="1"/>
        <v>80</v>
      </c>
      <c r="O471" s="17"/>
      <c r="P471" s="17"/>
      <c r="Q471" s="17"/>
      <c r="R471" s="17"/>
      <c r="S471" s="17"/>
      <c r="T471" s="17"/>
      <c r="U471" s="17"/>
      <c r="V471" s="17"/>
      <c r="W471" s="17"/>
      <c r="X471" s="17"/>
      <c r="Y471" s="17"/>
      <c r="Z471" s="17"/>
    </row>
    <row r="472">
      <c r="A472" s="18" t="str">
        <f>IFERROR(__xludf.DUMMYFUNCTION("""COMPUTED_VALUE"""),"ord_10463")</f>
        <v>ord_10463</v>
      </c>
      <c r="B472" s="18" t="str">
        <f>IFERROR(__xludf.DUMMYFUNCTION("""COMPUTED_VALUE"""),"Kavya Menon")</f>
        <v>Kavya Menon</v>
      </c>
      <c r="C472" s="18" t="str">
        <f>IFERROR(__xludf.DUMMYFUNCTION("""COMPUTED_VALUE"""),"Andheri")</f>
        <v>Andheri</v>
      </c>
      <c r="D472" s="18" t="str">
        <f>IFERROR(__xludf.DUMMYFUNCTION("""COMPUTED_VALUE"""),"Icecream")</f>
        <v>Icecream</v>
      </c>
      <c r="E472" s="18">
        <f>IFERROR(__xludf.DUMMYFUNCTION("""COMPUTED_VALUE"""),6.0)</f>
        <v>6</v>
      </c>
      <c r="F472" s="18" t="str">
        <f>IFERROR(__xludf.DUMMYFUNCTION("""COMPUTED_VALUE"""),"Vivek Kumar")</f>
        <v>Vivek Kumar</v>
      </c>
      <c r="G472" s="19">
        <f>IFERROR(__xludf.DUMMYFUNCTION("""COMPUTED_VALUE"""),45044.0)</f>
        <v>45044</v>
      </c>
      <c r="H472" s="18" t="str">
        <f>IFERROR(__xludf.DUMMYFUNCTION("""COMPUTED_VALUE"""),"COD")</f>
        <v>COD</v>
      </c>
      <c r="I472" s="18" t="str">
        <f>IFERROR(__xludf.DUMMYFUNCTION("""COMPUTED_VALUE"""),"Delivered")</f>
        <v>Delivered</v>
      </c>
      <c r="J472" s="18" t="str">
        <f>IFERROR(__xludf.DUMMYFUNCTION("""COMPUTED_VALUE"""),"On-time Delivery")</f>
        <v>On-time Delivery</v>
      </c>
      <c r="K472" s="18" t="str">
        <f>IFERROR(__xludf.DUMMYFUNCTION("""COMPUTED_VALUE"""),"Delivered on time")</f>
        <v>Delivered on time</v>
      </c>
      <c r="L472" s="18">
        <f>iferror(VLOOKUP($D472,Details!$A$2:$C$11,2,false),vlookup($D472,Details!$E$2:$G$11,2,false))</f>
        <v>90</v>
      </c>
      <c r="M472" s="18" t="str">
        <f>iferror(VLOOKUP($D472,Details!$A$2:$C$11,3,false),vlookup($D472,Details!$E$2:$G$11,3,false))</f>
        <v>Snacks and Drinks</v>
      </c>
      <c r="N472" s="18">
        <f t="shared" si="1"/>
        <v>540</v>
      </c>
      <c r="O472" s="17"/>
      <c r="P472" s="17"/>
      <c r="Q472" s="17"/>
      <c r="R472" s="17"/>
      <c r="S472" s="17"/>
      <c r="T472" s="17"/>
      <c r="U472" s="17"/>
      <c r="V472" s="17"/>
      <c r="W472" s="17"/>
      <c r="X472" s="17"/>
      <c r="Y472" s="17"/>
      <c r="Z472" s="17"/>
    </row>
    <row r="473">
      <c r="A473" s="18" t="str">
        <f>IFERROR(__xludf.DUMMYFUNCTION("""COMPUTED_VALUE"""),"ord_10464")</f>
        <v>ord_10464</v>
      </c>
      <c r="B473" s="18" t="str">
        <f>IFERROR(__xludf.DUMMYFUNCTION("""COMPUTED_VALUE"""),"Kavya Menon")</f>
        <v>Kavya Menon</v>
      </c>
      <c r="C473" s="18" t="str">
        <f>IFERROR(__xludf.DUMMYFUNCTION("""COMPUTED_VALUE"""),"Andheri")</f>
        <v>Andheri</v>
      </c>
      <c r="D473" s="18" t="str">
        <f>IFERROR(__xludf.DUMMYFUNCTION("""COMPUTED_VALUE"""),"Tiramisu")</f>
        <v>Tiramisu</v>
      </c>
      <c r="E473" s="18">
        <f>IFERROR(__xludf.DUMMYFUNCTION("""COMPUTED_VALUE"""),3.0)</f>
        <v>3</v>
      </c>
      <c r="F473" s="18" t="str">
        <f>IFERROR(__xludf.DUMMYFUNCTION("""COMPUTED_VALUE"""),"Sita T")</f>
        <v>Sita T</v>
      </c>
      <c r="G473" s="19">
        <f>IFERROR(__xludf.DUMMYFUNCTION("""COMPUTED_VALUE"""),44937.0)</f>
        <v>44937</v>
      </c>
      <c r="H473" s="18" t="str">
        <f>IFERROR(__xludf.DUMMYFUNCTION("""COMPUTED_VALUE"""),"Credit Card")</f>
        <v>Credit Card</v>
      </c>
      <c r="I473" s="18" t="str">
        <f>IFERROR(__xludf.DUMMYFUNCTION("""COMPUTED_VALUE"""),"Delivered")</f>
        <v>Delivered</v>
      </c>
      <c r="J473" s="18" t="str">
        <f>IFERROR(__xludf.DUMMYFUNCTION("""COMPUTED_VALUE"""),"Quality of Items")</f>
        <v>Quality of Items</v>
      </c>
      <c r="K473" s="18" t="str">
        <f>IFERROR(__xludf.DUMMYFUNCTION("""COMPUTED_VALUE"""),"Perfect condition")</f>
        <v>Perfect condition</v>
      </c>
      <c r="L473" s="18">
        <f>iferror(VLOOKUP($D473,Details!$A$2:$C$11,2,false),vlookup($D473,Details!$E$2:$G$11,2,false))</f>
        <v>150</v>
      </c>
      <c r="M473" s="18" t="str">
        <f>iferror(VLOOKUP($D473,Details!$A$2:$C$11,3,false),vlookup($D473,Details!$E$2:$G$11,3,false))</f>
        <v>Snacks and Drinks</v>
      </c>
      <c r="N473" s="18">
        <f t="shared" si="1"/>
        <v>450</v>
      </c>
      <c r="O473" s="17"/>
      <c r="P473" s="17"/>
      <c r="Q473" s="17"/>
      <c r="R473" s="17"/>
      <c r="S473" s="17"/>
      <c r="T473" s="17"/>
      <c r="U473" s="17"/>
      <c r="V473" s="17"/>
      <c r="W473" s="17"/>
      <c r="X473" s="17"/>
      <c r="Y473" s="17"/>
      <c r="Z473" s="17"/>
    </row>
    <row r="474">
      <c r="A474" s="18" t="str">
        <f>IFERROR(__xludf.DUMMYFUNCTION("""COMPUTED_VALUE"""),"ord_10465")</f>
        <v>ord_10465</v>
      </c>
      <c r="B474" s="18" t="str">
        <f>IFERROR(__xludf.DUMMYFUNCTION("""COMPUTED_VALUE"""),"Kavya Menon")</f>
        <v>Kavya Menon</v>
      </c>
      <c r="C474" s="18" t="str">
        <f>IFERROR(__xludf.DUMMYFUNCTION("""COMPUTED_VALUE"""),"Andheri")</f>
        <v>Andheri</v>
      </c>
      <c r="D474" s="18" t="str">
        <f>IFERROR(__xludf.DUMMYFUNCTION("""COMPUTED_VALUE"""),"Chocolate Mousse")</f>
        <v>Chocolate Mousse</v>
      </c>
      <c r="E474" s="18">
        <f>IFERROR(__xludf.DUMMYFUNCTION("""COMPUTED_VALUE"""),3.0)</f>
        <v>3</v>
      </c>
      <c r="F474" s="18" t="str">
        <f>IFERROR(__xludf.DUMMYFUNCTION("""COMPUTED_VALUE"""),"Sita T")</f>
        <v>Sita T</v>
      </c>
      <c r="G474" s="19">
        <f>IFERROR(__xludf.DUMMYFUNCTION("""COMPUTED_VALUE"""),45174.0)</f>
        <v>45174</v>
      </c>
      <c r="H474" s="18" t="str">
        <f>IFERROR(__xludf.DUMMYFUNCTION("""COMPUTED_VALUE"""),"COD")</f>
        <v>COD</v>
      </c>
      <c r="I474" s="18" t="str">
        <f>IFERROR(__xludf.DUMMYFUNCTION("""COMPUTED_VALUE"""),"Delivered")</f>
        <v>Delivered</v>
      </c>
      <c r="J474" s="18" t="str">
        <f>IFERROR(__xludf.DUMMYFUNCTION("""COMPUTED_VALUE"""),"Packaging")</f>
        <v>Packaging</v>
      </c>
      <c r="K474" s="18" t="str">
        <f>IFERROR(__xludf.DUMMYFUNCTION("""COMPUTED_VALUE"""),"Secure and intact")</f>
        <v>Secure and intact</v>
      </c>
      <c r="L474" s="18">
        <f>iferror(VLOOKUP($D474,Details!$A$2:$C$11,2,false),vlookup($D474,Details!$E$2:$G$11,2,false))</f>
        <v>145</v>
      </c>
      <c r="M474" s="18" t="str">
        <f>iferror(VLOOKUP($D474,Details!$A$2:$C$11,3,false),vlookup($D474,Details!$E$2:$G$11,3,false))</f>
        <v>Snacks and Drinks</v>
      </c>
      <c r="N474" s="18">
        <f t="shared" si="1"/>
        <v>435</v>
      </c>
      <c r="O474" s="17"/>
      <c r="P474" s="17"/>
      <c r="Q474" s="17"/>
      <c r="R474" s="17"/>
      <c r="S474" s="17"/>
      <c r="T474" s="17"/>
      <c r="U474" s="17"/>
      <c r="V474" s="17"/>
      <c r="W474" s="17"/>
      <c r="X474" s="17"/>
      <c r="Y474" s="17"/>
      <c r="Z474" s="17"/>
    </row>
    <row r="475">
      <c r="A475" s="18" t="str">
        <f>IFERROR(__xludf.DUMMYFUNCTION("""COMPUTED_VALUE"""),"ord_10466")</f>
        <v>ord_10466</v>
      </c>
      <c r="B475" s="18" t="str">
        <f>IFERROR(__xludf.DUMMYFUNCTION("""COMPUTED_VALUE"""),"Aarohi Kapoor")</f>
        <v>Aarohi Kapoor</v>
      </c>
      <c r="C475" s="18" t="str">
        <f>IFERROR(__xludf.DUMMYFUNCTION("""COMPUTED_VALUE"""),"Bandra")</f>
        <v>Bandra</v>
      </c>
      <c r="D475" s="18" t="str">
        <f>IFERROR(__xludf.DUMMYFUNCTION("""COMPUTED_VALUE"""),"Chocolate Mousse")</f>
        <v>Chocolate Mousse</v>
      </c>
      <c r="E475" s="18">
        <f>IFERROR(__xludf.DUMMYFUNCTION("""COMPUTED_VALUE"""),3.0)</f>
        <v>3</v>
      </c>
      <c r="F475" s="18" t="str">
        <f>IFERROR(__xludf.DUMMYFUNCTION("""COMPUTED_VALUE"""),"Sita T")</f>
        <v>Sita T</v>
      </c>
      <c r="G475" s="19">
        <f>IFERROR(__xludf.DUMMYFUNCTION("""COMPUTED_VALUE"""),44951.0)</f>
        <v>44951</v>
      </c>
      <c r="H475" s="18" t="str">
        <f>IFERROR(__xludf.DUMMYFUNCTION("""COMPUTED_VALUE"""),"Online Payment")</f>
        <v>Online Payment</v>
      </c>
      <c r="I475" s="18" t="str">
        <f>IFERROR(__xludf.DUMMYFUNCTION("""COMPUTED_VALUE"""),"Delivered")</f>
        <v>Delivered</v>
      </c>
      <c r="J475" s="18" t="str">
        <f>IFERROR(__xludf.DUMMYFUNCTION("""COMPUTED_VALUE"""),"Satisfied with the Delivery")</f>
        <v>Satisfied with the Delivery</v>
      </c>
      <c r="K475" s="18" t="str">
        <f>IFERROR(__xludf.DUMMYFUNCTION("""COMPUTED_VALUE"""),"Timely and quality")</f>
        <v>Timely and quality</v>
      </c>
      <c r="L475" s="18">
        <f>iferror(VLOOKUP($D475,Details!$A$2:$C$11,2,false),vlookup($D475,Details!$E$2:$G$11,2,false))</f>
        <v>145</v>
      </c>
      <c r="M475" s="18" t="str">
        <f>iferror(VLOOKUP($D475,Details!$A$2:$C$11,3,false),vlookup($D475,Details!$E$2:$G$11,3,false))</f>
        <v>Snacks and Drinks</v>
      </c>
      <c r="N475" s="18">
        <f t="shared" si="1"/>
        <v>435</v>
      </c>
      <c r="O475" s="17"/>
      <c r="P475" s="17"/>
      <c r="Q475" s="17"/>
      <c r="R475" s="17"/>
      <c r="S475" s="17"/>
      <c r="T475" s="17"/>
      <c r="U475" s="17"/>
      <c r="V475" s="17"/>
      <c r="W475" s="17"/>
      <c r="X475" s="17"/>
      <c r="Y475" s="17"/>
      <c r="Z475" s="17"/>
    </row>
    <row r="476">
      <c r="A476" s="18" t="str">
        <f>IFERROR(__xludf.DUMMYFUNCTION("""COMPUTED_VALUE"""),"ord_10467")</f>
        <v>ord_10467</v>
      </c>
      <c r="B476" s="18" t="str">
        <f>IFERROR(__xludf.DUMMYFUNCTION("""COMPUTED_VALUE"""),"Diya Arora")</f>
        <v>Diya Arora</v>
      </c>
      <c r="C476" s="18" t="str">
        <f>IFERROR(__xludf.DUMMYFUNCTION("""COMPUTED_VALUE"""),"Lower Parel")</f>
        <v>Lower Parel</v>
      </c>
      <c r="D476" s="18" t="str">
        <f>IFERROR(__xludf.DUMMYFUNCTION("""COMPUTED_VALUE"""),"Icecream")</f>
        <v>Icecream</v>
      </c>
      <c r="E476" s="18">
        <f>IFERROR(__xludf.DUMMYFUNCTION("""COMPUTED_VALUE"""),5.0)</f>
        <v>5</v>
      </c>
      <c r="F476" s="18" t="str">
        <f>IFERROR(__xludf.DUMMYFUNCTION("""COMPUTED_VALUE"""),"Vivek Kumar")</f>
        <v>Vivek Kumar</v>
      </c>
      <c r="G476" s="19">
        <f>IFERROR(__xludf.DUMMYFUNCTION("""COMPUTED_VALUE"""),45059.0)</f>
        <v>45059</v>
      </c>
      <c r="H476" s="18" t="str">
        <f>IFERROR(__xludf.DUMMYFUNCTION("""COMPUTED_VALUE"""),"Online Payment")</f>
        <v>Online Payment</v>
      </c>
      <c r="I476" s="18" t="str">
        <f>IFERROR(__xludf.DUMMYFUNCTION("""COMPUTED_VALUE"""),"Delivered")</f>
        <v>Delivered</v>
      </c>
      <c r="J476" s="18" t="str">
        <f>IFERROR(__xludf.DUMMYFUNCTION("""COMPUTED_VALUE"""),"Customer Service")</f>
        <v>Customer Service</v>
      </c>
      <c r="K476" s="18" t="str">
        <f>IFERROR(__xludf.DUMMYFUNCTION("""COMPUTED_VALUE"""),"Seamless and easy")</f>
        <v>Seamless and easy</v>
      </c>
      <c r="L476" s="18">
        <f>iferror(VLOOKUP($D476,Details!$A$2:$C$11,2,false),vlookup($D476,Details!$E$2:$G$11,2,false))</f>
        <v>90</v>
      </c>
      <c r="M476" s="18" t="str">
        <f>iferror(VLOOKUP($D476,Details!$A$2:$C$11,3,false),vlookup($D476,Details!$E$2:$G$11,3,false))</f>
        <v>Snacks and Drinks</v>
      </c>
      <c r="N476" s="18">
        <f t="shared" si="1"/>
        <v>450</v>
      </c>
      <c r="O476" s="17"/>
      <c r="P476" s="17"/>
      <c r="Q476" s="17"/>
      <c r="R476" s="17"/>
      <c r="S476" s="17"/>
      <c r="T476" s="17"/>
      <c r="U476" s="17"/>
      <c r="V476" s="17"/>
      <c r="W476" s="17"/>
      <c r="X476" s="17"/>
      <c r="Y476" s="17"/>
      <c r="Z476" s="17"/>
    </row>
    <row r="477">
      <c r="A477" s="18" t="str">
        <f>IFERROR(__xludf.DUMMYFUNCTION("""COMPUTED_VALUE"""),"ord_10468")</f>
        <v>ord_10468</v>
      </c>
      <c r="B477" s="18" t="str">
        <f>IFERROR(__xludf.DUMMYFUNCTION("""COMPUTED_VALUE"""),"Mehul Thakkar")</f>
        <v>Mehul Thakkar</v>
      </c>
      <c r="C477" s="18" t="str">
        <f>IFERROR(__xludf.DUMMYFUNCTION("""COMPUTED_VALUE"""),"Malad")</f>
        <v>Malad</v>
      </c>
      <c r="D477" s="18" t="str">
        <f>IFERROR(__xludf.DUMMYFUNCTION("""COMPUTED_VALUE"""),"Apple")</f>
        <v>Apple</v>
      </c>
      <c r="E477" s="18">
        <f>IFERROR(__xludf.DUMMYFUNCTION("""COMPUTED_VALUE"""),1.0)</f>
        <v>1</v>
      </c>
      <c r="F477" s="18" t="str">
        <f>IFERROR(__xludf.DUMMYFUNCTION("""COMPUTED_VALUE"""),"Not Assigned")</f>
        <v>Not Assigned</v>
      </c>
      <c r="G477" s="19">
        <f>IFERROR(__xludf.DUMMYFUNCTION("""COMPUTED_VALUE"""),45233.0)</f>
        <v>45233</v>
      </c>
      <c r="H477" s="18" t="str">
        <f>IFERROR(__xludf.DUMMYFUNCTION("""COMPUTED_VALUE"""),"Online Payment")</f>
        <v>Online Payment</v>
      </c>
      <c r="I477" s="18" t="str">
        <f>IFERROR(__xludf.DUMMYFUNCTION("""COMPUTED_VALUE"""),"Cancelled")</f>
        <v>Cancelled</v>
      </c>
      <c r="J477" s="18" t="str">
        <f>IFERROR(__xludf.DUMMYFUNCTION("""COMPUTED_VALUE"""),"App Glitches")</f>
        <v>App Glitches</v>
      </c>
      <c r="K477" s="18" t="str">
        <f>IFERROR(__xludf.DUMMYFUNCTION("""COMPUTED_VALUE"""),"Payment Button Malfunction")</f>
        <v>Payment Button Malfunction</v>
      </c>
      <c r="L477" s="18">
        <f>iferror(VLOOKUP($D477,Details!$A$2:$C$11,2,false),vlookup($D477,Details!$E$2:$G$11,2,false))</f>
        <v>230</v>
      </c>
      <c r="M477" s="18" t="str">
        <f>iferror(VLOOKUP($D477,Details!$A$2:$C$11,3,false),vlookup($D477,Details!$E$2:$G$11,3,false))</f>
        <v>Fruits and Vegetables</v>
      </c>
      <c r="N477" s="18">
        <f t="shared" si="1"/>
        <v>230</v>
      </c>
      <c r="O477" s="17"/>
      <c r="P477" s="17"/>
      <c r="Q477" s="17"/>
      <c r="R477" s="17"/>
      <c r="S477" s="17"/>
      <c r="T477" s="17"/>
      <c r="U477" s="17"/>
      <c r="V477" s="17"/>
      <c r="W477" s="17"/>
      <c r="X477" s="17"/>
      <c r="Y477" s="17"/>
      <c r="Z477" s="17"/>
    </row>
    <row r="478">
      <c r="A478" s="18" t="str">
        <f>IFERROR(__xludf.DUMMYFUNCTION("""COMPUTED_VALUE"""),"ord_10469")</f>
        <v>ord_10469</v>
      </c>
      <c r="B478" s="18" t="str">
        <f>IFERROR(__xludf.DUMMYFUNCTION("""COMPUTED_VALUE"""),"Anaya Rao")</f>
        <v>Anaya Rao</v>
      </c>
      <c r="C478" s="18" t="str">
        <f>IFERROR(__xludf.DUMMYFUNCTION("""COMPUTED_VALUE"""),"Colaba")</f>
        <v>Colaba</v>
      </c>
      <c r="D478" s="18" t="str">
        <f>IFERROR(__xludf.DUMMYFUNCTION("""COMPUTED_VALUE"""),"Apple")</f>
        <v>Apple</v>
      </c>
      <c r="E478" s="18">
        <f>IFERROR(__xludf.DUMMYFUNCTION("""COMPUTED_VALUE"""),1.0)</f>
        <v>1</v>
      </c>
      <c r="F478" s="18" t="str">
        <f>IFERROR(__xludf.DUMMYFUNCTION("""COMPUTED_VALUE"""),"Shine Thomas")</f>
        <v>Shine Thomas</v>
      </c>
      <c r="G478" s="19">
        <f>IFERROR(__xludf.DUMMYFUNCTION("""COMPUTED_VALUE"""),45158.0)</f>
        <v>45158</v>
      </c>
      <c r="H478" s="18" t="str">
        <f>IFERROR(__xludf.DUMMYFUNCTION("""COMPUTED_VALUE"""),"UPI")</f>
        <v>UPI</v>
      </c>
      <c r="I478" s="18" t="str">
        <f>IFERROR(__xludf.DUMMYFUNCTION("""COMPUTED_VALUE"""),"Delivered")</f>
        <v>Delivered</v>
      </c>
      <c r="J478" s="18" t="str">
        <f>IFERROR(__xludf.DUMMYFUNCTION("""COMPUTED_VALUE"""),"Delivery Experience")</f>
        <v>Delivery Experience</v>
      </c>
      <c r="K478" s="18" t="str">
        <f>IFERROR(__xludf.DUMMYFUNCTION("""COMPUTED_VALUE"""),"Quick and professional")</f>
        <v>Quick and professional</v>
      </c>
      <c r="L478" s="18">
        <f>iferror(VLOOKUP($D478,Details!$A$2:$C$11,2,false),vlookup($D478,Details!$E$2:$G$11,2,false))</f>
        <v>230</v>
      </c>
      <c r="M478" s="18" t="str">
        <f>iferror(VLOOKUP($D478,Details!$A$2:$C$11,3,false),vlookup($D478,Details!$E$2:$G$11,3,false))</f>
        <v>Fruits and Vegetables</v>
      </c>
      <c r="N478" s="18">
        <f t="shared" si="1"/>
        <v>230</v>
      </c>
      <c r="O478" s="17"/>
      <c r="P478" s="17"/>
      <c r="Q478" s="17"/>
      <c r="R478" s="17"/>
      <c r="S478" s="17"/>
      <c r="T478" s="17"/>
      <c r="U478" s="17"/>
      <c r="V478" s="17"/>
      <c r="W478" s="17"/>
      <c r="X478" s="17"/>
      <c r="Y478" s="17"/>
      <c r="Z478" s="17"/>
    </row>
    <row r="479">
      <c r="A479" s="18" t="str">
        <f>IFERROR(__xludf.DUMMYFUNCTION("""COMPUTED_VALUE"""),"ord_10470")</f>
        <v>ord_10470</v>
      </c>
      <c r="B479" s="18" t="str">
        <f>IFERROR(__xludf.DUMMYFUNCTION("""COMPUTED_VALUE"""),"Harsh Vardhan")</f>
        <v>Harsh Vardhan</v>
      </c>
      <c r="C479" s="18" t="str">
        <f>IFERROR(__xludf.DUMMYFUNCTION("""COMPUTED_VALUE"""),"Bandra")</f>
        <v>Bandra</v>
      </c>
      <c r="D479" s="18" t="str">
        <f>IFERROR(__xludf.DUMMYFUNCTION("""COMPUTED_VALUE"""),"Tiramisu")</f>
        <v>Tiramisu</v>
      </c>
      <c r="E479" s="18">
        <f>IFERROR(__xludf.DUMMYFUNCTION("""COMPUTED_VALUE"""),2.0)</f>
        <v>2</v>
      </c>
      <c r="F479" s="18" t="str">
        <f>IFERROR(__xludf.DUMMYFUNCTION("""COMPUTED_VALUE"""),"Nithin Lal")</f>
        <v>Nithin Lal</v>
      </c>
      <c r="G479" s="19">
        <f>IFERROR(__xludf.DUMMYFUNCTION("""COMPUTED_VALUE"""),45244.0)</f>
        <v>45244</v>
      </c>
      <c r="H479" s="18" t="str">
        <f>IFERROR(__xludf.DUMMYFUNCTION("""COMPUTED_VALUE"""),"UPI")</f>
        <v>UPI</v>
      </c>
      <c r="I479" s="18" t="str">
        <f>IFERROR(__xludf.DUMMYFUNCTION("""COMPUTED_VALUE"""),"Delivered")</f>
        <v>Delivered</v>
      </c>
      <c r="J479" s="18" t="str">
        <f>IFERROR(__xludf.DUMMYFUNCTION("""COMPUTED_VALUE"""),"Convenience")</f>
        <v>Convenience</v>
      </c>
      <c r="K479" s="18" t="str">
        <f>IFERROR(__xludf.DUMMYFUNCTION("""COMPUTED_VALUE"""),"Easy tracking")</f>
        <v>Easy tracking</v>
      </c>
      <c r="L479" s="18">
        <f>iferror(VLOOKUP($D479,Details!$A$2:$C$11,2,false),vlookup($D479,Details!$E$2:$G$11,2,false))</f>
        <v>150</v>
      </c>
      <c r="M479" s="18" t="str">
        <f>iferror(VLOOKUP($D479,Details!$A$2:$C$11,3,false),vlookup($D479,Details!$E$2:$G$11,3,false))</f>
        <v>Snacks and Drinks</v>
      </c>
      <c r="N479" s="18">
        <f t="shared" si="1"/>
        <v>300</v>
      </c>
      <c r="O479" s="17"/>
      <c r="P479" s="17"/>
      <c r="Q479" s="17"/>
      <c r="R479" s="17"/>
      <c r="S479" s="17"/>
      <c r="T479" s="17"/>
      <c r="U479" s="17"/>
      <c r="V479" s="17"/>
      <c r="W479" s="17"/>
      <c r="X479" s="17"/>
      <c r="Y479" s="17"/>
      <c r="Z479" s="17"/>
    </row>
    <row r="480">
      <c r="A480" s="18" t="str">
        <f>IFERROR(__xludf.DUMMYFUNCTION("""COMPUTED_VALUE"""),"ord_10471")</f>
        <v>ord_10471</v>
      </c>
      <c r="B480" s="18" t="str">
        <f>IFERROR(__xludf.DUMMYFUNCTION("""COMPUTED_VALUE"""),"Leena Das")</f>
        <v>Leena Das</v>
      </c>
      <c r="C480" s="18" t="str">
        <f>IFERROR(__xludf.DUMMYFUNCTION("""COMPUTED_VALUE"""),"Andheri")</f>
        <v>Andheri</v>
      </c>
      <c r="D480" s="18" t="str">
        <f>IFERROR(__xludf.DUMMYFUNCTION("""COMPUTED_VALUE"""),"Chocolate Mousse")</f>
        <v>Chocolate Mousse</v>
      </c>
      <c r="E480" s="18">
        <f>IFERROR(__xludf.DUMMYFUNCTION("""COMPUTED_VALUE"""),6.0)</f>
        <v>6</v>
      </c>
      <c r="F480" s="18" t="str">
        <f>IFERROR(__xludf.DUMMYFUNCTION("""COMPUTED_VALUE"""),"Vivek Kumar")</f>
        <v>Vivek Kumar</v>
      </c>
      <c r="G480" s="19">
        <f>IFERROR(__xludf.DUMMYFUNCTION("""COMPUTED_VALUE"""),45111.0)</f>
        <v>45111</v>
      </c>
      <c r="H480" s="18" t="str">
        <f>IFERROR(__xludf.DUMMYFUNCTION("""COMPUTED_VALUE"""),"UPI")</f>
        <v>UPI</v>
      </c>
      <c r="I480" s="18" t="str">
        <f>IFERROR(__xludf.DUMMYFUNCTION("""COMPUTED_VALUE"""),"Delivered")</f>
        <v>Delivered</v>
      </c>
      <c r="J480" s="18" t="str">
        <f>IFERROR(__xludf.DUMMYFUNCTION("""COMPUTED_VALUE"""),"Overall Satisfaction")</f>
        <v>Overall Satisfaction</v>
      </c>
      <c r="K480" s="18" t="str">
        <f>IFERROR(__xludf.DUMMYFUNCTION("""COMPUTED_VALUE"""),"Great service will order again")</f>
        <v>Great service will order again</v>
      </c>
      <c r="L480" s="18">
        <f>iferror(VLOOKUP($D480,Details!$A$2:$C$11,2,false),vlookup($D480,Details!$E$2:$G$11,2,false))</f>
        <v>145</v>
      </c>
      <c r="M480" s="18" t="str">
        <f>iferror(VLOOKUP($D480,Details!$A$2:$C$11,3,false),vlookup($D480,Details!$E$2:$G$11,3,false))</f>
        <v>Snacks and Drinks</v>
      </c>
      <c r="N480" s="18">
        <f t="shared" si="1"/>
        <v>870</v>
      </c>
      <c r="O480" s="17"/>
      <c r="P480" s="17"/>
      <c r="Q480" s="17"/>
      <c r="R480" s="17"/>
      <c r="S480" s="17"/>
      <c r="T480" s="17"/>
      <c r="U480" s="17"/>
      <c r="V480" s="17"/>
      <c r="W480" s="17"/>
      <c r="X480" s="17"/>
      <c r="Y480" s="17"/>
      <c r="Z480" s="17"/>
    </row>
    <row r="481">
      <c r="A481" s="18" t="str">
        <f>IFERROR(__xludf.DUMMYFUNCTION("""COMPUTED_VALUE"""),"ord_10472")</f>
        <v>ord_10472</v>
      </c>
      <c r="B481" s="18" t="str">
        <f>IFERROR(__xludf.DUMMYFUNCTION("""COMPUTED_VALUE"""),"Diya Arora")</f>
        <v>Diya Arora</v>
      </c>
      <c r="C481" s="18" t="str">
        <f>IFERROR(__xludf.DUMMYFUNCTION("""COMPUTED_VALUE"""),"Lower Parel")</f>
        <v>Lower Parel</v>
      </c>
      <c r="D481" s="18" t="str">
        <f>IFERROR(__xludf.DUMMYFUNCTION("""COMPUTED_VALUE"""),"Banana")</f>
        <v>Banana</v>
      </c>
      <c r="E481" s="18">
        <f>IFERROR(__xludf.DUMMYFUNCTION("""COMPUTED_VALUE"""),1.0)</f>
        <v>1</v>
      </c>
      <c r="F481" s="18" t="str">
        <f>IFERROR(__xludf.DUMMYFUNCTION("""COMPUTED_VALUE"""),"Sita T")</f>
        <v>Sita T</v>
      </c>
      <c r="G481" s="19">
        <f>IFERROR(__xludf.DUMMYFUNCTION("""COMPUTED_VALUE"""),45220.0)</f>
        <v>45220</v>
      </c>
      <c r="H481" s="18" t="str">
        <f>IFERROR(__xludf.DUMMYFUNCTION("""COMPUTED_VALUE"""),"Credit Card")</f>
        <v>Credit Card</v>
      </c>
      <c r="I481" s="18" t="str">
        <f>IFERROR(__xludf.DUMMYFUNCTION("""COMPUTED_VALUE"""),"Delivered")</f>
        <v>Delivered</v>
      </c>
      <c r="J481" s="18" t="str">
        <f>IFERROR(__xludf.DUMMYFUNCTION("""COMPUTED_VALUE"""),"On-time Delivery")</f>
        <v>On-time Delivery</v>
      </c>
      <c r="K481" s="18" t="str">
        <f>IFERROR(__xludf.DUMMYFUNCTION("""COMPUTED_VALUE"""),"Delivered on time")</f>
        <v>Delivered on time</v>
      </c>
      <c r="L481" s="18">
        <f>iferror(VLOOKUP($D481,Details!$A$2:$C$11,2,false),vlookup($D481,Details!$E$2:$G$11,2,false))</f>
        <v>80</v>
      </c>
      <c r="M481" s="18" t="str">
        <f>iferror(VLOOKUP($D481,Details!$A$2:$C$11,3,false),vlookup($D481,Details!$E$2:$G$11,3,false))</f>
        <v>Fruits and Vegetables</v>
      </c>
      <c r="N481" s="18">
        <f t="shared" si="1"/>
        <v>80</v>
      </c>
      <c r="O481" s="17"/>
      <c r="P481" s="17"/>
      <c r="Q481" s="17"/>
      <c r="R481" s="17"/>
      <c r="S481" s="17"/>
      <c r="T481" s="17"/>
      <c r="U481" s="17"/>
      <c r="V481" s="17"/>
      <c r="W481" s="17"/>
      <c r="X481" s="17"/>
      <c r="Y481" s="17"/>
      <c r="Z481" s="17"/>
    </row>
    <row r="482">
      <c r="A482" s="18" t="str">
        <f>IFERROR(__xludf.DUMMYFUNCTION("""COMPUTED_VALUE"""),"ord_10473")</f>
        <v>ord_10473</v>
      </c>
      <c r="B482" s="18" t="str">
        <f>IFERROR(__xludf.DUMMYFUNCTION("""COMPUTED_VALUE"""),"Diya Arora")</f>
        <v>Diya Arora</v>
      </c>
      <c r="C482" s="18" t="str">
        <f>IFERROR(__xludf.DUMMYFUNCTION("""COMPUTED_VALUE"""),"Lower Parel")</f>
        <v>Lower Parel</v>
      </c>
      <c r="D482" s="18" t="str">
        <f>IFERROR(__xludf.DUMMYFUNCTION("""COMPUTED_VALUE"""),"Potato")</f>
        <v>Potato</v>
      </c>
      <c r="E482" s="18">
        <f>IFERROR(__xludf.DUMMYFUNCTION("""COMPUTED_VALUE"""),2.0)</f>
        <v>2</v>
      </c>
      <c r="F482" s="18" t="str">
        <f>IFERROR(__xludf.DUMMYFUNCTION("""COMPUTED_VALUE"""),"Ram Gopal")</f>
        <v>Ram Gopal</v>
      </c>
      <c r="G482" s="19">
        <f>IFERROR(__xludf.DUMMYFUNCTION("""COMPUTED_VALUE"""),44955.0)</f>
        <v>44955</v>
      </c>
      <c r="H482" s="18" t="str">
        <f>IFERROR(__xludf.DUMMYFUNCTION("""COMPUTED_VALUE"""),"UPI")</f>
        <v>UPI</v>
      </c>
      <c r="I482" s="18" t="str">
        <f>IFERROR(__xludf.DUMMYFUNCTION("""COMPUTED_VALUE"""),"Delivered")</f>
        <v>Delivered</v>
      </c>
      <c r="J482" s="18" t="str">
        <f>IFERROR(__xludf.DUMMYFUNCTION("""COMPUTED_VALUE"""),"Quality of Items")</f>
        <v>Quality of Items</v>
      </c>
      <c r="K482" s="18" t="str">
        <f>IFERROR(__xludf.DUMMYFUNCTION("""COMPUTED_VALUE"""),"Perfect condition")</f>
        <v>Perfect condition</v>
      </c>
      <c r="L482" s="18">
        <f>iferror(VLOOKUP($D482,Details!$A$2:$C$11,2,false),vlookup($D482,Details!$E$2:$G$11,2,false))</f>
        <v>55</v>
      </c>
      <c r="M482" s="18" t="str">
        <f>iferror(VLOOKUP($D482,Details!$A$2:$C$11,3,false),vlookup($D482,Details!$E$2:$G$11,3,false))</f>
        <v>Fruits and Vegetables</v>
      </c>
      <c r="N482" s="18">
        <f t="shared" si="1"/>
        <v>110</v>
      </c>
      <c r="O482" s="17"/>
      <c r="P482" s="17"/>
      <c r="Q482" s="17"/>
      <c r="R482" s="17"/>
      <c r="S482" s="17"/>
      <c r="T482" s="17"/>
      <c r="U482" s="17"/>
      <c r="V482" s="17"/>
      <c r="W482" s="17"/>
      <c r="X482" s="17"/>
      <c r="Y482" s="17"/>
      <c r="Z482" s="17"/>
    </row>
    <row r="483">
      <c r="A483" s="18" t="str">
        <f>IFERROR(__xludf.DUMMYFUNCTION("""COMPUTED_VALUE"""),"ord_10474")</f>
        <v>ord_10474</v>
      </c>
      <c r="B483" s="18" t="str">
        <f>IFERROR(__xludf.DUMMYFUNCTION("""COMPUTED_VALUE"""),"Aarav Mehta")</f>
        <v>Aarav Mehta</v>
      </c>
      <c r="C483" s="18" t="str">
        <f>IFERROR(__xludf.DUMMYFUNCTION("""COMPUTED_VALUE"""),"Andheri")</f>
        <v>Andheri</v>
      </c>
      <c r="D483" s="18" t="str">
        <f>IFERROR(__xludf.DUMMYFUNCTION("""COMPUTED_VALUE"""),"Icecream")</f>
        <v>Icecream</v>
      </c>
      <c r="E483" s="18">
        <f>IFERROR(__xludf.DUMMYFUNCTION("""COMPUTED_VALUE"""),3.0)</f>
        <v>3</v>
      </c>
      <c r="F483" s="18" t="str">
        <f>IFERROR(__xludf.DUMMYFUNCTION("""COMPUTED_VALUE"""),"Ram Gopal")</f>
        <v>Ram Gopal</v>
      </c>
      <c r="G483" s="19">
        <f>IFERROR(__xludf.DUMMYFUNCTION("""COMPUTED_VALUE"""),45143.0)</f>
        <v>45143</v>
      </c>
      <c r="H483" s="18" t="str">
        <f>IFERROR(__xludf.DUMMYFUNCTION("""COMPUTED_VALUE"""),"Credit Card")</f>
        <v>Credit Card</v>
      </c>
      <c r="I483" s="18" t="str">
        <f>IFERROR(__xludf.DUMMYFUNCTION("""COMPUTED_VALUE"""),"Delivered")</f>
        <v>Delivered</v>
      </c>
      <c r="J483" s="18" t="str">
        <f>IFERROR(__xludf.DUMMYFUNCTION("""COMPUTED_VALUE"""),"On-time Delivery")</f>
        <v>On-time Delivery</v>
      </c>
      <c r="K483" s="18" t="str">
        <f>IFERROR(__xludf.DUMMYFUNCTION("""COMPUTED_VALUE"""),"Delivered on time")</f>
        <v>Delivered on time</v>
      </c>
      <c r="L483" s="18">
        <f>iferror(VLOOKUP($D483,Details!$A$2:$C$11,2,false),vlookup($D483,Details!$E$2:$G$11,2,false))</f>
        <v>90</v>
      </c>
      <c r="M483" s="18" t="str">
        <f>iferror(VLOOKUP($D483,Details!$A$2:$C$11,3,false),vlookup($D483,Details!$E$2:$G$11,3,false))</f>
        <v>Snacks and Drinks</v>
      </c>
      <c r="N483" s="18">
        <f t="shared" si="1"/>
        <v>270</v>
      </c>
      <c r="O483" s="17"/>
      <c r="P483" s="17"/>
      <c r="Q483" s="17"/>
      <c r="R483" s="17"/>
      <c r="S483" s="17"/>
      <c r="T483" s="17"/>
      <c r="U483" s="17"/>
      <c r="V483" s="17"/>
      <c r="W483" s="17"/>
      <c r="X483" s="17"/>
      <c r="Y483" s="17"/>
      <c r="Z483" s="17"/>
    </row>
    <row r="484">
      <c r="A484" s="18" t="str">
        <f>IFERROR(__xludf.DUMMYFUNCTION("""COMPUTED_VALUE"""),"ord_10475")</f>
        <v>ord_10475</v>
      </c>
      <c r="B484" s="18" t="str">
        <f>IFERROR(__xludf.DUMMYFUNCTION("""COMPUTED_VALUE"""),"Leena Das")</f>
        <v>Leena Das</v>
      </c>
      <c r="C484" s="18" t="str">
        <f>IFERROR(__xludf.DUMMYFUNCTION("""COMPUTED_VALUE"""),"Andheri")</f>
        <v>Andheri</v>
      </c>
      <c r="D484" s="18" t="str">
        <f>IFERROR(__xludf.DUMMYFUNCTION("""COMPUTED_VALUE"""),"Papaya")</f>
        <v>Papaya</v>
      </c>
      <c r="E484" s="18">
        <f>IFERROR(__xludf.DUMMYFUNCTION("""COMPUTED_VALUE"""),2.0)</f>
        <v>2</v>
      </c>
      <c r="F484" s="18" t="str">
        <f>IFERROR(__xludf.DUMMYFUNCTION("""COMPUTED_VALUE"""),"Sita T")</f>
        <v>Sita T</v>
      </c>
      <c r="G484" s="19">
        <f>IFERROR(__xludf.DUMMYFUNCTION("""COMPUTED_VALUE"""),45142.0)</f>
        <v>45142</v>
      </c>
      <c r="H484" s="18" t="str">
        <f>IFERROR(__xludf.DUMMYFUNCTION("""COMPUTED_VALUE"""),"COD")</f>
        <v>COD</v>
      </c>
      <c r="I484" s="18" t="str">
        <f>IFERROR(__xludf.DUMMYFUNCTION("""COMPUTED_VALUE"""),"Delivered")</f>
        <v>Delivered</v>
      </c>
      <c r="J484" s="18" t="str">
        <f>IFERROR(__xludf.DUMMYFUNCTION("""COMPUTED_VALUE"""),"Quality of Items")</f>
        <v>Quality of Items</v>
      </c>
      <c r="K484" s="18" t="str">
        <f>IFERROR(__xludf.DUMMYFUNCTION("""COMPUTED_VALUE"""),"Perfect condition")</f>
        <v>Perfect condition</v>
      </c>
      <c r="L484" s="18">
        <f>iferror(VLOOKUP($D484,Details!$A$2:$C$11,2,false),vlookup($D484,Details!$E$2:$G$11,2,false))</f>
        <v>75</v>
      </c>
      <c r="M484" s="18" t="str">
        <f>iferror(VLOOKUP($D484,Details!$A$2:$C$11,3,false),vlookup($D484,Details!$E$2:$G$11,3,false))</f>
        <v>Fruits and Vegetables</v>
      </c>
      <c r="N484" s="18">
        <f t="shared" si="1"/>
        <v>150</v>
      </c>
      <c r="O484" s="17"/>
      <c r="P484" s="17"/>
      <c r="Q484" s="17"/>
      <c r="R484" s="17"/>
      <c r="S484" s="17"/>
      <c r="T484" s="17"/>
      <c r="U484" s="17"/>
      <c r="V484" s="17"/>
      <c r="W484" s="17"/>
      <c r="X484" s="17"/>
      <c r="Y484" s="17"/>
      <c r="Z484" s="17"/>
    </row>
    <row r="485">
      <c r="A485" s="18" t="str">
        <f>IFERROR(__xludf.DUMMYFUNCTION("""COMPUTED_VALUE"""),"ord_10476")</f>
        <v>ord_10476</v>
      </c>
      <c r="B485" s="18" t="str">
        <f>IFERROR(__xludf.DUMMYFUNCTION("""COMPUTED_VALUE"""),"Sana Malik")</f>
        <v>Sana Malik</v>
      </c>
      <c r="C485" s="18" t="str">
        <f>IFERROR(__xludf.DUMMYFUNCTION("""COMPUTED_VALUE"""),"Powai")</f>
        <v>Powai</v>
      </c>
      <c r="D485" s="18" t="str">
        <f>IFERROR(__xludf.DUMMYFUNCTION("""COMPUTED_VALUE"""),"Tomato")</f>
        <v>Tomato</v>
      </c>
      <c r="E485" s="18">
        <f>IFERROR(__xludf.DUMMYFUNCTION("""COMPUTED_VALUE"""),3.0)</f>
        <v>3</v>
      </c>
      <c r="F485" s="18" t="str">
        <f>IFERROR(__xludf.DUMMYFUNCTION("""COMPUTED_VALUE"""),"Sita T")</f>
        <v>Sita T</v>
      </c>
      <c r="G485" s="19">
        <f>IFERROR(__xludf.DUMMYFUNCTION("""COMPUTED_VALUE"""),45258.0)</f>
        <v>45258</v>
      </c>
      <c r="H485" s="18" t="str">
        <f>IFERROR(__xludf.DUMMYFUNCTION("""COMPUTED_VALUE"""),"Online Payment")</f>
        <v>Online Payment</v>
      </c>
      <c r="I485" s="18" t="str">
        <f>IFERROR(__xludf.DUMMYFUNCTION("""COMPUTED_VALUE"""),"Delivered")</f>
        <v>Delivered</v>
      </c>
      <c r="J485" s="18" t="str">
        <f>IFERROR(__xludf.DUMMYFUNCTION("""COMPUTED_VALUE"""),"Packaging")</f>
        <v>Packaging</v>
      </c>
      <c r="K485" s="18" t="str">
        <f>IFERROR(__xludf.DUMMYFUNCTION("""COMPUTED_VALUE"""),"Secure and intact")</f>
        <v>Secure and intact</v>
      </c>
      <c r="L485" s="18">
        <f>iferror(VLOOKUP($D485,Details!$A$2:$C$11,2,false),vlookup($D485,Details!$E$2:$G$11,2,false))</f>
        <v>25</v>
      </c>
      <c r="M485" s="18" t="str">
        <f>iferror(VLOOKUP($D485,Details!$A$2:$C$11,3,false),vlookup($D485,Details!$E$2:$G$11,3,false))</f>
        <v>Fruits and Vegetables</v>
      </c>
      <c r="N485" s="18">
        <f t="shared" si="1"/>
        <v>75</v>
      </c>
      <c r="O485" s="17"/>
      <c r="P485" s="17"/>
      <c r="Q485" s="17"/>
      <c r="R485" s="17"/>
      <c r="S485" s="17"/>
      <c r="T485" s="17"/>
      <c r="U485" s="17"/>
      <c r="V485" s="17"/>
      <c r="W485" s="17"/>
      <c r="X485" s="17"/>
      <c r="Y485" s="17"/>
      <c r="Z485" s="17"/>
    </row>
    <row r="486">
      <c r="A486" s="18" t="str">
        <f>IFERROR(__xludf.DUMMYFUNCTION("""COMPUTED_VALUE"""),"ord_10477")</f>
        <v>ord_10477</v>
      </c>
      <c r="B486" s="18" t="str">
        <f>IFERROR(__xludf.DUMMYFUNCTION("""COMPUTED_VALUE"""),"Diya Arora")</f>
        <v>Diya Arora</v>
      </c>
      <c r="C486" s="18" t="str">
        <f>IFERROR(__xludf.DUMMYFUNCTION("""COMPUTED_VALUE"""),"Lower Parel")</f>
        <v>Lower Parel</v>
      </c>
      <c r="D486" s="18" t="str">
        <f>IFERROR(__xludf.DUMMYFUNCTION("""COMPUTED_VALUE"""),"Juice")</f>
        <v>Juice</v>
      </c>
      <c r="E486" s="18">
        <f>IFERROR(__xludf.DUMMYFUNCTION("""COMPUTED_VALUE"""),1.0)</f>
        <v>1</v>
      </c>
      <c r="F486" s="18" t="str">
        <f>IFERROR(__xludf.DUMMYFUNCTION("""COMPUTED_VALUE"""),"Venu R")</f>
        <v>Venu R</v>
      </c>
      <c r="G486" s="19">
        <f>IFERROR(__xludf.DUMMYFUNCTION("""COMPUTED_VALUE"""),45028.0)</f>
        <v>45028</v>
      </c>
      <c r="H486" s="18" t="str">
        <f>IFERROR(__xludf.DUMMYFUNCTION("""COMPUTED_VALUE"""),"COD")</f>
        <v>COD</v>
      </c>
      <c r="I486" s="18" t="str">
        <f>IFERROR(__xludf.DUMMYFUNCTION("""COMPUTED_VALUE"""),"Delivered")</f>
        <v>Delivered</v>
      </c>
      <c r="J486" s="18" t="str">
        <f>IFERROR(__xludf.DUMMYFUNCTION("""COMPUTED_VALUE"""),"Satisfied with the Delivery")</f>
        <v>Satisfied with the Delivery</v>
      </c>
      <c r="K486" s="18" t="str">
        <f>IFERROR(__xludf.DUMMYFUNCTION("""COMPUTED_VALUE"""),"Timely and quality")</f>
        <v>Timely and quality</v>
      </c>
      <c r="L486" s="18">
        <f>iferror(VLOOKUP($D486,Details!$A$2:$C$11,2,false),vlookup($D486,Details!$E$2:$G$11,2,false))</f>
        <v>90</v>
      </c>
      <c r="M486" s="18" t="str">
        <f>iferror(VLOOKUP($D486,Details!$A$2:$C$11,3,false),vlookup($D486,Details!$E$2:$G$11,3,false))</f>
        <v>Snacks and Drinks</v>
      </c>
      <c r="N486" s="18">
        <f t="shared" si="1"/>
        <v>90</v>
      </c>
      <c r="O486" s="17"/>
      <c r="P486" s="17"/>
      <c r="Q486" s="17"/>
      <c r="R486" s="17"/>
      <c r="S486" s="17"/>
      <c r="T486" s="17"/>
      <c r="U486" s="17"/>
      <c r="V486" s="17"/>
      <c r="W486" s="17"/>
      <c r="X486" s="17"/>
      <c r="Y486" s="17"/>
      <c r="Z486" s="17"/>
    </row>
    <row r="487">
      <c r="A487" s="18" t="str">
        <f>IFERROR(__xludf.DUMMYFUNCTION("""COMPUTED_VALUE"""),"ord_10478")</f>
        <v>ord_10478</v>
      </c>
      <c r="B487" s="18" t="str">
        <f>IFERROR(__xludf.DUMMYFUNCTION("""COMPUTED_VALUE"""),"Anaya Rao")</f>
        <v>Anaya Rao</v>
      </c>
      <c r="C487" s="18" t="str">
        <f>IFERROR(__xludf.DUMMYFUNCTION("""COMPUTED_VALUE"""),"Colaba")</f>
        <v>Colaba</v>
      </c>
      <c r="D487" s="18" t="str">
        <f>IFERROR(__xludf.DUMMYFUNCTION("""COMPUTED_VALUE"""),"Guava")</f>
        <v>Guava</v>
      </c>
      <c r="E487" s="18">
        <f>IFERROR(__xludf.DUMMYFUNCTION("""COMPUTED_VALUE"""),2.0)</f>
        <v>2</v>
      </c>
      <c r="F487" s="18" t="str">
        <f>IFERROR(__xludf.DUMMYFUNCTION("""COMPUTED_VALUE"""),"Ram Gopal")</f>
        <v>Ram Gopal</v>
      </c>
      <c r="G487" s="19">
        <f>IFERROR(__xludf.DUMMYFUNCTION("""COMPUTED_VALUE"""),45037.0)</f>
        <v>45037</v>
      </c>
      <c r="H487" s="18" t="str">
        <f>IFERROR(__xludf.DUMMYFUNCTION("""COMPUTED_VALUE"""),"Credit Card")</f>
        <v>Credit Card</v>
      </c>
      <c r="I487" s="18" t="str">
        <f>IFERROR(__xludf.DUMMYFUNCTION("""COMPUTED_VALUE"""),"Delivered")</f>
        <v>Delivered</v>
      </c>
      <c r="J487" s="18" t="str">
        <f>IFERROR(__xludf.DUMMYFUNCTION("""COMPUTED_VALUE"""),"Customer Service")</f>
        <v>Customer Service</v>
      </c>
      <c r="K487" s="18" t="str">
        <f>IFERROR(__xludf.DUMMYFUNCTION("""COMPUTED_VALUE"""),"Seamless and easy")</f>
        <v>Seamless and easy</v>
      </c>
      <c r="L487" s="18">
        <f>iferror(VLOOKUP($D487,Details!$A$2:$C$11,2,false),vlookup($D487,Details!$E$2:$G$11,2,false))</f>
        <v>70</v>
      </c>
      <c r="M487" s="18" t="str">
        <f>iferror(VLOOKUP($D487,Details!$A$2:$C$11,3,false),vlookup($D487,Details!$E$2:$G$11,3,false))</f>
        <v>Fruits and Vegetables</v>
      </c>
      <c r="N487" s="18">
        <f t="shared" si="1"/>
        <v>140</v>
      </c>
      <c r="O487" s="17"/>
      <c r="P487" s="17"/>
      <c r="Q487" s="17"/>
      <c r="R487" s="17"/>
      <c r="S487" s="17"/>
      <c r="T487" s="17"/>
      <c r="U487" s="17"/>
      <c r="V487" s="17"/>
      <c r="W487" s="17"/>
      <c r="X487" s="17"/>
      <c r="Y487" s="17"/>
      <c r="Z487" s="17"/>
    </row>
    <row r="488">
      <c r="A488" s="18" t="str">
        <f>IFERROR(__xludf.DUMMYFUNCTION("""COMPUTED_VALUE"""),"ord_10479")</f>
        <v>ord_10479</v>
      </c>
      <c r="B488" s="18" t="str">
        <f>IFERROR(__xludf.DUMMYFUNCTION("""COMPUTED_VALUE"""),"Siya Reddy")</f>
        <v>Siya Reddy</v>
      </c>
      <c r="C488" s="18" t="str">
        <f>IFERROR(__xludf.DUMMYFUNCTION("""COMPUTED_VALUE"""),"Juhu")</f>
        <v>Juhu</v>
      </c>
      <c r="D488" s="18" t="str">
        <f>IFERROR(__xludf.DUMMYFUNCTION("""COMPUTED_VALUE"""),"Guava")</f>
        <v>Guava</v>
      </c>
      <c r="E488" s="18">
        <f>IFERROR(__xludf.DUMMYFUNCTION("""COMPUTED_VALUE"""),2.0)</f>
        <v>2</v>
      </c>
      <c r="F488" s="18" t="str">
        <f>IFERROR(__xludf.DUMMYFUNCTION("""COMPUTED_VALUE"""),"Not Assigned")</f>
        <v>Not Assigned</v>
      </c>
      <c r="G488" s="19">
        <f>IFERROR(__xludf.DUMMYFUNCTION("""COMPUTED_VALUE"""),45268.0)</f>
        <v>45268</v>
      </c>
      <c r="H488" s="18" t="str">
        <f>IFERROR(__xludf.DUMMYFUNCTION("""COMPUTED_VALUE"""),"UPI")</f>
        <v>UPI</v>
      </c>
      <c r="I488" s="18" t="str">
        <f>IFERROR(__xludf.DUMMYFUNCTION("""COMPUTED_VALUE"""),"Cancelled")</f>
        <v>Cancelled</v>
      </c>
      <c r="J488" s="18" t="str">
        <f>IFERROR(__xludf.DUMMYFUNCTION("""COMPUTED_VALUE"""),"High Delivery Fees")</f>
        <v>High Delivery Fees</v>
      </c>
      <c r="K488" s="18"/>
      <c r="L488" s="18">
        <f>iferror(VLOOKUP($D488,Details!$A$2:$C$11,2,false),vlookup($D488,Details!$E$2:$G$11,2,false))</f>
        <v>70</v>
      </c>
      <c r="M488" s="18" t="str">
        <f>iferror(VLOOKUP($D488,Details!$A$2:$C$11,3,false),vlookup($D488,Details!$E$2:$G$11,3,false))</f>
        <v>Fruits and Vegetables</v>
      </c>
      <c r="N488" s="18">
        <f t="shared" si="1"/>
        <v>140</v>
      </c>
      <c r="O488" s="17"/>
      <c r="P488" s="17"/>
      <c r="Q488" s="17"/>
      <c r="R488" s="17"/>
      <c r="S488" s="17"/>
      <c r="T488" s="17"/>
      <c r="U488" s="17"/>
      <c r="V488" s="17"/>
      <c r="W488" s="17"/>
      <c r="X488" s="17"/>
      <c r="Y488" s="17"/>
      <c r="Z488" s="17"/>
    </row>
    <row r="489">
      <c r="A489" s="18" t="str">
        <f>IFERROR(__xludf.DUMMYFUNCTION("""COMPUTED_VALUE"""),"ord_10480")</f>
        <v>ord_10480</v>
      </c>
      <c r="B489" s="18" t="str">
        <f>IFERROR(__xludf.DUMMYFUNCTION("""COMPUTED_VALUE"""),"Sanjay Nair")</f>
        <v>Sanjay Nair</v>
      </c>
      <c r="C489" s="18" t="str">
        <f>IFERROR(__xludf.DUMMYFUNCTION("""COMPUTED_VALUE"""),"Dadar")</f>
        <v>Dadar</v>
      </c>
      <c r="D489" s="18" t="str">
        <f>IFERROR(__xludf.DUMMYFUNCTION("""COMPUTED_VALUE"""),"Apple")</f>
        <v>Apple</v>
      </c>
      <c r="E489" s="18">
        <f>IFERROR(__xludf.DUMMYFUNCTION("""COMPUTED_VALUE"""),2.0)</f>
        <v>2</v>
      </c>
      <c r="F489" s="18" t="str">
        <f>IFERROR(__xludf.DUMMYFUNCTION("""COMPUTED_VALUE"""),"Ramesh S")</f>
        <v>Ramesh S</v>
      </c>
      <c r="G489" s="19">
        <f>IFERROR(__xludf.DUMMYFUNCTION("""COMPUTED_VALUE"""),45032.0)</f>
        <v>45032</v>
      </c>
      <c r="H489" s="18" t="str">
        <f>IFERROR(__xludf.DUMMYFUNCTION("""COMPUTED_VALUE"""),"UPI")</f>
        <v>UPI</v>
      </c>
      <c r="I489" s="18" t="str">
        <f>IFERROR(__xludf.DUMMYFUNCTION("""COMPUTED_VALUE"""),"Delivered")</f>
        <v>Delivered</v>
      </c>
      <c r="J489" s="18" t="str">
        <f>IFERROR(__xludf.DUMMYFUNCTION("""COMPUTED_VALUE"""),"Delivery Experience")</f>
        <v>Delivery Experience</v>
      </c>
      <c r="K489" s="18" t="str">
        <f>IFERROR(__xludf.DUMMYFUNCTION("""COMPUTED_VALUE"""),"Quick and professional")</f>
        <v>Quick and professional</v>
      </c>
      <c r="L489" s="18">
        <f>iferror(VLOOKUP($D489,Details!$A$2:$C$11,2,false),vlookup($D489,Details!$E$2:$G$11,2,false))</f>
        <v>230</v>
      </c>
      <c r="M489" s="18" t="str">
        <f>iferror(VLOOKUP($D489,Details!$A$2:$C$11,3,false),vlookup($D489,Details!$E$2:$G$11,3,false))</f>
        <v>Fruits and Vegetables</v>
      </c>
      <c r="N489" s="18">
        <f t="shared" si="1"/>
        <v>460</v>
      </c>
      <c r="O489" s="17"/>
      <c r="P489" s="17"/>
      <c r="Q489" s="17"/>
      <c r="R489" s="17"/>
      <c r="S489" s="17"/>
      <c r="T489" s="17"/>
      <c r="U489" s="17"/>
      <c r="V489" s="17"/>
      <c r="W489" s="17"/>
      <c r="X489" s="17"/>
      <c r="Y489" s="17"/>
      <c r="Z489" s="17"/>
    </row>
    <row r="490">
      <c r="A490" s="18" t="str">
        <f>IFERROR(__xludf.DUMMYFUNCTION("""COMPUTED_VALUE"""),"ord_10481")</f>
        <v>ord_10481</v>
      </c>
      <c r="B490" s="18" t="str">
        <f>IFERROR(__xludf.DUMMYFUNCTION("""COMPUTED_VALUE"""),"Anaya Rao")</f>
        <v>Anaya Rao</v>
      </c>
      <c r="C490" s="18" t="str">
        <f>IFERROR(__xludf.DUMMYFUNCTION("""COMPUTED_VALUE"""),"Malad")</f>
        <v>Malad</v>
      </c>
      <c r="D490" s="18" t="str">
        <f>IFERROR(__xludf.DUMMYFUNCTION("""COMPUTED_VALUE"""),"Potato")</f>
        <v>Potato</v>
      </c>
      <c r="E490" s="18">
        <f>IFERROR(__xludf.DUMMYFUNCTION("""COMPUTED_VALUE"""),2.0)</f>
        <v>2</v>
      </c>
      <c r="F490" s="18" t="str">
        <f>IFERROR(__xludf.DUMMYFUNCTION("""COMPUTED_VALUE"""),"Not Assigned")</f>
        <v>Not Assigned</v>
      </c>
      <c r="G490" s="19">
        <f>IFERROR(__xludf.DUMMYFUNCTION("""COMPUTED_VALUE"""),45144.0)</f>
        <v>45144</v>
      </c>
      <c r="H490" s="18" t="str">
        <f>IFERROR(__xludf.DUMMYFUNCTION("""COMPUTED_VALUE"""),"Credit Card")</f>
        <v>Credit Card</v>
      </c>
      <c r="I490" s="18" t="str">
        <f>IFERROR(__xludf.DUMMYFUNCTION("""COMPUTED_VALUE"""),"Cancelled")</f>
        <v>Cancelled</v>
      </c>
      <c r="J490" s="18" t="str">
        <f>IFERROR(__xludf.DUMMYFUNCTION("""COMPUTED_VALUE"""),"App Glitches")</f>
        <v>App Glitches</v>
      </c>
      <c r="K490" s="18" t="str">
        <f>IFERROR(__xludf.DUMMYFUNCTION("""COMPUTED_VALUE"""),"Inconsistent Data Display")</f>
        <v>Inconsistent Data Display</v>
      </c>
      <c r="L490" s="18">
        <f>iferror(VLOOKUP($D490,Details!$A$2:$C$11,2,false),vlookup($D490,Details!$E$2:$G$11,2,false))</f>
        <v>55</v>
      </c>
      <c r="M490" s="18" t="str">
        <f>iferror(VLOOKUP($D490,Details!$A$2:$C$11,3,false),vlookup($D490,Details!$E$2:$G$11,3,false))</f>
        <v>Fruits and Vegetables</v>
      </c>
      <c r="N490" s="18">
        <f t="shared" si="1"/>
        <v>110</v>
      </c>
      <c r="O490" s="17"/>
      <c r="P490" s="17"/>
      <c r="Q490" s="17"/>
      <c r="R490" s="17"/>
      <c r="S490" s="17"/>
      <c r="T490" s="17"/>
      <c r="U490" s="17"/>
      <c r="V490" s="17"/>
      <c r="W490" s="17"/>
      <c r="X490" s="17"/>
      <c r="Y490" s="17"/>
      <c r="Z490" s="17"/>
    </row>
    <row r="491">
      <c r="A491" s="18" t="str">
        <f>IFERROR(__xludf.DUMMYFUNCTION("""COMPUTED_VALUE"""),"ord_10482")</f>
        <v>ord_10482</v>
      </c>
      <c r="B491" s="18" t="str">
        <f>IFERROR(__xludf.DUMMYFUNCTION("""COMPUTED_VALUE"""),"Pallavi Ghosh")</f>
        <v>Pallavi Ghosh</v>
      </c>
      <c r="C491" s="18" t="str">
        <f>IFERROR(__xludf.DUMMYFUNCTION("""COMPUTED_VALUE"""),"Bandra")</f>
        <v>Bandra</v>
      </c>
      <c r="D491" s="18" t="str">
        <f>IFERROR(__xludf.DUMMYFUNCTION("""COMPUTED_VALUE"""),"Papaya")</f>
        <v>Papaya</v>
      </c>
      <c r="E491" s="18">
        <f>IFERROR(__xludf.DUMMYFUNCTION("""COMPUTED_VALUE"""),1.0)</f>
        <v>1</v>
      </c>
      <c r="F491" s="18" t="str">
        <f>IFERROR(__xludf.DUMMYFUNCTION("""COMPUTED_VALUE"""),"Shine Thomas")</f>
        <v>Shine Thomas</v>
      </c>
      <c r="G491" s="19">
        <f>IFERROR(__xludf.DUMMYFUNCTION("""COMPUTED_VALUE"""),45040.0)</f>
        <v>45040</v>
      </c>
      <c r="H491" s="18" t="str">
        <f>IFERROR(__xludf.DUMMYFUNCTION("""COMPUTED_VALUE"""),"COD")</f>
        <v>COD</v>
      </c>
      <c r="I491" s="18" t="str">
        <f>IFERROR(__xludf.DUMMYFUNCTION("""COMPUTED_VALUE"""),"Delivered")</f>
        <v>Delivered</v>
      </c>
      <c r="J491" s="18" t="str">
        <f>IFERROR(__xludf.DUMMYFUNCTION("""COMPUTED_VALUE"""),"Convenience")</f>
        <v>Convenience</v>
      </c>
      <c r="K491" s="18" t="str">
        <f>IFERROR(__xludf.DUMMYFUNCTION("""COMPUTED_VALUE"""),"Easy tracking")</f>
        <v>Easy tracking</v>
      </c>
      <c r="L491" s="18">
        <f>iferror(VLOOKUP($D491,Details!$A$2:$C$11,2,false),vlookup($D491,Details!$E$2:$G$11,2,false))</f>
        <v>75</v>
      </c>
      <c r="M491" s="18" t="str">
        <f>iferror(VLOOKUP($D491,Details!$A$2:$C$11,3,false),vlookup($D491,Details!$E$2:$G$11,3,false))</f>
        <v>Fruits and Vegetables</v>
      </c>
      <c r="N491" s="18">
        <f t="shared" si="1"/>
        <v>75</v>
      </c>
      <c r="O491" s="17"/>
      <c r="P491" s="17"/>
      <c r="Q491" s="17"/>
      <c r="R491" s="17"/>
      <c r="S491" s="17"/>
      <c r="T491" s="17"/>
      <c r="U491" s="17"/>
      <c r="V491" s="17"/>
      <c r="W491" s="17"/>
      <c r="X491" s="17"/>
      <c r="Y491" s="17"/>
      <c r="Z491" s="17"/>
    </row>
    <row r="492">
      <c r="A492" s="18" t="str">
        <f>IFERROR(__xludf.DUMMYFUNCTION("""COMPUTED_VALUE"""),"ord_10483")</f>
        <v>ord_10483</v>
      </c>
      <c r="B492" s="18" t="str">
        <f>IFERROR(__xludf.DUMMYFUNCTION("""COMPUTED_VALUE"""),"Aarav Mehta")</f>
        <v>Aarav Mehta</v>
      </c>
      <c r="C492" s="18" t="str">
        <f>IFERROR(__xludf.DUMMYFUNCTION("""COMPUTED_VALUE"""),"Andheri")</f>
        <v>Andheri</v>
      </c>
      <c r="D492" s="18" t="str">
        <f>IFERROR(__xludf.DUMMYFUNCTION("""COMPUTED_VALUE"""),"Veg Puff")</f>
        <v>Veg Puff</v>
      </c>
      <c r="E492" s="18">
        <f>IFERROR(__xludf.DUMMYFUNCTION("""COMPUTED_VALUE"""),3.0)</f>
        <v>3</v>
      </c>
      <c r="F492" s="18" t="str">
        <f>IFERROR(__xludf.DUMMYFUNCTION("""COMPUTED_VALUE"""),"Vivek Kumar")</f>
        <v>Vivek Kumar</v>
      </c>
      <c r="G492" s="19">
        <f>IFERROR(__xludf.DUMMYFUNCTION("""COMPUTED_VALUE"""),45026.0)</f>
        <v>45026</v>
      </c>
      <c r="H492" s="18" t="str">
        <f>IFERROR(__xludf.DUMMYFUNCTION("""COMPUTED_VALUE"""),"UPI")</f>
        <v>UPI</v>
      </c>
      <c r="I492" s="18" t="str">
        <f>IFERROR(__xludf.DUMMYFUNCTION("""COMPUTED_VALUE"""),"Delivered")</f>
        <v>Delivered</v>
      </c>
      <c r="J492" s="18" t="str">
        <f>IFERROR(__xludf.DUMMYFUNCTION("""COMPUTED_VALUE"""),"Overall Satisfaction")</f>
        <v>Overall Satisfaction</v>
      </c>
      <c r="K492" s="18" t="str">
        <f>IFERROR(__xludf.DUMMYFUNCTION("""COMPUTED_VALUE"""),"Great service will order again")</f>
        <v>Great service will order again</v>
      </c>
      <c r="L492" s="18">
        <f>iferror(VLOOKUP($D492,Details!$A$2:$C$11,2,false),vlookup($D492,Details!$E$2:$G$11,2,false))</f>
        <v>80</v>
      </c>
      <c r="M492" s="18" t="str">
        <f>iferror(VLOOKUP($D492,Details!$A$2:$C$11,3,false),vlookup($D492,Details!$E$2:$G$11,3,false))</f>
        <v>Snacks and Drinks</v>
      </c>
      <c r="N492" s="18">
        <f t="shared" si="1"/>
        <v>240</v>
      </c>
      <c r="O492" s="17"/>
      <c r="P492" s="17"/>
      <c r="Q492" s="17"/>
      <c r="R492" s="17"/>
      <c r="S492" s="17"/>
      <c r="T492" s="17"/>
      <c r="U492" s="17"/>
      <c r="V492" s="17"/>
      <c r="W492" s="17"/>
      <c r="X492" s="17"/>
      <c r="Y492" s="17"/>
      <c r="Z492" s="17"/>
    </row>
    <row r="493">
      <c r="A493" s="18" t="str">
        <f>IFERROR(__xludf.DUMMYFUNCTION("""COMPUTED_VALUE"""),"ord_10484")</f>
        <v>ord_10484</v>
      </c>
      <c r="B493" s="18" t="str">
        <f>IFERROR(__xludf.DUMMYFUNCTION("""COMPUTED_VALUE"""),"Mehul Thakkar")</f>
        <v>Mehul Thakkar</v>
      </c>
      <c r="C493" s="18" t="str">
        <f>IFERROR(__xludf.DUMMYFUNCTION("""COMPUTED_VALUE"""),"Malad")</f>
        <v>Malad</v>
      </c>
      <c r="D493" s="18" t="str">
        <f>IFERROR(__xludf.DUMMYFUNCTION("""COMPUTED_VALUE"""),"Onion")</f>
        <v>Onion</v>
      </c>
      <c r="E493" s="18">
        <f>IFERROR(__xludf.DUMMYFUNCTION("""COMPUTED_VALUE"""),2.0)</f>
        <v>2</v>
      </c>
      <c r="F493" s="18" t="str">
        <f>IFERROR(__xludf.DUMMYFUNCTION("""COMPUTED_VALUE"""),"Not Assigned")</f>
        <v>Not Assigned</v>
      </c>
      <c r="G493" s="19">
        <f>IFERROR(__xludf.DUMMYFUNCTION("""COMPUTED_VALUE"""),45086.0)</f>
        <v>45086</v>
      </c>
      <c r="H493" s="18" t="str">
        <f>IFERROR(__xludf.DUMMYFUNCTION("""COMPUTED_VALUE"""),"Credit Card")</f>
        <v>Credit Card</v>
      </c>
      <c r="I493" s="18" t="str">
        <f>IFERROR(__xludf.DUMMYFUNCTION("""COMPUTED_VALUE"""),"Cancelled")</f>
        <v>Cancelled</v>
      </c>
      <c r="J493" s="18" t="str">
        <f>IFERROR(__xludf.DUMMYFUNCTION("""COMPUTED_VALUE"""),"High Delivery Fees")</f>
        <v>High Delivery Fees</v>
      </c>
      <c r="K493" s="18"/>
      <c r="L493" s="18">
        <f>iferror(VLOOKUP($D493,Details!$A$2:$C$11,2,false),vlookup($D493,Details!$E$2:$G$11,2,false))</f>
        <v>84</v>
      </c>
      <c r="M493" s="18" t="str">
        <f>iferror(VLOOKUP($D493,Details!$A$2:$C$11,3,false),vlookup($D493,Details!$E$2:$G$11,3,false))</f>
        <v>Fruits and Vegetables</v>
      </c>
      <c r="N493" s="18">
        <f t="shared" si="1"/>
        <v>168</v>
      </c>
      <c r="O493" s="17"/>
      <c r="P493" s="17"/>
      <c r="Q493" s="17"/>
      <c r="R493" s="17"/>
      <c r="S493" s="17"/>
      <c r="T493" s="17"/>
      <c r="U493" s="17"/>
      <c r="V493" s="17"/>
      <c r="W493" s="17"/>
      <c r="X493" s="17"/>
      <c r="Y493" s="17"/>
      <c r="Z493" s="17"/>
    </row>
    <row r="494">
      <c r="A494" s="18" t="str">
        <f>IFERROR(__xludf.DUMMYFUNCTION("""COMPUTED_VALUE"""),"ord_10485")</f>
        <v>ord_10485</v>
      </c>
      <c r="B494" s="18" t="str">
        <f>IFERROR(__xludf.DUMMYFUNCTION("""COMPUTED_VALUE"""),"Aarav Mehta")</f>
        <v>Aarav Mehta</v>
      </c>
      <c r="C494" s="18" t="str">
        <f>IFERROR(__xludf.DUMMYFUNCTION("""COMPUTED_VALUE"""),"Andheri")</f>
        <v>Andheri</v>
      </c>
      <c r="D494" s="18" t="str">
        <f>IFERROR(__xludf.DUMMYFUNCTION("""COMPUTED_VALUE"""),"Tomato")</f>
        <v>Tomato</v>
      </c>
      <c r="E494" s="18">
        <f>IFERROR(__xludf.DUMMYFUNCTION("""COMPUTED_VALUE"""),2.0)</f>
        <v>2</v>
      </c>
      <c r="F494" s="18" t="str">
        <f>IFERROR(__xludf.DUMMYFUNCTION("""COMPUTED_VALUE"""),"Shine Thomas")</f>
        <v>Shine Thomas</v>
      </c>
      <c r="G494" s="19">
        <f>IFERROR(__xludf.DUMMYFUNCTION("""COMPUTED_VALUE"""),44984.0)</f>
        <v>44984</v>
      </c>
      <c r="H494" s="18" t="str">
        <f>IFERROR(__xludf.DUMMYFUNCTION("""COMPUTED_VALUE"""),"COD")</f>
        <v>COD</v>
      </c>
      <c r="I494" s="18" t="str">
        <f>IFERROR(__xludf.DUMMYFUNCTION("""COMPUTED_VALUE"""),"Delivered")</f>
        <v>Delivered</v>
      </c>
      <c r="J494" s="18" t="str">
        <f>IFERROR(__xludf.DUMMYFUNCTION("""COMPUTED_VALUE"""),"On-time Delivery")</f>
        <v>On-time Delivery</v>
      </c>
      <c r="K494" s="18" t="str">
        <f>IFERROR(__xludf.DUMMYFUNCTION("""COMPUTED_VALUE"""),"Delivered on time")</f>
        <v>Delivered on time</v>
      </c>
      <c r="L494" s="18">
        <f>iferror(VLOOKUP($D494,Details!$A$2:$C$11,2,false),vlookup($D494,Details!$E$2:$G$11,2,false))</f>
        <v>25</v>
      </c>
      <c r="M494" s="18" t="str">
        <f>iferror(VLOOKUP($D494,Details!$A$2:$C$11,3,false),vlookup($D494,Details!$E$2:$G$11,3,false))</f>
        <v>Fruits and Vegetables</v>
      </c>
      <c r="N494" s="18">
        <f t="shared" si="1"/>
        <v>50</v>
      </c>
      <c r="O494" s="17"/>
      <c r="P494" s="17"/>
      <c r="Q494" s="17"/>
      <c r="R494" s="17"/>
      <c r="S494" s="17"/>
      <c r="T494" s="17"/>
      <c r="U494" s="17"/>
      <c r="V494" s="17"/>
      <c r="W494" s="17"/>
      <c r="X494" s="17"/>
      <c r="Y494" s="17"/>
      <c r="Z494" s="17"/>
    </row>
    <row r="495">
      <c r="A495" s="18" t="str">
        <f>IFERROR(__xludf.DUMMYFUNCTION("""COMPUTED_VALUE"""),"ord_10486")</f>
        <v>ord_10486</v>
      </c>
      <c r="B495" s="18" t="str">
        <f>IFERROR(__xludf.DUMMYFUNCTION("""COMPUTED_VALUE"""),"Pallavi Ghosh")</f>
        <v>Pallavi Ghosh</v>
      </c>
      <c r="C495" s="18" t="str">
        <f>IFERROR(__xludf.DUMMYFUNCTION("""COMPUTED_VALUE"""),"Bandra")</f>
        <v>Bandra</v>
      </c>
      <c r="D495" s="18" t="str">
        <f>IFERROR(__xludf.DUMMYFUNCTION("""COMPUTED_VALUE"""),"Veg Puff")</f>
        <v>Veg Puff</v>
      </c>
      <c r="E495" s="18">
        <f>IFERROR(__xludf.DUMMYFUNCTION("""COMPUTED_VALUE"""),4.0)</f>
        <v>4</v>
      </c>
      <c r="F495" s="18" t="str">
        <f>IFERROR(__xludf.DUMMYFUNCTION("""COMPUTED_VALUE"""),"Sita T")</f>
        <v>Sita T</v>
      </c>
      <c r="G495" s="19">
        <f>IFERROR(__xludf.DUMMYFUNCTION("""COMPUTED_VALUE"""),45278.0)</f>
        <v>45278</v>
      </c>
      <c r="H495" s="18" t="str">
        <f>IFERROR(__xludf.DUMMYFUNCTION("""COMPUTED_VALUE"""),"UPI")</f>
        <v>UPI</v>
      </c>
      <c r="I495" s="18" t="str">
        <f>IFERROR(__xludf.DUMMYFUNCTION("""COMPUTED_VALUE"""),"Delivered")</f>
        <v>Delivered</v>
      </c>
      <c r="J495" s="18" t="str">
        <f>IFERROR(__xludf.DUMMYFUNCTION("""COMPUTED_VALUE"""),"Quality of Items")</f>
        <v>Quality of Items</v>
      </c>
      <c r="K495" s="18" t="str">
        <f>IFERROR(__xludf.DUMMYFUNCTION("""COMPUTED_VALUE"""),"Perfect condition")</f>
        <v>Perfect condition</v>
      </c>
      <c r="L495" s="18">
        <f>iferror(VLOOKUP($D495,Details!$A$2:$C$11,2,false),vlookup($D495,Details!$E$2:$G$11,2,false))</f>
        <v>80</v>
      </c>
      <c r="M495" s="18" t="str">
        <f>iferror(VLOOKUP($D495,Details!$A$2:$C$11,3,false),vlookup($D495,Details!$E$2:$G$11,3,false))</f>
        <v>Snacks and Drinks</v>
      </c>
      <c r="N495" s="18">
        <f t="shared" si="1"/>
        <v>320</v>
      </c>
      <c r="O495" s="17"/>
      <c r="P495" s="17"/>
      <c r="Q495" s="17"/>
      <c r="R495" s="17"/>
      <c r="S495" s="17"/>
      <c r="T495" s="17"/>
      <c r="U495" s="17"/>
      <c r="V495" s="17"/>
      <c r="W495" s="17"/>
      <c r="X495" s="17"/>
      <c r="Y495" s="17"/>
      <c r="Z495" s="17"/>
    </row>
    <row r="496">
      <c r="A496" s="18" t="str">
        <f>IFERROR(__xludf.DUMMYFUNCTION("""COMPUTED_VALUE"""),"ord_10487")</f>
        <v>ord_10487</v>
      </c>
      <c r="B496" s="18" t="str">
        <f>IFERROR(__xludf.DUMMYFUNCTION("""COMPUTED_VALUE"""),"Mohit Malhotra")</f>
        <v>Mohit Malhotra</v>
      </c>
      <c r="C496" s="18" t="str">
        <f>IFERROR(__xludf.DUMMYFUNCTION("""COMPUTED_VALUE"""),"Lower Parel")</f>
        <v>Lower Parel</v>
      </c>
      <c r="D496" s="18" t="str">
        <f>IFERROR(__xludf.DUMMYFUNCTION("""COMPUTED_VALUE"""),"Tomato")</f>
        <v>Tomato</v>
      </c>
      <c r="E496" s="18">
        <f>IFERROR(__xludf.DUMMYFUNCTION("""COMPUTED_VALUE"""),2.0)</f>
        <v>2</v>
      </c>
      <c r="F496" s="18" t="str">
        <f>IFERROR(__xludf.DUMMYFUNCTION("""COMPUTED_VALUE"""),"Vivek Kumar")</f>
        <v>Vivek Kumar</v>
      </c>
      <c r="G496" s="19">
        <f>IFERROR(__xludf.DUMMYFUNCTION("""COMPUTED_VALUE"""),44968.0)</f>
        <v>44968</v>
      </c>
      <c r="H496" s="18" t="str">
        <f>IFERROR(__xludf.DUMMYFUNCTION("""COMPUTED_VALUE"""),"COD")</f>
        <v>COD</v>
      </c>
      <c r="I496" s="18" t="str">
        <f>IFERROR(__xludf.DUMMYFUNCTION("""COMPUTED_VALUE"""),"Delivered")</f>
        <v>Delivered</v>
      </c>
      <c r="J496" s="18" t="str">
        <f>IFERROR(__xludf.DUMMYFUNCTION("""COMPUTED_VALUE"""),"On-time Delivery")</f>
        <v>On-time Delivery</v>
      </c>
      <c r="K496" s="18" t="str">
        <f>IFERROR(__xludf.DUMMYFUNCTION("""COMPUTED_VALUE"""),"Delivered on time")</f>
        <v>Delivered on time</v>
      </c>
      <c r="L496" s="18">
        <f>iferror(VLOOKUP($D496,Details!$A$2:$C$11,2,false),vlookup($D496,Details!$E$2:$G$11,2,false))</f>
        <v>25</v>
      </c>
      <c r="M496" s="18" t="str">
        <f>iferror(VLOOKUP($D496,Details!$A$2:$C$11,3,false),vlookup($D496,Details!$E$2:$G$11,3,false))</f>
        <v>Fruits and Vegetables</v>
      </c>
      <c r="N496" s="18">
        <f t="shared" si="1"/>
        <v>50</v>
      </c>
      <c r="O496" s="17"/>
      <c r="P496" s="17"/>
      <c r="Q496" s="17"/>
      <c r="R496" s="17"/>
      <c r="S496" s="17"/>
      <c r="T496" s="17"/>
      <c r="U496" s="17"/>
      <c r="V496" s="17"/>
      <c r="W496" s="17"/>
      <c r="X496" s="17"/>
      <c r="Y496" s="17"/>
      <c r="Z496" s="17"/>
    </row>
    <row r="497">
      <c r="A497" s="18" t="str">
        <f>IFERROR(__xludf.DUMMYFUNCTION("""COMPUTED_VALUE"""),"ord_10488")</f>
        <v>ord_10488</v>
      </c>
      <c r="B497" s="18" t="str">
        <f>IFERROR(__xludf.DUMMYFUNCTION("""COMPUTED_VALUE"""),"Riya Chakraborty")</f>
        <v>Riya Chakraborty</v>
      </c>
      <c r="C497" s="18" t="str">
        <f>IFERROR(__xludf.DUMMYFUNCTION("""COMPUTED_VALUE"""),"Juhu")</f>
        <v>Juhu</v>
      </c>
      <c r="D497" s="18" t="str">
        <f>IFERROR(__xludf.DUMMYFUNCTION("""COMPUTED_VALUE"""),"Juice")</f>
        <v>Juice</v>
      </c>
      <c r="E497" s="18">
        <f>IFERROR(__xludf.DUMMYFUNCTION("""COMPUTED_VALUE"""),9.0)</f>
        <v>9</v>
      </c>
      <c r="F497" s="18" t="str">
        <f>IFERROR(__xludf.DUMMYFUNCTION("""COMPUTED_VALUE"""),"Tanvi Jain")</f>
        <v>Tanvi Jain</v>
      </c>
      <c r="G497" s="19">
        <f>IFERROR(__xludf.DUMMYFUNCTION("""COMPUTED_VALUE"""),45289.0)</f>
        <v>45289</v>
      </c>
      <c r="H497" s="18" t="str">
        <f>IFERROR(__xludf.DUMMYFUNCTION("""COMPUTED_VALUE"""),"Credit Card")</f>
        <v>Credit Card</v>
      </c>
      <c r="I497" s="18" t="str">
        <f>IFERROR(__xludf.DUMMYFUNCTION("""COMPUTED_VALUE"""),"Delivered")</f>
        <v>Delivered</v>
      </c>
      <c r="J497" s="18" t="str">
        <f>IFERROR(__xludf.DUMMYFUNCTION("""COMPUTED_VALUE"""),"Quality of Items")</f>
        <v>Quality of Items</v>
      </c>
      <c r="K497" s="18" t="str">
        <f>IFERROR(__xludf.DUMMYFUNCTION("""COMPUTED_VALUE"""),"Perfect condition")</f>
        <v>Perfect condition</v>
      </c>
      <c r="L497" s="18">
        <f>iferror(VLOOKUP($D497,Details!$A$2:$C$11,2,false),vlookup($D497,Details!$E$2:$G$11,2,false))</f>
        <v>90</v>
      </c>
      <c r="M497" s="18" t="str">
        <f>iferror(VLOOKUP($D497,Details!$A$2:$C$11,3,false),vlookup($D497,Details!$E$2:$G$11,3,false))</f>
        <v>Snacks and Drinks</v>
      </c>
      <c r="N497" s="18">
        <f t="shared" si="1"/>
        <v>810</v>
      </c>
      <c r="O497" s="17"/>
      <c r="P497" s="17"/>
      <c r="Q497" s="17"/>
      <c r="R497" s="17"/>
      <c r="S497" s="17"/>
      <c r="T497" s="17"/>
      <c r="U497" s="17"/>
      <c r="V497" s="17"/>
      <c r="W497" s="17"/>
      <c r="X497" s="17"/>
      <c r="Y497" s="17"/>
      <c r="Z497" s="17"/>
    </row>
    <row r="498">
      <c r="A498" s="18" t="str">
        <f>IFERROR(__xludf.DUMMYFUNCTION("""COMPUTED_VALUE"""),"ord_10489")</f>
        <v>ord_10489</v>
      </c>
      <c r="B498" s="18" t="str">
        <f>IFERROR(__xludf.DUMMYFUNCTION("""COMPUTED_VALUE"""),"Omkar Mishra")</f>
        <v>Omkar Mishra</v>
      </c>
      <c r="C498" s="18" t="str">
        <f>IFERROR(__xludf.DUMMYFUNCTION("""COMPUTED_VALUE"""),"Powai")</f>
        <v>Powai</v>
      </c>
      <c r="D498" s="18" t="str">
        <f>IFERROR(__xludf.DUMMYFUNCTION("""COMPUTED_VALUE"""),"Icecream")</f>
        <v>Icecream</v>
      </c>
      <c r="E498" s="18">
        <f>IFERROR(__xludf.DUMMYFUNCTION("""COMPUTED_VALUE"""),3.0)</f>
        <v>3</v>
      </c>
      <c r="F498" s="18" t="str">
        <f>IFERROR(__xludf.DUMMYFUNCTION("""COMPUTED_VALUE"""),"Sandeep Kumar")</f>
        <v>Sandeep Kumar</v>
      </c>
      <c r="G498" s="19">
        <f>IFERROR(__xludf.DUMMYFUNCTION("""COMPUTED_VALUE"""),44975.0)</f>
        <v>44975</v>
      </c>
      <c r="H498" s="18" t="str">
        <f>IFERROR(__xludf.DUMMYFUNCTION("""COMPUTED_VALUE"""),"UPI")</f>
        <v>UPI</v>
      </c>
      <c r="I498" s="18" t="str">
        <f>IFERROR(__xludf.DUMMYFUNCTION("""COMPUTED_VALUE"""),"Delivered")</f>
        <v>Delivered</v>
      </c>
      <c r="J498" s="18" t="str">
        <f>IFERROR(__xludf.DUMMYFUNCTION("""COMPUTED_VALUE"""),"Packaging")</f>
        <v>Packaging</v>
      </c>
      <c r="K498" s="18" t="str">
        <f>IFERROR(__xludf.DUMMYFUNCTION("""COMPUTED_VALUE"""),"Secure and intact")</f>
        <v>Secure and intact</v>
      </c>
      <c r="L498" s="18">
        <f>iferror(VLOOKUP($D498,Details!$A$2:$C$11,2,false),vlookup($D498,Details!$E$2:$G$11,2,false))</f>
        <v>90</v>
      </c>
      <c r="M498" s="18" t="str">
        <f>iferror(VLOOKUP($D498,Details!$A$2:$C$11,3,false),vlookup($D498,Details!$E$2:$G$11,3,false))</f>
        <v>Snacks and Drinks</v>
      </c>
      <c r="N498" s="18">
        <f t="shared" si="1"/>
        <v>270</v>
      </c>
      <c r="O498" s="17"/>
      <c r="P498" s="17"/>
      <c r="Q498" s="17"/>
      <c r="R498" s="17"/>
      <c r="S498" s="17"/>
      <c r="T498" s="17"/>
      <c r="U498" s="17"/>
      <c r="V498" s="17"/>
      <c r="W498" s="17"/>
      <c r="X498" s="17"/>
      <c r="Y498" s="17"/>
      <c r="Z498" s="17"/>
    </row>
    <row r="499">
      <c r="A499" s="18" t="str">
        <f>IFERROR(__xludf.DUMMYFUNCTION("""COMPUTED_VALUE"""),"ord_10490")</f>
        <v>ord_10490</v>
      </c>
      <c r="B499" s="18" t="str">
        <f>IFERROR(__xludf.DUMMYFUNCTION("""COMPUTED_VALUE"""),"Pallavi Ghosh")</f>
        <v>Pallavi Ghosh</v>
      </c>
      <c r="C499" s="18" t="str">
        <f>IFERROR(__xludf.DUMMYFUNCTION("""COMPUTED_VALUE"""),"Bandra")</f>
        <v>Bandra</v>
      </c>
      <c r="D499" s="18" t="str">
        <f>IFERROR(__xludf.DUMMYFUNCTION("""COMPUTED_VALUE"""),"Juice")</f>
        <v>Juice</v>
      </c>
      <c r="E499" s="18">
        <f>IFERROR(__xludf.DUMMYFUNCTION("""COMPUTED_VALUE"""),2.0)</f>
        <v>2</v>
      </c>
      <c r="F499" s="18" t="str">
        <f>IFERROR(__xludf.DUMMYFUNCTION("""COMPUTED_VALUE"""),"Priya Joshi")</f>
        <v>Priya Joshi</v>
      </c>
      <c r="G499" s="19">
        <f>IFERROR(__xludf.DUMMYFUNCTION("""COMPUTED_VALUE"""),45171.0)</f>
        <v>45171</v>
      </c>
      <c r="H499" s="18" t="str">
        <f>IFERROR(__xludf.DUMMYFUNCTION("""COMPUTED_VALUE"""),"Credit Card")</f>
        <v>Credit Card</v>
      </c>
      <c r="I499" s="18" t="str">
        <f>IFERROR(__xludf.DUMMYFUNCTION("""COMPUTED_VALUE"""),"Delivered")</f>
        <v>Delivered</v>
      </c>
      <c r="J499" s="18" t="str">
        <f>IFERROR(__xludf.DUMMYFUNCTION("""COMPUTED_VALUE"""),"Satisfied with the Delivery")</f>
        <v>Satisfied with the Delivery</v>
      </c>
      <c r="K499" s="18" t="str">
        <f>IFERROR(__xludf.DUMMYFUNCTION("""COMPUTED_VALUE"""),"Timely and quality")</f>
        <v>Timely and quality</v>
      </c>
      <c r="L499" s="18">
        <f>iferror(VLOOKUP($D499,Details!$A$2:$C$11,2,false),vlookup($D499,Details!$E$2:$G$11,2,false))</f>
        <v>90</v>
      </c>
      <c r="M499" s="18" t="str">
        <f>iferror(VLOOKUP($D499,Details!$A$2:$C$11,3,false),vlookup($D499,Details!$E$2:$G$11,3,false))</f>
        <v>Snacks and Drinks</v>
      </c>
      <c r="N499" s="18">
        <f t="shared" si="1"/>
        <v>180</v>
      </c>
      <c r="O499" s="17"/>
      <c r="P499" s="17"/>
      <c r="Q499" s="17"/>
      <c r="R499" s="17"/>
      <c r="S499" s="17"/>
      <c r="T499" s="17"/>
      <c r="U499" s="17"/>
      <c r="V499" s="17"/>
      <c r="W499" s="17"/>
      <c r="X499" s="17"/>
      <c r="Y499" s="17"/>
      <c r="Z499" s="17"/>
    </row>
    <row r="500">
      <c r="A500" s="18" t="str">
        <f>IFERROR(__xludf.DUMMYFUNCTION("""COMPUTED_VALUE"""),"ord_10491")</f>
        <v>ord_10491</v>
      </c>
      <c r="B500" s="18" t="str">
        <f>IFERROR(__xludf.DUMMYFUNCTION("""COMPUTED_VALUE"""),"Siya Reddy")</f>
        <v>Siya Reddy</v>
      </c>
      <c r="C500" s="18" t="str">
        <f>IFERROR(__xludf.DUMMYFUNCTION("""COMPUTED_VALUE"""),"Juhu")</f>
        <v>Juhu</v>
      </c>
      <c r="D500" s="18" t="str">
        <f>IFERROR(__xludf.DUMMYFUNCTION("""COMPUTED_VALUE"""),"Rasmalai")</f>
        <v>Rasmalai</v>
      </c>
      <c r="E500" s="18">
        <f>IFERROR(__xludf.DUMMYFUNCTION("""COMPUTED_VALUE"""),1.0)</f>
        <v>1</v>
      </c>
      <c r="F500" s="18" t="str">
        <f>IFERROR(__xludf.DUMMYFUNCTION("""COMPUTED_VALUE"""),"Not Assigned")</f>
        <v>Not Assigned</v>
      </c>
      <c r="G500" s="19">
        <f>IFERROR(__xludf.DUMMYFUNCTION("""COMPUTED_VALUE"""),45090.0)</f>
        <v>45090</v>
      </c>
      <c r="H500" s="18" t="str">
        <f>IFERROR(__xludf.DUMMYFUNCTION("""COMPUTED_VALUE"""),"Online Payment")</f>
        <v>Online Payment</v>
      </c>
      <c r="I500" s="18" t="str">
        <f>IFERROR(__xludf.DUMMYFUNCTION("""COMPUTED_VALUE"""),"Cancelled")</f>
        <v>Cancelled</v>
      </c>
      <c r="J500" s="18" t="str">
        <f>IFERROR(__xludf.DUMMYFUNCTION("""COMPUTED_VALUE"""),"App Glitches")</f>
        <v>App Glitches</v>
      </c>
      <c r="K500" s="18" t="str">
        <f>IFERROR(__xludf.DUMMYFUNCTION("""COMPUTED_VALUE"""),"Slow Loading Time")</f>
        <v>Slow Loading Time</v>
      </c>
      <c r="L500" s="18">
        <f>iferror(VLOOKUP($D500,Details!$A$2:$C$11,2,false),vlookup($D500,Details!$E$2:$G$11,2,false))</f>
        <v>110</v>
      </c>
      <c r="M500" s="18" t="str">
        <f>iferror(VLOOKUP($D500,Details!$A$2:$C$11,3,false),vlookup($D500,Details!$E$2:$G$11,3,false))</f>
        <v>Snacks and Drinks</v>
      </c>
      <c r="N500" s="18">
        <f t="shared" si="1"/>
        <v>110</v>
      </c>
      <c r="O500" s="17"/>
      <c r="P500" s="17"/>
      <c r="Q500" s="17"/>
      <c r="R500" s="17"/>
      <c r="S500" s="17"/>
      <c r="T500" s="17"/>
      <c r="U500" s="17"/>
      <c r="V500" s="17"/>
      <c r="W500" s="17"/>
      <c r="X500" s="17"/>
      <c r="Y500" s="17"/>
      <c r="Z500" s="17"/>
    </row>
    <row r="501">
      <c r="A501" s="18" t="str">
        <f>IFERROR(__xludf.DUMMYFUNCTION("""COMPUTED_VALUE"""),"ord_10492")</f>
        <v>ord_10492</v>
      </c>
      <c r="B501" s="18" t="str">
        <f>IFERROR(__xludf.DUMMYFUNCTION("""COMPUTED_VALUE"""),"Mehul Thakkar")</f>
        <v>Mehul Thakkar</v>
      </c>
      <c r="C501" s="18" t="str">
        <f>IFERROR(__xludf.DUMMYFUNCTION("""COMPUTED_VALUE"""),"Malad")</f>
        <v>Malad</v>
      </c>
      <c r="D501" s="18" t="str">
        <f>IFERROR(__xludf.DUMMYFUNCTION("""COMPUTED_VALUE"""),"Banana")</f>
        <v>Banana</v>
      </c>
      <c r="E501" s="18">
        <f>IFERROR(__xludf.DUMMYFUNCTION("""COMPUTED_VALUE"""),1.0)</f>
        <v>1</v>
      </c>
      <c r="F501" s="18" t="str">
        <f>IFERROR(__xludf.DUMMYFUNCTION("""COMPUTED_VALUE"""),"Neha Shah")</f>
        <v>Neha Shah</v>
      </c>
      <c r="G501" s="19">
        <f>IFERROR(__xludf.DUMMYFUNCTION("""COMPUTED_VALUE"""),44969.0)</f>
        <v>44969</v>
      </c>
      <c r="H501" s="18" t="str">
        <f>IFERROR(__xludf.DUMMYFUNCTION("""COMPUTED_VALUE"""),"Credit Card")</f>
        <v>Credit Card</v>
      </c>
      <c r="I501" s="18" t="str">
        <f>IFERROR(__xludf.DUMMYFUNCTION("""COMPUTED_VALUE"""),"Cancelled")</f>
        <v>Cancelled</v>
      </c>
      <c r="J501" s="18" t="str">
        <f>IFERROR(__xludf.DUMMYFUNCTION("""COMPUTED_VALUE"""),"Delayed Delivery")</f>
        <v>Delayed Delivery</v>
      </c>
      <c r="K501" s="18" t="str">
        <f>IFERROR(__xludf.DUMMYFUNCTION("""COMPUTED_VALUE"""),"Bad Weather Conditions")</f>
        <v>Bad Weather Conditions</v>
      </c>
      <c r="L501" s="18">
        <f>iferror(VLOOKUP($D501,Details!$A$2:$C$11,2,false),vlookup($D501,Details!$E$2:$G$11,2,false))</f>
        <v>80</v>
      </c>
      <c r="M501" s="18" t="str">
        <f>iferror(VLOOKUP($D501,Details!$A$2:$C$11,3,false),vlookup($D501,Details!$E$2:$G$11,3,false))</f>
        <v>Fruits and Vegetables</v>
      </c>
      <c r="N501" s="18">
        <f t="shared" si="1"/>
        <v>80</v>
      </c>
      <c r="O501" s="17"/>
      <c r="P501" s="17"/>
      <c r="Q501" s="17"/>
      <c r="R501" s="17"/>
      <c r="S501" s="17"/>
      <c r="T501" s="17"/>
      <c r="U501" s="17"/>
      <c r="V501" s="17"/>
      <c r="W501" s="17"/>
      <c r="X501" s="17"/>
      <c r="Y501" s="17"/>
      <c r="Z501" s="17"/>
    </row>
    <row r="502">
      <c r="A502" s="18" t="str">
        <f>IFERROR(__xludf.DUMMYFUNCTION("""COMPUTED_VALUE"""),"ord_10493")</f>
        <v>ord_10493</v>
      </c>
      <c r="B502" s="18" t="str">
        <f>IFERROR(__xludf.DUMMYFUNCTION("""COMPUTED_VALUE"""),"Siya Reddy")</f>
        <v>Siya Reddy</v>
      </c>
      <c r="C502" s="18" t="str">
        <f>IFERROR(__xludf.DUMMYFUNCTION("""COMPUTED_VALUE"""),"Juhu")</f>
        <v>Juhu</v>
      </c>
      <c r="D502" s="18" t="str">
        <f>IFERROR(__xludf.DUMMYFUNCTION("""COMPUTED_VALUE"""),"Chicken Puff")</f>
        <v>Chicken Puff</v>
      </c>
      <c r="E502" s="18">
        <f>IFERROR(__xludf.DUMMYFUNCTION("""COMPUTED_VALUE"""),1.0)</f>
        <v>1</v>
      </c>
      <c r="F502" s="18" t="str">
        <f>IFERROR(__xludf.DUMMYFUNCTION("""COMPUTED_VALUE"""),"Not Assigned")</f>
        <v>Not Assigned</v>
      </c>
      <c r="G502" s="19">
        <f>IFERROR(__xludf.DUMMYFUNCTION("""COMPUTED_VALUE"""),45120.0)</f>
        <v>45120</v>
      </c>
      <c r="H502" s="18" t="str">
        <f>IFERROR(__xludf.DUMMYFUNCTION("""COMPUTED_VALUE"""),"UPI")</f>
        <v>UPI</v>
      </c>
      <c r="I502" s="18" t="str">
        <f>IFERROR(__xludf.DUMMYFUNCTION("""COMPUTED_VALUE"""),"Cancelled")</f>
        <v>Cancelled</v>
      </c>
      <c r="J502" s="18" t="str">
        <f>IFERROR(__xludf.DUMMYFUNCTION("""COMPUTED_VALUE"""),"App Glitches")</f>
        <v>App Glitches</v>
      </c>
      <c r="K502" s="18" t="str">
        <f>IFERROR(__xludf.DUMMYFUNCTION("""COMPUTED_VALUE"""),"Slow Loading Time")</f>
        <v>Slow Loading Time</v>
      </c>
      <c r="L502" s="18">
        <f>iferror(VLOOKUP($D502,Details!$A$2:$C$11,2,false),vlookup($D502,Details!$E$2:$G$11,2,false))</f>
        <v>90</v>
      </c>
      <c r="M502" s="18" t="str">
        <f>iferror(VLOOKUP($D502,Details!$A$2:$C$11,3,false),vlookup($D502,Details!$E$2:$G$11,3,false))</f>
        <v>Snacks and Drinks</v>
      </c>
      <c r="N502" s="18">
        <f t="shared" si="1"/>
        <v>90</v>
      </c>
      <c r="O502" s="17"/>
      <c r="P502" s="17"/>
      <c r="Q502" s="17"/>
      <c r="R502" s="17"/>
      <c r="S502" s="17"/>
      <c r="T502" s="17"/>
      <c r="U502" s="17"/>
      <c r="V502" s="17"/>
      <c r="W502" s="17"/>
      <c r="X502" s="17"/>
      <c r="Y502" s="17"/>
      <c r="Z502" s="17"/>
    </row>
    <row r="503">
      <c r="A503" s="18" t="str">
        <f>IFERROR(__xludf.DUMMYFUNCTION("""COMPUTED_VALUE"""),"ord_10494")</f>
        <v>ord_10494</v>
      </c>
      <c r="B503" s="18" t="str">
        <f>IFERROR(__xludf.DUMMYFUNCTION("""COMPUTED_VALUE"""),"Omkar Mishra")</f>
        <v>Omkar Mishra</v>
      </c>
      <c r="C503" s="18" t="str">
        <f>IFERROR(__xludf.DUMMYFUNCTION("""COMPUTED_VALUE"""),"Powai")</f>
        <v>Powai</v>
      </c>
      <c r="D503" s="18" t="str">
        <f>IFERROR(__xludf.DUMMYFUNCTION("""COMPUTED_VALUE"""),"Cucumber")</f>
        <v>Cucumber</v>
      </c>
      <c r="E503" s="18">
        <f>IFERROR(__xludf.DUMMYFUNCTION("""COMPUTED_VALUE"""),2.0)</f>
        <v>2</v>
      </c>
      <c r="F503" s="18" t="str">
        <f>IFERROR(__xludf.DUMMYFUNCTION("""COMPUTED_VALUE"""),"Sandeep Kumar")</f>
        <v>Sandeep Kumar</v>
      </c>
      <c r="G503" s="19">
        <f>IFERROR(__xludf.DUMMYFUNCTION("""COMPUTED_VALUE"""),45092.0)</f>
        <v>45092</v>
      </c>
      <c r="H503" s="18" t="str">
        <f>IFERROR(__xludf.DUMMYFUNCTION("""COMPUTED_VALUE"""),"Online Payment")</f>
        <v>Online Payment</v>
      </c>
      <c r="I503" s="18" t="str">
        <f>IFERROR(__xludf.DUMMYFUNCTION("""COMPUTED_VALUE"""),"Delivered")</f>
        <v>Delivered</v>
      </c>
      <c r="J503" s="18" t="str">
        <f>IFERROR(__xludf.DUMMYFUNCTION("""COMPUTED_VALUE"""),"Customer Service")</f>
        <v>Customer Service</v>
      </c>
      <c r="K503" s="18" t="str">
        <f>IFERROR(__xludf.DUMMYFUNCTION("""COMPUTED_VALUE"""),"Seamless and easy")</f>
        <v>Seamless and easy</v>
      </c>
      <c r="L503" s="18">
        <f>iferror(VLOOKUP($D503,Details!$A$2:$C$11,2,false),vlookup($D503,Details!$E$2:$G$11,2,false))</f>
        <v>30</v>
      </c>
      <c r="M503" s="18" t="str">
        <f>iferror(VLOOKUP($D503,Details!$A$2:$C$11,3,false),vlookup($D503,Details!$E$2:$G$11,3,false))</f>
        <v>Fruits and Vegetables</v>
      </c>
      <c r="N503" s="18">
        <f t="shared" si="1"/>
        <v>60</v>
      </c>
      <c r="O503" s="17"/>
      <c r="P503" s="17"/>
      <c r="Q503" s="17"/>
      <c r="R503" s="17"/>
      <c r="S503" s="17"/>
      <c r="T503" s="17"/>
      <c r="U503" s="17"/>
      <c r="V503" s="17"/>
      <c r="W503" s="17"/>
      <c r="X503" s="17"/>
      <c r="Y503" s="17"/>
      <c r="Z503" s="17"/>
    </row>
    <row r="504">
      <c r="A504" s="18" t="str">
        <f>IFERROR(__xludf.DUMMYFUNCTION("""COMPUTED_VALUE"""),"ord_10495")</f>
        <v>ord_10495</v>
      </c>
      <c r="B504" s="18" t="str">
        <f>IFERROR(__xludf.DUMMYFUNCTION("""COMPUTED_VALUE"""),"Tanishq Bansal")</f>
        <v>Tanishq Bansal</v>
      </c>
      <c r="C504" s="18" t="str">
        <f>IFERROR(__xludf.DUMMYFUNCTION("""COMPUTED_VALUE"""),"Bandra")</f>
        <v>Bandra</v>
      </c>
      <c r="D504" s="18" t="str">
        <f>IFERROR(__xludf.DUMMYFUNCTION("""COMPUTED_VALUE"""),"Cold Coffee")</f>
        <v>Cold Coffee</v>
      </c>
      <c r="E504" s="18">
        <f>IFERROR(__xludf.DUMMYFUNCTION("""COMPUTED_VALUE"""),5.0)</f>
        <v>5</v>
      </c>
      <c r="F504" s="18" t="str">
        <f>IFERROR(__xludf.DUMMYFUNCTION("""COMPUTED_VALUE"""),"Priya Joshi")</f>
        <v>Priya Joshi</v>
      </c>
      <c r="G504" s="19">
        <f>IFERROR(__xludf.DUMMYFUNCTION("""COMPUTED_VALUE"""),45177.0)</f>
        <v>45177</v>
      </c>
      <c r="H504" s="18" t="str">
        <f>IFERROR(__xludf.DUMMYFUNCTION("""COMPUTED_VALUE"""),"Credit Card")</f>
        <v>Credit Card</v>
      </c>
      <c r="I504" s="18" t="str">
        <f>IFERROR(__xludf.DUMMYFUNCTION("""COMPUTED_VALUE"""),"Delivered")</f>
        <v>Delivered</v>
      </c>
      <c r="J504" s="18" t="str">
        <f>IFERROR(__xludf.DUMMYFUNCTION("""COMPUTED_VALUE"""),"Delivery Experience")</f>
        <v>Delivery Experience</v>
      </c>
      <c r="K504" s="18" t="str">
        <f>IFERROR(__xludf.DUMMYFUNCTION("""COMPUTED_VALUE"""),"Quick and professional")</f>
        <v>Quick and professional</v>
      </c>
      <c r="L504" s="18">
        <f>iferror(VLOOKUP($D504,Details!$A$2:$C$11,2,false),vlookup($D504,Details!$E$2:$G$11,2,false))</f>
        <v>270</v>
      </c>
      <c r="M504" s="18" t="str">
        <f>iferror(VLOOKUP($D504,Details!$A$2:$C$11,3,false),vlookup($D504,Details!$E$2:$G$11,3,false))</f>
        <v>Snacks and Drinks</v>
      </c>
      <c r="N504" s="18">
        <f t="shared" si="1"/>
        <v>1350</v>
      </c>
      <c r="O504" s="17"/>
      <c r="P504" s="17"/>
      <c r="Q504" s="17"/>
      <c r="R504" s="17"/>
      <c r="S504" s="17"/>
      <c r="T504" s="17"/>
      <c r="U504" s="17"/>
      <c r="V504" s="17"/>
      <c r="W504" s="17"/>
      <c r="X504" s="17"/>
      <c r="Y504" s="17"/>
      <c r="Z504" s="17"/>
    </row>
    <row r="505">
      <c r="A505" s="18" t="str">
        <f>IFERROR(__xludf.DUMMYFUNCTION("""COMPUTED_VALUE"""),"ord_10496")</f>
        <v>ord_10496</v>
      </c>
      <c r="B505" s="18" t="str">
        <f>IFERROR(__xludf.DUMMYFUNCTION("""COMPUTED_VALUE"""),"Anaya Rao")</f>
        <v>Anaya Rao</v>
      </c>
      <c r="C505" s="18" t="str">
        <f>IFERROR(__xludf.DUMMYFUNCTION("""COMPUTED_VALUE"""),"Malad")</f>
        <v>Malad</v>
      </c>
      <c r="D505" s="18" t="str">
        <f>IFERROR(__xludf.DUMMYFUNCTION("""COMPUTED_VALUE"""),"Potato")</f>
        <v>Potato</v>
      </c>
      <c r="E505" s="18">
        <f>IFERROR(__xludf.DUMMYFUNCTION("""COMPUTED_VALUE"""),1.0)</f>
        <v>1</v>
      </c>
      <c r="F505" s="18" t="str">
        <f>IFERROR(__xludf.DUMMYFUNCTION("""COMPUTED_VALUE"""),"Neha Shah")</f>
        <v>Neha Shah</v>
      </c>
      <c r="G505" s="19">
        <f>IFERROR(__xludf.DUMMYFUNCTION("""COMPUTED_VALUE"""),45056.0)</f>
        <v>45056</v>
      </c>
      <c r="H505" s="18" t="str">
        <f>IFERROR(__xludf.DUMMYFUNCTION("""COMPUTED_VALUE"""),"COD")</f>
        <v>COD</v>
      </c>
      <c r="I505" s="18" t="str">
        <f>IFERROR(__xludf.DUMMYFUNCTION("""COMPUTED_VALUE"""),"Delivered")</f>
        <v>Delivered</v>
      </c>
      <c r="J505" s="18" t="str">
        <f>IFERROR(__xludf.DUMMYFUNCTION("""COMPUTED_VALUE"""),"Convenience")</f>
        <v>Convenience</v>
      </c>
      <c r="K505" s="18" t="str">
        <f>IFERROR(__xludf.DUMMYFUNCTION("""COMPUTED_VALUE"""),"Easy tracking")</f>
        <v>Easy tracking</v>
      </c>
      <c r="L505" s="18">
        <f>iferror(VLOOKUP($D505,Details!$A$2:$C$11,2,false),vlookup($D505,Details!$E$2:$G$11,2,false))</f>
        <v>55</v>
      </c>
      <c r="M505" s="18" t="str">
        <f>iferror(VLOOKUP($D505,Details!$A$2:$C$11,3,false),vlookup($D505,Details!$E$2:$G$11,3,false))</f>
        <v>Fruits and Vegetables</v>
      </c>
      <c r="N505" s="18">
        <f t="shared" si="1"/>
        <v>55</v>
      </c>
      <c r="O505" s="17"/>
      <c r="P505" s="17"/>
      <c r="Q505" s="17"/>
      <c r="R505" s="17"/>
      <c r="S505" s="17"/>
      <c r="T505" s="17"/>
      <c r="U505" s="17"/>
      <c r="V505" s="17"/>
      <c r="W505" s="17"/>
      <c r="X505" s="17"/>
      <c r="Y505" s="17"/>
      <c r="Z505" s="17"/>
    </row>
    <row r="506">
      <c r="A506" s="18" t="str">
        <f>IFERROR(__xludf.DUMMYFUNCTION("""COMPUTED_VALUE"""),"ord_10497")</f>
        <v>ord_10497</v>
      </c>
      <c r="B506" s="18" t="str">
        <f>IFERROR(__xludf.DUMMYFUNCTION("""COMPUTED_VALUE"""),"Anaya Rao")</f>
        <v>Anaya Rao</v>
      </c>
      <c r="C506" s="18" t="str">
        <f>IFERROR(__xludf.DUMMYFUNCTION("""COMPUTED_VALUE"""),"Malad")</f>
        <v>Malad</v>
      </c>
      <c r="D506" s="18" t="str">
        <f>IFERROR(__xludf.DUMMYFUNCTION("""COMPUTED_VALUE"""),"Icecream")</f>
        <v>Icecream</v>
      </c>
      <c r="E506" s="18">
        <f>IFERROR(__xludf.DUMMYFUNCTION("""COMPUTED_VALUE"""),2.0)</f>
        <v>2</v>
      </c>
      <c r="F506" s="18" t="str">
        <f>IFERROR(__xludf.DUMMYFUNCTION("""COMPUTED_VALUE"""),"Neha Shah")</f>
        <v>Neha Shah</v>
      </c>
      <c r="G506" s="19">
        <f>IFERROR(__xludf.DUMMYFUNCTION("""COMPUTED_VALUE"""),44959.0)</f>
        <v>44959</v>
      </c>
      <c r="H506" s="18" t="str">
        <f>IFERROR(__xludf.DUMMYFUNCTION("""COMPUTED_VALUE"""),"Credit Card")</f>
        <v>Credit Card</v>
      </c>
      <c r="I506" s="18" t="str">
        <f>IFERROR(__xludf.DUMMYFUNCTION("""COMPUTED_VALUE"""),"Delivered")</f>
        <v>Delivered</v>
      </c>
      <c r="J506" s="18" t="str">
        <f>IFERROR(__xludf.DUMMYFUNCTION("""COMPUTED_VALUE"""),"Overall Satisfaction")</f>
        <v>Overall Satisfaction</v>
      </c>
      <c r="K506" s="18" t="str">
        <f>IFERROR(__xludf.DUMMYFUNCTION("""COMPUTED_VALUE"""),"Great service will order again")</f>
        <v>Great service will order again</v>
      </c>
      <c r="L506" s="18">
        <f>iferror(VLOOKUP($D506,Details!$A$2:$C$11,2,false),vlookup($D506,Details!$E$2:$G$11,2,false))</f>
        <v>90</v>
      </c>
      <c r="M506" s="18" t="str">
        <f>iferror(VLOOKUP($D506,Details!$A$2:$C$11,3,false),vlookup($D506,Details!$E$2:$G$11,3,false))</f>
        <v>Snacks and Drinks</v>
      </c>
      <c r="N506" s="18">
        <f t="shared" si="1"/>
        <v>180</v>
      </c>
      <c r="O506" s="17"/>
      <c r="P506" s="17"/>
      <c r="Q506" s="17"/>
      <c r="R506" s="17"/>
      <c r="S506" s="17"/>
      <c r="T506" s="17"/>
      <c r="U506" s="17"/>
      <c r="V506" s="17"/>
      <c r="W506" s="17"/>
      <c r="X506" s="17"/>
      <c r="Y506" s="17"/>
      <c r="Z506" s="17"/>
    </row>
    <row r="507">
      <c r="A507" s="18" t="str">
        <f>IFERROR(__xludf.DUMMYFUNCTION("""COMPUTED_VALUE"""),"ord_10498")</f>
        <v>ord_10498</v>
      </c>
      <c r="B507" s="18" t="str">
        <f>IFERROR(__xludf.DUMMYFUNCTION("""COMPUTED_VALUE"""),"Tanishq Bansal")</f>
        <v>Tanishq Bansal</v>
      </c>
      <c r="C507" s="18" t="str">
        <f>IFERROR(__xludf.DUMMYFUNCTION("""COMPUTED_VALUE"""),"Bandra")</f>
        <v>Bandra</v>
      </c>
      <c r="D507" s="18" t="str">
        <f>IFERROR(__xludf.DUMMYFUNCTION("""COMPUTED_VALUE"""),"Cold Coffee")</f>
        <v>Cold Coffee</v>
      </c>
      <c r="E507" s="18">
        <f>IFERROR(__xludf.DUMMYFUNCTION("""COMPUTED_VALUE"""),4.0)</f>
        <v>4</v>
      </c>
      <c r="F507" s="18" t="str">
        <f>IFERROR(__xludf.DUMMYFUNCTION("""COMPUTED_VALUE"""),"Priya Joshi")</f>
        <v>Priya Joshi</v>
      </c>
      <c r="G507" s="19">
        <f>IFERROR(__xludf.DUMMYFUNCTION("""COMPUTED_VALUE"""),45183.0)</f>
        <v>45183</v>
      </c>
      <c r="H507" s="18" t="str">
        <f>IFERROR(__xludf.DUMMYFUNCTION("""COMPUTED_VALUE"""),"Credit Card")</f>
        <v>Credit Card</v>
      </c>
      <c r="I507" s="18" t="str">
        <f>IFERROR(__xludf.DUMMYFUNCTION("""COMPUTED_VALUE"""),"Delivered")</f>
        <v>Delivered</v>
      </c>
      <c r="J507" s="18" t="str">
        <f>IFERROR(__xludf.DUMMYFUNCTION("""COMPUTED_VALUE"""),"On-time Delivery")</f>
        <v>On-time Delivery</v>
      </c>
      <c r="K507" s="18" t="str">
        <f>IFERROR(__xludf.DUMMYFUNCTION("""COMPUTED_VALUE"""),"Delivered on time")</f>
        <v>Delivered on time</v>
      </c>
      <c r="L507" s="18">
        <f>iferror(VLOOKUP($D507,Details!$A$2:$C$11,2,false),vlookup($D507,Details!$E$2:$G$11,2,false))</f>
        <v>270</v>
      </c>
      <c r="M507" s="18" t="str">
        <f>iferror(VLOOKUP($D507,Details!$A$2:$C$11,3,false),vlookup($D507,Details!$E$2:$G$11,3,false))</f>
        <v>Snacks and Drinks</v>
      </c>
      <c r="N507" s="18">
        <f t="shared" si="1"/>
        <v>1080</v>
      </c>
      <c r="O507" s="17"/>
      <c r="P507" s="17"/>
      <c r="Q507" s="17"/>
      <c r="R507" s="17"/>
      <c r="S507" s="17"/>
      <c r="T507" s="17"/>
      <c r="U507" s="17"/>
      <c r="V507" s="17"/>
      <c r="W507" s="17"/>
      <c r="X507" s="17"/>
      <c r="Y507" s="17"/>
      <c r="Z507" s="17"/>
    </row>
    <row r="508">
      <c r="A508" s="18" t="str">
        <f>IFERROR(__xludf.DUMMYFUNCTION("""COMPUTED_VALUE"""),"ord_10499")</f>
        <v>ord_10499</v>
      </c>
      <c r="B508" s="18" t="str">
        <f>IFERROR(__xludf.DUMMYFUNCTION("""COMPUTED_VALUE"""),"Ishaan Chaturvedi")</f>
        <v>Ishaan Chaturvedi</v>
      </c>
      <c r="C508" s="18" t="str">
        <f>IFERROR(__xludf.DUMMYFUNCTION("""COMPUTED_VALUE"""),"Bandra")</f>
        <v>Bandra</v>
      </c>
      <c r="D508" s="18" t="str">
        <f>IFERROR(__xludf.DUMMYFUNCTION("""COMPUTED_VALUE"""),"Chocolate Mousse")</f>
        <v>Chocolate Mousse</v>
      </c>
      <c r="E508" s="18">
        <f>IFERROR(__xludf.DUMMYFUNCTION("""COMPUTED_VALUE"""),1.0)</f>
        <v>1</v>
      </c>
      <c r="F508" s="18" t="str">
        <f>IFERROR(__xludf.DUMMYFUNCTION("""COMPUTED_VALUE"""),"Priya Joshi")</f>
        <v>Priya Joshi</v>
      </c>
      <c r="G508" s="19">
        <f>IFERROR(__xludf.DUMMYFUNCTION("""COMPUTED_VALUE"""),45277.0)</f>
        <v>45277</v>
      </c>
      <c r="H508" s="18" t="str">
        <f>IFERROR(__xludf.DUMMYFUNCTION("""COMPUTED_VALUE"""),"COD")</f>
        <v>COD</v>
      </c>
      <c r="I508" s="18" t="str">
        <f>IFERROR(__xludf.DUMMYFUNCTION("""COMPUTED_VALUE"""),"Delivered")</f>
        <v>Delivered</v>
      </c>
      <c r="J508" s="18" t="str">
        <f>IFERROR(__xludf.DUMMYFUNCTION("""COMPUTED_VALUE"""),"Quality of Items")</f>
        <v>Quality of Items</v>
      </c>
      <c r="K508" s="18" t="str">
        <f>IFERROR(__xludf.DUMMYFUNCTION("""COMPUTED_VALUE"""),"Perfect condition")</f>
        <v>Perfect condition</v>
      </c>
      <c r="L508" s="18">
        <f>iferror(VLOOKUP($D508,Details!$A$2:$C$11,2,false),vlookup($D508,Details!$E$2:$G$11,2,false))</f>
        <v>145</v>
      </c>
      <c r="M508" s="18" t="str">
        <f>iferror(VLOOKUP($D508,Details!$A$2:$C$11,3,false),vlookup($D508,Details!$E$2:$G$11,3,false))</f>
        <v>Snacks and Drinks</v>
      </c>
      <c r="N508" s="18">
        <f t="shared" si="1"/>
        <v>145</v>
      </c>
      <c r="O508" s="17"/>
      <c r="P508" s="17"/>
      <c r="Q508" s="17"/>
      <c r="R508" s="17"/>
      <c r="S508" s="17"/>
      <c r="T508" s="17"/>
      <c r="U508" s="17"/>
      <c r="V508" s="17"/>
      <c r="W508" s="17"/>
      <c r="X508" s="17"/>
      <c r="Y508" s="17"/>
      <c r="Z508" s="17"/>
    </row>
    <row r="509">
      <c r="A509" s="18" t="str">
        <f>IFERROR(__xludf.DUMMYFUNCTION("""COMPUTED_VALUE"""),"ord_10500")</f>
        <v>ord_10500</v>
      </c>
      <c r="B509" s="18" t="str">
        <f>IFERROR(__xludf.DUMMYFUNCTION("""COMPUTED_VALUE"""),"Mehul Thakkar")</f>
        <v>Mehul Thakkar</v>
      </c>
      <c r="C509" s="18" t="str">
        <f>IFERROR(__xludf.DUMMYFUNCTION("""COMPUTED_VALUE"""),"Malad")</f>
        <v>Malad</v>
      </c>
      <c r="D509" s="18" t="str">
        <f>IFERROR(__xludf.DUMMYFUNCTION("""COMPUTED_VALUE"""),"Cucumber")</f>
        <v>Cucumber</v>
      </c>
      <c r="E509" s="18">
        <f>IFERROR(__xludf.DUMMYFUNCTION("""COMPUTED_VALUE"""),2.0)</f>
        <v>2</v>
      </c>
      <c r="F509" s="18" t="str">
        <f>IFERROR(__xludf.DUMMYFUNCTION("""COMPUTED_VALUE"""),"Vivek Kumar")</f>
        <v>Vivek Kumar</v>
      </c>
      <c r="G509" s="19">
        <f>IFERROR(__xludf.DUMMYFUNCTION("""COMPUTED_VALUE"""),45236.0)</f>
        <v>45236</v>
      </c>
      <c r="H509" s="18" t="str">
        <f>IFERROR(__xludf.DUMMYFUNCTION("""COMPUTED_VALUE"""),"Credit Card")</f>
        <v>Credit Card</v>
      </c>
      <c r="I509" s="18" t="str">
        <f>IFERROR(__xludf.DUMMYFUNCTION("""COMPUTED_VALUE"""),"Cancelled")</f>
        <v>Cancelled</v>
      </c>
      <c r="J509" s="18" t="str">
        <f>IFERROR(__xludf.DUMMYFUNCTION("""COMPUTED_VALUE"""),"Delayed Delivery")</f>
        <v>Delayed Delivery</v>
      </c>
      <c r="K509" s="18" t="str">
        <f>IFERROR(__xludf.DUMMYFUNCTION("""COMPUTED_VALUE"""),"High Order Volume")</f>
        <v>High Order Volume</v>
      </c>
      <c r="L509" s="18">
        <f>iferror(VLOOKUP($D509,Details!$A$2:$C$11,2,false),vlookup($D509,Details!$E$2:$G$11,2,false))</f>
        <v>30</v>
      </c>
      <c r="M509" s="18" t="str">
        <f>iferror(VLOOKUP($D509,Details!$A$2:$C$11,3,false),vlookup($D509,Details!$E$2:$G$11,3,false))</f>
        <v>Fruits and Vegetables</v>
      </c>
      <c r="N509" s="18">
        <f t="shared" si="1"/>
        <v>60</v>
      </c>
      <c r="O509" s="17"/>
      <c r="P509" s="17"/>
      <c r="Q509" s="17"/>
      <c r="R509" s="17"/>
      <c r="S509" s="17"/>
      <c r="T509" s="17"/>
      <c r="U509" s="17"/>
      <c r="V509" s="17"/>
      <c r="W509" s="17"/>
      <c r="X509" s="17"/>
      <c r="Y509" s="17"/>
      <c r="Z509" s="17"/>
    </row>
    <row r="510">
      <c r="A510" s="18" t="str">
        <f>IFERROR(__xludf.DUMMYFUNCTION("""COMPUTED_VALUE"""),"ord_10501")</f>
        <v>ord_10501</v>
      </c>
      <c r="B510" s="18" t="str">
        <f>IFERROR(__xludf.DUMMYFUNCTION("""COMPUTED_VALUE"""),"Pallavi Ghosh")</f>
        <v>Pallavi Ghosh</v>
      </c>
      <c r="C510" s="18" t="str">
        <f>IFERROR(__xludf.DUMMYFUNCTION("""COMPUTED_VALUE"""),"Bandra")</f>
        <v>Bandra</v>
      </c>
      <c r="D510" s="18" t="str">
        <f>IFERROR(__xludf.DUMMYFUNCTION("""COMPUTED_VALUE"""),"Chilli Cheese Toast")</f>
        <v>Chilli Cheese Toast</v>
      </c>
      <c r="E510" s="18">
        <f>IFERROR(__xludf.DUMMYFUNCTION("""COMPUTED_VALUE"""),5.0)</f>
        <v>5</v>
      </c>
      <c r="F510" s="18" t="str">
        <f>IFERROR(__xludf.DUMMYFUNCTION("""COMPUTED_VALUE"""),"Priya Joshi")</f>
        <v>Priya Joshi</v>
      </c>
      <c r="G510" s="19">
        <f>IFERROR(__xludf.DUMMYFUNCTION("""COMPUTED_VALUE"""),45064.0)</f>
        <v>45064</v>
      </c>
      <c r="H510" s="18" t="str">
        <f>IFERROR(__xludf.DUMMYFUNCTION("""COMPUTED_VALUE"""),"UPI")</f>
        <v>UPI</v>
      </c>
      <c r="I510" s="18" t="str">
        <f>IFERROR(__xludf.DUMMYFUNCTION("""COMPUTED_VALUE"""),"Delivered")</f>
        <v>Delivered</v>
      </c>
      <c r="J510" s="18" t="str">
        <f>IFERROR(__xludf.DUMMYFUNCTION("""COMPUTED_VALUE"""),"On-time Delivery")</f>
        <v>On-time Delivery</v>
      </c>
      <c r="K510" s="18" t="str">
        <f>IFERROR(__xludf.DUMMYFUNCTION("""COMPUTED_VALUE"""),"Delivered on time")</f>
        <v>Delivered on time</v>
      </c>
      <c r="L510" s="18">
        <f>iferror(VLOOKUP($D510,Details!$A$2:$C$11,2,false),vlookup($D510,Details!$E$2:$G$11,2,false))</f>
        <v>80</v>
      </c>
      <c r="M510" s="18" t="str">
        <f>iferror(VLOOKUP($D510,Details!$A$2:$C$11,3,false),vlookup($D510,Details!$E$2:$G$11,3,false))</f>
        <v>Snacks and Drinks</v>
      </c>
      <c r="N510" s="18">
        <f t="shared" si="1"/>
        <v>400</v>
      </c>
      <c r="O510" s="17"/>
      <c r="P510" s="17"/>
      <c r="Q510" s="17"/>
      <c r="R510" s="17"/>
      <c r="S510" s="17"/>
      <c r="T510" s="17"/>
      <c r="U510" s="17"/>
      <c r="V510" s="17"/>
      <c r="W510" s="17"/>
      <c r="X510" s="17"/>
      <c r="Y510" s="17"/>
      <c r="Z510" s="17"/>
    </row>
    <row r="511">
      <c r="A511" s="18" t="str">
        <f>IFERROR(__xludf.DUMMYFUNCTION("""COMPUTED_VALUE"""),"ord_10502")</f>
        <v>ord_10502</v>
      </c>
      <c r="B511" s="18" t="str">
        <f>IFERROR(__xludf.DUMMYFUNCTION("""COMPUTED_VALUE"""),"Siya Reddy")</f>
        <v>Siya Reddy</v>
      </c>
      <c r="C511" s="18" t="str">
        <f>IFERROR(__xludf.DUMMYFUNCTION("""COMPUTED_VALUE"""),"Juhu")</f>
        <v>Juhu</v>
      </c>
      <c r="D511" s="18" t="str">
        <f>IFERROR(__xludf.DUMMYFUNCTION("""COMPUTED_VALUE"""),"Potato")</f>
        <v>Potato</v>
      </c>
      <c r="E511" s="18">
        <f>IFERROR(__xludf.DUMMYFUNCTION("""COMPUTED_VALUE"""),2.0)</f>
        <v>2</v>
      </c>
      <c r="F511" s="18" t="str">
        <f>IFERROR(__xludf.DUMMYFUNCTION("""COMPUTED_VALUE"""),"Tanvi Jain")</f>
        <v>Tanvi Jain</v>
      </c>
      <c r="G511" s="19">
        <f>IFERROR(__xludf.DUMMYFUNCTION("""COMPUTED_VALUE"""),45124.0)</f>
        <v>45124</v>
      </c>
      <c r="H511" s="18" t="str">
        <f>IFERROR(__xludf.DUMMYFUNCTION("""COMPUTED_VALUE"""),"COD")</f>
        <v>COD</v>
      </c>
      <c r="I511" s="18" t="str">
        <f>IFERROR(__xludf.DUMMYFUNCTION("""COMPUTED_VALUE"""),"Delivered")</f>
        <v>Delivered</v>
      </c>
      <c r="J511" s="18" t="str">
        <f>IFERROR(__xludf.DUMMYFUNCTION("""COMPUTED_VALUE"""),"Quality of Items")</f>
        <v>Quality of Items</v>
      </c>
      <c r="K511" s="18" t="str">
        <f>IFERROR(__xludf.DUMMYFUNCTION("""COMPUTED_VALUE"""),"Perfect condition")</f>
        <v>Perfect condition</v>
      </c>
      <c r="L511" s="18">
        <f>iferror(VLOOKUP($D511,Details!$A$2:$C$11,2,false),vlookup($D511,Details!$E$2:$G$11,2,false))</f>
        <v>55</v>
      </c>
      <c r="M511" s="18" t="str">
        <f>iferror(VLOOKUP($D511,Details!$A$2:$C$11,3,false),vlookup($D511,Details!$E$2:$G$11,3,false))</f>
        <v>Fruits and Vegetables</v>
      </c>
      <c r="N511" s="18">
        <f t="shared" si="1"/>
        <v>110</v>
      </c>
      <c r="O511" s="17"/>
      <c r="P511" s="17"/>
      <c r="Q511" s="17"/>
      <c r="R511" s="17"/>
      <c r="S511" s="17"/>
      <c r="T511" s="17"/>
      <c r="U511" s="17"/>
      <c r="V511" s="17"/>
      <c r="W511" s="17"/>
      <c r="X511" s="17"/>
      <c r="Y511" s="17"/>
      <c r="Z511" s="17"/>
    </row>
    <row r="512">
      <c r="A512" s="18" t="str">
        <f>IFERROR(__xludf.DUMMYFUNCTION("""COMPUTED_VALUE"""),"ord_10503")</f>
        <v>ord_10503</v>
      </c>
      <c r="B512" s="18" t="str">
        <f>IFERROR(__xludf.DUMMYFUNCTION("""COMPUTED_VALUE"""),"Omkar Mishra")</f>
        <v>Omkar Mishra</v>
      </c>
      <c r="C512" s="18" t="str">
        <f>IFERROR(__xludf.DUMMYFUNCTION("""COMPUTED_VALUE"""),"Powai")</f>
        <v>Powai</v>
      </c>
      <c r="D512" s="18" t="str">
        <f>IFERROR(__xludf.DUMMYFUNCTION("""COMPUTED_VALUE"""),"Potato")</f>
        <v>Potato</v>
      </c>
      <c r="E512" s="18">
        <f>IFERROR(__xludf.DUMMYFUNCTION("""COMPUTED_VALUE"""),2.0)</f>
        <v>2</v>
      </c>
      <c r="F512" s="18" t="str">
        <f>IFERROR(__xludf.DUMMYFUNCTION("""COMPUTED_VALUE"""),"Sandeep Kumar")</f>
        <v>Sandeep Kumar</v>
      </c>
      <c r="G512" s="19">
        <f>IFERROR(__xludf.DUMMYFUNCTION("""COMPUTED_VALUE"""),45219.0)</f>
        <v>45219</v>
      </c>
      <c r="H512" s="18" t="str">
        <f>IFERROR(__xludf.DUMMYFUNCTION("""COMPUTED_VALUE"""),"COD")</f>
        <v>COD</v>
      </c>
      <c r="I512" s="18" t="str">
        <f>IFERROR(__xludf.DUMMYFUNCTION("""COMPUTED_VALUE"""),"Delivered")</f>
        <v>Delivered</v>
      </c>
      <c r="J512" s="18" t="str">
        <f>IFERROR(__xludf.DUMMYFUNCTION("""COMPUTED_VALUE"""),"Packaging")</f>
        <v>Packaging</v>
      </c>
      <c r="K512" s="18" t="str">
        <f>IFERROR(__xludf.DUMMYFUNCTION("""COMPUTED_VALUE"""),"Secure and intact")</f>
        <v>Secure and intact</v>
      </c>
      <c r="L512" s="18">
        <f>iferror(VLOOKUP($D512,Details!$A$2:$C$11,2,false),vlookup($D512,Details!$E$2:$G$11,2,false))</f>
        <v>55</v>
      </c>
      <c r="M512" s="18" t="str">
        <f>iferror(VLOOKUP($D512,Details!$A$2:$C$11,3,false),vlookup($D512,Details!$E$2:$G$11,3,false))</f>
        <v>Fruits and Vegetables</v>
      </c>
      <c r="N512" s="18">
        <f t="shared" si="1"/>
        <v>110</v>
      </c>
      <c r="O512" s="17"/>
      <c r="P512" s="17"/>
      <c r="Q512" s="17"/>
      <c r="R512" s="17"/>
      <c r="S512" s="17"/>
      <c r="T512" s="17"/>
      <c r="U512" s="17"/>
      <c r="V512" s="17"/>
      <c r="W512" s="17"/>
      <c r="X512" s="17"/>
      <c r="Y512" s="17"/>
      <c r="Z512" s="17"/>
    </row>
    <row r="513">
      <c r="A513" s="18" t="str">
        <f>IFERROR(__xludf.DUMMYFUNCTION("""COMPUTED_VALUE"""),"ord_10504")</f>
        <v>ord_10504</v>
      </c>
      <c r="B513" s="18" t="str">
        <f>IFERROR(__xludf.DUMMYFUNCTION("""COMPUTED_VALUE"""),"Mehul Thakkar")</f>
        <v>Mehul Thakkar</v>
      </c>
      <c r="C513" s="18" t="str">
        <f>IFERROR(__xludf.DUMMYFUNCTION("""COMPUTED_VALUE"""),"Malad")</f>
        <v>Malad</v>
      </c>
      <c r="D513" s="18" t="str">
        <f>IFERROR(__xludf.DUMMYFUNCTION("""COMPUTED_VALUE"""),"Onion")</f>
        <v>Onion</v>
      </c>
      <c r="E513" s="18">
        <f>IFERROR(__xludf.DUMMYFUNCTION("""COMPUTED_VALUE"""),2.0)</f>
        <v>2</v>
      </c>
      <c r="F513" s="18" t="str">
        <f>IFERROR(__xludf.DUMMYFUNCTION("""COMPUTED_VALUE"""),"Not Assigned")</f>
        <v>Not Assigned</v>
      </c>
      <c r="G513" s="19">
        <f>IFERROR(__xludf.DUMMYFUNCTION("""COMPUTED_VALUE"""),45210.0)</f>
        <v>45210</v>
      </c>
      <c r="H513" s="18" t="str">
        <f>IFERROR(__xludf.DUMMYFUNCTION("""COMPUTED_VALUE"""),"Online Payment")</f>
        <v>Online Payment</v>
      </c>
      <c r="I513" s="18" t="str">
        <f>IFERROR(__xludf.DUMMYFUNCTION("""COMPUTED_VALUE"""),"Cancelled")</f>
        <v>Cancelled</v>
      </c>
      <c r="J513" s="18" t="str">
        <f>IFERROR(__xludf.DUMMYFUNCTION("""COMPUTED_VALUE"""),"App Glitches")</f>
        <v>App Glitches</v>
      </c>
      <c r="K513" s="18" t="str">
        <f>IFERROR(__xludf.DUMMYFUNCTION("""COMPUTED_VALUE"""),"Payment Button Malfunction")</f>
        <v>Payment Button Malfunction</v>
      </c>
      <c r="L513" s="18">
        <f>iferror(VLOOKUP($D513,Details!$A$2:$C$11,2,false),vlookup($D513,Details!$E$2:$G$11,2,false))</f>
        <v>84</v>
      </c>
      <c r="M513" s="18" t="str">
        <f>iferror(VLOOKUP($D513,Details!$A$2:$C$11,3,false),vlookup($D513,Details!$E$2:$G$11,3,false))</f>
        <v>Fruits and Vegetables</v>
      </c>
      <c r="N513" s="18">
        <f t="shared" si="1"/>
        <v>168</v>
      </c>
      <c r="O513" s="17"/>
      <c r="P513" s="17"/>
      <c r="Q513" s="17"/>
      <c r="R513" s="17"/>
      <c r="S513" s="17"/>
      <c r="T513" s="17"/>
      <c r="U513" s="17"/>
      <c r="V513" s="17"/>
      <c r="W513" s="17"/>
      <c r="X513" s="17"/>
      <c r="Y513" s="17"/>
      <c r="Z513" s="17"/>
    </row>
    <row r="514">
      <c r="A514" s="18" t="str">
        <f>IFERROR(__xludf.DUMMYFUNCTION("""COMPUTED_VALUE"""),"ord_10505")</f>
        <v>ord_10505</v>
      </c>
      <c r="B514" s="18" t="str">
        <f>IFERROR(__xludf.DUMMYFUNCTION("""COMPUTED_VALUE"""),"Pallavi Ghosh")</f>
        <v>Pallavi Ghosh</v>
      </c>
      <c r="C514" s="18" t="str">
        <f>IFERROR(__xludf.DUMMYFUNCTION("""COMPUTED_VALUE"""),"Bandra")</f>
        <v>Bandra</v>
      </c>
      <c r="D514" s="18" t="str">
        <f>IFERROR(__xludf.DUMMYFUNCTION("""COMPUTED_VALUE"""),"Papaya")</f>
        <v>Papaya</v>
      </c>
      <c r="E514" s="18">
        <f>IFERROR(__xludf.DUMMYFUNCTION("""COMPUTED_VALUE"""),1.0)</f>
        <v>1</v>
      </c>
      <c r="F514" s="18" t="str">
        <f>IFERROR(__xludf.DUMMYFUNCTION("""COMPUTED_VALUE"""),"Priya Joshi")</f>
        <v>Priya Joshi</v>
      </c>
      <c r="G514" s="19">
        <f>IFERROR(__xludf.DUMMYFUNCTION("""COMPUTED_VALUE"""),45109.0)</f>
        <v>45109</v>
      </c>
      <c r="H514" s="18" t="str">
        <f>IFERROR(__xludf.DUMMYFUNCTION("""COMPUTED_VALUE"""),"Online Payment")</f>
        <v>Online Payment</v>
      </c>
      <c r="I514" s="18" t="str">
        <f>IFERROR(__xludf.DUMMYFUNCTION("""COMPUTED_VALUE"""),"Delivered")</f>
        <v>Delivered</v>
      </c>
      <c r="J514" s="18" t="str">
        <f>IFERROR(__xludf.DUMMYFUNCTION("""COMPUTED_VALUE"""),"Satisfied with the Delivery")</f>
        <v>Satisfied with the Delivery</v>
      </c>
      <c r="K514" s="18" t="str">
        <f>IFERROR(__xludf.DUMMYFUNCTION("""COMPUTED_VALUE"""),"Timely and quality")</f>
        <v>Timely and quality</v>
      </c>
      <c r="L514" s="18">
        <f>iferror(VLOOKUP($D514,Details!$A$2:$C$11,2,false),vlookup($D514,Details!$E$2:$G$11,2,false))</f>
        <v>75</v>
      </c>
      <c r="M514" s="18" t="str">
        <f>iferror(VLOOKUP($D514,Details!$A$2:$C$11,3,false),vlookup($D514,Details!$E$2:$G$11,3,false))</f>
        <v>Fruits and Vegetables</v>
      </c>
      <c r="N514" s="18">
        <f t="shared" si="1"/>
        <v>75</v>
      </c>
      <c r="O514" s="17"/>
      <c r="P514" s="17"/>
      <c r="Q514" s="17"/>
      <c r="R514" s="17"/>
      <c r="S514" s="17"/>
      <c r="T514" s="17"/>
      <c r="U514" s="17"/>
      <c r="V514" s="17"/>
      <c r="W514" s="17"/>
      <c r="X514" s="17"/>
      <c r="Y514" s="17"/>
      <c r="Z514" s="17"/>
    </row>
    <row r="515">
      <c r="A515" s="18" t="str">
        <f>IFERROR(__xludf.DUMMYFUNCTION("""COMPUTED_VALUE"""),"ord_10506")</f>
        <v>ord_10506</v>
      </c>
      <c r="B515" s="18" t="str">
        <f>IFERROR(__xludf.DUMMYFUNCTION("""COMPUTED_VALUE"""),"Omkar Mishra")</f>
        <v>Omkar Mishra</v>
      </c>
      <c r="C515" s="18" t="str">
        <f>IFERROR(__xludf.DUMMYFUNCTION("""COMPUTED_VALUE"""),"Powai")</f>
        <v>Powai</v>
      </c>
      <c r="D515" s="18" t="str">
        <f>IFERROR(__xludf.DUMMYFUNCTION("""COMPUTED_VALUE"""),"Rasmalai")</f>
        <v>Rasmalai</v>
      </c>
      <c r="E515" s="18">
        <f>IFERROR(__xludf.DUMMYFUNCTION("""COMPUTED_VALUE"""),2.0)</f>
        <v>2</v>
      </c>
      <c r="F515" s="18" t="str">
        <f>IFERROR(__xludf.DUMMYFUNCTION("""COMPUTED_VALUE"""),"Sandeep Kumar")</f>
        <v>Sandeep Kumar</v>
      </c>
      <c r="G515" s="19">
        <f>IFERROR(__xludf.DUMMYFUNCTION("""COMPUTED_VALUE"""),44949.0)</f>
        <v>44949</v>
      </c>
      <c r="H515" s="18" t="str">
        <f>IFERROR(__xludf.DUMMYFUNCTION("""COMPUTED_VALUE"""),"UPI")</f>
        <v>UPI</v>
      </c>
      <c r="I515" s="18" t="str">
        <f>IFERROR(__xludf.DUMMYFUNCTION("""COMPUTED_VALUE"""),"Delivered")</f>
        <v>Delivered</v>
      </c>
      <c r="J515" s="18" t="str">
        <f>IFERROR(__xludf.DUMMYFUNCTION("""COMPUTED_VALUE"""),"Customer Service")</f>
        <v>Customer Service</v>
      </c>
      <c r="K515" s="18" t="str">
        <f>IFERROR(__xludf.DUMMYFUNCTION("""COMPUTED_VALUE"""),"Seamless and easy")</f>
        <v>Seamless and easy</v>
      </c>
      <c r="L515" s="18">
        <f>iferror(VLOOKUP($D515,Details!$A$2:$C$11,2,false),vlookup($D515,Details!$E$2:$G$11,2,false))</f>
        <v>110</v>
      </c>
      <c r="M515" s="18" t="str">
        <f>iferror(VLOOKUP($D515,Details!$A$2:$C$11,3,false),vlookup($D515,Details!$E$2:$G$11,3,false))</f>
        <v>Snacks and Drinks</v>
      </c>
      <c r="N515" s="18">
        <f t="shared" si="1"/>
        <v>220</v>
      </c>
      <c r="O515" s="17"/>
      <c r="P515" s="17"/>
      <c r="Q515" s="17"/>
      <c r="R515" s="17"/>
      <c r="S515" s="17"/>
      <c r="T515" s="17"/>
      <c r="U515" s="17"/>
      <c r="V515" s="17"/>
      <c r="W515" s="17"/>
      <c r="X515" s="17"/>
      <c r="Y515" s="17"/>
      <c r="Z515" s="17"/>
    </row>
    <row r="516">
      <c r="A516" s="18" t="str">
        <f>IFERROR(__xludf.DUMMYFUNCTION("""COMPUTED_VALUE"""),"ord_10507")</f>
        <v>ord_10507</v>
      </c>
      <c r="B516" s="18" t="str">
        <f>IFERROR(__xludf.DUMMYFUNCTION("""COMPUTED_VALUE"""),"Mohit Malhotra")</f>
        <v>Mohit Malhotra</v>
      </c>
      <c r="C516" s="18" t="str">
        <f>IFERROR(__xludf.DUMMYFUNCTION("""COMPUTED_VALUE"""),"Lower Parel")</f>
        <v>Lower Parel</v>
      </c>
      <c r="D516" s="18" t="str">
        <f>IFERROR(__xludf.DUMMYFUNCTION("""COMPUTED_VALUE"""),"Orange")</f>
        <v>Orange</v>
      </c>
      <c r="E516" s="18">
        <f>IFERROR(__xludf.DUMMYFUNCTION("""COMPUTED_VALUE"""),1.0)</f>
        <v>1</v>
      </c>
      <c r="F516" s="18" t="str">
        <f>IFERROR(__xludf.DUMMYFUNCTION("""COMPUTED_VALUE"""),"Kiran Mehta")</f>
        <v>Kiran Mehta</v>
      </c>
      <c r="G516" s="19">
        <f>IFERROR(__xludf.DUMMYFUNCTION("""COMPUTED_VALUE"""),44932.0)</f>
        <v>44932</v>
      </c>
      <c r="H516" s="18" t="str">
        <f>IFERROR(__xludf.DUMMYFUNCTION("""COMPUTED_VALUE"""),"Credit Card")</f>
        <v>Credit Card</v>
      </c>
      <c r="I516" s="18" t="str">
        <f>IFERROR(__xludf.DUMMYFUNCTION("""COMPUTED_VALUE"""),"Delivered")</f>
        <v>Delivered</v>
      </c>
      <c r="J516" s="18" t="str">
        <f>IFERROR(__xludf.DUMMYFUNCTION("""COMPUTED_VALUE"""),"Delivery Experience")</f>
        <v>Delivery Experience</v>
      </c>
      <c r="K516" s="18" t="str">
        <f>IFERROR(__xludf.DUMMYFUNCTION("""COMPUTED_VALUE"""),"Quick and professional")</f>
        <v>Quick and professional</v>
      </c>
      <c r="L516" s="18">
        <f>iferror(VLOOKUP($D516,Details!$A$2:$C$11,2,false),vlookup($D516,Details!$E$2:$G$11,2,false))</f>
        <v>180</v>
      </c>
      <c r="M516" s="18" t="str">
        <f>iferror(VLOOKUP($D516,Details!$A$2:$C$11,3,false),vlookup($D516,Details!$E$2:$G$11,3,false))</f>
        <v>Fruits and Vegetables</v>
      </c>
      <c r="N516" s="18">
        <f t="shared" si="1"/>
        <v>180</v>
      </c>
      <c r="O516" s="17"/>
      <c r="P516" s="17"/>
      <c r="Q516" s="17"/>
      <c r="R516" s="17"/>
      <c r="S516" s="17"/>
      <c r="T516" s="17"/>
      <c r="U516" s="17"/>
      <c r="V516" s="17"/>
      <c r="W516" s="17"/>
      <c r="X516" s="17"/>
      <c r="Y516" s="17"/>
      <c r="Z516" s="17"/>
    </row>
    <row r="517">
      <c r="A517" s="18" t="str">
        <f>IFERROR(__xludf.DUMMYFUNCTION("""COMPUTED_VALUE"""),"ord_10508")</f>
        <v>ord_10508</v>
      </c>
      <c r="B517" s="18" t="str">
        <f>IFERROR(__xludf.DUMMYFUNCTION("""COMPUTED_VALUE"""),"Aditya Basu")</f>
        <v>Aditya Basu</v>
      </c>
      <c r="C517" s="18" t="str">
        <f>IFERROR(__xludf.DUMMYFUNCTION("""COMPUTED_VALUE"""),"Juhu")</f>
        <v>Juhu</v>
      </c>
      <c r="D517" s="18" t="str">
        <f>IFERROR(__xludf.DUMMYFUNCTION("""COMPUTED_VALUE"""),"Icecream")</f>
        <v>Icecream</v>
      </c>
      <c r="E517" s="18">
        <f>IFERROR(__xludf.DUMMYFUNCTION("""COMPUTED_VALUE"""),9.0)</f>
        <v>9</v>
      </c>
      <c r="F517" s="18" t="str">
        <f>IFERROR(__xludf.DUMMYFUNCTION("""COMPUTED_VALUE"""),"Ram Gopal")</f>
        <v>Ram Gopal</v>
      </c>
      <c r="G517" s="19">
        <f>IFERROR(__xludf.DUMMYFUNCTION("""COMPUTED_VALUE"""),45104.0)</f>
        <v>45104</v>
      </c>
      <c r="H517" s="18" t="str">
        <f>IFERROR(__xludf.DUMMYFUNCTION("""COMPUTED_VALUE"""),"UPI")</f>
        <v>UPI</v>
      </c>
      <c r="I517" s="18" t="str">
        <f>IFERROR(__xludf.DUMMYFUNCTION("""COMPUTED_VALUE"""),"Delivered")</f>
        <v>Delivered</v>
      </c>
      <c r="J517" s="18" t="str">
        <f>IFERROR(__xludf.DUMMYFUNCTION("""COMPUTED_VALUE"""),"Convenience")</f>
        <v>Convenience</v>
      </c>
      <c r="K517" s="18" t="str">
        <f>IFERROR(__xludf.DUMMYFUNCTION("""COMPUTED_VALUE"""),"Easy tracking")</f>
        <v>Easy tracking</v>
      </c>
      <c r="L517" s="18">
        <f>iferror(VLOOKUP($D517,Details!$A$2:$C$11,2,false),vlookup($D517,Details!$E$2:$G$11,2,false))</f>
        <v>90</v>
      </c>
      <c r="M517" s="18" t="str">
        <f>iferror(VLOOKUP($D517,Details!$A$2:$C$11,3,false),vlookup($D517,Details!$E$2:$G$11,3,false))</f>
        <v>Snacks and Drinks</v>
      </c>
      <c r="N517" s="18">
        <f t="shared" si="1"/>
        <v>810</v>
      </c>
      <c r="O517" s="17"/>
      <c r="P517" s="17"/>
      <c r="Q517" s="17"/>
      <c r="R517" s="17"/>
      <c r="S517" s="17"/>
      <c r="T517" s="17"/>
      <c r="U517" s="17"/>
      <c r="V517" s="17"/>
      <c r="W517" s="17"/>
      <c r="X517" s="17"/>
      <c r="Y517" s="17"/>
      <c r="Z517" s="17"/>
    </row>
    <row r="518">
      <c r="A518" s="18" t="str">
        <f>IFERROR(__xludf.DUMMYFUNCTION("""COMPUTED_VALUE"""),"ord_10509")</f>
        <v>ord_10509</v>
      </c>
      <c r="B518" s="18" t="str">
        <f>IFERROR(__xludf.DUMMYFUNCTION("""COMPUTED_VALUE"""),"Mehul Thakkar")</f>
        <v>Mehul Thakkar</v>
      </c>
      <c r="C518" s="18" t="str">
        <f>IFERROR(__xludf.DUMMYFUNCTION("""COMPUTED_VALUE"""),"Malad")</f>
        <v>Malad</v>
      </c>
      <c r="D518" s="18" t="str">
        <f>IFERROR(__xludf.DUMMYFUNCTION("""COMPUTED_VALUE"""),"Chilli Cheese Toast")</f>
        <v>Chilli Cheese Toast</v>
      </c>
      <c r="E518" s="18">
        <f>IFERROR(__xludf.DUMMYFUNCTION("""COMPUTED_VALUE"""),3.0)</f>
        <v>3</v>
      </c>
      <c r="F518" s="18" t="str">
        <f>IFERROR(__xludf.DUMMYFUNCTION("""COMPUTED_VALUE"""),"Ramesh S")</f>
        <v>Ramesh S</v>
      </c>
      <c r="G518" s="19">
        <f>IFERROR(__xludf.DUMMYFUNCTION("""COMPUTED_VALUE"""),45261.0)</f>
        <v>45261</v>
      </c>
      <c r="H518" s="18" t="str">
        <f>IFERROR(__xludf.DUMMYFUNCTION("""COMPUTED_VALUE"""),"Online Payment")</f>
        <v>Online Payment</v>
      </c>
      <c r="I518" s="18" t="str">
        <f>IFERROR(__xludf.DUMMYFUNCTION("""COMPUTED_VALUE"""),"Delivered")</f>
        <v>Delivered</v>
      </c>
      <c r="J518" s="18" t="str">
        <f>IFERROR(__xludf.DUMMYFUNCTION("""COMPUTED_VALUE"""),"Overall Satisfaction")</f>
        <v>Overall Satisfaction</v>
      </c>
      <c r="K518" s="18" t="str">
        <f>IFERROR(__xludf.DUMMYFUNCTION("""COMPUTED_VALUE"""),"Great service will order again")</f>
        <v>Great service will order again</v>
      </c>
      <c r="L518" s="18">
        <f>iferror(VLOOKUP($D518,Details!$A$2:$C$11,2,false),vlookup($D518,Details!$E$2:$G$11,2,false))</f>
        <v>80</v>
      </c>
      <c r="M518" s="18" t="str">
        <f>iferror(VLOOKUP($D518,Details!$A$2:$C$11,3,false),vlookup($D518,Details!$E$2:$G$11,3,false))</f>
        <v>Snacks and Drinks</v>
      </c>
      <c r="N518" s="18">
        <f t="shared" si="1"/>
        <v>240</v>
      </c>
      <c r="O518" s="17"/>
      <c r="P518" s="17"/>
      <c r="Q518" s="17"/>
      <c r="R518" s="17"/>
      <c r="S518" s="17"/>
      <c r="T518" s="17"/>
      <c r="U518" s="17"/>
      <c r="V518" s="17"/>
      <c r="W518" s="17"/>
      <c r="X518" s="17"/>
      <c r="Y518" s="17"/>
      <c r="Z518" s="17"/>
    </row>
    <row r="519">
      <c r="A519" s="18" t="str">
        <f>IFERROR(__xludf.DUMMYFUNCTION("""COMPUTED_VALUE"""),"ord_10510")</f>
        <v>ord_10510</v>
      </c>
      <c r="B519" s="18" t="str">
        <f>IFERROR(__xludf.DUMMYFUNCTION("""COMPUTED_VALUE"""),"Pranav Joshi")</f>
        <v>Pranav Joshi</v>
      </c>
      <c r="C519" s="18" t="str">
        <f>IFERROR(__xludf.DUMMYFUNCTION("""COMPUTED_VALUE"""),"Andheri")</f>
        <v>Andheri</v>
      </c>
      <c r="D519" s="18" t="str">
        <f>IFERROR(__xludf.DUMMYFUNCTION("""COMPUTED_VALUE"""),"Veg Puff")</f>
        <v>Veg Puff</v>
      </c>
      <c r="E519" s="18">
        <f>IFERROR(__xludf.DUMMYFUNCTION("""COMPUTED_VALUE"""),5.0)</f>
        <v>5</v>
      </c>
      <c r="F519" s="18" t="str">
        <f>IFERROR(__xludf.DUMMYFUNCTION("""COMPUTED_VALUE"""),"Shine Thomas")</f>
        <v>Shine Thomas</v>
      </c>
      <c r="G519" s="19">
        <f>IFERROR(__xludf.DUMMYFUNCTION("""COMPUTED_VALUE"""),45205.0)</f>
        <v>45205</v>
      </c>
      <c r="H519" s="18" t="str">
        <f>IFERROR(__xludf.DUMMYFUNCTION("""COMPUTED_VALUE"""),"UPI")</f>
        <v>UPI</v>
      </c>
      <c r="I519" s="18" t="str">
        <f>IFERROR(__xludf.DUMMYFUNCTION("""COMPUTED_VALUE"""),"Delivered")</f>
        <v>Delivered</v>
      </c>
      <c r="J519" s="18" t="str">
        <f>IFERROR(__xludf.DUMMYFUNCTION("""COMPUTED_VALUE"""),"On-time Delivery")</f>
        <v>On-time Delivery</v>
      </c>
      <c r="K519" s="18" t="str">
        <f>IFERROR(__xludf.DUMMYFUNCTION("""COMPUTED_VALUE"""),"Delivered on time")</f>
        <v>Delivered on time</v>
      </c>
      <c r="L519" s="18">
        <f>iferror(VLOOKUP($D519,Details!$A$2:$C$11,2,false),vlookup($D519,Details!$E$2:$G$11,2,false))</f>
        <v>80</v>
      </c>
      <c r="M519" s="18" t="str">
        <f>iferror(VLOOKUP($D519,Details!$A$2:$C$11,3,false),vlookup($D519,Details!$E$2:$G$11,3,false))</f>
        <v>Snacks and Drinks</v>
      </c>
      <c r="N519" s="18">
        <f t="shared" si="1"/>
        <v>400</v>
      </c>
      <c r="O519" s="17"/>
      <c r="P519" s="17"/>
      <c r="Q519" s="17"/>
      <c r="R519" s="17"/>
      <c r="S519" s="17"/>
      <c r="T519" s="17"/>
      <c r="U519" s="17"/>
      <c r="V519" s="17"/>
      <c r="W519" s="17"/>
      <c r="X519" s="17"/>
      <c r="Y519" s="17"/>
      <c r="Z519" s="17"/>
    </row>
    <row r="520">
      <c r="A520" s="18" t="str">
        <f>IFERROR(__xludf.DUMMYFUNCTION("""COMPUTED_VALUE"""),"ord_10511")</f>
        <v>ord_10511</v>
      </c>
      <c r="B520" s="18" t="str">
        <f>IFERROR(__xludf.DUMMYFUNCTION("""COMPUTED_VALUE"""),"Pallavi Ghosh")</f>
        <v>Pallavi Ghosh</v>
      </c>
      <c r="C520" s="18" t="str">
        <f>IFERROR(__xludf.DUMMYFUNCTION("""COMPUTED_VALUE"""),"Bandra")</f>
        <v>Bandra</v>
      </c>
      <c r="D520" s="18" t="str">
        <f>IFERROR(__xludf.DUMMYFUNCTION("""COMPUTED_VALUE"""),"Potato")</f>
        <v>Potato</v>
      </c>
      <c r="E520" s="18">
        <f>IFERROR(__xludf.DUMMYFUNCTION("""COMPUTED_VALUE"""),1.0)</f>
        <v>1</v>
      </c>
      <c r="F520" s="18" t="str">
        <f>IFERROR(__xludf.DUMMYFUNCTION("""COMPUTED_VALUE"""),"Sita T")</f>
        <v>Sita T</v>
      </c>
      <c r="G520" s="19">
        <f>IFERROR(__xludf.DUMMYFUNCTION("""COMPUTED_VALUE"""),45050.0)</f>
        <v>45050</v>
      </c>
      <c r="H520" s="18" t="str">
        <f>IFERROR(__xludf.DUMMYFUNCTION("""COMPUTED_VALUE"""),"Credit Card")</f>
        <v>Credit Card</v>
      </c>
      <c r="I520" s="18" t="str">
        <f>IFERROR(__xludf.DUMMYFUNCTION("""COMPUTED_VALUE"""),"Delivered")</f>
        <v>Delivered</v>
      </c>
      <c r="J520" s="18" t="str">
        <f>IFERROR(__xludf.DUMMYFUNCTION("""COMPUTED_VALUE"""),"Quality of Items")</f>
        <v>Quality of Items</v>
      </c>
      <c r="K520" s="18" t="str">
        <f>IFERROR(__xludf.DUMMYFUNCTION("""COMPUTED_VALUE"""),"Perfect condition")</f>
        <v>Perfect condition</v>
      </c>
      <c r="L520" s="18">
        <f>iferror(VLOOKUP($D520,Details!$A$2:$C$11,2,false),vlookup($D520,Details!$E$2:$G$11,2,false))</f>
        <v>55</v>
      </c>
      <c r="M520" s="18" t="str">
        <f>iferror(VLOOKUP($D520,Details!$A$2:$C$11,3,false),vlookup($D520,Details!$E$2:$G$11,3,false))</f>
        <v>Fruits and Vegetables</v>
      </c>
      <c r="N520" s="18">
        <f t="shared" si="1"/>
        <v>55</v>
      </c>
      <c r="O520" s="17"/>
      <c r="P520" s="17"/>
      <c r="Q520" s="17"/>
      <c r="R520" s="17"/>
      <c r="S520" s="17"/>
      <c r="T520" s="17"/>
      <c r="U520" s="17"/>
      <c r="V520" s="17"/>
      <c r="W520" s="17"/>
      <c r="X520" s="17"/>
      <c r="Y520" s="17"/>
      <c r="Z520" s="17"/>
    </row>
    <row r="521">
      <c r="A521" s="18" t="str">
        <f>IFERROR(__xludf.DUMMYFUNCTION("""COMPUTED_VALUE"""),"ord_10512")</f>
        <v>ord_10512</v>
      </c>
      <c r="B521" s="18" t="str">
        <f>IFERROR(__xludf.DUMMYFUNCTION("""COMPUTED_VALUE"""),"Tanishq Bansal")</f>
        <v>Tanishq Bansal</v>
      </c>
      <c r="C521" s="18" t="str">
        <f>IFERROR(__xludf.DUMMYFUNCTION("""COMPUTED_VALUE"""),"Powai")</f>
        <v>Powai</v>
      </c>
      <c r="D521" s="18" t="str">
        <f>IFERROR(__xludf.DUMMYFUNCTION("""COMPUTED_VALUE"""),"Orange")</f>
        <v>Orange</v>
      </c>
      <c r="E521" s="18">
        <f>IFERROR(__xludf.DUMMYFUNCTION("""COMPUTED_VALUE"""),1.0)</f>
        <v>1</v>
      </c>
      <c r="F521" s="18" t="str">
        <f>IFERROR(__xludf.DUMMYFUNCTION("""COMPUTED_VALUE"""),"Vivek Kumar")</f>
        <v>Vivek Kumar</v>
      </c>
      <c r="G521" s="19">
        <f>IFERROR(__xludf.DUMMYFUNCTION("""COMPUTED_VALUE"""),45263.0)</f>
        <v>45263</v>
      </c>
      <c r="H521" s="18" t="str">
        <f>IFERROR(__xludf.DUMMYFUNCTION("""COMPUTED_VALUE"""),"UPI")</f>
        <v>UPI</v>
      </c>
      <c r="I521" s="18" t="str">
        <f>IFERROR(__xludf.DUMMYFUNCTION("""COMPUTED_VALUE"""),"Delivered")</f>
        <v>Delivered</v>
      </c>
      <c r="J521" s="18" t="str">
        <f>IFERROR(__xludf.DUMMYFUNCTION("""COMPUTED_VALUE"""),"On-time Delivery")</f>
        <v>On-time Delivery</v>
      </c>
      <c r="K521" s="18" t="str">
        <f>IFERROR(__xludf.DUMMYFUNCTION("""COMPUTED_VALUE"""),"Delivered on time")</f>
        <v>Delivered on time</v>
      </c>
      <c r="L521" s="18">
        <f>iferror(VLOOKUP($D521,Details!$A$2:$C$11,2,false),vlookup($D521,Details!$E$2:$G$11,2,false))</f>
        <v>180</v>
      </c>
      <c r="M521" s="18" t="str">
        <f>iferror(VLOOKUP($D521,Details!$A$2:$C$11,3,false),vlookup($D521,Details!$E$2:$G$11,3,false))</f>
        <v>Fruits and Vegetables</v>
      </c>
      <c r="N521" s="18">
        <f t="shared" si="1"/>
        <v>180</v>
      </c>
      <c r="O521" s="17"/>
      <c r="P521" s="17"/>
      <c r="Q521" s="17"/>
      <c r="R521" s="17"/>
      <c r="S521" s="17"/>
      <c r="T521" s="17"/>
      <c r="U521" s="17"/>
      <c r="V521" s="17"/>
      <c r="W521" s="17"/>
      <c r="X521" s="17"/>
      <c r="Y521" s="17"/>
      <c r="Z521" s="17"/>
    </row>
    <row r="522">
      <c r="A522" s="18" t="str">
        <f>IFERROR(__xludf.DUMMYFUNCTION("""COMPUTED_VALUE"""),"ord_10513")</f>
        <v>ord_10513</v>
      </c>
      <c r="B522" s="18" t="str">
        <f>IFERROR(__xludf.DUMMYFUNCTION("""COMPUTED_VALUE"""),"Tanishq Bansal")</f>
        <v>Tanishq Bansal</v>
      </c>
      <c r="C522" s="18" t="str">
        <f>IFERROR(__xludf.DUMMYFUNCTION("""COMPUTED_VALUE"""),"Powai")</f>
        <v>Powai</v>
      </c>
      <c r="D522" s="18" t="str">
        <f>IFERROR(__xludf.DUMMYFUNCTION("""COMPUTED_VALUE"""),"Cold Coffee")</f>
        <v>Cold Coffee</v>
      </c>
      <c r="E522" s="18">
        <f>IFERROR(__xludf.DUMMYFUNCTION("""COMPUTED_VALUE"""),3.0)</f>
        <v>3</v>
      </c>
      <c r="F522" s="18" t="str">
        <f>IFERROR(__xludf.DUMMYFUNCTION("""COMPUTED_VALUE"""),"Not Assigned")</f>
        <v>Not Assigned</v>
      </c>
      <c r="G522" s="19">
        <f>IFERROR(__xludf.DUMMYFUNCTION("""COMPUTED_VALUE"""),45284.0)</f>
        <v>45284</v>
      </c>
      <c r="H522" s="18" t="str">
        <f>IFERROR(__xludf.DUMMYFUNCTION("""COMPUTED_VALUE"""),"Credit Card")</f>
        <v>Credit Card</v>
      </c>
      <c r="I522" s="18" t="str">
        <f>IFERROR(__xludf.DUMMYFUNCTION("""COMPUTED_VALUE"""),"Cancelled")</f>
        <v>Cancelled</v>
      </c>
      <c r="J522" s="18" t="str">
        <f>IFERROR(__xludf.DUMMYFUNCTION("""COMPUTED_VALUE"""),"Out of Stock")</f>
        <v>Out of Stock</v>
      </c>
      <c r="K522" s="18"/>
      <c r="L522" s="18">
        <f>iferror(VLOOKUP($D522,Details!$A$2:$C$11,2,false),vlookup($D522,Details!$E$2:$G$11,2,false))</f>
        <v>270</v>
      </c>
      <c r="M522" s="18" t="str">
        <f>iferror(VLOOKUP($D522,Details!$A$2:$C$11,3,false),vlookup($D522,Details!$E$2:$G$11,3,false))</f>
        <v>Snacks and Drinks</v>
      </c>
      <c r="N522" s="18">
        <f t="shared" si="1"/>
        <v>810</v>
      </c>
      <c r="O522" s="17"/>
      <c r="P522" s="17"/>
      <c r="Q522" s="17"/>
      <c r="R522" s="17"/>
      <c r="S522" s="17"/>
      <c r="T522" s="17"/>
      <c r="U522" s="17"/>
      <c r="V522" s="17"/>
      <c r="W522" s="17"/>
      <c r="X522" s="17"/>
      <c r="Y522" s="17"/>
      <c r="Z522" s="17"/>
    </row>
    <row r="523">
      <c r="A523" s="18" t="str">
        <f>IFERROR(__xludf.DUMMYFUNCTION("""COMPUTED_VALUE"""),"ord_10514")</f>
        <v>ord_10514</v>
      </c>
      <c r="B523" s="18" t="str">
        <f>IFERROR(__xludf.DUMMYFUNCTION("""COMPUTED_VALUE"""),"Arvind Kulkarni")</f>
        <v>Arvind Kulkarni</v>
      </c>
      <c r="C523" s="18" t="str">
        <f>IFERROR(__xludf.DUMMYFUNCTION("""COMPUTED_VALUE"""),"Juhu")</f>
        <v>Juhu</v>
      </c>
      <c r="D523" s="18" t="str">
        <f>IFERROR(__xludf.DUMMYFUNCTION("""COMPUTED_VALUE"""),"Potato")</f>
        <v>Potato</v>
      </c>
      <c r="E523" s="18">
        <f>IFERROR(__xludf.DUMMYFUNCTION("""COMPUTED_VALUE"""),1.0)</f>
        <v>1</v>
      </c>
      <c r="F523" s="18" t="str">
        <f>IFERROR(__xludf.DUMMYFUNCTION("""COMPUTED_VALUE"""),"Kiran Mehta")</f>
        <v>Kiran Mehta</v>
      </c>
      <c r="G523" s="19">
        <f>IFERROR(__xludf.DUMMYFUNCTION("""COMPUTED_VALUE"""),45247.0)</f>
        <v>45247</v>
      </c>
      <c r="H523" s="18" t="str">
        <f>IFERROR(__xludf.DUMMYFUNCTION("""COMPUTED_VALUE"""),"Credit Card")</f>
        <v>Credit Card</v>
      </c>
      <c r="I523" s="18" t="str">
        <f>IFERROR(__xludf.DUMMYFUNCTION("""COMPUTED_VALUE"""),"Cancelled")</f>
        <v>Cancelled</v>
      </c>
      <c r="J523" s="18" t="str">
        <f>IFERROR(__xludf.DUMMYFUNCTION("""COMPUTED_VALUE"""),"Delayed Delivery")</f>
        <v>Delayed Delivery</v>
      </c>
      <c r="K523" s="18" t="str">
        <f>IFERROR(__xludf.DUMMYFUNCTION("""COMPUTED_VALUE"""),"Bad Weather Conditions")</f>
        <v>Bad Weather Conditions</v>
      </c>
      <c r="L523" s="18">
        <f>iferror(VLOOKUP($D523,Details!$A$2:$C$11,2,false),vlookup($D523,Details!$E$2:$G$11,2,false))</f>
        <v>55</v>
      </c>
      <c r="M523" s="18" t="str">
        <f>iferror(VLOOKUP($D523,Details!$A$2:$C$11,3,false),vlookup($D523,Details!$E$2:$G$11,3,false))</f>
        <v>Fruits and Vegetables</v>
      </c>
      <c r="N523" s="18">
        <f t="shared" si="1"/>
        <v>55</v>
      </c>
      <c r="O523" s="17"/>
      <c r="P523" s="17"/>
      <c r="Q523" s="17"/>
      <c r="R523" s="17"/>
      <c r="S523" s="17"/>
      <c r="T523" s="17"/>
      <c r="U523" s="17"/>
      <c r="V523" s="17"/>
      <c r="W523" s="17"/>
      <c r="X523" s="17"/>
      <c r="Y523" s="17"/>
      <c r="Z523" s="17"/>
    </row>
    <row r="524">
      <c r="A524" s="18" t="str">
        <f>IFERROR(__xludf.DUMMYFUNCTION("""COMPUTED_VALUE"""),"ord_10515")</f>
        <v>ord_10515</v>
      </c>
      <c r="B524" s="18" t="str">
        <f>IFERROR(__xludf.DUMMYFUNCTION("""COMPUTED_VALUE"""),"Arvind Kulkarni")</f>
        <v>Arvind Kulkarni</v>
      </c>
      <c r="C524" s="18" t="str">
        <f>IFERROR(__xludf.DUMMYFUNCTION("""COMPUTED_VALUE"""),"Juhu")</f>
        <v>Juhu</v>
      </c>
      <c r="D524" s="18" t="str">
        <f>IFERROR(__xludf.DUMMYFUNCTION("""COMPUTED_VALUE"""),"Chicken Puff")</f>
        <v>Chicken Puff</v>
      </c>
      <c r="E524" s="18">
        <f>IFERROR(__xludf.DUMMYFUNCTION("""COMPUTED_VALUE"""),5.0)</f>
        <v>5</v>
      </c>
      <c r="F524" s="18" t="str">
        <f>IFERROR(__xludf.DUMMYFUNCTION("""COMPUTED_VALUE"""),"Ramesh S")</f>
        <v>Ramesh S</v>
      </c>
      <c r="G524" s="19">
        <f>IFERROR(__xludf.DUMMYFUNCTION("""COMPUTED_VALUE"""),45256.0)</f>
        <v>45256</v>
      </c>
      <c r="H524" s="18" t="str">
        <f>IFERROR(__xludf.DUMMYFUNCTION("""COMPUTED_VALUE"""),"COD")</f>
        <v>COD</v>
      </c>
      <c r="I524" s="18" t="str">
        <f>IFERROR(__xludf.DUMMYFUNCTION("""COMPUTED_VALUE"""),"Delivered")</f>
        <v>Delivered</v>
      </c>
      <c r="J524" s="18" t="str">
        <f>IFERROR(__xludf.DUMMYFUNCTION("""COMPUTED_VALUE"""),"Quality of Items")</f>
        <v>Quality of Items</v>
      </c>
      <c r="K524" s="18" t="str">
        <f>IFERROR(__xludf.DUMMYFUNCTION("""COMPUTED_VALUE"""),"Perfect condition")</f>
        <v>Perfect condition</v>
      </c>
      <c r="L524" s="18">
        <f>iferror(VLOOKUP($D524,Details!$A$2:$C$11,2,false),vlookup($D524,Details!$E$2:$G$11,2,false))</f>
        <v>90</v>
      </c>
      <c r="M524" s="18" t="str">
        <f>iferror(VLOOKUP($D524,Details!$A$2:$C$11,3,false),vlookup($D524,Details!$E$2:$G$11,3,false))</f>
        <v>Snacks and Drinks</v>
      </c>
      <c r="N524" s="18">
        <f t="shared" si="1"/>
        <v>450</v>
      </c>
      <c r="O524" s="17"/>
      <c r="P524" s="17"/>
      <c r="Q524" s="17"/>
      <c r="R524" s="17"/>
      <c r="S524" s="17"/>
      <c r="T524" s="17"/>
      <c r="U524" s="17"/>
      <c r="V524" s="17"/>
      <c r="W524" s="17"/>
      <c r="X524" s="17"/>
      <c r="Y524" s="17"/>
      <c r="Z524" s="17"/>
    </row>
    <row r="525">
      <c r="A525" s="18" t="str">
        <f>IFERROR(__xludf.DUMMYFUNCTION("""COMPUTED_VALUE"""),"ord_10516")</f>
        <v>ord_10516</v>
      </c>
      <c r="B525" s="18" t="str">
        <f>IFERROR(__xludf.DUMMYFUNCTION("""COMPUTED_VALUE"""),"Siya Reddy")</f>
        <v>Siya Reddy</v>
      </c>
      <c r="C525" s="18" t="str">
        <f>IFERROR(__xludf.DUMMYFUNCTION("""COMPUTED_VALUE"""),"Juhu")</f>
        <v>Juhu</v>
      </c>
      <c r="D525" s="18" t="str">
        <f>IFERROR(__xludf.DUMMYFUNCTION("""COMPUTED_VALUE"""),"Veg Puff")</f>
        <v>Veg Puff</v>
      </c>
      <c r="E525" s="18">
        <f>IFERROR(__xludf.DUMMYFUNCTION("""COMPUTED_VALUE"""),2.0)</f>
        <v>2</v>
      </c>
      <c r="F525" s="18" t="str">
        <f>IFERROR(__xludf.DUMMYFUNCTION("""COMPUTED_VALUE"""),"Ramesh S")</f>
        <v>Ramesh S</v>
      </c>
      <c r="G525" s="19">
        <f>IFERROR(__xludf.DUMMYFUNCTION("""COMPUTED_VALUE"""),44962.0)</f>
        <v>44962</v>
      </c>
      <c r="H525" s="18" t="str">
        <f>IFERROR(__xludf.DUMMYFUNCTION("""COMPUTED_VALUE"""),"COD")</f>
        <v>COD</v>
      </c>
      <c r="I525" s="18" t="str">
        <f>IFERROR(__xludf.DUMMYFUNCTION("""COMPUTED_VALUE"""),"Delivered")</f>
        <v>Delivered</v>
      </c>
      <c r="J525" s="18" t="str">
        <f>IFERROR(__xludf.DUMMYFUNCTION("""COMPUTED_VALUE"""),"Packaging")</f>
        <v>Packaging</v>
      </c>
      <c r="K525" s="18" t="str">
        <f>IFERROR(__xludf.DUMMYFUNCTION("""COMPUTED_VALUE"""),"Secure and intact")</f>
        <v>Secure and intact</v>
      </c>
      <c r="L525" s="18">
        <f>iferror(VLOOKUP($D525,Details!$A$2:$C$11,2,false),vlookup($D525,Details!$E$2:$G$11,2,false))</f>
        <v>80</v>
      </c>
      <c r="M525" s="18" t="str">
        <f>iferror(VLOOKUP($D525,Details!$A$2:$C$11,3,false),vlookup($D525,Details!$E$2:$G$11,3,false))</f>
        <v>Snacks and Drinks</v>
      </c>
      <c r="N525" s="18">
        <f t="shared" si="1"/>
        <v>160</v>
      </c>
      <c r="O525" s="17"/>
      <c r="P525" s="17"/>
      <c r="Q525" s="17"/>
      <c r="R525" s="17"/>
      <c r="S525" s="17"/>
      <c r="T525" s="17"/>
      <c r="U525" s="17"/>
      <c r="V525" s="17"/>
      <c r="W525" s="17"/>
      <c r="X525" s="17"/>
      <c r="Y525" s="17"/>
      <c r="Z525" s="17"/>
    </row>
    <row r="526">
      <c r="A526" s="18" t="str">
        <f>IFERROR(__xludf.DUMMYFUNCTION("""COMPUTED_VALUE"""),"ord_10517")</f>
        <v>ord_10517</v>
      </c>
      <c r="B526" s="18" t="str">
        <f>IFERROR(__xludf.DUMMYFUNCTION("""COMPUTED_VALUE"""),"Omkar Mishra")</f>
        <v>Omkar Mishra</v>
      </c>
      <c r="C526" s="18" t="str">
        <f>IFERROR(__xludf.DUMMYFUNCTION("""COMPUTED_VALUE"""),"Powai")</f>
        <v>Powai</v>
      </c>
      <c r="D526" s="18" t="str">
        <f>IFERROR(__xludf.DUMMYFUNCTION("""COMPUTED_VALUE"""),"Chilli Cheese Toast")</f>
        <v>Chilli Cheese Toast</v>
      </c>
      <c r="E526" s="18">
        <f>IFERROR(__xludf.DUMMYFUNCTION("""COMPUTED_VALUE"""),2.0)</f>
        <v>2</v>
      </c>
      <c r="F526" s="18" t="str">
        <f>IFERROR(__xludf.DUMMYFUNCTION("""COMPUTED_VALUE"""),"Not Assigned")</f>
        <v>Not Assigned</v>
      </c>
      <c r="G526" s="19">
        <f>IFERROR(__xludf.DUMMYFUNCTION("""COMPUTED_VALUE"""),44946.0)</f>
        <v>44946</v>
      </c>
      <c r="H526" s="18" t="str">
        <f>IFERROR(__xludf.DUMMYFUNCTION("""COMPUTED_VALUE"""),"Credit Card")</f>
        <v>Credit Card</v>
      </c>
      <c r="I526" s="18" t="str">
        <f>IFERROR(__xludf.DUMMYFUNCTION("""COMPUTED_VALUE"""),"Cancelled")</f>
        <v>Cancelled</v>
      </c>
      <c r="J526" s="18" t="str">
        <f>IFERROR(__xludf.DUMMYFUNCTION("""COMPUTED_VALUE"""),"High Delivery Fees")</f>
        <v>High Delivery Fees</v>
      </c>
      <c r="K526" s="18"/>
      <c r="L526" s="18">
        <f>iferror(VLOOKUP($D526,Details!$A$2:$C$11,2,false),vlookup($D526,Details!$E$2:$G$11,2,false))</f>
        <v>80</v>
      </c>
      <c r="M526" s="18" t="str">
        <f>iferror(VLOOKUP($D526,Details!$A$2:$C$11,3,false),vlookup($D526,Details!$E$2:$G$11,3,false))</f>
        <v>Snacks and Drinks</v>
      </c>
      <c r="N526" s="18">
        <f t="shared" si="1"/>
        <v>160</v>
      </c>
      <c r="O526" s="17"/>
      <c r="P526" s="17"/>
      <c r="Q526" s="17"/>
      <c r="R526" s="17"/>
      <c r="S526" s="17"/>
      <c r="T526" s="17"/>
      <c r="U526" s="17"/>
      <c r="V526" s="17"/>
      <c r="W526" s="17"/>
      <c r="X526" s="17"/>
      <c r="Y526" s="17"/>
      <c r="Z526" s="17"/>
    </row>
    <row r="527">
      <c r="A527" s="18" t="str">
        <f>IFERROR(__xludf.DUMMYFUNCTION("""COMPUTED_VALUE"""),"ord_10518")</f>
        <v>ord_10518</v>
      </c>
      <c r="B527" s="18" t="str">
        <f>IFERROR(__xludf.DUMMYFUNCTION("""COMPUTED_VALUE"""),"Siya Reddy")</f>
        <v>Siya Reddy</v>
      </c>
      <c r="C527" s="18" t="str">
        <f>IFERROR(__xludf.DUMMYFUNCTION("""COMPUTED_VALUE"""),"Juhu")</f>
        <v>Juhu</v>
      </c>
      <c r="D527" s="18" t="str">
        <f>IFERROR(__xludf.DUMMYFUNCTION("""COMPUTED_VALUE"""),"Juice")</f>
        <v>Juice</v>
      </c>
      <c r="E527" s="18">
        <f>IFERROR(__xludf.DUMMYFUNCTION("""COMPUTED_VALUE"""),5.0)</f>
        <v>5</v>
      </c>
      <c r="F527" s="18" t="str">
        <f>IFERROR(__xludf.DUMMYFUNCTION("""COMPUTED_VALUE"""),"Venu R")</f>
        <v>Venu R</v>
      </c>
      <c r="G527" s="19">
        <f>IFERROR(__xludf.DUMMYFUNCTION("""COMPUTED_VALUE"""),45058.0)</f>
        <v>45058</v>
      </c>
      <c r="H527" s="18" t="str">
        <f>IFERROR(__xludf.DUMMYFUNCTION("""COMPUTED_VALUE"""),"Credit Card")</f>
        <v>Credit Card</v>
      </c>
      <c r="I527" s="18" t="str">
        <f>IFERROR(__xludf.DUMMYFUNCTION("""COMPUTED_VALUE"""),"Cancelled")</f>
        <v>Cancelled</v>
      </c>
      <c r="J527" s="18" t="str">
        <f>IFERROR(__xludf.DUMMYFUNCTION("""COMPUTED_VALUE"""),"Delayed Delivery")</f>
        <v>Delayed Delivery</v>
      </c>
      <c r="K527" s="18" t="str">
        <f>IFERROR(__xludf.DUMMYFUNCTION("""COMPUTED_VALUE"""),"Heavy Traffic")</f>
        <v>Heavy Traffic</v>
      </c>
      <c r="L527" s="18">
        <f>iferror(VLOOKUP($D527,Details!$A$2:$C$11,2,false),vlookup($D527,Details!$E$2:$G$11,2,false))</f>
        <v>90</v>
      </c>
      <c r="M527" s="18" t="str">
        <f>iferror(VLOOKUP($D527,Details!$A$2:$C$11,3,false),vlookup($D527,Details!$E$2:$G$11,3,false))</f>
        <v>Snacks and Drinks</v>
      </c>
      <c r="N527" s="18">
        <f t="shared" si="1"/>
        <v>450</v>
      </c>
      <c r="O527" s="17"/>
      <c r="P527" s="17"/>
      <c r="Q527" s="17"/>
      <c r="R527" s="17"/>
      <c r="S527" s="17"/>
      <c r="T527" s="17"/>
      <c r="U527" s="17"/>
      <c r="V527" s="17"/>
      <c r="W527" s="17"/>
      <c r="X527" s="17"/>
      <c r="Y527" s="17"/>
      <c r="Z527" s="17"/>
    </row>
    <row r="528">
      <c r="A528" s="18" t="str">
        <f>IFERROR(__xludf.DUMMYFUNCTION("""COMPUTED_VALUE"""),"ord_10519")</f>
        <v>ord_10519</v>
      </c>
      <c r="B528" s="18" t="str">
        <f>IFERROR(__xludf.DUMMYFUNCTION("""COMPUTED_VALUE"""),"Diya Arora")</f>
        <v>Diya Arora</v>
      </c>
      <c r="C528" s="18" t="str">
        <f>IFERROR(__xludf.DUMMYFUNCTION("""COMPUTED_VALUE"""),"Lower Parel")</f>
        <v>Lower Parel</v>
      </c>
      <c r="D528" s="18" t="str">
        <f>IFERROR(__xludf.DUMMYFUNCTION("""COMPUTED_VALUE"""),"Cucumber")</f>
        <v>Cucumber</v>
      </c>
      <c r="E528" s="18">
        <f>IFERROR(__xludf.DUMMYFUNCTION("""COMPUTED_VALUE"""),2.0)</f>
        <v>2</v>
      </c>
      <c r="F528" s="18" t="str">
        <f>IFERROR(__xludf.DUMMYFUNCTION("""COMPUTED_VALUE"""),"Not Assigned")</f>
        <v>Not Assigned</v>
      </c>
      <c r="G528" s="19">
        <f>IFERROR(__xludf.DUMMYFUNCTION("""COMPUTED_VALUE"""),45285.0)</f>
        <v>45285</v>
      </c>
      <c r="H528" s="18" t="str">
        <f>IFERROR(__xludf.DUMMYFUNCTION("""COMPUTED_VALUE"""),"Credit Card")</f>
        <v>Credit Card</v>
      </c>
      <c r="I528" s="18" t="str">
        <f>IFERROR(__xludf.DUMMYFUNCTION("""COMPUTED_VALUE"""),"Cancelled")</f>
        <v>Cancelled</v>
      </c>
      <c r="J528" s="18" t="str">
        <f>IFERROR(__xludf.DUMMYFUNCTION("""COMPUTED_VALUE"""),"High Delivery Fees")</f>
        <v>High Delivery Fees</v>
      </c>
      <c r="K528" s="18"/>
      <c r="L528" s="18">
        <f>iferror(VLOOKUP($D528,Details!$A$2:$C$11,2,false),vlookup($D528,Details!$E$2:$G$11,2,false))</f>
        <v>30</v>
      </c>
      <c r="M528" s="18" t="str">
        <f>iferror(VLOOKUP($D528,Details!$A$2:$C$11,3,false),vlookup($D528,Details!$E$2:$G$11,3,false))</f>
        <v>Fruits and Vegetables</v>
      </c>
      <c r="N528" s="18">
        <f t="shared" si="1"/>
        <v>60</v>
      </c>
      <c r="O528" s="17"/>
      <c r="P528" s="17"/>
      <c r="Q528" s="17"/>
      <c r="R528" s="17"/>
      <c r="S528" s="17"/>
      <c r="T528" s="17"/>
      <c r="U528" s="17"/>
      <c r="V528" s="17"/>
      <c r="W528" s="17"/>
      <c r="X528" s="17"/>
      <c r="Y528" s="17"/>
      <c r="Z528" s="17"/>
    </row>
    <row r="529">
      <c r="A529" s="18" t="str">
        <f>IFERROR(__xludf.DUMMYFUNCTION("""COMPUTED_VALUE"""),"ord_10520")</f>
        <v>ord_10520</v>
      </c>
      <c r="B529" s="18" t="str">
        <f>IFERROR(__xludf.DUMMYFUNCTION("""COMPUTED_VALUE"""),"Pallavi Ghosh")</f>
        <v>Pallavi Ghosh</v>
      </c>
      <c r="C529" s="18" t="str">
        <f>IFERROR(__xludf.DUMMYFUNCTION("""COMPUTED_VALUE"""),"Bandra")</f>
        <v>Bandra</v>
      </c>
      <c r="D529" s="18" t="str">
        <f>IFERROR(__xludf.DUMMYFUNCTION("""COMPUTED_VALUE"""),"Chocolate Mousse")</f>
        <v>Chocolate Mousse</v>
      </c>
      <c r="E529" s="18">
        <f>IFERROR(__xludf.DUMMYFUNCTION("""COMPUTED_VALUE"""),5.0)</f>
        <v>5</v>
      </c>
      <c r="F529" s="18" t="str">
        <f>IFERROR(__xludf.DUMMYFUNCTION("""COMPUTED_VALUE"""),"Not Assigned")</f>
        <v>Not Assigned</v>
      </c>
      <c r="G529" s="19">
        <f>IFERROR(__xludf.DUMMYFUNCTION("""COMPUTED_VALUE"""),45198.0)</f>
        <v>45198</v>
      </c>
      <c r="H529" s="18" t="str">
        <f>IFERROR(__xludf.DUMMYFUNCTION("""COMPUTED_VALUE"""),"UPI")</f>
        <v>UPI</v>
      </c>
      <c r="I529" s="18" t="str">
        <f>IFERROR(__xludf.DUMMYFUNCTION("""COMPUTED_VALUE"""),"Cancelled")</f>
        <v>Cancelled</v>
      </c>
      <c r="J529" s="18" t="str">
        <f>IFERROR(__xludf.DUMMYFUNCTION("""COMPUTED_VALUE"""),"Payment Issues")</f>
        <v>Payment Issues</v>
      </c>
      <c r="K529" s="18"/>
      <c r="L529" s="18">
        <f>iferror(VLOOKUP($D529,Details!$A$2:$C$11,2,false),vlookup($D529,Details!$E$2:$G$11,2,false))</f>
        <v>145</v>
      </c>
      <c r="M529" s="18" t="str">
        <f>iferror(VLOOKUP($D529,Details!$A$2:$C$11,3,false),vlookup($D529,Details!$E$2:$G$11,3,false))</f>
        <v>Snacks and Drinks</v>
      </c>
      <c r="N529" s="18">
        <f t="shared" si="1"/>
        <v>725</v>
      </c>
      <c r="O529" s="17"/>
      <c r="P529" s="17"/>
      <c r="Q529" s="17"/>
      <c r="R529" s="17"/>
      <c r="S529" s="17"/>
      <c r="T529" s="17"/>
      <c r="U529" s="17"/>
      <c r="V529" s="17"/>
      <c r="W529" s="17"/>
      <c r="X529" s="17"/>
      <c r="Y529" s="17"/>
      <c r="Z529" s="17"/>
    </row>
    <row r="530">
      <c r="A530" s="18" t="str">
        <f>IFERROR(__xludf.DUMMYFUNCTION("""COMPUTED_VALUE"""),"ord_10521")</f>
        <v>ord_10521</v>
      </c>
      <c r="B530" s="18" t="str">
        <f>IFERROR(__xludf.DUMMYFUNCTION("""COMPUTED_VALUE"""),"Mehul Thakkar")</f>
        <v>Mehul Thakkar</v>
      </c>
      <c r="C530" s="18" t="str">
        <f>IFERROR(__xludf.DUMMYFUNCTION("""COMPUTED_VALUE"""),"Malad")</f>
        <v>Malad</v>
      </c>
      <c r="D530" s="18" t="str">
        <f>IFERROR(__xludf.DUMMYFUNCTION("""COMPUTED_VALUE"""),"Chicken Puff")</f>
        <v>Chicken Puff</v>
      </c>
      <c r="E530" s="18">
        <f>IFERROR(__xludf.DUMMYFUNCTION("""COMPUTED_VALUE"""),1.0)</f>
        <v>1</v>
      </c>
      <c r="F530" s="18" t="str">
        <f>IFERROR(__xludf.DUMMYFUNCTION("""COMPUTED_VALUE"""),"Tanvi Jain")</f>
        <v>Tanvi Jain</v>
      </c>
      <c r="G530" s="19">
        <f>IFERROR(__xludf.DUMMYFUNCTION("""COMPUTED_VALUE"""),45213.0)</f>
        <v>45213</v>
      </c>
      <c r="H530" s="18" t="str">
        <f>IFERROR(__xludf.DUMMYFUNCTION("""COMPUTED_VALUE"""),"Online Payment")</f>
        <v>Online Payment</v>
      </c>
      <c r="I530" s="18" t="str">
        <f>IFERROR(__xludf.DUMMYFUNCTION("""COMPUTED_VALUE"""),"Cancelled")</f>
        <v>Cancelled</v>
      </c>
      <c r="J530" s="18" t="str">
        <f>IFERROR(__xludf.DUMMYFUNCTION("""COMPUTED_VALUE"""),"Delayed Delivery")</f>
        <v>Delayed Delivery</v>
      </c>
      <c r="K530" s="18" t="str">
        <f>IFERROR(__xludf.DUMMYFUNCTION("""COMPUTED_VALUE"""),"Bad Weather Conditions")</f>
        <v>Bad Weather Conditions</v>
      </c>
      <c r="L530" s="18">
        <f>iferror(VLOOKUP($D530,Details!$A$2:$C$11,2,false),vlookup($D530,Details!$E$2:$G$11,2,false))</f>
        <v>90</v>
      </c>
      <c r="M530" s="18" t="str">
        <f>iferror(VLOOKUP($D530,Details!$A$2:$C$11,3,false),vlookup($D530,Details!$E$2:$G$11,3,false))</f>
        <v>Snacks and Drinks</v>
      </c>
      <c r="N530" s="18">
        <f t="shared" si="1"/>
        <v>90</v>
      </c>
      <c r="O530" s="17"/>
      <c r="P530" s="17"/>
      <c r="Q530" s="17"/>
      <c r="R530" s="17"/>
      <c r="S530" s="17"/>
      <c r="T530" s="17"/>
      <c r="U530" s="17"/>
      <c r="V530" s="17"/>
      <c r="W530" s="17"/>
      <c r="X530" s="17"/>
      <c r="Y530" s="17"/>
      <c r="Z530" s="17"/>
    </row>
    <row r="531">
      <c r="A531" s="18" t="str">
        <f>IFERROR(__xludf.DUMMYFUNCTION("""COMPUTED_VALUE"""),"ord_10522")</f>
        <v>ord_10522</v>
      </c>
      <c r="B531" s="18" t="str">
        <f>IFERROR(__xludf.DUMMYFUNCTION("""COMPUTED_VALUE"""),"Parth Goel")</f>
        <v>Parth Goel</v>
      </c>
      <c r="C531" s="18" t="str">
        <f>IFERROR(__xludf.DUMMYFUNCTION("""COMPUTED_VALUE"""),"Juhu")</f>
        <v>Juhu</v>
      </c>
      <c r="D531" s="18" t="str">
        <f>IFERROR(__xludf.DUMMYFUNCTION("""COMPUTED_VALUE"""),"Sweet Corn")</f>
        <v>Sweet Corn</v>
      </c>
      <c r="E531" s="18">
        <f>IFERROR(__xludf.DUMMYFUNCTION("""COMPUTED_VALUE"""),2.0)</f>
        <v>2</v>
      </c>
      <c r="F531" s="18" t="str">
        <f>IFERROR(__xludf.DUMMYFUNCTION("""COMPUTED_VALUE"""),"Not Assigned")</f>
        <v>Not Assigned</v>
      </c>
      <c r="G531" s="19">
        <f>IFERROR(__xludf.DUMMYFUNCTION("""COMPUTED_VALUE"""),45092.0)</f>
        <v>45092</v>
      </c>
      <c r="H531" s="18" t="str">
        <f>IFERROR(__xludf.DUMMYFUNCTION("""COMPUTED_VALUE"""),"Credit Card")</f>
        <v>Credit Card</v>
      </c>
      <c r="I531" s="18" t="str">
        <f>IFERROR(__xludf.DUMMYFUNCTION("""COMPUTED_VALUE"""),"Cancelled")</f>
        <v>Cancelled</v>
      </c>
      <c r="J531" s="18" t="str">
        <f>IFERROR(__xludf.DUMMYFUNCTION("""COMPUTED_VALUE"""),"Out of Stock")</f>
        <v>Out of Stock</v>
      </c>
      <c r="K531" s="18"/>
      <c r="L531" s="18">
        <f>iferror(VLOOKUP($D531,Details!$A$2:$C$11,2,false),vlookup($D531,Details!$E$2:$G$11,2,false))</f>
        <v>60</v>
      </c>
      <c r="M531" s="18" t="str">
        <f>iferror(VLOOKUP($D531,Details!$A$2:$C$11,3,false),vlookup($D531,Details!$E$2:$G$11,3,false))</f>
        <v>Fruits and Vegetables</v>
      </c>
      <c r="N531" s="18">
        <f t="shared" si="1"/>
        <v>120</v>
      </c>
      <c r="O531" s="17"/>
      <c r="P531" s="17"/>
      <c r="Q531" s="17"/>
      <c r="R531" s="17"/>
      <c r="S531" s="17"/>
      <c r="T531" s="17"/>
      <c r="U531" s="17"/>
      <c r="V531" s="17"/>
      <c r="W531" s="17"/>
      <c r="X531" s="17"/>
      <c r="Y531" s="17"/>
      <c r="Z531" s="17"/>
    </row>
    <row r="532">
      <c r="A532" s="18" t="str">
        <f>IFERROR(__xludf.DUMMYFUNCTION("""COMPUTED_VALUE"""),"ord_10523")</f>
        <v>ord_10523</v>
      </c>
      <c r="B532" s="18" t="str">
        <f>IFERROR(__xludf.DUMMYFUNCTION("""COMPUTED_VALUE"""),"Arvind Kulkarni")</f>
        <v>Arvind Kulkarni</v>
      </c>
      <c r="C532" s="18" t="str">
        <f>IFERROR(__xludf.DUMMYFUNCTION("""COMPUTED_VALUE"""),"Juhu")</f>
        <v>Juhu</v>
      </c>
      <c r="D532" s="18" t="str">
        <f>IFERROR(__xludf.DUMMYFUNCTION("""COMPUTED_VALUE"""),"Orange")</f>
        <v>Orange</v>
      </c>
      <c r="E532" s="18">
        <f>IFERROR(__xludf.DUMMYFUNCTION("""COMPUTED_VALUE"""),1.0)</f>
        <v>1</v>
      </c>
      <c r="F532" s="18" t="str">
        <f>IFERROR(__xludf.DUMMYFUNCTION("""COMPUTED_VALUE"""),"Ramesh S")</f>
        <v>Ramesh S</v>
      </c>
      <c r="G532" s="19">
        <f>IFERROR(__xludf.DUMMYFUNCTION("""COMPUTED_VALUE"""),45148.0)</f>
        <v>45148</v>
      </c>
      <c r="H532" s="18" t="str">
        <f>IFERROR(__xludf.DUMMYFUNCTION("""COMPUTED_VALUE"""),"COD")</f>
        <v>COD</v>
      </c>
      <c r="I532" s="18" t="str">
        <f>IFERROR(__xludf.DUMMYFUNCTION("""COMPUTED_VALUE"""),"Delivered")</f>
        <v>Delivered</v>
      </c>
      <c r="J532" s="18" t="str">
        <f>IFERROR(__xludf.DUMMYFUNCTION("""COMPUTED_VALUE"""),"Satisfied with the Delivery")</f>
        <v>Satisfied with the Delivery</v>
      </c>
      <c r="K532" s="18" t="str">
        <f>IFERROR(__xludf.DUMMYFUNCTION("""COMPUTED_VALUE"""),"Timely and quality")</f>
        <v>Timely and quality</v>
      </c>
      <c r="L532" s="18">
        <f>iferror(VLOOKUP($D532,Details!$A$2:$C$11,2,false),vlookup($D532,Details!$E$2:$G$11,2,false))</f>
        <v>180</v>
      </c>
      <c r="M532" s="18" t="str">
        <f>iferror(VLOOKUP($D532,Details!$A$2:$C$11,3,false),vlookup($D532,Details!$E$2:$G$11,3,false))</f>
        <v>Fruits and Vegetables</v>
      </c>
      <c r="N532" s="18">
        <f t="shared" si="1"/>
        <v>180</v>
      </c>
      <c r="O532" s="17"/>
      <c r="P532" s="17"/>
      <c r="Q532" s="17"/>
      <c r="R532" s="17"/>
      <c r="S532" s="17"/>
      <c r="T532" s="17"/>
      <c r="U532" s="17"/>
      <c r="V532" s="17"/>
      <c r="W532" s="17"/>
      <c r="X532" s="17"/>
      <c r="Y532" s="17"/>
      <c r="Z532" s="17"/>
    </row>
    <row r="533">
      <c r="A533" s="18" t="str">
        <f>IFERROR(__xludf.DUMMYFUNCTION("""COMPUTED_VALUE"""),"ord_10524")</f>
        <v>ord_10524</v>
      </c>
      <c r="B533" s="18" t="str">
        <f>IFERROR(__xludf.DUMMYFUNCTION("""COMPUTED_VALUE"""),"Aarav Mehta")</f>
        <v>Aarav Mehta</v>
      </c>
      <c r="C533" s="18" t="str">
        <f>IFERROR(__xludf.DUMMYFUNCTION("""COMPUTED_VALUE"""),"Andheri")</f>
        <v>Andheri</v>
      </c>
      <c r="D533" s="18" t="str">
        <f>IFERROR(__xludf.DUMMYFUNCTION("""COMPUTED_VALUE"""),"Apple")</f>
        <v>Apple</v>
      </c>
      <c r="E533" s="18">
        <f>IFERROR(__xludf.DUMMYFUNCTION("""COMPUTED_VALUE"""),1.0)</f>
        <v>1</v>
      </c>
      <c r="F533" s="18" t="str">
        <f>IFERROR(__xludf.DUMMYFUNCTION("""COMPUTED_VALUE"""),"Ramesh S")</f>
        <v>Ramesh S</v>
      </c>
      <c r="G533" s="19">
        <f>IFERROR(__xludf.DUMMYFUNCTION("""COMPUTED_VALUE"""),45261.0)</f>
        <v>45261</v>
      </c>
      <c r="H533" s="18" t="str">
        <f>IFERROR(__xludf.DUMMYFUNCTION("""COMPUTED_VALUE"""),"Credit Card")</f>
        <v>Credit Card</v>
      </c>
      <c r="I533" s="18" t="str">
        <f>IFERROR(__xludf.DUMMYFUNCTION("""COMPUTED_VALUE"""),"Delivered")</f>
        <v>Delivered</v>
      </c>
      <c r="J533" s="18" t="str">
        <f>IFERROR(__xludf.DUMMYFUNCTION("""COMPUTED_VALUE"""),"Customer Service")</f>
        <v>Customer Service</v>
      </c>
      <c r="K533" s="18" t="str">
        <f>IFERROR(__xludf.DUMMYFUNCTION("""COMPUTED_VALUE"""),"Seamless and easy")</f>
        <v>Seamless and easy</v>
      </c>
      <c r="L533" s="18">
        <f>iferror(VLOOKUP($D533,Details!$A$2:$C$11,2,false),vlookup($D533,Details!$E$2:$G$11,2,false))</f>
        <v>230</v>
      </c>
      <c r="M533" s="18" t="str">
        <f>iferror(VLOOKUP($D533,Details!$A$2:$C$11,3,false),vlookup($D533,Details!$E$2:$G$11,3,false))</f>
        <v>Fruits and Vegetables</v>
      </c>
      <c r="N533" s="18">
        <f t="shared" si="1"/>
        <v>230</v>
      </c>
      <c r="O533" s="17"/>
      <c r="P533" s="17"/>
      <c r="Q533" s="17"/>
      <c r="R533" s="17"/>
      <c r="S533" s="17"/>
      <c r="T533" s="17"/>
      <c r="U533" s="17"/>
      <c r="V533" s="17"/>
      <c r="W533" s="17"/>
      <c r="X533" s="17"/>
      <c r="Y533" s="17"/>
      <c r="Z533" s="17"/>
    </row>
    <row r="534">
      <c r="A534" s="18" t="str">
        <f>IFERROR(__xludf.DUMMYFUNCTION("""COMPUTED_VALUE"""),"ord_10525")</f>
        <v>ord_10525</v>
      </c>
      <c r="B534" s="18" t="str">
        <f>IFERROR(__xludf.DUMMYFUNCTION("""COMPUTED_VALUE"""),"Nitin Sehgal")</f>
        <v>Nitin Sehgal</v>
      </c>
      <c r="C534" s="18" t="str">
        <f>IFERROR(__xludf.DUMMYFUNCTION("""COMPUTED_VALUE"""),"Bandra")</f>
        <v>Bandra</v>
      </c>
      <c r="D534" s="18" t="str">
        <f>IFERROR(__xludf.DUMMYFUNCTION("""COMPUTED_VALUE"""),"Orange")</f>
        <v>Orange</v>
      </c>
      <c r="E534" s="18">
        <f>IFERROR(__xludf.DUMMYFUNCTION("""COMPUTED_VALUE"""),2.0)</f>
        <v>2</v>
      </c>
      <c r="F534" s="18" t="str">
        <f>IFERROR(__xludf.DUMMYFUNCTION("""COMPUTED_VALUE"""),"Sita T")</f>
        <v>Sita T</v>
      </c>
      <c r="G534" s="19">
        <f>IFERROR(__xludf.DUMMYFUNCTION("""COMPUTED_VALUE"""),45144.0)</f>
        <v>45144</v>
      </c>
      <c r="H534" s="18" t="str">
        <f>IFERROR(__xludf.DUMMYFUNCTION("""COMPUTED_VALUE"""),"Online Payment")</f>
        <v>Online Payment</v>
      </c>
      <c r="I534" s="18" t="str">
        <f>IFERROR(__xludf.DUMMYFUNCTION("""COMPUTED_VALUE"""),"Delivered")</f>
        <v>Delivered</v>
      </c>
      <c r="J534" s="18" t="str">
        <f>IFERROR(__xludf.DUMMYFUNCTION("""COMPUTED_VALUE"""),"Delivery Experience")</f>
        <v>Delivery Experience</v>
      </c>
      <c r="K534" s="18" t="str">
        <f>IFERROR(__xludf.DUMMYFUNCTION("""COMPUTED_VALUE"""),"Quick and professional")</f>
        <v>Quick and professional</v>
      </c>
      <c r="L534" s="18">
        <f>iferror(VLOOKUP($D534,Details!$A$2:$C$11,2,false),vlookup($D534,Details!$E$2:$G$11,2,false))</f>
        <v>180</v>
      </c>
      <c r="M534" s="18" t="str">
        <f>iferror(VLOOKUP($D534,Details!$A$2:$C$11,3,false),vlookup($D534,Details!$E$2:$G$11,3,false))</f>
        <v>Fruits and Vegetables</v>
      </c>
      <c r="N534" s="18">
        <f t="shared" si="1"/>
        <v>360</v>
      </c>
      <c r="O534" s="17"/>
      <c r="P534" s="17"/>
      <c r="Q534" s="17"/>
      <c r="R534" s="17"/>
      <c r="S534" s="17"/>
      <c r="T534" s="17"/>
      <c r="U534" s="17"/>
      <c r="V534" s="17"/>
      <c r="W534" s="17"/>
      <c r="X534" s="17"/>
      <c r="Y534" s="17"/>
      <c r="Z534" s="17"/>
    </row>
    <row r="535">
      <c r="A535" s="18" t="str">
        <f>IFERROR(__xludf.DUMMYFUNCTION("""COMPUTED_VALUE"""),"ord_10526")</f>
        <v>ord_10526</v>
      </c>
      <c r="B535" s="18" t="str">
        <f>IFERROR(__xludf.DUMMYFUNCTION("""COMPUTED_VALUE"""),"Arvind Kulkarni")</f>
        <v>Arvind Kulkarni</v>
      </c>
      <c r="C535" s="18" t="str">
        <f>IFERROR(__xludf.DUMMYFUNCTION("""COMPUTED_VALUE"""),"Juhu")</f>
        <v>Juhu</v>
      </c>
      <c r="D535" s="18" t="str">
        <f>IFERROR(__xludf.DUMMYFUNCTION("""COMPUTED_VALUE"""),"Icecream")</f>
        <v>Icecream</v>
      </c>
      <c r="E535" s="18">
        <f>IFERROR(__xludf.DUMMYFUNCTION("""COMPUTED_VALUE"""),3.0)</f>
        <v>3</v>
      </c>
      <c r="F535" s="18" t="str">
        <f>IFERROR(__xludf.DUMMYFUNCTION("""COMPUTED_VALUE"""),"Vivek Kumar")</f>
        <v>Vivek Kumar</v>
      </c>
      <c r="G535" s="19">
        <f>IFERROR(__xludf.DUMMYFUNCTION("""COMPUTED_VALUE"""),45243.0)</f>
        <v>45243</v>
      </c>
      <c r="H535" s="18" t="str">
        <f>IFERROR(__xludf.DUMMYFUNCTION("""COMPUTED_VALUE"""),"Credit Card")</f>
        <v>Credit Card</v>
      </c>
      <c r="I535" s="18" t="str">
        <f>IFERROR(__xludf.DUMMYFUNCTION("""COMPUTED_VALUE"""),"Cancelled")</f>
        <v>Cancelled</v>
      </c>
      <c r="J535" s="18" t="str">
        <f>IFERROR(__xludf.DUMMYFUNCTION("""COMPUTED_VALUE"""),"Delayed Delivery")</f>
        <v>Delayed Delivery</v>
      </c>
      <c r="K535" s="18" t="str">
        <f>IFERROR(__xludf.DUMMYFUNCTION("""COMPUTED_VALUE"""),"Incorrect Address or Location")</f>
        <v>Incorrect Address or Location</v>
      </c>
      <c r="L535" s="18">
        <f>iferror(VLOOKUP($D535,Details!$A$2:$C$11,2,false),vlookup($D535,Details!$E$2:$G$11,2,false))</f>
        <v>90</v>
      </c>
      <c r="M535" s="18" t="str">
        <f>iferror(VLOOKUP($D535,Details!$A$2:$C$11,3,false),vlookup($D535,Details!$E$2:$G$11,3,false))</f>
        <v>Snacks and Drinks</v>
      </c>
      <c r="N535" s="18">
        <f t="shared" si="1"/>
        <v>270</v>
      </c>
      <c r="O535" s="17"/>
      <c r="P535" s="17"/>
      <c r="Q535" s="17"/>
      <c r="R535" s="17"/>
      <c r="S535" s="17"/>
      <c r="T535" s="17"/>
      <c r="U535" s="17"/>
      <c r="V535" s="17"/>
      <c r="W535" s="17"/>
      <c r="X535" s="17"/>
      <c r="Y535" s="17"/>
      <c r="Z535" s="17"/>
    </row>
    <row r="536">
      <c r="A536" s="18" t="str">
        <f>IFERROR(__xludf.DUMMYFUNCTION("""COMPUTED_VALUE"""),"ord_10527")</f>
        <v>ord_10527</v>
      </c>
      <c r="B536" s="18" t="str">
        <f>IFERROR(__xludf.DUMMYFUNCTION("""COMPUTED_VALUE"""),"Anaya Rao")</f>
        <v>Anaya Rao</v>
      </c>
      <c r="C536" s="18" t="str">
        <f>IFERROR(__xludf.DUMMYFUNCTION("""COMPUTED_VALUE"""),"Colaba")</f>
        <v>Colaba</v>
      </c>
      <c r="D536" s="18" t="str">
        <f>IFERROR(__xludf.DUMMYFUNCTION("""COMPUTED_VALUE"""),"Tiramisu")</f>
        <v>Tiramisu</v>
      </c>
      <c r="E536" s="18">
        <f>IFERROR(__xludf.DUMMYFUNCTION("""COMPUTED_VALUE"""),1.0)</f>
        <v>1</v>
      </c>
      <c r="F536" s="18" t="str">
        <f>IFERROR(__xludf.DUMMYFUNCTION("""COMPUTED_VALUE"""),"Not Assigned")</f>
        <v>Not Assigned</v>
      </c>
      <c r="G536" s="19">
        <f>IFERROR(__xludf.DUMMYFUNCTION("""COMPUTED_VALUE"""),44981.0)</f>
        <v>44981</v>
      </c>
      <c r="H536" s="18" t="str">
        <f>IFERROR(__xludf.DUMMYFUNCTION("""COMPUTED_VALUE"""),"Online Payment")</f>
        <v>Online Payment</v>
      </c>
      <c r="I536" s="18" t="str">
        <f>IFERROR(__xludf.DUMMYFUNCTION("""COMPUTED_VALUE"""),"Cancelled")</f>
        <v>Cancelled</v>
      </c>
      <c r="J536" s="18" t="str">
        <f>IFERROR(__xludf.DUMMYFUNCTION("""COMPUTED_VALUE"""),"Out of Stock")</f>
        <v>Out of Stock</v>
      </c>
      <c r="K536" s="18"/>
      <c r="L536" s="18">
        <f>iferror(VLOOKUP($D536,Details!$A$2:$C$11,2,false),vlookup($D536,Details!$E$2:$G$11,2,false))</f>
        <v>150</v>
      </c>
      <c r="M536" s="18" t="str">
        <f>iferror(VLOOKUP($D536,Details!$A$2:$C$11,3,false),vlookup($D536,Details!$E$2:$G$11,3,false))</f>
        <v>Snacks and Drinks</v>
      </c>
      <c r="N536" s="18">
        <f t="shared" si="1"/>
        <v>150</v>
      </c>
      <c r="O536" s="17"/>
      <c r="P536" s="17"/>
      <c r="Q536" s="17"/>
      <c r="R536" s="17"/>
      <c r="S536" s="17"/>
      <c r="T536" s="17"/>
      <c r="U536" s="17"/>
      <c r="V536" s="17"/>
      <c r="W536" s="17"/>
      <c r="X536" s="17"/>
      <c r="Y536" s="17"/>
      <c r="Z536" s="17"/>
    </row>
    <row r="537">
      <c r="A537" s="18" t="str">
        <f>IFERROR(__xludf.DUMMYFUNCTION("""COMPUTED_VALUE"""),"ord_10528")</f>
        <v>ord_10528</v>
      </c>
      <c r="B537" s="18" t="str">
        <f>IFERROR(__xludf.DUMMYFUNCTION("""COMPUTED_VALUE"""),"Arvind Kulkarni")</f>
        <v>Arvind Kulkarni</v>
      </c>
      <c r="C537" s="18" t="str">
        <f>IFERROR(__xludf.DUMMYFUNCTION("""COMPUTED_VALUE"""),"Juhu")</f>
        <v>Juhu</v>
      </c>
      <c r="D537" s="18" t="str">
        <f>IFERROR(__xludf.DUMMYFUNCTION("""COMPUTED_VALUE"""),"Veg Puff")</f>
        <v>Veg Puff</v>
      </c>
      <c r="E537" s="18">
        <f>IFERROR(__xludf.DUMMYFUNCTION("""COMPUTED_VALUE"""),5.0)</f>
        <v>5</v>
      </c>
      <c r="F537" s="18" t="str">
        <f>IFERROR(__xludf.DUMMYFUNCTION("""COMPUTED_VALUE"""),"Tanvi Jain")</f>
        <v>Tanvi Jain</v>
      </c>
      <c r="G537" s="19">
        <f>IFERROR(__xludf.DUMMYFUNCTION("""COMPUTED_VALUE"""),45158.0)</f>
        <v>45158</v>
      </c>
      <c r="H537" s="18" t="str">
        <f>IFERROR(__xludf.DUMMYFUNCTION("""COMPUTED_VALUE"""),"Credit Card")</f>
        <v>Credit Card</v>
      </c>
      <c r="I537" s="18" t="str">
        <f>IFERROR(__xludf.DUMMYFUNCTION("""COMPUTED_VALUE"""),"Cancelled")</f>
        <v>Cancelled</v>
      </c>
      <c r="J537" s="18" t="str">
        <f>IFERROR(__xludf.DUMMYFUNCTION("""COMPUTED_VALUE"""),"Delayed Delivery")</f>
        <v>Delayed Delivery</v>
      </c>
      <c r="K537" s="18" t="str">
        <f>IFERROR(__xludf.DUMMYFUNCTION("""COMPUTED_VALUE"""),"Heavy Traffic")</f>
        <v>Heavy Traffic</v>
      </c>
      <c r="L537" s="18">
        <f>iferror(VLOOKUP($D537,Details!$A$2:$C$11,2,false),vlookup($D537,Details!$E$2:$G$11,2,false))</f>
        <v>80</v>
      </c>
      <c r="M537" s="18" t="str">
        <f>iferror(VLOOKUP($D537,Details!$A$2:$C$11,3,false),vlookup($D537,Details!$E$2:$G$11,3,false))</f>
        <v>Snacks and Drinks</v>
      </c>
      <c r="N537" s="18">
        <f t="shared" si="1"/>
        <v>400</v>
      </c>
      <c r="O537" s="17"/>
      <c r="P537" s="17"/>
      <c r="Q537" s="17"/>
      <c r="R537" s="17"/>
      <c r="S537" s="17"/>
      <c r="T537" s="17"/>
      <c r="U537" s="17"/>
      <c r="V537" s="17"/>
      <c r="W537" s="17"/>
      <c r="X537" s="17"/>
      <c r="Y537" s="17"/>
      <c r="Z537" s="17"/>
    </row>
    <row r="538">
      <c r="A538" s="18" t="str">
        <f>IFERROR(__xludf.DUMMYFUNCTION("""COMPUTED_VALUE"""),"ord_10529")</f>
        <v>ord_10529</v>
      </c>
      <c r="B538" s="18" t="str">
        <f>IFERROR(__xludf.DUMMYFUNCTION("""COMPUTED_VALUE"""),"Siya Reddy")</f>
        <v>Siya Reddy</v>
      </c>
      <c r="C538" s="18" t="str">
        <f>IFERROR(__xludf.DUMMYFUNCTION("""COMPUTED_VALUE"""),"Juhu")</f>
        <v>Juhu</v>
      </c>
      <c r="D538" s="18" t="str">
        <f>IFERROR(__xludf.DUMMYFUNCTION("""COMPUTED_VALUE"""),"Sweet Corn")</f>
        <v>Sweet Corn</v>
      </c>
      <c r="E538" s="18">
        <f>IFERROR(__xludf.DUMMYFUNCTION("""COMPUTED_VALUE"""),1.0)</f>
        <v>1</v>
      </c>
      <c r="F538" s="18" t="str">
        <f>IFERROR(__xludf.DUMMYFUNCTION("""COMPUTED_VALUE"""),"Not Assigned")</f>
        <v>Not Assigned</v>
      </c>
      <c r="G538" s="19">
        <f>IFERROR(__xludf.DUMMYFUNCTION("""COMPUTED_VALUE"""),45224.0)</f>
        <v>45224</v>
      </c>
      <c r="H538" s="18" t="str">
        <f>IFERROR(__xludf.DUMMYFUNCTION("""COMPUTED_VALUE"""),"Credit Card")</f>
        <v>Credit Card</v>
      </c>
      <c r="I538" s="18" t="str">
        <f>IFERROR(__xludf.DUMMYFUNCTION("""COMPUTED_VALUE"""),"Cancelled")</f>
        <v>Cancelled</v>
      </c>
      <c r="J538" s="18" t="str">
        <f>IFERROR(__xludf.DUMMYFUNCTION("""COMPUTED_VALUE"""),"App Glitches")</f>
        <v>App Glitches</v>
      </c>
      <c r="K538" s="18" t="str">
        <f>IFERROR(__xludf.DUMMYFUNCTION("""COMPUTED_VALUE"""),"App Freezes")</f>
        <v>App Freezes</v>
      </c>
      <c r="L538" s="18">
        <f>iferror(VLOOKUP($D538,Details!$A$2:$C$11,2,false),vlookup($D538,Details!$E$2:$G$11,2,false))</f>
        <v>60</v>
      </c>
      <c r="M538" s="18" t="str">
        <f>iferror(VLOOKUP($D538,Details!$A$2:$C$11,3,false),vlookup($D538,Details!$E$2:$G$11,3,false))</f>
        <v>Fruits and Vegetables</v>
      </c>
      <c r="N538" s="18">
        <f t="shared" si="1"/>
        <v>60</v>
      </c>
      <c r="O538" s="17"/>
      <c r="P538" s="17"/>
      <c r="Q538" s="17"/>
      <c r="R538" s="17"/>
      <c r="S538" s="17"/>
      <c r="T538" s="17"/>
      <c r="U538" s="17"/>
      <c r="V538" s="17"/>
      <c r="W538" s="17"/>
      <c r="X538" s="17"/>
      <c r="Y538" s="17"/>
      <c r="Z538" s="17"/>
    </row>
    <row r="539">
      <c r="A539" s="18" t="str">
        <f>IFERROR(__xludf.DUMMYFUNCTION("""COMPUTED_VALUE"""),"ord_10530")</f>
        <v>ord_10530</v>
      </c>
      <c r="B539" s="18" t="str">
        <f>IFERROR(__xludf.DUMMYFUNCTION("""COMPUTED_VALUE"""),"Diya Arora")</f>
        <v>Diya Arora</v>
      </c>
      <c r="C539" s="18" t="str">
        <f>IFERROR(__xludf.DUMMYFUNCTION("""COMPUTED_VALUE"""),"Lower Parel")</f>
        <v>Lower Parel</v>
      </c>
      <c r="D539" s="18" t="str">
        <f>IFERROR(__xludf.DUMMYFUNCTION("""COMPUTED_VALUE"""),"Rasmalai")</f>
        <v>Rasmalai</v>
      </c>
      <c r="E539" s="18">
        <f>IFERROR(__xludf.DUMMYFUNCTION("""COMPUTED_VALUE"""),4.0)</f>
        <v>4</v>
      </c>
      <c r="F539" s="18" t="str">
        <f>IFERROR(__xludf.DUMMYFUNCTION("""COMPUTED_VALUE"""),"Not Assigned")</f>
        <v>Not Assigned</v>
      </c>
      <c r="G539" s="19">
        <f>IFERROR(__xludf.DUMMYFUNCTION("""COMPUTED_VALUE"""),45245.0)</f>
        <v>45245</v>
      </c>
      <c r="H539" s="18" t="str">
        <f>IFERROR(__xludf.DUMMYFUNCTION("""COMPUTED_VALUE"""),"Online Payment")</f>
        <v>Online Payment</v>
      </c>
      <c r="I539" s="18" t="str">
        <f>IFERROR(__xludf.DUMMYFUNCTION("""COMPUTED_VALUE"""),"Cancelled")</f>
        <v>Cancelled</v>
      </c>
      <c r="J539" s="18" t="str">
        <f>IFERROR(__xludf.DUMMYFUNCTION("""COMPUTED_VALUE"""),"App Glitches")</f>
        <v>App Glitches</v>
      </c>
      <c r="K539" s="18" t="str">
        <f>IFERROR(__xludf.DUMMYFUNCTION("""COMPUTED_VALUE"""),"Error Messages")</f>
        <v>Error Messages</v>
      </c>
      <c r="L539" s="18">
        <f>iferror(VLOOKUP($D539,Details!$A$2:$C$11,2,false),vlookup($D539,Details!$E$2:$G$11,2,false))</f>
        <v>110</v>
      </c>
      <c r="M539" s="18" t="str">
        <f>iferror(VLOOKUP($D539,Details!$A$2:$C$11,3,false),vlookup($D539,Details!$E$2:$G$11,3,false))</f>
        <v>Snacks and Drinks</v>
      </c>
      <c r="N539" s="18">
        <f t="shared" si="1"/>
        <v>440</v>
      </c>
      <c r="O539" s="17"/>
      <c r="P539" s="17"/>
      <c r="Q539" s="17"/>
      <c r="R539" s="17"/>
      <c r="S539" s="17"/>
      <c r="T539" s="17"/>
      <c r="U539" s="17"/>
      <c r="V539" s="17"/>
      <c r="W539" s="17"/>
      <c r="X539" s="17"/>
      <c r="Y539" s="17"/>
      <c r="Z539" s="17"/>
    </row>
    <row r="540">
      <c r="A540" s="18" t="str">
        <f>IFERROR(__xludf.DUMMYFUNCTION("""COMPUTED_VALUE"""),"ord_10531")</f>
        <v>ord_10531</v>
      </c>
      <c r="B540" s="18" t="str">
        <f>IFERROR(__xludf.DUMMYFUNCTION("""COMPUTED_VALUE"""),"Kritika Shetty")</f>
        <v>Kritika Shetty</v>
      </c>
      <c r="C540" s="18" t="str">
        <f>IFERROR(__xludf.DUMMYFUNCTION("""COMPUTED_VALUE"""),"Malad")</f>
        <v>Malad</v>
      </c>
      <c r="D540" s="18" t="str">
        <f>IFERROR(__xludf.DUMMYFUNCTION("""COMPUTED_VALUE"""),"Sweet Corn")</f>
        <v>Sweet Corn</v>
      </c>
      <c r="E540" s="18">
        <f>IFERROR(__xludf.DUMMYFUNCTION("""COMPUTED_VALUE"""),1.0)</f>
        <v>1</v>
      </c>
      <c r="F540" s="18" t="str">
        <f>IFERROR(__xludf.DUMMYFUNCTION("""COMPUTED_VALUE"""),"Ram Gopal")</f>
        <v>Ram Gopal</v>
      </c>
      <c r="G540" s="19">
        <f>IFERROR(__xludf.DUMMYFUNCTION("""COMPUTED_VALUE"""),45248.0)</f>
        <v>45248</v>
      </c>
      <c r="H540" s="18" t="str">
        <f>IFERROR(__xludf.DUMMYFUNCTION("""COMPUTED_VALUE"""),"Online Payment")</f>
        <v>Online Payment</v>
      </c>
      <c r="I540" s="18" t="str">
        <f>IFERROR(__xludf.DUMMYFUNCTION("""COMPUTED_VALUE"""),"Cancelled")</f>
        <v>Cancelled</v>
      </c>
      <c r="J540" s="18" t="str">
        <f>IFERROR(__xludf.DUMMYFUNCTION("""COMPUTED_VALUE"""),"Delayed Delivery")</f>
        <v>Delayed Delivery</v>
      </c>
      <c r="K540" s="18" t="str">
        <f>IFERROR(__xludf.DUMMYFUNCTION("""COMPUTED_VALUE"""),"High Order Volume")</f>
        <v>High Order Volume</v>
      </c>
      <c r="L540" s="18">
        <f>iferror(VLOOKUP($D540,Details!$A$2:$C$11,2,false),vlookup($D540,Details!$E$2:$G$11,2,false))</f>
        <v>60</v>
      </c>
      <c r="M540" s="18" t="str">
        <f>iferror(VLOOKUP($D540,Details!$A$2:$C$11,3,false),vlookup($D540,Details!$E$2:$G$11,3,false))</f>
        <v>Fruits and Vegetables</v>
      </c>
      <c r="N540" s="18">
        <f t="shared" si="1"/>
        <v>60</v>
      </c>
      <c r="O540" s="17"/>
      <c r="P540" s="17"/>
      <c r="Q540" s="17"/>
      <c r="R540" s="17"/>
      <c r="S540" s="17"/>
      <c r="T540" s="17"/>
      <c r="U540" s="17"/>
      <c r="V540" s="17"/>
      <c r="W540" s="17"/>
      <c r="X540" s="17"/>
      <c r="Y540" s="17"/>
      <c r="Z540" s="17"/>
    </row>
    <row r="541">
      <c r="A541" s="18" t="str">
        <f>IFERROR(__xludf.DUMMYFUNCTION("""COMPUTED_VALUE"""),"ord_10532")</f>
        <v>ord_10532</v>
      </c>
      <c r="B541" s="18" t="str">
        <f>IFERROR(__xludf.DUMMYFUNCTION("""COMPUTED_VALUE"""),"Parth Goel")</f>
        <v>Parth Goel</v>
      </c>
      <c r="C541" s="18" t="str">
        <f>IFERROR(__xludf.DUMMYFUNCTION("""COMPUTED_VALUE"""),"Juhu")</f>
        <v>Juhu</v>
      </c>
      <c r="D541" s="18" t="str">
        <f>IFERROR(__xludf.DUMMYFUNCTION("""COMPUTED_VALUE"""),"Popcorn")</f>
        <v>Popcorn</v>
      </c>
      <c r="E541" s="18">
        <f>IFERROR(__xludf.DUMMYFUNCTION("""COMPUTED_VALUE"""),4.0)</f>
        <v>4</v>
      </c>
      <c r="F541" s="18" t="str">
        <f>IFERROR(__xludf.DUMMYFUNCTION("""COMPUTED_VALUE"""),"Tanvi Jain")</f>
        <v>Tanvi Jain</v>
      </c>
      <c r="G541" s="19">
        <f>IFERROR(__xludf.DUMMYFUNCTION("""COMPUTED_VALUE"""),45068.0)</f>
        <v>45068</v>
      </c>
      <c r="H541" s="18" t="str">
        <f>IFERROR(__xludf.DUMMYFUNCTION("""COMPUTED_VALUE"""),"COD")</f>
        <v>COD</v>
      </c>
      <c r="I541" s="18" t="str">
        <f>IFERROR(__xludf.DUMMYFUNCTION("""COMPUTED_VALUE"""),"Delivered")</f>
        <v>Delivered</v>
      </c>
      <c r="J541" s="18" t="str">
        <f>IFERROR(__xludf.DUMMYFUNCTION("""COMPUTED_VALUE"""),"Convenience")</f>
        <v>Convenience</v>
      </c>
      <c r="K541" s="18" t="str">
        <f>IFERROR(__xludf.DUMMYFUNCTION("""COMPUTED_VALUE"""),"Easy tracking")</f>
        <v>Easy tracking</v>
      </c>
      <c r="L541" s="18">
        <f>iferror(VLOOKUP($D541,Details!$A$2:$C$11,2,false),vlookup($D541,Details!$E$2:$G$11,2,false))</f>
        <v>150</v>
      </c>
      <c r="M541" s="18" t="str">
        <f>iferror(VLOOKUP($D541,Details!$A$2:$C$11,3,false),vlookup($D541,Details!$E$2:$G$11,3,false))</f>
        <v>Snacks and Drinks</v>
      </c>
      <c r="N541" s="18">
        <f t="shared" si="1"/>
        <v>600</v>
      </c>
      <c r="O541" s="17"/>
      <c r="P541" s="17"/>
      <c r="Q541" s="17"/>
      <c r="R541" s="17"/>
      <c r="S541" s="17"/>
      <c r="T541" s="17"/>
      <c r="U541" s="17"/>
      <c r="V541" s="17"/>
      <c r="W541" s="17"/>
      <c r="X541" s="17"/>
      <c r="Y541" s="17"/>
      <c r="Z541" s="17"/>
    </row>
    <row r="542">
      <c r="A542" s="18" t="str">
        <f>IFERROR(__xludf.DUMMYFUNCTION("""COMPUTED_VALUE"""),"ord_10533")</f>
        <v>ord_10533</v>
      </c>
      <c r="B542" s="18" t="str">
        <f>IFERROR(__xludf.DUMMYFUNCTION("""COMPUTED_VALUE"""),"Siya Reddy")</f>
        <v>Siya Reddy</v>
      </c>
      <c r="C542" s="18" t="str">
        <f>IFERROR(__xludf.DUMMYFUNCTION("""COMPUTED_VALUE"""),"Juhu")</f>
        <v>Juhu</v>
      </c>
      <c r="D542" s="18" t="str">
        <f>IFERROR(__xludf.DUMMYFUNCTION("""COMPUTED_VALUE"""),"Rasmalai")</f>
        <v>Rasmalai</v>
      </c>
      <c r="E542" s="18">
        <f>IFERROR(__xludf.DUMMYFUNCTION("""COMPUTED_VALUE"""),4.0)</f>
        <v>4</v>
      </c>
      <c r="F542" s="18" t="str">
        <f>IFERROR(__xludf.DUMMYFUNCTION("""COMPUTED_VALUE"""),"Tanvi Jain")</f>
        <v>Tanvi Jain</v>
      </c>
      <c r="G542" s="19">
        <f>IFERROR(__xludf.DUMMYFUNCTION("""COMPUTED_VALUE"""),45248.0)</f>
        <v>45248</v>
      </c>
      <c r="H542" s="18" t="str">
        <f>IFERROR(__xludf.DUMMYFUNCTION("""COMPUTED_VALUE"""),"Online Payment")</f>
        <v>Online Payment</v>
      </c>
      <c r="I542" s="18" t="str">
        <f>IFERROR(__xludf.DUMMYFUNCTION("""COMPUTED_VALUE"""),"Delivered")</f>
        <v>Delivered</v>
      </c>
      <c r="J542" s="18" t="str">
        <f>IFERROR(__xludf.DUMMYFUNCTION("""COMPUTED_VALUE"""),"Overall Satisfaction")</f>
        <v>Overall Satisfaction</v>
      </c>
      <c r="K542" s="18" t="str">
        <f>IFERROR(__xludf.DUMMYFUNCTION("""COMPUTED_VALUE"""),"Great service will order again")</f>
        <v>Great service will order again</v>
      </c>
      <c r="L542" s="18">
        <f>iferror(VLOOKUP($D542,Details!$A$2:$C$11,2,false),vlookup($D542,Details!$E$2:$G$11,2,false))</f>
        <v>110</v>
      </c>
      <c r="M542" s="18" t="str">
        <f>iferror(VLOOKUP($D542,Details!$A$2:$C$11,3,false),vlookup($D542,Details!$E$2:$G$11,3,false))</f>
        <v>Snacks and Drinks</v>
      </c>
      <c r="N542" s="18">
        <f t="shared" si="1"/>
        <v>440</v>
      </c>
      <c r="O542" s="17"/>
      <c r="P542" s="17"/>
      <c r="Q542" s="17"/>
      <c r="R542" s="17"/>
      <c r="S542" s="17"/>
      <c r="T542" s="17"/>
      <c r="U542" s="17"/>
      <c r="V542" s="17"/>
      <c r="W542" s="17"/>
      <c r="X542" s="17"/>
      <c r="Y542" s="17"/>
      <c r="Z542" s="17"/>
    </row>
    <row r="543">
      <c r="A543" s="18" t="str">
        <f>IFERROR(__xludf.DUMMYFUNCTION("""COMPUTED_VALUE"""),"ord_10534")</f>
        <v>ord_10534</v>
      </c>
      <c r="B543" s="18" t="str">
        <f>IFERROR(__xludf.DUMMYFUNCTION("""COMPUTED_VALUE"""),"Aditi Iyer")</f>
        <v>Aditi Iyer</v>
      </c>
      <c r="C543" s="18" t="str">
        <f>IFERROR(__xludf.DUMMYFUNCTION("""COMPUTED_VALUE"""),"Dadar")</f>
        <v>Dadar</v>
      </c>
      <c r="D543" s="18" t="str">
        <f>IFERROR(__xludf.DUMMYFUNCTION("""COMPUTED_VALUE"""),"Chicken Puff")</f>
        <v>Chicken Puff</v>
      </c>
      <c r="E543" s="18">
        <f>IFERROR(__xludf.DUMMYFUNCTION("""COMPUTED_VALUE"""),1.0)</f>
        <v>1</v>
      </c>
      <c r="F543" s="18" t="str">
        <f>IFERROR(__xludf.DUMMYFUNCTION("""COMPUTED_VALUE"""),"Tanvi Jain")</f>
        <v>Tanvi Jain</v>
      </c>
      <c r="G543" s="19">
        <f>IFERROR(__xludf.DUMMYFUNCTION("""COMPUTED_VALUE"""),45119.0)</f>
        <v>45119</v>
      </c>
      <c r="H543" s="18" t="str">
        <f>IFERROR(__xludf.DUMMYFUNCTION("""COMPUTED_VALUE"""),"Credit Card")</f>
        <v>Credit Card</v>
      </c>
      <c r="I543" s="18" t="str">
        <f>IFERROR(__xludf.DUMMYFUNCTION("""COMPUTED_VALUE"""),"Cancelled")</f>
        <v>Cancelled</v>
      </c>
      <c r="J543" s="18" t="str">
        <f>IFERROR(__xludf.DUMMYFUNCTION("""COMPUTED_VALUE"""),"Delayed Delivery")</f>
        <v>Delayed Delivery</v>
      </c>
      <c r="K543" s="18" t="str">
        <f>IFERROR(__xludf.DUMMYFUNCTION("""COMPUTED_VALUE"""),"Vehicle Breakdown")</f>
        <v>Vehicle Breakdown</v>
      </c>
      <c r="L543" s="18">
        <f>iferror(VLOOKUP($D543,Details!$A$2:$C$11,2,false),vlookup($D543,Details!$E$2:$G$11,2,false))</f>
        <v>90</v>
      </c>
      <c r="M543" s="18" t="str">
        <f>iferror(VLOOKUP($D543,Details!$A$2:$C$11,3,false),vlookup($D543,Details!$E$2:$G$11,3,false))</f>
        <v>Snacks and Drinks</v>
      </c>
      <c r="N543" s="18">
        <f t="shared" si="1"/>
        <v>90</v>
      </c>
      <c r="O543" s="17"/>
      <c r="P543" s="17"/>
      <c r="Q543" s="17"/>
      <c r="R543" s="17"/>
      <c r="S543" s="17"/>
      <c r="T543" s="17"/>
      <c r="U543" s="17"/>
      <c r="V543" s="17"/>
      <c r="W543" s="17"/>
      <c r="X543" s="17"/>
      <c r="Y543" s="17"/>
      <c r="Z543" s="17"/>
    </row>
    <row r="544">
      <c r="A544" s="18" t="str">
        <f>IFERROR(__xludf.DUMMYFUNCTION("""COMPUTED_VALUE"""),"ord_10535")</f>
        <v>ord_10535</v>
      </c>
      <c r="B544" s="18" t="str">
        <f>IFERROR(__xludf.DUMMYFUNCTION("""COMPUTED_VALUE"""),"Kritika Shetty")</f>
        <v>Kritika Shetty</v>
      </c>
      <c r="C544" s="18" t="str">
        <f>IFERROR(__xludf.DUMMYFUNCTION("""COMPUTED_VALUE"""),"Malad")</f>
        <v>Malad</v>
      </c>
      <c r="D544" s="18" t="str">
        <f>IFERROR(__xludf.DUMMYFUNCTION("""COMPUTED_VALUE"""),"Sweet Corn")</f>
        <v>Sweet Corn</v>
      </c>
      <c r="E544" s="18">
        <f>IFERROR(__xludf.DUMMYFUNCTION("""COMPUTED_VALUE"""),1.0)</f>
        <v>1</v>
      </c>
      <c r="F544" s="18" t="str">
        <f>IFERROR(__xludf.DUMMYFUNCTION("""COMPUTED_VALUE"""),"Not Assigned")</f>
        <v>Not Assigned</v>
      </c>
      <c r="G544" s="19">
        <f>IFERROR(__xludf.DUMMYFUNCTION("""COMPUTED_VALUE"""),45256.0)</f>
        <v>45256</v>
      </c>
      <c r="H544" s="18" t="str">
        <f>IFERROR(__xludf.DUMMYFUNCTION("""COMPUTED_VALUE"""),"Credit Card")</f>
        <v>Credit Card</v>
      </c>
      <c r="I544" s="18" t="str">
        <f>IFERROR(__xludf.DUMMYFUNCTION("""COMPUTED_VALUE"""),"Cancelled")</f>
        <v>Cancelled</v>
      </c>
      <c r="J544" s="18" t="str">
        <f>IFERROR(__xludf.DUMMYFUNCTION("""COMPUTED_VALUE"""),"App Glitches")</f>
        <v>App Glitches</v>
      </c>
      <c r="K544" s="18" t="str">
        <f>IFERROR(__xludf.DUMMYFUNCTION("""COMPUTED_VALUE"""),"Payment Button Malfunction")</f>
        <v>Payment Button Malfunction</v>
      </c>
      <c r="L544" s="18">
        <f>iferror(VLOOKUP($D544,Details!$A$2:$C$11,2,false),vlookup($D544,Details!$E$2:$G$11,2,false))</f>
        <v>60</v>
      </c>
      <c r="M544" s="18" t="str">
        <f>iferror(VLOOKUP($D544,Details!$A$2:$C$11,3,false),vlookup($D544,Details!$E$2:$G$11,3,false))</f>
        <v>Fruits and Vegetables</v>
      </c>
      <c r="N544" s="18">
        <f t="shared" si="1"/>
        <v>60</v>
      </c>
      <c r="O544" s="17"/>
      <c r="P544" s="17"/>
      <c r="Q544" s="17"/>
      <c r="R544" s="17"/>
      <c r="S544" s="17"/>
      <c r="T544" s="17"/>
      <c r="U544" s="17"/>
      <c r="V544" s="17"/>
      <c r="W544" s="17"/>
      <c r="X544" s="17"/>
      <c r="Y544" s="17"/>
      <c r="Z544" s="17"/>
    </row>
    <row r="545">
      <c r="A545" s="18" t="str">
        <f>IFERROR(__xludf.DUMMYFUNCTION("""COMPUTED_VALUE"""),"ord_10536")</f>
        <v>ord_10536</v>
      </c>
      <c r="B545" s="18" t="str">
        <f>IFERROR(__xludf.DUMMYFUNCTION("""COMPUTED_VALUE"""),"Sakshi Tandon")</f>
        <v>Sakshi Tandon</v>
      </c>
      <c r="C545" s="18" t="str">
        <f>IFERROR(__xludf.DUMMYFUNCTION("""COMPUTED_VALUE"""),"Colaba")</f>
        <v>Colaba</v>
      </c>
      <c r="D545" s="18" t="str">
        <f>IFERROR(__xludf.DUMMYFUNCTION("""COMPUTED_VALUE"""),"Banana")</f>
        <v>Banana</v>
      </c>
      <c r="E545" s="18">
        <f>IFERROR(__xludf.DUMMYFUNCTION("""COMPUTED_VALUE"""),2.0)</f>
        <v>2</v>
      </c>
      <c r="F545" s="18" t="str">
        <f>IFERROR(__xludf.DUMMYFUNCTION("""COMPUTED_VALUE"""),"Not Assigned")</f>
        <v>Not Assigned</v>
      </c>
      <c r="G545" s="19">
        <f>IFERROR(__xludf.DUMMYFUNCTION("""COMPUTED_VALUE"""),45144.0)</f>
        <v>45144</v>
      </c>
      <c r="H545" s="18" t="str">
        <f>IFERROR(__xludf.DUMMYFUNCTION("""COMPUTED_VALUE"""),"Online Payment")</f>
        <v>Online Payment</v>
      </c>
      <c r="I545" s="18" t="str">
        <f>IFERROR(__xludf.DUMMYFUNCTION("""COMPUTED_VALUE"""),"Cancelled")</f>
        <v>Cancelled</v>
      </c>
      <c r="J545" s="18" t="str">
        <f>IFERROR(__xludf.DUMMYFUNCTION("""COMPUTED_VALUE"""),"App Glitches")</f>
        <v>App Glitches</v>
      </c>
      <c r="K545" s="18" t="str">
        <f>IFERROR(__xludf.DUMMYFUNCTION("""COMPUTED_VALUE"""),"Slow Loading Time")</f>
        <v>Slow Loading Time</v>
      </c>
      <c r="L545" s="18">
        <f>iferror(VLOOKUP($D545,Details!$A$2:$C$11,2,false),vlookup($D545,Details!$E$2:$G$11,2,false))</f>
        <v>80</v>
      </c>
      <c r="M545" s="18" t="str">
        <f>iferror(VLOOKUP($D545,Details!$A$2:$C$11,3,false),vlookup($D545,Details!$E$2:$G$11,3,false))</f>
        <v>Fruits and Vegetables</v>
      </c>
      <c r="N545" s="18">
        <f t="shared" si="1"/>
        <v>160</v>
      </c>
      <c r="O545" s="17"/>
      <c r="P545" s="17"/>
      <c r="Q545" s="17"/>
      <c r="R545" s="17"/>
      <c r="S545" s="17"/>
      <c r="T545" s="17"/>
      <c r="U545" s="17"/>
      <c r="V545" s="17"/>
      <c r="W545" s="17"/>
      <c r="X545" s="17"/>
      <c r="Y545" s="17"/>
      <c r="Z545" s="17"/>
    </row>
    <row r="546">
      <c r="A546" s="18" t="str">
        <f>IFERROR(__xludf.DUMMYFUNCTION("""COMPUTED_VALUE"""),"ord_10537")</f>
        <v>ord_10537</v>
      </c>
      <c r="B546" s="18" t="str">
        <f>IFERROR(__xludf.DUMMYFUNCTION("""COMPUTED_VALUE"""),"Tanishq Bansal")</f>
        <v>Tanishq Bansal</v>
      </c>
      <c r="C546" s="18" t="str">
        <f>IFERROR(__xludf.DUMMYFUNCTION("""COMPUTED_VALUE"""),"Powai")</f>
        <v>Powai</v>
      </c>
      <c r="D546" s="18" t="str">
        <f>IFERROR(__xludf.DUMMYFUNCTION("""COMPUTED_VALUE"""),"Cold Coffee")</f>
        <v>Cold Coffee</v>
      </c>
      <c r="E546" s="18">
        <f>IFERROR(__xludf.DUMMYFUNCTION("""COMPUTED_VALUE"""),2.0)</f>
        <v>2</v>
      </c>
      <c r="F546" s="18" t="str">
        <f>IFERROR(__xludf.DUMMYFUNCTION("""COMPUTED_VALUE"""),"Nithin Lal")</f>
        <v>Nithin Lal</v>
      </c>
      <c r="G546" s="19">
        <f>IFERROR(__xludf.DUMMYFUNCTION("""COMPUTED_VALUE"""),44972.0)</f>
        <v>44972</v>
      </c>
      <c r="H546" s="18" t="str">
        <f>IFERROR(__xludf.DUMMYFUNCTION("""COMPUTED_VALUE"""),"UPI")</f>
        <v>UPI</v>
      </c>
      <c r="I546" s="18" t="str">
        <f>IFERROR(__xludf.DUMMYFUNCTION("""COMPUTED_VALUE"""),"Cancelled")</f>
        <v>Cancelled</v>
      </c>
      <c r="J546" s="18" t="str">
        <f>IFERROR(__xludf.DUMMYFUNCTION("""COMPUTED_VALUE"""),"Delayed Delivery")</f>
        <v>Delayed Delivery</v>
      </c>
      <c r="K546" s="18" t="str">
        <f>IFERROR(__xludf.DUMMYFUNCTION("""COMPUTED_VALUE"""),"Heavy Traffic")</f>
        <v>Heavy Traffic</v>
      </c>
      <c r="L546" s="18">
        <f>iferror(VLOOKUP($D546,Details!$A$2:$C$11,2,false),vlookup($D546,Details!$E$2:$G$11,2,false))</f>
        <v>270</v>
      </c>
      <c r="M546" s="18" t="str">
        <f>iferror(VLOOKUP($D546,Details!$A$2:$C$11,3,false),vlookup($D546,Details!$E$2:$G$11,3,false))</f>
        <v>Snacks and Drinks</v>
      </c>
      <c r="N546" s="18">
        <f t="shared" si="1"/>
        <v>540</v>
      </c>
      <c r="O546" s="17"/>
      <c r="P546" s="17"/>
      <c r="Q546" s="17"/>
      <c r="R546" s="17"/>
      <c r="S546" s="17"/>
      <c r="T546" s="17"/>
      <c r="U546" s="17"/>
      <c r="V546" s="17"/>
      <c r="W546" s="17"/>
      <c r="X546" s="17"/>
      <c r="Y546" s="17"/>
      <c r="Z546" s="17"/>
    </row>
    <row r="547">
      <c r="A547" s="18" t="str">
        <f>IFERROR(__xludf.DUMMYFUNCTION("""COMPUTED_VALUE"""),"ord_10538")</f>
        <v>ord_10538</v>
      </c>
      <c r="B547" s="18" t="str">
        <f>IFERROR(__xludf.DUMMYFUNCTION("""COMPUTED_VALUE"""),"Siya Reddy")</f>
        <v>Siya Reddy</v>
      </c>
      <c r="C547" s="18" t="str">
        <f>IFERROR(__xludf.DUMMYFUNCTION("""COMPUTED_VALUE"""),"Juhu")</f>
        <v>Juhu</v>
      </c>
      <c r="D547" s="18" t="str">
        <f>IFERROR(__xludf.DUMMYFUNCTION("""COMPUTED_VALUE"""),"Popcorn")</f>
        <v>Popcorn</v>
      </c>
      <c r="E547" s="18">
        <f>IFERROR(__xludf.DUMMYFUNCTION("""COMPUTED_VALUE"""),4.0)</f>
        <v>4</v>
      </c>
      <c r="F547" s="18" t="str">
        <f>IFERROR(__xludf.DUMMYFUNCTION("""COMPUTED_VALUE"""),"Tanvi Jain")</f>
        <v>Tanvi Jain</v>
      </c>
      <c r="G547" s="19">
        <f>IFERROR(__xludf.DUMMYFUNCTION("""COMPUTED_VALUE"""),45087.0)</f>
        <v>45087</v>
      </c>
      <c r="H547" s="18" t="str">
        <f>IFERROR(__xludf.DUMMYFUNCTION("""COMPUTED_VALUE"""),"Online Payment")</f>
        <v>Online Payment</v>
      </c>
      <c r="I547" s="18" t="str">
        <f>IFERROR(__xludf.DUMMYFUNCTION("""COMPUTED_VALUE"""),"Delivered")</f>
        <v>Delivered</v>
      </c>
      <c r="J547" s="18" t="str">
        <f>IFERROR(__xludf.DUMMYFUNCTION("""COMPUTED_VALUE"""),"On-time Delivery")</f>
        <v>On-time Delivery</v>
      </c>
      <c r="K547" s="18" t="str">
        <f>IFERROR(__xludf.DUMMYFUNCTION("""COMPUTED_VALUE"""),"Delivered on time")</f>
        <v>Delivered on time</v>
      </c>
      <c r="L547" s="18">
        <f>iferror(VLOOKUP($D547,Details!$A$2:$C$11,2,false),vlookup($D547,Details!$E$2:$G$11,2,false))</f>
        <v>150</v>
      </c>
      <c r="M547" s="18" t="str">
        <f>iferror(VLOOKUP($D547,Details!$A$2:$C$11,3,false),vlookup($D547,Details!$E$2:$G$11,3,false))</f>
        <v>Snacks and Drinks</v>
      </c>
      <c r="N547" s="18">
        <f t="shared" si="1"/>
        <v>600</v>
      </c>
      <c r="O547" s="17"/>
      <c r="P547" s="17"/>
      <c r="Q547" s="17"/>
      <c r="R547" s="17"/>
      <c r="S547" s="17"/>
      <c r="T547" s="17"/>
      <c r="U547" s="17"/>
      <c r="V547" s="17"/>
      <c r="W547" s="17"/>
      <c r="X547" s="17"/>
      <c r="Y547" s="17"/>
      <c r="Z547" s="17"/>
    </row>
    <row r="548">
      <c r="A548" s="18" t="str">
        <f>IFERROR(__xludf.DUMMYFUNCTION("""COMPUTED_VALUE"""),"ord_10539")</f>
        <v>ord_10539</v>
      </c>
      <c r="B548" s="18" t="str">
        <f>IFERROR(__xludf.DUMMYFUNCTION("""COMPUTED_VALUE"""),"Parth Goel")</f>
        <v>Parth Goel</v>
      </c>
      <c r="C548" s="18" t="str">
        <f>IFERROR(__xludf.DUMMYFUNCTION("""COMPUTED_VALUE"""),"Juhu")</f>
        <v>Juhu</v>
      </c>
      <c r="D548" s="18" t="str">
        <f>IFERROR(__xludf.DUMMYFUNCTION("""COMPUTED_VALUE"""),"Papaya")</f>
        <v>Papaya</v>
      </c>
      <c r="E548" s="18">
        <f>IFERROR(__xludf.DUMMYFUNCTION("""COMPUTED_VALUE"""),1.0)</f>
        <v>1</v>
      </c>
      <c r="F548" s="18" t="str">
        <f>IFERROR(__xludf.DUMMYFUNCTION("""COMPUTED_VALUE"""),"Tanvi Jain")</f>
        <v>Tanvi Jain</v>
      </c>
      <c r="G548" s="19">
        <f>IFERROR(__xludf.DUMMYFUNCTION("""COMPUTED_VALUE"""),45290.0)</f>
        <v>45290</v>
      </c>
      <c r="H548" s="18" t="str">
        <f>IFERROR(__xludf.DUMMYFUNCTION("""COMPUTED_VALUE"""),"Credit Card")</f>
        <v>Credit Card</v>
      </c>
      <c r="I548" s="18" t="str">
        <f>IFERROR(__xludf.DUMMYFUNCTION("""COMPUTED_VALUE"""),"Delivered")</f>
        <v>Delivered</v>
      </c>
      <c r="J548" s="18" t="str">
        <f>IFERROR(__xludf.DUMMYFUNCTION("""COMPUTED_VALUE"""),"Quality of Items")</f>
        <v>Quality of Items</v>
      </c>
      <c r="K548" s="18" t="str">
        <f>IFERROR(__xludf.DUMMYFUNCTION("""COMPUTED_VALUE"""),"Perfect condition")</f>
        <v>Perfect condition</v>
      </c>
      <c r="L548" s="18">
        <f>iferror(VLOOKUP($D548,Details!$A$2:$C$11,2,false),vlookup($D548,Details!$E$2:$G$11,2,false))</f>
        <v>75</v>
      </c>
      <c r="M548" s="18" t="str">
        <f>iferror(VLOOKUP($D548,Details!$A$2:$C$11,3,false),vlookup($D548,Details!$E$2:$G$11,3,false))</f>
        <v>Fruits and Vegetables</v>
      </c>
      <c r="N548" s="18">
        <f t="shared" si="1"/>
        <v>75</v>
      </c>
      <c r="O548" s="17"/>
      <c r="P548" s="17"/>
      <c r="Q548" s="17"/>
      <c r="R548" s="17"/>
      <c r="S548" s="17"/>
      <c r="T548" s="17"/>
      <c r="U548" s="17"/>
      <c r="V548" s="17"/>
      <c r="W548" s="17"/>
      <c r="X548" s="17"/>
      <c r="Y548" s="17"/>
      <c r="Z548" s="17"/>
    </row>
    <row r="549">
      <c r="A549" s="18" t="str">
        <f>IFERROR(__xludf.DUMMYFUNCTION("""COMPUTED_VALUE"""),"ord_10540")</f>
        <v>ord_10540</v>
      </c>
      <c r="B549" s="18" t="str">
        <f>IFERROR(__xludf.DUMMYFUNCTION("""COMPUTED_VALUE"""),"Arvind Kulkarni")</f>
        <v>Arvind Kulkarni</v>
      </c>
      <c r="C549" s="18" t="str">
        <f>IFERROR(__xludf.DUMMYFUNCTION("""COMPUTED_VALUE"""),"Juhu")</f>
        <v>Juhu</v>
      </c>
      <c r="D549" s="18" t="str">
        <f>IFERROR(__xludf.DUMMYFUNCTION("""COMPUTED_VALUE"""),"Tomato")</f>
        <v>Tomato</v>
      </c>
      <c r="E549" s="18">
        <f>IFERROR(__xludf.DUMMYFUNCTION("""COMPUTED_VALUE"""),2.0)</f>
        <v>2</v>
      </c>
      <c r="F549" s="18" t="str">
        <f>IFERROR(__xludf.DUMMYFUNCTION("""COMPUTED_VALUE"""),"Tanvi Jain")</f>
        <v>Tanvi Jain</v>
      </c>
      <c r="G549" s="19">
        <f>IFERROR(__xludf.DUMMYFUNCTION("""COMPUTED_VALUE"""),45286.0)</f>
        <v>45286</v>
      </c>
      <c r="H549" s="18" t="str">
        <f>IFERROR(__xludf.DUMMYFUNCTION("""COMPUTED_VALUE"""),"UPI")</f>
        <v>UPI</v>
      </c>
      <c r="I549" s="18" t="str">
        <f>IFERROR(__xludf.DUMMYFUNCTION("""COMPUTED_VALUE"""),"Delivered")</f>
        <v>Delivered</v>
      </c>
      <c r="J549" s="18" t="str">
        <f>IFERROR(__xludf.DUMMYFUNCTION("""COMPUTED_VALUE"""),"On-time Delivery")</f>
        <v>On-time Delivery</v>
      </c>
      <c r="K549" s="18" t="str">
        <f>IFERROR(__xludf.DUMMYFUNCTION("""COMPUTED_VALUE"""),"Delivered on time")</f>
        <v>Delivered on time</v>
      </c>
      <c r="L549" s="18">
        <f>iferror(VLOOKUP($D549,Details!$A$2:$C$11,2,false),vlookup($D549,Details!$E$2:$G$11,2,false))</f>
        <v>25</v>
      </c>
      <c r="M549" s="18" t="str">
        <f>iferror(VLOOKUP($D549,Details!$A$2:$C$11,3,false),vlookup($D549,Details!$E$2:$G$11,3,false))</f>
        <v>Fruits and Vegetables</v>
      </c>
      <c r="N549" s="18">
        <f t="shared" si="1"/>
        <v>50</v>
      </c>
      <c r="O549" s="17"/>
      <c r="P549" s="17"/>
      <c r="Q549" s="17"/>
      <c r="R549" s="17"/>
      <c r="S549" s="17"/>
      <c r="T549" s="17"/>
      <c r="U549" s="17"/>
      <c r="V549" s="17"/>
      <c r="W549" s="17"/>
      <c r="X549" s="17"/>
      <c r="Y549" s="17"/>
      <c r="Z549" s="17"/>
    </row>
    <row r="550">
      <c r="A550" s="18" t="str">
        <f>IFERROR(__xludf.DUMMYFUNCTION("""COMPUTED_VALUE"""),"ord_10541")</f>
        <v>ord_10541</v>
      </c>
      <c r="B550" s="18" t="str">
        <f>IFERROR(__xludf.DUMMYFUNCTION("""COMPUTED_VALUE"""),"Pranav Joshi")</f>
        <v>Pranav Joshi</v>
      </c>
      <c r="C550" s="18" t="str">
        <f>IFERROR(__xludf.DUMMYFUNCTION("""COMPUTED_VALUE"""),"Andheri")</f>
        <v>Andheri</v>
      </c>
      <c r="D550" s="18" t="str">
        <f>IFERROR(__xludf.DUMMYFUNCTION("""COMPUTED_VALUE"""),"Potato")</f>
        <v>Potato</v>
      </c>
      <c r="E550" s="18">
        <f>IFERROR(__xludf.DUMMYFUNCTION("""COMPUTED_VALUE"""),1.0)</f>
        <v>1</v>
      </c>
      <c r="F550" s="18" t="str">
        <f>IFERROR(__xludf.DUMMYFUNCTION("""COMPUTED_VALUE"""),"Rohan Yadav")</f>
        <v>Rohan Yadav</v>
      </c>
      <c r="G550" s="19">
        <f>IFERROR(__xludf.DUMMYFUNCTION("""COMPUTED_VALUE"""),45199.0)</f>
        <v>45199</v>
      </c>
      <c r="H550" s="18" t="str">
        <f>IFERROR(__xludf.DUMMYFUNCTION("""COMPUTED_VALUE"""),"Online Payment")</f>
        <v>Online Payment</v>
      </c>
      <c r="I550" s="18" t="str">
        <f>IFERROR(__xludf.DUMMYFUNCTION("""COMPUTED_VALUE"""),"Delivered")</f>
        <v>Delivered</v>
      </c>
      <c r="J550" s="18" t="str">
        <f>IFERROR(__xludf.DUMMYFUNCTION("""COMPUTED_VALUE"""),"Quality of Items")</f>
        <v>Quality of Items</v>
      </c>
      <c r="K550" s="18" t="str">
        <f>IFERROR(__xludf.DUMMYFUNCTION("""COMPUTED_VALUE"""),"Perfect condition")</f>
        <v>Perfect condition</v>
      </c>
      <c r="L550" s="18">
        <f>iferror(VLOOKUP($D550,Details!$A$2:$C$11,2,false),vlookup($D550,Details!$E$2:$G$11,2,false))</f>
        <v>55</v>
      </c>
      <c r="M550" s="18" t="str">
        <f>iferror(VLOOKUP($D550,Details!$A$2:$C$11,3,false),vlookup($D550,Details!$E$2:$G$11,3,false))</f>
        <v>Fruits and Vegetables</v>
      </c>
      <c r="N550" s="18">
        <f t="shared" si="1"/>
        <v>55</v>
      </c>
      <c r="O550" s="17"/>
      <c r="P550" s="17"/>
      <c r="Q550" s="17"/>
      <c r="R550" s="17"/>
      <c r="S550" s="17"/>
      <c r="T550" s="17"/>
      <c r="U550" s="17"/>
      <c r="V550" s="17"/>
      <c r="W550" s="17"/>
      <c r="X550" s="17"/>
      <c r="Y550" s="17"/>
      <c r="Z550" s="17"/>
    </row>
    <row r="551">
      <c r="A551" s="18" t="str">
        <f>IFERROR(__xludf.DUMMYFUNCTION("""COMPUTED_VALUE"""),"ord_10542")</f>
        <v>ord_10542</v>
      </c>
      <c r="B551" s="18" t="str">
        <f>IFERROR(__xludf.DUMMYFUNCTION("""COMPUTED_VALUE"""),"Mohit Malhotra")</f>
        <v>Mohit Malhotra</v>
      </c>
      <c r="C551" s="18" t="str">
        <f>IFERROR(__xludf.DUMMYFUNCTION("""COMPUTED_VALUE"""),"Lower Parel")</f>
        <v>Lower Parel</v>
      </c>
      <c r="D551" s="18" t="str">
        <f>IFERROR(__xludf.DUMMYFUNCTION("""COMPUTED_VALUE"""),"Icecream")</f>
        <v>Icecream</v>
      </c>
      <c r="E551" s="18">
        <f>IFERROR(__xludf.DUMMYFUNCTION("""COMPUTED_VALUE"""),3.0)</f>
        <v>3</v>
      </c>
      <c r="F551" s="18" t="str">
        <f>IFERROR(__xludf.DUMMYFUNCTION("""COMPUTED_VALUE"""),"Not Assigned")</f>
        <v>Not Assigned</v>
      </c>
      <c r="G551" s="19">
        <f>IFERROR(__xludf.DUMMYFUNCTION("""COMPUTED_VALUE"""),45065.0)</f>
        <v>45065</v>
      </c>
      <c r="H551" s="18" t="str">
        <f>IFERROR(__xludf.DUMMYFUNCTION("""COMPUTED_VALUE"""),"Online Payment")</f>
        <v>Online Payment</v>
      </c>
      <c r="I551" s="18" t="str">
        <f>IFERROR(__xludf.DUMMYFUNCTION("""COMPUTED_VALUE"""),"Cancelled")</f>
        <v>Cancelled</v>
      </c>
      <c r="J551" s="18" t="str">
        <f>IFERROR(__xludf.DUMMYFUNCTION("""COMPUTED_VALUE"""),"App Glitches")</f>
        <v>App Glitches</v>
      </c>
      <c r="K551" s="18" t="str">
        <f>IFERROR(__xludf.DUMMYFUNCTION("""COMPUTED_VALUE"""),"Slow Loading Time")</f>
        <v>Slow Loading Time</v>
      </c>
      <c r="L551" s="18">
        <f>iferror(VLOOKUP($D551,Details!$A$2:$C$11,2,false),vlookup($D551,Details!$E$2:$G$11,2,false))</f>
        <v>90</v>
      </c>
      <c r="M551" s="18" t="str">
        <f>iferror(VLOOKUP($D551,Details!$A$2:$C$11,3,false),vlookup($D551,Details!$E$2:$G$11,3,false))</f>
        <v>Snacks and Drinks</v>
      </c>
      <c r="N551" s="18">
        <f t="shared" si="1"/>
        <v>270</v>
      </c>
      <c r="O551" s="17"/>
      <c r="P551" s="17"/>
      <c r="Q551" s="17"/>
      <c r="R551" s="17"/>
      <c r="S551" s="17"/>
      <c r="T551" s="17"/>
      <c r="U551" s="17"/>
      <c r="V551" s="17"/>
      <c r="W551" s="17"/>
      <c r="X551" s="17"/>
      <c r="Y551" s="17"/>
      <c r="Z551" s="17"/>
    </row>
    <row r="552">
      <c r="A552" s="18" t="str">
        <f>IFERROR(__xludf.DUMMYFUNCTION("""COMPUTED_VALUE"""),"ord_10543")</f>
        <v>ord_10543</v>
      </c>
      <c r="B552" s="18" t="str">
        <f>IFERROR(__xludf.DUMMYFUNCTION("""COMPUTED_VALUE"""),"Sanjay Nair")</f>
        <v>Sanjay Nair</v>
      </c>
      <c r="C552" s="18" t="str">
        <f>IFERROR(__xludf.DUMMYFUNCTION("""COMPUTED_VALUE"""),"Dadar")</f>
        <v>Dadar</v>
      </c>
      <c r="D552" s="18" t="str">
        <f>IFERROR(__xludf.DUMMYFUNCTION("""COMPUTED_VALUE"""),"Chicken Puff")</f>
        <v>Chicken Puff</v>
      </c>
      <c r="E552" s="18">
        <f>IFERROR(__xludf.DUMMYFUNCTION("""COMPUTED_VALUE"""),3.0)</f>
        <v>3</v>
      </c>
      <c r="F552" s="18" t="str">
        <f>IFERROR(__xludf.DUMMYFUNCTION("""COMPUTED_VALUE"""),"Aman Kumar")</f>
        <v>Aman Kumar</v>
      </c>
      <c r="G552" s="19">
        <f>IFERROR(__xludf.DUMMYFUNCTION("""COMPUTED_VALUE"""),45193.0)</f>
        <v>45193</v>
      </c>
      <c r="H552" s="18" t="str">
        <f>IFERROR(__xludf.DUMMYFUNCTION("""COMPUTED_VALUE"""),"UPI")</f>
        <v>UPI</v>
      </c>
      <c r="I552" s="18" t="str">
        <f>IFERROR(__xludf.DUMMYFUNCTION("""COMPUTED_VALUE"""),"Delivered")</f>
        <v>Delivered</v>
      </c>
      <c r="J552" s="18" t="str">
        <f>IFERROR(__xludf.DUMMYFUNCTION("""COMPUTED_VALUE"""),"Packaging")</f>
        <v>Packaging</v>
      </c>
      <c r="K552" s="18" t="str">
        <f>IFERROR(__xludf.DUMMYFUNCTION("""COMPUTED_VALUE"""),"Secure and intact")</f>
        <v>Secure and intact</v>
      </c>
      <c r="L552" s="18">
        <f>iferror(VLOOKUP($D552,Details!$A$2:$C$11,2,false),vlookup($D552,Details!$E$2:$G$11,2,false))</f>
        <v>90</v>
      </c>
      <c r="M552" s="18" t="str">
        <f>iferror(VLOOKUP($D552,Details!$A$2:$C$11,3,false),vlookup($D552,Details!$E$2:$G$11,3,false))</f>
        <v>Snacks and Drinks</v>
      </c>
      <c r="N552" s="18">
        <f t="shared" si="1"/>
        <v>270</v>
      </c>
      <c r="O552" s="17"/>
      <c r="P552" s="17"/>
      <c r="Q552" s="17"/>
      <c r="R552" s="17"/>
      <c r="S552" s="17"/>
      <c r="T552" s="17"/>
      <c r="U552" s="17"/>
      <c r="V552" s="17"/>
      <c r="W552" s="17"/>
      <c r="X552" s="17"/>
      <c r="Y552" s="17"/>
      <c r="Z552" s="17"/>
    </row>
    <row r="553">
      <c r="A553" s="18" t="str">
        <f>IFERROR(__xludf.DUMMYFUNCTION("""COMPUTED_VALUE"""),"ord_10544")</f>
        <v>ord_10544</v>
      </c>
      <c r="B553" s="18" t="str">
        <f>IFERROR(__xludf.DUMMYFUNCTION("""COMPUTED_VALUE"""),"Mohit Malhotra")</f>
        <v>Mohit Malhotra</v>
      </c>
      <c r="C553" s="18" t="str">
        <f>IFERROR(__xludf.DUMMYFUNCTION("""COMPUTED_VALUE"""),"Lower Parel")</f>
        <v>Lower Parel</v>
      </c>
      <c r="D553" s="18" t="str">
        <f>IFERROR(__xludf.DUMMYFUNCTION("""COMPUTED_VALUE"""),"Veg Puff")</f>
        <v>Veg Puff</v>
      </c>
      <c r="E553" s="18">
        <f>IFERROR(__xludf.DUMMYFUNCTION("""COMPUTED_VALUE"""),4.0)</f>
        <v>4</v>
      </c>
      <c r="F553" s="18" t="str">
        <f>IFERROR(__xludf.DUMMYFUNCTION("""COMPUTED_VALUE"""),"Kiran Mehta")</f>
        <v>Kiran Mehta</v>
      </c>
      <c r="G553" s="19">
        <f>IFERROR(__xludf.DUMMYFUNCTION("""COMPUTED_VALUE"""),44960.0)</f>
        <v>44960</v>
      </c>
      <c r="H553" s="18" t="str">
        <f>IFERROR(__xludf.DUMMYFUNCTION("""COMPUTED_VALUE"""),"UPI")</f>
        <v>UPI</v>
      </c>
      <c r="I553" s="18" t="str">
        <f>IFERROR(__xludf.DUMMYFUNCTION("""COMPUTED_VALUE"""),"Delivered")</f>
        <v>Delivered</v>
      </c>
      <c r="J553" s="18" t="str">
        <f>IFERROR(__xludf.DUMMYFUNCTION("""COMPUTED_VALUE"""),"Satisfied with the Delivery")</f>
        <v>Satisfied with the Delivery</v>
      </c>
      <c r="K553" s="18" t="str">
        <f>IFERROR(__xludf.DUMMYFUNCTION("""COMPUTED_VALUE"""),"Timely and quality")</f>
        <v>Timely and quality</v>
      </c>
      <c r="L553" s="18">
        <f>iferror(VLOOKUP($D553,Details!$A$2:$C$11,2,false),vlookup($D553,Details!$E$2:$G$11,2,false))</f>
        <v>80</v>
      </c>
      <c r="M553" s="18" t="str">
        <f>iferror(VLOOKUP($D553,Details!$A$2:$C$11,3,false),vlookup($D553,Details!$E$2:$G$11,3,false))</f>
        <v>Snacks and Drinks</v>
      </c>
      <c r="N553" s="18">
        <f t="shared" si="1"/>
        <v>320</v>
      </c>
      <c r="O553" s="17"/>
      <c r="P553" s="17"/>
      <c r="Q553" s="17"/>
      <c r="R553" s="17"/>
      <c r="S553" s="17"/>
      <c r="T553" s="17"/>
      <c r="U553" s="17"/>
      <c r="V553" s="17"/>
      <c r="W553" s="17"/>
      <c r="X553" s="17"/>
      <c r="Y553" s="17"/>
      <c r="Z553" s="17"/>
    </row>
    <row r="554">
      <c r="A554" s="18" t="str">
        <f>IFERROR(__xludf.DUMMYFUNCTION("""COMPUTED_VALUE"""),"ord_10545")</f>
        <v>ord_10545</v>
      </c>
      <c r="B554" s="18" t="str">
        <f>IFERROR(__xludf.DUMMYFUNCTION("""COMPUTED_VALUE"""),"Anaya Rao")</f>
        <v>Anaya Rao</v>
      </c>
      <c r="C554" s="18" t="str">
        <f>IFERROR(__xludf.DUMMYFUNCTION("""COMPUTED_VALUE"""),"Colaba")</f>
        <v>Colaba</v>
      </c>
      <c r="D554" s="18" t="str">
        <f>IFERROR(__xludf.DUMMYFUNCTION("""COMPUTED_VALUE"""),"Icecream")</f>
        <v>Icecream</v>
      </c>
      <c r="E554" s="18">
        <f>IFERROR(__xludf.DUMMYFUNCTION("""COMPUTED_VALUE"""),4.0)</f>
        <v>4</v>
      </c>
      <c r="F554" s="18" t="str">
        <f>IFERROR(__xludf.DUMMYFUNCTION("""COMPUTED_VALUE"""),"Nikhil Deshmukh")</f>
        <v>Nikhil Deshmukh</v>
      </c>
      <c r="G554" s="19">
        <f>IFERROR(__xludf.DUMMYFUNCTION("""COMPUTED_VALUE"""),45277.0)</f>
        <v>45277</v>
      </c>
      <c r="H554" s="18" t="str">
        <f>IFERROR(__xludf.DUMMYFUNCTION("""COMPUTED_VALUE"""),"COD")</f>
        <v>COD</v>
      </c>
      <c r="I554" s="18" t="str">
        <f>IFERROR(__xludf.DUMMYFUNCTION("""COMPUTED_VALUE"""),"Delivered")</f>
        <v>Delivered</v>
      </c>
      <c r="J554" s="18" t="str">
        <f>IFERROR(__xludf.DUMMYFUNCTION("""COMPUTED_VALUE"""),"Customer Service")</f>
        <v>Customer Service</v>
      </c>
      <c r="K554" s="18" t="str">
        <f>IFERROR(__xludf.DUMMYFUNCTION("""COMPUTED_VALUE"""),"Seamless and easy")</f>
        <v>Seamless and easy</v>
      </c>
      <c r="L554" s="18">
        <f>iferror(VLOOKUP($D554,Details!$A$2:$C$11,2,false),vlookup($D554,Details!$E$2:$G$11,2,false))</f>
        <v>90</v>
      </c>
      <c r="M554" s="18" t="str">
        <f>iferror(VLOOKUP($D554,Details!$A$2:$C$11,3,false),vlookup($D554,Details!$E$2:$G$11,3,false))</f>
        <v>Snacks and Drinks</v>
      </c>
      <c r="N554" s="18">
        <f t="shared" si="1"/>
        <v>360</v>
      </c>
      <c r="O554" s="17"/>
      <c r="P554" s="17"/>
      <c r="Q554" s="17"/>
      <c r="R554" s="17"/>
      <c r="S554" s="17"/>
      <c r="T554" s="17"/>
      <c r="U554" s="17"/>
      <c r="V554" s="17"/>
      <c r="W554" s="17"/>
      <c r="X554" s="17"/>
      <c r="Y554" s="17"/>
      <c r="Z554" s="17"/>
    </row>
    <row r="555">
      <c r="A555" s="18" t="str">
        <f>IFERROR(__xludf.DUMMYFUNCTION("""COMPUTED_VALUE"""),"ord_10546")</f>
        <v>ord_10546</v>
      </c>
      <c r="B555" s="18" t="str">
        <f>IFERROR(__xludf.DUMMYFUNCTION("""COMPUTED_VALUE"""),"Aarav Mehta")</f>
        <v>Aarav Mehta</v>
      </c>
      <c r="C555" s="18" t="str">
        <f>IFERROR(__xludf.DUMMYFUNCTION("""COMPUTED_VALUE"""),"Andheri")</f>
        <v>Andheri</v>
      </c>
      <c r="D555" s="18" t="str">
        <f>IFERROR(__xludf.DUMMYFUNCTION("""COMPUTED_VALUE"""),"Chocolate Mousse")</f>
        <v>Chocolate Mousse</v>
      </c>
      <c r="E555" s="18">
        <f>IFERROR(__xludf.DUMMYFUNCTION("""COMPUTED_VALUE"""),4.0)</f>
        <v>4</v>
      </c>
      <c r="F555" s="18" t="str">
        <f>IFERROR(__xludf.DUMMYFUNCTION("""COMPUTED_VALUE"""),"Rohan Yadav")</f>
        <v>Rohan Yadav</v>
      </c>
      <c r="G555" s="19">
        <f>IFERROR(__xludf.DUMMYFUNCTION("""COMPUTED_VALUE"""),45283.0)</f>
        <v>45283</v>
      </c>
      <c r="H555" s="18" t="str">
        <f>IFERROR(__xludf.DUMMYFUNCTION("""COMPUTED_VALUE"""),"Online Payment")</f>
        <v>Online Payment</v>
      </c>
      <c r="I555" s="18" t="str">
        <f>IFERROR(__xludf.DUMMYFUNCTION("""COMPUTED_VALUE"""),"Delivered")</f>
        <v>Delivered</v>
      </c>
      <c r="J555" s="18" t="str">
        <f>IFERROR(__xludf.DUMMYFUNCTION("""COMPUTED_VALUE"""),"Delivery Experience")</f>
        <v>Delivery Experience</v>
      </c>
      <c r="K555" s="18" t="str">
        <f>IFERROR(__xludf.DUMMYFUNCTION("""COMPUTED_VALUE"""),"Quick and professional")</f>
        <v>Quick and professional</v>
      </c>
      <c r="L555" s="18">
        <f>iferror(VLOOKUP($D555,Details!$A$2:$C$11,2,false),vlookup($D555,Details!$E$2:$G$11,2,false))</f>
        <v>145</v>
      </c>
      <c r="M555" s="18" t="str">
        <f>iferror(VLOOKUP($D555,Details!$A$2:$C$11,3,false),vlookup($D555,Details!$E$2:$G$11,3,false))</f>
        <v>Snacks and Drinks</v>
      </c>
      <c r="N555" s="18">
        <f t="shared" si="1"/>
        <v>580</v>
      </c>
      <c r="O555" s="17"/>
      <c r="P555" s="17"/>
      <c r="Q555" s="17"/>
      <c r="R555" s="17"/>
      <c r="S555" s="17"/>
      <c r="T555" s="17"/>
      <c r="U555" s="17"/>
      <c r="V555" s="17"/>
      <c r="W555" s="17"/>
      <c r="X555" s="17"/>
      <c r="Y555" s="17"/>
      <c r="Z555" s="17"/>
    </row>
    <row r="556">
      <c r="A556" s="18" t="str">
        <f>IFERROR(__xludf.DUMMYFUNCTION("""COMPUTED_VALUE"""),"ord_10547")</f>
        <v>ord_10547</v>
      </c>
      <c r="B556" s="18" t="str">
        <f>IFERROR(__xludf.DUMMYFUNCTION("""COMPUTED_VALUE"""),"Mehul Thakkar")</f>
        <v>Mehul Thakkar</v>
      </c>
      <c r="C556" s="18" t="str">
        <f>IFERROR(__xludf.DUMMYFUNCTION("""COMPUTED_VALUE"""),"Malad")</f>
        <v>Malad</v>
      </c>
      <c r="D556" s="18" t="str">
        <f>IFERROR(__xludf.DUMMYFUNCTION("""COMPUTED_VALUE"""),"Chocolate Mousse")</f>
        <v>Chocolate Mousse</v>
      </c>
      <c r="E556" s="18">
        <f>IFERROR(__xludf.DUMMYFUNCTION("""COMPUTED_VALUE"""),3.0)</f>
        <v>3</v>
      </c>
      <c r="F556" s="18" t="str">
        <f>IFERROR(__xludf.DUMMYFUNCTION("""COMPUTED_VALUE"""),"Neha Shah")</f>
        <v>Neha Shah</v>
      </c>
      <c r="G556" s="19">
        <f>IFERROR(__xludf.DUMMYFUNCTION("""COMPUTED_VALUE"""),44985.0)</f>
        <v>44985</v>
      </c>
      <c r="H556" s="18" t="str">
        <f>IFERROR(__xludf.DUMMYFUNCTION("""COMPUTED_VALUE"""),"UPI")</f>
        <v>UPI</v>
      </c>
      <c r="I556" s="18" t="str">
        <f>IFERROR(__xludf.DUMMYFUNCTION("""COMPUTED_VALUE"""),"Delivered")</f>
        <v>Delivered</v>
      </c>
      <c r="J556" s="18" t="str">
        <f>IFERROR(__xludf.DUMMYFUNCTION("""COMPUTED_VALUE"""),"Convenience")</f>
        <v>Convenience</v>
      </c>
      <c r="K556" s="18" t="str">
        <f>IFERROR(__xludf.DUMMYFUNCTION("""COMPUTED_VALUE"""),"Easy tracking")</f>
        <v>Easy tracking</v>
      </c>
      <c r="L556" s="18">
        <f>iferror(VLOOKUP($D556,Details!$A$2:$C$11,2,false),vlookup($D556,Details!$E$2:$G$11,2,false))</f>
        <v>145</v>
      </c>
      <c r="M556" s="18" t="str">
        <f>iferror(VLOOKUP($D556,Details!$A$2:$C$11,3,false),vlookup($D556,Details!$E$2:$G$11,3,false))</f>
        <v>Snacks and Drinks</v>
      </c>
      <c r="N556" s="18">
        <f t="shared" si="1"/>
        <v>435</v>
      </c>
      <c r="O556" s="17"/>
      <c r="P556" s="17"/>
      <c r="Q556" s="17"/>
      <c r="R556" s="17"/>
      <c r="S556" s="17"/>
      <c r="T556" s="17"/>
      <c r="U556" s="17"/>
      <c r="V556" s="17"/>
      <c r="W556" s="17"/>
      <c r="X556" s="17"/>
      <c r="Y556" s="17"/>
      <c r="Z556" s="17"/>
    </row>
    <row r="557">
      <c r="A557" s="18" t="str">
        <f>IFERROR(__xludf.DUMMYFUNCTION("""COMPUTED_VALUE"""),"ord_10548")</f>
        <v>ord_10548</v>
      </c>
      <c r="B557" s="18" t="str">
        <f>IFERROR(__xludf.DUMMYFUNCTION("""COMPUTED_VALUE"""),"Anaya Rao")</f>
        <v>Anaya Rao</v>
      </c>
      <c r="C557" s="18" t="str">
        <f>IFERROR(__xludf.DUMMYFUNCTION("""COMPUTED_VALUE"""),"Colaba")</f>
        <v>Colaba</v>
      </c>
      <c r="D557" s="18" t="str">
        <f>IFERROR(__xludf.DUMMYFUNCTION("""COMPUTED_VALUE"""),"Orange")</f>
        <v>Orange</v>
      </c>
      <c r="E557" s="18">
        <f>IFERROR(__xludf.DUMMYFUNCTION("""COMPUTED_VALUE"""),1.0)</f>
        <v>1</v>
      </c>
      <c r="F557" s="18" t="str">
        <f>IFERROR(__xludf.DUMMYFUNCTION("""COMPUTED_VALUE"""),"Nikhil Deshmukh")</f>
        <v>Nikhil Deshmukh</v>
      </c>
      <c r="G557" s="19">
        <f>IFERROR(__xludf.DUMMYFUNCTION("""COMPUTED_VALUE"""),45086.0)</f>
        <v>45086</v>
      </c>
      <c r="H557" s="18" t="str">
        <f>IFERROR(__xludf.DUMMYFUNCTION("""COMPUTED_VALUE"""),"UPI")</f>
        <v>UPI</v>
      </c>
      <c r="I557" s="18" t="str">
        <f>IFERROR(__xludf.DUMMYFUNCTION("""COMPUTED_VALUE"""),"Delivered")</f>
        <v>Delivered</v>
      </c>
      <c r="J557" s="18" t="str">
        <f>IFERROR(__xludf.DUMMYFUNCTION("""COMPUTED_VALUE"""),"Overall Satisfaction")</f>
        <v>Overall Satisfaction</v>
      </c>
      <c r="K557" s="18" t="str">
        <f>IFERROR(__xludf.DUMMYFUNCTION("""COMPUTED_VALUE"""),"Great service will order again")</f>
        <v>Great service will order again</v>
      </c>
      <c r="L557" s="18">
        <f>iferror(VLOOKUP($D557,Details!$A$2:$C$11,2,false),vlookup($D557,Details!$E$2:$G$11,2,false))</f>
        <v>180</v>
      </c>
      <c r="M557" s="18" t="str">
        <f>iferror(VLOOKUP($D557,Details!$A$2:$C$11,3,false),vlookup($D557,Details!$E$2:$G$11,3,false))</f>
        <v>Fruits and Vegetables</v>
      </c>
      <c r="N557" s="18">
        <f t="shared" si="1"/>
        <v>180</v>
      </c>
      <c r="O557" s="17"/>
      <c r="P557" s="17"/>
      <c r="Q557" s="17"/>
      <c r="R557" s="17"/>
      <c r="S557" s="17"/>
      <c r="T557" s="17"/>
      <c r="U557" s="17"/>
      <c r="V557" s="17"/>
      <c r="W557" s="17"/>
      <c r="X557" s="17"/>
      <c r="Y557" s="17"/>
      <c r="Z557" s="17"/>
    </row>
    <row r="558">
      <c r="A558" s="18" t="str">
        <f>IFERROR(__xludf.DUMMYFUNCTION("""COMPUTED_VALUE"""),"ord_10549")</f>
        <v>ord_10549</v>
      </c>
      <c r="B558" s="18" t="str">
        <f>IFERROR(__xludf.DUMMYFUNCTION("""COMPUTED_VALUE"""),"Aditi Iyer")</f>
        <v>Aditi Iyer</v>
      </c>
      <c r="C558" s="18" t="str">
        <f>IFERROR(__xludf.DUMMYFUNCTION("""COMPUTED_VALUE"""),"Dadar")</f>
        <v>Dadar</v>
      </c>
      <c r="D558" s="18" t="str">
        <f>IFERROR(__xludf.DUMMYFUNCTION("""COMPUTED_VALUE"""),"Juice")</f>
        <v>Juice</v>
      </c>
      <c r="E558" s="18">
        <f>IFERROR(__xludf.DUMMYFUNCTION("""COMPUTED_VALUE"""),2.0)</f>
        <v>2</v>
      </c>
      <c r="F558" s="18" t="str">
        <f>IFERROR(__xludf.DUMMYFUNCTION("""COMPUTED_VALUE"""),"Aman Kumar")</f>
        <v>Aman Kumar</v>
      </c>
      <c r="G558" s="19">
        <f>IFERROR(__xludf.DUMMYFUNCTION("""COMPUTED_VALUE"""),45283.0)</f>
        <v>45283</v>
      </c>
      <c r="H558" s="18" t="str">
        <f>IFERROR(__xludf.DUMMYFUNCTION("""COMPUTED_VALUE"""),"Credit Card")</f>
        <v>Credit Card</v>
      </c>
      <c r="I558" s="18" t="str">
        <f>IFERROR(__xludf.DUMMYFUNCTION("""COMPUTED_VALUE"""),"Delivered")</f>
        <v>Delivered</v>
      </c>
      <c r="J558" s="18" t="str">
        <f>IFERROR(__xludf.DUMMYFUNCTION("""COMPUTED_VALUE"""),"On-time Delivery")</f>
        <v>On-time Delivery</v>
      </c>
      <c r="K558" s="18" t="str">
        <f>IFERROR(__xludf.DUMMYFUNCTION("""COMPUTED_VALUE"""),"Delivered on time")</f>
        <v>Delivered on time</v>
      </c>
      <c r="L558" s="18">
        <f>iferror(VLOOKUP($D558,Details!$A$2:$C$11,2,false),vlookup($D558,Details!$E$2:$G$11,2,false))</f>
        <v>90</v>
      </c>
      <c r="M558" s="18" t="str">
        <f>iferror(VLOOKUP($D558,Details!$A$2:$C$11,3,false),vlookup($D558,Details!$E$2:$G$11,3,false))</f>
        <v>Snacks and Drinks</v>
      </c>
      <c r="N558" s="18">
        <f t="shared" si="1"/>
        <v>180</v>
      </c>
      <c r="O558" s="17"/>
      <c r="P558" s="17"/>
      <c r="Q558" s="17"/>
      <c r="R558" s="17"/>
      <c r="S558" s="17"/>
      <c r="T558" s="17"/>
      <c r="U558" s="17"/>
      <c r="V558" s="17"/>
      <c r="W558" s="17"/>
      <c r="X558" s="17"/>
      <c r="Y558" s="17"/>
      <c r="Z558" s="17"/>
    </row>
    <row r="559">
      <c r="A559" s="18" t="str">
        <f>IFERROR(__xludf.DUMMYFUNCTION("""COMPUTED_VALUE"""),"ord_10550")</f>
        <v>ord_10550</v>
      </c>
      <c r="B559" s="18" t="str">
        <f>IFERROR(__xludf.DUMMYFUNCTION("""COMPUTED_VALUE"""),"Dev Chauhan")</f>
        <v>Dev Chauhan</v>
      </c>
      <c r="C559" s="18" t="str">
        <f>IFERROR(__xludf.DUMMYFUNCTION("""COMPUTED_VALUE"""),"Bandra")</f>
        <v>Bandra</v>
      </c>
      <c r="D559" s="18" t="str">
        <f>IFERROR(__xludf.DUMMYFUNCTION("""COMPUTED_VALUE"""),"Popcorn")</f>
        <v>Popcorn</v>
      </c>
      <c r="E559" s="18">
        <f>IFERROR(__xludf.DUMMYFUNCTION("""COMPUTED_VALUE"""),2.0)</f>
        <v>2</v>
      </c>
      <c r="F559" s="18" t="str">
        <f>IFERROR(__xludf.DUMMYFUNCTION("""COMPUTED_VALUE"""),"Priya Joshi")</f>
        <v>Priya Joshi</v>
      </c>
      <c r="G559" s="19">
        <f>IFERROR(__xludf.DUMMYFUNCTION("""COMPUTED_VALUE"""),45076.0)</f>
        <v>45076</v>
      </c>
      <c r="H559" s="18" t="str">
        <f>IFERROR(__xludf.DUMMYFUNCTION("""COMPUTED_VALUE"""),"Online Payment")</f>
        <v>Online Payment</v>
      </c>
      <c r="I559" s="18" t="str">
        <f>IFERROR(__xludf.DUMMYFUNCTION("""COMPUTED_VALUE"""),"Delivered")</f>
        <v>Delivered</v>
      </c>
      <c r="J559" s="18" t="str">
        <f>IFERROR(__xludf.DUMMYFUNCTION("""COMPUTED_VALUE"""),"Quality of Items")</f>
        <v>Quality of Items</v>
      </c>
      <c r="K559" s="18" t="str">
        <f>IFERROR(__xludf.DUMMYFUNCTION("""COMPUTED_VALUE"""),"Perfect condition")</f>
        <v>Perfect condition</v>
      </c>
      <c r="L559" s="18">
        <f>iferror(VLOOKUP($D559,Details!$A$2:$C$11,2,false),vlookup($D559,Details!$E$2:$G$11,2,false))</f>
        <v>150</v>
      </c>
      <c r="M559" s="18" t="str">
        <f>iferror(VLOOKUP($D559,Details!$A$2:$C$11,3,false),vlookup($D559,Details!$E$2:$G$11,3,false))</f>
        <v>Snacks and Drinks</v>
      </c>
      <c r="N559" s="18">
        <f t="shared" si="1"/>
        <v>300</v>
      </c>
      <c r="O559" s="17"/>
      <c r="P559" s="17"/>
      <c r="Q559" s="17"/>
      <c r="R559" s="17"/>
      <c r="S559" s="17"/>
      <c r="T559" s="17"/>
      <c r="U559" s="17"/>
      <c r="V559" s="17"/>
      <c r="W559" s="17"/>
      <c r="X559" s="17"/>
      <c r="Y559" s="17"/>
      <c r="Z559" s="17"/>
    </row>
    <row r="560">
      <c r="A560" s="18" t="str">
        <f>IFERROR(__xludf.DUMMYFUNCTION("""COMPUTED_VALUE"""),"ord_10551")</f>
        <v>ord_10551</v>
      </c>
      <c r="B560" s="18" t="str">
        <f>IFERROR(__xludf.DUMMYFUNCTION("""COMPUTED_VALUE"""),"Pallavi Ghosh")</f>
        <v>Pallavi Ghosh</v>
      </c>
      <c r="C560" s="18" t="str">
        <f>IFERROR(__xludf.DUMMYFUNCTION("""COMPUTED_VALUE"""),"Bandra")</f>
        <v>Bandra</v>
      </c>
      <c r="D560" s="18" t="str">
        <f>IFERROR(__xludf.DUMMYFUNCTION("""COMPUTED_VALUE"""),"Chicken Puff")</f>
        <v>Chicken Puff</v>
      </c>
      <c r="E560" s="18">
        <f>IFERROR(__xludf.DUMMYFUNCTION("""COMPUTED_VALUE"""),2.0)</f>
        <v>2</v>
      </c>
      <c r="F560" s="18" t="str">
        <f>IFERROR(__xludf.DUMMYFUNCTION("""COMPUTED_VALUE"""),"Priya Joshi")</f>
        <v>Priya Joshi</v>
      </c>
      <c r="G560" s="19">
        <f>IFERROR(__xludf.DUMMYFUNCTION("""COMPUTED_VALUE"""),44970.0)</f>
        <v>44970</v>
      </c>
      <c r="H560" s="18" t="str">
        <f>IFERROR(__xludf.DUMMYFUNCTION("""COMPUTED_VALUE"""),"Credit Card")</f>
        <v>Credit Card</v>
      </c>
      <c r="I560" s="18" t="str">
        <f>IFERROR(__xludf.DUMMYFUNCTION("""COMPUTED_VALUE"""),"Delivered")</f>
        <v>Delivered</v>
      </c>
      <c r="J560" s="18" t="str">
        <f>IFERROR(__xludf.DUMMYFUNCTION("""COMPUTED_VALUE"""),"On-time Delivery")</f>
        <v>On-time Delivery</v>
      </c>
      <c r="K560" s="18" t="str">
        <f>IFERROR(__xludf.DUMMYFUNCTION("""COMPUTED_VALUE"""),"Delivered on time")</f>
        <v>Delivered on time</v>
      </c>
      <c r="L560" s="18">
        <f>iferror(VLOOKUP($D560,Details!$A$2:$C$11,2,false),vlookup($D560,Details!$E$2:$G$11,2,false))</f>
        <v>90</v>
      </c>
      <c r="M560" s="18" t="str">
        <f>iferror(VLOOKUP($D560,Details!$A$2:$C$11,3,false),vlookup($D560,Details!$E$2:$G$11,3,false))</f>
        <v>Snacks and Drinks</v>
      </c>
      <c r="N560" s="18">
        <f t="shared" si="1"/>
        <v>180</v>
      </c>
      <c r="O560" s="17"/>
      <c r="P560" s="17"/>
      <c r="Q560" s="17"/>
      <c r="R560" s="17"/>
      <c r="S560" s="17"/>
      <c r="T560" s="17"/>
      <c r="U560" s="17"/>
      <c r="V560" s="17"/>
      <c r="W560" s="17"/>
      <c r="X560" s="17"/>
      <c r="Y560" s="17"/>
      <c r="Z560" s="17"/>
    </row>
    <row r="561">
      <c r="A561" s="18" t="str">
        <f>IFERROR(__xludf.DUMMYFUNCTION("""COMPUTED_VALUE"""),"ord_10552")</f>
        <v>ord_10552</v>
      </c>
      <c r="B561" s="18" t="str">
        <f>IFERROR(__xludf.DUMMYFUNCTION("""COMPUTED_VALUE"""),"Tanishq Bansal")</f>
        <v>Tanishq Bansal</v>
      </c>
      <c r="C561" s="18" t="str">
        <f>IFERROR(__xludf.DUMMYFUNCTION("""COMPUTED_VALUE"""),"Powai")</f>
        <v>Powai</v>
      </c>
      <c r="D561" s="18" t="str">
        <f>IFERROR(__xludf.DUMMYFUNCTION("""COMPUTED_VALUE"""),"Tiramisu")</f>
        <v>Tiramisu</v>
      </c>
      <c r="E561" s="18">
        <f>IFERROR(__xludf.DUMMYFUNCTION("""COMPUTED_VALUE"""),3.0)</f>
        <v>3</v>
      </c>
      <c r="F561" s="18" t="str">
        <f>IFERROR(__xludf.DUMMYFUNCTION("""COMPUTED_VALUE"""),"Sandeep Kumar")</f>
        <v>Sandeep Kumar</v>
      </c>
      <c r="G561" s="19">
        <f>IFERROR(__xludf.DUMMYFUNCTION("""COMPUTED_VALUE"""),45257.0)</f>
        <v>45257</v>
      </c>
      <c r="H561" s="18" t="str">
        <f>IFERROR(__xludf.DUMMYFUNCTION("""COMPUTED_VALUE"""),"Credit Card")</f>
        <v>Credit Card</v>
      </c>
      <c r="I561" s="18" t="str">
        <f>IFERROR(__xludf.DUMMYFUNCTION("""COMPUTED_VALUE"""),"Delivered")</f>
        <v>Delivered</v>
      </c>
      <c r="J561" s="18" t="str">
        <f>IFERROR(__xludf.DUMMYFUNCTION("""COMPUTED_VALUE"""),"Quality of Items")</f>
        <v>Quality of Items</v>
      </c>
      <c r="K561" s="18" t="str">
        <f>IFERROR(__xludf.DUMMYFUNCTION("""COMPUTED_VALUE"""),"Perfect condition")</f>
        <v>Perfect condition</v>
      </c>
      <c r="L561" s="18">
        <f>iferror(VLOOKUP($D561,Details!$A$2:$C$11,2,false),vlookup($D561,Details!$E$2:$G$11,2,false))</f>
        <v>150</v>
      </c>
      <c r="M561" s="18" t="str">
        <f>iferror(VLOOKUP($D561,Details!$A$2:$C$11,3,false),vlookup($D561,Details!$E$2:$G$11,3,false))</f>
        <v>Snacks and Drinks</v>
      </c>
      <c r="N561" s="18">
        <f t="shared" si="1"/>
        <v>450</v>
      </c>
      <c r="O561" s="17"/>
      <c r="P561" s="17"/>
      <c r="Q561" s="17"/>
      <c r="R561" s="17"/>
      <c r="S561" s="17"/>
      <c r="T561" s="17"/>
      <c r="U561" s="17"/>
      <c r="V561" s="17"/>
      <c r="W561" s="17"/>
      <c r="X561" s="17"/>
      <c r="Y561" s="17"/>
      <c r="Z561" s="17"/>
    </row>
    <row r="562">
      <c r="A562" s="18" t="str">
        <f>IFERROR(__xludf.DUMMYFUNCTION("""COMPUTED_VALUE"""),"ord_10553")</f>
        <v>ord_10553</v>
      </c>
      <c r="B562" s="18" t="str">
        <f>IFERROR(__xludf.DUMMYFUNCTION("""COMPUTED_VALUE"""),"Anaya Rao")</f>
        <v>Anaya Rao</v>
      </c>
      <c r="C562" s="18" t="str">
        <f>IFERROR(__xludf.DUMMYFUNCTION("""COMPUTED_VALUE"""),"Malad")</f>
        <v>Malad</v>
      </c>
      <c r="D562" s="18" t="str">
        <f>IFERROR(__xludf.DUMMYFUNCTION("""COMPUTED_VALUE"""),"Orange")</f>
        <v>Orange</v>
      </c>
      <c r="E562" s="18">
        <f>IFERROR(__xludf.DUMMYFUNCTION("""COMPUTED_VALUE"""),2.0)</f>
        <v>2</v>
      </c>
      <c r="F562" s="18" t="str">
        <f>IFERROR(__xludf.DUMMYFUNCTION("""COMPUTED_VALUE"""),"Venu R")</f>
        <v>Venu R</v>
      </c>
      <c r="G562" s="19">
        <f>IFERROR(__xludf.DUMMYFUNCTION("""COMPUTED_VALUE"""),44950.0)</f>
        <v>44950</v>
      </c>
      <c r="H562" s="18" t="str">
        <f>IFERROR(__xludf.DUMMYFUNCTION("""COMPUTED_VALUE"""),"Online Payment")</f>
        <v>Online Payment</v>
      </c>
      <c r="I562" s="18" t="str">
        <f>IFERROR(__xludf.DUMMYFUNCTION("""COMPUTED_VALUE"""),"Delivered")</f>
        <v>Delivered</v>
      </c>
      <c r="J562" s="18" t="str">
        <f>IFERROR(__xludf.DUMMYFUNCTION("""COMPUTED_VALUE"""),"Packaging")</f>
        <v>Packaging</v>
      </c>
      <c r="K562" s="18" t="str">
        <f>IFERROR(__xludf.DUMMYFUNCTION("""COMPUTED_VALUE"""),"Secure and intact")</f>
        <v>Secure and intact</v>
      </c>
      <c r="L562" s="18">
        <f>iferror(VLOOKUP($D562,Details!$A$2:$C$11,2,false),vlookup($D562,Details!$E$2:$G$11,2,false))</f>
        <v>180</v>
      </c>
      <c r="M562" s="18" t="str">
        <f>iferror(VLOOKUP($D562,Details!$A$2:$C$11,3,false),vlookup($D562,Details!$E$2:$G$11,3,false))</f>
        <v>Fruits and Vegetables</v>
      </c>
      <c r="N562" s="18">
        <f t="shared" si="1"/>
        <v>360</v>
      </c>
      <c r="O562" s="17"/>
      <c r="P562" s="17"/>
      <c r="Q562" s="17"/>
      <c r="R562" s="17"/>
      <c r="S562" s="17"/>
      <c r="T562" s="17"/>
      <c r="U562" s="17"/>
      <c r="V562" s="17"/>
      <c r="W562" s="17"/>
      <c r="X562" s="17"/>
      <c r="Y562" s="17"/>
      <c r="Z562" s="17"/>
    </row>
    <row r="563">
      <c r="A563" s="18" t="str">
        <f>IFERROR(__xludf.DUMMYFUNCTION("""COMPUTED_VALUE"""),"ord_10554")</f>
        <v>ord_10554</v>
      </c>
      <c r="B563" s="18" t="str">
        <f>IFERROR(__xludf.DUMMYFUNCTION("""COMPUTED_VALUE"""),"Aarav Mehta")</f>
        <v>Aarav Mehta</v>
      </c>
      <c r="C563" s="18" t="str">
        <f>IFERROR(__xludf.DUMMYFUNCTION("""COMPUTED_VALUE"""),"Andheri")</f>
        <v>Andheri</v>
      </c>
      <c r="D563" s="18" t="str">
        <f>IFERROR(__xludf.DUMMYFUNCTION("""COMPUTED_VALUE"""),"Guava")</f>
        <v>Guava</v>
      </c>
      <c r="E563" s="18">
        <f>IFERROR(__xludf.DUMMYFUNCTION("""COMPUTED_VALUE"""),2.0)</f>
        <v>2</v>
      </c>
      <c r="F563" s="18" t="str">
        <f>IFERROR(__xludf.DUMMYFUNCTION("""COMPUTED_VALUE"""),"Shine Thomas")</f>
        <v>Shine Thomas</v>
      </c>
      <c r="G563" s="19">
        <f>IFERROR(__xludf.DUMMYFUNCTION("""COMPUTED_VALUE"""),45175.0)</f>
        <v>45175</v>
      </c>
      <c r="H563" s="18" t="str">
        <f>IFERROR(__xludf.DUMMYFUNCTION("""COMPUTED_VALUE"""),"UPI")</f>
        <v>UPI</v>
      </c>
      <c r="I563" s="18" t="str">
        <f>IFERROR(__xludf.DUMMYFUNCTION("""COMPUTED_VALUE"""),"Delivered")</f>
        <v>Delivered</v>
      </c>
      <c r="J563" s="18" t="str">
        <f>IFERROR(__xludf.DUMMYFUNCTION("""COMPUTED_VALUE"""),"Satisfied with the Delivery")</f>
        <v>Satisfied with the Delivery</v>
      </c>
      <c r="K563" s="18" t="str">
        <f>IFERROR(__xludf.DUMMYFUNCTION("""COMPUTED_VALUE"""),"Timely and quality")</f>
        <v>Timely and quality</v>
      </c>
      <c r="L563" s="18">
        <f>iferror(VLOOKUP($D563,Details!$A$2:$C$11,2,false),vlookup($D563,Details!$E$2:$G$11,2,false))</f>
        <v>70</v>
      </c>
      <c r="M563" s="18" t="str">
        <f>iferror(VLOOKUP($D563,Details!$A$2:$C$11,3,false),vlookup($D563,Details!$E$2:$G$11,3,false))</f>
        <v>Fruits and Vegetables</v>
      </c>
      <c r="N563" s="18">
        <f t="shared" si="1"/>
        <v>140</v>
      </c>
      <c r="O563" s="17"/>
      <c r="P563" s="17"/>
      <c r="Q563" s="17"/>
      <c r="R563" s="17"/>
      <c r="S563" s="17"/>
      <c r="T563" s="17"/>
      <c r="U563" s="17"/>
      <c r="V563" s="17"/>
      <c r="W563" s="17"/>
      <c r="X563" s="17"/>
      <c r="Y563" s="17"/>
      <c r="Z563" s="17"/>
    </row>
    <row r="564">
      <c r="A564" s="18" t="str">
        <f>IFERROR(__xludf.DUMMYFUNCTION("""COMPUTED_VALUE"""),"ord_10555")</f>
        <v>ord_10555</v>
      </c>
      <c r="B564" s="18" t="str">
        <f>IFERROR(__xludf.DUMMYFUNCTION("""COMPUTED_VALUE"""),"Pallavi Ghosh")</f>
        <v>Pallavi Ghosh</v>
      </c>
      <c r="C564" s="18" t="str">
        <f>IFERROR(__xludf.DUMMYFUNCTION("""COMPUTED_VALUE"""),"Bandra")</f>
        <v>Bandra</v>
      </c>
      <c r="D564" s="18" t="str">
        <f>IFERROR(__xludf.DUMMYFUNCTION("""COMPUTED_VALUE"""),"Cucumber")</f>
        <v>Cucumber</v>
      </c>
      <c r="E564" s="18">
        <f>IFERROR(__xludf.DUMMYFUNCTION("""COMPUTED_VALUE"""),2.0)</f>
        <v>2</v>
      </c>
      <c r="F564" s="18" t="str">
        <f>IFERROR(__xludf.DUMMYFUNCTION("""COMPUTED_VALUE"""),"Sita T")</f>
        <v>Sita T</v>
      </c>
      <c r="G564" s="19">
        <f>IFERROR(__xludf.DUMMYFUNCTION("""COMPUTED_VALUE"""),44980.0)</f>
        <v>44980</v>
      </c>
      <c r="H564" s="18" t="str">
        <f>IFERROR(__xludf.DUMMYFUNCTION("""COMPUTED_VALUE"""),"Online Payment")</f>
        <v>Online Payment</v>
      </c>
      <c r="I564" s="18" t="str">
        <f>IFERROR(__xludf.DUMMYFUNCTION("""COMPUTED_VALUE"""),"Delivered")</f>
        <v>Delivered</v>
      </c>
      <c r="J564" s="18" t="str">
        <f>IFERROR(__xludf.DUMMYFUNCTION("""COMPUTED_VALUE"""),"Customer Service")</f>
        <v>Customer Service</v>
      </c>
      <c r="K564" s="18" t="str">
        <f>IFERROR(__xludf.DUMMYFUNCTION("""COMPUTED_VALUE"""),"Seamless and easy")</f>
        <v>Seamless and easy</v>
      </c>
      <c r="L564" s="18">
        <f>iferror(VLOOKUP($D564,Details!$A$2:$C$11,2,false),vlookup($D564,Details!$E$2:$G$11,2,false))</f>
        <v>30</v>
      </c>
      <c r="M564" s="18" t="str">
        <f>iferror(VLOOKUP($D564,Details!$A$2:$C$11,3,false),vlookup($D564,Details!$E$2:$G$11,3,false))</f>
        <v>Fruits and Vegetables</v>
      </c>
      <c r="N564" s="18">
        <f t="shared" si="1"/>
        <v>60</v>
      </c>
      <c r="O564" s="17"/>
      <c r="P564" s="17"/>
      <c r="Q564" s="17"/>
      <c r="R564" s="17"/>
      <c r="S564" s="17"/>
      <c r="T564" s="17"/>
      <c r="U564" s="17"/>
      <c r="V564" s="17"/>
      <c r="W564" s="17"/>
      <c r="X564" s="17"/>
      <c r="Y564" s="17"/>
      <c r="Z564" s="17"/>
    </row>
    <row r="565">
      <c r="A565" s="18" t="str">
        <f>IFERROR(__xludf.DUMMYFUNCTION("""COMPUTED_VALUE"""),"ord_10556")</f>
        <v>ord_10556</v>
      </c>
      <c r="B565" s="18" t="str">
        <f>IFERROR(__xludf.DUMMYFUNCTION("""COMPUTED_VALUE"""),"Aditi Iyer")</f>
        <v>Aditi Iyer</v>
      </c>
      <c r="C565" s="18" t="str">
        <f>IFERROR(__xludf.DUMMYFUNCTION("""COMPUTED_VALUE"""),"Dadar")</f>
        <v>Dadar</v>
      </c>
      <c r="D565" s="18" t="str">
        <f>IFERROR(__xludf.DUMMYFUNCTION("""COMPUTED_VALUE"""),"Veg Puff")</f>
        <v>Veg Puff</v>
      </c>
      <c r="E565" s="18">
        <f>IFERROR(__xludf.DUMMYFUNCTION("""COMPUTED_VALUE"""),4.0)</f>
        <v>4</v>
      </c>
      <c r="F565" s="18" t="str">
        <f>IFERROR(__xludf.DUMMYFUNCTION("""COMPUTED_VALUE"""),"Vivek Kumar")</f>
        <v>Vivek Kumar</v>
      </c>
      <c r="G565" s="19">
        <f>IFERROR(__xludf.DUMMYFUNCTION("""COMPUTED_VALUE"""),45078.0)</f>
        <v>45078</v>
      </c>
      <c r="H565" s="18" t="str">
        <f>IFERROR(__xludf.DUMMYFUNCTION("""COMPUTED_VALUE"""),"UPI")</f>
        <v>UPI</v>
      </c>
      <c r="I565" s="18" t="str">
        <f>IFERROR(__xludf.DUMMYFUNCTION("""COMPUTED_VALUE"""),"Delivered")</f>
        <v>Delivered</v>
      </c>
      <c r="J565" s="18" t="str">
        <f>IFERROR(__xludf.DUMMYFUNCTION("""COMPUTED_VALUE"""),"Delivery Experience")</f>
        <v>Delivery Experience</v>
      </c>
      <c r="K565" s="18" t="str">
        <f>IFERROR(__xludf.DUMMYFUNCTION("""COMPUTED_VALUE"""),"Quick and professional")</f>
        <v>Quick and professional</v>
      </c>
      <c r="L565" s="18">
        <f>iferror(VLOOKUP($D565,Details!$A$2:$C$11,2,false),vlookup($D565,Details!$E$2:$G$11,2,false))</f>
        <v>80</v>
      </c>
      <c r="M565" s="18" t="str">
        <f>iferror(VLOOKUP($D565,Details!$A$2:$C$11,3,false),vlookup($D565,Details!$E$2:$G$11,3,false))</f>
        <v>Snacks and Drinks</v>
      </c>
      <c r="N565" s="18">
        <f t="shared" si="1"/>
        <v>320</v>
      </c>
      <c r="O565" s="17"/>
      <c r="P565" s="17"/>
      <c r="Q565" s="17"/>
      <c r="R565" s="17"/>
      <c r="S565" s="17"/>
      <c r="T565" s="17"/>
      <c r="U565" s="17"/>
      <c r="V565" s="17"/>
      <c r="W565" s="17"/>
      <c r="X565" s="17"/>
      <c r="Y565" s="17"/>
      <c r="Z565" s="17"/>
    </row>
    <row r="566">
      <c r="A566" s="18" t="str">
        <f>IFERROR(__xludf.DUMMYFUNCTION("""COMPUTED_VALUE"""),"ord_10557")</f>
        <v>ord_10557</v>
      </c>
      <c r="B566" s="18" t="str">
        <f>IFERROR(__xludf.DUMMYFUNCTION("""COMPUTED_VALUE"""),"Ishaan Chaturvedi")</f>
        <v>Ishaan Chaturvedi</v>
      </c>
      <c r="C566" s="18" t="str">
        <f>IFERROR(__xludf.DUMMYFUNCTION("""COMPUTED_VALUE"""),"Bandra")</f>
        <v>Bandra</v>
      </c>
      <c r="D566" s="18" t="str">
        <f>IFERROR(__xludf.DUMMYFUNCTION("""COMPUTED_VALUE"""),"Icecream")</f>
        <v>Icecream</v>
      </c>
      <c r="E566" s="18">
        <f>IFERROR(__xludf.DUMMYFUNCTION("""COMPUTED_VALUE"""),2.0)</f>
        <v>2</v>
      </c>
      <c r="F566" s="18" t="str">
        <f>IFERROR(__xludf.DUMMYFUNCTION("""COMPUTED_VALUE"""),"Manju Ajay")</f>
        <v>Manju Ajay</v>
      </c>
      <c r="G566" s="19">
        <f>IFERROR(__xludf.DUMMYFUNCTION("""COMPUTED_VALUE"""),45267.0)</f>
        <v>45267</v>
      </c>
      <c r="H566" s="18" t="str">
        <f>IFERROR(__xludf.DUMMYFUNCTION("""COMPUTED_VALUE"""),"UPI")</f>
        <v>UPI</v>
      </c>
      <c r="I566" s="18" t="str">
        <f>IFERROR(__xludf.DUMMYFUNCTION("""COMPUTED_VALUE"""),"Delivered")</f>
        <v>Delivered</v>
      </c>
      <c r="J566" s="18" t="str">
        <f>IFERROR(__xludf.DUMMYFUNCTION("""COMPUTED_VALUE"""),"Convenience")</f>
        <v>Convenience</v>
      </c>
      <c r="K566" s="18" t="str">
        <f>IFERROR(__xludf.DUMMYFUNCTION("""COMPUTED_VALUE"""),"Easy tracking")</f>
        <v>Easy tracking</v>
      </c>
      <c r="L566" s="18">
        <f>iferror(VLOOKUP($D566,Details!$A$2:$C$11,2,false),vlookup($D566,Details!$E$2:$G$11,2,false))</f>
        <v>90</v>
      </c>
      <c r="M566" s="18" t="str">
        <f>iferror(VLOOKUP($D566,Details!$A$2:$C$11,3,false),vlookup($D566,Details!$E$2:$G$11,3,false))</f>
        <v>Snacks and Drinks</v>
      </c>
      <c r="N566" s="18">
        <f t="shared" si="1"/>
        <v>180</v>
      </c>
      <c r="O566" s="17"/>
      <c r="P566" s="17"/>
      <c r="Q566" s="17"/>
      <c r="R566" s="17"/>
      <c r="S566" s="17"/>
      <c r="T566" s="17"/>
      <c r="U566" s="17"/>
      <c r="V566" s="17"/>
      <c r="W566" s="17"/>
      <c r="X566" s="17"/>
      <c r="Y566" s="17"/>
      <c r="Z566" s="17"/>
    </row>
    <row r="567">
      <c r="A567" s="18" t="str">
        <f>IFERROR(__xludf.DUMMYFUNCTION("""COMPUTED_VALUE"""),"ord_10558")</f>
        <v>ord_10558</v>
      </c>
      <c r="B567" s="18" t="str">
        <f>IFERROR(__xludf.DUMMYFUNCTION("""COMPUTED_VALUE"""),"Anaya Rao")</f>
        <v>Anaya Rao</v>
      </c>
      <c r="C567" s="18" t="str">
        <f>IFERROR(__xludf.DUMMYFUNCTION("""COMPUTED_VALUE"""),"Colaba")</f>
        <v>Colaba</v>
      </c>
      <c r="D567" s="18" t="str">
        <f>IFERROR(__xludf.DUMMYFUNCTION("""COMPUTED_VALUE"""),"Guava")</f>
        <v>Guava</v>
      </c>
      <c r="E567" s="18">
        <f>IFERROR(__xludf.DUMMYFUNCTION("""COMPUTED_VALUE"""),2.0)</f>
        <v>2</v>
      </c>
      <c r="F567" s="18" t="str">
        <f>IFERROR(__xludf.DUMMYFUNCTION("""COMPUTED_VALUE"""),"Vivek Kumar")</f>
        <v>Vivek Kumar</v>
      </c>
      <c r="G567" s="19">
        <f>IFERROR(__xludf.DUMMYFUNCTION("""COMPUTED_VALUE"""),45092.0)</f>
        <v>45092</v>
      </c>
      <c r="H567" s="18" t="str">
        <f>IFERROR(__xludf.DUMMYFUNCTION("""COMPUTED_VALUE"""),"COD")</f>
        <v>COD</v>
      </c>
      <c r="I567" s="18" t="str">
        <f>IFERROR(__xludf.DUMMYFUNCTION("""COMPUTED_VALUE"""),"Delivered")</f>
        <v>Delivered</v>
      </c>
      <c r="J567" s="18" t="str">
        <f>IFERROR(__xludf.DUMMYFUNCTION("""COMPUTED_VALUE"""),"Overall Satisfaction")</f>
        <v>Overall Satisfaction</v>
      </c>
      <c r="K567" s="18" t="str">
        <f>IFERROR(__xludf.DUMMYFUNCTION("""COMPUTED_VALUE"""),"Great service will order again")</f>
        <v>Great service will order again</v>
      </c>
      <c r="L567" s="18">
        <f>iferror(VLOOKUP($D567,Details!$A$2:$C$11,2,false),vlookup($D567,Details!$E$2:$G$11,2,false))</f>
        <v>70</v>
      </c>
      <c r="M567" s="18" t="str">
        <f>iferror(VLOOKUP($D567,Details!$A$2:$C$11,3,false),vlookup($D567,Details!$E$2:$G$11,3,false))</f>
        <v>Fruits and Vegetables</v>
      </c>
      <c r="N567" s="18">
        <f t="shared" si="1"/>
        <v>140</v>
      </c>
      <c r="O567" s="17"/>
      <c r="P567" s="17"/>
      <c r="Q567" s="17"/>
      <c r="R567" s="17"/>
      <c r="S567" s="17"/>
      <c r="T567" s="17"/>
      <c r="U567" s="17"/>
      <c r="V567" s="17"/>
      <c r="W567" s="17"/>
      <c r="X567" s="17"/>
      <c r="Y567" s="17"/>
      <c r="Z567" s="17"/>
    </row>
    <row r="568">
      <c r="A568" s="18" t="str">
        <f>IFERROR(__xludf.DUMMYFUNCTION("""COMPUTED_VALUE"""),"ord_10559")</f>
        <v>ord_10559</v>
      </c>
      <c r="B568" s="18" t="str">
        <f>IFERROR(__xludf.DUMMYFUNCTION("""COMPUTED_VALUE"""),"Ishita Banerjee")</f>
        <v>Ishita Banerjee</v>
      </c>
      <c r="C568" s="18" t="str">
        <f>IFERROR(__xludf.DUMMYFUNCTION("""COMPUTED_VALUE"""),"Juhu")</f>
        <v>Juhu</v>
      </c>
      <c r="D568" s="18" t="str">
        <f>IFERROR(__xludf.DUMMYFUNCTION("""COMPUTED_VALUE"""),"Tomato")</f>
        <v>Tomato</v>
      </c>
      <c r="E568" s="18">
        <f>IFERROR(__xludf.DUMMYFUNCTION("""COMPUTED_VALUE"""),1.0)</f>
        <v>1</v>
      </c>
      <c r="F568" s="18" t="str">
        <f>IFERROR(__xludf.DUMMYFUNCTION("""COMPUTED_VALUE"""),"Aman Kumar")</f>
        <v>Aman Kumar</v>
      </c>
      <c r="G568" s="19">
        <f>IFERROR(__xludf.DUMMYFUNCTION("""COMPUTED_VALUE"""),44964.0)</f>
        <v>44964</v>
      </c>
      <c r="H568" s="18" t="str">
        <f>IFERROR(__xludf.DUMMYFUNCTION("""COMPUTED_VALUE"""),"Credit Card")</f>
        <v>Credit Card</v>
      </c>
      <c r="I568" s="18" t="str">
        <f>IFERROR(__xludf.DUMMYFUNCTION("""COMPUTED_VALUE"""),"Cancelled")</f>
        <v>Cancelled</v>
      </c>
      <c r="J568" s="18" t="str">
        <f>IFERROR(__xludf.DUMMYFUNCTION("""COMPUTED_VALUE"""),"Delayed Delivery")</f>
        <v>Delayed Delivery</v>
      </c>
      <c r="K568" s="18" t="str">
        <f>IFERROR(__xludf.DUMMYFUNCTION("""COMPUTED_VALUE"""),"Bad Weather Conditions")</f>
        <v>Bad Weather Conditions</v>
      </c>
      <c r="L568" s="18">
        <f>iferror(VLOOKUP($D568,Details!$A$2:$C$11,2,false),vlookup($D568,Details!$E$2:$G$11,2,false))</f>
        <v>25</v>
      </c>
      <c r="M568" s="18" t="str">
        <f>iferror(VLOOKUP($D568,Details!$A$2:$C$11,3,false),vlookup($D568,Details!$E$2:$G$11,3,false))</f>
        <v>Fruits and Vegetables</v>
      </c>
      <c r="N568" s="18">
        <f t="shared" si="1"/>
        <v>25</v>
      </c>
      <c r="O568" s="17"/>
      <c r="P568" s="17"/>
      <c r="Q568" s="17"/>
      <c r="R568" s="17"/>
      <c r="S568" s="17"/>
      <c r="T568" s="17"/>
      <c r="U568" s="17"/>
      <c r="V568" s="17"/>
      <c r="W568" s="17"/>
      <c r="X568" s="17"/>
      <c r="Y568" s="17"/>
      <c r="Z568" s="17"/>
    </row>
    <row r="569">
      <c r="A569" s="18" t="str">
        <f>IFERROR(__xludf.DUMMYFUNCTION("""COMPUTED_VALUE"""),"ord_10560")</f>
        <v>ord_10560</v>
      </c>
      <c r="B569" s="18" t="str">
        <f>IFERROR(__xludf.DUMMYFUNCTION("""COMPUTED_VALUE"""),"Mohit Malhotra")</f>
        <v>Mohit Malhotra</v>
      </c>
      <c r="C569" s="18" t="str">
        <f>IFERROR(__xludf.DUMMYFUNCTION("""COMPUTED_VALUE"""),"Lower Parel")</f>
        <v>Lower Parel</v>
      </c>
      <c r="D569" s="18" t="str">
        <f>IFERROR(__xludf.DUMMYFUNCTION("""COMPUTED_VALUE"""),"Onion")</f>
        <v>Onion</v>
      </c>
      <c r="E569" s="18">
        <f>IFERROR(__xludf.DUMMYFUNCTION("""COMPUTED_VALUE"""),2.0)</f>
        <v>2</v>
      </c>
      <c r="F569" s="18" t="str">
        <f>IFERROR(__xludf.DUMMYFUNCTION("""COMPUTED_VALUE"""),"Ramesh S")</f>
        <v>Ramesh S</v>
      </c>
      <c r="G569" s="19">
        <f>IFERROR(__xludf.DUMMYFUNCTION("""COMPUTED_VALUE"""),45117.0)</f>
        <v>45117</v>
      </c>
      <c r="H569" s="18" t="str">
        <f>IFERROR(__xludf.DUMMYFUNCTION("""COMPUTED_VALUE"""),"Online Payment")</f>
        <v>Online Payment</v>
      </c>
      <c r="I569" s="18" t="str">
        <f>IFERROR(__xludf.DUMMYFUNCTION("""COMPUTED_VALUE"""),"Delivered")</f>
        <v>Delivered</v>
      </c>
      <c r="J569" s="18" t="str">
        <f>IFERROR(__xludf.DUMMYFUNCTION("""COMPUTED_VALUE"""),"On-time Delivery")</f>
        <v>On-time Delivery</v>
      </c>
      <c r="K569" s="18" t="str">
        <f>IFERROR(__xludf.DUMMYFUNCTION("""COMPUTED_VALUE"""),"Delivered on time")</f>
        <v>Delivered on time</v>
      </c>
      <c r="L569" s="18">
        <f>iferror(VLOOKUP($D569,Details!$A$2:$C$11,2,false),vlookup($D569,Details!$E$2:$G$11,2,false))</f>
        <v>84</v>
      </c>
      <c r="M569" s="18" t="str">
        <f>iferror(VLOOKUP($D569,Details!$A$2:$C$11,3,false),vlookup($D569,Details!$E$2:$G$11,3,false))</f>
        <v>Fruits and Vegetables</v>
      </c>
      <c r="N569" s="18">
        <f t="shared" si="1"/>
        <v>168</v>
      </c>
      <c r="O569" s="17"/>
      <c r="P569" s="17"/>
      <c r="Q569" s="17"/>
      <c r="R569" s="17"/>
      <c r="S569" s="17"/>
      <c r="T569" s="17"/>
      <c r="U569" s="17"/>
      <c r="V569" s="17"/>
      <c r="W569" s="17"/>
      <c r="X569" s="17"/>
      <c r="Y569" s="17"/>
      <c r="Z569" s="17"/>
    </row>
    <row r="570">
      <c r="A570" s="18" t="str">
        <f>IFERROR(__xludf.DUMMYFUNCTION("""COMPUTED_VALUE"""),"ord_10561")</f>
        <v>ord_10561</v>
      </c>
      <c r="B570" s="18" t="str">
        <f>IFERROR(__xludf.DUMMYFUNCTION("""COMPUTED_VALUE"""),"Mohit Malhotra")</f>
        <v>Mohit Malhotra</v>
      </c>
      <c r="C570" s="18" t="str">
        <f>IFERROR(__xludf.DUMMYFUNCTION("""COMPUTED_VALUE"""),"Lower Parel")</f>
        <v>Lower Parel</v>
      </c>
      <c r="D570" s="18" t="str">
        <f>IFERROR(__xludf.DUMMYFUNCTION("""COMPUTED_VALUE"""),"Sweet Corn")</f>
        <v>Sweet Corn</v>
      </c>
      <c r="E570" s="18">
        <f>IFERROR(__xludf.DUMMYFUNCTION("""COMPUTED_VALUE"""),2.0)</f>
        <v>2</v>
      </c>
      <c r="F570" s="18" t="str">
        <f>IFERROR(__xludf.DUMMYFUNCTION("""COMPUTED_VALUE"""),"Ram Gopal")</f>
        <v>Ram Gopal</v>
      </c>
      <c r="G570" s="19">
        <f>IFERROR(__xludf.DUMMYFUNCTION("""COMPUTED_VALUE"""),45274.0)</f>
        <v>45274</v>
      </c>
      <c r="H570" s="18" t="str">
        <f>IFERROR(__xludf.DUMMYFUNCTION("""COMPUTED_VALUE"""),"COD")</f>
        <v>COD</v>
      </c>
      <c r="I570" s="18" t="str">
        <f>IFERROR(__xludf.DUMMYFUNCTION("""COMPUTED_VALUE"""),"Delivered")</f>
        <v>Delivered</v>
      </c>
      <c r="J570" s="18" t="str">
        <f>IFERROR(__xludf.DUMMYFUNCTION("""COMPUTED_VALUE"""),"Quality of Items")</f>
        <v>Quality of Items</v>
      </c>
      <c r="K570" s="18" t="str">
        <f>IFERROR(__xludf.DUMMYFUNCTION("""COMPUTED_VALUE"""),"Perfect condition")</f>
        <v>Perfect condition</v>
      </c>
      <c r="L570" s="18">
        <f>iferror(VLOOKUP($D570,Details!$A$2:$C$11,2,false),vlookup($D570,Details!$E$2:$G$11,2,false))</f>
        <v>60</v>
      </c>
      <c r="M570" s="18" t="str">
        <f>iferror(VLOOKUP($D570,Details!$A$2:$C$11,3,false),vlookup($D570,Details!$E$2:$G$11,3,false))</f>
        <v>Fruits and Vegetables</v>
      </c>
      <c r="N570" s="18">
        <f t="shared" si="1"/>
        <v>120</v>
      </c>
      <c r="O570" s="17"/>
      <c r="P570" s="17"/>
      <c r="Q570" s="17"/>
      <c r="R570" s="17"/>
      <c r="S570" s="17"/>
      <c r="T570" s="17"/>
      <c r="U570" s="17"/>
      <c r="V570" s="17"/>
      <c r="W570" s="17"/>
      <c r="X570" s="17"/>
      <c r="Y570" s="17"/>
      <c r="Z570" s="17"/>
    </row>
    <row r="571">
      <c r="A571" s="18" t="str">
        <f>IFERROR(__xludf.DUMMYFUNCTION("""COMPUTED_VALUE"""),"ord_10562")</f>
        <v>ord_10562</v>
      </c>
      <c r="B571" s="18" t="str">
        <f>IFERROR(__xludf.DUMMYFUNCTION("""COMPUTED_VALUE"""),"Mohit Malhotra")</f>
        <v>Mohit Malhotra</v>
      </c>
      <c r="C571" s="18" t="str">
        <f>IFERROR(__xludf.DUMMYFUNCTION("""COMPUTED_VALUE"""),"Lower Parel")</f>
        <v>Lower Parel</v>
      </c>
      <c r="D571" s="18" t="str">
        <f>IFERROR(__xludf.DUMMYFUNCTION("""COMPUTED_VALUE"""),"Rasmalai")</f>
        <v>Rasmalai</v>
      </c>
      <c r="E571" s="18">
        <f>IFERROR(__xludf.DUMMYFUNCTION("""COMPUTED_VALUE"""),2.0)</f>
        <v>2</v>
      </c>
      <c r="F571" s="18" t="str">
        <f>IFERROR(__xludf.DUMMYFUNCTION("""COMPUTED_VALUE"""),"Kiran Mehta")</f>
        <v>Kiran Mehta</v>
      </c>
      <c r="G571" s="19">
        <f>IFERROR(__xludf.DUMMYFUNCTION("""COMPUTED_VALUE"""),45196.0)</f>
        <v>45196</v>
      </c>
      <c r="H571" s="18" t="str">
        <f>IFERROR(__xludf.DUMMYFUNCTION("""COMPUTED_VALUE"""),"COD")</f>
        <v>COD</v>
      </c>
      <c r="I571" s="18" t="str">
        <f>IFERROR(__xludf.DUMMYFUNCTION("""COMPUTED_VALUE"""),"Delivered")</f>
        <v>Delivered</v>
      </c>
      <c r="J571" s="18" t="str">
        <f>IFERROR(__xludf.DUMMYFUNCTION("""COMPUTED_VALUE"""),"On-time Delivery")</f>
        <v>On-time Delivery</v>
      </c>
      <c r="K571" s="18" t="str">
        <f>IFERROR(__xludf.DUMMYFUNCTION("""COMPUTED_VALUE"""),"Delivered on time")</f>
        <v>Delivered on time</v>
      </c>
      <c r="L571" s="18">
        <f>iferror(VLOOKUP($D571,Details!$A$2:$C$11,2,false),vlookup($D571,Details!$E$2:$G$11,2,false))</f>
        <v>110</v>
      </c>
      <c r="M571" s="18" t="str">
        <f>iferror(VLOOKUP($D571,Details!$A$2:$C$11,3,false),vlookup($D571,Details!$E$2:$G$11,3,false))</f>
        <v>Snacks and Drinks</v>
      </c>
      <c r="N571" s="18">
        <f t="shared" si="1"/>
        <v>220</v>
      </c>
      <c r="O571" s="17"/>
      <c r="P571" s="17"/>
      <c r="Q571" s="17"/>
      <c r="R571" s="17"/>
      <c r="S571" s="17"/>
      <c r="T571" s="17"/>
      <c r="U571" s="17"/>
      <c r="V571" s="17"/>
      <c r="W571" s="17"/>
      <c r="X571" s="17"/>
      <c r="Y571" s="17"/>
      <c r="Z571" s="17"/>
    </row>
    <row r="572">
      <c r="A572" s="18" t="str">
        <f>IFERROR(__xludf.DUMMYFUNCTION("""COMPUTED_VALUE"""),"ord_10563")</f>
        <v>ord_10563</v>
      </c>
      <c r="B572" s="18" t="str">
        <f>IFERROR(__xludf.DUMMYFUNCTION("""COMPUTED_VALUE"""),"Aditi Iyer")</f>
        <v>Aditi Iyer</v>
      </c>
      <c r="C572" s="18" t="str">
        <f>IFERROR(__xludf.DUMMYFUNCTION("""COMPUTED_VALUE"""),"Dadar")</f>
        <v>Dadar</v>
      </c>
      <c r="D572" s="18" t="str">
        <f>IFERROR(__xludf.DUMMYFUNCTION("""COMPUTED_VALUE"""),"Popcorn")</f>
        <v>Popcorn</v>
      </c>
      <c r="E572" s="18">
        <f>IFERROR(__xludf.DUMMYFUNCTION("""COMPUTED_VALUE"""),5.0)</f>
        <v>5</v>
      </c>
      <c r="F572" s="18" t="str">
        <f>IFERROR(__xludf.DUMMYFUNCTION("""COMPUTED_VALUE"""),"Aman Kumar")</f>
        <v>Aman Kumar</v>
      </c>
      <c r="G572" s="19">
        <f>IFERROR(__xludf.DUMMYFUNCTION("""COMPUTED_VALUE"""),45000.0)</f>
        <v>45000</v>
      </c>
      <c r="H572" s="18" t="str">
        <f>IFERROR(__xludf.DUMMYFUNCTION("""COMPUTED_VALUE"""),"Credit Card")</f>
        <v>Credit Card</v>
      </c>
      <c r="I572" s="18" t="str">
        <f>IFERROR(__xludf.DUMMYFUNCTION("""COMPUTED_VALUE"""),"Delivered")</f>
        <v>Delivered</v>
      </c>
      <c r="J572" s="18" t="str">
        <f>IFERROR(__xludf.DUMMYFUNCTION("""COMPUTED_VALUE"""),"Quality of Items")</f>
        <v>Quality of Items</v>
      </c>
      <c r="K572" s="18" t="str">
        <f>IFERROR(__xludf.DUMMYFUNCTION("""COMPUTED_VALUE"""),"Perfect condition")</f>
        <v>Perfect condition</v>
      </c>
      <c r="L572" s="18">
        <f>iferror(VLOOKUP($D572,Details!$A$2:$C$11,2,false),vlookup($D572,Details!$E$2:$G$11,2,false))</f>
        <v>150</v>
      </c>
      <c r="M572" s="18" t="str">
        <f>iferror(VLOOKUP($D572,Details!$A$2:$C$11,3,false),vlookup($D572,Details!$E$2:$G$11,3,false))</f>
        <v>Snacks and Drinks</v>
      </c>
      <c r="N572" s="18">
        <f t="shared" si="1"/>
        <v>750</v>
      </c>
      <c r="O572" s="17"/>
      <c r="P572" s="17"/>
      <c r="Q572" s="17"/>
      <c r="R572" s="17"/>
      <c r="S572" s="17"/>
      <c r="T572" s="17"/>
      <c r="U572" s="17"/>
      <c r="V572" s="17"/>
      <c r="W572" s="17"/>
      <c r="X572" s="17"/>
      <c r="Y572" s="17"/>
      <c r="Z572" s="17"/>
    </row>
    <row r="573">
      <c r="A573" s="18" t="str">
        <f>IFERROR(__xludf.DUMMYFUNCTION("""COMPUTED_VALUE"""),"ord_10564")</f>
        <v>ord_10564</v>
      </c>
      <c r="B573" s="18" t="str">
        <f>IFERROR(__xludf.DUMMYFUNCTION("""COMPUTED_VALUE"""),"Sanjay Nair")</f>
        <v>Sanjay Nair</v>
      </c>
      <c r="C573" s="18" t="str">
        <f>IFERROR(__xludf.DUMMYFUNCTION("""COMPUTED_VALUE"""),"Dadar")</f>
        <v>Dadar</v>
      </c>
      <c r="D573" s="18" t="str">
        <f>IFERROR(__xludf.DUMMYFUNCTION("""COMPUTED_VALUE"""),"Chocolate Mousse")</f>
        <v>Chocolate Mousse</v>
      </c>
      <c r="E573" s="18">
        <f>IFERROR(__xludf.DUMMYFUNCTION("""COMPUTED_VALUE"""),2.0)</f>
        <v>2</v>
      </c>
      <c r="F573" s="18" t="str">
        <f>IFERROR(__xludf.DUMMYFUNCTION("""COMPUTED_VALUE"""),"Aman Kumar")</f>
        <v>Aman Kumar</v>
      </c>
      <c r="G573" s="19">
        <f>IFERROR(__xludf.DUMMYFUNCTION("""COMPUTED_VALUE"""),45209.0)</f>
        <v>45209</v>
      </c>
      <c r="H573" s="18" t="str">
        <f>IFERROR(__xludf.DUMMYFUNCTION("""COMPUTED_VALUE"""),"Credit Card")</f>
        <v>Credit Card</v>
      </c>
      <c r="I573" s="18" t="str">
        <f>IFERROR(__xludf.DUMMYFUNCTION("""COMPUTED_VALUE"""),"Delivered")</f>
        <v>Delivered</v>
      </c>
      <c r="J573" s="18" t="str">
        <f>IFERROR(__xludf.DUMMYFUNCTION("""COMPUTED_VALUE"""),"Packaging")</f>
        <v>Packaging</v>
      </c>
      <c r="K573" s="18" t="str">
        <f>IFERROR(__xludf.DUMMYFUNCTION("""COMPUTED_VALUE"""),"Secure and intact")</f>
        <v>Secure and intact</v>
      </c>
      <c r="L573" s="18">
        <f>iferror(VLOOKUP($D573,Details!$A$2:$C$11,2,false),vlookup($D573,Details!$E$2:$G$11,2,false))</f>
        <v>145</v>
      </c>
      <c r="M573" s="18" t="str">
        <f>iferror(VLOOKUP($D573,Details!$A$2:$C$11,3,false),vlookup($D573,Details!$E$2:$G$11,3,false))</f>
        <v>Snacks and Drinks</v>
      </c>
      <c r="N573" s="18">
        <f t="shared" si="1"/>
        <v>290</v>
      </c>
      <c r="O573" s="17"/>
      <c r="P573" s="17"/>
      <c r="Q573" s="17"/>
      <c r="R573" s="17"/>
      <c r="S573" s="17"/>
      <c r="T573" s="17"/>
      <c r="U573" s="17"/>
      <c r="V573" s="17"/>
      <c r="W573" s="17"/>
      <c r="X573" s="17"/>
      <c r="Y573" s="17"/>
      <c r="Z573" s="17"/>
    </row>
    <row r="574">
      <c r="A574" s="18" t="str">
        <f>IFERROR(__xludf.DUMMYFUNCTION("""COMPUTED_VALUE"""),"ord_10565")</f>
        <v>ord_10565</v>
      </c>
      <c r="B574" s="18" t="str">
        <f>IFERROR(__xludf.DUMMYFUNCTION("""COMPUTED_VALUE"""),"Dev Chauhan")</f>
        <v>Dev Chauhan</v>
      </c>
      <c r="C574" s="18" t="str">
        <f>IFERROR(__xludf.DUMMYFUNCTION("""COMPUTED_VALUE"""),"Bandra")</f>
        <v>Bandra</v>
      </c>
      <c r="D574" s="18" t="str">
        <f>IFERROR(__xludf.DUMMYFUNCTION("""COMPUTED_VALUE"""),"Orange")</f>
        <v>Orange</v>
      </c>
      <c r="E574" s="18">
        <f>IFERROR(__xludf.DUMMYFUNCTION("""COMPUTED_VALUE"""),1.0)</f>
        <v>1</v>
      </c>
      <c r="F574" s="18" t="str">
        <f>IFERROR(__xludf.DUMMYFUNCTION("""COMPUTED_VALUE"""),"Priya Joshi")</f>
        <v>Priya Joshi</v>
      </c>
      <c r="G574" s="19">
        <f>IFERROR(__xludf.DUMMYFUNCTION("""COMPUTED_VALUE"""),45197.0)</f>
        <v>45197</v>
      </c>
      <c r="H574" s="18" t="str">
        <f>IFERROR(__xludf.DUMMYFUNCTION("""COMPUTED_VALUE"""),"Credit Card")</f>
        <v>Credit Card</v>
      </c>
      <c r="I574" s="18" t="str">
        <f>IFERROR(__xludf.DUMMYFUNCTION("""COMPUTED_VALUE"""),"Delivered")</f>
        <v>Delivered</v>
      </c>
      <c r="J574" s="18" t="str">
        <f>IFERROR(__xludf.DUMMYFUNCTION("""COMPUTED_VALUE"""),"Satisfied with the Delivery")</f>
        <v>Satisfied with the Delivery</v>
      </c>
      <c r="K574" s="18" t="str">
        <f>IFERROR(__xludf.DUMMYFUNCTION("""COMPUTED_VALUE"""),"Timely and quality")</f>
        <v>Timely and quality</v>
      </c>
      <c r="L574" s="18">
        <f>iferror(VLOOKUP($D574,Details!$A$2:$C$11,2,false),vlookup($D574,Details!$E$2:$G$11,2,false))</f>
        <v>180</v>
      </c>
      <c r="M574" s="18" t="str">
        <f>iferror(VLOOKUP($D574,Details!$A$2:$C$11,3,false),vlookup($D574,Details!$E$2:$G$11,3,false))</f>
        <v>Fruits and Vegetables</v>
      </c>
      <c r="N574" s="18">
        <f t="shared" si="1"/>
        <v>180</v>
      </c>
      <c r="O574" s="17"/>
      <c r="P574" s="17"/>
      <c r="Q574" s="17"/>
      <c r="R574" s="17"/>
      <c r="S574" s="17"/>
      <c r="T574" s="17"/>
      <c r="U574" s="17"/>
      <c r="V574" s="17"/>
      <c r="W574" s="17"/>
      <c r="X574" s="17"/>
      <c r="Y574" s="17"/>
      <c r="Z574" s="17"/>
    </row>
    <row r="575">
      <c r="A575" s="18" t="str">
        <f>IFERROR(__xludf.DUMMYFUNCTION("""COMPUTED_VALUE"""),"ord_10566")</f>
        <v>ord_10566</v>
      </c>
      <c r="B575" s="18" t="str">
        <f>IFERROR(__xludf.DUMMYFUNCTION("""COMPUTED_VALUE"""),"Aditi Iyer")</f>
        <v>Aditi Iyer</v>
      </c>
      <c r="C575" s="18" t="str">
        <f>IFERROR(__xludf.DUMMYFUNCTION("""COMPUTED_VALUE"""),"Dadar")</f>
        <v>Dadar</v>
      </c>
      <c r="D575" s="18" t="str">
        <f>IFERROR(__xludf.DUMMYFUNCTION("""COMPUTED_VALUE"""),"Cucumber")</f>
        <v>Cucumber</v>
      </c>
      <c r="E575" s="18">
        <f>IFERROR(__xludf.DUMMYFUNCTION("""COMPUTED_VALUE"""),1.0)</f>
        <v>1</v>
      </c>
      <c r="F575" s="18" t="str">
        <f>IFERROR(__xludf.DUMMYFUNCTION("""COMPUTED_VALUE"""),"Not Assigned")</f>
        <v>Not Assigned</v>
      </c>
      <c r="G575" s="19">
        <f>IFERROR(__xludf.DUMMYFUNCTION("""COMPUTED_VALUE"""),45078.0)</f>
        <v>45078</v>
      </c>
      <c r="H575" s="18" t="str">
        <f>IFERROR(__xludf.DUMMYFUNCTION("""COMPUTED_VALUE"""),"Credit Card")</f>
        <v>Credit Card</v>
      </c>
      <c r="I575" s="18" t="str">
        <f>IFERROR(__xludf.DUMMYFUNCTION("""COMPUTED_VALUE"""),"Cancelled")</f>
        <v>Cancelled</v>
      </c>
      <c r="J575" s="18" t="str">
        <f>IFERROR(__xludf.DUMMYFUNCTION("""COMPUTED_VALUE"""),"App Glitches")</f>
        <v>App Glitches</v>
      </c>
      <c r="K575" s="18" t="str">
        <f>IFERROR(__xludf.DUMMYFUNCTION("""COMPUTED_VALUE"""),"Slow Loading Time")</f>
        <v>Slow Loading Time</v>
      </c>
      <c r="L575" s="18">
        <f>iferror(VLOOKUP($D575,Details!$A$2:$C$11,2,false),vlookup($D575,Details!$E$2:$G$11,2,false))</f>
        <v>30</v>
      </c>
      <c r="M575" s="18" t="str">
        <f>iferror(VLOOKUP($D575,Details!$A$2:$C$11,3,false),vlookup($D575,Details!$E$2:$G$11,3,false))</f>
        <v>Fruits and Vegetables</v>
      </c>
      <c r="N575" s="18">
        <f t="shared" si="1"/>
        <v>30</v>
      </c>
      <c r="O575" s="17"/>
      <c r="P575" s="17"/>
      <c r="Q575" s="17"/>
      <c r="R575" s="17"/>
      <c r="S575" s="17"/>
      <c r="T575" s="17"/>
      <c r="U575" s="17"/>
      <c r="V575" s="17"/>
      <c r="W575" s="17"/>
      <c r="X575" s="17"/>
      <c r="Y575" s="17"/>
      <c r="Z575" s="17"/>
    </row>
    <row r="576">
      <c r="A576" s="18" t="str">
        <f>IFERROR(__xludf.DUMMYFUNCTION("""COMPUTED_VALUE"""),"ord_10567")</f>
        <v>ord_10567</v>
      </c>
      <c r="B576" s="18" t="str">
        <f>IFERROR(__xludf.DUMMYFUNCTION("""COMPUTED_VALUE"""),"Sakshi Tandon")</f>
        <v>Sakshi Tandon</v>
      </c>
      <c r="C576" s="18" t="str">
        <f>IFERROR(__xludf.DUMMYFUNCTION("""COMPUTED_VALUE"""),"Colaba")</f>
        <v>Colaba</v>
      </c>
      <c r="D576" s="18" t="str">
        <f>IFERROR(__xludf.DUMMYFUNCTION("""COMPUTED_VALUE"""),"Popcorn")</f>
        <v>Popcorn</v>
      </c>
      <c r="E576" s="18">
        <f>IFERROR(__xludf.DUMMYFUNCTION("""COMPUTED_VALUE"""),2.0)</f>
        <v>2</v>
      </c>
      <c r="F576" s="18" t="str">
        <f>IFERROR(__xludf.DUMMYFUNCTION("""COMPUTED_VALUE"""),"Not Assigned")</f>
        <v>Not Assigned</v>
      </c>
      <c r="G576" s="19">
        <f>IFERROR(__xludf.DUMMYFUNCTION("""COMPUTED_VALUE"""),45234.0)</f>
        <v>45234</v>
      </c>
      <c r="H576" s="18" t="str">
        <f>IFERROR(__xludf.DUMMYFUNCTION("""COMPUTED_VALUE"""),"Online Payment")</f>
        <v>Online Payment</v>
      </c>
      <c r="I576" s="18" t="str">
        <f>IFERROR(__xludf.DUMMYFUNCTION("""COMPUTED_VALUE"""),"Cancelled")</f>
        <v>Cancelled</v>
      </c>
      <c r="J576" s="18" t="str">
        <f>IFERROR(__xludf.DUMMYFUNCTION("""COMPUTED_VALUE"""),"Payment Issues")</f>
        <v>Payment Issues</v>
      </c>
      <c r="K576" s="18"/>
      <c r="L576" s="18">
        <f>iferror(VLOOKUP($D576,Details!$A$2:$C$11,2,false),vlookup($D576,Details!$E$2:$G$11,2,false))</f>
        <v>150</v>
      </c>
      <c r="M576" s="18" t="str">
        <f>iferror(VLOOKUP($D576,Details!$A$2:$C$11,3,false),vlookup($D576,Details!$E$2:$G$11,3,false))</f>
        <v>Snacks and Drinks</v>
      </c>
      <c r="N576" s="18">
        <f t="shared" si="1"/>
        <v>300</v>
      </c>
      <c r="O576" s="17"/>
      <c r="P576" s="17"/>
      <c r="Q576" s="17"/>
      <c r="R576" s="17"/>
      <c r="S576" s="17"/>
      <c r="T576" s="17"/>
      <c r="U576" s="17"/>
      <c r="V576" s="17"/>
      <c r="W576" s="17"/>
      <c r="X576" s="17"/>
      <c r="Y576" s="17"/>
      <c r="Z576" s="17"/>
    </row>
    <row r="577">
      <c r="A577" s="18" t="str">
        <f>IFERROR(__xludf.DUMMYFUNCTION("""COMPUTED_VALUE"""),"ord_10568")</f>
        <v>ord_10568</v>
      </c>
      <c r="B577" s="18" t="str">
        <f>IFERROR(__xludf.DUMMYFUNCTION("""COMPUTED_VALUE"""),"Diya Arora")</f>
        <v>Diya Arora</v>
      </c>
      <c r="C577" s="18" t="str">
        <f>IFERROR(__xludf.DUMMYFUNCTION("""COMPUTED_VALUE"""),"Lower Parel")</f>
        <v>Lower Parel</v>
      </c>
      <c r="D577" s="18" t="str">
        <f>IFERROR(__xludf.DUMMYFUNCTION("""COMPUTED_VALUE"""),"Icecream")</f>
        <v>Icecream</v>
      </c>
      <c r="E577" s="18">
        <f>IFERROR(__xludf.DUMMYFUNCTION("""COMPUTED_VALUE"""),5.0)</f>
        <v>5</v>
      </c>
      <c r="F577" s="18" t="str">
        <f>IFERROR(__xludf.DUMMYFUNCTION("""COMPUTED_VALUE"""),"Nithin Lal")</f>
        <v>Nithin Lal</v>
      </c>
      <c r="G577" s="19">
        <f>IFERROR(__xludf.DUMMYFUNCTION("""COMPUTED_VALUE"""),45004.0)</f>
        <v>45004</v>
      </c>
      <c r="H577" s="18" t="str">
        <f>IFERROR(__xludf.DUMMYFUNCTION("""COMPUTED_VALUE"""),"Credit Card")</f>
        <v>Credit Card</v>
      </c>
      <c r="I577" s="18" t="str">
        <f>IFERROR(__xludf.DUMMYFUNCTION("""COMPUTED_VALUE"""),"Cancelled")</f>
        <v>Cancelled</v>
      </c>
      <c r="J577" s="18" t="str">
        <f>IFERROR(__xludf.DUMMYFUNCTION("""COMPUTED_VALUE"""),"Delayed Delivery")</f>
        <v>Delayed Delivery</v>
      </c>
      <c r="K577" s="18" t="str">
        <f>IFERROR(__xludf.DUMMYFUNCTION("""COMPUTED_VALUE"""),"Incorrect Address or Location")</f>
        <v>Incorrect Address or Location</v>
      </c>
      <c r="L577" s="18">
        <f>iferror(VLOOKUP($D577,Details!$A$2:$C$11,2,false),vlookup($D577,Details!$E$2:$G$11,2,false))</f>
        <v>90</v>
      </c>
      <c r="M577" s="18" t="str">
        <f>iferror(VLOOKUP($D577,Details!$A$2:$C$11,3,false),vlookup($D577,Details!$E$2:$G$11,3,false))</f>
        <v>Snacks and Drinks</v>
      </c>
      <c r="N577" s="18">
        <f t="shared" si="1"/>
        <v>450</v>
      </c>
      <c r="O577" s="17"/>
      <c r="P577" s="17"/>
      <c r="Q577" s="17"/>
      <c r="R577" s="17"/>
      <c r="S577" s="17"/>
      <c r="T577" s="17"/>
      <c r="U577" s="17"/>
      <c r="V577" s="17"/>
      <c r="W577" s="17"/>
      <c r="X577" s="17"/>
      <c r="Y577" s="17"/>
      <c r="Z577" s="17"/>
    </row>
    <row r="578">
      <c r="A578" s="18" t="str">
        <f>IFERROR(__xludf.DUMMYFUNCTION("""COMPUTED_VALUE"""),"ord_10569")</f>
        <v>ord_10569</v>
      </c>
      <c r="B578" s="18" t="str">
        <f>IFERROR(__xludf.DUMMYFUNCTION("""COMPUTED_VALUE"""),"Pranav Joshi")</f>
        <v>Pranav Joshi</v>
      </c>
      <c r="C578" s="18" t="str">
        <f>IFERROR(__xludf.DUMMYFUNCTION("""COMPUTED_VALUE"""),"Andheri")</f>
        <v>Andheri</v>
      </c>
      <c r="D578" s="18" t="str">
        <f>IFERROR(__xludf.DUMMYFUNCTION("""COMPUTED_VALUE"""),"Orange")</f>
        <v>Orange</v>
      </c>
      <c r="E578" s="18">
        <f>IFERROR(__xludf.DUMMYFUNCTION("""COMPUTED_VALUE"""),1.0)</f>
        <v>1</v>
      </c>
      <c r="F578" s="18" t="str">
        <f>IFERROR(__xludf.DUMMYFUNCTION("""COMPUTED_VALUE"""),"Rohan Yadav")</f>
        <v>Rohan Yadav</v>
      </c>
      <c r="G578" s="19">
        <f>IFERROR(__xludf.DUMMYFUNCTION("""COMPUTED_VALUE"""),45153.0)</f>
        <v>45153</v>
      </c>
      <c r="H578" s="18" t="str">
        <f>IFERROR(__xludf.DUMMYFUNCTION("""COMPUTED_VALUE"""),"Credit Card")</f>
        <v>Credit Card</v>
      </c>
      <c r="I578" s="18" t="str">
        <f>IFERROR(__xludf.DUMMYFUNCTION("""COMPUTED_VALUE"""),"Delivered")</f>
        <v>Delivered</v>
      </c>
      <c r="J578" s="18" t="str">
        <f>IFERROR(__xludf.DUMMYFUNCTION("""COMPUTED_VALUE"""),"Customer Service")</f>
        <v>Customer Service</v>
      </c>
      <c r="K578" s="18" t="str">
        <f>IFERROR(__xludf.DUMMYFUNCTION("""COMPUTED_VALUE"""),"Seamless and easy")</f>
        <v>Seamless and easy</v>
      </c>
      <c r="L578" s="18">
        <f>iferror(VLOOKUP($D578,Details!$A$2:$C$11,2,false),vlookup($D578,Details!$E$2:$G$11,2,false))</f>
        <v>180</v>
      </c>
      <c r="M578" s="18" t="str">
        <f>iferror(VLOOKUP($D578,Details!$A$2:$C$11,3,false),vlookup($D578,Details!$E$2:$G$11,3,false))</f>
        <v>Fruits and Vegetables</v>
      </c>
      <c r="N578" s="18">
        <f t="shared" si="1"/>
        <v>180</v>
      </c>
      <c r="O578" s="17"/>
      <c r="P578" s="17"/>
      <c r="Q578" s="17"/>
      <c r="R578" s="17"/>
      <c r="S578" s="17"/>
      <c r="T578" s="17"/>
      <c r="U578" s="17"/>
      <c r="V578" s="17"/>
      <c r="W578" s="17"/>
      <c r="X578" s="17"/>
      <c r="Y578" s="17"/>
      <c r="Z578" s="17"/>
    </row>
    <row r="579">
      <c r="A579" s="18" t="str">
        <f>IFERROR(__xludf.DUMMYFUNCTION("""COMPUTED_VALUE"""),"ord_10570")</f>
        <v>ord_10570</v>
      </c>
      <c r="B579" s="18" t="str">
        <f>IFERROR(__xludf.DUMMYFUNCTION("""COMPUTED_VALUE"""),"Aditi Iyer")</f>
        <v>Aditi Iyer</v>
      </c>
      <c r="C579" s="18" t="str">
        <f>IFERROR(__xludf.DUMMYFUNCTION("""COMPUTED_VALUE"""),"Dadar")</f>
        <v>Dadar</v>
      </c>
      <c r="D579" s="18" t="str">
        <f>IFERROR(__xludf.DUMMYFUNCTION("""COMPUTED_VALUE"""),"Onion")</f>
        <v>Onion</v>
      </c>
      <c r="E579" s="18">
        <f>IFERROR(__xludf.DUMMYFUNCTION("""COMPUTED_VALUE"""),1.0)</f>
        <v>1</v>
      </c>
      <c r="F579" s="18" t="str">
        <f>IFERROR(__xludf.DUMMYFUNCTION("""COMPUTED_VALUE"""),"Aman Kumar")</f>
        <v>Aman Kumar</v>
      </c>
      <c r="G579" s="19">
        <f>IFERROR(__xludf.DUMMYFUNCTION("""COMPUTED_VALUE"""),45259.0)</f>
        <v>45259</v>
      </c>
      <c r="H579" s="18" t="str">
        <f>IFERROR(__xludf.DUMMYFUNCTION("""COMPUTED_VALUE"""),"UPI")</f>
        <v>UPI</v>
      </c>
      <c r="I579" s="18" t="str">
        <f>IFERROR(__xludf.DUMMYFUNCTION("""COMPUTED_VALUE"""),"Delivered")</f>
        <v>Delivered</v>
      </c>
      <c r="J579" s="18" t="str">
        <f>IFERROR(__xludf.DUMMYFUNCTION("""COMPUTED_VALUE"""),"Delivery Experience")</f>
        <v>Delivery Experience</v>
      </c>
      <c r="K579" s="18" t="str">
        <f>IFERROR(__xludf.DUMMYFUNCTION("""COMPUTED_VALUE"""),"Quick and professional")</f>
        <v>Quick and professional</v>
      </c>
      <c r="L579" s="18">
        <f>iferror(VLOOKUP($D579,Details!$A$2:$C$11,2,false),vlookup($D579,Details!$E$2:$G$11,2,false))</f>
        <v>84</v>
      </c>
      <c r="M579" s="18" t="str">
        <f>iferror(VLOOKUP($D579,Details!$A$2:$C$11,3,false),vlookup($D579,Details!$E$2:$G$11,3,false))</f>
        <v>Fruits and Vegetables</v>
      </c>
      <c r="N579" s="18">
        <f t="shared" si="1"/>
        <v>84</v>
      </c>
      <c r="O579" s="17"/>
      <c r="P579" s="17"/>
      <c r="Q579" s="17"/>
      <c r="R579" s="17"/>
      <c r="S579" s="17"/>
      <c r="T579" s="17"/>
      <c r="U579" s="17"/>
      <c r="V579" s="17"/>
      <c r="W579" s="17"/>
      <c r="X579" s="17"/>
      <c r="Y579" s="17"/>
      <c r="Z579" s="17"/>
    </row>
    <row r="580">
      <c r="A580" s="18" t="str">
        <f>IFERROR(__xludf.DUMMYFUNCTION("""COMPUTED_VALUE"""),"ord_10571")</f>
        <v>ord_10571</v>
      </c>
      <c r="B580" s="18" t="str">
        <f>IFERROR(__xludf.DUMMYFUNCTION("""COMPUTED_VALUE"""),"Pranav Joshi")</f>
        <v>Pranav Joshi</v>
      </c>
      <c r="C580" s="18" t="str">
        <f>IFERROR(__xludf.DUMMYFUNCTION("""COMPUTED_VALUE"""),"Andheri")</f>
        <v>Andheri</v>
      </c>
      <c r="D580" s="18" t="str">
        <f>IFERROR(__xludf.DUMMYFUNCTION("""COMPUTED_VALUE"""),"Apple")</f>
        <v>Apple</v>
      </c>
      <c r="E580" s="18">
        <f>IFERROR(__xludf.DUMMYFUNCTION("""COMPUTED_VALUE"""),1.0)</f>
        <v>1</v>
      </c>
      <c r="F580" s="18" t="str">
        <f>IFERROR(__xludf.DUMMYFUNCTION("""COMPUTED_VALUE"""),"Rohan Yadav")</f>
        <v>Rohan Yadav</v>
      </c>
      <c r="G580" s="19">
        <f>IFERROR(__xludf.DUMMYFUNCTION("""COMPUTED_VALUE"""),44984.0)</f>
        <v>44984</v>
      </c>
      <c r="H580" s="18" t="str">
        <f>IFERROR(__xludf.DUMMYFUNCTION("""COMPUTED_VALUE"""),"Credit Card")</f>
        <v>Credit Card</v>
      </c>
      <c r="I580" s="18" t="str">
        <f>IFERROR(__xludf.DUMMYFUNCTION("""COMPUTED_VALUE"""),"Delivered")</f>
        <v>Delivered</v>
      </c>
      <c r="J580" s="18" t="str">
        <f>IFERROR(__xludf.DUMMYFUNCTION("""COMPUTED_VALUE"""),"Convenience")</f>
        <v>Convenience</v>
      </c>
      <c r="K580" s="18" t="str">
        <f>IFERROR(__xludf.DUMMYFUNCTION("""COMPUTED_VALUE"""),"Easy tracking")</f>
        <v>Easy tracking</v>
      </c>
      <c r="L580" s="18">
        <f>iferror(VLOOKUP($D580,Details!$A$2:$C$11,2,false),vlookup($D580,Details!$E$2:$G$11,2,false))</f>
        <v>230</v>
      </c>
      <c r="M580" s="18" t="str">
        <f>iferror(VLOOKUP($D580,Details!$A$2:$C$11,3,false),vlookup($D580,Details!$E$2:$G$11,3,false))</f>
        <v>Fruits and Vegetables</v>
      </c>
      <c r="N580" s="18">
        <f t="shared" si="1"/>
        <v>230</v>
      </c>
      <c r="O580" s="17"/>
      <c r="P580" s="17"/>
      <c r="Q580" s="17"/>
      <c r="R580" s="17"/>
      <c r="S580" s="17"/>
      <c r="T580" s="17"/>
      <c r="U580" s="17"/>
      <c r="V580" s="17"/>
      <c r="W580" s="17"/>
      <c r="X580" s="17"/>
      <c r="Y580" s="17"/>
      <c r="Z580" s="17"/>
    </row>
    <row r="581">
      <c r="A581" s="18" t="str">
        <f>IFERROR(__xludf.DUMMYFUNCTION("""COMPUTED_VALUE"""),"ord_10572")</f>
        <v>ord_10572</v>
      </c>
      <c r="B581" s="18" t="str">
        <f>IFERROR(__xludf.DUMMYFUNCTION("""COMPUTED_VALUE"""),"Ishita Banerjee")</f>
        <v>Ishita Banerjee</v>
      </c>
      <c r="C581" s="18" t="str">
        <f>IFERROR(__xludf.DUMMYFUNCTION("""COMPUTED_VALUE"""),"Juhu")</f>
        <v>Juhu</v>
      </c>
      <c r="D581" s="18" t="str">
        <f>IFERROR(__xludf.DUMMYFUNCTION("""COMPUTED_VALUE"""),"Cold Coffee")</f>
        <v>Cold Coffee</v>
      </c>
      <c r="E581" s="18">
        <f>IFERROR(__xludf.DUMMYFUNCTION("""COMPUTED_VALUE"""),2.0)</f>
        <v>2</v>
      </c>
      <c r="F581" s="18" t="str">
        <f>IFERROR(__xludf.DUMMYFUNCTION("""COMPUTED_VALUE"""),"Tanvi Jain")</f>
        <v>Tanvi Jain</v>
      </c>
      <c r="G581" s="19">
        <f>IFERROR(__xludf.DUMMYFUNCTION("""COMPUTED_VALUE"""),45165.0)</f>
        <v>45165</v>
      </c>
      <c r="H581" s="18" t="str">
        <f>IFERROR(__xludf.DUMMYFUNCTION("""COMPUTED_VALUE"""),"UPI")</f>
        <v>UPI</v>
      </c>
      <c r="I581" s="18" t="str">
        <f>IFERROR(__xludf.DUMMYFUNCTION("""COMPUTED_VALUE"""),"Delivered")</f>
        <v>Delivered</v>
      </c>
      <c r="J581" s="18" t="str">
        <f>IFERROR(__xludf.DUMMYFUNCTION("""COMPUTED_VALUE"""),"Overall Satisfaction")</f>
        <v>Overall Satisfaction</v>
      </c>
      <c r="K581" s="18" t="str">
        <f>IFERROR(__xludf.DUMMYFUNCTION("""COMPUTED_VALUE"""),"Great service will order again")</f>
        <v>Great service will order again</v>
      </c>
      <c r="L581" s="18">
        <f>iferror(VLOOKUP($D581,Details!$A$2:$C$11,2,false),vlookup($D581,Details!$E$2:$G$11,2,false))</f>
        <v>270</v>
      </c>
      <c r="M581" s="18" t="str">
        <f>iferror(VLOOKUP($D581,Details!$A$2:$C$11,3,false),vlookup($D581,Details!$E$2:$G$11,3,false))</f>
        <v>Snacks and Drinks</v>
      </c>
      <c r="N581" s="18">
        <f t="shared" si="1"/>
        <v>540</v>
      </c>
      <c r="O581" s="17"/>
      <c r="P581" s="17"/>
      <c r="Q581" s="17"/>
      <c r="R581" s="17"/>
      <c r="S581" s="17"/>
      <c r="T581" s="17"/>
      <c r="U581" s="17"/>
      <c r="V581" s="17"/>
      <c r="W581" s="17"/>
      <c r="X581" s="17"/>
      <c r="Y581" s="17"/>
      <c r="Z581" s="17"/>
    </row>
    <row r="582">
      <c r="A582" s="18" t="str">
        <f>IFERROR(__xludf.DUMMYFUNCTION("""COMPUTED_VALUE"""),"ord_10573")</f>
        <v>ord_10573</v>
      </c>
      <c r="B582" s="18" t="str">
        <f>IFERROR(__xludf.DUMMYFUNCTION("""COMPUTED_VALUE"""),"Sakshi Tandon")</f>
        <v>Sakshi Tandon</v>
      </c>
      <c r="C582" s="18" t="str">
        <f>IFERROR(__xludf.DUMMYFUNCTION("""COMPUTED_VALUE"""),"Colaba")</f>
        <v>Colaba</v>
      </c>
      <c r="D582" s="18" t="str">
        <f>IFERROR(__xludf.DUMMYFUNCTION("""COMPUTED_VALUE"""),"Juice")</f>
        <v>Juice</v>
      </c>
      <c r="E582" s="18">
        <f>IFERROR(__xludf.DUMMYFUNCTION("""COMPUTED_VALUE"""),3.0)</f>
        <v>3</v>
      </c>
      <c r="F582" s="18" t="str">
        <f>IFERROR(__xludf.DUMMYFUNCTION("""COMPUTED_VALUE"""),"Nikhil Deshmukh")</f>
        <v>Nikhil Deshmukh</v>
      </c>
      <c r="G582" s="19">
        <f>IFERROR(__xludf.DUMMYFUNCTION("""COMPUTED_VALUE"""),45274.0)</f>
        <v>45274</v>
      </c>
      <c r="H582" s="18" t="str">
        <f>IFERROR(__xludf.DUMMYFUNCTION("""COMPUTED_VALUE"""),"COD")</f>
        <v>COD</v>
      </c>
      <c r="I582" s="18" t="str">
        <f>IFERROR(__xludf.DUMMYFUNCTION("""COMPUTED_VALUE"""),"Delivered")</f>
        <v>Delivered</v>
      </c>
      <c r="J582" s="18" t="str">
        <f>IFERROR(__xludf.DUMMYFUNCTION("""COMPUTED_VALUE"""),"On-time Delivery")</f>
        <v>On-time Delivery</v>
      </c>
      <c r="K582" s="18" t="str">
        <f>IFERROR(__xludf.DUMMYFUNCTION("""COMPUTED_VALUE"""),"Delivered on time")</f>
        <v>Delivered on time</v>
      </c>
      <c r="L582" s="18">
        <f>iferror(VLOOKUP($D582,Details!$A$2:$C$11,2,false),vlookup($D582,Details!$E$2:$G$11,2,false))</f>
        <v>90</v>
      </c>
      <c r="M582" s="18" t="str">
        <f>iferror(VLOOKUP($D582,Details!$A$2:$C$11,3,false),vlookup($D582,Details!$E$2:$G$11,3,false))</f>
        <v>Snacks and Drinks</v>
      </c>
      <c r="N582" s="18">
        <f t="shared" si="1"/>
        <v>270</v>
      </c>
      <c r="O582" s="17"/>
      <c r="P582" s="17"/>
      <c r="Q582" s="17"/>
      <c r="R582" s="17"/>
      <c r="S582" s="17"/>
      <c r="T582" s="17"/>
      <c r="U582" s="17"/>
      <c r="V582" s="17"/>
      <c r="W582" s="17"/>
      <c r="X582" s="17"/>
      <c r="Y582" s="17"/>
      <c r="Z582" s="17"/>
    </row>
    <row r="583">
      <c r="A583" s="18" t="str">
        <f>IFERROR(__xludf.DUMMYFUNCTION("""COMPUTED_VALUE"""),"ord_10574")</f>
        <v>ord_10574</v>
      </c>
      <c r="B583" s="18" t="str">
        <f>IFERROR(__xludf.DUMMYFUNCTION("""COMPUTED_VALUE"""),"Ishita Banerjee")</f>
        <v>Ishita Banerjee</v>
      </c>
      <c r="C583" s="18" t="str">
        <f>IFERROR(__xludf.DUMMYFUNCTION("""COMPUTED_VALUE"""),"Juhu")</f>
        <v>Juhu</v>
      </c>
      <c r="D583" s="18" t="str">
        <f>IFERROR(__xludf.DUMMYFUNCTION("""COMPUTED_VALUE"""),"Tiramisu")</f>
        <v>Tiramisu</v>
      </c>
      <c r="E583" s="18">
        <f>IFERROR(__xludf.DUMMYFUNCTION("""COMPUTED_VALUE"""),5.0)</f>
        <v>5</v>
      </c>
      <c r="F583" s="18" t="str">
        <f>IFERROR(__xludf.DUMMYFUNCTION("""COMPUTED_VALUE"""),"Tanvi Jain")</f>
        <v>Tanvi Jain</v>
      </c>
      <c r="G583" s="19">
        <f>IFERROR(__xludf.DUMMYFUNCTION("""COMPUTED_VALUE"""),45072.0)</f>
        <v>45072</v>
      </c>
      <c r="H583" s="18" t="str">
        <f>IFERROR(__xludf.DUMMYFUNCTION("""COMPUTED_VALUE"""),"Credit Card")</f>
        <v>Credit Card</v>
      </c>
      <c r="I583" s="18" t="str">
        <f>IFERROR(__xludf.DUMMYFUNCTION("""COMPUTED_VALUE"""),"Delivered")</f>
        <v>Delivered</v>
      </c>
      <c r="J583" s="18" t="str">
        <f>IFERROR(__xludf.DUMMYFUNCTION("""COMPUTED_VALUE"""),"Quality of Items")</f>
        <v>Quality of Items</v>
      </c>
      <c r="K583" s="18" t="str">
        <f>IFERROR(__xludf.DUMMYFUNCTION("""COMPUTED_VALUE"""),"Perfect condition")</f>
        <v>Perfect condition</v>
      </c>
      <c r="L583" s="18">
        <f>iferror(VLOOKUP($D583,Details!$A$2:$C$11,2,false),vlookup($D583,Details!$E$2:$G$11,2,false))</f>
        <v>150</v>
      </c>
      <c r="M583" s="18" t="str">
        <f>iferror(VLOOKUP($D583,Details!$A$2:$C$11,3,false),vlookup($D583,Details!$E$2:$G$11,3,false))</f>
        <v>Snacks and Drinks</v>
      </c>
      <c r="N583" s="18">
        <f t="shared" si="1"/>
        <v>750</v>
      </c>
      <c r="O583" s="17"/>
      <c r="P583" s="17"/>
      <c r="Q583" s="17"/>
      <c r="R583" s="17"/>
      <c r="S583" s="17"/>
      <c r="T583" s="17"/>
      <c r="U583" s="17"/>
      <c r="V583" s="17"/>
      <c r="W583" s="17"/>
      <c r="X583" s="17"/>
      <c r="Y583" s="17"/>
      <c r="Z583" s="17"/>
    </row>
    <row r="584">
      <c r="A584" s="18" t="str">
        <f>IFERROR(__xludf.DUMMYFUNCTION("""COMPUTED_VALUE"""),"ord_10575")</f>
        <v>ord_10575</v>
      </c>
      <c r="B584" s="18" t="str">
        <f>IFERROR(__xludf.DUMMYFUNCTION("""COMPUTED_VALUE"""),"Anaya Rao")</f>
        <v>Anaya Rao</v>
      </c>
      <c r="C584" s="18" t="str">
        <f>IFERROR(__xludf.DUMMYFUNCTION("""COMPUTED_VALUE"""),"Colaba")</f>
        <v>Colaba</v>
      </c>
      <c r="D584" s="18" t="str">
        <f>IFERROR(__xludf.DUMMYFUNCTION("""COMPUTED_VALUE"""),"Banana")</f>
        <v>Banana</v>
      </c>
      <c r="E584" s="18">
        <f>IFERROR(__xludf.DUMMYFUNCTION("""COMPUTED_VALUE"""),1.0)</f>
        <v>1</v>
      </c>
      <c r="F584" s="18" t="str">
        <f>IFERROR(__xludf.DUMMYFUNCTION("""COMPUTED_VALUE"""),"Not Assigned")</f>
        <v>Not Assigned</v>
      </c>
      <c r="G584" s="19">
        <f>IFERROR(__xludf.DUMMYFUNCTION("""COMPUTED_VALUE"""),45278.0)</f>
        <v>45278</v>
      </c>
      <c r="H584" s="18" t="str">
        <f>IFERROR(__xludf.DUMMYFUNCTION("""COMPUTED_VALUE"""),"Credit Card")</f>
        <v>Credit Card</v>
      </c>
      <c r="I584" s="18" t="str">
        <f>IFERROR(__xludf.DUMMYFUNCTION("""COMPUTED_VALUE"""),"Cancelled")</f>
        <v>Cancelled</v>
      </c>
      <c r="J584" s="18" t="str">
        <f>IFERROR(__xludf.DUMMYFUNCTION("""COMPUTED_VALUE"""),"High Delivery Fees")</f>
        <v>High Delivery Fees</v>
      </c>
      <c r="K584" s="18"/>
      <c r="L584" s="18">
        <f>iferror(VLOOKUP($D584,Details!$A$2:$C$11,2,false),vlookup($D584,Details!$E$2:$G$11,2,false))</f>
        <v>80</v>
      </c>
      <c r="M584" s="18" t="str">
        <f>iferror(VLOOKUP($D584,Details!$A$2:$C$11,3,false),vlookup($D584,Details!$E$2:$G$11,3,false))</f>
        <v>Fruits and Vegetables</v>
      </c>
      <c r="N584" s="18">
        <f t="shared" si="1"/>
        <v>80</v>
      </c>
      <c r="O584" s="17"/>
      <c r="P584" s="17"/>
      <c r="Q584" s="17"/>
      <c r="R584" s="17"/>
      <c r="S584" s="17"/>
      <c r="T584" s="17"/>
      <c r="U584" s="17"/>
      <c r="V584" s="17"/>
      <c r="W584" s="17"/>
      <c r="X584" s="17"/>
      <c r="Y584" s="17"/>
      <c r="Z584" s="17"/>
    </row>
    <row r="585">
      <c r="A585" s="18" t="str">
        <f>IFERROR(__xludf.DUMMYFUNCTION("""COMPUTED_VALUE"""),"ord_10576")</f>
        <v>ord_10576</v>
      </c>
      <c r="B585" s="18" t="str">
        <f>IFERROR(__xludf.DUMMYFUNCTION("""COMPUTED_VALUE"""),"Arvind Kulkarni")</f>
        <v>Arvind Kulkarni</v>
      </c>
      <c r="C585" s="18" t="str">
        <f>IFERROR(__xludf.DUMMYFUNCTION("""COMPUTED_VALUE"""),"Juhu")</f>
        <v>Juhu</v>
      </c>
      <c r="D585" s="18" t="str">
        <f>IFERROR(__xludf.DUMMYFUNCTION("""COMPUTED_VALUE"""),"Juice")</f>
        <v>Juice</v>
      </c>
      <c r="E585" s="18">
        <f>IFERROR(__xludf.DUMMYFUNCTION("""COMPUTED_VALUE"""),4.0)</f>
        <v>4</v>
      </c>
      <c r="F585" s="18" t="str">
        <f>IFERROR(__xludf.DUMMYFUNCTION("""COMPUTED_VALUE"""),"Not Assigned")</f>
        <v>Not Assigned</v>
      </c>
      <c r="G585" s="19">
        <f>IFERROR(__xludf.DUMMYFUNCTION("""COMPUTED_VALUE"""),44956.0)</f>
        <v>44956</v>
      </c>
      <c r="H585" s="18" t="str">
        <f>IFERROR(__xludf.DUMMYFUNCTION("""COMPUTED_VALUE"""),"Online Payment")</f>
        <v>Online Payment</v>
      </c>
      <c r="I585" s="18" t="str">
        <f>IFERROR(__xludf.DUMMYFUNCTION("""COMPUTED_VALUE"""),"Cancelled")</f>
        <v>Cancelled</v>
      </c>
      <c r="J585" s="18" t="str">
        <f>IFERROR(__xludf.DUMMYFUNCTION("""COMPUTED_VALUE"""),"App Glitches")</f>
        <v>App Glitches</v>
      </c>
      <c r="K585" s="18" t="str">
        <f>IFERROR(__xludf.DUMMYFUNCTION("""COMPUTED_VALUE"""),"Missing Content")</f>
        <v>Missing Content</v>
      </c>
      <c r="L585" s="18">
        <f>iferror(VLOOKUP($D585,Details!$A$2:$C$11,2,false),vlookup($D585,Details!$E$2:$G$11,2,false))</f>
        <v>90</v>
      </c>
      <c r="M585" s="18" t="str">
        <f>iferror(VLOOKUP($D585,Details!$A$2:$C$11,3,false),vlookup($D585,Details!$E$2:$G$11,3,false))</f>
        <v>Snacks and Drinks</v>
      </c>
      <c r="N585" s="18">
        <f t="shared" si="1"/>
        <v>360</v>
      </c>
      <c r="O585" s="17"/>
      <c r="P585" s="17"/>
      <c r="Q585" s="17"/>
      <c r="R585" s="17"/>
      <c r="S585" s="17"/>
      <c r="T585" s="17"/>
      <c r="U585" s="17"/>
      <c r="V585" s="17"/>
      <c r="W585" s="17"/>
      <c r="X585" s="17"/>
      <c r="Y585" s="17"/>
      <c r="Z585" s="17"/>
    </row>
    <row r="586">
      <c r="A586" s="18" t="str">
        <f>IFERROR(__xludf.DUMMYFUNCTION("""COMPUTED_VALUE"""),"ord_10577")</f>
        <v>ord_10577</v>
      </c>
      <c r="B586" s="18" t="str">
        <f>IFERROR(__xludf.DUMMYFUNCTION("""COMPUTED_VALUE"""),"Aarav Mehta")</f>
        <v>Aarav Mehta</v>
      </c>
      <c r="C586" s="18" t="str">
        <f>IFERROR(__xludf.DUMMYFUNCTION("""COMPUTED_VALUE"""),"Andheri")</f>
        <v>Andheri</v>
      </c>
      <c r="D586" s="18" t="str">
        <f>IFERROR(__xludf.DUMMYFUNCTION("""COMPUTED_VALUE"""),"Sweet Corn")</f>
        <v>Sweet Corn</v>
      </c>
      <c r="E586" s="18">
        <f>IFERROR(__xludf.DUMMYFUNCTION("""COMPUTED_VALUE"""),2.0)</f>
        <v>2</v>
      </c>
      <c r="F586" s="18" t="str">
        <f>IFERROR(__xludf.DUMMYFUNCTION("""COMPUTED_VALUE"""),"Rohan Yadav")</f>
        <v>Rohan Yadav</v>
      </c>
      <c r="G586" s="19">
        <f>IFERROR(__xludf.DUMMYFUNCTION("""COMPUTED_VALUE"""),45237.0)</f>
        <v>45237</v>
      </c>
      <c r="H586" s="18" t="str">
        <f>IFERROR(__xludf.DUMMYFUNCTION("""COMPUTED_VALUE"""),"Credit Card")</f>
        <v>Credit Card</v>
      </c>
      <c r="I586" s="18" t="str">
        <f>IFERROR(__xludf.DUMMYFUNCTION("""COMPUTED_VALUE"""),"Delivered")</f>
        <v>Delivered</v>
      </c>
      <c r="J586" s="18" t="str">
        <f>IFERROR(__xludf.DUMMYFUNCTION("""COMPUTED_VALUE"""),"On-time Delivery")</f>
        <v>On-time Delivery</v>
      </c>
      <c r="K586" s="18" t="str">
        <f>IFERROR(__xludf.DUMMYFUNCTION("""COMPUTED_VALUE"""),"Delivered on time")</f>
        <v>Delivered on time</v>
      </c>
      <c r="L586" s="18">
        <f>iferror(VLOOKUP($D586,Details!$A$2:$C$11,2,false),vlookup($D586,Details!$E$2:$G$11,2,false))</f>
        <v>60</v>
      </c>
      <c r="M586" s="18" t="str">
        <f>iferror(VLOOKUP($D586,Details!$A$2:$C$11,3,false),vlookup($D586,Details!$E$2:$G$11,3,false))</f>
        <v>Fruits and Vegetables</v>
      </c>
      <c r="N586" s="18">
        <f t="shared" si="1"/>
        <v>120</v>
      </c>
      <c r="O586" s="17"/>
      <c r="P586" s="17"/>
      <c r="Q586" s="17"/>
      <c r="R586" s="17"/>
      <c r="S586" s="17"/>
      <c r="T586" s="17"/>
      <c r="U586" s="17"/>
      <c r="V586" s="17"/>
      <c r="W586" s="17"/>
      <c r="X586" s="17"/>
      <c r="Y586" s="17"/>
      <c r="Z586" s="17"/>
    </row>
    <row r="587">
      <c r="A587" s="18" t="str">
        <f>IFERROR(__xludf.DUMMYFUNCTION("""COMPUTED_VALUE"""),"ord_10578")</f>
        <v>ord_10578</v>
      </c>
      <c r="B587" s="18" t="str">
        <f>IFERROR(__xludf.DUMMYFUNCTION("""COMPUTED_VALUE"""),"Ishita Banerjee")</f>
        <v>Ishita Banerjee</v>
      </c>
      <c r="C587" s="18" t="str">
        <f>IFERROR(__xludf.DUMMYFUNCTION("""COMPUTED_VALUE"""),"Juhu")</f>
        <v>Juhu</v>
      </c>
      <c r="D587" s="18" t="str">
        <f>IFERROR(__xludf.DUMMYFUNCTION("""COMPUTED_VALUE"""),"Papaya")</f>
        <v>Papaya</v>
      </c>
      <c r="E587" s="18">
        <f>IFERROR(__xludf.DUMMYFUNCTION("""COMPUTED_VALUE"""),2.0)</f>
        <v>2</v>
      </c>
      <c r="F587" s="18" t="str">
        <f>IFERROR(__xludf.DUMMYFUNCTION("""COMPUTED_VALUE"""),"Tanvi Jain")</f>
        <v>Tanvi Jain</v>
      </c>
      <c r="G587" s="19">
        <f>IFERROR(__xludf.DUMMYFUNCTION("""COMPUTED_VALUE"""),45250.0)</f>
        <v>45250</v>
      </c>
      <c r="H587" s="18" t="str">
        <f>IFERROR(__xludf.DUMMYFUNCTION("""COMPUTED_VALUE"""),"Credit Card")</f>
        <v>Credit Card</v>
      </c>
      <c r="I587" s="18" t="str">
        <f>IFERROR(__xludf.DUMMYFUNCTION("""COMPUTED_VALUE"""),"Cancelled")</f>
        <v>Cancelled</v>
      </c>
      <c r="J587" s="18" t="str">
        <f>IFERROR(__xludf.DUMMYFUNCTION("""COMPUTED_VALUE"""),"Delayed Delivery")</f>
        <v>Delayed Delivery</v>
      </c>
      <c r="K587" s="18" t="str">
        <f>IFERROR(__xludf.DUMMYFUNCTION("""COMPUTED_VALUE"""),"Traffic Accidents or Road Closures")</f>
        <v>Traffic Accidents or Road Closures</v>
      </c>
      <c r="L587" s="18">
        <f>iferror(VLOOKUP($D587,Details!$A$2:$C$11,2,false),vlookup($D587,Details!$E$2:$G$11,2,false))</f>
        <v>75</v>
      </c>
      <c r="M587" s="18" t="str">
        <f>iferror(VLOOKUP($D587,Details!$A$2:$C$11,3,false),vlookup($D587,Details!$E$2:$G$11,3,false))</f>
        <v>Fruits and Vegetables</v>
      </c>
      <c r="N587" s="18">
        <f t="shared" si="1"/>
        <v>150</v>
      </c>
      <c r="O587" s="17"/>
      <c r="P587" s="17"/>
      <c r="Q587" s="17"/>
      <c r="R587" s="17"/>
      <c r="S587" s="17"/>
      <c r="T587" s="17"/>
      <c r="U587" s="17"/>
      <c r="V587" s="17"/>
      <c r="W587" s="17"/>
      <c r="X587" s="17"/>
      <c r="Y587" s="17"/>
      <c r="Z587" s="17"/>
    </row>
    <row r="588">
      <c r="A588" s="18" t="str">
        <f>IFERROR(__xludf.DUMMYFUNCTION("""COMPUTED_VALUE"""),"ord_10579")</f>
        <v>ord_10579</v>
      </c>
      <c r="B588" s="18" t="str">
        <f>IFERROR(__xludf.DUMMYFUNCTION("""COMPUTED_VALUE"""),"Ishaan Chaturvedi")</f>
        <v>Ishaan Chaturvedi</v>
      </c>
      <c r="C588" s="18" t="str">
        <f>IFERROR(__xludf.DUMMYFUNCTION("""COMPUTED_VALUE"""),"Bandra")</f>
        <v>Bandra</v>
      </c>
      <c r="D588" s="18" t="str">
        <f>IFERROR(__xludf.DUMMYFUNCTION("""COMPUTED_VALUE"""),"Rasmalai")</f>
        <v>Rasmalai</v>
      </c>
      <c r="E588" s="18">
        <f>IFERROR(__xludf.DUMMYFUNCTION("""COMPUTED_VALUE"""),1.0)</f>
        <v>1</v>
      </c>
      <c r="F588" s="18" t="str">
        <f>IFERROR(__xludf.DUMMYFUNCTION("""COMPUTED_VALUE"""),"Not Assigned")</f>
        <v>Not Assigned</v>
      </c>
      <c r="G588" s="19">
        <f>IFERROR(__xludf.DUMMYFUNCTION("""COMPUTED_VALUE"""),45171.0)</f>
        <v>45171</v>
      </c>
      <c r="H588" s="18" t="str">
        <f>IFERROR(__xludf.DUMMYFUNCTION("""COMPUTED_VALUE"""),"Credit Card")</f>
        <v>Credit Card</v>
      </c>
      <c r="I588" s="18" t="str">
        <f>IFERROR(__xludf.DUMMYFUNCTION("""COMPUTED_VALUE"""),"Cancelled")</f>
        <v>Cancelled</v>
      </c>
      <c r="J588" s="18" t="str">
        <f>IFERROR(__xludf.DUMMYFUNCTION("""COMPUTED_VALUE"""),"Out of Stock")</f>
        <v>Out of Stock</v>
      </c>
      <c r="K588" s="18"/>
      <c r="L588" s="18">
        <f>iferror(VLOOKUP($D588,Details!$A$2:$C$11,2,false),vlookup($D588,Details!$E$2:$G$11,2,false))</f>
        <v>110</v>
      </c>
      <c r="M588" s="18" t="str">
        <f>iferror(VLOOKUP($D588,Details!$A$2:$C$11,3,false),vlookup($D588,Details!$E$2:$G$11,3,false))</f>
        <v>Snacks and Drinks</v>
      </c>
      <c r="N588" s="18">
        <f t="shared" si="1"/>
        <v>110</v>
      </c>
      <c r="O588" s="17"/>
      <c r="P588" s="17"/>
      <c r="Q588" s="17"/>
      <c r="R588" s="17"/>
      <c r="S588" s="17"/>
      <c r="T588" s="17"/>
      <c r="U588" s="17"/>
      <c r="V588" s="17"/>
      <c r="W588" s="17"/>
      <c r="X588" s="17"/>
      <c r="Y588" s="17"/>
      <c r="Z588" s="17"/>
    </row>
    <row r="589">
      <c r="A589" s="18" t="str">
        <f>IFERROR(__xludf.DUMMYFUNCTION("""COMPUTED_VALUE"""),"ord_10580")</f>
        <v>ord_10580</v>
      </c>
      <c r="B589" s="18" t="str">
        <f>IFERROR(__xludf.DUMMYFUNCTION("""COMPUTED_VALUE"""),"Tanishq Bansal")</f>
        <v>Tanishq Bansal</v>
      </c>
      <c r="C589" s="18" t="str">
        <f>IFERROR(__xludf.DUMMYFUNCTION("""COMPUTED_VALUE"""),"Powai")</f>
        <v>Powai</v>
      </c>
      <c r="D589" s="18" t="str">
        <f>IFERROR(__xludf.DUMMYFUNCTION("""COMPUTED_VALUE"""),"Banana")</f>
        <v>Banana</v>
      </c>
      <c r="E589" s="18">
        <f>IFERROR(__xludf.DUMMYFUNCTION("""COMPUTED_VALUE"""),2.0)</f>
        <v>2</v>
      </c>
      <c r="F589" s="18" t="str">
        <f>IFERROR(__xludf.DUMMYFUNCTION("""COMPUTED_VALUE"""),"Vivek Kumar")</f>
        <v>Vivek Kumar</v>
      </c>
      <c r="G589" s="19">
        <f>IFERROR(__xludf.DUMMYFUNCTION("""COMPUTED_VALUE"""),45085.0)</f>
        <v>45085</v>
      </c>
      <c r="H589" s="18" t="str">
        <f>IFERROR(__xludf.DUMMYFUNCTION("""COMPUTED_VALUE"""),"COD")</f>
        <v>COD</v>
      </c>
      <c r="I589" s="18" t="str">
        <f>IFERROR(__xludf.DUMMYFUNCTION("""COMPUTED_VALUE"""),"Delivered")</f>
        <v>Delivered</v>
      </c>
      <c r="J589" s="18" t="str">
        <f>IFERROR(__xludf.DUMMYFUNCTION("""COMPUTED_VALUE"""),"Quality of Items")</f>
        <v>Quality of Items</v>
      </c>
      <c r="K589" s="18" t="str">
        <f>IFERROR(__xludf.DUMMYFUNCTION("""COMPUTED_VALUE"""),"Perfect condition")</f>
        <v>Perfect condition</v>
      </c>
      <c r="L589" s="18">
        <f>iferror(VLOOKUP($D589,Details!$A$2:$C$11,2,false),vlookup($D589,Details!$E$2:$G$11,2,false))</f>
        <v>80</v>
      </c>
      <c r="M589" s="18" t="str">
        <f>iferror(VLOOKUP($D589,Details!$A$2:$C$11,3,false),vlookup($D589,Details!$E$2:$G$11,3,false))</f>
        <v>Fruits and Vegetables</v>
      </c>
      <c r="N589" s="18">
        <f t="shared" si="1"/>
        <v>160</v>
      </c>
      <c r="O589" s="17"/>
      <c r="P589" s="17"/>
      <c r="Q589" s="17"/>
      <c r="R589" s="17"/>
      <c r="S589" s="17"/>
      <c r="T589" s="17"/>
      <c r="U589" s="17"/>
      <c r="V589" s="17"/>
      <c r="W589" s="17"/>
      <c r="X589" s="17"/>
      <c r="Y589" s="17"/>
      <c r="Z589" s="17"/>
    </row>
    <row r="590">
      <c r="A590" s="18" t="str">
        <f>IFERROR(__xludf.DUMMYFUNCTION("""COMPUTED_VALUE"""),"ord_10581")</f>
        <v>ord_10581</v>
      </c>
      <c r="B590" s="18" t="str">
        <f>IFERROR(__xludf.DUMMYFUNCTION("""COMPUTED_VALUE"""),"Pranav Joshi")</f>
        <v>Pranav Joshi</v>
      </c>
      <c r="C590" s="18" t="str">
        <f>IFERROR(__xludf.DUMMYFUNCTION("""COMPUTED_VALUE"""),"Andheri")</f>
        <v>Andheri</v>
      </c>
      <c r="D590" s="18" t="str">
        <f>IFERROR(__xludf.DUMMYFUNCTION("""COMPUTED_VALUE"""),"Rasmalai")</f>
        <v>Rasmalai</v>
      </c>
      <c r="E590" s="18">
        <f>IFERROR(__xludf.DUMMYFUNCTION("""COMPUTED_VALUE"""),5.0)</f>
        <v>5</v>
      </c>
      <c r="F590" s="18" t="str">
        <f>IFERROR(__xludf.DUMMYFUNCTION("""COMPUTED_VALUE"""),"Venu R")</f>
        <v>Venu R</v>
      </c>
      <c r="G590" s="19">
        <f>IFERROR(__xludf.DUMMYFUNCTION("""COMPUTED_VALUE"""),44999.0)</f>
        <v>44999</v>
      </c>
      <c r="H590" s="18" t="str">
        <f>IFERROR(__xludf.DUMMYFUNCTION("""COMPUTED_VALUE"""),"UPI")</f>
        <v>UPI</v>
      </c>
      <c r="I590" s="18" t="str">
        <f>IFERROR(__xludf.DUMMYFUNCTION("""COMPUTED_VALUE"""),"Delivered")</f>
        <v>Delivered</v>
      </c>
      <c r="J590" s="18" t="str">
        <f>IFERROR(__xludf.DUMMYFUNCTION("""COMPUTED_VALUE"""),"Packaging")</f>
        <v>Packaging</v>
      </c>
      <c r="K590" s="18" t="str">
        <f>IFERROR(__xludf.DUMMYFUNCTION("""COMPUTED_VALUE"""),"Secure and intact")</f>
        <v>Secure and intact</v>
      </c>
      <c r="L590" s="18">
        <f>iferror(VLOOKUP($D590,Details!$A$2:$C$11,2,false),vlookup($D590,Details!$E$2:$G$11,2,false))</f>
        <v>110</v>
      </c>
      <c r="M590" s="18" t="str">
        <f>iferror(VLOOKUP($D590,Details!$A$2:$C$11,3,false),vlookup($D590,Details!$E$2:$G$11,3,false))</f>
        <v>Snacks and Drinks</v>
      </c>
      <c r="N590" s="18">
        <f t="shared" si="1"/>
        <v>550</v>
      </c>
      <c r="O590" s="17"/>
      <c r="P590" s="17"/>
      <c r="Q590" s="17"/>
      <c r="R590" s="17"/>
      <c r="S590" s="17"/>
      <c r="T590" s="17"/>
      <c r="U590" s="17"/>
      <c r="V590" s="17"/>
      <c r="W590" s="17"/>
      <c r="X590" s="17"/>
      <c r="Y590" s="17"/>
      <c r="Z590" s="17"/>
    </row>
    <row r="591">
      <c r="A591" s="18" t="str">
        <f>IFERROR(__xludf.DUMMYFUNCTION("""COMPUTED_VALUE"""),"ord_10582")</f>
        <v>ord_10582</v>
      </c>
      <c r="B591" s="18" t="str">
        <f>IFERROR(__xludf.DUMMYFUNCTION("""COMPUTED_VALUE"""),"Parth Goel")</f>
        <v>Parth Goel</v>
      </c>
      <c r="C591" s="18" t="str">
        <f>IFERROR(__xludf.DUMMYFUNCTION("""COMPUTED_VALUE"""),"Juhu")</f>
        <v>Juhu</v>
      </c>
      <c r="D591" s="18" t="str">
        <f>IFERROR(__xludf.DUMMYFUNCTION("""COMPUTED_VALUE"""),"Banana")</f>
        <v>Banana</v>
      </c>
      <c r="E591" s="18">
        <f>IFERROR(__xludf.DUMMYFUNCTION("""COMPUTED_VALUE"""),2.0)</f>
        <v>2</v>
      </c>
      <c r="F591" s="18" t="str">
        <f>IFERROR(__xludf.DUMMYFUNCTION("""COMPUTED_VALUE"""),"Sita T")</f>
        <v>Sita T</v>
      </c>
      <c r="G591" s="19">
        <f>IFERROR(__xludf.DUMMYFUNCTION("""COMPUTED_VALUE"""),45056.0)</f>
        <v>45056</v>
      </c>
      <c r="H591" s="18" t="str">
        <f>IFERROR(__xludf.DUMMYFUNCTION("""COMPUTED_VALUE"""),"COD")</f>
        <v>COD</v>
      </c>
      <c r="I591" s="18" t="str">
        <f>IFERROR(__xludf.DUMMYFUNCTION("""COMPUTED_VALUE"""),"Delivered")</f>
        <v>Delivered</v>
      </c>
      <c r="J591" s="18" t="str">
        <f>IFERROR(__xludf.DUMMYFUNCTION("""COMPUTED_VALUE"""),"Satisfied with the Delivery")</f>
        <v>Satisfied with the Delivery</v>
      </c>
      <c r="K591" s="18" t="str">
        <f>IFERROR(__xludf.DUMMYFUNCTION("""COMPUTED_VALUE"""),"Timely and quality")</f>
        <v>Timely and quality</v>
      </c>
      <c r="L591" s="18">
        <f>iferror(VLOOKUP($D591,Details!$A$2:$C$11,2,false),vlookup($D591,Details!$E$2:$G$11,2,false))</f>
        <v>80</v>
      </c>
      <c r="M591" s="18" t="str">
        <f>iferror(VLOOKUP($D591,Details!$A$2:$C$11,3,false),vlookup($D591,Details!$E$2:$G$11,3,false))</f>
        <v>Fruits and Vegetables</v>
      </c>
      <c r="N591" s="18">
        <f t="shared" si="1"/>
        <v>160</v>
      </c>
      <c r="O591" s="17"/>
      <c r="P591" s="17"/>
      <c r="Q591" s="17"/>
      <c r="R591" s="17"/>
      <c r="S591" s="17"/>
      <c r="T591" s="17"/>
      <c r="U591" s="17"/>
      <c r="V591" s="17"/>
      <c r="W591" s="17"/>
      <c r="X591" s="17"/>
      <c r="Y591" s="17"/>
      <c r="Z591" s="17"/>
    </row>
    <row r="592">
      <c r="A592" s="18" t="str">
        <f>IFERROR(__xludf.DUMMYFUNCTION("""COMPUTED_VALUE"""),"ord_10583")</f>
        <v>ord_10583</v>
      </c>
      <c r="B592" s="18" t="str">
        <f>IFERROR(__xludf.DUMMYFUNCTION("""COMPUTED_VALUE"""),"Siya Reddy")</f>
        <v>Siya Reddy</v>
      </c>
      <c r="C592" s="18" t="str">
        <f>IFERROR(__xludf.DUMMYFUNCTION("""COMPUTED_VALUE"""),"Juhu")</f>
        <v>Juhu</v>
      </c>
      <c r="D592" s="18" t="str">
        <f>IFERROR(__xludf.DUMMYFUNCTION("""COMPUTED_VALUE"""),"Potato")</f>
        <v>Potato</v>
      </c>
      <c r="E592" s="18">
        <f>IFERROR(__xludf.DUMMYFUNCTION("""COMPUTED_VALUE"""),1.0)</f>
        <v>1</v>
      </c>
      <c r="F592" s="18" t="str">
        <f>IFERROR(__xludf.DUMMYFUNCTION("""COMPUTED_VALUE"""),"Not Assigned")</f>
        <v>Not Assigned</v>
      </c>
      <c r="G592" s="19">
        <f>IFERROR(__xludf.DUMMYFUNCTION("""COMPUTED_VALUE"""),45004.0)</f>
        <v>45004</v>
      </c>
      <c r="H592" s="18" t="str">
        <f>IFERROR(__xludf.DUMMYFUNCTION("""COMPUTED_VALUE"""),"UPI")</f>
        <v>UPI</v>
      </c>
      <c r="I592" s="18" t="str">
        <f>IFERROR(__xludf.DUMMYFUNCTION("""COMPUTED_VALUE"""),"Cancelled")</f>
        <v>Cancelled</v>
      </c>
      <c r="J592" s="18" t="str">
        <f>IFERROR(__xludf.DUMMYFUNCTION("""COMPUTED_VALUE"""),"App Glitches")</f>
        <v>App Glitches</v>
      </c>
      <c r="K592" s="18" t="str">
        <f>IFERROR(__xludf.DUMMYFUNCTION("""COMPUTED_VALUE"""),"Slow Loading Time")</f>
        <v>Slow Loading Time</v>
      </c>
      <c r="L592" s="18">
        <f>iferror(VLOOKUP($D592,Details!$A$2:$C$11,2,false),vlookup($D592,Details!$E$2:$G$11,2,false))</f>
        <v>55</v>
      </c>
      <c r="M592" s="18" t="str">
        <f>iferror(VLOOKUP($D592,Details!$A$2:$C$11,3,false),vlookup($D592,Details!$E$2:$G$11,3,false))</f>
        <v>Fruits and Vegetables</v>
      </c>
      <c r="N592" s="18">
        <f t="shared" si="1"/>
        <v>55</v>
      </c>
      <c r="O592" s="17"/>
      <c r="P592" s="17"/>
      <c r="Q592" s="17"/>
      <c r="R592" s="17"/>
      <c r="S592" s="17"/>
      <c r="T592" s="17"/>
      <c r="U592" s="17"/>
      <c r="V592" s="17"/>
      <c r="W592" s="17"/>
      <c r="X592" s="17"/>
      <c r="Y592" s="17"/>
      <c r="Z592" s="17"/>
    </row>
    <row r="593">
      <c r="A593" s="18" t="str">
        <f>IFERROR(__xludf.DUMMYFUNCTION("""COMPUTED_VALUE"""),"ord_10584")</f>
        <v>ord_10584</v>
      </c>
      <c r="B593" s="18" t="str">
        <f>IFERROR(__xludf.DUMMYFUNCTION("""COMPUTED_VALUE"""),"Anaya Rao")</f>
        <v>Anaya Rao</v>
      </c>
      <c r="C593" s="18" t="str">
        <f>IFERROR(__xludf.DUMMYFUNCTION("""COMPUTED_VALUE"""),"Colaba")</f>
        <v>Colaba</v>
      </c>
      <c r="D593" s="18" t="str">
        <f>IFERROR(__xludf.DUMMYFUNCTION("""COMPUTED_VALUE"""),"Icecream")</f>
        <v>Icecream</v>
      </c>
      <c r="E593" s="18">
        <f>IFERROR(__xludf.DUMMYFUNCTION("""COMPUTED_VALUE"""),3.0)</f>
        <v>3</v>
      </c>
      <c r="F593" s="18" t="str">
        <f>IFERROR(__xludf.DUMMYFUNCTION("""COMPUTED_VALUE"""),"Ramesh S")</f>
        <v>Ramesh S</v>
      </c>
      <c r="G593" s="19">
        <f>IFERROR(__xludf.DUMMYFUNCTION("""COMPUTED_VALUE"""),44934.0)</f>
        <v>44934</v>
      </c>
      <c r="H593" s="18" t="str">
        <f>IFERROR(__xludf.DUMMYFUNCTION("""COMPUTED_VALUE"""),"COD")</f>
        <v>COD</v>
      </c>
      <c r="I593" s="18" t="str">
        <f>IFERROR(__xludf.DUMMYFUNCTION("""COMPUTED_VALUE"""),"Delivered")</f>
        <v>Delivered</v>
      </c>
      <c r="J593" s="18" t="str">
        <f>IFERROR(__xludf.DUMMYFUNCTION("""COMPUTED_VALUE"""),"Customer Service")</f>
        <v>Customer Service</v>
      </c>
      <c r="K593" s="18" t="str">
        <f>IFERROR(__xludf.DUMMYFUNCTION("""COMPUTED_VALUE"""),"Seamless and easy")</f>
        <v>Seamless and easy</v>
      </c>
      <c r="L593" s="18">
        <f>iferror(VLOOKUP($D593,Details!$A$2:$C$11,2,false),vlookup($D593,Details!$E$2:$G$11,2,false))</f>
        <v>90</v>
      </c>
      <c r="M593" s="18" t="str">
        <f>iferror(VLOOKUP($D593,Details!$A$2:$C$11,3,false),vlookup($D593,Details!$E$2:$G$11,3,false))</f>
        <v>Snacks and Drinks</v>
      </c>
      <c r="N593" s="18">
        <f t="shared" si="1"/>
        <v>270</v>
      </c>
      <c r="O593" s="17"/>
      <c r="P593" s="17"/>
      <c r="Q593" s="17"/>
      <c r="R593" s="17"/>
      <c r="S593" s="17"/>
      <c r="T593" s="17"/>
      <c r="U593" s="17"/>
      <c r="V593" s="17"/>
      <c r="W593" s="17"/>
      <c r="X593" s="17"/>
      <c r="Y593" s="17"/>
      <c r="Z593" s="17"/>
    </row>
    <row r="594">
      <c r="A594" s="18" t="str">
        <f>IFERROR(__xludf.DUMMYFUNCTION("""COMPUTED_VALUE"""),"ord_10585")</f>
        <v>ord_10585</v>
      </c>
      <c r="B594" s="18" t="str">
        <f>IFERROR(__xludf.DUMMYFUNCTION("""COMPUTED_VALUE"""),"Pranav Joshi")</f>
        <v>Pranav Joshi</v>
      </c>
      <c r="C594" s="18" t="str">
        <f>IFERROR(__xludf.DUMMYFUNCTION("""COMPUTED_VALUE"""),"Andheri")</f>
        <v>Andheri</v>
      </c>
      <c r="D594" s="18" t="str">
        <f>IFERROR(__xludf.DUMMYFUNCTION("""COMPUTED_VALUE"""),"Cold Coffee")</f>
        <v>Cold Coffee</v>
      </c>
      <c r="E594" s="18">
        <f>IFERROR(__xludf.DUMMYFUNCTION("""COMPUTED_VALUE"""),2.0)</f>
        <v>2</v>
      </c>
      <c r="F594" s="18" t="str">
        <f>IFERROR(__xludf.DUMMYFUNCTION("""COMPUTED_VALUE"""),"Not Assigned")</f>
        <v>Not Assigned</v>
      </c>
      <c r="G594" s="19">
        <f>IFERROR(__xludf.DUMMYFUNCTION("""COMPUTED_VALUE"""),45000.0)</f>
        <v>45000</v>
      </c>
      <c r="H594" s="18" t="str">
        <f>IFERROR(__xludf.DUMMYFUNCTION("""COMPUTED_VALUE"""),"Credit Card")</f>
        <v>Credit Card</v>
      </c>
      <c r="I594" s="18" t="str">
        <f>IFERROR(__xludf.DUMMYFUNCTION("""COMPUTED_VALUE"""),"Cancelled")</f>
        <v>Cancelled</v>
      </c>
      <c r="J594" s="18" t="str">
        <f>IFERROR(__xludf.DUMMYFUNCTION("""COMPUTED_VALUE"""),"App Glitches")</f>
        <v>App Glitches</v>
      </c>
      <c r="K594" s="18" t="str">
        <f>IFERROR(__xludf.DUMMYFUNCTION("""COMPUTED_VALUE"""),"Payment Button Malfunction")</f>
        <v>Payment Button Malfunction</v>
      </c>
      <c r="L594" s="18">
        <f>iferror(VLOOKUP($D594,Details!$A$2:$C$11,2,false),vlookup($D594,Details!$E$2:$G$11,2,false))</f>
        <v>270</v>
      </c>
      <c r="M594" s="18" t="str">
        <f>iferror(VLOOKUP($D594,Details!$A$2:$C$11,3,false),vlookup($D594,Details!$E$2:$G$11,3,false))</f>
        <v>Snacks and Drinks</v>
      </c>
      <c r="N594" s="18">
        <f t="shared" si="1"/>
        <v>540</v>
      </c>
      <c r="O594" s="17"/>
      <c r="P594" s="17"/>
      <c r="Q594" s="17"/>
      <c r="R594" s="17"/>
      <c r="S594" s="17"/>
      <c r="T594" s="17"/>
      <c r="U594" s="17"/>
      <c r="V594" s="17"/>
      <c r="W594" s="17"/>
      <c r="X594" s="17"/>
      <c r="Y594" s="17"/>
      <c r="Z594" s="17"/>
    </row>
    <row r="595">
      <c r="A595" s="18" t="str">
        <f>IFERROR(__xludf.DUMMYFUNCTION("""COMPUTED_VALUE"""),"ord_10586")</f>
        <v>ord_10586</v>
      </c>
      <c r="B595" s="18" t="str">
        <f>IFERROR(__xludf.DUMMYFUNCTION("""COMPUTED_VALUE"""),"Sakshi Tandon")</f>
        <v>Sakshi Tandon</v>
      </c>
      <c r="C595" s="18" t="str">
        <f>IFERROR(__xludf.DUMMYFUNCTION("""COMPUTED_VALUE"""),"Colaba")</f>
        <v>Colaba</v>
      </c>
      <c r="D595" s="18" t="str">
        <f>IFERROR(__xludf.DUMMYFUNCTION("""COMPUTED_VALUE"""),"Papaya")</f>
        <v>Papaya</v>
      </c>
      <c r="E595" s="18">
        <f>IFERROR(__xludf.DUMMYFUNCTION("""COMPUTED_VALUE"""),1.0)</f>
        <v>1</v>
      </c>
      <c r="F595" s="18" t="str">
        <f>IFERROR(__xludf.DUMMYFUNCTION("""COMPUTED_VALUE"""),"Sita T")</f>
        <v>Sita T</v>
      </c>
      <c r="G595" s="19">
        <f>IFERROR(__xludf.DUMMYFUNCTION("""COMPUTED_VALUE"""),45096.0)</f>
        <v>45096</v>
      </c>
      <c r="H595" s="18" t="str">
        <f>IFERROR(__xludf.DUMMYFUNCTION("""COMPUTED_VALUE"""),"Online Payment")</f>
        <v>Online Payment</v>
      </c>
      <c r="I595" s="18" t="str">
        <f>IFERROR(__xludf.DUMMYFUNCTION("""COMPUTED_VALUE"""),"Cancelled")</f>
        <v>Cancelled</v>
      </c>
      <c r="J595" s="18" t="str">
        <f>IFERROR(__xludf.DUMMYFUNCTION("""COMPUTED_VALUE"""),"Delayed Delivery")</f>
        <v>Delayed Delivery</v>
      </c>
      <c r="K595" s="18" t="str">
        <f>IFERROR(__xludf.DUMMYFUNCTION("""COMPUTED_VALUE"""),"High Order Volume")</f>
        <v>High Order Volume</v>
      </c>
      <c r="L595" s="18">
        <f>iferror(VLOOKUP($D595,Details!$A$2:$C$11,2,false),vlookup($D595,Details!$E$2:$G$11,2,false))</f>
        <v>75</v>
      </c>
      <c r="M595" s="18" t="str">
        <f>iferror(VLOOKUP($D595,Details!$A$2:$C$11,3,false),vlookup($D595,Details!$E$2:$G$11,3,false))</f>
        <v>Fruits and Vegetables</v>
      </c>
      <c r="N595" s="18">
        <f t="shared" si="1"/>
        <v>75</v>
      </c>
      <c r="O595" s="17"/>
      <c r="P595" s="17"/>
      <c r="Q595" s="17"/>
      <c r="R595" s="17"/>
      <c r="S595" s="17"/>
      <c r="T595" s="17"/>
      <c r="U595" s="17"/>
      <c r="V595" s="17"/>
      <c r="W595" s="17"/>
      <c r="X595" s="17"/>
      <c r="Y595" s="17"/>
      <c r="Z595" s="17"/>
    </row>
    <row r="596">
      <c r="A596" s="18" t="str">
        <f>IFERROR(__xludf.DUMMYFUNCTION("""COMPUTED_VALUE"""),"ord_10587")</f>
        <v>ord_10587</v>
      </c>
      <c r="B596" s="18" t="str">
        <f>IFERROR(__xludf.DUMMYFUNCTION("""COMPUTED_VALUE"""),"Parth Goel")</f>
        <v>Parth Goel</v>
      </c>
      <c r="C596" s="18" t="str">
        <f>IFERROR(__xludf.DUMMYFUNCTION("""COMPUTED_VALUE"""),"Juhu")</f>
        <v>Juhu</v>
      </c>
      <c r="D596" s="18" t="str">
        <f>IFERROR(__xludf.DUMMYFUNCTION("""COMPUTED_VALUE"""),"Juice")</f>
        <v>Juice</v>
      </c>
      <c r="E596" s="18">
        <f>IFERROR(__xludf.DUMMYFUNCTION("""COMPUTED_VALUE"""),2.0)</f>
        <v>2</v>
      </c>
      <c r="F596" s="18" t="str">
        <f>IFERROR(__xludf.DUMMYFUNCTION("""COMPUTED_VALUE"""),"Not Assigned")</f>
        <v>Not Assigned</v>
      </c>
      <c r="G596" s="19">
        <f>IFERROR(__xludf.DUMMYFUNCTION("""COMPUTED_VALUE"""),44961.0)</f>
        <v>44961</v>
      </c>
      <c r="H596" s="18" t="str">
        <f>IFERROR(__xludf.DUMMYFUNCTION("""COMPUTED_VALUE"""),"Credit Card")</f>
        <v>Credit Card</v>
      </c>
      <c r="I596" s="18" t="str">
        <f>IFERROR(__xludf.DUMMYFUNCTION("""COMPUTED_VALUE"""),"Cancelled")</f>
        <v>Cancelled</v>
      </c>
      <c r="J596" s="18" t="str">
        <f>IFERROR(__xludf.DUMMYFUNCTION("""COMPUTED_VALUE"""),"App Glitches")</f>
        <v>App Glitches</v>
      </c>
      <c r="K596" s="18" t="str">
        <f>IFERROR(__xludf.DUMMYFUNCTION("""COMPUTED_VALUE"""),"Payment Button Malfunction")</f>
        <v>Payment Button Malfunction</v>
      </c>
      <c r="L596" s="18">
        <f>iferror(VLOOKUP($D596,Details!$A$2:$C$11,2,false),vlookup($D596,Details!$E$2:$G$11,2,false))</f>
        <v>90</v>
      </c>
      <c r="M596" s="18" t="str">
        <f>iferror(VLOOKUP($D596,Details!$A$2:$C$11,3,false),vlookup($D596,Details!$E$2:$G$11,3,false))</f>
        <v>Snacks and Drinks</v>
      </c>
      <c r="N596" s="18">
        <f t="shared" si="1"/>
        <v>180</v>
      </c>
      <c r="O596" s="17"/>
      <c r="P596" s="17"/>
      <c r="Q596" s="17"/>
      <c r="R596" s="17"/>
      <c r="S596" s="17"/>
      <c r="T596" s="17"/>
      <c r="U596" s="17"/>
      <c r="V596" s="17"/>
      <c r="W596" s="17"/>
      <c r="X596" s="17"/>
      <c r="Y596" s="17"/>
      <c r="Z596" s="17"/>
    </row>
    <row r="597">
      <c r="A597" s="18" t="str">
        <f>IFERROR(__xludf.DUMMYFUNCTION("""COMPUTED_VALUE"""),"ord_10588")</f>
        <v>ord_10588</v>
      </c>
      <c r="B597" s="18" t="str">
        <f>IFERROR(__xludf.DUMMYFUNCTION("""COMPUTED_VALUE"""),"Anaya Rao")</f>
        <v>Anaya Rao</v>
      </c>
      <c r="C597" s="18" t="str">
        <f>IFERROR(__xludf.DUMMYFUNCTION("""COMPUTED_VALUE"""),"Colaba")</f>
        <v>Colaba</v>
      </c>
      <c r="D597" s="18" t="str">
        <f>IFERROR(__xludf.DUMMYFUNCTION("""COMPUTED_VALUE"""),"Onion")</f>
        <v>Onion</v>
      </c>
      <c r="E597" s="18">
        <f>IFERROR(__xludf.DUMMYFUNCTION("""COMPUTED_VALUE"""),2.0)</f>
        <v>2</v>
      </c>
      <c r="F597" s="18" t="str">
        <f>IFERROR(__xludf.DUMMYFUNCTION("""COMPUTED_VALUE"""),"Not Assigned")</f>
        <v>Not Assigned</v>
      </c>
      <c r="G597" s="19">
        <f>IFERROR(__xludf.DUMMYFUNCTION("""COMPUTED_VALUE"""),45003.0)</f>
        <v>45003</v>
      </c>
      <c r="H597" s="18" t="str">
        <f>IFERROR(__xludf.DUMMYFUNCTION("""COMPUTED_VALUE"""),"UPI")</f>
        <v>UPI</v>
      </c>
      <c r="I597" s="18" t="str">
        <f>IFERROR(__xludf.DUMMYFUNCTION("""COMPUTED_VALUE"""),"Cancelled")</f>
        <v>Cancelled</v>
      </c>
      <c r="J597" s="18" t="str">
        <f>IFERROR(__xludf.DUMMYFUNCTION("""COMPUTED_VALUE"""),"App Glitches")</f>
        <v>App Glitches</v>
      </c>
      <c r="K597" s="18" t="str">
        <f>IFERROR(__xludf.DUMMYFUNCTION("""COMPUTED_VALUE"""),"App Freezes")</f>
        <v>App Freezes</v>
      </c>
      <c r="L597" s="18">
        <f>iferror(VLOOKUP($D597,Details!$A$2:$C$11,2,false),vlookup($D597,Details!$E$2:$G$11,2,false))</f>
        <v>84</v>
      </c>
      <c r="M597" s="18" t="str">
        <f>iferror(VLOOKUP($D597,Details!$A$2:$C$11,3,false),vlookup($D597,Details!$E$2:$G$11,3,false))</f>
        <v>Fruits and Vegetables</v>
      </c>
      <c r="N597" s="18">
        <f t="shared" si="1"/>
        <v>168</v>
      </c>
      <c r="O597" s="17"/>
      <c r="P597" s="17"/>
      <c r="Q597" s="17"/>
      <c r="R597" s="17"/>
      <c r="S597" s="17"/>
      <c r="T597" s="17"/>
      <c r="U597" s="17"/>
      <c r="V597" s="17"/>
      <c r="W597" s="17"/>
      <c r="X597" s="17"/>
      <c r="Y597" s="17"/>
      <c r="Z597" s="17"/>
    </row>
    <row r="598">
      <c r="A598" s="18" t="str">
        <f>IFERROR(__xludf.DUMMYFUNCTION("""COMPUTED_VALUE"""),"ord_10589")</f>
        <v>ord_10589</v>
      </c>
      <c r="B598" s="18" t="str">
        <f>IFERROR(__xludf.DUMMYFUNCTION("""COMPUTED_VALUE"""),"Aditi Iyer")</f>
        <v>Aditi Iyer</v>
      </c>
      <c r="C598" s="18" t="str">
        <f>IFERROR(__xludf.DUMMYFUNCTION("""COMPUTED_VALUE"""),"Dadar")</f>
        <v>Dadar</v>
      </c>
      <c r="D598" s="18" t="str">
        <f>IFERROR(__xludf.DUMMYFUNCTION("""COMPUTED_VALUE"""),"Popcorn")</f>
        <v>Popcorn</v>
      </c>
      <c r="E598" s="18">
        <f>IFERROR(__xludf.DUMMYFUNCTION("""COMPUTED_VALUE"""),5.0)</f>
        <v>5</v>
      </c>
      <c r="F598" s="18" t="str">
        <f>IFERROR(__xludf.DUMMYFUNCTION("""COMPUTED_VALUE"""),"Nithin Lal")</f>
        <v>Nithin Lal</v>
      </c>
      <c r="G598" s="19">
        <f>IFERROR(__xludf.DUMMYFUNCTION("""COMPUTED_VALUE"""),45139.0)</f>
        <v>45139</v>
      </c>
      <c r="H598" s="18" t="str">
        <f>IFERROR(__xludf.DUMMYFUNCTION("""COMPUTED_VALUE"""),"Online Payment")</f>
        <v>Online Payment</v>
      </c>
      <c r="I598" s="18" t="str">
        <f>IFERROR(__xludf.DUMMYFUNCTION("""COMPUTED_VALUE"""),"Delivered")</f>
        <v>Delivered</v>
      </c>
      <c r="J598" s="18" t="str">
        <f>IFERROR(__xludf.DUMMYFUNCTION("""COMPUTED_VALUE"""),"Delivery Experience")</f>
        <v>Delivery Experience</v>
      </c>
      <c r="K598" s="18" t="str">
        <f>IFERROR(__xludf.DUMMYFUNCTION("""COMPUTED_VALUE"""),"Quick and professional")</f>
        <v>Quick and professional</v>
      </c>
      <c r="L598" s="18">
        <f>iferror(VLOOKUP($D598,Details!$A$2:$C$11,2,false),vlookup($D598,Details!$E$2:$G$11,2,false))</f>
        <v>150</v>
      </c>
      <c r="M598" s="18" t="str">
        <f>iferror(VLOOKUP($D598,Details!$A$2:$C$11,3,false),vlookup($D598,Details!$E$2:$G$11,3,false))</f>
        <v>Snacks and Drinks</v>
      </c>
      <c r="N598" s="18">
        <f t="shared" si="1"/>
        <v>750</v>
      </c>
      <c r="O598" s="17"/>
      <c r="P598" s="17"/>
      <c r="Q598" s="17"/>
      <c r="R598" s="17"/>
      <c r="S598" s="17"/>
      <c r="T598" s="17"/>
      <c r="U598" s="17"/>
      <c r="V598" s="17"/>
      <c r="W598" s="17"/>
      <c r="X598" s="17"/>
      <c r="Y598" s="17"/>
      <c r="Z598" s="17"/>
    </row>
    <row r="599">
      <c r="A599" s="18" t="str">
        <f>IFERROR(__xludf.DUMMYFUNCTION("""COMPUTED_VALUE"""),"ord_10590")</f>
        <v>ord_10590</v>
      </c>
      <c r="B599" s="18" t="str">
        <f>IFERROR(__xludf.DUMMYFUNCTION("""COMPUTED_VALUE"""),"Siya Reddy")</f>
        <v>Siya Reddy</v>
      </c>
      <c r="C599" s="18" t="str">
        <f>IFERROR(__xludf.DUMMYFUNCTION("""COMPUTED_VALUE"""),"Juhu")</f>
        <v>Juhu</v>
      </c>
      <c r="D599" s="18" t="str">
        <f>IFERROR(__xludf.DUMMYFUNCTION("""COMPUTED_VALUE"""),"Chicken Puff")</f>
        <v>Chicken Puff</v>
      </c>
      <c r="E599" s="18">
        <f>IFERROR(__xludf.DUMMYFUNCTION("""COMPUTED_VALUE"""),3.0)</f>
        <v>3</v>
      </c>
      <c r="F599" s="18" t="str">
        <f>IFERROR(__xludf.DUMMYFUNCTION("""COMPUTED_VALUE"""),"Sandeep Kumar")</f>
        <v>Sandeep Kumar</v>
      </c>
      <c r="G599" s="19">
        <f>IFERROR(__xludf.DUMMYFUNCTION("""COMPUTED_VALUE"""),45097.0)</f>
        <v>45097</v>
      </c>
      <c r="H599" s="18" t="str">
        <f>IFERROR(__xludf.DUMMYFUNCTION("""COMPUTED_VALUE"""),"Credit Card")</f>
        <v>Credit Card</v>
      </c>
      <c r="I599" s="18" t="str">
        <f>IFERROR(__xludf.DUMMYFUNCTION("""COMPUTED_VALUE"""),"Cancelled")</f>
        <v>Cancelled</v>
      </c>
      <c r="J599" s="18" t="str">
        <f>IFERROR(__xludf.DUMMYFUNCTION("""COMPUTED_VALUE"""),"Delayed Delivery")</f>
        <v>Delayed Delivery</v>
      </c>
      <c r="K599" s="18" t="str">
        <f>IFERROR(__xludf.DUMMYFUNCTION("""COMPUTED_VALUE"""),"Bad Weather Conditions")</f>
        <v>Bad Weather Conditions</v>
      </c>
      <c r="L599" s="18">
        <f>iferror(VLOOKUP($D599,Details!$A$2:$C$11,2,false),vlookup($D599,Details!$E$2:$G$11,2,false))</f>
        <v>90</v>
      </c>
      <c r="M599" s="18" t="str">
        <f>iferror(VLOOKUP($D599,Details!$A$2:$C$11,3,false),vlookup($D599,Details!$E$2:$G$11,3,false))</f>
        <v>Snacks and Drinks</v>
      </c>
      <c r="N599" s="18">
        <f t="shared" si="1"/>
        <v>270</v>
      </c>
      <c r="O599" s="17"/>
      <c r="P599" s="17"/>
      <c r="Q599" s="17"/>
      <c r="R599" s="17"/>
      <c r="S599" s="17"/>
      <c r="T599" s="17"/>
      <c r="U599" s="17"/>
      <c r="V599" s="17"/>
      <c r="W599" s="17"/>
      <c r="X599" s="17"/>
      <c r="Y599" s="17"/>
      <c r="Z599" s="17"/>
    </row>
    <row r="600">
      <c r="A600" s="18" t="str">
        <f>IFERROR(__xludf.DUMMYFUNCTION("""COMPUTED_VALUE"""),"ord_10591")</f>
        <v>ord_10591</v>
      </c>
      <c r="B600" s="18" t="str">
        <f>IFERROR(__xludf.DUMMYFUNCTION("""COMPUTED_VALUE"""),"Sanjay Nair")</f>
        <v>Sanjay Nair</v>
      </c>
      <c r="C600" s="18" t="str">
        <f>IFERROR(__xludf.DUMMYFUNCTION("""COMPUTED_VALUE"""),"Dadar")</f>
        <v>Dadar</v>
      </c>
      <c r="D600" s="18" t="str">
        <f>IFERROR(__xludf.DUMMYFUNCTION("""COMPUTED_VALUE"""),"Icecream")</f>
        <v>Icecream</v>
      </c>
      <c r="E600" s="18">
        <f>IFERROR(__xludf.DUMMYFUNCTION("""COMPUTED_VALUE"""),4.0)</f>
        <v>4</v>
      </c>
      <c r="F600" s="18" t="str">
        <f>IFERROR(__xludf.DUMMYFUNCTION("""COMPUTED_VALUE"""),"Ramesh S")</f>
        <v>Ramesh S</v>
      </c>
      <c r="G600" s="19">
        <f>IFERROR(__xludf.DUMMYFUNCTION("""COMPUTED_VALUE"""),44970.0)</f>
        <v>44970</v>
      </c>
      <c r="H600" s="18" t="str">
        <f>IFERROR(__xludf.DUMMYFUNCTION("""COMPUTED_VALUE"""),"Online Payment")</f>
        <v>Online Payment</v>
      </c>
      <c r="I600" s="18" t="str">
        <f>IFERROR(__xludf.DUMMYFUNCTION("""COMPUTED_VALUE"""),"Cancelled")</f>
        <v>Cancelled</v>
      </c>
      <c r="J600" s="18" t="str">
        <f>IFERROR(__xludf.DUMMYFUNCTION("""COMPUTED_VALUE"""),"Delayed Delivery")</f>
        <v>Delayed Delivery</v>
      </c>
      <c r="K600" s="18" t="str">
        <f>IFERROR(__xludf.DUMMYFUNCTION("""COMPUTED_VALUE"""),"Heavy Traffic")</f>
        <v>Heavy Traffic</v>
      </c>
      <c r="L600" s="18">
        <f>iferror(VLOOKUP($D600,Details!$A$2:$C$11,2,false),vlookup($D600,Details!$E$2:$G$11,2,false))</f>
        <v>90</v>
      </c>
      <c r="M600" s="18" t="str">
        <f>iferror(VLOOKUP($D600,Details!$A$2:$C$11,3,false),vlookup($D600,Details!$E$2:$G$11,3,false))</f>
        <v>Snacks and Drinks</v>
      </c>
      <c r="N600" s="18">
        <f t="shared" si="1"/>
        <v>360</v>
      </c>
      <c r="O600" s="17"/>
      <c r="P600" s="17"/>
      <c r="Q600" s="17"/>
      <c r="R600" s="17"/>
      <c r="S600" s="17"/>
      <c r="T600" s="17"/>
      <c r="U600" s="17"/>
      <c r="V600" s="17"/>
      <c r="W600" s="17"/>
      <c r="X600" s="17"/>
      <c r="Y600" s="17"/>
      <c r="Z600" s="17"/>
    </row>
    <row r="601">
      <c r="A601" s="18" t="str">
        <f>IFERROR(__xludf.DUMMYFUNCTION("""COMPUTED_VALUE"""),"ord_10592")</f>
        <v>ord_10592</v>
      </c>
      <c r="B601" s="18" t="str">
        <f>IFERROR(__xludf.DUMMYFUNCTION("""COMPUTED_VALUE"""),"Mehul Thakkar")</f>
        <v>Mehul Thakkar</v>
      </c>
      <c r="C601" s="18" t="str">
        <f>IFERROR(__xludf.DUMMYFUNCTION("""COMPUTED_VALUE"""),"Malad")</f>
        <v>Malad</v>
      </c>
      <c r="D601" s="18" t="str">
        <f>IFERROR(__xludf.DUMMYFUNCTION("""COMPUTED_VALUE"""),"Veg Puff")</f>
        <v>Veg Puff</v>
      </c>
      <c r="E601" s="18">
        <f>IFERROR(__xludf.DUMMYFUNCTION("""COMPUTED_VALUE"""),1.0)</f>
        <v>1</v>
      </c>
      <c r="F601" s="18" t="str">
        <f>IFERROR(__xludf.DUMMYFUNCTION("""COMPUTED_VALUE"""),"Manju Ajay")</f>
        <v>Manju Ajay</v>
      </c>
      <c r="G601" s="19">
        <f>IFERROR(__xludf.DUMMYFUNCTION("""COMPUTED_VALUE"""),45120.0)</f>
        <v>45120</v>
      </c>
      <c r="H601" s="18" t="str">
        <f>IFERROR(__xludf.DUMMYFUNCTION("""COMPUTED_VALUE"""),"Credit Card")</f>
        <v>Credit Card</v>
      </c>
      <c r="I601" s="18" t="str">
        <f>IFERROR(__xludf.DUMMYFUNCTION("""COMPUTED_VALUE"""),"Delivered")</f>
        <v>Delivered</v>
      </c>
      <c r="J601" s="18" t="str">
        <f>IFERROR(__xludf.DUMMYFUNCTION("""COMPUTED_VALUE"""),"Convenience")</f>
        <v>Convenience</v>
      </c>
      <c r="K601" s="18" t="str">
        <f>IFERROR(__xludf.DUMMYFUNCTION("""COMPUTED_VALUE"""),"Easy tracking")</f>
        <v>Easy tracking</v>
      </c>
      <c r="L601" s="18">
        <f>iferror(VLOOKUP($D601,Details!$A$2:$C$11,2,false),vlookup($D601,Details!$E$2:$G$11,2,false))</f>
        <v>80</v>
      </c>
      <c r="M601" s="18" t="str">
        <f>iferror(VLOOKUP($D601,Details!$A$2:$C$11,3,false),vlookup($D601,Details!$E$2:$G$11,3,false))</f>
        <v>Snacks and Drinks</v>
      </c>
      <c r="N601" s="18">
        <f t="shared" si="1"/>
        <v>80</v>
      </c>
      <c r="O601" s="17"/>
      <c r="P601" s="17"/>
      <c r="Q601" s="17"/>
      <c r="R601" s="17"/>
      <c r="S601" s="17"/>
      <c r="T601" s="17"/>
      <c r="U601" s="17"/>
      <c r="V601" s="17"/>
      <c r="W601" s="17"/>
      <c r="X601" s="17"/>
      <c r="Y601" s="17"/>
      <c r="Z601" s="17"/>
    </row>
    <row r="602">
      <c r="A602" s="18" t="str">
        <f>IFERROR(__xludf.DUMMYFUNCTION("""COMPUTED_VALUE"""),"ord_10593")</f>
        <v>ord_10593</v>
      </c>
      <c r="B602" s="18" t="str">
        <f>IFERROR(__xludf.DUMMYFUNCTION("""COMPUTED_VALUE"""),"Anaya Rao")</f>
        <v>Anaya Rao</v>
      </c>
      <c r="C602" s="18" t="str">
        <f>IFERROR(__xludf.DUMMYFUNCTION("""COMPUTED_VALUE"""),"Colaba")</f>
        <v>Colaba</v>
      </c>
      <c r="D602" s="18" t="str">
        <f>IFERROR(__xludf.DUMMYFUNCTION("""COMPUTED_VALUE"""),"Cold Coffee")</f>
        <v>Cold Coffee</v>
      </c>
      <c r="E602" s="18">
        <f>IFERROR(__xludf.DUMMYFUNCTION("""COMPUTED_VALUE"""),1.0)</f>
        <v>1</v>
      </c>
      <c r="F602" s="18" t="str">
        <f>IFERROR(__xludf.DUMMYFUNCTION("""COMPUTED_VALUE"""),"Shine Thomas")</f>
        <v>Shine Thomas</v>
      </c>
      <c r="G602" s="19">
        <f>IFERROR(__xludf.DUMMYFUNCTION("""COMPUTED_VALUE"""),45123.0)</f>
        <v>45123</v>
      </c>
      <c r="H602" s="18" t="str">
        <f>IFERROR(__xludf.DUMMYFUNCTION("""COMPUTED_VALUE"""),"COD")</f>
        <v>COD</v>
      </c>
      <c r="I602" s="18" t="str">
        <f>IFERROR(__xludf.DUMMYFUNCTION("""COMPUTED_VALUE"""),"Delivered")</f>
        <v>Delivered</v>
      </c>
      <c r="J602" s="18" t="str">
        <f>IFERROR(__xludf.DUMMYFUNCTION("""COMPUTED_VALUE"""),"Overall Satisfaction")</f>
        <v>Overall Satisfaction</v>
      </c>
      <c r="K602" s="18" t="str">
        <f>IFERROR(__xludf.DUMMYFUNCTION("""COMPUTED_VALUE"""),"Great service will order again")</f>
        <v>Great service will order again</v>
      </c>
      <c r="L602" s="18">
        <f>iferror(VLOOKUP($D602,Details!$A$2:$C$11,2,false),vlookup($D602,Details!$E$2:$G$11,2,false))</f>
        <v>270</v>
      </c>
      <c r="M602" s="18" t="str">
        <f>iferror(VLOOKUP($D602,Details!$A$2:$C$11,3,false),vlookup($D602,Details!$E$2:$G$11,3,false))</f>
        <v>Snacks and Drinks</v>
      </c>
      <c r="N602" s="18">
        <f t="shared" si="1"/>
        <v>270</v>
      </c>
      <c r="O602" s="17"/>
      <c r="P602" s="17"/>
      <c r="Q602" s="17"/>
      <c r="R602" s="17"/>
      <c r="S602" s="17"/>
      <c r="T602" s="17"/>
      <c r="U602" s="17"/>
      <c r="V602" s="17"/>
      <c r="W602" s="17"/>
      <c r="X602" s="17"/>
      <c r="Y602" s="17"/>
      <c r="Z602" s="17"/>
    </row>
    <row r="603">
      <c r="A603" s="18" t="str">
        <f>IFERROR(__xludf.DUMMYFUNCTION("""COMPUTED_VALUE"""),"ord_10594")</f>
        <v>ord_10594</v>
      </c>
      <c r="B603" s="18" t="str">
        <f>IFERROR(__xludf.DUMMYFUNCTION("""COMPUTED_VALUE"""),"Arvind Kulkarni")</f>
        <v>Arvind Kulkarni</v>
      </c>
      <c r="C603" s="18" t="str">
        <f>IFERROR(__xludf.DUMMYFUNCTION("""COMPUTED_VALUE"""),"Juhu")</f>
        <v>Juhu</v>
      </c>
      <c r="D603" s="18" t="str">
        <f>IFERROR(__xludf.DUMMYFUNCTION("""COMPUTED_VALUE"""),"Potato")</f>
        <v>Potato</v>
      </c>
      <c r="E603" s="18">
        <f>IFERROR(__xludf.DUMMYFUNCTION("""COMPUTED_VALUE"""),1.0)</f>
        <v>1</v>
      </c>
      <c r="F603" s="18" t="str">
        <f>IFERROR(__xludf.DUMMYFUNCTION("""COMPUTED_VALUE"""),"Nithin Lal")</f>
        <v>Nithin Lal</v>
      </c>
      <c r="G603" s="19">
        <f>IFERROR(__xludf.DUMMYFUNCTION("""COMPUTED_VALUE"""),44942.0)</f>
        <v>44942</v>
      </c>
      <c r="H603" s="18" t="str">
        <f>IFERROR(__xludf.DUMMYFUNCTION("""COMPUTED_VALUE"""),"Credit Card")</f>
        <v>Credit Card</v>
      </c>
      <c r="I603" s="18" t="str">
        <f>IFERROR(__xludf.DUMMYFUNCTION("""COMPUTED_VALUE"""),"Delivered")</f>
        <v>Delivered</v>
      </c>
      <c r="J603" s="18" t="str">
        <f>IFERROR(__xludf.DUMMYFUNCTION("""COMPUTED_VALUE"""),"On-time Delivery")</f>
        <v>On-time Delivery</v>
      </c>
      <c r="K603" s="18" t="str">
        <f>IFERROR(__xludf.DUMMYFUNCTION("""COMPUTED_VALUE"""),"Delivered on time")</f>
        <v>Delivered on time</v>
      </c>
      <c r="L603" s="18">
        <f>iferror(VLOOKUP($D603,Details!$A$2:$C$11,2,false),vlookup($D603,Details!$E$2:$G$11,2,false))</f>
        <v>55</v>
      </c>
      <c r="M603" s="18" t="str">
        <f>iferror(VLOOKUP($D603,Details!$A$2:$C$11,3,false),vlookup($D603,Details!$E$2:$G$11,3,false))</f>
        <v>Fruits and Vegetables</v>
      </c>
      <c r="N603" s="18">
        <f t="shared" si="1"/>
        <v>55</v>
      </c>
      <c r="O603" s="17"/>
      <c r="P603" s="17"/>
      <c r="Q603" s="17"/>
      <c r="R603" s="17"/>
      <c r="S603" s="17"/>
      <c r="T603" s="17"/>
      <c r="U603" s="17"/>
      <c r="V603" s="17"/>
      <c r="W603" s="17"/>
      <c r="X603" s="17"/>
      <c r="Y603" s="17"/>
      <c r="Z603" s="17"/>
    </row>
    <row r="604">
      <c r="A604" s="18" t="str">
        <f>IFERROR(__xludf.DUMMYFUNCTION("""COMPUTED_VALUE"""),"ord_10595")</f>
        <v>ord_10595</v>
      </c>
      <c r="B604" s="18" t="str">
        <f>IFERROR(__xludf.DUMMYFUNCTION("""COMPUTED_VALUE"""),"Omkar Mishra")</f>
        <v>Omkar Mishra</v>
      </c>
      <c r="C604" s="18" t="str">
        <f>IFERROR(__xludf.DUMMYFUNCTION("""COMPUTED_VALUE"""),"Powai")</f>
        <v>Powai</v>
      </c>
      <c r="D604" s="18" t="str">
        <f>IFERROR(__xludf.DUMMYFUNCTION("""COMPUTED_VALUE"""),"Chicken Puff")</f>
        <v>Chicken Puff</v>
      </c>
      <c r="E604" s="18">
        <f>IFERROR(__xludf.DUMMYFUNCTION("""COMPUTED_VALUE"""),2.0)</f>
        <v>2</v>
      </c>
      <c r="F604" s="18" t="str">
        <f>IFERROR(__xludf.DUMMYFUNCTION("""COMPUTED_VALUE"""),"Ramesh S")</f>
        <v>Ramesh S</v>
      </c>
      <c r="G604" s="19">
        <f>IFERROR(__xludf.DUMMYFUNCTION("""COMPUTED_VALUE"""),45049.0)</f>
        <v>45049</v>
      </c>
      <c r="H604" s="18" t="str">
        <f>IFERROR(__xludf.DUMMYFUNCTION("""COMPUTED_VALUE"""),"Online Payment")</f>
        <v>Online Payment</v>
      </c>
      <c r="I604" s="18" t="str">
        <f>IFERROR(__xludf.DUMMYFUNCTION("""COMPUTED_VALUE"""),"Delivered")</f>
        <v>Delivered</v>
      </c>
      <c r="J604" s="18" t="str">
        <f>IFERROR(__xludf.DUMMYFUNCTION("""COMPUTED_VALUE"""),"Quality of Items")</f>
        <v>Quality of Items</v>
      </c>
      <c r="K604" s="18" t="str">
        <f>IFERROR(__xludf.DUMMYFUNCTION("""COMPUTED_VALUE"""),"Perfect condition")</f>
        <v>Perfect condition</v>
      </c>
      <c r="L604" s="18">
        <f>iferror(VLOOKUP($D604,Details!$A$2:$C$11,2,false),vlookup($D604,Details!$E$2:$G$11,2,false))</f>
        <v>90</v>
      </c>
      <c r="M604" s="18" t="str">
        <f>iferror(VLOOKUP($D604,Details!$A$2:$C$11,3,false),vlookup($D604,Details!$E$2:$G$11,3,false))</f>
        <v>Snacks and Drinks</v>
      </c>
      <c r="N604" s="18">
        <f t="shared" si="1"/>
        <v>180</v>
      </c>
      <c r="O604" s="17"/>
      <c r="P604" s="17"/>
      <c r="Q604" s="17"/>
      <c r="R604" s="17"/>
      <c r="S604" s="17"/>
      <c r="T604" s="17"/>
      <c r="U604" s="17"/>
      <c r="V604" s="17"/>
      <c r="W604" s="17"/>
      <c r="X604" s="17"/>
      <c r="Y604" s="17"/>
      <c r="Z604" s="17"/>
    </row>
    <row r="605">
      <c r="A605" s="18" t="str">
        <f>IFERROR(__xludf.DUMMYFUNCTION("""COMPUTED_VALUE"""),"ord_10596")</f>
        <v>ord_10596</v>
      </c>
      <c r="B605" s="18" t="str">
        <f>IFERROR(__xludf.DUMMYFUNCTION("""COMPUTED_VALUE"""),"Diya Arora")</f>
        <v>Diya Arora</v>
      </c>
      <c r="C605" s="18" t="str">
        <f>IFERROR(__xludf.DUMMYFUNCTION("""COMPUTED_VALUE"""),"Lower Parel")</f>
        <v>Lower Parel</v>
      </c>
      <c r="D605" s="18" t="str">
        <f>IFERROR(__xludf.DUMMYFUNCTION("""COMPUTED_VALUE"""),"Rasmalai")</f>
        <v>Rasmalai</v>
      </c>
      <c r="E605" s="18">
        <f>IFERROR(__xludf.DUMMYFUNCTION("""COMPUTED_VALUE"""),2.0)</f>
        <v>2</v>
      </c>
      <c r="F605" s="18" t="str">
        <f>IFERROR(__xludf.DUMMYFUNCTION("""COMPUTED_VALUE"""),"Venu R")</f>
        <v>Venu R</v>
      </c>
      <c r="G605" s="19">
        <f>IFERROR(__xludf.DUMMYFUNCTION("""COMPUTED_VALUE"""),44956.0)</f>
        <v>44956</v>
      </c>
      <c r="H605" s="18" t="str">
        <f>IFERROR(__xludf.DUMMYFUNCTION("""COMPUTED_VALUE"""),"Credit Card")</f>
        <v>Credit Card</v>
      </c>
      <c r="I605" s="18" t="str">
        <f>IFERROR(__xludf.DUMMYFUNCTION("""COMPUTED_VALUE"""),"Delivered")</f>
        <v>Delivered</v>
      </c>
      <c r="J605" s="18" t="str">
        <f>IFERROR(__xludf.DUMMYFUNCTION("""COMPUTED_VALUE"""),"On-time Delivery")</f>
        <v>On-time Delivery</v>
      </c>
      <c r="K605" s="18" t="str">
        <f>IFERROR(__xludf.DUMMYFUNCTION("""COMPUTED_VALUE"""),"Delivered on time")</f>
        <v>Delivered on time</v>
      </c>
      <c r="L605" s="18">
        <f>iferror(VLOOKUP($D605,Details!$A$2:$C$11,2,false),vlookup($D605,Details!$E$2:$G$11,2,false))</f>
        <v>110</v>
      </c>
      <c r="M605" s="18" t="str">
        <f>iferror(VLOOKUP($D605,Details!$A$2:$C$11,3,false),vlookup($D605,Details!$E$2:$G$11,3,false))</f>
        <v>Snacks and Drinks</v>
      </c>
      <c r="N605" s="18">
        <f t="shared" si="1"/>
        <v>220</v>
      </c>
      <c r="O605" s="17"/>
      <c r="P605" s="17"/>
      <c r="Q605" s="17"/>
      <c r="R605" s="17"/>
      <c r="S605" s="17"/>
      <c r="T605" s="17"/>
      <c r="U605" s="17"/>
      <c r="V605" s="17"/>
      <c r="W605" s="17"/>
      <c r="X605" s="17"/>
      <c r="Y605" s="17"/>
      <c r="Z605" s="17"/>
    </row>
    <row r="606">
      <c r="A606" s="18" t="str">
        <f>IFERROR(__xludf.DUMMYFUNCTION("""COMPUTED_VALUE"""),"ord_10597")</f>
        <v>ord_10597</v>
      </c>
      <c r="B606" s="18" t="str">
        <f>IFERROR(__xludf.DUMMYFUNCTION("""COMPUTED_VALUE"""),"Mehul Thakkar")</f>
        <v>Mehul Thakkar</v>
      </c>
      <c r="C606" s="18" t="str">
        <f>IFERROR(__xludf.DUMMYFUNCTION("""COMPUTED_VALUE"""),"Malad")</f>
        <v>Malad</v>
      </c>
      <c r="D606" s="18" t="str">
        <f>IFERROR(__xludf.DUMMYFUNCTION("""COMPUTED_VALUE"""),"Papaya")</f>
        <v>Papaya</v>
      </c>
      <c r="E606" s="18">
        <f>IFERROR(__xludf.DUMMYFUNCTION("""COMPUTED_VALUE"""),1.0)</f>
        <v>1</v>
      </c>
      <c r="F606" s="18" t="str">
        <f>IFERROR(__xludf.DUMMYFUNCTION("""COMPUTED_VALUE"""),"Not Assigned")</f>
        <v>Not Assigned</v>
      </c>
      <c r="G606" s="19">
        <f>IFERROR(__xludf.DUMMYFUNCTION("""COMPUTED_VALUE"""),45131.0)</f>
        <v>45131</v>
      </c>
      <c r="H606" s="18" t="str">
        <f>IFERROR(__xludf.DUMMYFUNCTION("""COMPUTED_VALUE"""),"UPI")</f>
        <v>UPI</v>
      </c>
      <c r="I606" s="18" t="str">
        <f>IFERROR(__xludf.DUMMYFUNCTION("""COMPUTED_VALUE"""),"Cancelled")</f>
        <v>Cancelled</v>
      </c>
      <c r="J606" s="18" t="str">
        <f>IFERROR(__xludf.DUMMYFUNCTION("""COMPUTED_VALUE"""),"App Glitches")</f>
        <v>App Glitches</v>
      </c>
      <c r="K606" s="18" t="str">
        <f>IFERROR(__xludf.DUMMYFUNCTION("""COMPUTED_VALUE"""),"Slow Loading Time")</f>
        <v>Slow Loading Time</v>
      </c>
      <c r="L606" s="18">
        <f>iferror(VLOOKUP($D606,Details!$A$2:$C$11,2,false),vlookup($D606,Details!$E$2:$G$11,2,false))</f>
        <v>75</v>
      </c>
      <c r="M606" s="18" t="str">
        <f>iferror(VLOOKUP($D606,Details!$A$2:$C$11,3,false),vlookup($D606,Details!$E$2:$G$11,3,false))</f>
        <v>Fruits and Vegetables</v>
      </c>
      <c r="N606" s="18">
        <f t="shared" si="1"/>
        <v>75</v>
      </c>
      <c r="O606" s="17"/>
      <c r="P606" s="17"/>
      <c r="Q606" s="17"/>
      <c r="R606" s="17"/>
      <c r="S606" s="17"/>
      <c r="T606" s="17"/>
      <c r="U606" s="17"/>
      <c r="V606" s="17"/>
      <c r="W606" s="17"/>
      <c r="X606" s="17"/>
      <c r="Y606" s="17"/>
      <c r="Z606" s="17"/>
    </row>
    <row r="607">
      <c r="A607" s="18" t="str">
        <f>IFERROR(__xludf.DUMMYFUNCTION("""COMPUTED_VALUE"""),"ord_10598")</f>
        <v>ord_10598</v>
      </c>
      <c r="B607" s="18" t="str">
        <f>IFERROR(__xludf.DUMMYFUNCTION("""COMPUTED_VALUE"""),"Dev Chauhan")</f>
        <v>Dev Chauhan</v>
      </c>
      <c r="C607" s="18" t="str">
        <f>IFERROR(__xludf.DUMMYFUNCTION("""COMPUTED_VALUE"""),"Bandra")</f>
        <v>Bandra</v>
      </c>
      <c r="D607" s="18" t="str">
        <f>IFERROR(__xludf.DUMMYFUNCTION("""COMPUTED_VALUE"""),"Tomato")</f>
        <v>Tomato</v>
      </c>
      <c r="E607" s="18">
        <f>IFERROR(__xludf.DUMMYFUNCTION("""COMPUTED_VALUE"""),2.0)</f>
        <v>2</v>
      </c>
      <c r="F607" s="18" t="str">
        <f>IFERROR(__xludf.DUMMYFUNCTION("""COMPUTED_VALUE"""),"Shine Thomas")</f>
        <v>Shine Thomas</v>
      </c>
      <c r="G607" s="19">
        <f>IFERROR(__xludf.DUMMYFUNCTION("""COMPUTED_VALUE"""),45236.0)</f>
        <v>45236</v>
      </c>
      <c r="H607" s="18" t="str">
        <f>IFERROR(__xludf.DUMMYFUNCTION("""COMPUTED_VALUE"""),"Credit Card")</f>
        <v>Credit Card</v>
      </c>
      <c r="I607" s="18" t="str">
        <f>IFERROR(__xludf.DUMMYFUNCTION("""COMPUTED_VALUE"""),"Delivered")</f>
        <v>Delivered</v>
      </c>
      <c r="J607" s="18" t="str">
        <f>IFERROR(__xludf.DUMMYFUNCTION("""COMPUTED_VALUE"""),"Quality of Items")</f>
        <v>Quality of Items</v>
      </c>
      <c r="K607" s="18" t="str">
        <f>IFERROR(__xludf.DUMMYFUNCTION("""COMPUTED_VALUE"""),"Perfect condition")</f>
        <v>Perfect condition</v>
      </c>
      <c r="L607" s="18">
        <f>iferror(VLOOKUP($D607,Details!$A$2:$C$11,2,false),vlookup($D607,Details!$E$2:$G$11,2,false))</f>
        <v>25</v>
      </c>
      <c r="M607" s="18" t="str">
        <f>iferror(VLOOKUP($D607,Details!$A$2:$C$11,3,false),vlookup($D607,Details!$E$2:$G$11,3,false))</f>
        <v>Fruits and Vegetables</v>
      </c>
      <c r="N607" s="18">
        <f t="shared" si="1"/>
        <v>50</v>
      </c>
      <c r="O607" s="17"/>
      <c r="P607" s="17"/>
      <c r="Q607" s="17"/>
      <c r="R607" s="17"/>
      <c r="S607" s="17"/>
      <c r="T607" s="17"/>
      <c r="U607" s="17"/>
      <c r="V607" s="17"/>
      <c r="W607" s="17"/>
      <c r="X607" s="17"/>
      <c r="Y607" s="17"/>
      <c r="Z607" s="17"/>
    </row>
    <row r="608">
      <c r="A608" s="18" t="str">
        <f>IFERROR(__xludf.DUMMYFUNCTION("""COMPUTED_VALUE"""),"ord_10599")</f>
        <v>ord_10599</v>
      </c>
      <c r="B608" s="18" t="str">
        <f>IFERROR(__xludf.DUMMYFUNCTION("""COMPUTED_VALUE"""),"Diya Arora")</f>
        <v>Diya Arora</v>
      </c>
      <c r="C608" s="18" t="str">
        <f>IFERROR(__xludf.DUMMYFUNCTION("""COMPUTED_VALUE"""),"Lower Parel")</f>
        <v>Lower Parel</v>
      </c>
      <c r="D608" s="18" t="str">
        <f>IFERROR(__xludf.DUMMYFUNCTION("""COMPUTED_VALUE"""),"Chicken Puff")</f>
        <v>Chicken Puff</v>
      </c>
      <c r="E608" s="18">
        <f>IFERROR(__xludf.DUMMYFUNCTION("""COMPUTED_VALUE"""),5.0)</f>
        <v>5</v>
      </c>
      <c r="F608" s="18" t="str">
        <f>IFERROR(__xludf.DUMMYFUNCTION("""COMPUTED_VALUE"""),"Vivek Kumar")</f>
        <v>Vivek Kumar</v>
      </c>
      <c r="G608" s="19">
        <f>IFERROR(__xludf.DUMMYFUNCTION("""COMPUTED_VALUE"""),44964.0)</f>
        <v>44964</v>
      </c>
      <c r="H608" s="18" t="str">
        <f>IFERROR(__xludf.DUMMYFUNCTION("""COMPUTED_VALUE"""),"UPI")</f>
        <v>UPI</v>
      </c>
      <c r="I608" s="18" t="str">
        <f>IFERROR(__xludf.DUMMYFUNCTION("""COMPUTED_VALUE"""),"Delivered")</f>
        <v>Delivered</v>
      </c>
      <c r="J608" s="18" t="str">
        <f>IFERROR(__xludf.DUMMYFUNCTION("""COMPUTED_VALUE"""),"Packaging")</f>
        <v>Packaging</v>
      </c>
      <c r="K608" s="18" t="str">
        <f>IFERROR(__xludf.DUMMYFUNCTION("""COMPUTED_VALUE"""),"Secure and intact")</f>
        <v>Secure and intact</v>
      </c>
      <c r="L608" s="18">
        <f>iferror(VLOOKUP($D608,Details!$A$2:$C$11,2,false),vlookup($D608,Details!$E$2:$G$11,2,false))</f>
        <v>90</v>
      </c>
      <c r="M608" s="18" t="str">
        <f>iferror(VLOOKUP($D608,Details!$A$2:$C$11,3,false),vlookup($D608,Details!$E$2:$G$11,3,false))</f>
        <v>Snacks and Drinks</v>
      </c>
      <c r="N608" s="18">
        <f t="shared" si="1"/>
        <v>450</v>
      </c>
      <c r="O608" s="17"/>
      <c r="P608" s="17"/>
      <c r="Q608" s="17"/>
      <c r="R608" s="17"/>
      <c r="S608" s="17"/>
      <c r="T608" s="17"/>
      <c r="U608" s="17"/>
      <c r="V608" s="17"/>
      <c r="W608" s="17"/>
      <c r="X608" s="17"/>
      <c r="Y608" s="17"/>
      <c r="Z608" s="17"/>
    </row>
    <row r="609">
      <c r="A609" s="18" t="str">
        <f>IFERROR(__xludf.DUMMYFUNCTION("""COMPUTED_VALUE"""),"ord_10600")</f>
        <v>ord_10600</v>
      </c>
      <c r="B609" s="18" t="str">
        <f>IFERROR(__xludf.DUMMYFUNCTION("""COMPUTED_VALUE"""),"Aarav Mehta")</f>
        <v>Aarav Mehta</v>
      </c>
      <c r="C609" s="18" t="str">
        <f>IFERROR(__xludf.DUMMYFUNCTION("""COMPUTED_VALUE"""),"Andheri")</f>
        <v>Andheri</v>
      </c>
      <c r="D609" s="18" t="str">
        <f>IFERROR(__xludf.DUMMYFUNCTION("""COMPUTED_VALUE"""),"Potato")</f>
        <v>Potato</v>
      </c>
      <c r="E609" s="18">
        <f>IFERROR(__xludf.DUMMYFUNCTION("""COMPUTED_VALUE"""),2.0)</f>
        <v>2</v>
      </c>
      <c r="F609" s="18" t="str">
        <f>IFERROR(__xludf.DUMMYFUNCTION("""COMPUTED_VALUE"""),"Ram Gopal")</f>
        <v>Ram Gopal</v>
      </c>
      <c r="G609" s="19">
        <f>IFERROR(__xludf.DUMMYFUNCTION("""COMPUTED_VALUE"""),45256.0)</f>
        <v>45256</v>
      </c>
      <c r="H609" s="18" t="str">
        <f>IFERROR(__xludf.DUMMYFUNCTION("""COMPUTED_VALUE"""),"COD")</f>
        <v>COD</v>
      </c>
      <c r="I609" s="18" t="str">
        <f>IFERROR(__xludf.DUMMYFUNCTION("""COMPUTED_VALUE"""),"Delivered")</f>
        <v>Delivered</v>
      </c>
      <c r="J609" s="18" t="str">
        <f>IFERROR(__xludf.DUMMYFUNCTION("""COMPUTED_VALUE"""),"Satisfied with the Delivery")</f>
        <v>Satisfied with the Delivery</v>
      </c>
      <c r="K609" s="18" t="str">
        <f>IFERROR(__xludf.DUMMYFUNCTION("""COMPUTED_VALUE"""),"Timely and quality")</f>
        <v>Timely and quality</v>
      </c>
      <c r="L609" s="18">
        <f>iferror(VLOOKUP($D609,Details!$A$2:$C$11,2,false),vlookup($D609,Details!$E$2:$G$11,2,false))</f>
        <v>55</v>
      </c>
      <c r="M609" s="18" t="str">
        <f>iferror(VLOOKUP($D609,Details!$A$2:$C$11,3,false),vlookup($D609,Details!$E$2:$G$11,3,false))</f>
        <v>Fruits and Vegetables</v>
      </c>
      <c r="N609" s="18">
        <f t="shared" si="1"/>
        <v>110</v>
      </c>
      <c r="O609" s="17"/>
      <c r="P609" s="17"/>
      <c r="Q609" s="17"/>
      <c r="R609" s="17"/>
      <c r="S609" s="17"/>
      <c r="T609" s="17"/>
      <c r="U609" s="17"/>
      <c r="V609" s="17"/>
      <c r="W609" s="17"/>
      <c r="X609" s="17"/>
      <c r="Y609" s="17"/>
      <c r="Z609" s="17"/>
    </row>
    <row r="610">
      <c r="A610" s="18" t="str">
        <f>IFERROR(__xludf.DUMMYFUNCTION("""COMPUTED_VALUE"""),"ord_10601")</f>
        <v>ord_10601</v>
      </c>
      <c r="B610" s="18" t="str">
        <f>IFERROR(__xludf.DUMMYFUNCTION("""COMPUTED_VALUE"""),"Mohit Malhotra")</f>
        <v>Mohit Malhotra</v>
      </c>
      <c r="C610" s="18" t="str">
        <f>IFERROR(__xludf.DUMMYFUNCTION("""COMPUTED_VALUE"""),"Lower Parel")</f>
        <v>Lower Parel</v>
      </c>
      <c r="D610" s="18" t="str">
        <f>IFERROR(__xludf.DUMMYFUNCTION("""COMPUTED_VALUE"""),"Chicken Puff")</f>
        <v>Chicken Puff</v>
      </c>
      <c r="E610" s="18">
        <f>IFERROR(__xludf.DUMMYFUNCTION("""COMPUTED_VALUE"""),2.0)</f>
        <v>2</v>
      </c>
      <c r="F610" s="18" t="str">
        <f>IFERROR(__xludf.DUMMYFUNCTION("""COMPUTED_VALUE"""),"Sita T")</f>
        <v>Sita T</v>
      </c>
      <c r="G610" s="19">
        <f>IFERROR(__xludf.DUMMYFUNCTION("""COMPUTED_VALUE"""),45094.0)</f>
        <v>45094</v>
      </c>
      <c r="H610" s="18" t="str">
        <f>IFERROR(__xludf.DUMMYFUNCTION("""COMPUTED_VALUE"""),"COD")</f>
        <v>COD</v>
      </c>
      <c r="I610" s="18" t="str">
        <f>IFERROR(__xludf.DUMMYFUNCTION("""COMPUTED_VALUE"""),"Delivered")</f>
        <v>Delivered</v>
      </c>
      <c r="J610" s="18" t="str">
        <f>IFERROR(__xludf.DUMMYFUNCTION("""COMPUTED_VALUE"""),"Customer Service")</f>
        <v>Customer Service</v>
      </c>
      <c r="K610" s="18" t="str">
        <f>IFERROR(__xludf.DUMMYFUNCTION("""COMPUTED_VALUE"""),"Seamless and easy")</f>
        <v>Seamless and easy</v>
      </c>
      <c r="L610" s="18">
        <f>iferror(VLOOKUP($D610,Details!$A$2:$C$11,2,false),vlookup($D610,Details!$E$2:$G$11,2,false))</f>
        <v>90</v>
      </c>
      <c r="M610" s="18" t="str">
        <f>iferror(VLOOKUP($D610,Details!$A$2:$C$11,3,false),vlookup($D610,Details!$E$2:$G$11,3,false))</f>
        <v>Snacks and Drinks</v>
      </c>
      <c r="N610" s="18">
        <f t="shared" si="1"/>
        <v>180</v>
      </c>
      <c r="O610" s="17"/>
      <c r="P610" s="17"/>
      <c r="Q610" s="17"/>
      <c r="R610" s="17"/>
      <c r="S610" s="17"/>
      <c r="T610" s="17"/>
      <c r="U610" s="17"/>
      <c r="V610" s="17"/>
      <c r="W610" s="17"/>
      <c r="X610" s="17"/>
      <c r="Y610" s="17"/>
      <c r="Z610" s="17"/>
    </row>
    <row r="611">
      <c r="A611" s="18" t="str">
        <f>IFERROR(__xludf.DUMMYFUNCTION("""COMPUTED_VALUE"""),"ord_10602")</f>
        <v>ord_10602</v>
      </c>
      <c r="B611" s="18" t="str">
        <f>IFERROR(__xludf.DUMMYFUNCTION("""COMPUTED_VALUE"""),"Aarav Mehta")</f>
        <v>Aarav Mehta</v>
      </c>
      <c r="C611" s="18" t="str">
        <f>IFERROR(__xludf.DUMMYFUNCTION("""COMPUTED_VALUE"""),"Andheri")</f>
        <v>Andheri</v>
      </c>
      <c r="D611" s="18" t="str">
        <f>IFERROR(__xludf.DUMMYFUNCTION("""COMPUTED_VALUE"""),"Rasmalai")</f>
        <v>Rasmalai</v>
      </c>
      <c r="E611" s="18">
        <f>IFERROR(__xludf.DUMMYFUNCTION("""COMPUTED_VALUE"""),3.0)</f>
        <v>3</v>
      </c>
      <c r="F611" s="18" t="str">
        <f>IFERROR(__xludf.DUMMYFUNCTION("""COMPUTED_VALUE"""),"Ram Gopal")</f>
        <v>Ram Gopal</v>
      </c>
      <c r="G611" s="19">
        <f>IFERROR(__xludf.DUMMYFUNCTION("""COMPUTED_VALUE"""),45158.0)</f>
        <v>45158</v>
      </c>
      <c r="H611" s="18" t="str">
        <f>IFERROR(__xludf.DUMMYFUNCTION("""COMPUTED_VALUE"""),"UPI")</f>
        <v>UPI</v>
      </c>
      <c r="I611" s="18" t="str">
        <f>IFERROR(__xludf.DUMMYFUNCTION("""COMPUTED_VALUE"""),"Delivered")</f>
        <v>Delivered</v>
      </c>
      <c r="J611" s="18" t="str">
        <f>IFERROR(__xludf.DUMMYFUNCTION("""COMPUTED_VALUE"""),"Delivery Experience")</f>
        <v>Delivery Experience</v>
      </c>
      <c r="K611" s="18" t="str">
        <f>IFERROR(__xludf.DUMMYFUNCTION("""COMPUTED_VALUE"""),"Quick and professional")</f>
        <v>Quick and professional</v>
      </c>
      <c r="L611" s="18">
        <f>iferror(VLOOKUP($D611,Details!$A$2:$C$11,2,false),vlookup($D611,Details!$E$2:$G$11,2,false))</f>
        <v>110</v>
      </c>
      <c r="M611" s="18" t="str">
        <f>iferror(VLOOKUP($D611,Details!$A$2:$C$11,3,false),vlookup($D611,Details!$E$2:$G$11,3,false))</f>
        <v>Snacks and Drinks</v>
      </c>
      <c r="N611" s="18">
        <f t="shared" si="1"/>
        <v>330</v>
      </c>
      <c r="O611" s="17"/>
      <c r="P611" s="17"/>
      <c r="Q611" s="17"/>
      <c r="R611" s="17"/>
      <c r="S611" s="17"/>
      <c r="T611" s="17"/>
      <c r="U611" s="17"/>
      <c r="V611" s="17"/>
      <c r="W611" s="17"/>
      <c r="X611" s="17"/>
      <c r="Y611" s="17"/>
      <c r="Z611" s="17"/>
    </row>
    <row r="612">
      <c r="A612" s="18" t="str">
        <f>IFERROR(__xludf.DUMMYFUNCTION("""COMPUTED_VALUE"""),"ord_10603")</f>
        <v>ord_10603</v>
      </c>
      <c r="B612" s="18" t="str">
        <f>IFERROR(__xludf.DUMMYFUNCTION("""COMPUTED_VALUE"""),"Tanishq Bansal")</f>
        <v>Tanishq Bansal</v>
      </c>
      <c r="C612" s="18" t="str">
        <f>IFERROR(__xludf.DUMMYFUNCTION("""COMPUTED_VALUE"""),"Powai")</f>
        <v>Powai</v>
      </c>
      <c r="D612" s="18" t="str">
        <f>IFERROR(__xludf.DUMMYFUNCTION("""COMPUTED_VALUE"""),"Papaya")</f>
        <v>Papaya</v>
      </c>
      <c r="E612" s="18">
        <f>IFERROR(__xludf.DUMMYFUNCTION("""COMPUTED_VALUE"""),1.0)</f>
        <v>1</v>
      </c>
      <c r="F612" s="18" t="str">
        <f>IFERROR(__xludf.DUMMYFUNCTION("""COMPUTED_VALUE"""),"Sandeep Kumar")</f>
        <v>Sandeep Kumar</v>
      </c>
      <c r="G612" s="19">
        <f>IFERROR(__xludf.DUMMYFUNCTION("""COMPUTED_VALUE"""),45075.0)</f>
        <v>45075</v>
      </c>
      <c r="H612" s="18" t="str">
        <f>IFERROR(__xludf.DUMMYFUNCTION("""COMPUTED_VALUE"""),"UPI")</f>
        <v>UPI</v>
      </c>
      <c r="I612" s="18" t="str">
        <f>IFERROR(__xludf.DUMMYFUNCTION("""COMPUTED_VALUE"""),"Delivered")</f>
        <v>Delivered</v>
      </c>
      <c r="J612" s="18" t="str">
        <f>IFERROR(__xludf.DUMMYFUNCTION("""COMPUTED_VALUE"""),"Convenience")</f>
        <v>Convenience</v>
      </c>
      <c r="K612" s="18" t="str">
        <f>IFERROR(__xludf.DUMMYFUNCTION("""COMPUTED_VALUE"""),"Easy tracking")</f>
        <v>Easy tracking</v>
      </c>
      <c r="L612" s="18">
        <f>iferror(VLOOKUP($D612,Details!$A$2:$C$11,2,false),vlookup($D612,Details!$E$2:$G$11,2,false))</f>
        <v>75</v>
      </c>
      <c r="M612" s="18" t="str">
        <f>iferror(VLOOKUP($D612,Details!$A$2:$C$11,3,false),vlookup($D612,Details!$E$2:$G$11,3,false))</f>
        <v>Fruits and Vegetables</v>
      </c>
      <c r="N612" s="18">
        <f t="shared" si="1"/>
        <v>75</v>
      </c>
      <c r="O612" s="17"/>
      <c r="P612" s="17"/>
      <c r="Q612" s="17"/>
      <c r="R612" s="17"/>
      <c r="S612" s="17"/>
      <c r="T612" s="17"/>
      <c r="U612" s="17"/>
      <c r="V612" s="17"/>
      <c r="W612" s="17"/>
      <c r="X612" s="17"/>
      <c r="Y612" s="17"/>
      <c r="Z612" s="17"/>
    </row>
    <row r="613">
      <c r="A613" s="18" t="str">
        <f>IFERROR(__xludf.DUMMYFUNCTION("""COMPUTED_VALUE"""),"ord_10604")</f>
        <v>ord_10604</v>
      </c>
      <c r="B613" s="18" t="str">
        <f>IFERROR(__xludf.DUMMYFUNCTION("""COMPUTED_VALUE"""),"Omkar Mishra")</f>
        <v>Omkar Mishra</v>
      </c>
      <c r="C613" s="18" t="str">
        <f>IFERROR(__xludf.DUMMYFUNCTION("""COMPUTED_VALUE"""),"Powai")</f>
        <v>Powai</v>
      </c>
      <c r="D613" s="18" t="str">
        <f>IFERROR(__xludf.DUMMYFUNCTION("""COMPUTED_VALUE"""),"Onion")</f>
        <v>Onion</v>
      </c>
      <c r="E613" s="18">
        <f>IFERROR(__xludf.DUMMYFUNCTION("""COMPUTED_VALUE"""),2.0)</f>
        <v>2</v>
      </c>
      <c r="F613" s="18" t="str">
        <f>IFERROR(__xludf.DUMMYFUNCTION("""COMPUTED_VALUE"""),"Sandeep Kumar")</f>
        <v>Sandeep Kumar</v>
      </c>
      <c r="G613" s="19">
        <f>IFERROR(__xludf.DUMMYFUNCTION("""COMPUTED_VALUE"""),45171.0)</f>
        <v>45171</v>
      </c>
      <c r="H613" s="18" t="str">
        <f>IFERROR(__xludf.DUMMYFUNCTION("""COMPUTED_VALUE"""),"UPI")</f>
        <v>UPI</v>
      </c>
      <c r="I613" s="18" t="str">
        <f>IFERROR(__xludf.DUMMYFUNCTION("""COMPUTED_VALUE"""),"Delivered")</f>
        <v>Delivered</v>
      </c>
      <c r="J613" s="18" t="str">
        <f>IFERROR(__xludf.DUMMYFUNCTION("""COMPUTED_VALUE"""),"Overall Satisfaction")</f>
        <v>Overall Satisfaction</v>
      </c>
      <c r="K613" s="18" t="str">
        <f>IFERROR(__xludf.DUMMYFUNCTION("""COMPUTED_VALUE"""),"Great service will order again")</f>
        <v>Great service will order again</v>
      </c>
      <c r="L613" s="18">
        <f>iferror(VLOOKUP($D613,Details!$A$2:$C$11,2,false),vlookup($D613,Details!$E$2:$G$11,2,false))</f>
        <v>84</v>
      </c>
      <c r="M613" s="18" t="str">
        <f>iferror(VLOOKUP($D613,Details!$A$2:$C$11,3,false),vlookup($D613,Details!$E$2:$G$11,3,false))</f>
        <v>Fruits and Vegetables</v>
      </c>
      <c r="N613" s="18">
        <f t="shared" si="1"/>
        <v>168</v>
      </c>
      <c r="O613" s="17"/>
      <c r="P613" s="17"/>
      <c r="Q613" s="17"/>
      <c r="R613" s="17"/>
      <c r="S613" s="17"/>
      <c r="T613" s="17"/>
      <c r="U613" s="17"/>
      <c r="V613" s="17"/>
      <c r="W613" s="17"/>
      <c r="X613" s="17"/>
      <c r="Y613" s="17"/>
      <c r="Z613" s="17"/>
    </row>
    <row r="614">
      <c r="A614" s="18" t="str">
        <f>IFERROR(__xludf.DUMMYFUNCTION("""COMPUTED_VALUE"""),"ord_10605")</f>
        <v>ord_10605</v>
      </c>
      <c r="B614" s="18" t="str">
        <f>IFERROR(__xludf.DUMMYFUNCTION("""COMPUTED_VALUE"""),"Aditi Iyer")</f>
        <v>Aditi Iyer</v>
      </c>
      <c r="C614" s="18" t="str">
        <f>IFERROR(__xludf.DUMMYFUNCTION("""COMPUTED_VALUE"""),"Dadar")</f>
        <v>Dadar</v>
      </c>
      <c r="D614" s="18" t="str">
        <f>IFERROR(__xludf.DUMMYFUNCTION("""COMPUTED_VALUE"""),"Tiramisu")</f>
        <v>Tiramisu</v>
      </c>
      <c r="E614" s="18">
        <f>IFERROR(__xludf.DUMMYFUNCTION("""COMPUTED_VALUE"""),2.0)</f>
        <v>2</v>
      </c>
      <c r="F614" s="18" t="str">
        <f>IFERROR(__xludf.DUMMYFUNCTION("""COMPUTED_VALUE"""),"Aman Kumar")</f>
        <v>Aman Kumar</v>
      </c>
      <c r="G614" s="19">
        <f>IFERROR(__xludf.DUMMYFUNCTION("""COMPUTED_VALUE"""),45061.0)</f>
        <v>45061</v>
      </c>
      <c r="H614" s="18" t="str">
        <f>IFERROR(__xludf.DUMMYFUNCTION("""COMPUTED_VALUE"""),"COD")</f>
        <v>COD</v>
      </c>
      <c r="I614" s="18" t="str">
        <f>IFERROR(__xludf.DUMMYFUNCTION("""COMPUTED_VALUE"""),"Delivered")</f>
        <v>Delivered</v>
      </c>
      <c r="J614" s="18" t="str">
        <f>IFERROR(__xludf.DUMMYFUNCTION("""COMPUTED_VALUE"""),"On-time Delivery")</f>
        <v>On-time Delivery</v>
      </c>
      <c r="K614" s="18" t="str">
        <f>IFERROR(__xludf.DUMMYFUNCTION("""COMPUTED_VALUE"""),"Delivered on time")</f>
        <v>Delivered on time</v>
      </c>
      <c r="L614" s="18">
        <f>iferror(VLOOKUP($D614,Details!$A$2:$C$11,2,false),vlookup($D614,Details!$E$2:$G$11,2,false))</f>
        <v>150</v>
      </c>
      <c r="M614" s="18" t="str">
        <f>iferror(VLOOKUP($D614,Details!$A$2:$C$11,3,false),vlookup($D614,Details!$E$2:$G$11,3,false))</f>
        <v>Snacks and Drinks</v>
      </c>
      <c r="N614" s="18">
        <f t="shared" si="1"/>
        <v>300</v>
      </c>
      <c r="O614" s="17"/>
      <c r="P614" s="17"/>
      <c r="Q614" s="17"/>
      <c r="R614" s="17"/>
      <c r="S614" s="17"/>
      <c r="T614" s="17"/>
      <c r="U614" s="17"/>
      <c r="V614" s="17"/>
      <c r="W614" s="17"/>
      <c r="X614" s="17"/>
      <c r="Y614" s="17"/>
      <c r="Z614" s="17"/>
    </row>
    <row r="615">
      <c r="A615" s="18" t="str">
        <f>IFERROR(__xludf.DUMMYFUNCTION("""COMPUTED_VALUE"""),"ord_10606")</f>
        <v>ord_10606</v>
      </c>
      <c r="B615" s="18" t="str">
        <f>IFERROR(__xludf.DUMMYFUNCTION("""COMPUTED_VALUE"""),"Parth Goel")</f>
        <v>Parth Goel</v>
      </c>
      <c r="C615" s="18" t="str">
        <f>IFERROR(__xludf.DUMMYFUNCTION("""COMPUTED_VALUE"""),"Juhu")</f>
        <v>Juhu</v>
      </c>
      <c r="D615" s="18" t="str">
        <f>IFERROR(__xludf.DUMMYFUNCTION("""COMPUTED_VALUE"""),"Veg Puff")</f>
        <v>Veg Puff</v>
      </c>
      <c r="E615" s="18">
        <f>IFERROR(__xludf.DUMMYFUNCTION("""COMPUTED_VALUE"""),3.0)</f>
        <v>3</v>
      </c>
      <c r="F615" s="18" t="str">
        <f>IFERROR(__xludf.DUMMYFUNCTION("""COMPUTED_VALUE"""),"Tanvi Jain")</f>
        <v>Tanvi Jain</v>
      </c>
      <c r="G615" s="19">
        <f>IFERROR(__xludf.DUMMYFUNCTION("""COMPUTED_VALUE"""),45273.0)</f>
        <v>45273</v>
      </c>
      <c r="H615" s="18" t="str">
        <f>IFERROR(__xludf.DUMMYFUNCTION("""COMPUTED_VALUE"""),"Online Payment")</f>
        <v>Online Payment</v>
      </c>
      <c r="I615" s="18" t="str">
        <f>IFERROR(__xludf.DUMMYFUNCTION("""COMPUTED_VALUE"""),"Delivered")</f>
        <v>Delivered</v>
      </c>
      <c r="J615" s="18" t="str">
        <f>IFERROR(__xludf.DUMMYFUNCTION("""COMPUTED_VALUE"""),"Quality of Items")</f>
        <v>Quality of Items</v>
      </c>
      <c r="K615" s="18" t="str">
        <f>IFERROR(__xludf.DUMMYFUNCTION("""COMPUTED_VALUE"""),"Perfect condition")</f>
        <v>Perfect condition</v>
      </c>
      <c r="L615" s="18">
        <f>iferror(VLOOKUP($D615,Details!$A$2:$C$11,2,false),vlookup($D615,Details!$E$2:$G$11,2,false))</f>
        <v>80</v>
      </c>
      <c r="M615" s="18" t="str">
        <f>iferror(VLOOKUP($D615,Details!$A$2:$C$11,3,false),vlookup($D615,Details!$E$2:$G$11,3,false))</f>
        <v>Snacks and Drinks</v>
      </c>
      <c r="N615" s="18">
        <f t="shared" si="1"/>
        <v>240</v>
      </c>
      <c r="O615" s="17"/>
      <c r="P615" s="17"/>
      <c r="Q615" s="17"/>
      <c r="R615" s="17"/>
      <c r="S615" s="17"/>
      <c r="T615" s="17"/>
      <c r="U615" s="17"/>
      <c r="V615" s="17"/>
      <c r="W615" s="17"/>
      <c r="X615" s="17"/>
      <c r="Y615" s="17"/>
      <c r="Z615" s="17"/>
    </row>
    <row r="616">
      <c r="A616" s="18" t="str">
        <f>IFERROR(__xludf.DUMMYFUNCTION("""COMPUTED_VALUE"""),"ord_10607")</f>
        <v>ord_10607</v>
      </c>
      <c r="B616" s="18" t="str">
        <f>IFERROR(__xludf.DUMMYFUNCTION("""COMPUTED_VALUE"""),"Sanjay Nair")</f>
        <v>Sanjay Nair</v>
      </c>
      <c r="C616" s="18" t="str">
        <f>IFERROR(__xludf.DUMMYFUNCTION("""COMPUTED_VALUE"""),"Dadar")</f>
        <v>Dadar</v>
      </c>
      <c r="D616" s="18" t="str">
        <f>IFERROR(__xludf.DUMMYFUNCTION("""COMPUTED_VALUE"""),"Potato")</f>
        <v>Potato</v>
      </c>
      <c r="E616" s="18">
        <f>IFERROR(__xludf.DUMMYFUNCTION("""COMPUTED_VALUE"""),2.0)</f>
        <v>2</v>
      </c>
      <c r="F616" s="18" t="str">
        <f>IFERROR(__xludf.DUMMYFUNCTION("""COMPUTED_VALUE"""),"Aman Kumar")</f>
        <v>Aman Kumar</v>
      </c>
      <c r="G616" s="19">
        <f>IFERROR(__xludf.DUMMYFUNCTION("""COMPUTED_VALUE"""),45221.0)</f>
        <v>45221</v>
      </c>
      <c r="H616" s="18" t="str">
        <f>IFERROR(__xludf.DUMMYFUNCTION("""COMPUTED_VALUE"""),"UPI")</f>
        <v>UPI</v>
      </c>
      <c r="I616" s="18" t="str">
        <f>IFERROR(__xludf.DUMMYFUNCTION("""COMPUTED_VALUE"""),"Delivered")</f>
        <v>Delivered</v>
      </c>
      <c r="J616" s="18" t="str">
        <f>IFERROR(__xludf.DUMMYFUNCTION("""COMPUTED_VALUE"""),"On-time Delivery")</f>
        <v>On-time Delivery</v>
      </c>
      <c r="K616" s="18" t="str">
        <f>IFERROR(__xludf.DUMMYFUNCTION("""COMPUTED_VALUE"""),"Delivered on time")</f>
        <v>Delivered on time</v>
      </c>
      <c r="L616" s="18">
        <f>iferror(VLOOKUP($D616,Details!$A$2:$C$11,2,false),vlookup($D616,Details!$E$2:$G$11,2,false))</f>
        <v>55</v>
      </c>
      <c r="M616" s="18" t="str">
        <f>iferror(VLOOKUP($D616,Details!$A$2:$C$11,3,false),vlookup($D616,Details!$E$2:$G$11,3,false))</f>
        <v>Fruits and Vegetables</v>
      </c>
      <c r="N616" s="18">
        <f t="shared" si="1"/>
        <v>110</v>
      </c>
      <c r="O616" s="17"/>
      <c r="P616" s="17"/>
      <c r="Q616" s="17"/>
      <c r="R616" s="17"/>
      <c r="S616" s="17"/>
      <c r="T616" s="17"/>
      <c r="U616" s="17"/>
      <c r="V616" s="17"/>
      <c r="W616" s="17"/>
      <c r="X616" s="17"/>
      <c r="Y616" s="17"/>
      <c r="Z616" s="17"/>
    </row>
    <row r="617">
      <c r="A617" s="18" t="str">
        <f>IFERROR(__xludf.DUMMYFUNCTION("""COMPUTED_VALUE"""),"ord_10608")</f>
        <v>ord_10608</v>
      </c>
      <c r="B617" s="18" t="str">
        <f>IFERROR(__xludf.DUMMYFUNCTION("""COMPUTED_VALUE"""),"Mohit Malhotra")</f>
        <v>Mohit Malhotra</v>
      </c>
      <c r="C617" s="18" t="str">
        <f>IFERROR(__xludf.DUMMYFUNCTION("""COMPUTED_VALUE"""),"Lower Parel")</f>
        <v>Lower Parel</v>
      </c>
      <c r="D617" s="18" t="str">
        <f>IFERROR(__xludf.DUMMYFUNCTION("""COMPUTED_VALUE"""),"Apple")</f>
        <v>Apple</v>
      </c>
      <c r="E617" s="18">
        <f>IFERROR(__xludf.DUMMYFUNCTION("""COMPUTED_VALUE"""),1.0)</f>
        <v>1</v>
      </c>
      <c r="F617" s="18" t="str">
        <f>IFERROR(__xludf.DUMMYFUNCTION("""COMPUTED_VALUE"""),"Kiran Mehta")</f>
        <v>Kiran Mehta</v>
      </c>
      <c r="G617" s="19">
        <f>IFERROR(__xludf.DUMMYFUNCTION("""COMPUTED_VALUE"""),45089.0)</f>
        <v>45089</v>
      </c>
      <c r="H617" s="18" t="str">
        <f>IFERROR(__xludf.DUMMYFUNCTION("""COMPUTED_VALUE"""),"UPI")</f>
        <v>UPI</v>
      </c>
      <c r="I617" s="18" t="str">
        <f>IFERROR(__xludf.DUMMYFUNCTION("""COMPUTED_VALUE"""),"Delivered")</f>
        <v>Delivered</v>
      </c>
      <c r="J617" s="18" t="str">
        <f>IFERROR(__xludf.DUMMYFUNCTION("""COMPUTED_VALUE"""),"Quality of Items")</f>
        <v>Quality of Items</v>
      </c>
      <c r="K617" s="18" t="str">
        <f>IFERROR(__xludf.DUMMYFUNCTION("""COMPUTED_VALUE"""),"Perfect condition")</f>
        <v>Perfect condition</v>
      </c>
      <c r="L617" s="18">
        <f>iferror(VLOOKUP($D617,Details!$A$2:$C$11,2,false),vlookup($D617,Details!$E$2:$G$11,2,false))</f>
        <v>230</v>
      </c>
      <c r="M617" s="18" t="str">
        <f>iferror(VLOOKUP($D617,Details!$A$2:$C$11,3,false),vlookup($D617,Details!$E$2:$G$11,3,false))</f>
        <v>Fruits and Vegetables</v>
      </c>
      <c r="N617" s="18">
        <f t="shared" si="1"/>
        <v>230</v>
      </c>
      <c r="O617" s="17"/>
      <c r="P617" s="17"/>
      <c r="Q617" s="17"/>
      <c r="R617" s="17"/>
      <c r="S617" s="17"/>
      <c r="T617" s="17"/>
      <c r="U617" s="17"/>
      <c r="V617" s="17"/>
      <c r="W617" s="17"/>
      <c r="X617" s="17"/>
      <c r="Y617" s="17"/>
      <c r="Z617" s="17"/>
    </row>
    <row r="618">
      <c r="A618" s="18" t="str">
        <f>IFERROR(__xludf.DUMMYFUNCTION("""COMPUTED_VALUE"""),"ord_10609")</f>
        <v>ord_10609</v>
      </c>
      <c r="B618" s="18" t="str">
        <f>IFERROR(__xludf.DUMMYFUNCTION("""COMPUTED_VALUE"""),"Aditi Iyer")</f>
        <v>Aditi Iyer</v>
      </c>
      <c r="C618" s="18" t="str">
        <f>IFERROR(__xludf.DUMMYFUNCTION("""COMPUTED_VALUE"""),"Dadar")</f>
        <v>Dadar</v>
      </c>
      <c r="D618" s="18" t="str">
        <f>IFERROR(__xludf.DUMMYFUNCTION("""COMPUTED_VALUE"""),"Tomato")</f>
        <v>Tomato</v>
      </c>
      <c r="E618" s="18">
        <f>IFERROR(__xludf.DUMMYFUNCTION("""COMPUTED_VALUE"""),2.0)</f>
        <v>2</v>
      </c>
      <c r="F618" s="18" t="str">
        <f>IFERROR(__xludf.DUMMYFUNCTION("""COMPUTED_VALUE"""),"Aman Kumar")</f>
        <v>Aman Kumar</v>
      </c>
      <c r="G618" s="19">
        <f>IFERROR(__xludf.DUMMYFUNCTION("""COMPUTED_VALUE"""),45196.0)</f>
        <v>45196</v>
      </c>
      <c r="H618" s="18" t="str">
        <f>IFERROR(__xludf.DUMMYFUNCTION("""COMPUTED_VALUE"""),"COD")</f>
        <v>COD</v>
      </c>
      <c r="I618" s="18" t="str">
        <f>IFERROR(__xludf.DUMMYFUNCTION("""COMPUTED_VALUE"""),"Delivered")</f>
        <v>Delivered</v>
      </c>
      <c r="J618" s="18" t="str">
        <f>IFERROR(__xludf.DUMMYFUNCTION("""COMPUTED_VALUE"""),"Packaging")</f>
        <v>Packaging</v>
      </c>
      <c r="K618" s="18" t="str">
        <f>IFERROR(__xludf.DUMMYFUNCTION("""COMPUTED_VALUE"""),"Secure and intact")</f>
        <v>Secure and intact</v>
      </c>
      <c r="L618" s="18">
        <f>iferror(VLOOKUP($D618,Details!$A$2:$C$11,2,false),vlookup($D618,Details!$E$2:$G$11,2,false))</f>
        <v>25</v>
      </c>
      <c r="M618" s="18" t="str">
        <f>iferror(VLOOKUP($D618,Details!$A$2:$C$11,3,false),vlookup($D618,Details!$E$2:$G$11,3,false))</f>
        <v>Fruits and Vegetables</v>
      </c>
      <c r="N618" s="18">
        <f t="shared" si="1"/>
        <v>50</v>
      </c>
      <c r="O618" s="17"/>
      <c r="P618" s="17"/>
      <c r="Q618" s="17"/>
      <c r="R618" s="17"/>
      <c r="S618" s="17"/>
      <c r="T618" s="17"/>
      <c r="U618" s="17"/>
      <c r="V618" s="17"/>
      <c r="W618" s="17"/>
      <c r="X618" s="17"/>
      <c r="Y618" s="17"/>
      <c r="Z618" s="17"/>
    </row>
    <row r="619">
      <c r="A619" s="18" t="str">
        <f>IFERROR(__xludf.DUMMYFUNCTION("""COMPUTED_VALUE"""),"ord_10610")</f>
        <v>ord_10610</v>
      </c>
      <c r="B619" s="18" t="str">
        <f>IFERROR(__xludf.DUMMYFUNCTION("""COMPUTED_VALUE"""),"Sakshi Tandon")</f>
        <v>Sakshi Tandon</v>
      </c>
      <c r="C619" s="18" t="str">
        <f>IFERROR(__xludf.DUMMYFUNCTION("""COMPUTED_VALUE"""),"Colaba")</f>
        <v>Colaba</v>
      </c>
      <c r="D619" s="18" t="str">
        <f>IFERROR(__xludf.DUMMYFUNCTION("""COMPUTED_VALUE"""),"Tomato")</f>
        <v>Tomato</v>
      </c>
      <c r="E619" s="18">
        <f>IFERROR(__xludf.DUMMYFUNCTION("""COMPUTED_VALUE"""),2.0)</f>
        <v>2</v>
      </c>
      <c r="F619" s="18" t="str">
        <f>IFERROR(__xludf.DUMMYFUNCTION("""COMPUTED_VALUE"""),"Nikhil Deshmukh")</f>
        <v>Nikhil Deshmukh</v>
      </c>
      <c r="G619" s="19">
        <f>IFERROR(__xludf.DUMMYFUNCTION("""COMPUTED_VALUE"""),45130.0)</f>
        <v>45130</v>
      </c>
      <c r="H619" s="18" t="str">
        <f>IFERROR(__xludf.DUMMYFUNCTION("""COMPUTED_VALUE"""),"Credit Card")</f>
        <v>Credit Card</v>
      </c>
      <c r="I619" s="18" t="str">
        <f>IFERROR(__xludf.DUMMYFUNCTION("""COMPUTED_VALUE"""),"Delivered")</f>
        <v>Delivered</v>
      </c>
      <c r="J619" s="18" t="str">
        <f>IFERROR(__xludf.DUMMYFUNCTION("""COMPUTED_VALUE"""),"Satisfied with the Delivery")</f>
        <v>Satisfied with the Delivery</v>
      </c>
      <c r="K619" s="18" t="str">
        <f>IFERROR(__xludf.DUMMYFUNCTION("""COMPUTED_VALUE"""),"Timely and quality")</f>
        <v>Timely and quality</v>
      </c>
      <c r="L619" s="18">
        <f>iferror(VLOOKUP($D619,Details!$A$2:$C$11,2,false),vlookup($D619,Details!$E$2:$G$11,2,false))</f>
        <v>25</v>
      </c>
      <c r="M619" s="18" t="str">
        <f>iferror(VLOOKUP($D619,Details!$A$2:$C$11,3,false),vlookup($D619,Details!$E$2:$G$11,3,false))</f>
        <v>Fruits and Vegetables</v>
      </c>
      <c r="N619" s="18">
        <f t="shared" si="1"/>
        <v>50</v>
      </c>
      <c r="O619" s="17"/>
      <c r="P619" s="17"/>
      <c r="Q619" s="17"/>
      <c r="R619" s="17"/>
      <c r="S619" s="17"/>
      <c r="T619" s="17"/>
      <c r="U619" s="17"/>
      <c r="V619" s="17"/>
      <c r="W619" s="17"/>
      <c r="X619" s="17"/>
      <c r="Y619" s="17"/>
      <c r="Z619" s="17"/>
    </row>
    <row r="620">
      <c r="A620" s="18" t="str">
        <f>IFERROR(__xludf.DUMMYFUNCTION("""COMPUTED_VALUE"""),"ord_10611")</f>
        <v>ord_10611</v>
      </c>
      <c r="B620" s="18" t="str">
        <f>IFERROR(__xludf.DUMMYFUNCTION("""COMPUTED_VALUE"""),"Diya Arora")</f>
        <v>Diya Arora</v>
      </c>
      <c r="C620" s="18" t="str">
        <f>IFERROR(__xludf.DUMMYFUNCTION("""COMPUTED_VALUE"""),"Lower Parel")</f>
        <v>Lower Parel</v>
      </c>
      <c r="D620" s="18" t="str">
        <f>IFERROR(__xludf.DUMMYFUNCTION("""COMPUTED_VALUE"""),"Tomato")</f>
        <v>Tomato</v>
      </c>
      <c r="E620" s="18">
        <f>IFERROR(__xludf.DUMMYFUNCTION("""COMPUTED_VALUE"""),2.0)</f>
        <v>2</v>
      </c>
      <c r="F620" s="18" t="str">
        <f>IFERROR(__xludf.DUMMYFUNCTION("""COMPUTED_VALUE"""),"Kiran Mehta")</f>
        <v>Kiran Mehta</v>
      </c>
      <c r="G620" s="19">
        <f>IFERROR(__xludf.DUMMYFUNCTION("""COMPUTED_VALUE"""),45233.0)</f>
        <v>45233</v>
      </c>
      <c r="H620" s="18" t="str">
        <f>IFERROR(__xludf.DUMMYFUNCTION("""COMPUTED_VALUE"""),"UPI")</f>
        <v>UPI</v>
      </c>
      <c r="I620" s="18" t="str">
        <f>IFERROR(__xludf.DUMMYFUNCTION("""COMPUTED_VALUE"""),"Delivered")</f>
        <v>Delivered</v>
      </c>
      <c r="J620" s="18" t="str">
        <f>IFERROR(__xludf.DUMMYFUNCTION("""COMPUTED_VALUE"""),"Customer Service")</f>
        <v>Customer Service</v>
      </c>
      <c r="K620" s="18" t="str">
        <f>IFERROR(__xludf.DUMMYFUNCTION("""COMPUTED_VALUE"""),"Seamless and easy")</f>
        <v>Seamless and easy</v>
      </c>
      <c r="L620" s="18">
        <f>iferror(VLOOKUP($D620,Details!$A$2:$C$11,2,false),vlookup($D620,Details!$E$2:$G$11,2,false))</f>
        <v>25</v>
      </c>
      <c r="M620" s="18" t="str">
        <f>iferror(VLOOKUP($D620,Details!$A$2:$C$11,3,false),vlookup($D620,Details!$E$2:$G$11,3,false))</f>
        <v>Fruits and Vegetables</v>
      </c>
      <c r="N620" s="18">
        <f t="shared" si="1"/>
        <v>50</v>
      </c>
      <c r="O620" s="17"/>
      <c r="P620" s="17"/>
      <c r="Q620" s="17"/>
      <c r="R620" s="17"/>
      <c r="S620" s="17"/>
      <c r="T620" s="17"/>
      <c r="U620" s="17"/>
      <c r="V620" s="17"/>
      <c r="W620" s="17"/>
      <c r="X620" s="17"/>
      <c r="Y620" s="17"/>
      <c r="Z620" s="17"/>
    </row>
    <row r="621">
      <c r="A621" s="18" t="str">
        <f>IFERROR(__xludf.DUMMYFUNCTION("""COMPUTED_VALUE"""),"ord_10612")</f>
        <v>ord_10612</v>
      </c>
      <c r="B621" s="18" t="str">
        <f>IFERROR(__xludf.DUMMYFUNCTION("""COMPUTED_VALUE"""),"Siya Reddy")</f>
        <v>Siya Reddy</v>
      </c>
      <c r="C621" s="18" t="str">
        <f>IFERROR(__xludf.DUMMYFUNCTION("""COMPUTED_VALUE"""),"Juhu")</f>
        <v>Juhu</v>
      </c>
      <c r="D621" s="18" t="str">
        <f>IFERROR(__xludf.DUMMYFUNCTION("""COMPUTED_VALUE"""),"Icecream")</f>
        <v>Icecream</v>
      </c>
      <c r="E621" s="18">
        <f>IFERROR(__xludf.DUMMYFUNCTION("""COMPUTED_VALUE"""),2.0)</f>
        <v>2</v>
      </c>
      <c r="F621" s="18" t="str">
        <f>IFERROR(__xludf.DUMMYFUNCTION("""COMPUTED_VALUE"""),"Not Assigned")</f>
        <v>Not Assigned</v>
      </c>
      <c r="G621" s="19">
        <f>IFERROR(__xludf.DUMMYFUNCTION("""COMPUTED_VALUE"""),44966.0)</f>
        <v>44966</v>
      </c>
      <c r="H621" s="18" t="str">
        <f>IFERROR(__xludf.DUMMYFUNCTION("""COMPUTED_VALUE"""),"UPI")</f>
        <v>UPI</v>
      </c>
      <c r="I621" s="18" t="str">
        <f>IFERROR(__xludf.DUMMYFUNCTION("""COMPUTED_VALUE"""),"Cancelled")</f>
        <v>Cancelled</v>
      </c>
      <c r="J621" s="18" t="str">
        <f>IFERROR(__xludf.DUMMYFUNCTION("""COMPUTED_VALUE"""),"High Delivery Fees")</f>
        <v>High Delivery Fees</v>
      </c>
      <c r="K621" s="18"/>
      <c r="L621" s="18">
        <f>iferror(VLOOKUP($D621,Details!$A$2:$C$11,2,false),vlookup($D621,Details!$E$2:$G$11,2,false))</f>
        <v>90</v>
      </c>
      <c r="M621" s="18" t="str">
        <f>iferror(VLOOKUP($D621,Details!$A$2:$C$11,3,false),vlookup($D621,Details!$E$2:$G$11,3,false))</f>
        <v>Snacks and Drinks</v>
      </c>
      <c r="N621" s="18">
        <f t="shared" si="1"/>
        <v>180</v>
      </c>
      <c r="O621" s="17"/>
      <c r="P621" s="17"/>
      <c r="Q621" s="17"/>
      <c r="R621" s="17"/>
      <c r="S621" s="17"/>
      <c r="T621" s="17"/>
      <c r="U621" s="17"/>
      <c r="V621" s="17"/>
      <c r="W621" s="17"/>
      <c r="X621" s="17"/>
      <c r="Y621" s="17"/>
      <c r="Z621" s="17"/>
    </row>
    <row r="622">
      <c r="A622" s="18" t="str">
        <f>IFERROR(__xludf.DUMMYFUNCTION("""COMPUTED_VALUE"""),"ord_10613")</f>
        <v>ord_10613</v>
      </c>
      <c r="B622" s="18" t="str">
        <f>IFERROR(__xludf.DUMMYFUNCTION("""COMPUTED_VALUE"""),"Ishita Banerjee")</f>
        <v>Ishita Banerjee</v>
      </c>
      <c r="C622" s="18" t="str">
        <f>IFERROR(__xludf.DUMMYFUNCTION("""COMPUTED_VALUE"""),"Juhu")</f>
        <v>Juhu</v>
      </c>
      <c r="D622" s="18" t="str">
        <f>IFERROR(__xludf.DUMMYFUNCTION("""COMPUTED_VALUE"""),"Apple")</f>
        <v>Apple</v>
      </c>
      <c r="E622" s="18">
        <f>IFERROR(__xludf.DUMMYFUNCTION("""COMPUTED_VALUE"""),2.0)</f>
        <v>2</v>
      </c>
      <c r="F622" s="18" t="str">
        <f>IFERROR(__xludf.DUMMYFUNCTION("""COMPUTED_VALUE"""),"Tanvi Jain")</f>
        <v>Tanvi Jain</v>
      </c>
      <c r="G622" s="19">
        <f>IFERROR(__xludf.DUMMYFUNCTION("""COMPUTED_VALUE"""),45124.0)</f>
        <v>45124</v>
      </c>
      <c r="H622" s="18" t="str">
        <f>IFERROR(__xludf.DUMMYFUNCTION("""COMPUTED_VALUE"""),"COD")</f>
        <v>COD</v>
      </c>
      <c r="I622" s="18" t="str">
        <f>IFERROR(__xludf.DUMMYFUNCTION("""COMPUTED_VALUE"""),"Delivered")</f>
        <v>Delivered</v>
      </c>
      <c r="J622" s="18" t="str">
        <f>IFERROR(__xludf.DUMMYFUNCTION("""COMPUTED_VALUE"""),"Delivery Experience")</f>
        <v>Delivery Experience</v>
      </c>
      <c r="K622" s="18" t="str">
        <f>IFERROR(__xludf.DUMMYFUNCTION("""COMPUTED_VALUE"""),"Quick and professional")</f>
        <v>Quick and professional</v>
      </c>
      <c r="L622" s="18">
        <f>iferror(VLOOKUP($D622,Details!$A$2:$C$11,2,false),vlookup($D622,Details!$E$2:$G$11,2,false))</f>
        <v>230</v>
      </c>
      <c r="M622" s="18" t="str">
        <f>iferror(VLOOKUP($D622,Details!$A$2:$C$11,3,false),vlookup($D622,Details!$E$2:$G$11,3,false))</f>
        <v>Fruits and Vegetables</v>
      </c>
      <c r="N622" s="18">
        <f t="shared" si="1"/>
        <v>460</v>
      </c>
      <c r="O622" s="17"/>
      <c r="P622" s="17"/>
      <c r="Q622" s="17"/>
      <c r="R622" s="17"/>
      <c r="S622" s="17"/>
      <c r="T622" s="17"/>
      <c r="U622" s="17"/>
      <c r="V622" s="17"/>
      <c r="W622" s="17"/>
      <c r="X622" s="17"/>
      <c r="Y622" s="17"/>
      <c r="Z622" s="17"/>
    </row>
    <row r="623">
      <c r="A623" s="18" t="str">
        <f>IFERROR(__xludf.DUMMYFUNCTION("""COMPUTED_VALUE"""),"ord_10614")</f>
        <v>ord_10614</v>
      </c>
      <c r="B623" s="18" t="str">
        <f>IFERROR(__xludf.DUMMYFUNCTION("""COMPUTED_VALUE"""),"Ishaan Chaturvedi")</f>
        <v>Ishaan Chaturvedi</v>
      </c>
      <c r="C623" s="18" t="str">
        <f>IFERROR(__xludf.DUMMYFUNCTION("""COMPUTED_VALUE"""),"Bandra")</f>
        <v>Bandra</v>
      </c>
      <c r="D623" s="18" t="str">
        <f>IFERROR(__xludf.DUMMYFUNCTION("""COMPUTED_VALUE"""),"Rasmalai")</f>
        <v>Rasmalai</v>
      </c>
      <c r="E623" s="18">
        <f>IFERROR(__xludf.DUMMYFUNCTION("""COMPUTED_VALUE"""),3.0)</f>
        <v>3</v>
      </c>
      <c r="F623" s="18" t="str">
        <f>IFERROR(__xludf.DUMMYFUNCTION("""COMPUTED_VALUE"""),"Priya Joshi")</f>
        <v>Priya Joshi</v>
      </c>
      <c r="G623" s="19">
        <f>IFERROR(__xludf.DUMMYFUNCTION("""COMPUTED_VALUE"""),45015.0)</f>
        <v>45015</v>
      </c>
      <c r="H623" s="18" t="str">
        <f>IFERROR(__xludf.DUMMYFUNCTION("""COMPUTED_VALUE"""),"Online Payment")</f>
        <v>Online Payment</v>
      </c>
      <c r="I623" s="18" t="str">
        <f>IFERROR(__xludf.DUMMYFUNCTION("""COMPUTED_VALUE"""),"Delivered")</f>
        <v>Delivered</v>
      </c>
      <c r="J623" s="18" t="str">
        <f>IFERROR(__xludf.DUMMYFUNCTION("""COMPUTED_VALUE"""),"Convenience")</f>
        <v>Convenience</v>
      </c>
      <c r="K623" s="18" t="str">
        <f>IFERROR(__xludf.DUMMYFUNCTION("""COMPUTED_VALUE"""),"Easy tracking")</f>
        <v>Easy tracking</v>
      </c>
      <c r="L623" s="18">
        <f>iferror(VLOOKUP($D623,Details!$A$2:$C$11,2,false),vlookup($D623,Details!$E$2:$G$11,2,false))</f>
        <v>110</v>
      </c>
      <c r="M623" s="18" t="str">
        <f>iferror(VLOOKUP($D623,Details!$A$2:$C$11,3,false),vlookup($D623,Details!$E$2:$G$11,3,false))</f>
        <v>Snacks and Drinks</v>
      </c>
      <c r="N623" s="18">
        <f t="shared" si="1"/>
        <v>330</v>
      </c>
      <c r="O623" s="17"/>
      <c r="P623" s="17"/>
      <c r="Q623" s="17"/>
      <c r="R623" s="17"/>
      <c r="S623" s="17"/>
      <c r="T623" s="17"/>
      <c r="U623" s="17"/>
      <c r="V623" s="17"/>
      <c r="W623" s="17"/>
      <c r="X623" s="17"/>
      <c r="Y623" s="17"/>
      <c r="Z623" s="17"/>
    </row>
    <row r="624">
      <c r="A624" s="18" t="str">
        <f>IFERROR(__xludf.DUMMYFUNCTION("""COMPUTED_VALUE"""),"ord_10615")</f>
        <v>ord_10615</v>
      </c>
      <c r="B624" s="18" t="str">
        <f>IFERROR(__xludf.DUMMYFUNCTION("""COMPUTED_VALUE"""),"Kritika Shetty")</f>
        <v>Kritika Shetty</v>
      </c>
      <c r="C624" s="18" t="str">
        <f>IFERROR(__xludf.DUMMYFUNCTION("""COMPUTED_VALUE"""),"Malad")</f>
        <v>Malad</v>
      </c>
      <c r="D624" s="18" t="str">
        <f>IFERROR(__xludf.DUMMYFUNCTION("""COMPUTED_VALUE"""),"Tiramisu")</f>
        <v>Tiramisu</v>
      </c>
      <c r="E624" s="18">
        <f>IFERROR(__xludf.DUMMYFUNCTION("""COMPUTED_VALUE"""),4.0)</f>
        <v>4</v>
      </c>
      <c r="F624" s="18" t="str">
        <f>IFERROR(__xludf.DUMMYFUNCTION("""COMPUTED_VALUE"""),"Not Assigned")</f>
        <v>Not Assigned</v>
      </c>
      <c r="G624" s="19">
        <f>IFERROR(__xludf.DUMMYFUNCTION("""COMPUTED_VALUE"""),45216.0)</f>
        <v>45216</v>
      </c>
      <c r="H624" s="18" t="str">
        <f>IFERROR(__xludf.DUMMYFUNCTION("""COMPUTED_VALUE"""),"Credit Card")</f>
        <v>Credit Card</v>
      </c>
      <c r="I624" s="18" t="str">
        <f>IFERROR(__xludf.DUMMYFUNCTION("""COMPUTED_VALUE"""),"Cancelled")</f>
        <v>Cancelled</v>
      </c>
      <c r="J624" s="18" t="str">
        <f>IFERROR(__xludf.DUMMYFUNCTION("""COMPUTED_VALUE"""),"High Delivery Fees")</f>
        <v>High Delivery Fees</v>
      </c>
      <c r="K624" s="18"/>
      <c r="L624" s="18">
        <f>iferror(VLOOKUP($D624,Details!$A$2:$C$11,2,false),vlookup($D624,Details!$E$2:$G$11,2,false))</f>
        <v>150</v>
      </c>
      <c r="M624" s="18" t="str">
        <f>iferror(VLOOKUP($D624,Details!$A$2:$C$11,3,false),vlookup($D624,Details!$E$2:$G$11,3,false))</f>
        <v>Snacks and Drinks</v>
      </c>
      <c r="N624" s="18">
        <f t="shared" si="1"/>
        <v>600</v>
      </c>
      <c r="O624" s="17"/>
      <c r="P624" s="17"/>
      <c r="Q624" s="17"/>
      <c r="R624" s="17"/>
      <c r="S624" s="17"/>
      <c r="T624" s="17"/>
      <c r="U624" s="17"/>
      <c r="V624" s="17"/>
      <c r="W624" s="17"/>
      <c r="X624" s="17"/>
      <c r="Y624" s="17"/>
      <c r="Z624" s="17"/>
    </row>
    <row r="625">
      <c r="A625" s="18" t="str">
        <f>IFERROR(__xludf.DUMMYFUNCTION("""COMPUTED_VALUE"""),"ord_10616")</f>
        <v>ord_10616</v>
      </c>
      <c r="B625" s="18" t="str">
        <f>IFERROR(__xludf.DUMMYFUNCTION("""COMPUTED_VALUE"""),"Sakshi Tandon")</f>
        <v>Sakshi Tandon</v>
      </c>
      <c r="C625" s="18" t="str">
        <f>IFERROR(__xludf.DUMMYFUNCTION("""COMPUTED_VALUE"""),"Colaba")</f>
        <v>Colaba</v>
      </c>
      <c r="D625" s="18" t="str">
        <f>IFERROR(__xludf.DUMMYFUNCTION("""COMPUTED_VALUE"""),"Onion")</f>
        <v>Onion</v>
      </c>
      <c r="E625" s="18">
        <f>IFERROR(__xludf.DUMMYFUNCTION("""COMPUTED_VALUE"""),1.0)</f>
        <v>1</v>
      </c>
      <c r="F625" s="18" t="str">
        <f>IFERROR(__xludf.DUMMYFUNCTION("""COMPUTED_VALUE"""),"Nikhil Deshmukh")</f>
        <v>Nikhil Deshmukh</v>
      </c>
      <c r="G625" s="19">
        <f>IFERROR(__xludf.DUMMYFUNCTION("""COMPUTED_VALUE"""),45228.0)</f>
        <v>45228</v>
      </c>
      <c r="H625" s="18" t="str">
        <f>IFERROR(__xludf.DUMMYFUNCTION("""COMPUTED_VALUE"""),"Online Payment")</f>
        <v>Online Payment</v>
      </c>
      <c r="I625" s="18" t="str">
        <f>IFERROR(__xludf.DUMMYFUNCTION("""COMPUTED_VALUE"""),"Delivered")</f>
        <v>Delivered</v>
      </c>
      <c r="J625" s="18" t="str">
        <f>IFERROR(__xludf.DUMMYFUNCTION("""COMPUTED_VALUE"""),"Overall Satisfaction")</f>
        <v>Overall Satisfaction</v>
      </c>
      <c r="K625" s="18" t="str">
        <f>IFERROR(__xludf.DUMMYFUNCTION("""COMPUTED_VALUE"""),"Great service will order again")</f>
        <v>Great service will order again</v>
      </c>
      <c r="L625" s="18">
        <f>iferror(VLOOKUP($D625,Details!$A$2:$C$11,2,false),vlookup($D625,Details!$E$2:$G$11,2,false))</f>
        <v>84</v>
      </c>
      <c r="M625" s="18" t="str">
        <f>iferror(VLOOKUP($D625,Details!$A$2:$C$11,3,false),vlookup($D625,Details!$E$2:$G$11,3,false))</f>
        <v>Fruits and Vegetables</v>
      </c>
      <c r="N625" s="18">
        <f t="shared" si="1"/>
        <v>84</v>
      </c>
      <c r="O625" s="17"/>
      <c r="P625" s="17"/>
      <c r="Q625" s="17"/>
      <c r="R625" s="17"/>
      <c r="S625" s="17"/>
      <c r="T625" s="17"/>
      <c r="U625" s="17"/>
      <c r="V625" s="17"/>
      <c r="W625" s="17"/>
      <c r="X625" s="17"/>
      <c r="Y625" s="17"/>
      <c r="Z625" s="17"/>
    </row>
    <row r="626">
      <c r="A626" s="18" t="str">
        <f>IFERROR(__xludf.DUMMYFUNCTION("""COMPUTED_VALUE"""),"ord_10617")</f>
        <v>ord_10617</v>
      </c>
      <c r="B626" s="18" t="str">
        <f>IFERROR(__xludf.DUMMYFUNCTION("""COMPUTED_VALUE"""),"Aditi Iyer")</f>
        <v>Aditi Iyer</v>
      </c>
      <c r="C626" s="18" t="str">
        <f>IFERROR(__xludf.DUMMYFUNCTION("""COMPUTED_VALUE"""),"Dadar")</f>
        <v>Dadar</v>
      </c>
      <c r="D626" s="18" t="str">
        <f>IFERROR(__xludf.DUMMYFUNCTION("""COMPUTED_VALUE"""),"Papaya")</f>
        <v>Papaya</v>
      </c>
      <c r="E626" s="18">
        <f>IFERROR(__xludf.DUMMYFUNCTION("""COMPUTED_VALUE"""),1.0)</f>
        <v>1</v>
      </c>
      <c r="F626" s="18" t="str">
        <f>IFERROR(__xludf.DUMMYFUNCTION("""COMPUTED_VALUE"""),"Aman Kumar")</f>
        <v>Aman Kumar</v>
      </c>
      <c r="G626" s="19">
        <f>IFERROR(__xludf.DUMMYFUNCTION("""COMPUTED_VALUE"""),45241.0)</f>
        <v>45241</v>
      </c>
      <c r="H626" s="18" t="str">
        <f>IFERROR(__xludf.DUMMYFUNCTION("""COMPUTED_VALUE"""),"Online Payment")</f>
        <v>Online Payment</v>
      </c>
      <c r="I626" s="18" t="str">
        <f>IFERROR(__xludf.DUMMYFUNCTION("""COMPUTED_VALUE"""),"Delivered")</f>
        <v>Delivered</v>
      </c>
      <c r="J626" s="18" t="str">
        <f>IFERROR(__xludf.DUMMYFUNCTION("""COMPUTED_VALUE"""),"On-time Delivery")</f>
        <v>On-time Delivery</v>
      </c>
      <c r="K626" s="18" t="str">
        <f>IFERROR(__xludf.DUMMYFUNCTION("""COMPUTED_VALUE"""),"Delivered on time")</f>
        <v>Delivered on time</v>
      </c>
      <c r="L626" s="18">
        <f>iferror(VLOOKUP($D626,Details!$A$2:$C$11,2,false),vlookup($D626,Details!$E$2:$G$11,2,false))</f>
        <v>75</v>
      </c>
      <c r="M626" s="18" t="str">
        <f>iferror(VLOOKUP($D626,Details!$A$2:$C$11,3,false),vlookup($D626,Details!$E$2:$G$11,3,false))</f>
        <v>Fruits and Vegetables</v>
      </c>
      <c r="N626" s="18">
        <f t="shared" si="1"/>
        <v>75</v>
      </c>
      <c r="O626" s="17"/>
      <c r="P626" s="17"/>
      <c r="Q626" s="17"/>
      <c r="R626" s="17"/>
      <c r="S626" s="17"/>
      <c r="T626" s="17"/>
      <c r="U626" s="17"/>
      <c r="V626" s="17"/>
      <c r="W626" s="17"/>
      <c r="X626" s="17"/>
      <c r="Y626" s="17"/>
      <c r="Z626" s="17"/>
    </row>
    <row r="627">
      <c r="A627" s="18" t="str">
        <f>IFERROR(__xludf.DUMMYFUNCTION("""COMPUTED_VALUE"""),"ord_10618")</f>
        <v>ord_10618</v>
      </c>
      <c r="B627" s="18" t="str">
        <f>IFERROR(__xludf.DUMMYFUNCTION("""COMPUTED_VALUE"""),"Tanishq Bansal")</f>
        <v>Tanishq Bansal</v>
      </c>
      <c r="C627" s="18" t="str">
        <f>IFERROR(__xludf.DUMMYFUNCTION("""COMPUTED_VALUE"""),"Powai")</f>
        <v>Powai</v>
      </c>
      <c r="D627" s="18" t="str">
        <f>IFERROR(__xludf.DUMMYFUNCTION("""COMPUTED_VALUE"""),"Icecream")</f>
        <v>Icecream</v>
      </c>
      <c r="E627" s="18">
        <f>IFERROR(__xludf.DUMMYFUNCTION("""COMPUTED_VALUE"""),2.0)</f>
        <v>2</v>
      </c>
      <c r="F627" s="18" t="str">
        <f>IFERROR(__xludf.DUMMYFUNCTION("""COMPUTED_VALUE"""),"Manju Ajay")</f>
        <v>Manju Ajay</v>
      </c>
      <c r="G627" s="19">
        <f>IFERROR(__xludf.DUMMYFUNCTION("""COMPUTED_VALUE"""),44967.0)</f>
        <v>44967</v>
      </c>
      <c r="H627" s="18" t="str">
        <f>IFERROR(__xludf.DUMMYFUNCTION("""COMPUTED_VALUE"""),"COD")</f>
        <v>COD</v>
      </c>
      <c r="I627" s="18" t="str">
        <f>IFERROR(__xludf.DUMMYFUNCTION("""COMPUTED_VALUE"""),"Delivered")</f>
        <v>Delivered</v>
      </c>
      <c r="J627" s="18" t="str">
        <f>IFERROR(__xludf.DUMMYFUNCTION("""COMPUTED_VALUE"""),"Quality of Items")</f>
        <v>Quality of Items</v>
      </c>
      <c r="K627" s="18" t="str">
        <f>IFERROR(__xludf.DUMMYFUNCTION("""COMPUTED_VALUE"""),"Perfect condition")</f>
        <v>Perfect condition</v>
      </c>
      <c r="L627" s="18">
        <f>iferror(VLOOKUP($D627,Details!$A$2:$C$11,2,false),vlookup($D627,Details!$E$2:$G$11,2,false))</f>
        <v>90</v>
      </c>
      <c r="M627" s="18" t="str">
        <f>iferror(VLOOKUP($D627,Details!$A$2:$C$11,3,false),vlookup($D627,Details!$E$2:$G$11,3,false))</f>
        <v>Snacks and Drinks</v>
      </c>
      <c r="N627" s="18">
        <f t="shared" si="1"/>
        <v>180</v>
      </c>
      <c r="O627" s="17"/>
      <c r="P627" s="17"/>
      <c r="Q627" s="17"/>
      <c r="R627" s="17"/>
      <c r="S627" s="17"/>
      <c r="T627" s="17"/>
      <c r="U627" s="17"/>
      <c r="V627" s="17"/>
      <c r="W627" s="17"/>
      <c r="X627" s="17"/>
      <c r="Y627" s="17"/>
      <c r="Z627" s="17"/>
    </row>
    <row r="628">
      <c r="A628" s="18" t="str">
        <f>IFERROR(__xludf.DUMMYFUNCTION("""COMPUTED_VALUE"""),"ord_10619")</f>
        <v>ord_10619</v>
      </c>
      <c r="B628" s="18" t="str">
        <f>IFERROR(__xludf.DUMMYFUNCTION("""COMPUTED_VALUE"""),"Ishaan Chaturvedi")</f>
        <v>Ishaan Chaturvedi</v>
      </c>
      <c r="C628" s="18" t="str">
        <f>IFERROR(__xludf.DUMMYFUNCTION("""COMPUTED_VALUE"""),"Bandra")</f>
        <v>Bandra</v>
      </c>
      <c r="D628" s="18" t="str">
        <f>IFERROR(__xludf.DUMMYFUNCTION("""COMPUTED_VALUE"""),"Juice")</f>
        <v>Juice</v>
      </c>
      <c r="E628" s="18">
        <f>IFERROR(__xludf.DUMMYFUNCTION("""COMPUTED_VALUE"""),5.0)</f>
        <v>5</v>
      </c>
      <c r="F628" s="18" t="str">
        <f>IFERROR(__xludf.DUMMYFUNCTION("""COMPUTED_VALUE"""),"Venu R")</f>
        <v>Venu R</v>
      </c>
      <c r="G628" s="19">
        <f>IFERROR(__xludf.DUMMYFUNCTION("""COMPUTED_VALUE"""),45082.0)</f>
        <v>45082</v>
      </c>
      <c r="H628" s="18" t="str">
        <f>IFERROR(__xludf.DUMMYFUNCTION("""COMPUTED_VALUE"""),"Online Payment")</f>
        <v>Online Payment</v>
      </c>
      <c r="I628" s="18" t="str">
        <f>IFERROR(__xludf.DUMMYFUNCTION("""COMPUTED_VALUE"""),"Delivered")</f>
        <v>Delivered</v>
      </c>
      <c r="J628" s="18" t="str">
        <f>IFERROR(__xludf.DUMMYFUNCTION("""COMPUTED_VALUE"""),"On-time Delivery")</f>
        <v>On-time Delivery</v>
      </c>
      <c r="K628" s="18" t="str">
        <f>IFERROR(__xludf.DUMMYFUNCTION("""COMPUTED_VALUE"""),"Delivered on time")</f>
        <v>Delivered on time</v>
      </c>
      <c r="L628" s="18">
        <f>iferror(VLOOKUP($D628,Details!$A$2:$C$11,2,false),vlookup($D628,Details!$E$2:$G$11,2,false))</f>
        <v>90</v>
      </c>
      <c r="M628" s="18" t="str">
        <f>iferror(VLOOKUP($D628,Details!$A$2:$C$11,3,false),vlookup($D628,Details!$E$2:$G$11,3,false))</f>
        <v>Snacks and Drinks</v>
      </c>
      <c r="N628" s="18">
        <f t="shared" si="1"/>
        <v>450</v>
      </c>
      <c r="O628" s="17"/>
      <c r="P628" s="17"/>
      <c r="Q628" s="17"/>
      <c r="R628" s="17"/>
      <c r="S628" s="17"/>
      <c r="T628" s="17"/>
      <c r="U628" s="17"/>
      <c r="V628" s="17"/>
      <c r="W628" s="17"/>
      <c r="X628" s="17"/>
      <c r="Y628" s="17"/>
      <c r="Z628" s="17"/>
    </row>
    <row r="629">
      <c r="A629" s="18" t="str">
        <f>IFERROR(__xludf.DUMMYFUNCTION("""COMPUTED_VALUE"""),"ord_10620")</f>
        <v>ord_10620</v>
      </c>
      <c r="B629" s="18" t="str">
        <f>IFERROR(__xludf.DUMMYFUNCTION("""COMPUTED_VALUE"""),"Sakshi Tandon")</f>
        <v>Sakshi Tandon</v>
      </c>
      <c r="C629" s="18" t="str">
        <f>IFERROR(__xludf.DUMMYFUNCTION("""COMPUTED_VALUE"""),"Colaba")</f>
        <v>Colaba</v>
      </c>
      <c r="D629" s="18" t="str">
        <f>IFERROR(__xludf.DUMMYFUNCTION("""COMPUTED_VALUE"""),"Apple")</f>
        <v>Apple</v>
      </c>
      <c r="E629" s="18">
        <f>IFERROR(__xludf.DUMMYFUNCTION("""COMPUTED_VALUE"""),1.0)</f>
        <v>1</v>
      </c>
      <c r="F629" s="18" t="str">
        <f>IFERROR(__xludf.DUMMYFUNCTION("""COMPUTED_VALUE"""),"Vivek Kumar")</f>
        <v>Vivek Kumar</v>
      </c>
      <c r="G629" s="19">
        <f>IFERROR(__xludf.DUMMYFUNCTION("""COMPUTED_VALUE"""),45010.0)</f>
        <v>45010</v>
      </c>
      <c r="H629" s="18" t="str">
        <f>IFERROR(__xludf.DUMMYFUNCTION("""COMPUTED_VALUE"""),"UPI")</f>
        <v>UPI</v>
      </c>
      <c r="I629" s="18" t="str">
        <f>IFERROR(__xludf.DUMMYFUNCTION("""COMPUTED_VALUE"""),"Delivered")</f>
        <v>Delivered</v>
      </c>
      <c r="J629" s="18" t="str">
        <f>IFERROR(__xludf.DUMMYFUNCTION("""COMPUTED_VALUE"""),"Quality of Items")</f>
        <v>Quality of Items</v>
      </c>
      <c r="K629" s="18" t="str">
        <f>IFERROR(__xludf.DUMMYFUNCTION("""COMPUTED_VALUE"""),"Perfect condition")</f>
        <v>Perfect condition</v>
      </c>
      <c r="L629" s="18">
        <f>iferror(VLOOKUP($D629,Details!$A$2:$C$11,2,false),vlookup($D629,Details!$E$2:$G$11,2,false))</f>
        <v>230</v>
      </c>
      <c r="M629" s="18" t="str">
        <f>iferror(VLOOKUP($D629,Details!$A$2:$C$11,3,false),vlookup($D629,Details!$E$2:$G$11,3,false))</f>
        <v>Fruits and Vegetables</v>
      </c>
      <c r="N629" s="18">
        <f t="shared" si="1"/>
        <v>230</v>
      </c>
      <c r="O629" s="17"/>
      <c r="P629" s="17"/>
      <c r="Q629" s="17"/>
      <c r="R629" s="17"/>
      <c r="S629" s="17"/>
      <c r="T629" s="17"/>
      <c r="U629" s="17"/>
      <c r="V629" s="17"/>
      <c r="W629" s="17"/>
      <c r="X629" s="17"/>
      <c r="Y629" s="17"/>
      <c r="Z629" s="17"/>
    </row>
    <row r="630">
      <c r="A630" s="18" t="str">
        <f>IFERROR(__xludf.DUMMYFUNCTION("""COMPUTED_VALUE"""),"ord_10621")</f>
        <v>ord_10621</v>
      </c>
      <c r="B630" s="18" t="str">
        <f>IFERROR(__xludf.DUMMYFUNCTION("""COMPUTED_VALUE"""),"Aarav Mehta")</f>
        <v>Aarav Mehta</v>
      </c>
      <c r="C630" s="18" t="str">
        <f>IFERROR(__xludf.DUMMYFUNCTION("""COMPUTED_VALUE"""),"Andheri")</f>
        <v>Andheri</v>
      </c>
      <c r="D630" s="18" t="str">
        <f>IFERROR(__xludf.DUMMYFUNCTION("""COMPUTED_VALUE"""),"Rasmalai")</f>
        <v>Rasmalai</v>
      </c>
      <c r="E630" s="18">
        <f>IFERROR(__xludf.DUMMYFUNCTION("""COMPUTED_VALUE"""),2.0)</f>
        <v>2</v>
      </c>
      <c r="F630" s="18" t="str">
        <f>IFERROR(__xludf.DUMMYFUNCTION("""COMPUTED_VALUE"""),"Nithin Lal")</f>
        <v>Nithin Lal</v>
      </c>
      <c r="G630" s="19">
        <f>IFERROR(__xludf.DUMMYFUNCTION("""COMPUTED_VALUE"""),44962.0)</f>
        <v>44962</v>
      </c>
      <c r="H630" s="18" t="str">
        <f>IFERROR(__xludf.DUMMYFUNCTION("""COMPUTED_VALUE"""),"COD")</f>
        <v>COD</v>
      </c>
      <c r="I630" s="18" t="str">
        <f>IFERROR(__xludf.DUMMYFUNCTION("""COMPUTED_VALUE"""),"Delivered")</f>
        <v>Delivered</v>
      </c>
      <c r="J630" s="18" t="str">
        <f>IFERROR(__xludf.DUMMYFUNCTION("""COMPUTED_VALUE"""),"Packaging")</f>
        <v>Packaging</v>
      </c>
      <c r="K630" s="18" t="str">
        <f>IFERROR(__xludf.DUMMYFUNCTION("""COMPUTED_VALUE"""),"Secure and intact")</f>
        <v>Secure and intact</v>
      </c>
      <c r="L630" s="18">
        <f>iferror(VLOOKUP($D630,Details!$A$2:$C$11,2,false),vlookup($D630,Details!$E$2:$G$11,2,false))</f>
        <v>110</v>
      </c>
      <c r="M630" s="18" t="str">
        <f>iferror(VLOOKUP($D630,Details!$A$2:$C$11,3,false),vlookup($D630,Details!$E$2:$G$11,3,false))</f>
        <v>Snacks and Drinks</v>
      </c>
      <c r="N630" s="18">
        <f t="shared" si="1"/>
        <v>220</v>
      </c>
      <c r="O630" s="17"/>
      <c r="P630" s="17"/>
      <c r="Q630" s="17"/>
      <c r="R630" s="17"/>
      <c r="S630" s="17"/>
      <c r="T630" s="17"/>
      <c r="U630" s="17"/>
      <c r="V630" s="17"/>
      <c r="W630" s="17"/>
      <c r="X630" s="17"/>
      <c r="Y630" s="17"/>
      <c r="Z630" s="17"/>
    </row>
    <row r="631">
      <c r="A631" s="18" t="str">
        <f>IFERROR(__xludf.DUMMYFUNCTION("""COMPUTED_VALUE"""),"ord_10622")</f>
        <v>ord_10622</v>
      </c>
      <c r="B631" s="18" t="str">
        <f>IFERROR(__xludf.DUMMYFUNCTION("""COMPUTED_VALUE"""),"Siya Reddy")</f>
        <v>Siya Reddy</v>
      </c>
      <c r="C631" s="18" t="str">
        <f>IFERROR(__xludf.DUMMYFUNCTION("""COMPUTED_VALUE"""),"Juhu")</f>
        <v>Juhu</v>
      </c>
      <c r="D631" s="18" t="str">
        <f>IFERROR(__xludf.DUMMYFUNCTION("""COMPUTED_VALUE"""),"Tiramisu")</f>
        <v>Tiramisu</v>
      </c>
      <c r="E631" s="18">
        <f>IFERROR(__xludf.DUMMYFUNCTION("""COMPUTED_VALUE"""),2.0)</f>
        <v>2</v>
      </c>
      <c r="F631" s="18" t="str">
        <f>IFERROR(__xludf.DUMMYFUNCTION("""COMPUTED_VALUE"""),"Sita T")</f>
        <v>Sita T</v>
      </c>
      <c r="G631" s="19">
        <f>IFERROR(__xludf.DUMMYFUNCTION("""COMPUTED_VALUE"""),45062.0)</f>
        <v>45062</v>
      </c>
      <c r="H631" s="18" t="str">
        <f>IFERROR(__xludf.DUMMYFUNCTION("""COMPUTED_VALUE"""),"Credit Card")</f>
        <v>Credit Card</v>
      </c>
      <c r="I631" s="18" t="str">
        <f>IFERROR(__xludf.DUMMYFUNCTION("""COMPUTED_VALUE"""),"Delivered")</f>
        <v>Delivered</v>
      </c>
      <c r="J631" s="18" t="str">
        <f>IFERROR(__xludf.DUMMYFUNCTION("""COMPUTED_VALUE"""),"Satisfied with the Delivery")</f>
        <v>Satisfied with the Delivery</v>
      </c>
      <c r="K631" s="18" t="str">
        <f>IFERROR(__xludf.DUMMYFUNCTION("""COMPUTED_VALUE"""),"Timely and quality")</f>
        <v>Timely and quality</v>
      </c>
      <c r="L631" s="18">
        <f>iferror(VLOOKUP($D631,Details!$A$2:$C$11,2,false),vlookup($D631,Details!$E$2:$G$11,2,false))</f>
        <v>150</v>
      </c>
      <c r="M631" s="18" t="str">
        <f>iferror(VLOOKUP($D631,Details!$A$2:$C$11,3,false),vlookup($D631,Details!$E$2:$G$11,3,false))</f>
        <v>Snacks and Drinks</v>
      </c>
      <c r="N631" s="18">
        <f t="shared" si="1"/>
        <v>300</v>
      </c>
      <c r="O631" s="17"/>
      <c r="P631" s="17"/>
      <c r="Q631" s="17"/>
      <c r="R631" s="17"/>
      <c r="S631" s="17"/>
      <c r="T631" s="17"/>
      <c r="U631" s="17"/>
      <c r="V631" s="17"/>
      <c r="W631" s="17"/>
      <c r="X631" s="17"/>
      <c r="Y631" s="17"/>
      <c r="Z631" s="17"/>
    </row>
    <row r="632">
      <c r="A632" s="18" t="str">
        <f>IFERROR(__xludf.DUMMYFUNCTION("""COMPUTED_VALUE"""),"ord_10623")</f>
        <v>ord_10623</v>
      </c>
      <c r="B632" s="18" t="str">
        <f>IFERROR(__xludf.DUMMYFUNCTION("""COMPUTED_VALUE"""),"Tanishq Bansal")</f>
        <v>Tanishq Bansal</v>
      </c>
      <c r="C632" s="18" t="str">
        <f>IFERROR(__xludf.DUMMYFUNCTION("""COMPUTED_VALUE"""),"Powai")</f>
        <v>Powai</v>
      </c>
      <c r="D632" s="18" t="str">
        <f>IFERROR(__xludf.DUMMYFUNCTION("""COMPUTED_VALUE"""),"Papaya")</f>
        <v>Papaya</v>
      </c>
      <c r="E632" s="18">
        <f>IFERROR(__xludf.DUMMYFUNCTION("""COMPUTED_VALUE"""),1.0)</f>
        <v>1</v>
      </c>
      <c r="F632" s="18" t="str">
        <f>IFERROR(__xludf.DUMMYFUNCTION("""COMPUTED_VALUE"""),"Ramesh S")</f>
        <v>Ramesh S</v>
      </c>
      <c r="G632" s="19">
        <f>IFERROR(__xludf.DUMMYFUNCTION("""COMPUTED_VALUE"""),44980.0)</f>
        <v>44980</v>
      </c>
      <c r="H632" s="18" t="str">
        <f>IFERROR(__xludf.DUMMYFUNCTION("""COMPUTED_VALUE"""),"UPI")</f>
        <v>UPI</v>
      </c>
      <c r="I632" s="18" t="str">
        <f>IFERROR(__xludf.DUMMYFUNCTION("""COMPUTED_VALUE"""),"Delivered")</f>
        <v>Delivered</v>
      </c>
      <c r="J632" s="18" t="str">
        <f>IFERROR(__xludf.DUMMYFUNCTION("""COMPUTED_VALUE"""),"Customer Service")</f>
        <v>Customer Service</v>
      </c>
      <c r="K632" s="18" t="str">
        <f>IFERROR(__xludf.DUMMYFUNCTION("""COMPUTED_VALUE"""),"Seamless and easy")</f>
        <v>Seamless and easy</v>
      </c>
      <c r="L632" s="18">
        <f>iferror(VLOOKUP($D632,Details!$A$2:$C$11,2,false),vlookup($D632,Details!$E$2:$G$11,2,false))</f>
        <v>75</v>
      </c>
      <c r="M632" s="18" t="str">
        <f>iferror(VLOOKUP($D632,Details!$A$2:$C$11,3,false),vlookup($D632,Details!$E$2:$G$11,3,false))</f>
        <v>Fruits and Vegetables</v>
      </c>
      <c r="N632" s="18">
        <f t="shared" si="1"/>
        <v>75</v>
      </c>
      <c r="O632" s="17"/>
      <c r="P632" s="17"/>
      <c r="Q632" s="17"/>
      <c r="R632" s="17"/>
      <c r="S632" s="17"/>
      <c r="T632" s="17"/>
      <c r="U632" s="17"/>
      <c r="V632" s="17"/>
      <c r="W632" s="17"/>
      <c r="X632" s="17"/>
      <c r="Y632" s="17"/>
      <c r="Z632" s="17"/>
    </row>
    <row r="633">
      <c r="A633" s="18" t="str">
        <f>IFERROR(__xludf.DUMMYFUNCTION("""COMPUTED_VALUE"""),"ord_10624")</f>
        <v>ord_10624</v>
      </c>
      <c r="B633" s="18" t="str">
        <f>IFERROR(__xludf.DUMMYFUNCTION("""COMPUTED_VALUE"""),"Diya Arora")</f>
        <v>Diya Arora</v>
      </c>
      <c r="C633" s="18" t="str">
        <f>IFERROR(__xludf.DUMMYFUNCTION("""COMPUTED_VALUE"""),"Lower Parel")</f>
        <v>Lower Parel</v>
      </c>
      <c r="D633" s="18" t="str">
        <f>IFERROR(__xludf.DUMMYFUNCTION("""COMPUTED_VALUE"""),"Banana")</f>
        <v>Banana</v>
      </c>
      <c r="E633" s="18">
        <f>IFERROR(__xludf.DUMMYFUNCTION("""COMPUTED_VALUE"""),1.0)</f>
        <v>1</v>
      </c>
      <c r="F633" s="18" t="str">
        <f>IFERROR(__xludf.DUMMYFUNCTION("""COMPUTED_VALUE"""),"Venu R")</f>
        <v>Venu R</v>
      </c>
      <c r="G633" s="19">
        <f>IFERROR(__xludf.DUMMYFUNCTION("""COMPUTED_VALUE"""),44931.0)</f>
        <v>44931</v>
      </c>
      <c r="H633" s="18" t="str">
        <f>IFERROR(__xludf.DUMMYFUNCTION("""COMPUTED_VALUE"""),"Credit Card")</f>
        <v>Credit Card</v>
      </c>
      <c r="I633" s="18" t="str">
        <f>IFERROR(__xludf.DUMMYFUNCTION("""COMPUTED_VALUE"""),"Delivered")</f>
        <v>Delivered</v>
      </c>
      <c r="J633" s="18" t="str">
        <f>IFERROR(__xludf.DUMMYFUNCTION("""COMPUTED_VALUE"""),"Delivery Experience")</f>
        <v>Delivery Experience</v>
      </c>
      <c r="K633" s="18" t="str">
        <f>IFERROR(__xludf.DUMMYFUNCTION("""COMPUTED_VALUE"""),"Quick and professional")</f>
        <v>Quick and professional</v>
      </c>
      <c r="L633" s="18">
        <f>iferror(VLOOKUP($D633,Details!$A$2:$C$11,2,false),vlookup($D633,Details!$E$2:$G$11,2,false))</f>
        <v>80</v>
      </c>
      <c r="M633" s="18" t="str">
        <f>iferror(VLOOKUP($D633,Details!$A$2:$C$11,3,false),vlookup($D633,Details!$E$2:$G$11,3,false))</f>
        <v>Fruits and Vegetables</v>
      </c>
      <c r="N633" s="18">
        <f t="shared" si="1"/>
        <v>80</v>
      </c>
      <c r="O633" s="17"/>
      <c r="P633" s="17"/>
      <c r="Q633" s="17"/>
      <c r="R633" s="17"/>
      <c r="S633" s="17"/>
      <c r="T633" s="17"/>
      <c r="U633" s="17"/>
      <c r="V633" s="17"/>
      <c r="W633" s="17"/>
      <c r="X633" s="17"/>
      <c r="Y633" s="17"/>
      <c r="Z633" s="17"/>
    </row>
    <row r="634">
      <c r="A634" s="18" t="str">
        <f>IFERROR(__xludf.DUMMYFUNCTION("""COMPUTED_VALUE"""),"ord_10625")</f>
        <v>ord_10625</v>
      </c>
      <c r="B634" s="18" t="str">
        <f>IFERROR(__xludf.DUMMYFUNCTION("""COMPUTED_VALUE"""),"Omkar Mishra")</f>
        <v>Omkar Mishra</v>
      </c>
      <c r="C634" s="18" t="str">
        <f>IFERROR(__xludf.DUMMYFUNCTION("""COMPUTED_VALUE"""),"Powai")</f>
        <v>Powai</v>
      </c>
      <c r="D634" s="18" t="str">
        <f>IFERROR(__xludf.DUMMYFUNCTION("""COMPUTED_VALUE"""),"Cold Coffee")</f>
        <v>Cold Coffee</v>
      </c>
      <c r="E634" s="18">
        <f>IFERROR(__xludf.DUMMYFUNCTION("""COMPUTED_VALUE"""),4.0)</f>
        <v>4</v>
      </c>
      <c r="F634" s="18" t="str">
        <f>IFERROR(__xludf.DUMMYFUNCTION("""COMPUTED_VALUE"""),"Ram Gopal")</f>
        <v>Ram Gopal</v>
      </c>
      <c r="G634" s="19">
        <f>IFERROR(__xludf.DUMMYFUNCTION("""COMPUTED_VALUE"""),45112.0)</f>
        <v>45112</v>
      </c>
      <c r="H634" s="18" t="str">
        <f>IFERROR(__xludf.DUMMYFUNCTION("""COMPUTED_VALUE"""),"Online Payment")</f>
        <v>Online Payment</v>
      </c>
      <c r="I634" s="18" t="str">
        <f>IFERROR(__xludf.DUMMYFUNCTION("""COMPUTED_VALUE"""),"Delivered")</f>
        <v>Delivered</v>
      </c>
      <c r="J634" s="18" t="str">
        <f>IFERROR(__xludf.DUMMYFUNCTION("""COMPUTED_VALUE"""),"Convenience")</f>
        <v>Convenience</v>
      </c>
      <c r="K634" s="18" t="str">
        <f>IFERROR(__xludf.DUMMYFUNCTION("""COMPUTED_VALUE"""),"Easy tracking")</f>
        <v>Easy tracking</v>
      </c>
      <c r="L634" s="18">
        <f>iferror(VLOOKUP($D634,Details!$A$2:$C$11,2,false),vlookup($D634,Details!$E$2:$G$11,2,false))</f>
        <v>270</v>
      </c>
      <c r="M634" s="18" t="str">
        <f>iferror(VLOOKUP($D634,Details!$A$2:$C$11,3,false),vlookup($D634,Details!$E$2:$G$11,3,false))</f>
        <v>Snacks and Drinks</v>
      </c>
      <c r="N634" s="18">
        <f t="shared" si="1"/>
        <v>1080</v>
      </c>
      <c r="O634" s="17"/>
      <c r="P634" s="17"/>
      <c r="Q634" s="17"/>
      <c r="R634" s="17"/>
      <c r="S634" s="17"/>
      <c r="T634" s="17"/>
      <c r="U634" s="17"/>
      <c r="V634" s="17"/>
      <c r="W634" s="17"/>
      <c r="X634" s="17"/>
      <c r="Y634" s="17"/>
      <c r="Z634" s="17"/>
    </row>
    <row r="635">
      <c r="A635" s="18" t="str">
        <f>IFERROR(__xludf.DUMMYFUNCTION("""COMPUTED_VALUE"""),"ord_10626")</f>
        <v>ord_10626</v>
      </c>
      <c r="B635" s="18" t="str">
        <f>IFERROR(__xludf.DUMMYFUNCTION("""COMPUTED_VALUE"""),"Aarohi Kapoor")</f>
        <v>Aarohi Kapoor</v>
      </c>
      <c r="C635" s="18" t="str">
        <f>IFERROR(__xludf.DUMMYFUNCTION("""COMPUTED_VALUE"""),"Bandra")</f>
        <v>Bandra</v>
      </c>
      <c r="D635" s="18" t="str">
        <f>IFERROR(__xludf.DUMMYFUNCTION("""COMPUTED_VALUE"""),"Popcorn")</f>
        <v>Popcorn</v>
      </c>
      <c r="E635" s="18">
        <f>IFERROR(__xludf.DUMMYFUNCTION("""COMPUTED_VALUE"""),5.0)</f>
        <v>5</v>
      </c>
      <c r="F635" s="18" t="str">
        <f>IFERROR(__xludf.DUMMYFUNCTION("""COMPUTED_VALUE"""),"Venu R")</f>
        <v>Venu R</v>
      </c>
      <c r="G635" s="19">
        <f>IFERROR(__xludf.DUMMYFUNCTION("""COMPUTED_VALUE"""),45217.0)</f>
        <v>45217</v>
      </c>
      <c r="H635" s="18" t="str">
        <f>IFERROR(__xludf.DUMMYFUNCTION("""COMPUTED_VALUE"""),"Credit Card")</f>
        <v>Credit Card</v>
      </c>
      <c r="I635" s="18" t="str">
        <f>IFERROR(__xludf.DUMMYFUNCTION("""COMPUTED_VALUE"""),"Delivered")</f>
        <v>Delivered</v>
      </c>
      <c r="J635" s="18" t="str">
        <f>IFERROR(__xludf.DUMMYFUNCTION("""COMPUTED_VALUE"""),"Overall Satisfaction")</f>
        <v>Overall Satisfaction</v>
      </c>
      <c r="K635" s="18" t="str">
        <f>IFERROR(__xludf.DUMMYFUNCTION("""COMPUTED_VALUE"""),"Great service will order again")</f>
        <v>Great service will order again</v>
      </c>
      <c r="L635" s="18">
        <f>iferror(VLOOKUP($D635,Details!$A$2:$C$11,2,false),vlookup($D635,Details!$E$2:$G$11,2,false))</f>
        <v>150</v>
      </c>
      <c r="M635" s="18" t="str">
        <f>iferror(VLOOKUP($D635,Details!$A$2:$C$11,3,false),vlookup($D635,Details!$E$2:$G$11,3,false))</f>
        <v>Snacks and Drinks</v>
      </c>
      <c r="N635" s="18">
        <f t="shared" si="1"/>
        <v>750</v>
      </c>
      <c r="O635" s="17"/>
      <c r="P635" s="17"/>
      <c r="Q635" s="17"/>
      <c r="R635" s="17"/>
      <c r="S635" s="17"/>
      <c r="T635" s="17"/>
      <c r="U635" s="17"/>
      <c r="V635" s="17"/>
      <c r="W635" s="17"/>
      <c r="X635" s="17"/>
      <c r="Y635" s="17"/>
      <c r="Z635" s="17"/>
    </row>
    <row r="636">
      <c r="A636" s="18" t="str">
        <f>IFERROR(__xludf.DUMMYFUNCTION("""COMPUTED_VALUE"""),"ord_10627")</f>
        <v>ord_10627</v>
      </c>
      <c r="B636" s="18" t="str">
        <f>IFERROR(__xludf.DUMMYFUNCTION("""COMPUTED_VALUE"""),"Anaya Rao")</f>
        <v>Anaya Rao</v>
      </c>
      <c r="C636" s="18" t="str">
        <f>IFERROR(__xludf.DUMMYFUNCTION("""COMPUTED_VALUE"""),"Malad")</f>
        <v>Malad</v>
      </c>
      <c r="D636" s="18" t="str">
        <f>IFERROR(__xludf.DUMMYFUNCTION("""COMPUTED_VALUE"""),"Chilli Cheese Toast")</f>
        <v>Chilli Cheese Toast</v>
      </c>
      <c r="E636" s="18">
        <f>IFERROR(__xludf.DUMMYFUNCTION("""COMPUTED_VALUE"""),2.0)</f>
        <v>2</v>
      </c>
      <c r="F636" s="18" t="str">
        <f>IFERROR(__xludf.DUMMYFUNCTION("""COMPUTED_VALUE"""),"Vivek Kumar")</f>
        <v>Vivek Kumar</v>
      </c>
      <c r="G636" s="19">
        <f>IFERROR(__xludf.DUMMYFUNCTION("""COMPUTED_VALUE"""),45176.0)</f>
        <v>45176</v>
      </c>
      <c r="H636" s="18" t="str">
        <f>IFERROR(__xludf.DUMMYFUNCTION("""COMPUTED_VALUE"""),"Credit Card")</f>
        <v>Credit Card</v>
      </c>
      <c r="I636" s="18" t="str">
        <f>IFERROR(__xludf.DUMMYFUNCTION("""COMPUTED_VALUE"""),"Delivered")</f>
        <v>Delivered</v>
      </c>
      <c r="J636" s="18" t="str">
        <f>IFERROR(__xludf.DUMMYFUNCTION("""COMPUTED_VALUE"""),"On-time Delivery")</f>
        <v>On-time Delivery</v>
      </c>
      <c r="K636" s="18" t="str">
        <f>IFERROR(__xludf.DUMMYFUNCTION("""COMPUTED_VALUE"""),"Delivered on time")</f>
        <v>Delivered on time</v>
      </c>
      <c r="L636" s="18">
        <f>iferror(VLOOKUP($D636,Details!$A$2:$C$11,2,false),vlookup($D636,Details!$E$2:$G$11,2,false))</f>
        <v>80</v>
      </c>
      <c r="M636" s="18" t="str">
        <f>iferror(VLOOKUP($D636,Details!$A$2:$C$11,3,false),vlookup($D636,Details!$E$2:$G$11,3,false))</f>
        <v>Snacks and Drinks</v>
      </c>
      <c r="N636" s="18">
        <f t="shared" si="1"/>
        <v>160</v>
      </c>
      <c r="O636" s="17"/>
      <c r="P636" s="17"/>
      <c r="Q636" s="17"/>
      <c r="R636" s="17"/>
      <c r="S636" s="17"/>
      <c r="T636" s="17"/>
      <c r="U636" s="17"/>
      <c r="V636" s="17"/>
      <c r="W636" s="17"/>
      <c r="X636" s="17"/>
      <c r="Y636" s="17"/>
      <c r="Z636" s="17"/>
    </row>
    <row r="637">
      <c r="A637" s="18" t="str">
        <f>IFERROR(__xludf.DUMMYFUNCTION("""COMPUTED_VALUE"""),"ord_10628")</f>
        <v>ord_10628</v>
      </c>
      <c r="B637" s="18" t="str">
        <f>IFERROR(__xludf.DUMMYFUNCTION("""COMPUTED_VALUE"""),"Aditya Rao")</f>
        <v>Aditya Rao</v>
      </c>
      <c r="C637" s="18" t="str">
        <f>IFERROR(__xludf.DUMMYFUNCTION("""COMPUTED_VALUE"""),"Lower Parel")</f>
        <v>Lower Parel</v>
      </c>
      <c r="D637" s="18" t="str">
        <f>IFERROR(__xludf.DUMMYFUNCTION("""COMPUTED_VALUE"""),"Rasmalai")</f>
        <v>Rasmalai</v>
      </c>
      <c r="E637" s="18">
        <f>IFERROR(__xludf.DUMMYFUNCTION("""COMPUTED_VALUE"""),2.0)</f>
        <v>2</v>
      </c>
      <c r="F637" s="18" t="str">
        <f>IFERROR(__xludf.DUMMYFUNCTION("""COMPUTED_VALUE"""),"Shine Thomas")</f>
        <v>Shine Thomas</v>
      </c>
      <c r="G637" s="19">
        <f>IFERROR(__xludf.DUMMYFUNCTION("""COMPUTED_VALUE"""),44974.0)</f>
        <v>44974</v>
      </c>
      <c r="H637" s="18" t="str">
        <f>IFERROR(__xludf.DUMMYFUNCTION("""COMPUTED_VALUE"""),"Online Payment")</f>
        <v>Online Payment</v>
      </c>
      <c r="I637" s="18" t="str">
        <f>IFERROR(__xludf.DUMMYFUNCTION("""COMPUTED_VALUE"""),"Delivered")</f>
        <v>Delivered</v>
      </c>
      <c r="J637" s="18" t="str">
        <f>IFERROR(__xludf.DUMMYFUNCTION("""COMPUTED_VALUE"""),"Quality of Items")</f>
        <v>Quality of Items</v>
      </c>
      <c r="K637" s="18" t="str">
        <f>IFERROR(__xludf.DUMMYFUNCTION("""COMPUTED_VALUE"""),"Perfect condition")</f>
        <v>Perfect condition</v>
      </c>
      <c r="L637" s="18">
        <f>iferror(VLOOKUP($D637,Details!$A$2:$C$11,2,false),vlookup($D637,Details!$E$2:$G$11,2,false))</f>
        <v>110</v>
      </c>
      <c r="M637" s="18" t="str">
        <f>iferror(VLOOKUP($D637,Details!$A$2:$C$11,3,false),vlookup($D637,Details!$E$2:$G$11,3,false))</f>
        <v>Snacks and Drinks</v>
      </c>
      <c r="N637" s="18">
        <f t="shared" si="1"/>
        <v>220</v>
      </c>
      <c r="O637" s="17"/>
      <c r="P637" s="17"/>
      <c r="Q637" s="17"/>
      <c r="R637" s="17"/>
      <c r="S637" s="17"/>
      <c r="T637" s="17"/>
      <c r="U637" s="17"/>
      <c r="V637" s="17"/>
      <c r="W637" s="17"/>
      <c r="X637" s="17"/>
      <c r="Y637" s="17"/>
      <c r="Z637" s="17"/>
    </row>
    <row r="638">
      <c r="A638" s="18" t="str">
        <f>IFERROR(__xludf.DUMMYFUNCTION("""COMPUTED_VALUE"""),"ord_10629")</f>
        <v>ord_10629</v>
      </c>
      <c r="B638" s="18" t="str">
        <f>IFERROR(__xludf.DUMMYFUNCTION("""COMPUTED_VALUE"""),"Sakshi Tandon")</f>
        <v>Sakshi Tandon</v>
      </c>
      <c r="C638" s="18" t="str">
        <f>IFERROR(__xludf.DUMMYFUNCTION("""COMPUTED_VALUE"""),"Colaba")</f>
        <v>Colaba</v>
      </c>
      <c r="D638" s="18" t="str">
        <f>IFERROR(__xludf.DUMMYFUNCTION("""COMPUTED_VALUE"""),"Rasmalai")</f>
        <v>Rasmalai</v>
      </c>
      <c r="E638" s="18">
        <f>IFERROR(__xludf.DUMMYFUNCTION("""COMPUTED_VALUE"""),2.0)</f>
        <v>2</v>
      </c>
      <c r="F638" s="18" t="str">
        <f>IFERROR(__xludf.DUMMYFUNCTION("""COMPUTED_VALUE"""),"Ram Gopal")</f>
        <v>Ram Gopal</v>
      </c>
      <c r="G638" s="19">
        <f>IFERROR(__xludf.DUMMYFUNCTION("""COMPUTED_VALUE"""),45225.0)</f>
        <v>45225</v>
      </c>
      <c r="H638" s="18" t="str">
        <f>IFERROR(__xludf.DUMMYFUNCTION("""COMPUTED_VALUE"""),"Credit Card")</f>
        <v>Credit Card</v>
      </c>
      <c r="I638" s="18" t="str">
        <f>IFERROR(__xludf.DUMMYFUNCTION("""COMPUTED_VALUE"""),"Delivered")</f>
        <v>Delivered</v>
      </c>
      <c r="J638" s="18" t="str">
        <f>IFERROR(__xludf.DUMMYFUNCTION("""COMPUTED_VALUE"""),"On-time Delivery")</f>
        <v>On-time Delivery</v>
      </c>
      <c r="K638" s="18" t="str">
        <f>IFERROR(__xludf.DUMMYFUNCTION("""COMPUTED_VALUE"""),"Delivered on time")</f>
        <v>Delivered on time</v>
      </c>
      <c r="L638" s="18">
        <f>iferror(VLOOKUP($D638,Details!$A$2:$C$11,2,false),vlookup($D638,Details!$E$2:$G$11,2,false))</f>
        <v>110</v>
      </c>
      <c r="M638" s="18" t="str">
        <f>iferror(VLOOKUP($D638,Details!$A$2:$C$11,3,false),vlookup($D638,Details!$E$2:$G$11,3,false))</f>
        <v>Snacks and Drinks</v>
      </c>
      <c r="N638" s="18">
        <f t="shared" si="1"/>
        <v>220</v>
      </c>
      <c r="O638" s="17"/>
      <c r="P638" s="17"/>
      <c r="Q638" s="17"/>
      <c r="R638" s="17"/>
      <c r="S638" s="17"/>
      <c r="T638" s="17"/>
      <c r="U638" s="17"/>
      <c r="V638" s="17"/>
      <c r="W638" s="17"/>
      <c r="X638" s="17"/>
      <c r="Y638" s="17"/>
      <c r="Z638" s="17"/>
    </row>
    <row r="639">
      <c r="A639" s="18" t="str">
        <f>IFERROR(__xludf.DUMMYFUNCTION("""COMPUTED_VALUE"""),"ord_10630")</f>
        <v>ord_10630</v>
      </c>
      <c r="B639" s="18" t="str">
        <f>IFERROR(__xludf.DUMMYFUNCTION("""COMPUTED_VALUE"""),"Ishita Banerjee")</f>
        <v>Ishita Banerjee</v>
      </c>
      <c r="C639" s="18" t="str">
        <f>IFERROR(__xludf.DUMMYFUNCTION("""COMPUTED_VALUE"""),"Juhu")</f>
        <v>Juhu</v>
      </c>
      <c r="D639" s="18" t="str">
        <f>IFERROR(__xludf.DUMMYFUNCTION("""COMPUTED_VALUE"""),"Tomato")</f>
        <v>Tomato</v>
      </c>
      <c r="E639" s="18">
        <f>IFERROR(__xludf.DUMMYFUNCTION("""COMPUTED_VALUE"""),2.0)</f>
        <v>2</v>
      </c>
      <c r="F639" s="18" t="str">
        <f>IFERROR(__xludf.DUMMYFUNCTION("""COMPUTED_VALUE"""),"Not Assigned")</f>
        <v>Not Assigned</v>
      </c>
      <c r="G639" s="19">
        <f>IFERROR(__xludf.DUMMYFUNCTION("""COMPUTED_VALUE"""),44937.0)</f>
        <v>44937</v>
      </c>
      <c r="H639" s="18" t="str">
        <f>IFERROR(__xludf.DUMMYFUNCTION("""COMPUTED_VALUE"""),"Credit Card")</f>
        <v>Credit Card</v>
      </c>
      <c r="I639" s="18" t="str">
        <f>IFERROR(__xludf.DUMMYFUNCTION("""COMPUTED_VALUE"""),"Cancelled")</f>
        <v>Cancelled</v>
      </c>
      <c r="J639" s="18" t="str">
        <f>IFERROR(__xludf.DUMMYFUNCTION("""COMPUTED_VALUE"""),"Payment Issues")</f>
        <v>Payment Issues</v>
      </c>
      <c r="K639" s="18"/>
      <c r="L639" s="18">
        <f>iferror(VLOOKUP($D639,Details!$A$2:$C$11,2,false),vlookup($D639,Details!$E$2:$G$11,2,false))</f>
        <v>25</v>
      </c>
      <c r="M639" s="18" t="str">
        <f>iferror(VLOOKUP($D639,Details!$A$2:$C$11,3,false),vlookup($D639,Details!$E$2:$G$11,3,false))</f>
        <v>Fruits and Vegetables</v>
      </c>
      <c r="N639" s="18">
        <f t="shared" si="1"/>
        <v>50</v>
      </c>
      <c r="O639" s="17"/>
      <c r="P639" s="17"/>
      <c r="Q639" s="17"/>
      <c r="R639" s="17"/>
      <c r="S639" s="17"/>
      <c r="T639" s="17"/>
      <c r="U639" s="17"/>
      <c r="V639" s="17"/>
      <c r="W639" s="17"/>
      <c r="X639" s="17"/>
      <c r="Y639" s="17"/>
      <c r="Z639" s="17"/>
    </row>
    <row r="640">
      <c r="A640" s="18" t="str">
        <f>IFERROR(__xludf.DUMMYFUNCTION("""COMPUTED_VALUE"""),"ord_10631")</f>
        <v>ord_10631</v>
      </c>
      <c r="B640" s="18" t="str">
        <f>IFERROR(__xludf.DUMMYFUNCTION("""COMPUTED_VALUE"""),"Anaya Rao")</f>
        <v>Anaya Rao</v>
      </c>
      <c r="C640" s="18" t="str">
        <f>IFERROR(__xludf.DUMMYFUNCTION("""COMPUTED_VALUE"""),"Colaba")</f>
        <v>Colaba</v>
      </c>
      <c r="D640" s="18" t="str">
        <f>IFERROR(__xludf.DUMMYFUNCTION("""COMPUTED_VALUE"""),"Potato")</f>
        <v>Potato</v>
      </c>
      <c r="E640" s="18">
        <f>IFERROR(__xludf.DUMMYFUNCTION("""COMPUTED_VALUE"""),1.0)</f>
        <v>1</v>
      </c>
      <c r="F640" s="18" t="str">
        <f>IFERROR(__xludf.DUMMYFUNCTION("""COMPUTED_VALUE"""),"Ramesh S")</f>
        <v>Ramesh S</v>
      </c>
      <c r="G640" s="19">
        <f>IFERROR(__xludf.DUMMYFUNCTION("""COMPUTED_VALUE"""),45197.0)</f>
        <v>45197</v>
      </c>
      <c r="H640" s="18" t="str">
        <f>IFERROR(__xludf.DUMMYFUNCTION("""COMPUTED_VALUE"""),"Credit Card")</f>
        <v>Credit Card</v>
      </c>
      <c r="I640" s="18" t="str">
        <f>IFERROR(__xludf.DUMMYFUNCTION("""COMPUTED_VALUE"""),"Delivered")</f>
        <v>Delivered</v>
      </c>
      <c r="J640" s="18" t="str">
        <f>IFERROR(__xludf.DUMMYFUNCTION("""COMPUTED_VALUE"""),"Quality of Items")</f>
        <v>Quality of Items</v>
      </c>
      <c r="K640" s="18" t="str">
        <f>IFERROR(__xludf.DUMMYFUNCTION("""COMPUTED_VALUE"""),"Perfect condition")</f>
        <v>Perfect condition</v>
      </c>
      <c r="L640" s="18">
        <f>iferror(VLOOKUP($D640,Details!$A$2:$C$11,2,false),vlookup($D640,Details!$E$2:$G$11,2,false))</f>
        <v>55</v>
      </c>
      <c r="M640" s="18" t="str">
        <f>iferror(VLOOKUP($D640,Details!$A$2:$C$11,3,false),vlookup($D640,Details!$E$2:$G$11,3,false))</f>
        <v>Fruits and Vegetables</v>
      </c>
      <c r="N640" s="18">
        <f t="shared" si="1"/>
        <v>55</v>
      </c>
      <c r="O640" s="17"/>
      <c r="P640" s="17"/>
      <c r="Q640" s="17"/>
      <c r="R640" s="17"/>
      <c r="S640" s="17"/>
      <c r="T640" s="17"/>
      <c r="U640" s="17"/>
      <c r="V640" s="17"/>
      <c r="W640" s="17"/>
      <c r="X640" s="17"/>
      <c r="Y640" s="17"/>
      <c r="Z640" s="17"/>
    </row>
    <row r="641">
      <c r="A641" s="18" t="str">
        <f>IFERROR(__xludf.DUMMYFUNCTION("""COMPUTED_VALUE"""),"ord_10632")</f>
        <v>ord_10632</v>
      </c>
      <c r="B641" s="18" t="str">
        <f>IFERROR(__xludf.DUMMYFUNCTION("""COMPUTED_VALUE"""),"Pranav Joshi")</f>
        <v>Pranav Joshi</v>
      </c>
      <c r="C641" s="18" t="str">
        <f>IFERROR(__xludf.DUMMYFUNCTION("""COMPUTED_VALUE"""),"Andheri")</f>
        <v>Andheri</v>
      </c>
      <c r="D641" s="18" t="str">
        <f>IFERROR(__xludf.DUMMYFUNCTION("""COMPUTED_VALUE"""),"Cucumber")</f>
        <v>Cucumber</v>
      </c>
      <c r="E641" s="18">
        <f>IFERROR(__xludf.DUMMYFUNCTION("""COMPUTED_VALUE"""),2.0)</f>
        <v>2</v>
      </c>
      <c r="F641" s="18" t="str">
        <f>IFERROR(__xludf.DUMMYFUNCTION("""COMPUTED_VALUE"""),"Nithin Lal")</f>
        <v>Nithin Lal</v>
      </c>
      <c r="G641" s="19">
        <f>IFERROR(__xludf.DUMMYFUNCTION("""COMPUTED_VALUE"""),44989.0)</f>
        <v>44989</v>
      </c>
      <c r="H641" s="18" t="str">
        <f>IFERROR(__xludf.DUMMYFUNCTION("""COMPUTED_VALUE"""),"Credit Card")</f>
        <v>Credit Card</v>
      </c>
      <c r="I641" s="18" t="str">
        <f>IFERROR(__xludf.DUMMYFUNCTION("""COMPUTED_VALUE"""),"Delivered")</f>
        <v>Delivered</v>
      </c>
      <c r="J641" s="18" t="str">
        <f>IFERROR(__xludf.DUMMYFUNCTION("""COMPUTED_VALUE"""),"Packaging")</f>
        <v>Packaging</v>
      </c>
      <c r="K641" s="18" t="str">
        <f>IFERROR(__xludf.DUMMYFUNCTION("""COMPUTED_VALUE"""),"Secure and intact")</f>
        <v>Secure and intact</v>
      </c>
      <c r="L641" s="18">
        <f>iferror(VLOOKUP($D641,Details!$A$2:$C$11,2,false),vlookup($D641,Details!$E$2:$G$11,2,false))</f>
        <v>30</v>
      </c>
      <c r="M641" s="18" t="str">
        <f>iferror(VLOOKUP($D641,Details!$A$2:$C$11,3,false),vlookup($D641,Details!$E$2:$G$11,3,false))</f>
        <v>Fruits and Vegetables</v>
      </c>
      <c r="N641" s="18">
        <f t="shared" si="1"/>
        <v>60</v>
      </c>
      <c r="O641" s="17"/>
      <c r="P641" s="17"/>
      <c r="Q641" s="17"/>
      <c r="R641" s="17"/>
      <c r="S641" s="17"/>
      <c r="T641" s="17"/>
      <c r="U641" s="17"/>
      <c r="V641" s="17"/>
      <c r="W641" s="17"/>
      <c r="X641" s="17"/>
      <c r="Y641" s="17"/>
      <c r="Z641" s="17"/>
    </row>
    <row r="642">
      <c r="A642" s="18" t="str">
        <f>IFERROR(__xludf.DUMMYFUNCTION("""COMPUTED_VALUE"""),"ord_10633")</f>
        <v>ord_10633</v>
      </c>
      <c r="B642" s="18" t="str">
        <f>IFERROR(__xludf.DUMMYFUNCTION("""COMPUTED_VALUE"""),"Arvind Kulkarni")</f>
        <v>Arvind Kulkarni</v>
      </c>
      <c r="C642" s="18" t="str">
        <f>IFERROR(__xludf.DUMMYFUNCTION("""COMPUTED_VALUE"""),"Juhu")</f>
        <v>Juhu</v>
      </c>
      <c r="D642" s="18" t="str">
        <f>IFERROR(__xludf.DUMMYFUNCTION("""COMPUTED_VALUE"""),"Potato")</f>
        <v>Potato</v>
      </c>
      <c r="E642" s="18">
        <f>IFERROR(__xludf.DUMMYFUNCTION("""COMPUTED_VALUE"""),2.0)</f>
        <v>2</v>
      </c>
      <c r="F642" s="18" t="str">
        <f>IFERROR(__xludf.DUMMYFUNCTION("""COMPUTED_VALUE"""),"Not Assigned")</f>
        <v>Not Assigned</v>
      </c>
      <c r="G642" s="19">
        <f>IFERROR(__xludf.DUMMYFUNCTION("""COMPUTED_VALUE"""),45260.0)</f>
        <v>45260</v>
      </c>
      <c r="H642" s="18" t="str">
        <f>IFERROR(__xludf.DUMMYFUNCTION("""COMPUTED_VALUE"""),"UPI")</f>
        <v>UPI</v>
      </c>
      <c r="I642" s="18" t="str">
        <f>IFERROR(__xludf.DUMMYFUNCTION("""COMPUTED_VALUE"""),"Cancelled")</f>
        <v>Cancelled</v>
      </c>
      <c r="J642" s="18" t="str">
        <f>IFERROR(__xludf.DUMMYFUNCTION("""COMPUTED_VALUE"""),"App Glitches")</f>
        <v>App Glitches</v>
      </c>
      <c r="K642" s="18" t="str">
        <f>IFERROR(__xludf.DUMMYFUNCTION("""COMPUTED_VALUE"""),"Slow Loading Time")</f>
        <v>Slow Loading Time</v>
      </c>
      <c r="L642" s="18">
        <f>iferror(VLOOKUP($D642,Details!$A$2:$C$11,2,false),vlookup($D642,Details!$E$2:$G$11,2,false))</f>
        <v>55</v>
      </c>
      <c r="M642" s="18" t="str">
        <f>iferror(VLOOKUP($D642,Details!$A$2:$C$11,3,false),vlookup($D642,Details!$E$2:$G$11,3,false))</f>
        <v>Fruits and Vegetables</v>
      </c>
      <c r="N642" s="18">
        <f t="shared" si="1"/>
        <v>110</v>
      </c>
      <c r="O642" s="17"/>
      <c r="P642" s="17"/>
      <c r="Q642" s="17"/>
      <c r="R642" s="17"/>
      <c r="S642" s="17"/>
      <c r="T642" s="17"/>
      <c r="U642" s="17"/>
      <c r="V642" s="17"/>
      <c r="W642" s="17"/>
      <c r="X642" s="17"/>
      <c r="Y642" s="17"/>
      <c r="Z642" s="17"/>
    </row>
    <row r="643">
      <c r="A643" s="18" t="str">
        <f>IFERROR(__xludf.DUMMYFUNCTION("""COMPUTED_VALUE"""),"ord_10634")</f>
        <v>ord_10634</v>
      </c>
      <c r="B643" s="18" t="str">
        <f>IFERROR(__xludf.DUMMYFUNCTION("""COMPUTED_VALUE"""),"Arvind Kulkarni")</f>
        <v>Arvind Kulkarni</v>
      </c>
      <c r="C643" s="18" t="str">
        <f>IFERROR(__xludf.DUMMYFUNCTION("""COMPUTED_VALUE"""),"Juhu")</f>
        <v>Juhu</v>
      </c>
      <c r="D643" s="18" t="str">
        <f>IFERROR(__xludf.DUMMYFUNCTION("""COMPUTED_VALUE"""),"Onion")</f>
        <v>Onion</v>
      </c>
      <c r="E643" s="18">
        <f>IFERROR(__xludf.DUMMYFUNCTION("""COMPUTED_VALUE"""),2.0)</f>
        <v>2</v>
      </c>
      <c r="F643" s="18" t="str">
        <f>IFERROR(__xludf.DUMMYFUNCTION("""COMPUTED_VALUE"""),"Not Assigned")</f>
        <v>Not Assigned</v>
      </c>
      <c r="G643" s="19">
        <f>IFERROR(__xludf.DUMMYFUNCTION("""COMPUTED_VALUE"""),44998.0)</f>
        <v>44998</v>
      </c>
      <c r="H643" s="18" t="str">
        <f>IFERROR(__xludf.DUMMYFUNCTION("""COMPUTED_VALUE"""),"Online Payment")</f>
        <v>Online Payment</v>
      </c>
      <c r="I643" s="18" t="str">
        <f>IFERROR(__xludf.DUMMYFUNCTION("""COMPUTED_VALUE"""),"Cancelled")</f>
        <v>Cancelled</v>
      </c>
      <c r="J643" s="18" t="str">
        <f>IFERROR(__xludf.DUMMYFUNCTION("""COMPUTED_VALUE"""),"App Glitches")</f>
        <v>App Glitches</v>
      </c>
      <c r="K643" s="18" t="str">
        <f>IFERROR(__xludf.DUMMYFUNCTION("""COMPUTED_VALUE"""),"Slow Loading Time")</f>
        <v>Slow Loading Time</v>
      </c>
      <c r="L643" s="18">
        <f>iferror(VLOOKUP($D643,Details!$A$2:$C$11,2,false),vlookup($D643,Details!$E$2:$G$11,2,false))</f>
        <v>84</v>
      </c>
      <c r="M643" s="18" t="str">
        <f>iferror(VLOOKUP($D643,Details!$A$2:$C$11,3,false),vlookup($D643,Details!$E$2:$G$11,3,false))</f>
        <v>Fruits and Vegetables</v>
      </c>
      <c r="N643" s="18">
        <f t="shared" si="1"/>
        <v>168</v>
      </c>
      <c r="O643" s="17"/>
      <c r="P643" s="17"/>
      <c r="Q643" s="17"/>
      <c r="R643" s="17"/>
      <c r="S643" s="17"/>
      <c r="T643" s="17"/>
      <c r="U643" s="17"/>
      <c r="V643" s="17"/>
      <c r="W643" s="17"/>
      <c r="X643" s="17"/>
      <c r="Y643" s="17"/>
      <c r="Z643" s="17"/>
    </row>
    <row r="644">
      <c r="A644" s="18" t="str">
        <f>IFERROR(__xludf.DUMMYFUNCTION("""COMPUTED_VALUE"""),"ord_10635")</f>
        <v>ord_10635</v>
      </c>
      <c r="B644" s="18" t="str">
        <f>IFERROR(__xludf.DUMMYFUNCTION("""COMPUTED_VALUE"""),"Parth Goel")</f>
        <v>Parth Goel</v>
      </c>
      <c r="C644" s="18" t="str">
        <f>IFERROR(__xludf.DUMMYFUNCTION("""COMPUTED_VALUE"""),"Juhu")</f>
        <v>Juhu</v>
      </c>
      <c r="D644" s="18" t="str">
        <f>IFERROR(__xludf.DUMMYFUNCTION("""COMPUTED_VALUE"""),"Potato")</f>
        <v>Potato</v>
      </c>
      <c r="E644" s="18">
        <f>IFERROR(__xludf.DUMMYFUNCTION("""COMPUTED_VALUE"""),2.0)</f>
        <v>2</v>
      </c>
      <c r="F644" s="18" t="str">
        <f>IFERROR(__xludf.DUMMYFUNCTION("""COMPUTED_VALUE"""),"Ramesh S")</f>
        <v>Ramesh S</v>
      </c>
      <c r="G644" s="19">
        <f>IFERROR(__xludf.DUMMYFUNCTION("""COMPUTED_VALUE"""),45279.0)</f>
        <v>45279</v>
      </c>
      <c r="H644" s="18" t="str">
        <f>IFERROR(__xludf.DUMMYFUNCTION("""COMPUTED_VALUE"""),"COD")</f>
        <v>COD</v>
      </c>
      <c r="I644" s="18" t="str">
        <f>IFERROR(__xludf.DUMMYFUNCTION("""COMPUTED_VALUE"""),"Delivered")</f>
        <v>Delivered</v>
      </c>
      <c r="J644" s="18" t="str">
        <f>IFERROR(__xludf.DUMMYFUNCTION("""COMPUTED_VALUE"""),"Satisfied with the Delivery")</f>
        <v>Satisfied with the Delivery</v>
      </c>
      <c r="K644" s="18" t="str">
        <f>IFERROR(__xludf.DUMMYFUNCTION("""COMPUTED_VALUE"""),"Timely and quality")</f>
        <v>Timely and quality</v>
      </c>
      <c r="L644" s="18">
        <f>iferror(VLOOKUP($D644,Details!$A$2:$C$11,2,false),vlookup($D644,Details!$E$2:$G$11,2,false))</f>
        <v>55</v>
      </c>
      <c r="M644" s="18" t="str">
        <f>iferror(VLOOKUP($D644,Details!$A$2:$C$11,3,false),vlookup($D644,Details!$E$2:$G$11,3,false))</f>
        <v>Fruits and Vegetables</v>
      </c>
      <c r="N644" s="18">
        <f t="shared" si="1"/>
        <v>110</v>
      </c>
      <c r="O644" s="17"/>
      <c r="P644" s="17"/>
      <c r="Q644" s="17"/>
      <c r="R644" s="17"/>
      <c r="S644" s="17"/>
      <c r="T644" s="17"/>
      <c r="U644" s="17"/>
      <c r="V644" s="17"/>
      <c r="W644" s="17"/>
      <c r="X644" s="17"/>
      <c r="Y644" s="17"/>
      <c r="Z644" s="17"/>
    </row>
    <row r="645">
      <c r="A645" s="18" t="str">
        <f>IFERROR(__xludf.DUMMYFUNCTION("""COMPUTED_VALUE"""),"ord_10636")</f>
        <v>ord_10636</v>
      </c>
      <c r="B645" s="18" t="str">
        <f>IFERROR(__xludf.DUMMYFUNCTION("""COMPUTED_VALUE"""),"Pranav Joshi")</f>
        <v>Pranav Joshi</v>
      </c>
      <c r="C645" s="18" t="str">
        <f>IFERROR(__xludf.DUMMYFUNCTION("""COMPUTED_VALUE"""),"Andheri")</f>
        <v>Andheri</v>
      </c>
      <c r="D645" s="18" t="str">
        <f>IFERROR(__xludf.DUMMYFUNCTION("""COMPUTED_VALUE"""),"Cucumber")</f>
        <v>Cucumber</v>
      </c>
      <c r="E645" s="18">
        <f>IFERROR(__xludf.DUMMYFUNCTION("""COMPUTED_VALUE"""),1.0)</f>
        <v>1</v>
      </c>
      <c r="F645" s="18" t="str">
        <f>IFERROR(__xludf.DUMMYFUNCTION("""COMPUTED_VALUE"""),"Ramesh S")</f>
        <v>Ramesh S</v>
      </c>
      <c r="G645" s="19">
        <f>IFERROR(__xludf.DUMMYFUNCTION("""COMPUTED_VALUE"""),45199.0)</f>
        <v>45199</v>
      </c>
      <c r="H645" s="18" t="str">
        <f>IFERROR(__xludf.DUMMYFUNCTION("""COMPUTED_VALUE"""),"Online Payment")</f>
        <v>Online Payment</v>
      </c>
      <c r="I645" s="18" t="str">
        <f>IFERROR(__xludf.DUMMYFUNCTION("""COMPUTED_VALUE"""),"Delivered")</f>
        <v>Delivered</v>
      </c>
      <c r="J645" s="18" t="str">
        <f>IFERROR(__xludf.DUMMYFUNCTION("""COMPUTED_VALUE"""),"Customer Service")</f>
        <v>Customer Service</v>
      </c>
      <c r="K645" s="18" t="str">
        <f>IFERROR(__xludf.DUMMYFUNCTION("""COMPUTED_VALUE"""),"Seamless and easy")</f>
        <v>Seamless and easy</v>
      </c>
      <c r="L645" s="18">
        <f>iferror(VLOOKUP($D645,Details!$A$2:$C$11,2,false),vlookup($D645,Details!$E$2:$G$11,2,false))</f>
        <v>30</v>
      </c>
      <c r="M645" s="18" t="str">
        <f>iferror(VLOOKUP($D645,Details!$A$2:$C$11,3,false),vlookup($D645,Details!$E$2:$G$11,3,false))</f>
        <v>Fruits and Vegetables</v>
      </c>
      <c r="N645" s="18">
        <f t="shared" si="1"/>
        <v>30</v>
      </c>
      <c r="O645" s="17"/>
      <c r="P645" s="17"/>
      <c r="Q645" s="17"/>
      <c r="R645" s="17"/>
      <c r="S645" s="17"/>
      <c r="T645" s="17"/>
      <c r="U645" s="17"/>
      <c r="V645" s="17"/>
      <c r="W645" s="17"/>
      <c r="X645" s="17"/>
      <c r="Y645" s="17"/>
      <c r="Z645" s="17"/>
    </row>
    <row r="646">
      <c r="A646" s="18" t="str">
        <f>IFERROR(__xludf.DUMMYFUNCTION("""COMPUTED_VALUE"""),"ord_10637")</f>
        <v>ord_10637</v>
      </c>
      <c r="B646" s="18" t="str">
        <f>IFERROR(__xludf.DUMMYFUNCTION("""COMPUTED_VALUE"""),"Pranav Joshi")</f>
        <v>Pranav Joshi</v>
      </c>
      <c r="C646" s="18" t="str">
        <f>IFERROR(__xludf.DUMMYFUNCTION("""COMPUTED_VALUE"""),"Andheri")</f>
        <v>Andheri</v>
      </c>
      <c r="D646" s="18" t="str">
        <f>IFERROR(__xludf.DUMMYFUNCTION("""COMPUTED_VALUE"""),"Tiramisu")</f>
        <v>Tiramisu</v>
      </c>
      <c r="E646" s="18">
        <f>IFERROR(__xludf.DUMMYFUNCTION("""COMPUTED_VALUE"""),2.0)</f>
        <v>2</v>
      </c>
      <c r="F646" s="18" t="str">
        <f>IFERROR(__xludf.DUMMYFUNCTION("""COMPUTED_VALUE"""),"Sita T")</f>
        <v>Sita T</v>
      </c>
      <c r="G646" s="19">
        <f>IFERROR(__xludf.DUMMYFUNCTION("""COMPUTED_VALUE"""),45192.0)</f>
        <v>45192</v>
      </c>
      <c r="H646" s="18" t="str">
        <f>IFERROR(__xludf.DUMMYFUNCTION("""COMPUTED_VALUE"""),"Online Payment")</f>
        <v>Online Payment</v>
      </c>
      <c r="I646" s="18" t="str">
        <f>IFERROR(__xludf.DUMMYFUNCTION("""COMPUTED_VALUE"""),"Delivered")</f>
        <v>Delivered</v>
      </c>
      <c r="J646" s="18" t="str">
        <f>IFERROR(__xludf.DUMMYFUNCTION("""COMPUTED_VALUE"""),"Delivery Experience")</f>
        <v>Delivery Experience</v>
      </c>
      <c r="K646" s="18" t="str">
        <f>IFERROR(__xludf.DUMMYFUNCTION("""COMPUTED_VALUE"""),"Quick and professional")</f>
        <v>Quick and professional</v>
      </c>
      <c r="L646" s="18">
        <f>iferror(VLOOKUP($D646,Details!$A$2:$C$11,2,false),vlookup($D646,Details!$E$2:$G$11,2,false))</f>
        <v>150</v>
      </c>
      <c r="M646" s="18" t="str">
        <f>iferror(VLOOKUP($D646,Details!$A$2:$C$11,3,false),vlookup($D646,Details!$E$2:$G$11,3,false))</f>
        <v>Snacks and Drinks</v>
      </c>
      <c r="N646" s="18">
        <f t="shared" si="1"/>
        <v>300</v>
      </c>
      <c r="O646" s="17"/>
      <c r="P646" s="17"/>
      <c r="Q646" s="17"/>
      <c r="R646" s="17"/>
      <c r="S646" s="17"/>
      <c r="T646" s="17"/>
      <c r="U646" s="17"/>
      <c r="V646" s="17"/>
      <c r="W646" s="17"/>
      <c r="X646" s="17"/>
      <c r="Y646" s="17"/>
      <c r="Z646" s="17"/>
    </row>
    <row r="647">
      <c r="A647" s="18" t="str">
        <f>IFERROR(__xludf.DUMMYFUNCTION("""COMPUTED_VALUE"""),"ord_10638")</f>
        <v>ord_10638</v>
      </c>
      <c r="B647" s="18" t="str">
        <f>IFERROR(__xludf.DUMMYFUNCTION("""COMPUTED_VALUE"""),"Mehul Thakkar")</f>
        <v>Mehul Thakkar</v>
      </c>
      <c r="C647" s="18" t="str">
        <f>IFERROR(__xludf.DUMMYFUNCTION("""COMPUTED_VALUE"""),"Malad")</f>
        <v>Malad</v>
      </c>
      <c r="D647" s="18" t="str">
        <f>IFERROR(__xludf.DUMMYFUNCTION("""COMPUTED_VALUE"""),"Apple")</f>
        <v>Apple</v>
      </c>
      <c r="E647" s="18">
        <f>IFERROR(__xludf.DUMMYFUNCTION("""COMPUTED_VALUE"""),2.0)</f>
        <v>2</v>
      </c>
      <c r="F647" s="18" t="str">
        <f>IFERROR(__xludf.DUMMYFUNCTION("""COMPUTED_VALUE"""),"Not Assigned")</f>
        <v>Not Assigned</v>
      </c>
      <c r="G647" s="19">
        <f>IFERROR(__xludf.DUMMYFUNCTION("""COMPUTED_VALUE"""),45241.0)</f>
        <v>45241</v>
      </c>
      <c r="H647" s="18" t="str">
        <f>IFERROR(__xludf.DUMMYFUNCTION("""COMPUTED_VALUE"""),"Credit Card")</f>
        <v>Credit Card</v>
      </c>
      <c r="I647" s="18" t="str">
        <f>IFERROR(__xludf.DUMMYFUNCTION("""COMPUTED_VALUE"""),"Cancelled")</f>
        <v>Cancelled</v>
      </c>
      <c r="J647" s="18" t="str">
        <f>IFERROR(__xludf.DUMMYFUNCTION("""COMPUTED_VALUE"""),"App Glitches")</f>
        <v>App Glitches</v>
      </c>
      <c r="K647" s="18" t="str">
        <f>IFERROR(__xludf.DUMMYFUNCTION("""COMPUTED_VALUE"""),"Inconsistent Data Display")</f>
        <v>Inconsistent Data Display</v>
      </c>
      <c r="L647" s="18">
        <f>iferror(VLOOKUP($D647,Details!$A$2:$C$11,2,false),vlookup($D647,Details!$E$2:$G$11,2,false))</f>
        <v>230</v>
      </c>
      <c r="M647" s="18" t="str">
        <f>iferror(VLOOKUP($D647,Details!$A$2:$C$11,3,false),vlookup($D647,Details!$E$2:$G$11,3,false))</f>
        <v>Fruits and Vegetables</v>
      </c>
      <c r="N647" s="18">
        <f t="shared" si="1"/>
        <v>460</v>
      </c>
      <c r="O647" s="17"/>
      <c r="P647" s="17"/>
      <c r="Q647" s="17"/>
      <c r="R647" s="17"/>
      <c r="S647" s="17"/>
      <c r="T647" s="17"/>
      <c r="U647" s="17"/>
      <c r="V647" s="17"/>
      <c r="W647" s="17"/>
      <c r="X647" s="17"/>
      <c r="Y647" s="17"/>
      <c r="Z647" s="17"/>
    </row>
    <row r="648">
      <c r="A648" s="18" t="str">
        <f>IFERROR(__xludf.DUMMYFUNCTION("""COMPUTED_VALUE"""),"ord_10639")</f>
        <v>ord_10639</v>
      </c>
      <c r="B648" s="18" t="str">
        <f>IFERROR(__xludf.DUMMYFUNCTION("""COMPUTED_VALUE"""),"Diya Arora")</f>
        <v>Diya Arora</v>
      </c>
      <c r="C648" s="18" t="str">
        <f>IFERROR(__xludf.DUMMYFUNCTION("""COMPUTED_VALUE"""),"Lower Parel")</f>
        <v>Lower Parel</v>
      </c>
      <c r="D648" s="18" t="str">
        <f>IFERROR(__xludf.DUMMYFUNCTION("""COMPUTED_VALUE"""),"Chilli Cheese Toast")</f>
        <v>Chilli Cheese Toast</v>
      </c>
      <c r="E648" s="18">
        <f>IFERROR(__xludf.DUMMYFUNCTION("""COMPUTED_VALUE"""),1.0)</f>
        <v>1</v>
      </c>
      <c r="F648" s="18" t="str">
        <f>IFERROR(__xludf.DUMMYFUNCTION("""COMPUTED_VALUE"""),"Shine Thomas")</f>
        <v>Shine Thomas</v>
      </c>
      <c r="G648" s="19">
        <f>IFERROR(__xludf.DUMMYFUNCTION("""COMPUTED_VALUE"""),45120.0)</f>
        <v>45120</v>
      </c>
      <c r="H648" s="18" t="str">
        <f>IFERROR(__xludf.DUMMYFUNCTION("""COMPUTED_VALUE"""),"COD")</f>
        <v>COD</v>
      </c>
      <c r="I648" s="18" t="str">
        <f>IFERROR(__xludf.DUMMYFUNCTION("""COMPUTED_VALUE"""),"Delivered")</f>
        <v>Delivered</v>
      </c>
      <c r="J648" s="18" t="str">
        <f>IFERROR(__xludf.DUMMYFUNCTION("""COMPUTED_VALUE"""),"Convenience")</f>
        <v>Convenience</v>
      </c>
      <c r="K648" s="18" t="str">
        <f>IFERROR(__xludf.DUMMYFUNCTION("""COMPUTED_VALUE"""),"Easy tracking")</f>
        <v>Easy tracking</v>
      </c>
      <c r="L648" s="18">
        <f>iferror(VLOOKUP($D648,Details!$A$2:$C$11,2,false),vlookup($D648,Details!$E$2:$G$11,2,false))</f>
        <v>80</v>
      </c>
      <c r="M648" s="18" t="str">
        <f>iferror(VLOOKUP($D648,Details!$A$2:$C$11,3,false),vlookup($D648,Details!$E$2:$G$11,3,false))</f>
        <v>Snacks and Drinks</v>
      </c>
      <c r="N648" s="18">
        <f t="shared" si="1"/>
        <v>80</v>
      </c>
      <c r="O648" s="17"/>
      <c r="P648" s="17"/>
      <c r="Q648" s="17"/>
      <c r="R648" s="17"/>
      <c r="S648" s="17"/>
      <c r="T648" s="17"/>
      <c r="U648" s="17"/>
      <c r="V648" s="17"/>
      <c r="W648" s="17"/>
      <c r="X648" s="17"/>
      <c r="Y648" s="17"/>
      <c r="Z648" s="17"/>
    </row>
    <row r="649">
      <c r="A649" s="18" t="str">
        <f>IFERROR(__xludf.DUMMYFUNCTION("""COMPUTED_VALUE"""),"ord_10640")</f>
        <v>ord_10640</v>
      </c>
      <c r="B649" s="18" t="str">
        <f>IFERROR(__xludf.DUMMYFUNCTION("""COMPUTED_VALUE"""),"Siya Reddy")</f>
        <v>Siya Reddy</v>
      </c>
      <c r="C649" s="18" t="str">
        <f>IFERROR(__xludf.DUMMYFUNCTION("""COMPUTED_VALUE"""),"Juhu")</f>
        <v>Juhu</v>
      </c>
      <c r="D649" s="18" t="str">
        <f>IFERROR(__xludf.DUMMYFUNCTION("""COMPUTED_VALUE"""),"Rasmalai")</f>
        <v>Rasmalai</v>
      </c>
      <c r="E649" s="18">
        <f>IFERROR(__xludf.DUMMYFUNCTION("""COMPUTED_VALUE"""),3.0)</f>
        <v>3</v>
      </c>
      <c r="F649" s="18" t="str">
        <f>IFERROR(__xludf.DUMMYFUNCTION("""COMPUTED_VALUE"""),"Not Assigned")</f>
        <v>Not Assigned</v>
      </c>
      <c r="G649" s="19">
        <f>IFERROR(__xludf.DUMMYFUNCTION("""COMPUTED_VALUE"""),44939.0)</f>
        <v>44939</v>
      </c>
      <c r="H649" s="18" t="str">
        <f>IFERROR(__xludf.DUMMYFUNCTION("""COMPUTED_VALUE"""),"UPI")</f>
        <v>UPI</v>
      </c>
      <c r="I649" s="18" t="str">
        <f>IFERROR(__xludf.DUMMYFUNCTION("""COMPUTED_VALUE"""),"Cancelled")</f>
        <v>Cancelled</v>
      </c>
      <c r="J649" s="18" t="str">
        <f>IFERROR(__xludf.DUMMYFUNCTION("""COMPUTED_VALUE"""),"High Delivery Fees")</f>
        <v>High Delivery Fees</v>
      </c>
      <c r="K649" s="18"/>
      <c r="L649" s="18">
        <f>iferror(VLOOKUP($D649,Details!$A$2:$C$11,2,false),vlookup($D649,Details!$E$2:$G$11,2,false))</f>
        <v>110</v>
      </c>
      <c r="M649" s="18" t="str">
        <f>iferror(VLOOKUP($D649,Details!$A$2:$C$11,3,false),vlookup($D649,Details!$E$2:$G$11,3,false))</f>
        <v>Snacks and Drinks</v>
      </c>
      <c r="N649" s="18">
        <f t="shared" si="1"/>
        <v>330</v>
      </c>
      <c r="O649" s="17"/>
      <c r="P649" s="17"/>
      <c r="Q649" s="17"/>
      <c r="R649" s="17"/>
      <c r="S649" s="17"/>
      <c r="T649" s="17"/>
      <c r="U649" s="17"/>
      <c r="V649" s="17"/>
      <c r="W649" s="17"/>
      <c r="X649" s="17"/>
      <c r="Y649" s="17"/>
      <c r="Z649" s="17"/>
    </row>
    <row r="650">
      <c r="A650" s="18" t="str">
        <f>IFERROR(__xludf.DUMMYFUNCTION("""COMPUTED_VALUE"""),"ord_10641")</f>
        <v>ord_10641</v>
      </c>
      <c r="B650" s="18" t="str">
        <f>IFERROR(__xludf.DUMMYFUNCTION("""COMPUTED_VALUE"""),"Pallavi Ghosh")</f>
        <v>Pallavi Ghosh</v>
      </c>
      <c r="C650" s="18" t="str">
        <f>IFERROR(__xludf.DUMMYFUNCTION("""COMPUTED_VALUE"""),"Bandra")</f>
        <v>Bandra</v>
      </c>
      <c r="D650" s="18" t="str">
        <f>IFERROR(__xludf.DUMMYFUNCTION("""COMPUTED_VALUE"""),"Apple")</f>
        <v>Apple</v>
      </c>
      <c r="E650" s="18">
        <f>IFERROR(__xludf.DUMMYFUNCTION("""COMPUTED_VALUE"""),2.0)</f>
        <v>2</v>
      </c>
      <c r="F650" s="18" t="str">
        <f>IFERROR(__xludf.DUMMYFUNCTION("""COMPUTED_VALUE"""),"Ramesh S")</f>
        <v>Ramesh S</v>
      </c>
      <c r="G650" s="19">
        <f>IFERROR(__xludf.DUMMYFUNCTION("""COMPUTED_VALUE"""),45259.0)</f>
        <v>45259</v>
      </c>
      <c r="H650" s="18" t="str">
        <f>IFERROR(__xludf.DUMMYFUNCTION("""COMPUTED_VALUE"""),"Credit Card")</f>
        <v>Credit Card</v>
      </c>
      <c r="I650" s="18" t="str">
        <f>IFERROR(__xludf.DUMMYFUNCTION("""COMPUTED_VALUE"""),"Delivered")</f>
        <v>Delivered</v>
      </c>
      <c r="J650" s="18" t="str">
        <f>IFERROR(__xludf.DUMMYFUNCTION("""COMPUTED_VALUE"""),"Overall Satisfaction")</f>
        <v>Overall Satisfaction</v>
      </c>
      <c r="K650" s="18" t="str">
        <f>IFERROR(__xludf.DUMMYFUNCTION("""COMPUTED_VALUE"""),"Great service will order again")</f>
        <v>Great service will order again</v>
      </c>
      <c r="L650" s="18">
        <f>iferror(VLOOKUP($D650,Details!$A$2:$C$11,2,false),vlookup($D650,Details!$E$2:$G$11,2,false))</f>
        <v>230</v>
      </c>
      <c r="M650" s="18" t="str">
        <f>iferror(VLOOKUP($D650,Details!$A$2:$C$11,3,false),vlookup($D650,Details!$E$2:$G$11,3,false))</f>
        <v>Fruits and Vegetables</v>
      </c>
      <c r="N650" s="18">
        <f t="shared" si="1"/>
        <v>460</v>
      </c>
      <c r="O650" s="17"/>
      <c r="P650" s="17"/>
      <c r="Q650" s="17"/>
      <c r="R650" s="17"/>
      <c r="S650" s="17"/>
      <c r="T650" s="17"/>
      <c r="U650" s="17"/>
      <c r="V650" s="17"/>
      <c r="W650" s="17"/>
      <c r="X650" s="17"/>
      <c r="Y650" s="17"/>
      <c r="Z650" s="17"/>
    </row>
    <row r="651">
      <c r="A651" s="18" t="str">
        <f>IFERROR(__xludf.DUMMYFUNCTION("""COMPUTED_VALUE"""),"ord_10642")</f>
        <v>ord_10642</v>
      </c>
      <c r="B651" s="18" t="str">
        <f>IFERROR(__xludf.DUMMYFUNCTION("""COMPUTED_VALUE"""),"Kritika Shetty")</f>
        <v>Kritika Shetty</v>
      </c>
      <c r="C651" s="18" t="str">
        <f>IFERROR(__xludf.DUMMYFUNCTION("""COMPUTED_VALUE"""),"Malad")</f>
        <v>Malad</v>
      </c>
      <c r="D651" s="18" t="str">
        <f>IFERROR(__xludf.DUMMYFUNCTION("""COMPUTED_VALUE"""),"Rasmalai")</f>
        <v>Rasmalai</v>
      </c>
      <c r="E651" s="18">
        <f>IFERROR(__xludf.DUMMYFUNCTION("""COMPUTED_VALUE"""),5.0)</f>
        <v>5</v>
      </c>
      <c r="F651" s="18" t="str">
        <f>IFERROR(__xludf.DUMMYFUNCTION("""COMPUTED_VALUE"""),"Vivek Kumar")</f>
        <v>Vivek Kumar</v>
      </c>
      <c r="G651" s="19">
        <f>IFERROR(__xludf.DUMMYFUNCTION("""COMPUTED_VALUE"""),45166.0)</f>
        <v>45166</v>
      </c>
      <c r="H651" s="18" t="str">
        <f>IFERROR(__xludf.DUMMYFUNCTION("""COMPUTED_VALUE"""),"UPI")</f>
        <v>UPI</v>
      </c>
      <c r="I651" s="18" t="str">
        <f>IFERROR(__xludf.DUMMYFUNCTION("""COMPUTED_VALUE"""),"Delivered")</f>
        <v>Delivered</v>
      </c>
      <c r="J651" s="18" t="str">
        <f>IFERROR(__xludf.DUMMYFUNCTION("""COMPUTED_VALUE"""),"On-time Delivery")</f>
        <v>On-time Delivery</v>
      </c>
      <c r="K651" s="18" t="str">
        <f>IFERROR(__xludf.DUMMYFUNCTION("""COMPUTED_VALUE"""),"Delivered on time")</f>
        <v>Delivered on time</v>
      </c>
      <c r="L651" s="18">
        <f>iferror(VLOOKUP($D651,Details!$A$2:$C$11,2,false),vlookup($D651,Details!$E$2:$G$11,2,false))</f>
        <v>110</v>
      </c>
      <c r="M651" s="18" t="str">
        <f>iferror(VLOOKUP($D651,Details!$A$2:$C$11,3,false),vlookup($D651,Details!$E$2:$G$11,3,false))</f>
        <v>Snacks and Drinks</v>
      </c>
      <c r="N651" s="18">
        <f t="shared" si="1"/>
        <v>550</v>
      </c>
      <c r="O651" s="17"/>
      <c r="P651" s="17"/>
      <c r="Q651" s="17"/>
      <c r="R651" s="17"/>
      <c r="S651" s="17"/>
      <c r="T651" s="17"/>
      <c r="U651" s="17"/>
      <c r="V651" s="17"/>
      <c r="W651" s="17"/>
      <c r="X651" s="17"/>
      <c r="Y651" s="17"/>
      <c r="Z651" s="17"/>
    </row>
    <row r="652">
      <c r="A652" s="18" t="str">
        <f>IFERROR(__xludf.DUMMYFUNCTION("""COMPUTED_VALUE"""),"ord_10643")</f>
        <v>ord_10643</v>
      </c>
      <c r="B652" s="18" t="str">
        <f>IFERROR(__xludf.DUMMYFUNCTION("""COMPUTED_VALUE"""),"Ishita Banerjee")</f>
        <v>Ishita Banerjee</v>
      </c>
      <c r="C652" s="18" t="str">
        <f>IFERROR(__xludf.DUMMYFUNCTION("""COMPUTED_VALUE"""),"Juhu")</f>
        <v>Juhu</v>
      </c>
      <c r="D652" s="18" t="str">
        <f>IFERROR(__xludf.DUMMYFUNCTION("""COMPUTED_VALUE"""),"Chocolate Mousse")</f>
        <v>Chocolate Mousse</v>
      </c>
      <c r="E652" s="18">
        <f>IFERROR(__xludf.DUMMYFUNCTION("""COMPUTED_VALUE"""),1.0)</f>
        <v>1</v>
      </c>
      <c r="F652" s="18" t="str">
        <f>IFERROR(__xludf.DUMMYFUNCTION("""COMPUTED_VALUE"""),"Not Assigned")</f>
        <v>Not Assigned</v>
      </c>
      <c r="G652" s="19">
        <f>IFERROR(__xludf.DUMMYFUNCTION("""COMPUTED_VALUE"""),45013.0)</f>
        <v>45013</v>
      </c>
      <c r="H652" s="18" t="str">
        <f>IFERROR(__xludf.DUMMYFUNCTION("""COMPUTED_VALUE"""),"Credit Card")</f>
        <v>Credit Card</v>
      </c>
      <c r="I652" s="18" t="str">
        <f>IFERROR(__xludf.DUMMYFUNCTION("""COMPUTED_VALUE"""),"Cancelled")</f>
        <v>Cancelled</v>
      </c>
      <c r="J652" s="18" t="str">
        <f>IFERROR(__xludf.DUMMYFUNCTION("""COMPUTED_VALUE"""),"App Glitches")</f>
        <v>App Glitches</v>
      </c>
      <c r="K652" s="18" t="str">
        <f>IFERROR(__xludf.DUMMYFUNCTION("""COMPUTED_VALUE"""),"Slow Loading Time")</f>
        <v>Slow Loading Time</v>
      </c>
      <c r="L652" s="18">
        <f>iferror(VLOOKUP($D652,Details!$A$2:$C$11,2,false),vlookup($D652,Details!$E$2:$G$11,2,false))</f>
        <v>145</v>
      </c>
      <c r="M652" s="18" t="str">
        <f>iferror(VLOOKUP($D652,Details!$A$2:$C$11,3,false),vlookup($D652,Details!$E$2:$G$11,3,false))</f>
        <v>Snacks and Drinks</v>
      </c>
      <c r="N652" s="18">
        <f t="shared" si="1"/>
        <v>145</v>
      </c>
      <c r="O652" s="17"/>
      <c r="P652" s="17"/>
      <c r="Q652" s="17"/>
      <c r="R652" s="17"/>
      <c r="S652" s="17"/>
      <c r="T652" s="17"/>
      <c r="U652" s="17"/>
      <c r="V652" s="17"/>
      <c r="W652" s="17"/>
      <c r="X652" s="17"/>
      <c r="Y652" s="17"/>
      <c r="Z652" s="17"/>
    </row>
    <row r="653">
      <c r="A653" s="18" t="str">
        <f>IFERROR(__xludf.DUMMYFUNCTION("""COMPUTED_VALUE"""),"ord_10644")</f>
        <v>ord_10644</v>
      </c>
      <c r="B653" s="18" t="str">
        <f>IFERROR(__xludf.DUMMYFUNCTION("""COMPUTED_VALUE"""),"Mehul Thakkar")</f>
        <v>Mehul Thakkar</v>
      </c>
      <c r="C653" s="18" t="str">
        <f>IFERROR(__xludf.DUMMYFUNCTION("""COMPUTED_VALUE"""),"Malad")</f>
        <v>Malad</v>
      </c>
      <c r="D653" s="18" t="str">
        <f>IFERROR(__xludf.DUMMYFUNCTION("""COMPUTED_VALUE"""),"Sweet Corn")</f>
        <v>Sweet Corn</v>
      </c>
      <c r="E653" s="18">
        <f>IFERROR(__xludf.DUMMYFUNCTION("""COMPUTED_VALUE"""),1.0)</f>
        <v>1</v>
      </c>
      <c r="F653" s="18" t="str">
        <f>IFERROR(__xludf.DUMMYFUNCTION("""COMPUTED_VALUE"""),"Ramesh S")</f>
        <v>Ramesh S</v>
      </c>
      <c r="G653" s="19">
        <f>IFERROR(__xludf.DUMMYFUNCTION("""COMPUTED_VALUE"""),45061.0)</f>
        <v>45061</v>
      </c>
      <c r="H653" s="18" t="str">
        <f>IFERROR(__xludf.DUMMYFUNCTION("""COMPUTED_VALUE"""),"UPI")</f>
        <v>UPI</v>
      </c>
      <c r="I653" s="18" t="str">
        <f>IFERROR(__xludf.DUMMYFUNCTION("""COMPUTED_VALUE"""),"Delivered")</f>
        <v>Delivered</v>
      </c>
      <c r="J653" s="18" t="str">
        <f>IFERROR(__xludf.DUMMYFUNCTION("""COMPUTED_VALUE"""),"Quality of Items")</f>
        <v>Quality of Items</v>
      </c>
      <c r="K653" s="18" t="str">
        <f>IFERROR(__xludf.DUMMYFUNCTION("""COMPUTED_VALUE"""),"Perfect condition")</f>
        <v>Perfect condition</v>
      </c>
      <c r="L653" s="18">
        <f>iferror(VLOOKUP($D653,Details!$A$2:$C$11,2,false),vlookup($D653,Details!$E$2:$G$11,2,false))</f>
        <v>60</v>
      </c>
      <c r="M653" s="18" t="str">
        <f>iferror(VLOOKUP($D653,Details!$A$2:$C$11,3,false),vlookup($D653,Details!$E$2:$G$11,3,false))</f>
        <v>Fruits and Vegetables</v>
      </c>
      <c r="N653" s="18">
        <f t="shared" si="1"/>
        <v>60</v>
      </c>
      <c r="O653" s="17"/>
      <c r="P653" s="17"/>
      <c r="Q653" s="17"/>
      <c r="R653" s="17"/>
      <c r="S653" s="17"/>
      <c r="T653" s="17"/>
      <c r="U653" s="17"/>
      <c r="V653" s="17"/>
      <c r="W653" s="17"/>
      <c r="X653" s="17"/>
      <c r="Y653" s="17"/>
      <c r="Z653" s="17"/>
    </row>
    <row r="654">
      <c r="A654" s="18" t="str">
        <f>IFERROR(__xludf.DUMMYFUNCTION("""COMPUTED_VALUE"""),"ord_10645")</f>
        <v>ord_10645</v>
      </c>
      <c r="B654" s="18" t="str">
        <f>IFERROR(__xludf.DUMMYFUNCTION("""COMPUTED_VALUE"""),"Mohit Malhotra")</f>
        <v>Mohit Malhotra</v>
      </c>
      <c r="C654" s="18" t="str">
        <f>IFERROR(__xludf.DUMMYFUNCTION("""COMPUTED_VALUE"""),"Lower Parel")</f>
        <v>Lower Parel</v>
      </c>
      <c r="D654" s="18" t="str">
        <f>IFERROR(__xludf.DUMMYFUNCTION("""COMPUTED_VALUE"""),"Rasmalai")</f>
        <v>Rasmalai</v>
      </c>
      <c r="E654" s="18">
        <f>IFERROR(__xludf.DUMMYFUNCTION("""COMPUTED_VALUE"""),4.0)</f>
        <v>4</v>
      </c>
      <c r="F654" s="18" t="str">
        <f>IFERROR(__xludf.DUMMYFUNCTION("""COMPUTED_VALUE"""),"Shine Thomas")</f>
        <v>Shine Thomas</v>
      </c>
      <c r="G654" s="19">
        <f>IFERROR(__xludf.DUMMYFUNCTION("""COMPUTED_VALUE"""),45120.0)</f>
        <v>45120</v>
      </c>
      <c r="H654" s="18" t="str">
        <f>IFERROR(__xludf.DUMMYFUNCTION("""COMPUTED_VALUE"""),"Credit Card")</f>
        <v>Credit Card</v>
      </c>
      <c r="I654" s="18" t="str">
        <f>IFERROR(__xludf.DUMMYFUNCTION("""COMPUTED_VALUE"""),"Delivered")</f>
        <v>Delivered</v>
      </c>
      <c r="J654" s="18" t="str">
        <f>IFERROR(__xludf.DUMMYFUNCTION("""COMPUTED_VALUE"""),"On-time Delivery")</f>
        <v>On-time Delivery</v>
      </c>
      <c r="K654" s="18" t="str">
        <f>IFERROR(__xludf.DUMMYFUNCTION("""COMPUTED_VALUE"""),"Delivered on time")</f>
        <v>Delivered on time</v>
      </c>
      <c r="L654" s="18">
        <f>iferror(VLOOKUP($D654,Details!$A$2:$C$11,2,false),vlookup($D654,Details!$E$2:$G$11,2,false))</f>
        <v>110</v>
      </c>
      <c r="M654" s="18" t="str">
        <f>iferror(VLOOKUP($D654,Details!$A$2:$C$11,3,false),vlookup($D654,Details!$E$2:$G$11,3,false))</f>
        <v>Snacks and Drinks</v>
      </c>
      <c r="N654" s="18">
        <f t="shared" si="1"/>
        <v>440</v>
      </c>
      <c r="O654" s="17"/>
      <c r="P654" s="17"/>
      <c r="Q654" s="17"/>
      <c r="R654" s="17"/>
      <c r="S654" s="17"/>
      <c r="T654" s="17"/>
      <c r="U654" s="17"/>
      <c r="V654" s="17"/>
      <c r="W654" s="17"/>
      <c r="X654" s="17"/>
      <c r="Y654" s="17"/>
      <c r="Z654" s="17"/>
    </row>
    <row r="655">
      <c r="A655" s="18" t="str">
        <f>IFERROR(__xludf.DUMMYFUNCTION("""COMPUTED_VALUE"""),"ord_10646")</f>
        <v>ord_10646</v>
      </c>
      <c r="B655" s="18" t="str">
        <f>IFERROR(__xludf.DUMMYFUNCTION("""COMPUTED_VALUE"""),"Pranav Joshi")</f>
        <v>Pranav Joshi</v>
      </c>
      <c r="C655" s="18" t="str">
        <f>IFERROR(__xludf.DUMMYFUNCTION("""COMPUTED_VALUE"""),"Andheri")</f>
        <v>Andheri</v>
      </c>
      <c r="D655" s="18" t="str">
        <f>IFERROR(__xludf.DUMMYFUNCTION("""COMPUTED_VALUE"""),"Cucumber")</f>
        <v>Cucumber</v>
      </c>
      <c r="E655" s="18">
        <f>IFERROR(__xludf.DUMMYFUNCTION("""COMPUTED_VALUE"""),1.0)</f>
        <v>1</v>
      </c>
      <c r="F655" s="18" t="str">
        <f>IFERROR(__xludf.DUMMYFUNCTION("""COMPUTED_VALUE"""),"Ram Gopal")</f>
        <v>Ram Gopal</v>
      </c>
      <c r="G655" s="19">
        <f>IFERROR(__xludf.DUMMYFUNCTION("""COMPUTED_VALUE"""),45228.0)</f>
        <v>45228</v>
      </c>
      <c r="H655" s="18" t="str">
        <f>IFERROR(__xludf.DUMMYFUNCTION("""COMPUTED_VALUE"""),"Credit Card")</f>
        <v>Credit Card</v>
      </c>
      <c r="I655" s="18" t="str">
        <f>IFERROR(__xludf.DUMMYFUNCTION("""COMPUTED_VALUE"""),"Delivered")</f>
        <v>Delivered</v>
      </c>
      <c r="J655" s="18" t="str">
        <f>IFERROR(__xludf.DUMMYFUNCTION("""COMPUTED_VALUE"""),"Quality of Items")</f>
        <v>Quality of Items</v>
      </c>
      <c r="K655" s="18" t="str">
        <f>IFERROR(__xludf.DUMMYFUNCTION("""COMPUTED_VALUE"""),"Perfect condition")</f>
        <v>Perfect condition</v>
      </c>
      <c r="L655" s="18">
        <f>iferror(VLOOKUP($D655,Details!$A$2:$C$11,2,false),vlookup($D655,Details!$E$2:$G$11,2,false))</f>
        <v>30</v>
      </c>
      <c r="M655" s="18" t="str">
        <f>iferror(VLOOKUP($D655,Details!$A$2:$C$11,3,false),vlookup($D655,Details!$E$2:$G$11,3,false))</f>
        <v>Fruits and Vegetables</v>
      </c>
      <c r="N655" s="18">
        <f t="shared" si="1"/>
        <v>30</v>
      </c>
      <c r="O655" s="17"/>
      <c r="P655" s="17"/>
      <c r="Q655" s="17"/>
      <c r="R655" s="17"/>
      <c r="S655" s="17"/>
      <c r="T655" s="17"/>
      <c r="U655" s="17"/>
      <c r="V655" s="17"/>
      <c r="W655" s="17"/>
      <c r="X655" s="17"/>
      <c r="Y655" s="17"/>
      <c r="Z655" s="17"/>
    </row>
    <row r="656">
      <c r="A656" s="18" t="str">
        <f>IFERROR(__xludf.DUMMYFUNCTION("""COMPUTED_VALUE"""),"ord_10647")</f>
        <v>ord_10647</v>
      </c>
      <c r="B656" s="18" t="str">
        <f>IFERROR(__xludf.DUMMYFUNCTION("""COMPUTED_VALUE"""),"Diya Arora")</f>
        <v>Diya Arora</v>
      </c>
      <c r="C656" s="18" t="str">
        <f>IFERROR(__xludf.DUMMYFUNCTION("""COMPUTED_VALUE"""),"Lower Parel")</f>
        <v>Lower Parel</v>
      </c>
      <c r="D656" s="18" t="str">
        <f>IFERROR(__xludf.DUMMYFUNCTION("""COMPUTED_VALUE"""),"Cucumber")</f>
        <v>Cucumber</v>
      </c>
      <c r="E656" s="18">
        <f>IFERROR(__xludf.DUMMYFUNCTION("""COMPUTED_VALUE"""),1.0)</f>
        <v>1</v>
      </c>
      <c r="F656" s="18" t="str">
        <f>IFERROR(__xludf.DUMMYFUNCTION("""COMPUTED_VALUE"""),"Sita T")</f>
        <v>Sita T</v>
      </c>
      <c r="G656" s="19">
        <f>IFERROR(__xludf.DUMMYFUNCTION("""COMPUTED_VALUE"""),45178.0)</f>
        <v>45178</v>
      </c>
      <c r="H656" s="18" t="str">
        <f>IFERROR(__xludf.DUMMYFUNCTION("""COMPUTED_VALUE"""),"Credit Card")</f>
        <v>Credit Card</v>
      </c>
      <c r="I656" s="18" t="str">
        <f>IFERROR(__xludf.DUMMYFUNCTION("""COMPUTED_VALUE"""),"Delivered")</f>
        <v>Delivered</v>
      </c>
      <c r="J656" s="18" t="str">
        <f>IFERROR(__xludf.DUMMYFUNCTION("""COMPUTED_VALUE"""),"Packaging")</f>
        <v>Packaging</v>
      </c>
      <c r="K656" s="18" t="str">
        <f>IFERROR(__xludf.DUMMYFUNCTION("""COMPUTED_VALUE"""),"Secure and intact")</f>
        <v>Secure and intact</v>
      </c>
      <c r="L656" s="18">
        <f>iferror(VLOOKUP($D656,Details!$A$2:$C$11,2,false),vlookup($D656,Details!$E$2:$G$11,2,false))</f>
        <v>30</v>
      </c>
      <c r="M656" s="18" t="str">
        <f>iferror(VLOOKUP($D656,Details!$A$2:$C$11,3,false),vlookup($D656,Details!$E$2:$G$11,3,false))</f>
        <v>Fruits and Vegetables</v>
      </c>
      <c r="N656" s="18">
        <f t="shared" si="1"/>
        <v>30</v>
      </c>
      <c r="O656" s="17"/>
      <c r="P656" s="17"/>
      <c r="Q656" s="17"/>
      <c r="R656" s="17"/>
      <c r="S656" s="17"/>
      <c r="T656" s="17"/>
      <c r="U656" s="17"/>
      <c r="V656" s="17"/>
      <c r="W656" s="17"/>
      <c r="X656" s="17"/>
      <c r="Y656" s="17"/>
      <c r="Z656" s="17"/>
    </row>
    <row r="657">
      <c r="A657" s="18" t="str">
        <f>IFERROR(__xludf.DUMMYFUNCTION("""COMPUTED_VALUE"""),"ord_10648")</f>
        <v>ord_10648</v>
      </c>
      <c r="B657" s="18" t="str">
        <f>IFERROR(__xludf.DUMMYFUNCTION("""COMPUTED_VALUE"""),"Parth Goel")</f>
        <v>Parth Goel</v>
      </c>
      <c r="C657" s="18" t="str">
        <f>IFERROR(__xludf.DUMMYFUNCTION("""COMPUTED_VALUE"""),"Juhu")</f>
        <v>Juhu</v>
      </c>
      <c r="D657" s="18" t="str">
        <f>IFERROR(__xludf.DUMMYFUNCTION("""COMPUTED_VALUE"""),"Potato")</f>
        <v>Potato</v>
      </c>
      <c r="E657" s="18">
        <f>IFERROR(__xludf.DUMMYFUNCTION("""COMPUTED_VALUE"""),2.0)</f>
        <v>2</v>
      </c>
      <c r="F657" s="18" t="str">
        <f>IFERROR(__xludf.DUMMYFUNCTION("""COMPUTED_VALUE"""),"Ram Gopal")</f>
        <v>Ram Gopal</v>
      </c>
      <c r="G657" s="19">
        <f>IFERROR(__xludf.DUMMYFUNCTION("""COMPUTED_VALUE"""),45195.0)</f>
        <v>45195</v>
      </c>
      <c r="H657" s="18" t="str">
        <f>IFERROR(__xludf.DUMMYFUNCTION("""COMPUTED_VALUE"""),"Credit Card")</f>
        <v>Credit Card</v>
      </c>
      <c r="I657" s="18" t="str">
        <f>IFERROR(__xludf.DUMMYFUNCTION("""COMPUTED_VALUE"""),"Delivered")</f>
        <v>Delivered</v>
      </c>
      <c r="J657" s="18" t="str">
        <f>IFERROR(__xludf.DUMMYFUNCTION("""COMPUTED_VALUE"""),"Satisfied with the Delivery")</f>
        <v>Satisfied with the Delivery</v>
      </c>
      <c r="K657" s="18" t="str">
        <f>IFERROR(__xludf.DUMMYFUNCTION("""COMPUTED_VALUE"""),"Timely and quality")</f>
        <v>Timely and quality</v>
      </c>
      <c r="L657" s="18">
        <f>iferror(VLOOKUP($D657,Details!$A$2:$C$11,2,false),vlookup($D657,Details!$E$2:$G$11,2,false))</f>
        <v>55</v>
      </c>
      <c r="M657" s="18" t="str">
        <f>iferror(VLOOKUP($D657,Details!$A$2:$C$11,3,false),vlookup($D657,Details!$E$2:$G$11,3,false))</f>
        <v>Fruits and Vegetables</v>
      </c>
      <c r="N657" s="18">
        <f t="shared" si="1"/>
        <v>110</v>
      </c>
      <c r="O657" s="17"/>
      <c r="P657" s="17"/>
      <c r="Q657" s="17"/>
      <c r="R657" s="17"/>
      <c r="S657" s="17"/>
      <c r="T657" s="17"/>
      <c r="U657" s="17"/>
      <c r="V657" s="17"/>
      <c r="W657" s="17"/>
      <c r="X657" s="17"/>
      <c r="Y657" s="17"/>
      <c r="Z657" s="17"/>
    </row>
    <row r="658">
      <c r="A658" s="18" t="str">
        <f>IFERROR(__xludf.DUMMYFUNCTION("""COMPUTED_VALUE"""),"ord_10649")</f>
        <v>ord_10649</v>
      </c>
      <c r="B658" s="18" t="str">
        <f>IFERROR(__xludf.DUMMYFUNCTION("""COMPUTED_VALUE"""),"Sanjay Nair")</f>
        <v>Sanjay Nair</v>
      </c>
      <c r="C658" s="18" t="str">
        <f>IFERROR(__xludf.DUMMYFUNCTION("""COMPUTED_VALUE"""),"Dadar")</f>
        <v>Dadar</v>
      </c>
      <c r="D658" s="18" t="str">
        <f>IFERROR(__xludf.DUMMYFUNCTION("""COMPUTED_VALUE"""),"Rasmalai")</f>
        <v>Rasmalai</v>
      </c>
      <c r="E658" s="18">
        <f>IFERROR(__xludf.DUMMYFUNCTION("""COMPUTED_VALUE"""),4.0)</f>
        <v>4</v>
      </c>
      <c r="F658" s="18" t="str">
        <f>IFERROR(__xludf.DUMMYFUNCTION("""COMPUTED_VALUE"""),"Ramesh S")</f>
        <v>Ramesh S</v>
      </c>
      <c r="G658" s="19">
        <f>IFERROR(__xludf.DUMMYFUNCTION("""COMPUTED_VALUE"""),45083.0)</f>
        <v>45083</v>
      </c>
      <c r="H658" s="18" t="str">
        <f>IFERROR(__xludf.DUMMYFUNCTION("""COMPUTED_VALUE"""),"UPI")</f>
        <v>UPI</v>
      </c>
      <c r="I658" s="18" t="str">
        <f>IFERROR(__xludf.DUMMYFUNCTION("""COMPUTED_VALUE"""),"Delivered")</f>
        <v>Delivered</v>
      </c>
      <c r="J658" s="18" t="str">
        <f>IFERROR(__xludf.DUMMYFUNCTION("""COMPUTED_VALUE"""),"Customer Service")</f>
        <v>Customer Service</v>
      </c>
      <c r="K658" s="18" t="str">
        <f>IFERROR(__xludf.DUMMYFUNCTION("""COMPUTED_VALUE"""),"Seamless and easy")</f>
        <v>Seamless and easy</v>
      </c>
      <c r="L658" s="18">
        <f>iferror(VLOOKUP($D658,Details!$A$2:$C$11,2,false),vlookup($D658,Details!$E$2:$G$11,2,false))</f>
        <v>110</v>
      </c>
      <c r="M658" s="18" t="str">
        <f>iferror(VLOOKUP($D658,Details!$A$2:$C$11,3,false),vlookup($D658,Details!$E$2:$G$11,3,false))</f>
        <v>Snacks and Drinks</v>
      </c>
      <c r="N658" s="18">
        <f t="shared" si="1"/>
        <v>440</v>
      </c>
      <c r="O658" s="17"/>
      <c r="P658" s="17"/>
      <c r="Q658" s="17"/>
      <c r="R658" s="17"/>
      <c r="S658" s="17"/>
      <c r="T658" s="17"/>
      <c r="U658" s="17"/>
      <c r="V658" s="17"/>
      <c r="W658" s="17"/>
      <c r="X658" s="17"/>
      <c r="Y658" s="17"/>
      <c r="Z658" s="17"/>
    </row>
    <row r="659">
      <c r="A659" s="18" t="str">
        <f>IFERROR(__xludf.DUMMYFUNCTION("""COMPUTED_VALUE"""),"ord_10650")</f>
        <v>ord_10650</v>
      </c>
      <c r="B659" s="18" t="str">
        <f>IFERROR(__xludf.DUMMYFUNCTION("""COMPUTED_VALUE"""),"Sanjay Nair")</f>
        <v>Sanjay Nair</v>
      </c>
      <c r="C659" s="18" t="str">
        <f>IFERROR(__xludf.DUMMYFUNCTION("""COMPUTED_VALUE"""),"Dadar")</f>
        <v>Dadar</v>
      </c>
      <c r="D659" s="18" t="str">
        <f>IFERROR(__xludf.DUMMYFUNCTION("""COMPUTED_VALUE"""),"Sweet Corn")</f>
        <v>Sweet Corn</v>
      </c>
      <c r="E659" s="18">
        <f>IFERROR(__xludf.DUMMYFUNCTION("""COMPUTED_VALUE"""),1.0)</f>
        <v>1</v>
      </c>
      <c r="F659" s="18" t="str">
        <f>IFERROR(__xludf.DUMMYFUNCTION("""COMPUTED_VALUE"""),"Manju Ajay")</f>
        <v>Manju Ajay</v>
      </c>
      <c r="G659" s="19">
        <f>IFERROR(__xludf.DUMMYFUNCTION("""COMPUTED_VALUE"""),45192.0)</f>
        <v>45192</v>
      </c>
      <c r="H659" s="18" t="str">
        <f>IFERROR(__xludf.DUMMYFUNCTION("""COMPUTED_VALUE"""),"UPI")</f>
        <v>UPI</v>
      </c>
      <c r="I659" s="18" t="str">
        <f>IFERROR(__xludf.DUMMYFUNCTION("""COMPUTED_VALUE"""),"Delivered")</f>
        <v>Delivered</v>
      </c>
      <c r="J659" s="18" t="str">
        <f>IFERROR(__xludf.DUMMYFUNCTION("""COMPUTED_VALUE"""),"Delivery Experience")</f>
        <v>Delivery Experience</v>
      </c>
      <c r="K659" s="18" t="str">
        <f>IFERROR(__xludf.DUMMYFUNCTION("""COMPUTED_VALUE"""),"Quick and professional")</f>
        <v>Quick and professional</v>
      </c>
      <c r="L659" s="18">
        <f>iferror(VLOOKUP($D659,Details!$A$2:$C$11,2,false),vlookup($D659,Details!$E$2:$G$11,2,false))</f>
        <v>60</v>
      </c>
      <c r="M659" s="18" t="str">
        <f>iferror(VLOOKUP($D659,Details!$A$2:$C$11,3,false),vlookup($D659,Details!$E$2:$G$11,3,false))</f>
        <v>Fruits and Vegetables</v>
      </c>
      <c r="N659" s="18">
        <f t="shared" si="1"/>
        <v>60</v>
      </c>
      <c r="O659" s="17"/>
      <c r="P659" s="17"/>
      <c r="Q659" s="17"/>
      <c r="R659" s="17"/>
      <c r="S659" s="17"/>
      <c r="T659" s="17"/>
      <c r="U659" s="17"/>
      <c r="V659" s="17"/>
      <c r="W659" s="17"/>
      <c r="X659" s="17"/>
      <c r="Y659" s="17"/>
      <c r="Z659" s="17"/>
    </row>
    <row r="660">
      <c r="A660" s="18" t="str">
        <f>IFERROR(__xludf.DUMMYFUNCTION("""COMPUTED_VALUE"""),"ord_10651")</f>
        <v>ord_10651</v>
      </c>
      <c r="B660" s="18" t="str">
        <f>IFERROR(__xludf.DUMMYFUNCTION("""COMPUTED_VALUE"""),"Aarohi Kapoor")</f>
        <v>Aarohi Kapoor</v>
      </c>
      <c r="C660" s="18" t="str">
        <f>IFERROR(__xludf.DUMMYFUNCTION("""COMPUTED_VALUE"""),"Bandra")</f>
        <v>Bandra</v>
      </c>
      <c r="D660" s="18" t="str">
        <f>IFERROR(__xludf.DUMMYFUNCTION("""COMPUTED_VALUE"""),"Sweet Corn")</f>
        <v>Sweet Corn</v>
      </c>
      <c r="E660" s="18">
        <f>IFERROR(__xludf.DUMMYFUNCTION("""COMPUTED_VALUE"""),2.0)</f>
        <v>2</v>
      </c>
      <c r="F660" s="18" t="str">
        <f>IFERROR(__xludf.DUMMYFUNCTION("""COMPUTED_VALUE"""),"Manju Ajay")</f>
        <v>Manju Ajay</v>
      </c>
      <c r="G660" s="19">
        <f>IFERROR(__xludf.DUMMYFUNCTION("""COMPUTED_VALUE"""),44927.0)</f>
        <v>44927</v>
      </c>
      <c r="H660" s="18" t="str">
        <f>IFERROR(__xludf.DUMMYFUNCTION("""COMPUTED_VALUE"""),"Credit Card")</f>
        <v>Credit Card</v>
      </c>
      <c r="I660" s="18" t="str">
        <f>IFERROR(__xludf.DUMMYFUNCTION("""COMPUTED_VALUE"""),"Delivered")</f>
        <v>Delivered</v>
      </c>
      <c r="J660" s="18" t="str">
        <f>IFERROR(__xludf.DUMMYFUNCTION("""COMPUTED_VALUE"""),"Convenience")</f>
        <v>Convenience</v>
      </c>
      <c r="K660" s="18" t="str">
        <f>IFERROR(__xludf.DUMMYFUNCTION("""COMPUTED_VALUE"""),"Easy tracking")</f>
        <v>Easy tracking</v>
      </c>
      <c r="L660" s="18">
        <f>iferror(VLOOKUP($D660,Details!$A$2:$C$11,2,false),vlookup($D660,Details!$E$2:$G$11,2,false))</f>
        <v>60</v>
      </c>
      <c r="M660" s="18" t="str">
        <f>iferror(VLOOKUP($D660,Details!$A$2:$C$11,3,false),vlookup($D660,Details!$E$2:$G$11,3,false))</f>
        <v>Fruits and Vegetables</v>
      </c>
      <c r="N660" s="18">
        <f t="shared" si="1"/>
        <v>120</v>
      </c>
      <c r="O660" s="17"/>
      <c r="P660" s="17"/>
      <c r="Q660" s="17"/>
      <c r="R660" s="17"/>
      <c r="S660" s="17"/>
      <c r="T660" s="17"/>
      <c r="U660" s="17"/>
      <c r="V660" s="17"/>
      <c r="W660" s="17"/>
      <c r="X660" s="17"/>
      <c r="Y660" s="17"/>
      <c r="Z660" s="17"/>
    </row>
    <row r="661">
      <c r="A661" s="18" t="str">
        <f>IFERROR(__xludf.DUMMYFUNCTION("""COMPUTED_VALUE"""),"ord_10652")</f>
        <v>ord_10652</v>
      </c>
      <c r="B661" s="18" t="str">
        <f>IFERROR(__xludf.DUMMYFUNCTION("""COMPUTED_VALUE"""),"Omkar Mishra")</f>
        <v>Omkar Mishra</v>
      </c>
      <c r="C661" s="18" t="str">
        <f>IFERROR(__xludf.DUMMYFUNCTION("""COMPUTED_VALUE"""),"Powai")</f>
        <v>Powai</v>
      </c>
      <c r="D661" s="18" t="str">
        <f>IFERROR(__xludf.DUMMYFUNCTION("""COMPUTED_VALUE"""),"Apple")</f>
        <v>Apple</v>
      </c>
      <c r="E661" s="18">
        <f>IFERROR(__xludf.DUMMYFUNCTION("""COMPUTED_VALUE"""),1.0)</f>
        <v>1</v>
      </c>
      <c r="F661" s="18" t="str">
        <f>IFERROR(__xludf.DUMMYFUNCTION("""COMPUTED_VALUE"""),"Vivek Kumar")</f>
        <v>Vivek Kumar</v>
      </c>
      <c r="G661" s="19">
        <f>IFERROR(__xludf.DUMMYFUNCTION("""COMPUTED_VALUE"""),45101.0)</f>
        <v>45101</v>
      </c>
      <c r="H661" s="18" t="str">
        <f>IFERROR(__xludf.DUMMYFUNCTION("""COMPUTED_VALUE"""),"UPI")</f>
        <v>UPI</v>
      </c>
      <c r="I661" s="18" t="str">
        <f>IFERROR(__xludf.DUMMYFUNCTION("""COMPUTED_VALUE"""),"Delivered")</f>
        <v>Delivered</v>
      </c>
      <c r="J661" s="18" t="str">
        <f>IFERROR(__xludf.DUMMYFUNCTION("""COMPUTED_VALUE"""),"Overall Satisfaction")</f>
        <v>Overall Satisfaction</v>
      </c>
      <c r="K661" s="18" t="str">
        <f>IFERROR(__xludf.DUMMYFUNCTION("""COMPUTED_VALUE"""),"Great service will order again")</f>
        <v>Great service will order again</v>
      </c>
      <c r="L661" s="18">
        <f>iferror(VLOOKUP($D661,Details!$A$2:$C$11,2,false),vlookup($D661,Details!$E$2:$G$11,2,false))</f>
        <v>230</v>
      </c>
      <c r="M661" s="18" t="str">
        <f>iferror(VLOOKUP($D661,Details!$A$2:$C$11,3,false),vlookup($D661,Details!$E$2:$G$11,3,false))</f>
        <v>Fruits and Vegetables</v>
      </c>
      <c r="N661" s="18">
        <f t="shared" si="1"/>
        <v>230</v>
      </c>
      <c r="O661" s="17"/>
      <c r="P661" s="17"/>
      <c r="Q661" s="17"/>
      <c r="R661" s="17"/>
      <c r="S661" s="17"/>
      <c r="T661" s="17"/>
      <c r="U661" s="17"/>
      <c r="V661" s="17"/>
      <c r="W661" s="17"/>
      <c r="X661" s="17"/>
      <c r="Y661" s="17"/>
      <c r="Z661" s="17"/>
    </row>
    <row r="662">
      <c r="A662" s="18" t="str">
        <f>IFERROR(__xludf.DUMMYFUNCTION("""COMPUTED_VALUE"""),"ord_10653")</f>
        <v>ord_10653</v>
      </c>
      <c r="B662" s="18" t="str">
        <f>IFERROR(__xludf.DUMMYFUNCTION("""COMPUTED_VALUE"""),"Sanjay Nair")</f>
        <v>Sanjay Nair</v>
      </c>
      <c r="C662" s="18" t="str">
        <f>IFERROR(__xludf.DUMMYFUNCTION("""COMPUTED_VALUE"""),"Dadar")</f>
        <v>Dadar</v>
      </c>
      <c r="D662" s="18" t="str">
        <f>IFERROR(__xludf.DUMMYFUNCTION("""COMPUTED_VALUE"""),"Guava")</f>
        <v>Guava</v>
      </c>
      <c r="E662" s="18">
        <f>IFERROR(__xludf.DUMMYFUNCTION("""COMPUTED_VALUE"""),1.0)</f>
        <v>1</v>
      </c>
      <c r="F662" s="18" t="str">
        <f>IFERROR(__xludf.DUMMYFUNCTION("""COMPUTED_VALUE"""),"Venu R")</f>
        <v>Venu R</v>
      </c>
      <c r="G662" s="19">
        <f>IFERROR(__xludf.DUMMYFUNCTION("""COMPUTED_VALUE"""),45062.0)</f>
        <v>45062</v>
      </c>
      <c r="H662" s="18" t="str">
        <f>IFERROR(__xludf.DUMMYFUNCTION("""COMPUTED_VALUE"""),"Credit Card")</f>
        <v>Credit Card</v>
      </c>
      <c r="I662" s="18" t="str">
        <f>IFERROR(__xludf.DUMMYFUNCTION("""COMPUTED_VALUE"""),"Delivered")</f>
        <v>Delivered</v>
      </c>
      <c r="J662" s="18" t="str">
        <f>IFERROR(__xludf.DUMMYFUNCTION("""COMPUTED_VALUE"""),"On-time Delivery")</f>
        <v>On-time Delivery</v>
      </c>
      <c r="K662" s="18" t="str">
        <f>IFERROR(__xludf.DUMMYFUNCTION("""COMPUTED_VALUE"""),"Delivered on time")</f>
        <v>Delivered on time</v>
      </c>
      <c r="L662" s="18">
        <f>iferror(VLOOKUP($D662,Details!$A$2:$C$11,2,false),vlookup($D662,Details!$E$2:$G$11,2,false))</f>
        <v>70</v>
      </c>
      <c r="M662" s="18" t="str">
        <f>iferror(VLOOKUP($D662,Details!$A$2:$C$11,3,false),vlookup($D662,Details!$E$2:$G$11,3,false))</f>
        <v>Fruits and Vegetables</v>
      </c>
      <c r="N662" s="18">
        <f t="shared" si="1"/>
        <v>70</v>
      </c>
      <c r="O662" s="17"/>
      <c r="P662" s="17"/>
      <c r="Q662" s="17"/>
      <c r="R662" s="17"/>
      <c r="S662" s="17"/>
      <c r="T662" s="17"/>
      <c r="U662" s="17"/>
      <c r="V662" s="17"/>
      <c r="W662" s="17"/>
      <c r="X662" s="17"/>
      <c r="Y662" s="17"/>
      <c r="Z662" s="17"/>
    </row>
    <row r="663">
      <c r="A663" s="18" t="str">
        <f>IFERROR(__xludf.DUMMYFUNCTION("""COMPUTED_VALUE"""),"ord_10654")</f>
        <v>ord_10654</v>
      </c>
      <c r="B663" s="18" t="str">
        <f>IFERROR(__xludf.DUMMYFUNCTION("""COMPUTED_VALUE"""),"Aditi Iyer")</f>
        <v>Aditi Iyer</v>
      </c>
      <c r="C663" s="18" t="str">
        <f>IFERROR(__xludf.DUMMYFUNCTION("""COMPUTED_VALUE"""),"Dadar")</f>
        <v>Dadar</v>
      </c>
      <c r="D663" s="18" t="str">
        <f>IFERROR(__xludf.DUMMYFUNCTION("""COMPUTED_VALUE"""),"Chicken Puff")</f>
        <v>Chicken Puff</v>
      </c>
      <c r="E663" s="18">
        <f>IFERROR(__xludf.DUMMYFUNCTION("""COMPUTED_VALUE"""),3.0)</f>
        <v>3</v>
      </c>
      <c r="F663" s="18" t="str">
        <f>IFERROR(__xludf.DUMMYFUNCTION("""COMPUTED_VALUE"""),"Manju Ajay")</f>
        <v>Manju Ajay</v>
      </c>
      <c r="G663" s="19">
        <f>IFERROR(__xludf.DUMMYFUNCTION("""COMPUTED_VALUE"""),45256.0)</f>
        <v>45256</v>
      </c>
      <c r="H663" s="18" t="str">
        <f>IFERROR(__xludf.DUMMYFUNCTION("""COMPUTED_VALUE"""),"COD")</f>
        <v>COD</v>
      </c>
      <c r="I663" s="18" t="str">
        <f>IFERROR(__xludf.DUMMYFUNCTION("""COMPUTED_VALUE"""),"Delivered")</f>
        <v>Delivered</v>
      </c>
      <c r="J663" s="18" t="str">
        <f>IFERROR(__xludf.DUMMYFUNCTION("""COMPUTED_VALUE"""),"Quality of Items")</f>
        <v>Quality of Items</v>
      </c>
      <c r="K663" s="18" t="str">
        <f>IFERROR(__xludf.DUMMYFUNCTION("""COMPUTED_VALUE"""),"Perfect condition")</f>
        <v>Perfect condition</v>
      </c>
      <c r="L663" s="18">
        <f>iferror(VLOOKUP($D663,Details!$A$2:$C$11,2,false),vlookup($D663,Details!$E$2:$G$11,2,false))</f>
        <v>90</v>
      </c>
      <c r="M663" s="18" t="str">
        <f>iferror(VLOOKUP($D663,Details!$A$2:$C$11,3,false),vlookup($D663,Details!$E$2:$G$11,3,false))</f>
        <v>Snacks and Drinks</v>
      </c>
      <c r="N663" s="18">
        <f t="shared" si="1"/>
        <v>270</v>
      </c>
      <c r="O663" s="17"/>
      <c r="P663" s="17"/>
      <c r="Q663" s="17"/>
      <c r="R663" s="17"/>
      <c r="S663" s="17"/>
      <c r="T663" s="17"/>
      <c r="U663" s="17"/>
      <c r="V663" s="17"/>
      <c r="W663" s="17"/>
      <c r="X663" s="17"/>
      <c r="Y663" s="17"/>
      <c r="Z663" s="17"/>
    </row>
    <row r="664">
      <c r="A664" s="18" t="str">
        <f>IFERROR(__xludf.DUMMYFUNCTION("""COMPUTED_VALUE"""),"ord_10655")</f>
        <v>ord_10655</v>
      </c>
      <c r="B664" s="18" t="str">
        <f>IFERROR(__xludf.DUMMYFUNCTION("""COMPUTED_VALUE"""),"Sanjay Nair")</f>
        <v>Sanjay Nair</v>
      </c>
      <c r="C664" s="18" t="str">
        <f>IFERROR(__xludf.DUMMYFUNCTION("""COMPUTED_VALUE"""),"Dadar")</f>
        <v>Dadar</v>
      </c>
      <c r="D664" s="18" t="str">
        <f>IFERROR(__xludf.DUMMYFUNCTION("""COMPUTED_VALUE"""),"Sweet Corn")</f>
        <v>Sweet Corn</v>
      </c>
      <c r="E664" s="18">
        <f>IFERROR(__xludf.DUMMYFUNCTION("""COMPUTED_VALUE"""),2.0)</f>
        <v>2</v>
      </c>
      <c r="F664" s="18" t="str">
        <f>IFERROR(__xludf.DUMMYFUNCTION("""COMPUTED_VALUE"""),"Manju Ajay")</f>
        <v>Manju Ajay</v>
      </c>
      <c r="G664" s="19">
        <f>IFERROR(__xludf.DUMMYFUNCTION("""COMPUTED_VALUE"""),45274.0)</f>
        <v>45274</v>
      </c>
      <c r="H664" s="18" t="str">
        <f>IFERROR(__xludf.DUMMYFUNCTION("""COMPUTED_VALUE"""),"Online Payment")</f>
        <v>Online Payment</v>
      </c>
      <c r="I664" s="18" t="str">
        <f>IFERROR(__xludf.DUMMYFUNCTION("""COMPUTED_VALUE"""),"Delivered")</f>
        <v>Delivered</v>
      </c>
      <c r="J664" s="18" t="str">
        <f>IFERROR(__xludf.DUMMYFUNCTION("""COMPUTED_VALUE"""),"On-time Delivery")</f>
        <v>On-time Delivery</v>
      </c>
      <c r="K664" s="18" t="str">
        <f>IFERROR(__xludf.DUMMYFUNCTION("""COMPUTED_VALUE"""),"Delivered on time")</f>
        <v>Delivered on time</v>
      </c>
      <c r="L664" s="18">
        <f>iferror(VLOOKUP($D664,Details!$A$2:$C$11,2,false),vlookup($D664,Details!$E$2:$G$11,2,false))</f>
        <v>60</v>
      </c>
      <c r="M664" s="18" t="str">
        <f>iferror(VLOOKUP($D664,Details!$A$2:$C$11,3,false),vlookup($D664,Details!$E$2:$G$11,3,false))</f>
        <v>Fruits and Vegetables</v>
      </c>
      <c r="N664" s="18">
        <f t="shared" si="1"/>
        <v>120</v>
      </c>
      <c r="O664" s="17"/>
      <c r="P664" s="17"/>
      <c r="Q664" s="17"/>
      <c r="R664" s="17"/>
      <c r="S664" s="17"/>
      <c r="T664" s="17"/>
      <c r="U664" s="17"/>
      <c r="V664" s="17"/>
      <c r="W664" s="17"/>
      <c r="X664" s="17"/>
      <c r="Y664" s="17"/>
      <c r="Z664" s="17"/>
    </row>
    <row r="665">
      <c r="A665" s="18" t="str">
        <f>IFERROR(__xludf.DUMMYFUNCTION("""COMPUTED_VALUE"""),"ord_10656")</f>
        <v>ord_10656</v>
      </c>
      <c r="B665" s="18" t="str">
        <f>IFERROR(__xludf.DUMMYFUNCTION("""COMPUTED_VALUE"""),"Pranav Joshi")</f>
        <v>Pranav Joshi</v>
      </c>
      <c r="C665" s="18" t="str">
        <f>IFERROR(__xludf.DUMMYFUNCTION("""COMPUTED_VALUE"""),"Andheri")</f>
        <v>Andheri</v>
      </c>
      <c r="D665" s="18" t="str">
        <f>IFERROR(__xludf.DUMMYFUNCTION("""COMPUTED_VALUE"""),"Sweet Corn")</f>
        <v>Sweet Corn</v>
      </c>
      <c r="E665" s="18">
        <f>IFERROR(__xludf.DUMMYFUNCTION("""COMPUTED_VALUE"""),2.0)</f>
        <v>2</v>
      </c>
      <c r="F665" s="18" t="str">
        <f>IFERROR(__xludf.DUMMYFUNCTION("""COMPUTED_VALUE"""),"Manju Ajay")</f>
        <v>Manju Ajay</v>
      </c>
      <c r="G665" s="19">
        <f>IFERROR(__xludf.DUMMYFUNCTION("""COMPUTED_VALUE"""),45062.0)</f>
        <v>45062</v>
      </c>
      <c r="H665" s="18" t="str">
        <f>IFERROR(__xludf.DUMMYFUNCTION("""COMPUTED_VALUE"""),"Online Payment")</f>
        <v>Online Payment</v>
      </c>
      <c r="I665" s="18" t="str">
        <f>IFERROR(__xludf.DUMMYFUNCTION("""COMPUTED_VALUE"""),"Delivered")</f>
        <v>Delivered</v>
      </c>
      <c r="J665" s="18" t="str">
        <f>IFERROR(__xludf.DUMMYFUNCTION("""COMPUTED_VALUE"""),"Quality of Items")</f>
        <v>Quality of Items</v>
      </c>
      <c r="K665" s="18" t="str">
        <f>IFERROR(__xludf.DUMMYFUNCTION("""COMPUTED_VALUE"""),"Perfect condition")</f>
        <v>Perfect condition</v>
      </c>
      <c r="L665" s="18">
        <f>iferror(VLOOKUP($D665,Details!$A$2:$C$11,2,false),vlookup($D665,Details!$E$2:$G$11,2,false))</f>
        <v>60</v>
      </c>
      <c r="M665" s="18" t="str">
        <f>iferror(VLOOKUP($D665,Details!$A$2:$C$11,3,false),vlookup($D665,Details!$E$2:$G$11,3,false))</f>
        <v>Fruits and Vegetables</v>
      </c>
      <c r="N665" s="18">
        <f t="shared" si="1"/>
        <v>120</v>
      </c>
      <c r="O665" s="17"/>
      <c r="P665" s="17"/>
      <c r="Q665" s="17"/>
      <c r="R665" s="17"/>
      <c r="S665" s="17"/>
      <c r="T665" s="17"/>
      <c r="U665" s="17"/>
      <c r="V665" s="17"/>
      <c r="W665" s="17"/>
      <c r="X665" s="17"/>
      <c r="Y665" s="17"/>
      <c r="Z665" s="17"/>
    </row>
    <row r="666">
      <c r="A666" s="18" t="str">
        <f>IFERROR(__xludf.DUMMYFUNCTION("""COMPUTED_VALUE"""),"ord_10657")</f>
        <v>ord_10657</v>
      </c>
      <c r="B666" s="18" t="str">
        <f>IFERROR(__xludf.DUMMYFUNCTION("""COMPUTED_VALUE"""),"Parth Goel")</f>
        <v>Parth Goel</v>
      </c>
      <c r="C666" s="18" t="str">
        <f>IFERROR(__xludf.DUMMYFUNCTION("""COMPUTED_VALUE"""),"Juhu")</f>
        <v>Juhu</v>
      </c>
      <c r="D666" s="18" t="str">
        <f>IFERROR(__xludf.DUMMYFUNCTION("""COMPUTED_VALUE"""),"Chilli Cheese Toast")</f>
        <v>Chilli Cheese Toast</v>
      </c>
      <c r="E666" s="18">
        <f>IFERROR(__xludf.DUMMYFUNCTION("""COMPUTED_VALUE"""),5.0)</f>
        <v>5</v>
      </c>
      <c r="F666" s="18" t="str">
        <f>IFERROR(__xludf.DUMMYFUNCTION("""COMPUTED_VALUE"""),"Sita T")</f>
        <v>Sita T</v>
      </c>
      <c r="G666" s="19">
        <f>IFERROR(__xludf.DUMMYFUNCTION("""COMPUTED_VALUE"""),45282.0)</f>
        <v>45282</v>
      </c>
      <c r="H666" s="18" t="str">
        <f>IFERROR(__xludf.DUMMYFUNCTION("""COMPUTED_VALUE"""),"UPI")</f>
        <v>UPI</v>
      </c>
      <c r="I666" s="18" t="str">
        <f>IFERROR(__xludf.DUMMYFUNCTION("""COMPUTED_VALUE"""),"Delivered")</f>
        <v>Delivered</v>
      </c>
      <c r="J666" s="18" t="str">
        <f>IFERROR(__xludf.DUMMYFUNCTION("""COMPUTED_VALUE"""),"Packaging")</f>
        <v>Packaging</v>
      </c>
      <c r="K666" s="18" t="str">
        <f>IFERROR(__xludf.DUMMYFUNCTION("""COMPUTED_VALUE"""),"Secure and intact")</f>
        <v>Secure and intact</v>
      </c>
      <c r="L666" s="18">
        <f>iferror(VLOOKUP($D666,Details!$A$2:$C$11,2,false),vlookup($D666,Details!$E$2:$G$11,2,false))</f>
        <v>80</v>
      </c>
      <c r="M666" s="18" t="str">
        <f>iferror(VLOOKUP($D666,Details!$A$2:$C$11,3,false),vlookup($D666,Details!$E$2:$G$11,3,false))</f>
        <v>Snacks and Drinks</v>
      </c>
      <c r="N666" s="18">
        <f t="shared" si="1"/>
        <v>400</v>
      </c>
      <c r="O666" s="17"/>
      <c r="P666" s="17"/>
      <c r="Q666" s="17"/>
      <c r="R666" s="17"/>
      <c r="S666" s="17"/>
      <c r="T666" s="17"/>
      <c r="U666" s="17"/>
      <c r="V666" s="17"/>
      <c r="W666" s="17"/>
      <c r="X666" s="17"/>
      <c r="Y666" s="17"/>
      <c r="Z666" s="17"/>
    </row>
    <row r="667">
      <c r="A667" s="18" t="str">
        <f>IFERROR(__xludf.DUMMYFUNCTION("""COMPUTED_VALUE"""),"ord_10658")</f>
        <v>ord_10658</v>
      </c>
      <c r="B667" s="18" t="str">
        <f>IFERROR(__xludf.DUMMYFUNCTION("""COMPUTED_VALUE"""),"Ishaan Chaturvedi")</f>
        <v>Ishaan Chaturvedi</v>
      </c>
      <c r="C667" s="18" t="str">
        <f>IFERROR(__xludf.DUMMYFUNCTION("""COMPUTED_VALUE"""),"Bandra")</f>
        <v>Bandra</v>
      </c>
      <c r="D667" s="18" t="str">
        <f>IFERROR(__xludf.DUMMYFUNCTION("""COMPUTED_VALUE"""),"Orange")</f>
        <v>Orange</v>
      </c>
      <c r="E667" s="18">
        <f>IFERROR(__xludf.DUMMYFUNCTION("""COMPUTED_VALUE"""),1.0)</f>
        <v>1</v>
      </c>
      <c r="F667" s="18" t="str">
        <f>IFERROR(__xludf.DUMMYFUNCTION("""COMPUTED_VALUE"""),"Ramesh S")</f>
        <v>Ramesh S</v>
      </c>
      <c r="G667" s="19">
        <f>IFERROR(__xludf.DUMMYFUNCTION("""COMPUTED_VALUE"""),45241.0)</f>
        <v>45241</v>
      </c>
      <c r="H667" s="18" t="str">
        <f>IFERROR(__xludf.DUMMYFUNCTION("""COMPUTED_VALUE"""),"COD")</f>
        <v>COD</v>
      </c>
      <c r="I667" s="18" t="str">
        <f>IFERROR(__xludf.DUMMYFUNCTION("""COMPUTED_VALUE"""),"Delivered")</f>
        <v>Delivered</v>
      </c>
      <c r="J667" s="18" t="str">
        <f>IFERROR(__xludf.DUMMYFUNCTION("""COMPUTED_VALUE"""),"Satisfied with the Delivery")</f>
        <v>Satisfied with the Delivery</v>
      </c>
      <c r="K667" s="18" t="str">
        <f>IFERROR(__xludf.DUMMYFUNCTION("""COMPUTED_VALUE"""),"Timely and quality")</f>
        <v>Timely and quality</v>
      </c>
      <c r="L667" s="18">
        <f>iferror(VLOOKUP($D667,Details!$A$2:$C$11,2,false),vlookup($D667,Details!$E$2:$G$11,2,false))</f>
        <v>180</v>
      </c>
      <c r="M667" s="18" t="str">
        <f>iferror(VLOOKUP($D667,Details!$A$2:$C$11,3,false),vlookup($D667,Details!$E$2:$G$11,3,false))</f>
        <v>Fruits and Vegetables</v>
      </c>
      <c r="N667" s="18">
        <f t="shared" si="1"/>
        <v>180</v>
      </c>
      <c r="O667" s="17"/>
      <c r="P667" s="17"/>
      <c r="Q667" s="17"/>
      <c r="R667" s="17"/>
      <c r="S667" s="17"/>
      <c r="T667" s="17"/>
      <c r="U667" s="17"/>
      <c r="V667" s="17"/>
      <c r="W667" s="17"/>
      <c r="X667" s="17"/>
      <c r="Y667" s="17"/>
      <c r="Z667" s="17"/>
    </row>
    <row r="668">
      <c r="A668" s="18" t="str">
        <f>IFERROR(__xludf.DUMMYFUNCTION("""COMPUTED_VALUE"""),"ord_10659")</f>
        <v>ord_10659</v>
      </c>
      <c r="B668" s="18" t="str">
        <f>IFERROR(__xludf.DUMMYFUNCTION("""COMPUTED_VALUE"""),"Mehul Thakkar")</f>
        <v>Mehul Thakkar</v>
      </c>
      <c r="C668" s="18" t="str">
        <f>IFERROR(__xludf.DUMMYFUNCTION("""COMPUTED_VALUE"""),"Malad")</f>
        <v>Malad</v>
      </c>
      <c r="D668" s="18" t="str">
        <f>IFERROR(__xludf.DUMMYFUNCTION("""COMPUTED_VALUE"""),"Popcorn")</f>
        <v>Popcorn</v>
      </c>
      <c r="E668" s="18">
        <f>IFERROR(__xludf.DUMMYFUNCTION("""COMPUTED_VALUE"""),1.0)</f>
        <v>1</v>
      </c>
      <c r="F668" s="18" t="str">
        <f>IFERROR(__xludf.DUMMYFUNCTION("""COMPUTED_VALUE"""),"Not Assigned")</f>
        <v>Not Assigned</v>
      </c>
      <c r="G668" s="19">
        <f>IFERROR(__xludf.DUMMYFUNCTION("""COMPUTED_VALUE"""),45140.0)</f>
        <v>45140</v>
      </c>
      <c r="H668" s="18" t="str">
        <f>IFERROR(__xludf.DUMMYFUNCTION("""COMPUTED_VALUE"""),"Online Payment")</f>
        <v>Online Payment</v>
      </c>
      <c r="I668" s="18" t="str">
        <f>IFERROR(__xludf.DUMMYFUNCTION("""COMPUTED_VALUE"""),"Cancelled")</f>
        <v>Cancelled</v>
      </c>
      <c r="J668" s="18" t="str">
        <f>IFERROR(__xludf.DUMMYFUNCTION("""COMPUTED_VALUE"""),"App Glitches")</f>
        <v>App Glitches</v>
      </c>
      <c r="K668" s="18" t="str">
        <f>IFERROR(__xludf.DUMMYFUNCTION("""COMPUTED_VALUE"""),"Payment Button Malfunction")</f>
        <v>Payment Button Malfunction</v>
      </c>
      <c r="L668" s="18">
        <f>iferror(VLOOKUP($D668,Details!$A$2:$C$11,2,false),vlookup($D668,Details!$E$2:$G$11,2,false))</f>
        <v>150</v>
      </c>
      <c r="M668" s="18" t="str">
        <f>iferror(VLOOKUP($D668,Details!$A$2:$C$11,3,false),vlookup($D668,Details!$E$2:$G$11,3,false))</f>
        <v>Snacks and Drinks</v>
      </c>
      <c r="N668" s="18">
        <f t="shared" si="1"/>
        <v>150</v>
      </c>
      <c r="O668" s="17"/>
      <c r="P668" s="17"/>
      <c r="Q668" s="17"/>
      <c r="R668" s="17"/>
      <c r="S668" s="17"/>
      <c r="T668" s="17"/>
      <c r="U668" s="17"/>
      <c r="V668" s="17"/>
      <c r="W668" s="17"/>
      <c r="X668" s="17"/>
      <c r="Y668" s="17"/>
      <c r="Z668" s="17"/>
    </row>
    <row r="669">
      <c r="A669" s="18" t="str">
        <f>IFERROR(__xludf.DUMMYFUNCTION("""COMPUTED_VALUE"""),"ord_10660")</f>
        <v>ord_10660</v>
      </c>
      <c r="B669" s="18" t="str">
        <f>IFERROR(__xludf.DUMMYFUNCTION("""COMPUTED_VALUE"""),"Aditi Iyer")</f>
        <v>Aditi Iyer</v>
      </c>
      <c r="C669" s="18" t="str">
        <f>IFERROR(__xludf.DUMMYFUNCTION("""COMPUTED_VALUE"""),"Dadar")</f>
        <v>Dadar</v>
      </c>
      <c r="D669" s="18" t="str">
        <f>IFERROR(__xludf.DUMMYFUNCTION("""COMPUTED_VALUE"""),"Icecream")</f>
        <v>Icecream</v>
      </c>
      <c r="E669" s="18">
        <f>IFERROR(__xludf.DUMMYFUNCTION("""COMPUTED_VALUE"""),2.0)</f>
        <v>2</v>
      </c>
      <c r="F669" s="18" t="str">
        <f>IFERROR(__xludf.DUMMYFUNCTION("""COMPUTED_VALUE"""),"Shine Thomas")</f>
        <v>Shine Thomas</v>
      </c>
      <c r="G669" s="19">
        <f>IFERROR(__xludf.DUMMYFUNCTION("""COMPUTED_VALUE"""),45243.0)</f>
        <v>45243</v>
      </c>
      <c r="H669" s="18" t="str">
        <f>IFERROR(__xludf.DUMMYFUNCTION("""COMPUTED_VALUE"""),"COD")</f>
        <v>COD</v>
      </c>
      <c r="I669" s="18" t="str">
        <f>IFERROR(__xludf.DUMMYFUNCTION("""COMPUTED_VALUE"""),"Delivered")</f>
        <v>Delivered</v>
      </c>
      <c r="J669" s="18" t="str">
        <f>IFERROR(__xludf.DUMMYFUNCTION("""COMPUTED_VALUE"""),"Customer Service")</f>
        <v>Customer Service</v>
      </c>
      <c r="K669" s="18" t="str">
        <f>IFERROR(__xludf.DUMMYFUNCTION("""COMPUTED_VALUE"""),"Seamless and easy")</f>
        <v>Seamless and easy</v>
      </c>
      <c r="L669" s="18">
        <f>iferror(VLOOKUP($D669,Details!$A$2:$C$11,2,false),vlookup($D669,Details!$E$2:$G$11,2,false))</f>
        <v>90</v>
      </c>
      <c r="M669" s="18" t="str">
        <f>iferror(VLOOKUP($D669,Details!$A$2:$C$11,3,false),vlookup($D669,Details!$E$2:$G$11,3,false))</f>
        <v>Snacks and Drinks</v>
      </c>
      <c r="N669" s="18">
        <f t="shared" si="1"/>
        <v>180</v>
      </c>
      <c r="O669" s="17"/>
      <c r="P669" s="17"/>
      <c r="Q669" s="17"/>
      <c r="R669" s="17"/>
      <c r="S669" s="17"/>
      <c r="T669" s="17"/>
      <c r="U669" s="17"/>
      <c r="V669" s="17"/>
      <c r="W669" s="17"/>
      <c r="X669" s="17"/>
      <c r="Y669" s="17"/>
      <c r="Z669" s="17"/>
    </row>
    <row r="670">
      <c r="A670" s="18" t="str">
        <f>IFERROR(__xludf.DUMMYFUNCTION("""COMPUTED_VALUE"""),"ord_10661")</f>
        <v>ord_10661</v>
      </c>
      <c r="B670" s="18" t="str">
        <f>IFERROR(__xludf.DUMMYFUNCTION("""COMPUTED_VALUE"""),"Ishaan Chaturvedi")</f>
        <v>Ishaan Chaturvedi</v>
      </c>
      <c r="C670" s="18" t="str">
        <f>IFERROR(__xludf.DUMMYFUNCTION("""COMPUTED_VALUE"""),"Bandra")</f>
        <v>Bandra</v>
      </c>
      <c r="D670" s="18" t="str">
        <f>IFERROR(__xludf.DUMMYFUNCTION("""COMPUTED_VALUE"""),"Icecream")</f>
        <v>Icecream</v>
      </c>
      <c r="E670" s="18">
        <f>IFERROR(__xludf.DUMMYFUNCTION("""COMPUTED_VALUE"""),2.0)</f>
        <v>2</v>
      </c>
      <c r="F670" s="18" t="str">
        <f>IFERROR(__xludf.DUMMYFUNCTION("""COMPUTED_VALUE"""),"Manju Ajay")</f>
        <v>Manju Ajay</v>
      </c>
      <c r="G670" s="19">
        <f>IFERROR(__xludf.DUMMYFUNCTION("""COMPUTED_VALUE"""),45222.0)</f>
        <v>45222</v>
      </c>
      <c r="H670" s="18" t="str">
        <f>IFERROR(__xludf.DUMMYFUNCTION("""COMPUTED_VALUE"""),"UPI")</f>
        <v>UPI</v>
      </c>
      <c r="I670" s="18" t="str">
        <f>IFERROR(__xludf.DUMMYFUNCTION("""COMPUTED_VALUE"""),"Delivered")</f>
        <v>Delivered</v>
      </c>
      <c r="J670" s="18" t="str">
        <f>IFERROR(__xludf.DUMMYFUNCTION("""COMPUTED_VALUE"""),"Delivery Experience")</f>
        <v>Delivery Experience</v>
      </c>
      <c r="K670" s="18" t="str">
        <f>IFERROR(__xludf.DUMMYFUNCTION("""COMPUTED_VALUE"""),"Quick and professional")</f>
        <v>Quick and professional</v>
      </c>
      <c r="L670" s="18">
        <f>iferror(VLOOKUP($D670,Details!$A$2:$C$11,2,false),vlookup($D670,Details!$E$2:$G$11,2,false))</f>
        <v>90</v>
      </c>
      <c r="M670" s="18" t="str">
        <f>iferror(VLOOKUP($D670,Details!$A$2:$C$11,3,false),vlookup($D670,Details!$E$2:$G$11,3,false))</f>
        <v>Snacks and Drinks</v>
      </c>
      <c r="N670" s="18">
        <f t="shared" si="1"/>
        <v>180</v>
      </c>
      <c r="O670" s="17"/>
      <c r="P670" s="17"/>
      <c r="Q670" s="17"/>
      <c r="R670" s="17"/>
      <c r="S670" s="17"/>
      <c r="T670" s="17"/>
      <c r="U670" s="17"/>
      <c r="V670" s="17"/>
      <c r="W670" s="17"/>
      <c r="X670" s="17"/>
      <c r="Y670" s="17"/>
      <c r="Z670" s="17"/>
    </row>
    <row r="671">
      <c r="A671" s="18" t="str">
        <f>IFERROR(__xludf.DUMMYFUNCTION("""COMPUTED_VALUE"""),"ord_10662")</f>
        <v>ord_10662</v>
      </c>
      <c r="B671" s="18" t="str">
        <f>IFERROR(__xludf.DUMMYFUNCTION("""COMPUTED_VALUE"""),"Aditi Iyer")</f>
        <v>Aditi Iyer</v>
      </c>
      <c r="C671" s="18" t="str">
        <f>IFERROR(__xludf.DUMMYFUNCTION("""COMPUTED_VALUE"""),"Dadar")</f>
        <v>Dadar</v>
      </c>
      <c r="D671" s="18" t="str">
        <f>IFERROR(__xludf.DUMMYFUNCTION("""COMPUTED_VALUE"""),"Cucumber")</f>
        <v>Cucumber</v>
      </c>
      <c r="E671" s="18">
        <f>IFERROR(__xludf.DUMMYFUNCTION("""COMPUTED_VALUE"""),1.0)</f>
        <v>1</v>
      </c>
      <c r="F671" s="18" t="str">
        <f>IFERROR(__xludf.DUMMYFUNCTION("""COMPUTED_VALUE"""),"Vivek Kumar")</f>
        <v>Vivek Kumar</v>
      </c>
      <c r="G671" s="19">
        <f>IFERROR(__xludf.DUMMYFUNCTION("""COMPUTED_VALUE"""),45068.0)</f>
        <v>45068</v>
      </c>
      <c r="H671" s="18" t="str">
        <f>IFERROR(__xludf.DUMMYFUNCTION("""COMPUTED_VALUE"""),"COD")</f>
        <v>COD</v>
      </c>
      <c r="I671" s="18" t="str">
        <f>IFERROR(__xludf.DUMMYFUNCTION("""COMPUTED_VALUE"""),"Delivered")</f>
        <v>Delivered</v>
      </c>
      <c r="J671" s="18" t="str">
        <f>IFERROR(__xludf.DUMMYFUNCTION("""COMPUTED_VALUE"""),"Convenience")</f>
        <v>Convenience</v>
      </c>
      <c r="K671" s="18" t="str">
        <f>IFERROR(__xludf.DUMMYFUNCTION("""COMPUTED_VALUE"""),"Easy tracking")</f>
        <v>Easy tracking</v>
      </c>
      <c r="L671" s="18">
        <f>iferror(VLOOKUP($D671,Details!$A$2:$C$11,2,false),vlookup($D671,Details!$E$2:$G$11,2,false))</f>
        <v>30</v>
      </c>
      <c r="M671" s="18" t="str">
        <f>iferror(VLOOKUP($D671,Details!$A$2:$C$11,3,false),vlookup($D671,Details!$E$2:$G$11,3,false))</f>
        <v>Fruits and Vegetables</v>
      </c>
      <c r="N671" s="18">
        <f t="shared" si="1"/>
        <v>30</v>
      </c>
      <c r="O671" s="17"/>
      <c r="P671" s="17"/>
      <c r="Q671" s="17"/>
      <c r="R671" s="17"/>
      <c r="S671" s="17"/>
      <c r="T671" s="17"/>
      <c r="U671" s="17"/>
      <c r="V671" s="17"/>
      <c r="W671" s="17"/>
      <c r="X671" s="17"/>
      <c r="Y671" s="17"/>
      <c r="Z671" s="17"/>
    </row>
    <row r="672">
      <c r="A672" s="18" t="str">
        <f>IFERROR(__xludf.DUMMYFUNCTION("""COMPUTED_VALUE"""),"ord_10663")</f>
        <v>ord_10663</v>
      </c>
      <c r="B672" s="18" t="str">
        <f>IFERROR(__xludf.DUMMYFUNCTION("""COMPUTED_VALUE"""),"Aarav Mehta")</f>
        <v>Aarav Mehta</v>
      </c>
      <c r="C672" s="18" t="str">
        <f>IFERROR(__xludf.DUMMYFUNCTION("""COMPUTED_VALUE"""),"Andheri")</f>
        <v>Andheri</v>
      </c>
      <c r="D672" s="18" t="str">
        <f>IFERROR(__xludf.DUMMYFUNCTION("""COMPUTED_VALUE"""),"Guava")</f>
        <v>Guava</v>
      </c>
      <c r="E672" s="18">
        <f>IFERROR(__xludf.DUMMYFUNCTION("""COMPUTED_VALUE"""),2.0)</f>
        <v>2</v>
      </c>
      <c r="F672" s="18" t="str">
        <f>IFERROR(__xludf.DUMMYFUNCTION("""COMPUTED_VALUE"""),"Manju Ajay")</f>
        <v>Manju Ajay</v>
      </c>
      <c r="G672" s="19">
        <f>IFERROR(__xludf.DUMMYFUNCTION("""COMPUTED_VALUE"""),45024.0)</f>
        <v>45024</v>
      </c>
      <c r="H672" s="18" t="str">
        <f>IFERROR(__xludf.DUMMYFUNCTION("""COMPUTED_VALUE"""),"Online Payment")</f>
        <v>Online Payment</v>
      </c>
      <c r="I672" s="18" t="str">
        <f>IFERROR(__xludf.DUMMYFUNCTION("""COMPUTED_VALUE"""),"Delivered")</f>
        <v>Delivered</v>
      </c>
      <c r="J672" s="18" t="str">
        <f>IFERROR(__xludf.DUMMYFUNCTION("""COMPUTED_VALUE"""),"Overall Satisfaction")</f>
        <v>Overall Satisfaction</v>
      </c>
      <c r="K672" s="18" t="str">
        <f>IFERROR(__xludf.DUMMYFUNCTION("""COMPUTED_VALUE"""),"Great service will order again")</f>
        <v>Great service will order again</v>
      </c>
      <c r="L672" s="18">
        <f>iferror(VLOOKUP($D672,Details!$A$2:$C$11,2,false),vlookup($D672,Details!$E$2:$G$11,2,false))</f>
        <v>70</v>
      </c>
      <c r="M672" s="18" t="str">
        <f>iferror(VLOOKUP($D672,Details!$A$2:$C$11,3,false),vlookup($D672,Details!$E$2:$G$11,3,false))</f>
        <v>Fruits and Vegetables</v>
      </c>
      <c r="N672" s="18">
        <f t="shared" si="1"/>
        <v>140</v>
      </c>
      <c r="O672" s="17"/>
      <c r="P672" s="17"/>
      <c r="Q672" s="17"/>
      <c r="R672" s="17"/>
      <c r="S672" s="17"/>
      <c r="T672" s="17"/>
      <c r="U672" s="17"/>
      <c r="V672" s="17"/>
      <c r="W672" s="17"/>
      <c r="X672" s="17"/>
      <c r="Y672" s="17"/>
      <c r="Z672" s="17"/>
    </row>
    <row r="673">
      <c r="A673" s="18" t="str">
        <f>IFERROR(__xludf.DUMMYFUNCTION("""COMPUTED_VALUE"""),"ord_10664")</f>
        <v>ord_10664</v>
      </c>
      <c r="B673" s="18" t="str">
        <f>IFERROR(__xludf.DUMMYFUNCTION("""COMPUTED_VALUE"""),"Anaya Rao")</f>
        <v>Anaya Rao</v>
      </c>
      <c r="C673" s="18" t="str">
        <f>IFERROR(__xludf.DUMMYFUNCTION("""COMPUTED_VALUE"""),"Colaba")</f>
        <v>Colaba</v>
      </c>
      <c r="D673" s="18" t="str">
        <f>IFERROR(__xludf.DUMMYFUNCTION("""COMPUTED_VALUE"""),"Chicken Puff")</f>
        <v>Chicken Puff</v>
      </c>
      <c r="E673" s="18">
        <f>IFERROR(__xludf.DUMMYFUNCTION("""COMPUTED_VALUE"""),4.0)</f>
        <v>4</v>
      </c>
      <c r="F673" s="18" t="str">
        <f>IFERROR(__xludf.DUMMYFUNCTION("""COMPUTED_VALUE"""),"Sita T")</f>
        <v>Sita T</v>
      </c>
      <c r="G673" s="19">
        <f>IFERROR(__xludf.DUMMYFUNCTION("""COMPUTED_VALUE"""),44976.0)</f>
        <v>44976</v>
      </c>
      <c r="H673" s="18" t="str">
        <f>IFERROR(__xludf.DUMMYFUNCTION("""COMPUTED_VALUE"""),"COD")</f>
        <v>COD</v>
      </c>
      <c r="I673" s="18" t="str">
        <f>IFERROR(__xludf.DUMMYFUNCTION("""COMPUTED_VALUE"""),"Delivered")</f>
        <v>Delivered</v>
      </c>
      <c r="J673" s="18" t="str">
        <f>IFERROR(__xludf.DUMMYFUNCTION("""COMPUTED_VALUE"""),"On-time Delivery")</f>
        <v>On-time Delivery</v>
      </c>
      <c r="K673" s="18" t="str">
        <f>IFERROR(__xludf.DUMMYFUNCTION("""COMPUTED_VALUE"""),"Delivered on time")</f>
        <v>Delivered on time</v>
      </c>
      <c r="L673" s="18">
        <f>iferror(VLOOKUP($D673,Details!$A$2:$C$11,2,false),vlookup($D673,Details!$E$2:$G$11,2,false))</f>
        <v>90</v>
      </c>
      <c r="M673" s="18" t="str">
        <f>iferror(VLOOKUP($D673,Details!$A$2:$C$11,3,false),vlookup($D673,Details!$E$2:$G$11,3,false))</f>
        <v>Snacks and Drinks</v>
      </c>
      <c r="N673" s="18">
        <f t="shared" si="1"/>
        <v>360</v>
      </c>
      <c r="O673" s="17"/>
      <c r="P673" s="17"/>
      <c r="Q673" s="17"/>
      <c r="R673" s="17"/>
      <c r="S673" s="17"/>
      <c r="T673" s="17"/>
      <c r="U673" s="17"/>
      <c r="V673" s="17"/>
      <c r="W673" s="17"/>
      <c r="X673" s="17"/>
      <c r="Y673" s="17"/>
      <c r="Z673" s="17"/>
    </row>
    <row r="674">
      <c r="A674" s="18" t="str">
        <f>IFERROR(__xludf.DUMMYFUNCTION("""COMPUTED_VALUE"""),"ord_10665")</f>
        <v>ord_10665</v>
      </c>
      <c r="B674" s="18" t="str">
        <f>IFERROR(__xludf.DUMMYFUNCTION("""COMPUTED_VALUE"""),"Ishita Banerjee")</f>
        <v>Ishita Banerjee</v>
      </c>
      <c r="C674" s="18" t="str">
        <f>IFERROR(__xludf.DUMMYFUNCTION("""COMPUTED_VALUE"""),"Juhu")</f>
        <v>Juhu</v>
      </c>
      <c r="D674" s="18" t="str">
        <f>IFERROR(__xludf.DUMMYFUNCTION("""COMPUTED_VALUE"""),"Potato")</f>
        <v>Potato</v>
      </c>
      <c r="E674" s="18">
        <f>IFERROR(__xludf.DUMMYFUNCTION("""COMPUTED_VALUE"""),1.0)</f>
        <v>1</v>
      </c>
      <c r="F674" s="18" t="str">
        <f>IFERROR(__xludf.DUMMYFUNCTION("""COMPUTED_VALUE"""),"Not Assigned")</f>
        <v>Not Assigned</v>
      </c>
      <c r="G674" s="19">
        <f>IFERROR(__xludf.DUMMYFUNCTION("""COMPUTED_VALUE"""),45192.0)</f>
        <v>45192</v>
      </c>
      <c r="H674" s="18" t="str">
        <f>IFERROR(__xludf.DUMMYFUNCTION("""COMPUTED_VALUE"""),"UPI")</f>
        <v>UPI</v>
      </c>
      <c r="I674" s="18" t="str">
        <f>IFERROR(__xludf.DUMMYFUNCTION("""COMPUTED_VALUE"""),"Cancelled")</f>
        <v>Cancelled</v>
      </c>
      <c r="J674" s="18" t="str">
        <f>IFERROR(__xludf.DUMMYFUNCTION("""COMPUTED_VALUE"""),"App Glitches")</f>
        <v>App Glitches</v>
      </c>
      <c r="K674" s="18" t="str">
        <f>IFERROR(__xludf.DUMMYFUNCTION("""COMPUTED_VALUE"""),"Missing Content")</f>
        <v>Missing Content</v>
      </c>
      <c r="L674" s="18">
        <f>iferror(VLOOKUP($D674,Details!$A$2:$C$11,2,false),vlookup($D674,Details!$E$2:$G$11,2,false))</f>
        <v>55</v>
      </c>
      <c r="M674" s="18" t="str">
        <f>iferror(VLOOKUP($D674,Details!$A$2:$C$11,3,false),vlookup($D674,Details!$E$2:$G$11,3,false))</f>
        <v>Fruits and Vegetables</v>
      </c>
      <c r="N674" s="18">
        <f t="shared" si="1"/>
        <v>55</v>
      </c>
      <c r="O674" s="17"/>
      <c r="P674" s="17"/>
      <c r="Q674" s="17"/>
      <c r="R674" s="17"/>
      <c r="S674" s="17"/>
      <c r="T674" s="17"/>
      <c r="U674" s="17"/>
      <c r="V674" s="17"/>
      <c r="W674" s="17"/>
      <c r="X674" s="17"/>
      <c r="Y674" s="17"/>
      <c r="Z674" s="17"/>
    </row>
    <row r="675">
      <c r="A675" s="18" t="str">
        <f>IFERROR(__xludf.DUMMYFUNCTION("""COMPUTED_VALUE"""),"ord_10666")</f>
        <v>ord_10666</v>
      </c>
      <c r="B675" s="18" t="str">
        <f>IFERROR(__xludf.DUMMYFUNCTION("""COMPUTED_VALUE"""),"Diya Arora")</f>
        <v>Diya Arora</v>
      </c>
      <c r="C675" s="18" t="str">
        <f>IFERROR(__xludf.DUMMYFUNCTION("""COMPUTED_VALUE"""),"Lower Parel")</f>
        <v>Lower Parel</v>
      </c>
      <c r="D675" s="18" t="str">
        <f>IFERROR(__xludf.DUMMYFUNCTION("""COMPUTED_VALUE"""),"Papaya")</f>
        <v>Papaya</v>
      </c>
      <c r="E675" s="18">
        <f>IFERROR(__xludf.DUMMYFUNCTION("""COMPUTED_VALUE"""),1.0)</f>
        <v>1</v>
      </c>
      <c r="F675" s="18" t="str">
        <f>IFERROR(__xludf.DUMMYFUNCTION("""COMPUTED_VALUE"""),"Ramesh S")</f>
        <v>Ramesh S</v>
      </c>
      <c r="G675" s="19">
        <f>IFERROR(__xludf.DUMMYFUNCTION("""COMPUTED_VALUE"""),44928.0)</f>
        <v>44928</v>
      </c>
      <c r="H675" s="18" t="str">
        <f>IFERROR(__xludf.DUMMYFUNCTION("""COMPUTED_VALUE"""),"UPI")</f>
        <v>UPI</v>
      </c>
      <c r="I675" s="18" t="str">
        <f>IFERROR(__xludf.DUMMYFUNCTION("""COMPUTED_VALUE"""),"Delivered")</f>
        <v>Delivered</v>
      </c>
      <c r="J675" s="18" t="str">
        <f>IFERROR(__xludf.DUMMYFUNCTION("""COMPUTED_VALUE"""),"Quality of Items")</f>
        <v>Quality of Items</v>
      </c>
      <c r="K675" s="18" t="str">
        <f>IFERROR(__xludf.DUMMYFUNCTION("""COMPUTED_VALUE"""),"Perfect condition")</f>
        <v>Perfect condition</v>
      </c>
      <c r="L675" s="18">
        <f>iferror(VLOOKUP($D675,Details!$A$2:$C$11,2,false),vlookup($D675,Details!$E$2:$G$11,2,false))</f>
        <v>75</v>
      </c>
      <c r="M675" s="18" t="str">
        <f>iferror(VLOOKUP($D675,Details!$A$2:$C$11,3,false),vlookup($D675,Details!$E$2:$G$11,3,false))</f>
        <v>Fruits and Vegetables</v>
      </c>
      <c r="N675" s="18">
        <f t="shared" si="1"/>
        <v>75</v>
      </c>
      <c r="O675" s="17"/>
      <c r="P675" s="17"/>
      <c r="Q675" s="17"/>
      <c r="R675" s="17"/>
      <c r="S675" s="17"/>
      <c r="T675" s="17"/>
      <c r="U675" s="17"/>
      <c r="V675" s="17"/>
      <c r="W675" s="17"/>
      <c r="X675" s="17"/>
      <c r="Y675" s="17"/>
      <c r="Z675" s="17"/>
    </row>
    <row r="676">
      <c r="A676" s="18" t="str">
        <f>IFERROR(__xludf.DUMMYFUNCTION("""COMPUTED_VALUE"""),"ord_10667")</f>
        <v>ord_10667</v>
      </c>
      <c r="B676" s="18" t="str">
        <f>IFERROR(__xludf.DUMMYFUNCTION("""COMPUTED_VALUE"""),"Pranav Joshi")</f>
        <v>Pranav Joshi</v>
      </c>
      <c r="C676" s="18" t="str">
        <f>IFERROR(__xludf.DUMMYFUNCTION("""COMPUTED_VALUE"""),"Andheri")</f>
        <v>Andheri</v>
      </c>
      <c r="D676" s="18" t="str">
        <f>IFERROR(__xludf.DUMMYFUNCTION("""COMPUTED_VALUE"""),"Icecream")</f>
        <v>Icecream</v>
      </c>
      <c r="E676" s="18">
        <f>IFERROR(__xludf.DUMMYFUNCTION("""COMPUTED_VALUE"""),5.0)</f>
        <v>5</v>
      </c>
      <c r="F676" s="18" t="str">
        <f>IFERROR(__xludf.DUMMYFUNCTION("""COMPUTED_VALUE"""),"Ram Gopal")</f>
        <v>Ram Gopal</v>
      </c>
      <c r="G676" s="19">
        <f>IFERROR(__xludf.DUMMYFUNCTION("""COMPUTED_VALUE"""),45266.0)</f>
        <v>45266</v>
      </c>
      <c r="H676" s="18" t="str">
        <f>IFERROR(__xludf.DUMMYFUNCTION("""COMPUTED_VALUE"""),"Online Payment")</f>
        <v>Online Payment</v>
      </c>
      <c r="I676" s="18" t="str">
        <f>IFERROR(__xludf.DUMMYFUNCTION("""COMPUTED_VALUE"""),"Delivered")</f>
        <v>Delivered</v>
      </c>
      <c r="J676" s="18" t="str">
        <f>IFERROR(__xludf.DUMMYFUNCTION("""COMPUTED_VALUE"""),"On-time Delivery")</f>
        <v>On-time Delivery</v>
      </c>
      <c r="K676" s="18" t="str">
        <f>IFERROR(__xludf.DUMMYFUNCTION("""COMPUTED_VALUE"""),"Delivered on time")</f>
        <v>Delivered on time</v>
      </c>
      <c r="L676" s="18">
        <f>iferror(VLOOKUP($D676,Details!$A$2:$C$11,2,false),vlookup($D676,Details!$E$2:$G$11,2,false))</f>
        <v>90</v>
      </c>
      <c r="M676" s="18" t="str">
        <f>iferror(VLOOKUP($D676,Details!$A$2:$C$11,3,false),vlookup($D676,Details!$E$2:$G$11,3,false))</f>
        <v>Snacks and Drinks</v>
      </c>
      <c r="N676" s="18">
        <f t="shared" si="1"/>
        <v>450</v>
      </c>
      <c r="O676" s="17"/>
      <c r="P676" s="17"/>
      <c r="Q676" s="17"/>
      <c r="R676" s="17"/>
      <c r="S676" s="17"/>
      <c r="T676" s="17"/>
      <c r="U676" s="17"/>
      <c r="V676" s="17"/>
      <c r="W676" s="17"/>
      <c r="X676" s="17"/>
      <c r="Y676" s="17"/>
      <c r="Z676" s="17"/>
    </row>
    <row r="677">
      <c r="A677" s="18" t="str">
        <f>IFERROR(__xludf.DUMMYFUNCTION("""COMPUTED_VALUE"""),"ord_10668")</f>
        <v>ord_10668</v>
      </c>
      <c r="B677" s="18" t="str">
        <f>IFERROR(__xludf.DUMMYFUNCTION("""COMPUTED_VALUE"""),"Tanishq Bansal")</f>
        <v>Tanishq Bansal</v>
      </c>
      <c r="C677" s="18" t="str">
        <f>IFERROR(__xludf.DUMMYFUNCTION("""COMPUTED_VALUE"""),"Powai")</f>
        <v>Powai</v>
      </c>
      <c r="D677" s="18" t="str">
        <f>IFERROR(__xludf.DUMMYFUNCTION("""COMPUTED_VALUE"""),"Cucumber")</f>
        <v>Cucumber</v>
      </c>
      <c r="E677" s="18">
        <f>IFERROR(__xludf.DUMMYFUNCTION("""COMPUTED_VALUE"""),2.0)</f>
        <v>2</v>
      </c>
      <c r="F677" s="18" t="str">
        <f>IFERROR(__xludf.DUMMYFUNCTION("""COMPUTED_VALUE"""),"Sandeep Kumar")</f>
        <v>Sandeep Kumar</v>
      </c>
      <c r="G677" s="19">
        <f>IFERROR(__xludf.DUMMYFUNCTION("""COMPUTED_VALUE"""),44940.0)</f>
        <v>44940</v>
      </c>
      <c r="H677" s="18" t="str">
        <f>IFERROR(__xludf.DUMMYFUNCTION("""COMPUTED_VALUE"""),"UPI")</f>
        <v>UPI</v>
      </c>
      <c r="I677" s="18" t="str">
        <f>IFERROR(__xludf.DUMMYFUNCTION("""COMPUTED_VALUE"""),"Delivered")</f>
        <v>Delivered</v>
      </c>
      <c r="J677" s="18" t="str">
        <f>IFERROR(__xludf.DUMMYFUNCTION("""COMPUTED_VALUE"""),"Quality of Items")</f>
        <v>Quality of Items</v>
      </c>
      <c r="K677" s="18" t="str">
        <f>IFERROR(__xludf.DUMMYFUNCTION("""COMPUTED_VALUE"""),"Perfect condition")</f>
        <v>Perfect condition</v>
      </c>
      <c r="L677" s="18">
        <f>iferror(VLOOKUP($D677,Details!$A$2:$C$11,2,false),vlookup($D677,Details!$E$2:$G$11,2,false))</f>
        <v>30</v>
      </c>
      <c r="M677" s="18" t="str">
        <f>iferror(VLOOKUP($D677,Details!$A$2:$C$11,3,false),vlookup($D677,Details!$E$2:$G$11,3,false))</f>
        <v>Fruits and Vegetables</v>
      </c>
      <c r="N677" s="18">
        <f t="shared" si="1"/>
        <v>60</v>
      </c>
      <c r="O677" s="17"/>
      <c r="P677" s="17"/>
      <c r="Q677" s="17"/>
      <c r="R677" s="17"/>
      <c r="S677" s="17"/>
      <c r="T677" s="17"/>
      <c r="U677" s="17"/>
      <c r="V677" s="17"/>
      <c r="W677" s="17"/>
      <c r="X677" s="17"/>
      <c r="Y677" s="17"/>
      <c r="Z677" s="17"/>
    </row>
    <row r="678">
      <c r="A678" s="18" t="str">
        <f>IFERROR(__xludf.DUMMYFUNCTION("""COMPUTED_VALUE"""),"ord_10669")</f>
        <v>ord_10669</v>
      </c>
      <c r="B678" s="18" t="str">
        <f>IFERROR(__xludf.DUMMYFUNCTION("""COMPUTED_VALUE"""),"Mehul Thakkar")</f>
        <v>Mehul Thakkar</v>
      </c>
      <c r="C678" s="18" t="str">
        <f>IFERROR(__xludf.DUMMYFUNCTION("""COMPUTED_VALUE"""),"Malad")</f>
        <v>Malad</v>
      </c>
      <c r="D678" s="18" t="str">
        <f>IFERROR(__xludf.DUMMYFUNCTION("""COMPUTED_VALUE"""),"Veg Puff")</f>
        <v>Veg Puff</v>
      </c>
      <c r="E678" s="18">
        <f>IFERROR(__xludf.DUMMYFUNCTION("""COMPUTED_VALUE"""),2.0)</f>
        <v>2</v>
      </c>
      <c r="F678" s="18" t="str">
        <f>IFERROR(__xludf.DUMMYFUNCTION("""COMPUTED_VALUE"""),"Neha Shah")</f>
        <v>Neha Shah</v>
      </c>
      <c r="G678" s="19">
        <f>IFERROR(__xludf.DUMMYFUNCTION("""COMPUTED_VALUE"""),45148.0)</f>
        <v>45148</v>
      </c>
      <c r="H678" s="18" t="str">
        <f>IFERROR(__xludf.DUMMYFUNCTION("""COMPUTED_VALUE"""),"UPI")</f>
        <v>UPI</v>
      </c>
      <c r="I678" s="18" t="str">
        <f>IFERROR(__xludf.DUMMYFUNCTION("""COMPUTED_VALUE"""),"Delivered")</f>
        <v>Delivered</v>
      </c>
      <c r="J678" s="18" t="str">
        <f>IFERROR(__xludf.DUMMYFUNCTION("""COMPUTED_VALUE"""),"Packaging")</f>
        <v>Packaging</v>
      </c>
      <c r="K678" s="18" t="str">
        <f>IFERROR(__xludf.DUMMYFUNCTION("""COMPUTED_VALUE"""),"Secure and intact")</f>
        <v>Secure and intact</v>
      </c>
      <c r="L678" s="18">
        <f>iferror(VLOOKUP($D678,Details!$A$2:$C$11,2,false),vlookup($D678,Details!$E$2:$G$11,2,false))</f>
        <v>80</v>
      </c>
      <c r="M678" s="18" t="str">
        <f>iferror(VLOOKUP($D678,Details!$A$2:$C$11,3,false),vlookup($D678,Details!$E$2:$G$11,3,false))</f>
        <v>Snacks and Drinks</v>
      </c>
      <c r="N678" s="18">
        <f t="shared" si="1"/>
        <v>160</v>
      </c>
      <c r="O678" s="17"/>
      <c r="P678" s="17"/>
      <c r="Q678" s="17"/>
      <c r="R678" s="17"/>
      <c r="S678" s="17"/>
      <c r="T678" s="17"/>
      <c r="U678" s="17"/>
      <c r="V678" s="17"/>
      <c r="W678" s="17"/>
      <c r="X678" s="17"/>
      <c r="Y678" s="17"/>
      <c r="Z678" s="17"/>
    </row>
    <row r="679">
      <c r="A679" s="18" t="str">
        <f>IFERROR(__xludf.DUMMYFUNCTION("""COMPUTED_VALUE"""),"ord_10670")</f>
        <v>ord_10670</v>
      </c>
      <c r="B679" s="18" t="str">
        <f>IFERROR(__xludf.DUMMYFUNCTION("""COMPUTED_VALUE"""),"Dev Chauhan")</f>
        <v>Dev Chauhan</v>
      </c>
      <c r="C679" s="18" t="str">
        <f>IFERROR(__xludf.DUMMYFUNCTION("""COMPUTED_VALUE"""),"Bandra")</f>
        <v>Bandra</v>
      </c>
      <c r="D679" s="18" t="str">
        <f>IFERROR(__xludf.DUMMYFUNCTION("""COMPUTED_VALUE"""),"Sweet Corn")</f>
        <v>Sweet Corn</v>
      </c>
      <c r="E679" s="18">
        <f>IFERROR(__xludf.DUMMYFUNCTION("""COMPUTED_VALUE"""),1.0)</f>
        <v>1</v>
      </c>
      <c r="F679" s="18" t="str">
        <f>IFERROR(__xludf.DUMMYFUNCTION("""COMPUTED_VALUE"""),"Priya Joshi")</f>
        <v>Priya Joshi</v>
      </c>
      <c r="G679" s="19">
        <f>IFERROR(__xludf.DUMMYFUNCTION("""COMPUTED_VALUE"""),45267.0)</f>
        <v>45267</v>
      </c>
      <c r="H679" s="18" t="str">
        <f>IFERROR(__xludf.DUMMYFUNCTION("""COMPUTED_VALUE"""),"UPI")</f>
        <v>UPI</v>
      </c>
      <c r="I679" s="18" t="str">
        <f>IFERROR(__xludf.DUMMYFUNCTION("""COMPUTED_VALUE"""),"Delivered")</f>
        <v>Delivered</v>
      </c>
      <c r="J679" s="18" t="str">
        <f>IFERROR(__xludf.DUMMYFUNCTION("""COMPUTED_VALUE"""),"Satisfied with the Delivery")</f>
        <v>Satisfied with the Delivery</v>
      </c>
      <c r="K679" s="18" t="str">
        <f>IFERROR(__xludf.DUMMYFUNCTION("""COMPUTED_VALUE"""),"Timely and quality")</f>
        <v>Timely and quality</v>
      </c>
      <c r="L679" s="18">
        <f>iferror(VLOOKUP($D679,Details!$A$2:$C$11,2,false),vlookup($D679,Details!$E$2:$G$11,2,false))</f>
        <v>60</v>
      </c>
      <c r="M679" s="18" t="str">
        <f>iferror(VLOOKUP($D679,Details!$A$2:$C$11,3,false),vlookup($D679,Details!$E$2:$G$11,3,false))</f>
        <v>Fruits and Vegetables</v>
      </c>
      <c r="N679" s="18">
        <f t="shared" si="1"/>
        <v>60</v>
      </c>
      <c r="O679" s="17"/>
      <c r="P679" s="17"/>
      <c r="Q679" s="17"/>
      <c r="R679" s="17"/>
      <c r="S679" s="17"/>
      <c r="T679" s="17"/>
      <c r="U679" s="17"/>
      <c r="V679" s="17"/>
      <c r="W679" s="17"/>
      <c r="X679" s="17"/>
      <c r="Y679" s="17"/>
      <c r="Z679" s="17"/>
    </row>
    <row r="680">
      <c r="A680" s="18" t="str">
        <f>IFERROR(__xludf.DUMMYFUNCTION("""COMPUTED_VALUE"""),"ord_10671")</f>
        <v>ord_10671</v>
      </c>
      <c r="B680" s="18" t="str">
        <f>IFERROR(__xludf.DUMMYFUNCTION("""COMPUTED_VALUE"""),"Aarohi Kapoor")</f>
        <v>Aarohi Kapoor</v>
      </c>
      <c r="C680" s="18" t="str">
        <f>IFERROR(__xludf.DUMMYFUNCTION("""COMPUTED_VALUE"""),"Bandra")</f>
        <v>Bandra</v>
      </c>
      <c r="D680" s="18" t="str">
        <f>IFERROR(__xludf.DUMMYFUNCTION("""COMPUTED_VALUE"""),"Papaya")</f>
        <v>Papaya</v>
      </c>
      <c r="E680" s="18">
        <f>IFERROR(__xludf.DUMMYFUNCTION("""COMPUTED_VALUE"""),2.0)</f>
        <v>2</v>
      </c>
      <c r="F680" s="18" t="str">
        <f>IFERROR(__xludf.DUMMYFUNCTION("""COMPUTED_VALUE"""),"Priya Joshi")</f>
        <v>Priya Joshi</v>
      </c>
      <c r="G680" s="19">
        <f>IFERROR(__xludf.DUMMYFUNCTION("""COMPUTED_VALUE"""),45116.0)</f>
        <v>45116</v>
      </c>
      <c r="H680" s="18" t="str">
        <f>IFERROR(__xludf.DUMMYFUNCTION("""COMPUTED_VALUE"""),"UPI")</f>
        <v>UPI</v>
      </c>
      <c r="I680" s="18" t="str">
        <f>IFERROR(__xludf.DUMMYFUNCTION("""COMPUTED_VALUE"""),"Delivered")</f>
        <v>Delivered</v>
      </c>
      <c r="J680" s="18" t="str">
        <f>IFERROR(__xludf.DUMMYFUNCTION("""COMPUTED_VALUE"""),"Customer Service")</f>
        <v>Customer Service</v>
      </c>
      <c r="K680" s="18" t="str">
        <f>IFERROR(__xludf.DUMMYFUNCTION("""COMPUTED_VALUE"""),"Seamless and easy")</f>
        <v>Seamless and easy</v>
      </c>
      <c r="L680" s="18">
        <f>iferror(VLOOKUP($D680,Details!$A$2:$C$11,2,false),vlookup($D680,Details!$E$2:$G$11,2,false))</f>
        <v>75</v>
      </c>
      <c r="M680" s="18" t="str">
        <f>iferror(VLOOKUP($D680,Details!$A$2:$C$11,3,false),vlookup($D680,Details!$E$2:$G$11,3,false))</f>
        <v>Fruits and Vegetables</v>
      </c>
      <c r="N680" s="18">
        <f t="shared" si="1"/>
        <v>150</v>
      </c>
      <c r="O680" s="17"/>
      <c r="P680" s="17"/>
      <c r="Q680" s="17"/>
      <c r="R680" s="17"/>
      <c r="S680" s="17"/>
      <c r="T680" s="17"/>
      <c r="U680" s="17"/>
      <c r="V680" s="17"/>
      <c r="W680" s="17"/>
      <c r="X680" s="17"/>
      <c r="Y680" s="17"/>
      <c r="Z680" s="17"/>
    </row>
    <row r="681">
      <c r="A681" s="18" t="str">
        <f>IFERROR(__xludf.DUMMYFUNCTION("""COMPUTED_VALUE"""),"ord_10672")</f>
        <v>ord_10672</v>
      </c>
      <c r="B681" s="18" t="str">
        <f>IFERROR(__xludf.DUMMYFUNCTION("""COMPUTED_VALUE"""),"Mohit Malhotra")</f>
        <v>Mohit Malhotra</v>
      </c>
      <c r="C681" s="18" t="str">
        <f>IFERROR(__xludf.DUMMYFUNCTION("""COMPUTED_VALUE"""),"Lower Parel")</f>
        <v>Lower Parel</v>
      </c>
      <c r="D681" s="18" t="str">
        <f>IFERROR(__xludf.DUMMYFUNCTION("""COMPUTED_VALUE"""),"Chocolate Mousse")</f>
        <v>Chocolate Mousse</v>
      </c>
      <c r="E681" s="18">
        <f>IFERROR(__xludf.DUMMYFUNCTION("""COMPUTED_VALUE"""),5.0)</f>
        <v>5</v>
      </c>
      <c r="F681" s="18" t="str">
        <f>IFERROR(__xludf.DUMMYFUNCTION("""COMPUTED_VALUE"""),"Kiran Mehta")</f>
        <v>Kiran Mehta</v>
      </c>
      <c r="G681" s="19">
        <f>IFERROR(__xludf.DUMMYFUNCTION("""COMPUTED_VALUE"""),45180.0)</f>
        <v>45180</v>
      </c>
      <c r="H681" s="18" t="str">
        <f>IFERROR(__xludf.DUMMYFUNCTION("""COMPUTED_VALUE"""),"UPI")</f>
        <v>UPI</v>
      </c>
      <c r="I681" s="18" t="str">
        <f>IFERROR(__xludf.DUMMYFUNCTION("""COMPUTED_VALUE"""),"Delivered")</f>
        <v>Delivered</v>
      </c>
      <c r="J681" s="18" t="str">
        <f>IFERROR(__xludf.DUMMYFUNCTION("""COMPUTED_VALUE"""),"Delivery Experience")</f>
        <v>Delivery Experience</v>
      </c>
      <c r="K681" s="18" t="str">
        <f>IFERROR(__xludf.DUMMYFUNCTION("""COMPUTED_VALUE"""),"Quick and professional")</f>
        <v>Quick and professional</v>
      </c>
      <c r="L681" s="18">
        <f>iferror(VLOOKUP($D681,Details!$A$2:$C$11,2,false),vlookup($D681,Details!$E$2:$G$11,2,false))</f>
        <v>145</v>
      </c>
      <c r="M681" s="18" t="str">
        <f>iferror(VLOOKUP($D681,Details!$A$2:$C$11,3,false),vlookup($D681,Details!$E$2:$G$11,3,false))</f>
        <v>Snacks and Drinks</v>
      </c>
      <c r="N681" s="18">
        <f t="shared" si="1"/>
        <v>725</v>
      </c>
      <c r="O681" s="17"/>
      <c r="P681" s="17"/>
      <c r="Q681" s="17"/>
      <c r="R681" s="17"/>
      <c r="S681" s="17"/>
      <c r="T681" s="17"/>
      <c r="U681" s="17"/>
      <c r="V681" s="17"/>
      <c r="W681" s="17"/>
      <c r="X681" s="17"/>
      <c r="Y681" s="17"/>
      <c r="Z681" s="17"/>
    </row>
    <row r="682">
      <c r="A682" s="18" t="str">
        <f>IFERROR(__xludf.DUMMYFUNCTION("""COMPUTED_VALUE"""),"ord_10673")</f>
        <v>ord_10673</v>
      </c>
      <c r="B682" s="18" t="str">
        <f>IFERROR(__xludf.DUMMYFUNCTION("""COMPUTED_VALUE"""),"Siya Reddy")</f>
        <v>Siya Reddy</v>
      </c>
      <c r="C682" s="18" t="str">
        <f>IFERROR(__xludf.DUMMYFUNCTION("""COMPUTED_VALUE"""),"Juhu")</f>
        <v>Juhu</v>
      </c>
      <c r="D682" s="18" t="str">
        <f>IFERROR(__xludf.DUMMYFUNCTION("""COMPUTED_VALUE"""),"Veg Puff")</f>
        <v>Veg Puff</v>
      </c>
      <c r="E682" s="18">
        <f>IFERROR(__xludf.DUMMYFUNCTION("""COMPUTED_VALUE"""),5.0)</f>
        <v>5</v>
      </c>
      <c r="F682" s="18" t="str">
        <f>IFERROR(__xludf.DUMMYFUNCTION("""COMPUTED_VALUE"""),"Tanvi Jain")</f>
        <v>Tanvi Jain</v>
      </c>
      <c r="G682" s="19">
        <f>IFERROR(__xludf.DUMMYFUNCTION("""COMPUTED_VALUE"""),45019.0)</f>
        <v>45019</v>
      </c>
      <c r="H682" s="18" t="str">
        <f>IFERROR(__xludf.DUMMYFUNCTION("""COMPUTED_VALUE"""),"UPI")</f>
        <v>UPI</v>
      </c>
      <c r="I682" s="18" t="str">
        <f>IFERROR(__xludf.DUMMYFUNCTION("""COMPUTED_VALUE"""),"Delivered")</f>
        <v>Delivered</v>
      </c>
      <c r="J682" s="18" t="str">
        <f>IFERROR(__xludf.DUMMYFUNCTION("""COMPUTED_VALUE"""),"Convenience")</f>
        <v>Convenience</v>
      </c>
      <c r="K682" s="18" t="str">
        <f>IFERROR(__xludf.DUMMYFUNCTION("""COMPUTED_VALUE"""),"Easy tracking")</f>
        <v>Easy tracking</v>
      </c>
      <c r="L682" s="18">
        <f>iferror(VLOOKUP($D682,Details!$A$2:$C$11,2,false),vlookup($D682,Details!$E$2:$G$11,2,false))</f>
        <v>80</v>
      </c>
      <c r="M682" s="18" t="str">
        <f>iferror(VLOOKUP($D682,Details!$A$2:$C$11,3,false),vlookup($D682,Details!$E$2:$G$11,3,false))</f>
        <v>Snacks and Drinks</v>
      </c>
      <c r="N682" s="18">
        <f t="shared" si="1"/>
        <v>400</v>
      </c>
      <c r="O682" s="17"/>
      <c r="P682" s="17"/>
      <c r="Q682" s="17"/>
      <c r="R682" s="17"/>
      <c r="S682" s="17"/>
      <c r="T682" s="17"/>
      <c r="U682" s="17"/>
      <c r="V682" s="17"/>
      <c r="W682" s="17"/>
      <c r="X682" s="17"/>
      <c r="Y682" s="17"/>
      <c r="Z682" s="17"/>
    </row>
    <row r="683">
      <c r="A683" s="18" t="str">
        <f>IFERROR(__xludf.DUMMYFUNCTION("""COMPUTED_VALUE"""),"ord_10674")</f>
        <v>ord_10674</v>
      </c>
      <c r="B683" s="18" t="str">
        <f>IFERROR(__xludf.DUMMYFUNCTION("""COMPUTED_VALUE"""),"Aarohi Kapoor")</f>
        <v>Aarohi Kapoor</v>
      </c>
      <c r="C683" s="18" t="str">
        <f>IFERROR(__xludf.DUMMYFUNCTION("""COMPUTED_VALUE"""),"Bandra")</f>
        <v>Bandra</v>
      </c>
      <c r="D683" s="18" t="str">
        <f>IFERROR(__xludf.DUMMYFUNCTION("""COMPUTED_VALUE"""),"Cold Coffee")</f>
        <v>Cold Coffee</v>
      </c>
      <c r="E683" s="18">
        <f>IFERROR(__xludf.DUMMYFUNCTION("""COMPUTED_VALUE"""),3.0)</f>
        <v>3</v>
      </c>
      <c r="F683" s="18" t="str">
        <f>IFERROR(__xludf.DUMMYFUNCTION("""COMPUTED_VALUE"""),"Not Assigned")</f>
        <v>Not Assigned</v>
      </c>
      <c r="G683" s="19">
        <f>IFERROR(__xludf.DUMMYFUNCTION("""COMPUTED_VALUE"""),44978.0)</f>
        <v>44978</v>
      </c>
      <c r="H683" s="18" t="str">
        <f>IFERROR(__xludf.DUMMYFUNCTION("""COMPUTED_VALUE"""),"Credit Card")</f>
        <v>Credit Card</v>
      </c>
      <c r="I683" s="18" t="str">
        <f>IFERROR(__xludf.DUMMYFUNCTION("""COMPUTED_VALUE"""),"Cancelled")</f>
        <v>Cancelled</v>
      </c>
      <c r="J683" s="18" t="str">
        <f>IFERROR(__xludf.DUMMYFUNCTION("""COMPUTED_VALUE"""),"Out of Stock")</f>
        <v>Out of Stock</v>
      </c>
      <c r="K683" s="18"/>
      <c r="L683" s="18">
        <f>iferror(VLOOKUP($D683,Details!$A$2:$C$11,2,false),vlookup($D683,Details!$E$2:$G$11,2,false))</f>
        <v>270</v>
      </c>
      <c r="M683" s="18" t="str">
        <f>iferror(VLOOKUP($D683,Details!$A$2:$C$11,3,false),vlookup($D683,Details!$E$2:$G$11,3,false))</f>
        <v>Snacks and Drinks</v>
      </c>
      <c r="N683" s="18">
        <f t="shared" si="1"/>
        <v>810</v>
      </c>
      <c r="O683" s="17"/>
      <c r="P683" s="17"/>
      <c r="Q683" s="17"/>
      <c r="R683" s="17"/>
      <c r="S683" s="17"/>
      <c r="T683" s="17"/>
      <c r="U683" s="17"/>
      <c r="V683" s="17"/>
      <c r="W683" s="17"/>
      <c r="X683" s="17"/>
      <c r="Y683" s="17"/>
      <c r="Z683" s="17"/>
    </row>
    <row r="684">
      <c r="A684" s="18" t="str">
        <f>IFERROR(__xludf.DUMMYFUNCTION("""COMPUTED_VALUE"""),"ord_10675")</f>
        <v>ord_10675</v>
      </c>
      <c r="B684" s="18" t="str">
        <f>IFERROR(__xludf.DUMMYFUNCTION("""COMPUTED_VALUE"""),"Tanishq Bansal")</f>
        <v>Tanishq Bansal</v>
      </c>
      <c r="C684" s="18" t="str">
        <f>IFERROR(__xludf.DUMMYFUNCTION("""COMPUTED_VALUE"""),"Powai")</f>
        <v>Powai</v>
      </c>
      <c r="D684" s="18" t="str">
        <f>IFERROR(__xludf.DUMMYFUNCTION("""COMPUTED_VALUE"""),"Rasmalai")</f>
        <v>Rasmalai</v>
      </c>
      <c r="E684" s="18">
        <f>IFERROR(__xludf.DUMMYFUNCTION("""COMPUTED_VALUE"""),1.0)</f>
        <v>1</v>
      </c>
      <c r="F684" s="18" t="str">
        <f>IFERROR(__xludf.DUMMYFUNCTION("""COMPUTED_VALUE"""),"Not Assigned")</f>
        <v>Not Assigned</v>
      </c>
      <c r="G684" s="19">
        <f>IFERROR(__xludf.DUMMYFUNCTION("""COMPUTED_VALUE"""),45248.0)</f>
        <v>45248</v>
      </c>
      <c r="H684" s="18" t="str">
        <f>IFERROR(__xludf.DUMMYFUNCTION("""COMPUTED_VALUE"""),"Credit Card")</f>
        <v>Credit Card</v>
      </c>
      <c r="I684" s="18" t="str">
        <f>IFERROR(__xludf.DUMMYFUNCTION("""COMPUTED_VALUE"""),"Cancelled")</f>
        <v>Cancelled</v>
      </c>
      <c r="J684" s="18" t="str">
        <f>IFERROR(__xludf.DUMMYFUNCTION("""COMPUTED_VALUE"""),"High Delivery Fees")</f>
        <v>High Delivery Fees</v>
      </c>
      <c r="K684" s="18"/>
      <c r="L684" s="18">
        <f>iferror(VLOOKUP($D684,Details!$A$2:$C$11,2,false),vlookup($D684,Details!$E$2:$G$11,2,false))</f>
        <v>110</v>
      </c>
      <c r="M684" s="18" t="str">
        <f>iferror(VLOOKUP($D684,Details!$A$2:$C$11,3,false),vlookup($D684,Details!$E$2:$G$11,3,false))</f>
        <v>Snacks and Drinks</v>
      </c>
      <c r="N684" s="18">
        <f t="shared" si="1"/>
        <v>110</v>
      </c>
      <c r="O684" s="17"/>
      <c r="P684" s="17"/>
      <c r="Q684" s="17"/>
      <c r="R684" s="17"/>
      <c r="S684" s="17"/>
      <c r="T684" s="17"/>
      <c r="U684" s="17"/>
      <c r="V684" s="17"/>
      <c r="W684" s="17"/>
      <c r="X684" s="17"/>
      <c r="Y684" s="17"/>
      <c r="Z684" s="17"/>
    </row>
    <row r="685">
      <c r="A685" s="18" t="str">
        <f>IFERROR(__xludf.DUMMYFUNCTION("""COMPUTED_VALUE"""),"ord_10676")</f>
        <v>ord_10676</v>
      </c>
      <c r="B685" s="18" t="str">
        <f>IFERROR(__xludf.DUMMYFUNCTION("""COMPUTED_VALUE"""),"Sanjay Nair")</f>
        <v>Sanjay Nair</v>
      </c>
      <c r="C685" s="18" t="str">
        <f>IFERROR(__xludf.DUMMYFUNCTION("""COMPUTED_VALUE"""),"Dadar")</f>
        <v>Dadar</v>
      </c>
      <c r="D685" s="18" t="str">
        <f>IFERROR(__xludf.DUMMYFUNCTION("""COMPUTED_VALUE"""),"Chocolate Mousse")</f>
        <v>Chocolate Mousse</v>
      </c>
      <c r="E685" s="18">
        <f>IFERROR(__xludf.DUMMYFUNCTION("""COMPUTED_VALUE"""),3.0)</f>
        <v>3</v>
      </c>
      <c r="F685" s="18" t="str">
        <f>IFERROR(__xludf.DUMMYFUNCTION("""COMPUTED_VALUE"""),"Not Assigned")</f>
        <v>Not Assigned</v>
      </c>
      <c r="G685" s="19">
        <f>IFERROR(__xludf.DUMMYFUNCTION("""COMPUTED_VALUE"""),45146.0)</f>
        <v>45146</v>
      </c>
      <c r="H685" s="18" t="str">
        <f>IFERROR(__xludf.DUMMYFUNCTION("""COMPUTED_VALUE"""),"UPI")</f>
        <v>UPI</v>
      </c>
      <c r="I685" s="18" t="str">
        <f>IFERROR(__xludf.DUMMYFUNCTION("""COMPUTED_VALUE"""),"Cancelled")</f>
        <v>Cancelled</v>
      </c>
      <c r="J685" s="18" t="str">
        <f>IFERROR(__xludf.DUMMYFUNCTION("""COMPUTED_VALUE"""),"Payment Issues")</f>
        <v>Payment Issues</v>
      </c>
      <c r="K685" s="18"/>
      <c r="L685" s="18">
        <f>iferror(VLOOKUP($D685,Details!$A$2:$C$11,2,false),vlookup($D685,Details!$E$2:$G$11,2,false))</f>
        <v>145</v>
      </c>
      <c r="M685" s="18" t="str">
        <f>iferror(VLOOKUP($D685,Details!$A$2:$C$11,3,false),vlookup($D685,Details!$E$2:$G$11,3,false))</f>
        <v>Snacks and Drinks</v>
      </c>
      <c r="N685" s="18">
        <f t="shared" si="1"/>
        <v>435</v>
      </c>
      <c r="O685" s="17"/>
      <c r="P685" s="17"/>
      <c r="Q685" s="17"/>
      <c r="R685" s="17"/>
      <c r="S685" s="17"/>
      <c r="T685" s="17"/>
      <c r="U685" s="17"/>
      <c r="V685" s="17"/>
      <c r="W685" s="17"/>
      <c r="X685" s="17"/>
      <c r="Y685" s="17"/>
      <c r="Z685" s="17"/>
    </row>
    <row r="686">
      <c r="A686" s="18" t="str">
        <f>IFERROR(__xludf.DUMMYFUNCTION("""COMPUTED_VALUE"""),"ord_10677")</f>
        <v>ord_10677</v>
      </c>
      <c r="B686" s="18" t="str">
        <f>IFERROR(__xludf.DUMMYFUNCTION("""COMPUTED_VALUE"""),"Aarohi Kapoor")</f>
        <v>Aarohi Kapoor</v>
      </c>
      <c r="C686" s="18" t="str">
        <f>IFERROR(__xludf.DUMMYFUNCTION("""COMPUTED_VALUE"""),"Bandra")</f>
        <v>Bandra</v>
      </c>
      <c r="D686" s="18" t="str">
        <f>IFERROR(__xludf.DUMMYFUNCTION("""COMPUTED_VALUE"""),"Banana")</f>
        <v>Banana</v>
      </c>
      <c r="E686" s="18">
        <f>IFERROR(__xludf.DUMMYFUNCTION("""COMPUTED_VALUE"""),2.0)</f>
        <v>2</v>
      </c>
      <c r="F686" s="18" t="str">
        <f>IFERROR(__xludf.DUMMYFUNCTION("""COMPUTED_VALUE"""),"Priya Joshi")</f>
        <v>Priya Joshi</v>
      </c>
      <c r="G686" s="19">
        <f>IFERROR(__xludf.DUMMYFUNCTION("""COMPUTED_VALUE"""),45236.0)</f>
        <v>45236</v>
      </c>
      <c r="H686" s="18" t="str">
        <f>IFERROR(__xludf.DUMMYFUNCTION("""COMPUTED_VALUE"""),"Credit Card")</f>
        <v>Credit Card</v>
      </c>
      <c r="I686" s="18" t="str">
        <f>IFERROR(__xludf.DUMMYFUNCTION("""COMPUTED_VALUE"""),"Delivered")</f>
        <v>Delivered</v>
      </c>
      <c r="J686" s="18" t="str">
        <f>IFERROR(__xludf.DUMMYFUNCTION("""COMPUTED_VALUE"""),"Overall Satisfaction")</f>
        <v>Overall Satisfaction</v>
      </c>
      <c r="K686" s="18" t="str">
        <f>IFERROR(__xludf.DUMMYFUNCTION("""COMPUTED_VALUE"""),"Great service will order again")</f>
        <v>Great service will order again</v>
      </c>
      <c r="L686" s="18">
        <f>iferror(VLOOKUP($D686,Details!$A$2:$C$11,2,false),vlookup($D686,Details!$E$2:$G$11,2,false))</f>
        <v>80</v>
      </c>
      <c r="M686" s="18" t="str">
        <f>iferror(VLOOKUP($D686,Details!$A$2:$C$11,3,false),vlookup($D686,Details!$E$2:$G$11,3,false))</f>
        <v>Fruits and Vegetables</v>
      </c>
      <c r="N686" s="18">
        <f t="shared" si="1"/>
        <v>160</v>
      </c>
      <c r="O686" s="17"/>
      <c r="P686" s="17"/>
      <c r="Q686" s="17"/>
      <c r="R686" s="17"/>
      <c r="S686" s="17"/>
      <c r="T686" s="17"/>
      <c r="U686" s="17"/>
      <c r="V686" s="17"/>
      <c r="W686" s="17"/>
      <c r="X686" s="17"/>
      <c r="Y686" s="17"/>
      <c r="Z686" s="17"/>
    </row>
    <row r="687">
      <c r="A687" s="18" t="str">
        <f>IFERROR(__xludf.DUMMYFUNCTION("""COMPUTED_VALUE"""),"ord_10678")</f>
        <v>ord_10678</v>
      </c>
      <c r="B687" s="18" t="str">
        <f>IFERROR(__xludf.DUMMYFUNCTION("""COMPUTED_VALUE"""),"Kritika Shetty")</f>
        <v>Kritika Shetty</v>
      </c>
      <c r="C687" s="18" t="str">
        <f>IFERROR(__xludf.DUMMYFUNCTION("""COMPUTED_VALUE"""),"Malad")</f>
        <v>Malad</v>
      </c>
      <c r="D687" s="18" t="str">
        <f>IFERROR(__xludf.DUMMYFUNCTION("""COMPUTED_VALUE"""),"Papaya")</f>
        <v>Papaya</v>
      </c>
      <c r="E687" s="18">
        <f>IFERROR(__xludf.DUMMYFUNCTION("""COMPUTED_VALUE"""),1.0)</f>
        <v>1</v>
      </c>
      <c r="F687" s="18" t="str">
        <f>IFERROR(__xludf.DUMMYFUNCTION("""COMPUTED_VALUE"""),"Not Assigned")</f>
        <v>Not Assigned</v>
      </c>
      <c r="G687" s="19">
        <f>IFERROR(__xludf.DUMMYFUNCTION("""COMPUTED_VALUE"""),45056.0)</f>
        <v>45056</v>
      </c>
      <c r="H687" s="18" t="str">
        <f>IFERROR(__xludf.DUMMYFUNCTION("""COMPUTED_VALUE"""),"Online Payment")</f>
        <v>Online Payment</v>
      </c>
      <c r="I687" s="18" t="str">
        <f>IFERROR(__xludf.DUMMYFUNCTION("""COMPUTED_VALUE"""),"Cancelled")</f>
        <v>Cancelled</v>
      </c>
      <c r="J687" s="18" t="str">
        <f>IFERROR(__xludf.DUMMYFUNCTION("""COMPUTED_VALUE"""),"Payment Issues")</f>
        <v>Payment Issues</v>
      </c>
      <c r="K687" s="18"/>
      <c r="L687" s="18">
        <f>iferror(VLOOKUP($D687,Details!$A$2:$C$11,2,false),vlookup($D687,Details!$E$2:$G$11,2,false))</f>
        <v>75</v>
      </c>
      <c r="M687" s="18" t="str">
        <f>iferror(VLOOKUP($D687,Details!$A$2:$C$11,3,false),vlookup($D687,Details!$E$2:$G$11,3,false))</f>
        <v>Fruits and Vegetables</v>
      </c>
      <c r="N687" s="18">
        <f t="shared" si="1"/>
        <v>75</v>
      </c>
      <c r="O687" s="17"/>
      <c r="P687" s="17"/>
      <c r="Q687" s="17"/>
      <c r="R687" s="17"/>
      <c r="S687" s="17"/>
      <c r="T687" s="17"/>
      <c r="U687" s="17"/>
      <c r="V687" s="17"/>
      <c r="W687" s="17"/>
      <c r="X687" s="17"/>
      <c r="Y687" s="17"/>
      <c r="Z687" s="17"/>
    </row>
    <row r="688">
      <c r="A688" s="18" t="str">
        <f>IFERROR(__xludf.DUMMYFUNCTION("""COMPUTED_VALUE"""),"ord_10679")</f>
        <v>ord_10679</v>
      </c>
      <c r="B688" s="18" t="str">
        <f>IFERROR(__xludf.DUMMYFUNCTION("""COMPUTED_VALUE"""),"Aditya Basu")</f>
        <v>Aditya Basu</v>
      </c>
      <c r="C688" s="18" t="str">
        <f>IFERROR(__xludf.DUMMYFUNCTION("""COMPUTED_VALUE"""),"Juhu")</f>
        <v>Juhu</v>
      </c>
      <c r="D688" s="18" t="str">
        <f>IFERROR(__xludf.DUMMYFUNCTION("""COMPUTED_VALUE"""),"Banana")</f>
        <v>Banana</v>
      </c>
      <c r="E688" s="18">
        <f>IFERROR(__xludf.DUMMYFUNCTION("""COMPUTED_VALUE"""),3.0)</f>
        <v>3</v>
      </c>
      <c r="F688" s="18" t="str">
        <f>IFERROR(__xludf.DUMMYFUNCTION("""COMPUTED_VALUE"""),"Tanvi Jain")</f>
        <v>Tanvi Jain</v>
      </c>
      <c r="G688" s="19">
        <f>IFERROR(__xludf.DUMMYFUNCTION("""COMPUTED_VALUE"""),45096.0)</f>
        <v>45096</v>
      </c>
      <c r="H688" s="18" t="str">
        <f>IFERROR(__xludf.DUMMYFUNCTION("""COMPUTED_VALUE"""),"UPI")</f>
        <v>UPI</v>
      </c>
      <c r="I688" s="18" t="str">
        <f>IFERROR(__xludf.DUMMYFUNCTION("""COMPUTED_VALUE"""),"Delivered")</f>
        <v>Delivered</v>
      </c>
      <c r="J688" s="18" t="str">
        <f>IFERROR(__xludf.DUMMYFUNCTION("""COMPUTED_VALUE"""),"On-time Delivery")</f>
        <v>On-time Delivery</v>
      </c>
      <c r="K688" s="18" t="str">
        <f>IFERROR(__xludf.DUMMYFUNCTION("""COMPUTED_VALUE"""),"Delivered on time")</f>
        <v>Delivered on time</v>
      </c>
      <c r="L688" s="18">
        <f>iferror(VLOOKUP($D688,Details!$A$2:$C$11,2,false),vlookup($D688,Details!$E$2:$G$11,2,false))</f>
        <v>80</v>
      </c>
      <c r="M688" s="18" t="str">
        <f>iferror(VLOOKUP($D688,Details!$A$2:$C$11,3,false),vlookup($D688,Details!$E$2:$G$11,3,false))</f>
        <v>Fruits and Vegetables</v>
      </c>
      <c r="N688" s="18">
        <f t="shared" si="1"/>
        <v>240</v>
      </c>
      <c r="O688" s="17"/>
      <c r="P688" s="17"/>
      <c r="Q688" s="17"/>
      <c r="R688" s="17"/>
      <c r="S688" s="17"/>
      <c r="T688" s="17"/>
      <c r="U688" s="17"/>
      <c r="V688" s="17"/>
      <c r="W688" s="17"/>
      <c r="X688" s="17"/>
      <c r="Y688" s="17"/>
      <c r="Z688" s="17"/>
    </row>
    <row r="689">
      <c r="A689" s="18" t="str">
        <f>IFERROR(__xludf.DUMMYFUNCTION("""COMPUTED_VALUE"""),"ord_10680")</f>
        <v>ord_10680</v>
      </c>
      <c r="B689" s="18" t="str">
        <f>IFERROR(__xludf.DUMMYFUNCTION("""COMPUTED_VALUE"""),"Aditi Iyer")</f>
        <v>Aditi Iyer</v>
      </c>
      <c r="C689" s="18" t="str">
        <f>IFERROR(__xludf.DUMMYFUNCTION("""COMPUTED_VALUE"""),"Dadar")</f>
        <v>Dadar</v>
      </c>
      <c r="D689" s="18" t="str">
        <f>IFERROR(__xludf.DUMMYFUNCTION("""COMPUTED_VALUE"""),"Orange")</f>
        <v>Orange</v>
      </c>
      <c r="E689" s="18">
        <f>IFERROR(__xludf.DUMMYFUNCTION("""COMPUTED_VALUE"""),1.0)</f>
        <v>1</v>
      </c>
      <c r="F689" s="18" t="str">
        <f>IFERROR(__xludf.DUMMYFUNCTION("""COMPUTED_VALUE"""),"Aman Kumar")</f>
        <v>Aman Kumar</v>
      </c>
      <c r="G689" s="19">
        <f>IFERROR(__xludf.DUMMYFUNCTION("""COMPUTED_VALUE"""),45150.0)</f>
        <v>45150</v>
      </c>
      <c r="H689" s="18" t="str">
        <f>IFERROR(__xludf.DUMMYFUNCTION("""COMPUTED_VALUE"""),"UPI")</f>
        <v>UPI</v>
      </c>
      <c r="I689" s="18" t="str">
        <f>IFERROR(__xludf.DUMMYFUNCTION("""COMPUTED_VALUE"""),"Delivered")</f>
        <v>Delivered</v>
      </c>
      <c r="J689" s="18" t="str">
        <f>IFERROR(__xludf.DUMMYFUNCTION("""COMPUTED_VALUE"""),"Quality of Items")</f>
        <v>Quality of Items</v>
      </c>
      <c r="K689" s="18" t="str">
        <f>IFERROR(__xludf.DUMMYFUNCTION("""COMPUTED_VALUE"""),"Perfect condition")</f>
        <v>Perfect condition</v>
      </c>
      <c r="L689" s="18">
        <f>iferror(VLOOKUP($D689,Details!$A$2:$C$11,2,false),vlookup($D689,Details!$E$2:$G$11,2,false))</f>
        <v>180</v>
      </c>
      <c r="M689" s="18" t="str">
        <f>iferror(VLOOKUP($D689,Details!$A$2:$C$11,3,false),vlookup($D689,Details!$E$2:$G$11,3,false))</f>
        <v>Fruits and Vegetables</v>
      </c>
      <c r="N689" s="18">
        <f t="shared" si="1"/>
        <v>180</v>
      </c>
      <c r="O689" s="17"/>
      <c r="P689" s="17"/>
      <c r="Q689" s="17"/>
      <c r="R689" s="17"/>
      <c r="S689" s="17"/>
      <c r="T689" s="17"/>
      <c r="U689" s="17"/>
      <c r="V689" s="17"/>
      <c r="W689" s="17"/>
      <c r="X689" s="17"/>
      <c r="Y689" s="17"/>
      <c r="Z689" s="17"/>
    </row>
    <row r="690">
      <c r="A690" s="18" t="str">
        <f>IFERROR(__xludf.DUMMYFUNCTION("""COMPUTED_VALUE"""),"ord_10681")</f>
        <v>ord_10681</v>
      </c>
      <c r="B690" s="18" t="str">
        <f>IFERROR(__xludf.DUMMYFUNCTION("""COMPUTED_VALUE"""),"Ishaan Chaturvedi")</f>
        <v>Ishaan Chaturvedi</v>
      </c>
      <c r="C690" s="18" t="str">
        <f>IFERROR(__xludf.DUMMYFUNCTION("""COMPUTED_VALUE"""),"Bandra")</f>
        <v>Bandra</v>
      </c>
      <c r="D690" s="18" t="str">
        <f>IFERROR(__xludf.DUMMYFUNCTION("""COMPUTED_VALUE"""),"Chocolate Mousse")</f>
        <v>Chocolate Mousse</v>
      </c>
      <c r="E690" s="18">
        <f>IFERROR(__xludf.DUMMYFUNCTION("""COMPUTED_VALUE"""),3.0)</f>
        <v>3</v>
      </c>
      <c r="F690" s="18" t="str">
        <f>IFERROR(__xludf.DUMMYFUNCTION("""COMPUTED_VALUE"""),"Not Assigned")</f>
        <v>Not Assigned</v>
      </c>
      <c r="G690" s="19">
        <f>IFERROR(__xludf.DUMMYFUNCTION("""COMPUTED_VALUE"""),45144.0)</f>
        <v>45144</v>
      </c>
      <c r="H690" s="18" t="str">
        <f>IFERROR(__xludf.DUMMYFUNCTION("""COMPUTED_VALUE"""),"UPI")</f>
        <v>UPI</v>
      </c>
      <c r="I690" s="18" t="str">
        <f>IFERROR(__xludf.DUMMYFUNCTION("""COMPUTED_VALUE"""),"Cancelled")</f>
        <v>Cancelled</v>
      </c>
      <c r="J690" s="18" t="str">
        <f>IFERROR(__xludf.DUMMYFUNCTION("""COMPUTED_VALUE"""),"Out of Stock")</f>
        <v>Out of Stock</v>
      </c>
      <c r="K690" s="18"/>
      <c r="L690" s="18">
        <f>iferror(VLOOKUP($D690,Details!$A$2:$C$11,2,false),vlookup($D690,Details!$E$2:$G$11,2,false))</f>
        <v>145</v>
      </c>
      <c r="M690" s="18" t="str">
        <f>iferror(VLOOKUP($D690,Details!$A$2:$C$11,3,false),vlookup($D690,Details!$E$2:$G$11,3,false))</f>
        <v>Snacks and Drinks</v>
      </c>
      <c r="N690" s="18">
        <f t="shared" si="1"/>
        <v>435</v>
      </c>
      <c r="O690" s="17"/>
      <c r="P690" s="17"/>
      <c r="Q690" s="17"/>
      <c r="R690" s="17"/>
      <c r="S690" s="17"/>
      <c r="T690" s="17"/>
      <c r="U690" s="17"/>
      <c r="V690" s="17"/>
      <c r="W690" s="17"/>
      <c r="X690" s="17"/>
      <c r="Y690" s="17"/>
      <c r="Z690" s="17"/>
    </row>
    <row r="691">
      <c r="A691" s="18" t="str">
        <f>IFERROR(__xludf.DUMMYFUNCTION("""COMPUTED_VALUE"""),"ord_10682")</f>
        <v>ord_10682</v>
      </c>
      <c r="B691" s="18" t="str">
        <f>IFERROR(__xludf.DUMMYFUNCTION("""COMPUTED_VALUE"""),"Aarav Mehta")</f>
        <v>Aarav Mehta</v>
      </c>
      <c r="C691" s="18" t="str">
        <f>IFERROR(__xludf.DUMMYFUNCTION("""COMPUTED_VALUE"""),"Andheri")</f>
        <v>Andheri</v>
      </c>
      <c r="D691" s="18" t="str">
        <f>IFERROR(__xludf.DUMMYFUNCTION("""COMPUTED_VALUE"""),"Papaya")</f>
        <v>Papaya</v>
      </c>
      <c r="E691" s="18">
        <f>IFERROR(__xludf.DUMMYFUNCTION("""COMPUTED_VALUE"""),2.0)</f>
        <v>2</v>
      </c>
      <c r="F691" s="18" t="str">
        <f>IFERROR(__xludf.DUMMYFUNCTION("""COMPUTED_VALUE"""),"Rohan Yadav")</f>
        <v>Rohan Yadav</v>
      </c>
      <c r="G691" s="19">
        <f>IFERROR(__xludf.DUMMYFUNCTION("""COMPUTED_VALUE"""),44978.0)</f>
        <v>44978</v>
      </c>
      <c r="H691" s="18" t="str">
        <f>IFERROR(__xludf.DUMMYFUNCTION("""COMPUTED_VALUE"""),"Credit Card")</f>
        <v>Credit Card</v>
      </c>
      <c r="I691" s="18" t="str">
        <f>IFERROR(__xludf.DUMMYFUNCTION("""COMPUTED_VALUE"""),"Delivered")</f>
        <v>Delivered</v>
      </c>
      <c r="J691" s="18" t="str">
        <f>IFERROR(__xludf.DUMMYFUNCTION("""COMPUTED_VALUE"""),"On-time Delivery")</f>
        <v>On-time Delivery</v>
      </c>
      <c r="K691" s="18" t="str">
        <f>IFERROR(__xludf.DUMMYFUNCTION("""COMPUTED_VALUE"""),"Delivered on time")</f>
        <v>Delivered on time</v>
      </c>
      <c r="L691" s="18">
        <f>iferror(VLOOKUP($D691,Details!$A$2:$C$11,2,false),vlookup($D691,Details!$E$2:$G$11,2,false))</f>
        <v>75</v>
      </c>
      <c r="M691" s="18" t="str">
        <f>iferror(VLOOKUP($D691,Details!$A$2:$C$11,3,false),vlookup($D691,Details!$E$2:$G$11,3,false))</f>
        <v>Fruits and Vegetables</v>
      </c>
      <c r="N691" s="18">
        <f t="shared" si="1"/>
        <v>150</v>
      </c>
      <c r="O691" s="17"/>
      <c r="P691" s="17"/>
      <c r="Q691" s="17"/>
      <c r="R691" s="17"/>
      <c r="S691" s="17"/>
      <c r="T691" s="17"/>
      <c r="U691" s="17"/>
      <c r="V691" s="17"/>
      <c r="W691" s="17"/>
      <c r="X691" s="17"/>
      <c r="Y691" s="17"/>
      <c r="Z691" s="17"/>
    </row>
    <row r="692">
      <c r="A692" s="18" t="str">
        <f>IFERROR(__xludf.DUMMYFUNCTION("""COMPUTED_VALUE"""),"ord_10683")</f>
        <v>ord_10683</v>
      </c>
      <c r="B692" s="18" t="str">
        <f>IFERROR(__xludf.DUMMYFUNCTION("""COMPUTED_VALUE"""),"Ishita Banerjee")</f>
        <v>Ishita Banerjee</v>
      </c>
      <c r="C692" s="18" t="str">
        <f>IFERROR(__xludf.DUMMYFUNCTION("""COMPUTED_VALUE"""),"Juhu")</f>
        <v>Juhu</v>
      </c>
      <c r="D692" s="18" t="str">
        <f>IFERROR(__xludf.DUMMYFUNCTION("""COMPUTED_VALUE"""),"Popcorn")</f>
        <v>Popcorn</v>
      </c>
      <c r="E692" s="18">
        <f>IFERROR(__xludf.DUMMYFUNCTION("""COMPUTED_VALUE"""),5.0)</f>
        <v>5</v>
      </c>
      <c r="F692" s="18" t="str">
        <f>IFERROR(__xludf.DUMMYFUNCTION("""COMPUTED_VALUE"""),"Sita T")</f>
        <v>Sita T</v>
      </c>
      <c r="G692" s="19">
        <f>IFERROR(__xludf.DUMMYFUNCTION("""COMPUTED_VALUE"""),45281.0)</f>
        <v>45281</v>
      </c>
      <c r="H692" s="18" t="str">
        <f>IFERROR(__xludf.DUMMYFUNCTION("""COMPUTED_VALUE"""),"Online Payment")</f>
        <v>Online Payment</v>
      </c>
      <c r="I692" s="18" t="str">
        <f>IFERROR(__xludf.DUMMYFUNCTION("""COMPUTED_VALUE"""),"Delivered")</f>
        <v>Delivered</v>
      </c>
      <c r="J692" s="18" t="str">
        <f>IFERROR(__xludf.DUMMYFUNCTION("""COMPUTED_VALUE"""),"Quality of Items")</f>
        <v>Quality of Items</v>
      </c>
      <c r="K692" s="18" t="str">
        <f>IFERROR(__xludf.DUMMYFUNCTION("""COMPUTED_VALUE"""),"Perfect condition")</f>
        <v>Perfect condition</v>
      </c>
      <c r="L692" s="18">
        <f>iferror(VLOOKUP($D692,Details!$A$2:$C$11,2,false),vlookup($D692,Details!$E$2:$G$11,2,false))</f>
        <v>150</v>
      </c>
      <c r="M692" s="18" t="str">
        <f>iferror(VLOOKUP($D692,Details!$A$2:$C$11,3,false),vlookup($D692,Details!$E$2:$G$11,3,false))</f>
        <v>Snacks and Drinks</v>
      </c>
      <c r="N692" s="18">
        <f t="shared" si="1"/>
        <v>750</v>
      </c>
      <c r="O692" s="17"/>
      <c r="P692" s="17"/>
      <c r="Q692" s="17"/>
      <c r="R692" s="17"/>
      <c r="S692" s="17"/>
      <c r="T692" s="17"/>
      <c r="U692" s="17"/>
      <c r="V692" s="17"/>
      <c r="W692" s="17"/>
      <c r="X692" s="17"/>
      <c r="Y692" s="17"/>
      <c r="Z692" s="17"/>
    </row>
    <row r="693">
      <c r="A693" s="18" t="str">
        <f>IFERROR(__xludf.DUMMYFUNCTION("""COMPUTED_VALUE"""),"ord_10684")</f>
        <v>ord_10684</v>
      </c>
      <c r="B693" s="18" t="str">
        <f>IFERROR(__xludf.DUMMYFUNCTION("""COMPUTED_VALUE"""),"Aarav Mehta")</f>
        <v>Aarav Mehta</v>
      </c>
      <c r="C693" s="18" t="str">
        <f>IFERROR(__xludf.DUMMYFUNCTION("""COMPUTED_VALUE"""),"Andheri")</f>
        <v>Andheri</v>
      </c>
      <c r="D693" s="18" t="str">
        <f>IFERROR(__xludf.DUMMYFUNCTION("""COMPUTED_VALUE"""),"Chocolate Mousse")</f>
        <v>Chocolate Mousse</v>
      </c>
      <c r="E693" s="18">
        <f>IFERROR(__xludf.DUMMYFUNCTION("""COMPUTED_VALUE"""),5.0)</f>
        <v>5</v>
      </c>
      <c r="F693" s="18" t="str">
        <f>IFERROR(__xludf.DUMMYFUNCTION("""COMPUTED_VALUE"""),"Ramesh S")</f>
        <v>Ramesh S</v>
      </c>
      <c r="G693" s="19">
        <f>IFERROR(__xludf.DUMMYFUNCTION("""COMPUTED_VALUE"""),45067.0)</f>
        <v>45067</v>
      </c>
      <c r="H693" s="18" t="str">
        <f>IFERROR(__xludf.DUMMYFUNCTION("""COMPUTED_VALUE"""),"UPI")</f>
        <v>UPI</v>
      </c>
      <c r="I693" s="18" t="str">
        <f>IFERROR(__xludf.DUMMYFUNCTION("""COMPUTED_VALUE"""),"Delivered")</f>
        <v>Delivered</v>
      </c>
      <c r="J693" s="18" t="str">
        <f>IFERROR(__xludf.DUMMYFUNCTION("""COMPUTED_VALUE"""),"Packaging")</f>
        <v>Packaging</v>
      </c>
      <c r="K693" s="18" t="str">
        <f>IFERROR(__xludf.DUMMYFUNCTION("""COMPUTED_VALUE"""),"Secure and intact")</f>
        <v>Secure and intact</v>
      </c>
      <c r="L693" s="18">
        <f>iferror(VLOOKUP($D693,Details!$A$2:$C$11,2,false),vlookup($D693,Details!$E$2:$G$11,2,false))</f>
        <v>145</v>
      </c>
      <c r="M693" s="18" t="str">
        <f>iferror(VLOOKUP($D693,Details!$A$2:$C$11,3,false),vlookup($D693,Details!$E$2:$G$11,3,false))</f>
        <v>Snacks and Drinks</v>
      </c>
      <c r="N693" s="18">
        <f t="shared" si="1"/>
        <v>725</v>
      </c>
      <c r="O693" s="17"/>
      <c r="P693" s="17"/>
      <c r="Q693" s="17"/>
      <c r="R693" s="17"/>
      <c r="S693" s="17"/>
      <c r="T693" s="17"/>
      <c r="U693" s="17"/>
      <c r="V693" s="17"/>
      <c r="W693" s="17"/>
      <c r="X693" s="17"/>
      <c r="Y693" s="17"/>
      <c r="Z693" s="17"/>
    </row>
    <row r="694">
      <c r="A694" s="18" t="str">
        <f>IFERROR(__xludf.DUMMYFUNCTION("""COMPUTED_VALUE"""),"ord_10685")</f>
        <v>ord_10685</v>
      </c>
      <c r="B694" s="18" t="str">
        <f>IFERROR(__xludf.DUMMYFUNCTION("""COMPUTED_VALUE"""),"Sanjay Nair")</f>
        <v>Sanjay Nair</v>
      </c>
      <c r="C694" s="18" t="str">
        <f>IFERROR(__xludf.DUMMYFUNCTION("""COMPUTED_VALUE"""),"Dadar")</f>
        <v>Dadar</v>
      </c>
      <c r="D694" s="18" t="str">
        <f>IFERROR(__xludf.DUMMYFUNCTION("""COMPUTED_VALUE"""),"Chicken Puff")</f>
        <v>Chicken Puff</v>
      </c>
      <c r="E694" s="18">
        <f>IFERROR(__xludf.DUMMYFUNCTION("""COMPUTED_VALUE"""),3.0)</f>
        <v>3</v>
      </c>
      <c r="F694" s="18" t="str">
        <f>IFERROR(__xludf.DUMMYFUNCTION("""COMPUTED_VALUE"""),"Not Assigned")</f>
        <v>Not Assigned</v>
      </c>
      <c r="G694" s="19">
        <f>IFERROR(__xludf.DUMMYFUNCTION("""COMPUTED_VALUE"""),45044.0)</f>
        <v>45044</v>
      </c>
      <c r="H694" s="18" t="str">
        <f>IFERROR(__xludf.DUMMYFUNCTION("""COMPUTED_VALUE"""),"Credit Card")</f>
        <v>Credit Card</v>
      </c>
      <c r="I694" s="18" t="str">
        <f>IFERROR(__xludf.DUMMYFUNCTION("""COMPUTED_VALUE"""),"Cancelled")</f>
        <v>Cancelled</v>
      </c>
      <c r="J694" s="18" t="str">
        <f>IFERROR(__xludf.DUMMYFUNCTION("""COMPUTED_VALUE"""),"Payment Issues")</f>
        <v>Payment Issues</v>
      </c>
      <c r="K694" s="18"/>
      <c r="L694" s="18">
        <f>iferror(VLOOKUP($D694,Details!$A$2:$C$11,2,false),vlookup($D694,Details!$E$2:$G$11,2,false))</f>
        <v>90</v>
      </c>
      <c r="M694" s="18" t="str">
        <f>iferror(VLOOKUP($D694,Details!$A$2:$C$11,3,false),vlookup($D694,Details!$E$2:$G$11,3,false))</f>
        <v>Snacks and Drinks</v>
      </c>
      <c r="N694" s="18">
        <f t="shared" si="1"/>
        <v>270</v>
      </c>
      <c r="O694" s="17"/>
      <c r="P694" s="17"/>
      <c r="Q694" s="17"/>
      <c r="R694" s="17"/>
      <c r="S694" s="17"/>
      <c r="T694" s="17"/>
      <c r="U694" s="17"/>
      <c r="V694" s="17"/>
      <c r="W694" s="17"/>
      <c r="X694" s="17"/>
      <c r="Y694" s="17"/>
      <c r="Z694" s="17"/>
    </row>
    <row r="695">
      <c r="A695" s="18" t="str">
        <f>IFERROR(__xludf.DUMMYFUNCTION("""COMPUTED_VALUE"""),"ord_10686")</f>
        <v>ord_10686</v>
      </c>
      <c r="B695" s="18" t="str">
        <f>IFERROR(__xludf.DUMMYFUNCTION("""COMPUTED_VALUE"""),"Pranav Joshi")</f>
        <v>Pranav Joshi</v>
      </c>
      <c r="C695" s="18" t="str">
        <f>IFERROR(__xludf.DUMMYFUNCTION("""COMPUTED_VALUE"""),"Andheri")</f>
        <v>Andheri</v>
      </c>
      <c r="D695" s="18" t="str">
        <f>IFERROR(__xludf.DUMMYFUNCTION("""COMPUTED_VALUE"""),"Banana")</f>
        <v>Banana</v>
      </c>
      <c r="E695" s="18">
        <f>IFERROR(__xludf.DUMMYFUNCTION("""COMPUTED_VALUE"""),1.0)</f>
        <v>1</v>
      </c>
      <c r="F695" s="18" t="str">
        <f>IFERROR(__xludf.DUMMYFUNCTION("""COMPUTED_VALUE"""),"Manju Ajay")</f>
        <v>Manju Ajay</v>
      </c>
      <c r="G695" s="19">
        <f>IFERROR(__xludf.DUMMYFUNCTION("""COMPUTED_VALUE"""),45261.0)</f>
        <v>45261</v>
      </c>
      <c r="H695" s="18" t="str">
        <f>IFERROR(__xludf.DUMMYFUNCTION("""COMPUTED_VALUE"""),"Credit Card")</f>
        <v>Credit Card</v>
      </c>
      <c r="I695" s="18" t="str">
        <f>IFERROR(__xludf.DUMMYFUNCTION("""COMPUTED_VALUE"""),"Delivered")</f>
        <v>Delivered</v>
      </c>
      <c r="J695" s="18" t="str">
        <f>IFERROR(__xludf.DUMMYFUNCTION("""COMPUTED_VALUE"""),"Satisfied with the Delivery")</f>
        <v>Satisfied with the Delivery</v>
      </c>
      <c r="K695" s="18" t="str">
        <f>IFERROR(__xludf.DUMMYFUNCTION("""COMPUTED_VALUE"""),"Timely and quality")</f>
        <v>Timely and quality</v>
      </c>
      <c r="L695" s="18">
        <f>iferror(VLOOKUP($D695,Details!$A$2:$C$11,2,false),vlookup($D695,Details!$E$2:$G$11,2,false))</f>
        <v>80</v>
      </c>
      <c r="M695" s="18" t="str">
        <f>iferror(VLOOKUP($D695,Details!$A$2:$C$11,3,false),vlookup($D695,Details!$E$2:$G$11,3,false))</f>
        <v>Fruits and Vegetables</v>
      </c>
      <c r="N695" s="18">
        <f t="shared" si="1"/>
        <v>80</v>
      </c>
      <c r="O695" s="17"/>
      <c r="P695" s="17"/>
      <c r="Q695" s="17"/>
      <c r="R695" s="17"/>
      <c r="S695" s="17"/>
      <c r="T695" s="17"/>
      <c r="U695" s="17"/>
      <c r="V695" s="17"/>
      <c r="W695" s="17"/>
      <c r="X695" s="17"/>
      <c r="Y695" s="17"/>
      <c r="Z695" s="17"/>
    </row>
    <row r="696">
      <c r="A696" s="18" t="str">
        <f>IFERROR(__xludf.DUMMYFUNCTION("""COMPUTED_VALUE"""),"ord_10687")</f>
        <v>ord_10687</v>
      </c>
      <c r="B696" s="18" t="str">
        <f>IFERROR(__xludf.DUMMYFUNCTION("""COMPUTED_VALUE"""),"Aditi Iyer")</f>
        <v>Aditi Iyer</v>
      </c>
      <c r="C696" s="18" t="str">
        <f>IFERROR(__xludf.DUMMYFUNCTION("""COMPUTED_VALUE"""),"Dadar")</f>
        <v>Dadar</v>
      </c>
      <c r="D696" s="18" t="str">
        <f>IFERROR(__xludf.DUMMYFUNCTION("""COMPUTED_VALUE"""),"Sweet Corn")</f>
        <v>Sweet Corn</v>
      </c>
      <c r="E696" s="18">
        <f>IFERROR(__xludf.DUMMYFUNCTION("""COMPUTED_VALUE"""),1.0)</f>
        <v>1</v>
      </c>
      <c r="F696" s="18" t="str">
        <f>IFERROR(__xludf.DUMMYFUNCTION("""COMPUTED_VALUE"""),"Not Assigned")</f>
        <v>Not Assigned</v>
      </c>
      <c r="G696" s="19">
        <f>IFERROR(__xludf.DUMMYFUNCTION("""COMPUTED_VALUE"""),44984.0)</f>
        <v>44984</v>
      </c>
      <c r="H696" s="18" t="str">
        <f>IFERROR(__xludf.DUMMYFUNCTION("""COMPUTED_VALUE"""),"Credit Card")</f>
        <v>Credit Card</v>
      </c>
      <c r="I696" s="18" t="str">
        <f>IFERROR(__xludf.DUMMYFUNCTION("""COMPUTED_VALUE"""),"Cancelled")</f>
        <v>Cancelled</v>
      </c>
      <c r="J696" s="18" t="str">
        <f>IFERROR(__xludf.DUMMYFUNCTION("""COMPUTED_VALUE"""),"Payment Issues")</f>
        <v>Payment Issues</v>
      </c>
      <c r="K696" s="18"/>
      <c r="L696" s="18">
        <f>iferror(VLOOKUP($D696,Details!$A$2:$C$11,2,false),vlookup($D696,Details!$E$2:$G$11,2,false))</f>
        <v>60</v>
      </c>
      <c r="M696" s="18" t="str">
        <f>iferror(VLOOKUP($D696,Details!$A$2:$C$11,3,false),vlookup($D696,Details!$E$2:$G$11,3,false))</f>
        <v>Fruits and Vegetables</v>
      </c>
      <c r="N696" s="18">
        <f t="shared" si="1"/>
        <v>60</v>
      </c>
      <c r="O696" s="17"/>
      <c r="P696" s="17"/>
      <c r="Q696" s="17"/>
      <c r="R696" s="17"/>
      <c r="S696" s="17"/>
      <c r="T696" s="17"/>
      <c r="U696" s="17"/>
      <c r="V696" s="17"/>
      <c r="W696" s="17"/>
      <c r="X696" s="17"/>
      <c r="Y696" s="17"/>
      <c r="Z696" s="17"/>
    </row>
    <row r="697">
      <c r="A697" s="18" t="str">
        <f>IFERROR(__xludf.DUMMYFUNCTION("""COMPUTED_VALUE"""),"ord_10688")</f>
        <v>ord_10688</v>
      </c>
      <c r="B697" s="18" t="str">
        <f>IFERROR(__xludf.DUMMYFUNCTION("""COMPUTED_VALUE"""),"Pallavi Ghosh")</f>
        <v>Pallavi Ghosh</v>
      </c>
      <c r="C697" s="18" t="str">
        <f>IFERROR(__xludf.DUMMYFUNCTION("""COMPUTED_VALUE"""),"Bandra")</f>
        <v>Bandra</v>
      </c>
      <c r="D697" s="18" t="str">
        <f>IFERROR(__xludf.DUMMYFUNCTION("""COMPUTED_VALUE"""),"Chicken Puff")</f>
        <v>Chicken Puff</v>
      </c>
      <c r="E697" s="18">
        <f>IFERROR(__xludf.DUMMYFUNCTION("""COMPUTED_VALUE"""),3.0)</f>
        <v>3</v>
      </c>
      <c r="F697" s="18" t="str">
        <f>IFERROR(__xludf.DUMMYFUNCTION("""COMPUTED_VALUE"""),"Not Assigned")</f>
        <v>Not Assigned</v>
      </c>
      <c r="G697" s="19">
        <f>IFERROR(__xludf.DUMMYFUNCTION("""COMPUTED_VALUE"""),45220.0)</f>
        <v>45220</v>
      </c>
      <c r="H697" s="18" t="str">
        <f>IFERROR(__xludf.DUMMYFUNCTION("""COMPUTED_VALUE"""),"Credit Card")</f>
        <v>Credit Card</v>
      </c>
      <c r="I697" s="18" t="str">
        <f>IFERROR(__xludf.DUMMYFUNCTION("""COMPUTED_VALUE"""),"Cancelled")</f>
        <v>Cancelled</v>
      </c>
      <c r="J697" s="18" t="str">
        <f>IFERROR(__xludf.DUMMYFUNCTION("""COMPUTED_VALUE"""),"App Glitches")</f>
        <v>App Glitches</v>
      </c>
      <c r="K697" s="18" t="str">
        <f>IFERROR(__xludf.DUMMYFUNCTION("""COMPUTED_VALUE"""),"Slow Loading Time")</f>
        <v>Slow Loading Time</v>
      </c>
      <c r="L697" s="18">
        <f>iferror(VLOOKUP($D697,Details!$A$2:$C$11,2,false),vlookup($D697,Details!$E$2:$G$11,2,false))</f>
        <v>90</v>
      </c>
      <c r="M697" s="18" t="str">
        <f>iferror(VLOOKUP($D697,Details!$A$2:$C$11,3,false),vlookup($D697,Details!$E$2:$G$11,3,false))</f>
        <v>Snacks and Drinks</v>
      </c>
      <c r="N697" s="18">
        <f t="shared" si="1"/>
        <v>270</v>
      </c>
      <c r="O697" s="17"/>
      <c r="P697" s="17"/>
      <c r="Q697" s="17"/>
      <c r="R697" s="17"/>
      <c r="S697" s="17"/>
      <c r="T697" s="17"/>
      <c r="U697" s="17"/>
      <c r="V697" s="17"/>
      <c r="W697" s="17"/>
      <c r="X697" s="17"/>
      <c r="Y697" s="17"/>
      <c r="Z697" s="17"/>
    </row>
    <row r="698">
      <c r="A698" s="18" t="str">
        <f>IFERROR(__xludf.DUMMYFUNCTION("""COMPUTED_VALUE"""),"ord_10689")</f>
        <v>ord_10689</v>
      </c>
      <c r="B698" s="18" t="str">
        <f>IFERROR(__xludf.DUMMYFUNCTION("""COMPUTED_VALUE"""),"Mehul Thakkar")</f>
        <v>Mehul Thakkar</v>
      </c>
      <c r="C698" s="18" t="str">
        <f>IFERROR(__xludf.DUMMYFUNCTION("""COMPUTED_VALUE"""),"Malad")</f>
        <v>Malad</v>
      </c>
      <c r="D698" s="18" t="str">
        <f>IFERROR(__xludf.DUMMYFUNCTION("""COMPUTED_VALUE"""),"Apple")</f>
        <v>Apple</v>
      </c>
      <c r="E698" s="18">
        <f>IFERROR(__xludf.DUMMYFUNCTION("""COMPUTED_VALUE"""),2.0)</f>
        <v>2</v>
      </c>
      <c r="F698" s="18" t="str">
        <f>IFERROR(__xludf.DUMMYFUNCTION("""COMPUTED_VALUE"""),"Not Assigned")</f>
        <v>Not Assigned</v>
      </c>
      <c r="G698" s="19">
        <f>IFERROR(__xludf.DUMMYFUNCTION("""COMPUTED_VALUE"""),45210.0)</f>
        <v>45210</v>
      </c>
      <c r="H698" s="18" t="str">
        <f>IFERROR(__xludf.DUMMYFUNCTION("""COMPUTED_VALUE"""),"Credit Card")</f>
        <v>Credit Card</v>
      </c>
      <c r="I698" s="18" t="str">
        <f>IFERROR(__xludf.DUMMYFUNCTION("""COMPUTED_VALUE"""),"Cancelled")</f>
        <v>Cancelled</v>
      </c>
      <c r="J698" s="18" t="str">
        <f>IFERROR(__xludf.DUMMYFUNCTION("""COMPUTED_VALUE"""),"Payment Issues")</f>
        <v>Payment Issues</v>
      </c>
      <c r="K698" s="18"/>
      <c r="L698" s="18">
        <f>iferror(VLOOKUP($D698,Details!$A$2:$C$11,2,false),vlookup($D698,Details!$E$2:$G$11,2,false))</f>
        <v>230</v>
      </c>
      <c r="M698" s="18" t="str">
        <f>iferror(VLOOKUP($D698,Details!$A$2:$C$11,3,false),vlookup($D698,Details!$E$2:$G$11,3,false))</f>
        <v>Fruits and Vegetables</v>
      </c>
      <c r="N698" s="18">
        <f t="shared" si="1"/>
        <v>460</v>
      </c>
      <c r="O698" s="17"/>
      <c r="P698" s="17"/>
      <c r="Q698" s="17"/>
      <c r="R698" s="17"/>
      <c r="S698" s="17"/>
      <c r="T698" s="17"/>
      <c r="U698" s="17"/>
      <c r="V698" s="17"/>
      <c r="W698" s="17"/>
      <c r="X698" s="17"/>
      <c r="Y698" s="17"/>
      <c r="Z698" s="17"/>
    </row>
    <row r="699">
      <c r="A699" s="18" t="str">
        <f>IFERROR(__xludf.DUMMYFUNCTION("""COMPUTED_VALUE"""),"ord_10690")</f>
        <v>ord_10690</v>
      </c>
      <c r="B699" s="18" t="str">
        <f>IFERROR(__xludf.DUMMYFUNCTION("""COMPUTED_VALUE"""),"Diya Arora")</f>
        <v>Diya Arora</v>
      </c>
      <c r="C699" s="18" t="str">
        <f>IFERROR(__xludf.DUMMYFUNCTION("""COMPUTED_VALUE"""),"Lower Parel")</f>
        <v>Lower Parel</v>
      </c>
      <c r="D699" s="18" t="str">
        <f>IFERROR(__xludf.DUMMYFUNCTION("""COMPUTED_VALUE"""),"Cold Coffee")</f>
        <v>Cold Coffee</v>
      </c>
      <c r="E699" s="18">
        <f>IFERROR(__xludf.DUMMYFUNCTION("""COMPUTED_VALUE"""),1.0)</f>
        <v>1</v>
      </c>
      <c r="F699" s="18" t="str">
        <f>IFERROR(__xludf.DUMMYFUNCTION("""COMPUTED_VALUE"""),"Shine Thomas")</f>
        <v>Shine Thomas</v>
      </c>
      <c r="G699" s="19">
        <f>IFERROR(__xludf.DUMMYFUNCTION("""COMPUTED_VALUE"""),45089.0)</f>
        <v>45089</v>
      </c>
      <c r="H699" s="18" t="str">
        <f>IFERROR(__xludf.DUMMYFUNCTION("""COMPUTED_VALUE"""),"Online Payment")</f>
        <v>Online Payment</v>
      </c>
      <c r="I699" s="18" t="str">
        <f>IFERROR(__xludf.DUMMYFUNCTION("""COMPUTED_VALUE"""),"Delivered")</f>
        <v>Delivered</v>
      </c>
      <c r="J699" s="18" t="str">
        <f>IFERROR(__xludf.DUMMYFUNCTION("""COMPUTED_VALUE"""),"Customer Service")</f>
        <v>Customer Service</v>
      </c>
      <c r="K699" s="18" t="str">
        <f>IFERROR(__xludf.DUMMYFUNCTION("""COMPUTED_VALUE"""),"Seamless and easy")</f>
        <v>Seamless and easy</v>
      </c>
      <c r="L699" s="18">
        <f>iferror(VLOOKUP($D699,Details!$A$2:$C$11,2,false),vlookup($D699,Details!$E$2:$G$11,2,false))</f>
        <v>270</v>
      </c>
      <c r="M699" s="18" t="str">
        <f>iferror(VLOOKUP($D699,Details!$A$2:$C$11,3,false),vlookup($D699,Details!$E$2:$G$11,3,false))</f>
        <v>Snacks and Drinks</v>
      </c>
      <c r="N699" s="18">
        <f t="shared" si="1"/>
        <v>270</v>
      </c>
      <c r="O699" s="17"/>
      <c r="P699" s="17"/>
      <c r="Q699" s="17"/>
      <c r="R699" s="17"/>
      <c r="S699" s="17"/>
      <c r="T699" s="17"/>
      <c r="U699" s="17"/>
      <c r="V699" s="17"/>
      <c r="W699" s="17"/>
      <c r="X699" s="17"/>
      <c r="Y699" s="17"/>
      <c r="Z699" s="17"/>
    </row>
    <row r="700">
      <c r="A700" s="18" t="str">
        <f>IFERROR(__xludf.DUMMYFUNCTION("""COMPUTED_VALUE"""),"ord_10691")</f>
        <v>ord_10691</v>
      </c>
      <c r="B700" s="18" t="str">
        <f>IFERROR(__xludf.DUMMYFUNCTION("""COMPUTED_VALUE"""),"Arvind Kulkarni")</f>
        <v>Arvind Kulkarni</v>
      </c>
      <c r="C700" s="18" t="str">
        <f>IFERROR(__xludf.DUMMYFUNCTION("""COMPUTED_VALUE"""),"Juhu")</f>
        <v>Juhu</v>
      </c>
      <c r="D700" s="18" t="str">
        <f>IFERROR(__xludf.DUMMYFUNCTION("""COMPUTED_VALUE"""),"Cold Coffee")</f>
        <v>Cold Coffee</v>
      </c>
      <c r="E700" s="18">
        <f>IFERROR(__xludf.DUMMYFUNCTION("""COMPUTED_VALUE"""),1.0)</f>
        <v>1</v>
      </c>
      <c r="F700" s="18" t="str">
        <f>IFERROR(__xludf.DUMMYFUNCTION("""COMPUTED_VALUE"""),"Rohan Yadav")</f>
        <v>Rohan Yadav</v>
      </c>
      <c r="G700" s="19">
        <f>IFERROR(__xludf.DUMMYFUNCTION("""COMPUTED_VALUE"""),45260.0)</f>
        <v>45260</v>
      </c>
      <c r="H700" s="18" t="str">
        <f>IFERROR(__xludf.DUMMYFUNCTION("""COMPUTED_VALUE"""),"Credit Card")</f>
        <v>Credit Card</v>
      </c>
      <c r="I700" s="18" t="str">
        <f>IFERROR(__xludf.DUMMYFUNCTION("""COMPUTED_VALUE"""),"Cancelled")</f>
        <v>Cancelled</v>
      </c>
      <c r="J700" s="18" t="str">
        <f>IFERROR(__xludf.DUMMYFUNCTION("""COMPUTED_VALUE"""),"Delayed Delivery")</f>
        <v>Delayed Delivery</v>
      </c>
      <c r="K700" s="18" t="str">
        <f>IFERROR(__xludf.DUMMYFUNCTION("""COMPUTED_VALUE"""),"Bad Weather Conditions")</f>
        <v>Bad Weather Conditions</v>
      </c>
      <c r="L700" s="18">
        <f>iferror(VLOOKUP($D700,Details!$A$2:$C$11,2,false),vlookup($D700,Details!$E$2:$G$11,2,false))</f>
        <v>270</v>
      </c>
      <c r="M700" s="18" t="str">
        <f>iferror(VLOOKUP($D700,Details!$A$2:$C$11,3,false),vlookup($D700,Details!$E$2:$G$11,3,false))</f>
        <v>Snacks and Drinks</v>
      </c>
      <c r="N700" s="18">
        <f t="shared" si="1"/>
        <v>270</v>
      </c>
      <c r="O700" s="17"/>
      <c r="P700" s="17"/>
      <c r="Q700" s="17"/>
      <c r="R700" s="17"/>
      <c r="S700" s="17"/>
      <c r="T700" s="17"/>
      <c r="U700" s="17"/>
      <c r="V700" s="17"/>
      <c r="W700" s="17"/>
      <c r="X700" s="17"/>
      <c r="Y700" s="17"/>
      <c r="Z700" s="17"/>
    </row>
    <row r="701">
      <c r="A701" s="18" t="str">
        <f>IFERROR(__xludf.DUMMYFUNCTION("""COMPUTED_VALUE"""),"ord_10692")</f>
        <v>ord_10692</v>
      </c>
      <c r="B701" s="18" t="str">
        <f>IFERROR(__xludf.DUMMYFUNCTION("""COMPUTED_VALUE"""),"Kritika Shetty")</f>
        <v>Kritika Shetty</v>
      </c>
      <c r="C701" s="18" t="str">
        <f>IFERROR(__xludf.DUMMYFUNCTION("""COMPUTED_VALUE"""),"Malad")</f>
        <v>Malad</v>
      </c>
      <c r="D701" s="18" t="str">
        <f>IFERROR(__xludf.DUMMYFUNCTION("""COMPUTED_VALUE"""),"Icecream")</f>
        <v>Icecream</v>
      </c>
      <c r="E701" s="18">
        <f>IFERROR(__xludf.DUMMYFUNCTION("""COMPUTED_VALUE"""),2.0)</f>
        <v>2</v>
      </c>
      <c r="F701" s="18" t="str">
        <f>IFERROR(__xludf.DUMMYFUNCTION("""COMPUTED_VALUE"""),"Ramesh S")</f>
        <v>Ramesh S</v>
      </c>
      <c r="G701" s="19">
        <f>IFERROR(__xludf.DUMMYFUNCTION("""COMPUTED_VALUE"""),45228.0)</f>
        <v>45228</v>
      </c>
      <c r="H701" s="18" t="str">
        <f>IFERROR(__xludf.DUMMYFUNCTION("""COMPUTED_VALUE"""),"UPI")</f>
        <v>UPI</v>
      </c>
      <c r="I701" s="18" t="str">
        <f>IFERROR(__xludf.DUMMYFUNCTION("""COMPUTED_VALUE"""),"Delivered")</f>
        <v>Delivered</v>
      </c>
      <c r="J701" s="18" t="str">
        <f>IFERROR(__xludf.DUMMYFUNCTION("""COMPUTED_VALUE"""),"Delivery Experience")</f>
        <v>Delivery Experience</v>
      </c>
      <c r="K701" s="18" t="str">
        <f>IFERROR(__xludf.DUMMYFUNCTION("""COMPUTED_VALUE"""),"Quick and professional")</f>
        <v>Quick and professional</v>
      </c>
      <c r="L701" s="18">
        <f>iferror(VLOOKUP($D701,Details!$A$2:$C$11,2,false),vlookup($D701,Details!$E$2:$G$11,2,false))</f>
        <v>90</v>
      </c>
      <c r="M701" s="18" t="str">
        <f>iferror(VLOOKUP($D701,Details!$A$2:$C$11,3,false),vlookup($D701,Details!$E$2:$G$11,3,false))</f>
        <v>Snacks and Drinks</v>
      </c>
      <c r="N701" s="18">
        <f t="shared" si="1"/>
        <v>180</v>
      </c>
      <c r="O701" s="17"/>
      <c r="P701" s="17"/>
      <c r="Q701" s="17"/>
      <c r="R701" s="17"/>
      <c r="S701" s="17"/>
      <c r="T701" s="17"/>
      <c r="U701" s="17"/>
      <c r="V701" s="17"/>
      <c r="W701" s="17"/>
      <c r="X701" s="17"/>
      <c r="Y701" s="17"/>
      <c r="Z701" s="17"/>
    </row>
    <row r="702">
      <c r="A702" s="18" t="str">
        <f>IFERROR(__xludf.DUMMYFUNCTION("""COMPUTED_VALUE"""),"ord_10693")</f>
        <v>ord_10693</v>
      </c>
      <c r="B702" s="18" t="str">
        <f>IFERROR(__xludf.DUMMYFUNCTION("""COMPUTED_VALUE"""),"Aditi Iyer")</f>
        <v>Aditi Iyer</v>
      </c>
      <c r="C702" s="18" t="str">
        <f>IFERROR(__xludf.DUMMYFUNCTION("""COMPUTED_VALUE"""),"Dadar")</f>
        <v>Dadar</v>
      </c>
      <c r="D702" s="18" t="str">
        <f>IFERROR(__xludf.DUMMYFUNCTION("""COMPUTED_VALUE"""),"Guava")</f>
        <v>Guava</v>
      </c>
      <c r="E702" s="18">
        <f>IFERROR(__xludf.DUMMYFUNCTION("""COMPUTED_VALUE"""),2.0)</f>
        <v>2</v>
      </c>
      <c r="F702" s="18" t="str">
        <f>IFERROR(__xludf.DUMMYFUNCTION("""COMPUTED_VALUE"""),"Not Assigned")</f>
        <v>Not Assigned</v>
      </c>
      <c r="G702" s="19">
        <f>IFERROR(__xludf.DUMMYFUNCTION("""COMPUTED_VALUE"""),45228.0)</f>
        <v>45228</v>
      </c>
      <c r="H702" s="18" t="str">
        <f>IFERROR(__xludf.DUMMYFUNCTION("""COMPUTED_VALUE"""),"UPI")</f>
        <v>UPI</v>
      </c>
      <c r="I702" s="18" t="str">
        <f>IFERROR(__xludf.DUMMYFUNCTION("""COMPUTED_VALUE"""),"Cancelled")</f>
        <v>Cancelled</v>
      </c>
      <c r="J702" s="18" t="str">
        <f>IFERROR(__xludf.DUMMYFUNCTION("""COMPUTED_VALUE"""),"Out of Stock")</f>
        <v>Out of Stock</v>
      </c>
      <c r="K702" s="18"/>
      <c r="L702" s="18">
        <f>iferror(VLOOKUP($D702,Details!$A$2:$C$11,2,false),vlookup($D702,Details!$E$2:$G$11,2,false))</f>
        <v>70</v>
      </c>
      <c r="M702" s="18" t="str">
        <f>iferror(VLOOKUP($D702,Details!$A$2:$C$11,3,false),vlookup($D702,Details!$E$2:$G$11,3,false))</f>
        <v>Fruits and Vegetables</v>
      </c>
      <c r="N702" s="18">
        <f t="shared" si="1"/>
        <v>140</v>
      </c>
      <c r="O702" s="17"/>
      <c r="P702" s="17"/>
      <c r="Q702" s="17"/>
      <c r="R702" s="17"/>
      <c r="S702" s="17"/>
      <c r="T702" s="17"/>
      <c r="U702" s="17"/>
      <c r="V702" s="17"/>
      <c r="W702" s="17"/>
      <c r="X702" s="17"/>
      <c r="Y702" s="17"/>
      <c r="Z702" s="17"/>
    </row>
    <row r="703">
      <c r="A703" s="18" t="str">
        <f>IFERROR(__xludf.DUMMYFUNCTION("""COMPUTED_VALUE"""),"ord_10694")</f>
        <v>ord_10694</v>
      </c>
      <c r="B703" s="18" t="str">
        <f>IFERROR(__xludf.DUMMYFUNCTION("""COMPUTED_VALUE"""),"Pranav Joshi")</f>
        <v>Pranav Joshi</v>
      </c>
      <c r="C703" s="18" t="str">
        <f>IFERROR(__xludf.DUMMYFUNCTION("""COMPUTED_VALUE"""),"Andheri")</f>
        <v>Andheri</v>
      </c>
      <c r="D703" s="18" t="str">
        <f>IFERROR(__xludf.DUMMYFUNCTION("""COMPUTED_VALUE"""),"Juice")</f>
        <v>Juice</v>
      </c>
      <c r="E703" s="18">
        <f>IFERROR(__xludf.DUMMYFUNCTION("""COMPUTED_VALUE"""),1.0)</f>
        <v>1</v>
      </c>
      <c r="F703" s="18" t="str">
        <f>IFERROR(__xludf.DUMMYFUNCTION("""COMPUTED_VALUE"""),"Manju Ajay")</f>
        <v>Manju Ajay</v>
      </c>
      <c r="G703" s="19">
        <f>IFERROR(__xludf.DUMMYFUNCTION("""COMPUTED_VALUE"""),45189.0)</f>
        <v>45189</v>
      </c>
      <c r="H703" s="18" t="str">
        <f>IFERROR(__xludf.DUMMYFUNCTION("""COMPUTED_VALUE"""),"UPI")</f>
        <v>UPI</v>
      </c>
      <c r="I703" s="18" t="str">
        <f>IFERROR(__xludf.DUMMYFUNCTION("""COMPUTED_VALUE"""),"Delivered")</f>
        <v>Delivered</v>
      </c>
      <c r="J703" s="18" t="str">
        <f>IFERROR(__xludf.DUMMYFUNCTION("""COMPUTED_VALUE"""),"Convenience")</f>
        <v>Convenience</v>
      </c>
      <c r="K703" s="18" t="str">
        <f>IFERROR(__xludf.DUMMYFUNCTION("""COMPUTED_VALUE"""),"Easy tracking")</f>
        <v>Easy tracking</v>
      </c>
      <c r="L703" s="18">
        <f>iferror(VLOOKUP($D703,Details!$A$2:$C$11,2,false),vlookup($D703,Details!$E$2:$G$11,2,false))</f>
        <v>90</v>
      </c>
      <c r="M703" s="18" t="str">
        <f>iferror(VLOOKUP($D703,Details!$A$2:$C$11,3,false),vlookup($D703,Details!$E$2:$G$11,3,false))</f>
        <v>Snacks and Drinks</v>
      </c>
      <c r="N703" s="18">
        <f t="shared" si="1"/>
        <v>90</v>
      </c>
      <c r="O703" s="17"/>
      <c r="P703" s="17"/>
      <c r="Q703" s="17"/>
      <c r="R703" s="17"/>
      <c r="S703" s="17"/>
      <c r="T703" s="17"/>
      <c r="U703" s="17"/>
      <c r="V703" s="17"/>
      <c r="W703" s="17"/>
      <c r="X703" s="17"/>
      <c r="Y703" s="17"/>
      <c r="Z703" s="17"/>
    </row>
    <row r="704">
      <c r="A704" s="18" t="str">
        <f>IFERROR(__xludf.DUMMYFUNCTION("""COMPUTED_VALUE"""),"ord_10695")</f>
        <v>ord_10695</v>
      </c>
      <c r="B704" s="18" t="str">
        <f>IFERROR(__xludf.DUMMYFUNCTION("""COMPUTED_VALUE"""),"Parth Goel")</f>
        <v>Parth Goel</v>
      </c>
      <c r="C704" s="18" t="str">
        <f>IFERROR(__xludf.DUMMYFUNCTION("""COMPUTED_VALUE"""),"Juhu")</f>
        <v>Juhu</v>
      </c>
      <c r="D704" s="18" t="str">
        <f>IFERROR(__xludf.DUMMYFUNCTION("""COMPUTED_VALUE"""),"Apple")</f>
        <v>Apple</v>
      </c>
      <c r="E704" s="18">
        <f>IFERROR(__xludf.DUMMYFUNCTION("""COMPUTED_VALUE"""),2.0)</f>
        <v>2</v>
      </c>
      <c r="F704" s="18" t="str">
        <f>IFERROR(__xludf.DUMMYFUNCTION("""COMPUTED_VALUE"""),"Sita T")</f>
        <v>Sita T</v>
      </c>
      <c r="G704" s="19">
        <f>IFERROR(__xludf.DUMMYFUNCTION("""COMPUTED_VALUE"""),45130.0)</f>
        <v>45130</v>
      </c>
      <c r="H704" s="18" t="str">
        <f>IFERROR(__xludf.DUMMYFUNCTION("""COMPUTED_VALUE"""),"UPI")</f>
        <v>UPI</v>
      </c>
      <c r="I704" s="18" t="str">
        <f>IFERROR(__xludf.DUMMYFUNCTION("""COMPUTED_VALUE"""),"Delivered")</f>
        <v>Delivered</v>
      </c>
      <c r="J704" s="18" t="str">
        <f>IFERROR(__xludf.DUMMYFUNCTION("""COMPUTED_VALUE"""),"Overall Satisfaction")</f>
        <v>Overall Satisfaction</v>
      </c>
      <c r="K704" s="18" t="str">
        <f>IFERROR(__xludf.DUMMYFUNCTION("""COMPUTED_VALUE"""),"Great service will order again")</f>
        <v>Great service will order again</v>
      </c>
      <c r="L704" s="18">
        <f>iferror(VLOOKUP($D704,Details!$A$2:$C$11,2,false),vlookup($D704,Details!$E$2:$G$11,2,false))</f>
        <v>230</v>
      </c>
      <c r="M704" s="18" t="str">
        <f>iferror(VLOOKUP($D704,Details!$A$2:$C$11,3,false),vlookup($D704,Details!$E$2:$G$11,3,false))</f>
        <v>Fruits and Vegetables</v>
      </c>
      <c r="N704" s="18">
        <f t="shared" si="1"/>
        <v>460</v>
      </c>
      <c r="O704" s="17"/>
      <c r="P704" s="17"/>
      <c r="Q704" s="17"/>
      <c r="R704" s="17"/>
      <c r="S704" s="17"/>
      <c r="T704" s="17"/>
      <c r="U704" s="17"/>
      <c r="V704" s="17"/>
      <c r="W704" s="17"/>
      <c r="X704" s="17"/>
      <c r="Y704" s="17"/>
      <c r="Z704" s="17"/>
    </row>
    <row r="705">
      <c r="A705" s="18" t="str">
        <f>IFERROR(__xludf.DUMMYFUNCTION("""COMPUTED_VALUE"""),"ord_10696")</f>
        <v>ord_10696</v>
      </c>
      <c r="B705" s="18" t="str">
        <f>IFERROR(__xludf.DUMMYFUNCTION("""COMPUTED_VALUE"""),"Aarav Mehta")</f>
        <v>Aarav Mehta</v>
      </c>
      <c r="C705" s="18" t="str">
        <f>IFERROR(__xludf.DUMMYFUNCTION("""COMPUTED_VALUE"""),"Andheri")</f>
        <v>Andheri</v>
      </c>
      <c r="D705" s="18" t="str">
        <f>IFERROR(__xludf.DUMMYFUNCTION("""COMPUTED_VALUE"""),"Tomato")</f>
        <v>Tomato</v>
      </c>
      <c r="E705" s="18">
        <f>IFERROR(__xludf.DUMMYFUNCTION("""COMPUTED_VALUE"""),1.0)</f>
        <v>1</v>
      </c>
      <c r="F705" s="18" t="str">
        <f>IFERROR(__xludf.DUMMYFUNCTION("""COMPUTED_VALUE"""),"Ramesh S")</f>
        <v>Ramesh S</v>
      </c>
      <c r="G705" s="19">
        <f>IFERROR(__xludf.DUMMYFUNCTION("""COMPUTED_VALUE"""),45151.0)</f>
        <v>45151</v>
      </c>
      <c r="H705" s="18" t="str">
        <f>IFERROR(__xludf.DUMMYFUNCTION("""COMPUTED_VALUE"""),"UPI")</f>
        <v>UPI</v>
      </c>
      <c r="I705" s="18" t="str">
        <f>IFERROR(__xludf.DUMMYFUNCTION("""COMPUTED_VALUE"""),"Delivered")</f>
        <v>Delivered</v>
      </c>
      <c r="J705" s="18" t="str">
        <f>IFERROR(__xludf.DUMMYFUNCTION("""COMPUTED_VALUE"""),"On-time Delivery")</f>
        <v>On-time Delivery</v>
      </c>
      <c r="K705" s="18" t="str">
        <f>IFERROR(__xludf.DUMMYFUNCTION("""COMPUTED_VALUE"""),"Delivered on time")</f>
        <v>Delivered on time</v>
      </c>
      <c r="L705" s="18">
        <f>iferror(VLOOKUP($D705,Details!$A$2:$C$11,2,false),vlookup($D705,Details!$E$2:$G$11,2,false))</f>
        <v>25</v>
      </c>
      <c r="M705" s="18" t="str">
        <f>iferror(VLOOKUP($D705,Details!$A$2:$C$11,3,false),vlookup($D705,Details!$E$2:$G$11,3,false))</f>
        <v>Fruits and Vegetables</v>
      </c>
      <c r="N705" s="18">
        <f t="shared" si="1"/>
        <v>25</v>
      </c>
      <c r="O705" s="17"/>
      <c r="P705" s="17"/>
      <c r="Q705" s="17"/>
      <c r="R705" s="17"/>
      <c r="S705" s="17"/>
      <c r="T705" s="17"/>
      <c r="U705" s="17"/>
      <c r="V705" s="17"/>
      <c r="W705" s="17"/>
      <c r="X705" s="17"/>
      <c r="Y705" s="17"/>
      <c r="Z705" s="17"/>
    </row>
    <row r="706">
      <c r="A706" s="18" t="str">
        <f>IFERROR(__xludf.DUMMYFUNCTION("""COMPUTED_VALUE"""),"ord_10697")</f>
        <v>ord_10697</v>
      </c>
      <c r="B706" s="18" t="str">
        <f>IFERROR(__xludf.DUMMYFUNCTION("""COMPUTED_VALUE"""),"Parth Goel")</f>
        <v>Parth Goel</v>
      </c>
      <c r="C706" s="18" t="str">
        <f>IFERROR(__xludf.DUMMYFUNCTION("""COMPUTED_VALUE"""),"Juhu")</f>
        <v>Juhu</v>
      </c>
      <c r="D706" s="18" t="str">
        <f>IFERROR(__xludf.DUMMYFUNCTION("""COMPUTED_VALUE"""),"Apple")</f>
        <v>Apple</v>
      </c>
      <c r="E706" s="18">
        <f>IFERROR(__xludf.DUMMYFUNCTION("""COMPUTED_VALUE"""),2.0)</f>
        <v>2</v>
      </c>
      <c r="F706" s="18" t="str">
        <f>IFERROR(__xludf.DUMMYFUNCTION("""COMPUTED_VALUE"""),"Sita T")</f>
        <v>Sita T</v>
      </c>
      <c r="G706" s="19">
        <f>IFERROR(__xludf.DUMMYFUNCTION("""COMPUTED_VALUE"""),45176.0)</f>
        <v>45176</v>
      </c>
      <c r="H706" s="18" t="str">
        <f>IFERROR(__xludf.DUMMYFUNCTION("""COMPUTED_VALUE"""),"Credit Card")</f>
        <v>Credit Card</v>
      </c>
      <c r="I706" s="18" t="str">
        <f>IFERROR(__xludf.DUMMYFUNCTION("""COMPUTED_VALUE"""),"Cancelled")</f>
        <v>Cancelled</v>
      </c>
      <c r="J706" s="18" t="str">
        <f>IFERROR(__xludf.DUMMYFUNCTION("""COMPUTED_VALUE"""),"Delayed Delivery")</f>
        <v>Delayed Delivery</v>
      </c>
      <c r="K706" s="18" t="str">
        <f>IFERROR(__xludf.DUMMYFUNCTION("""COMPUTED_VALUE"""),"Heavy Traffic")</f>
        <v>Heavy Traffic</v>
      </c>
      <c r="L706" s="18">
        <f>iferror(VLOOKUP($D706,Details!$A$2:$C$11,2,false),vlookup($D706,Details!$E$2:$G$11,2,false))</f>
        <v>230</v>
      </c>
      <c r="M706" s="18" t="str">
        <f>iferror(VLOOKUP($D706,Details!$A$2:$C$11,3,false),vlookup($D706,Details!$E$2:$G$11,3,false))</f>
        <v>Fruits and Vegetables</v>
      </c>
      <c r="N706" s="18">
        <f t="shared" si="1"/>
        <v>460</v>
      </c>
      <c r="O706" s="17"/>
      <c r="P706" s="17"/>
      <c r="Q706" s="17"/>
      <c r="R706" s="17"/>
      <c r="S706" s="17"/>
      <c r="T706" s="17"/>
      <c r="U706" s="17"/>
      <c r="V706" s="17"/>
      <c r="W706" s="17"/>
      <c r="X706" s="17"/>
      <c r="Y706" s="17"/>
      <c r="Z706" s="17"/>
    </row>
    <row r="707">
      <c r="A707" s="18" t="str">
        <f>IFERROR(__xludf.DUMMYFUNCTION("""COMPUTED_VALUE"""),"ord_10698")</f>
        <v>ord_10698</v>
      </c>
      <c r="B707" s="18" t="str">
        <f>IFERROR(__xludf.DUMMYFUNCTION("""COMPUTED_VALUE"""),"Kritika Shetty")</f>
        <v>Kritika Shetty</v>
      </c>
      <c r="C707" s="18" t="str">
        <f>IFERROR(__xludf.DUMMYFUNCTION("""COMPUTED_VALUE"""),"Malad")</f>
        <v>Malad</v>
      </c>
      <c r="D707" s="18" t="str">
        <f>IFERROR(__xludf.DUMMYFUNCTION("""COMPUTED_VALUE"""),"Chicken Puff")</f>
        <v>Chicken Puff</v>
      </c>
      <c r="E707" s="18">
        <f>IFERROR(__xludf.DUMMYFUNCTION("""COMPUTED_VALUE"""),5.0)</f>
        <v>5</v>
      </c>
      <c r="F707" s="18" t="str">
        <f>IFERROR(__xludf.DUMMYFUNCTION("""COMPUTED_VALUE"""),"Not Assigned")</f>
        <v>Not Assigned</v>
      </c>
      <c r="G707" s="19">
        <f>IFERROR(__xludf.DUMMYFUNCTION("""COMPUTED_VALUE"""),45256.0)</f>
        <v>45256</v>
      </c>
      <c r="H707" s="18" t="str">
        <f>IFERROR(__xludf.DUMMYFUNCTION("""COMPUTED_VALUE"""),"UPI")</f>
        <v>UPI</v>
      </c>
      <c r="I707" s="18" t="str">
        <f>IFERROR(__xludf.DUMMYFUNCTION("""COMPUTED_VALUE"""),"Cancelled")</f>
        <v>Cancelled</v>
      </c>
      <c r="J707" s="18" t="str">
        <f>IFERROR(__xludf.DUMMYFUNCTION("""COMPUTED_VALUE"""),"App Glitches")</f>
        <v>App Glitches</v>
      </c>
      <c r="K707" s="18" t="str">
        <f>IFERROR(__xludf.DUMMYFUNCTION("""COMPUTED_VALUE"""),"Payment Button Malfunction")</f>
        <v>Payment Button Malfunction</v>
      </c>
      <c r="L707" s="18">
        <f>iferror(VLOOKUP($D707,Details!$A$2:$C$11,2,false),vlookup($D707,Details!$E$2:$G$11,2,false))</f>
        <v>90</v>
      </c>
      <c r="M707" s="18" t="str">
        <f>iferror(VLOOKUP($D707,Details!$A$2:$C$11,3,false),vlookup($D707,Details!$E$2:$G$11,3,false))</f>
        <v>Snacks and Drinks</v>
      </c>
      <c r="N707" s="18">
        <f t="shared" si="1"/>
        <v>450</v>
      </c>
      <c r="O707" s="17"/>
      <c r="P707" s="17"/>
      <c r="Q707" s="17"/>
      <c r="R707" s="17"/>
      <c r="S707" s="17"/>
      <c r="T707" s="17"/>
      <c r="U707" s="17"/>
      <c r="V707" s="17"/>
      <c r="W707" s="17"/>
      <c r="X707" s="17"/>
      <c r="Y707" s="17"/>
      <c r="Z707" s="17"/>
    </row>
    <row r="708">
      <c r="A708" s="18" t="str">
        <f>IFERROR(__xludf.DUMMYFUNCTION("""COMPUTED_VALUE"""),"ord_10699")</f>
        <v>ord_10699</v>
      </c>
      <c r="B708" s="18" t="str">
        <f>IFERROR(__xludf.DUMMYFUNCTION("""COMPUTED_VALUE"""),"Aarav Mehta")</f>
        <v>Aarav Mehta</v>
      </c>
      <c r="C708" s="18" t="str">
        <f>IFERROR(__xludf.DUMMYFUNCTION("""COMPUTED_VALUE"""),"Andheri")</f>
        <v>Andheri</v>
      </c>
      <c r="D708" s="18" t="str">
        <f>IFERROR(__xludf.DUMMYFUNCTION("""COMPUTED_VALUE"""),"Cucumber")</f>
        <v>Cucumber</v>
      </c>
      <c r="E708" s="18">
        <f>IFERROR(__xludf.DUMMYFUNCTION("""COMPUTED_VALUE"""),1.0)</f>
        <v>1</v>
      </c>
      <c r="F708" s="18" t="str">
        <f>IFERROR(__xludf.DUMMYFUNCTION("""COMPUTED_VALUE"""),"Shine Thomas")</f>
        <v>Shine Thomas</v>
      </c>
      <c r="G708" s="19">
        <f>IFERROR(__xludf.DUMMYFUNCTION("""COMPUTED_VALUE"""),45288.0)</f>
        <v>45288</v>
      </c>
      <c r="H708" s="18" t="str">
        <f>IFERROR(__xludf.DUMMYFUNCTION("""COMPUTED_VALUE"""),"Online Payment")</f>
        <v>Online Payment</v>
      </c>
      <c r="I708" s="18" t="str">
        <f>IFERROR(__xludf.DUMMYFUNCTION("""COMPUTED_VALUE"""),"Delivered")</f>
        <v>Delivered</v>
      </c>
      <c r="J708" s="18" t="str">
        <f>IFERROR(__xludf.DUMMYFUNCTION("""COMPUTED_VALUE"""),"Quality of Items")</f>
        <v>Quality of Items</v>
      </c>
      <c r="K708" s="18" t="str">
        <f>IFERROR(__xludf.DUMMYFUNCTION("""COMPUTED_VALUE"""),"Perfect condition")</f>
        <v>Perfect condition</v>
      </c>
      <c r="L708" s="18">
        <f>iferror(VLOOKUP($D708,Details!$A$2:$C$11,2,false),vlookup($D708,Details!$E$2:$G$11,2,false))</f>
        <v>30</v>
      </c>
      <c r="M708" s="18" t="str">
        <f>iferror(VLOOKUP($D708,Details!$A$2:$C$11,3,false),vlookup($D708,Details!$E$2:$G$11,3,false))</f>
        <v>Fruits and Vegetables</v>
      </c>
      <c r="N708" s="18">
        <f t="shared" si="1"/>
        <v>30</v>
      </c>
      <c r="O708" s="17"/>
      <c r="P708" s="17"/>
      <c r="Q708" s="17"/>
      <c r="R708" s="17"/>
      <c r="S708" s="17"/>
      <c r="T708" s="17"/>
      <c r="U708" s="17"/>
      <c r="V708" s="17"/>
      <c r="W708" s="17"/>
      <c r="X708" s="17"/>
      <c r="Y708" s="17"/>
      <c r="Z708" s="17"/>
    </row>
    <row r="709">
      <c r="A709" s="18" t="str">
        <f>IFERROR(__xludf.DUMMYFUNCTION("""COMPUTED_VALUE"""),"ord_10700")</f>
        <v>ord_10700</v>
      </c>
      <c r="B709" s="18" t="str">
        <f>IFERROR(__xludf.DUMMYFUNCTION("""COMPUTED_VALUE"""),"Ishita Banerjee")</f>
        <v>Ishita Banerjee</v>
      </c>
      <c r="C709" s="18" t="str">
        <f>IFERROR(__xludf.DUMMYFUNCTION("""COMPUTED_VALUE"""),"Juhu")</f>
        <v>Juhu</v>
      </c>
      <c r="D709" s="18" t="str">
        <f>IFERROR(__xludf.DUMMYFUNCTION("""COMPUTED_VALUE"""),"Tomato")</f>
        <v>Tomato</v>
      </c>
      <c r="E709" s="18">
        <f>IFERROR(__xludf.DUMMYFUNCTION("""COMPUTED_VALUE"""),2.0)</f>
        <v>2</v>
      </c>
      <c r="F709" s="18" t="str">
        <f>IFERROR(__xludf.DUMMYFUNCTION("""COMPUTED_VALUE"""),"Not Assigned")</f>
        <v>Not Assigned</v>
      </c>
      <c r="G709" s="19">
        <f>IFERROR(__xludf.DUMMYFUNCTION("""COMPUTED_VALUE"""),45147.0)</f>
        <v>45147</v>
      </c>
      <c r="H709" s="18" t="str">
        <f>IFERROR(__xludf.DUMMYFUNCTION("""COMPUTED_VALUE"""),"Credit Card")</f>
        <v>Credit Card</v>
      </c>
      <c r="I709" s="18" t="str">
        <f>IFERROR(__xludf.DUMMYFUNCTION("""COMPUTED_VALUE"""),"Cancelled")</f>
        <v>Cancelled</v>
      </c>
      <c r="J709" s="18" t="str">
        <f>IFERROR(__xludf.DUMMYFUNCTION("""COMPUTED_VALUE"""),"App Glitches")</f>
        <v>App Glitches</v>
      </c>
      <c r="K709" s="18" t="str">
        <f>IFERROR(__xludf.DUMMYFUNCTION("""COMPUTED_VALUE"""),"Payment Button Malfunction")</f>
        <v>Payment Button Malfunction</v>
      </c>
      <c r="L709" s="18">
        <f>iferror(VLOOKUP($D709,Details!$A$2:$C$11,2,false),vlookup($D709,Details!$E$2:$G$11,2,false))</f>
        <v>25</v>
      </c>
      <c r="M709" s="18" t="str">
        <f>iferror(VLOOKUP($D709,Details!$A$2:$C$11,3,false),vlookup($D709,Details!$E$2:$G$11,3,false))</f>
        <v>Fruits and Vegetables</v>
      </c>
      <c r="N709" s="18">
        <f t="shared" si="1"/>
        <v>50</v>
      </c>
      <c r="O709" s="17"/>
      <c r="P709" s="17"/>
      <c r="Q709" s="17"/>
      <c r="R709" s="17"/>
      <c r="S709" s="17"/>
      <c r="T709" s="17"/>
      <c r="U709" s="17"/>
      <c r="V709" s="17"/>
      <c r="W709" s="17"/>
      <c r="X709" s="17"/>
      <c r="Y709" s="17"/>
      <c r="Z709" s="17"/>
    </row>
    <row r="710">
      <c r="A710" s="18" t="str">
        <f>IFERROR(__xludf.DUMMYFUNCTION("""COMPUTED_VALUE"""),"ord_10701")</f>
        <v>ord_10701</v>
      </c>
      <c r="B710" s="18" t="str">
        <f>IFERROR(__xludf.DUMMYFUNCTION("""COMPUTED_VALUE"""),"Aditi Iyer")</f>
        <v>Aditi Iyer</v>
      </c>
      <c r="C710" s="18" t="str">
        <f>IFERROR(__xludf.DUMMYFUNCTION("""COMPUTED_VALUE"""),"Dadar")</f>
        <v>Dadar</v>
      </c>
      <c r="D710" s="18" t="str">
        <f>IFERROR(__xludf.DUMMYFUNCTION("""COMPUTED_VALUE"""),"Sweet Corn")</f>
        <v>Sweet Corn</v>
      </c>
      <c r="E710" s="18">
        <f>IFERROR(__xludf.DUMMYFUNCTION("""COMPUTED_VALUE"""),1.0)</f>
        <v>1</v>
      </c>
      <c r="F710" s="18" t="str">
        <f>IFERROR(__xludf.DUMMYFUNCTION("""COMPUTED_VALUE"""),"Ramesh S")</f>
        <v>Ramesh S</v>
      </c>
      <c r="G710" s="19">
        <f>IFERROR(__xludf.DUMMYFUNCTION("""COMPUTED_VALUE"""),45011.0)</f>
        <v>45011</v>
      </c>
      <c r="H710" s="18" t="str">
        <f>IFERROR(__xludf.DUMMYFUNCTION("""COMPUTED_VALUE"""),"Online Payment")</f>
        <v>Online Payment</v>
      </c>
      <c r="I710" s="18" t="str">
        <f>IFERROR(__xludf.DUMMYFUNCTION("""COMPUTED_VALUE"""),"Delivered")</f>
        <v>Delivered</v>
      </c>
      <c r="J710" s="18" t="str">
        <f>IFERROR(__xludf.DUMMYFUNCTION("""COMPUTED_VALUE"""),"On-time Delivery")</f>
        <v>On-time Delivery</v>
      </c>
      <c r="K710" s="18" t="str">
        <f>IFERROR(__xludf.DUMMYFUNCTION("""COMPUTED_VALUE"""),"Delivered on time")</f>
        <v>Delivered on time</v>
      </c>
      <c r="L710" s="18">
        <f>iferror(VLOOKUP($D710,Details!$A$2:$C$11,2,false),vlookup($D710,Details!$E$2:$G$11,2,false))</f>
        <v>60</v>
      </c>
      <c r="M710" s="18" t="str">
        <f>iferror(VLOOKUP($D710,Details!$A$2:$C$11,3,false),vlookup($D710,Details!$E$2:$G$11,3,false))</f>
        <v>Fruits and Vegetables</v>
      </c>
      <c r="N710" s="18">
        <f t="shared" si="1"/>
        <v>60</v>
      </c>
      <c r="O710" s="17"/>
      <c r="P710" s="17"/>
      <c r="Q710" s="17"/>
      <c r="R710" s="17"/>
      <c r="S710" s="17"/>
      <c r="T710" s="17"/>
      <c r="U710" s="17"/>
      <c r="V710" s="17"/>
      <c r="W710" s="17"/>
      <c r="X710" s="17"/>
      <c r="Y710" s="17"/>
      <c r="Z710" s="17"/>
    </row>
    <row r="711">
      <c r="A711" s="18" t="str">
        <f>IFERROR(__xludf.DUMMYFUNCTION("""COMPUTED_VALUE"""),"ord_10702")</f>
        <v>ord_10702</v>
      </c>
      <c r="B711" s="18" t="str">
        <f>IFERROR(__xludf.DUMMYFUNCTION("""COMPUTED_VALUE"""),"Parth Goel")</f>
        <v>Parth Goel</v>
      </c>
      <c r="C711" s="18" t="str">
        <f>IFERROR(__xludf.DUMMYFUNCTION("""COMPUTED_VALUE"""),"Juhu")</f>
        <v>Juhu</v>
      </c>
      <c r="D711" s="18" t="str">
        <f>IFERROR(__xludf.DUMMYFUNCTION("""COMPUTED_VALUE"""),"Papaya")</f>
        <v>Papaya</v>
      </c>
      <c r="E711" s="18">
        <f>IFERROR(__xludf.DUMMYFUNCTION("""COMPUTED_VALUE"""),1.0)</f>
        <v>1</v>
      </c>
      <c r="F711" s="18" t="str">
        <f>IFERROR(__xludf.DUMMYFUNCTION("""COMPUTED_VALUE"""),"Manju Ajay")</f>
        <v>Manju Ajay</v>
      </c>
      <c r="G711" s="19">
        <f>IFERROR(__xludf.DUMMYFUNCTION("""COMPUTED_VALUE"""),45206.0)</f>
        <v>45206</v>
      </c>
      <c r="H711" s="18" t="str">
        <f>IFERROR(__xludf.DUMMYFUNCTION("""COMPUTED_VALUE"""),"UPI")</f>
        <v>UPI</v>
      </c>
      <c r="I711" s="18" t="str">
        <f>IFERROR(__xludf.DUMMYFUNCTION("""COMPUTED_VALUE"""),"Delivered")</f>
        <v>Delivered</v>
      </c>
      <c r="J711" s="18" t="str">
        <f>IFERROR(__xludf.DUMMYFUNCTION("""COMPUTED_VALUE"""),"Quality of Items")</f>
        <v>Quality of Items</v>
      </c>
      <c r="K711" s="18" t="str">
        <f>IFERROR(__xludf.DUMMYFUNCTION("""COMPUTED_VALUE"""),"Perfect condition")</f>
        <v>Perfect condition</v>
      </c>
      <c r="L711" s="18">
        <f>iferror(VLOOKUP($D711,Details!$A$2:$C$11,2,false),vlookup($D711,Details!$E$2:$G$11,2,false))</f>
        <v>75</v>
      </c>
      <c r="M711" s="18" t="str">
        <f>iferror(VLOOKUP($D711,Details!$A$2:$C$11,3,false),vlookup($D711,Details!$E$2:$G$11,3,false))</f>
        <v>Fruits and Vegetables</v>
      </c>
      <c r="N711" s="18">
        <f t="shared" si="1"/>
        <v>75</v>
      </c>
      <c r="O711" s="17"/>
      <c r="P711" s="17"/>
      <c r="Q711" s="17"/>
      <c r="R711" s="17"/>
      <c r="S711" s="17"/>
      <c r="T711" s="17"/>
      <c r="U711" s="17"/>
      <c r="V711" s="17"/>
      <c r="W711" s="17"/>
      <c r="X711" s="17"/>
      <c r="Y711" s="17"/>
      <c r="Z711" s="17"/>
    </row>
    <row r="712">
      <c r="A712" s="18" t="str">
        <f>IFERROR(__xludf.DUMMYFUNCTION("""COMPUTED_VALUE"""),"ord_10703")</f>
        <v>ord_10703</v>
      </c>
      <c r="B712" s="18" t="str">
        <f>IFERROR(__xludf.DUMMYFUNCTION("""COMPUTED_VALUE"""),"Mohit Malhotra")</f>
        <v>Mohit Malhotra</v>
      </c>
      <c r="C712" s="18" t="str">
        <f>IFERROR(__xludf.DUMMYFUNCTION("""COMPUTED_VALUE"""),"Lower Parel")</f>
        <v>Lower Parel</v>
      </c>
      <c r="D712" s="18" t="str">
        <f>IFERROR(__xludf.DUMMYFUNCTION("""COMPUTED_VALUE"""),"Guava")</f>
        <v>Guava</v>
      </c>
      <c r="E712" s="18">
        <f>IFERROR(__xludf.DUMMYFUNCTION("""COMPUTED_VALUE"""),1.0)</f>
        <v>1</v>
      </c>
      <c r="F712" s="18" t="str">
        <f>IFERROR(__xludf.DUMMYFUNCTION("""COMPUTED_VALUE"""),"Neha Shah")</f>
        <v>Neha Shah</v>
      </c>
      <c r="G712" s="19">
        <f>IFERROR(__xludf.DUMMYFUNCTION("""COMPUTED_VALUE"""),45228.0)</f>
        <v>45228</v>
      </c>
      <c r="H712" s="18" t="str">
        <f>IFERROR(__xludf.DUMMYFUNCTION("""COMPUTED_VALUE"""),"Credit Card")</f>
        <v>Credit Card</v>
      </c>
      <c r="I712" s="18" t="str">
        <f>IFERROR(__xludf.DUMMYFUNCTION("""COMPUTED_VALUE"""),"Cancelled")</f>
        <v>Cancelled</v>
      </c>
      <c r="J712" s="18" t="str">
        <f>IFERROR(__xludf.DUMMYFUNCTION("""COMPUTED_VALUE"""),"Delayed Delivery")</f>
        <v>Delayed Delivery</v>
      </c>
      <c r="K712" s="18" t="str">
        <f>IFERROR(__xludf.DUMMYFUNCTION("""COMPUTED_VALUE"""),"Traffic Accidents or Road Closures")</f>
        <v>Traffic Accidents or Road Closures</v>
      </c>
      <c r="L712" s="18">
        <f>iferror(VLOOKUP($D712,Details!$A$2:$C$11,2,false),vlookup($D712,Details!$E$2:$G$11,2,false))</f>
        <v>70</v>
      </c>
      <c r="M712" s="18" t="str">
        <f>iferror(VLOOKUP($D712,Details!$A$2:$C$11,3,false),vlookup($D712,Details!$E$2:$G$11,3,false))</f>
        <v>Fruits and Vegetables</v>
      </c>
      <c r="N712" s="18">
        <f t="shared" si="1"/>
        <v>70</v>
      </c>
      <c r="O712" s="17"/>
      <c r="P712" s="17"/>
      <c r="Q712" s="17"/>
      <c r="R712" s="17"/>
      <c r="S712" s="17"/>
      <c r="T712" s="17"/>
      <c r="U712" s="17"/>
      <c r="V712" s="17"/>
      <c r="W712" s="17"/>
      <c r="X712" s="17"/>
      <c r="Y712" s="17"/>
      <c r="Z712" s="17"/>
    </row>
    <row r="713">
      <c r="A713" s="18" t="str">
        <f>IFERROR(__xludf.DUMMYFUNCTION("""COMPUTED_VALUE"""),"ord_10704")</f>
        <v>ord_10704</v>
      </c>
      <c r="B713" s="18" t="str">
        <f>IFERROR(__xludf.DUMMYFUNCTION("""COMPUTED_VALUE"""),"Pallavi Ghosh")</f>
        <v>Pallavi Ghosh</v>
      </c>
      <c r="C713" s="18" t="str">
        <f>IFERROR(__xludf.DUMMYFUNCTION("""COMPUTED_VALUE"""),"Bandra")</f>
        <v>Bandra</v>
      </c>
      <c r="D713" s="18" t="str">
        <f>IFERROR(__xludf.DUMMYFUNCTION("""COMPUTED_VALUE"""),"Cucumber")</f>
        <v>Cucumber</v>
      </c>
      <c r="E713" s="18">
        <f>IFERROR(__xludf.DUMMYFUNCTION("""COMPUTED_VALUE"""),1.0)</f>
        <v>1</v>
      </c>
      <c r="F713" s="18" t="str">
        <f>IFERROR(__xludf.DUMMYFUNCTION("""COMPUTED_VALUE"""),"Ram Gopal")</f>
        <v>Ram Gopal</v>
      </c>
      <c r="G713" s="19">
        <f>IFERROR(__xludf.DUMMYFUNCTION("""COMPUTED_VALUE"""),44967.0)</f>
        <v>44967</v>
      </c>
      <c r="H713" s="18" t="str">
        <f>IFERROR(__xludf.DUMMYFUNCTION("""COMPUTED_VALUE"""),"Credit Card")</f>
        <v>Credit Card</v>
      </c>
      <c r="I713" s="18" t="str">
        <f>IFERROR(__xludf.DUMMYFUNCTION("""COMPUTED_VALUE"""),"Cancelled")</f>
        <v>Cancelled</v>
      </c>
      <c r="J713" s="18" t="str">
        <f>IFERROR(__xludf.DUMMYFUNCTION("""COMPUTED_VALUE"""),"Delayed Delivery")</f>
        <v>Delayed Delivery</v>
      </c>
      <c r="K713" s="18" t="str">
        <f>IFERROR(__xludf.DUMMYFUNCTION("""COMPUTED_VALUE"""),"Heavy Traffic")</f>
        <v>Heavy Traffic</v>
      </c>
      <c r="L713" s="18">
        <f>iferror(VLOOKUP($D713,Details!$A$2:$C$11,2,false),vlookup($D713,Details!$E$2:$G$11,2,false))</f>
        <v>30</v>
      </c>
      <c r="M713" s="18" t="str">
        <f>iferror(VLOOKUP($D713,Details!$A$2:$C$11,3,false),vlookup($D713,Details!$E$2:$G$11,3,false))</f>
        <v>Fruits and Vegetables</v>
      </c>
      <c r="N713" s="18">
        <f t="shared" si="1"/>
        <v>30</v>
      </c>
      <c r="O713" s="17"/>
      <c r="P713" s="17"/>
      <c r="Q713" s="17"/>
      <c r="R713" s="17"/>
      <c r="S713" s="17"/>
      <c r="T713" s="17"/>
      <c r="U713" s="17"/>
      <c r="V713" s="17"/>
      <c r="W713" s="17"/>
      <c r="X713" s="17"/>
      <c r="Y713" s="17"/>
      <c r="Z713" s="17"/>
    </row>
    <row r="714">
      <c r="A714" s="18" t="str">
        <f>IFERROR(__xludf.DUMMYFUNCTION("""COMPUTED_VALUE"""),"ord_10705")</f>
        <v>ord_10705</v>
      </c>
      <c r="B714" s="18" t="str">
        <f>IFERROR(__xludf.DUMMYFUNCTION("""COMPUTED_VALUE"""),"Pranav Joshi")</f>
        <v>Pranav Joshi</v>
      </c>
      <c r="C714" s="18" t="str">
        <f>IFERROR(__xludf.DUMMYFUNCTION("""COMPUTED_VALUE"""),"Andheri")</f>
        <v>Andheri</v>
      </c>
      <c r="D714" s="18" t="str">
        <f>IFERROR(__xludf.DUMMYFUNCTION("""COMPUTED_VALUE"""),"Orange")</f>
        <v>Orange</v>
      </c>
      <c r="E714" s="18">
        <f>IFERROR(__xludf.DUMMYFUNCTION("""COMPUTED_VALUE"""),2.0)</f>
        <v>2</v>
      </c>
      <c r="F714" s="18" t="str">
        <f>IFERROR(__xludf.DUMMYFUNCTION("""COMPUTED_VALUE"""),"Vivek Kumar")</f>
        <v>Vivek Kumar</v>
      </c>
      <c r="G714" s="19">
        <f>IFERROR(__xludf.DUMMYFUNCTION("""COMPUTED_VALUE"""),45126.0)</f>
        <v>45126</v>
      </c>
      <c r="H714" s="18" t="str">
        <f>IFERROR(__xludf.DUMMYFUNCTION("""COMPUTED_VALUE"""),"Online Payment")</f>
        <v>Online Payment</v>
      </c>
      <c r="I714" s="18" t="str">
        <f>IFERROR(__xludf.DUMMYFUNCTION("""COMPUTED_VALUE"""),"Delivered")</f>
        <v>Delivered</v>
      </c>
      <c r="J714" s="18" t="str">
        <f>IFERROR(__xludf.DUMMYFUNCTION("""COMPUTED_VALUE"""),"Packaging")</f>
        <v>Packaging</v>
      </c>
      <c r="K714" s="18" t="str">
        <f>IFERROR(__xludf.DUMMYFUNCTION("""COMPUTED_VALUE"""),"Secure and intact")</f>
        <v>Secure and intact</v>
      </c>
      <c r="L714" s="18">
        <f>iferror(VLOOKUP($D714,Details!$A$2:$C$11,2,false),vlookup($D714,Details!$E$2:$G$11,2,false))</f>
        <v>180</v>
      </c>
      <c r="M714" s="18" t="str">
        <f>iferror(VLOOKUP($D714,Details!$A$2:$C$11,3,false),vlookup($D714,Details!$E$2:$G$11,3,false))</f>
        <v>Fruits and Vegetables</v>
      </c>
      <c r="N714" s="18">
        <f t="shared" si="1"/>
        <v>360</v>
      </c>
      <c r="O714" s="17"/>
      <c r="P714" s="17"/>
      <c r="Q714" s="17"/>
      <c r="R714" s="17"/>
      <c r="S714" s="17"/>
      <c r="T714" s="17"/>
      <c r="U714" s="17"/>
      <c r="V714" s="17"/>
      <c r="W714" s="17"/>
      <c r="X714" s="17"/>
      <c r="Y714" s="17"/>
      <c r="Z714" s="17"/>
    </row>
    <row r="715">
      <c r="A715" s="18" t="str">
        <f>IFERROR(__xludf.DUMMYFUNCTION("""COMPUTED_VALUE"""),"ord_10706")</f>
        <v>ord_10706</v>
      </c>
      <c r="B715" s="18" t="str">
        <f>IFERROR(__xludf.DUMMYFUNCTION("""COMPUTED_VALUE"""),"Sanjay Nair")</f>
        <v>Sanjay Nair</v>
      </c>
      <c r="C715" s="18" t="str">
        <f>IFERROR(__xludf.DUMMYFUNCTION("""COMPUTED_VALUE"""),"Dadar")</f>
        <v>Dadar</v>
      </c>
      <c r="D715" s="18" t="str">
        <f>IFERROR(__xludf.DUMMYFUNCTION("""COMPUTED_VALUE"""),"Sweet Corn")</f>
        <v>Sweet Corn</v>
      </c>
      <c r="E715" s="18">
        <f>IFERROR(__xludf.DUMMYFUNCTION("""COMPUTED_VALUE"""),1.0)</f>
        <v>1</v>
      </c>
      <c r="F715" s="18" t="str">
        <f>IFERROR(__xludf.DUMMYFUNCTION("""COMPUTED_VALUE"""),"Sita T")</f>
        <v>Sita T</v>
      </c>
      <c r="G715" s="19">
        <f>IFERROR(__xludf.DUMMYFUNCTION("""COMPUTED_VALUE"""),45261.0)</f>
        <v>45261</v>
      </c>
      <c r="H715" s="18" t="str">
        <f>IFERROR(__xludf.DUMMYFUNCTION("""COMPUTED_VALUE"""),"Online Payment")</f>
        <v>Online Payment</v>
      </c>
      <c r="I715" s="18" t="str">
        <f>IFERROR(__xludf.DUMMYFUNCTION("""COMPUTED_VALUE"""),"Delivered")</f>
        <v>Delivered</v>
      </c>
      <c r="J715" s="18" t="str">
        <f>IFERROR(__xludf.DUMMYFUNCTION("""COMPUTED_VALUE"""),"Satisfied with the Delivery")</f>
        <v>Satisfied with the Delivery</v>
      </c>
      <c r="K715" s="18" t="str">
        <f>IFERROR(__xludf.DUMMYFUNCTION("""COMPUTED_VALUE"""),"Timely and quality")</f>
        <v>Timely and quality</v>
      </c>
      <c r="L715" s="18">
        <f>iferror(VLOOKUP($D715,Details!$A$2:$C$11,2,false),vlookup($D715,Details!$E$2:$G$11,2,false))</f>
        <v>60</v>
      </c>
      <c r="M715" s="18" t="str">
        <f>iferror(VLOOKUP($D715,Details!$A$2:$C$11,3,false),vlookup($D715,Details!$E$2:$G$11,3,false))</f>
        <v>Fruits and Vegetables</v>
      </c>
      <c r="N715" s="18">
        <f t="shared" si="1"/>
        <v>60</v>
      </c>
      <c r="O715" s="17"/>
      <c r="P715" s="17"/>
      <c r="Q715" s="17"/>
      <c r="R715" s="17"/>
      <c r="S715" s="17"/>
      <c r="T715" s="17"/>
      <c r="U715" s="17"/>
      <c r="V715" s="17"/>
      <c r="W715" s="17"/>
      <c r="X715" s="17"/>
      <c r="Y715" s="17"/>
      <c r="Z715" s="17"/>
    </row>
    <row r="716">
      <c r="A716" s="18" t="str">
        <f>IFERROR(__xludf.DUMMYFUNCTION("""COMPUTED_VALUE"""),"ord_10707")</f>
        <v>ord_10707</v>
      </c>
      <c r="B716" s="18" t="str">
        <f>IFERROR(__xludf.DUMMYFUNCTION("""COMPUTED_VALUE"""),"Aditi Iyer")</f>
        <v>Aditi Iyer</v>
      </c>
      <c r="C716" s="18" t="str">
        <f>IFERROR(__xludf.DUMMYFUNCTION("""COMPUTED_VALUE"""),"Dadar")</f>
        <v>Dadar</v>
      </c>
      <c r="D716" s="18" t="str">
        <f>IFERROR(__xludf.DUMMYFUNCTION("""COMPUTED_VALUE"""),"Sweet Corn")</f>
        <v>Sweet Corn</v>
      </c>
      <c r="E716" s="18">
        <f>IFERROR(__xludf.DUMMYFUNCTION("""COMPUTED_VALUE"""),2.0)</f>
        <v>2</v>
      </c>
      <c r="F716" s="18" t="str">
        <f>IFERROR(__xludf.DUMMYFUNCTION("""COMPUTED_VALUE"""),"Kiran Mehta")</f>
        <v>Kiran Mehta</v>
      </c>
      <c r="G716" s="19">
        <f>IFERROR(__xludf.DUMMYFUNCTION("""COMPUTED_VALUE"""),45272.0)</f>
        <v>45272</v>
      </c>
      <c r="H716" s="18" t="str">
        <f>IFERROR(__xludf.DUMMYFUNCTION("""COMPUTED_VALUE"""),"Credit Card")</f>
        <v>Credit Card</v>
      </c>
      <c r="I716" s="18" t="str">
        <f>IFERROR(__xludf.DUMMYFUNCTION("""COMPUTED_VALUE"""),"Cancelled")</f>
        <v>Cancelled</v>
      </c>
      <c r="J716" s="18" t="str">
        <f>IFERROR(__xludf.DUMMYFUNCTION("""COMPUTED_VALUE"""),"Delayed Delivery")</f>
        <v>Delayed Delivery</v>
      </c>
      <c r="K716" s="18" t="str">
        <f>IFERROR(__xludf.DUMMYFUNCTION("""COMPUTED_VALUE"""),"Bad Weather Conditions")</f>
        <v>Bad Weather Conditions</v>
      </c>
      <c r="L716" s="18">
        <f>iferror(VLOOKUP($D716,Details!$A$2:$C$11,2,false),vlookup($D716,Details!$E$2:$G$11,2,false))</f>
        <v>60</v>
      </c>
      <c r="M716" s="18" t="str">
        <f>iferror(VLOOKUP($D716,Details!$A$2:$C$11,3,false),vlookup($D716,Details!$E$2:$G$11,3,false))</f>
        <v>Fruits and Vegetables</v>
      </c>
      <c r="N716" s="18">
        <f t="shared" si="1"/>
        <v>120</v>
      </c>
      <c r="O716" s="17"/>
      <c r="P716" s="17"/>
      <c r="Q716" s="17"/>
      <c r="R716" s="17"/>
      <c r="S716" s="17"/>
      <c r="T716" s="17"/>
      <c r="U716" s="17"/>
      <c r="V716" s="17"/>
      <c r="W716" s="17"/>
      <c r="X716" s="17"/>
      <c r="Y716" s="17"/>
      <c r="Z716" s="17"/>
    </row>
    <row r="717">
      <c r="A717" s="18" t="str">
        <f>IFERROR(__xludf.DUMMYFUNCTION("""COMPUTED_VALUE"""),"ord_10708")</f>
        <v>ord_10708</v>
      </c>
      <c r="B717" s="18" t="str">
        <f>IFERROR(__xludf.DUMMYFUNCTION("""COMPUTED_VALUE"""),"Kritika Shetty")</f>
        <v>Kritika Shetty</v>
      </c>
      <c r="C717" s="18" t="str">
        <f>IFERROR(__xludf.DUMMYFUNCTION("""COMPUTED_VALUE"""),"Malad")</f>
        <v>Malad</v>
      </c>
      <c r="D717" s="18" t="str">
        <f>IFERROR(__xludf.DUMMYFUNCTION("""COMPUTED_VALUE"""),"Popcorn")</f>
        <v>Popcorn</v>
      </c>
      <c r="E717" s="18">
        <f>IFERROR(__xludf.DUMMYFUNCTION("""COMPUTED_VALUE"""),5.0)</f>
        <v>5</v>
      </c>
      <c r="F717" s="18" t="str">
        <f>IFERROR(__xludf.DUMMYFUNCTION("""COMPUTED_VALUE"""),"Manju Ajay")</f>
        <v>Manju Ajay</v>
      </c>
      <c r="G717" s="19">
        <f>IFERROR(__xludf.DUMMYFUNCTION("""COMPUTED_VALUE"""),45262.0)</f>
        <v>45262</v>
      </c>
      <c r="H717" s="18" t="str">
        <f>IFERROR(__xludf.DUMMYFUNCTION("""COMPUTED_VALUE"""),"Credit Card")</f>
        <v>Credit Card</v>
      </c>
      <c r="I717" s="18" t="str">
        <f>IFERROR(__xludf.DUMMYFUNCTION("""COMPUTED_VALUE"""),"Cancelled")</f>
        <v>Cancelled</v>
      </c>
      <c r="J717" s="18" t="str">
        <f>IFERROR(__xludf.DUMMYFUNCTION("""COMPUTED_VALUE"""),"Delayed Delivery")</f>
        <v>Delayed Delivery</v>
      </c>
      <c r="K717" s="18" t="str">
        <f>IFERROR(__xludf.DUMMYFUNCTION("""COMPUTED_VALUE"""),"Heavy Traffic")</f>
        <v>Heavy Traffic</v>
      </c>
      <c r="L717" s="18">
        <f>iferror(VLOOKUP($D717,Details!$A$2:$C$11,2,false),vlookup($D717,Details!$E$2:$G$11,2,false))</f>
        <v>150</v>
      </c>
      <c r="M717" s="18" t="str">
        <f>iferror(VLOOKUP($D717,Details!$A$2:$C$11,3,false),vlookup($D717,Details!$E$2:$G$11,3,false))</f>
        <v>Snacks and Drinks</v>
      </c>
      <c r="N717" s="18">
        <f t="shared" si="1"/>
        <v>750</v>
      </c>
      <c r="O717" s="17"/>
      <c r="P717" s="17"/>
      <c r="Q717" s="17"/>
      <c r="R717" s="17"/>
      <c r="S717" s="17"/>
      <c r="T717" s="17"/>
      <c r="U717" s="17"/>
      <c r="V717" s="17"/>
      <c r="W717" s="17"/>
      <c r="X717" s="17"/>
      <c r="Y717" s="17"/>
      <c r="Z717" s="17"/>
    </row>
    <row r="718">
      <c r="A718" s="18" t="str">
        <f>IFERROR(__xludf.DUMMYFUNCTION("""COMPUTED_VALUE"""),"ord_10709")</f>
        <v>ord_10709</v>
      </c>
      <c r="B718" s="18" t="str">
        <f>IFERROR(__xludf.DUMMYFUNCTION("""COMPUTED_VALUE"""),"Sanjay Nair")</f>
        <v>Sanjay Nair</v>
      </c>
      <c r="C718" s="18" t="str">
        <f>IFERROR(__xludf.DUMMYFUNCTION("""COMPUTED_VALUE"""),"Dadar")</f>
        <v>Dadar</v>
      </c>
      <c r="D718" s="18" t="str">
        <f>IFERROR(__xludf.DUMMYFUNCTION("""COMPUTED_VALUE"""),"Popcorn")</f>
        <v>Popcorn</v>
      </c>
      <c r="E718" s="18">
        <f>IFERROR(__xludf.DUMMYFUNCTION("""COMPUTED_VALUE"""),3.0)</f>
        <v>3</v>
      </c>
      <c r="F718" s="18" t="str">
        <f>IFERROR(__xludf.DUMMYFUNCTION("""COMPUTED_VALUE"""),"Shine Thomas")</f>
        <v>Shine Thomas</v>
      </c>
      <c r="G718" s="19">
        <f>IFERROR(__xludf.DUMMYFUNCTION("""COMPUTED_VALUE"""),45143.0)</f>
        <v>45143</v>
      </c>
      <c r="H718" s="18" t="str">
        <f>IFERROR(__xludf.DUMMYFUNCTION("""COMPUTED_VALUE"""),"Credit Card")</f>
        <v>Credit Card</v>
      </c>
      <c r="I718" s="18" t="str">
        <f>IFERROR(__xludf.DUMMYFUNCTION("""COMPUTED_VALUE"""),"Delivered")</f>
        <v>Delivered</v>
      </c>
      <c r="J718" s="18" t="str">
        <f>IFERROR(__xludf.DUMMYFUNCTION("""COMPUTED_VALUE"""),"Customer Service")</f>
        <v>Customer Service</v>
      </c>
      <c r="K718" s="18" t="str">
        <f>IFERROR(__xludf.DUMMYFUNCTION("""COMPUTED_VALUE"""),"Seamless and easy")</f>
        <v>Seamless and easy</v>
      </c>
      <c r="L718" s="18">
        <f>iferror(VLOOKUP($D718,Details!$A$2:$C$11,2,false),vlookup($D718,Details!$E$2:$G$11,2,false))</f>
        <v>150</v>
      </c>
      <c r="M718" s="18" t="str">
        <f>iferror(VLOOKUP($D718,Details!$A$2:$C$11,3,false),vlookup($D718,Details!$E$2:$G$11,3,false))</f>
        <v>Snacks and Drinks</v>
      </c>
      <c r="N718" s="18">
        <f t="shared" si="1"/>
        <v>450</v>
      </c>
      <c r="O718" s="17"/>
      <c r="P718" s="17"/>
      <c r="Q718" s="17"/>
      <c r="R718" s="17"/>
      <c r="S718" s="17"/>
      <c r="T718" s="17"/>
      <c r="U718" s="17"/>
      <c r="V718" s="17"/>
      <c r="W718" s="17"/>
      <c r="X718" s="17"/>
      <c r="Y718" s="17"/>
      <c r="Z718" s="17"/>
    </row>
    <row r="719">
      <c r="A719" s="18" t="str">
        <f>IFERROR(__xludf.DUMMYFUNCTION("""COMPUTED_VALUE"""),"ord_10710")</f>
        <v>ord_10710</v>
      </c>
      <c r="B719" s="18" t="str">
        <f>IFERROR(__xludf.DUMMYFUNCTION("""COMPUTED_VALUE"""),"Aditi Iyer")</f>
        <v>Aditi Iyer</v>
      </c>
      <c r="C719" s="18" t="str">
        <f>IFERROR(__xludf.DUMMYFUNCTION("""COMPUTED_VALUE"""),"Dadar")</f>
        <v>Dadar</v>
      </c>
      <c r="D719" s="18" t="str">
        <f>IFERROR(__xludf.DUMMYFUNCTION("""COMPUTED_VALUE"""),"Cold Coffee")</f>
        <v>Cold Coffee</v>
      </c>
      <c r="E719" s="18">
        <f>IFERROR(__xludf.DUMMYFUNCTION("""COMPUTED_VALUE"""),3.0)</f>
        <v>3</v>
      </c>
      <c r="F719" s="18" t="str">
        <f>IFERROR(__xludf.DUMMYFUNCTION("""COMPUTED_VALUE"""),"Not Assigned")</f>
        <v>Not Assigned</v>
      </c>
      <c r="G719" s="19">
        <f>IFERROR(__xludf.DUMMYFUNCTION("""COMPUTED_VALUE"""),45053.0)</f>
        <v>45053</v>
      </c>
      <c r="H719" s="18" t="str">
        <f>IFERROR(__xludf.DUMMYFUNCTION("""COMPUTED_VALUE"""),"Online Payment")</f>
        <v>Online Payment</v>
      </c>
      <c r="I719" s="18" t="str">
        <f>IFERROR(__xludf.DUMMYFUNCTION("""COMPUTED_VALUE"""),"Cancelled")</f>
        <v>Cancelled</v>
      </c>
      <c r="J719" s="18" t="str">
        <f>IFERROR(__xludf.DUMMYFUNCTION("""COMPUTED_VALUE"""),"Out of Stock")</f>
        <v>Out of Stock</v>
      </c>
      <c r="K719" s="18"/>
      <c r="L719" s="18">
        <f>iferror(VLOOKUP($D719,Details!$A$2:$C$11,2,false),vlookup($D719,Details!$E$2:$G$11,2,false))</f>
        <v>270</v>
      </c>
      <c r="M719" s="18" t="str">
        <f>iferror(VLOOKUP($D719,Details!$A$2:$C$11,3,false),vlookup($D719,Details!$E$2:$G$11,3,false))</f>
        <v>Snacks and Drinks</v>
      </c>
      <c r="N719" s="18">
        <f t="shared" si="1"/>
        <v>810</v>
      </c>
      <c r="O719" s="17"/>
      <c r="P719" s="17"/>
      <c r="Q719" s="17"/>
      <c r="R719" s="17"/>
      <c r="S719" s="17"/>
      <c r="T719" s="17"/>
      <c r="U719" s="17"/>
      <c r="V719" s="17"/>
      <c r="W719" s="17"/>
      <c r="X719" s="17"/>
      <c r="Y719" s="17"/>
      <c r="Z719" s="17"/>
    </row>
    <row r="720">
      <c r="A720" s="18" t="str">
        <f>IFERROR(__xludf.DUMMYFUNCTION("""COMPUTED_VALUE"""),"ord_10711")</f>
        <v>ord_10711</v>
      </c>
      <c r="B720" s="18" t="str">
        <f>IFERROR(__xludf.DUMMYFUNCTION("""COMPUTED_VALUE"""),"Parth Goel")</f>
        <v>Parth Goel</v>
      </c>
      <c r="C720" s="18" t="str">
        <f>IFERROR(__xludf.DUMMYFUNCTION("""COMPUTED_VALUE"""),"Juhu")</f>
        <v>Juhu</v>
      </c>
      <c r="D720" s="18" t="str">
        <f>IFERROR(__xludf.DUMMYFUNCTION("""COMPUTED_VALUE"""),"Cucumber")</f>
        <v>Cucumber</v>
      </c>
      <c r="E720" s="18">
        <f>IFERROR(__xludf.DUMMYFUNCTION("""COMPUTED_VALUE"""),2.0)</f>
        <v>2</v>
      </c>
      <c r="F720" s="18" t="str">
        <f>IFERROR(__xludf.DUMMYFUNCTION("""COMPUTED_VALUE"""),"Manju Ajay")</f>
        <v>Manju Ajay</v>
      </c>
      <c r="G720" s="19">
        <f>IFERROR(__xludf.DUMMYFUNCTION("""COMPUTED_VALUE"""),45226.0)</f>
        <v>45226</v>
      </c>
      <c r="H720" s="18" t="str">
        <f>IFERROR(__xludf.DUMMYFUNCTION("""COMPUTED_VALUE"""),"Credit Card")</f>
        <v>Credit Card</v>
      </c>
      <c r="I720" s="18" t="str">
        <f>IFERROR(__xludf.DUMMYFUNCTION("""COMPUTED_VALUE"""),"Delivered")</f>
        <v>Delivered</v>
      </c>
      <c r="J720" s="18" t="str">
        <f>IFERROR(__xludf.DUMMYFUNCTION("""COMPUTED_VALUE"""),"Delivery Experience")</f>
        <v>Delivery Experience</v>
      </c>
      <c r="K720" s="18" t="str">
        <f>IFERROR(__xludf.DUMMYFUNCTION("""COMPUTED_VALUE"""),"Quick and professional")</f>
        <v>Quick and professional</v>
      </c>
      <c r="L720" s="18">
        <f>iferror(VLOOKUP($D720,Details!$A$2:$C$11,2,false),vlookup($D720,Details!$E$2:$G$11,2,false))</f>
        <v>30</v>
      </c>
      <c r="M720" s="18" t="str">
        <f>iferror(VLOOKUP($D720,Details!$A$2:$C$11,3,false),vlookup($D720,Details!$E$2:$G$11,3,false))</f>
        <v>Fruits and Vegetables</v>
      </c>
      <c r="N720" s="18">
        <f t="shared" si="1"/>
        <v>60</v>
      </c>
      <c r="O720" s="17"/>
      <c r="P720" s="17"/>
      <c r="Q720" s="17"/>
      <c r="R720" s="17"/>
      <c r="S720" s="17"/>
      <c r="T720" s="17"/>
      <c r="U720" s="17"/>
      <c r="V720" s="17"/>
      <c r="W720" s="17"/>
      <c r="X720" s="17"/>
      <c r="Y720" s="17"/>
      <c r="Z720" s="17"/>
    </row>
    <row r="721">
      <c r="A721" s="18" t="str">
        <f>IFERROR(__xludf.DUMMYFUNCTION("""COMPUTED_VALUE"""),"ord_10712")</f>
        <v>ord_10712</v>
      </c>
      <c r="B721" s="18" t="str">
        <f>IFERROR(__xludf.DUMMYFUNCTION("""COMPUTED_VALUE"""),"Diya Arora")</f>
        <v>Diya Arora</v>
      </c>
      <c r="C721" s="18" t="str">
        <f>IFERROR(__xludf.DUMMYFUNCTION("""COMPUTED_VALUE"""),"Lower Parel")</f>
        <v>Lower Parel</v>
      </c>
      <c r="D721" s="18" t="str">
        <f>IFERROR(__xludf.DUMMYFUNCTION("""COMPUTED_VALUE"""),"Guava")</f>
        <v>Guava</v>
      </c>
      <c r="E721" s="18">
        <f>IFERROR(__xludf.DUMMYFUNCTION("""COMPUTED_VALUE"""),1.0)</f>
        <v>1</v>
      </c>
      <c r="F721" s="18" t="str">
        <f>IFERROR(__xludf.DUMMYFUNCTION("""COMPUTED_VALUE"""),"Ramesh S")</f>
        <v>Ramesh S</v>
      </c>
      <c r="G721" s="19">
        <f>IFERROR(__xludf.DUMMYFUNCTION("""COMPUTED_VALUE"""),45081.0)</f>
        <v>45081</v>
      </c>
      <c r="H721" s="18" t="str">
        <f>IFERROR(__xludf.DUMMYFUNCTION("""COMPUTED_VALUE"""),"UPI")</f>
        <v>UPI</v>
      </c>
      <c r="I721" s="18" t="str">
        <f>IFERROR(__xludf.DUMMYFUNCTION("""COMPUTED_VALUE"""),"Delivered")</f>
        <v>Delivered</v>
      </c>
      <c r="J721" s="18" t="str">
        <f>IFERROR(__xludf.DUMMYFUNCTION("""COMPUTED_VALUE"""),"Convenience")</f>
        <v>Convenience</v>
      </c>
      <c r="K721" s="18" t="str">
        <f>IFERROR(__xludf.DUMMYFUNCTION("""COMPUTED_VALUE"""),"Easy tracking")</f>
        <v>Easy tracking</v>
      </c>
      <c r="L721" s="18">
        <f>iferror(VLOOKUP($D721,Details!$A$2:$C$11,2,false),vlookup($D721,Details!$E$2:$G$11,2,false))</f>
        <v>70</v>
      </c>
      <c r="M721" s="18" t="str">
        <f>iferror(VLOOKUP($D721,Details!$A$2:$C$11,3,false),vlookup($D721,Details!$E$2:$G$11,3,false))</f>
        <v>Fruits and Vegetables</v>
      </c>
      <c r="N721" s="18">
        <f t="shared" si="1"/>
        <v>70</v>
      </c>
      <c r="O721" s="17"/>
      <c r="P721" s="17"/>
      <c r="Q721" s="17"/>
      <c r="R721" s="17"/>
      <c r="S721" s="17"/>
      <c r="T721" s="17"/>
      <c r="U721" s="17"/>
      <c r="V721" s="17"/>
      <c r="W721" s="17"/>
      <c r="X721" s="17"/>
      <c r="Y721" s="17"/>
      <c r="Z721" s="17"/>
    </row>
    <row r="722">
      <c r="A722" s="18" t="str">
        <f>IFERROR(__xludf.DUMMYFUNCTION("""COMPUTED_VALUE"""),"ord_10713")</f>
        <v>ord_10713</v>
      </c>
      <c r="B722" s="18" t="str">
        <f>IFERROR(__xludf.DUMMYFUNCTION("""COMPUTED_VALUE"""),"Mohit Malhotra")</f>
        <v>Mohit Malhotra</v>
      </c>
      <c r="C722" s="18" t="str">
        <f>IFERROR(__xludf.DUMMYFUNCTION("""COMPUTED_VALUE"""),"Lower Parel")</f>
        <v>Lower Parel</v>
      </c>
      <c r="D722" s="18" t="str">
        <f>IFERROR(__xludf.DUMMYFUNCTION("""COMPUTED_VALUE"""),"Rasmalai")</f>
        <v>Rasmalai</v>
      </c>
      <c r="E722" s="18">
        <f>IFERROR(__xludf.DUMMYFUNCTION("""COMPUTED_VALUE"""),2.0)</f>
        <v>2</v>
      </c>
      <c r="F722" s="18" t="str">
        <f>IFERROR(__xludf.DUMMYFUNCTION("""COMPUTED_VALUE"""),"Kiran Mehta")</f>
        <v>Kiran Mehta</v>
      </c>
      <c r="G722" s="19">
        <f>IFERROR(__xludf.DUMMYFUNCTION("""COMPUTED_VALUE"""),45003.0)</f>
        <v>45003</v>
      </c>
      <c r="H722" s="18" t="str">
        <f>IFERROR(__xludf.DUMMYFUNCTION("""COMPUTED_VALUE"""),"UPI")</f>
        <v>UPI</v>
      </c>
      <c r="I722" s="18" t="str">
        <f>IFERROR(__xludf.DUMMYFUNCTION("""COMPUTED_VALUE"""),"Delivered")</f>
        <v>Delivered</v>
      </c>
      <c r="J722" s="18" t="str">
        <f>IFERROR(__xludf.DUMMYFUNCTION("""COMPUTED_VALUE"""),"Overall Satisfaction")</f>
        <v>Overall Satisfaction</v>
      </c>
      <c r="K722" s="18" t="str">
        <f>IFERROR(__xludf.DUMMYFUNCTION("""COMPUTED_VALUE"""),"Great service will order again")</f>
        <v>Great service will order again</v>
      </c>
      <c r="L722" s="18">
        <f>iferror(VLOOKUP($D722,Details!$A$2:$C$11,2,false),vlookup($D722,Details!$E$2:$G$11,2,false))</f>
        <v>110</v>
      </c>
      <c r="M722" s="18" t="str">
        <f>iferror(VLOOKUP($D722,Details!$A$2:$C$11,3,false),vlookup($D722,Details!$E$2:$G$11,3,false))</f>
        <v>Snacks and Drinks</v>
      </c>
      <c r="N722" s="18">
        <f t="shared" si="1"/>
        <v>220</v>
      </c>
      <c r="O722" s="17"/>
      <c r="P722" s="17"/>
      <c r="Q722" s="17"/>
      <c r="R722" s="17"/>
      <c r="S722" s="17"/>
      <c r="T722" s="17"/>
      <c r="U722" s="17"/>
      <c r="V722" s="17"/>
      <c r="W722" s="17"/>
      <c r="X722" s="17"/>
      <c r="Y722" s="17"/>
      <c r="Z722" s="17"/>
    </row>
    <row r="723">
      <c r="A723" s="18" t="str">
        <f>IFERROR(__xludf.DUMMYFUNCTION("""COMPUTED_VALUE"""),"ord_10714")</f>
        <v>ord_10714</v>
      </c>
      <c r="B723" s="18" t="str">
        <f>IFERROR(__xludf.DUMMYFUNCTION("""COMPUTED_VALUE"""),"Aarav Mehta")</f>
        <v>Aarav Mehta</v>
      </c>
      <c r="C723" s="18" t="str">
        <f>IFERROR(__xludf.DUMMYFUNCTION("""COMPUTED_VALUE"""),"Andheri")</f>
        <v>Andheri</v>
      </c>
      <c r="D723" s="18" t="str">
        <f>IFERROR(__xludf.DUMMYFUNCTION("""COMPUTED_VALUE"""),"Chicken Puff")</f>
        <v>Chicken Puff</v>
      </c>
      <c r="E723" s="18">
        <f>IFERROR(__xludf.DUMMYFUNCTION("""COMPUTED_VALUE"""),2.0)</f>
        <v>2</v>
      </c>
      <c r="F723" s="18" t="str">
        <f>IFERROR(__xludf.DUMMYFUNCTION("""COMPUTED_VALUE"""),"Nikhil Deshmukh")</f>
        <v>Nikhil Deshmukh</v>
      </c>
      <c r="G723" s="19">
        <f>IFERROR(__xludf.DUMMYFUNCTION("""COMPUTED_VALUE"""),45062.0)</f>
        <v>45062</v>
      </c>
      <c r="H723" s="18" t="str">
        <f>IFERROR(__xludf.DUMMYFUNCTION("""COMPUTED_VALUE"""),"UPI")</f>
        <v>UPI</v>
      </c>
      <c r="I723" s="18" t="str">
        <f>IFERROR(__xludf.DUMMYFUNCTION("""COMPUTED_VALUE"""),"Cancelled")</f>
        <v>Cancelled</v>
      </c>
      <c r="J723" s="18" t="str">
        <f>IFERROR(__xludf.DUMMYFUNCTION("""COMPUTED_VALUE"""),"Delayed Delivery")</f>
        <v>Delayed Delivery</v>
      </c>
      <c r="K723" s="18" t="str">
        <f>IFERROR(__xludf.DUMMYFUNCTION("""COMPUTED_VALUE"""),"Bad Weather Conditions")</f>
        <v>Bad Weather Conditions</v>
      </c>
      <c r="L723" s="18">
        <f>iferror(VLOOKUP($D723,Details!$A$2:$C$11,2,false),vlookup($D723,Details!$E$2:$G$11,2,false))</f>
        <v>90</v>
      </c>
      <c r="M723" s="18" t="str">
        <f>iferror(VLOOKUP($D723,Details!$A$2:$C$11,3,false),vlookup($D723,Details!$E$2:$G$11,3,false))</f>
        <v>Snacks and Drinks</v>
      </c>
      <c r="N723" s="18">
        <f t="shared" si="1"/>
        <v>180</v>
      </c>
      <c r="O723" s="17"/>
      <c r="P723" s="17"/>
      <c r="Q723" s="17"/>
      <c r="R723" s="17"/>
      <c r="S723" s="17"/>
      <c r="T723" s="17"/>
      <c r="U723" s="17"/>
      <c r="V723" s="17"/>
      <c r="W723" s="17"/>
      <c r="X723" s="17"/>
      <c r="Y723" s="17"/>
      <c r="Z723" s="17"/>
    </row>
    <row r="724">
      <c r="A724" s="18" t="str">
        <f>IFERROR(__xludf.DUMMYFUNCTION("""COMPUTED_VALUE"""),"ord_10715")</f>
        <v>ord_10715</v>
      </c>
      <c r="B724" s="18" t="str">
        <f>IFERROR(__xludf.DUMMYFUNCTION("""COMPUTED_VALUE"""),"Mehul Thakkar")</f>
        <v>Mehul Thakkar</v>
      </c>
      <c r="C724" s="18" t="str">
        <f>IFERROR(__xludf.DUMMYFUNCTION("""COMPUTED_VALUE"""),"Malad")</f>
        <v>Malad</v>
      </c>
      <c r="D724" s="18" t="str">
        <f>IFERROR(__xludf.DUMMYFUNCTION("""COMPUTED_VALUE"""),"Apple")</f>
        <v>Apple</v>
      </c>
      <c r="E724" s="18">
        <f>IFERROR(__xludf.DUMMYFUNCTION("""COMPUTED_VALUE"""),2.0)</f>
        <v>2</v>
      </c>
      <c r="F724" s="18" t="str">
        <f>IFERROR(__xludf.DUMMYFUNCTION("""COMPUTED_VALUE"""),"Sita T")</f>
        <v>Sita T</v>
      </c>
      <c r="G724" s="19">
        <f>IFERROR(__xludf.DUMMYFUNCTION("""COMPUTED_VALUE"""),45123.0)</f>
        <v>45123</v>
      </c>
      <c r="H724" s="18" t="str">
        <f>IFERROR(__xludf.DUMMYFUNCTION("""COMPUTED_VALUE"""),"Credit Card")</f>
        <v>Credit Card</v>
      </c>
      <c r="I724" s="18" t="str">
        <f>IFERROR(__xludf.DUMMYFUNCTION("""COMPUTED_VALUE"""),"Cancelled")</f>
        <v>Cancelled</v>
      </c>
      <c r="J724" s="18" t="str">
        <f>IFERROR(__xludf.DUMMYFUNCTION("""COMPUTED_VALUE"""),"Delayed Delivery")</f>
        <v>Delayed Delivery</v>
      </c>
      <c r="K724" s="18" t="str">
        <f>IFERROR(__xludf.DUMMYFUNCTION("""COMPUTED_VALUE"""),"Heavy Traffic")</f>
        <v>Heavy Traffic</v>
      </c>
      <c r="L724" s="18">
        <f>iferror(VLOOKUP($D724,Details!$A$2:$C$11,2,false),vlookup($D724,Details!$E$2:$G$11,2,false))</f>
        <v>230</v>
      </c>
      <c r="M724" s="18" t="str">
        <f>iferror(VLOOKUP($D724,Details!$A$2:$C$11,3,false),vlookup($D724,Details!$E$2:$G$11,3,false))</f>
        <v>Fruits and Vegetables</v>
      </c>
      <c r="N724" s="18">
        <f t="shared" si="1"/>
        <v>460</v>
      </c>
      <c r="O724" s="17"/>
      <c r="P724" s="17"/>
      <c r="Q724" s="17"/>
      <c r="R724" s="17"/>
      <c r="S724" s="17"/>
      <c r="T724" s="17"/>
      <c r="U724" s="17"/>
      <c r="V724" s="17"/>
      <c r="W724" s="17"/>
      <c r="X724" s="17"/>
      <c r="Y724" s="17"/>
      <c r="Z724" s="17"/>
    </row>
    <row r="725">
      <c r="A725" s="18" t="str">
        <f>IFERROR(__xludf.DUMMYFUNCTION("""COMPUTED_VALUE"""),"ord_10716")</f>
        <v>ord_10716</v>
      </c>
      <c r="B725" s="18" t="str">
        <f>IFERROR(__xludf.DUMMYFUNCTION("""COMPUTED_VALUE"""),"Ishita Banerjee")</f>
        <v>Ishita Banerjee</v>
      </c>
      <c r="C725" s="18" t="str">
        <f>IFERROR(__xludf.DUMMYFUNCTION("""COMPUTED_VALUE"""),"Juhu")</f>
        <v>Juhu</v>
      </c>
      <c r="D725" s="18" t="str">
        <f>IFERROR(__xludf.DUMMYFUNCTION("""COMPUTED_VALUE"""),"Juice")</f>
        <v>Juice</v>
      </c>
      <c r="E725" s="18">
        <f>IFERROR(__xludf.DUMMYFUNCTION("""COMPUTED_VALUE"""),4.0)</f>
        <v>4</v>
      </c>
      <c r="F725" s="18" t="str">
        <f>IFERROR(__xludf.DUMMYFUNCTION("""COMPUTED_VALUE"""),"Priya Joshi")</f>
        <v>Priya Joshi</v>
      </c>
      <c r="G725" s="19">
        <f>IFERROR(__xludf.DUMMYFUNCTION("""COMPUTED_VALUE"""),45276.0)</f>
        <v>45276</v>
      </c>
      <c r="H725" s="18" t="str">
        <f>IFERROR(__xludf.DUMMYFUNCTION("""COMPUTED_VALUE"""),"UPI")</f>
        <v>UPI</v>
      </c>
      <c r="I725" s="18" t="str">
        <f>IFERROR(__xludf.DUMMYFUNCTION("""COMPUTED_VALUE"""),"Cancelled")</f>
        <v>Cancelled</v>
      </c>
      <c r="J725" s="18" t="str">
        <f>IFERROR(__xludf.DUMMYFUNCTION("""COMPUTED_VALUE"""),"Delayed Delivery")</f>
        <v>Delayed Delivery</v>
      </c>
      <c r="K725" s="18" t="str">
        <f>IFERROR(__xludf.DUMMYFUNCTION("""COMPUTED_VALUE"""),"Heavy Traffic")</f>
        <v>Heavy Traffic</v>
      </c>
      <c r="L725" s="18">
        <f>iferror(VLOOKUP($D725,Details!$A$2:$C$11,2,false),vlookup($D725,Details!$E$2:$G$11,2,false))</f>
        <v>90</v>
      </c>
      <c r="M725" s="18" t="str">
        <f>iferror(VLOOKUP($D725,Details!$A$2:$C$11,3,false),vlookup($D725,Details!$E$2:$G$11,3,false))</f>
        <v>Snacks and Drinks</v>
      </c>
      <c r="N725" s="18">
        <f t="shared" si="1"/>
        <v>360</v>
      </c>
      <c r="O725" s="17"/>
      <c r="P725" s="17"/>
      <c r="Q725" s="17"/>
      <c r="R725" s="17"/>
      <c r="S725" s="17"/>
      <c r="T725" s="17"/>
      <c r="U725" s="17"/>
      <c r="V725" s="17"/>
      <c r="W725" s="17"/>
      <c r="X725" s="17"/>
      <c r="Y725" s="17"/>
      <c r="Z725" s="17"/>
    </row>
    <row r="726">
      <c r="A726" s="18" t="str">
        <f>IFERROR(__xludf.DUMMYFUNCTION("""COMPUTED_VALUE"""),"ord_10717")</f>
        <v>ord_10717</v>
      </c>
      <c r="B726" s="18" t="str">
        <f>IFERROR(__xludf.DUMMYFUNCTION("""COMPUTED_VALUE"""),"Tanishq Bansal")</f>
        <v>Tanishq Bansal</v>
      </c>
      <c r="C726" s="18" t="str">
        <f>IFERROR(__xludf.DUMMYFUNCTION("""COMPUTED_VALUE"""),"Powai")</f>
        <v>Powai</v>
      </c>
      <c r="D726" s="18" t="str">
        <f>IFERROR(__xludf.DUMMYFUNCTION("""COMPUTED_VALUE"""),"Chocolate Mousse")</f>
        <v>Chocolate Mousse</v>
      </c>
      <c r="E726" s="18">
        <f>IFERROR(__xludf.DUMMYFUNCTION("""COMPUTED_VALUE"""),4.0)</f>
        <v>4</v>
      </c>
      <c r="F726" s="18" t="str">
        <f>IFERROR(__xludf.DUMMYFUNCTION("""COMPUTED_VALUE"""),"Sandeep Kumar")</f>
        <v>Sandeep Kumar</v>
      </c>
      <c r="G726" s="19">
        <f>IFERROR(__xludf.DUMMYFUNCTION("""COMPUTED_VALUE"""),45225.0)</f>
        <v>45225</v>
      </c>
      <c r="H726" s="18" t="str">
        <f>IFERROR(__xludf.DUMMYFUNCTION("""COMPUTED_VALUE"""),"Credit Card")</f>
        <v>Credit Card</v>
      </c>
      <c r="I726" s="18" t="str">
        <f>IFERROR(__xludf.DUMMYFUNCTION("""COMPUTED_VALUE"""),"Delivered")</f>
        <v>Delivered</v>
      </c>
      <c r="J726" s="18" t="str">
        <f>IFERROR(__xludf.DUMMYFUNCTION("""COMPUTED_VALUE"""),"On-time Delivery")</f>
        <v>On-time Delivery</v>
      </c>
      <c r="K726" s="18" t="str">
        <f>IFERROR(__xludf.DUMMYFUNCTION("""COMPUTED_VALUE"""),"Delivered on time")</f>
        <v>Delivered on time</v>
      </c>
      <c r="L726" s="18">
        <f>iferror(VLOOKUP($D726,Details!$A$2:$C$11,2,false),vlookup($D726,Details!$E$2:$G$11,2,false))</f>
        <v>145</v>
      </c>
      <c r="M726" s="18" t="str">
        <f>iferror(VLOOKUP($D726,Details!$A$2:$C$11,3,false),vlookup($D726,Details!$E$2:$G$11,3,false))</f>
        <v>Snacks and Drinks</v>
      </c>
      <c r="N726" s="18">
        <f t="shared" si="1"/>
        <v>580</v>
      </c>
      <c r="O726" s="17"/>
      <c r="P726" s="17"/>
      <c r="Q726" s="17"/>
      <c r="R726" s="17"/>
      <c r="S726" s="17"/>
      <c r="T726" s="17"/>
      <c r="U726" s="17"/>
      <c r="V726" s="17"/>
      <c r="W726" s="17"/>
      <c r="X726" s="17"/>
      <c r="Y726" s="17"/>
      <c r="Z726" s="17"/>
    </row>
    <row r="727">
      <c r="A727" s="18" t="str">
        <f>IFERROR(__xludf.DUMMYFUNCTION("""COMPUTED_VALUE"""),"ord_10718")</f>
        <v>ord_10718</v>
      </c>
      <c r="B727" s="18" t="str">
        <f>IFERROR(__xludf.DUMMYFUNCTION("""COMPUTED_VALUE"""),"Mohit Malhotra")</f>
        <v>Mohit Malhotra</v>
      </c>
      <c r="C727" s="18" t="str">
        <f>IFERROR(__xludf.DUMMYFUNCTION("""COMPUTED_VALUE"""),"Lower Parel")</f>
        <v>Lower Parel</v>
      </c>
      <c r="D727" s="18" t="str">
        <f>IFERROR(__xludf.DUMMYFUNCTION("""COMPUTED_VALUE"""),"Chilli Cheese Toast")</f>
        <v>Chilli Cheese Toast</v>
      </c>
      <c r="E727" s="18">
        <f>IFERROR(__xludf.DUMMYFUNCTION("""COMPUTED_VALUE"""),4.0)</f>
        <v>4</v>
      </c>
      <c r="F727" s="18" t="str">
        <f>IFERROR(__xludf.DUMMYFUNCTION("""COMPUTED_VALUE"""),"Kiran Mehta")</f>
        <v>Kiran Mehta</v>
      </c>
      <c r="G727" s="19">
        <f>IFERROR(__xludf.DUMMYFUNCTION("""COMPUTED_VALUE"""),45289.0)</f>
        <v>45289</v>
      </c>
      <c r="H727" s="18" t="str">
        <f>IFERROR(__xludf.DUMMYFUNCTION("""COMPUTED_VALUE"""),"UPI")</f>
        <v>UPI</v>
      </c>
      <c r="I727" s="18" t="str">
        <f>IFERROR(__xludf.DUMMYFUNCTION("""COMPUTED_VALUE"""),"Delivered")</f>
        <v>Delivered</v>
      </c>
      <c r="J727" s="18" t="str">
        <f>IFERROR(__xludf.DUMMYFUNCTION("""COMPUTED_VALUE"""),"Quality of Items")</f>
        <v>Quality of Items</v>
      </c>
      <c r="K727" s="18" t="str">
        <f>IFERROR(__xludf.DUMMYFUNCTION("""COMPUTED_VALUE"""),"Perfect condition")</f>
        <v>Perfect condition</v>
      </c>
      <c r="L727" s="18">
        <f>iferror(VLOOKUP($D727,Details!$A$2:$C$11,2,false),vlookup($D727,Details!$E$2:$G$11,2,false))</f>
        <v>80</v>
      </c>
      <c r="M727" s="18" t="str">
        <f>iferror(VLOOKUP($D727,Details!$A$2:$C$11,3,false),vlookup($D727,Details!$E$2:$G$11,3,false))</f>
        <v>Snacks and Drinks</v>
      </c>
      <c r="N727" s="18">
        <f t="shared" si="1"/>
        <v>320</v>
      </c>
      <c r="O727" s="17"/>
      <c r="P727" s="17"/>
      <c r="Q727" s="17"/>
      <c r="R727" s="17"/>
      <c r="S727" s="17"/>
      <c r="T727" s="17"/>
      <c r="U727" s="17"/>
      <c r="V727" s="17"/>
      <c r="W727" s="17"/>
      <c r="X727" s="17"/>
      <c r="Y727" s="17"/>
      <c r="Z727" s="17"/>
    </row>
    <row r="728">
      <c r="A728" s="18" t="str">
        <f>IFERROR(__xludf.DUMMYFUNCTION("""COMPUTED_VALUE"""),"ord_10719")</f>
        <v>ord_10719</v>
      </c>
      <c r="B728" s="18" t="str">
        <f>IFERROR(__xludf.DUMMYFUNCTION("""COMPUTED_VALUE"""),"Sakshi Tandon")</f>
        <v>Sakshi Tandon</v>
      </c>
      <c r="C728" s="18" t="str">
        <f>IFERROR(__xludf.DUMMYFUNCTION("""COMPUTED_VALUE"""),"Colaba")</f>
        <v>Colaba</v>
      </c>
      <c r="D728" s="18" t="str">
        <f>IFERROR(__xludf.DUMMYFUNCTION("""COMPUTED_VALUE"""),"Chocolate Mousse")</f>
        <v>Chocolate Mousse</v>
      </c>
      <c r="E728" s="18">
        <f>IFERROR(__xludf.DUMMYFUNCTION("""COMPUTED_VALUE"""),1.0)</f>
        <v>1</v>
      </c>
      <c r="F728" s="18" t="str">
        <f>IFERROR(__xludf.DUMMYFUNCTION("""COMPUTED_VALUE"""),"Nikhil Deshmukh")</f>
        <v>Nikhil Deshmukh</v>
      </c>
      <c r="G728" s="19">
        <f>IFERROR(__xludf.DUMMYFUNCTION("""COMPUTED_VALUE"""),45264.0)</f>
        <v>45264</v>
      </c>
      <c r="H728" s="18" t="str">
        <f>IFERROR(__xludf.DUMMYFUNCTION("""COMPUTED_VALUE"""),"UPI")</f>
        <v>UPI</v>
      </c>
      <c r="I728" s="18" t="str">
        <f>IFERROR(__xludf.DUMMYFUNCTION("""COMPUTED_VALUE"""),"Delivered")</f>
        <v>Delivered</v>
      </c>
      <c r="J728" s="18" t="str">
        <f>IFERROR(__xludf.DUMMYFUNCTION("""COMPUTED_VALUE"""),"On-time Delivery")</f>
        <v>On-time Delivery</v>
      </c>
      <c r="K728" s="18" t="str">
        <f>IFERROR(__xludf.DUMMYFUNCTION("""COMPUTED_VALUE"""),"Delivered on time")</f>
        <v>Delivered on time</v>
      </c>
      <c r="L728" s="18">
        <f>iferror(VLOOKUP($D728,Details!$A$2:$C$11,2,false),vlookup($D728,Details!$E$2:$G$11,2,false))</f>
        <v>145</v>
      </c>
      <c r="M728" s="18" t="str">
        <f>iferror(VLOOKUP($D728,Details!$A$2:$C$11,3,false),vlookup($D728,Details!$E$2:$G$11,3,false))</f>
        <v>Snacks and Drinks</v>
      </c>
      <c r="N728" s="18">
        <f t="shared" si="1"/>
        <v>145</v>
      </c>
      <c r="O728" s="17"/>
      <c r="P728" s="17"/>
      <c r="Q728" s="17"/>
      <c r="R728" s="17"/>
      <c r="S728" s="17"/>
      <c r="T728" s="17"/>
      <c r="U728" s="17"/>
      <c r="V728" s="17"/>
      <c r="W728" s="17"/>
      <c r="X728" s="17"/>
      <c r="Y728" s="17"/>
      <c r="Z728" s="17"/>
    </row>
    <row r="729">
      <c r="A729" s="18" t="str">
        <f>IFERROR(__xludf.DUMMYFUNCTION("""COMPUTED_VALUE"""),"ord_10720")</f>
        <v>ord_10720</v>
      </c>
      <c r="B729" s="18" t="str">
        <f>IFERROR(__xludf.DUMMYFUNCTION("""COMPUTED_VALUE"""),"Anaya Rao")</f>
        <v>Anaya Rao</v>
      </c>
      <c r="C729" s="18" t="str">
        <f>IFERROR(__xludf.DUMMYFUNCTION("""COMPUTED_VALUE"""),"Colaba")</f>
        <v>Colaba</v>
      </c>
      <c r="D729" s="18" t="str">
        <f>IFERROR(__xludf.DUMMYFUNCTION("""COMPUTED_VALUE"""),"Cucumber")</f>
        <v>Cucumber</v>
      </c>
      <c r="E729" s="18">
        <f>IFERROR(__xludf.DUMMYFUNCTION("""COMPUTED_VALUE"""),1.0)</f>
        <v>1</v>
      </c>
      <c r="F729" s="18" t="str">
        <f>IFERROR(__xludf.DUMMYFUNCTION("""COMPUTED_VALUE"""),"Nikhil Deshmukh")</f>
        <v>Nikhil Deshmukh</v>
      </c>
      <c r="G729" s="19">
        <f>IFERROR(__xludf.DUMMYFUNCTION("""COMPUTED_VALUE"""),45149.0)</f>
        <v>45149</v>
      </c>
      <c r="H729" s="18" t="str">
        <f>IFERROR(__xludf.DUMMYFUNCTION("""COMPUTED_VALUE"""),"Credit Card")</f>
        <v>Credit Card</v>
      </c>
      <c r="I729" s="18" t="str">
        <f>IFERROR(__xludf.DUMMYFUNCTION("""COMPUTED_VALUE"""),"Delivered")</f>
        <v>Delivered</v>
      </c>
      <c r="J729" s="18" t="str">
        <f>IFERROR(__xludf.DUMMYFUNCTION("""COMPUTED_VALUE"""),"Quality of Items")</f>
        <v>Quality of Items</v>
      </c>
      <c r="K729" s="18" t="str">
        <f>IFERROR(__xludf.DUMMYFUNCTION("""COMPUTED_VALUE"""),"Perfect condition")</f>
        <v>Perfect condition</v>
      </c>
      <c r="L729" s="18">
        <f>iferror(VLOOKUP($D729,Details!$A$2:$C$11,2,false),vlookup($D729,Details!$E$2:$G$11,2,false))</f>
        <v>30</v>
      </c>
      <c r="M729" s="18" t="str">
        <f>iferror(VLOOKUP($D729,Details!$A$2:$C$11,3,false),vlookup($D729,Details!$E$2:$G$11,3,false))</f>
        <v>Fruits and Vegetables</v>
      </c>
      <c r="N729" s="18">
        <f t="shared" si="1"/>
        <v>30</v>
      </c>
      <c r="O729" s="17"/>
      <c r="P729" s="17"/>
      <c r="Q729" s="17"/>
      <c r="R729" s="17"/>
      <c r="S729" s="17"/>
      <c r="T729" s="17"/>
      <c r="U729" s="17"/>
      <c r="V729" s="17"/>
      <c r="W729" s="17"/>
      <c r="X729" s="17"/>
      <c r="Y729" s="17"/>
      <c r="Z729" s="17"/>
    </row>
    <row r="730">
      <c r="A730" s="18" t="str">
        <f>IFERROR(__xludf.DUMMYFUNCTION("""COMPUTED_VALUE"""),"ord_10721")</f>
        <v>ord_10721</v>
      </c>
      <c r="B730" s="18" t="str">
        <f>IFERROR(__xludf.DUMMYFUNCTION("""COMPUTED_VALUE"""),"Dev Chauhan")</f>
        <v>Dev Chauhan</v>
      </c>
      <c r="C730" s="18" t="str">
        <f>IFERROR(__xludf.DUMMYFUNCTION("""COMPUTED_VALUE"""),"Bandra")</f>
        <v>Bandra</v>
      </c>
      <c r="D730" s="18" t="str">
        <f>IFERROR(__xludf.DUMMYFUNCTION("""COMPUTED_VALUE"""),"Juice")</f>
        <v>Juice</v>
      </c>
      <c r="E730" s="18">
        <f>IFERROR(__xludf.DUMMYFUNCTION("""COMPUTED_VALUE"""),4.0)</f>
        <v>4</v>
      </c>
      <c r="F730" s="18" t="str">
        <f>IFERROR(__xludf.DUMMYFUNCTION("""COMPUTED_VALUE"""),"Priya Joshi")</f>
        <v>Priya Joshi</v>
      </c>
      <c r="G730" s="19">
        <f>IFERROR(__xludf.DUMMYFUNCTION("""COMPUTED_VALUE"""),45014.0)</f>
        <v>45014</v>
      </c>
      <c r="H730" s="18" t="str">
        <f>IFERROR(__xludf.DUMMYFUNCTION("""COMPUTED_VALUE"""),"UPI")</f>
        <v>UPI</v>
      </c>
      <c r="I730" s="18" t="str">
        <f>IFERROR(__xludf.DUMMYFUNCTION("""COMPUTED_VALUE"""),"Delivered")</f>
        <v>Delivered</v>
      </c>
      <c r="J730" s="18" t="str">
        <f>IFERROR(__xludf.DUMMYFUNCTION("""COMPUTED_VALUE"""),"Packaging")</f>
        <v>Packaging</v>
      </c>
      <c r="K730" s="18" t="str">
        <f>IFERROR(__xludf.DUMMYFUNCTION("""COMPUTED_VALUE"""),"Secure and intact")</f>
        <v>Secure and intact</v>
      </c>
      <c r="L730" s="18">
        <f>iferror(VLOOKUP($D730,Details!$A$2:$C$11,2,false),vlookup($D730,Details!$E$2:$G$11,2,false))</f>
        <v>90</v>
      </c>
      <c r="M730" s="18" t="str">
        <f>iferror(VLOOKUP($D730,Details!$A$2:$C$11,3,false),vlookup($D730,Details!$E$2:$G$11,3,false))</f>
        <v>Snacks and Drinks</v>
      </c>
      <c r="N730" s="18">
        <f t="shared" si="1"/>
        <v>360</v>
      </c>
      <c r="O730" s="17"/>
      <c r="P730" s="17"/>
      <c r="Q730" s="17"/>
      <c r="R730" s="17"/>
      <c r="S730" s="17"/>
      <c r="T730" s="17"/>
      <c r="U730" s="17"/>
      <c r="V730" s="17"/>
      <c r="W730" s="17"/>
      <c r="X730" s="17"/>
      <c r="Y730" s="17"/>
      <c r="Z730" s="17"/>
    </row>
    <row r="731">
      <c r="A731" s="18" t="str">
        <f>IFERROR(__xludf.DUMMYFUNCTION("""COMPUTED_VALUE"""),"ord_10722")</f>
        <v>ord_10722</v>
      </c>
      <c r="B731" s="18" t="str">
        <f>IFERROR(__xludf.DUMMYFUNCTION("""COMPUTED_VALUE"""),"Ishaan Chaturvedi")</f>
        <v>Ishaan Chaturvedi</v>
      </c>
      <c r="C731" s="18" t="str">
        <f>IFERROR(__xludf.DUMMYFUNCTION("""COMPUTED_VALUE"""),"Bandra")</f>
        <v>Bandra</v>
      </c>
      <c r="D731" s="18" t="str">
        <f>IFERROR(__xludf.DUMMYFUNCTION("""COMPUTED_VALUE"""),"Rasmalai")</f>
        <v>Rasmalai</v>
      </c>
      <c r="E731" s="18">
        <f>IFERROR(__xludf.DUMMYFUNCTION("""COMPUTED_VALUE"""),4.0)</f>
        <v>4</v>
      </c>
      <c r="F731" s="18" t="str">
        <f>IFERROR(__xludf.DUMMYFUNCTION("""COMPUTED_VALUE"""),"Not Assigned")</f>
        <v>Not Assigned</v>
      </c>
      <c r="G731" s="19">
        <f>IFERROR(__xludf.DUMMYFUNCTION("""COMPUTED_VALUE"""),45001.0)</f>
        <v>45001</v>
      </c>
      <c r="H731" s="18" t="str">
        <f>IFERROR(__xludf.DUMMYFUNCTION("""COMPUTED_VALUE"""),"Credit Card")</f>
        <v>Credit Card</v>
      </c>
      <c r="I731" s="18" t="str">
        <f>IFERROR(__xludf.DUMMYFUNCTION("""COMPUTED_VALUE"""),"Cancelled")</f>
        <v>Cancelled</v>
      </c>
      <c r="J731" s="18" t="str">
        <f>IFERROR(__xludf.DUMMYFUNCTION("""COMPUTED_VALUE"""),"High Delivery Fees")</f>
        <v>High Delivery Fees</v>
      </c>
      <c r="K731" s="18"/>
      <c r="L731" s="18">
        <f>iferror(VLOOKUP($D731,Details!$A$2:$C$11,2,false),vlookup($D731,Details!$E$2:$G$11,2,false))</f>
        <v>110</v>
      </c>
      <c r="M731" s="18" t="str">
        <f>iferror(VLOOKUP($D731,Details!$A$2:$C$11,3,false),vlookup($D731,Details!$E$2:$G$11,3,false))</f>
        <v>Snacks and Drinks</v>
      </c>
      <c r="N731" s="18">
        <f t="shared" si="1"/>
        <v>440</v>
      </c>
      <c r="O731" s="17"/>
      <c r="P731" s="17"/>
      <c r="Q731" s="17"/>
      <c r="R731" s="17"/>
      <c r="S731" s="17"/>
      <c r="T731" s="17"/>
      <c r="U731" s="17"/>
      <c r="V731" s="17"/>
      <c r="W731" s="17"/>
      <c r="X731" s="17"/>
      <c r="Y731" s="17"/>
      <c r="Z731" s="17"/>
    </row>
    <row r="732">
      <c r="A732" s="18" t="str">
        <f>IFERROR(__xludf.DUMMYFUNCTION("""COMPUTED_VALUE"""),"ord_10723")</f>
        <v>ord_10723</v>
      </c>
      <c r="B732" s="18" t="str">
        <f>IFERROR(__xludf.DUMMYFUNCTION("""COMPUTED_VALUE"""),"Mohit Malhotra")</f>
        <v>Mohit Malhotra</v>
      </c>
      <c r="C732" s="18" t="str">
        <f>IFERROR(__xludf.DUMMYFUNCTION("""COMPUTED_VALUE"""),"Lower Parel")</f>
        <v>Lower Parel</v>
      </c>
      <c r="D732" s="18" t="str">
        <f>IFERROR(__xludf.DUMMYFUNCTION("""COMPUTED_VALUE"""),"Potato")</f>
        <v>Potato</v>
      </c>
      <c r="E732" s="18">
        <f>IFERROR(__xludf.DUMMYFUNCTION("""COMPUTED_VALUE"""),1.0)</f>
        <v>1</v>
      </c>
      <c r="F732" s="18" t="str">
        <f>IFERROR(__xludf.DUMMYFUNCTION("""COMPUTED_VALUE"""),"Not Assigned")</f>
        <v>Not Assigned</v>
      </c>
      <c r="G732" s="19">
        <f>IFERROR(__xludf.DUMMYFUNCTION("""COMPUTED_VALUE"""),45206.0)</f>
        <v>45206</v>
      </c>
      <c r="H732" s="18" t="str">
        <f>IFERROR(__xludf.DUMMYFUNCTION("""COMPUTED_VALUE"""),"UPI")</f>
        <v>UPI</v>
      </c>
      <c r="I732" s="18" t="str">
        <f>IFERROR(__xludf.DUMMYFUNCTION("""COMPUTED_VALUE"""),"Cancelled")</f>
        <v>Cancelled</v>
      </c>
      <c r="J732" s="18" t="str">
        <f>IFERROR(__xludf.DUMMYFUNCTION("""COMPUTED_VALUE"""),"App Glitches")</f>
        <v>App Glitches</v>
      </c>
      <c r="K732" s="18" t="str">
        <f>IFERROR(__xludf.DUMMYFUNCTION("""COMPUTED_VALUE"""),"Slow Loading Time")</f>
        <v>Slow Loading Time</v>
      </c>
      <c r="L732" s="18">
        <f>iferror(VLOOKUP($D732,Details!$A$2:$C$11,2,false),vlookup($D732,Details!$E$2:$G$11,2,false))</f>
        <v>55</v>
      </c>
      <c r="M732" s="18" t="str">
        <f>iferror(VLOOKUP($D732,Details!$A$2:$C$11,3,false),vlookup($D732,Details!$E$2:$G$11,3,false))</f>
        <v>Fruits and Vegetables</v>
      </c>
      <c r="N732" s="18">
        <f t="shared" si="1"/>
        <v>55</v>
      </c>
      <c r="O732" s="17"/>
      <c r="P732" s="17"/>
      <c r="Q732" s="17"/>
      <c r="R732" s="17"/>
      <c r="S732" s="17"/>
      <c r="T732" s="17"/>
      <c r="U732" s="17"/>
      <c r="V732" s="17"/>
      <c r="W732" s="17"/>
      <c r="X732" s="17"/>
      <c r="Y732" s="17"/>
      <c r="Z732" s="17"/>
    </row>
    <row r="733">
      <c r="A733" s="18" t="str">
        <f>IFERROR(__xludf.DUMMYFUNCTION("""COMPUTED_VALUE"""),"ord_10724")</f>
        <v>ord_10724</v>
      </c>
      <c r="B733" s="18" t="str">
        <f>IFERROR(__xludf.DUMMYFUNCTION("""COMPUTED_VALUE"""),"Pranav Joshi")</f>
        <v>Pranav Joshi</v>
      </c>
      <c r="C733" s="18" t="str">
        <f>IFERROR(__xludf.DUMMYFUNCTION("""COMPUTED_VALUE"""),"Andheri")</f>
        <v>Andheri</v>
      </c>
      <c r="D733" s="18" t="str">
        <f>IFERROR(__xludf.DUMMYFUNCTION("""COMPUTED_VALUE"""),"Banana")</f>
        <v>Banana</v>
      </c>
      <c r="E733" s="18">
        <f>IFERROR(__xludf.DUMMYFUNCTION("""COMPUTED_VALUE"""),1.0)</f>
        <v>1</v>
      </c>
      <c r="F733" s="18" t="str">
        <f>IFERROR(__xludf.DUMMYFUNCTION("""COMPUTED_VALUE"""),"Not Assigned")</f>
        <v>Not Assigned</v>
      </c>
      <c r="G733" s="19">
        <f>IFERROR(__xludf.DUMMYFUNCTION("""COMPUTED_VALUE"""),45215.0)</f>
        <v>45215</v>
      </c>
      <c r="H733" s="18" t="str">
        <f>IFERROR(__xludf.DUMMYFUNCTION("""COMPUTED_VALUE"""),"Online Payment")</f>
        <v>Online Payment</v>
      </c>
      <c r="I733" s="18" t="str">
        <f>IFERROR(__xludf.DUMMYFUNCTION("""COMPUTED_VALUE"""),"Cancelled")</f>
        <v>Cancelled</v>
      </c>
      <c r="J733" s="18" t="str">
        <f>IFERROR(__xludf.DUMMYFUNCTION("""COMPUTED_VALUE"""),"App Glitches")</f>
        <v>App Glitches</v>
      </c>
      <c r="K733" s="18" t="str">
        <f>IFERROR(__xludf.DUMMYFUNCTION("""COMPUTED_VALUE"""),"Payment Button Malfunction")</f>
        <v>Payment Button Malfunction</v>
      </c>
      <c r="L733" s="18">
        <f>iferror(VLOOKUP($D733,Details!$A$2:$C$11,2,false),vlookup($D733,Details!$E$2:$G$11,2,false))</f>
        <v>80</v>
      </c>
      <c r="M733" s="18" t="str">
        <f>iferror(VLOOKUP($D733,Details!$A$2:$C$11,3,false),vlookup($D733,Details!$E$2:$G$11,3,false))</f>
        <v>Fruits and Vegetables</v>
      </c>
      <c r="N733" s="18">
        <f t="shared" si="1"/>
        <v>80</v>
      </c>
      <c r="O733" s="17"/>
      <c r="P733" s="17"/>
      <c r="Q733" s="17"/>
      <c r="R733" s="17"/>
      <c r="S733" s="17"/>
      <c r="T733" s="17"/>
      <c r="U733" s="17"/>
      <c r="V733" s="17"/>
      <c r="W733" s="17"/>
      <c r="X733" s="17"/>
      <c r="Y733" s="17"/>
      <c r="Z733" s="17"/>
    </row>
    <row r="734">
      <c r="A734" s="18" t="str">
        <f>IFERROR(__xludf.DUMMYFUNCTION("""COMPUTED_VALUE"""),"ord_10725")</f>
        <v>ord_10725</v>
      </c>
      <c r="B734" s="18" t="str">
        <f>IFERROR(__xludf.DUMMYFUNCTION("""COMPUTED_VALUE"""),"Mohit Malhotra")</f>
        <v>Mohit Malhotra</v>
      </c>
      <c r="C734" s="18" t="str">
        <f>IFERROR(__xludf.DUMMYFUNCTION("""COMPUTED_VALUE"""),"Lower Parel")</f>
        <v>Lower Parel</v>
      </c>
      <c r="D734" s="18" t="str">
        <f>IFERROR(__xludf.DUMMYFUNCTION("""COMPUTED_VALUE"""),"Tomato")</f>
        <v>Tomato</v>
      </c>
      <c r="E734" s="18">
        <f>IFERROR(__xludf.DUMMYFUNCTION("""COMPUTED_VALUE"""),1.0)</f>
        <v>1</v>
      </c>
      <c r="F734" s="18" t="str">
        <f>IFERROR(__xludf.DUMMYFUNCTION("""COMPUTED_VALUE"""),"Sita T")</f>
        <v>Sita T</v>
      </c>
      <c r="G734" s="19">
        <f>IFERROR(__xludf.DUMMYFUNCTION("""COMPUTED_VALUE"""),45194.0)</f>
        <v>45194</v>
      </c>
      <c r="H734" s="18" t="str">
        <f>IFERROR(__xludf.DUMMYFUNCTION("""COMPUTED_VALUE"""),"Online Payment")</f>
        <v>Online Payment</v>
      </c>
      <c r="I734" s="18" t="str">
        <f>IFERROR(__xludf.DUMMYFUNCTION("""COMPUTED_VALUE"""),"Delivered")</f>
        <v>Delivered</v>
      </c>
      <c r="J734" s="18" t="str">
        <f>IFERROR(__xludf.DUMMYFUNCTION("""COMPUTED_VALUE"""),"Satisfied with the Delivery")</f>
        <v>Satisfied with the Delivery</v>
      </c>
      <c r="K734" s="18" t="str">
        <f>IFERROR(__xludf.DUMMYFUNCTION("""COMPUTED_VALUE"""),"Timely and quality")</f>
        <v>Timely and quality</v>
      </c>
      <c r="L734" s="18">
        <f>iferror(VLOOKUP($D734,Details!$A$2:$C$11,2,false),vlookup($D734,Details!$E$2:$G$11,2,false))</f>
        <v>25</v>
      </c>
      <c r="M734" s="18" t="str">
        <f>iferror(VLOOKUP($D734,Details!$A$2:$C$11,3,false),vlookup($D734,Details!$E$2:$G$11,3,false))</f>
        <v>Fruits and Vegetables</v>
      </c>
      <c r="N734" s="18">
        <f t="shared" si="1"/>
        <v>25</v>
      </c>
      <c r="O734" s="17"/>
      <c r="P734" s="17"/>
      <c r="Q734" s="17"/>
      <c r="R734" s="17"/>
      <c r="S734" s="17"/>
      <c r="T734" s="17"/>
      <c r="U734" s="17"/>
      <c r="V734" s="17"/>
      <c r="W734" s="17"/>
      <c r="X734" s="17"/>
      <c r="Y734" s="17"/>
      <c r="Z734" s="17"/>
    </row>
    <row r="735">
      <c r="A735" s="18" t="str">
        <f>IFERROR(__xludf.DUMMYFUNCTION("""COMPUTED_VALUE"""),"ord_10726")</f>
        <v>ord_10726</v>
      </c>
      <c r="B735" s="18" t="str">
        <f>IFERROR(__xludf.DUMMYFUNCTION("""COMPUTED_VALUE"""),"Kritika Shetty")</f>
        <v>Kritika Shetty</v>
      </c>
      <c r="C735" s="18" t="str">
        <f>IFERROR(__xludf.DUMMYFUNCTION("""COMPUTED_VALUE"""),"Malad")</f>
        <v>Malad</v>
      </c>
      <c r="D735" s="18" t="str">
        <f>IFERROR(__xludf.DUMMYFUNCTION("""COMPUTED_VALUE"""),"Juice")</f>
        <v>Juice</v>
      </c>
      <c r="E735" s="18">
        <f>IFERROR(__xludf.DUMMYFUNCTION("""COMPUTED_VALUE"""),5.0)</f>
        <v>5</v>
      </c>
      <c r="F735" s="18" t="str">
        <f>IFERROR(__xludf.DUMMYFUNCTION("""COMPUTED_VALUE"""),"Not Assigned")</f>
        <v>Not Assigned</v>
      </c>
      <c r="G735" s="19">
        <f>IFERROR(__xludf.DUMMYFUNCTION("""COMPUTED_VALUE"""),45093.0)</f>
        <v>45093</v>
      </c>
      <c r="H735" s="18" t="str">
        <f>IFERROR(__xludf.DUMMYFUNCTION("""COMPUTED_VALUE"""),"Online Payment")</f>
        <v>Online Payment</v>
      </c>
      <c r="I735" s="18" t="str">
        <f>IFERROR(__xludf.DUMMYFUNCTION("""COMPUTED_VALUE"""),"Cancelled")</f>
        <v>Cancelled</v>
      </c>
      <c r="J735" s="18" t="str">
        <f>IFERROR(__xludf.DUMMYFUNCTION("""COMPUTED_VALUE"""),"App Glitches")</f>
        <v>App Glitches</v>
      </c>
      <c r="K735" s="18" t="str">
        <f>IFERROR(__xludf.DUMMYFUNCTION("""COMPUTED_VALUE"""),"Inconsistent Data Display")</f>
        <v>Inconsistent Data Display</v>
      </c>
      <c r="L735" s="18">
        <f>iferror(VLOOKUP($D735,Details!$A$2:$C$11,2,false),vlookup($D735,Details!$E$2:$G$11,2,false))</f>
        <v>90</v>
      </c>
      <c r="M735" s="18" t="str">
        <f>iferror(VLOOKUP($D735,Details!$A$2:$C$11,3,false),vlookup($D735,Details!$E$2:$G$11,3,false))</f>
        <v>Snacks and Drinks</v>
      </c>
      <c r="N735" s="18">
        <f t="shared" si="1"/>
        <v>450</v>
      </c>
      <c r="O735" s="17"/>
      <c r="P735" s="17"/>
      <c r="Q735" s="17"/>
      <c r="R735" s="17"/>
      <c r="S735" s="17"/>
      <c r="T735" s="17"/>
      <c r="U735" s="17"/>
      <c r="V735" s="17"/>
      <c r="W735" s="17"/>
      <c r="X735" s="17"/>
      <c r="Y735" s="17"/>
      <c r="Z735" s="17"/>
    </row>
    <row r="736">
      <c r="A736" s="18" t="str">
        <f>IFERROR(__xludf.DUMMYFUNCTION("""COMPUTED_VALUE"""),"ord_10727")</f>
        <v>ord_10727</v>
      </c>
      <c r="B736" s="18" t="str">
        <f>IFERROR(__xludf.DUMMYFUNCTION("""COMPUTED_VALUE"""),"Pallavi Ghosh")</f>
        <v>Pallavi Ghosh</v>
      </c>
      <c r="C736" s="18" t="str">
        <f>IFERROR(__xludf.DUMMYFUNCTION("""COMPUTED_VALUE"""),"Bandra")</f>
        <v>Bandra</v>
      </c>
      <c r="D736" s="18" t="str">
        <f>IFERROR(__xludf.DUMMYFUNCTION("""COMPUTED_VALUE"""),"Tomato")</f>
        <v>Tomato</v>
      </c>
      <c r="E736" s="18">
        <f>IFERROR(__xludf.DUMMYFUNCTION("""COMPUTED_VALUE"""),2.0)</f>
        <v>2</v>
      </c>
      <c r="F736" s="18" t="str">
        <f>IFERROR(__xludf.DUMMYFUNCTION("""COMPUTED_VALUE"""),"Not Assigned")</f>
        <v>Not Assigned</v>
      </c>
      <c r="G736" s="19">
        <f>IFERROR(__xludf.DUMMYFUNCTION("""COMPUTED_VALUE"""),44985.0)</f>
        <v>44985</v>
      </c>
      <c r="H736" s="18" t="str">
        <f>IFERROR(__xludf.DUMMYFUNCTION("""COMPUTED_VALUE"""),"Credit Card")</f>
        <v>Credit Card</v>
      </c>
      <c r="I736" s="18" t="str">
        <f>IFERROR(__xludf.DUMMYFUNCTION("""COMPUTED_VALUE"""),"Cancelled")</f>
        <v>Cancelled</v>
      </c>
      <c r="J736" s="18" t="str">
        <f>IFERROR(__xludf.DUMMYFUNCTION("""COMPUTED_VALUE"""),"Payment Issues")</f>
        <v>Payment Issues</v>
      </c>
      <c r="K736" s="18"/>
      <c r="L736" s="18">
        <f>iferror(VLOOKUP($D736,Details!$A$2:$C$11,2,false),vlookup($D736,Details!$E$2:$G$11,2,false))</f>
        <v>25</v>
      </c>
      <c r="M736" s="18" t="str">
        <f>iferror(VLOOKUP($D736,Details!$A$2:$C$11,3,false),vlookup($D736,Details!$E$2:$G$11,3,false))</f>
        <v>Fruits and Vegetables</v>
      </c>
      <c r="N736" s="18">
        <f t="shared" si="1"/>
        <v>50</v>
      </c>
      <c r="O736" s="17"/>
      <c r="P736" s="17"/>
      <c r="Q736" s="17"/>
      <c r="R736" s="17"/>
      <c r="S736" s="17"/>
      <c r="T736" s="17"/>
      <c r="U736" s="17"/>
      <c r="V736" s="17"/>
      <c r="W736" s="17"/>
      <c r="X736" s="17"/>
      <c r="Y736" s="17"/>
      <c r="Z736" s="17"/>
    </row>
    <row r="737">
      <c r="A737" s="18" t="str">
        <f>IFERROR(__xludf.DUMMYFUNCTION("""COMPUTED_VALUE"""),"ord_10728")</f>
        <v>ord_10728</v>
      </c>
      <c r="B737" s="18" t="str">
        <f>IFERROR(__xludf.DUMMYFUNCTION("""COMPUTED_VALUE"""),"Tanishq Bansal")</f>
        <v>Tanishq Bansal</v>
      </c>
      <c r="C737" s="18" t="str">
        <f>IFERROR(__xludf.DUMMYFUNCTION("""COMPUTED_VALUE"""),"Powai")</f>
        <v>Powai</v>
      </c>
      <c r="D737" s="18" t="str">
        <f>IFERROR(__xludf.DUMMYFUNCTION("""COMPUTED_VALUE"""),"Sweet Corn")</f>
        <v>Sweet Corn</v>
      </c>
      <c r="E737" s="18">
        <f>IFERROR(__xludf.DUMMYFUNCTION("""COMPUTED_VALUE"""),1.0)</f>
        <v>1</v>
      </c>
      <c r="F737" s="18" t="str">
        <f>IFERROR(__xludf.DUMMYFUNCTION("""COMPUTED_VALUE"""),"Vivek Kumar")</f>
        <v>Vivek Kumar</v>
      </c>
      <c r="G737" s="19">
        <f>IFERROR(__xludf.DUMMYFUNCTION("""COMPUTED_VALUE"""),45222.0)</f>
        <v>45222</v>
      </c>
      <c r="H737" s="18" t="str">
        <f>IFERROR(__xludf.DUMMYFUNCTION("""COMPUTED_VALUE"""),"UPI")</f>
        <v>UPI</v>
      </c>
      <c r="I737" s="18" t="str">
        <f>IFERROR(__xludf.DUMMYFUNCTION("""COMPUTED_VALUE"""),"Delivered")</f>
        <v>Delivered</v>
      </c>
      <c r="J737" s="18" t="str">
        <f>IFERROR(__xludf.DUMMYFUNCTION("""COMPUTED_VALUE"""),"Customer Service")</f>
        <v>Customer Service</v>
      </c>
      <c r="K737" s="18" t="str">
        <f>IFERROR(__xludf.DUMMYFUNCTION("""COMPUTED_VALUE"""),"Seamless and easy")</f>
        <v>Seamless and easy</v>
      </c>
      <c r="L737" s="18">
        <f>iferror(VLOOKUP($D737,Details!$A$2:$C$11,2,false),vlookup($D737,Details!$E$2:$G$11,2,false))</f>
        <v>60</v>
      </c>
      <c r="M737" s="18" t="str">
        <f>iferror(VLOOKUP($D737,Details!$A$2:$C$11,3,false),vlookup($D737,Details!$E$2:$G$11,3,false))</f>
        <v>Fruits and Vegetables</v>
      </c>
      <c r="N737" s="18">
        <f t="shared" si="1"/>
        <v>60</v>
      </c>
      <c r="O737" s="17"/>
      <c r="P737" s="17"/>
      <c r="Q737" s="17"/>
      <c r="R737" s="17"/>
      <c r="S737" s="17"/>
      <c r="T737" s="17"/>
      <c r="U737" s="17"/>
      <c r="V737" s="17"/>
      <c r="W737" s="17"/>
      <c r="X737" s="17"/>
      <c r="Y737" s="17"/>
      <c r="Z737" s="17"/>
    </row>
    <row r="738">
      <c r="A738" s="18" t="str">
        <f>IFERROR(__xludf.DUMMYFUNCTION("""COMPUTED_VALUE"""),"ord_10729")</f>
        <v>ord_10729</v>
      </c>
      <c r="B738" s="18" t="str">
        <f>IFERROR(__xludf.DUMMYFUNCTION("""COMPUTED_VALUE"""),"Siya Reddy")</f>
        <v>Siya Reddy</v>
      </c>
      <c r="C738" s="18" t="str">
        <f>IFERROR(__xludf.DUMMYFUNCTION("""COMPUTED_VALUE"""),"Juhu")</f>
        <v>Juhu</v>
      </c>
      <c r="D738" s="18" t="str">
        <f>IFERROR(__xludf.DUMMYFUNCTION("""COMPUTED_VALUE"""),"Popcorn")</f>
        <v>Popcorn</v>
      </c>
      <c r="E738" s="18">
        <f>IFERROR(__xludf.DUMMYFUNCTION("""COMPUTED_VALUE"""),1.0)</f>
        <v>1</v>
      </c>
      <c r="F738" s="18" t="str">
        <f>IFERROR(__xludf.DUMMYFUNCTION("""COMPUTED_VALUE"""),"Not Assigned")</f>
        <v>Not Assigned</v>
      </c>
      <c r="G738" s="19">
        <f>IFERROR(__xludf.DUMMYFUNCTION("""COMPUTED_VALUE"""),45220.0)</f>
        <v>45220</v>
      </c>
      <c r="H738" s="18" t="str">
        <f>IFERROR(__xludf.DUMMYFUNCTION("""COMPUTED_VALUE"""),"UPI")</f>
        <v>UPI</v>
      </c>
      <c r="I738" s="18" t="str">
        <f>IFERROR(__xludf.DUMMYFUNCTION("""COMPUTED_VALUE"""),"Cancelled")</f>
        <v>Cancelled</v>
      </c>
      <c r="J738" s="18" t="str">
        <f>IFERROR(__xludf.DUMMYFUNCTION("""COMPUTED_VALUE"""),"App Glitches")</f>
        <v>App Glitches</v>
      </c>
      <c r="K738" s="18" t="str">
        <f>IFERROR(__xludf.DUMMYFUNCTION("""COMPUTED_VALUE"""),"Slow Loading Time")</f>
        <v>Slow Loading Time</v>
      </c>
      <c r="L738" s="18">
        <f>iferror(VLOOKUP($D738,Details!$A$2:$C$11,2,false),vlookup($D738,Details!$E$2:$G$11,2,false))</f>
        <v>150</v>
      </c>
      <c r="M738" s="18" t="str">
        <f>iferror(VLOOKUP($D738,Details!$A$2:$C$11,3,false),vlookup($D738,Details!$E$2:$G$11,3,false))</f>
        <v>Snacks and Drinks</v>
      </c>
      <c r="N738" s="18">
        <f t="shared" si="1"/>
        <v>150</v>
      </c>
      <c r="O738" s="17"/>
      <c r="P738" s="17"/>
      <c r="Q738" s="17"/>
      <c r="R738" s="17"/>
      <c r="S738" s="17"/>
      <c r="T738" s="17"/>
      <c r="U738" s="17"/>
      <c r="V738" s="17"/>
      <c r="W738" s="17"/>
      <c r="X738" s="17"/>
      <c r="Y738" s="17"/>
      <c r="Z738" s="17"/>
    </row>
    <row r="739">
      <c r="A739" s="18" t="str">
        <f>IFERROR(__xludf.DUMMYFUNCTION("""COMPUTED_VALUE"""),"ord_10730")</f>
        <v>ord_10730</v>
      </c>
      <c r="B739" s="18" t="str">
        <f>IFERROR(__xludf.DUMMYFUNCTION("""COMPUTED_VALUE"""),"Aarohi Kapoor")</f>
        <v>Aarohi Kapoor</v>
      </c>
      <c r="C739" s="18" t="str">
        <f>IFERROR(__xludf.DUMMYFUNCTION("""COMPUTED_VALUE"""),"Bandra")</f>
        <v>Bandra</v>
      </c>
      <c r="D739" s="18" t="str">
        <f>IFERROR(__xludf.DUMMYFUNCTION("""COMPUTED_VALUE"""),"Apple")</f>
        <v>Apple</v>
      </c>
      <c r="E739" s="18">
        <f>IFERROR(__xludf.DUMMYFUNCTION("""COMPUTED_VALUE"""),2.0)</f>
        <v>2</v>
      </c>
      <c r="F739" s="18" t="str">
        <f>IFERROR(__xludf.DUMMYFUNCTION("""COMPUTED_VALUE"""),"Ramesh S")</f>
        <v>Ramesh S</v>
      </c>
      <c r="G739" s="19">
        <f>IFERROR(__xludf.DUMMYFUNCTION("""COMPUTED_VALUE"""),45222.0)</f>
        <v>45222</v>
      </c>
      <c r="H739" s="18" t="str">
        <f>IFERROR(__xludf.DUMMYFUNCTION("""COMPUTED_VALUE"""),"UPI")</f>
        <v>UPI</v>
      </c>
      <c r="I739" s="18" t="str">
        <f>IFERROR(__xludf.DUMMYFUNCTION("""COMPUTED_VALUE"""),"Delivered")</f>
        <v>Delivered</v>
      </c>
      <c r="J739" s="18" t="str">
        <f>IFERROR(__xludf.DUMMYFUNCTION("""COMPUTED_VALUE"""),"Delivery Experience")</f>
        <v>Delivery Experience</v>
      </c>
      <c r="K739" s="18" t="str">
        <f>IFERROR(__xludf.DUMMYFUNCTION("""COMPUTED_VALUE"""),"Quick and professional")</f>
        <v>Quick and professional</v>
      </c>
      <c r="L739" s="18">
        <f>iferror(VLOOKUP($D739,Details!$A$2:$C$11,2,false),vlookup($D739,Details!$E$2:$G$11,2,false))</f>
        <v>230</v>
      </c>
      <c r="M739" s="18" t="str">
        <f>iferror(VLOOKUP($D739,Details!$A$2:$C$11,3,false),vlookup($D739,Details!$E$2:$G$11,3,false))</f>
        <v>Fruits and Vegetables</v>
      </c>
      <c r="N739" s="18">
        <f t="shared" si="1"/>
        <v>460</v>
      </c>
      <c r="O739" s="17"/>
      <c r="P739" s="17"/>
      <c r="Q739" s="17"/>
      <c r="R739" s="17"/>
      <c r="S739" s="17"/>
      <c r="T739" s="17"/>
      <c r="U739" s="17"/>
      <c r="V739" s="17"/>
      <c r="W739" s="17"/>
      <c r="X739" s="17"/>
      <c r="Y739" s="17"/>
      <c r="Z739" s="17"/>
    </row>
    <row r="740">
      <c r="A740" s="18" t="str">
        <f>IFERROR(__xludf.DUMMYFUNCTION("""COMPUTED_VALUE"""),"ord_10731")</f>
        <v>ord_10731</v>
      </c>
      <c r="B740" s="18" t="str">
        <f>IFERROR(__xludf.DUMMYFUNCTION("""COMPUTED_VALUE"""),"Siya Reddy")</f>
        <v>Siya Reddy</v>
      </c>
      <c r="C740" s="18" t="str">
        <f>IFERROR(__xludf.DUMMYFUNCTION("""COMPUTED_VALUE"""),"Juhu")</f>
        <v>Juhu</v>
      </c>
      <c r="D740" s="18" t="str">
        <f>IFERROR(__xludf.DUMMYFUNCTION("""COMPUTED_VALUE"""),"Guava")</f>
        <v>Guava</v>
      </c>
      <c r="E740" s="18">
        <f>IFERROR(__xludf.DUMMYFUNCTION("""COMPUTED_VALUE"""),2.0)</f>
        <v>2</v>
      </c>
      <c r="F740" s="18" t="str">
        <f>IFERROR(__xludf.DUMMYFUNCTION("""COMPUTED_VALUE"""),"Vivek Kumar")</f>
        <v>Vivek Kumar</v>
      </c>
      <c r="G740" s="19">
        <f>IFERROR(__xludf.DUMMYFUNCTION("""COMPUTED_VALUE"""),45085.0)</f>
        <v>45085</v>
      </c>
      <c r="H740" s="18" t="str">
        <f>IFERROR(__xludf.DUMMYFUNCTION("""COMPUTED_VALUE"""),"UPI")</f>
        <v>UPI</v>
      </c>
      <c r="I740" s="18" t="str">
        <f>IFERROR(__xludf.DUMMYFUNCTION("""COMPUTED_VALUE"""),"Cancelled")</f>
        <v>Cancelled</v>
      </c>
      <c r="J740" s="18" t="str">
        <f>IFERROR(__xludf.DUMMYFUNCTION("""COMPUTED_VALUE"""),"Delayed Delivery")</f>
        <v>Delayed Delivery</v>
      </c>
      <c r="K740" s="18" t="str">
        <f>IFERROR(__xludf.DUMMYFUNCTION("""COMPUTED_VALUE"""),"Heavy Traffic")</f>
        <v>Heavy Traffic</v>
      </c>
      <c r="L740" s="18">
        <f>iferror(VLOOKUP($D740,Details!$A$2:$C$11,2,false),vlookup($D740,Details!$E$2:$G$11,2,false))</f>
        <v>70</v>
      </c>
      <c r="M740" s="18" t="str">
        <f>iferror(VLOOKUP($D740,Details!$A$2:$C$11,3,false),vlookup($D740,Details!$E$2:$G$11,3,false))</f>
        <v>Fruits and Vegetables</v>
      </c>
      <c r="N740" s="18">
        <f t="shared" si="1"/>
        <v>140</v>
      </c>
      <c r="O740" s="17"/>
      <c r="P740" s="17"/>
      <c r="Q740" s="17"/>
      <c r="R740" s="17"/>
      <c r="S740" s="17"/>
      <c r="T740" s="17"/>
      <c r="U740" s="17"/>
      <c r="V740" s="17"/>
      <c r="W740" s="17"/>
      <c r="X740" s="17"/>
      <c r="Y740" s="17"/>
      <c r="Z740" s="17"/>
    </row>
    <row r="741">
      <c r="A741" s="18" t="str">
        <f>IFERROR(__xludf.DUMMYFUNCTION("""COMPUTED_VALUE"""),"ord_10732")</f>
        <v>ord_10732</v>
      </c>
      <c r="B741" s="18" t="str">
        <f>IFERROR(__xludf.DUMMYFUNCTION("""COMPUTED_VALUE"""),"Mohit Malhotra")</f>
        <v>Mohit Malhotra</v>
      </c>
      <c r="C741" s="18" t="str">
        <f>IFERROR(__xludf.DUMMYFUNCTION("""COMPUTED_VALUE"""),"Lower Parel")</f>
        <v>Lower Parel</v>
      </c>
      <c r="D741" s="18" t="str">
        <f>IFERROR(__xludf.DUMMYFUNCTION("""COMPUTED_VALUE"""),"Onion")</f>
        <v>Onion</v>
      </c>
      <c r="E741" s="18">
        <f>IFERROR(__xludf.DUMMYFUNCTION("""COMPUTED_VALUE"""),1.0)</f>
        <v>1</v>
      </c>
      <c r="F741" s="18" t="str">
        <f>IFERROR(__xludf.DUMMYFUNCTION("""COMPUTED_VALUE"""),"Ramesh S")</f>
        <v>Ramesh S</v>
      </c>
      <c r="G741" s="19">
        <f>IFERROR(__xludf.DUMMYFUNCTION("""COMPUTED_VALUE"""),44975.0)</f>
        <v>44975</v>
      </c>
      <c r="H741" s="18" t="str">
        <f>IFERROR(__xludf.DUMMYFUNCTION("""COMPUTED_VALUE"""),"UPI")</f>
        <v>UPI</v>
      </c>
      <c r="I741" s="18" t="str">
        <f>IFERROR(__xludf.DUMMYFUNCTION("""COMPUTED_VALUE"""),"Delivered")</f>
        <v>Delivered</v>
      </c>
      <c r="J741" s="18" t="str">
        <f>IFERROR(__xludf.DUMMYFUNCTION("""COMPUTED_VALUE"""),"Convenience")</f>
        <v>Convenience</v>
      </c>
      <c r="K741" s="18" t="str">
        <f>IFERROR(__xludf.DUMMYFUNCTION("""COMPUTED_VALUE"""),"Easy tracking")</f>
        <v>Easy tracking</v>
      </c>
      <c r="L741" s="18">
        <f>iferror(VLOOKUP($D741,Details!$A$2:$C$11,2,false),vlookup($D741,Details!$E$2:$G$11,2,false))</f>
        <v>84</v>
      </c>
      <c r="M741" s="18" t="str">
        <f>iferror(VLOOKUP($D741,Details!$A$2:$C$11,3,false),vlookup($D741,Details!$E$2:$G$11,3,false))</f>
        <v>Fruits and Vegetables</v>
      </c>
      <c r="N741" s="18">
        <f t="shared" si="1"/>
        <v>84</v>
      </c>
      <c r="O741" s="17"/>
      <c r="P741" s="17"/>
      <c r="Q741" s="17"/>
      <c r="R741" s="17"/>
      <c r="S741" s="17"/>
      <c r="T741" s="17"/>
      <c r="U741" s="17"/>
      <c r="V741" s="17"/>
      <c r="W741" s="17"/>
      <c r="X741" s="17"/>
      <c r="Y741" s="17"/>
      <c r="Z741" s="17"/>
    </row>
    <row r="742">
      <c r="A742" s="18" t="str">
        <f>IFERROR(__xludf.DUMMYFUNCTION("""COMPUTED_VALUE"""),"ord_10733")</f>
        <v>ord_10733</v>
      </c>
      <c r="B742" s="18" t="str">
        <f>IFERROR(__xludf.DUMMYFUNCTION("""COMPUTED_VALUE"""),"Dev Chauhan")</f>
        <v>Dev Chauhan</v>
      </c>
      <c r="C742" s="18" t="str">
        <f>IFERROR(__xludf.DUMMYFUNCTION("""COMPUTED_VALUE"""),"Bandra")</f>
        <v>Bandra</v>
      </c>
      <c r="D742" s="18" t="str">
        <f>IFERROR(__xludf.DUMMYFUNCTION("""COMPUTED_VALUE"""),"Cold Coffee")</f>
        <v>Cold Coffee</v>
      </c>
      <c r="E742" s="18">
        <f>IFERROR(__xludf.DUMMYFUNCTION("""COMPUTED_VALUE"""),2.0)</f>
        <v>2</v>
      </c>
      <c r="F742" s="18" t="str">
        <f>IFERROR(__xludf.DUMMYFUNCTION("""COMPUTED_VALUE"""),"Ram Gopal")</f>
        <v>Ram Gopal</v>
      </c>
      <c r="G742" s="19">
        <f>IFERROR(__xludf.DUMMYFUNCTION("""COMPUTED_VALUE"""),45051.0)</f>
        <v>45051</v>
      </c>
      <c r="H742" s="18" t="str">
        <f>IFERROR(__xludf.DUMMYFUNCTION("""COMPUTED_VALUE"""),"Credit Card")</f>
        <v>Credit Card</v>
      </c>
      <c r="I742" s="18" t="str">
        <f>IFERROR(__xludf.DUMMYFUNCTION("""COMPUTED_VALUE"""),"Delivered")</f>
        <v>Delivered</v>
      </c>
      <c r="J742" s="18" t="str">
        <f>IFERROR(__xludf.DUMMYFUNCTION("""COMPUTED_VALUE"""),"Overall Satisfaction")</f>
        <v>Overall Satisfaction</v>
      </c>
      <c r="K742" s="18" t="str">
        <f>IFERROR(__xludf.DUMMYFUNCTION("""COMPUTED_VALUE"""),"Great service will order again")</f>
        <v>Great service will order again</v>
      </c>
      <c r="L742" s="18">
        <f>iferror(VLOOKUP($D742,Details!$A$2:$C$11,2,false),vlookup($D742,Details!$E$2:$G$11,2,false))</f>
        <v>270</v>
      </c>
      <c r="M742" s="18" t="str">
        <f>iferror(VLOOKUP($D742,Details!$A$2:$C$11,3,false),vlookup($D742,Details!$E$2:$G$11,3,false))</f>
        <v>Snacks and Drinks</v>
      </c>
      <c r="N742" s="18">
        <f t="shared" si="1"/>
        <v>540</v>
      </c>
      <c r="O742" s="17"/>
      <c r="P742" s="17"/>
      <c r="Q742" s="17"/>
      <c r="R742" s="17"/>
      <c r="S742" s="17"/>
      <c r="T742" s="17"/>
      <c r="U742" s="17"/>
      <c r="V742" s="17"/>
      <c r="W742" s="17"/>
      <c r="X742" s="17"/>
      <c r="Y742" s="17"/>
      <c r="Z742" s="17"/>
    </row>
    <row r="743">
      <c r="A743" s="18" t="str">
        <f>IFERROR(__xludf.DUMMYFUNCTION("""COMPUTED_VALUE"""),"ord_10734")</f>
        <v>ord_10734</v>
      </c>
      <c r="B743" s="18" t="str">
        <f>IFERROR(__xludf.DUMMYFUNCTION("""COMPUTED_VALUE"""),"Arvind Kulkarni")</f>
        <v>Arvind Kulkarni</v>
      </c>
      <c r="C743" s="18" t="str">
        <f>IFERROR(__xludf.DUMMYFUNCTION("""COMPUTED_VALUE"""),"Juhu")</f>
        <v>Juhu</v>
      </c>
      <c r="D743" s="18" t="str">
        <f>IFERROR(__xludf.DUMMYFUNCTION("""COMPUTED_VALUE"""),"Veg Puff")</f>
        <v>Veg Puff</v>
      </c>
      <c r="E743" s="18">
        <f>IFERROR(__xludf.DUMMYFUNCTION("""COMPUTED_VALUE"""),1.0)</f>
        <v>1</v>
      </c>
      <c r="F743" s="18" t="str">
        <f>IFERROR(__xludf.DUMMYFUNCTION("""COMPUTED_VALUE"""),"Priya Joshi")</f>
        <v>Priya Joshi</v>
      </c>
      <c r="G743" s="19">
        <f>IFERROR(__xludf.DUMMYFUNCTION("""COMPUTED_VALUE"""),45225.0)</f>
        <v>45225</v>
      </c>
      <c r="H743" s="18" t="str">
        <f>IFERROR(__xludf.DUMMYFUNCTION("""COMPUTED_VALUE"""),"Online Payment")</f>
        <v>Online Payment</v>
      </c>
      <c r="I743" s="18" t="str">
        <f>IFERROR(__xludf.DUMMYFUNCTION("""COMPUTED_VALUE"""),"Cancelled")</f>
        <v>Cancelled</v>
      </c>
      <c r="J743" s="18" t="str">
        <f>IFERROR(__xludf.DUMMYFUNCTION("""COMPUTED_VALUE"""),"Delayed Delivery")</f>
        <v>Delayed Delivery</v>
      </c>
      <c r="K743" s="18" t="str">
        <f>IFERROR(__xludf.DUMMYFUNCTION("""COMPUTED_VALUE"""),"Bad Weather Conditions")</f>
        <v>Bad Weather Conditions</v>
      </c>
      <c r="L743" s="18">
        <f>iferror(VLOOKUP($D743,Details!$A$2:$C$11,2,false),vlookup($D743,Details!$E$2:$G$11,2,false))</f>
        <v>80</v>
      </c>
      <c r="M743" s="18" t="str">
        <f>iferror(VLOOKUP($D743,Details!$A$2:$C$11,3,false),vlookup($D743,Details!$E$2:$G$11,3,false))</f>
        <v>Snacks and Drinks</v>
      </c>
      <c r="N743" s="18">
        <f t="shared" si="1"/>
        <v>80</v>
      </c>
      <c r="O743" s="17"/>
      <c r="P743" s="17"/>
      <c r="Q743" s="17"/>
      <c r="R743" s="17"/>
      <c r="S743" s="17"/>
      <c r="T743" s="17"/>
      <c r="U743" s="17"/>
      <c r="V743" s="17"/>
      <c r="W743" s="17"/>
      <c r="X743" s="17"/>
      <c r="Y743" s="17"/>
      <c r="Z743" s="17"/>
    </row>
    <row r="744">
      <c r="A744" s="18" t="str">
        <f>IFERROR(__xludf.DUMMYFUNCTION("""COMPUTED_VALUE"""),"ord_10735")</f>
        <v>ord_10735</v>
      </c>
      <c r="B744" s="18" t="str">
        <f>IFERROR(__xludf.DUMMYFUNCTION("""COMPUTED_VALUE"""),"Tanishq Bansal")</f>
        <v>Tanishq Bansal</v>
      </c>
      <c r="C744" s="18" t="str">
        <f>IFERROR(__xludf.DUMMYFUNCTION("""COMPUTED_VALUE"""),"Powai")</f>
        <v>Powai</v>
      </c>
      <c r="D744" s="18" t="str">
        <f>IFERROR(__xludf.DUMMYFUNCTION("""COMPUTED_VALUE"""),"Onion")</f>
        <v>Onion</v>
      </c>
      <c r="E744" s="18">
        <f>IFERROR(__xludf.DUMMYFUNCTION("""COMPUTED_VALUE"""),1.0)</f>
        <v>1</v>
      </c>
      <c r="F744" s="18" t="str">
        <f>IFERROR(__xludf.DUMMYFUNCTION("""COMPUTED_VALUE"""),"Not Assigned")</f>
        <v>Not Assigned</v>
      </c>
      <c r="G744" s="19">
        <f>IFERROR(__xludf.DUMMYFUNCTION("""COMPUTED_VALUE"""),45198.0)</f>
        <v>45198</v>
      </c>
      <c r="H744" s="18" t="str">
        <f>IFERROR(__xludf.DUMMYFUNCTION("""COMPUTED_VALUE"""),"Credit Card")</f>
        <v>Credit Card</v>
      </c>
      <c r="I744" s="18" t="str">
        <f>IFERROR(__xludf.DUMMYFUNCTION("""COMPUTED_VALUE"""),"Cancelled")</f>
        <v>Cancelled</v>
      </c>
      <c r="J744" s="18" t="str">
        <f>IFERROR(__xludf.DUMMYFUNCTION("""COMPUTED_VALUE"""),"App Glitches")</f>
        <v>App Glitches</v>
      </c>
      <c r="K744" s="18" t="str">
        <f>IFERROR(__xludf.DUMMYFUNCTION("""COMPUTED_VALUE"""),"App Freezes")</f>
        <v>App Freezes</v>
      </c>
      <c r="L744" s="18">
        <f>iferror(VLOOKUP($D744,Details!$A$2:$C$11,2,false),vlookup($D744,Details!$E$2:$G$11,2,false))</f>
        <v>84</v>
      </c>
      <c r="M744" s="18" t="str">
        <f>iferror(VLOOKUP($D744,Details!$A$2:$C$11,3,false),vlookup($D744,Details!$E$2:$G$11,3,false))</f>
        <v>Fruits and Vegetables</v>
      </c>
      <c r="N744" s="18">
        <f t="shared" si="1"/>
        <v>84</v>
      </c>
      <c r="O744" s="17"/>
      <c r="P744" s="17"/>
      <c r="Q744" s="17"/>
      <c r="R744" s="17"/>
      <c r="S744" s="17"/>
      <c r="T744" s="17"/>
      <c r="U744" s="17"/>
      <c r="V744" s="17"/>
      <c r="W744" s="17"/>
      <c r="X744" s="17"/>
      <c r="Y744" s="17"/>
      <c r="Z744" s="17"/>
    </row>
    <row r="745">
      <c r="A745" s="18" t="str">
        <f>IFERROR(__xludf.DUMMYFUNCTION("""COMPUTED_VALUE"""),"ord_10736")</f>
        <v>ord_10736</v>
      </c>
      <c r="B745" s="18" t="str">
        <f>IFERROR(__xludf.DUMMYFUNCTION("""COMPUTED_VALUE"""),"Dev Chauhan")</f>
        <v>Dev Chauhan</v>
      </c>
      <c r="C745" s="18" t="str">
        <f>IFERROR(__xludf.DUMMYFUNCTION("""COMPUTED_VALUE"""),"Bandra")</f>
        <v>Bandra</v>
      </c>
      <c r="D745" s="18" t="str">
        <f>IFERROR(__xludf.DUMMYFUNCTION("""COMPUTED_VALUE"""),"Apple")</f>
        <v>Apple</v>
      </c>
      <c r="E745" s="18">
        <f>IFERROR(__xludf.DUMMYFUNCTION("""COMPUTED_VALUE"""),1.0)</f>
        <v>1</v>
      </c>
      <c r="F745" s="18" t="str">
        <f>IFERROR(__xludf.DUMMYFUNCTION("""COMPUTED_VALUE"""),"Venu R")</f>
        <v>Venu R</v>
      </c>
      <c r="G745" s="19">
        <f>IFERROR(__xludf.DUMMYFUNCTION("""COMPUTED_VALUE"""),45275.0)</f>
        <v>45275</v>
      </c>
      <c r="H745" s="18" t="str">
        <f>IFERROR(__xludf.DUMMYFUNCTION("""COMPUTED_VALUE"""),"Credit Card")</f>
        <v>Credit Card</v>
      </c>
      <c r="I745" s="18" t="str">
        <f>IFERROR(__xludf.DUMMYFUNCTION("""COMPUTED_VALUE"""),"Delivered")</f>
        <v>Delivered</v>
      </c>
      <c r="J745" s="18" t="str">
        <f>IFERROR(__xludf.DUMMYFUNCTION("""COMPUTED_VALUE"""),"On-time Delivery")</f>
        <v>On-time Delivery</v>
      </c>
      <c r="K745" s="18" t="str">
        <f>IFERROR(__xludf.DUMMYFUNCTION("""COMPUTED_VALUE"""),"Delivered on time")</f>
        <v>Delivered on time</v>
      </c>
      <c r="L745" s="18">
        <f>iferror(VLOOKUP($D745,Details!$A$2:$C$11,2,false),vlookup($D745,Details!$E$2:$G$11,2,false))</f>
        <v>230</v>
      </c>
      <c r="M745" s="18" t="str">
        <f>iferror(VLOOKUP($D745,Details!$A$2:$C$11,3,false),vlookup($D745,Details!$E$2:$G$11,3,false))</f>
        <v>Fruits and Vegetables</v>
      </c>
      <c r="N745" s="18">
        <f t="shared" si="1"/>
        <v>230</v>
      </c>
      <c r="O745" s="17"/>
      <c r="P745" s="17"/>
      <c r="Q745" s="17"/>
      <c r="R745" s="17"/>
      <c r="S745" s="17"/>
      <c r="T745" s="17"/>
      <c r="U745" s="17"/>
      <c r="V745" s="17"/>
      <c r="W745" s="17"/>
      <c r="X745" s="17"/>
      <c r="Y745" s="17"/>
      <c r="Z745" s="17"/>
    </row>
    <row r="746">
      <c r="A746" s="18" t="str">
        <f>IFERROR(__xludf.DUMMYFUNCTION("""COMPUTED_VALUE"""),"ord_10737")</f>
        <v>ord_10737</v>
      </c>
      <c r="B746" s="18" t="str">
        <f>IFERROR(__xludf.DUMMYFUNCTION("""COMPUTED_VALUE"""),"Siya Reddy")</f>
        <v>Siya Reddy</v>
      </c>
      <c r="C746" s="18" t="str">
        <f>IFERROR(__xludf.DUMMYFUNCTION("""COMPUTED_VALUE"""),"Juhu")</f>
        <v>Juhu</v>
      </c>
      <c r="D746" s="18" t="str">
        <f>IFERROR(__xludf.DUMMYFUNCTION("""COMPUTED_VALUE"""),"Veg Puff")</f>
        <v>Veg Puff</v>
      </c>
      <c r="E746" s="18">
        <f>IFERROR(__xludf.DUMMYFUNCTION("""COMPUTED_VALUE"""),2.0)</f>
        <v>2</v>
      </c>
      <c r="F746" s="18" t="str">
        <f>IFERROR(__xludf.DUMMYFUNCTION("""COMPUTED_VALUE"""),"Not Assigned")</f>
        <v>Not Assigned</v>
      </c>
      <c r="G746" s="19">
        <f>IFERROR(__xludf.DUMMYFUNCTION("""COMPUTED_VALUE"""),45263.0)</f>
        <v>45263</v>
      </c>
      <c r="H746" s="18" t="str">
        <f>IFERROR(__xludf.DUMMYFUNCTION("""COMPUTED_VALUE"""),"Credit Card")</f>
        <v>Credit Card</v>
      </c>
      <c r="I746" s="18" t="str">
        <f>IFERROR(__xludf.DUMMYFUNCTION("""COMPUTED_VALUE"""),"Cancelled")</f>
        <v>Cancelled</v>
      </c>
      <c r="J746" s="18" t="str">
        <f>IFERROR(__xludf.DUMMYFUNCTION("""COMPUTED_VALUE"""),"App Glitches")</f>
        <v>App Glitches</v>
      </c>
      <c r="K746" s="18" t="str">
        <f>IFERROR(__xludf.DUMMYFUNCTION("""COMPUTED_VALUE"""),"Payment Button Malfunction")</f>
        <v>Payment Button Malfunction</v>
      </c>
      <c r="L746" s="18">
        <f>iferror(VLOOKUP($D746,Details!$A$2:$C$11,2,false),vlookup($D746,Details!$E$2:$G$11,2,false))</f>
        <v>80</v>
      </c>
      <c r="M746" s="18" t="str">
        <f>iferror(VLOOKUP($D746,Details!$A$2:$C$11,3,false),vlookup($D746,Details!$E$2:$G$11,3,false))</f>
        <v>Snacks and Drinks</v>
      </c>
      <c r="N746" s="18">
        <f t="shared" si="1"/>
        <v>160</v>
      </c>
      <c r="O746" s="17"/>
      <c r="P746" s="17"/>
      <c r="Q746" s="17"/>
      <c r="R746" s="17"/>
      <c r="S746" s="17"/>
      <c r="T746" s="17"/>
      <c r="U746" s="17"/>
      <c r="V746" s="17"/>
      <c r="W746" s="17"/>
      <c r="X746" s="17"/>
      <c r="Y746" s="17"/>
      <c r="Z746" s="17"/>
    </row>
    <row r="747">
      <c r="A747" s="18" t="str">
        <f>IFERROR(__xludf.DUMMYFUNCTION("""COMPUTED_VALUE"""),"ord_10738")</f>
        <v>ord_10738</v>
      </c>
      <c r="B747" s="18" t="str">
        <f>IFERROR(__xludf.DUMMYFUNCTION("""COMPUTED_VALUE"""),"Mehul Thakkar")</f>
        <v>Mehul Thakkar</v>
      </c>
      <c r="C747" s="18" t="str">
        <f>IFERROR(__xludf.DUMMYFUNCTION("""COMPUTED_VALUE"""),"Malad")</f>
        <v>Malad</v>
      </c>
      <c r="D747" s="18" t="str">
        <f>IFERROR(__xludf.DUMMYFUNCTION("""COMPUTED_VALUE"""),"Onion")</f>
        <v>Onion</v>
      </c>
      <c r="E747" s="18">
        <f>IFERROR(__xludf.DUMMYFUNCTION("""COMPUTED_VALUE"""),1.0)</f>
        <v>1</v>
      </c>
      <c r="F747" s="18" t="str">
        <f>IFERROR(__xludf.DUMMYFUNCTION("""COMPUTED_VALUE"""),"Not Assigned")</f>
        <v>Not Assigned</v>
      </c>
      <c r="G747" s="19">
        <f>IFERROR(__xludf.DUMMYFUNCTION("""COMPUTED_VALUE"""),45203.0)</f>
        <v>45203</v>
      </c>
      <c r="H747" s="18" t="str">
        <f>IFERROR(__xludf.DUMMYFUNCTION("""COMPUTED_VALUE"""),"Credit Card")</f>
        <v>Credit Card</v>
      </c>
      <c r="I747" s="18" t="str">
        <f>IFERROR(__xludf.DUMMYFUNCTION("""COMPUTED_VALUE"""),"Cancelled")</f>
        <v>Cancelled</v>
      </c>
      <c r="J747" s="18" t="str">
        <f>IFERROR(__xludf.DUMMYFUNCTION("""COMPUTED_VALUE"""),"App Glitches")</f>
        <v>App Glitches</v>
      </c>
      <c r="K747" s="18" t="str">
        <f>IFERROR(__xludf.DUMMYFUNCTION("""COMPUTED_VALUE"""),"Inconsistent Data Display")</f>
        <v>Inconsistent Data Display</v>
      </c>
      <c r="L747" s="18">
        <f>iferror(VLOOKUP($D747,Details!$A$2:$C$11,2,false),vlookup($D747,Details!$E$2:$G$11,2,false))</f>
        <v>84</v>
      </c>
      <c r="M747" s="18" t="str">
        <f>iferror(VLOOKUP($D747,Details!$A$2:$C$11,3,false),vlookup($D747,Details!$E$2:$G$11,3,false))</f>
        <v>Fruits and Vegetables</v>
      </c>
      <c r="N747" s="18">
        <f t="shared" si="1"/>
        <v>84</v>
      </c>
      <c r="O747" s="17"/>
      <c r="P747" s="17"/>
      <c r="Q747" s="17"/>
      <c r="R747" s="17"/>
      <c r="S747" s="17"/>
      <c r="T747" s="17"/>
      <c r="U747" s="17"/>
      <c r="V747" s="17"/>
      <c r="W747" s="17"/>
      <c r="X747" s="17"/>
      <c r="Y747" s="17"/>
      <c r="Z747" s="17"/>
    </row>
    <row r="748">
      <c r="A748" s="18" t="str">
        <f>IFERROR(__xludf.DUMMYFUNCTION("""COMPUTED_VALUE"""),"ord_10739")</f>
        <v>ord_10739</v>
      </c>
      <c r="B748" s="18" t="str">
        <f>IFERROR(__xludf.DUMMYFUNCTION("""COMPUTED_VALUE"""),"Dev Chauhan")</f>
        <v>Dev Chauhan</v>
      </c>
      <c r="C748" s="18" t="str">
        <f>IFERROR(__xludf.DUMMYFUNCTION("""COMPUTED_VALUE"""),"Bandra")</f>
        <v>Bandra</v>
      </c>
      <c r="D748" s="18" t="str">
        <f>IFERROR(__xludf.DUMMYFUNCTION("""COMPUTED_VALUE"""),"Cold Coffee")</f>
        <v>Cold Coffee</v>
      </c>
      <c r="E748" s="18">
        <f>IFERROR(__xludf.DUMMYFUNCTION("""COMPUTED_VALUE"""),4.0)</f>
        <v>4</v>
      </c>
      <c r="F748" s="18" t="str">
        <f>IFERROR(__xludf.DUMMYFUNCTION("""COMPUTED_VALUE"""),"Not Assigned")</f>
        <v>Not Assigned</v>
      </c>
      <c r="G748" s="19">
        <f>IFERROR(__xludf.DUMMYFUNCTION("""COMPUTED_VALUE"""),45277.0)</f>
        <v>45277</v>
      </c>
      <c r="H748" s="18" t="str">
        <f>IFERROR(__xludf.DUMMYFUNCTION("""COMPUTED_VALUE"""),"Credit Card")</f>
        <v>Credit Card</v>
      </c>
      <c r="I748" s="18" t="str">
        <f>IFERROR(__xludf.DUMMYFUNCTION("""COMPUTED_VALUE"""),"Cancelled")</f>
        <v>Cancelled</v>
      </c>
      <c r="J748" s="18" t="str">
        <f>IFERROR(__xludf.DUMMYFUNCTION("""COMPUTED_VALUE"""),"Payment Issues")</f>
        <v>Payment Issues</v>
      </c>
      <c r="K748" s="18"/>
      <c r="L748" s="18">
        <f>iferror(VLOOKUP($D748,Details!$A$2:$C$11,2,false),vlookup($D748,Details!$E$2:$G$11,2,false))</f>
        <v>270</v>
      </c>
      <c r="M748" s="18" t="str">
        <f>iferror(VLOOKUP($D748,Details!$A$2:$C$11,3,false),vlookup($D748,Details!$E$2:$G$11,3,false))</f>
        <v>Snacks and Drinks</v>
      </c>
      <c r="N748" s="18">
        <f t="shared" si="1"/>
        <v>1080</v>
      </c>
      <c r="O748" s="17"/>
      <c r="P748" s="17"/>
      <c r="Q748" s="17"/>
      <c r="R748" s="17"/>
      <c r="S748" s="17"/>
      <c r="T748" s="17"/>
      <c r="U748" s="17"/>
      <c r="V748" s="17"/>
      <c r="W748" s="17"/>
      <c r="X748" s="17"/>
      <c r="Y748" s="17"/>
      <c r="Z748" s="17"/>
    </row>
    <row r="749">
      <c r="A749" s="18" t="str">
        <f>IFERROR(__xludf.DUMMYFUNCTION("""COMPUTED_VALUE"""),"ord_10740")</f>
        <v>ord_10740</v>
      </c>
      <c r="B749" s="18" t="str">
        <f>IFERROR(__xludf.DUMMYFUNCTION("""COMPUTED_VALUE"""),"Siya Reddy")</f>
        <v>Siya Reddy</v>
      </c>
      <c r="C749" s="18" t="str">
        <f>IFERROR(__xludf.DUMMYFUNCTION("""COMPUTED_VALUE"""),"Juhu")</f>
        <v>Juhu</v>
      </c>
      <c r="D749" s="18" t="str">
        <f>IFERROR(__xludf.DUMMYFUNCTION("""COMPUTED_VALUE"""),"Orange")</f>
        <v>Orange</v>
      </c>
      <c r="E749" s="18">
        <f>IFERROR(__xludf.DUMMYFUNCTION("""COMPUTED_VALUE"""),1.0)</f>
        <v>1</v>
      </c>
      <c r="F749" s="18" t="str">
        <f>IFERROR(__xludf.DUMMYFUNCTION("""COMPUTED_VALUE"""),"Not Assigned")</f>
        <v>Not Assigned</v>
      </c>
      <c r="G749" s="19">
        <f>IFERROR(__xludf.DUMMYFUNCTION("""COMPUTED_VALUE"""),45211.0)</f>
        <v>45211</v>
      </c>
      <c r="H749" s="18" t="str">
        <f>IFERROR(__xludf.DUMMYFUNCTION("""COMPUTED_VALUE"""),"Credit Card")</f>
        <v>Credit Card</v>
      </c>
      <c r="I749" s="18" t="str">
        <f>IFERROR(__xludf.DUMMYFUNCTION("""COMPUTED_VALUE"""),"Cancelled")</f>
        <v>Cancelled</v>
      </c>
      <c r="J749" s="18" t="str">
        <f>IFERROR(__xludf.DUMMYFUNCTION("""COMPUTED_VALUE"""),"App Glitches")</f>
        <v>App Glitches</v>
      </c>
      <c r="K749" s="18" t="str">
        <f>IFERROR(__xludf.DUMMYFUNCTION("""COMPUTED_VALUE"""),"Slow Loading Time")</f>
        <v>Slow Loading Time</v>
      </c>
      <c r="L749" s="18">
        <f>iferror(VLOOKUP($D749,Details!$A$2:$C$11,2,false),vlookup($D749,Details!$E$2:$G$11,2,false))</f>
        <v>180</v>
      </c>
      <c r="M749" s="18" t="str">
        <f>iferror(VLOOKUP($D749,Details!$A$2:$C$11,3,false),vlookup($D749,Details!$E$2:$G$11,3,false))</f>
        <v>Fruits and Vegetables</v>
      </c>
      <c r="N749" s="18">
        <f t="shared" si="1"/>
        <v>180</v>
      </c>
      <c r="O749" s="17"/>
      <c r="P749" s="17"/>
      <c r="Q749" s="17"/>
      <c r="R749" s="17"/>
      <c r="S749" s="17"/>
      <c r="T749" s="17"/>
      <c r="U749" s="17"/>
      <c r="V749" s="17"/>
      <c r="W749" s="17"/>
      <c r="X749" s="17"/>
      <c r="Y749" s="17"/>
      <c r="Z749" s="17"/>
    </row>
    <row r="750">
      <c r="A750" s="18" t="str">
        <f>IFERROR(__xludf.DUMMYFUNCTION("""COMPUTED_VALUE"""),"ord_10741")</f>
        <v>ord_10741</v>
      </c>
      <c r="B750" s="18" t="str">
        <f>IFERROR(__xludf.DUMMYFUNCTION("""COMPUTED_VALUE"""),"Anaya Rao")</f>
        <v>Anaya Rao</v>
      </c>
      <c r="C750" s="18" t="str">
        <f>IFERROR(__xludf.DUMMYFUNCTION("""COMPUTED_VALUE"""),"Colaba")</f>
        <v>Colaba</v>
      </c>
      <c r="D750" s="18" t="str">
        <f>IFERROR(__xludf.DUMMYFUNCTION("""COMPUTED_VALUE"""),"Cucumber")</f>
        <v>Cucumber</v>
      </c>
      <c r="E750" s="18">
        <f>IFERROR(__xludf.DUMMYFUNCTION("""COMPUTED_VALUE"""),1.0)</f>
        <v>1</v>
      </c>
      <c r="F750" s="18" t="str">
        <f>IFERROR(__xludf.DUMMYFUNCTION("""COMPUTED_VALUE"""),"Ramesh S")</f>
        <v>Ramesh S</v>
      </c>
      <c r="G750" s="19">
        <f>IFERROR(__xludf.DUMMYFUNCTION("""COMPUTED_VALUE"""),45220.0)</f>
        <v>45220</v>
      </c>
      <c r="H750" s="18" t="str">
        <f>IFERROR(__xludf.DUMMYFUNCTION("""COMPUTED_VALUE"""),"UPI")</f>
        <v>UPI</v>
      </c>
      <c r="I750" s="18" t="str">
        <f>IFERROR(__xludf.DUMMYFUNCTION("""COMPUTED_VALUE"""),"Cancelled")</f>
        <v>Cancelled</v>
      </c>
      <c r="J750" s="18" t="str">
        <f>IFERROR(__xludf.DUMMYFUNCTION("""COMPUTED_VALUE"""),"Delayed Delivery")</f>
        <v>Delayed Delivery</v>
      </c>
      <c r="K750" s="18" t="str">
        <f>IFERROR(__xludf.DUMMYFUNCTION("""COMPUTED_VALUE"""),"Vehicle Breakdown")</f>
        <v>Vehicle Breakdown</v>
      </c>
      <c r="L750" s="18">
        <f>iferror(VLOOKUP($D750,Details!$A$2:$C$11,2,false),vlookup($D750,Details!$E$2:$G$11,2,false))</f>
        <v>30</v>
      </c>
      <c r="M750" s="18" t="str">
        <f>iferror(VLOOKUP($D750,Details!$A$2:$C$11,3,false),vlookup($D750,Details!$E$2:$G$11,3,false))</f>
        <v>Fruits and Vegetables</v>
      </c>
      <c r="N750" s="18">
        <f t="shared" si="1"/>
        <v>30</v>
      </c>
      <c r="O750" s="17"/>
      <c r="P750" s="17"/>
      <c r="Q750" s="17"/>
      <c r="R750" s="17"/>
      <c r="S750" s="17"/>
      <c r="T750" s="17"/>
      <c r="U750" s="17"/>
      <c r="V750" s="17"/>
      <c r="W750" s="17"/>
      <c r="X750" s="17"/>
      <c r="Y750" s="17"/>
      <c r="Z750" s="17"/>
    </row>
    <row r="751">
      <c r="A751" s="18" t="str">
        <f>IFERROR(__xludf.DUMMYFUNCTION("""COMPUTED_VALUE"""),"ord_10742")</f>
        <v>ord_10742</v>
      </c>
      <c r="B751" s="18" t="str">
        <f>IFERROR(__xludf.DUMMYFUNCTION("""COMPUTED_VALUE"""),"Aarohi Kapoor")</f>
        <v>Aarohi Kapoor</v>
      </c>
      <c r="C751" s="18" t="str">
        <f>IFERROR(__xludf.DUMMYFUNCTION("""COMPUTED_VALUE"""),"Bandra")</f>
        <v>Bandra</v>
      </c>
      <c r="D751" s="18" t="str">
        <f>IFERROR(__xludf.DUMMYFUNCTION("""COMPUTED_VALUE"""),"Orange")</f>
        <v>Orange</v>
      </c>
      <c r="E751" s="18">
        <f>IFERROR(__xludf.DUMMYFUNCTION("""COMPUTED_VALUE"""),1.0)</f>
        <v>1</v>
      </c>
      <c r="F751" s="18" t="str">
        <f>IFERROR(__xludf.DUMMYFUNCTION("""COMPUTED_VALUE"""),"Neha Shah")</f>
        <v>Neha Shah</v>
      </c>
      <c r="G751" s="19">
        <f>IFERROR(__xludf.DUMMYFUNCTION("""COMPUTED_VALUE"""),44997.0)</f>
        <v>44997</v>
      </c>
      <c r="H751" s="18" t="str">
        <f>IFERROR(__xludf.DUMMYFUNCTION("""COMPUTED_VALUE"""),"Credit Card")</f>
        <v>Credit Card</v>
      </c>
      <c r="I751" s="18" t="str">
        <f>IFERROR(__xludf.DUMMYFUNCTION("""COMPUTED_VALUE"""),"Cancelled")</f>
        <v>Cancelled</v>
      </c>
      <c r="J751" s="18" t="str">
        <f>IFERROR(__xludf.DUMMYFUNCTION("""COMPUTED_VALUE"""),"Delayed Delivery")</f>
        <v>Delayed Delivery</v>
      </c>
      <c r="K751" s="18" t="str">
        <f>IFERROR(__xludf.DUMMYFUNCTION("""COMPUTED_VALUE"""),"Heavy Traffic")</f>
        <v>Heavy Traffic</v>
      </c>
      <c r="L751" s="18">
        <f>iferror(VLOOKUP($D751,Details!$A$2:$C$11,2,false),vlookup($D751,Details!$E$2:$G$11,2,false))</f>
        <v>180</v>
      </c>
      <c r="M751" s="18" t="str">
        <f>iferror(VLOOKUP($D751,Details!$A$2:$C$11,3,false),vlookup($D751,Details!$E$2:$G$11,3,false))</f>
        <v>Fruits and Vegetables</v>
      </c>
      <c r="N751" s="18">
        <f t="shared" si="1"/>
        <v>180</v>
      </c>
      <c r="O751" s="17"/>
      <c r="P751" s="17"/>
      <c r="Q751" s="17"/>
      <c r="R751" s="17"/>
      <c r="S751" s="17"/>
      <c r="T751" s="17"/>
      <c r="U751" s="17"/>
      <c r="V751" s="17"/>
      <c r="W751" s="17"/>
      <c r="X751" s="17"/>
      <c r="Y751" s="17"/>
      <c r="Z751" s="17"/>
    </row>
    <row r="752">
      <c r="A752" s="18" t="str">
        <f>IFERROR(__xludf.DUMMYFUNCTION("""COMPUTED_VALUE"""),"ord_10743")</f>
        <v>ord_10743</v>
      </c>
      <c r="B752" s="18" t="str">
        <f>IFERROR(__xludf.DUMMYFUNCTION("""COMPUTED_VALUE"""),"Dev Chauhan")</f>
        <v>Dev Chauhan</v>
      </c>
      <c r="C752" s="18" t="str">
        <f>IFERROR(__xludf.DUMMYFUNCTION("""COMPUTED_VALUE"""),"Bandra")</f>
        <v>Bandra</v>
      </c>
      <c r="D752" s="18" t="str">
        <f>IFERROR(__xludf.DUMMYFUNCTION("""COMPUTED_VALUE"""),"Apple")</f>
        <v>Apple</v>
      </c>
      <c r="E752" s="18">
        <f>IFERROR(__xludf.DUMMYFUNCTION("""COMPUTED_VALUE"""),1.0)</f>
        <v>1</v>
      </c>
      <c r="F752" s="18" t="str">
        <f>IFERROR(__xludf.DUMMYFUNCTION("""COMPUTED_VALUE"""),"Vivek Kumar")</f>
        <v>Vivek Kumar</v>
      </c>
      <c r="G752" s="19">
        <f>IFERROR(__xludf.DUMMYFUNCTION("""COMPUTED_VALUE"""),44993.0)</f>
        <v>44993</v>
      </c>
      <c r="H752" s="18" t="str">
        <f>IFERROR(__xludf.DUMMYFUNCTION("""COMPUTED_VALUE"""),"UPI")</f>
        <v>UPI</v>
      </c>
      <c r="I752" s="18" t="str">
        <f>IFERROR(__xludf.DUMMYFUNCTION("""COMPUTED_VALUE"""),"Delivered")</f>
        <v>Delivered</v>
      </c>
      <c r="J752" s="18" t="str">
        <f>IFERROR(__xludf.DUMMYFUNCTION("""COMPUTED_VALUE"""),"Quality of Items")</f>
        <v>Quality of Items</v>
      </c>
      <c r="K752" s="18" t="str">
        <f>IFERROR(__xludf.DUMMYFUNCTION("""COMPUTED_VALUE"""),"Perfect condition")</f>
        <v>Perfect condition</v>
      </c>
      <c r="L752" s="18">
        <f>iferror(VLOOKUP($D752,Details!$A$2:$C$11,2,false),vlookup($D752,Details!$E$2:$G$11,2,false))</f>
        <v>230</v>
      </c>
      <c r="M752" s="18" t="str">
        <f>iferror(VLOOKUP($D752,Details!$A$2:$C$11,3,false),vlookup($D752,Details!$E$2:$G$11,3,false))</f>
        <v>Fruits and Vegetables</v>
      </c>
      <c r="N752" s="18">
        <f t="shared" si="1"/>
        <v>230</v>
      </c>
      <c r="O752" s="17"/>
      <c r="P752" s="17"/>
      <c r="Q752" s="17"/>
      <c r="R752" s="17"/>
      <c r="S752" s="17"/>
      <c r="T752" s="17"/>
      <c r="U752" s="17"/>
      <c r="V752" s="17"/>
      <c r="W752" s="17"/>
      <c r="X752" s="17"/>
      <c r="Y752" s="17"/>
      <c r="Z752" s="17"/>
    </row>
    <row r="753">
      <c r="A753" s="18" t="str">
        <f>IFERROR(__xludf.DUMMYFUNCTION("""COMPUTED_VALUE"""),"ord_10744")</f>
        <v>ord_10744</v>
      </c>
      <c r="B753" s="18" t="str">
        <f>IFERROR(__xludf.DUMMYFUNCTION("""COMPUTED_VALUE"""),"Ishita Banerjee")</f>
        <v>Ishita Banerjee</v>
      </c>
      <c r="C753" s="18" t="str">
        <f>IFERROR(__xludf.DUMMYFUNCTION("""COMPUTED_VALUE"""),"Juhu")</f>
        <v>Juhu</v>
      </c>
      <c r="D753" s="18" t="str">
        <f>IFERROR(__xludf.DUMMYFUNCTION("""COMPUTED_VALUE"""),"Tomato")</f>
        <v>Tomato</v>
      </c>
      <c r="E753" s="18">
        <f>IFERROR(__xludf.DUMMYFUNCTION("""COMPUTED_VALUE"""),1.0)</f>
        <v>1</v>
      </c>
      <c r="F753" s="18" t="str">
        <f>IFERROR(__xludf.DUMMYFUNCTION("""COMPUTED_VALUE"""),"Vivek Kumar")</f>
        <v>Vivek Kumar</v>
      </c>
      <c r="G753" s="19">
        <f>IFERROR(__xludf.DUMMYFUNCTION("""COMPUTED_VALUE"""),45065.0)</f>
        <v>45065</v>
      </c>
      <c r="H753" s="18" t="str">
        <f>IFERROR(__xludf.DUMMYFUNCTION("""COMPUTED_VALUE"""),"UPI")</f>
        <v>UPI</v>
      </c>
      <c r="I753" s="18" t="str">
        <f>IFERROR(__xludf.DUMMYFUNCTION("""COMPUTED_VALUE"""),"Cancelled")</f>
        <v>Cancelled</v>
      </c>
      <c r="J753" s="18" t="str">
        <f>IFERROR(__xludf.DUMMYFUNCTION("""COMPUTED_VALUE"""),"Delayed Delivery")</f>
        <v>Delayed Delivery</v>
      </c>
      <c r="K753" s="18" t="str">
        <f>IFERROR(__xludf.DUMMYFUNCTION("""COMPUTED_VALUE"""),"Bad Weather Conditions")</f>
        <v>Bad Weather Conditions</v>
      </c>
      <c r="L753" s="18">
        <f>iferror(VLOOKUP($D753,Details!$A$2:$C$11,2,false),vlookup($D753,Details!$E$2:$G$11,2,false))</f>
        <v>25</v>
      </c>
      <c r="M753" s="18" t="str">
        <f>iferror(VLOOKUP($D753,Details!$A$2:$C$11,3,false),vlookup($D753,Details!$E$2:$G$11,3,false))</f>
        <v>Fruits and Vegetables</v>
      </c>
      <c r="N753" s="18">
        <f t="shared" si="1"/>
        <v>25</v>
      </c>
      <c r="O753" s="17"/>
      <c r="P753" s="17"/>
      <c r="Q753" s="17"/>
      <c r="R753" s="17"/>
      <c r="S753" s="17"/>
      <c r="T753" s="17"/>
      <c r="U753" s="17"/>
      <c r="V753" s="17"/>
      <c r="W753" s="17"/>
      <c r="X753" s="17"/>
      <c r="Y753" s="17"/>
      <c r="Z753" s="17"/>
    </row>
    <row r="754">
      <c r="A754" s="18" t="str">
        <f>IFERROR(__xludf.DUMMYFUNCTION("""COMPUTED_VALUE"""),"ord_10745")</f>
        <v>ord_10745</v>
      </c>
      <c r="B754" s="18" t="str">
        <f>IFERROR(__xludf.DUMMYFUNCTION("""COMPUTED_VALUE"""),"Ishita Banerjee")</f>
        <v>Ishita Banerjee</v>
      </c>
      <c r="C754" s="18" t="str">
        <f>IFERROR(__xludf.DUMMYFUNCTION("""COMPUTED_VALUE"""),"Juhu")</f>
        <v>Juhu</v>
      </c>
      <c r="D754" s="18" t="str">
        <f>IFERROR(__xludf.DUMMYFUNCTION("""COMPUTED_VALUE"""),"Onion")</f>
        <v>Onion</v>
      </c>
      <c r="E754" s="18">
        <f>IFERROR(__xludf.DUMMYFUNCTION("""COMPUTED_VALUE"""),2.0)</f>
        <v>2</v>
      </c>
      <c r="F754" s="18" t="str">
        <f>IFERROR(__xludf.DUMMYFUNCTION("""COMPUTED_VALUE"""),"Priya Joshi")</f>
        <v>Priya Joshi</v>
      </c>
      <c r="G754" s="19">
        <f>IFERROR(__xludf.DUMMYFUNCTION("""COMPUTED_VALUE"""),45125.0)</f>
        <v>45125</v>
      </c>
      <c r="H754" s="18" t="str">
        <f>IFERROR(__xludf.DUMMYFUNCTION("""COMPUTED_VALUE"""),"Credit Card")</f>
        <v>Credit Card</v>
      </c>
      <c r="I754" s="18" t="str">
        <f>IFERROR(__xludf.DUMMYFUNCTION("""COMPUTED_VALUE"""),"Cancelled")</f>
        <v>Cancelled</v>
      </c>
      <c r="J754" s="18" t="str">
        <f>IFERROR(__xludf.DUMMYFUNCTION("""COMPUTED_VALUE"""),"Delayed Delivery")</f>
        <v>Delayed Delivery</v>
      </c>
      <c r="K754" s="18" t="str">
        <f>IFERROR(__xludf.DUMMYFUNCTION("""COMPUTED_VALUE"""),"Heavy Traffic")</f>
        <v>Heavy Traffic</v>
      </c>
      <c r="L754" s="18">
        <f>iferror(VLOOKUP($D754,Details!$A$2:$C$11,2,false),vlookup($D754,Details!$E$2:$G$11,2,false))</f>
        <v>84</v>
      </c>
      <c r="M754" s="18" t="str">
        <f>iferror(VLOOKUP($D754,Details!$A$2:$C$11,3,false),vlookup($D754,Details!$E$2:$G$11,3,false))</f>
        <v>Fruits and Vegetables</v>
      </c>
      <c r="N754" s="18">
        <f t="shared" si="1"/>
        <v>168</v>
      </c>
      <c r="O754" s="17"/>
      <c r="P754" s="17"/>
      <c r="Q754" s="17"/>
      <c r="R754" s="17"/>
      <c r="S754" s="17"/>
      <c r="T754" s="17"/>
      <c r="U754" s="17"/>
      <c r="V754" s="17"/>
      <c r="W754" s="17"/>
      <c r="X754" s="17"/>
      <c r="Y754" s="17"/>
      <c r="Z754" s="17"/>
    </row>
    <row r="755">
      <c r="A755" s="18" t="str">
        <f>IFERROR(__xludf.DUMMYFUNCTION("""COMPUTED_VALUE"""),"ord_10746")</f>
        <v>ord_10746</v>
      </c>
      <c r="B755" s="18" t="str">
        <f>IFERROR(__xludf.DUMMYFUNCTION("""COMPUTED_VALUE"""),"Parth Goel")</f>
        <v>Parth Goel</v>
      </c>
      <c r="C755" s="18" t="str">
        <f>IFERROR(__xludf.DUMMYFUNCTION("""COMPUTED_VALUE"""),"Juhu")</f>
        <v>Juhu</v>
      </c>
      <c r="D755" s="18" t="str">
        <f>IFERROR(__xludf.DUMMYFUNCTION("""COMPUTED_VALUE"""),"Tomato")</f>
        <v>Tomato</v>
      </c>
      <c r="E755" s="18">
        <f>IFERROR(__xludf.DUMMYFUNCTION("""COMPUTED_VALUE"""),2.0)</f>
        <v>2</v>
      </c>
      <c r="F755" s="18" t="str">
        <f>IFERROR(__xludf.DUMMYFUNCTION("""COMPUTED_VALUE"""),"Not Assigned")</f>
        <v>Not Assigned</v>
      </c>
      <c r="G755" s="19">
        <f>IFERROR(__xludf.DUMMYFUNCTION("""COMPUTED_VALUE"""),45290.0)</f>
        <v>45290</v>
      </c>
      <c r="H755" s="18" t="str">
        <f>IFERROR(__xludf.DUMMYFUNCTION("""COMPUTED_VALUE"""),"Online Payment")</f>
        <v>Online Payment</v>
      </c>
      <c r="I755" s="18" t="str">
        <f>IFERROR(__xludf.DUMMYFUNCTION("""COMPUTED_VALUE"""),"Cancelled")</f>
        <v>Cancelled</v>
      </c>
      <c r="J755" s="18" t="str">
        <f>IFERROR(__xludf.DUMMYFUNCTION("""COMPUTED_VALUE"""),"Out of Stock")</f>
        <v>Out of Stock</v>
      </c>
      <c r="K755" s="18"/>
      <c r="L755" s="18">
        <f>iferror(VLOOKUP($D755,Details!$A$2:$C$11,2,false),vlookup($D755,Details!$E$2:$G$11,2,false))</f>
        <v>25</v>
      </c>
      <c r="M755" s="18" t="str">
        <f>iferror(VLOOKUP($D755,Details!$A$2:$C$11,3,false),vlookup($D755,Details!$E$2:$G$11,3,false))</f>
        <v>Fruits and Vegetables</v>
      </c>
      <c r="N755" s="18">
        <f t="shared" si="1"/>
        <v>50</v>
      </c>
      <c r="O755" s="17"/>
      <c r="P755" s="17"/>
      <c r="Q755" s="17"/>
      <c r="R755" s="17"/>
      <c r="S755" s="17"/>
      <c r="T755" s="17"/>
      <c r="U755" s="17"/>
      <c r="V755" s="17"/>
      <c r="W755" s="17"/>
      <c r="X755" s="17"/>
      <c r="Y755" s="17"/>
      <c r="Z755" s="17"/>
    </row>
    <row r="756">
      <c r="A756" s="18" t="str">
        <f>IFERROR(__xludf.DUMMYFUNCTION("""COMPUTED_VALUE"""),"ord_10747")</f>
        <v>ord_10747</v>
      </c>
      <c r="B756" s="18" t="str">
        <f>IFERROR(__xludf.DUMMYFUNCTION("""COMPUTED_VALUE"""),"Mehul Thakkar")</f>
        <v>Mehul Thakkar</v>
      </c>
      <c r="C756" s="18" t="str">
        <f>IFERROR(__xludf.DUMMYFUNCTION("""COMPUTED_VALUE"""),"Malad")</f>
        <v>Malad</v>
      </c>
      <c r="D756" s="18" t="str">
        <f>IFERROR(__xludf.DUMMYFUNCTION("""COMPUTED_VALUE"""),"Rasmalai")</f>
        <v>Rasmalai</v>
      </c>
      <c r="E756" s="18">
        <f>IFERROR(__xludf.DUMMYFUNCTION("""COMPUTED_VALUE"""),2.0)</f>
        <v>2</v>
      </c>
      <c r="F756" s="18" t="str">
        <f>IFERROR(__xludf.DUMMYFUNCTION("""COMPUTED_VALUE"""),"Not Assigned")</f>
        <v>Not Assigned</v>
      </c>
      <c r="G756" s="19">
        <f>IFERROR(__xludf.DUMMYFUNCTION("""COMPUTED_VALUE"""),45263.0)</f>
        <v>45263</v>
      </c>
      <c r="H756" s="18" t="str">
        <f>IFERROR(__xludf.DUMMYFUNCTION("""COMPUTED_VALUE"""),"Online Payment")</f>
        <v>Online Payment</v>
      </c>
      <c r="I756" s="18" t="str">
        <f>IFERROR(__xludf.DUMMYFUNCTION("""COMPUTED_VALUE"""),"Cancelled")</f>
        <v>Cancelled</v>
      </c>
      <c r="J756" s="18" t="str">
        <f>IFERROR(__xludf.DUMMYFUNCTION("""COMPUTED_VALUE"""),"App Glitches")</f>
        <v>App Glitches</v>
      </c>
      <c r="K756" s="18" t="str">
        <f>IFERROR(__xludf.DUMMYFUNCTION("""COMPUTED_VALUE"""),"Payment Button Malfunction")</f>
        <v>Payment Button Malfunction</v>
      </c>
      <c r="L756" s="18">
        <f>iferror(VLOOKUP($D756,Details!$A$2:$C$11,2,false),vlookup($D756,Details!$E$2:$G$11,2,false))</f>
        <v>110</v>
      </c>
      <c r="M756" s="18" t="str">
        <f>iferror(VLOOKUP($D756,Details!$A$2:$C$11,3,false),vlookup($D756,Details!$E$2:$G$11,3,false))</f>
        <v>Snacks and Drinks</v>
      </c>
      <c r="N756" s="18">
        <f t="shared" si="1"/>
        <v>220</v>
      </c>
      <c r="O756" s="17"/>
      <c r="P756" s="17"/>
      <c r="Q756" s="17"/>
      <c r="R756" s="17"/>
      <c r="S756" s="17"/>
      <c r="T756" s="17"/>
      <c r="U756" s="17"/>
      <c r="V756" s="17"/>
      <c r="W756" s="17"/>
      <c r="X756" s="17"/>
      <c r="Y756" s="17"/>
      <c r="Z756" s="17"/>
    </row>
    <row r="757">
      <c r="A757" s="18" t="str">
        <f>IFERROR(__xludf.DUMMYFUNCTION("""COMPUTED_VALUE"""),"ord_10748")</f>
        <v>ord_10748</v>
      </c>
      <c r="B757" s="18" t="str">
        <f>IFERROR(__xludf.DUMMYFUNCTION("""COMPUTED_VALUE"""),"Aarohi Kapoor")</f>
        <v>Aarohi Kapoor</v>
      </c>
      <c r="C757" s="18" t="str">
        <f>IFERROR(__xludf.DUMMYFUNCTION("""COMPUTED_VALUE"""),"Bandra")</f>
        <v>Bandra</v>
      </c>
      <c r="D757" s="18" t="str">
        <f>IFERROR(__xludf.DUMMYFUNCTION("""COMPUTED_VALUE"""),"Cold Coffee")</f>
        <v>Cold Coffee</v>
      </c>
      <c r="E757" s="18">
        <f>IFERROR(__xludf.DUMMYFUNCTION("""COMPUTED_VALUE"""),2.0)</f>
        <v>2</v>
      </c>
      <c r="F757" s="18" t="str">
        <f>IFERROR(__xludf.DUMMYFUNCTION("""COMPUTED_VALUE"""),"Shine Thomas")</f>
        <v>Shine Thomas</v>
      </c>
      <c r="G757" s="19">
        <f>IFERROR(__xludf.DUMMYFUNCTION("""COMPUTED_VALUE"""),45223.0)</f>
        <v>45223</v>
      </c>
      <c r="H757" s="18" t="str">
        <f>IFERROR(__xludf.DUMMYFUNCTION("""COMPUTED_VALUE"""),"UPI")</f>
        <v>UPI</v>
      </c>
      <c r="I757" s="18" t="str">
        <f>IFERROR(__xludf.DUMMYFUNCTION("""COMPUTED_VALUE"""),"Delivered")</f>
        <v>Delivered</v>
      </c>
      <c r="J757" s="18" t="str">
        <f>IFERROR(__xludf.DUMMYFUNCTION("""COMPUTED_VALUE"""),"On-time Delivery")</f>
        <v>On-time Delivery</v>
      </c>
      <c r="K757" s="18" t="str">
        <f>IFERROR(__xludf.DUMMYFUNCTION("""COMPUTED_VALUE"""),"Delivered on time")</f>
        <v>Delivered on time</v>
      </c>
      <c r="L757" s="18">
        <f>iferror(VLOOKUP($D757,Details!$A$2:$C$11,2,false),vlookup($D757,Details!$E$2:$G$11,2,false))</f>
        <v>270</v>
      </c>
      <c r="M757" s="18" t="str">
        <f>iferror(VLOOKUP($D757,Details!$A$2:$C$11,3,false),vlookup($D757,Details!$E$2:$G$11,3,false))</f>
        <v>Snacks and Drinks</v>
      </c>
      <c r="N757" s="18">
        <f t="shared" si="1"/>
        <v>540</v>
      </c>
      <c r="O757" s="17"/>
      <c r="P757" s="17"/>
      <c r="Q757" s="17"/>
      <c r="R757" s="17"/>
      <c r="S757" s="17"/>
      <c r="T757" s="17"/>
      <c r="U757" s="17"/>
      <c r="V757" s="17"/>
      <c r="W757" s="17"/>
      <c r="X757" s="17"/>
      <c r="Y757" s="17"/>
      <c r="Z757" s="17"/>
    </row>
    <row r="758">
      <c r="A758" s="18" t="str">
        <f>IFERROR(__xludf.DUMMYFUNCTION("""COMPUTED_VALUE"""),"ord_10749")</f>
        <v>ord_10749</v>
      </c>
      <c r="B758" s="18" t="str">
        <f>IFERROR(__xludf.DUMMYFUNCTION("""COMPUTED_VALUE"""),"Kritika Shetty")</f>
        <v>Kritika Shetty</v>
      </c>
      <c r="C758" s="18" t="str">
        <f>IFERROR(__xludf.DUMMYFUNCTION("""COMPUTED_VALUE"""),"Malad")</f>
        <v>Malad</v>
      </c>
      <c r="D758" s="18" t="str">
        <f>IFERROR(__xludf.DUMMYFUNCTION("""COMPUTED_VALUE"""),"Juice")</f>
        <v>Juice</v>
      </c>
      <c r="E758" s="18">
        <f>IFERROR(__xludf.DUMMYFUNCTION("""COMPUTED_VALUE"""),2.0)</f>
        <v>2</v>
      </c>
      <c r="F758" s="18" t="str">
        <f>IFERROR(__xludf.DUMMYFUNCTION("""COMPUTED_VALUE"""),"Not Assigned")</f>
        <v>Not Assigned</v>
      </c>
      <c r="G758" s="19">
        <f>IFERROR(__xludf.DUMMYFUNCTION("""COMPUTED_VALUE"""),45276.0)</f>
        <v>45276</v>
      </c>
      <c r="H758" s="18" t="str">
        <f>IFERROR(__xludf.DUMMYFUNCTION("""COMPUTED_VALUE"""),"UPI")</f>
        <v>UPI</v>
      </c>
      <c r="I758" s="18" t="str">
        <f>IFERROR(__xludf.DUMMYFUNCTION("""COMPUTED_VALUE"""),"Cancelled")</f>
        <v>Cancelled</v>
      </c>
      <c r="J758" s="18" t="str">
        <f>IFERROR(__xludf.DUMMYFUNCTION("""COMPUTED_VALUE"""),"App Glitches")</f>
        <v>App Glitches</v>
      </c>
      <c r="K758" s="18" t="str">
        <f>IFERROR(__xludf.DUMMYFUNCTION("""COMPUTED_VALUE"""),"Slow Loading Time")</f>
        <v>Slow Loading Time</v>
      </c>
      <c r="L758" s="18">
        <f>iferror(VLOOKUP($D758,Details!$A$2:$C$11,2,false),vlookup($D758,Details!$E$2:$G$11,2,false))</f>
        <v>90</v>
      </c>
      <c r="M758" s="18" t="str">
        <f>iferror(VLOOKUP($D758,Details!$A$2:$C$11,3,false),vlookup($D758,Details!$E$2:$G$11,3,false))</f>
        <v>Snacks and Drinks</v>
      </c>
      <c r="N758" s="18">
        <f t="shared" si="1"/>
        <v>180</v>
      </c>
      <c r="O758" s="17"/>
      <c r="P758" s="17"/>
      <c r="Q758" s="17"/>
      <c r="R758" s="17"/>
      <c r="S758" s="17"/>
      <c r="T758" s="17"/>
      <c r="U758" s="17"/>
      <c r="V758" s="17"/>
      <c r="W758" s="17"/>
      <c r="X758" s="17"/>
      <c r="Y758" s="17"/>
      <c r="Z758" s="17"/>
    </row>
    <row r="759">
      <c r="A759" s="18" t="str">
        <f>IFERROR(__xludf.DUMMYFUNCTION("""COMPUTED_VALUE"""),"ord_10750")</f>
        <v>ord_10750</v>
      </c>
      <c r="B759" s="18" t="str">
        <f>IFERROR(__xludf.DUMMYFUNCTION("""COMPUTED_VALUE"""),"Dev Chauhan")</f>
        <v>Dev Chauhan</v>
      </c>
      <c r="C759" s="18" t="str">
        <f>IFERROR(__xludf.DUMMYFUNCTION("""COMPUTED_VALUE"""),"Bandra")</f>
        <v>Bandra</v>
      </c>
      <c r="D759" s="18" t="str">
        <f>IFERROR(__xludf.DUMMYFUNCTION("""COMPUTED_VALUE"""),"Veg Puff")</f>
        <v>Veg Puff</v>
      </c>
      <c r="E759" s="18">
        <f>IFERROR(__xludf.DUMMYFUNCTION("""COMPUTED_VALUE"""),3.0)</f>
        <v>3</v>
      </c>
      <c r="F759" s="18" t="str">
        <f>IFERROR(__xludf.DUMMYFUNCTION("""COMPUTED_VALUE"""),"Shine Thomas")</f>
        <v>Shine Thomas</v>
      </c>
      <c r="G759" s="19">
        <f>IFERROR(__xludf.DUMMYFUNCTION("""COMPUTED_VALUE"""),45269.0)</f>
        <v>45269</v>
      </c>
      <c r="H759" s="18" t="str">
        <f>IFERROR(__xludf.DUMMYFUNCTION("""COMPUTED_VALUE"""),"Credit Card")</f>
        <v>Credit Card</v>
      </c>
      <c r="I759" s="18" t="str">
        <f>IFERROR(__xludf.DUMMYFUNCTION("""COMPUTED_VALUE"""),"Cancelled")</f>
        <v>Cancelled</v>
      </c>
      <c r="J759" s="18" t="str">
        <f>IFERROR(__xludf.DUMMYFUNCTION("""COMPUTED_VALUE"""),"Delayed Delivery")</f>
        <v>Delayed Delivery</v>
      </c>
      <c r="K759" s="18" t="str">
        <f>IFERROR(__xludf.DUMMYFUNCTION("""COMPUTED_VALUE"""),"Bad Weather Conditions")</f>
        <v>Bad Weather Conditions</v>
      </c>
      <c r="L759" s="18">
        <f>iferror(VLOOKUP($D759,Details!$A$2:$C$11,2,false),vlookup($D759,Details!$E$2:$G$11,2,false))</f>
        <v>80</v>
      </c>
      <c r="M759" s="18" t="str">
        <f>iferror(VLOOKUP($D759,Details!$A$2:$C$11,3,false),vlookup($D759,Details!$E$2:$G$11,3,false))</f>
        <v>Snacks and Drinks</v>
      </c>
      <c r="N759" s="18">
        <f t="shared" si="1"/>
        <v>240</v>
      </c>
      <c r="O759" s="17"/>
      <c r="P759" s="17"/>
      <c r="Q759" s="17"/>
      <c r="R759" s="17"/>
      <c r="S759" s="17"/>
      <c r="T759" s="17"/>
      <c r="U759" s="17"/>
      <c r="V759" s="17"/>
      <c r="W759" s="17"/>
      <c r="X759" s="17"/>
      <c r="Y759" s="17"/>
      <c r="Z759" s="17"/>
    </row>
    <row r="760">
      <c r="A760" s="18" t="str">
        <f>IFERROR(__xludf.DUMMYFUNCTION("""COMPUTED_VALUE"""),"ord_10751")</f>
        <v>ord_10751</v>
      </c>
      <c r="B760" s="18" t="str">
        <f>IFERROR(__xludf.DUMMYFUNCTION("""COMPUTED_VALUE"""),"Arvind Kulkarni")</f>
        <v>Arvind Kulkarni</v>
      </c>
      <c r="C760" s="18" t="str">
        <f>IFERROR(__xludf.DUMMYFUNCTION("""COMPUTED_VALUE"""),"Juhu")</f>
        <v>Juhu</v>
      </c>
      <c r="D760" s="18" t="str">
        <f>IFERROR(__xludf.DUMMYFUNCTION("""COMPUTED_VALUE"""),"Papaya")</f>
        <v>Papaya</v>
      </c>
      <c r="E760" s="18">
        <f>IFERROR(__xludf.DUMMYFUNCTION("""COMPUTED_VALUE"""),1.0)</f>
        <v>1</v>
      </c>
      <c r="F760" s="18" t="str">
        <f>IFERROR(__xludf.DUMMYFUNCTION("""COMPUTED_VALUE"""),"Vivek Kumar")</f>
        <v>Vivek Kumar</v>
      </c>
      <c r="G760" s="19">
        <f>IFERROR(__xludf.DUMMYFUNCTION("""COMPUTED_VALUE"""),45112.0)</f>
        <v>45112</v>
      </c>
      <c r="H760" s="18" t="str">
        <f>IFERROR(__xludf.DUMMYFUNCTION("""COMPUTED_VALUE"""),"UPI")</f>
        <v>UPI</v>
      </c>
      <c r="I760" s="18" t="str">
        <f>IFERROR(__xludf.DUMMYFUNCTION("""COMPUTED_VALUE"""),"Delivered")</f>
        <v>Delivered</v>
      </c>
      <c r="J760" s="18" t="str">
        <f>IFERROR(__xludf.DUMMYFUNCTION("""COMPUTED_VALUE"""),"Quality of Items")</f>
        <v>Quality of Items</v>
      </c>
      <c r="K760" s="18" t="str">
        <f>IFERROR(__xludf.DUMMYFUNCTION("""COMPUTED_VALUE"""),"Perfect condition")</f>
        <v>Perfect condition</v>
      </c>
      <c r="L760" s="18">
        <f>iferror(VLOOKUP($D760,Details!$A$2:$C$11,2,false),vlookup($D760,Details!$E$2:$G$11,2,false))</f>
        <v>75</v>
      </c>
      <c r="M760" s="18" t="str">
        <f>iferror(VLOOKUP($D760,Details!$A$2:$C$11,3,false),vlookup($D760,Details!$E$2:$G$11,3,false))</f>
        <v>Fruits and Vegetables</v>
      </c>
      <c r="N760" s="18">
        <f t="shared" si="1"/>
        <v>75</v>
      </c>
      <c r="O760" s="17"/>
      <c r="P760" s="17"/>
      <c r="Q760" s="17"/>
      <c r="R760" s="17"/>
      <c r="S760" s="17"/>
      <c r="T760" s="17"/>
      <c r="U760" s="17"/>
      <c r="V760" s="17"/>
      <c r="W760" s="17"/>
      <c r="X760" s="17"/>
      <c r="Y760" s="17"/>
      <c r="Z760" s="17"/>
    </row>
    <row r="761">
      <c r="A761" s="18" t="str">
        <f>IFERROR(__xludf.DUMMYFUNCTION("""COMPUTED_VALUE"""),"ord_10752")</f>
        <v>ord_10752</v>
      </c>
      <c r="B761" s="18" t="str">
        <f>IFERROR(__xludf.DUMMYFUNCTION("""COMPUTED_VALUE"""),"Aarohi Kapoor")</f>
        <v>Aarohi Kapoor</v>
      </c>
      <c r="C761" s="18" t="str">
        <f>IFERROR(__xludf.DUMMYFUNCTION("""COMPUTED_VALUE"""),"Bandra")</f>
        <v>Bandra</v>
      </c>
      <c r="D761" s="18" t="str">
        <f>IFERROR(__xludf.DUMMYFUNCTION("""COMPUTED_VALUE"""),"Veg Puff")</f>
        <v>Veg Puff</v>
      </c>
      <c r="E761" s="18">
        <f>IFERROR(__xludf.DUMMYFUNCTION("""COMPUTED_VALUE"""),2.0)</f>
        <v>2</v>
      </c>
      <c r="F761" s="18" t="str">
        <f>IFERROR(__xludf.DUMMYFUNCTION("""COMPUTED_VALUE"""),"Ramesh S")</f>
        <v>Ramesh S</v>
      </c>
      <c r="G761" s="19">
        <f>IFERROR(__xludf.DUMMYFUNCTION("""COMPUTED_VALUE"""),45273.0)</f>
        <v>45273</v>
      </c>
      <c r="H761" s="18" t="str">
        <f>IFERROR(__xludf.DUMMYFUNCTION("""COMPUTED_VALUE"""),"UPI")</f>
        <v>UPI</v>
      </c>
      <c r="I761" s="18" t="str">
        <f>IFERROR(__xludf.DUMMYFUNCTION("""COMPUTED_VALUE"""),"Delivered")</f>
        <v>Delivered</v>
      </c>
      <c r="J761" s="18" t="str">
        <f>IFERROR(__xludf.DUMMYFUNCTION("""COMPUTED_VALUE"""),"Packaging")</f>
        <v>Packaging</v>
      </c>
      <c r="K761" s="18" t="str">
        <f>IFERROR(__xludf.DUMMYFUNCTION("""COMPUTED_VALUE"""),"Secure and intact")</f>
        <v>Secure and intact</v>
      </c>
      <c r="L761" s="18">
        <f>iferror(VLOOKUP($D761,Details!$A$2:$C$11,2,false),vlookup($D761,Details!$E$2:$G$11,2,false))</f>
        <v>80</v>
      </c>
      <c r="M761" s="18" t="str">
        <f>iferror(VLOOKUP($D761,Details!$A$2:$C$11,3,false),vlookup($D761,Details!$E$2:$G$11,3,false))</f>
        <v>Snacks and Drinks</v>
      </c>
      <c r="N761" s="18">
        <f t="shared" si="1"/>
        <v>160</v>
      </c>
      <c r="O761" s="17"/>
      <c r="P761" s="17"/>
      <c r="Q761" s="17"/>
      <c r="R761" s="17"/>
      <c r="S761" s="17"/>
      <c r="T761" s="17"/>
      <c r="U761" s="17"/>
      <c r="V761" s="17"/>
      <c r="W761" s="17"/>
      <c r="X761" s="17"/>
      <c r="Y761" s="17"/>
      <c r="Z761" s="17"/>
    </row>
    <row r="762">
      <c r="A762" s="18" t="str">
        <f>IFERROR(__xludf.DUMMYFUNCTION("""COMPUTED_VALUE"""),"ord_10753")</f>
        <v>ord_10753</v>
      </c>
      <c r="B762" s="18" t="str">
        <f>IFERROR(__xludf.DUMMYFUNCTION("""COMPUTED_VALUE"""),"Sakshi Tandon")</f>
        <v>Sakshi Tandon</v>
      </c>
      <c r="C762" s="18" t="str">
        <f>IFERROR(__xludf.DUMMYFUNCTION("""COMPUTED_VALUE"""),"Colaba")</f>
        <v>Colaba</v>
      </c>
      <c r="D762" s="18" t="str">
        <f>IFERROR(__xludf.DUMMYFUNCTION("""COMPUTED_VALUE"""),"Sweet Corn")</f>
        <v>Sweet Corn</v>
      </c>
      <c r="E762" s="18">
        <f>IFERROR(__xludf.DUMMYFUNCTION("""COMPUTED_VALUE"""),2.0)</f>
        <v>2</v>
      </c>
      <c r="F762" s="18" t="str">
        <f>IFERROR(__xludf.DUMMYFUNCTION("""COMPUTED_VALUE"""),"Not Assigned")</f>
        <v>Not Assigned</v>
      </c>
      <c r="G762" s="19">
        <f>IFERROR(__xludf.DUMMYFUNCTION("""COMPUTED_VALUE"""),44970.0)</f>
        <v>44970</v>
      </c>
      <c r="H762" s="18" t="str">
        <f>IFERROR(__xludf.DUMMYFUNCTION("""COMPUTED_VALUE"""),"Credit Card")</f>
        <v>Credit Card</v>
      </c>
      <c r="I762" s="18" t="str">
        <f>IFERROR(__xludf.DUMMYFUNCTION("""COMPUTED_VALUE"""),"Cancelled")</f>
        <v>Cancelled</v>
      </c>
      <c r="J762" s="18" t="str">
        <f>IFERROR(__xludf.DUMMYFUNCTION("""COMPUTED_VALUE"""),"App Glitches")</f>
        <v>App Glitches</v>
      </c>
      <c r="K762" s="18" t="str">
        <f>IFERROR(__xludf.DUMMYFUNCTION("""COMPUTED_VALUE"""),"Slow Loading Time")</f>
        <v>Slow Loading Time</v>
      </c>
      <c r="L762" s="18">
        <f>iferror(VLOOKUP($D762,Details!$A$2:$C$11,2,false),vlookup($D762,Details!$E$2:$G$11,2,false))</f>
        <v>60</v>
      </c>
      <c r="M762" s="18" t="str">
        <f>iferror(VLOOKUP($D762,Details!$A$2:$C$11,3,false),vlookup($D762,Details!$E$2:$G$11,3,false))</f>
        <v>Fruits and Vegetables</v>
      </c>
      <c r="N762" s="18">
        <f t="shared" si="1"/>
        <v>120</v>
      </c>
      <c r="O762" s="17"/>
      <c r="P762" s="17"/>
      <c r="Q762" s="17"/>
      <c r="R762" s="17"/>
      <c r="S762" s="17"/>
      <c r="T762" s="17"/>
      <c r="U762" s="17"/>
      <c r="V762" s="17"/>
      <c r="W762" s="17"/>
      <c r="X762" s="17"/>
      <c r="Y762" s="17"/>
      <c r="Z762" s="17"/>
    </row>
    <row r="763">
      <c r="A763" s="18" t="str">
        <f>IFERROR(__xludf.DUMMYFUNCTION("""COMPUTED_VALUE"""),"ord_10754")</f>
        <v>ord_10754</v>
      </c>
      <c r="B763" s="18" t="str">
        <f>IFERROR(__xludf.DUMMYFUNCTION("""COMPUTED_VALUE"""),"Aarohi Kapoor")</f>
        <v>Aarohi Kapoor</v>
      </c>
      <c r="C763" s="18" t="str">
        <f>IFERROR(__xludf.DUMMYFUNCTION("""COMPUTED_VALUE"""),"Bandra")</f>
        <v>Bandra</v>
      </c>
      <c r="D763" s="18" t="str">
        <f>IFERROR(__xludf.DUMMYFUNCTION("""COMPUTED_VALUE"""),"Juice")</f>
        <v>Juice</v>
      </c>
      <c r="E763" s="18">
        <f>IFERROR(__xludf.DUMMYFUNCTION("""COMPUTED_VALUE"""),5.0)</f>
        <v>5</v>
      </c>
      <c r="F763" s="18" t="str">
        <f>IFERROR(__xludf.DUMMYFUNCTION("""COMPUTED_VALUE"""),"Not Assigned")</f>
        <v>Not Assigned</v>
      </c>
      <c r="G763" s="19">
        <f>IFERROR(__xludf.DUMMYFUNCTION("""COMPUTED_VALUE"""),45278.0)</f>
        <v>45278</v>
      </c>
      <c r="H763" s="18" t="str">
        <f>IFERROR(__xludf.DUMMYFUNCTION("""COMPUTED_VALUE"""),"Online Payment")</f>
        <v>Online Payment</v>
      </c>
      <c r="I763" s="18" t="str">
        <f>IFERROR(__xludf.DUMMYFUNCTION("""COMPUTED_VALUE"""),"Cancelled")</f>
        <v>Cancelled</v>
      </c>
      <c r="J763" s="18" t="str">
        <f>IFERROR(__xludf.DUMMYFUNCTION("""COMPUTED_VALUE"""),"Payment Issues")</f>
        <v>Payment Issues</v>
      </c>
      <c r="K763" s="18"/>
      <c r="L763" s="18">
        <f>iferror(VLOOKUP($D763,Details!$A$2:$C$11,2,false),vlookup($D763,Details!$E$2:$G$11,2,false))</f>
        <v>90</v>
      </c>
      <c r="M763" s="18" t="str">
        <f>iferror(VLOOKUP($D763,Details!$A$2:$C$11,3,false),vlookup($D763,Details!$E$2:$G$11,3,false))</f>
        <v>Snacks and Drinks</v>
      </c>
      <c r="N763" s="18">
        <f t="shared" si="1"/>
        <v>450</v>
      </c>
      <c r="O763" s="17"/>
      <c r="P763" s="17"/>
      <c r="Q763" s="17"/>
      <c r="R763" s="17"/>
      <c r="S763" s="17"/>
      <c r="T763" s="17"/>
      <c r="U763" s="17"/>
      <c r="V763" s="17"/>
      <c r="W763" s="17"/>
      <c r="X763" s="17"/>
      <c r="Y763" s="17"/>
      <c r="Z763" s="17"/>
    </row>
    <row r="764">
      <c r="A764" s="18" t="str">
        <f>IFERROR(__xludf.DUMMYFUNCTION("""COMPUTED_VALUE"""),"ord_10755")</f>
        <v>ord_10755</v>
      </c>
      <c r="B764" s="18" t="str">
        <f>IFERROR(__xludf.DUMMYFUNCTION("""COMPUTED_VALUE"""),"Ishaan Chaturvedi")</f>
        <v>Ishaan Chaturvedi</v>
      </c>
      <c r="C764" s="18" t="str">
        <f>IFERROR(__xludf.DUMMYFUNCTION("""COMPUTED_VALUE"""),"Bandra")</f>
        <v>Bandra</v>
      </c>
      <c r="D764" s="18" t="str">
        <f>IFERROR(__xludf.DUMMYFUNCTION("""COMPUTED_VALUE"""),"Chocolate Mousse")</f>
        <v>Chocolate Mousse</v>
      </c>
      <c r="E764" s="18">
        <f>IFERROR(__xludf.DUMMYFUNCTION("""COMPUTED_VALUE"""),4.0)</f>
        <v>4</v>
      </c>
      <c r="F764" s="18" t="str">
        <f>IFERROR(__xludf.DUMMYFUNCTION("""COMPUTED_VALUE"""),"Vivek Kumar")</f>
        <v>Vivek Kumar</v>
      </c>
      <c r="G764" s="19">
        <f>IFERROR(__xludf.DUMMYFUNCTION("""COMPUTED_VALUE"""),44963.0)</f>
        <v>44963</v>
      </c>
      <c r="H764" s="18" t="str">
        <f>IFERROR(__xludf.DUMMYFUNCTION("""COMPUTED_VALUE"""),"COD")</f>
        <v>COD</v>
      </c>
      <c r="I764" s="18" t="str">
        <f>IFERROR(__xludf.DUMMYFUNCTION("""COMPUTED_VALUE"""),"Delivered")</f>
        <v>Delivered</v>
      </c>
      <c r="J764" s="18" t="str">
        <f>IFERROR(__xludf.DUMMYFUNCTION("""COMPUTED_VALUE"""),"Satisfied with the Delivery")</f>
        <v>Satisfied with the Delivery</v>
      </c>
      <c r="K764" s="18" t="str">
        <f>IFERROR(__xludf.DUMMYFUNCTION("""COMPUTED_VALUE"""),"Timely and quality")</f>
        <v>Timely and quality</v>
      </c>
      <c r="L764" s="18">
        <f>iferror(VLOOKUP($D764,Details!$A$2:$C$11,2,false),vlookup($D764,Details!$E$2:$G$11,2,false))</f>
        <v>145</v>
      </c>
      <c r="M764" s="18" t="str">
        <f>iferror(VLOOKUP($D764,Details!$A$2:$C$11,3,false),vlookup($D764,Details!$E$2:$G$11,3,false))</f>
        <v>Snacks and Drinks</v>
      </c>
      <c r="N764" s="18">
        <f t="shared" si="1"/>
        <v>580</v>
      </c>
      <c r="O764" s="17"/>
      <c r="P764" s="17"/>
      <c r="Q764" s="17"/>
      <c r="R764" s="17"/>
      <c r="S764" s="17"/>
      <c r="T764" s="17"/>
      <c r="U764" s="17"/>
      <c r="V764" s="17"/>
      <c r="W764" s="17"/>
      <c r="X764" s="17"/>
      <c r="Y764" s="17"/>
      <c r="Z764" s="17"/>
    </row>
    <row r="765">
      <c r="A765" s="18" t="str">
        <f>IFERROR(__xludf.DUMMYFUNCTION("""COMPUTED_VALUE"""),"ord_10756")</f>
        <v>ord_10756</v>
      </c>
      <c r="B765" s="18" t="str">
        <f>IFERROR(__xludf.DUMMYFUNCTION("""COMPUTED_VALUE"""),"Siya Reddy")</f>
        <v>Siya Reddy</v>
      </c>
      <c r="C765" s="18" t="str">
        <f>IFERROR(__xludf.DUMMYFUNCTION("""COMPUTED_VALUE"""),"Juhu")</f>
        <v>Juhu</v>
      </c>
      <c r="D765" s="18" t="str">
        <f>IFERROR(__xludf.DUMMYFUNCTION("""COMPUTED_VALUE"""),"Chilli Cheese Toast")</f>
        <v>Chilli Cheese Toast</v>
      </c>
      <c r="E765" s="18">
        <f>IFERROR(__xludf.DUMMYFUNCTION("""COMPUTED_VALUE"""),5.0)</f>
        <v>5</v>
      </c>
      <c r="F765" s="18" t="str">
        <f>IFERROR(__xludf.DUMMYFUNCTION("""COMPUTED_VALUE"""),"Aman Kumar")</f>
        <v>Aman Kumar</v>
      </c>
      <c r="G765" s="19">
        <f>IFERROR(__xludf.DUMMYFUNCTION("""COMPUTED_VALUE"""),45207.0)</f>
        <v>45207</v>
      </c>
      <c r="H765" s="18" t="str">
        <f>IFERROR(__xludf.DUMMYFUNCTION("""COMPUTED_VALUE"""),"Credit Card")</f>
        <v>Credit Card</v>
      </c>
      <c r="I765" s="18" t="str">
        <f>IFERROR(__xludf.DUMMYFUNCTION("""COMPUTED_VALUE"""),"Cancelled")</f>
        <v>Cancelled</v>
      </c>
      <c r="J765" s="18" t="str">
        <f>IFERROR(__xludf.DUMMYFUNCTION("""COMPUTED_VALUE"""),"Delayed Delivery")</f>
        <v>Delayed Delivery</v>
      </c>
      <c r="K765" s="18" t="str">
        <f>IFERROR(__xludf.DUMMYFUNCTION("""COMPUTED_VALUE"""),"Incorrect Address or Location")</f>
        <v>Incorrect Address or Location</v>
      </c>
      <c r="L765" s="18">
        <f>iferror(VLOOKUP($D765,Details!$A$2:$C$11,2,false),vlookup($D765,Details!$E$2:$G$11,2,false))</f>
        <v>80</v>
      </c>
      <c r="M765" s="18" t="str">
        <f>iferror(VLOOKUP($D765,Details!$A$2:$C$11,3,false),vlookup($D765,Details!$E$2:$G$11,3,false))</f>
        <v>Snacks and Drinks</v>
      </c>
      <c r="N765" s="18">
        <f t="shared" si="1"/>
        <v>400</v>
      </c>
      <c r="O765" s="17"/>
      <c r="P765" s="17"/>
      <c r="Q765" s="17"/>
      <c r="R765" s="17"/>
      <c r="S765" s="17"/>
      <c r="T765" s="17"/>
      <c r="U765" s="17"/>
      <c r="V765" s="17"/>
      <c r="W765" s="17"/>
      <c r="X765" s="17"/>
      <c r="Y765" s="17"/>
      <c r="Z765" s="17"/>
    </row>
    <row r="766">
      <c r="A766" s="18" t="str">
        <f>IFERROR(__xludf.DUMMYFUNCTION("""COMPUTED_VALUE"""),"ord_10757")</f>
        <v>ord_10757</v>
      </c>
      <c r="B766" s="18" t="str">
        <f>IFERROR(__xludf.DUMMYFUNCTION("""COMPUTED_VALUE"""),"Ishaan Chaturvedi")</f>
        <v>Ishaan Chaturvedi</v>
      </c>
      <c r="C766" s="18" t="str">
        <f>IFERROR(__xludf.DUMMYFUNCTION("""COMPUTED_VALUE"""),"Bandra")</f>
        <v>Bandra</v>
      </c>
      <c r="D766" s="18" t="str">
        <f>IFERROR(__xludf.DUMMYFUNCTION("""COMPUTED_VALUE"""),"Tomato")</f>
        <v>Tomato</v>
      </c>
      <c r="E766" s="18">
        <f>IFERROR(__xludf.DUMMYFUNCTION("""COMPUTED_VALUE"""),1.0)</f>
        <v>1</v>
      </c>
      <c r="F766" s="18" t="str">
        <f>IFERROR(__xludf.DUMMYFUNCTION("""COMPUTED_VALUE"""),"Ramesh S")</f>
        <v>Ramesh S</v>
      </c>
      <c r="G766" s="19">
        <f>IFERROR(__xludf.DUMMYFUNCTION("""COMPUTED_VALUE"""),45204.0)</f>
        <v>45204</v>
      </c>
      <c r="H766" s="18" t="str">
        <f>IFERROR(__xludf.DUMMYFUNCTION("""COMPUTED_VALUE"""),"Credit Card")</f>
        <v>Credit Card</v>
      </c>
      <c r="I766" s="18" t="str">
        <f>IFERROR(__xludf.DUMMYFUNCTION("""COMPUTED_VALUE"""),"Delivered")</f>
        <v>Delivered</v>
      </c>
      <c r="J766" s="18" t="str">
        <f>IFERROR(__xludf.DUMMYFUNCTION("""COMPUTED_VALUE"""),"Customer Service")</f>
        <v>Customer Service</v>
      </c>
      <c r="K766" s="18" t="str">
        <f>IFERROR(__xludf.DUMMYFUNCTION("""COMPUTED_VALUE"""),"Seamless and easy")</f>
        <v>Seamless and easy</v>
      </c>
      <c r="L766" s="18">
        <f>iferror(VLOOKUP($D766,Details!$A$2:$C$11,2,false),vlookup($D766,Details!$E$2:$G$11,2,false))</f>
        <v>25</v>
      </c>
      <c r="M766" s="18" t="str">
        <f>iferror(VLOOKUP($D766,Details!$A$2:$C$11,3,false),vlookup($D766,Details!$E$2:$G$11,3,false))</f>
        <v>Fruits and Vegetables</v>
      </c>
      <c r="N766" s="18">
        <f t="shared" si="1"/>
        <v>25</v>
      </c>
      <c r="O766" s="17"/>
      <c r="P766" s="17"/>
      <c r="Q766" s="17"/>
      <c r="R766" s="17"/>
      <c r="S766" s="17"/>
      <c r="T766" s="17"/>
      <c r="U766" s="17"/>
      <c r="V766" s="17"/>
      <c r="W766" s="17"/>
      <c r="X766" s="17"/>
      <c r="Y766" s="17"/>
      <c r="Z766" s="17"/>
    </row>
    <row r="767">
      <c r="A767" s="18" t="str">
        <f>IFERROR(__xludf.DUMMYFUNCTION("""COMPUTED_VALUE"""),"ord_10758")</f>
        <v>ord_10758</v>
      </c>
      <c r="B767" s="18" t="str">
        <f>IFERROR(__xludf.DUMMYFUNCTION("""COMPUTED_VALUE"""),"Sanjay Nair")</f>
        <v>Sanjay Nair</v>
      </c>
      <c r="C767" s="18" t="str">
        <f>IFERROR(__xludf.DUMMYFUNCTION("""COMPUTED_VALUE"""),"Dadar")</f>
        <v>Dadar</v>
      </c>
      <c r="D767" s="18" t="str">
        <f>IFERROR(__xludf.DUMMYFUNCTION("""COMPUTED_VALUE"""),"Chocolate Mousse")</f>
        <v>Chocolate Mousse</v>
      </c>
      <c r="E767" s="18">
        <f>IFERROR(__xludf.DUMMYFUNCTION("""COMPUTED_VALUE"""),5.0)</f>
        <v>5</v>
      </c>
      <c r="F767" s="18" t="str">
        <f>IFERROR(__xludf.DUMMYFUNCTION("""COMPUTED_VALUE"""),"Vivek Kumar")</f>
        <v>Vivek Kumar</v>
      </c>
      <c r="G767" s="19">
        <f>IFERROR(__xludf.DUMMYFUNCTION("""COMPUTED_VALUE"""),44971.0)</f>
        <v>44971</v>
      </c>
      <c r="H767" s="18" t="str">
        <f>IFERROR(__xludf.DUMMYFUNCTION("""COMPUTED_VALUE"""),"Credit Card")</f>
        <v>Credit Card</v>
      </c>
      <c r="I767" s="18" t="str">
        <f>IFERROR(__xludf.DUMMYFUNCTION("""COMPUTED_VALUE"""),"Delivered")</f>
        <v>Delivered</v>
      </c>
      <c r="J767" s="18" t="str">
        <f>IFERROR(__xludf.DUMMYFUNCTION("""COMPUTED_VALUE"""),"Delivery Experience")</f>
        <v>Delivery Experience</v>
      </c>
      <c r="K767" s="18" t="str">
        <f>IFERROR(__xludf.DUMMYFUNCTION("""COMPUTED_VALUE"""),"Quick and professional")</f>
        <v>Quick and professional</v>
      </c>
      <c r="L767" s="18">
        <f>iferror(VLOOKUP($D767,Details!$A$2:$C$11,2,false),vlookup($D767,Details!$E$2:$G$11,2,false))</f>
        <v>145</v>
      </c>
      <c r="M767" s="18" t="str">
        <f>iferror(VLOOKUP($D767,Details!$A$2:$C$11,3,false),vlookup($D767,Details!$E$2:$G$11,3,false))</f>
        <v>Snacks and Drinks</v>
      </c>
      <c r="N767" s="18">
        <f t="shared" si="1"/>
        <v>725</v>
      </c>
      <c r="O767" s="17"/>
      <c r="P767" s="17"/>
      <c r="Q767" s="17"/>
      <c r="R767" s="17"/>
      <c r="S767" s="17"/>
      <c r="T767" s="17"/>
      <c r="U767" s="17"/>
      <c r="V767" s="17"/>
      <c r="W767" s="17"/>
      <c r="X767" s="17"/>
      <c r="Y767" s="17"/>
      <c r="Z767" s="17"/>
    </row>
    <row r="768">
      <c r="A768" s="18" t="str">
        <f>IFERROR(__xludf.DUMMYFUNCTION("""COMPUTED_VALUE"""),"ord_10759")</f>
        <v>ord_10759</v>
      </c>
      <c r="B768" s="18" t="str">
        <f>IFERROR(__xludf.DUMMYFUNCTION("""COMPUTED_VALUE"""),"Mehul Thakkar")</f>
        <v>Mehul Thakkar</v>
      </c>
      <c r="C768" s="18" t="str">
        <f>IFERROR(__xludf.DUMMYFUNCTION("""COMPUTED_VALUE"""),"Malad")</f>
        <v>Malad</v>
      </c>
      <c r="D768" s="18" t="str">
        <f>IFERROR(__xludf.DUMMYFUNCTION("""COMPUTED_VALUE"""),"Guava")</f>
        <v>Guava</v>
      </c>
      <c r="E768" s="18">
        <f>IFERROR(__xludf.DUMMYFUNCTION("""COMPUTED_VALUE"""),2.0)</f>
        <v>2</v>
      </c>
      <c r="F768" s="18" t="str">
        <f>IFERROR(__xludf.DUMMYFUNCTION("""COMPUTED_VALUE"""),"Manju Ajay")</f>
        <v>Manju Ajay</v>
      </c>
      <c r="G768" s="19">
        <f>IFERROR(__xludf.DUMMYFUNCTION("""COMPUTED_VALUE"""),44991.0)</f>
        <v>44991</v>
      </c>
      <c r="H768" s="18" t="str">
        <f>IFERROR(__xludf.DUMMYFUNCTION("""COMPUTED_VALUE"""),"UPI")</f>
        <v>UPI</v>
      </c>
      <c r="I768" s="18" t="str">
        <f>IFERROR(__xludf.DUMMYFUNCTION("""COMPUTED_VALUE"""),"Cancelled")</f>
        <v>Cancelled</v>
      </c>
      <c r="J768" s="18" t="str">
        <f>IFERROR(__xludf.DUMMYFUNCTION("""COMPUTED_VALUE"""),"Delayed Delivery")</f>
        <v>Delayed Delivery</v>
      </c>
      <c r="K768" s="18" t="str">
        <f>IFERROR(__xludf.DUMMYFUNCTION("""COMPUTED_VALUE"""),"Traffic Accidents or Road Closures")</f>
        <v>Traffic Accidents or Road Closures</v>
      </c>
      <c r="L768" s="18">
        <f>iferror(VLOOKUP($D768,Details!$A$2:$C$11,2,false),vlookup($D768,Details!$E$2:$G$11,2,false))</f>
        <v>70</v>
      </c>
      <c r="M768" s="18" t="str">
        <f>iferror(VLOOKUP($D768,Details!$A$2:$C$11,3,false),vlookup($D768,Details!$E$2:$G$11,3,false))</f>
        <v>Fruits and Vegetables</v>
      </c>
      <c r="N768" s="18">
        <f t="shared" si="1"/>
        <v>140</v>
      </c>
      <c r="O768" s="17"/>
      <c r="P768" s="17"/>
      <c r="Q768" s="17"/>
      <c r="R768" s="17"/>
      <c r="S768" s="17"/>
      <c r="T768" s="17"/>
      <c r="U768" s="17"/>
      <c r="V768" s="17"/>
      <c r="W768" s="17"/>
      <c r="X768" s="17"/>
      <c r="Y768" s="17"/>
      <c r="Z768" s="17"/>
    </row>
    <row r="769">
      <c r="A769" s="18" t="str">
        <f>IFERROR(__xludf.DUMMYFUNCTION("""COMPUTED_VALUE"""),"ord_10760")</f>
        <v>ord_10760</v>
      </c>
      <c r="B769" s="18" t="str">
        <f>IFERROR(__xludf.DUMMYFUNCTION("""COMPUTED_VALUE"""),"Diya Arora")</f>
        <v>Diya Arora</v>
      </c>
      <c r="C769" s="18" t="str">
        <f>IFERROR(__xludf.DUMMYFUNCTION("""COMPUTED_VALUE"""),"Lower Parel")</f>
        <v>Lower Parel</v>
      </c>
      <c r="D769" s="18" t="str">
        <f>IFERROR(__xludf.DUMMYFUNCTION("""COMPUTED_VALUE"""),"Papaya")</f>
        <v>Papaya</v>
      </c>
      <c r="E769" s="18">
        <f>IFERROR(__xludf.DUMMYFUNCTION("""COMPUTED_VALUE"""),1.0)</f>
        <v>1</v>
      </c>
      <c r="F769" s="18" t="str">
        <f>IFERROR(__xludf.DUMMYFUNCTION("""COMPUTED_VALUE"""),"Shine Thomas")</f>
        <v>Shine Thomas</v>
      </c>
      <c r="G769" s="19">
        <f>IFERROR(__xludf.DUMMYFUNCTION("""COMPUTED_VALUE"""),45093.0)</f>
        <v>45093</v>
      </c>
      <c r="H769" s="18" t="str">
        <f>IFERROR(__xludf.DUMMYFUNCTION("""COMPUTED_VALUE"""),"Credit Card")</f>
        <v>Credit Card</v>
      </c>
      <c r="I769" s="18" t="str">
        <f>IFERROR(__xludf.DUMMYFUNCTION("""COMPUTED_VALUE"""),"Delivered")</f>
        <v>Delivered</v>
      </c>
      <c r="J769" s="18" t="str">
        <f>IFERROR(__xludf.DUMMYFUNCTION("""COMPUTED_VALUE"""),"Convenience")</f>
        <v>Convenience</v>
      </c>
      <c r="K769" s="18" t="str">
        <f>IFERROR(__xludf.DUMMYFUNCTION("""COMPUTED_VALUE"""),"Easy tracking")</f>
        <v>Easy tracking</v>
      </c>
      <c r="L769" s="18">
        <f>iferror(VLOOKUP($D769,Details!$A$2:$C$11,2,false),vlookup($D769,Details!$E$2:$G$11,2,false))</f>
        <v>75</v>
      </c>
      <c r="M769" s="18" t="str">
        <f>iferror(VLOOKUP($D769,Details!$A$2:$C$11,3,false),vlookup($D769,Details!$E$2:$G$11,3,false))</f>
        <v>Fruits and Vegetables</v>
      </c>
      <c r="N769" s="18">
        <f t="shared" si="1"/>
        <v>75</v>
      </c>
      <c r="O769" s="17"/>
      <c r="P769" s="17"/>
      <c r="Q769" s="17"/>
      <c r="R769" s="17"/>
      <c r="S769" s="17"/>
      <c r="T769" s="17"/>
      <c r="U769" s="17"/>
      <c r="V769" s="17"/>
      <c r="W769" s="17"/>
      <c r="X769" s="17"/>
      <c r="Y769" s="17"/>
      <c r="Z769" s="17"/>
    </row>
    <row r="770">
      <c r="A770" s="18" t="str">
        <f>IFERROR(__xludf.DUMMYFUNCTION("""COMPUTED_VALUE"""),"ord_10761")</f>
        <v>ord_10761</v>
      </c>
      <c r="B770" s="18" t="str">
        <f>IFERROR(__xludf.DUMMYFUNCTION("""COMPUTED_VALUE"""),"Sanjay Nair")</f>
        <v>Sanjay Nair</v>
      </c>
      <c r="C770" s="18" t="str">
        <f>IFERROR(__xludf.DUMMYFUNCTION("""COMPUTED_VALUE"""),"Dadar")</f>
        <v>Dadar</v>
      </c>
      <c r="D770" s="18" t="str">
        <f>IFERROR(__xludf.DUMMYFUNCTION("""COMPUTED_VALUE"""),"Apple")</f>
        <v>Apple</v>
      </c>
      <c r="E770" s="18">
        <f>IFERROR(__xludf.DUMMYFUNCTION("""COMPUTED_VALUE"""),1.0)</f>
        <v>1</v>
      </c>
      <c r="F770" s="18" t="str">
        <f>IFERROR(__xludf.DUMMYFUNCTION("""COMPUTED_VALUE"""),"Ram Gopal")</f>
        <v>Ram Gopal</v>
      </c>
      <c r="G770" s="19">
        <f>IFERROR(__xludf.DUMMYFUNCTION("""COMPUTED_VALUE"""),45162.0)</f>
        <v>45162</v>
      </c>
      <c r="H770" s="18" t="str">
        <f>IFERROR(__xludf.DUMMYFUNCTION("""COMPUTED_VALUE"""),"COD")</f>
        <v>COD</v>
      </c>
      <c r="I770" s="18" t="str">
        <f>IFERROR(__xludf.DUMMYFUNCTION("""COMPUTED_VALUE"""),"Delivered")</f>
        <v>Delivered</v>
      </c>
      <c r="J770" s="18" t="str">
        <f>IFERROR(__xludf.DUMMYFUNCTION("""COMPUTED_VALUE"""),"Overall Satisfaction")</f>
        <v>Overall Satisfaction</v>
      </c>
      <c r="K770" s="18" t="str">
        <f>IFERROR(__xludf.DUMMYFUNCTION("""COMPUTED_VALUE"""),"Great service will order again")</f>
        <v>Great service will order again</v>
      </c>
      <c r="L770" s="18">
        <f>iferror(VLOOKUP($D770,Details!$A$2:$C$11,2,false),vlookup($D770,Details!$E$2:$G$11,2,false))</f>
        <v>230</v>
      </c>
      <c r="M770" s="18" t="str">
        <f>iferror(VLOOKUP($D770,Details!$A$2:$C$11,3,false),vlookup($D770,Details!$E$2:$G$11,3,false))</f>
        <v>Fruits and Vegetables</v>
      </c>
      <c r="N770" s="18">
        <f t="shared" si="1"/>
        <v>230</v>
      </c>
      <c r="O770" s="17"/>
      <c r="P770" s="17"/>
      <c r="Q770" s="17"/>
      <c r="R770" s="17"/>
      <c r="S770" s="17"/>
      <c r="T770" s="17"/>
      <c r="U770" s="17"/>
      <c r="V770" s="17"/>
      <c r="W770" s="17"/>
      <c r="X770" s="17"/>
      <c r="Y770" s="17"/>
      <c r="Z770" s="17"/>
    </row>
    <row r="771">
      <c r="A771" s="18" t="str">
        <f>IFERROR(__xludf.DUMMYFUNCTION("""COMPUTED_VALUE"""),"ord_10762")</f>
        <v>ord_10762</v>
      </c>
      <c r="B771" s="18" t="str">
        <f>IFERROR(__xludf.DUMMYFUNCTION("""COMPUTED_VALUE"""),"Mehul Thakkar")</f>
        <v>Mehul Thakkar</v>
      </c>
      <c r="C771" s="18" t="str">
        <f>IFERROR(__xludf.DUMMYFUNCTION("""COMPUTED_VALUE"""),"Malad")</f>
        <v>Malad</v>
      </c>
      <c r="D771" s="18" t="str">
        <f>IFERROR(__xludf.DUMMYFUNCTION("""COMPUTED_VALUE"""),"Potato")</f>
        <v>Potato</v>
      </c>
      <c r="E771" s="18">
        <f>IFERROR(__xludf.DUMMYFUNCTION("""COMPUTED_VALUE"""),1.0)</f>
        <v>1</v>
      </c>
      <c r="F771" s="18" t="str">
        <f>IFERROR(__xludf.DUMMYFUNCTION("""COMPUTED_VALUE"""),"Manju Ajay")</f>
        <v>Manju Ajay</v>
      </c>
      <c r="G771" s="19">
        <f>IFERROR(__xludf.DUMMYFUNCTION("""COMPUTED_VALUE"""),45217.0)</f>
        <v>45217</v>
      </c>
      <c r="H771" s="18" t="str">
        <f>IFERROR(__xludf.DUMMYFUNCTION("""COMPUTED_VALUE"""),"UPI")</f>
        <v>UPI</v>
      </c>
      <c r="I771" s="18" t="str">
        <f>IFERROR(__xludf.DUMMYFUNCTION("""COMPUTED_VALUE"""),"Delivered")</f>
        <v>Delivered</v>
      </c>
      <c r="J771" s="18" t="str">
        <f>IFERROR(__xludf.DUMMYFUNCTION("""COMPUTED_VALUE"""),"On-time Delivery")</f>
        <v>On-time Delivery</v>
      </c>
      <c r="K771" s="18" t="str">
        <f>IFERROR(__xludf.DUMMYFUNCTION("""COMPUTED_VALUE"""),"Delivered on time")</f>
        <v>Delivered on time</v>
      </c>
      <c r="L771" s="18">
        <f>iferror(VLOOKUP($D771,Details!$A$2:$C$11,2,false),vlookup($D771,Details!$E$2:$G$11,2,false))</f>
        <v>55</v>
      </c>
      <c r="M771" s="18" t="str">
        <f>iferror(VLOOKUP($D771,Details!$A$2:$C$11,3,false),vlookup($D771,Details!$E$2:$G$11,3,false))</f>
        <v>Fruits and Vegetables</v>
      </c>
      <c r="N771" s="18">
        <f t="shared" si="1"/>
        <v>55</v>
      </c>
      <c r="O771" s="17"/>
      <c r="P771" s="17"/>
      <c r="Q771" s="17"/>
      <c r="R771" s="17"/>
      <c r="S771" s="17"/>
      <c r="T771" s="17"/>
      <c r="U771" s="17"/>
      <c r="V771" s="17"/>
      <c r="W771" s="17"/>
      <c r="X771" s="17"/>
      <c r="Y771" s="17"/>
      <c r="Z771" s="17"/>
    </row>
    <row r="772">
      <c r="A772" s="18" t="str">
        <f>IFERROR(__xludf.DUMMYFUNCTION("""COMPUTED_VALUE"""),"ord_10763")</f>
        <v>ord_10763</v>
      </c>
      <c r="B772" s="18" t="str">
        <f>IFERROR(__xludf.DUMMYFUNCTION("""COMPUTED_VALUE"""),"Pranav Joshi")</f>
        <v>Pranav Joshi</v>
      </c>
      <c r="C772" s="18" t="str">
        <f>IFERROR(__xludf.DUMMYFUNCTION("""COMPUTED_VALUE"""),"Andheri")</f>
        <v>Andheri</v>
      </c>
      <c r="D772" s="18" t="str">
        <f>IFERROR(__xludf.DUMMYFUNCTION("""COMPUTED_VALUE"""),"Potato")</f>
        <v>Potato</v>
      </c>
      <c r="E772" s="18">
        <f>IFERROR(__xludf.DUMMYFUNCTION("""COMPUTED_VALUE"""),2.0)</f>
        <v>2</v>
      </c>
      <c r="F772" s="18" t="str">
        <f>IFERROR(__xludf.DUMMYFUNCTION("""COMPUTED_VALUE"""),"Shine Thomas")</f>
        <v>Shine Thomas</v>
      </c>
      <c r="G772" s="19">
        <f>IFERROR(__xludf.DUMMYFUNCTION("""COMPUTED_VALUE"""),45264.0)</f>
        <v>45264</v>
      </c>
      <c r="H772" s="18" t="str">
        <f>IFERROR(__xludf.DUMMYFUNCTION("""COMPUTED_VALUE"""),"UPI")</f>
        <v>UPI</v>
      </c>
      <c r="I772" s="18" t="str">
        <f>IFERROR(__xludf.DUMMYFUNCTION("""COMPUTED_VALUE"""),"Delivered")</f>
        <v>Delivered</v>
      </c>
      <c r="J772" s="18" t="str">
        <f>IFERROR(__xludf.DUMMYFUNCTION("""COMPUTED_VALUE"""),"Quality of Items")</f>
        <v>Quality of Items</v>
      </c>
      <c r="K772" s="18" t="str">
        <f>IFERROR(__xludf.DUMMYFUNCTION("""COMPUTED_VALUE"""),"Perfect condition")</f>
        <v>Perfect condition</v>
      </c>
      <c r="L772" s="18">
        <f>iferror(VLOOKUP($D772,Details!$A$2:$C$11,2,false),vlookup($D772,Details!$E$2:$G$11,2,false))</f>
        <v>55</v>
      </c>
      <c r="M772" s="18" t="str">
        <f>iferror(VLOOKUP($D772,Details!$A$2:$C$11,3,false),vlookup($D772,Details!$E$2:$G$11,3,false))</f>
        <v>Fruits and Vegetables</v>
      </c>
      <c r="N772" s="18">
        <f t="shared" si="1"/>
        <v>110</v>
      </c>
      <c r="O772" s="17"/>
      <c r="P772" s="17"/>
      <c r="Q772" s="17"/>
      <c r="R772" s="17"/>
      <c r="S772" s="17"/>
      <c r="T772" s="17"/>
      <c r="U772" s="17"/>
      <c r="V772" s="17"/>
      <c r="W772" s="17"/>
      <c r="X772" s="17"/>
      <c r="Y772" s="17"/>
      <c r="Z772" s="17"/>
    </row>
    <row r="773">
      <c r="A773" s="18" t="str">
        <f>IFERROR(__xludf.DUMMYFUNCTION("""COMPUTED_VALUE"""),"ord_10764")</f>
        <v>ord_10764</v>
      </c>
      <c r="B773" s="18" t="str">
        <f>IFERROR(__xludf.DUMMYFUNCTION("""COMPUTED_VALUE"""),"Siya Reddy")</f>
        <v>Siya Reddy</v>
      </c>
      <c r="C773" s="18" t="str">
        <f>IFERROR(__xludf.DUMMYFUNCTION("""COMPUTED_VALUE"""),"Juhu")</f>
        <v>Juhu</v>
      </c>
      <c r="D773" s="18" t="str">
        <f>IFERROR(__xludf.DUMMYFUNCTION("""COMPUTED_VALUE"""),"Icecream")</f>
        <v>Icecream</v>
      </c>
      <c r="E773" s="18">
        <f>IFERROR(__xludf.DUMMYFUNCTION("""COMPUTED_VALUE"""),4.0)</f>
        <v>4</v>
      </c>
      <c r="F773" s="18" t="str">
        <f>IFERROR(__xludf.DUMMYFUNCTION("""COMPUTED_VALUE"""),"Sita T")</f>
        <v>Sita T</v>
      </c>
      <c r="G773" s="19">
        <f>IFERROR(__xludf.DUMMYFUNCTION("""COMPUTED_VALUE"""),45261.0)</f>
        <v>45261</v>
      </c>
      <c r="H773" s="18" t="str">
        <f>IFERROR(__xludf.DUMMYFUNCTION("""COMPUTED_VALUE"""),"COD")</f>
        <v>COD</v>
      </c>
      <c r="I773" s="18" t="str">
        <f>IFERROR(__xludf.DUMMYFUNCTION("""COMPUTED_VALUE"""),"Delivered")</f>
        <v>Delivered</v>
      </c>
      <c r="J773" s="18" t="str">
        <f>IFERROR(__xludf.DUMMYFUNCTION("""COMPUTED_VALUE"""),"On-time Delivery")</f>
        <v>On-time Delivery</v>
      </c>
      <c r="K773" s="18" t="str">
        <f>IFERROR(__xludf.DUMMYFUNCTION("""COMPUTED_VALUE"""),"Delivered on time")</f>
        <v>Delivered on time</v>
      </c>
      <c r="L773" s="18">
        <f>iferror(VLOOKUP($D773,Details!$A$2:$C$11,2,false),vlookup($D773,Details!$E$2:$G$11,2,false))</f>
        <v>90</v>
      </c>
      <c r="M773" s="18" t="str">
        <f>iferror(VLOOKUP($D773,Details!$A$2:$C$11,3,false),vlookup($D773,Details!$E$2:$G$11,3,false))</f>
        <v>Snacks and Drinks</v>
      </c>
      <c r="N773" s="18">
        <f t="shared" si="1"/>
        <v>360</v>
      </c>
      <c r="O773" s="17"/>
      <c r="P773" s="17"/>
      <c r="Q773" s="17"/>
      <c r="R773" s="17"/>
      <c r="S773" s="17"/>
      <c r="T773" s="17"/>
      <c r="U773" s="17"/>
      <c r="V773" s="17"/>
      <c r="W773" s="17"/>
      <c r="X773" s="17"/>
      <c r="Y773" s="17"/>
      <c r="Z773" s="17"/>
    </row>
    <row r="774">
      <c r="A774" s="18" t="str">
        <f>IFERROR(__xludf.DUMMYFUNCTION("""COMPUTED_VALUE"""),"ord_10765")</f>
        <v>ord_10765</v>
      </c>
      <c r="B774" s="18" t="str">
        <f>IFERROR(__xludf.DUMMYFUNCTION("""COMPUTED_VALUE"""),"Aditi Iyer")</f>
        <v>Aditi Iyer</v>
      </c>
      <c r="C774" s="18" t="str">
        <f>IFERROR(__xludf.DUMMYFUNCTION("""COMPUTED_VALUE"""),"Dadar")</f>
        <v>Dadar</v>
      </c>
      <c r="D774" s="18" t="str">
        <f>IFERROR(__xludf.DUMMYFUNCTION("""COMPUTED_VALUE"""),"Cold Coffee")</f>
        <v>Cold Coffee</v>
      </c>
      <c r="E774" s="18">
        <f>IFERROR(__xludf.DUMMYFUNCTION("""COMPUTED_VALUE"""),2.0)</f>
        <v>2</v>
      </c>
      <c r="F774" s="18" t="str">
        <f>IFERROR(__xludf.DUMMYFUNCTION("""COMPUTED_VALUE"""),"Ramesh S")</f>
        <v>Ramesh S</v>
      </c>
      <c r="G774" s="19">
        <f>IFERROR(__xludf.DUMMYFUNCTION("""COMPUTED_VALUE"""),45160.0)</f>
        <v>45160</v>
      </c>
      <c r="H774" s="18" t="str">
        <f>IFERROR(__xludf.DUMMYFUNCTION("""COMPUTED_VALUE"""),"Online Payment")</f>
        <v>Online Payment</v>
      </c>
      <c r="I774" s="18" t="str">
        <f>IFERROR(__xludf.DUMMYFUNCTION("""COMPUTED_VALUE"""),"Delivered")</f>
        <v>Delivered</v>
      </c>
      <c r="J774" s="18" t="str">
        <f>IFERROR(__xludf.DUMMYFUNCTION("""COMPUTED_VALUE"""),"Quality of Items")</f>
        <v>Quality of Items</v>
      </c>
      <c r="K774" s="18" t="str">
        <f>IFERROR(__xludf.DUMMYFUNCTION("""COMPUTED_VALUE"""),"Perfect condition")</f>
        <v>Perfect condition</v>
      </c>
      <c r="L774" s="18">
        <f>iferror(VLOOKUP($D774,Details!$A$2:$C$11,2,false),vlookup($D774,Details!$E$2:$G$11,2,false))</f>
        <v>270</v>
      </c>
      <c r="M774" s="18" t="str">
        <f>iferror(VLOOKUP($D774,Details!$A$2:$C$11,3,false),vlookup($D774,Details!$E$2:$G$11,3,false))</f>
        <v>Snacks and Drinks</v>
      </c>
      <c r="N774" s="18">
        <f t="shared" si="1"/>
        <v>540</v>
      </c>
      <c r="O774" s="17"/>
      <c r="P774" s="17"/>
      <c r="Q774" s="17"/>
      <c r="R774" s="17"/>
      <c r="S774" s="17"/>
      <c r="T774" s="17"/>
      <c r="U774" s="17"/>
      <c r="V774" s="17"/>
      <c r="W774" s="17"/>
      <c r="X774" s="17"/>
      <c r="Y774" s="17"/>
      <c r="Z774" s="17"/>
    </row>
    <row r="775">
      <c r="A775" s="18" t="str">
        <f>IFERROR(__xludf.DUMMYFUNCTION("""COMPUTED_VALUE"""),"ord_10766")</f>
        <v>ord_10766</v>
      </c>
      <c r="B775" s="18" t="str">
        <f>IFERROR(__xludf.DUMMYFUNCTION("""COMPUTED_VALUE"""),"Aarohi Kapoor")</f>
        <v>Aarohi Kapoor</v>
      </c>
      <c r="C775" s="18" t="str">
        <f>IFERROR(__xludf.DUMMYFUNCTION("""COMPUTED_VALUE"""),"Bandra")</f>
        <v>Bandra</v>
      </c>
      <c r="D775" s="18" t="str">
        <f>IFERROR(__xludf.DUMMYFUNCTION("""COMPUTED_VALUE"""),"Cold Coffee")</f>
        <v>Cold Coffee</v>
      </c>
      <c r="E775" s="18">
        <f>IFERROR(__xludf.DUMMYFUNCTION("""COMPUTED_VALUE"""),1.0)</f>
        <v>1</v>
      </c>
      <c r="F775" s="18" t="str">
        <f>IFERROR(__xludf.DUMMYFUNCTION("""COMPUTED_VALUE"""),"Manju Ajay")</f>
        <v>Manju Ajay</v>
      </c>
      <c r="G775" s="19">
        <f>IFERROR(__xludf.DUMMYFUNCTION("""COMPUTED_VALUE"""),45273.0)</f>
        <v>45273</v>
      </c>
      <c r="H775" s="18" t="str">
        <f>IFERROR(__xludf.DUMMYFUNCTION("""COMPUTED_VALUE"""),"Online Payment")</f>
        <v>Online Payment</v>
      </c>
      <c r="I775" s="18" t="str">
        <f>IFERROR(__xludf.DUMMYFUNCTION("""COMPUTED_VALUE"""),"Delivered")</f>
        <v>Delivered</v>
      </c>
      <c r="J775" s="18" t="str">
        <f>IFERROR(__xludf.DUMMYFUNCTION("""COMPUTED_VALUE"""),"Packaging")</f>
        <v>Packaging</v>
      </c>
      <c r="K775" s="18" t="str">
        <f>IFERROR(__xludf.DUMMYFUNCTION("""COMPUTED_VALUE"""),"Secure and intact")</f>
        <v>Secure and intact</v>
      </c>
      <c r="L775" s="18">
        <f>iferror(VLOOKUP($D775,Details!$A$2:$C$11,2,false),vlookup($D775,Details!$E$2:$G$11,2,false))</f>
        <v>270</v>
      </c>
      <c r="M775" s="18" t="str">
        <f>iferror(VLOOKUP($D775,Details!$A$2:$C$11,3,false),vlookup($D775,Details!$E$2:$G$11,3,false))</f>
        <v>Snacks and Drinks</v>
      </c>
      <c r="N775" s="18">
        <f t="shared" si="1"/>
        <v>270</v>
      </c>
      <c r="O775" s="17"/>
      <c r="P775" s="17"/>
      <c r="Q775" s="17"/>
      <c r="R775" s="17"/>
      <c r="S775" s="17"/>
      <c r="T775" s="17"/>
      <c r="U775" s="17"/>
      <c r="V775" s="17"/>
      <c r="W775" s="17"/>
      <c r="X775" s="17"/>
      <c r="Y775" s="17"/>
      <c r="Z775" s="17"/>
    </row>
    <row r="776">
      <c r="A776" s="18" t="str">
        <f>IFERROR(__xludf.DUMMYFUNCTION("""COMPUTED_VALUE"""),"ord_10767")</f>
        <v>ord_10767</v>
      </c>
      <c r="B776" s="18" t="str">
        <f>IFERROR(__xludf.DUMMYFUNCTION("""COMPUTED_VALUE"""),"Omkar Mishra")</f>
        <v>Omkar Mishra</v>
      </c>
      <c r="C776" s="18" t="str">
        <f>IFERROR(__xludf.DUMMYFUNCTION("""COMPUTED_VALUE"""),"Powai")</f>
        <v>Powai</v>
      </c>
      <c r="D776" s="18" t="str">
        <f>IFERROR(__xludf.DUMMYFUNCTION("""COMPUTED_VALUE"""),"Potato")</f>
        <v>Potato</v>
      </c>
      <c r="E776" s="18">
        <f>IFERROR(__xludf.DUMMYFUNCTION("""COMPUTED_VALUE"""),1.0)</f>
        <v>1</v>
      </c>
      <c r="F776" s="18" t="str">
        <f>IFERROR(__xludf.DUMMYFUNCTION("""COMPUTED_VALUE"""),"Vivek Kumar")</f>
        <v>Vivek Kumar</v>
      </c>
      <c r="G776" s="19">
        <f>IFERROR(__xludf.DUMMYFUNCTION("""COMPUTED_VALUE"""),45223.0)</f>
        <v>45223</v>
      </c>
      <c r="H776" s="18" t="str">
        <f>IFERROR(__xludf.DUMMYFUNCTION("""COMPUTED_VALUE"""),"Online Payment")</f>
        <v>Online Payment</v>
      </c>
      <c r="I776" s="18" t="str">
        <f>IFERROR(__xludf.DUMMYFUNCTION("""COMPUTED_VALUE"""),"Delivered")</f>
        <v>Delivered</v>
      </c>
      <c r="J776" s="18" t="str">
        <f>IFERROR(__xludf.DUMMYFUNCTION("""COMPUTED_VALUE"""),"Satisfied with the Delivery")</f>
        <v>Satisfied with the Delivery</v>
      </c>
      <c r="K776" s="18" t="str">
        <f>IFERROR(__xludf.DUMMYFUNCTION("""COMPUTED_VALUE"""),"Timely and quality")</f>
        <v>Timely and quality</v>
      </c>
      <c r="L776" s="18">
        <f>iferror(VLOOKUP($D776,Details!$A$2:$C$11,2,false),vlookup($D776,Details!$E$2:$G$11,2,false))</f>
        <v>55</v>
      </c>
      <c r="M776" s="18" t="str">
        <f>iferror(VLOOKUP($D776,Details!$A$2:$C$11,3,false),vlookup($D776,Details!$E$2:$G$11,3,false))</f>
        <v>Fruits and Vegetables</v>
      </c>
      <c r="N776" s="18">
        <f t="shared" si="1"/>
        <v>55</v>
      </c>
      <c r="O776" s="17"/>
      <c r="P776" s="17"/>
      <c r="Q776" s="17"/>
      <c r="R776" s="17"/>
      <c r="S776" s="17"/>
      <c r="T776" s="17"/>
      <c r="U776" s="17"/>
      <c r="V776" s="17"/>
      <c r="W776" s="17"/>
      <c r="X776" s="17"/>
      <c r="Y776" s="17"/>
      <c r="Z776" s="17"/>
    </row>
    <row r="777">
      <c r="A777" s="18" t="str">
        <f>IFERROR(__xludf.DUMMYFUNCTION("""COMPUTED_VALUE"""),"ord_10768")</f>
        <v>ord_10768</v>
      </c>
      <c r="B777" s="18" t="str">
        <f>IFERROR(__xludf.DUMMYFUNCTION("""COMPUTED_VALUE"""),"Ishaan Chaturvedi")</f>
        <v>Ishaan Chaturvedi</v>
      </c>
      <c r="C777" s="18" t="str">
        <f>IFERROR(__xludf.DUMMYFUNCTION("""COMPUTED_VALUE"""),"Bandra")</f>
        <v>Bandra</v>
      </c>
      <c r="D777" s="18" t="str">
        <f>IFERROR(__xludf.DUMMYFUNCTION("""COMPUTED_VALUE"""),"Juice")</f>
        <v>Juice</v>
      </c>
      <c r="E777" s="18">
        <f>IFERROR(__xludf.DUMMYFUNCTION("""COMPUTED_VALUE"""),5.0)</f>
        <v>5</v>
      </c>
      <c r="F777" s="18" t="str">
        <f>IFERROR(__xludf.DUMMYFUNCTION("""COMPUTED_VALUE"""),"Venu R")</f>
        <v>Venu R</v>
      </c>
      <c r="G777" s="19">
        <f>IFERROR(__xludf.DUMMYFUNCTION("""COMPUTED_VALUE"""),45178.0)</f>
        <v>45178</v>
      </c>
      <c r="H777" s="18" t="str">
        <f>IFERROR(__xludf.DUMMYFUNCTION("""COMPUTED_VALUE"""),"UPI")</f>
        <v>UPI</v>
      </c>
      <c r="I777" s="18" t="str">
        <f>IFERROR(__xludf.DUMMYFUNCTION("""COMPUTED_VALUE"""),"Delivered")</f>
        <v>Delivered</v>
      </c>
      <c r="J777" s="18" t="str">
        <f>IFERROR(__xludf.DUMMYFUNCTION("""COMPUTED_VALUE"""),"Customer Service")</f>
        <v>Customer Service</v>
      </c>
      <c r="K777" s="18" t="str">
        <f>IFERROR(__xludf.DUMMYFUNCTION("""COMPUTED_VALUE"""),"Seamless and easy")</f>
        <v>Seamless and easy</v>
      </c>
      <c r="L777" s="18">
        <f>iferror(VLOOKUP($D777,Details!$A$2:$C$11,2,false),vlookup($D777,Details!$E$2:$G$11,2,false))</f>
        <v>90</v>
      </c>
      <c r="M777" s="18" t="str">
        <f>iferror(VLOOKUP($D777,Details!$A$2:$C$11,3,false),vlookup($D777,Details!$E$2:$G$11,3,false))</f>
        <v>Snacks and Drinks</v>
      </c>
      <c r="N777" s="18">
        <f t="shared" si="1"/>
        <v>450</v>
      </c>
      <c r="O777" s="17"/>
      <c r="P777" s="17"/>
      <c r="Q777" s="17"/>
      <c r="R777" s="17"/>
      <c r="S777" s="17"/>
      <c r="T777" s="17"/>
      <c r="U777" s="17"/>
      <c r="V777" s="17"/>
      <c r="W777" s="17"/>
      <c r="X777" s="17"/>
      <c r="Y777" s="17"/>
      <c r="Z777" s="17"/>
    </row>
    <row r="778">
      <c r="A778" s="18" t="str">
        <f>IFERROR(__xludf.DUMMYFUNCTION("""COMPUTED_VALUE"""),"ord_10769")</f>
        <v>ord_10769</v>
      </c>
      <c r="B778" s="18" t="str">
        <f>IFERROR(__xludf.DUMMYFUNCTION("""COMPUTED_VALUE"""),"Siya Reddy")</f>
        <v>Siya Reddy</v>
      </c>
      <c r="C778" s="18" t="str">
        <f>IFERROR(__xludf.DUMMYFUNCTION("""COMPUTED_VALUE"""),"Juhu")</f>
        <v>Juhu</v>
      </c>
      <c r="D778" s="18" t="str">
        <f>IFERROR(__xludf.DUMMYFUNCTION("""COMPUTED_VALUE"""),"Veg Puff")</f>
        <v>Veg Puff</v>
      </c>
      <c r="E778" s="18">
        <f>IFERROR(__xludf.DUMMYFUNCTION("""COMPUTED_VALUE"""),3.0)</f>
        <v>3</v>
      </c>
      <c r="F778" s="18" t="str">
        <f>IFERROR(__xludf.DUMMYFUNCTION("""COMPUTED_VALUE"""),"Vivek Kumar")</f>
        <v>Vivek Kumar</v>
      </c>
      <c r="G778" s="19">
        <f>IFERROR(__xludf.DUMMYFUNCTION("""COMPUTED_VALUE"""),45204.0)</f>
        <v>45204</v>
      </c>
      <c r="H778" s="18" t="str">
        <f>IFERROR(__xludf.DUMMYFUNCTION("""COMPUTED_VALUE"""),"UPI")</f>
        <v>UPI</v>
      </c>
      <c r="I778" s="18" t="str">
        <f>IFERROR(__xludf.DUMMYFUNCTION("""COMPUTED_VALUE"""),"Delivered")</f>
        <v>Delivered</v>
      </c>
      <c r="J778" s="18" t="str">
        <f>IFERROR(__xludf.DUMMYFUNCTION("""COMPUTED_VALUE"""),"Delivery Experience")</f>
        <v>Delivery Experience</v>
      </c>
      <c r="K778" s="18" t="str">
        <f>IFERROR(__xludf.DUMMYFUNCTION("""COMPUTED_VALUE"""),"Quick and professional")</f>
        <v>Quick and professional</v>
      </c>
      <c r="L778" s="18">
        <f>iferror(VLOOKUP($D778,Details!$A$2:$C$11,2,false),vlookup($D778,Details!$E$2:$G$11,2,false))</f>
        <v>80</v>
      </c>
      <c r="M778" s="18" t="str">
        <f>iferror(VLOOKUP($D778,Details!$A$2:$C$11,3,false),vlookup($D778,Details!$E$2:$G$11,3,false))</f>
        <v>Snacks and Drinks</v>
      </c>
      <c r="N778" s="18">
        <f t="shared" si="1"/>
        <v>240</v>
      </c>
      <c r="O778" s="17"/>
      <c r="P778" s="17"/>
      <c r="Q778" s="17"/>
      <c r="R778" s="17"/>
      <c r="S778" s="17"/>
      <c r="T778" s="17"/>
      <c r="U778" s="17"/>
      <c r="V778" s="17"/>
      <c r="W778" s="17"/>
      <c r="X778" s="17"/>
      <c r="Y778" s="17"/>
      <c r="Z778" s="17"/>
    </row>
    <row r="779">
      <c r="A779" s="18" t="str">
        <f>IFERROR(__xludf.DUMMYFUNCTION("""COMPUTED_VALUE"""),"ord_10770")</f>
        <v>ord_10770</v>
      </c>
      <c r="B779" s="18" t="str">
        <f>IFERROR(__xludf.DUMMYFUNCTION("""COMPUTED_VALUE"""),"Sana Malik")</f>
        <v>Sana Malik</v>
      </c>
      <c r="C779" s="18" t="str">
        <f>IFERROR(__xludf.DUMMYFUNCTION("""COMPUTED_VALUE"""),"Powai")</f>
        <v>Powai</v>
      </c>
      <c r="D779" s="18" t="str">
        <f>IFERROR(__xludf.DUMMYFUNCTION("""COMPUTED_VALUE"""),"Veg Puff")</f>
        <v>Veg Puff</v>
      </c>
      <c r="E779" s="18">
        <f>IFERROR(__xludf.DUMMYFUNCTION("""COMPUTED_VALUE"""),8.0)</f>
        <v>8</v>
      </c>
      <c r="F779" s="18" t="str">
        <f>IFERROR(__xludf.DUMMYFUNCTION("""COMPUTED_VALUE"""),"Ramesh S")</f>
        <v>Ramesh S</v>
      </c>
      <c r="G779" s="19">
        <f>IFERROR(__xludf.DUMMYFUNCTION("""COMPUTED_VALUE"""),45158.0)</f>
        <v>45158</v>
      </c>
      <c r="H779" s="18" t="str">
        <f>IFERROR(__xludf.DUMMYFUNCTION("""COMPUTED_VALUE"""),"Credit Card")</f>
        <v>Credit Card</v>
      </c>
      <c r="I779" s="18" t="str">
        <f>IFERROR(__xludf.DUMMYFUNCTION("""COMPUTED_VALUE"""),"Delivered")</f>
        <v>Delivered</v>
      </c>
      <c r="J779" s="18" t="str">
        <f>IFERROR(__xludf.DUMMYFUNCTION("""COMPUTED_VALUE"""),"Convenience")</f>
        <v>Convenience</v>
      </c>
      <c r="K779" s="18" t="str">
        <f>IFERROR(__xludf.DUMMYFUNCTION("""COMPUTED_VALUE"""),"Easy tracking")</f>
        <v>Easy tracking</v>
      </c>
      <c r="L779" s="18">
        <f>iferror(VLOOKUP($D779,Details!$A$2:$C$11,2,false),vlookup($D779,Details!$E$2:$G$11,2,false))</f>
        <v>80</v>
      </c>
      <c r="M779" s="18" t="str">
        <f>iferror(VLOOKUP($D779,Details!$A$2:$C$11,3,false),vlookup($D779,Details!$E$2:$G$11,3,false))</f>
        <v>Snacks and Drinks</v>
      </c>
      <c r="N779" s="18">
        <f t="shared" si="1"/>
        <v>640</v>
      </c>
      <c r="O779" s="17"/>
      <c r="P779" s="17"/>
      <c r="Q779" s="17"/>
      <c r="R779" s="17"/>
      <c r="S779" s="17"/>
      <c r="T779" s="17"/>
      <c r="U779" s="17"/>
      <c r="V779" s="17"/>
      <c r="W779" s="17"/>
      <c r="X779" s="17"/>
      <c r="Y779" s="17"/>
      <c r="Z779" s="17"/>
    </row>
    <row r="780">
      <c r="A780" s="18" t="str">
        <f>IFERROR(__xludf.DUMMYFUNCTION("""COMPUTED_VALUE"""),"ord_10771")</f>
        <v>ord_10771</v>
      </c>
      <c r="B780" s="18" t="str">
        <f>IFERROR(__xludf.DUMMYFUNCTION("""COMPUTED_VALUE"""),"Yash Verma")</f>
        <v>Yash Verma</v>
      </c>
      <c r="C780" s="18" t="str">
        <f>IFERROR(__xludf.DUMMYFUNCTION("""COMPUTED_VALUE"""),"Lower Parel")</f>
        <v>Lower Parel</v>
      </c>
      <c r="D780" s="18" t="str">
        <f>IFERROR(__xludf.DUMMYFUNCTION("""COMPUTED_VALUE"""),"Orange")</f>
        <v>Orange</v>
      </c>
      <c r="E780" s="18">
        <f>IFERROR(__xludf.DUMMYFUNCTION("""COMPUTED_VALUE"""),2.0)</f>
        <v>2</v>
      </c>
      <c r="F780" s="18" t="str">
        <f>IFERROR(__xludf.DUMMYFUNCTION("""COMPUTED_VALUE"""),"Venu R")</f>
        <v>Venu R</v>
      </c>
      <c r="G780" s="19">
        <f>IFERROR(__xludf.DUMMYFUNCTION("""COMPUTED_VALUE"""),45140.0)</f>
        <v>45140</v>
      </c>
      <c r="H780" s="18" t="str">
        <f>IFERROR(__xludf.DUMMYFUNCTION("""COMPUTED_VALUE"""),"COD")</f>
        <v>COD</v>
      </c>
      <c r="I780" s="18" t="str">
        <f>IFERROR(__xludf.DUMMYFUNCTION("""COMPUTED_VALUE"""),"Delivered")</f>
        <v>Delivered</v>
      </c>
      <c r="J780" s="18" t="str">
        <f>IFERROR(__xludf.DUMMYFUNCTION("""COMPUTED_VALUE"""),"Overall Satisfaction")</f>
        <v>Overall Satisfaction</v>
      </c>
      <c r="K780" s="18" t="str">
        <f>IFERROR(__xludf.DUMMYFUNCTION("""COMPUTED_VALUE"""),"Great service will order again")</f>
        <v>Great service will order again</v>
      </c>
      <c r="L780" s="18">
        <f>iferror(VLOOKUP($D780,Details!$A$2:$C$11,2,false),vlookup($D780,Details!$E$2:$G$11,2,false))</f>
        <v>180</v>
      </c>
      <c r="M780" s="18" t="str">
        <f>iferror(VLOOKUP($D780,Details!$A$2:$C$11,3,false),vlookup($D780,Details!$E$2:$G$11,3,false))</f>
        <v>Fruits and Vegetables</v>
      </c>
      <c r="N780" s="18">
        <f t="shared" si="1"/>
        <v>360</v>
      </c>
      <c r="O780" s="17"/>
      <c r="P780" s="17"/>
      <c r="Q780" s="17"/>
      <c r="R780" s="17"/>
      <c r="S780" s="17"/>
      <c r="T780" s="17"/>
      <c r="U780" s="17"/>
      <c r="V780" s="17"/>
      <c r="W780" s="17"/>
      <c r="X780" s="17"/>
      <c r="Y780" s="17"/>
      <c r="Z780" s="17"/>
    </row>
    <row r="781">
      <c r="A781" s="18" t="str">
        <f>IFERROR(__xludf.DUMMYFUNCTION("""COMPUTED_VALUE"""),"ord_10772")</f>
        <v>ord_10772</v>
      </c>
      <c r="B781" s="18" t="str">
        <f>IFERROR(__xludf.DUMMYFUNCTION("""COMPUTED_VALUE"""),"Dev Chauhan")</f>
        <v>Dev Chauhan</v>
      </c>
      <c r="C781" s="18" t="str">
        <f>IFERROR(__xludf.DUMMYFUNCTION("""COMPUTED_VALUE"""),"Bandra")</f>
        <v>Bandra</v>
      </c>
      <c r="D781" s="18" t="str">
        <f>IFERROR(__xludf.DUMMYFUNCTION("""COMPUTED_VALUE"""),"Potato")</f>
        <v>Potato</v>
      </c>
      <c r="E781" s="18">
        <f>IFERROR(__xludf.DUMMYFUNCTION("""COMPUTED_VALUE"""),2.0)</f>
        <v>2</v>
      </c>
      <c r="F781" s="18" t="str">
        <f>IFERROR(__xludf.DUMMYFUNCTION("""COMPUTED_VALUE"""),"Ram Gopal")</f>
        <v>Ram Gopal</v>
      </c>
      <c r="G781" s="19">
        <f>IFERROR(__xludf.DUMMYFUNCTION("""COMPUTED_VALUE"""),45140.0)</f>
        <v>45140</v>
      </c>
      <c r="H781" s="18" t="str">
        <f>IFERROR(__xludf.DUMMYFUNCTION("""COMPUTED_VALUE"""),"COD")</f>
        <v>COD</v>
      </c>
      <c r="I781" s="18" t="str">
        <f>IFERROR(__xludf.DUMMYFUNCTION("""COMPUTED_VALUE"""),"Delivered")</f>
        <v>Delivered</v>
      </c>
      <c r="J781" s="18" t="str">
        <f>IFERROR(__xludf.DUMMYFUNCTION("""COMPUTED_VALUE"""),"On-time Delivery")</f>
        <v>On-time Delivery</v>
      </c>
      <c r="K781" s="18" t="str">
        <f>IFERROR(__xludf.DUMMYFUNCTION("""COMPUTED_VALUE"""),"Delivered on time")</f>
        <v>Delivered on time</v>
      </c>
      <c r="L781" s="18">
        <f>iferror(VLOOKUP($D781,Details!$A$2:$C$11,2,false),vlookup($D781,Details!$E$2:$G$11,2,false))</f>
        <v>55</v>
      </c>
      <c r="M781" s="18" t="str">
        <f>iferror(VLOOKUP($D781,Details!$A$2:$C$11,3,false),vlookup($D781,Details!$E$2:$G$11,3,false))</f>
        <v>Fruits and Vegetables</v>
      </c>
      <c r="N781" s="18">
        <f t="shared" si="1"/>
        <v>110</v>
      </c>
      <c r="O781" s="17"/>
      <c r="P781" s="17"/>
      <c r="Q781" s="17"/>
      <c r="R781" s="17"/>
      <c r="S781" s="17"/>
      <c r="T781" s="17"/>
      <c r="U781" s="17"/>
      <c r="V781" s="17"/>
      <c r="W781" s="17"/>
      <c r="X781" s="17"/>
      <c r="Y781" s="17"/>
      <c r="Z781" s="17"/>
    </row>
    <row r="782">
      <c r="A782" s="18" t="str">
        <f>IFERROR(__xludf.DUMMYFUNCTION("""COMPUTED_VALUE"""),"ord_10773")</f>
        <v>ord_10773</v>
      </c>
      <c r="B782" s="18" t="str">
        <f>IFERROR(__xludf.DUMMYFUNCTION("""COMPUTED_VALUE"""),"Aarav Mehta")</f>
        <v>Aarav Mehta</v>
      </c>
      <c r="C782" s="18" t="str">
        <f>IFERROR(__xludf.DUMMYFUNCTION("""COMPUTED_VALUE"""),"Andheri")</f>
        <v>Andheri</v>
      </c>
      <c r="D782" s="18" t="str">
        <f>IFERROR(__xludf.DUMMYFUNCTION("""COMPUTED_VALUE"""),"Onion")</f>
        <v>Onion</v>
      </c>
      <c r="E782" s="18">
        <f>IFERROR(__xludf.DUMMYFUNCTION("""COMPUTED_VALUE"""),2.0)</f>
        <v>2</v>
      </c>
      <c r="F782" s="18" t="str">
        <f>IFERROR(__xludf.DUMMYFUNCTION("""COMPUTED_VALUE"""),"Vivek Kumar")</f>
        <v>Vivek Kumar</v>
      </c>
      <c r="G782" s="19">
        <f>IFERROR(__xludf.DUMMYFUNCTION("""COMPUTED_VALUE"""),45201.0)</f>
        <v>45201</v>
      </c>
      <c r="H782" s="18" t="str">
        <f>IFERROR(__xludf.DUMMYFUNCTION("""COMPUTED_VALUE"""),"UPI")</f>
        <v>UPI</v>
      </c>
      <c r="I782" s="18" t="str">
        <f>IFERROR(__xludf.DUMMYFUNCTION("""COMPUTED_VALUE"""),"Delivered")</f>
        <v>Delivered</v>
      </c>
      <c r="J782" s="18" t="str">
        <f>IFERROR(__xludf.DUMMYFUNCTION("""COMPUTED_VALUE"""),"Quality of Items")</f>
        <v>Quality of Items</v>
      </c>
      <c r="K782" s="18" t="str">
        <f>IFERROR(__xludf.DUMMYFUNCTION("""COMPUTED_VALUE"""),"Perfect condition")</f>
        <v>Perfect condition</v>
      </c>
      <c r="L782" s="18">
        <f>iferror(VLOOKUP($D782,Details!$A$2:$C$11,2,false),vlookup($D782,Details!$E$2:$G$11,2,false))</f>
        <v>84</v>
      </c>
      <c r="M782" s="18" t="str">
        <f>iferror(VLOOKUP($D782,Details!$A$2:$C$11,3,false),vlookup($D782,Details!$E$2:$G$11,3,false))</f>
        <v>Fruits and Vegetables</v>
      </c>
      <c r="N782" s="18">
        <f t="shared" si="1"/>
        <v>168</v>
      </c>
      <c r="O782" s="17"/>
      <c r="P782" s="17"/>
      <c r="Q782" s="17"/>
      <c r="R782" s="17"/>
      <c r="S782" s="17"/>
      <c r="T782" s="17"/>
      <c r="U782" s="17"/>
      <c r="V782" s="17"/>
      <c r="W782" s="17"/>
      <c r="X782" s="17"/>
      <c r="Y782" s="17"/>
      <c r="Z782" s="17"/>
    </row>
    <row r="783">
      <c r="A783" s="18" t="str">
        <f>IFERROR(__xludf.DUMMYFUNCTION("""COMPUTED_VALUE"""),"ord_10774")</f>
        <v>ord_10774</v>
      </c>
      <c r="B783" s="18" t="str">
        <f>IFERROR(__xludf.DUMMYFUNCTION("""COMPUTED_VALUE"""),"Sakshi Tandon")</f>
        <v>Sakshi Tandon</v>
      </c>
      <c r="C783" s="18" t="str">
        <f>IFERROR(__xludf.DUMMYFUNCTION("""COMPUTED_VALUE"""),"Colaba")</f>
        <v>Colaba</v>
      </c>
      <c r="D783" s="18" t="str">
        <f>IFERROR(__xludf.DUMMYFUNCTION("""COMPUTED_VALUE"""),"Icecream")</f>
        <v>Icecream</v>
      </c>
      <c r="E783" s="18">
        <f>IFERROR(__xludf.DUMMYFUNCTION("""COMPUTED_VALUE"""),4.0)</f>
        <v>4</v>
      </c>
      <c r="F783" s="18" t="str">
        <f>IFERROR(__xludf.DUMMYFUNCTION("""COMPUTED_VALUE"""),"Sita T")</f>
        <v>Sita T</v>
      </c>
      <c r="G783" s="19">
        <f>IFERROR(__xludf.DUMMYFUNCTION("""COMPUTED_VALUE"""),45213.0)</f>
        <v>45213</v>
      </c>
      <c r="H783" s="18" t="str">
        <f>IFERROR(__xludf.DUMMYFUNCTION("""COMPUTED_VALUE"""),"UPI")</f>
        <v>UPI</v>
      </c>
      <c r="I783" s="18" t="str">
        <f>IFERROR(__xludf.DUMMYFUNCTION("""COMPUTED_VALUE"""),"Delivered")</f>
        <v>Delivered</v>
      </c>
      <c r="J783" s="18" t="str">
        <f>IFERROR(__xludf.DUMMYFUNCTION("""COMPUTED_VALUE"""),"On-time Delivery")</f>
        <v>On-time Delivery</v>
      </c>
      <c r="K783" s="18" t="str">
        <f>IFERROR(__xludf.DUMMYFUNCTION("""COMPUTED_VALUE"""),"Delivered on time")</f>
        <v>Delivered on time</v>
      </c>
      <c r="L783" s="18">
        <f>iferror(VLOOKUP($D783,Details!$A$2:$C$11,2,false),vlookup($D783,Details!$E$2:$G$11,2,false))</f>
        <v>90</v>
      </c>
      <c r="M783" s="18" t="str">
        <f>iferror(VLOOKUP($D783,Details!$A$2:$C$11,3,false),vlookup($D783,Details!$E$2:$G$11,3,false))</f>
        <v>Snacks and Drinks</v>
      </c>
      <c r="N783" s="18">
        <f t="shared" si="1"/>
        <v>360</v>
      </c>
      <c r="O783" s="17"/>
      <c r="P783" s="17"/>
      <c r="Q783" s="17"/>
      <c r="R783" s="17"/>
      <c r="S783" s="17"/>
      <c r="T783" s="17"/>
      <c r="U783" s="17"/>
      <c r="V783" s="17"/>
      <c r="W783" s="17"/>
      <c r="X783" s="17"/>
      <c r="Y783" s="17"/>
      <c r="Z783" s="17"/>
    </row>
    <row r="784">
      <c r="A784" s="18" t="str">
        <f>IFERROR(__xludf.DUMMYFUNCTION("""COMPUTED_VALUE"""),"ord_10775")</f>
        <v>ord_10775</v>
      </c>
      <c r="B784" s="18" t="str">
        <f>IFERROR(__xludf.DUMMYFUNCTION("""COMPUTED_VALUE"""),"Sakshi Tandon")</f>
        <v>Sakshi Tandon</v>
      </c>
      <c r="C784" s="18" t="str">
        <f>IFERROR(__xludf.DUMMYFUNCTION("""COMPUTED_VALUE"""),"Colaba")</f>
        <v>Colaba</v>
      </c>
      <c r="D784" s="18" t="str">
        <f>IFERROR(__xludf.DUMMYFUNCTION("""COMPUTED_VALUE"""),"Guava")</f>
        <v>Guava</v>
      </c>
      <c r="E784" s="18">
        <f>IFERROR(__xludf.DUMMYFUNCTION("""COMPUTED_VALUE"""),2.0)</f>
        <v>2</v>
      </c>
      <c r="F784" s="18" t="str">
        <f>IFERROR(__xludf.DUMMYFUNCTION("""COMPUTED_VALUE"""),"Nithin Lal")</f>
        <v>Nithin Lal</v>
      </c>
      <c r="G784" s="19">
        <f>IFERROR(__xludf.DUMMYFUNCTION("""COMPUTED_VALUE"""),45174.0)</f>
        <v>45174</v>
      </c>
      <c r="H784" s="18" t="str">
        <f>IFERROR(__xludf.DUMMYFUNCTION("""COMPUTED_VALUE"""),"Credit Card")</f>
        <v>Credit Card</v>
      </c>
      <c r="I784" s="18" t="str">
        <f>IFERROR(__xludf.DUMMYFUNCTION("""COMPUTED_VALUE"""),"Delivered")</f>
        <v>Delivered</v>
      </c>
      <c r="J784" s="18" t="str">
        <f>IFERROR(__xludf.DUMMYFUNCTION("""COMPUTED_VALUE"""),"Quality of Items")</f>
        <v>Quality of Items</v>
      </c>
      <c r="K784" s="18" t="str">
        <f>IFERROR(__xludf.DUMMYFUNCTION("""COMPUTED_VALUE"""),"Perfect condition")</f>
        <v>Perfect condition</v>
      </c>
      <c r="L784" s="18">
        <f>iferror(VLOOKUP($D784,Details!$A$2:$C$11,2,false),vlookup($D784,Details!$E$2:$G$11,2,false))</f>
        <v>70</v>
      </c>
      <c r="M784" s="18" t="str">
        <f>iferror(VLOOKUP($D784,Details!$A$2:$C$11,3,false),vlookup($D784,Details!$E$2:$G$11,3,false))</f>
        <v>Fruits and Vegetables</v>
      </c>
      <c r="N784" s="18">
        <f t="shared" si="1"/>
        <v>140</v>
      </c>
      <c r="O784" s="17"/>
      <c r="P784" s="17"/>
      <c r="Q784" s="17"/>
      <c r="R784" s="17"/>
      <c r="S784" s="17"/>
      <c r="T784" s="17"/>
      <c r="U784" s="17"/>
      <c r="V784" s="17"/>
      <c r="W784" s="17"/>
      <c r="X784" s="17"/>
      <c r="Y784" s="17"/>
      <c r="Z784" s="17"/>
    </row>
    <row r="785">
      <c r="A785" s="18" t="str">
        <f>IFERROR(__xludf.DUMMYFUNCTION("""COMPUTED_VALUE"""),"ord_10776")</f>
        <v>ord_10776</v>
      </c>
      <c r="B785" s="18" t="str">
        <f>IFERROR(__xludf.DUMMYFUNCTION("""COMPUTED_VALUE"""),"Ishaan Chaturvedi")</f>
        <v>Ishaan Chaturvedi</v>
      </c>
      <c r="C785" s="18" t="str">
        <f>IFERROR(__xludf.DUMMYFUNCTION("""COMPUTED_VALUE"""),"Bandra")</f>
        <v>Bandra</v>
      </c>
      <c r="D785" s="18" t="str">
        <f>IFERROR(__xludf.DUMMYFUNCTION("""COMPUTED_VALUE"""),"Guava")</f>
        <v>Guava</v>
      </c>
      <c r="E785" s="18">
        <f>IFERROR(__xludf.DUMMYFUNCTION("""COMPUTED_VALUE"""),1.0)</f>
        <v>1</v>
      </c>
      <c r="F785" s="18" t="str">
        <f>IFERROR(__xludf.DUMMYFUNCTION("""COMPUTED_VALUE"""),"Nithin Lal")</f>
        <v>Nithin Lal</v>
      </c>
      <c r="G785" s="19">
        <f>IFERROR(__xludf.DUMMYFUNCTION("""COMPUTED_VALUE"""),45095.0)</f>
        <v>45095</v>
      </c>
      <c r="H785" s="18" t="str">
        <f>IFERROR(__xludf.DUMMYFUNCTION("""COMPUTED_VALUE"""),"Credit Card")</f>
        <v>Credit Card</v>
      </c>
      <c r="I785" s="18" t="str">
        <f>IFERROR(__xludf.DUMMYFUNCTION("""COMPUTED_VALUE"""),"Delivered")</f>
        <v>Delivered</v>
      </c>
      <c r="J785" s="18" t="str">
        <f>IFERROR(__xludf.DUMMYFUNCTION("""COMPUTED_VALUE"""),"Packaging")</f>
        <v>Packaging</v>
      </c>
      <c r="K785" s="18" t="str">
        <f>IFERROR(__xludf.DUMMYFUNCTION("""COMPUTED_VALUE"""),"Secure and intact")</f>
        <v>Secure and intact</v>
      </c>
      <c r="L785" s="18">
        <f>iferror(VLOOKUP($D785,Details!$A$2:$C$11,2,false),vlookup($D785,Details!$E$2:$G$11,2,false))</f>
        <v>70</v>
      </c>
      <c r="M785" s="18" t="str">
        <f>iferror(VLOOKUP($D785,Details!$A$2:$C$11,3,false),vlookup($D785,Details!$E$2:$G$11,3,false))</f>
        <v>Fruits and Vegetables</v>
      </c>
      <c r="N785" s="18">
        <f t="shared" si="1"/>
        <v>70</v>
      </c>
      <c r="O785" s="17"/>
      <c r="P785" s="17"/>
      <c r="Q785" s="17"/>
      <c r="R785" s="17"/>
      <c r="S785" s="17"/>
      <c r="T785" s="17"/>
      <c r="U785" s="17"/>
      <c r="V785" s="17"/>
      <c r="W785" s="17"/>
      <c r="X785" s="17"/>
      <c r="Y785" s="17"/>
      <c r="Z785" s="17"/>
    </row>
    <row r="786">
      <c r="A786" s="18" t="str">
        <f>IFERROR(__xludf.DUMMYFUNCTION("""COMPUTED_VALUE"""),"ord_10777")</f>
        <v>ord_10777</v>
      </c>
      <c r="B786" s="18" t="str">
        <f>IFERROR(__xludf.DUMMYFUNCTION("""COMPUTED_VALUE"""),"Kritika Shetty")</f>
        <v>Kritika Shetty</v>
      </c>
      <c r="C786" s="18" t="str">
        <f>IFERROR(__xludf.DUMMYFUNCTION("""COMPUTED_VALUE"""),"Malad")</f>
        <v>Malad</v>
      </c>
      <c r="D786" s="18" t="str">
        <f>IFERROR(__xludf.DUMMYFUNCTION("""COMPUTED_VALUE"""),"Guava")</f>
        <v>Guava</v>
      </c>
      <c r="E786" s="18">
        <f>IFERROR(__xludf.DUMMYFUNCTION("""COMPUTED_VALUE"""),1.0)</f>
        <v>1</v>
      </c>
      <c r="F786" s="18" t="str">
        <f>IFERROR(__xludf.DUMMYFUNCTION("""COMPUTED_VALUE"""),"Not Assigned")</f>
        <v>Not Assigned</v>
      </c>
      <c r="G786" s="19">
        <f>IFERROR(__xludf.DUMMYFUNCTION("""COMPUTED_VALUE"""),45121.0)</f>
        <v>45121</v>
      </c>
      <c r="H786" s="18" t="str">
        <f>IFERROR(__xludf.DUMMYFUNCTION("""COMPUTED_VALUE"""),"Credit Card")</f>
        <v>Credit Card</v>
      </c>
      <c r="I786" s="18" t="str">
        <f>IFERROR(__xludf.DUMMYFUNCTION("""COMPUTED_VALUE"""),"Cancelled")</f>
        <v>Cancelled</v>
      </c>
      <c r="J786" s="18" t="str">
        <f>IFERROR(__xludf.DUMMYFUNCTION("""COMPUTED_VALUE"""),"App Glitches")</f>
        <v>App Glitches</v>
      </c>
      <c r="K786" s="18" t="str">
        <f>IFERROR(__xludf.DUMMYFUNCTION("""COMPUTED_VALUE"""),"Error Messages")</f>
        <v>Error Messages</v>
      </c>
      <c r="L786" s="18">
        <f>iferror(VLOOKUP($D786,Details!$A$2:$C$11,2,false),vlookup($D786,Details!$E$2:$G$11,2,false))</f>
        <v>70</v>
      </c>
      <c r="M786" s="18" t="str">
        <f>iferror(VLOOKUP($D786,Details!$A$2:$C$11,3,false),vlookup($D786,Details!$E$2:$G$11,3,false))</f>
        <v>Fruits and Vegetables</v>
      </c>
      <c r="N786" s="18">
        <f t="shared" si="1"/>
        <v>70</v>
      </c>
      <c r="O786" s="17"/>
      <c r="P786" s="17"/>
      <c r="Q786" s="17"/>
      <c r="R786" s="17"/>
      <c r="S786" s="17"/>
      <c r="T786" s="17"/>
      <c r="U786" s="17"/>
      <c r="V786" s="17"/>
      <c r="W786" s="17"/>
      <c r="X786" s="17"/>
      <c r="Y786" s="17"/>
      <c r="Z786" s="17"/>
    </row>
    <row r="787">
      <c r="A787" s="18" t="str">
        <f>IFERROR(__xludf.DUMMYFUNCTION("""COMPUTED_VALUE"""),"ord_10778")</f>
        <v>ord_10778</v>
      </c>
      <c r="B787" s="18" t="str">
        <f>IFERROR(__xludf.DUMMYFUNCTION("""COMPUTED_VALUE"""),"Anaya Rao")</f>
        <v>Anaya Rao</v>
      </c>
      <c r="C787" s="18" t="str">
        <f>IFERROR(__xludf.DUMMYFUNCTION("""COMPUTED_VALUE"""),"Colaba")</f>
        <v>Colaba</v>
      </c>
      <c r="D787" s="18" t="str">
        <f>IFERROR(__xludf.DUMMYFUNCTION("""COMPUTED_VALUE"""),"Tiramisu")</f>
        <v>Tiramisu</v>
      </c>
      <c r="E787" s="18">
        <f>IFERROR(__xludf.DUMMYFUNCTION("""COMPUTED_VALUE"""),5.0)</f>
        <v>5</v>
      </c>
      <c r="F787" s="18" t="str">
        <f>IFERROR(__xludf.DUMMYFUNCTION("""COMPUTED_VALUE"""),"Shine Thomas")</f>
        <v>Shine Thomas</v>
      </c>
      <c r="G787" s="19">
        <f>IFERROR(__xludf.DUMMYFUNCTION("""COMPUTED_VALUE"""),45084.0)</f>
        <v>45084</v>
      </c>
      <c r="H787" s="18" t="str">
        <f>IFERROR(__xludf.DUMMYFUNCTION("""COMPUTED_VALUE"""),"COD")</f>
        <v>COD</v>
      </c>
      <c r="I787" s="18" t="str">
        <f>IFERROR(__xludf.DUMMYFUNCTION("""COMPUTED_VALUE"""),"Delivered")</f>
        <v>Delivered</v>
      </c>
      <c r="J787" s="18" t="str">
        <f>IFERROR(__xludf.DUMMYFUNCTION("""COMPUTED_VALUE"""),"Satisfied with the Delivery")</f>
        <v>Satisfied with the Delivery</v>
      </c>
      <c r="K787" s="18" t="str">
        <f>IFERROR(__xludf.DUMMYFUNCTION("""COMPUTED_VALUE"""),"Timely and quality")</f>
        <v>Timely and quality</v>
      </c>
      <c r="L787" s="18">
        <f>iferror(VLOOKUP($D787,Details!$A$2:$C$11,2,false),vlookup($D787,Details!$E$2:$G$11,2,false))</f>
        <v>150</v>
      </c>
      <c r="M787" s="18" t="str">
        <f>iferror(VLOOKUP($D787,Details!$A$2:$C$11,3,false),vlookup($D787,Details!$E$2:$G$11,3,false))</f>
        <v>Snacks and Drinks</v>
      </c>
      <c r="N787" s="18">
        <f t="shared" si="1"/>
        <v>750</v>
      </c>
      <c r="O787" s="17"/>
      <c r="P787" s="17"/>
      <c r="Q787" s="17"/>
      <c r="R787" s="17"/>
      <c r="S787" s="17"/>
      <c r="T787" s="17"/>
      <c r="U787" s="17"/>
      <c r="V787" s="17"/>
      <c r="W787" s="17"/>
      <c r="X787" s="17"/>
      <c r="Y787" s="17"/>
      <c r="Z787" s="17"/>
    </row>
    <row r="788">
      <c r="A788" s="18" t="str">
        <f>IFERROR(__xludf.DUMMYFUNCTION("""COMPUTED_VALUE"""),"ord_10779")</f>
        <v>ord_10779</v>
      </c>
      <c r="B788" s="18" t="str">
        <f>IFERROR(__xludf.DUMMYFUNCTION("""COMPUTED_VALUE"""),"Parth Goel")</f>
        <v>Parth Goel</v>
      </c>
      <c r="C788" s="18" t="str">
        <f>IFERROR(__xludf.DUMMYFUNCTION("""COMPUTED_VALUE"""),"Juhu")</f>
        <v>Juhu</v>
      </c>
      <c r="D788" s="18" t="str">
        <f>IFERROR(__xludf.DUMMYFUNCTION("""COMPUTED_VALUE"""),"Icecream")</f>
        <v>Icecream</v>
      </c>
      <c r="E788" s="18">
        <f>IFERROR(__xludf.DUMMYFUNCTION("""COMPUTED_VALUE"""),5.0)</f>
        <v>5</v>
      </c>
      <c r="F788" s="18" t="str">
        <f>IFERROR(__xludf.DUMMYFUNCTION("""COMPUTED_VALUE"""),"Nithin Lal")</f>
        <v>Nithin Lal</v>
      </c>
      <c r="G788" s="19">
        <f>IFERROR(__xludf.DUMMYFUNCTION("""COMPUTED_VALUE"""),45207.0)</f>
        <v>45207</v>
      </c>
      <c r="H788" s="18" t="str">
        <f>IFERROR(__xludf.DUMMYFUNCTION("""COMPUTED_VALUE"""),"UPI")</f>
        <v>UPI</v>
      </c>
      <c r="I788" s="18" t="str">
        <f>IFERROR(__xludf.DUMMYFUNCTION("""COMPUTED_VALUE"""),"Delivered")</f>
        <v>Delivered</v>
      </c>
      <c r="J788" s="18" t="str">
        <f>IFERROR(__xludf.DUMMYFUNCTION("""COMPUTED_VALUE"""),"Customer Service")</f>
        <v>Customer Service</v>
      </c>
      <c r="K788" s="18" t="str">
        <f>IFERROR(__xludf.DUMMYFUNCTION("""COMPUTED_VALUE"""),"Seamless and easy")</f>
        <v>Seamless and easy</v>
      </c>
      <c r="L788" s="18">
        <f>iferror(VLOOKUP($D788,Details!$A$2:$C$11,2,false),vlookup($D788,Details!$E$2:$G$11,2,false))</f>
        <v>90</v>
      </c>
      <c r="M788" s="18" t="str">
        <f>iferror(VLOOKUP($D788,Details!$A$2:$C$11,3,false),vlookup($D788,Details!$E$2:$G$11,3,false))</f>
        <v>Snacks and Drinks</v>
      </c>
      <c r="N788" s="18">
        <f t="shared" si="1"/>
        <v>450</v>
      </c>
      <c r="O788" s="17"/>
      <c r="P788" s="17"/>
      <c r="Q788" s="17"/>
      <c r="R788" s="17"/>
      <c r="S788" s="17"/>
      <c r="T788" s="17"/>
      <c r="U788" s="17"/>
      <c r="V788" s="17"/>
      <c r="W788" s="17"/>
      <c r="X788" s="17"/>
      <c r="Y788" s="17"/>
      <c r="Z788" s="17"/>
    </row>
    <row r="789">
      <c r="A789" s="18" t="str">
        <f>IFERROR(__xludf.DUMMYFUNCTION("""COMPUTED_VALUE"""),"ord_10780")</f>
        <v>ord_10780</v>
      </c>
      <c r="B789" s="18" t="str">
        <f>IFERROR(__xludf.DUMMYFUNCTION("""COMPUTED_VALUE"""),"Aarav Mehta")</f>
        <v>Aarav Mehta</v>
      </c>
      <c r="C789" s="18" t="str">
        <f>IFERROR(__xludf.DUMMYFUNCTION("""COMPUTED_VALUE"""),"Andheri")</f>
        <v>Andheri</v>
      </c>
      <c r="D789" s="18" t="str">
        <f>IFERROR(__xludf.DUMMYFUNCTION("""COMPUTED_VALUE"""),"Cold Coffee")</f>
        <v>Cold Coffee</v>
      </c>
      <c r="E789" s="18">
        <f>IFERROR(__xludf.DUMMYFUNCTION("""COMPUTED_VALUE"""),5.0)</f>
        <v>5</v>
      </c>
      <c r="F789" s="18" t="str">
        <f>IFERROR(__xludf.DUMMYFUNCTION("""COMPUTED_VALUE"""),"Ramesh S")</f>
        <v>Ramesh S</v>
      </c>
      <c r="G789" s="19">
        <f>IFERROR(__xludf.DUMMYFUNCTION("""COMPUTED_VALUE"""),45125.0)</f>
        <v>45125</v>
      </c>
      <c r="H789" s="18" t="str">
        <f>IFERROR(__xludf.DUMMYFUNCTION("""COMPUTED_VALUE"""),"UPI")</f>
        <v>UPI</v>
      </c>
      <c r="I789" s="18" t="str">
        <f>IFERROR(__xludf.DUMMYFUNCTION("""COMPUTED_VALUE"""),"Delivered")</f>
        <v>Delivered</v>
      </c>
      <c r="J789" s="18" t="str">
        <f>IFERROR(__xludf.DUMMYFUNCTION("""COMPUTED_VALUE"""),"Delivery Experience")</f>
        <v>Delivery Experience</v>
      </c>
      <c r="K789" s="18" t="str">
        <f>IFERROR(__xludf.DUMMYFUNCTION("""COMPUTED_VALUE"""),"Quick and professional")</f>
        <v>Quick and professional</v>
      </c>
      <c r="L789" s="18">
        <f>iferror(VLOOKUP($D789,Details!$A$2:$C$11,2,false),vlookup($D789,Details!$E$2:$G$11,2,false))</f>
        <v>270</v>
      </c>
      <c r="M789" s="18" t="str">
        <f>iferror(VLOOKUP($D789,Details!$A$2:$C$11,3,false),vlookup($D789,Details!$E$2:$G$11,3,false))</f>
        <v>Snacks and Drinks</v>
      </c>
      <c r="N789" s="18">
        <f t="shared" si="1"/>
        <v>1350</v>
      </c>
      <c r="O789" s="17"/>
      <c r="P789" s="17"/>
      <c r="Q789" s="17"/>
      <c r="R789" s="17"/>
      <c r="S789" s="17"/>
      <c r="T789" s="17"/>
      <c r="U789" s="17"/>
      <c r="V789" s="17"/>
      <c r="W789" s="17"/>
      <c r="X789" s="17"/>
      <c r="Y789" s="17"/>
      <c r="Z789" s="17"/>
    </row>
    <row r="790">
      <c r="A790" s="18" t="str">
        <f>IFERROR(__xludf.DUMMYFUNCTION("""COMPUTED_VALUE"""),"ord_10781")</f>
        <v>ord_10781</v>
      </c>
      <c r="B790" s="18" t="str">
        <f>IFERROR(__xludf.DUMMYFUNCTION("""COMPUTED_VALUE"""),"Kritika Shetty")</f>
        <v>Kritika Shetty</v>
      </c>
      <c r="C790" s="18" t="str">
        <f>IFERROR(__xludf.DUMMYFUNCTION("""COMPUTED_VALUE"""),"Malad")</f>
        <v>Malad</v>
      </c>
      <c r="D790" s="18" t="str">
        <f>IFERROR(__xludf.DUMMYFUNCTION("""COMPUTED_VALUE"""),"Chilli Cheese Toast")</f>
        <v>Chilli Cheese Toast</v>
      </c>
      <c r="E790" s="18">
        <f>IFERROR(__xludf.DUMMYFUNCTION("""COMPUTED_VALUE"""),5.0)</f>
        <v>5</v>
      </c>
      <c r="F790" s="18" t="str">
        <f>IFERROR(__xludf.DUMMYFUNCTION("""COMPUTED_VALUE"""),"Sita T")</f>
        <v>Sita T</v>
      </c>
      <c r="G790" s="19">
        <f>IFERROR(__xludf.DUMMYFUNCTION("""COMPUTED_VALUE"""),45264.0)</f>
        <v>45264</v>
      </c>
      <c r="H790" s="18" t="str">
        <f>IFERROR(__xludf.DUMMYFUNCTION("""COMPUTED_VALUE"""),"Online Payment")</f>
        <v>Online Payment</v>
      </c>
      <c r="I790" s="18" t="str">
        <f>IFERROR(__xludf.DUMMYFUNCTION("""COMPUTED_VALUE"""),"Delivered")</f>
        <v>Delivered</v>
      </c>
      <c r="J790" s="18" t="str">
        <f>IFERROR(__xludf.DUMMYFUNCTION("""COMPUTED_VALUE"""),"Convenience")</f>
        <v>Convenience</v>
      </c>
      <c r="K790" s="18" t="str">
        <f>IFERROR(__xludf.DUMMYFUNCTION("""COMPUTED_VALUE"""),"Easy tracking")</f>
        <v>Easy tracking</v>
      </c>
      <c r="L790" s="18">
        <f>iferror(VLOOKUP($D790,Details!$A$2:$C$11,2,false),vlookup($D790,Details!$E$2:$G$11,2,false))</f>
        <v>80</v>
      </c>
      <c r="M790" s="18" t="str">
        <f>iferror(VLOOKUP($D790,Details!$A$2:$C$11,3,false),vlookup($D790,Details!$E$2:$G$11,3,false))</f>
        <v>Snacks and Drinks</v>
      </c>
      <c r="N790" s="18">
        <f t="shared" si="1"/>
        <v>400</v>
      </c>
      <c r="O790" s="17"/>
      <c r="P790" s="17"/>
      <c r="Q790" s="17"/>
      <c r="R790" s="17"/>
      <c r="S790" s="17"/>
      <c r="T790" s="17"/>
      <c r="U790" s="17"/>
      <c r="V790" s="17"/>
      <c r="W790" s="17"/>
      <c r="X790" s="17"/>
      <c r="Y790" s="17"/>
      <c r="Z790" s="17"/>
    </row>
    <row r="791">
      <c r="A791" s="18" t="str">
        <f>IFERROR(__xludf.DUMMYFUNCTION("""COMPUTED_VALUE"""),"ord_10782")</f>
        <v>ord_10782</v>
      </c>
      <c r="B791" s="18" t="str">
        <f>IFERROR(__xludf.DUMMYFUNCTION("""COMPUTED_VALUE"""),"Pallavi Ghosh")</f>
        <v>Pallavi Ghosh</v>
      </c>
      <c r="C791" s="18" t="str">
        <f>IFERROR(__xludf.DUMMYFUNCTION("""COMPUTED_VALUE"""),"Bandra")</f>
        <v>Bandra</v>
      </c>
      <c r="D791" s="18" t="str">
        <f>IFERROR(__xludf.DUMMYFUNCTION("""COMPUTED_VALUE"""),"Tiramisu")</f>
        <v>Tiramisu</v>
      </c>
      <c r="E791" s="18">
        <f>IFERROR(__xludf.DUMMYFUNCTION("""COMPUTED_VALUE"""),2.0)</f>
        <v>2</v>
      </c>
      <c r="F791" s="18" t="str">
        <f>IFERROR(__xludf.DUMMYFUNCTION("""COMPUTED_VALUE"""),"Shine Thomas")</f>
        <v>Shine Thomas</v>
      </c>
      <c r="G791" s="19">
        <f>IFERROR(__xludf.DUMMYFUNCTION("""COMPUTED_VALUE"""),45159.0)</f>
        <v>45159</v>
      </c>
      <c r="H791" s="18" t="str">
        <f>IFERROR(__xludf.DUMMYFUNCTION("""COMPUTED_VALUE"""),"COD")</f>
        <v>COD</v>
      </c>
      <c r="I791" s="18" t="str">
        <f>IFERROR(__xludf.DUMMYFUNCTION("""COMPUTED_VALUE"""),"Delivered")</f>
        <v>Delivered</v>
      </c>
      <c r="J791" s="18" t="str">
        <f>IFERROR(__xludf.DUMMYFUNCTION("""COMPUTED_VALUE"""),"Overall Satisfaction")</f>
        <v>Overall Satisfaction</v>
      </c>
      <c r="K791" s="18" t="str">
        <f>IFERROR(__xludf.DUMMYFUNCTION("""COMPUTED_VALUE"""),"Great service will order again")</f>
        <v>Great service will order again</v>
      </c>
      <c r="L791" s="18">
        <f>iferror(VLOOKUP($D791,Details!$A$2:$C$11,2,false),vlookup($D791,Details!$E$2:$G$11,2,false))</f>
        <v>150</v>
      </c>
      <c r="M791" s="18" t="str">
        <f>iferror(VLOOKUP($D791,Details!$A$2:$C$11,3,false),vlookup($D791,Details!$E$2:$G$11,3,false))</f>
        <v>Snacks and Drinks</v>
      </c>
      <c r="N791" s="18">
        <f t="shared" si="1"/>
        <v>300</v>
      </c>
      <c r="O791" s="17"/>
      <c r="P791" s="17"/>
      <c r="Q791" s="17"/>
      <c r="R791" s="17"/>
      <c r="S791" s="17"/>
      <c r="T791" s="17"/>
      <c r="U791" s="17"/>
      <c r="V791" s="17"/>
      <c r="W791" s="17"/>
      <c r="X791" s="17"/>
      <c r="Y791" s="17"/>
      <c r="Z791" s="17"/>
    </row>
    <row r="792">
      <c r="A792" s="18" t="str">
        <f>IFERROR(__xludf.DUMMYFUNCTION("""COMPUTED_VALUE"""),"ord_10783")</f>
        <v>ord_10783</v>
      </c>
      <c r="B792" s="18" t="str">
        <f>IFERROR(__xludf.DUMMYFUNCTION("""COMPUTED_VALUE"""),"Siya Reddy")</f>
        <v>Siya Reddy</v>
      </c>
      <c r="C792" s="18" t="str">
        <f>IFERROR(__xludf.DUMMYFUNCTION("""COMPUTED_VALUE"""),"Juhu")</f>
        <v>Juhu</v>
      </c>
      <c r="D792" s="18" t="str">
        <f>IFERROR(__xludf.DUMMYFUNCTION("""COMPUTED_VALUE"""),"Papaya")</f>
        <v>Papaya</v>
      </c>
      <c r="E792" s="18">
        <f>IFERROR(__xludf.DUMMYFUNCTION("""COMPUTED_VALUE"""),1.0)</f>
        <v>1</v>
      </c>
      <c r="F792" s="18" t="str">
        <f>IFERROR(__xludf.DUMMYFUNCTION("""COMPUTED_VALUE"""),"Priya Joshi")</f>
        <v>Priya Joshi</v>
      </c>
      <c r="G792" s="19">
        <f>IFERROR(__xludf.DUMMYFUNCTION("""COMPUTED_VALUE"""),45059.0)</f>
        <v>45059</v>
      </c>
      <c r="H792" s="18" t="str">
        <f>IFERROR(__xludf.DUMMYFUNCTION("""COMPUTED_VALUE"""),"UPI")</f>
        <v>UPI</v>
      </c>
      <c r="I792" s="18" t="str">
        <f>IFERROR(__xludf.DUMMYFUNCTION("""COMPUTED_VALUE"""),"Cancelled")</f>
        <v>Cancelled</v>
      </c>
      <c r="J792" s="18" t="str">
        <f>IFERROR(__xludf.DUMMYFUNCTION("""COMPUTED_VALUE"""),"Delayed Delivery")</f>
        <v>Delayed Delivery</v>
      </c>
      <c r="K792" s="18" t="str">
        <f>IFERROR(__xludf.DUMMYFUNCTION("""COMPUTED_VALUE"""),"High Order Volume")</f>
        <v>High Order Volume</v>
      </c>
      <c r="L792" s="18">
        <f>iferror(VLOOKUP($D792,Details!$A$2:$C$11,2,false),vlookup($D792,Details!$E$2:$G$11,2,false))</f>
        <v>75</v>
      </c>
      <c r="M792" s="18" t="str">
        <f>iferror(VLOOKUP($D792,Details!$A$2:$C$11,3,false),vlookup($D792,Details!$E$2:$G$11,3,false))</f>
        <v>Fruits and Vegetables</v>
      </c>
      <c r="N792" s="18">
        <f t="shared" si="1"/>
        <v>75</v>
      </c>
      <c r="O792" s="17"/>
      <c r="P792" s="17"/>
      <c r="Q792" s="17"/>
      <c r="R792" s="17"/>
      <c r="S792" s="17"/>
      <c r="T792" s="17"/>
      <c r="U792" s="17"/>
      <c r="V792" s="17"/>
      <c r="W792" s="17"/>
      <c r="X792" s="17"/>
      <c r="Y792" s="17"/>
      <c r="Z792" s="17"/>
    </row>
    <row r="793">
      <c r="A793" s="18" t="str">
        <f>IFERROR(__xludf.DUMMYFUNCTION("""COMPUTED_VALUE"""),"ord_10784")</f>
        <v>ord_10784</v>
      </c>
      <c r="B793" s="18" t="str">
        <f>IFERROR(__xludf.DUMMYFUNCTION("""COMPUTED_VALUE"""),"Sakshi Tandon")</f>
        <v>Sakshi Tandon</v>
      </c>
      <c r="C793" s="18" t="str">
        <f>IFERROR(__xludf.DUMMYFUNCTION("""COMPUTED_VALUE"""),"Colaba")</f>
        <v>Colaba</v>
      </c>
      <c r="D793" s="18" t="str">
        <f>IFERROR(__xludf.DUMMYFUNCTION("""COMPUTED_VALUE"""),"Veg Puff")</f>
        <v>Veg Puff</v>
      </c>
      <c r="E793" s="18">
        <f>IFERROR(__xludf.DUMMYFUNCTION("""COMPUTED_VALUE"""),4.0)</f>
        <v>4</v>
      </c>
      <c r="F793" s="18" t="str">
        <f>IFERROR(__xludf.DUMMYFUNCTION("""COMPUTED_VALUE"""),"Ramesh S")</f>
        <v>Ramesh S</v>
      </c>
      <c r="G793" s="19">
        <f>IFERROR(__xludf.DUMMYFUNCTION("""COMPUTED_VALUE"""),45261.0)</f>
        <v>45261</v>
      </c>
      <c r="H793" s="18" t="str">
        <f>IFERROR(__xludf.DUMMYFUNCTION("""COMPUTED_VALUE"""),"UPI")</f>
        <v>UPI</v>
      </c>
      <c r="I793" s="18" t="str">
        <f>IFERROR(__xludf.DUMMYFUNCTION("""COMPUTED_VALUE"""),"Delivered")</f>
        <v>Delivered</v>
      </c>
      <c r="J793" s="18" t="str">
        <f>IFERROR(__xludf.DUMMYFUNCTION("""COMPUTED_VALUE"""),"On-time Delivery")</f>
        <v>On-time Delivery</v>
      </c>
      <c r="K793" s="18" t="str">
        <f>IFERROR(__xludf.DUMMYFUNCTION("""COMPUTED_VALUE"""),"Delivered on time")</f>
        <v>Delivered on time</v>
      </c>
      <c r="L793" s="18">
        <f>iferror(VLOOKUP($D793,Details!$A$2:$C$11,2,false),vlookup($D793,Details!$E$2:$G$11,2,false))</f>
        <v>80</v>
      </c>
      <c r="M793" s="18" t="str">
        <f>iferror(VLOOKUP($D793,Details!$A$2:$C$11,3,false),vlookup($D793,Details!$E$2:$G$11,3,false))</f>
        <v>Snacks and Drinks</v>
      </c>
      <c r="N793" s="18">
        <f t="shared" si="1"/>
        <v>320</v>
      </c>
      <c r="O793" s="17"/>
      <c r="P793" s="17"/>
      <c r="Q793" s="17"/>
      <c r="R793" s="17"/>
      <c r="S793" s="17"/>
      <c r="T793" s="17"/>
      <c r="U793" s="17"/>
      <c r="V793" s="17"/>
      <c r="W793" s="17"/>
      <c r="X793" s="17"/>
      <c r="Y793" s="17"/>
      <c r="Z793" s="17"/>
    </row>
    <row r="794">
      <c r="A794" s="18" t="str">
        <f>IFERROR(__xludf.DUMMYFUNCTION("""COMPUTED_VALUE"""),"ord_10785")</f>
        <v>ord_10785</v>
      </c>
      <c r="B794" s="18" t="str">
        <f>IFERROR(__xludf.DUMMYFUNCTION("""COMPUTED_VALUE"""),"Mehul Thakkar")</f>
        <v>Mehul Thakkar</v>
      </c>
      <c r="C794" s="18" t="str">
        <f>IFERROR(__xludf.DUMMYFUNCTION("""COMPUTED_VALUE"""),"Malad")</f>
        <v>Malad</v>
      </c>
      <c r="D794" s="18" t="str">
        <f>IFERROR(__xludf.DUMMYFUNCTION("""COMPUTED_VALUE"""),"Banana")</f>
        <v>Banana</v>
      </c>
      <c r="E794" s="18">
        <f>IFERROR(__xludf.DUMMYFUNCTION("""COMPUTED_VALUE"""),1.0)</f>
        <v>1</v>
      </c>
      <c r="F794" s="18" t="str">
        <f>IFERROR(__xludf.DUMMYFUNCTION("""COMPUTED_VALUE"""),"Not Assigned")</f>
        <v>Not Assigned</v>
      </c>
      <c r="G794" s="19">
        <f>IFERROR(__xludf.DUMMYFUNCTION("""COMPUTED_VALUE"""),45172.0)</f>
        <v>45172</v>
      </c>
      <c r="H794" s="18" t="str">
        <f>IFERROR(__xludf.DUMMYFUNCTION("""COMPUTED_VALUE"""),"Credit Card")</f>
        <v>Credit Card</v>
      </c>
      <c r="I794" s="18" t="str">
        <f>IFERROR(__xludf.DUMMYFUNCTION("""COMPUTED_VALUE"""),"Cancelled")</f>
        <v>Cancelled</v>
      </c>
      <c r="J794" s="18" t="str">
        <f>IFERROR(__xludf.DUMMYFUNCTION("""COMPUTED_VALUE"""),"Payment Issues")</f>
        <v>Payment Issues</v>
      </c>
      <c r="K794" s="18"/>
      <c r="L794" s="18">
        <f>iferror(VLOOKUP($D794,Details!$A$2:$C$11,2,false),vlookup($D794,Details!$E$2:$G$11,2,false))</f>
        <v>80</v>
      </c>
      <c r="M794" s="18" t="str">
        <f>iferror(VLOOKUP($D794,Details!$A$2:$C$11,3,false),vlookup($D794,Details!$E$2:$G$11,3,false))</f>
        <v>Fruits and Vegetables</v>
      </c>
      <c r="N794" s="18">
        <f t="shared" si="1"/>
        <v>80</v>
      </c>
      <c r="O794" s="17"/>
      <c r="P794" s="17"/>
      <c r="Q794" s="17"/>
      <c r="R794" s="17"/>
      <c r="S794" s="17"/>
      <c r="T794" s="17"/>
      <c r="U794" s="17"/>
      <c r="V794" s="17"/>
      <c r="W794" s="17"/>
      <c r="X794" s="17"/>
      <c r="Y794" s="17"/>
      <c r="Z794" s="17"/>
    </row>
    <row r="795">
      <c r="A795" s="18" t="str">
        <f>IFERROR(__xludf.DUMMYFUNCTION("""COMPUTED_VALUE"""),"ord_10786")</f>
        <v>ord_10786</v>
      </c>
      <c r="B795" s="18" t="str">
        <f>IFERROR(__xludf.DUMMYFUNCTION("""COMPUTED_VALUE"""),"Anaya Rao")</f>
        <v>Anaya Rao</v>
      </c>
      <c r="C795" s="18" t="str">
        <f>IFERROR(__xludf.DUMMYFUNCTION("""COMPUTED_VALUE"""),"Colaba")</f>
        <v>Colaba</v>
      </c>
      <c r="D795" s="18" t="str">
        <f>IFERROR(__xludf.DUMMYFUNCTION("""COMPUTED_VALUE"""),"Icecream")</f>
        <v>Icecream</v>
      </c>
      <c r="E795" s="18">
        <f>IFERROR(__xludf.DUMMYFUNCTION("""COMPUTED_VALUE"""),5.0)</f>
        <v>5</v>
      </c>
      <c r="F795" s="18" t="str">
        <f>IFERROR(__xludf.DUMMYFUNCTION("""COMPUTED_VALUE"""),"Shine Thomas")</f>
        <v>Shine Thomas</v>
      </c>
      <c r="G795" s="19">
        <f>IFERROR(__xludf.DUMMYFUNCTION("""COMPUTED_VALUE"""),45081.0)</f>
        <v>45081</v>
      </c>
      <c r="H795" s="18" t="str">
        <f>IFERROR(__xludf.DUMMYFUNCTION("""COMPUTED_VALUE"""),"UPI")</f>
        <v>UPI</v>
      </c>
      <c r="I795" s="18" t="str">
        <f>IFERROR(__xludf.DUMMYFUNCTION("""COMPUTED_VALUE"""),"Delivered")</f>
        <v>Delivered</v>
      </c>
      <c r="J795" s="18" t="str">
        <f>IFERROR(__xludf.DUMMYFUNCTION("""COMPUTED_VALUE"""),"Quality of Items")</f>
        <v>Quality of Items</v>
      </c>
      <c r="K795" s="18" t="str">
        <f>IFERROR(__xludf.DUMMYFUNCTION("""COMPUTED_VALUE"""),"Perfect condition")</f>
        <v>Perfect condition</v>
      </c>
      <c r="L795" s="18">
        <f>iferror(VLOOKUP($D795,Details!$A$2:$C$11,2,false),vlookup($D795,Details!$E$2:$G$11,2,false))</f>
        <v>90</v>
      </c>
      <c r="M795" s="18" t="str">
        <f>iferror(VLOOKUP($D795,Details!$A$2:$C$11,3,false),vlookup($D795,Details!$E$2:$G$11,3,false))</f>
        <v>Snacks and Drinks</v>
      </c>
      <c r="N795" s="18">
        <f t="shared" si="1"/>
        <v>450</v>
      </c>
      <c r="O795" s="17"/>
      <c r="P795" s="17"/>
      <c r="Q795" s="17"/>
      <c r="R795" s="17"/>
      <c r="S795" s="17"/>
      <c r="T795" s="17"/>
      <c r="U795" s="17"/>
      <c r="V795" s="17"/>
      <c r="W795" s="17"/>
      <c r="X795" s="17"/>
      <c r="Y795" s="17"/>
      <c r="Z795" s="17"/>
    </row>
    <row r="796">
      <c r="A796" s="18" t="str">
        <f>IFERROR(__xludf.DUMMYFUNCTION("""COMPUTED_VALUE"""),"ord_10787")</f>
        <v>ord_10787</v>
      </c>
      <c r="B796" s="18" t="str">
        <f>IFERROR(__xludf.DUMMYFUNCTION("""COMPUTED_VALUE"""),"Sanjay Nair")</f>
        <v>Sanjay Nair</v>
      </c>
      <c r="C796" s="18" t="str">
        <f>IFERROR(__xludf.DUMMYFUNCTION("""COMPUTED_VALUE"""),"Dadar")</f>
        <v>Dadar</v>
      </c>
      <c r="D796" s="18" t="str">
        <f>IFERROR(__xludf.DUMMYFUNCTION("""COMPUTED_VALUE"""),"Apple")</f>
        <v>Apple</v>
      </c>
      <c r="E796" s="18">
        <f>IFERROR(__xludf.DUMMYFUNCTION("""COMPUTED_VALUE"""),2.0)</f>
        <v>2</v>
      </c>
      <c r="F796" s="18" t="str">
        <f>IFERROR(__xludf.DUMMYFUNCTION("""COMPUTED_VALUE"""),"Nithin Lal")</f>
        <v>Nithin Lal</v>
      </c>
      <c r="G796" s="19">
        <f>IFERROR(__xludf.DUMMYFUNCTION("""COMPUTED_VALUE"""),45071.0)</f>
        <v>45071</v>
      </c>
      <c r="H796" s="18" t="str">
        <f>IFERROR(__xludf.DUMMYFUNCTION("""COMPUTED_VALUE"""),"UPI")</f>
        <v>UPI</v>
      </c>
      <c r="I796" s="18" t="str">
        <f>IFERROR(__xludf.DUMMYFUNCTION("""COMPUTED_VALUE"""),"Delivered")</f>
        <v>Delivered</v>
      </c>
      <c r="J796" s="18" t="str">
        <f>IFERROR(__xludf.DUMMYFUNCTION("""COMPUTED_VALUE"""),"On-time Delivery")</f>
        <v>On-time Delivery</v>
      </c>
      <c r="K796" s="18" t="str">
        <f>IFERROR(__xludf.DUMMYFUNCTION("""COMPUTED_VALUE"""),"Delivered on time")</f>
        <v>Delivered on time</v>
      </c>
      <c r="L796" s="18">
        <f>iferror(VLOOKUP($D796,Details!$A$2:$C$11,2,false),vlookup($D796,Details!$E$2:$G$11,2,false))</f>
        <v>230</v>
      </c>
      <c r="M796" s="18" t="str">
        <f>iferror(VLOOKUP($D796,Details!$A$2:$C$11,3,false),vlookup($D796,Details!$E$2:$G$11,3,false))</f>
        <v>Fruits and Vegetables</v>
      </c>
      <c r="N796" s="18">
        <f t="shared" si="1"/>
        <v>460</v>
      </c>
      <c r="O796" s="17"/>
      <c r="P796" s="17"/>
      <c r="Q796" s="17"/>
      <c r="R796" s="17"/>
      <c r="S796" s="17"/>
      <c r="T796" s="17"/>
      <c r="U796" s="17"/>
      <c r="V796" s="17"/>
      <c r="W796" s="17"/>
      <c r="X796" s="17"/>
      <c r="Y796" s="17"/>
      <c r="Z796" s="17"/>
    </row>
    <row r="797">
      <c r="A797" s="18" t="str">
        <f>IFERROR(__xludf.DUMMYFUNCTION("""COMPUTED_VALUE"""),"ord_10788")</f>
        <v>ord_10788</v>
      </c>
      <c r="B797" s="18" t="str">
        <f>IFERROR(__xludf.DUMMYFUNCTION("""COMPUTED_VALUE"""),"Pallavi Ghosh")</f>
        <v>Pallavi Ghosh</v>
      </c>
      <c r="C797" s="18" t="str">
        <f>IFERROR(__xludf.DUMMYFUNCTION("""COMPUTED_VALUE"""),"Bandra")</f>
        <v>Bandra</v>
      </c>
      <c r="D797" s="18" t="str">
        <f>IFERROR(__xludf.DUMMYFUNCTION("""COMPUTED_VALUE"""),"Chicken Puff")</f>
        <v>Chicken Puff</v>
      </c>
      <c r="E797" s="18">
        <f>IFERROR(__xludf.DUMMYFUNCTION("""COMPUTED_VALUE"""),4.0)</f>
        <v>4</v>
      </c>
      <c r="F797" s="18" t="str">
        <f>IFERROR(__xludf.DUMMYFUNCTION("""COMPUTED_VALUE"""),"Manju Ajay")</f>
        <v>Manju Ajay</v>
      </c>
      <c r="G797" s="19">
        <f>IFERROR(__xludf.DUMMYFUNCTION("""COMPUTED_VALUE"""),45197.0)</f>
        <v>45197</v>
      </c>
      <c r="H797" s="18" t="str">
        <f>IFERROR(__xludf.DUMMYFUNCTION("""COMPUTED_VALUE"""),"Credit Card")</f>
        <v>Credit Card</v>
      </c>
      <c r="I797" s="18" t="str">
        <f>IFERROR(__xludf.DUMMYFUNCTION("""COMPUTED_VALUE"""),"Delivered")</f>
        <v>Delivered</v>
      </c>
      <c r="J797" s="18" t="str">
        <f>IFERROR(__xludf.DUMMYFUNCTION("""COMPUTED_VALUE"""),"Quality of Items")</f>
        <v>Quality of Items</v>
      </c>
      <c r="K797" s="18" t="str">
        <f>IFERROR(__xludf.DUMMYFUNCTION("""COMPUTED_VALUE"""),"Perfect condition")</f>
        <v>Perfect condition</v>
      </c>
      <c r="L797" s="18">
        <f>iferror(VLOOKUP($D797,Details!$A$2:$C$11,2,false),vlookup($D797,Details!$E$2:$G$11,2,false))</f>
        <v>90</v>
      </c>
      <c r="M797" s="18" t="str">
        <f>iferror(VLOOKUP($D797,Details!$A$2:$C$11,3,false),vlookup($D797,Details!$E$2:$G$11,3,false))</f>
        <v>Snacks and Drinks</v>
      </c>
      <c r="N797" s="18">
        <f t="shared" si="1"/>
        <v>360</v>
      </c>
      <c r="O797" s="17"/>
      <c r="P797" s="17"/>
      <c r="Q797" s="17"/>
      <c r="R797" s="17"/>
      <c r="S797" s="17"/>
      <c r="T797" s="17"/>
      <c r="U797" s="17"/>
      <c r="V797" s="17"/>
      <c r="W797" s="17"/>
      <c r="X797" s="17"/>
      <c r="Y797" s="17"/>
      <c r="Z797" s="17"/>
    </row>
    <row r="798">
      <c r="A798" s="18" t="str">
        <f>IFERROR(__xludf.DUMMYFUNCTION("""COMPUTED_VALUE"""),"ord_10789")</f>
        <v>ord_10789</v>
      </c>
      <c r="B798" s="18" t="str">
        <f>IFERROR(__xludf.DUMMYFUNCTION("""COMPUTED_VALUE"""),"Mehul Thakkar")</f>
        <v>Mehul Thakkar</v>
      </c>
      <c r="C798" s="18" t="str">
        <f>IFERROR(__xludf.DUMMYFUNCTION("""COMPUTED_VALUE"""),"Malad")</f>
        <v>Malad</v>
      </c>
      <c r="D798" s="18" t="str">
        <f>IFERROR(__xludf.DUMMYFUNCTION("""COMPUTED_VALUE"""),"Tomato")</f>
        <v>Tomato</v>
      </c>
      <c r="E798" s="18">
        <f>IFERROR(__xludf.DUMMYFUNCTION("""COMPUTED_VALUE"""),1.0)</f>
        <v>1</v>
      </c>
      <c r="F798" s="18" t="str">
        <f>IFERROR(__xludf.DUMMYFUNCTION("""COMPUTED_VALUE"""),"Not Assigned")</f>
        <v>Not Assigned</v>
      </c>
      <c r="G798" s="19">
        <f>IFERROR(__xludf.DUMMYFUNCTION("""COMPUTED_VALUE"""),45094.0)</f>
        <v>45094</v>
      </c>
      <c r="H798" s="18" t="str">
        <f>IFERROR(__xludf.DUMMYFUNCTION("""COMPUTED_VALUE"""),"UPI")</f>
        <v>UPI</v>
      </c>
      <c r="I798" s="18" t="str">
        <f>IFERROR(__xludf.DUMMYFUNCTION("""COMPUTED_VALUE"""),"Cancelled")</f>
        <v>Cancelled</v>
      </c>
      <c r="J798" s="18" t="str">
        <f>IFERROR(__xludf.DUMMYFUNCTION("""COMPUTED_VALUE"""),"App Glitches")</f>
        <v>App Glitches</v>
      </c>
      <c r="K798" s="18" t="str">
        <f>IFERROR(__xludf.DUMMYFUNCTION("""COMPUTED_VALUE"""),"Payment Button Malfunction")</f>
        <v>Payment Button Malfunction</v>
      </c>
      <c r="L798" s="18">
        <f>iferror(VLOOKUP($D798,Details!$A$2:$C$11,2,false),vlookup($D798,Details!$E$2:$G$11,2,false))</f>
        <v>25</v>
      </c>
      <c r="M798" s="18" t="str">
        <f>iferror(VLOOKUP($D798,Details!$A$2:$C$11,3,false),vlookup($D798,Details!$E$2:$G$11,3,false))</f>
        <v>Fruits and Vegetables</v>
      </c>
      <c r="N798" s="18">
        <f t="shared" si="1"/>
        <v>25</v>
      </c>
      <c r="O798" s="17"/>
      <c r="P798" s="17"/>
      <c r="Q798" s="17"/>
      <c r="R798" s="17"/>
      <c r="S798" s="17"/>
      <c r="T798" s="17"/>
      <c r="U798" s="17"/>
      <c r="V798" s="17"/>
      <c r="W798" s="17"/>
      <c r="X798" s="17"/>
      <c r="Y798" s="17"/>
      <c r="Z798" s="17"/>
    </row>
    <row r="799">
      <c r="A799" s="18" t="str">
        <f>IFERROR(__xludf.DUMMYFUNCTION("""COMPUTED_VALUE"""),"ord_10790")</f>
        <v>ord_10790</v>
      </c>
      <c r="B799" s="18" t="str">
        <f>IFERROR(__xludf.DUMMYFUNCTION("""COMPUTED_VALUE"""),"Sanjay Nair")</f>
        <v>Sanjay Nair</v>
      </c>
      <c r="C799" s="18" t="str">
        <f>IFERROR(__xludf.DUMMYFUNCTION("""COMPUTED_VALUE"""),"Dadar")</f>
        <v>Dadar</v>
      </c>
      <c r="D799" s="18" t="str">
        <f>IFERROR(__xludf.DUMMYFUNCTION("""COMPUTED_VALUE"""),"Veg Puff")</f>
        <v>Veg Puff</v>
      </c>
      <c r="E799" s="18">
        <f>IFERROR(__xludf.DUMMYFUNCTION("""COMPUTED_VALUE"""),5.0)</f>
        <v>5</v>
      </c>
      <c r="F799" s="18" t="str">
        <f>IFERROR(__xludf.DUMMYFUNCTION("""COMPUTED_VALUE"""),"Shine Thomas")</f>
        <v>Shine Thomas</v>
      </c>
      <c r="G799" s="19">
        <f>IFERROR(__xludf.DUMMYFUNCTION("""COMPUTED_VALUE"""),45095.0)</f>
        <v>45095</v>
      </c>
      <c r="H799" s="18" t="str">
        <f>IFERROR(__xludf.DUMMYFUNCTION("""COMPUTED_VALUE"""),"UPI")</f>
        <v>UPI</v>
      </c>
      <c r="I799" s="18" t="str">
        <f>IFERROR(__xludf.DUMMYFUNCTION("""COMPUTED_VALUE"""),"Delivered")</f>
        <v>Delivered</v>
      </c>
      <c r="J799" s="18" t="str">
        <f>IFERROR(__xludf.DUMMYFUNCTION("""COMPUTED_VALUE"""),"Packaging")</f>
        <v>Packaging</v>
      </c>
      <c r="K799" s="18" t="str">
        <f>IFERROR(__xludf.DUMMYFUNCTION("""COMPUTED_VALUE"""),"Secure and intact")</f>
        <v>Secure and intact</v>
      </c>
      <c r="L799" s="18">
        <f>iferror(VLOOKUP($D799,Details!$A$2:$C$11,2,false),vlookup($D799,Details!$E$2:$G$11,2,false))</f>
        <v>80</v>
      </c>
      <c r="M799" s="18" t="str">
        <f>iferror(VLOOKUP($D799,Details!$A$2:$C$11,3,false),vlookup($D799,Details!$E$2:$G$11,3,false))</f>
        <v>Snacks and Drinks</v>
      </c>
      <c r="N799" s="18">
        <f t="shared" si="1"/>
        <v>400</v>
      </c>
      <c r="O799" s="17"/>
      <c r="P799" s="17"/>
      <c r="Q799" s="17"/>
      <c r="R799" s="17"/>
      <c r="S799" s="17"/>
      <c r="T799" s="17"/>
      <c r="U799" s="17"/>
      <c r="V799" s="17"/>
      <c r="W799" s="17"/>
      <c r="X799" s="17"/>
      <c r="Y799" s="17"/>
      <c r="Z799" s="17"/>
    </row>
    <row r="800">
      <c r="A800" s="18" t="str">
        <f>IFERROR(__xludf.DUMMYFUNCTION("""COMPUTED_VALUE"""),"ord_10791")</f>
        <v>ord_10791</v>
      </c>
      <c r="B800" s="18" t="str">
        <f>IFERROR(__xludf.DUMMYFUNCTION("""COMPUTED_VALUE"""),"Aarav Mehta")</f>
        <v>Aarav Mehta</v>
      </c>
      <c r="C800" s="18" t="str">
        <f>IFERROR(__xludf.DUMMYFUNCTION("""COMPUTED_VALUE"""),"Andheri")</f>
        <v>Andheri</v>
      </c>
      <c r="D800" s="18" t="str">
        <f>IFERROR(__xludf.DUMMYFUNCTION("""COMPUTED_VALUE"""),"Icecream")</f>
        <v>Icecream</v>
      </c>
      <c r="E800" s="18">
        <f>IFERROR(__xludf.DUMMYFUNCTION("""COMPUTED_VALUE"""),2.0)</f>
        <v>2</v>
      </c>
      <c r="F800" s="18" t="str">
        <f>IFERROR(__xludf.DUMMYFUNCTION("""COMPUTED_VALUE"""),"Manju Ajay")</f>
        <v>Manju Ajay</v>
      </c>
      <c r="G800" s="19">
        <f>IFERROR(__xludf.DUMMYFUNCTION("""COMPUTED_VALUE"""),45133.0)</f>
        <v>45133</v>
      </c>
      <c r="H800" s="18" t="str">
        <f>IFERROR(__xludf.DUMMYFUNCTION("""COMPUTED_VALUE"""),"Credit Card")</f>
        <v>Credit Card</v>
      </c>
      <c r="I800" s="18" t="str">
        <f>IFERROR(__xludf.DUMMYFUNCTION("""COMPUTED_VALUE"""),"Delivered")</f>
        <v>Delivered</v>
      </c>
      <c r="J800" s="18" t="str">
        <f>IFERROR(__xludf.DUMMYFUNCTION("""COMPUTED_VALUE"""),"Satisfied with the Delivery")</f>
        <v>Satisfied with the Delivery</v>
      </c>
      <c r="K800" s="18" t="str">
        <f>IFERROR(__xludf.DUMMYFUNCTION("""COMPUTED_VALUE"""),"Timely and quality")</f>
        <v>Timely and quality</v>
      </c>
      <c r="L800" s="18">
        <f>iferror(VLOOKUP($D800,Details!$A$2:$C$11,2,false),vlookup($D800,Details!$E$2:$G$11,2,false))</f>
        <v>90</v>
      </c>
      <c r="M800" s="18" t="str">
        <f>iferror(VLOOKUP($D800,Details!$A$2:$C$11,3,false),vlookup($D800,Details!$E$2:$G$11,3,false))</f>
        <v>Snacks and Drinks</v>
      </c>
      <c r="N800" s="18">
        <f t="shared" si="1"/>
        <v>180</v>
      </c>
      <c r="O800" s="17"/>
      <c r="P800" s="17"/>
      <c r="Q800" s="17"/>
      <c r="R800" s="17"/>
      <c r="S800" s="17"/>
      <c r="T800" s="17"/>
      <c r="U800" s="17"/>
      <c r="V800" s="17"/>
      <c r="W800" s="17"/>
      <c r="X800" s="17"/>
      <c r="Y800" s="17"/>
      <c r="Z800" s="17"/>
    </row>
    <row r="801">
      <c r="A801" s="18" t="str">
        <f>IFERROR(__xludf.DUMMYFUNCTION("""COMPUTED_VALUE"""),"ord_10792")</f>
        <v>ord_10792</v>
      </c>
      <c r="B801" s="18" t="str">
        <f>IFERROR(__xludf.DUMMYFUNCTION("""COMPUTED_VALUE"""),"Pranav Joshi")</f>
        <v>Pranav Joshi</v>
      </c>
      <c r="C801" s="18" t="str">
        <f>IFERROR(__xludf.DUMMYFUNCTION("""COMPUTED_VALUE"""),"Andheri")</f>
        <v>Andheri</v>
      </c>
      <c r="D801" s="18" t="str">
        <f>IFERROR(__xludf.DUMMYFUNCTION("""COMPUTED_VALUE"""),"Banana")</f>
        <v>Banana</v>
      </c>
      <c r="E801" s="18">
        <f>IFERROR(__xludf.DUMMYFUNCTION("""COMPUTED_VALUE"""),2.0)</f>
        <v>2</v>
      </c>
      <c r="F801" s="18" t="str">
        <f>IFERROR(__xludf.DUMMYFUNCTION("""COMPUTED_VALUE"""),"Rohan Yadav")</f>
        <v>Rohan Yadav</v>
      </c>
      <c r="G801" s="19">
        <f>IFERROR(__xludf.DUMMYFUNCTION("""COMPUTED_VALUE"""),45140.0)</f>
        <v>45140</v>
      </c>
      <c r="H801" s="18" t="str">
        <f>IFERROR(__xludf.DUMMYFUNCTION("""COMPUTED_VALUE"""),"UPI")</f>
        <v>UPI</v>
      </c>
      <c r="I801" s="18" t="str">
        <f>IFERROR(__xludf.DUMMYFUNCTION("""COMPUTED_VALUE"""),"Delivered")</f>
        <v>Delivered</v>
      </c>
      <c r="J801" s="18" t="str">
        <f>IFERROR(__xludf.DUMMYFUNCTION("""COMPUTED_VALUE"""),"Customer Service")</f>
        <v>Customer Service</v>
      </c>
      <c r="K801" s="18" t="str">
        <f>IFERROR(__xludf.DUMMYFUNCTION("""COMPUTED_VALUE"""),"Seamless and easy")</f>
        <v>Seamless and easy</v>
      </c>
      <c r="L801" s="18">
        <f>iferror(VLOOKUP($D801,Details!$A$2:$C$11,2,false),vlookup($D801,Details!$E$2:$G$11,2,false))</f>
        <v>80</v>
      </c>
      <c r="M801" s="18" t="str">
        <f>iferror(VLOOKUP($D801,Details!$A$2:$C$11,3,false),vlookup($D801,Details!$E$2:$G$11,3,false))</f>
        <v>Fruits and Vegetables</v>
      </c>
      <c r="N801" s="18">
        <f t="shared" si="1"/>
        <v>160</v>
      </c>
      <c r="O801" s="17"/>
      <c r="P801" s="17"/>
      <c r="Q801" s="17"/>
      <c r="R801" s="17"/>
      <c r="S801" s="17"/>
      <c r="T801" s="17"/>
      <c r="U801" s="17"/>
      <c r="V801" s="17"/>
      <c r="W801" s="17"/>
      <c r="X801" s="17"/>
      <c r="Y801" s="17"/>
      <c r="Z801" s="17"/>
    </row>
    <row r="802">
      <c r="A802" s="18" t="str">
        <f>IFERROR(__xludf.DUMMYFUNCTION("""COMPUTED_VALUE"""),"ord_10793")</f>
        <v>ord_10793</v>
      </c>
      <c r="B802" s="18" t="str">
        <f>IFERROR(__xludf.DUMMYFUNCTION("""COMPUTED_VALUE"""),"Sanjay Nair")</f>
        <v>Sanjay Nair</v>
      </c>
      <c r="C802" s="18" t="str">
        <f>IFERROR(__xludf.DUMMYFUNCTION("""COMPUTED_VALUE"""),"Dadar")</f>
        <v>Dadar</v>
      </c>
      <c r="D802" s="18" t="str">
        <f>IFERROR(__xludf.DUMMYFUNCTION("""COMPUTED_VALUE"""),"Guava")</f>
        <v>Guava</v>
      </c>
      <c r="E802" s="18">
        <f>IFERROR(__xludf.DUMMYFUNCTION("""COMPUTED_VALUE"""),2.0)</f>
        <v>2</v>
      </c>
      <c r="F802" s="18" t="str">
        <f>IFERROR(__xludf.DUMMYFUNCTION("""COMPUTED_VALUE"""),"Aman Kumar")</f>
        <v>Aman Kumar</v>
      </c>
      <c r="G802" s="19">
        <f>IFERROR(__xludf.DUMMYFUNCTION("""COMPUTED_VALUE"""),44966.0)</f>
        <v>44966</v>
      </c>
      <c r="H802" s="18" t="str">
        <f>IFERROR(__xludf.DUMMYFUNCTION("""COMPUTED_VALUE"""),"Credit Card")</f>
        <v>Credit Card</v>
      </c>
      <c r="I802" s="18" t="str">
        <f>IFERROR(__xludf.DUMMYFUNCTION("""COMPUTED_VALUE"""),"Delivered")</f>
        <v>Delivered</v>
      </c>
      <c r="J802" s="18" t="str">
        <f>IFERROR(__xludf.DUMMYFUNCTION("""COMPUTED_VALUE"""),"Delivery Experience")</f>
        <v>Delivery Experience</v>
      </c>
      <c r="K802" s="18" t="str">
        <f>IFERROR(__xludf.DUMMYFUNCTION("""COMPUTED_VALUE"""),"Quick and professional")</f>
        <v>Quick and professional</v>
      </c>
      <c r="L802" s="18">
        <f>iferror(VLOOKUP($D802,Details!$A$2:$C$11,2,false),vlookup($D802,Details!$E$2:$G$11,2,false))</f>
        <v>70</v>
      </c>
      <c r="M802" s="18" t="str">
        <f>iferror(VLOOKUP($D802,Details!$A$2:$C$11,3,false),vlookup($D802,Details!$E$2:$G$11,3,false))</f>
        <v>Fruits and Vegetables</v>
      </c>
      <c r="N802" s="18">
        <f t="shared" si="1"/>
        <v>140</v>
      </c>
      <c r="O802" s="17"/>
      <c r="P802" s="17"/>
      <c r="Q802" s="17"/>
      <c r="R802" s="17"/>
      <c r="S802" s="17"/>
      <c r="T802" s="17"/>
      <c r="U802" s="17"/>
      <c r="V802" s="17"/>
      <c r="W802" s="17"/>
      <c r="X802" s="17"/>
      <c r="Y802" s="17"/>
      <c r="Z802" s="17"/>
    </row>
    <row r="803">
      <c r="A803" s="18" t="str">
        <f>IFERROR(__xludf.DUMMYFUNCTION("""COMPUTED_VALUE"""),"ord_10794")</f>
        <v>ord_10794</v>
      </c>
      <c r="B803" s="18" t="str">
        <f>IFERROR(__xludf.DUMMYFUNCTION("""COMPUTED_VALUE"""),"Pranav Joshi")</f>
        <v>Pranav Joshi</v>
      </c>
      <c r="C803" s="18" t="str">
        <f>IFERROR(__xludf.DUMMYFUNCTION("""COMPUTED_VALUE"""),"Andheri")</f>
        <v>Andheri</v>
      </c>
      <c r="D803" s="18" t="str">
        <f>IFERROR(__xludf.DUMMYFUNCTION("""COMPUTED_VALUE"""),"Veg Puff")</f>
        <v>Veg Puff</v>
      </c>
      <c r="E803" s="18">
        <f>IFERROR(__xludf.DUMMYFUNCTION("""COMPUTED_VALUE"""),4.0)</f>
        <v>4</v>
      </c>
      <c r="F803" s="18" t="str">
        <f>IFERROR(__xludf.DUMMYFUNCTION("""COMPUTED_VALUE"""),"Rohan Yadav")</f>
        <v>Rohan Yadav</v>
      </c>
      <c r="G803" s="19">
        <f>IFERROR(__xludf.DUMMYFUNCTION("""COMPUTED_VALUE"""),44981.0)</f>
        <v>44981</v>
      </c>
      <c r="H803" s="18" t="str">
        <f>IFERROR(__xludf.DUMMYFUNCTION("""COMPUTED_VALUE"""),"UPI")</f>
        <v>UPI</v>
      </c>
      <c r="I803" s="18" t="str">
        <f>IFERROR(__xludf.DUMMYFUNCTION("""COMPUTED_VALUE"""),"Delivered")</f>
        <v>Delivered</v>
      </c>
      <c r="J803" s="18" t="str">
        <f>IFERROR(__xludf.DUMMYFUNCTION("""COMPUTED_VALUE"""),"Convenience")</f>
        <v>Convenience</v>
      </c>
      <c r="K803" s="18" t="str">
        <f>IFERROR(__xludf.DUMMYFUNCTION("""COMPUTED_VALUE"""),"Easy tracking")</f>
        <v>Easy tracking</v>
      </c>
      <c r="L803" s="18">
        <f>iferror(VLOOKUP($D803,Details!$A$2:$C$11,2,false),vlookup($D803,Details!$E$2:$G$11,2,false))</f>
        <v>80</v>
      </c>
      <c r="M803" s="18" t="str">
        <f>iferror(VLOOKUP($D803,Details!$A$2:$C$11,3,false),vlookup($D803,Details!$E$2:$G$11,3,false))</f>
        <v>Snacks and Drinks</v>
      </c>
      <c r="N803" s="18">
        <f t="shared" si="1"/>
        <v>320</v>
      </c>
      <c r="O803" s="17"/>
      <c r="P803" s="17"/>
      <c r="Q803" s="17"/>
      <c r="R803" s="17"/>
      <c r="S803" s="17"/>
      <c r="T803" s="17"/>
      <c r="U803" s="17"/>
      <c r="V803" s="17"/>
      <c r="W803" s="17"/>
      <c r="X803" s="17"/>
      <c r="Y803" s="17"/>
      <c r="Z803" s="17"/>
    </row>
    <row r="804">
      <c r="A804" s="18" t="str">
        <f>IFERROR(__xludf.DUMMYFUNCTION("""COMPUTED_VALUE"""),"ord_10795")</f>
        <v>ord_10795</v>
      </c>
      <c r="B804" s="18" t="str">
        <f>IFERROR(__xludf.DUMMYFUNCTION("""COMPUTED_VALUE"""),"Ishita Banerjee")</f>
        <v>Ishita Banerjee</v>
      </c>
      <c r="C804" s="18" t="str">
        <f>IFERROR(__xludf.DUMMYFUNCTION("""COMPUTED_VALUE"""),"Juhu")</f>
        <v>Juhu</v>
      </c>
      <c r="D804" s="18" t="str">
        <f>IFERROR(__xludf.DUMMYFUNCTION("""COMPUTED_VALUE"""),"Apple")</f>
        <v>Apple</v>
      </c>
      <c r="E804" s="18">
        <f>IFERROR(__xludf.DUMMYFUNCTION("""COMPUTED_VALUE"""),2.0)</f>
        <v>2</v>
      </c>
      <c r="F804" s="18" t="str">
        <f>IFERROR(__xludf.DUMMYFUNCTION("""COMPUTED_VALUE"""),"Tanvi Jain")</f>
        <v>Tanvi Jain</v>
      </c>
      <c r="G804" s="19">
        <f>IFERROR(__xludf.DUMMYFUNCTION("""COMPUTED_VALUE"""),45135.0)</f>
        <v>45135</v>
      </c>
      <c r="H804" s="18" t="str">
        <f>IFERROR(__xludf.DUMMYFUNCTION("""COMPUTED_VALUE"""),"UPI")</f>
        <v>UPI</v>
      </c>
      <c r="I804" s="18" t="str">
        <f>IFERROR(__xludf.DUMMYFUNCTION("""COMPUTED_VALUE"""),"Delivered")</f>
        <v>Delivered</v>
      </c>
      <c r="J804" s="18" t="str">
        <f>IFERROR(__xludf.DUMMYFUNCTION("""COMPUTED_VALUE"""),"Overall Satisfaction")</f>
        <v>Overall Satisfaction</v>
      </c>
      <c r="K804" s="18" t="str">
        <f>IFERROR(__xludf.DUMMYFUNCTION("""COMPUTED_VALUE"""),"Great service will order again")</f>
        <v>Great service will order again</v>
      </c>
      <c r="L804" s="18">
        <f>iferror(VLOOKUP($D804,Details!$A$2:$C$11,2,false),vlookup($D804,Details!$E$2:$G$11,2,false))</f>
        <v>230</v>
      </c>
      <c r="M804" s="18" t="str">
        <f>iferror(VLOOKUP($D804,Details!$A$2:$C$11,3,false),vlookup($D804,Details!$E$2:$G$11,3,false))</f>
        <v>Fruits and Vegetables</v>
      </c>
      <c r="N804" s="18">
        <f t="shared" si="1"/>
        <v>460</v>
      </c>
      <c r="O804" s="17"/>
      <c r="P804" s="17"/>
      <c r="Q804" s="17"/>
      <c r="R804" s="17"/>
      <c r="S804" s="17"/>
      <c r="T804" s="17"/>
      <c r="U804" s="17"/>
      <c r="V804" s="17"/>
      <c r="W804" s="17"/>
      <c r="X804" s="17"/>
      <c r="Y804" s="17"/>
      <c r="Z804" s="17"/>
    </row>
    <row r="805">
      <c r="A805" s="18" t="str">
        <f>IFERROR(__xludf.DUMMYFUNCTION("""COMPUTED_VALUE"""),"ord_10796")</f>
        <v>ord_10796</v>
      </c>
      <c r="B805" s="18" t="str">
        <f>IFERROR(__xludf.DUMMYFUNCTION("""COMPUTED_VALUE"""),"Mehul Thakkar")</f>
        <v>Mehul Thakkar</v>
      </c>
      <c r="C805" s="18" t="str">
        <f>IFERROR(__xludf.DUMMYFUNCTION("""COMPUTED_VALUE"""),"Malad")</f>
        <v>Malad</v>
      </c>
      <c r="D805" s="18" t="str">
        <f>IFERROR(__xludf.DUMMYFUNCTION("""COMPUTED_VALUE"""),"Chocolate Mousse")</f>
        <v>Chocolate Mousse</v>
      </c>
      <c r="E805" s="18">
        <f>IFERROR(__xludf.DUMMYFUNCTION("""COMPUTED_VALUE"""),1.0)</f>
        <v>1</v>
      </c>
      <c r="F805" s="18" t="str">
        <f>IFERROR(__xludf.DUMMYFUNCTION("""COMPUTED_VALUE"""),"Not Assigned")</f>
        <v>Not Assigned</v>
      </c>
      <c r="G805" s="19">
        <f>IFERROR(__xludf.DUMMYFUNCTION("""COMPUTED_VALUE"""),45065.0)</f>
        <v>45065</v>
      </c>
      <c r="H805" s="18" t="str">
        <f>IFERROR(__xludf.DUMMYFUNCTION("""COMPUTED_VALUE"""),"Credit Card")</f>
        <v>Credit Card</v>
      </c>
      <c r="I805" s="18" t="str">
        <f>IFERROR(__xludf.DUMMYFUNCTION("""COMPUTED_VALUE"""),"Cancelled")</f>
        <v>Cancelled</v>
      </c>
      <c r="J805" s="18" t="str">
        <f>IFERROR(__xludf.DUMMYFUNCTION("""COMPUTED_VALUE"""),"Out of Stock")</f>
        <v>Out of Stock</v>
      </c>
      <c r="K805" s="18"/>
      <c r="L805" s="18">
        <f>iferror(VLOOKUP($D805,Details!$A$2:$C$11,2,false),vlookup($D805,Details!$E$2:$G$11,2,false))</f>
        <v>145</v>
      </c>
      <c r="M805" s="18" t="str">
        <f>iferror(VLOOKUP($D805,Details!$A$2:$C$11,3,false),vlookup($D805,Details!$E$2:$G$11,3,false))</f>
        <v>Snacks and Drinks</v>
      </c>
      <c r="N805" s="18">
        <f t="shared" si="1"/>
        <v>145</v>
      </c>
      <c r="O805" s="17"/>
      <c r="P805" s="17"/>
      <c r="Q805" s="17"/>
      <c r="R805" s="17"/>
      <c r="S805" s="17"/>
      <c r="T805" s="17"/>
      <c r="U805" s="17"/>
      <c r="V805" s="17"/>
      <c r="W805" s="17"/>
      <c r="X805" s="17"/>
      <c r="Y805" s="17"/>
      <c r="Z805" s="17"/>
    </row>
    <row r="806">
      <c r="A806" s="18" t="str">
        <f>IFERROR(__xludf.DUMMYFUNCTION("""COMPUTED_VALUE"""),"ord_10797")</f>
        <v>ord_10797</v>
      </c>
      <c r="B806" s="18" t="str">
        <f>IFERROR(__xludf.DUMMYFUNCTION("""COMPUTED_VALUE"""),"Siya Reddy")</f>
        <v>Siya Reddy</v>
      </c>
      <c r="C806" s="18" t="str">
        <f>IFERROR(__xludf.DUMMYFUNCTION("""COMPUTED_VALUE"""),"Juhu")</f>
        <v>Juhu</v>
      </c>
      <c r="D806" s="18" t="str">
        <f>IFERROR(__xludf.DUMMYFUNCTION("""COMPUTED_VALUE"""),"Popcorn")</f>
        <v>Popcorn</v>
      </c>
      <c r="E806" s="18">
        <f>IFERROR(__xludf.DUMMYFUNCTION("""COMPUTED_VALUE"""),3.0)</f>
        <v>3</v>
      </c>
      <c r="F806" s="18" t="str">
        <f>IFERROR(__xludf.DUMMYFUNCTION("""COMPUTED_VALUE"""),"Shine Thomas")</f>
        <v>Shine Thomas</v>
      </c>
      <c r="G806" s="19">
        <f>IFERROR(__xludf.DUMMYFUNCTION("""COMPUTED_VALUE"""),45187.0)</f>
        <v>45187</v>
      </c>
      <c r="H806" s="18" t="str">
        <f>IFERROR(__xludf.DUMMYFUNCTION("""COMPUTED_VALUE"""),"Credit Card")</f>
        <v>Credit Card</v>
      </c>
      <c r="I806" s="18" t="str">
        <f>IFERROR(__xludf.DUMMYFUNCTION("""COMPUTED_VALUE"""),"Cancelled")</f>
        <v>Cancelled</v>
      </c>
      <c r="J806" s="18" t="str">
        <f>IFERROR(__xludf.DUMMYFUNCTION("""COMPUTED_VALUE"""),"Delayed Delivery")</f>
        <v>Delayed Delivery</v>
      </c>
      <c r="K806" s="18" t="str">
        <f>IFERROR(__xludf.DUMMYFUNCTION("""COMPUTED_VALUE"""),"Bad Weather Conditions")</f>
        <v>Bad Weather Conditions</v>
      </c>
      <c r="L806" s="18">
        <f>iferror(VLOOKUP($D806,Details!$A$2:$C$11,2,false),vlookup($D806,Details!$E$2:$G$11,2,false))</f>
        <v>150</v>
      </c>
      <c r="M806" s="18" t="str">
        <f>iferror(VLOOKUP($D806,Details!$A$2:$C$11,3,false),vlookup($D806,Details!$E$2:$G$11,3,false))</f>
        <v>Snacks and Drinks</v>
      </c>
      <c r="N806" s="18">
        <f t="shared" si="1"/>
        <v>450</v>
      </c>
      <c r="O806" s="17"/>
      <c r="P806" s="17"/>
      <c r="Q806" s="17"/>
      <c r="R806" s="17"/>
      <c r="S806" s="17"/>
      <c r="T806" s="17"/>
      <c r="U806" s="17"/>
      <c r="V806" s="17"/>
      <c r="W806" s="17"/>
      <c r="X806" s="17"/>
      <c r="Y806" s="17"/>
      <c r="Z806" s="17"/>
    </row>
    <row r="807">
      <c r="A807" s="18" t="str">
        <f>IFERROR(__xludf.DUMMYFUNCTION("""COMPUTED_VALUE"""),"ord_10798")</f>
        <v>ord_10798</v>
      </c>
      <c r="B807" s="18" t="str">
        <f>IFERROR(__xludf.DUMMYFUNCTION("""COMPUTED_VALUE"""),"Anaya Rao")</f>
        <v>Anaya Rao</v>
      </c>
      <c r="C807" s="18" t="str">
        <f>IFERROR(__xludf.DUMMYFUNCTION("""COMPUTED_VALUE"""),"Colaba")</f>
        <v>Colaba</v>
      </c>
      <c r="D807" s="18" t="str">
        <f>IFERROR(__xludf.DUMMYFUNCTION("""COMPUTED_VALUE"""),"Potato")</f>
        <v>Potato</v>
      </c>
      <c r="E807" s="18">
        <f>IFERROR(__xludf.DUMMYFUNCTION("""COMPUTED_VALUE"""),2.0)</f>
        <v>2</v>
      </c>
      <c r="F807" s="18" t="str">
        <f>IFERROR(__xludf.DUMMYFUNCTION("""COMPUTED_VALUE"""),"Nikhil Deshmukh")</f>
        <v>Nikhil Deshmukh</v>
      </c>
      <c r="G807" s="19">
        <f>IFERROR(__xludf.DUMMYFUNCTION("""COMPUTED_VALUE"""),45270.0)</f>
        <v>45270</v>
      </c>
      <c r="H807" s="18" t="str">
        <f>IFERROR(__xludf.DUMMYFUNCTION("""COMPUTED_VALUE"""),"UPI")</f>
        <v>UPI</v>
      </c>
      <c r="I807" s="18" t="str">
        <f>IFERROR(__xludf.DUMMYFUNCTION("""COMPUTED_VALUE"""),"Delivered")</f>
        <v>Delivered</v>
      </c>
      <c r="J807" s="18" t="str">
        <f>IFERROR(__xludf.DUMMYFUNCTION("""COMPUTED_VALUE"""),"On-time Delivery")</f>
        <v>On-time Delivery</v>
      </c>
      <c r="K807" s="18" t="str">
        <f>IFERROR(__xludf.DUMMYFUNCTION("""COMPUTED_VALUE"""),"Delivered on time")</f>
        <v>Delivered on time</v>
      </c>
      <c r="L807" s="18">
        <f>iferror(VLOOKUP($D807,Details!$A$2:$C$11,2,false),vlookup($D807,Details!$E$2:$G$11,2,false))</f>
        <v>55</v>
      </c>
      <c r="M807" s="18" t="str">
        <f>iferror(VLOOKUP($D807,Details!$A$2:$C$11,3,false),vlookup($D807,Details!$E$2:$G$11,3,false))</f>
        <v>Fruits and Vegetables</v>
      </c>
      <c r="N807" s="18">
        <f t="shared" si="1"/>
        <v>110</v>
      </c>
      <c r="O807" s="17"/>
      <c r="P807" s="17"/>
      <c r="Q807" s="17"/>
      <c r="R807" s="17"/>
      <c r="S807" s="17"/>
      <c r="T807" s="17"/>
      <c r="U807" s="17"/>
      <c r="V807" s="17"/>
      <c r="W807" s="17"/>
      <c r="X807" s="17"/>
      <c r="Y807" s="17"/>
      <c r="Z807" s="17"/>
    </row>
    <row r="808">
      <c r="A808" s="18" t="str">
        <f>IFERROR(__xludf.DUMMYFUNCTION("""COMPUTED_VALUE"""),"ord_10799")</f>
        <v>ord_10799</v>
      </c>
      <c r="B808" s="18" t="str">
        <f>IFERROR(__xludf.DUMMYFUNCTION("""COMPUTED_VALUE"""),"Aditi Iyer")</f>
        <v>Aditi Iyer</v>
      </c>
      <c r="C808" s="18" t="str">
        <f>IFERROR(__xludf.DUMMYFUNCTION("""COMPUTED_VALUE"""),"Dadar")</f>
        <v>Dadar</v>
      </c>
      <c r="D808" s="18" t="str">
        <f>IFERROR(__xludf.DUMMYFUNCTION("""COMPUTED_VALUE"""),"Sweet Corn")</f>
        <v>Sweet Corn</v>
      </c>
      <c r="E808" s="18">
        <f>IFERROR(__xludf.DUMMYFUNCTION("""COMPUTED_VALUE"""),2.0)</f>
        <v>2</v>
      </c>
      <c r="F808" s="18" t="str">
        <f>IFERROR(__xludf.DUMMYFUNCTION("""COMPUTED_VALUE"""),"Aman Kumar")</f>
        <v>Aman Kumar</v>
      </c>
      <c r="G808" s="19">
        <f>IFERROR(__xludf.DUMMYFUNCTION("""COMPUTED_VALUE"""),45148.0)</f>
        <v>45148</v>
      </c>
      <c r="H808" s="18" t="str">
        <f>IFERROR(__xludf.DUMMYFUNCTION("""COMPUTED_VALUE"""),"Credit Card")</f>
        <v>Credit Card</v>
      </c>
      <c r="I808" s="18" t="str">
        <f>IFERROR(__xludf.DUMMYFUNCTION("""COMPUTED_VALUE"""),"Delivered")</f>
        <v>Delivered</v>
      </c>
      <c r="J808" s="18" t="str">
        <f>IFERROR(__xludf.DUMMYFUNCTION("""COMPUTED_VALUE"""),"Quality of Items")</f>
        <v>Quality of Items</v>
      </c>
      <c r="K808" s="18" t="str">
        <f>IFERROR(__xludf.DUMMYFUNCTION("""COMPUTED_VALUE"""),"Perfect condition")</f>
        <v>Perfect condition</v>
      </c>
      <c r="L808" s="18">
        <f>iferror(VLOOKUP($D808,Details!$A$2:$C$11,2,false),vlookup($D808,Details!$E$2:$G$11,2,false))</f>
        <v>60</v>
      </c>
      <c r="M808" s="18" t="str">
        <f>iferror(VLOOKUP($D808,Details!$A$2:$C$11,3,false),vlookup($D808,Details!$E$2:$G$11,3,false))</f>
        <v>Fruits and Vegetables</v>
      </c>
      <c r="N808" s="18">
        <f t="shared" si="1"/>
        <v>120</v>
      </c>
      <c r="O808" s="17"/>
      <c r="P808" s="17"/>
      <c r="Q808" s="17"/>
      <c r="R808" s="17"/>
      <c r="S808" s="17"/>
      <c r="T808" s="17"/>
      <c r="U808" s="17"/>
      <c r="V808" s="17"/>
      <c r="W808" s="17"/>
      <c r="X808" s="17"/>
      <c r="Y808" s="17"/>
      <c r="Z808" s="17"/>
    </row>
    <row r="809">
      <c r="A809" s="18" t="str">
        <f>IFERROR(__xludf.DUMMYFUNCTION("""COMPUTED_VALUE"""),"ord_10800")</f>
        <v>ord_10800</v>
      </c>
      <c r="B809" s="18" t="str">
        <f>IFERROR(__xludf.DUMMYFUNCTION("""COMPUTED_VALUE"""),"Omkar Mishra")</f>
        <v>Omkar Mishra</v>
      </c>
      <c r="C809" s="18" t="str">
        <f>IFERROR(__xludf.DUMMYFUNCTION("""COMPUTED_VALUE"""),"Powai")</f>
        <v>Powai</v>
      </c>
      <c r="D809" s="18" t="str">
        <f>IFERROR(__xludf.DUMMYFUNCTION("""COMPUTED_VALUE"""),"Apple")</f>
        <v>Apple</v>
      </c>
      <c r="E809" s="18">
        <f>IFERROR(__xludf.DUMMYFUNCTION("""COMPUTED_VALUE"""),1.0)</f>
        <v>1</v>
      </c>
      <c r="F809" s="18" t="str">
        <f>IFERROR(__xludf.DUMMYFUNCTION("""COMPUTED_VALUE"""),"Sandeep Kumar")</f>
        <v>Sandeep Kumar</v>
      </c>
      <c r="G809" s="19">
        <f>IFERROR(__xludf.DUMMYFUNCTION("""COMPUTED_VALUE"""),45137.0)</f>
        <v>45137</v>
      </c>
      <c r="H809" s="18" t="str">
        <f>IFERROR(__xludf.DUMMYFUNCTION("""COMPUTED_VALUE"""),"UPI")</f>
        <v>UPI</v>
      </c>
      <c r="I809" s="18" t="str">
        <f>IFERROR(__xludf.DUMMYFUNCTION("""COMPUTED_VALUE"""),"Delivered")</f>
        <v>Delivered</v>
      </c>
      <c r="J809" s="18" t="str">
        <f>IFERROR(__xludf.DUMMYFUNCTION("""COMPUTED_VALUE"""),"On-time Delivery")</f>
        <v>On-time Delivery</v>
      </c>
      <c r="K809" s="18" t="str">
        <f>IFERROR(__xludf.DUMMYFUNCTION("""COMPUTED_VALUE"""),"Delivered on time")</f>
        <v>Delivered on time</v>
      </c>
      <c r="L809" s="18">
        <f>iferror(VLOOKUP($D809,Details!$A$2:$C$11,2,false),vlookup($D809,Details!$E$2:$G$11,2,false))</f>
        <v>230</v>
      </c>
      <c r="M809" s="18" t="str">
        <f>iferror(VLOOKUP($D809,Details!$A$2:$C$11,3,false),vlookup($D809,Details!$E$2:$G$11,3,false))</f>
        <v>Fruits and Vegetables</v>
      </c>
      <c r="N809" s="18">
        <f t="shared" si="1"/>
        <v>230</v>
      </c>
      <c r="O809" s="17"/>
      <c r="P809" s="17"/>
      <c r="Q809" s="17"/>
      <c r="R809" s="17"/>
      <c r="S809" s="17"/>
      <c r="T809" s="17"/>
      <c r="U809" s="17"/>
      <c r="V809" s="17"/>
      <c r="W809" s="17"/>
      <c r="X809" s="17"/>
      <c r="Y809" s="17"/>
      <c r="Z809" s="17"/>
    </row>
    <row r="810">
      <c r="A810" s="18" t="str">
        <f>IFERROR(__xludf.DUMMYFUNCTION("""COMPUTED_VALUE"""),"ord_10801")</f>
        <v>ord_10801</v>
      </c>
      <c r="B810" s="18" t="str">
        <f>IFERROR(__xludf.DUMMYFUNCTION("""COMPUTED_VALUE"""),"Aditya Basu")</f>
        <v>Aditya Basu</v>
      </c>
      <c r="C810" s="18" t="str">
        <f>IFERROR(__xludf.DUMMYFUNCTION("""COMPUTED_VALUE"""),"Juhu")</f>
        <v>Juhu</v>
      </c>
      <c r="D810" s="18" t="str">
        <f>IFERROR(__xludf.DUMMYFUNCTION("""COMPUTED_VALUE"""),"Papaya")</f>
        <v>Papaya</v>
      </c>
      <c r="E810" s="18">
        <f>IFERROR(__xludf.DUMMYFUNCTION("""COMPUTED_VALUE"""),2.0)</f>
        <v>2</v>
      </c>
      <c r="F810" s="18" t="str">
        <f>IFERROR(__xludf.DUMMYFUNCTION("""COMPUTED_VALUE"""),"Tanvi Jain")</f>
        <v>Tanvi Jain</v>
      </c>
      <c r="G810" s="19">
        <f>IFERROR(__xludf.DUMMYFUNCTION("""COMPUTED_VALUE"""),45091.0)</f>
        <v>45091</v>
      </c>
      <c r="H810" s="18" t="str">
        <f>IFERROR(__xludf.DUMMYFUNCTION("""COMPUTED_VALUE"""),"UPI")</f>
        <v>UPI</v>
      </c>
      <c r="I810" s="18" t="str">
        <f>IFERROR(__xludf.DUMMYFUNCTION("""COMPUTED_VALUE"""),"Delivered")</f>
        <v>Delivered</v>
      </c>
      <c r="J810" s="18" t="str">
        <f>IFERROR(__xludf.DUMMYFUNCTION("""COMPUTED_VALUE"""),"Quality of Items")</f>
        <v>Quality of Items</v>
      </c>
      <c r="K810" s="18" t="str">
        <f>IFERROR(__xludf.DUMMYFUNCTION("""COMPUTED_VALUE"""),"Perfect condition")</f>
        <v>Perfect condition</v>
      </c>
      <c r="L810" s="18">
        <f>iferror(VLOOKUP($D810,Details!$A$2:$C$11,2,false),vlookup($D810,Details!$E$2:$G$11,2,false))</f>
        <v>75</v>
      </c>
      <c r="M810" s="18" t="str">
        <f>iferror(VLOOKUP($D810,Details!$A$2:$C$11,3,false),vlookup($D810,Details!$E$2:$G$11,3,false))</f>
        <v>Fruits and Vegetables</v>
      </c>
      <c r="N810" s="18">
        <f t="shared" si="1"/>
        <v>150</v>
      </c>
      <c r="O810" s="17"/>
      <c r="P810" s="17"/>
      <c r="Q810" s="17"/>
      <c r="R810" s="17"/>
      <c r="S810" s="17"/>
      <c r="T810" s="17"/>
      <c r="U810" s="17"/>
      <c r="V810" s="17"/>
      <c r="W810" s="17"/>
      <c r="X810" s="17"/>
      <c r="Y810" s="17"/>
      <c r="Z810" s="17"/>
    </row>
    <row r="811">
      <c r="A811" s="18" t="str">
        <f>IFERROR(__xludf.DUMMYFUNCTION("""COMPUTED_VALUE"""),"ord_10802")</f>
        <v>ord_10802</v>
      </c>
      <c r="B811" s="18" t="str">
        <f>IFERROR(__xludf.DUMMYFUNCTION("""COMPUTED_VALUE"""),"Pranav Joshi")</f>
        <v>Pranav Joshi</v>
      </c>
      <c r="C811" s="18" t="str">
        <f>IFERROR(__xludf.DUMMYFUNCTION("""COMPUTED_VALUE"""),"Andheri")</f>
        <v>Andheri</v>
      </c>
      <c r="D811" s="18" t="str">
        <f>IFERROR(__xludf.DUMMYFUNCTION("""COMPUTED_VALUE"""),"Chocolate Mousse")</f>
        <v>Chocolate Mousse</v>
      </c>
      <c r="E811" s="18">
        <f>IFERROR(__xludf.DUMMYFUNCTION("""COMPUTED_VALUE"""),3.0)</f>
        <v>3</v>
      </c>
      <c r="F811" s="18" t="str">
        <f>IFERROR(__xludf.DUMMYFUNCTION("""COMPUTED_VALUE"""),"Rohan Yadav")</f>
        <v>Rohan Yadav</v>
      </c>
      <c r="G811" s="19">
        <f>IFERROR(__xludf.DUMMYFUNCTION("""COMPUTED_VALUE"""),45201.0)</f>
        <v>45201</v>
      </c>
      <c r="H811" s="18" t="str">
        <f>IFERROR(__xludf.DUMMYFUNCTION("""COMPUTED_VALUE"""),"UPI")</f>
        <v>UPI</v>
      </c>
      <c r="I811" s="18" t="str">
        <f>IFERROR(__xludf.DUMMYFUNCTION("""COMPUTED_VALUE"""),"Delivered")</f>
        <v>Delivered</v>
      </c>
      <c r="J811" s="18" t="str">
        <f>IFERROR(__xludf.DUMMYFUNCTION("""COMPUTED_VALUE"""),"Packaging")</f>
        <v>Packaging</v>
      </c>
      <c r="K811" s="18" t="str">
        <f>IFERROR(__xludf.DUMMYFUNCTION("""COMPUTED_VALUE"""),"Secure and intact")</f>
        <v>Secure and intact</v>
      </c>
      <c r="L811" s="18">
        <f>iferror(VLOOKUP($D811,Details!$A$2:$C$11,2,false),vlookup($D811,Details!$E$2:$G$11,2,false))</f>
        <v>145</v>
      </c>
      <c r="M811" s="18" t="str">
        <f>iferror(VLOOKUP($D811,Details!$A$2:$C$11,3,false),vlookup($D811,Details!$E$2:$G$11,3,false))</f>
        <v>Snacks and Drinks</v>
      </c>
      <c r="N811" s="18">
        <f t="shared" si="1"/>
        <v>435</v>
      </c>
      <c r="O811" s="17"/>
      <c r="P811" s="17"/>
      <c r="Q811" s="17"/>
      <c r="R811" s="17"/>
      <c r="S811" s="17"/>
      <c r="T811" s="17"/>
      <c r="U811" s="17"/>
      <c r="V811" s="17"/>
      <c r="W811" s="17"/>
      <c r="X811" s="17"/>
      <c r="Y811" s="17"/>
      <c r="Z811" s="17"/>
    </row>
    <row r="812">
      <c r="A812" s="18" t="str">
        <f>IFERROR(__xludf.DUMMYFUNCTION("""COMPUTED_VALUE"""),"ord_10803")</f>
        <v>ord_10803</v>
      </c>
      <c r="B812" s="18" t="str">
        <f>IFERROR(__xludf.DUMMYFUNCTION("""COMPUTED_VALUE"""),"Tanishq Bansal")</f>
        <v>Tanishq Bansal</v>
      </c>
      <c r="C812" s="18" t="str">
        <f>IFERROR(__xludf.DUMMYFUNCTION("""COMPUTED_VALUE"""),"Powai")</f>
        <v>Powai</v>
      </c>
      <c r="D812" s="18" t="str">
        <f>IFERROR(__xludf.DUMMYFUNCTION("""COMPUTED_VALUE"""),"Icecream")</f>
        <v>Icecream</v>
      </c>
      <c r="E812" s="18">
        <f>IFERROR(__xludf.DUMMYFUNCTION("""COMPUTED_VALUE"""),4.0)</f>
        <v>4</v>
      </c>
      <c r="F812" s="18" t="str">
        <f>IFERROR(__xludf.DUMMYFUNCTION("""COMPUTED_VALUE"""),"Sandeep Kumar")</f>
        <v>Sandeep Kumar</v>
      </c>
      <c r="G812" s="19">
        <f>IFERROR(__xludf.DUMMYFUNCTION("""COMPUTED_VALUE"""),44971.0)</f>
        <v>44971</v>
      </c>
      <c r="H812" s="18" t="str">
        <f>IFERROR(__xludf.DUMMYFUNCTION("""COMPUTED_VALUE"""),"Credit Card")</f>
        <v>Credit Card</v>
      </c>
      <c r="I812" s="18" t="str">
        <f>IFERROR(__xludf.DUMMYFUNCTION("""COMPUTED_VALUE"""),"Delivered")</f>
        <v>Delivered</v>
      </c>
      <c r="J812" s="18" t="str">
        <f>IFERROR(__xludf.DUMMYFUNCTION("""COMPUTED_VALUE"""),"Satisfied with the Delivery")</f>
        <v>Satisfied with the Delivery</v>
      </c>
      <c r="K812" s="18" t="str">
        <f>IFERROR(__xludf.DUMMYFUNCTION("""COMPUTED_VALUE"""),"Timely and quality")</f>
        <v>Timely and quality</v>
      </c>
      <c r="L812" s="18">
        <f>iferror(VLOOKUP($D812,Details!$A$2:$C$11,2,false),vlookup($D812,Details!$E$2:$G$11,2,false))</f>
        <v>90</v>
      </c>
      <c r="M812" s="18" t="str">
        <f>iferror(VLOOKUP($D812,Details!$A$2:$C$11,3,false),vlookup($D812,Details!$E$2:$G$11,3,false))</f>
        <v>Snacks and Drinks</v>
      </c>
      <c r="N812" s="18">
        <f t="shared" si="1"/>
        <v>360</v>
      </c>
      <c r="O812" s="17"/>
      <c r="P812" s="17"/>
      <c r="Q812" s="17"/>
      <c r="R812" s="17"/>
      <c r="S812" s="17"/>
      <c r="T812" s="17"/>
      <c r="U812" s="17"/>
      <c r="V812" s="17"/>
      <c r="W812" s="17"/>
      <c r="X812" s="17"/>
      <c r="Y812" s="17"/>
      <c r="Z812" s="17"/>
    </row>
    <row r="813">
      <c r="A813" s="18" t="str">
        <f>IFERROR(__xludf.DUMMYFUNCTION("""COMPUTED_VALUE"""),"ord_10804")</f>
        <v>ord_10804</v>
      </c>
      <c r="B813" s="18" t="str">
        <f>IFERROR(__xludf.DUMMYFUNCTION("""COMPUTED_VALUE"""),"Arvind Kulkarni")</f>
        <v>Arvind Kulkarni</v>
      </c>
      <c r="C813" s="18" t="str">
        <f>IFERROR(__xludf.DUMMYFUNCTION("""COMPUTED_VALUE"""),"Juhu")</f>
        <v>Juhu</v>
      </c>
      <c r="D813" s="18" t="str">
        <f>IFERROR(__xludf.DUMMYFUNCTION("""COMPUTED_VALUE"""),"Icecream")</f>
        <v>Icecream</v>
      </c>
      <c r="E813" s="18">
        <f>IFERROR(__xludf.DUMMYFUNCTION("""COMPUTED_VALUE"""),2.0)</f>
        <v>2</v>
      </c>
      <c r="F813" s="18" t="str">
        <f>IFERROR(__xludf.DUMMYFUNCTION("""COMPUTED_VALUE"""),"Tanvi Jain")</f>
        <v>Tanvi Jain</v>
      </c>
      <c r="G813" s="19">
        <f>IFERROR(__xludf.DUMMYFUNCTION("""COMPUTED_VALUE"""),45153.0)</f>
        <v>45153</v>
      </c>
      <c r="H813" s="18" t="str">
        <f>IFERROR(__xludf.DUMMYFUNCTION("""COMPUTED_VALUE"""),"Credit Card")</f>
        <v>Credit Card</v>
      </c>
      <c r="I813" s="18" t="str">
        <f>IFERROR(__xludf.DUMMYFUNCTION("""COMPUTED_VALUE"""),"Delivered")</f>
        <v>Delivered</v>
      </c>
      <c r="J813" s="18" t="str">
        <f>IFERROR(__xludf.DUMMYFUNCTION("""COMPUTED_VALUE"""),"Customer Service")</f>
        <v>Customer Service</v>
      </c>
      <c r="K813" s="18" t="str">
        <f>IFERROR(__xludf.DUMMYFUNCTION("""COMPUTED_VALUE"""),"Seamless and easy")</f>
        <v>Seamless and easy</v>
      </c>
      <c r="L813" s="18">
        <f>iferror(VLOOKUP($D813,Details!$A$2:$C$11,2,false),vlookup($D813,Details!$E$2:$G$11,2,false))</f>
        <v>90</v>
      </c>
      <c r="M813" s="18" t="str">
        <f>iferror(VLOOKUP($D813,Details!$A$2:$C$11,3,false),vlookup($D813,Details!$E$2:$G$11,3,false))</f>
        <v>Snacks and Drinks</v>
      </c>
      <c r="N813" s="18">
        <f t="shared" si="1"/>
        <v>180</v>
      </c>
      <c r="O813" s="17"/>
      <c r="P813" s="17"/>
      <c r="Q813" s="17"/>
      <c r="R813" s="17"/>
      <c r="S813" s="17"/>
      <c r="T813" s="17"/>
      <c r="U813" s="17"/>
      <c r="V813" s="17"/>
      <c r="W813" s="17"/>
      <c r="X813" s="17"/>
      <c r="Y813" s="17"/>
      <c r="Z813" s="17"/>
    </row>
    <row r="814">
      <c r="A814" s="18" t="str">
        <f>IFERROR(__xludf.DUMMYFUNCTION("""COMPUTED_VALUE"""),"ord_10805")</f>
        <v>ord_10805</v>
      </c>
      <c r="B814" s="18" t="str">
        <f>IFERROR(__xludf.DUMMYFUNCTION("""COMPUTED_VALUE"""),"Siya Reddy")</f>
        <v>Siya Reddy</v>
      </c>
      <c r="C814" s="18" t="str">
        <f>IFERROR(__xludf.DUMMYFUNCTION("""COMPUTED_VALUE"""),"Juhu")</f>
        <v>Juhu</v>
      </c>
      <c r="D814" s="18" t="str">
        <f>IFERROR(__xludf.DUMMYFUNCTION("""COMPUTED_VALUE"""),"Papaya")</f>
        <v>Papaya</v>
      </c>
      <c r="E814" s="18">
        <f>IFERROR(__xludf.DUMMYFUNCTION("""COMPUTED_VALUE"""),2.0)</f>
        <v>2</v>
      </c>
      <c r="F814" s="18" t="str">
        <f>IFERROR(__xludf.DUMMYFUNCTION("""COMPUTED_VALUE"""),"Tanvi Jain")</f>
        <v>Tanvi Jain</v>
      </c>
      <c r="G814" s="19">
        <f>IFERROR(__xludf.DUMMYFUNCTION("""COMPUTED_VALUE"""),45282.0)</f>
        <v>45282</v>
      </c>
      <c r="H814" s="18" t="str">
        <f>IFERROR(__xludf.DUMMYFUNCTION("""COMPUTED_VALUE"""),"Credit Card")</f>
        <v>Credit Card</v>
      </c>
      <c r="I814" s="18" t="str">
        <f>IFERROR(__xludf.DUMMYFUNCTION("""COMPUTED_VALUE"""),"Delivered")</f>
        <v>Delivered</v>
      </c>
      <c r="J814" s="18" t="str">
        <f>IFERROR(__xludf.DUMMYFUNCTION("""COMPUTED_VALUE"""),"Delivery Experience")</f>
        <v>Delivery Experience</v>
      </c>
      <c r="K814" s="18" t="str">
        <f>IFERROR(__xludf.DUMMYFUNCTION("""COMPUTED_VALUE"""),"Quick and professional")</f>
        <v>Quick and professional</v>
      </c>
      <c r="L814" s="18">
        <f>iferror(VLOOKUP($D814,Details!$A$2:$C$11,2,false),vlookup($D814,Details!$E$2:$G$11,2,false))</f>
        <v>75</v>
      </c>
      <c r="M814" s="18" t="str">
        <f>iferror(VLOOKUP($D814,Details!$A$2:$C$11,3,false),vlookup($D814,Details!$E$2:$G$11,3,false))</f>
        <v>Fruits and Vegetables</v>
      </c>
      <c r="N814" s="18">
        <f t="shared" si="1"/>
        <v>150</v>
      </c>
      <c r="O814" s="17"/>
      <c r="P814" s="17"/>
      <c r="Q814" s="17"/>
      <c r="R814" s="17"/>
      <c r="S814" s="17"/>
      <c r="T814" s="17"/>
      <c r="U814" s="17"/>
      <c r="V814" s="17"/>
      <c r="W814" s="17"/>
      <c r="X814" s="17"/>
      <c r="Y814" s="17"/>
      <c r="Z814" s="17"/>
    </row>
    <row r="815">
      <c r="A815" s="18" t="str">
        <f>IFERROR(__xludf.DUMMYFUNCTION("""COMPUTED_VALUE"""),"ord_10806")</f>
        <v>ord_10806</v>
      </c>
      <c r="B815" s="18" t="str">
        <f>IFERROR(__xludf.DUMMYFUNCTION("""COMPUTED_VALUE"""),"Dev Chauhan")</f>
        <v>Dev Chauhan</v>
      </c>
      <c r="C815" s="18" t="str">
        <f>IFERROR(__xludf.DUMMYFUNCTION("""COMPUTED_VALUE"""),"Bandra")</f>
        <v>Bandra</v>
      </c>
      <c r="D815" s="18" t="str">
        <f>IFERROR(__xludf.DUMMYFUNCTION("""COMPUTED_VALUE"""),"Chicken Puff")</f>
        <v>Chicken Puff</v>
      </c>
      <c r="E815" s="18">
        <f>IFERROR(__xludf.DUMMYFUNCTION("""COMPUTED_VALUE"""),5.0)</f>
        <v>5</v>
      </c>
      <c r="F815" s="18" t="str">
        <f>IFERROR(__xludf.DUMMYFUNCTION("""COMPUTED_VALUE"""),"Priya Joshi")</f>
        <v>Priya Joshi</v>
      </c>
      <c r="G815" s="19">
        <f>IFERROR(__xludf.DUMMYFUNCTION("""COMPUTED_VALUE"""),45227.0)</f>
        <v>45227</v>
      </c>
      <c r="H815" s="18" t="str">
        <f>IFERROR(__xludf.DUMMYFUNCTION("""COMPUTED_VALUE"""),"Online Payment")</f>
        <v>Online Payment</v>
      </c>
      <c r="I815" s="18" t="str">
        <f>IFERROR(__xludf.DUMMYFUNCTION("""COMPUTED_VALUE"""),"Delivered")</f>
        <v>Delivered</v>
      </c>
      <c r="J815" s="18" t="str">
        <f>IFERROR(__xludf.DUMMYFUNCTION("""COMPUTED_VALUE"""),"Convenience")</f>
        <v>Convenience</v>
      </c>
      <c r="K815" s="18" t="str">
        <f>IFERROR(__xludf.DUMMYFUNCTION("""COMPUTED_VALUE"""),"Easy tracking")</f>
        <v>Easy tracking</v>
      </c>
      <c r="L815" s="18">
        <f>iferror(VLOOKUP($D815,Details!$A$2:$C$11,2,false),vlookup($D815,Details!$E$2:$G$11,2,false))</f>
        <v>90</v>
      </c>
      <c r="M815" s="18" t="str">
        <f>iferror(VLOOKUP($D815,Details!$A$2:$C$11,3,false),vlookup($D815,Details!$E$2:$G$11,3,false))</f>
        <v>Snacks and Drinks</v>
      </c>
      <c r="N815" s="18">
        <f t="shared" si="1"/>
        <v>450</v>
      </c>
      <c r="O815" s="17"/>
      <c r="P815" s="17"/>
      <c r="Q815" s="17"/>
      <c r="R815" s="17"/>
      <c r="S815" s="17"/>
      <c r="T815" s="17"/>
      <c r="U815" s="17"/>
      <c r="V815" s="17"/>
      <c r="W815" s="17"/>
      <c r="X815" s="17"/>
      <c r="Y815" s="17"/>
      <c r="Z815" s="17"/>
    </row>
    <row r="816">
      <c r="A816" s="18" t="str">
        <f>IFERROR(__xludf.DUMMYFUNCTION("""COMPUTED_VALUE"""),"ord_10807")</f>
        <v>ord_10807</v>
      </c>
      <c r="B816" s="18" t="str">
        <f>IFERROR(__xludf.DUMMYFUNCTION("""COMPUTED_VALUE"""),"Pranav Joshi")</f>
        <v>Pranav Joshi</v>
      </c>
      <c r="C816" s="18" t="str">
        <f>IFERROR(__xludf.DUMMYFUNCTION("""COMPUTED_VALUE"""),"Andheri")</f>
        <v>Andheri</v>
      </c>
      <c r="D816" s="18" t="str">
        <f>IFERROR(__xludf.DUMMYFUNCTION("""COMPUTED_VALUE"""),"Chicken Puff")</f>
        <v>Chicken Puff</v>
      </c>
      <c r="E816" s="18">
        <f>IFERROR(__xludf.DUMMYFUNCTION("""COMPUTED_VALUE"""),2.0)</f>
        <v>2</v>
      </c>
      <c r="F816" s="18" t="str">
        <f>IFERROR(__xludf.DUMMYFUNCTION("""COMPUTED_VALUE"""),"Rohan Yadav")</f>
        <v>Rohan Yadav</v>
      </c>
      <c r="G816" s="19">
        <f>IFERROR(__xludf.DUMMYFUNCTION("""COMPUTED_VALUE"""),45073.0)</f>
        <v>45073</v>
      </c>
      <c r="H816" s="18" t="str">
        <f>IFERROR(__xludf.DUMMYFUNCTION("""COMPUTED_VALUE"""),"UPI")</f>
        <v>UPI</v>
      </c>
      <c r="I816" s="18" t="str">
        <f>IFERROR(__xludf.DUMMYFUNCTION("""COMPUTED_VALUE"""),"Delivered")</f>
        <v>Delivered</v>
      </c>
      <c r="J816" s="18" t="str">
        <f>IFERROR(__xludf.DUMMYFUNCTION("""COMPUTED_VALUE"""),"Overall Satisfaction")</f>
        <v>Overall Satisfaction</v>
      </c>
      <c r="K816" s="18" t="str">
        <f>IFERROR(__xludf.DUMMYFUNCTION("""COMPUTED_VALUE"""),"Great service will order again")</f>
        <v>Great service will order again</v>
      </c>
      <c r="L816" s="18">
        <f>iferror(VLOOKUP($D816,Details!$A$2:$C$11,2,false),vlookup($D816,Details!$E$2:$G$11,2,false))</f>
        <v>90</v>
      </c>
      <c r="M816" s="18" t="str">
        <f>iferror(VLOOKUP($D816,Details!$A$2:$C$11,3,false),vlookup($D816,Details!$E$2:$G$11,3,false))</f>
        <v>Snacks and Drinks</v>
      </c>
      <c r="N816" s="18">
        <f t="shared" si="1"/>
        <v>180</v>
      </c>
      <c r="O816" s="17"/>
      <c r="P816" s="17"/>
      <c r="Q816" s="17"/>
      <c r="R816" s="17"/>
      <c r="S816" s="17"/>
      <c r="T816" s="17"/>
      <c r="U816" s="17"/>
      <c r="V816" s="17"/>
      <c r="W816" s="17"/>
      <c r="X816" s="17"/>
      <c r="Y816" s="17"/>
      <c r="Z816" s="17"/>
    </row>
    <row r="817">
      <c r="A817" s="18" t="str">
        <f>IFERROR(__xludf.DUMMYFUNCTION("""COMPUTED_VALUE"""),"ord_10808")</f>
        <v>ord_10808</v>
      </c>
      <c r="B817" s="18" t="str">
        <f>IFERROR(__xludf.DUMMYFUNCTION("""COMPUTED_VALUE"""),"Siya Reddy")</f>
        <v>Siya Reddy</v>
      </c>
      <c r="C817" s="18" t="str">
        <f>IFERROR(__xludf.DUMMYFUNCTION("""COMPUTED_VALUE"""),"Juhu")</f>
        <v>Juhu</v>
      </c>
      <c r="D817" s="18" t="str">
        <f>IFERROR(__xludf.DUMMYFUNCTION("""COMPUTED_VALUE"""),"Papaya")</f>
        <v>Papaya</v>
      </c>
      <c r="E817" s="18">
        <f>IFERROR(__xludf.DUMMYFUNCTION("""COMPUTED_VALUE"""),1.0)</f>
        <v>1</v>
      </c>
      <c r="F817" s="18" t="str">
        <f>IFERROR(__xludf.DUMMYFUNCTION("""COMPUTED_VALUE"""),"Not Assigned")</f>
        <v>Not Assigned</v>
      </c>
      <c r="G817" s="19">
        <f>IFERROR(__xludf.DUMMYFUNCTION("""COMPUTED_VALUE"""),45143.0)</f>
        <v>45143</v>
      </c>
      <c r="H817" s="18" t="str">
        <f>IFERROR(__xludf.DUMMYFUNCTION("""COMPUTED_VALUE"""),"Credit Card")</f>
        <v>Credit Card</v>
      </c>
      <c r="I817" s="18" t="str">
        <f>IFERROR(__xludf.DUMMYFUNCTION("""COMPUTED_VALUE"""),"Cancelled")</f>
        <v>Cancelled</v>
      </c>
      <c r="J817" s="18" t="str">
        <f>IFERROR(__xludf.DUMMYFUNCTION("""COMPUTED_VALUE"""),"High Delivery Fees")</f>
        <v>High Delivery Fees</v>
      </c>
      <c r="K817" s="18"/>
      <c r="L817" s="18">
        <f>iferror(VLOOKUP($D817,Details!$A$2:$C$11,2,false),vlookup($D817,Details!$E$2:$G$11,2,false))</f>
        <v>75</v>
      </c>
      <c r="M817" s="18" t="str">
        <f>iferror(VLOOKUP($D817,Details!$A$2:$C$11,3,false),vlookup($D817,Details!$E$2:$G$11,3,false))</f>
        <v>Fruits and Vegetables</v>
      </c>
      <c r="N817" s="18">
        <f t="shared" si="1"/>
        <v>75</v>
      </c>
      <c r="O817" s="17"/>
      <c r="P817" s="17"/>
      <c r="Q817" s="17"/>
      <c r="R817" s="17"/>
      <c r="S817" s="17"/>
      <c r="T817" s="17"/>
      <c r="U817" s="17"/>
      <c r="V817" s="17"/>
      <c r="W817" s="17"/>
      <c r="X817" s="17"/>
      <c r="Y817" s="17"/>
      <c r="Z817" s="17"/>
    </row>
    <row r="818">
      <c r="A818" s="18" t="str">
        <f>IFERROR(__xludf.DUMMYFUNCTION("""COMPUTED_VALUE"""),"ord_10809")</f>
        <v>ord_10809</v>
      </c>
      <c r="B818" s="18" t="str">
        <f>IFERROR(__xludf.DUMMYFUNCTION("""COMPUTED_VALUE"""),"Aarav Mehta")</f>
        <v>Aarav Mehta</v>
      </c>
      <c r="C818" s="18" t="str">
        <f>IFERROR(__xludf.DUMMYFUNCTION("""COMPUTED_VALUE"""),"Andheri")</f>
        <v>Andheri</v>
      </c>
      <c r="D818" s="18" t="str">
        <f>IFERROR(__xludf.DUMMYFUNCTION("""COMPUTED_VALUE"""),"Orange")</f>
        <v>Orange</v>
      </c>
      <c r="E818" s="18">
        <f>IFERROR(__xludf.DUMMYFUNCTION("""COMPUTED_VALUE"""),1.0)</f>
        <v>1</v>
      </c>
      <c r="F818" s="18" t="str">
        <f>IFERROR(__xludf.DUMMYFUNCTION("""COMPUTED_VALUE"""),"Rohan Yadav")</f>
        <v>Rohan Yadav</v>
      </c>
      <c r="G818" s="19">
        <f>IFERROR(__xludf.DUMMYFUNCTION("""COMPUTED_VALUE"""),45165.0)</f>
        <v>45165</v>
      </c>
      <c r="H818" s="18" t="str">
        <f>IFERROR(__xludf.DUMMYFUNCTION("""COMPUTED_VALUE"""),"Online Payment")</f>
        <v>Online Payment</v>
      </c>
      <c r="I818" s="18" t="str">
        <f>IFERROR(__xludf.DUMMYFUNCTION("""COMPUTED_VALUE"""),"Delivered")</f>
        <v>Delivered</v>
      </c>
      <c r="J818" s="18" t="str">
        <f>IFERROR(__xludf.DUMMYFUNCTION("""COMPUTED_VALUE"""),"On-time Delivery")</f>
        <v>On-time Delivery</v>
      </c>
      <c r="K818" s="18" t="str">
        <f>IFERROR(__xludf.DUMMYFUNCTION("""COMPUTED_VALUE"""),"Delivered on time")</f>
        <v>Delivered on time</v>
      </c>
      <c r="L818" s="18">
        <f>iferror(VLOOKUP($D818,Details!$A$2:$C$11,2,false),vlookup($D818,Details!$E$2:$G$11,2,false))</f>
        <v>180</v>
      </c>
      <c r="M818" s="18" t="str">
        <f>iferror(VLOOKUP($D818,Details!$A$2:$C$11,3,false),vlookup($D818,Details!$E$2:$G$11,3,false))</f>
        <v>Fruits and Vegetables</v>
      </c>
      <c r="N818" s="18">
        <f t="shared" si="1"/>
        <v>180</v>
      </c>
      <c r="O818" s="17"/>
      <c r="P818" s="17"/>
      <c r="Q818" s="17"/>
      <c r="R818" s="17"/>
      <c r="S818" s="17"/>
      <c r="T818" s="17"/>
      <c r="U818" s="17"/>
      <c r="V818" s="17"/>
      <c r="W818" s="17"/>
      <c r="X818" s="17"/>
      <c r="Y818" s="17"/>
      <c r="Z818" s="17"/>
    </row>
    <row r="819">
      <c r="A819" s="18" t="str">
        <f>IFERROR(__xludf.DUMMYFUNCTION("""COMPUTED_VALUE"""),"ord_10810")</f>
        <v>ord_10810</v>
      </c>
      <c r="B819" s="18" t="str">
        <f>IFERROR(__xludf.DUMMYFUNCTION("""COMPUTED_VALUE"""),"Sakshi Tandon")</f>
        <v>Sakshi Tandon</v>
      </c>
      <c r="C819" s="18" t="str">
        <f>IFERROR(__xludf.DUMMYFUNCTION("""COMPUTED_VALUE"""),"Colaba")</f>
        <v>Colaba</v>
      </c>
      <c r="D819" s="18" t="str">
        <f>IFERROR(__xludf.DUMMYFUNCTION("""COMPUTED_VALUE"""),"Apple")</f>
        <v>Apple</v>
      </c>
      <c r="E819" s="18">
        <f>IFERROR(__xludf.DUMMYFUNCTION("""COMPUTED_VALUE"""),1.0)</f>
        <v>1</v>
      </c>
      <c r="F819" s="18" t="str">
        <f>IFERROR(__xludf.DUMMYFUNCTION("""COMPUTED_VALUE"""),"Nikhil Deshmukh")</f>
        <v>Nikhil Deshmukh</v>
      </c>
      <c r="G819" s="19">
        <f>IFERROR(__xludf.DUMMYFUNCTION("""COMPUTED_VALUE"""),45165.0)</f>
        <v>45165</v>
      </c>
      <c r="H819" s="18" t="str">
        <f>IFERROR(__xludf.DUMMYFUNCTION("""COMPUTED_VALUE"""),"Credit Card")</f>
        <v>Credit Card</v>
      </c>
      <c r="I819" s="18" t="str">
        <f>IFERROR(__xludf.DUMMYFUNCTION("""COMPUTED_VALUE"""),"Delivered")</f>
        <v>Delivered</v>
      </c>
      <c r="J819" s="18" t="str">
        <f>IFERROR(__xludf.DUMMYFUNCTION("""COMPUTED_VALUE"""),"Quality of Items")</f>
        <v>Quality of Items</v>
      </c>
      <c r="K819" s="18" t="str">
        <f>IFERROR(__xludf.DUMMYFUNCTION("""COMPUTED_VALUE"""),"Perfect condition")</f>
        <v>Perfect condition</v>
      </c>
      <c r="L819" s="18">
        <f>iferror(VLOOKUP($D819,Details!$A$2:$C$11,2,false),vlookup($D819,Details!$E$2:$G$11,2,false))</f>
        <v>230</v>
      </c>
      <c r="M819" s="18" t="str">
        <f>iferror(VLOOKUP($D819,Details!$A$2:$C$11,3,false),vlookup($D819,Details!$E$2:$G$11,3,false))</f>
        <v>Fruits and Vegetables</v>
      </c>
      <c r="N819" s="18">
        <f t="shared" si="1"/>
        <v>230</v>
      </c>
      <c r="O819" s="17"/>
      <c r="P819" s="17"/>
      <c r="Q819" s="17"/>
      <c r="R819" s="17"/>
      <c r="S819" s="17"/>
      <c r="T819" s="17"/>
      <c r="U819" s="17"/>
      <c r="V819" s="17"/>
      <c r="W819" s="17"/>
      <c r="X819" s="17"/>
      <c r="Y819" s="17"/>
      <c r="Z819" s="17"/>
    </row>
    <row r="820">
      <c r="A820" s="18" t="str">
        <f>IFERROR(__xludf.DUMMYFUNCTION("""COMPUTED_VALUE"""),"ord_10811")</f>
        <v>ord_10811</v>
      </c>
      <c r="B820" s="18" t="str">
        <f>IFERROR(__xludf.DUMMYFUNCTION("""COMPUTED_VALUE"""),"Anaya Rao")</f>
        <v>Anaya Rao</v>
      </c>
      <c r="C820" s="18" t="str">
        <f>IFERROR(__xludf.DUMMYFUNCTION("""COMPUTED_VALUE"""),"Colaba")</f>
        <v>Colaba</v>
      </c>
      <c r="D820" s="18" t="str">
        <f>IFERROR(__xludf.DUMMYFUNCTION("""COMPUTED_VALUE"""),"Potato")</f>
        <v>Potato</v>
      </c>
      <c r="E820" s="18">
        <f>IFERROR(__xludf.DUMMYFUNCTION("""COMPUTED_VALUE"""),2.0)</f>
        <v>2</v>
      </c>
      <c r="F820" s="18" t="str">
        <f>IFERROR(__xludf.DUMMYFUNCTION("""COMPUTED_VALUE"""),"Nikhil Deshmukh")</f>
        <v>Nikhil Deshmukh</v>
      </c>
      <c r="G820" s="19">
        <f>IFERROR(__xludf.DUMMYFUNCTION("""COMPUTED_VALUE"""),45094.0)</f>
        <v>45094</v>
      </c>
      <c r="H820" s="18" t="str">
        <f>IFERROR(__xludf.DUMMYFUNCTION("""COMPUTED_VALUE"""),"Credit Card")</f>
        <v>Credit Card</v>
      </c>
      <c r="I820" s="18" t="str">
        <f>IFERROR(__xludf.DUMMYFUNCTION("""COMPUTED_VALUE"""),"Delivered")</f>
        <v>Delivered</v>
      </c>
      <c r="J820" s="18" t="str">
        <f>IFERROR(__xludf.DUMMYFUNCTION("""COMPUTED_VALUE"""),"On-time Delivery")</f>
        <v>On-time Delivery</v>
      </c>
      <c r="K820" s="18" t="str">
        <f>IFERROR(__xludf.DUMMYFUNCTION("""COMPUTED_VALUE"""),"Delivered on time")</f>
        <v>Delivered on time</v>
      </c>
      <c r="L820" s="18">
        <f>iferror(VLOOKUP($D820,Details!$A$2:$C$11,2,false),vlookup($D820,Details!$E$2:$G$11,2,false))</f>
        <v>55</v>
      </c>
      <c r="M820" s="18" t="str">
        <f>iferror(VLOOKUP($D820,Details!$A$2:$C$11,3,false),vlookup($D820,Details!$E$2:$G$11,3,false))</f>
        <v>Fruits and Vegetables</v>
      </c>
      <c r="N820" s="18">
        <f t="shared" si="1"/>
        <v>110</v>
      </c>
      <c r="O820" s="17"/>
      <c r="P820" s="17"/>
      <c r="Q820" s="17"/>
      <c r="R820" s="17"/>
      <c r="S820" s="17"/>
      <c r="T820" s="17"/>
      <c r="U820" s="17"/>
      <c r="V820" s="17"/>
      <c r="W820" s="17"/>
      <c r="X820" s="17"/>
      <c r="Y820" s="17"/>
      <c r="Z820" s="17"/>
    </row>
    <row r="821">
      <c r="A821" s="18" t="str">
        <f>IFERROR(__xludf.DUMMYFUNCTION("""COMPUTED_VALUE"""),"ord_10812")</f>
        <v>ord_10812</v>
      </c>
      <c r="B821" s="18" t="str">
        <f>IFERROR(__xludf.DUMMYFUNCTION("""COMPUTED_VALUE"""),"Arvind Kulkarni")</f>
        <v>Arvind Kulkarni</v>
      </c>
      <c r="C821" s="18" t="str">
        <f>IFERROR(__xludf.DUMMYFUNCTION("""COMPUTED_VALUE"""),"Juhu")</f>
        <v>Juhu</v>
      </c>
      <c r="D821" s="18" t="str">
        <f>IFERROR(__xludf.DUMMYFUNCTION("""COMPUTED_VALUE"""),"Chocolate Mousse")</f>
        <v>Chocolate Mousse</v>
      </c>
      <c r="E821" s="18">
        <f>IFERROR(__xludf.DUMMYFUNCTION("""COMPUTED_VALUE"""),2.0)</f>
        <v>2</v>
      </c>
      <c r="F821" s="18" t="str">
        <f>IFERROR(__xludf.DUMMYFUNCTION("""COMPUTED_VALUE"""),"Tanvi Jain")</f>
        <v>Tanvi Jain</v>
      </c>
      <c r="G821" s="19">
        <f>IFERROR(__xludf.DUMMYFUNCTION("""COMPUTED_VALUE"""),45225.0)</f>
        <v>45225</v>
      </c>
      <c r="H821" s="18" t="str">
        <f>IFERROR(__xludf.DUMMYFUNCTION("""COMPUTED_VALUE"""),"Credit Card")</f>
        <v>Credit Card</v>
      </c>
      <c r="I821" s="18" t="str">
        <f>IFERROR(__xludf.DUMMYFUNCTION("""COMPUTED_VALUE"""),"Delivered")</f>
        <v>Delivered</v>
      </c>
      <c r="J821" s="18" t="str">
        <f>IFERROR(__xludf.DUMMYFUNCTION("""COMPUTED_VALUE"""),"Quality of Items")</f>
        <v>Quality of Items</v>
      </c>
      <c r="K821" s="18" t="str">
        <f>IFERROR(__xludf.DUMMYFUNCTION("""COMPUTED_VALUE"""),"Perfect condition")</f>
        <v>Perfect condition</v>
      </c>
      <c r="L821" s="18">
        <f>iferror(VLOOKUP($D821,Details!$A$2:$C$11,2,false),vlookup($D821,Details!$E$2:$G$11,2,false))</f>
        <v>145</v>
      </c>
      <c r="M821" s="18" t="str">
        <f>iferror(VLOOKUP($D821,Details!$A$2:$C$11,3,false),vlookup($D821,Details!$E$2:$G$11,3,false))</f>
        <v>Snacks and Drinks</v>
      </c>
      <c r="N821" s="18">
        <f t="shared" si="1"/>
        <v>290</v>
      </c>
      <c r="O821" s="17"/>
      <c r="P821" s="17"/>
      <c r="Q821" s="17"/>
      <c r="R821" s="17"/>
      <c r="S821" s="17"/>
      <c r="T821" s="17"/>
      <c r="U821" s="17"/>
      <c r="V821" s="17"/>
      <c r="W821" s="17"/>
      <c r="X821" s="17"/>
      <c r="Y821" s="17"/>
      <c r="Z821" s="17"/>
    </row>
    <row r="822">
      <c r="A822" s="18" t="str">
        <f>IFERROR(__xludf.DUMMYFUNCTION("""COMPUTED_VALUE"""),"ord_10813")</f>
        <v>ord_10813</v>
      </c>
      <c r="B822" s="18" t="str">
        <f>IFERROR(__xludf.DUMMYFUNCTION("""COMPUTED_VALUE"""),"Sakshi Tandon")</f>
        <v>Sakshi Tandon</v>
      </c>
      <c r="C822" s="18" t="str">
        <f>IFERROR(__xludf.DUMMYFUNCTION("""COMPUTED_VALUE"""),"Colaba")</f>
        <v>Colaba</v>
      </c>
      <c r="D822" s="18" t="str">
        <f>IFERROR(__xludf.DUMMYFUNCTION("""COMPUTED_VALUE"""),"Apple")</f>
        <v>Apple</v>
      </c>
      <c r="E822" s="18">
        <f>IFERROR(__xludf.DUMMYFUNCTION("""COMPUTED_VALUE"""),1.0)</f>
        <v>1</v>
      </c>
      <c r="F822" s="18" t="str">
        <f>IFERROR(__xludf.DUMMYFUNCTION("""COMPUTED_VALUE"""),"Nikhil Deshmukh")</f>
        <v>Nikhil Deshmukh</v>
      </c>
      <c r="G822" s="19">
        <f>IFERROR(__xludf.DUMMYFUNCTION("""COMPUTED_VALUE"""),45091.0)</f>
        <v>45091</v>
      </c>
      <c r="H822" s="18" t="str">
        <f>IFERROR(__xludf.DUMMYFUNCTION("""COMPUTED_VALUE"""),"Credit Card")</f>
        <v>Credit Card</v>
      </c>
      <c r="I822" s="18" t="str">
        <f>IFERROR(__xludf.DUMMYFUNCTION("""COMPUTED_VALUE"""),"Delivered")</f>
        <v>Delivered</v>
      </c>
      <c r="J822" s="18" t="str">
        <f>IFERROR(__xludf.DUMMYFUNCTION("""COMPUTED_VALUE"""),"Packaging")</f>
        <v>Packaging</v>
      </c>
      <c r="K822" s="18" t="str">
        <f>IFERROR(__xludf.DUMMYFUNCTION("""COMPUTED_VALUE"""),"Secure and intact")</f>
        <v>Secure and intact</v>
      </c>
      <c r="L822" s="18">
        <f>iferror(VLOOKUP($D822,Details!$A$2:$C$11,2,false),vlookup($D822,Details!$E$2:$G$11,2,false))</f>
        <v>230</v>
      </c>
      <c r="M822" s="18" t="str">
        <f>iferror(VLOOKUP($D822,Details!$A$2:$C$11,3,false),vlookup($D822,Details!$E$2:$G$11,3,false))</f>
        <v>Fruits and Vegetables</v>
      </c>
      <c r="N822" s="18">
        <f t="shared" si="1"/>
        <v>230</v>
      </c>
      <c r="O822" s="17"/>
      <c r="P822" s="17"/>
      <c r="Q822" s="17"/>
      <c r="R822" s="17"/>
      <c r="S822" s="17"/>
      <c r="T822" s="17"/>
      <c r="U822" s="17"/>
      <c r="V822" s="17"/>
      <c r="W822" s="17"/>
      <c r="X822" s="17"/>
      <c r="Y822" s="17"/>
      <c r="Z822" s="17"/>
    </row>
    <row r="823">
      <c r="A823" s="18" t="str">
        <f>IFERROR(__xludf.DUMMYFUNCTION("""COMPUTED_VALUE"""),"ord_10814")</f>
        <v>ord_10814</v>
      </c>
      <c r="B823" s="18" t="str">
        <f>IFERROR(__xludf.DUMMYFUNCTION("""COMPUTED_VALUE"""),"Omkar Mishra")</f>
        <v>Omkar Mishra</v>
      </c>
      <c r="C823" s="18" t="str">
        <f>IFERROR(__xludf.DUMMYFUNCTION("""COMPUTED_VALUE"""),"Powai")</f>
        <v>Powai</v>
      </c>
      <c r="D823" s="18" t="str">
        <f>IFERROR(__xludf.DUMMYFUNCTION("""COMPUTED_VALUE"""),"Apple")</f>
        <v>Apple</v>
      </c>
      <c r="E823" s="18">
        <f>IFERROR(__xludf.DUMMYFUNCTION("""COMPUTED_VALUE"""),1.0)</f>
        <v>1</v>
      </c>
      <c r="F823" s="18" t="str">
        <f>IFERROR(__xludf.DUMMYFUNCTION("""COMPUTED_VALUE"""),"Sandeep Kumar")</f>
        <v>Sandeep Kumar</v>
      </c>
      <c r="G823" s="19">
        <f>IFERROR(__xludf.DUMMYFUNCTION("""COMPUTED_VALUE"""),45090.0)</f>
        <v>45090</v>
      </c>
      <c r="H823" s="18" t="str">
        <f>IFERROR(__xludf.DUMMYFUNCTION("""COMPUTED_VALUE"""),"UPI")</f>
        <v>UPI</v>
      </c>
      <c r="I823" s="18" t="str">
        <f>IFERROR(__xludf.DUMMYFUNCTION("""COMPUTED_VALUE"""),"Delivered")</f>
        <v>Delivered</v>
      </c>
      <c r="J823" s="18" t="str">
        <f>IFERROR(__xludf.DUMMYFUNCTION("""COMPUTED_VALUE"""),"Satisfied with the Delivery")</f>
        <v>Satisfied with the Delivery</v>
      </c>
      <c r="K823" s="18" t="str">
        <f>IFERROR(__xludf.DUMMYFUNCTION("""COMPUTED_VALUE"""),"Timely and quality")</f>
        <v>Timely and quality</v>
      </c>
      <c r="L823" s="18">
        <f>iferror(VLOOKUP($D823,Details!$A$2:$C$11,2,false),vlookup($D823,Details!$E$2:$G$11,2,false))</f>
        <v>230</v>
      </c>
      <c r="M823" s="18" t="str">
        <f>iferror(VLOOKUP($D823,Details!$A$2:$C$11,3,false),vlookup($D823,Details!$E$2:$G$11,3,false))</f>
        <v>Fruits and Vegetables</v>
      </c>
      <c r="N823" s="18">
        <f t="shared" si="1"/>
        <v>230</v>
      </c>
      <c r="O823" s="17"/>
      <c r="P823" s="17"/>
      <c r="Q823" s="17"/>
      <c r="R823" s="17"/>
      <c r="S823" s="17"/>
      <c r="T823" s="17"/>
      <c r="U823" s="17"/>
      <c r="V823" s="17"/>
      <c r="W823" s="17"/>
      <c r="X823" s="17"/>
      <c r="Y823" s="17"/>
      <c r="Z823" s="17"/>
    </row>
    <row r="824">
      <c r="A824" s="18" t="str">
        <f>IFERROR(__xludf.DUMMYFUNCTION("""COMPUTED_VALUE"""),"ord_10815")</f>
        <v>ord_10815</v>
      </c>
      <c r="B824" s="18" t="str">
        <f>IFERROR(__xludf.DUMMYFUNCTION("""COMPUTED_VALUE"""),"Dev Chauhan")</f>
        <v>Dev Chauhan</v>
      </c>
      <c r="C824" s="18" t="str">
        <f>IFERROR(__xludf.DUMMYFUNCTION("""COMPUTED_VALUE"""),"Bandra")</f>
        <v>Bandra</v>
      </c>
      <c r="D824" s="18" t="str">
        <f>IFERROR(__xludf.DUMMYFUNCTION("""COMPUTED_VALUE"""),"Cucumber")</f>
        <v>Cucumber</v>
      </c>
      <c r="E824" s="18">
        <f>IFERROR(__xludf.DUMMYFUNCTION("""COMPUTED_VALUE"""),2.0)</f>
        <v>2</v>
      </c>
      <c r="F824" s="18" t="str">
        <f>IFERROR(__xludf.DUMMYFUNCTION("""COMPUTED_VALUE"""),"Priya Joshi")</f>
        <v>Priya Joshi</v>
      </c>
      <c r="G824" s="19">
        <f>IFERROR(__xludf.DUMMYFUNCTION("""COMPUTED_VALUE"""),45164.0)</f>
        <v>45164</v>
      </c>
      <c r="H824" s="18" t="str">
        <f>IFERROR(__xludf.DUMMYFUNCTION("""COMPUTED_VALUE"""),"UPI")</f>
        <v>UPI</v>
      </c>
      <c r="I824" s="18" t="str">
        <f>IFERROR(__xludf.DUMMYFUNCTION("""COMPUTED_VALUE"""),"Delivered")</f>
        <v>Delivered</v>
      </c>
      <c r="J824" s="18" t="str">
        <f>IFERROR(__xludf.DUMMYFUNCTION("""COMPUTED_VALUE"""),"Customer Service")</f>
        <v>Customer Service</v>
      </c>
      <c r="K824" s="18" t="str">
        <f>IFERROR(__xludf.DUMMYFUNCTION("""COMPUTED_VALUE"""),"Seamless and easy")</f>
        <v>Seamless and easy</v>
      </c>
      <c r="L824" s="18">
        <f>iferror(VLOOKUP($D824,Details!$A$2:$C$11,2,false),vlookup($D824,Details!$E$2:$G$11,2,false))</f>
        <v>30</v>
      </c>
      <c r="M824" s="18" t="str">
        <f>iferror(VLOOKUP($D824,Details!$A$2:$C$11,3,false),vlookup($D824,Details!$E$2:$G$11,3,false))</f>
        <v>Fruits and Vegetables</v>
      </c>
      <c r="N824" s="18">
        <f t="shared" si="1"/>
        <v>60</v>
      </c>
      <c r="O824" s="17"/>
      <c r="P824" s="17"/>
      <c r="Q824" s="17"/>
      <c r="R824" s="17"/>
      <c r="S824" s="17"/>
      <c r="T824" s="17"/>
      <c r="U824" s="17"/>
      <c r="V824" s="17"/>
      <c r="W824" s="17"/>
      <c r="X824" s="17"/>
      <c r="Y824" s="17"/>
      <c r="Z824" s="17"/>
    </row>
    <row r="825">
      <c r="A825" s="18" t="str">
        <f>IFERROR(__xludf.DUMMYFUNCTION("""COMPUTED_VALUE"""),"ord_10816")</f>
        <v>ord_10816</v>
      </c>
      <c r="B825" s="18" t="str">
        <f>IFERROR(__xludf.DUMMYFUNCTION("""COMPUTED_VALUE"""),"Omkar Mishra")</f>
        <v>Omkar Mishra</v>
      </c>
      <c r="C825" s="18" t="str">
        <f>IFERROR(__xludf.DUMMYFUNCTION("""COMPUTED_VALUE"""),"Powai")</f>
        <v>Powai</v>
      </c>
      <c r="D825" s="18" t="str">
        <f>IFERROR(__xludf.DUMMYFUNCTION("""COMPUTED_VALUE"""),"Juice")</f>
        <v>Juice</v>
      </c>
      <c r="E825" s="18">
        <f>IFERROR(__xludf.DUMMYFUNCTION("""COMPUTED_VALUE"""),1.0)</f>
        <v>1</v>
      </c>
      <c r="F825" s="18" t="str">
        <f>IFERROR(__xludf.DUMMYFUNCTION("""COMPUTED_VALUE"""),"Sandeep Kumar")</f>
        <v>Sandeep Kumar</v>
      </c>
      <c r="G825" s="19">
        <f>IFERROR(__xludf.DUMMYFUNCTION("""COMPUTED_VALUE"""),45094.0)</f>
        <v>45094</v>
      </c>
      <c r="H825" s="18" t="str">
        <f>IFERROR(__xludf.DUMMYFUNCTION("""COMPUTED_VALUE"""),"Online Payment")</f>
        <v>Online Payment</v>
      </c>
      <c r="I825" s="18" t="str">
        <f>IFERROR(__xludf.DUMMYFUNCTION("""COMPUTED_VALUE"""),"Delivered")</f>
        <v>Delivered</v>
      </c>
      <c r="J825" s="18" t="str">
        <f>IFERROR(__xludf.DUMMYFUNCTION("""COMPUTED_VALUE"""),"Delivery Experience")</f>
        <v>Delivery Experience</v>
      </c>
      <c r="K825" s="18" t="str">
        <f>IFERROR(__xludf.DUMMYFUNCTION("""COMPUTED_VALUE"""),"Quick and professional")</f>
        <v>Quick and professional</v>
      </c>
      <c r="L825" s="18">
        <f>iferror(VLOOKUP($D825,Details!$A$2:$C$11,2,false),vlookup($D825,Details!$E$2:$G$11,2,false))</f>
        <v>90</v>
      </c>
      <c r="M825" s="18" t="str">
        <f>iferror(VLOOKUP($D825,Details!$A$2:$C$11,3,false),vlookup($D825,Details!$E$2:$G$11,3,false))</f>
        <v>Snacks and Drinks</v>
      </c>
      <c r="N825" s="18">
        <f t="shared" si="1"/>
        <v>90</v>
      </c>
      <c r="O825" s="17"/>
      <c r="P825" s="17"/>
      <c r="Q825" s="17"/>
      <c r="R825" s="17"/>
      <c r="S825" s="17"/>
      <c r="T825" s="17"/>
      <c r="U825" s="17"/>
      <c r="V825" s="17"/>
      <c r="W825" s="17"/>
      <c r="X825" s="17"/>
      <c r="Y825" s="17"/>
      <c r="Z825" s="17"/>
    </row>
    <row r="826">
      <c r="A826" s="18" t="str">
        <f>IFERROR(__xludf.DUMMYFUNCTION("""COMPUTED_VALUE"""),"ord_10817")</f>
        <v>ord_10817</v>
      </c>
      <c r="B826" s="18" t="str">
        <f>IFERROR(__xludf.DUMMYFUNCTION("""COMPUTED_VALUE"""),"Diya Arora")</f>
        <v>Diya Arora</v>
      </c>
      <c r="C826" s="18" t="str">
        <f>IFERROR(__xludf.DUMMYFUNCTION("""COMPUTED_VALUE"""),"Lower Parel")</f>
        <v>Lower Parel</v>
      </c>
      <c r="D826" s="18" t="str">
        <f>IFERROR(__xludf.DUMMYFUNCTION("""COMPUTED_VALUE"""),"Orange")</f>
        <v>Orange</v>
      </c>
      <c r="E826" s="18">
        <f>IFERROR(__xludf.DUMMYFUNCTION("""COMPUTED_VALUE"""),1.0)</f>
        <v>1</v>
      </c>
      <c r="F826" s="18" t="str">
        <f>IFERROR(__xludf.DUMMYFUNCTION("""COMPUTED_VALUE"""),"Kiran Mehta")</f>
        <v>Kiran Mehta</v>
      </c>
      <c r="G826" s="19">
        <f>IFERROR(__xludf.DUMMYFUNCTION("""COMPUTED_VALUE"""),45089.0)</f>
        <v>45089</v>
      </c>
      <c r="H826" s="18" t="str">
        <f>IFERROR(__xludf.DUMMYFUNCTION("""COMPUTED_VALUE"""),"UPI")</f>
        <v>UPI</v>
      </c>
      <c r="I826" s="18" t="str">
        <f>IFERROR(__xludf.DUMMYFUNCTION("""COMPUTED_VALUE"""),"Delivered")</f>
        <v>Delivered</v>
      </c>
      <c r="J826" s="18" t="str">
        <f>IFERROR(__xludf.DUMMYFUNCTION("""COMPUTED_VALUE"""),"Convenience")</f>
        <v>Convenience</v>
      </c>
      <c r="K826" s="18" t="str">
        <f>IFERROR(__xludf.DUMMYFUNCTION("""COMPUTED_VALUE"""),"Easy tracking")</f>
        <v>Easy tracking</v>
      </c>
      <c r="L826" s="18">
        <f>iferror(VLOOKUP($D826,Details!$A$2:$C$11,2,false),vlookup($D826,Details!$E$2:$G$11,2,false))</f>
        <v>180</v>
      </c>
      <c r="M826" s="18" t="str">
        <f>iferror(VLOOKUP($D826,Details!$A$2:$C$11,3,false),vlookup($D826,Details!$E$2:$G$11,3,false))</f>
        <v>Fruits and Vegetables</v>
      </c>
      <c r="N826" s="18">
        <f t="shared" si="1"/>
        <v>180</v>
      </c>
      <c r="O826" s="17"/>
      <c r="P826" s="17"/>
      <c r="Q826" s="17"/>
      <c r="R826" s="17"/>
      <c r="S826" s="17"/>
      <c r="T826" s="17"/>
      <c r="U826" s="17"/>
      <c r="V826" s="17"/>
      <c r="W826" s="17"/>
      <c r="X826" s="17"/>
      <c r="Y826" s="17"/>
      <c r="Z826" s="17"/>
    </row>
    <row r="827">
      <c r="A827" s="18" t="str">
        <f>IFERROR(__xludf.DUMMYFUNCTION("""COMPUTED_VALUE"""),"ord_10818")</f>
        <v>ord_10818</v>
      </c>
      <c r="B827" s="18" t="str">
        <f>IFERROR(__xludf.DUMMYFUNCTION("""COMPUTED_VALUE"""),"Mohit Malhotra")</f>
        <v>Mohit Malhotra</v>
      </c>
      <c r="C827" s="18" t="str">
        <f>IFERROR(__xludf.DUMMYFUNCTION("""COMPUTED_VALUE"""),"Lower Parel")</f>
        <v>Lower Parel</v>
      </c>
      <c r="D827" s="18" t="str">
        <f>IFERROR(__xludf.DUMMYFUNCTION("""COMPUTED_VALUE"""),"Juice")</f>
        <v>Juice</v>
      </c>
      <c r="E827" s="18">
        <f>IFERROR(__xludf.DUMMYFUNCTION("""COMPUTED_VALUE"""),4.0)</f>
        <v>4</v>
      </c>
      <c r="F827" s="18" t="str">
        <f>IFERROR(__xludf.DUMMYFUNCTION("""COMPUTED_VALUE"""),"Kiran Mehta")</f>
        <v>Kiran Mehta</v>
      </c>
      <c r="G827" s="19">
        <f>IFERROR(__xludf.DUMMYFUNCTION("""COMPUTED_VALUE"""),45273.0)</f>
        <v>45273</v>
      </c>
      <c r="H827" s="18" t="str">
        <f>IFERROR(__xludf.DUMMYFUNCTION("""COMPUTED_VALUE"""),"Credit Card")</f>
        <v>Credit Card</v>
      </c>
      <c r="I827" s="18" t="str">
        <f>IFERROR(__xludf.DUMMYFUNCTION("""COMPUTED_VALUE"""),"Delivered")</f>
        <v>Delivered</v>
      </c>
      <c r="J827" s="18" t="str">
        <f>IFERROR(__xludf.DUMMYFUNCTION("""COMPUTED_VALUE"""),"Overall Satisfaction")</f>
        <v>Overall Satisfaction</v>
      </c>
      <c r="K827" s="18" t="str">
        <f>IFERROR(__xludf.DUMMYFUNCTION("""COMPUTED_VALUE"""),"Great service will order again")</f>
        <v>Great service will order again</v>
      </c>
      <c r="L827" s="18">
        <f>iferror(VLOOKUP($D827,Details!$A$2:$C$11,2,false),vlookup($D827,Details!$E$2:$G$11,2,false))</f>
        <v>90</v>
      </c>
      <c r="M827" s="18" t="str">
        <f>iferror(VLOOKUP($D827,Details!$A$2:$C$11,3,false),vlookup($D827,Details!$E$2:$G$11,3,false))</f>
        <v>Snacks and Drinks</v>
      </c>
      <c r="N827" s="18">
        <f t="shared" si="1"/>
        <v>360</v>
      </c>
      <c r="O827" s="17"/>
      <c r="P827" s="17"/>
      <c r="Q827" s="17"/>
      <c r="R827" s="17"/>
      <c r="S827" s="17"/>
      <c r="T827" s="17"/>
      <c r="U827" s="17"/>
      <c r="V827" s="17"/>
      <c r="W827" s="17"/>
      <c r="X827" s="17"/>
      <c r="Y827" s="17"/>
      <c r="Z827" s="17"/>
    </row>
    <row r="828">
      <c r="A828" s="18" t="str">
        <f>IFERROR(__xludf.DUMMYFUNCTION("""COMPUTED_VALUE"""),"ord_10819")</f>
        <v>ord_10819</v>
      </c>
      <c r="B828" s="18" t="str">
        <f>IFERROR(__xludf.DUMMYFUNCTION("""COMPUTED_VALUE"""),"Omkar Mishra")</f>
        <v>Omkar Mishra</v>
      </c>
      <c r="C828" s="18" t="str">
        <f>IFERROR(__xludf.DUMMYFUNCTION("""COMPUTED_VALUE"""),"Powai")</f>
        <v>Powai</v>
      </c>
      <c r="D828" s="18" t="str">
        <f>IFERROR(__xludf.DUMMYFUNCTION("""COMPUTED_VALUE"""),"Guava")</f>
        <v>Guava</v>
      </c>
      <c r="E828" s="18">
        <f>IFERROR(__xludf.DUMMYFUNCTION("""COMPUTED_VALUE"""),1.0)</f>
        <v>1</v>
      </c>
      <c r="F828" s="18" t="str">
        <f>IFERROR(__xludf.DUMMYFUNCTION("""COMPUTED_VALUE"""),"Sandeep Kumar")</f>
        <v>Sandeep Kumar</v>
      </c>
      <c r="G828" s="19">
        <f>IFERROR(__xludf.DUMMYFUNCTION("""COMPUTED_VALUE"""),45144.0)</f>
        <v>45144</v>
      </c>
      <c r="H828" s="18" t="str">
        <f>IFERROR(__xludf.DUMMYFUNCTION("""COMPUTED_VALUE"""),"UPI")</f>
        <v>UPI</v>
      </c>
      <c r="I828" s="18" t="str">
        <f>IFERROR(__xludf.DUMMYFUNCTION("""COMPUTED_VALUE"""),"Delivered")</f>
        <v>Delivered</v>
      </c>
      <c r="J828" s="18" t="str">
        <f>IFERROR(__xludf.DUMMYFUNCTION("""COMPUTED_VALUE"""),"On-time Delivery")</f>
        <v>On-time Delivery</v>
      </c>
      <c r="K828" s="18" t="str">
        <f>IFERROR(__xludf.DUMMYFUNCTION("""COMPUTED_VALUE"""),"Delivered on time")</f>
        <v>Delivered on time</v>
      </c>
      <c r="L828" s="18">
        <f>iferror(VLOOKUP($D828,Details!$A$2:$C$11,2,false),vlookup($D828,Details!$E$2:$G$11,2,false))</f>
        <v>70</v>
      </c>
      <c r="M828" s="18" t="str">
        <f>iferror(VLOOKUP($D828,Details!$A$2:$C$11,3,false),vlookup($D828,Details!$E$2:$G$11,3,false))</f>
        <v>Fruits and Vegetables</v>
      </c>
      <c r="N828" s="18">
        <f t="shared" si="1"/>
        <v>70</v>
      </c>
      <c r="O828" s="17"/>
      <c r="P828" s="17"/>
      <c r="Q828" s="17"/>
      <c r="R828" s="17"/>
      <c r="S828" s="17"/>
      <c r="T828" s="17"/>
      <c r="U828" s="17"/>
      <c r="V828" s="17"/>
      <c r="W828" s="17"/>
      <c r="X828" s="17"/>
      <c r="Y828" s="17"/>
      <c r="Z828" s="17"/>
    </row>
    <row r="829">
      <c r="A829" s="18" t="str">
        <f>IFERROR(__xludf.DUMMYFUNCTION("""COMPUTED_VALUE"""),"ord_10820")</f>
        <v>ord_10820</v>
      </c>
      <c r="B829" s="18" t="str">
        <f>IFERROR(__xludf.DUMMYFUNCTION("""COMPUTED_VALUE"""),"Pallavi Ghosh")</f>
        <v>Pallavi Ghosh</v>
      </c>
      <c r="C829" s="18" t="str">
        <f>IFERROR(__xludf.DUMMYFUNCTION("""COMPUTED_VALUE"""),"Bandra")</f>
        <v>Bandra</v>
      </c>
      <c r="D829" s="18" t="str">
        <f>IFERROR(__xludf.DUMMYFUNCTION("""COMPUTED_VALUE"""),"Potato")</f>
        <v>Potato</v>
      </c>
      <c r="E829" s="18">
        <f>IFERROR(__xludf.DUMMYFUNCTION("""COMPUTED_VALUE"""),2.0)</f>
        <v>2</v>
      </c>
      <c r="F829" s="18" t="str">
        <f>IFERROR(__xludf.DUMMYFUNCTION("""COMPUTED_VALUE"""),"Priya Joshi")</f>
        <v>Priya Joshi</v>
      </c>
      <c r="G829" s="19">
        <f>IFERROR(__xludf.DUMMYFUNCTION("""COMPUTED_VALUE"""),45197.0)</f>
        <v>45197</v>
      </c>
      <c r="H829" s="18" t="str">
        <f>IFERROR(__xludf.DUMMYFUNCTION("""COMPUTED_VALUE"""),"Online Payment")</f>
        <v>Online Payment</v>
      </c>
      <c r="I829" s="18" t="str">
        <f>IFERROR(__xludf.DUMMYFUNCTION("""COMPUTED_VALUE"""),"Delivered")</f>
        <v>Delivered</v>
      </c>
      <c r="J829" s="18" t="str">
        <f>IFERROR(__xludf.DUMMYFUNCTION("""COMPUTED_VALUE"""),"Quality of Items")</f>
        <v>Quality of Items</v>
      </c>
      <c r="K829" s="18" t="str">
        <f>IFERROR(__xludf.DUMMYFUNCTION("""COMPUTED_VALUE"""),"Perfect condition")</f>
        <v>Perfect condition</v>
      </c>
      <c r="L829" s="18">
        <f>iferror(VLOOKUP($D829,Details!$A$2:$C$11,2,false),vlookup($D829,Details!$E$2:$G$11,2,false))</f>
        <v>55</v>
      </c>
      <c r="M829" s="18" t="str">
        <f>iferror(VLOOKUP($D829,Details!$A$2:$C$11,3,false),vlookup($D829,Details!$E$2:$G$11,3,false))</f>
        <v>Fruits and Vegetables</v>
      </c>
      <c r="N829" s="18">
        <f t="shared" si="1"/>
        <v>110</v>
      </c>
      <c r="O829" s="17"/>
      <c r="P829" s="17"/>
      <c r="Q829" s="17"/>
      <c r="R829" s="17"/>
      <c r="S829" s="17"/>
      <c r="T829" s="17"/>
      <c r="U829" s="17"/>
      <c r="V829" s="17"/>
      <c r="W829" s="17"/>
      <c r="X829" s="17"/>
      <c r="Y829" s="17"/>
      <c r="Z829" s="17"/>
    </row>
    <row r="830">
      <c r="A830" s="18" t="str">
        <f>IFERROR(__xludf.DUMMYFUNCTION("""COMPUTED_VALUE"""),"ord_10821")</f>
        <v>ord_10821</v>
      </c>
      <c r="B830" s="18" t="str">
        <f>IFERROR(__xludf.DUMMYFUNCTION("""COMPUTED_VALUE"""),"Ishita Banerjee")</f>
        <v>Ishita Banerjee</v>
      </c>
      <c r="C830" s="18" t="str">
        <f>IFERROR(__xludf.DUMMYFUNCTION("""COMPUTED_VALUE"""),"Juhu")</f>
        <v>Juhu</v>
      </c>
      <c r="D830" s="18" t="str">
        <f>IFERROR(__xludf.DUMMYFUNCTION("""COMPUTED_VALUE"""),"Chilli Cheese Toast")</f>
        <v>Chilli Cheese Toast</v>
      </c>
      <c r="E830" s="18">
        <f>IFERROR(__xludf.DUMMYFUNCTION("""COMPUTED_VALUE"""),5.0)</f>
        <v>5</v>
      </c>
      <c r="F830" s="18" t="str">
        <f>IFERROR(__xludf.DUMMYFUNCTION("""COMPUTED_VALUE"""),"Tanvi Jain")</f>
        <v>Tanvi Jain</v>
      </c>
      <c r="G830" s="19">
        <f>IFERROR(__xludf.DUMMYFUNCTION("""COMPUTED_VALUE"""),45274.0)</f>
        <v>45274</v>
      </c>
      <c r="H830" s="18" t="str">
        <f>IFERROR(__xludf.DUMMYFUNCTION("""COMPUTED_VALUE"""),"UPI")</f>
        <v>UPI</v>
      </c>
      <c r="I830" s="18" t="str">
        <f>IFERROR(__xludf.DUMMYFUNCTION("""COMPUTED_VALUE"""),"Delivered")</f>
        <v>Delivered</v>
      </c>
      <c r="J830" s="18" t="str">
        <f>IFERROR(__xludf.DUMMYFUNCTION("""COMPUTED_VALUE"""),"On-time Delivery")</f>
        <v>On-time Delivery</v>
      </c>
      <c r="K830" s="18" t="str">
        <f>IFERROR(__xludf.DUMMYFUNCTION("""COMPUTED_VALUE"""),"Delivered on time")</f>
        <v>Delivered on time</v>
      </c>
      <c r="L830" s="18">
        <f>iferror(VLOOKUP($D830,Details!$A$2:$C$11,2,false),vlookup($D830,Details!$E$2:$G$11,2,false))</f>
        <v>80</v>
      </c>
      <c r="M830" s="18" t="str">
        <f>iferror(VLOOKUP($D830,Details!$A$2:$C$11,3,false),vlookup($D830,Details!$E$2:$G$11,3,false))</f>
        <v>Snacks and Drinks</v>
      </c>
      <c r="N830" s="18">
        <f t="shared" si="1"/>
        <v>400</v>
      </c>
      <c r="O830" s="17"/>
      <c r="P830" s="17"/>
      <c r="Q830" s="17"/>
      <c r="R830" s="17"/>
      <c r="S830" s="17"/>
      <c r="T830" s="17"/>
      <c r="U830" s="17"/>
      <c r="V830" s="17"/>
      <c r="W830" s="17"/>
      <c r="X830" s="17"/>
      <c r="Y830" s="17"/>
      <c r="Z830" s="17"/>
    </row>
    <row r="831">
      <c r="A831" s="18" t="str">
        <f>IFERROR(__xludf.DUMMYFUNCTION("""COMPUTED_VALUE"""),"ord_10822")</f>
        <v>ord_10822</v>
      </c>
      <c r="B831" s="18" t="str">
        <f>IFERROR(__xludf.DUMMYFUNCTION("""COMPUTED_VALUE"""),"Ishita Banerjee")</f>
        <v>Ishita Banerjee</v>
      </c>
      <c r="C831" s="18" t="str">
        <f>IFERROR(__xludf.DUMMYFUNCTION("""COMPUTED_VALUE"""),"Juhu")</f>
        <v>Juhu</v>
      </c>
      <c r="D831" s="18" t="str">
        <f>IFERROR(__xludf.DUMMYFUNCTION("""COMPUTED_VALUE"""),"Rasmalai")</f>
        <v>Rasmalai</v>
      </c>
      <c r="E831" s="18">
        <f>IFERROR(__xludf.DUMMYFUNCTION("""COMPUTED_VALUE"""),3.0)</f>
        <v>3</v>
      </c>
      <c r="F831" s="18" t="str">
        <f>IFERROR(__xludf.DUMMYFUNCTION("""COMPUTED_VALUE"""),"Aman Kumar")</f>
        <v>Aman Kumar</v>
      </c>
      <c r="G831" s="19">
        <f>IFERROR(__xludf.DUMMYFUNCTION("""COMPUTED_VALUE"""),45247.0)</f>
        <v>45247</v>
      </c>
      <c r="H831" s="18" t="str">
        <f>IFERROR(__xludf.DUMMYFUNCTION("""COMPUTED_VALUE"""),"Credit Card")</f>
        <v>Credit Card</v>
      </c>
      <c r="I831" s="18" t="str">
        <f>IFERROR(__xludf.DUMMYFUNCTION("""COMPUTED_VALUE"""),"Cancelled")</f>
        <v>Cancelled</v>
      </c>
      <c r="J831" s="18" t="str">
        <f>IFERROR(__xludf.DUMMYFUNCTION("""COMPUTED_VALUE"""),"Delayed Delivery")</f>
        <v>Delayed Delivery</v>
      </c>
      <c r="K831" s="18" t="str">
        <f>IFERROR(__xludf.DUMMYFUNCTION("""COMPUTED_VALUE"""),"Heavy Traffic")</f>
        <v>Heavy Traffic</v>
      </c>
      <c r="L831" s="18">
        <f>iferror(VLOOKUP($D831,Details!$A$2:$C$11,2,false),vlookup($D831,Details!$E$2:$G$11,2,false))</f>
        <v>110</v>
      </c>
      <c r="M831" s="18" t="str">
        <f>iferror(VLOOKUP($D831,Details!$A$2:$C$11,3,false),vlookup($D831,Details!$E$2:$G$11,3,false))</f>
        <v>Snacks and Drinks</v>
      </c>
      <c r="N831" s="18">
        <f t="shared" si="1"/>
        <v>330</v>
      </c>
      <c r="O831" s="17"/>
      <c r="P831" s="17"/>
      <c r="Q831" s="17"/>
      <c r="R831" s="17"/>
      <c r="S831" s="17"/>
      <c r="T831" s="17"/>
      <c r="U831" s="17"/>
      <c r="V831" s="17"/>
      <c r="W831" s="17"/>
      <c r="X831" s="17"/>
      <c r="Y831" s="17"/>
      <c r="Z831" s="17"/>
    </row>
    <row r="832">
      <c r="A832" s="18" t="str">
        <f>IFERROR(__xludf.DUMMYFUNCTION("""COMPUTED_VALUE"""),"ord_10823")</f>
        <v>ord_10823</v>
      </c>
      <c r="B832" s="18" t="str">
        <f>IFERROR(__xludf.DUMMYFUNCTION("""COMPUTED_VALUE"""),"Omkar Mishra")</f>
        <v>Omkar Mishra</v>
      </c>
      <c r="C832" s="18" t="str">
        <f>IFERROR(__xludf.DUMMYFUNCTION("""COMPUTED_VALUE"""),"Powai")</f>
        <v>Powai</v>
      </c>
      <c r="D832" s="18" t="str">
        <f>IFERROR(__xludf.DUMMYFUNCTION("""COMPUTED_VALUE"""),"Cucumber")</f>
        <v>Cucumber</v>
      </c>
      <c r="E832" s="18">
        <f>IFERROR(__xludf.DUMMYFUNCTION("""COMPUTED_VALUE"""),1.0)</f>
        <v>1</v>
      </c>
      <c r="F832" s="18" t="str">
        <f>IFERROR(__xludf.DUMMYFUNCTION("""COMPUTED_VALUE"""),"Sandeep Kumar")</f>
        <v>Sandeep Kumar</v>
      </c>
      <c r="G832" s="19">
        <f>IFERROR(__xludf.DUMMYFUNCTION("""COMPUTED_VALUE"""),45213.0)</f>
        <v>45213</v>
      </c>
      <c r="H832" s="18" t="str">
        <f>IFERROR(__xludf.DUMMYFUNCTION("""COMPUTED_VALUE"""),"UPI")</f>
        <v>UPI</v>
      </c>
      <c r="I832" s="18" t="str">
        <f>IFERROR(__xludf.DUMMYFUNCTION("""COMPUTED_VALUE"""),"Delivered")</f>
        <v>Delivered</v>
      </c>
      <c r="J832" s="18" t="str">
        <f>IFERROR(__xludf.DUMMYFUNCTION("""COMPUTED_VALUE"""),"Quality of Items")</f>
        <v>Quality of Items</v>
      </c>
      <c r="K832" s="18" t="str">
        <f>IFERROR(__xludf.DUMMYFUNCTION("""COMPUTED_VALUE"""),"Perfect condition")</f>
        <v>Perfect condition</v>
      </c>
      <c r="L832" s="18">
        <f>iferror(VLOOKUP($D832,Details!$A$2:$C$11,2,false),vlookup($D832,Details!$E$2:$G$11,2,false))</f>
        <v>30</v>
      </c>
      <c r="M832" s="18" t="str">
        <f>iferror(VLOOKUP($D832,Details!$A$2:$C$11,3,false),vlookup($D832,Details!$E$2:$G$11,3,false))</f>
        <v>Fruits and Vegetables</v>
      </c>
      <c r="N832" s="18">
        <f t="shared" si="1"/>
        <v>30</v>
      </c>
      <c r="O832" s="17"/>
      <c r="P832" s="17"/>
      <c r="Q832" s="17"/>
      <c r="R832" s="17"/>
      <c r="S832" s="17"/>
      <c r="T832" s="17"/>
      <c r="U832" s="17"/>
      <c r="V832" s="17"/>
      <c r="W832" s="17"/>
      <c r="X832" s="17"/>
      <c r="Y832" s="17"/>
      <c r="Z832" s="17"/>
    </row>
    <row r="833">
      <c r="A833" s="18" t="str">
        <f>IFERROR(__xludf.DUMMYFUNCTION("""COMPUTED_VALUE"""),"ord_10824")</f>
        <v>ord_10824</v>
      </c>
      <c r="B833" s="18" t="str">
        <f>IFERROR(__xludf.DUMMYFUNCTION("""COMPUTED_VALUE"""),"Aarav Mehta")</f>
        <v>Aarav Mehta</v>
      </c>
      <c r="C833" s="18" t="str">
        <f>IFERROR(__xludf.DUMMYFUNCTION("""COMPUTED_VALUE"""),"Andheri")</f>
        <v>Andheri</v>
      </c>
      <c r="D833" s="18" t="str">
        <f>IFERROR(__xludf.DUMMYFUNCTION("""COMPUTED_VALUE"""),"Veg Puff")</f>
        <v>Veg Puff</v>
      </c>
      <c r="E833" s="18">
        <f>IFERROR(__xludf.DUMMYFUNCTION("""COMPUTED_VALUE"""),4.0)</f>
        <v>4</v>
      </c>
      <c r="F833" s="18" t="str">
        <f>IFERROR(__xludf.DUMMYFUNCTION("""COMPUTED_VALUE"""),"Rohan Yadav")</f>
        <v>Rohan Yadav</v>
      </c>
      <c r="G833" s="19">
        <f>IFERROR(__xludf.DUMMYFUNCTION("""COMPUTED_VALUE"""),45234.0)</f>
        <v>45234</v>
      </c>
      <c r="H833" s="18" t="str">
        <f>IFERROR(__xludf.DUMMYFUNCTION("""COMPUTED_VALUE"""),"Credit Card")</f>
        <v>Credit Card</v>
      </c>
      <c r="I833" s="18" t="str">
        <f>IFERROR(__xludf.DUMMYFUNCTION("""COMPUTED_VALUE"""),"Delivered")</f>
        <v>Delivered</v>
      </c>
      <c r="J833" s="18" t="str">
        <f>IFERROR(__xludf.DUMMYFUNCTION("""COMPUTED_VALUE"""),"Packaging")</f>
        <v>Packaging</v>
      </c>
      <c r="K833" s="18" t="str">
        <f>IFERROR(__xludf.DUMMYFUNCTION("""COMPUTED_VALUE"""),"Secure and intact")</f>
        <v>Secure and intact</v>
      </c>
      <c r="L833" s="18">
        <f>iferror(VLOOKUP($D833,Details!$A$2:$C$11,2,false),vlookup($D833,Details!$E$2:$G$11,2,false))</f>
        <v>80</v>
      </c>
      <c r="M833" s="18" t="str">
        <f>iferror(VLOOKUP($D833,Details!$A$2:$C$11,3,false),vlookup($D833,Details!$E$2:$G$11,3,false))</f>
        <v>Snacks and Drinks</v>
      </c>
      <c r="N833" s="18">
        <f t="shared" si="1"/>
        <v>320</v>
      </c>
      <c r="O833" s="17"/>
      <c r="P833" s="17"/>
      <c r="Q833" s="17"/>
      <c r="R833" s="17"/>
      <c r="S833" s="17"/>
      <c r="T833" s="17"/>
      <c r="U833" s="17"/>
      <c r="V833" s="17"/>
      <c r="W833" s="17"/>
      <c r="X833" s="17"/>
      <c r="Y833" s="17"/>
      <c r="Z833" s="17"/>
    </row>
    <row r="834">
      <c r="A834" s="18" t="str">
        <f>IFERROR(__xludf.DUMMYFUNCTION("""COMPUTED_VALUE"""),"ord_10825")</f>
        <v>ord_10825</v>
      </c>
      <c r="B834" s="18" t="str">
        <f>IFERROR(__xludf.DUMMYFUNCTION("""COMPUTED_VALUE"""),"Sakshi Tandon")</f>
        <v>Sakshi Tandon</v>
      </c>
      <c r="C834" s="18" t="str">
        <f>IFERROR(__xludf.DUMMYFUNCTION("""COMPUTED_VALUE"""),"Colaba")</f>
        <v>Colaba</v>
      </c>
      <c r="D834" s="18" t="str">
        <f>IFERROR(__xludf.DUMMYFUNCTION("""COMPUTED_VALUE"""),"Cold Coffee")</f>
        <v>Cold Coffee</v>
      </c>
      <c r="E834" s="18">
        <f>IFERROR(__xludf.DUMMYFUNCTION("""COMPUTED_VALUE"""),5.0)</f>
        <v>5</v>
      </c>
      <c r="F834" s="18" t="str">
        <f>IFERROR(__xludf.DUMMYFUNCTION("""COMPUTED_VALUE"""),"Nikhil Deshmukh")</f>
        <v>Nikhil Deshmukh</v>
      </c>
      <c r="G834" s="19">
        <f>IFERROR(__xludf.DUMMYFUNCTION("""COMPUTED_VALUE"""),45076.0)</f>
        <v>45076</v>
      </c>
      <c r="H834" s="18" t="str">
        <f>IFERROR(__xludf.DUMMYFUNCTION("""COMPUTED_VALUE"""),"Online Payment")</f>
        <v>Online Payment</v>
      </c>
      <c r="I834" s="18" t="str">
        <f>IFERROR(__xludf.DUMMYFUNCTION("""COMPUTED_VALUE"""),"Delivered")</f>
        <v>Delivered</v>
      </c>
      <c r="J834" s="18" t="str">
        <f>IFERROR(__xludf.DUMMYFUNCTION("""COMPUTED_VALUE"""),"Satisfied with the Delivery")</f>
        <v>Satisfied with the Delivery</v>
      </c>
      <c r="K834" s="18" t="str">
        <f>IFERROR(__xludf.DUMMYFUNCTION("""COMPUTED_VALUE"""),"Timely and quality")</f>
        <v>Timely and quality</v>
      </c>
      <c r="L834" s="18">
        <f>iferror(VLOOKUP($D834,Details!$A$2:$C$11,2,false),vlookup($D834,Details!$E$2:$G$11,2,false))</f>
        <v>270</v>
      </c>
      <c r="M834" s="18" t="str">
        <f>iferror(VLOOKUP($D834,Details!$A$2:$C$11,3,false),vlookup($D834,Details!$E$2:$G$11,3,false))</f>
        <v>Snacks and Drinks</v>
      </c>
      <c r="N834" s="18">
        <f t="shared" si="1"/>
        <v>1350</v>
      </c>
      <c r="O834" s="17"/>
      <c r="P834" s="17"/>
      <c r="Q834" s="17"/>
      <c r="R834" s="17"/>
      <c r="S834" s="17"/>
      <c r="T834" s="17"/>
      <c r="U834" s="17"/>
      <c r="V834" s="17"/>
      <c r="W834" s="17"/>
      <c r="X834" s="17"/>
      <c r="Y834" s="17"/>
      <c r="Z834" s="17"/>
    </row>
    <row r="835">
      <c r="A835" s="18" t="str">
        <f>IFERROR(__xludf.DUMMYFUNCTION("""COMPUTED_VALUE"""),"ord_10826")</f>
        <v>ord_10826</v>
      </c>
      <c r="B835" s="18" t="str">
        <f>IFERROR(__xludf.DUMMYFUNCTION("""COMPUTED_VALUE"""),"Anaya Rao")</f>
        <v>Anaya Rao</v>
      </c>
      <c r="C835" s="18" t="str">
        <f>IFERROR(__xludf.DUMMYFUNCTION("""COMPUTED_VALUE"""),"Colaba")</f>
        <v>Colaba</v>
      </c>
      <c r="D835" s="18" t="str">
        <f>IFERROR(__xludf.DUMMYFUNCTION("""COMPUTED_VALUE"""),"Apple")</f>
        <v>Apple</v>
      </c>
      <c r="E835" s="18">
        <f>IFERROR(__xludf.DUMMYFUNCTION("""COMPUTED_VALUE"""),1.0)</f>
        <v>1</v>
      </c>
      <c r="F835" s="18" t="str">
        <f>IFERROR(__xludf.DUMMYFUNCTION("""COMPUTED_VALUE"""),"Nikhil Deshmukh")</f>
        <v>Nikhil Deshmukh</v>
      </c>
      <c r="G835" s="19">
        <f>IFERROR(__xludf.DUMMYFUNCTION("""COMPUTED_VALUE"""),45264.0)</f>
        <v>45264</v>
      </c>
      <c r="H835" s="18" t="str">
        <f>IFERROR(__xludf.DUMMYFUNCTION("""COMPUTED_VALUE"""),"Credit Card")</f>
        <v>Credit Card</v>
      </c>
      <c r="I835" s="18" t="str">
        <f>IFERROR(__xludf.DUMMYFUNCTION("""COMPUTED_VALUE"""),"Delivered")</f>
        <v>Delivered</v>
      </c>
      <c r="J835" s="18" t="str">
        <f>IFERROR(__xludf.DUMMYFUNCTION("""COMPUTED_VALUE"""),"Customer Service")</f>
        <v>Customer Service</v>
      </c>
      <c r="K835" s="18" t="str">
        <f>IFERROR(__xludf.DUMMYFUNCTION("""COMPUTED_VALUE"""),"Seamless and easy")</f>
        <v>Seamless and easy</v>
      </c>
      <c r="L835" s="18">
        <f>iferror(VLOOKUP($D835,Details!$A$2:$C$11,2,false),vlookup($D835,Details!$E$2:$G$11,2,false))</f>
        <v>230</v>
      </c>
      <c r="M835" s="18" t="str">
        <f>iferror(VLOOKUP($D835,Details!$A$2:$C$11,3,false),vlookup($D835,Details!$E$2:$G$11,3,false))</f>
        <v>Fruits and Vegetables</v>
      </c>
      <c r="N835" s="18">
        <f t="shared" si="1"/>
        <v>230</v>
      </c>
      <c r="O835" s="17"/>
      <c r="P835" s="17"/>
      <c r="Q835" s="17"/>
      <c r="R835" s="17"/>
      <c r="S835" s="17"/>
      <c r="T835" s="17"/>
      <c r="U835" s="17"/>
      <c r="V835" s="17"/>
      <c r="W835" s="17"/>
      <c r="X835" s="17"/>
      <c r="Y835" s="17"/>
      <c r="Z835" s="17"/>
    </row>
    <row r="836">
      <c r="A836" s="18" t="str">
        <f>IFERROR(__xludf.DUMMYFUNCTION("""COMPUTED_VALUE"""),"ord_10827")</f>
        <v>ord_10827</v>
      </c>
      <c r="B836" s="18" t="str">
        <f>IFERROR(__xludf.DUMMYFUNCTION("""COMPUTED_VALUE"""),"Aditi Iyer")</f>
        <v>Aditi Iyer</v>
      </c>
      <c r="C836" s="18" t="str">
        <f>IFERROR(__xludf.DUMMYFUNCTION("""COMPUTED_VALUE"""),"Dadar")</f>
        <v>Dadar</v>
      </c>
      <c r="D836" s="18" t="str">
        <f>IFERROR(__xludf.DUMMYFUNCTION("""COMPUTED_VALUE"""),"Cold Coffee")</f>
        <v>Cold Coffee</v>
      </c>
      <c r="E836" s="18">
        <f>IFERROR(__xludf.DUMMYFUNCTION("""COMPUTED_VALUE"""),1.0)</f>
        <v>1</v>
      </c>
      <c r="F836" s="18" t="str">
        <f>IFERROR(__xludf.DUMMYFUNCTION("""COMPUTED_VALUE"""),"Aman Kumar")</f>
        <v>Aman Kumar</v>
      </c>
      <c r="G836" s="19">
        <f>IFERROR(__xludf.DUMMYFUNCTION("""COMPUTED_VALUE"""),45114.0)</f>
        <v>45114</v>
      </c>
      <c r="H836" s="18" t="str">
        <f>IFERROR(__xludf.DUMMYFUNCTION("""COMPUTED_VALUE"""),"Credit Card")</f>
        <v>Credit Card</v>
      </c>
      <c r="I836" s="18" t="str">
        <f>IFERROR(__xludf.DUMMYFUNCTION("""COMPUTED_VALUE"""),"Delivered")</f>
        <v>Delivered</v>
      </c>
      <c r="J836" s="18" t="str">
        <f>IFERROR(__xludf.DUMMYFUNCTION("""COMPUTED_VALUE"""),"Delivery Experience")</f>
        <v>Delivery Experience</v>
      </c>
      <c r="K836" s="18" t="str">
        <f>IFERROR(__xludf.DUMMYFUNCTION("""COMPUTED_VALUE"""),"Quick and professional")</f>
        <v>Quick and professional</v>
      </c>
      <c r="L836" s="18">
        <f>iferror(VLOOKUP($D836,Details!$A$2:$C$11,2,false),vlookup($D836,Details!$E$2:$G$11,2,false))</f>
        <v>270</v>
      </c>
      <c r="M836" s="18" t="str">
        <f>iferror(VLOOKUP($D836,Details!$A$2:$C$11,3,false),vlookup($D836,Details!$E$2:$G$11,3,false))</f>
        <v>Snacks and Drinks</v>
      </c>
      <c r="N836" s="18">
        <f t="shared" si="1"/>
        <v>270</v>
      </c>
      <c r="O836" s="17"/>
      <c r="P836" s="17"/>
      <c r="Q836" s="17"/>
      <c r="R836" s="17"/>
      <c r="S836" s="17"/>
      <c r="T836" s="17"/>
      <c r="U836" s="17"/>
      <c r="V836" s="17"/>
      <c r="W836" s="17"/>
      <c r="X836" s="17"/>
      <c r="Y836" s="17"/>
      <c r="Z836" s="17"/>
    </row>
    <row r="837">
      <c r="A837" s="18" t="str">
        <f>IFERROR(__xludf.DUMMYFUNCTION("""COMPUTED_VALUE"""),"ord_10828")</f>
        <v>ord_10828</v>
      </c>
      <c r="B837" s="18" t="str">
        <f>IFERROR(__xludf.DUMMYFUNCTION("""COMPUTED_VALUE"""),"Aditi Iyer")</f>
        <v>Aditi Iyer</v>
      </c>
      <c r="C837" s="18" t="str">
        <f>IFERROR(__xludf.DUMMYFUNCTION("""COMPUTED_VALUE"""),"Dadar")</f>
        <v>Dadar</v>
      </c>
      <c r="D837" s="18" t="str">
        <f>IFERROR(__xludf.DUMMYFUNCTION("""COMPUTED_VALUE"""),"Rasmalai")</f>
        <v>Rasmalai</v>
      </c>
      <c r="E837" s="18">
        <f>IFERROR(__xludf.DUMMYFUNCTION("""COMPUTED_VALUE"""),1.0)</f>
        <v>1</v>
      </c>
      <c r="F837" s="18" t="str">
        <f>IFERROR(__xludf.DUMMYFUNCTION("""COMPUTED_VALUE"""),"Aman Kumar")</f>
        <v>Aman Kumar</v>
      </c>
      <c r="G837" s="19">
        <f>IFERROR(__xludf.DUMMYFUNCTION("""COMPUTED_VALUE"""),44977.0)</f>
        <v>44977</v>
      </c>
      <c r="H837" s="18" t="str">
        <f>IFERROR(__xludf.DUMMYFUNCTION("""COMPUTED_VALUE"""),"Credit Card")</f>
        <v>Credit Card</v>
      </c>
      <c r="I837" s="18" t="str">
        <f>IFERROR(__xludf.DUMMYFUNCTION("""COMPUTED_VALUE"""),"Delivered")</f>
        <v>Delivered</v>
      </c>
      <c r="J837" s="18" t="str">
        <f>IFERROR(__xludf.DUMMYFUNCTION("""COMPUTED_VALUE"""),"Convenience")</f>
        <v>Convenience</v>
      </c>
      <c r="K837" s="18" t="str">
        <f>IFERROR(__xludf.DUMMYFUNCTION("""COMPUTED_VALUE"""),"Easy tracking")</f>
        <v>Easy tracking</v>
      </c>
      <c r="L837" s="18">
        <f>iferror(VLOOKUP($D837,Details!$A$2:$C$11,2,false),vlookup($D837,Details!$E$2:$G$11,2,false))</f>
        <v>110</v>
      </c>
      <c r="M837" s="18" t="str">
        <f>iferror(VLOOKUP($D837,Details!$A$2:$C$11,3,false),vlookup($D837,Details!$E$2:$G$11,3,false))</f>
        <v>Snacks and Drinks</v>
      </c>
      <c r="N837" s="18">
        <f t="shared" si="1"/>
        <v>110</v>
      </c>
      <c r="O837" s="17"/>
      <c r="P837" s="17"/>
      <c r="Q837" s="17"/>
      <c r="R837" s="17"/>
      <c r="S837" s="17"/>
      <c r="T837" s="17"/>
      <c r="U837" s="17"/>
      <c r="V837" s="17"/>
      <c r="W837" s="17"/>
      <c r="X837" s="17"/>
      <c r="Y837" s="17"/>
      <c r="Z837" s="17"/>
    </row>
    <row r="838">
      <c r="A838" s="18" t="str">
        <f>IFERROR(__xludf.DUMMYFUNCTION("""COMPUTED_VALUE"""),"ord_10829")</f>
        <v>ord_10829</v>
      </c>
      <c r="B838" s="18" t="str">
        <f>IFERROR(__xludf.DUMMYFUNCTION("""COMPUTED_VALUE"""),"Kritika Shetty")</f>
        <v>Kritika Shetty</v>
      </c>
      <c r="C838" s="18" t="str">
        <f>IFERROR(__xludf.DUMMYFUNCTION("""COMPUTED_VALUE"""),"Malad")</f>
        <v>Malad</v>
      </c>
      <c r="D838" s="18" t="str">
        <f>IFERROR(__xludf.DUMMYFUNCTION("""COMPUTED_VALUE"""),"Guava")</f>
        <v>Guava</v>
      </c>
      <c r="E838" s="18">
        <f>IFERROR(__xludf.DUMMYFUNCTION("""COMPUTED_VALUE"""),1.0)</f>
        <v>1</v>
      </c>
      <c r="F838" s="18" t="str">
        <f>IFERROR(__xludf.DUMMYFUNCTION("""COMPUTED_VALUE"""),"Manju Ajay")</f>
        <v>Manju Ajay</v>
      </c>
      <c r="G838" s="19">
        <f>IFERROR(__xludf.DUMMYFUNCTION("""COMPUTED_VALUE"""),45100.0)</f>
        <v>45100</v>
      </c>
      <c r="H838" s="18" t="str">
        <f>IFERROR(__xludf.DUMMYFUNCTION("""COMPUTED_VALUE"""),"Credit Card")</f>
        <v>Credit Card</v>
      </c>
      <c r="I838" s="18" t="str">
        <f>IFERROR(__xludf.DUMMYFUNCTION("""COMPUTED_VALUE"""),"Cancelled")</f>
        <v>Cancelled</v>
      </c>
      <c r="J838" s="18" t="str">
        <f>IFERROR(__xludf.DUMMYFUNCTION("""COMPUTED_VALUE"""),"Delayed Delivery")</f>
        <v>Delayed Delivery</v>
      </c>
      <c r="K838" s="18" t="str">
        <f>IFERROR(__xludf.DUMMYFUNCTION("""COMPUTED_VALUE"""),"Bad Weather Conditions")</f>
        <v>Bad Weather Conditions</v>
      </c>
      <c r="L838" s="18">
        <f>iferror(VLOOKUP($D838,Details!$A$2:$C$11,2,false),vlookup($D838,Details!$E$2:$G$11,2,false))</f>
        <v>70</v>
      </c>
      <c r="M838" s="18" t="str">
        <f>iferror(VLOOKUP($D838,Details!$A$2:$C$11,3,false),vlookup($D838,Details!$E$2:$G$11,3,false))</f>
        <v>Fruits and Vegetables</v>
      </c>
      <c r="N838" s="18">
        <f t="shared" si="1"/>
        <v>70</v>
      </c>
      <c r="O838" s="17"/>
      <c r="P838" s="17"/>
      <c r="Q838" s="17"/>
      <c r="R838" s="17"/>
      <c r="S838" s="17"/>
      <c r="T838" s="17"/>
      <c r="U838" s="17"/>
      <c r="V838" s="17"/>
      <c r="W838" s="17"/>
      <c r="X838" s="17"/>
      <c r="Y838" s="17"/>
      <c r="Z838" s="17"/>
    </row>
    <row r="839">
      <c r="A839" s="18" t="str">
        <f>IFERROR(__xludf.DUMMYFUNCTION("""COMPUTED_VALUE"""),"ord_30830")</f>
        <v>ord_30830</v>
      </c>
      <c r="B839" s="18" t="str">
        <f>IFERROR(__xludf.DUMMYFUNCTION("""COMPUTED_VALUE"""),"Siya Reddy")</f>
        <v>Siya Reddy</v>
      </c>
      <c r="C839" s="18" t="str">
        <f>IFERROR(__xludf.DUMMYFUNCTION("""COMPUTED_VALUE"""),"Juhu")</f>
        <v>Juhu</v>
      </c>
      <c r="D839" s="18" t="str">
        <f>IFERROR(__xludf.DUMMYFUNCTION("""COMPUTED_VALUE"""),"Veg Puff")</f>
        <v>Veg Puff</v>
      </c>
      <c r="E839" s="18">
        <f>IFERROR(__xludf.DUMMYFUNCTION("""COMPUTED_VALUE"""),1.0)</f>
        <v>1</v>
      </c>
      <c r="F839" s="18" t="str">
        <f>IFERROR(__xludf.DUMMYFUNCTION("""COMPUTED_VALUE"""),"Tanvi Jain")</f>
        <v>Tanvi Jain</v>
      </c>
      <c r="G839" s="19">
        <f>IFERROR(__xludf.DUMMYFUNCTION("""COMPUTED_VALUE"""),45228.0)</f>
        <v>45228</v>
      </c>
      <c r="H839" s="18" t="str">
        <f>IFERROR(__xludf.DUMMYFUNCTION("""COMPUTED_VALUE"""),"Online Payment")</f>
        <v>Online Payment</v>
      </c>
      <c r="I839" s="18" t="str">
        <f>IFERROR(__xludf.DUMMYFUNCTION("""COMPUTED_VALUE"""),"Delivered")</f>
        <v>Delivered</v>
      </c>
      <c r="J839" s="18" t="str">
        <f>IFERROR(__xludf.DUMMYFUNCTION("""COMPUTED_VALUE"""),"Overall Satisfaction")</f>
        <v>Overall Satisfaction</v>
      </c>
      <c r="K839" s="18" t="str">
        <f>IFERROR(__xludf.DUMMYFUNCTION("""COMPUTED_VALUE"""),"Great service will order again")</f>
        <v>Great service will order again</v>
      </c>
      <c r="L839" s="18">
        <f>iferror(VLOOKUP($D839,Details!$A$2:$C$11,2,false),vlookup($D839,Details!$E$2:$G$11,2,false))</f>
        <v>80</v>
      </c>
      <c r="M839" s="18" t="str">
        <f>iferror(VLOOKUP($D839,Details!$A$2:$C$11,3,false),vlookup($D839,Details!$E$2:$G$11,3,false))</f>
        <v>Snacks and Drinks</v>
      </c>
      <c r="N839" s="18">
        <f t="shared" si="1"/>
        <v>80</v>
      </c>
      <c r="O839" s="17"/>
      <c r="P839" s="17"/>
      <c r="Q839" s="17"/>
      <c r="R839" s="17"/>
      <c r="S839" s="17"/>
      <c r="T839" s="17"/>
      <c r="U839" s="17"/>
      <c r="V839" s="17"/>
      <c r="W839" s="17"/>
      <c r="X839" s="17"/>
      <c r="Y839" s="17"/>
      <c r="Z839" s="17"/>
    </row>
    <row r="840">
      <c r="A840" s="18" t="str">
        <f>IFERROR(__xludf.DUMMYFUNCTION("""COMPUTED_VALUE"""),"ord_30831")</f>
        <v>ord_30831</v>
      </c>
      <c r="B840" s="18" t="str">
        <f>IFERROR(__xludf.DUMMYFUNCTION("""COMPUTED_VALUE"""),"Diya Arora")</f>
        <v>Diya Arora</v>
      </c>
      <c r="C840" s="18" t="str">
        <f>IFERROR(__xludf.DUMMYFUNCTION("""COMPUTED_VALUE"""),"Lower Parel")</f>
        <v>Lower Parel</v>
      </c>
      <c r="D840" s="18" t="str">
        <f>IFERROR(__xludf.DUMMYFUNCTION("""COMPUTED_VALUE"""),"Juice")</f>
        <v>Juice</v>
      </c>
      <c r="E840" s="18">
        <f>IFERROR(__xludf.DUMMYFUNCTION("""COMPUTED_VALUE"""),3.0)</f>
        <v>3</v>
      </c>
      <c r="F840" s="18" t="str">
        <f>IFERROR(__xludf.DUMMYFUNCTION("""COMPUTED_VALUE"""),"Kiran Mehta")</f>
        <v>Kiran Mehta</v>
      </c>
      <c r="G840" s="19">
        <f>IFERROR(__xludf.DUMMYFUNCTION("""COMPUTED_VALUE"""),44971.0)</f>
        <v>44971</v>
      </c>
      <c r="H840" s="18" t="str">
        <f>IFERROR(__xludf.DUMMYFUNCTION("""COMPUTED_VALUE"""),"Credit Card")</f>
        <v>Credit Card</v>
      </c>
      <c r="I840" s="18" t="str">
        <f>IFERROR(__xludf.DUMMYFUNCTION("""COMPUTED_VALUE"""),"Delivered")</f>
        <v>Delivered</v>
      </c>
      <c r="J840" s="18" t="str">
        <f>IFERROR(__xludf.DUMMYFUNCTION("""COMPUTED_VALUE"""),"On-time Delivery")</f>
        <v>On-time Delivery</v>
      </c>
      <c r="K840" s="18" t="str">
        <f>IFERROR(__xludf.DUMMYFUNCTION("""COMPUTED_VALUE"""),"Delivered on time")</f>
        <v>Delivered on time</v>
      </c>
      <c r="L840" s="18">
        <f>iferror(VLOOKUP($D840,Details!$A$2:$C$11,2,false),vlookup($D840,Details!$E$2:$G$11,2,false))</f>
        <v>90</v>
      </c>
      <c r="M840" s="18" t="str">
        <f>iferror(VLOOKUP($D840,Details!$A$2:$C$11,3,false),vlookup($D840,Details!$E$2:$G$11,3,false))</f>
        <v>Snacks and Drinks</v>
      </c>
      <c r="N840" s="18">
        <f t="shared" si="1"/>
        <v>270</v>
      </c>
      <c r="O840" s="17"/>
      <c r="P840" s="17"/>
      <c r="Q840" s="17"/>
      <c r="R840" s="17"/>
      <c r="S840" s="17"/>
      <c r="T840" s="17"/>
      <c r="U840" s="17"/>
      <c r="V840" s="17"/>
      <c r="W840" s="17"/>
      <c r="X840" s="17"/>
      <c r="Y840" s="17"/>
      <c r="Z840" s="17"/>
    </row>
    <row r="841">
      <c r="A841" s="18" t="str">
        <f>IFERROR(__xludf.DUMMYFUNCTION("""COMPUTED_VALUE"""),"ord_30832")</f>
        <v>ord_30832</v>
      </c>
      <c r="B841" s="18" t="str">
        <f>IFERROR(__xludf.DUMMYFUNCTION("""COMPUTED_VALUE"""),"Anaya Rao")</f>
        <v>Anaya Rao</v>
      </c>
      <c r="C841" s="18" t="str">
        <f>IFERROR(__xludf.DUMMYFUNCTION("""COMPUTED_VALUE"""),"Colaba")</f>
        <v>Colaba</v>
      </c>
      <c r="D841" s="18" t="str">
        <f>IFERROR(__xludf.DUMMYFUNCTION("""COMPUTED_VALUE"""),"Banana")</f>
        <v>Banana</v>
      </c>
      <c r="E841" s="18">
        <f>IFERROR(__xludf.DUMMYFUNCTION("""COMPUTED_VALUE"""),2.0)</f>
        <v>2</v>
      </c>
      <c r="F841" s="18" t="str">
        <f>IFERROR(__xludf.DUMMYFUNCTION("""COMPUTED_VALUE"""),"Nikhil Deshmukh")</f>
        <v>Nikhil Deshmukh</v>
      </c>
      <c r="G841" s="19">
        <f>IFERROR(__xludf.DUMMYFUNCTION("""COMPUTED_VALUE"""),45064.0)</f>
        <v>45064</v>
      </c>
      <c r="H841" s="18" t="str">
        <f>IFERROR(__xludf.DUMMYFUNCTION("""COMPUTED_VALUE"""),"Credit Card")</f>
        <v>Credit Card</v>
      </c>
      <c r="I841" s="18" t="str">
        <f>IFERROR(__xludf.DUMMYFUNCTION("""COMPUTED_VALUE"""),"Delivered")</f>
        <v>Delivered</v>
      </c>
      <c r="J841" s="18" t="str">
        <f>IFERROR(__xludf.DUMMYFUNCTION("""COMPUTED_VALUE"""),"Quality of Items")</f>
        <v>Quality of Items</v>
      </c>
      <c r="K841" s="18" t="str">
        <f>IFERROR(__xludf.DUMMYFUNCTION("""COMPUTED_VALUE"""),"Perfect condition")</f>
        <v>Perfect condition</v>
      </c>
      <c r="L841" s="18">
        <f>iferror(VLOOKUP($D841,Details!$A$2:$C$11,2,false),vlookup($D841,Details!$E$2:$G$11,2,false))</f>
        <v>80</v>
      </c>
      <c r="M841" s="18" t="str">
        <f>iferror(VLOOKUP($D841,Details!$A$2:$C$11,3,false),vlookup($D841,Details!$E$2:$G$11,3,false))</f>
        <v>Fruits and Vegetables</v>
      </c>
      <c r="N841" s="18">
        <f t="shared" si="1"/>
        <v>160</v>
      </c>
      <c r="O841" s="17"/>
      <c r="P841" s="17"/>
      <c r="Q841" s="17"/>
      <c r="R841" s="17"/>
      <c r="S841" s="17"/>
      <c r="T841" s="17"/>
      <c r="U841" s="17"/>
      <c r="V841" s="17"/>
      <c r="W841" s="17"/>
      <c r="X841" s="17"/>
      <c r="Y841" s="17"/>
      <c r="Z841" s="17"/>
    </row>
    <row r="842">
      <c r="A842" s="18" t="str">
        <f>IFERROR(__xludf.DUMMYFUNCTION("""COMPUTED_VALUE"""),"ord_30833")</f>
        <v>ord_30833</v>
      </c>
      <c r="B842" s="18" t="str">
        <f>IFERROR(__xludf.DUMMYFUNCTION("""COMPUTED_VALUE"""),"Sanjay Nair")</f>
        <v>Sanjay Nair</v>
      </c>
      <c r="C842" s="18" t="str">
        <f>IFERROR(__xludf.DUMMYFUNCTION("""COMPUTED_VALUE"""),"Dadar")</f>
        <v>Dadar</v>
      </c>
      <c r="D842" s="18" t="str">
        <f>IFERROR(__xludf.DUMMYFUNCTION("""COMPUTED_VALUE"""),"Tiramisu")</f>
        <v>Tiramisu</v>
      </c>
      <c r="E842" s="18">
        <f>IFERROR(__xludf.DUMMYFUNCTION("""COMPUTED_VALUE"""),3.0)</f>
        <v>3</v>
      </c>
      <c r="F842" s="18" t="str">
        <f>IFERROR(__xludf.DUMMYFUNCTION("""COMPUTED_VALUE"""),"Aman Kumar")</f>
        <v>Aman Kumar</v>
      </c>
      <c r="G842" s="19">
        <f>IFERROR(__xludf.DUMMYFUNCTION("""COMPUTED_VALUE"""),44992.0)</f>
        <v>44992</v>
      </c>
      <c r="H842" s="18" t="str">
        <f>IFERROR(__xludf.DUMMYFUNCTION("""COMPUTED_VALUE"""),"Online Payment")</f>
        <v>Online Payment</v>
      </c>
      <c r="I842" s="18" t="str">
        <f>IFERROR(__xludf.DUMMYFUNCTION("""COMPUTED_VALUE"""),"Delivered")</f>
        <v>Delivered</v>
      </c>
      <c r="J842" s="18" t="str">
        <f>IFERROR(__xludf.DUMMYFUNCTION("""COMPUTED_VALUE"""),"On-time Delivery")</f>
        <v>On-time Delivery</v>
      </c>
      <c r="K842" s="18" t="str">
        <f>IFERROR(__xludf.DUMMYFUNCTION("""COMPUTED_VALUE"""),"Delivered on time")</f>
        <v>Delivered on time</v>
      </c>
      <c r="L842" s="18">
        <f>iferror(VLOOKUP($D842,Details!$A$2:$C$11,2,false),vlookup($D842,Details!$E$2:$G$11,2,false))</f>
        <v>150</v>
      </c>
      <c r="M842" s="18" t="str">
        <f>iferror(VLOOKUP($D842,Details!$A$2:$C$11,3,false),vlookup($D842,Details!$E$2:$G$11,3,false))</f>
        <v>Snacks and Drinks</v>
      </c>
      <c r="N842" s="18">
        <f t="shared" si="1"/>
        <v>450</v>
      </c>
      <c r="O842" s="17"/>
      <c r="P842" s="17"/>
      <c r="Q842" s="17"/>
      <c r="R842" s="17"/>
      <c r="S842" s="17"/>
      <c r="T842" s="17"/>
      <c r="U842" s="17"/>
      <c r="V842" s="17"/>
      <c r="W842" s="17"/>
      <c r="X842" s="17"/>
      <c r="Y842" s="17"/>
      <c r="Z842" s="17"/>
    </row>
    <row r="843">
      <c r="A843" s="18" t="str">
        <f>IFERROR(__xludf.DUMMYFUNCTION("""COMPUTED_VALUE"""),"ord_30834")</f>
        <v>ord_30834</v>
      </c>
      <c r="B843" s="18" t="str">
        <f>IFERROR(__xludf.DUMMYFUNCTION("""COMPUTED_VALUE"""),"Pranav Joshi")</f>
        <v>Pranav Joshi</v>
      </c>
      <c r="C843" s="18" t="str">
        <f>IFERROR(__xludf.DUMMYFUNCTION("""COMPUTED_VALUE"""),"Andheri")</f>
        <v>Andheri</v>
      </c>
      <c r="D843" s="18" t="str">
        <f>IFERROR(__xludf.DUMMYFUNCTION("""COMPUTED_VALUE"""),"Potato")</f>
        <v>Potato</v>
      </c>
      <c r="E843" s="18">
        <f>IFERROR(__xludf.DUMMYFUNCTION("""COMPUTED_VALUE"""),1.0)</f>
        <v>1</v>
      </c>
      <c r="F843" s="18" t="str">
        <f>IFERROR(__xludf.DUMMYFUNCTION("""COMPUTED_VALUE"""),"Rohan Yadav")</f>
        <v>Rohan Yadav</v>
      </c>
      <c r="G843" s="19">
        <f>IFERROR(__xludf.DUMMYFUNCTION("""COMPUTED_VALUE"""),45206.0)</f>
        <v>45206</v>
      </c>
      <c r="H843" s="18" t="str">
        <f>IFERROR(__xludf.DUMMYFUNCTION("""COMPUTED_VALUE"""),"Credit Card")</f>
        <v>Credit Card</v>
      </c>
      <c r="I843" s="18" t="str">
        <f>IFERROR(__xludf.DUMMYFUNCTION("""COMPUTED_VALUE"""),"Delivered")</f>
        <v>Delivered</v>
      </c>
      <c r="J843" s="18" t="str">
        <f>IFERROR(__xludf.DUMMYFUNCTION("""COMPUTED_VALUE"""),"Quality of Items")</f>
        <v>Quality of Items</v>
      </c>
      <c r="K843" s="18" t="str">
        <f>IFERROR(__xludf.DUMMYFUNCTION("""COMPUTED_VALUE"""),"Perfect condition")</f>
        <v>Perfect condition</v>
      </c>
      <c r="L843" s="18">
        <f>iferror(VLOOKUP($D843,Details!$A$2:$C$11,2,false),vlookup($D843,Details!$E$2:$G$11,2,false))</f>
        <v>55</v>
      </c>
      <c r="M843" s="18" t="str">
        <f>iferror(VLOOKUP($D843,Details!$A$2:$C$11,3,false),vlookup($D843,Details!$E$2:$G$11,3,false))</f>
        <v>Fruits and Vegetables</v>
      </c>
      <c r="N843" s="18">
        <f t="shared" si="1"/>
        <v>55</v>
      </c>
      <c r="O843" s="17"/>
      <c r="P843" s="17"/>
      <c r="Q843" s="17"/>
      <c r="R843" s="17"/>
      <c r="S843" s="17"/>
      <c r="T843" s="17"/>
      <c r="U843" s="17"/>
      <c r="V843" s="17"/>
      <c r="W843" s="17"/>
      <c r="X843" s="17"/>
      <c r="Y843" s="17"/>
      <c r="Z843" s="17"/>
    </row>
    <row r="844">
      <c r="A844" s="18" t="str">
        <f>IFERROR(__xludf.DUMMYFUNCTION("""COMPUTED_VALUE"""),"ord_30835")</f>
        <v>ord_30835</v>
      </c>
      <c r="B844" s="18" t="str">
        <f>IFERROR(__xludf.DUMMYFUNCTION("""COMPUTED_VALUE"""),"Sakshi Tandon")</f>
        <v>Sakshi Tandon</v>
      </c>
      <c r="C844" s="18" t="str">
        <f>IFERROR(__xludf.DUMMYFUNCTION("""COMPUTED_VALUE"""),"Colaba")</f>
        <v>Colaba</v>
      </c>
      <c r="D844" s="18" t="str">
        <f>IFERROR(__xludf.DUMMYFUNCTION("""COMPUTED_VALUE"""),"Tomato")</f>
        <v>Tomato</v>
      </c>
      <c r="E844" s="18">
        <f>IFERROR(__xludf.DUMMYFUNCTION("""COMPUTED_VALUE"""),2.0)</f>
        <v>2</v>
      </c>
      <c r="F844" s="18" t="str">
        <f>IFERROR(__xludf.DUMMYFUNCTION("""COMPUTED_VALUE"""),"Nikhil Deshmukh")</f>
        <v>Nikhil Deshmukh</v>
      </c>
      <c r="G844" s="19">
        <f>IFERROR(__xludf.DUMMYFUNCTION("""COMPUTED_VALUE"""),45088.0)</f>
        <v>45088</v>
      </c>
      <c r="H844" s="18" t="str">
        <f>IFERROR(__xludf.DUMMYFUNCTION("""COMPUTED_VALUE"""),"UPI")</f>
        <v>UPI</v>
      </c>
      <c r="I844" s="18" t="str">
        <f>IFERROR(__xludf.DUMMYFUNCTION("""COMPUTED_VALUE"""),"Delivered")</f>
        <v>Delivered</v>
      </c>
      <c r="J844" s="18" t="str">
        <f>IFERROR(__xludf.DUMMYFUNCTION("""COMPUTED_VALUE"""),"Packaging")</f>
        <v>Packaging</v>
      </c>
      <c r="K844" s="18" t="str">
        <f>IFERROR(__xludf.DUMMYFUNCTION("""COMPUTED_VALUE"""),"Secure and intact")</f>
        <v>Secure and intact</v>
      </c>
      <c r="L844" s="18">
        <f>iferror(VLOOKUP($D844,Details!$A$2:$C$11,2,false),vlookup($D844,Details!$E$2:$G$11,2,false))</f>
        <v>25</v>
      </c>
      <c r="M844" s="18" t="str">
        <f>iferror(VLOOKUP($D844,Details!$A$2:$C$11,3,false),vlookup($D844,Details!$E$2:$G$11,3,false))</f>
        <v>Fruits and Vegetables</v>
      </c>
      <c r="N844" s="18">
        <f t="shared" si="1"/>
        <v>50</v>
      </c>
      <c r="O844" s="17"/>
      <c r="P844" s="17"/>
      <c r="Q844" s="17"/>
      <c r="R844" s="17"/>
      <c r="S844" s="17"/>
      <c r="T844" s="17"/>
      <c r="U844" s="17"/>
      <c r="V844" s="17"/>
      <c r="W844" s="17"/>
      <c r="X844" s="17"/>
      <c r="Y844" s="17"/>
      <c r="Z844" s="17"/>
    </row>
    <row r="845">
      <c r="A845" s="18" t="str">
        <f>IFERROR(__xludf.DUMMYFUNCTION("""COMPUTED_VALUE"""),"ord_30836")</f>
        <v>ord_30836</v>
      </c>
      <c r="B845" s="18" t="str">
        <f>IFERROR(__xludf.DUMMYFUNCTION("""COMPUTED_VALUE"""),"Aarohi Kapoor")</f>
        <v>Aarohi Kapoor</v>
      </c>
      <c r="C845" s="18" t="str">
        <f>IFERROR(__xludf.DUMMYFUNCTION("""COMPUTED_VALUE"""),"Bandra")</f>
        <v>Bandra</v>
      </c>
      <c r="D845" s="18" t="str">
        <f>IFERROR(__xludf.DUMMYFUNCTION("""COMPUTED_VALUE"""),"Icecream")</f>
        <v>Icecream</v>
      </c>
      <c r="E845" s="18">
        <f>IFERROR(__xludf.DUMMYFUNCTION("""COMPUTED_VALUE"""),3.0)</f>
        <v>3</v>
      </c>
      <c r="F845" s="18" t="str">
        <f>IFERROR(__xludf.DUMMYFUNCTION("""COMPUTED_VALUE"""),"Priya Joshi")</f>
        <v>Priya Joshi</v>
      </c>
      <c r="G845" s="19">
        <f>IFERROR(__xludf.DUMMYFUNCTION("""COMPUTED_VALUE"""),45189.0)</f>
        <v>45189</v>
      </c>
      <c r="H845" s="18" t="str">
        <f>IFERROR(__xludf.DUMMYFUNCTION("""COMPUTED_VALUE"""),"UPI")</f>
        <v>UPI</v>
      </c>
      <c r="I845" s="18" t="str">
        <f>IFERROR(__xludf.DUMMYFUNCTION("""COMPUTED_VALUE"""),"Delivered")</f>
        <v>Delivered</v>
      </c>
      <c r="J845" s="18" t="str">
        <f>IFERROR(__xludf.DUMMYFUNCTION("""COMPUTED_VALUE"""),"Satisfied with the Delivery")</f>
        <v>Satisfied with the Delivery</v>
      </c>
      <c r="K845" s="18" t="str">
        <f>IFERROR(__xludf.DUMMYFUNCTION("""COMPUTED_VALUE"""),"Timely and quality")</f>
        <v>Timely and quality</v>
      </c>
      <c r="L845" s="18">
        <f>iferror(VLOOKUP($D845,Details!$A$2:$C$11,2,false),vlookup($D845,Details!$E$2:$G$11,2,false))</f>
        <v>90</v>
      </c>
      <c r="M845" s="18" t="str">
        <f>iferror(VLOOKUP($D845,Details!$A$2:$C$11,3,false),vlookup($D845,Details!$E$2:$G$11,3,false))</f>
        <v>Snacks and Drinks</v>
      </c>
      <c r="N845" s="18">
        <f t="shared" si="1"/>
        <v>270</v>
      </c>
      <c r="O845" s="17"/>
      <c r="P845" s="17"/>
      <c r="Q845" s="17"/>
      <c r="R845" s="17"/>
      <c r="S845" s="17"/>
      <c r="T845" s="17"/>
      <c r="U845" s="17"/>
      <c r="V845" s="17"/>
      <c r="W845" s="17"/>
      <c r="X845" s="17"/>
      <c r="Y845" s="17"/>
      <c r="Z845" s="17"/>
    </row>
    <row r="846">
      <c r="A846" s="18" t="str">
        <f>IFERROR(__xludf.DUMMYFUNCTION("""COMPUTED_VALUE"""),"ord_30837")</f>
        <v>ord_30837</v>
      </c>
      <c r="B846" s="18" t="str">
        <f>IFERROR(__xludf.DUMMYFUNCTION("""COMPUTED_VALUE"""),"Aarohi Kapoor")</f>
        <v>Aarohi Kapoor</v>
      </c>
      <c r="C846" s="18" t="str">
        <f>IFERROR(__xludf.DUMMYFUNCTION("""COMPUTED_VALUE"""),"Bandra")</f>
        <v>Bandra</v>
      </c>
      <c r="D846" s="18" t="str">
        <f>IFERROR(__xludf.DUMMYFUNCTION("""COMPUTED_VALUE"""),"Cold Coffee")</f>
        <v>Cold Coffee</v>
      </c>
      <c r="E846" s="18">
        <f>IFERROR(__xludf.DUMMYFUNCTION("""COMPUTED_VALUE"""),3.0)</f>
        <v>3</v>
      </c>
      <c r="F846" s="18" t="str">
        <f>IFERROR(__xludf.DUMMYFUNCTION("""COMPUTED_VALUE"""),"Vivek Kumar")</f>
        <v>Vivek Kumar</v>
      </c>
      <c r="G846" s="19">
        <f>IFERROR(__xludf.DUMMYFUNCTION("""COMPUTED_VALUE"""),45286.0)</f>
        <v>45286</v>
      </c>
      <c r="H846" s="18" t="str">
        <f>IFERROR(__xludf.DUMMYFUNCTION("""COMPUTED_VALUE"""),"Online Payment")</f>
        <v>Online Payment</v>
      </c>
      <c r="I846" s="18" t="str">
        <f>IFERROR(__xludf.DUMMYFUNCTION("""COMPUTED_VALUE"""),"Delivered")</f>
        <v>Delivered</v>
      </c>
      <c r="J846" s="18" t="str">
        <f>IFERROR(__xludf.DUMMYFUNCTION("""COMPUTED_VALUE"""),"Customer Service")</f>
        <v>Customer Service</v>
      </c>
      <c r="K846" s="18" t="str">
        <f>IFERROR(__xludf.DUMMYFUNCTION("""COMPUTED_VALUE"""),"Seamless and easy")</f>
        <v>Seamless and easy</v>
      </c>
      <c r="L846" s="18">
        <f>iferror(VLOOKUP($D846,Details!$A$2:$C$11,2,false),vlookup($D846,Details!$E$2:$G$11,2,false))</f>
        <v>270</v>
      </c>
      <c r="M846" s="18" t="str">
        <f>iferror(VLOOKUP($D846,Details!$A$2:$C$11,3,false),vlookup($D846,Details!$E$2:$G$11,3,false))</f>
        <v>Snacks and Drinks</v>
      </c>
      <c r="N846" s="18">
        <f t="shared" si="1"/>
        <v>810</v>
      </c>
      <c r="O846" s="17"/>
      <c r="P846" s="17"/>
      <c r="Q846" s="17"/>
      <c r="R846" s="17"/>
      <c r="S846" s="17"/>
      <c r="T846" s="17"/>
      <c r="U846" s="17"/>
      <c r="V846" s="17"/>
      <c r="W846" s="17"/>
      <c r="X846" s="17"/>
      <c r="Y846" s="17"/>
      <c r="Z846" s="17"/>
    </row>
    <row r="847">
      <c r="A847" s="18" t="str">
        <f>IFERROR(__xludf.DUMMYFUNCTION("""COMPUTED_VALUE"""),"ord_30838")</f>
        <v>ord_30838</v>
      </c>
      <c r="B847" s="18" t="str">
        <f>IFERROR(__xludf.DUMMYFUNCTION("""COMPUTED_VALUE"""),"Omkar Mishra")</f>
        <v>Omkar Mishra</v>
      </c>
      <c r="C847" s="18" t="str">
        <f>IFERROR(__xludf.DUMMYFUNCTION("""COMPUTED_VALUE"""),"Powai")</f>
        <v>Powai</v>
      </c>
      <c r="D847" s="18" t="str">
        <f>IFERROR(__xludf.DUMMYFUNCTION("""COMPUTED_VALUE"""),"Icecream")</f>
        <v>Icecream</v>
      </c>
      <c r="E847" s="18">
        <f>IFERROR(__xludf.DUMMYFUNCTION("""COMPUTED_VALUE"""),1.0)</f>
        <v>1</v>
      </c>
      <c r="F847" s="18" t="str">
        <f>IFERROR(__xludf.DUMMYFUNCTION("""COMPUTED_VALUE"""),"Vivek Kumar")</f>
        <v>Vivek Kumar</v>
      </c>
      <c r="G847" s="19">
        <f>IFERROR(__xludf.DUMMYFUNCTION("""COMPUTED_VALUE"""),45265.0)</f>
        <v>45265</v>
      </c>
      <c r="H847" s="18" t="str">
        <f>IFERROR(__xludf.DUMMYFUNCTION("""COMPUTED_VALUE"""),"UPI")</f>
        <v>UPI</v>
      </c>
      <c r="I847" s="18" t="str">
        <f>IFERROR(__xludf.DUMMYFUNCTION("""COMPUTED_VALUE"""),"Delivered")</f>
        <v>Delivered</v>
      </c>
      <c r="J847" s="18" t="str">
        <f>IFERROR(__xludf.DUMMYFUNCTION("""COMPUTED_VALUE"""),"Delivery Experience")</f>
        <v>Delivery Experience</v>
      </c>
      <c r="K847" s="18" t="str">
        <f>IFERROR(__xludf.DUMMYFUNCTION("""COMPUTED_VALUE"""),"Quick and professional")</f>
        <v>Quick and professional</v>
      </c>
      <c r="L847" s="18">
        <f>iferror(VLOOKUP($D847,Details!$A$2:$C$11,2,false),vlookup($D847,Details!$E$2:$G$11,2,false))</f>
        <v>90</v>
      </c>
      <c r="M847" s="18" t="str">
        <f>iferror(VLOOKUP($D847,Details!$A$2:$C$11,3,false),vlookup($D847,Details!$E$2:$G$11,3,false))</f>
        <v>Snacks and Drinks</v>
      </c>
      <c r="N847" s="18">
        <f t="shared" si="1"/>
        <v>90</v>
      </c>
      <c r="O847" s="17"/>
      <c r="P847" s="17"/>
      <c r="Q847" s="17"/>
      <c r="R847" s="17"/>
      <c r="S847" s="17"/>
      <c r="T847" s="17"/>
      <c r="U847" s="17"/>
      <c r="V847" s="17"/>
      <c r="W847" s="17"/>
      <c r="X847" s="17"/>
      <c r="Y847" s="17"/>
      <c r="Z847" s="17"/>
    </row>
    <row r="848">
      <c r="A848" s="18" t="str">
        <f>IFERROR(__xludf.DUMMYFUNCTION("""COMPUTED_VALUE"""),"ord_30839")</f>
        <v>ord_30839</v>
      </c>
      <c r="B848" s="18" t="str">
        <f>IFERROR(__xludf.DUMMYFUNCTION("""COMPUTED_VALUE"""),"Kritika Shetty")</f>
        <v>Kritika Shetty</v>
      </c>
      <c r="C848" s="18" t="str">
        <f>IFERROR(__xludf.DUMMYFUNCTION("""COMPUTED_VALUE"""),"Malad")</f>
        <v>Malad</v>
      </c>
      <c r="D848" s="18" t="str">
        <f>IFERROR(__xludf.DUMMYFUNCTION("""COMPUTED_VALUE"""),"Icecream")</f>
        <v>Icecream</v>
      </c>
      <c r="E848" s="18">
        <f>IFERROR(__xludf.DUMMYFUNCTION("""COMPUTED_VALUE"""),4.0)</f>
        <v>4</v>
      </c>
      <c r="F848" s="18" t="str">
        <f>IFERROR(__xludf.DUMMYFUNCTION("""COMPUTED_VALUE"""),"Not Assigned")</f>
        <v>Not Assigned</v>
      </c>
      <c r="G848" s="19">
        <f>IFERROR(__xludf.DUMMYFUNCTION("""COMPUTED_VALUE"""),45034.0)</f>
        <v>45034</v>
      </c>
      <c r="H848" s="18" t="str">
        <f>IFERROR(__xludf.DUMMYFUNCTION("""COMPUTED_VALUE"""),"Online Payment")</f>
        <v>Online Payment</v>
      </c>
      <c r="I848" s="18" t="str">
        <f>IFERROR(__xludf.DUMMYFUNCTION("""COMPUTED_VALUE"""),"Cancelled")</f>
        <v>Cancelled</v>
      </c>
      <c r="J848" s="18" t="str">
        <f>IFERROR(__xludf.DUMMYFUNCTION("""COMPUTED_VALUE"""),"App Glitches")</f>
        <v>App Glitches</v>
      </c>
      <c r="K848" s="18" t="str">
        <f>IFERROR(__xludf.DUMMYFUNCTION("""COMPUTED_VALUE"""),"Slow Loading Time")</f>
        <v>Slow Loading Time</v>
      </c>
      <c r="L848" s="18">
        <f>iferror(VLOOKUP($D848,Details!$A$2:$C$11,2,false),vlookup($D848,Details!$E$2:$G$11,2,false))</f>
        <v>90</v>
      </c>
      <c r="M848" s="18" t="str">
        <f>iferror(VLOOKUP($D848,Details!$A$2:$C$11,3,false),vlookup($D848,Details!$E$2:$G$11,3,false))</f>
        <v>Snacks and Drinks</v>
      </c>
      <c r="N848" s="18">
        <f t="shared" si="1"/>
        <v>360</v>
      </c>
      <c r="O848" s="17"/>
      <c r="P848" s="17"/>
      <c r="Q848" s="17"/>
      <c r="R848" s="17"/>
      <c r="S848" s="17"/>
      <c r="T848" s="17"/>
      <c r="U848" s="17"/>
      <c r="V848" s="17"/>
      <c r="W848" s="17"/>
      <c r="X848" s="17"/>
      <c r="Y848" s="17"/>
      <c r="Z848" s="17"/>
    </row>
    <row r="849">
      <c r="A849" s="18" t="str">
        <f>IFERROR(__xludf.DUMMYFUNCTION("""COMPUTED_VALUE"""),"ord_30840")</f>
        <v>ord_30840</v>
      </c>
      <c r="B849" s="18" t="str">
        <f>IFERROR(__xludf.DUMMYFUNCTION("""COMPUTED_VALUE"""),"Siya Reddy")</f>
        <v>Siya Reddy</v>
      </c>
      <c r="C849" s="18" t="str">
        <f>IFERROR(__xludf.DUMMYFUNCTION("""COMPUTED_VALUE"""),"Juhu")</f>
        <v>Juhu</v>
      </c>
      <c r="D849" s="18" t="str">
        <f>IFERROR(__xludf.DUMMYFUNCTION("""COMPUTED_VALUE"""),"Chicken Puff")</f>
        <v>Chicken Puff</v>
      </c>
      <c r="E849" s="18">
        <f>IFERROR(__xludf.DUMMYFUNCTION("""COMPUTED_VALUE"""),3.0)</f>
        <v>3</v>
      </c>
      <c r="F849" s="18" t="str">
        <f>IFERROR(__xludf.DUMMYFUNCTION("""COMPUTED_VALUE"""),"Not Assigned")</f>
        <v>Not Assigned</v>
      </c>
      <c r="G849" s="19">
        <f>IFERROR(__xludf.DUMMYFUNCTION("""COMPUTED_VALUE"""),45222.0)</f>
        <v>45222</v>
      </c>
      <c r="H849" s="18" t="str">
        <f>IFERROR(__xludf.DUMMYFUNCTION("""COMPUTED_VALUE"""),"UPI")</f>
        <v>UPI</v>
      </c>
      <c r="I849" s="18" t="str">
        <f>IFERROR(__xludf.DUMMYFUNCTION("""COMPUTED_VALUE"""),"Cancelled")</f>
        <v>Cancelled</v>
      </c>
      <c r="J849" s="18" t="str">
        <f>IFERROR(__xludf.DUMMYFUNCTION("""COMPUTED_VALUE"""),"App Glitches")</f>
        <v>App Glitches</v>
      </c>
      <c r="K849" s="18" t="str">
        <f>IFERROR(__xludf.DUMMYFUNCTION("""COMPUTED_VALUE"""),"Missing Content")</f>
        <v>Missing Content</v>
      </c>
      <c r="L849" s="18">
        <f>iferror(VLOOKUP($D849,Details!$A$2:$C$11,2,false),vlookup($D849,Details!$E$2:$G$11,2,false))</f>
        <v>90</v>
      </c>
      <c r="M849" s="18" t="str">
        <f>iferror(VLOOKUP($D849,Details!$A$2:$C$11,3,false),vlookup($D849,Details!$E$2:$G$11,3,false))</f>
        <v>Snacks and Drinks</v>
      </c>
      <c r="N849" s="18">
        <f t="shared" si="1"/>
        <v>270</v>
      </c>
      <c r="O849" s="17"/>
      <c r="P849" s="17"/>
      <c r="Q849" s="17"/>
      <c r="R849" s="17"/>
      <c r="S849" s="17"/>
      <c r="T849" s="17"/>
      <c r="U849" s="17"/>
      <c r="V849" s="17"/>
      <c r="W849" s="17"/>
      <c r="X849" s="17"/>
      <c r="Y849" s="17"/>
      <c r="Z849" s="17"/>
    </row>
    <row r="850">
      <c r="A850" s="18" t="str">
        <f>IFERROR(__xludf.DUMMYFUNCTION("""COMPUTED_VALUE"""),"ord_30841")</f>
        <v>ord_30841</v>
      </c>
      <c r="B850" s="18" t="str">
        <f>IFERROR(__xludf.DUMMYFUNCTION("""COMPUTED_VALUE"""),"Kritika Shetty")</f>
        <v>Kritika Shetty</v>
      </c>
      <c r="C850" s="18" t="str">
        <f>IFERROR(__xludf.DUMMYFUNCTION("""COMPUTED_VALUE"""),"Malad")</f>
        <v>Malad</v>
      </c>
      <c r="D850" s="18" t="str">
        <f>IFERROR(__xludf.DUMMYFUNCTION("""COMPUTED_VALUE"""),"Sweet Corn")</f>
        <v>Sweet Corn</v>
      </c>
      <c r="E850" s="18">
        <f>IFERROR(__xludf.DUMMYFUNCTION("""COMPUTED_VALUE"""),1.0)</f>
        <v>1</v>
      </c>
      <c r="F850" s="18" t="str">
        <f>IFERROR(__xludf.DUMMYFUNCTION("""COMPUTED_VALUE"""),"Ramesh S")</f>
        <v>Ramesh S</v>
      </c>
      <c r="G850" s="19">
        <f>IFERROR(__xludf.DUMMYFUNCTION("""COMPUTED_VALUE"""),45283.0)</f>
        <v>45283</v>
      </c>
      <c r="H850" s="18" t="str">
        <f>IFERROR(__xludf.DUMMYFUNCTION("""COMPUTED_VALUE"""),"UPI")</f>
        <v>UPI</v>
      </c>
      <c r="I850" s="18" t="str">
        <f>IFERROR(__xludf.DUMMYFUNCTION("""COMPUTED_VALUE"""),"Delivered")</f>
        <v>Delivered</v>
      </c>
      <c r="J850" s="18" t="str">
        <f>IFERROR(__xludf.DUMMYFUNCTION("""COMPUTED_VALUE"""),"Convenience")</f>
        <v>Convenience</v>
      </c>
      <c r="K850" s="18" t="str">
        <f>IFERROR(__xludf.DUMMYFUNCTION("""COMPUTED_VALUE"""),"Easy tracking")</f>
        <v>Easy tracking</v>
      </c>
      <c r="L850" s="18">
        <f>iferror(VLOOKUP($D850,Details!$A$2:$C$11,2,false),vlookup($D850,Details!$E$2:$G$11,2,false))</f>
        <v>60</v>
      </c>
      <c r="M850" s="18" t="str">
        <f>iferror(VLOOKUP($D850,Details!$A$2:$C$11,3,false),vlookup($D850,Details!$E$2:$G$11,3,false))</f>
        <v>Fruits and Vegetables</v>
      </c>
      <c r="N850" s="18">
        <f t="shared" si="1"/>
        <v>60</v>
      </c>
      <c r="O850" s="17"/>
      <c r="P850" s="17"/>
      <c r="Q850" s="17"/>
      <c r="R850" s="17"/>
      <c r="S850" s="17"/>
      <c r="T850" s="17"/>
      <c r="U850" s="17"/>
      <c r="V850" s="17"/>
      <c r="W850" s="17"/>
      <c r="X850" s="17"/>
      <c r="Y850" s="17"/>
      <c r="Z850" s="17"/>
    </row>
    <row r="851">
      <c r="A851" s="18" t="str">
        <f>IFERROR(__xludf.DUMMYFUNCTION("""COMPUTED_VALUE"""),"ord_30842")</f>
        <v>ord_30842</v>
      </c>
      <c r="B851" s="18" t="str">
        <f>IFERROR(__xludf.DUMMYFUNCTION("""COMPUTED_VALUE"""),"Anaya Rao")</f>
        <v>Anaya Rao</v>
      </c>
      <c r="C851" s="18" t="str">
        <f>IFERROR(__xludf.DUMMYFUNCTION("""COMPUTED_VALUE"""),"Colaba")</f>
        <v>Colaba</v>
      </c>
      <c r="D851" s="18" t="str">
        <f>IFERROR(__xludf.DUMMYFUNCTION("""COMPUTED_VALUE"""),"Chilli Cheese Toast")</f>
        <v>Chilli Cheese Toast</v>
      </c>
      <c r="E851" s="18">
        <f>IFERROR(__xludf.DUMMYFUNCTION("""COMPUTED_VALUE"""),1.0)</f>
        <v>1</v>
      </c>
      <c r="F851" s="18" t="str">
        <f>IFERROR(__xludf.DUMMYFUNCTION("""COMPUTED_VALUE"""),"Shine Thomas")</f>
        <v>Shine Thomas</v>
      </c>
      <c r="G851" s="19">
        <f>IFERROR(__xludf.DUMMYFUNCTION("""COMPUTED_VALUE"""),45158.0)</f>
        <v>45158</v>
      </c>
      <c r="H851" s="18" t="str">
        <f>IFERROR(__xludf.DUMMYFUNCTION("""COMPUTED_VALUE"""),"Online Payment")</f>
        <v>Online Payment</v>
      </c>
      <c r="I851" s="18" t="str">
        <f>IFERROR(__xludf.DUMMYFUNCTION("""COMPUTED_VALUE"""),"Delivered")</f>
        <v>Delivered</v>
      </c>
      <c r="J851" s="18" t="str">
        <f>IFERROR(__xludf.DUMMYFUNCTION("""COMPUTED_VALUE"""),"Overall Satisfaction")</f>
        <v>Overall Satisfaction</v>
      </c>
      <c r="K851" s="18" t="str">
        <f>IFERROR(__xludf.DUMMYFUNCTION("""COMPUTED_VALUE"""),"Great service will order again")</f>
        <v>Great service will order again</v>
      </c>
      <c r="L851" s="18">
        <f>iferror(VLOOKUP($D851,Details!$A$2:$C$11,2,false),vlookup($D851,Details!$E$2:$G$11,2,false))</f>
        <v>80</v>
      </c>
      <c r="M851" s="18" t="str">
        <f>iferror(VLOOKUP($D851,Details!$A$2:$C$11,3,false),vlookup($D851,Details!$E$2:$G$11,3,false))</f>
        <v>Snacks and Drinks</v>
      </c>
      <c r="N851" s="18">
        <f t="shared" si="1"/>
        <v>80</v>
      </c>
      <c r="O851" s="17"/>
      <c r="P851" s="17"/>
      <c r="Q851" s="17"/>
      <c r="R851" s="17"/>
      <c r="S851" s="17"/>
      <c r="T851" s="17"/>
      <c r="U851" s="17"/>
      <c r="V851" s="17"/>
      <c r="W851" s="17"/>
      <c r="X851" s="17"/>
      <c r="Y851" s="17"/>
      <c r="Z851" s="17"/>
    </row>
    <row r="852">
      <c r="A852" s="18" t="str">
        <f>IFERROR(__xludf.DUMMYFUNCTION("""COMPUTED_VALUE"""),"ord_30843")</f>
        <v>ord_30843</v>
      </c>
      <c r="B852" s="18" t="str">
        <f>IFERROR(__xludf.DUMMYFUNCTION("""COMPUTED_VALUE"""),"Kritika Shetty")</f>
        <v>Kritika Shetty</v>
      </c>
      <c r="C852" s="18" t="str">
        <f>IFERROR(__xludf.DUMMYFUNCTION("""COMPUTED_VALUE"""),"Malad")</f>
        <v>Malad</v>
      </c>
      <c r="D852" s="18" t="str">
        <f>IFERROR(__xludf.DUMMYFUNCTION("""COMPUTED_VALUE"""),"Chilli Cheese Toast")</f>
        <v>Chilli Cheese Toast</v>
      </c>
      <c r="E852" s="18">
        <f>IFERROR(__xludf.DUMMYFUNCTION("""COMPUTED_VALUE"""),1.0)</f>
        <v>1</v>
      </c>
      <c r="F852" s="18" t="str">
        <f>IFERROR(__xludf.DUMMYFUNCTION("""COMPUTED_VALUE"""),"Nithin Lal")</f>
        <v>Nithin Lal</v>
      </c>
      <c r="G852" s="19">
        <f>IFERROR(__xludf.DUMMYFUNCTION("""COMPUTED_VALUE"""),45283.0)</f>
        <v>45283</v>
      </c>
      <c r="H852" s="18" t="str">
        <f>IFERROR(__xludf.DUMMYFUNCTION("""COMPUTED_VALUE"""),"UPI")</f>
        <v>UPI</v>
      </c>
      <c r="I852" s="18" t="str">
        <f>IFERROR(__xludf.DUMMYFUNCTION("""COMPUTED_VALUE"""),"Delivered")</f>
        <v>Delivered</v>
      </c>
      <c r="J852" s="18" t="str">
        <f>IFERROR(__xludf.DUMMYFUNCTION("""COMPUTED_VALUE"""),"On-time Delivery")</f>
        <v>On-time Delivery</v>
      </c>
      <c r="K852" s="18" t="str">
        <f>IFERROR(__xludf.DUMMYFUNCTION("""COMPUTED_VALUE"""),"Delivered on time")</f>
        <v>Delivered on time</v>
      </c>
      <c r="L852" s="18">
        <f>iferror(VLOOKUP($D852,Details!$A$2:$C$11,2,false),vlookup($D852,Details!$E$2:$G$11,2,false))</f>
        <v>80</v>
      </c>
      <c r="M852" s="18" t="str">
        <f>iferror(VLOOKUP($D852,Details!$A$2:$C$11,3,false),vlookup($D852,Details!$E$2:$G$11,3,false))</f>
        <v>Snacks and Drinks</v>
      </c>
      <c r="N852" s="18">
        <f t="shared" si="1"/>
        <v>80</v>
      </c>
      <c r="O852" s="17"/>
      <c r="P852" s="17"/>
      <c r="Q852" s="17"/>
      <c r="R852" s="17"/>
      <c r="S852" s="17"/>
      <c r="T852" s="17"/>
      <c r="U852" s="17"/>
      <c r="V852" s="17"/>
      <c r="W852" s="17"/>
      <c r="X852" s="17"/>
      <c r="Y852" s="17"/>
      <c r="Z852" s="17"/>
    </row>
    <row r="853">
      <c r="A853" s="18" t="str">
        <f>IFERROR(__xludf.DUMMYFUNCTION("""COMPUTED_VALUE"""),"ord_30844")</f>
        <v>ord_30844</v>
      </c>
      <c r="B853" s="18" t="str">
        <f>IFERROR(__xludf.DUMMYFUNCTION("""COMPUTED_VALUE"""),"Mehul Thakkar")</f>
        <v>Mehul Thakkar</v>
      </c>
      <c r="C853" s="18" t="str">
        <f>IFERROR(__xludf.DUMMYFUNCTION("""COMPUTED_VALUE"""),"Malad")</f>
        <v>Malad</v>
      </c>
      <c r="D853" s="18" t="str">
        <f>IFERROR(__xludf.DUMMYFUNCTION("""COMPUTED_VALUE"""),"Banana")</f>
        <v>Banana</v>
      </c>
      <c r="E853" s="18">
        <f>IFERROR(__xludf.DUMMYFUNCTION("""COMPUTED_VALUE"""),1.0)</f>
        <v>1</v>
      </c>
      <c r="F853" s="18" t="str">
        <f>IFERROR(__xludf.DUMMYFUNCTION("""COMPUTED_VALUE"""),"Not Assigned")</f>
        <v>Not Assigned</v>
      </c>
      <c r="G853" s="19">
        <f>IFERROR(__xludf.DUMMYFUNCTION("""COMPUTED_VALUE"""),45257.0)</f>
        <v>45257</v>
      </c>
      <c r="H853" s="18" t="str">
        <f>IFERROR(__xludf.DUMMYFUNCTION("""COMPUTED_VALUE"""),"UPI")</f>
        <v>UPI</v>
      </c>
      <c r="I853" s="18" t="str">
        <f>IFERROR(__xludf.DUMMYFUNCTION("""COMPUTED_VALUE"""),"Cancelled")</f>
        <v>Cancelled</v>
      </c>
      <c r="J853" s="18" t="str">
        <f>IFERROR(__xludf.DUMMYFUNCTION("""COMPUTED_VALUE"""),"Out of Stock")</f>
        <v>Out of Stock</v>
      </c>
      <c r="K853" s="18"/>
      <c r="L853" s="18">
        <f>iferror(VLOOKUP($D853,Details!$A$2:$C$11,2,false),vlookup($D853,Details!$E$2:$G$11,2,false))</f>
        <v>80</v>
      </c>
      <c r="M853" s="18" t="str">
        <f>iferror(VLOOKUP($D853,Details!$A$2:$C$11,3,false),vlookup($D853,Details!$E$2:$G$11,3,false))</f>
        <v>Fruits and Vegetables</v>
      </c>
      <c r="N853" s="18">
        <f t="shared" si="1"/>
        <v>80</v>
      </c>
      <c r="O853" s="17"/>
      <c r="P853" s="17"/>
      <c r="Q853" s="17"/>
      <c r="R853" s="17"/>
      <c r="S853" s="17"/>
      <c r="T853" s="17"/>
      <c r="U853" s="17"/>
      <c r="V853" s="17"/>
      <c r="W853" s="17"/>
      <c r="X853" s="17"/>
      <c r="Y853" s="17"/>
      <c r="Z853" s="17"/>
    </row>
    <row r="854">
      <c r="A854" s="18" t="str">
        <f>IFERROR(__xludf.DUMMYFUNCTION("""COMPUTED_VALUE"""),"ord_30845")</f>
        <v>ord_30845</v>
      </c>
      <c r="B854" s="18" t="str">
        <f>IFERROR(__xludf.DUMMYFUNCTION("""COMPUTED_VALUE"""),"Sakshi Tandon")</f>
        <v>Sakshi Tandon</v>
      </c>
      <c r="C854" s="18" t="str">
        <f>IFERROR(__xludf.DUMMYFUNCTION("""COMPUTED_VALUE"""),"Colaba")</f>
        <v>Colaba</v>
      </c>
      <c r="D854" s="18" t="str">
        <f>IFERROR(__xludf.DUMMYFUNCTION("""COMPUTED_VALUE"""),"Chocolate Mousse")</f>
        <v>Chocolate Mousse</v>
      </c>
      <c r="E854" s="18">
        <f>IFERROR(__xludf.DUMMYFUNCTION("""COMPUTED_VALUE"""),4.0)</f>
        <v>4</v>
      </c>
      <c r="F854" s="18" t="str">
        <f>IFERROR(__xludf.DUMMYFUNCTION("""COMPUTED_VALUE"""),"Shine Thomas")</f>
        <v>Shine Thomas</v>
      </c>
      <c r="G854" s="19">
        <f>IFERROR(__xludf.DUMMYFUNCTION("""COMPUTED_VALUE"""),45159.0)</f>
        <v>45159</v>
      </c>
      <c r="H854" s="18" t="str">
        <f>IFERROR(__xludf.DUMMYFUNCTION("""COMPUTED_VALUE"""),"Credit Card")</f>
        <v>Credit Card</v>
      </c>
      <c r="I854" s="18" t="str">
        <f>IFERROR(__xludf.DUMMYFUNCTION("""COMPUTED_VALUE"""),"Delivered")</f>
        <v>Delivered</v>
      </c>
      <c r="J854" s="18" t="str">
        <f>IFERROR(__xludf.DUMMYFUNCTION("""COMPUTED_VALUE"""),"Quality of Items")</f>
        <v>Quality of Items</v>
      </c>
      <c r="K854" s="18" t="str">
        <f>IFERROR(__xludf.DUMMYFUNCTION("""COMPUTED_VALUE"""),"Perfect condition")</f>
        <v>Perfect condition</v>
      </c>
      <c r="L854" s="18">
        <f>iferror(VLOOKUP($D854,Details!$A$2:$C$11,2,false),vlookup($D854,Details!$E$2:$G$11,2,false))</f>
        <v>145</v>
      </c>
      <c r="M854" s="18" t="str">
        <f>iferror(VLOOKUP($D854,Details!$A$2:$C$11,3,false),vlookup($D854,Details!$E$2:$G$11,3,false))</f>
        <v>Snacks and Drinks</v>
      </c>
      <c r="N854" s="18">
        <f t="shared" si="1"/>
        <v>580</v>
      </c>
      <c r="O854" s="17"/>
      <c r="P854" s="17"/>
      <c r="Q854" s="17"/>
      <c r="R854" s="17"/>
      <c r="S854" s="17"/>
      <c r="T854" s="17"/>
      <c r="U854" s="17"/>
      <c r="V854" s="17"/>
      <c r="W854" s="17"/>
      <c r="X854" s="17"/>
      <c r="Y854" s="17"/>
      <c r="Z854" s="17"/>
    </row>
    <row r="855">
      <c r="A855" s="18" t="str">
        <f>IFERROR(__xludf.DUMMYFUNCTION("""COMPUTED_VALUE"""),"ord_30846")</f>
        <v>ord_30846</v>
      </c>
      <c r="B855" s="18" t="str">
        <f>IFERROR(__xludf.DUMMYFUNCTION("""COMPUTED_VALUE"""),"Arvind Kulkarni")</f>
        <v>Arvind Kulkarni</v>
      </c>
      <c r="C855" s="18" t="str">
        <f>IFERROR(__xludf.DUMMYFUNCTION("""COMPUTED_VALUE"""),"Juhu")</f>
        <v>Juhu</v>
      </c>
      <c r="D855" s="18" t="str">
        <f>IFERROR(__xludf.DUMMYFUNCTION("""COMPUTED_VALUE"""),"Chilli Cheese Toast")</f>
        <v>Chilli Cheese Toast</v>
      </c>
      <c r="E855" s="18">
        <f>IFERROR(__xludf.DUMMYFUNCTION("""COMPUTED_VALUE"""),2.0)</f>
        <v>2</v>
      </c>
      <c r="F855" s="18" t="str">
        <f>IFERROR(__xludf.DUMMYFUNCTION("""COMPUTED_VALUE"""),"Not Assigned")</f>
        <v>Not Assigned</v>
      </c>
      <c r="G855" s="19">
        <f>IFERROR(__xludf.DUMMYFUNCTION("""COMPUTED_VALUE"""),45055.0)</f>
        <v>45055</v>
      </c>
      <c r="H855" s="18" t="str">
        <f>IFERROR(__xludf.DUMMYFUNCTION("""COMPUTED_VALUE"""),"Credit Card")</f>
        <v>Credit Card</v>
      </c>
      <c r="I855" s="18" t="str">
        <f>IFERROR(__xludf.DUMMYFUNCTION("""COMPUTED_VALUE"""),"Cancelled")</f>
        <v>Cancelled</v>
      </c>
      <c r="J855" s="18" t="str">
        <f>IFERROR(__xludf.DUMMYFUNCTION("""COMPUTED_VALUE"""),"Out of Stock")</f>
        <v>Out of Stock</v>
      </c>
      <c r="K855" s="18"/>
      <c r="L855" s="18">
        <f>iferror(VLOOKUP($D855,Details!$A$2:$C$11,2,false),vlookup($D855,Details!$E$2:$G$11,2,false))</f>
        <v>80</v>
      </c>
      <c r="M855" s="18" t="str">
        <f>iferror(VLOOKUP($D855,Details!$A$2:$C$11,3,false),vlookup($D855,Details!$E$2:$G$11,3,false))</f>
        <v>Snacks and Drinks</v>
      </c>
      <c r="N855" s="18">
        <f t="shared" si="1"/>
        <v>160</v>
      </c>
      <c r="O855" s="17"/>
      <c r="P855" s="17"/>
      <c r="Q855" s="17"/>
      <c r="R855" s="17"/>
      <c r="S855" s="17"/>
      <c r="T855" s="17"/>
      <c r="U855" s="17"/>
      <c r="V855" s="17"/>
      <c r="W855" s="17"/>
      <c r="X855" s="17"/>
      <c r="Y855" s="17"/>
      <c r="Z855" s="17"/>
    </row>
    <row r="856">
      <c r="A856" s="18" t="str">
        <f>IFERROR(__xludf.DUMMYFUNCTION("""COMPUTED_VALUE"""),"ord_30847")</f>
        <v>ord_30847</v>
      </c>
      <c r="B856" s="18" t="str">
        <f>IFERROR(__xludf.DUMMYFUNCTION("""COMPUTED_VALUE"""),"Sakshi Tandon")</f>
        <v>Sakshi Tandon</v>
      </c>
      <c r="C856" s="18" t="str">
        <f>IFERROR(__xludf.DUMMYFUNCTION("""COMPUTED_VALUE"""),"Colaba")</f>
        <v>Colaba</v>
      </c>
      <c r="D856" s="18" t="str">
        <f>IFERROR(__xludf.DUMMYFUNCTION("""COMPUTED_VALUE"""),"Popcorn")</f>
        <v>Popcorn</v>
      </c>
      <c r="E856" s="18">
        <f>IFERROR(__xludf.DUMMYFUNCTION("""COMPUTED_VALUE"""),1.0)</f>
        <v>1</v>
      </c>
      <c r="F856" s="18" t="str">
        <f>IFERROR(__xludf.DUMMYFUNCTION("""COMPUTED_VALUE"""),"Ramesh S")</f>
        <v>Ramesh S</v>
      </c>
      <c r="G856" s="19">
        <f>IFERROR(__xludf.DUMMYFUNCTION("""COMPUTED_VALUE"""),45146.0)</f>
        <v>45146</v>
      </c>
      <c r="H856" s="18" t="str">
        <f>IFERROR(__xludf.DUMMYFUNCTION("""COMPUTED_VALUE"""),"UPI")</f>
        <v>UPI</v>
      </c>
      <c r="I856" s="18" t="str">
        <f>IFERROR(__xludf.DUMMYFUNCTION("""COMPUTED_VALUE"""),"Delivered")</f>
        <v>Delivered</v>
      </c>
      <c r="J856" s="18" t="str">
        <f>IFERROR(__xludf.DUMMYFUNCTION("""COMPUTED_VALUE"""),"On-time Delivery")</f>
        <v>On-time Delivery</v>
      </c>
      <c r="K856" s="18" t="str">
        <f>IFERROR(__xludf.DUMMYFUNCTION("""COMPUTED_VALUE"""),"Delivered on time")</f>
        <v>Delivered on time</v>
      </c>
      <c r="L856" s="18">
        <f>iferror(VLOOKUP($D856,Details!$A$2:$C$11,2,false),vlookup($D856,Details!$E$2:$G$11,2,false))</f>
        <v>150</v>
      </c>
      <c r="M856" s="18" t="str">
        <f>iferror(VLOOKUP($D856,Details!$A$2:$C$11,3,false),vlookup($D856,Details!$E$2:$G$11,3,false))</f>
        <v>Snacks and Drinks</v>
      </c>
      <c r="N856" s="18">
        <f t="shared" si="1"/>
        <v>150</v>
      </c>
      <c r="O856" s="17"/>
      <c r="P856" s="17"/>
      <c r="Q856" s="17"/>
      <c r="R856" s="17"/>
      <c r="S856" s="17"/>
      <c r="T856" s="17"/>
      <c r="U856" s="17"/>
      <c r="V856" s="17"/>
      <c r="W856" s="17"/>
      <c r="X856" s="17"/>
      <c r="Y856" s="17"/>
      <c r="Z856" s="17"/>
    </row>
    <row r="857">
      <c r="A857" s="18" t="str">
        <f>IFERROR(__xludf.DUMMYFUNCTION("""COMPUTED_VALUE"""),"ord_30848")</f>
        <v>ord_30848</v>
      </c>
      <c r="B857" s="18" t="str">
        <f>IFERROR(__xludf.DUMMYFUNCTION("""COMPUTED_VALUE"""),"Ishaan Chaturvedi")</f>
        <v>Ishaan Chaturvedi</v>
      </c>
      <c r="C857" s="18" t="str">
        <f>IFERROR(__xludf.DUMMYFUNCTION("""COMPUTED_VALUE"""),"Bandra")</f>
        <v>Bandra</v>
      </c>
      <c r="D857" s="18" t="str">
        <f>IFERROR(__xludf.DUMMYFUNCTION("""COMPUTED_VALUE"""),"Cucumber")</f>
        <v>Cucumber</v>
      </c>
      <c r="E857" s="18">
        <f>IFERROR(__xludf.DUMMYFUNCTION("""COMPUTED_VALUE"""),1.0)</f>
        <v>1</v>
      </c>
      <c r="F857" s="18" t="str">
        <f>IFERROR(__xludf.DUMMYFUNCTION("""COMPUTED_VALUE"""),"Nithin Lal")</f>
        <v>Nithin Lal</v>
      </c>
      <c r="G857" s="19">
        <f>IFERROR(__xludf.DUMMYFUNCTION("""COMPUTED_VALUE"""),45270.0)</f>
        <v>45270</v>
      </c>
      <c r="H857" s="18" t="str">
        <f>IFERROR(__xludf.DUMMYFUNCTION("""COMPUTED_VALUE"""),"Credit Card")</f>
        <v>Credit Card</v>
      </c>
      <c r="I857" s="18" t="str">
        <f>IFERROR(__xludf.DUMMYFUNCTION("""COMPUTED_VALUE"""),"Delivered")</f>
        <v>Delivered</v>
      </c>
      <c r="J857" s="18" t="str">
        <f>IFERROR(__xludf.DUMMYFUNCTION("""COMPUTED_VALUE"""),"Quality of Items")</f>
        <v>Quality of Items</v>
      </c>
      <c r="K857" s="18" t="str">
        <f>IFERROR(__xludf.DUMMYFUNCTION("""COMPUTED_VALUE"""),"Perfect condition")</f>
        <v>Perfect condition</v>
      </c>
      <c r="L857" s="18">
        <f>iferror(VLOOKUP($D857,Details!$A$2:$C$11,2,false),vlookup($D857,Details!$E$2:$G$11,2,false))</f>
        <v>30</v>
      </c>
      <c r="M857" s="18" t="str">
        <f>iferror(VLOOKUP($D857,Details!$A$2:$C$11,3,false),vlookup($D857,Details!$E$2:$G$11,3,false))</f>
        <v>Fruits and Vegetables</v>
      </c>
      <c r="N857" s="18">
        <f t="shared" si="1"/>
        <v>30</v>
      </c>
      <c r="O857" s="17"/>
      <c r="P857" s="17"/>
      <c r="Q857" s="17"/>
      <c r="R857" s="17"/>
      <c r="S857" s="17"/>
      <c r="T857" s="17"/>
      <c r="U857" s="17"/>
      <c r="V857" s="17"/>
      <c r="W857" s="17"/>
      <c r="X857" s="17"/>
      <c r="Y857" s="17"/>
      <c r="Z857" s="17"/>
    </row>
    <row r="858">
      <c r="A858" s="18" t="str">
        <f>IFERROR(__xludf.DUMMYFUNCTION("""COMPUTED_VALUE"""),"ord_30849")</f>
        <v>ord_30849</v>
      </c>
      <c r="B858" s="18" t="str">
        <f>IFERROR(__xludf.DUMMYFUNCTION("""COMPUTED_VALUE"""),"Mehul Thakkar")</f>
        <v>Mehul Thakkar</v>
      </c>
      <c r="C858" s="18" t="str">
        <f>IFERROR(__xludf.DUMMYFUNCTION("""COMPUTED_VALUE"""),"Malad")</f>
        <v>Malad</v>
      </c>
      <c r="D858" s="18" t="str">
        <f>IFERROR(__xludf.DUMMYFUNCTION("""COMPUTED_VALUE"""),"Chicken Puff")</f>
        <v>Chicken Puff</v>
      </c>
      <c r="E858" s="18">
        <f>IFERROR(__xludf.DUMMYFUNCTION("""COMPUTED_VALUE"""),2.0)</f>
        <v>2</v>
      </c>
      <c r="F858" s="18" t="str">
        <f>IFERROR(__xludf.DUMMYFUNCTION("""COMPUTED_VALUE"""),"Vivek Kumar")</f>
        <v>Vivek Kumar</v>
      </c>
      <c r="G858" s="19">
        <f>IFERROR(__xludf.DUMMYFUNCTION("""COMPUTED_VALUE"""),45071.0)</f>
        <v>45071</v>
      </c>
      <c r="H858" s="18" t="str">
        <f>IFERROR(__xludf.DUMMYFUNCTION("""COMPUTED_VALUE"""),"UPI")</f>
        <v>UPI</v>
      </c>
      <c r="I858" s="18" t="str">
        <f>IFERROR(__xludf.DUMMYFUNCTION("""COMPUTED_VALUE"""),"Delivered")</f>
        <v>Delivered</v>
      </c>
      <c r="J858" s="18" t="str">
        <f>IFERROR(__xludf.DUMMYFUNCTION("""COMPUTED_VALUE"""),"Packaging")</f>
        <v>Packaging</v>
      </c>
      <c r="K858" s="18" t="str">
        <f>IFERROR(__xludf.DUMMYFUNCTION("""COMPUTED_VALUE"""),"Secure and intact")</f>
        <v>Secure and intact</v>
      </c>
      <c r="L858" s="18">
        <f>iferror(VLOOKUP($D858,Details!$A$2:$C$11,2,false),vlookup($D858,Details!$E$2:$G$11,2,false))</f>
        <v>90</v>
      </c>
      <c r="M858" s="18" t="str">
        <f>iferror(VLOOKUP($D858,Details!$A$2:$C$11,3,false),vlookup($D858,Details!$E$2:$G$11,3,false))</f>
        <v>Snacks and Drinks</v>
      </c>
      <c r="N858" s="18">
        <f t="shared" si="1"/>
        <v>180</v>
      </c>
      <c r="O858" s="17"/>
      <c r="P858" s="17"/>
      <c r="Q858" s="17"/>
      <c r="R858" s="17"/>
      <c r="S858" s="17"/>
      <c r="T858" s="17"/>
      <c r="U858" s="17"/>
      <c r="V858" s="17"/>
      <c r="W858" s="17"/>
      <c r="X858" s="17"/>
      <c r="Y858" s="17"/>
      <c r="Z858" s="17"/>
    </row>
    <row r="859">
      <c r="A859" s="18" t="str">
        <f>IFERROR(__xludf.DUMMYFUNCTION("""COMPUTED_VALUE"""),"ord_30850")</f>
        <v>ord_30850</v>
      </c>
      <c r="B859" s="18" t="str">
        <f>IFERROR(__xludf.DUMMYFUNCTION("""COMPUTED_VALUE"""),"Aarav Mehta")</f>
        <v>Aarav Mehta</v>
      </c>
      <c r="C859" s="18" t="str">
        <f>IFERROR(__xludf.DUMMYFUNCTION("""COMPUTED_VALUE"""),"Andheri")</f>
        <v>Andheri</v>
      </c>
      <c r="D859" s="18" t="str">
        <f>IFERROR(__xludf.DUMMYFUNCTION("""COMPUTED_VALUE"""),"Icecream")</f>
        <v>Icecream</v>
      </c>
      <c r="E859" s="18">
        <f>IFERROR(__xludf.DUMMYFUNCTION("""COMPUTED_VALUE"""),2.0)</f>
        <v>2</v>
      </c>
      <c r="F859" s="18" t="str">
        <f>IFERROR(__xludf.DUMMYFUNCTION("""COMPUTED_VALUE"""),"Shine Thomas")</f>
        <v>Shine Thomas</v>
      </c>
      <c r="G859" s="19">
        <f>IFERROR(__xludf.DUMMYFUNCTION("""COMPUTED_VALUE"""),45253.0)</f>
        <v>45253</v>
      </c>
      <c r="H859" s="18" t="str">
        <f>IFERROR(__xludf.DUMMYFUNCTION("""COMPUTED_VALUE"""),"Online Payment")</f>
        <v>Online Payment</v>
      </c>
      <c r="I859" s="18" t="str">
        <f>IFERROR(__xludf.DUMMYFUNCTION("""COMPUTED_VALUE"""),"Delivered")</f>
        <v>Delivered</v>
      </c>
      <c r="J859" s="18" t="str">
        <f>IFERROR(__xludf.DUMMYFUNCTION("""COMPUTED_VALUE"""),"Satisfied with the Delivery")</f>
        <v>Satisfied with the Delivery</v>
      </c>
      <c r="K859" s="18" t="str">
        <f>IFERROR(__xludf.DUMMYFUNCTION("""COMPUTED_VALUE"""),"Timely and quality")</f>
        <v>Timely and quality</v>
      </c>
      <c r="L859" s="18">
        <f>iferror(VLOOKUP($D859,Details!$A$2:$C$11,2,false),vlookup($D859,Details!$E$2:$G$11,2,false))</f>
        <v>90</v>
      </c>
      <c r="M859" s="18" t="str">
        <f>iferror(VLOOKUP($D859,Details!$A$2:$C$11,3,false),vlookup($D859,Details!$E$2:$G$11,3,false))</f>
        <v>Snacks and Drinks</v>
      </c>
      <c r="N859" s="18">
        <f t="shared" si="1"/>
        <v>180</v>
      </c>
      <c r="O859" s="17"/>
      <c r="P859" s="17"/>
      <c r="Q859" s="17"/>
      <c r="R859" s="17"/>
      <c r="S859" s="17"/>
      <c r="T859" s="17"/>
      <c r="U859" s="17"/>
      <c r="V859" s="17"/>
      <c r="W859" s="17"/>
      <c r="X859" s="17"/>
      <c r="Y859" s="17"/>
      <c r="Z859" s="17"/>
    </row>
    <row r="860">
      <c r="A860" s="18" t="str">
        <f>IFERROR(__xludf.DUMMYFUNCTION("""COMPUTED_VALUE"""),"ord_30851")</f>
        <v>ord_30851</v>
      </c>
      <c r="B860" s="18" t="str">
        <f>IFERROR(__xludf.DUMMYFUNCTION("""COMPUTED_VALUE"""),"Mehul Thakkar")</f>
        <v>Mehul Thakkar</v>
      </c>
      <c r="C860" s="18" t="str">
        <f>IFERROR(__xludf.DUMMYFUNCTION("""COMPUTED_VALUE"""),"Malad")</f>
        <v>Malad</v>
      </c>
      <c r="D860" s="18" t="str">
        <f>IFERROR(__xludf.DUMMYFUNCTION("""COMPUTED_VALUE"""),"Tomato")</f>
        <v>Tomato</v>
      </c>
      <c r="E860" s="18">
        <f>IFERROR(__xludf.DUMMYFUNCTION("""COMPUTED_VALUE"""),2.0)</f>
        <v>2</v>
      </c>
      <c r="F860" s="18" t="str">
        <f>IFERROR(__xludf.DUMMYFUNCTION("""COMPUTED_VALUE"""),"Rohan Yadav")</f>
        <v>Rohan Yadav</v>
      </c>
      <c r="G860" s="19">
        <f>IFERROR(__xludf.DUMMYFUNCTION("""COMPUTED_VALUE"""),45276.0)</f>
        <v>45276</v>
      </c>
      <c r="H860" s="18" t="str">
        <f>IFERROR(__xludf.DUMMYFUNCTION("""COMPUTED_VALUE"""),"Credit Card")</f>
        <v>Credit Card</v>
      </c>
      <c r="I860" s="18" t="str">
        <f>IFERROR(__xludf.DUMMYFUNCTION("""COMPUTED_VALUE"""),"Cancelled")</f>
        <v>Cancelled</v>
      </c>
      <c r="J860" s="18" t="str">
        <f>IFERROR(__xludf.DUMMYFUNCTION("""COMPUTED_VALUE"""),"Delayed Delivery")</f>
        <v>Delayed Delivery</v>
      </c>
      <c r="K860" s="18" t="str">
        <f>IFERROR(__xludf.DUMMYFUNCTION("""COMPUTED_VALUE"""),"Heavy Traffic")</f>
        <v>Heavy Traffic</v>
      </c>
      <c r="L860" s="18">
        <f>iferror(VLOOKUP($D860,Details!$A$2:$C$11,2,false),vlookup($D860,Details!$E$2:$G$11,2,false))</f>
        <v>25</v>
      </c>
      <c r="M860" s="18" t="str">
        <f>iferror(VLOOKUP($D860,Details!$A$2:$C$11,3,false),vlookup($D860,Details!$E$2:$G$11,3,false))</f>
        <v>Fruits and Vegetables</v>
      </c>
      <c r="N860" s="18">
        <f t="shared" si="1"/>
        <v>50</v>
      </c>
      <c r="O860" s="17"/>
      <c r="P860" s="17"/>
      <c r="Q860" s="17"/>
      <c r="R860" s="17"/>
      <c r="S860" s="17"/>
      <c r="T860" s="17"/>
      <c r="U860" s="17"/>
      <c r="V860" s="17"/>
      <c r="W860" s="17"/>
      <c r="X860" s="17"/>
      <c r="Y860" s="17"/>
      <c r="Z860" s="17"/>
    </row>
    <row r="861">
      <c r="A861" s="18" t="str">
        <f>IFERROR(__xludf.DUMMYFUNCTION("""COMPUTED_VALUE"""),"ord_30852")</f>
        <v>ord_30852</v>
      </c>
      <c r="B861" s="18" t="str">
        <f>IFERROR(__xludf.DUMMYFUNCTION("""COMPUTED_VALUE"""),"Parth Goel")</f>
        <v>Parth Goel</v>
      </c>
      <c r="C861" s="18" t="str">
        <f>IFERROR(__xludf.DUMMYFUNCTION("""COMPUTED_VALUE"""),"Juhu")</f>
        <v>Juhu</v>
      </c>
      <c r="D861" s="18" t="str">
        <f>IFERROR(__xludf.DUMMYFUNCTION("""COMPUTED_VALUE"""),"Tiramisu")</f>
        <v>Tiramisu</v>
      </c>
      <c r="E861" s="18">
        <f>IFERROR(__xludf.DUMMYFUNCTION("""COMPUTED_VALUE"""),5.0)</f>
        <v>5</v>
      </c>
      <c r="F861" s="18" t="str">
        <f>IFERROR(__xludf.DUMMYFUNCTION("""COMPUTED_VALUE"""),"Shine Thomas")</f>
        <v>Shine Thomas</v>
      </c>
      <c r="G861" s="19">
        <f>IFERROR(__xludf.DUMMYFUNCTION("""COMPUTED_VALUE"""),45099.0)</f>
        <v>45099</v>
      </c>
      <c r="H861" s="18" t="str">
        <f>IFERROR(__xludf.DUMMYFUNCTION("""COMPUTED_VALUE"""),"UPI")</f>
        <v>UPI</v>
      </c>
      <c r="I861" s="18" t="str">
        <f>IFERROR(__xludf.DUMMYFUNCTION("""COMPUTED_VALUE"""),"Delivered")</f>
        <v>Delivered</v>
      </c>
      <c r="J861" s="18" t="str">
        <f>IFERROR(__xludf.DUMMYFUNCTION("""COMPUTED_VALUE"""),"Customer Service")</f>
        <v>Customer Service</v>
      </c>
      <c r="K861" s="18" t="str">
        <f>IFERROR(__xludf.DUMMYFUNCTION("""COMPUTED_VALUE"""),"Seamless and easy")</f>
        <v>Seamless and easy</v>
      </c>
      <c r="L861" s="18">
        <f>iferror(VLOOKUP($D861,Details!$A$2:$C$11,2,false),vlookup($D861,Details!$E$2:$G$11,2,false))</f>
        <v>150</v>
      </c>
      <c r="M861" s="18" t="str">
        <f>iferror(VLOOKUP($D861,Details!$A$2:$C$11,3,false),vlookup($D861,Details!$E$2:$G$11,3,false))</f>
        <v>Snacks and Drinks</v>
      </c>
      <c r="N861" s="18">
        <f t="shared" si="1"/>
        <v>750</v>
      </c>
      <c r="O861" s="17"/>
      <c r="P861" s="17"/>
      <c r="Q861" s="17"/>
      <c r="R861" s="17"/>
      <c r="S861" s="17"/>
      <c r="T861" s="17"/>
      <c r="U861" s="17"/>
      <c r="V861" s="17"/>
      <c r="W861" s="17"/>
      <c r="X861" s="17"/>
      <c r="Y861" s="17"/>
      <c r="Z861" s="17"/>
    </row>
    <row r="862">
      <c r="A862" s="18" t="str">
        <f>IFERROR(__xludf.DUMMYFUNCTION("""COMPUTED_VALUE"""),"ord_30853")</f>
        <v>ord_30853</v>
      </c>
      <c r="B862" s="18" t="str">
        <f>IFERROR(__xludf.DUMMYFUNCTION("""COMPUTED_VALUE"""),"Ishita Banerjee")</f>
        <v>Ishita Banerjee</v>
      </c>
      <c r="C862" s="18" t="str">
        <f>IFERROR(__xludf.DUMMYFUNCTION("""COMPUTED_VALUE"""),"Juhu")</f>
        <v>Juhu</v>
      </c>
      <c r="D862" s="18" t="str">
        <f>IFERROR(__xludf.DUMMYFUNCTION("""COMPUTED_VALUE"""),"Papaya")</f>
        <v>Papaya</v>
      </c>
      <c r="E862" s="18">
        <f>IFERROR(__xludf.DUMMYFUNCTION("""COMPUTED_VALUE"""),2.0)</f>
        <v>2</v>
      </c>
      <c r="F862" s="18" t="str">
        <f>IFERROR(__xludf.DUMMYFUNCTION("""COMPUTED_VALUE"""),"Ramesh S")</f>
        <v>Ramesh S</v>
      </c>
      <c r="G862" s="19">
        <f>IFERROR(__xludf.DUMMYFUNCTION("""COMPUTED_VALUE"""),44930.0)</f>
        <v>44930</v>
      </c>
      <c r="H862" s="18" t="str">
        <f>IFERROR(__xludf.DUMMYFUNCTION("""COMPUTED_VALUE"""),"Online Payment")</f>
        <v>Online Payment</v>
      </c>
      <c r="I862" s="18" t="str">
        <f>IFERROR(__xludf.DUMMYFUNCTION("""COMPUTED_VALUE"""),"Delivered")</f>
        <v>Delivered</v>
      </c>
      <c r="J862" s="18" t="str">
        <f>IFERROR(__xludf.DUMMYFUNCTION("""COMPUTED_VALUE"""),"Delivery Experience")</f>
        <v>Delivery Experience</v>
      </c>
      <c r="K862" s="18" t="str">
        <f>IFERROR(__xludf.DUMMYFUNCTION("""COMPUTED_VALUE"""),"Quick and professional")</f>
        <v>Quick and professional</v>
      </c>
      <c r="L862" s="18">
        <f>iferror(VLOOKUP($D862,Details!$A$2:$C$11,2,false),vlookup($D862,Details!$E$2:$G$11,2,false))</f>
        <v>75</v>
      </c>
      <c r="M862" s="18" t="str">
        <f>iferror(VLOOKUP($D862,Details!$A$2:$C$11,3,false),vlookup($D862,Details!$E$2:$G$11,3,false))</f>
        <v>Fruits and Vegetables</v>
      </c>
      <c r="N862" s="18">
        <f t="shared" si="1"/>
        <v>150</v>
      </c>
      <c r="O862" s="17"/>
      <c r="P862" s="17"/>
      <c r="Q862" s="17"/>
      <c r="R862" s="17"/>
      <c r="S862" s="17"/>
      <c r="T862" s="17"/>
      <c r="U862" s="17"/>
      <c r="V862" s="17"/>
      <c r="W862" s="17"/>
      <c r="X862" s="17"/>
      <c r="Y862" s="17"/>
      <c r="Z862" s="17"/>
    </row>
    <row r="863">
      <c r="A863" s="18" t="str">
        <f>IFERROR(__xludf.DUMMYFUNCTION("""COMPUTED_VALUE"""),"ord_30854")</f>
        <v>ord_30854</v>
      </c>
      <c r="B863" s="18" t="str">
        <f>IFERROR(__xludf.DUMMYFUNCTION("""COMPUTED_VALUE"""),"Pranav Joshi")</f>
        <v>Pranav Joshi</v>
      </c>
      <c r="C863" s="18" t="str">
        <f>IFERROR(__xludf.DUMMYFUNCTION("""COMPUTED_VALUE"""),"Andheri")</f>
        <v>Andheri</v>
      </c>
      <c r="D863" s="18" t="str">
        <f>IFERROR(__xludf.DUMMYFUNCTION("""COMPUTED_VALUE"""),"Popcorn")</f>
        <v>Popcorn</v>
      </c>
      <c r="E863" s="18">
        <f>IFERROR(__xludf.DUMMYFUNCTION("""COMPUTED_VALUE"""),1.0)</f>
        <v>1</v>
      </c>
      <c r="F863" s="18" t="str">
        <f>IFERROR(__xludf.DUMMYFUNCTION("""COMPUTED_VALUE"""),"Ramesh S")</f>
        <v>Ramesh S</v>
      </c>
      <c r="G863" s="19">
        <f>IFERROR(__xludf.DUMMYFUNCTION("""COMPUTED_VALUE"""),44958.0)</f>
        <v>44958</v>
      </c>
      <c r="H863" s="18" t="str">
        <f>IFERROR(__xludf.DUMMYFUNCTION("""COMPUTED_VALUE"""),"Online Payment")</f>
        <v>Online Payment</v>
      </c>
      <c r="I863" s="18" t="str">
        <f>IFERROR(__xludf.DUMMYFUNCTION("""COMPUTED_VALUE"""),"Delivered")</f>
        <v>Delivered</v>
      </c>
      <c r="J863" s="18" t="str">
        <f>IFERROR(__xludf.DUMMYFUNCTION("""COMPUTED_VALUE"""),"Convenience")</f>
        <v>Convenience</v>
      </c>
      <c r="K863" s="18" t="str">
        <f>IFERROR(__xludf.DUMMYFUNCTION("""COMPUTED_VALUE"""),"Easy tracking")</f>
        <v>Easy tracking</v>
      </c>
      <c r="L863" s="18">
        <f>iferror(VLOOKUP($D863,Details!$A$2:$C$11,2,false),vlookup($D863,Details!$E$2:$G$11,2,false))</f>
        <v>150</v>
      </c>
      <c r="M863" s="18" t="str">
        <f>iferror(VLOOKUP($D863,Details!$A$2:$C$11,3,false),vlookup($D863,Details!$E$2:$G$11,3,false))</f>
        <v>Snacks and Drinks</v>
      </c>
      <c r="N863" s="18">
        <f t="shared" si="1"/>
        <v>150</v>
      </c>
      <c r="O863" s="17"/>
      <c r="P863" s="17"/>
      <c r="Q863" s="17"/>
      <c r="R863" s="17"/>
      <c r="S863" s="17"/>
      <c r="T863" s="17"/>
      <c r="U863" s="17"/>
      <c r="V863" s="17"/>
      <c r="W863" s="17"/>
      <c r="X863" s="17"/>
      <c r="Y863" s="17"/>
      <c r="Z863" s="17"/>
    </row>
    <row r="864">
      <c r="A864" s="18" t="str">
        <f>IFERROR(__xludf.DUMMYFUNCTION("""COMPUTED_VALUE"""),"ord_30855")</f>
        <v>ord_30855</v>
      </c>
      <c r="B864" s="18" t="str">
        <f>IFERROR(__xludf.DUMMYFUNCTION("""COMPUTED_VALUE"""),"Pranav Joshi")</f>
        <v>Pranav Joshi</v>
      </c>
      <c r="C864" s="18" t="str">
        <f>IFERROR(__xludf.DUMMYFUNCTION("""COMPUTED_VALUE"""),"Andheri")</f>
        <v>Andheri</v>
      </c>
      <c r="D864" s="18" t="str">
        <f>IFERROR(__xludf.DUMMYFUNCTION("""COMPUTED_VALUE"""),"Apple")</f>
        <v>Apple</v>
      </c>
      <c r="E864" s="18">
        <f>IFERROR(__xludf.DUMMYFUNCTION("""COMPUTED_VALUE"""),2.0)</f>
        <v>2</v>
      </c>
      <c r="F864" s="18" t="str">
        <f>IFERROR(__xludf.DUMMYFUNCTION("""COMPUTED_VALUE"""),"Sita T")</f>
        <v>Sita T</v>
      </c>
      <c r="G864" s="19">
        <f>IFERROR(__xludf.DUMMYFUNCTION("""COMPUTED_VALUE"""),44936.0)</f>
        <v>44936</v>
      </c>
      <c r="H864" s="18" t="str">
        <f>IFERROR(__xludf.DUMMYFUNCTION("""COMPUTED_VALUE"""),"UPI")</f>
        <v>UPI</v>
      </c>
      <c r="I864" s="18" t="str">
        <f>IFERROR(__xludf.DUMMYFUNCTION("""COMPUTED_VALUE"""),"Delivered")</f>
        <v>Delivered</v>
      </c>
      <c r="J864" s="18" t="str">
        <f>IFERROR(__xludf.DUMMYFUNCTION("""COMPUTED_VALUE"""),"Overall Satisfaction")</f>
        <v>Overall Satisfaction</v>
      </c>
      <c r="K864" s="18" t="str">
        <f>IFERROR(__xludf.DUMMYFUNCTION("""COMPUTED_VALUE"""),"Great service will order again")</f>
        <v>Great service will order again</v>
      </c>
      <c r="L864" s="18">
        <f>iferror(VLOOKUP($D864,Details!$A$2:$C$11,2,false),vlookup($D864,Details!$E$2:$G$11,2,false))</f>
        <v>230</v>
      </c>
      <c r="M864" s="18" t="str">
        <f>iferror(VLOOKUP($D864,Details!$A$2:$C$11,3,false),vlookup($D864,Details!$E$2:$G$11,3,false))</f>
        <v>Fruits and Vegetables</v>
      </c>
      <c r="N864" s="18">
        <f t="shared" si="1"/>
        <v>460</v>
      </c>
      <c r="O864" s="17"/>
      <c r="P864" s="17"/>
      <c r="Q864" s="17"/>
      <c r="R864" s="17"/>
      <c r="S864" s="17"/>
      <c r="T864" s="17"/>
      <c r="U864" s="17"/>
      <c r="V864" s="17"/>
      <c r="W864" s="17"/>
      <c r="X864" s="17"/>
      <c r="Y864" s="17"/>
      <c r="Z864" s="17"/>
    </row>
    <row r="865">
      <c r="A865" s="18" t="str">
        <f>IFERROR(__xludf.DUMMYFUNCTION("""COMPUTED_VALUE"""),"ord_30856")</f>
        <v>ord_30856</v>
      </c>
      <c r="B865" s="18" t="str">
        <f>IFERROR(__xludf.DUMMYFUNCTION("""COMPUTED_VALUE"""),"Pranav Joshi")</f>
        <v>Pranav Joshi</v>
      </c>
      <c r="C865" s="18" t="str">
        <f>IFERROR(__xludf.DUMMYFUNCTION("""COMPUTED_VALUE"""),"Andheri")</f>
        <v>Andheri</v>
      </c>
      <c r="D865" s="18" t="str">
        <f>IFERROR(__xludf.DUMMYFUNCTION("""COMPUTED_VALUE"""),"Juice")</f>
        <v>Juice</v>
      </c>
      <c r="E865" s="18">
        <f>IFERROR(__xludf.DUMMYFUNCTION("""COMPUTED_VALUE"""),2.0)</f>
        <v>2</v>
      </c>
      <c r="F865" s="18" t="str">
        <f>IFERROR(__xludf.DUMMYFUNCTION("""COMPUTED_VALUE"""),"Sita T")</f>
        <v>Sita T</v>
      </c>
      <c r="G865" s="19">
        <f>IFERROR(__xludf.DUMMYFUNCTION("""COMPUTED_VALUE"""),45265.0)</f>
        <v>45265</v>
      </c>
      <c r="H865" s="18" t="str">
        <f>IFERROR(__xludf.DUMMYFUNCTION("""COMPUTED_VALUE"""),"UPI")</f>
        <v>UPI</v>
      </c>
      <c r="I865" s="18" t="str">
        <f>IFERROR(__xludf.DUMMYFUNCTION("""COMPUTED_VALUE"""),"Delivered")</f>
        <v>Delivered</v>
      </c>
      <c r="J865" s="18" t="str">
        <f>IFERROR(__xludf.DUMMYFUNCTION("""COMPUTED_VALUE"""),"On-time Delivery")</f>
        <v>On-time Delivery</v>
      </c>
      <c r="K865" s="18" t="str">
        <f>IFERROR(__xludf.DUMMYFUNCTION("""COMPUTED_VALUE"""),"Delivered on time")</f>
        <v>Delivered on time</v>
      </c>
      <c r="L865" s="18">
        <f>iferror(VLOOKUP($D865,Details!$A$2:$C$11,2,false),vlookup($D865,Details!$E$2:$G$11,2,false))</f>
        <v>90</v>
      </c>
      <c r="M865" s="18" t="str">
        <f>iferror(VLOOKUP($D865,Details!$A$2:$C$11,3,false),vlookup($D865,Details!$E$2:$G$11,3,false))</f>
        <v>Snacks and Drinks</v>
      </c>
      <c r="N865" s="18">
        <f t="shared" si="1"/>
        <v>180</v>
      </c>
      <c r="O865" s="17"/>
      <c r="P865" s="17"/>
      <c r="Q865" s="17"/>
      <c r="R865" s="17"/>
      <c r="S865" s="17"/>
      <c r="T865" s="17"/>
      <c r="U865" s="17"/>
      <c r="V865" s="17"/>
      <c r="W865" s="17"/>
      <c r="X865" s="17"/>
      <c r="Y865" s="17"/>
      <c r="Z865" s="17"/>
    </row>
    <row r="866">
      <c r="A866" s="18" t="str">
        <f>IFERROR(__xludf.DUMMYFUNCTION("""COMPUTED_VALUE"""),"ord_30857")</f>
        <v>ord_30857</v>
      </c>
      <c r="B866" s="18" t="str">
        <f>IFERROR(__xludf.DUMMYFUNCTION("""COMPUTED_VALUE"""),"Mehul Thakkar")</f>
        <v>Mehul Thakkar</v>
      </c>
      <c r="C866" s="18" t="str">
        <f>IFERROR(__xludf.DUMMYFUNCTION("""COMPUTED_VALUE"""),"Malad")</f>
        <v>Malad</v>
      </c>
      <c r="D866" s="18" t="str">
        <f>IFERROR(__xludf.DUMMYFUNCTION("""COMPUTED_VALUE"""),"Tiramisu")</f>
        <v>Tiramisu</v>
      </c>
      <c r="E866" s="18">
        <f>IFERROR(__xludf.DUMMYFUNCTION("""COMPUTED_VALUE"""),2.0)</f>
        <v>2</v>
      </c>
      <c r="F866" s="18" t="str">
        <f>IFERROR(__xludf.DUMMYFUNCTION("""COMPUTED_VALUE"""),"Not Assigned")</f>
        <v>Not Assigned</v>
      </c>
      <c r="G866" s="19">
        <f>IFERROR(__xludf.DUMMYFUNCTION("""COMPUTED_VALUE"""),44991.0)</f>
        <v>44991</v>
      </c>
      <c r="H866" s="18" t="str">
        <f>IFERROR(__xludf.DUMMYFUNCTION("""COMPUTED_VALUE"""),"Credit Card")</f>
        <v>Credit Card</v>
      </c>
      <c r="I866" s="18" t="str">
        <f>IFERROR(__xludf.DUMMYFUNCTION("""COMPUTED_VALUE"""),"Cancelled")</f>
        <v>Cancelled</v>
      </c>
      <c r="J866" s="18" t="str">
        <f>IFERROR(__xludf.DUMMYFUNCTION("""COMPUTED_VALUE"""),"App Glitches")</f>
        <v>App Glitches</v>
      </c>
      <c r="K866" s="18" t="str">
        <f>IFERROR(__xludf.DUMMYFUNCTION("""COMPUTED_VALUE"""),"Payment Button Malfunction")</f>
        <v>Payment Button Malfunction</v>
      </c>
      <c r="L866" s="18">
        <f>iferror(VLOOKUP($D866,Details!$A$2:$C$11,2,false),vlookup($D866,Details!$E$2:$G$11,2,false))</f>
        <v>150</v>
      </c>
      <c r="M866" s="18" t="str">
        <f>iferror(VLOOKUP($D866,Details!$A$2:$C$11,3,false),vlookup($D866,Details!$E$2:$G$11,3,false))</f>
        <v>Snacks and Drinks</v>
      </c>
      <c r="N866" s="18">
        <f t="shared" si="1"/>
        <v>300</v>
      </c>
      <c r="O866" s="17"/>
      <c r="P866" s="17"/>
      <c r="Q866" s="17"/>
      <c r="R866" s="17"/>
      <c r="S866" s="17"/>
      <c r="T866" s="17"/>
      <c r="U866" s="17"/>
      <c r="V866" s="17"/>
      <c r="W866" s="17"/>
      <c r="X866" s="17"/>
      <c r="Y866" s="17"/>
      <c r="Z866" s="17"/>
    </row>
    <row r="867">
      <c r="A867" s="18" t="str">
        <f>IFERROR(__xludf.DUMMYFUNCTION("""COMPUTED_VALUE"""),"ord_30858")</f>
        <v>ord_30858</v>
      </c>
      <c r="B867" s="18" t="str">
        <f>IFERROR(__xludf.DUMMYFUNCTION("""COMPUTED_VALUE"""),"Mohit Malhotra")</f>
        <v>Mohit Malhotra</v>
      </c>
      <c r="C867" s="18" t="str">
        <f>IFERROR(__xludf.DUMMYFUNCTION("""COMPUTED_VALUE"""),"Lower Parel")</f>
        <v>Lower Parel</v>
      </c>
      <c r="D867" s="18" t="str">
        <f>IFERROR(__xludf.DUMMYFUNCTION("""COMPUTED_VALUE"""),"Onion")</f>
        <v>Onion</v>
      </c>
      <c r="E867" s="18">
        <f>IFERROR(__xludf.DUMMYFUNCTION("""COMPUTED_VALUE"""),2.0)</f>
        <v>2</v>
      </c>
      <c r="F867" s="18" t="str">
        <f>IFERROR(__xludf.DUMMYFUNCTION("""COMPUTED_VALUE"""),"Shine Thomas")</f>
        <v>Shine Thomas</v>
      </c>
      <c r="G867" s="19">
        <f>IFERROR(__xludf.DUMMYFUNCTION("""COMPUTED_VALUE"""),45284.0)</f>
        <v>45284</v>
      </c>
      <c r="H867" s="18" t="str">
        <f>IFERROR(__xludf.DUMMYFUNCTION("""COMPUTED_VALUE"""),"Credit Card")</f>
        <v>Credit Card</v>
      </c>
      <c r="I867" s="18" t="str">
        <f>IFERROR(__xludf.DUMMYFUNCTION("""COMPUTED_VALUE"""),"Delivered")</f>
        <v>Delivered</v>
      </c>
      <c r="J867" s="18" t="str">
        <f>IFERROR(__xludf.DUMMYFUNCTION("""COMPUTED_VALUE"""),"Quality of Items")</f>
        <v>Quality of Items</v>
      </c>
      <c r="K867" s="18" t="str">
        <f>IFERROR(__xludf.DUMMYFUNCTION("""COMPUTED_VALUE"""),"Perfect condition")</f>
        <v>Perfect condition</v>
      </c>
      <c r="L867" s="18">
        <f>iferror(VLOOKUP($D867,Details!$A$2:$C$11,2,false),vlookup($D867,Details!$E$2:$G$11,2,false))</f>
        <v>84</v>
      </c>
      <c r="M867" s="18" t="str">
        <f>iferror(VLOOKUP($D867,Details!$A$2:$C$11,3,false),vlookup($D867,Details!$E$2:$G$11,3,false))</f>
        <v>Fruits and Vegetables</v>
      </c>
      <c r="N867" s="18">
        <f t="shared" si="1"/>
        <v>168</v>
      </c>
      <c r="O867" s="17"/>
      <c r="P867" s="17"/>
      <c r="Q867" s="17"/>
      <c r="R867" s="17"/>
      <c r="S867" s="17"/>
      <c r="T867" s="17"/>
      <c r="U867" s="17"/>
      <c r="V867" s="17"/>
      <c r="W867" s="17"/>
      <c r="X867" s="17"/>
      <c r="Y867" s="17"/>
      <c r="Z867" s="17"/>
    </row>
    <row r="868">
      <c r="A868" s="18" t="str">
        <f>IFERROR(__xludf.DUMMYFUNCTION("""COMPUTED_VALUE"""),"ord_30859")</f>
        <v>ord_30859</v>
      </c>
      <c r="B868" s="18" t="str">
        <f>IFERROR(__xludf.DUMMYFUNCTION("""COMPUTED_VALUE"""),"Pallavi Ghosh")</f>
        <v>Pallavi Ghosh</v>
      </c>
      <c r="C868" s="18" t="str">
        <f>IFERROR(__xludf.DUMMYFUNCTION("""COMPUTED_VALUE"""),"Bandra")</f>
        <v>Bandra</v>
      </c>
      <c r="D868" s="18" t="str">
        <f>IFERROR(__xludf.DUMMYFUNCTION("""COMPUTED_VALUE"""),"Juice")</f>
        <v>Juice</v>
      </c>
      <c r="E868" s="18">
        <f>IFERROR(__xludf.DUMMYFUNCTION("""COMPUTED_VALUE"""),1.0)</f>
        <v>1</v>
      </c>
      <c r="F868" s="18" t="str">
        <f>IFERROR(__xludf.DUMMYFUNCTION("""COMPUTED_VALUE"""),"Ram Gopal")</f>
        <v>Ram Gopal</v>
      </c>
      <c r="G868" s="19">
        <f>IFERROR(__xludf.DUMMYFUNCTION("""COMPUTED_VALUE"""),45266.0)</f>
        <v>45266</v>
      </c>
      <c r="H868" s="18" t="str">
        <f>IFERROR(__xludf.DUMMYFUNCTION("""COMPUTED_VALUE"""),"UPI")</f>
        <v>UPI</v>
      </c>
      <c r="I868" s="18" t="str">
        <f>IFERROR(__xludf.DUMMYFUNCTION("""COMPUTED_VALUE"""),"Delivered")</f>
        <v>Delivered</v>
      </c>
      <c r="J868" s="18" t="str">
        <f>IFERROR(__xludf.DUMMYFUNCTION("""COMPUTED_VALUE"""),"On-time Delivery")</f>
        <v>On-time Delivery</v>
      </c>
      <c r="K868" s="18" t="str">
        <f>IFERROR(__xludf.DUMMYFUNCTION("""COMPUTED_VALUE"""),"Delivered on time")</f>
        <v>Delivered on time</v>
      </c>
      <c r="L868" s="18">
        <f>iferror(VLOOKUP($D868,Details!$A$2:$C$11,2,false),vlookup($D868,Details!$E$2:$G$11,2,false))</f>
        <v>90</v>
      </c>
      <c r="M868" s="18" t="str">
        <f>iferror(VLOOKUP($D868,Details!$A$2:$C$11,3,false),vlookup($D868,Details!$E$2:$G$11,3,false))</f>
        <v>Snacks and Drinks</v>
      </c>
      <c r="N868" s="18">
        <f t="shared" si="1"/>
        <v>90</v>
      </c>
      <c r="O868" s="17"/>
      <c r="P868" s="17"/>
      <c r="Q868" s="17"/>
      <c r="R868" s="17"/>
      <c r="S868" s="17"/>
      <c r="T868" s="17"/>
      <c r="U868" s="17"/>
      <c r="V868" s="17"/>
      <c r="W868" s="17"/>
      <c r="X868" s="17"/>
      <c r="Y868" s="17"/>
      <c r="Z868" s="17"/>
    </row>
    <row r="869">
      <c r="A869" s="18" t="str">
        <f>IFERROR(__xludf.DUMMYFUNCTION("""COMPUTED_VALUE"""),"ord_30860")</f>
        <v>ord_30860</v>
      </c>
      <c r="B869" s="18" t="str">
        <f>IFERROR(__xludf.DUMMYFUNCTION("""COMPUTED_VALUE"""),"Tanishq Bansal")</f>
        <v>Tanishq Bansal</v>
      </c>
      <c r="C869" s="18" t="str">
        <f>IFERROR(__xludf.DUMMYFUNCTION("""COMPUTED_VALUE"""),"Powai")</f>
        <v>Powai</v>
      </c>
      <c r="D869" s="18" t="str">
        <f>IFERROR(__xludf.DUMMYFUNCTION("""COMPUTED_VALUE"""),"Banana")</f>
        <v>Banana</v>
      </c>
      <c r="E869" s="18">
        <f>IFERROR(__xludf.DUMMYFUNCTION("""COMPUTED_VALUE"""),2.0)</f>
        <v>2</v>
      </c>
      <c r="F869" s="18" t="str">
        <f>IFERROR(__xludf.DUMMYFUNCTION("""COMPUTED_VALUE"""),"Vivek Kumar")</f>
        <v>Vivek Kumar</v>
      </c>
      <c r="G869" s="19">
        <f>IFERROR(__xludf.DUMMYFUNCTION("""COMPUTED_VALUE"""),45190.0)</f>
        <v>45190</v>
      </c>
      <c r="H869" s="18" t="str">
        <f>IFERROR(__xludf.DUMMYFUNCTION("""COMPUTED_VALUE"""),"UPI")</f>
        <v>UPI</v>
      </c>
      <c r="I869" s="18" t="str">
        <f>IFERROR(__xludf.DUMMYFUNCTION("""COMPUTED_VALUE"""),"Delivered")</f>
        <v>Delivered</v>
      </c>
      <c r="J869" s="18" t="str">
        <f>IFERROR(__xludf.DUMMYFUNCTION("""COMPUTED_VALUE"""),"Quality of Items")</f>
        <v>Quality of Items</v>
      </c>
      <c r="K869" s="18" t="str">
        <f>IFERROR(__xludf.DUMMYFUNCTION("""COMPUTED_VALUE"""),"Perfect condition")</f>
        <v>Perfect condition</v>
      </c>
      <c r="L869" s="18">
        <f>iferror(VLOOKUP($D869,Details!$A$2:$C$11,2,false),vlookup($D869,Details!$E$2:$G$11,2,false))</f>
        <v>80</v>
      </c>
      <c r="M869" s="18" t="str">
        <f>iferror(VLOOKUP($D869,Details!$A$2:$C$11,3,false),vlookup($D869,Details!$E$2:$G$11,3,false))</f>
        <v>Fruits and Vegetables</v>
      </c>
      <c r="N869" s="18">
        <f t="shared" si="1"/>
        <v>160</v>
      </c>
      <c r="O869" s="17"/>
      <c r="P869" s="17"/>
      <c r="Q869" s="17"/>
      <c r="R869" s="17"/>
      <c r="S869" s="17"/>
      <c r="T869" s="17"/>
      <c r="U869" s="17"/>
      <c r="V869" s="17"/>
      <c r="W869" s="17"/>
      <c r="X869" s="17"/>
      <c r="Y869" s="17"/>
      <c r="Z869" s="17"/>
    </row>
    <row r="870">
      <c r="A870" s="18" t="str">
        <f>IFERROR(__xludf.DUMMYFUNCTION("""COMPUTED_VALUE"""),"ord_30861")</f>
        <v>ord_30861</v>
      </c>
      <c r="B870" s="18" t="str">
        <f>IFERROR(__xludf.DUMMYFUNCTION("""COMPUTED_VALUE"""),"Pallavi Ghosh")</f>
        <v>Pallavi Ghosh</v>
      </c>
      <c r="C870" s="18" t="str">
        <f>IFERROR(__xludf.DUMMYFUNCTION("""COMPUTED_VALUE"""),"Bandra")</f>
        <v>Bandra</v>
      </c>
      <c r="D870" s="18" t="str">
        <f>IFERROR(__xludf.DUMMYFUNCTION("""COMPUTED_VALUE"""),"Cucumber")</f>
        <v>Cucumber</v>
      </c>
      <c r="E870" s="18">
        <f>IFERROR(__xludf.DUMMYFUNCTION("""COMPUTED_VALUE"""),1.0)</f>
        <v>1</v>
      </c>
      <c r="F870" s="18" t="str">
        <f>IFERROR(__xludf.DUMMYFUNCTION("""COMPUTED_VALUE"""),"Not Assigned")</f>
        <v>Not Assigned</v>
      </c>
      <c r="G870" s="19">
        <f>IFERROR(__xludf.DUMMYFUNCTION("""COMPUTED_VALUE"""),45239.0)</f>
        <v>45239</v>
      </c>
      <c r="H870" s="18" t="str">
        <f>IFERROR(__xludf.DUMMYFUNCTION("""COMPUTED_VALUE"""),"Online Payment")</f>
        <v>Online Payment</v>
      </c>
      <c r="I870" s="18" t="str">
        <f>IFERROR(__xludf.DUMMYFUNCTION("""COMPUTED_VALUE"""),"Cancelled")</f>
        <v>Cancelled</v>
      </c>
      <c r="J870" s="18" t="str">
        <f>IFERROR(__xludf.DUMMYFUNCTION("""COMPUTED_VALUE"""),"App Glitches")</f>
        <v>App Glitches</v>
      </c>
      <c r="K870" s="18" t="str">
        <f>IFERROR(__xludf.DUMMYFUNCTION("""COMPUTED_VALUE"""),"App Freezes")</f>
        <v>App Freezes</v>
      </c>
      <c r="L870" s="18">
        <f>iferror(VLOOKUP($D870,Details!$A$2:$C$11,2,false),vlookup($D870,Details!$E$2:$G$11,2,false))</f>
        <v>30</v>
      </c>
      <c r="M870" s="18" t="str">
        <f>iferror(VLOOKUP($D870,Details!$A$2:$C$11,3,false),vlookup($D870,Details!$E$2:$G$11,3,false))</f>
        <v>Fruits and Vegetables</v>
      </c>
      <c r="N870" s="18">
        <f t="shared" si="1"/>
        <v>30</v>
      </c>
      <c r="O870" s="17"/>
      <c r="P870" s="17"/>
      <c r="Q870" s="17"/>
      <c r="R870" s="17"/>
      <c r="S870" s="17"/>
      <c r="T870" s="17"/>
      <c r="U870" s="17"/>
      <c r="V870" s="17"/>
      <c r="W870" s="17"/>
      <c r="X870" s="17"/>
      <c r="Y870" s="17"/>
      <c r="Z870" s="17"/>
    </row>
    <row r="871">
      <c r="A871" s="18" t="str">
        <f>IFERROR(__xludf.DUMMYFUNCTION("""COMPUTED_VALUE"""),"ord_30862")</f>
        <v>ord_30862</v>
      </c>
      <c r="B871" s="18" t="str">
        <f>IFERROR(__xludf.DUMMYFUNCTION("""COMPUTED_VALUE"""),"Ishaan Chaturvedi")</f>
        <v>Ishaan Chaturvedi</v>
      </c>
      <c r="C871" s="18" t="str">
        <f>IFERROR(__xludf.DUMMYFUNCTION("""COMPUTED_VALUE"""),"Bandra")</f>
        <v>Bandra</v>
      </c>
      <c r="D871" s="18" t="str">
        <f>IFERROR(__xludf.DUMMYFUNCTION("""COMPUTED_VALUE"""),"Tiramisu")</f>
        <v>Tiramisu</v>
      </c>
      <c r="E871" s="18">
        <f>IFERROR(__xludf.DUMMYFUNCTION("""COMPUTED_VALUE"""),1.0)</f>
        <v>1</v>
      </c>
      <c r="F871" s="18" t="str">
        <f>IFERROR(__xludf.DUMMYFUNCTION("""COMPUTED_VALUE"""),"Vivek Kumar")</f>
        <v>Vivek Kumar</v>
      </c>
      <c r="G871" s="19">
        <f>IFERROR(__xludf.DUMMYFUNCTION("""COMPUTED_VALUE"""),45062.0)</f>
        <v>45062</v>
      </c>
      <c r="H871" s="18" t="str">
        <f>IFERROR(__xludf.DUMMYFUNCTION("""COMPUTED_VALUE"""),"UPI")</f>
        <v>UPI</v>
      </c>
      <c r="I871" s="18" t="str">
        <f>IFERROR(__xludf.DUMMYFUNCTION("""COMPUTED_VALUE"""),"Delivered")</f>
        <v>Delivered</v>
      </c>
      <c r="J871" s="18" t="str">
        <f>IFERROR(__xludf.DUMMYFUNCTION("""COMPUTED_VALUE"""),"Packaging")</f>
        <v>Packaging</v>
      </c>
      <c r="K871" s="18" t="str">
        <f>IFERROR(__xludf.DUMMYFUNCTION("""COMPUTED_VALUE"""),"Secure and intact")</f>
        <v>Secure and intact</v>
      </c>
      <c r="L871" s="18">
        <f>iferror(VLOOKUP($D871,Details!$A$2:$C$11,2,false),vlookup($D871,Details!$E$2:$G$11,2,false))</f>
        <v>150</v>
      </c>
      <c r="M871" s="18" t="str">
        <f>iferror(VLOOKUP($D871,Details!$A$2:$C$11,3,false),vlookup($D871,Details!$E$2:$G$11,3,false))</f>
        <v>Snacks and Drinks</v>
      </c>
      <c r="N871" s="18">
        <f t="shared" si="1"/>
        <v>150</v>
      </c>
      <c r="O871" s="17"/>
      <c r="P871" s="17"/>
      <c r="Q871" s="17"/>
      <c r="R871" s="17"/>
      <c r="S871" s="17"/>
      <c r="T871" s="17"/>
      <c r="U871" s="17"/>
      <c r="V871" s="17"/>
      <c r="W871" s="17"/>
      <c r="X871" s="17"/>
      <c r="Y871" s="17"/>
      <c r="Z871" s="17"/>
    </row>
    <row r="872">
      <c r="A872" s="18" t="str">
        <f>IFERROR(__xludf.DUMMYFUNCTION("""COMPUTED_VALUE"""),"ord_30863")</f>
        <v>ord_30863</v>
      </c>
      <c r="B872" s="18" t="str">
        <f>IFERROR(__xludf.DUMMYFUNCTION("""COMPUTED_VALUE"""),"Sanjay Nair")</f>
        <v>Sanjay Nair</v>
      </c>
      <c r="C872" s="18" t="str">
        <f>IFERROR(__xludf.DUMMYFUNCTION("""COMPUTED_VALUE"""),"Dadar")</f>
        <v>Dadar</v>
      </c>
      <c r="D872" s="18" t="str">
        <f>IFERROR(__xludf.DUMMYFUNCTION("""COMPUTED_VALUE"""),"Tiramisu")</f>
        <v>Tiramisu</v>
      </c>
      <c r="E872" s="18">
        <f>IFERROR(__xludf.DUMMYFUNCTION("""COMPUTED_VALUE"""),5.0)</f>
        <v>5</v>
      </c>
      <c r="F872" s="18" t="str">
        <f>IFERROR(__xludf.DUMMYFUNCTION("""COMPUTED_VALUE"""),"Vivek Kumar")</f>
        <v>Vivek Kumar</v>
      </c>
      <c r="G872" s="19">
        <f>IFERROR(__xludf.DUMMYFUNCTION("""COMPUTED_VALUE"""),45199.0)</f>
        <v>45199</v>
      </c>
      <c r="H872" s="18" t="str">
        <f>IFERROR(__xludf.DUMMYFUNCTION("""COMPUTED_VALUE"""),"Credit Card")</f>
        <v>Credit Card</v>
      </c>
      <c r="I872" s="18" t="str">
        <f>IFERROR(__xludf.DUMMYFUNCTION("""COMPUTED_VALUE"""),"Delivered")</f>
        <v>Delivered</v>
      </c>
      <c r="J872" s="18" t="str">
        <f>IFERROR(__xludf.DUMMYFUNCTION("""COMPUTED_VALUE"""),"Satisfied with the Delivery")</f>
        <v>Satisfied with the Delivery</v>
      </c>
      <c r="K872" s="18" t="str">
        <f>IFERROR(__xludf.DUMMYFUNCTION("""COMPUTED_VALUE"""),"Timely and quality")</f>
        <v>Timely and quality</v>
      </c>
      <c r="L872" s="18">
        <f>iferror(VLOOKUP($D872,Details!$A$2:$C$11,2,false),vlookup($D872,Details!$E$2:$G$11,2,false))</f>
        <v>150</v>
      </c>
      <c r="M872" s="18" t="str">
        <f>iferror(VLOOKUP($D872,Details!$A$2:$C$11,3,false),vlookup($D872,Details!$E$2:$G$11,3,false))</f>
        <v>Snacks and Drinks</v>
      </c>
      <c r="N872" s="18">
        <f t="shared" si="1"/>
        <v>750</v>
      </c>
      <c r="O872" s="17"/>
      <c r="P872" s="17"/>
      <c r="Q872" s="17"/>
      <c r="R872" s="17"/>
      <c r="S872" s="17"/>
      <c r="T872" s="17"/>
      <c r="U872" s="17"/>
      <c r="V872" s="17"/>
      <c r="W872" s="17"/>
      <c r="X872" s="17"/>
      <c r="Y872" s="17"/>
      <c r="Z872" s="17"/>
    </row>
    <row r="873">
      <c r="A873" s="18" t="str">
        <f>IFERROR(__xludf.DUMMYFUNCTION("""COMPUTED_VALUE"""),"ord_30864")</f>
        <v>ord_30864</v>
      </c>
      <c r="B873" s="18" t="str">
        <f>IFERROR(__xludf.DUMMYFUNCTION("""COMPUTED_VALUE"""),"Tanishq Bansal")</f>
        <v>Tanishq Bansal</v>
      </c>
      <c r="C873" s="18" t="str">
        <f>IFERROR(__xludf.DUMMYFUNCTION("""COMPUTED_VALUE"""),"Powai")</f>
        <v>Powai</v>
      </c>
      <c r="D873" s="18" t="str">
        <f>IFERROR(__xludf.DUMMYFUNCTION("""COMPUTED_VALUE"""),"Apple")</f>
        <v>Apple</v>
      </c>
      <c r="E873" s="18">
        <f>IFERROR(__xludf.DUMMYFUNCTION("""COMPUTED_VALUE"""),1.0)</f>
        <v>1</v>
      </c>
      <c r="F873" s="18" t="str">
        <f>IFERROR(__xludf.DUMMYFUNCTION("""COMPUTED_VALUE"""),"Not Assigned")</f>
        <v>Not Assigned</v>
      </c>
      <c r="G873" s="19">
        <f>IFERROR(__xludf.DUMMYFUNCTION("""COMPUTED_VALUE"""),45133.0)</f>
        <v>45133</v>
      </c>
      <c r="H873" s="18" t="str">
        <f>IFERROR(__xludf.DUMMYFUNCTION("""COMPUTED_VALUE"""),"Credit Card")</f>
        <v>Credit Card</v>
      </c>
      <c r="I873" s="18" t="str">
        <f>IFERROR(__xludf.DUMMYFUNCTION("""COMPUTED_VALUE"""),"Cancelled")</f>
        <v>Cancelled</v>
      </c>
      <c r="J873" s="18" t="str">
        <f>IFERROR(__xludf.DUMMYFUNCTION("""COMPUTED_VALUE"""),"App Glitches")</f>
        <v>App Glitches</v>
      </c>
      <c r="K873" s="18" t="str">
        <f>IFERROR(__xludf.DUMMYFUNCTION("""COMPUTED_VALUE"""),"Slow Loading Time")</f>
        <v>Slow Loading Time</v>
      </c>
      <c r="L873" s="18">
        <f>iferror(VLOOKUP($D873,Details!$A$2:$C$11,2,false),vlookup($D873,Details!$E$2:$G$11,2,false))</f>
        <v>230</v>
      </c>
      <c r="M873" s="18" t="str">
        <f>iferror(VLOOKUP($D873,Details!$A$2:$C$11,3,false),vlookup($D873,Details!$E$2:$G$11,3,false))</f>
        <v>Fruits and Vegetables</v>
      </c>
      <c r="N873" s="18">
        <f t="shared" si="1"/>
        <v>230</v>
      </c>
      <c r="O873" s="17"/>
      <c r="P873" s="17"/>
      <c r="Q873" s="17"/>
      <c r="R873" s="17"/>
      <c r="S873" s="17"/>
      <c r="T873" s="17"/>
      <c r="U873" s="17"/>
      <c r="V873" s="17"/>
      <c r="W873" s="17"/>
      <c r="X873" s="17"/>
      <c r="Y873" s="17"/>
      <c r="Z873" s="17"/>
    </row>
    <row r="874">
      <c r="A874" s="18" t="str">
        <f>IFERROR(__xludf.DUMMYFUNCTION("""COMPUTED_VALUE"""),"ord_30865")</f>
        <v>ord_30865</v>
      </c>
      <c r="B874" s="18" t="str">
        <f>IFERROR(__xludf.DUMMYFUNCTION("""COMPUTED_VALUE"""),"Omkar Mishra")</f>
        <v>Omkar Mishra</v>
      </c>
      <c r="C874" s="18" t="str">
        <f>IFERROR(__xludf.DUMMYFUNCTION("""COMPUTED_VALUE"""),"Powai")</f>
        <v>Powai</v>
      </c>
      <c r="D874" s="18" t="str">
        <f>IFERROR(__xludf.DUMMYFUNCTION("""COMPUTED_VALUE"""),"Rasmalai")</f>
        <v>Rasmalai</v>
      </c>
      <c r="E874" s="18">
        <f>IFERROR(__xludf.DUMMYFUNCTION("""COMPUTED_VALUE"""),5.0)</f>
        <v>5</v>
      </c>
      <c r="F874" s="18" t="str">
        <f>IFERROR(__xludf.DUMMYFUNCTION("""COMPUTED_VALUE"""),"Venu R")</f>
        <v>Venu R</v>
      </c>
      <c r="G874" s="19">
        <f>IFERROR(__xludf.DUMMYFUNCTION("""COMPUTED_VALUE"""),45157.0)</f>
        <v>45157</v>
      </c>
      <c r="H874" s="18" t="str">
        <f>IFERROR(__xludf.DUMMYFUNCTION("""COMPUTED_VALUE"""),"Credit Card")</f>
        <v>Credit Card</v>
      </c>
      <c r="I874" s="18" t="str">
        <f>IFERROR(__xludf.DUMMYFUNCTION("""COMPUTED_VALUE"""),"Cancelled")</f>
        <v>Cancelled</v>
      </c>
      <c r="J874" s="18" t="str">
        <f>IFERROR(__xludf.DUMMYFUNCTION("""COMPUTED_VALUE"""),"Delayed Delivery")</f>
        <v>Delayed Delivery</v>
      </c>
      <c r="K874" s="18" t="str">
        <f>IFERROR(__xludf.DUMMYFUNCTION("""COMPUTED_VALUE"""),"Traffic Accidents or Road Closures")</f>
        <v>Traffic Accidents or Road Closures</v>
      </c>
      <c r="L874" s="18">
        <f>iferror(VLOOKUP($D874,Details!$A$2:$C$11,2,false),vlookup($D874,Details!$E$2:$G$11,2,false))</f>
        <v>110</v>
      </c>
      <c r="M874" s="18" t="str">
        <f>iferror(VLOOKUP($D874,Details!$A$2:$C$11,3,false),vlookup($D874,Details!$E$2:$G$11,3,false))</f>
        <v>Snacks and Drinks</v>
      </c>
      <c r="N874" s="18">
        <f t="shared" si="1"/>
        <v>550</v>
      </c>
      <c r="O874" s="17"/>
      <c r="P874" s="17"/>
      <c r="Q874" s="17"/>
      <c r="R874" s="17"/>
      <c r="S874" s="17"/>
      <c r="T874" s="17"/>
      <c r="U874" s="17"/>
      <c r="V874" s="17"/>
      <c r="W874" s="17"/>
      <c r="X874" s="17"/>
      <c r="Y874" s="17"/>
      <c r="Z874" s="17"/>
    </row>
    <row r="875">
      <c r="A875" s="18" t="str">
        <f>IFERROR(__xludf.DUMMYFUNCTION("""COMPUTED_VALUE"""),"ord_30866")</f>
        <v>ord_30866</v>
      </c>
      <c r="B875" s="18" t="str">
        <f>IFERROR(__xludf.DUMMYFUNCTION("""COMPUTED_VALUE"""),"Tanishq Bansal")</f>
        <v>Tanishq Bansal</v>
      </c>
      <c r="C875" s="18" t="str">
        <f>IFERROR(__xludf.DUMMYFUNCTION("""COMPUTED_VALUE"""),"Powai")</f>
        <v>Powai</v>
      </c>
      <c r="D875" s="18" t="str">
        <f>IFERROR(__xludf.DUMMYFUNCTION("""COMPUTED_VALUE"""),"Sweet Corn")</f>
        <v>Sweet Corn</v>
      </c>
      <c r="E875" s="18">
        <f>IFERROR(__xludf.DUMMYFUNCTION("""COMPUTED_VALUE"""),1.0)</f>
        <v>1</v>
      </c>
      <c r="F875" s="18" t="str">
        <f>IFERROR(__xludf.DUMMYFUNCTION("""COMPUTED_VALUE"""),"Aman Kumar")</f>
        <v>Aman Kumar</v>
      </c>
      <c r="G875" s="19">
        <f>IFERROR(__xludf.DUMMYFUNCTION("""COMPUTED_VALUE"""),45182.0)</f>
        <v>45182</v>
      </c>
      <c r="H875" s="18" t="str">
        <f>IFERROR(__xludf.DUMMYFUNCTION("""COMPUTED_VALUE"""),"Credit Card")</f>
        <v>Credit Card</v>
      </c>
      <c r="I875" s="18" t="str">
        <f>IFERROR(__xludf.DUMMYFUNCTION("""COMPUTED_VALUE"""),"Cancelled")</f>
        <v>Cancelled</v>
      </c>
      <c r="J875" s="18" t="str">
        <f>IFERROR(__xludf.DUMMYFUNCTION("""COMPUTED_VALUE"""),"Delayed Delivery")</f>
        <v>Delayed Delivery</v>
      </c>
      <c r="K875" s="18" t="str">
        <f>IFERROR(__xludf.DUMMYFUNCTION("""COMPUTED_VALUE"""),"Heavy Traffic")</f>
        <v>Heavy Traffic</v>
      </c>
      <c r="L875" s="18">
        <f>iferror(VLOOKUP($D875,Details!$A$2:$C$11,2,false),vlookup($D875,Details!$E$2:$G$11,2,false))</f>
        <v>60</v>
      </c>
      <c r="M875" s="18" t="str">
        <f>iferror(VLOOKUP($D875,Details!$A$2:$C$11,3,false),vlookup($D875,Details!$E$2:$G$11,3,false))</f>
        <v>Fruits and Vegetables</v>
      </c>
      <c r="N875" s="18">
        <f t="shared" si="1"/>
        <v>60</v>
      </c>
      <c r="O875" s="17"/>
      <c r="P875" s="17"/>
      <c r="Q875" s="17"/>
      <c r="R875" s="17"/>
      <c r="S875" s="17"/>
      <c r="T875" s="17"/>
      <c r="U875" s="17"/>
      <c r="V875" s="17"/>
      <c r="W875" s="17"/>
      <c r="X875" s="17"/>
      <c r="Y875" s="17"/>
      <c r="Z875" s="17"/>
    </row>
    <row r="876">
      <c r="A876" s="18" t="str">
        <f>IFERROR(__xludf.DUMMYFUNCTION("""COMPUTED_VALUE"""),"ord_30867")</f>
        <v>ord_30867</v>
      </c>
      <c r="B876" s="18" t="str">
        <f>IFERROR(__xludf.DUMMYFUNCTION("""COMPUTED_VALUE"""),"Ishita Banerjee")</f>
        <v>Ishita Banerjee</v>
      </c>
      <c r="C876" s="18" t="str">
        <f>IFERROR(__xludf.DUMMYFUNCTION("""COMPUTED_VALUE"""),"Juhu")</f>
        <v>Juhu</v>
      </c>
      <c r="D876" s="18" t="str">
        <f>IFERROR(__xludf.DUMMYFUNCTION("""COMPUTED_VALUE"""),"Popcorn")</f>
        <v>Popcorn</v>
      </c>
      <c r="E876" s="18">
        <f>IFERROR(__xludf.DUMMYFUNCTION("""COMPUTED_VALUE"""),5.0)</f>
        <v>5</v>
      </c>
      <c r="F876" s="18" t="str">
        <f>IFERROR(__xludf.DUMMYFUNCTION("""COMPUTED_VALUE"""),"Not Assigned")</f>
        <v>Not Assigned</v>
      </c>
      <c r="G876" s="19">
        <f>IFERROR(__xludf.DUMMYFUNCTION("""COMPUTED_VALUE"""),44983.0)</f>
        <v>44983</v>
      </c>
      <c r="H876" s="18" t="str">
        <f>IFERROR(__xludf.DUMMYFUNCTION("""COMPUTED_VALUE"""),"UPI")</f>
        <v>UPI</v>
      </c>
      <c r="I876" s="18" t="str">
        <f>IFERROR(__xludf.DUMMYFUNCTION("""COMPUTED_VALUE"""),"Cancelled")</f>
        <v>Cancelled</v>
      </c>
      <c r="J876" s="18" t="str">
        <f>IFERROR(__xludf.DUMMYFUNCTION("""COMPUTED_VALUE"""),"Out of Stock")</f>
        <v>Out of Stock</v>
      </c>
      <c r="K876" s="18"/>
      <c r="L876" s="18">
        <f>iferror(VLOOKUP($D876,Details!$A$2:$C$11,2,false),vlookup($D876,Details!$E$2:$G$11,2,false))</f>
        <v>150</v>
      </c>
      <c r="M876" s="18" t="str">
        <f>iferror(VLOOKUP($D876,Details!$A$2:$C$11,3,false),vlookup($D876,Details!$E$2:$G$11,3,false))</f>
        <v>Snacks and Drinks</v>
      </c>
      <c r="N876" s="18">
        <f t="shared" si="1"/>
        <v>750</v>
      </c>
      <c r="O876" s="17"/>
      <c r="P876" s="17"/>
      <c r="Q876" s="17"/>
      <c r="R876" s="17"/>
      <c r="S876" s="17"/>
      <c r="T876" s="17"/>
      <c r="U876" s="17"/>
      <c r="V876" s="17"/>
      <c r="W876" s="17"/>
      <c r="X876" s="17"/>
      <c r="Y876" s="17"/>
      <c r="Z876" s="17"/>
    </row>
    <row r="877">
      <c r="A877" s="18" t="str">
        <f>IFERROR(__xludf.DUMMYFUNCTION("""COMPUTED_VALUE"""),"ord_30868")</f>
        <v>ord_30868</v>
      </c>
      <c r="B877" s="18" t="str">
        <f>IFERROR(__xludf.DUMMYFUNCTION("""COMPUTED_VALUE"""),"Siya Reddy")</f>
        <v>Siya Reddy</v>
      </c>
      <c r="C877" s="18" t="str">
        <f>IFERROR(__xludf.DUMMYFUNCTION("""COMPUTED_VALUE"""),"Juhu")</f>
        <v>Juhu</v>
      </c>
      <c r="D877" s="18" t="str">
        <f>IFERROR(__xludf.DUMMYFUNCTION("""COMPUTED_VALUE"""),"Tiramisu")</f>
        <v>Tiramisu</v>
      </c>
      <c r="E877" s="18">
        <f>IFERROR(__xludf.DUMMYFUNCTION("""COMPUTED_VALUE"""),1.0)</f>
        <v>1</v>
      </c>
      <c r="F877" s="18" t="str">
        <f>IFERROR(__xludf.DUMMYFUNCTION("""COMPUTED_VALUE"""),"Not Assigned")</f>
        <v>Not Assigned</v>
      </c>
      <c r="G877" s="19">
        <f>IFERROR(__xludf.DUMMYFUNCTION("""COMPUTED_VALUE"""),45012.0)</f>
        <v>45012</v>
      </c>
      <c r="H877" s="18" t="str">
        <f>IFERROR(__xludf.DUMMYFUNCTION("""COMPUTED_VALUE"""),"Online Payment")</f>
        <v>Online Payment</v>
      </c>
      <c r="I877" s="18" t="str">
        <f>IFERROR(__xludf.DUMMYFUNCTION("""COMPUTED_VALUE"""),"Cancelled")</f>
        <v>Cancelled</v>
      </c>
      <c r="J877" s="18" t="str">
        <f>IFERROR(__xludf.DUMMYFUNCTION("""COMPUTED_VALUE"""),"App Glitches")</f>
        <v>App Glitches</v>
      </c>
      <c r="K877" s="18" t="str">
        <f>IFERROR(__xludf.DUMMYFUNCTION("""COMPUTED_VALUE"""),"Slow Loading Time")</f>
        <v>Slow Loading Time</v>
      </c>
      <c r="L877" s="18">
        <f>iferror(VLOOKUP($D877,Details!$A$2:$C$11,2,false),vlookup($D877,Details!$E$2:$G$11,2,false))</f>
        <v>150</v>
      </c>
      <c r="M877" s="18" t="str">
        <f>iferror(VLOOKUP($D877,Details!$A$2:$C$11,3,false),vlookup($D877,Details!$E$2:$G$11,3,false))</f>
        <v>Snacks and Drinks</v>
      </c>
      <c r="N877" s="18">
        <f t="shared" si="1"/>
        <v>150</v>
      </c>
      <c r="O877" s="17"/>
      <c r="P877" s="17"/>
      <c r="Q877" s="17"/>
      <c r="R877" s="17"/>
      <c r="S877" s="17"/>
      <c r="T877" s="17"/>
      <c r="U877" s="17"/>
      <c r="V877" s="17"/>
      <c r="W877" s="17"/>
      <c r="X877" s="17"/>
      <c r="Y877" s="17"/>
      <c r="Z877" s="17"/>
    </row>
    <row r="878">
      <c r="A878" s="18" t="str">
        <f>IFERROR(__xludf.DUMMYFUNCTION("""COMPUTED_VALUE"""),"ord_30869")</f>
        <v>ord_30869</v>
      </c>
      <c r="B878" s="18" t="str">
        <f>IFERROR(__xludf.DUMMYFUNCTION("""COMPUTED_VALUE"""),"Mehul Thakkar")</f>
        <v>Mehul Thakkar</v>
      </c>
      <c r="C878" s="18" t="str">
        <f>IFERROR(__xludf.DUMMYFUNCTION("""COMPUTED_VALUE"""),"Malad")</f>
        <v>Malad</v>
      </c>
      <c r="D878" s="18" t="str">
        <f>IFERROR(__xludf.DUMMYFUNCTION("""COMPUTED_VALUE"""),"Rasmalai")</f>
        <v>Rasmalai</v>
      </c>
      <c r="E878" s="18">
        <f>IFERROR(__xludf.DUMMYFUNCTION("""COMPUTED_VALUE"""),2.0)</f>
        <v>2</v>
      </c>
      <c r="F878" s="18" t="str">
        <f>IFERROR(__xludf.DUMMYFUNCTION("""COMPUTED_VALUE"""),"Ramesh S")</f>
        <v>Ramesh S</v>
      </c>
      <c r="G878" s="19">
        <f>IFERROR(__xludf.DUMMYFUNCTION("""COMPUTED_VALUE"""),44954.0)</f>
        <v>44954</v>
      </c>
      <c r="H878" s="18" t="str">
        <f>IFERROR(__xludf.DUMMYFUNCTION("""COMPUTED_VALUE"""),"UPI")</f>
        <v>UPI</v>
      </c>
      <c r="I878" s="18" t="str">
        <f>IFERROR(__xludf.DUMMYFUNCTION("""COMPUTED_VALUE"""),"Delivered")</f>
        <v>Delivered</v>
      </c>
      <c r="J878" s="18" t="str">
        <f>IFERROR(__xludf.DUMMYFUNCTION("""COMPUTED_VALUE"""),"Customer Service")</f>
        <v>Customer Service</v>
      </c>
      <c r="K878" s="18" t="str">
        <f>IFERROR(__xludf.DUMMYFUNCTION("""COMPUTED_VALUE"""),"Seamless and easy")</f>
        <v>Seamless and easy</v>
      </c>
      <c r="L878" s="18">
        <f>iferror(VLOOKUP($D878,Details!$A$2:$C$11,2,false),vlookup($D878,Details!$E$2:$G$11,2,false))</f>
        <v>110</v>
      </c>
      <c r="M878" s="18" t="str">
        <f>iferror(VLOOKUP($D878,Details!$A$2:$C$11,3,false),vlookup($D878,Details!$E$2:$G$11,3,false))</f>
        <v>Snacks and Drinks</v>
      </c>
      <c r="N878" s="18">
        <f t="shared" si="1"/>
        <v>220</v>
      </c>
      <c r="O878" s="17"/>
      <c r="P878" s="17"/>
      <c r="Q878" s="17"/>
      <c r="R878" s="17"/>
      <c r="S878" s="17"/>
      <c r="T878" s="17"/>
      <c r="U878" s="17"/>
      <c r="V878" s="17"/>
      <c r="W878" s="17"/>
      <c r="X878" s="17"/>
      <c r="Y878" s="17"/>
      <c r="Z878" s="17"/>
    </row>
    <row r="879">
      <c r="A879" s="18" t="str">
        <f>IFERROR(__xludf.DUMMYFUNCTION("""COMPUTED_VALUE"""),"ord_30870")</f>
        <v>ord_30870</v>
      </c>
      <c r="B879" s="18" t="str">
        <f>IFERROR(__xludf.DUMMYFUNCTION("""COMPUTED_VALUE"""),"Arvind Kulkarni")</f>
        <v>Arvind Kulkarni</v>
      </c>
      <c r="C879" s="18" t="str">
        <f>IFERROR(__xludf.DUMMYFUNCTION("""COMPUTED_VALUE"""),"Juhu")</f>
        <v>Juhu</v>
      </c>
      <c r="D879" s="18" t="str">
        <f>IFERROR(__xludf.DUMMYFUNCTION("""COMPUTED_VALUE"""),"Guava")</f>
        <v>Guava</v>
      </c>
      <c r="E879" s="18">
        <f>IFERROR(__xludf.DUMMYFUNCTION("""COMPUTED_VALUE"""),1.0)</f>
        <v>1</v>
      </c>
      <c r="F879" s="18" t="str">
        <f>IFERROR(__xludf.DUMMYFUNCTION("""COMPUTED_VALUE"""),"Shine Thomas")</f>
        <v>Shine Thomas</v>
      </c>
      <c r="G879" s="19">
        <f>IFERROR(__xludf.DUMMYFUNCTION("""COMPUTED_VALUE"""),45004.0)</f>
        <v>45004</v>
      </c>
      <c r="H879" s="18" t="str">
        <f>IFERROR(__xludf.DUMMYFUNCTION("""COMPUTED_VALUE"""),"UPI")</f>
        <v>UPI</v>
      </c>
      <c r="I879" s="18" t="str">
        <f>IFERROR(__xludf.DUMMYFUNCTION("""COMPUTED_VALUE"""),"Cancelled")</f>
        <v>Cancelled</v>
      </c>
      <c r="J879" s="18" t="str">
        <f>IFERROR(__xludf.DUMMYFUNCTION("""COMPUTED_VALUE"""),"Delayed Delivery")</f>
        <v>Delayed Delivery</v>
      </c>
      <c r="K879" s="18" t="str">
        <f>IFERROR(__xludf.DUMMYFUNCTION("""COMPUTED_VALUE"""),"Heavy Traffic")</f>
        <v>Heavy Traffic</v>
      </c>
      <c r="L879" s="18">
        <f>iferror(VLOOKUP($D879,Details!$A$2:$C$11,2,false),vlookup($D879,Details!$E$2:$G$11,2,false))</f>
        <v>70</v>
      </c>
      <c r="M879" s="18" t="str">
        <f>iferror(VLOOKUP($D879,Details!$A$2:$C$11,3,false),vlookup($D879,Details!$E$2:$G$11,3,false))</f>
        <v>Fruits and Vegetables</v>
      </c>
      <c r="N879" s="18">
        <f t="shared" si="1"/>
        <v>70</v>
      </c>
      <c r="O879" s="17"/>
      <c r="P879" s="17"/>
      <c r="Q879" s="17"/>
      <c r="R879" s="17"/>
      <c r="S879" s="17"/>
      <c r="T879" s="17"/>
      <c r="U879" s="17"/>
      <c r="V879" s="17"/>
      <c r="W879" s="17"/>
      <c r="X879" s="17"/>
      <c r="Y879" s="17"/>
      <c r="Z879" s="17"/>
    </row>
    <row r="880">
      <c r="A880" s="18" t="str">
        <f>IFERROR(__xludf.DUMMYFUNCTION("""COMPUTED_VALUE"""),"ord_30871")</f>
        <v>ord_30871</v>
      </c>
      <c r="B880" s="18" t="str">
        <f>IFERROR(__xludf.DUMMYFUNCTION("""COMPUTED_VALUE"""),"Sanjay Nair")</f>
        <v>Sanjay Nair</v>
      </c>
      <c r="C880" s="18" t="str">
        <f>IFERROR(__xludf.DUMMYFUNCTION("""COMPUTED_VALUE"""),"Dadar")</f>
        <v>Dadar</v>
      </c>
      <c r="D880" s="18" t="str">
        <f>IFERROR(__xludf.DUMMYFUNCTION("""COMPUTED_VALUE"""),"Cold Coffee")</f>
        <v>Cold Coffee</v>
      </c>
      <c r="E880" s="18">
        <f>IFERROR(__xludf.DUMMYFUNCTION("""COMPUTED_VALUE"""),5.0)</f>
        <v>5</v>
      </c>
      <c r="F880" s="18" t="str">
        <f>IFERROR(__xludf.DUMMYFUNCTION("""COMPUTED_VALUE"""),"Not Assigned")</f>
        <v>Not Assigned</v>
      </c>
      <c r="G880" s="19">
        <f>IFERROR(__xludf.DUMMYFUNCTION("""COMPUTED_VALUE"""),45245.0)</f>
        <v>45245</v>
      </c>
      <c r="H880" s="18" t="str">
        <f>IFERROR(__xludf.DUMMYFUNCTION("""COMPUTED_VALUE"""),"Online Payment")</f>
        <v>Online Payment</v>
      </c>
      <c r="I880" s="18" t="str">
        <f>IFERROR(__xludf.DUMMYFUNCTION("""COMPUTED_VALUE"""),"Cancelled")</f>
        <v>Cancelled</v>
      </c>
      <c r="J880" s="18" t="str">
        <f>IFERROR(__xludf.DUMMYFUNCTION("""COMPUTED_VALUE"""),"Out of Stock")</f>
        <v>Out of Stock</v>
      </c>
      <c r="K880" s="18"/>
      <c r="L880" s="18">
        <f>iferror(VLOOKUP($D880,Details!$A$2:$C$11,2,false),vlookup($D880,Details!$E$2:$G$11,2,false))</f>
        <v>270</v>
      </c>
      <c r="M880" s="18" t="str">
        <f>iferror(VLOOKUP($D880,Details!$A$2:$C$11,3,false),vlookup($D880,Details!$E$2:$G$11,3,false))</f>
        <v>Snacks and Drinks</v>
      </c>
      <c r="N880" s="18">
        <f t="shared" si="1"/>
        <v>1350</v>
      </c>
      <c r="O880" s="17"/>
      <c r="P880" s="17"/>
      <c r="Q880" s="17"/>
      <c r="R880" s="17"/>
      <c r="S880" s="17"/>
      <c r="T880" s="17"/>
      <c r="U880" s="17"/>
      <c r="V880" s="17"/>
      <c r="W880" s="17"/>
      <c r="X880" s="17"/>
      <c r="Y880" s="17"/>
      <c r="Z880" s="17"/>
    </row>
    <row r="881">
      <c r="A881" s="18" t="str">
        <f>IFERROR(__xludf.DUMMYFUNCTION("""COMPUTED_VALUE"""),"ord_30872")</f>
        <v>ord_30872</v>
      </c>
      <c r="B881" s="18" t="str">
        <f>IFERROR(__xludf.DUMMYFUNCTION("""COMPUTED_VALUE"""),"Aditi Iyer")</f>
        <v>Aditi Iyer</v>
      </c>
      <c r="C881" s="18" t="str">
        <f>IFERROR(__xludf.DUMMYFUNCTION("""COMPUTED_VALUE"""),"Dadar")</f>
        <v>Dadar</v>
      </c>
      <c r="D881" s="18" t="str">
        <f>IFERROR(__xludf.DUMMYFUNCTION("""COMPUTED_VALUE"""),"Potato")</f>
        <v>Potato</v>
      </c>
      <c r="E881" s="18">
        <f>IFERROR(__xludf.DUMMYFUNCTION("""COMPUTED_VALUE"""),2.0)</f>
        <v>2</v>
      </c>
      <c r="F881" s="18" t="str">
        <f>IFERROR(__xludf.DUMMYFUNCTION("""COMPUTED_VALUE"""),"Not Assigned")</f>
        <v>Not Assigned</v>
      </c>
      <c r="G881" s="19">
        <f>IFERROR(__xludf.DUMMYFUNCTION("""COMPUTED_VALUE"""),45282.0)</f>
        <v>45282</v>
      </c>
      <c r="H881" s="18" t="str">
        <f>IFERROR(__xludf.DUMMYFUNCTION("""COMPUTED_VALUE"""),"Online Payment")</f>
        <v>Online Payment</v>
      </c>
      <c r="I881" s="18" t="str">
        <f>IFERROR(__xludf.DUMMYFUNCTION("""COMPUTED_VALUE"""),"Cancelled")</f>
        <v>Cancelled</v>
      </c>
      <c r="J881" s="18" t="str">
        <f>IFERROR(__xludf.DUMMYFUNCTION("""COMPUTED_VALUE"""),"Out of Stock")</f>
        <v>Out of Stock</v>
      </c>
      <c r="K881" s="18"/>
      <c r="L881" s="18">
        <f>iferror(VLOOKUP($D881,Details!$A$2:$C$11,2,false),vlookup($D881,Details!$E$2:$G$11,2,false))</f>
        <v>55</v>
      </c>
      <c r="M881" s="18" t="str">
        <f>iferror(VLOOKUP($D881,Details!$A$2:$C$11,3,false),vlookup($D881,Details!$E$2:$G$11,3,false))</f>
        <v>Fruits and Vegetables</v>
      </c>
      <c r="N881" s="18">
        <f t="shared" si="1"/>
        <v>110</v>
      </c>
      <c r="O881" s="17"/>
      <c r="P881" s="17"/>
      <c r="Q881" s="17"/>
      <c r="R881" s="17"/>
      <c r="S881" s="17"/>
      <c r="T881" s="17"/>
      <c r="U881" s="17"/>
      <c r="V881" s="17"/>
      <c r="W881" s="17"/>
      <c r="X881" s="17"/>
      <c r="Y881" s="17"/>
      <c r="Z881" s="17"/>
    </row>
    <row r="882">
      <c r="A882" s="18" t="str">
        <f>IFERROR(__xludf.DUMMYFUNCTION("""COMPUTED_VALUE"""),"ord_30873")</f>
        <v>ord_30873</v>
      </c>
      <c r="B882" s="18" t="str">
        <f>IFERROR(__xludf.DUMMYFUNCTION("""COMPUTED_VALUE"""),"Pranav Joshi")</f>
        <v>Pranav Joshi</v>
      </c>
      <c r="C882" s="18" t="str">
        <f>IFERROR(__xludf.DUMMYFUNCTION("""COMPUTED_VALUE"""),"Andheri")</f>
        <v>Andheri</v>
      </c>
      <c r="D882" s="18" t="str">
        <f>IFERROR(__xludf.DUMMYFUNCTION("""COMPUTED_VALUE"""),"Onion")</f>
        <v>Onion</v>
      </c>
      <c r="E882" s="18">
        <f>IFERROR(__xludf.DUMMYFUNCTION("""COMPUTED_VALUE"""),1.0)</f>
        <v>1</v>
      </c>
      <c r="F882" s="18" t="str">
        <f>IFERROR(__xludf.DUMMYFUNCTION("""COMPUTED_VALUE"""),"Not Assigned")</f>
        <v>Not Assigned</v>
      </c>
      <c r="G882" s="19">
        <f>IFERROR(__xludf.DUMMYFUNCTION("""COMPUTED_VALUE"""),45223.0)</f>
        <v>45223</v>
      </c>
      <c r="H882" s="18" t="str">
        <f>IFERROR(__xludf.DUMMYFUNCTION("""COMPUTED_VALUE"""),"Credit Card")</f>
        <v>Credit Card</v>
      </c>
      <c r="I882" s="18" t="str">
        <f>IFERROR(__xludf.DUMMYFUNCTION("""COMPUTED_VALUE"""),"Cancelled")</f>
        <v>Cancelled</v>
      </c>
      <c r="J882" s="18" t="str">
        <f>IFERROR(__xludf.DUMMYFUNCTION("""COMPUTED_VALUE"""),"App Glitches")</f>
        <v>App Glitches</v>
      </c>
      <c r="K882" s="18" t="str">
        <f>IFERROR(__xludf.DUMMYFUNCTION("""COMPUTED_VALUE"""),"Inconsistent Data Display")</f>
        <v>Inconsistent Data Display</v>
      </c>
      <c r="L882" s="18">
        <f>iferror(VLOOKUP($D882,Details!$A$2:$C$11,2,false),vlookup($D882,Details!$E$2:$G$11,2,false))</f>
        <v>84</v>
      </c>
      <c r="M882" s="18" t="str">
        <f>iferror(VLOOKUP($D882,Details!$A$2:$C$11,3,false),vlookup($D882,Details!$E$2:$G$11,3,false))</f>
        <v>Fruits and Vegetables</v>
      </c>
      <c r="N882" s="18">
        <f t="shared" si="1"/>
        <v>84</v>
      </c>
      <c r="O882" s="17"/>
      <c r="P882" s="17"/>
      <c r="Q882" s="17"/>
      <c r="R882" s="17"/>
      <c r="S882" s="17"/>
      <c r="T882" s="17"/>
      <c r="U882" s="17"/>
      <c r="V882" s="17"/>
      <c r="W882" s="17"/>
      <c r="X882" s="17"/>
      <c r="Y882" s="17"/>
      <c r="Z882" s="17"/>
    </row>
    <row r="883">
      <c r="A883" s="18" t="str">
        <f>IFERROR(__xludf.DUMMYFUNCTION("""COMPUTED_VALUE"""),"ord_30874")</f>
        <v>ord_30874</v>
      </c>
      <c r="B883" s="18" t="str">
        <f>IFERROR(__xludf.DUMMYFUNCTION("""COMPUTED_VALUE"""),"Ishita Banerjee")</f>
        <v>Ishita Banerjee</v>
      </c>
      <c r="C883" s="18" t="str">
        <f>IFERROR(__xludf.DUMMYFUNCTION("""COMPUTED_VALUE"""),"Juhu")</f>
        <v>Juhu</v>
      </c>
      <c r="D883" s="18" t="str">
        <f>IFERROR(__xludf.DUMMYFUNCTION("""COMPUTED_VALUE"""),"Chilli Cheese Toast")</f>
        <v>Chilli Cheese Toast</v>
      </c>
      <c r="E883" s="18">
        <f>IFERROR(__xludf.DUMMYFUNCTION("""COMPUTED_VALUE"""),5.0)</f>
        <v>5</v>
      </c>
      <c r="F883" s="18" t="str">
        <f>IFERROR(__xludf.DUMMYFUNCTION("""COMPUTED_VALUE"""),"Not Assigned")</f>
        <v>Not Assigned</v>
      </c>
      <c r="G883" s="19">
        <f>IFERROR(__xludf.DUMMYFUNCTION("""COMPUTED_VALUE"""),44953.0)</f>
        <v>44953</v>
      </c>
      <c r="H883" s="18" t="str">
        <f>IFERROR(__xludf.DUMMYFUNCTION("""COMPUTED_VALUE"""),"Online Payment")</f>
        <v>Online Payment</v>
      </c>
      <c r="I883" s="18" t="str">
        <f>IFERROR(__xludf.DUMMYFUNCTION("""COMPUTED_VALUE"""),"Cancelled")</f>
        <v>Cancelled</v>
      </c>
      <c r="J883" s="18" t="str">
        <f>IFERROR(__xludf.DUMMYFUNCTION("""COMPUTED_VALUE"""),"App Glitches")</f>
        <v>App Glitches</v>
      </c>
      <c r="K883" s="18" t="str">
        <f>IFERROR(__xludf.DUMMYFUNCTION("""COMPUTED_VALUE"""),"Payment Button Malfunction")</f>
        <v>Payment Button Malfunction</v>
      </c>
      <c r="L883" s="18">
        <f>iferror(VLOOKUP($D883,Details!$A$2:$C$11,2,false),vlookup($D883,Details!$E$2:$G$11,2,false))</f>
        <v>80</v>
      </c>
      <c r="M883" s="18" t="str">
        <f>iferror(VLOOKUP($D883,Details!$A$2:$C$11,3,false),vlookup($D883,Details!$E$2:$G$11,3,false))</f>
        <v>Snacks and Drinks</v>
      </c>
      <c r="N883" s="18">
        <f t="shared" si="1"/>
        <v>400</v>
      </c>
      <c r="O883" s="17"/>
      <c r="P883" s="17"/>
      <c r="Q883" s="17"/>
      <c r="R883" s="17"/>
      <c r="S883" s="17"/>
      <c r="T883" s="17"/>
      <c r="U883" s="17"/>
      <c r="V883" s="17"/>
      <c r="W883" s="17"/>
      <c r="X883" s="17"/>
      <c r="Y883" s="17"/>
      <c r="Z883" s="17"/>
    </row>
    <row r="884">
      <c r="A884" s="18" t="str">
        <f>IFERROR(__xludf.DUMMYFUNCTION("""COMPUTED_VALUE"""),"ord_30875")</f>
        <v>ord_30875</v>
      </c>
      <c r="B884" s="18" t="str">
        <f>IFERROR(__xludf.DUMMYFUNCTION("""COMPUTED_VALUE"""),"Mohit Malhotra")</f>
        <v>Mohit Malhotra</v>
      </c>
      <c r="C884" s="18" t="str">
        <f>IFERROR(__xludf.DUMMYFUNCTION("""COMPUTED_VALUE"""),"Lower Parel")</f>
        <v>Lower Parel</v>
      </c>
      <c r="D884" s="18" t="str">
        <f>IFERROR(__xludf.DUMMYFUNCTION("""COMPUTED_VALUE"""),"Tiramisu")</f>
        <v>Tiramisu</v>
      </c>
      <c r="E884" s="18">
        <f>IFERROR(__xludf.DUMMYFUNCTION("""COMPUTED_VALUE"""),4.0)</f>
        <v>4</v>
      </c>
      <c r="F884" s="18" t="str">
        <f>IFERROR(__xludf.DUMMYFUNCTION("""COMPUTED_VALUE"""),"Ramesh S")</f>
        <v>Ramesh S</v>
      </c>
      <c r="G884" s="19">
        <f>IFERROR(__xludf.DUMMYFUNCTION("""COMPUTED_VALUE"""),45282.0)</f>
        <v>45282</v>
      </c>
      <c r="H884" s="18" t="str">
        <f>IFERROR(__xludf.DUMMYFUNCTION("""COMPUTED_VALUE"""),"Online Payment")</f>
        <v>Online Payment</v>
      </c>
      <c r="I884" s="18" t="str">
        <f>IFERROR(__xludf.DUMMYFUNCTION("""COMPUTED_VALUE"""),"Delivered")</f>
        <v>Delivered</v>
      </c>
      <c r="J884" s="18" t="str">
        <f>IFERROR(__xludf.DUMMYFUNCTION("""COMPUTED_VALUE"""),"Delivery Experience")</f>
        <v>Delivery Experience</v>
      </c>
      <c r="K884" s="18" t="str">
        <f>IFERROR(__xludf.DUMMYFUNCTION("""COMPUTED_VALUE"""),"Quick and professional")</f>
        <v>Quick and professional</v>
      </c>
      <c r="L884" s="18">
        <f>iferror(VLOOKUP($D884,Details!$A$2:$C$11,2,false),vlookup($D884,Details!$E$2:$G$11,2,false))</f>
        <v>150</v>
      </c>
      <c r="M884" s="18" t="str">
        <f>iferror(VLOOKUP($D884,Details!$A$2:$C$11,3,false),vlookup($D884,Details!$E$2:$G$11,3,false))</f>
        <v>Snacks and Drinks</v>
      </c>
      <c r="N884" s="18">
        <f t="shared" si="1"/>
        <v>600</v>
      </c>
      <c r="O884" s="17"/>
      <c r="P884" s="17"/>
      <c r="Q884" s="17"/>
      <c r="R884" s="17"/>
      <c r="S884" s="17"/>
      <c r="T884" s="17"/>
      <c r="U884" s="17"/>
      <c r="V884" s="17"/>
      <c r="W884" s="17"/>
      <c r="X884" s="17"/>
      <c r="Y884" s="17"/>
      <c r="Z884" s="17"/>
    </row>
    <row r="885">
      <c r="A885" s="18" t="str">
        <f>IFERROR(__xludf.DUMMYFUNCTION("""COMPUTED_VALUE"""),"ord_30876")</f>
        <v>ord_30876</v>
      </c>
      <c r="B885" s="18" t="str">
        <f>IFERROR(__xludf.DUMMYFUNCTION("""COMPUTED_VALUE"""),"Anaya Rao")</f>
        <v>Anaya Rao</v>
      </c>
      <c r="C885" s="18" t="str">
        <f>IFERROR(__xludf.DUMMYFUNCTION("""COMPUTED_VALUE"""),"Colaba")</f>
        <v>Colaba</v>
      </c>
      <c r="D885" s="18" t="str">
        <f>IFERROR(__xludf.DUMMYFUNCTION("""COMPUTED_VALUE"""),"Cucumber")</f>
        <v>Cucumber</v>
      </c>
      <c r="E885" s="18">
        <f>IFERROR(__xludf.DUMMYFUNCTION("""COMPUTED_VALUE"""),1.0)</f>
        <v>1</v>
      </c>
      <c r="F885" s="18" t="str">
        <f>IFERROR(__xludf.DUMMYFUNCTION("""COMPUTED_VALUE"""),"Ram Gopal")</f>
        <v>Ram Gopal</v>
      </c>
      <c r="G885" s="19">
        <f>IFERROR(__xludf.DUMMYFUNCTION("""COMPUTED_VALUE"""),45205.0)</f>
        <v>45205</v>
      </c>
      <c r="H885" s="18" t="str">
        <f>IFERROR(__xludf.DUMMYFUNCTION("""COMPUTED_VALUE"""),"Online Payment")</f>
        <v>Online Payment</v>
      </c>
      <c r="I885" s="18" t="str">
        <f>IFERROR(__xludf.DUMMYFUNCTION("""COMPUTED_VALUE"""),"Delivered")</f>
        <v>Delivered</v>
      </c>
      <c r="J885" s="18" t="str">
        <f>IFERROR(__xludf.DUMMYFUNCTION("""COMPUTED_VALUE"""),"Convenience")</f>
        <v>Convenience</v>
      </c>
      <c r="K885" s="18" t="str">
        <f>IFERROR(__xludf.DUMMYFUNCTION("""COMPUTED_VALUE"""),"Easy tracking")</f>
        <v>Easy tracking</v>
      </c>
      <c r="L885" s="18">
        <f>iferror(VLOOKUP($D885,Details!$A$2:$C$11,2,false),vlookup($D885,Details!$E$2:$G$11,2,false))</f>
        <v>30</v>
      </c>
      <c r="M885" s="18" t="str">
        <f>iferror(VLOOKUP($D885,Details!$A$2:$C$11,3,false),vlookup($D885,Details!$E$2:$G$11,3,false))</f>
        <v>Fruits and Vegetables</v>
      </c>
      <c r="N885" s="18">
        <f t="shared" si="1"/>
        <v>30</v>
      </c>
      <c r="O885" s="17"/>
      <c r="P885" s="17"/>
      <c r="Q885" s="17"/>
      <c r="R885" s="17"/>
      <c r="S885" s="17"/>
      <c r="T885" s="17"/>
      <c r="U885" s="17"/>
      <c r="V885" s="17"/>
      <c r="W885" s="17"/>
      <c r="X885" s="17"/>
      <c r="Y885" s="17"/>
      <c r="Z885" s="17"/>
    </row>
    <row r="886">
      <c r="A886" s="18" t="str">
        <f>IFERROR(__xludf.DUMMYFUNCTION("""COMPUTED_VALUE"""),"ord_30877")</f>
        <v>ord_30877</v>
      </c>
      <c r="B886" s="18" t="str">
        <f>IFERROR(__xludf.DUMMYFUNCTION("""COMPUTED_VALUE"""),"Ishaan Chaturvedi")</f>
        <v>Ishaan Chaturvedi</v>
      </c>
      <c r="C886" s="18" t="str">
        <f>IFERROR(__xludf.DUMMYFUNCTION("""COMPUTED_VALUE"""),"Bandra")</f>
        <v>Bandra</v>
      </c>
      <c r="D886" s="18" t="str">
        <f>IFERROR(__xludf.DUMMYFUNCTION("""COMPUTED_VALUE"""),"Sweet Corn")</f>
        <v>Sweet Corn</v>
      </c>
      <c r="E886" s="18">
        <f>IFERROR(__xludf.DUMMYFUNCTION("""COMPUTED_VALUE"""),2.0)</f>
        <v>2</v>
      </c>
      <c r="F886" s="18" t="str">
        <f>IFERROR(__xludf.DUMMYFUNCTION("""COMPUTED_VALUE"""),"Nithin Lal")</f>
        <v>Nithin Lal</v>
      </c>
      <c r="G886" s="19">
        <f>IFERROR(__xludf.DUMMYFUNCTION("""COMPUTED_VALUE"""),45148.0)</f>
        <v>45148</v>
      </c>
      <c r="H886" s="18" t="str">
        <f>IFERROR(__xludf.DUMMYFUNCTION("""COMPUTED_VALUE"""),"Credit Card")</f>
        <v>Credit Card</v>
      </c>
      <c r="I886" s="18" t="str">
        <f>IFERROR(__xludf.DUMMYFUNCTION("""COMPUTED_VALUE"""),"Delivered")</f>
        <v>Delivered</v>
      </c>
      <c r="J886" s="18" t="str">
        <f>IFERROR(__xludf.DUMMYFUNCTION("""COMPUTED_VALUE"""),"Overall Satisfaction")</f>
        <v>Overall Satisfaction</v>
      </c>
      <c r="K886" s="18" t="str">
        <f>IFERROR(__xludf.DUMMYFUNCTION("""COMPUTED_VALUE"""),"Great service will order again")</f>
        <v>Great service will order again</v>
      </c>
      <c r="L886" s="18">
        <f>iferror(VLOOKUP($D886,Details!$A$2:$C$11,2,false),vlookup($D886,Details!$E$2:$G$11,2,false))</f>
        <v>60</v>
      </c>
      <c r="M886" s="18" t="str">
        <f>iferror(VLOOKUP($D886,Details!$A$2:$C$11,3,false),vlookup($D886,Details!$E$2:$G$11,3,false))</f>
        <v>Fruits and Vegetables</v>
      </c>
      <c r="N886" s="18">
        <f t="shared" si="1"/>
        <v>120</v>
      </c>
      <c r="O886" s="17"/>
      <c r="P886" s="17"/>
      <c r="Q886" s="17"/>
      <c r="R886" s="17"/>
      <c r="S886" s="17"/>
      <c r="T886" s="17"/>
      <c r="U886" s="17"/>
      <c r="V886" s="17"/>
      <c r="W886" s="17"/>
      <c r="X886" s="17"/>
      <c r="Y886" s="17"/>
      <c r="Z886" s="17"/>
    </row>
    <row r="887">
      <c r="A887" s="18" t="str">
        <f>IFERROR(__xludf.DUMMYFUNCTION("""COMPUTED_VALUE"""),"ord_30878")</f>
        <v>ord_30878</v>
      </c>
      <c r="B887" s="18" t="str">
        <f>IFERROR(__xludf.DUMMYFUNCTION("""COMPUTED_VALUE"""),"Pranav Joshi")</f>
        <v>Pranav Joshi</v>
      </c>
      <c r="C887" s="18" t="str">
        <f>IFERROR(__xludf.DUMMYFUNCTION("""COMPUTED_VALUE"""),"Andheri")</f>
        <v>Andheri</v>
      </c>
      <c r="D887" s="18" t="str">
        <f>IFERROR(__xludf.DUMMYFUNCTION("""COMPUTED_VALUE"""),"Cold Coffee")</f>
        <v>Cold Coffee</v>
      </c>
      <c r="E887" s="18">
        <f>IFERROR(__xludf.DUMMYFUNCTION("""COMPUTED_VALUE"""),5.0)</f>
        <v>5</v>
      </c>
      <c r="F887" s="18" t="str">
        <f>IFERROR(__xludf.DUMMYFUNCTION("""COMPUTED_VALUE"""),"Vivek Kumar")</f>
        <v>Vivek Kumar</v>
      </c>
      <c r="G887" s="19">
        <f>IFERROR(__xludf.DUMMYFUNCTION("""COMPUTED_VALUE"""),45098.0)</f>
        <v>45098</v>
      </c>
      <c r="H887" s="18" t="str">
        <f>IFERROR(__xludf.DUMMYFUNCTION("""COMPUTED_VALUE"""),"COD")</f>
        <v>COD</v>
      </c>
      <c r="I887" s="18" t="str">
        <f>IFERROR(__xludf.DUMMYFUNCTION("""COMPUTED_VALUE"""),"Delivered")</f>
        <v>Delivered</v>
      </c>
      <c r="J887" s="18" t="str">
        <f>IFERROR(__xludf.DUMMYFUNCTION("""COMPUTED_VALUE"""),"On-time Delivery")</f>
        <v>On-time Delivery</v>
      </c>
      <c r="K887" s="18" t="str">
        <f>IFERROR(__xludf.DUMMYFUNCTION("""COMPUTED_VALUE"""),"Delivered on time")</f>
        <v>Delivered on time</v>
      </c>
      <c r="L887" s="18">
        <f>iferror(VLOOKUP($D887,Details!$A$2:$C$11,2,false),vlookup($D887,Details!$E$2:$G$11,2,false))</f>
        <v>270</v>
      </c>
      <c r="M887" s="18" t="str">
        <f>iferror(VLOOKUP($D887,Details!$A$2:$C$11,3,false),vlookup($D887,Details!$E$2:$G$11,3,false))</f>
        <v>Snacks and Drinks</v>
      </c>
      <c r="N887" s="18">
        <f t="shared" si="1"/>
        <v>1350</v>
      </c>
      <c r="O887" s="17"/>
      <c r="P887" s="17"/>
      <c r="Q887" s="17"/>
      <c r="R887" s="17"/>
      <c r="S887" s="17"/>
      <c r="T887" s="17"/>
      <c r="U887" s="17"/>
      <c r="V887" s="17"/>
      <c r="W887" s="17"/>
      <c r="X887" s="17"/>
      <c r="Y887" s="17"/>
      <c r="Z887" s="17"/>
    </row>
    <row r="888">
      <c r="A888" s="18" t="str">
        <f>IFERROR(__xludf.DUMMYFUNCTION("""COMPUTED_VALUE"""),"ord_30879")</f>
        <v>ord_30879</v>
      </c>
      <c r="B888" s="18" t="str">
        <f>IFERROR(__xludf.DUMMYFUNCTION("""COMPUTED_VALUE"""),"Pranav Joshi")</f>
        <v>Pranav Joshi</v>
      </c>
      <c r="C888" s="18" t="str">
        <f>IFERROR(__xludf.DUMMYFUNCTION("""COMPUTED_VALUE"""),"Andheri")</f>
        <v>Andheri</v>
      </c>
      <c r="D888" s="18" t="str">
        <f>IFERROR(__xludf.DUMMYFUNCTION("""COMPUTED_VALUE"""),"Cold Coffee")</f>
        <v>Cold Coffee</v>
      </c>
      <c r="E888" s="18">
        <f>IFERROR(__xludf.DUMMYFUNCTION("""COMPUTED_VALUE"""),1.0)</f>
        <v>1</v>
      </c>
      <c r="F888" s="18" t="str">
        <f>IFERROR(__xludf.DUMMYFUNCTION("""COMPUTED_VALUE"""),"Sita T")</f>
        <v>Sita T</v>
      </c>
      <c r="G888" s="19">
        <f>IFERROR(__xludf.DUMMYFUNCTION("""COMPUTED_VALUE"""),45035.0)</f>
        <v>45035</v>
      </c>
      <c r="H888" s="18" t="str">
        <f>IFERROR(__xludf.DUMMYFUNCTION("""COMPUTED_VALUE"""),"Online Payment")</f>
        <v>Online Payment</v>
      </c>
      <c r="I888" s="18" t="str">
        <f>IFERROR(__xludf.DUMMYFUNCTION("""COMPUTED_VALUE"""),"Delivered")</f>
        <v>Delivered</v>
      </c>
      <c r="J888" s="18" t="str">
        <f>IFERROR(__xludf.DUMMYFUNCTION("""COMPUTED_VALUE"""),"Quality of Items")</f>
        <v>Quality of Items</v>
      </c>
      <c r="K888" s="18" t="str">
        <f>IFERROR(__xludf.DUMMYFUNCTION("""COMPUTED_VALUE"""),"Perfect condition")</f>
        <v>Perfect condition</v>
      </c>
      <c r="L888" s="18">
        <f>iferror(VLOOKUP($D888,Details!$A$2:$C$11,2,false),vlookup($D888,Details!$E$2:$G$11,2,false))</f>
        <v>270</v>
      </c>
      <c r="M888" s="18" t="str">
        <f>iferror(VLOOKUP($D888,Details!$A$2:$C$11,3,false),vlookup($D888,Details!$E$2:$G$11,3,false))</f>
        <v>Snacks and Drinks</v>
      </c>
      <c r="N888" s="18">
        <f t="shared" si="1"/>
        <v>270</v>
      </c>
      <c r="O888" s="17"/>
      <c r="P888" s="17"/>
      <c r="Q888" s="17"/>
      <c r="R888" s="17"/>
      <c r="S888" s="17"/>
      <c r="T888" s="17"/>
      <c r="U888" s="17"/>
      <c r="V888" s="17"/>
      <c r="W888" s="17"/>
      <c r="X888" s="17"/>
      <c r="Y888" s="17"/>
      <c r="Z888" s="17"/>
    </row>
    <row r="889">
      <c r="A889" s="18" t="str">
        <f>IFERROR(__xludf.DUMMYFUNCTION("""COMPUTED_VALUE"""),"ord_30880")</f>
        <v>ord_30880</v>
      </c>
      <c r="B889" s="18" t="str">
        <f>IFERROR(__xludf.DUMMYFUNCTION("""COMPUTED_VALUE"""),"Dev Chauhan")</f>
        <v>Dev Chauhan</v>
      </c>
      <c r="C889" s="18" t="str">
        <f>IFERROR(__xludf.DUMMYFUNCTION("""COMPUTED_VALUE"""),"Bandra")</f>
        <v>Bandra</v>
      </c>
      <c r="D889" s="18" t="str">
        <f>IFERROR(__xludf.DUMMYFUNCTION("""COMPUTED_VALUE"""),"Banana")</f>
        <v>Banana</v>
      </c>
      <c r="E889" s="18">
        <f>IFERROR(__xludf.DUMMYFUNCTION("""COMPUTED_VALUE"""),2.0)</f>
        <v>2</v>
      </c>
      <c r="F889" s="18" t="str">
        <f>IFERROR(__xludf.DUMMYFUNCTION("""COMPUTED_VALUE"""),"Sita T")</f>
        <v>Sita T</v>
      </c>
      <c r="G889" s="19">
        <f>IFERROR(__xludf.DUMMYFUNCTION("""COMPUTED_VALUE"""),44989.0)</f>
        <v>44989</v>
      </c>
      <c r="H889" s="18" t="str">
        <f>IFERROR(__xludf.DUMMYFUNCTION("""COMPUTED_VALUE"""),"COD")</f>
        <v>COD</v>
      </c>
      <c r="I889" s="18" t="str">
        <f>IFERROR(__xludf.DUMMYFUNCTION("""COMPUTED_VALUE"""),"Delivered")</f>
        <v>Delivered</v>
      </c>
      <c r="J889" s="18" t="str">
        <f>IFERROR(__xludf.DUMMYFUNCTION("""COMPUTED_VALUE"""),"On-time Delivery")</f>
        <v>On-time Delivery</v>
      </c>
      <c r="K889" s="18" t="str">
        <f>IFERROR(__xludf.DUMMYFUNCTION("""COMPUTED_VALUE"""),"Delivered on time")</f>
        <v>Delivered on time</v>
      </c>
      <c r="L889" s="18">
        <f>iferror(VLOOKUP($D889,Details!$A$2:$C$11,2,false),vlookup($D889,Details!$E$2:$G$11,2,false))</f>
        <v>80</v>
      </c>
      <c r="M889" s="18" t="str">
        <f>iferror(VLOOKUP($D889,Details!$A$2:$C$11,3,false),vlookup($D889,Details!$E$2:$G$11,3,false))</f>
        <v>Fruits and Vegetables</v>
      </c>
      <c r="N889" s="18">
        <f t="shared" si="1"/>
        <v>160</v>
      </c>
      <c r="O889" s="17"/>
      <c r="P889" s="17"/>
      <c r="Q889" s="17"/>
      <c r="R889" s="17"/>
      <c r="S889" s="17"/>
      <c r="T889" s="17"/>
      <c r="U889" s="17"/>
      <c r="V889" s="17"/>
      <c r="W889" s="17"/>
      <c r="X889" s="17"/>
      <c r="Y889" s="17"/>
      <c r="Z889" s="17"/>
    </row>
    <row r="890">
      <c r="A890" s="18" t="str">
        <f>IFERROR(__xludf.DUMMYFUNCTION("""COMPUTED_VALUE"""),"ord_30881")</f>
        <v>ord_30881</v>
      </c>
      <c r="B890" s="18" t="str">
        <f>IFERROR(__xludf.DUMMYFUNCTION("""COMPUTED_VALUE"""),"Kritika Shetty")</f>
        <v>Kritika Shetty</v>
      </c>
      <c r="C890" s="18" t="str">
        <f>IFERROR(__xludf.DUMMYFUNCTION("""COMPUTED_VALUE"""),"Malad")</f>
        <v>Malad</v>
      </c>
      <c r="D890" s="18" t="str">
        <f>IFERROR(__xludf.DUMMYFUNCTION("""COMPUTED_VALUE"""),"Juice")</f>
        <v>Juice</v>
      </c>
      <c r="E890" s="18">
        <f>IFERROR(__xludf.DUMMYFUNCTION("""COMPUTED_VALUE"""),4.0)</f>
        <v>4</v>
      </c>
      <c r="F890" s="18" t="str">
        <f>IFERROR(__xludf.DUMMYFUNCTION("""COMPUTED_VALUE"""),"Rohan Yadav")</f>
        <v>Rohan Yadav</v>
      </c>
      <c r="G890" s="19">
        <f>IFERROR(__xludf.DUMMYFUNCTION("""COMPUTED_VALUE"""),45115.0)</f>
        <v>45115</v>
      </c>
      <c r="H890" s="18" t="str">
        <f>IFERROR(__xludf.DUMMYFUNCTION("""COMPUTED_VALUE"""),"UPI")</f>
        <v>UPI</v>
      </c>
      <c r="I890" s="18" t="str">
        <f>IFERROR(__xludf.DUMMYFUNCTION("""COMPUTED_VALUE"""),"Cancelled")</f>
        <v>Cancelled</v>
      </c>
      <c r="J890" s="18" t="str">
        <f>IFERROR(__xludf.DUMMYFUNCTION("""COMPUTED_VALUE"""),"Delayed Delivery")</f>
        <v>Delayed Delivery</v>
      </c>
      <c r="K890" s="18" t="str">
        <f>IFERROR(__xludf.DUMMYFUNCTION("""COMPUTED_VALUE"""),"Heavy Traffic")</f>
        <v>Heavy Traffic</v>
      </c>
      <c r="L890" s="18">
        <f>iferror(VLOOKUP($D890,Details!$A$2:$C$11,2,false),vlookup($D890,Details!$E$2:$G$11,2,false))</f>
        <v>90</v>
      </c>
      <c r="M890" s="18" t="str">
        <f>iferror(VLOOKUP($D890,Details!$A$2:$C$11,3,false),vlookup($D890,Details!$E$2:$G$11,3,false))</f>
        <v>Snacks and Drinks</v>
      </c>
      <c r="N890" s="18">
        <f t="shared" si="1"/>
        <v>360</v>
      </c>
      <c r="O890" s="17"/>
      <c r="P890" s="17"/>
      <c r="Q890" s="17"/>
      <c r="R890" s="17"/>
      <c r="S890" s="17"/>
      <c r="T890" s="17"/>
      <c r="U890" s="17"/>
      <c r="V890" s="17"/>
      <c r="W890" s="17"/>
      <c r="X890" s="17"/>
      <c r="Y890" s="17"/>
      <c r="Z890" s="17"/>
    </row>
    <row r="891">
      <c r="A891" s="18" t="str">
        <f>IFERROR(__xludf.DUMMYFUNCTION("""COMPUTED_VALUE"""),"ord_30882")</f>
        <v>ord_30882</v>
      </c>
      <c r="B891" s="18" t="str">
        <f>IFERROR(__xludf.DUMMYFUNCTION("""COMPUTED_VALUE"""),"Pranav Joshi")</f>
        <v>Pranav Joshi</v>
      </c>
      <c r="C891" s="18" t="str">
        <f>IFERROR(__xludf.DUMMYFUNCTION("""COMPUTED_VALUE"""),"Andheri")</f>
        <v>Andheri</v>
      </c>
      <c r="D891" s="18" t="str">
        <f>IFERROR(__xludf.DUMMYFUNCTION("""COMPUTED_VALUE"""),"Chocolate Mousse")</f>
        <v>Chocolate Mousse</v>
      </c>
      <c r="E891" s="18">
        <f>IFERROR(__xludf.DUMMYFUNCTION("""COMPUTED_VALUE"""),4.0)</f>
        <v>4</v>
      </c>
      <c r="F891" s="18" t="str">
        <f>IFERROR(__xludf.DUMMYFUNCTION("""COMPUTED_VALUE"""),"Shine Thomas")</f>
        <v>Shine Thomas</v>
      </c>
      <c r="G891" s="19">
        <f>IFERROR(__xludf.DUMMYFUNCTION("""COMPUTED_VALUE"""),44984.0)</f>
        <v>44984</v>
      </c>
      <c r="H891" s="18" t="str">
        <f>IFERROR(__xludf.DUMMYFUNCTION("""COMPUTED_VALUE"""),"Online Payment")</f>
        <v>Online Payment</v>
      </c>
      <c r="I891" s="18" t="str">
        <f>IFERROR(__xludf.DUMMYFUNCTION("""COMPUTED_VALUE"""),"Delivered")</f>
        <v>Delivered</v>
      </c>
      <c r="J891" s="18" t="str">
        <f>IFERROR(__xludf.DUMMYFUNCTION("""COMPUTED_VALUE"""),"Quality of Items")</f>
        <v>Quality of Items</v>
      </c>
      <c r="K891" s="18" t="str">
        <f>IFERROR(__xludf.DUMMYFUNCTION("""COMPUTED_VALUE"""),"Perfect condition")</f>
        <v>Perfect condition</v>
      </c>
      <c r="L891" s="18">
        <f>iferror(VLOOKUP($D891,Details!$A$2:$C$11,2,false),vlookup($D891,Details!$E$2:$G$11,2,false))</f>
        <v>145</v>
      </c>
      <c r="M891" s="18" t="str">
        <f>iferror(VLOOKUP($D891,Details!$A$2:$C$11,3,false),vlookup($D891,Details!$E$2:$G$11,3,false))</f>
        <v>Snacks and Drinks</v>
      </c>
      <c r="N891" s="18">
        <f t="shared" si="1"/>
        <v>580</v>
      </c>
      <c r="O891" s="17"/>
      <c r="P891" s="17"/>
      <c r="Q891" s="17"/>
      <c r="R891" s="17"/>
      <c r="S891" s="17"/>
      <c r="T891" s="17"/>
      <c r="U891" s="17"/>
      <c r="V891" s="17"/>
      <c r="W891" s="17"/>
      <c r="X891" s="17"/>
      <c r="Y891" s="17"/>
      <c r="Z891" s="17"/>
    </row>
    <row r="892">
      <c r="A892" s="18" t="str">
        <f>IFERROR(__xludf.DUMMYFUNCTION("""COMPUTED_VALUE"""),"ord_30883")</f>
        <v>ord_30883</v>
      </c>
      <c r="B892" s="18" t="str">
        <f>IFERROR(__xludf.DUMMYFUNCTION("""COMPUTED_VALUE"""),"Pallavi Ghosh")</f>
        <v>Pallavi Ghosh</v>
      </c>
      <c r="C892" s="18" t="str">
        <f>IFERROR(__xludf.DUMMYFUNCTION("""COMPUTED_VALUE"""),"Bandra")</f>
        <v>Bandra</v>
      </c>
      <c r="D892" s="18" t="str">
        <f>IFERROR(__xludf.DUMMYFUNCTION("""COMPUTED_VALUE"""),"Chocolate Mousse")</f>
        <v>Chocolate Mousse</v>
      </c>
      <c r="E892" s="18">
        <f>IFERROR(__xludf.DUMMYFUNCTION("""COMPUTED_VALUE"""),4.0)</f>
        <v>4</v>
      </c>
      <c r="F892" s="18" t="str">
        <f>IFERROR(__xludf.DUMMYFUNCTION("""COMPUTED_VALUE"""),"Sita T")</f>
        <v>Sita T</v>
      </c>
      <c r="G892" s="19">
        <f>IFERROR(__xludf.DUMMYFUNCTION("""COMPUTED_VALUE"""),45207.0)</f>
        <v>45207</v>
      </c>
      <c r="H892" s="18" t="str">
        <f>IFERROR(__xludf.DUMMYFUNCTION("""COMPUTED_VALUE"""),"COD")</f>
        <v>COD</v>
      </c>
      <c r="I892" s="18" t="str">
        <f>IFERROR(__xludf.DUMMYFUNCTION("""COMPUTED_VALUE"""),"Delivered")</f>
        <v>Delivered</v>
      </c>
      <c r="J892" s="18" t="str">
        <f>IFERROR(__xludf.DUMMYFUNCTION("""COMPUTED_VALUE"""),"Packaging")</f>
        <v>Packaging</v>
      </c>
      <c r="K892" s="18" t="str">
        <f>IFERROR(__xludf.DUMMYFUNCTION("""COMPUTED_VALUE"""),"Secure and intact")</f>
        <v>Secure and intact</v>
      </c>
      <c r="L892" s="18">
        <f>iferror(VLOOKUP($D892,Details!$A$2:$C$11,2,false),vlookup($D892,Details!$E$2:$G$11,2,false))</f>
        <v>145</v>
      </c>
      <c r="M892" s="18" t="str">
        <f>iferror(VLOOKUP($D892,Details!$A$2:$C$11,3,false),vlookup($D892,Details!$E$2:$G$11,3,false))</f>
        <v>Snacks and Drinks</v>
      </c>
      <c r="N892" s="18">
        <f t="shared" si="1"/>
        <v>580</v>
      </c>
      <c r="O892" s="17"/>
      <c r="P892" s="17"/>
      <c r="Q892" s="17"/>
      <c r="R892" s="17"/>
      <c r="S892" s="17"/>
      <c r="T892" s="17"/>
      <c r="U892" s="17"/>
      <c r="V892" s="17"/>
      <c r="W892" s="17"/>
      <c r="X892" s="17"/>
      <c r="Y892" s="17"/>
      <c r="Z892" s="17"/>
    </row>
    <row r="893">
      <c r="A893" s="18" t="str">
        <f>IFERROR(__xludf.DUMMYFUNCTION("""COMPUTED_VALUE"""),"ord_30884")</f>
        <v>ord_30884</v>
      </c>
      <c r="B893" s="18" t="str">
        <f>IFERROR(__xludf.DUMMYFUNCTION("""COMPUTED_VALUE"""),"Pranav Joshi")</f>
        <v>Pranav Joshi</v>
      </c>
      <c r="C893" s="18" t="str">
        <f>IFERROR(__xludf.DUMMYFUNCTION("""COMPUTED_VALUE"""),"Andheri")</f>
        <v>Andheri</v>
      </c>
      <c r="D893" s="18" t="str">
        <f>IFERROR(__xludf.DUMMYFUNCTION("""COMPUTED_VALUE"""),"Cucumber")</f>
        <v>Cucumber</v>
      </c>
      <c r="E893" s="18">
        <f>IFERROR(__xludf.DUMMYFUNCTION("""COMPUTED_VALUE"""),1.0)</f>
        <v>1</v>
      </c>
      <c r="F893" s="18" t="str">
        <f>IFERROR(__xludf.DUMMYFUNCTION("""COMPUTED_VALUE"""),"Vivek Kumar")</f>
        <v>Vivek Kumar</v>
      </c>
      <c r="G893" s="19">
        <f>IFERROR(__xludf.DUMMYFUNCTION("""COMPUTED_VALUE"""),44969.0)</f>
        <v>44969</v>
      </c>
      <c r="H893" s="18" t="str">
        <f>IFERROR(__xludf.DUMMYFUNCTION("""COMPUTED_VALUE"""),"Credit Card")</f>
        <v>Credit Card</v>
      </c>
      <c r="I893" s="18" t="str">
        <f>IFERROR(__xludf.DUMMYFUNCTION("""COMPUTED_VALUE"""),"Delivered")</f>
        <v>Delivered</v>
      </c>
      <c r="J893" s="18" t="str">
        <f>IFERROR(__xludf.DUMMYFUNCTION("""COMPUTED_VALUE"""),"Satisfied with the Delivery")</f>
        <v>Satisfied with the Delivery</v>
      </c>
      <c r="K893" s="18" t="str">
        <f>IFERROR(__xludf.DUMMYFUNCTION("""COMPUTED_VALUE"""),"Timely and quality")</f>
        <v>Timely and quality</v>
      </c>
      <c r="L893" s="18">
        <f>iferror(VLOOKUP($D893,Details!$A$2:$C$11,2,false),vlookup($D893,Details!$E$2:$G$11,2,false))</f>
        <v>30</v>
      </c>
      <c r="M893" s="18" t="str">
        <f>iferror(VLOOKUP($D893,Details!$A$2:$C$11,3,false),vlookup($D893,Details!$E$2:$G$11,3,false))</f>
        <v>Fruits and Vegetables</v>
      </c>
      <c r="N893" s="18">
        <f t="shared" si="1"/>
        <v>30</v>
      </c>
      <c r="O893" s="17"/>
      <c r="P893" s="17"/>
      <c r="Q893" s="17"/>
      <c r="R893" s="17"/>
      <c r="S893" s="17"/>
      <c r="T893" s="17"/>
      <c r="U893" s="17"/>
      <c r="V893" s="17"/>
      <c r="W893" s="17"/>
      <c r="X893" s="17"/>
      <c r="Y893" s="17"/>
      <c r="Z893" s="17"/>
    </row>
    <row r="894">
      <c r="A894" s="18" t="str">
        <f>IFERROR(__xludf.DUMMYFUNCTION("""COMPUTED_VALUE"""),"ord_30885")</f>
        <v>ord_30885</v>
      </c>
      <c r="B894" s="18" t="str">
        <f>IFERROR(__xludf.DUMMYFUNCTION("""COMPUTED_VALUE"""),"Mehul Thakkar")</f>
        <v>Mehul Thakkar</v>
      </c>
      <c r="C894" s="18" t="str">
        <f>IFERROR(__xludf.DUMMYFUNCTION("""COMPUTED_VALUE"""),"Malad")</f>
        <v>Malad</v>
      </c>
      <c r="D894" s="18" t="str">
        <f>IFERROR(__xludf.DUMMYFUNCTION("""COMPUTED_VALUE"""),"Cucumber")</f>
        <v>Cucumber</v>
      </c>
      <c r="E894" s="18">
        <f>IFERROR(__xludf.DUMMYFUNCTION("""COMPUTED_VALUE"""),1.0)</f>
        <v>1</v>
      </c>
      <c r="F894" s="18" t="str">
        <f>IFERROR(__xludf.DUMMYFUNCTION("""COMPUTED_VALUE"""),"Not Assigned")</f>
        <v>Not Assigned</v>
      </c>
      <c r="G894" s="19">
        <f>IFERROR(__xludf.DUMMYFUNCTION("""COMPUTED_VALUE"""),45202.0)</f>
        <v>45202</v>
      </c>
      <c r="H894" s="18" t="str">
        <f>IFERROR(__xludf.DUMMYFUNCTION("""COMPUTED_VALUE"""),"Online Payment")</f>
        <v>Online Payment</v>
      </c>
      <c r="I894" s="18" t="str">
        <f>IFERROR(__xludf.DUMMYFUNCTION("""COMPUTED_VALUE"""),"Cancelled")</f>
        <v>Cancelled</v>
      </c>
      <c r="J894" s="18" t="str">
        <f>IFERROR(__xludf.DUMMYFUNCTION("""COMPUTED_VALUE"""),"Out of Stock")</f>
        <v>Out of Stock</v>
      </c>
      <c r="K894" s="18"/>
      <c r="L894" s="18">
        <f>iferror(VLOOKUP($D894,Details!$A$2:$C$11,2,false),vlookup($D894,Details!$E$2:$G$11,2,false))</f>
        <v>30</v>
      </c>
      <c r="M894" s="18" t="str">
        <f>iferror(VLOOKUP($D894,Details!$A$2:$C$11,3,false),vlookup($D894,Details!$E$2:$G$11,3,false))</f>
        <v>Fruits and Vegetables</v>
      </c>
      <c r="N894" s="18">
        <f t="shared" si="1"/>
        <v>30</v>
      </c>
      <c r="O894" s="17"/>
      <c r="P894" s="17"/>
      <c r="Q894" s="17"/>
      <c r="R894" s="17"/>
      <c r="S894" s="17"/>
      <c r="T894" s="17"/>
      <c r="U894" s="17"/>
      <c r="V894" s="17"/>
      <c r="W894" s="17"/>
      <c r="X894" s="17"/>
      <c r="Y894" s="17"/>
      <c r="Z894" s="17"/>
    </row>
    <row r="895">
      <c r="A895" s="18" t="str">
        <f>IFERROR(__xludf.DUMMYFUNCTION("""COMPUTED_VALUE"""),"ord_30886")</f>
        <v>ord_30886</v>
      </c>
      <c r="B895" s="18" t="str">
        <f>IFERROR(__xludf.DUMMYFUNCTION("""COMPUTED_VALUE"""),"Aarav Mehta")</f>
        <v>Aarav Mehta</v>
      </c>
      <c r="C895" s="18" t="str">
        <f>IFERROR(__xludf.DUMMYFUNCTION("""COMPUTED_VALUE"""),"Andheri")</f>
        <v>Andheri</v>
      </c>
      <c r="D895" s="18" t="str">
        <f>IFERROR(__xludf.DUMMYFUNCTION("""COMPUTED_VALUE"""),"Apple")</f>
        <v>Apple</v>
      </c>
      <c r="E895" s="18">
        <f>IFERROR(__xludf.DUMMYFUNCTION("""COMPUTED_VALUE"""),1.0)</f>
        <v>1</v>
      </c>
      <c r="F895" s="18" t="str">
        <f>IFERROR(__xludf.DUMMYFUNCTION("""COMPUTED_VALUE"""),"Shine Thomas")</f>
        <v>Shine Thomas</v>
      </c>
      <c r="G895" s="19">
        <f>IFERROR(__xludf.DUMMYFUNCTION("""COMPUTED_VALUE"""),45251.0)</f>
        <v>45251</v>
      </c>
      <c r="H895" s="18" t="str">
        <f>IFERROR(__xludf.DUMMYFUNCTION("""COMPUTED_VALUE"""),"COD")</f>
        <v>COD</v>
      </c>
      <c r="I895" s="18" t="str">
        <f>IFERROR(__xludf.DUMMYFUNCTION("""COMPUTED_VALUE"""),"Delivered")</f>
        <v>Delivered</v>
      </c>
      <c r="J895" s="18" t="str">
        <f>IFERROR(__xludf.DUMMYFUNCTION("""COMPUTED_VALUE"""),"Customer Service")</f>
        <v>Customer Service</v>
      </c>
      <c r="K895" s="18" t="str">
        <f>IFERROR(__xludf.DUMMYFUNCTION("""COMPUTED_VALUE"""),"Seamless and easy")</f>
        <v>Seamless and easy</v>
      </c>
      <c r="L895" s="18">
        <f>iferror(VLOOKUP($D895,Details!$A$2:$C$11,2,false),vlookup($D895,Details!$E$2:$G$11,2,false))</f>
        <v>230</v>
      </c>
      <c r="M895" s="18" t="str">
        <f>iferror(VLOOKUP($D895,Details!$A$2:$C$11,3,false),vlookup($D895,Details!$E$2:$G$11,3,false))</f>
        <v>Fruits and Vegetables</v>
      </c>
      <c r="N895" s="18">
        <f t="shared" si="1"/>
        <v>230</v>
      </c>
      <c r="O895" s="17"/>
      <c r="P895" s="17"/>
      <c r="Q895" s="17"/>
      <c r="R895" s="17"/>
      <c r="S895" s="17"/>
      <c r="T895" s="17"/>
      <c r="U895" s="17"/>
      <c r="V895" s="17"/>
      <c r="W895" s="17"/>
      <c r="X895" s="17"/>
      <c r="Y895" s="17"/>
      <c r="Z895" s="17"/>
    </row>
    <row r="896">
      <c r="A896" s="18" t="str">
        <f>IFERROR(__xludf.DUMMYFUNCTION("""COMPUTED_VALUE"""),"ord_30887")</f>
        <v>ord_30887</v>
      </c>
      <c r="B896" s="18" t="str">
        <f>IFERROR(__xludf.DUMMYFUNCTION("""COMPUTED_VALUE"""),"Siya Reddy")</f>
        <v>Siya Reddy</v>
      </c>
      <c r="C896" s="18" t="str">
        <f>IFERROR(__xludf.DUMMYFUNCTION("""COMPUTED_VALUE"""),"Juhu")</f>
        <v>Juhu</v>
      </c>
      <c r="D896" s="18" t="str">
        <f>IFERROR(__xludf.DUMMYFUNCTION("""COMPUTED_VALUE"""),"Tiramisu")</f>
        <v>Tiramisu</v>
      </c>
      <c r="E896" s="18">
        <f>IFERROR(__xludf.DUMMYFUNCTION("""COMPUTED_VALUE"""),4.0)</f>
        <v>4</v>
      </c>
      <c r="F896" s="18" t="str">
        <f>IFERROR(__xludf.DUMMYFUNCTION("""COMPUTED_VALUE"""),"Sita T")</f>
        <v>Sita T</v>
      </c>
      <c r="G896" s="19">
        <f>IFERROR(__xludf.DUMMYFUNCTION("""COMPUTED_VALUE"""),45180.0)</f>
        <v>45180</v>
      </c>
      <c r="H896" s="18" t="str">
        <f>IFERROR(__xludf.DUMMYFUNCTION("""COMPUTED_VALUE"""),"Credit Card")</f>
        <v>Credit Card</v>
      </c>
      <c r="I896" s="18" t="str">
        <f>IFERROR(__xludf.DUMMYFUNCTION("""COMPUTED_VALUE"""),"Cancelled")</f>
        <v>Cancelled</v>
      </c>
      <c r="J896" s="18" t="str">
        <f>IFERROR(__xludf.DUMMYFUNCTION("""COMPUTED_VALUE"""),"Delayed Delivery")</f>
        <v>Delayed Delivery</v>
      </c>
      <c r="K896" s="18" t="str">
        <f>IFERROR(__xludf.DUMMYFUNCTION("""COMPUTED_VALUE"""),"Bad Weather Conditions")</f>
        <v>Bad Weather Conditions</v>
      </c>
      <c r="L896" s="18">
        <f>iferror(VLOOKUP($D896,Details!$A$2:$C$11,2,false),vlookup($D896,Details!$E$2:$G$11,2,false))</f>
        <v>150</v>
      </c>
      <c r="M896" s="18" t="str">
        <f>iferror(VLOOKUP($D896,Details!$A$2:$C$11,3,false),vlookup($D896,Details!$E$2:$G$11,3,false))</f>
        <v>Snacks and Drinks</v>
      </c>
      <c r="N896" s="18">
        <f t="shared" si="1"/>
        <v>600</v>
      </c>
      <c r="O896" s="17"/>
      <c r="P896" s="17"/>
      <c r="Q896" s="17"/>
      <c r="R896" s="17"/>
      <c r="S896" s="17"/>
      <c r="T896" s="17"/>
      <c r="U896" s="17"/>
      <c r="V896" s="17"/>
      <c r="W896" s="17"/>
      <c r="X896" s="17"/>
      <c r="Y896" s="17"/>
      <c r="Z896" s="17"/>
    </row>
    <row r="897">
      <c r="A897" s="18" t="str">
        <f>IFERROR(__xludf.DUMMYFUNCTION("""COMPUTED_VALUE"""),"ord_30888")</f>
        <v>ord_30888</v>
      </c>
      <c r="B897" s="18" t="str">
        <f>IFERROR(__xludf.DUMMYFUNCTION("""COMPUTED_VALUE"""),"Diya Arora")</f>
        <v>Diya Arora</v>
      </c>
      <c r="C897" s="18" t="str">
        <f>IFERROR(__xludf.DUMMYFUNCTION("""COMPUTED_VALUE"""),"Lower Parel")</f>
        <v>Lower Parel</v>
      </c>
      <c r="D897" s="18" t="str">
        <f>IFERROR(__xludf.DUMMYFUNCTION("""COMPUTED_VALUE"""),"Cold Coffee")</f>
        <v>Cold Coffee</v>
      </c>
      <c r="E897" s="18">
        <f>IFERROR(__xludf.DUMMYFUNCTION("""COMPUTED_VALUE"""),2.0)</f>
        <v>2</v>
      </c>
      <c r="F897" s="18" t="str">
        <f>IFERROR(__xludf.DUMMYFUNCTION("""COMPUTED_VALUE"""),"Ramesh S")</f>
        <v>Ramesh S</v>
      </c>
      <c r="G897" s="19">
        <f>IFERROR(__xludf.DUMMYFUNCTION("""COMPUTED_VALUE"""),45129.0)</f>
        <v>45129</v>
      </c>
      <c r="H897" s="18" t="str">
        <f>IFERROR(__xludf.DUMMYFUNCTION("""COMPUTED_VALUE"""),"UPI")</f>
        <v>UPI</v>
      </c>
      <c r="I897" s="18" t="str">
        <f>IFERROR(__xludf.DUMMYFUNCTION("""COMPUTED_VALUE"""),"Delivered")</f>
        <v>Delivered</v>
      </c>
      <c r="J897" s="18" t="str">
        <f>IFERROR(__xludf.DUMMYFUNCTION("""COMPUTED_VALUE"""),"Delivery Experience")</f>
        <v>Delivery Experience</v>
      </c>
      <c r="K897" s="18" t="str">
        <f>IFERROR(__xludf.DUMMYFUNCTION("""COMPUTED_VALUE"""),"Quick and professional")</f>
        <v>Quick and professional</v>
      </c>
      <c r="L897" s="18">
        <f>iferror(VLOOKUP($D897,Details!$A$2:$C$11,2,false),vlookup($D897,Details!$E$2:$G$11,2,false))</f>
        <v>270</v>
      </c>
      <c r="M897" s="18" t="str">
        <f>iferror(VLOOKUP($D897,Details!$A$2:$C$11,3,false),vlookup($D897,Details!$E$2:$G$11,3,false))</f>
        <v>Snacks and Drinks</v>
      </c>
      <c r="N897" s="18">
        <f t="shared" si="1"/>
        <v>540</v>
      </c>
      <c r="O897" s="17"/>
      <c r="P897" s="17"/>
      <c r="Q897" s="17"/>
      <c r="R897" s="17"/>
      <c r="S897" s="17"/>
      <c r="T897" s="17"/>
      <c r="U897" s="17"/>
      <c r="V897" s="17"/>
      <c r="W897" s="17"/>
      <c r="X897" s="17"/>
      <c r="Y897" s="17"/>
      <c r="Z897" s="17"/>
    </row>
    <row r="898">
      <c r="A898" s="18" t="str">
        <f>IFERROR(__xludf.DUMMYFUNCTION("""COMPUTED_VALUE"""),"ord_30889")</f>
        <v>ord_30889</v>
      </c>
      <c r="B898" s="18" t="str">
        <f>IFERROR(__xludf.DUMMYFUNCTION("""COMPUTED_VALUE"""),"Pallavi Ghosh")</f>
        <v>Pallavi Ghosh</v>
      </c>
      <c r="C898" s="18" t="str">
        <f>IFERROR(__xludf.DUMMYFUNCTION("""COMPUTED_VALUE"""),"Bandra")</f>
        <v>Bandra</v>
      </c>
      <c r="D898" s="18" t="str">
        <f>IFERROR(__xludf.DUMMYFUNCTION("""COMPUTED_VALUE"""),"Chocolate Mousse")</f>
        <v>Chocolate Mousse</v>
      </c>
      <c r="E898" s="18">
        <f>IFERROR(__xludf.DUMMYFUNCTION("""COMPUTED_VALUE"""),3.0)</f>
        <v>3</v>
      </c>
      <c r="F898" s="18" t="str">
        <f>IFERROR(__xludf.DUMMYFUNCTION("""COMPUTED_VALUE"""),"Ram Gopal")</f>
        <v>Ram Gopal</v>
      </c>
      <c r="G898" s="19">
        <f>IFERROR(__xludf.DUMMYFUNCTION("""COMPUTED_VALUE"""),45261.0)</f>
        <v>45261</v>
      </c>
      <c r="H898" s="18" t="str">
        <f>IFERROR(__xludf.DUMMYFUNCTION("""COMPUTED_VALUE"""),"UPI")</f>
        <v>UPI</v>
      </c>
      <c r="I898" s="18" t="str">
        <f>IFERROR(__xludf.DUMMYFUNCTION("""COMPUTED_VALUE"""),"Delivered")</f>
        <v>Delivered</v>
      </c>
      <c r="J898" s="18" t="str">
        <f>IFERROR(__xludf.DUMMYFUNCTION("""COMPUTED_VALUE"""),"Convenience")</f>
        <v>Convenience</v>
      </c>
      <c r="K898" s="18" t="str">
        <f>IFERROR(__xludf.DUMMYFUNCTION("""COMPUTED_VALUE"""),"Easy tracking")</f>
        <v>Easy tracking</v>
      </c>
      <c r="L898" s="18">
        <f>iferror(VLOOKUP($D898,Details!$A$2:$C$11,2,false),vlookup($D898,Details!$E$2:$G$11,2,false))</f>
        <v>145</v>
      </c>
      <c r="M898" s="18" t="str">
        <f>iferror(VLOOKUP($D898,Details!$A$2:$C$11,3,false),vlookup($D898,Details!$E$2:$G$11,3,false))</f>
        <v>Snacks and Drinks</v>
      </c>
      <c r="N898" s="18">
        <f t="shared" si="1"/>
        <v>435</v>
      </c>
      <c r="O898" s="17"/>
      <c r="P898" s="17"/>
      <c r="Q898" s="17"/>
      <c r="R898" s="17"/>
      <c r="S898" s="17"/>
      <c r="T898" s="17"/>
      <c r="U898" s="17"/>
      <c r="V898" s="17"/>
      <c r="W898" s="17"/>
      <c r="X898" s="17"/>
      <c r="Y898" s="17"/>
      <c r="Z898" s="17"/>
    </row>
    <row r="899">
      <c r="A899" s="18" t="str">
        <f>IFERROR(__xludf.DUMMYFUNCTION("""COMPUTED_VALUE"""),"ord_30890")</f>
        <v>ord_30890</v>
      </c>
      <c r="B899" s="18" t="str">
        <f>IFERROR(__xludf.DUMMYFUNCTION("""COMPUTED_VALUE"""),"Tanishq Bansal")</f>
        <v>Tanishq Bansal</v>
      </c>
      <c r="C899" s="18" t="str">
        <f>IFERROR(__xludf.DUMMYFUNCTION("""COMPUTED_VALUE"""),"Powai")</f>
        <v>Powai</v>
      </c>
      <c r="D899" s="18" t="str">
        <f>IFERROR(__xludf.DUMMYFUNCTION("""COMPUTED_VALUE"""),"Cold Coffee")</f>
        <v>Cold Coffee</v>
      </c>
      <c r="E899" s="18">
        <f>IFERROR(__xludf.DUMMYFUNCTION("""COMPUTED_VALUE"""),1.0)</f>
        <v>1</v>
      </c>
      <c r="F899" s="18" t="str">
        <f>IFERROR(__xludf.DUMMYFUNCTION("""COMPUTED_VALUE"""),"Vivek Kumar")</f>
        <v>Vivek Kumar</v>
      </c>
      <c r="G899" s="19">
        <f>IFERROR(__xludf.DUMMYFUNCTION("""COMPUTED_VALUE"""),45164.0)</f>
        <v>45164</v>
      </c>
      <c r="H899" s="18" t="str">
        <f>IFERROR(__xludf.DUMMYFUNCTION("""COMPUTED_VALUE"""),"Credit Card")</f>
        <v>Credit Card</v>
      </c>
      <c r="I899" s="18" t="str">
        <f>IFERROR(__xludf.DUMMYFUNCTION("""COMPUTED_VALUE"""),"Delivered")</f>
        <v>Delivered</v>
      </c>
      <c r="J899" s="18" t="str">
        <f>IFERROR(__xludf.DUMMYFUNCTION("""COMPUTED_VALUE"""),"Overall Satisfaction")</f>
        <v>Overall Satisfaction</v>
      </c>
      <c r="K899" s="18" t="str">
        <f>IFERROR(__xludf.DUMMYFUNCTION("""COMPUTED_VALUE"""),"Great service will order again")</f>
        <v>Great service will order again</v>
      </c>
      <c r="L899" s="18">
        <f>iferror(VLOOKUP($D899,Details!$A$2:$C$11,2,false),vlookup($D899,Details!$E$2:$G$11,2,false))</f>
        <v>270</v>
      </c>
      <c r="M899" s="18" t="str">
        <f>iferror(VLOOKUP($D899,Details!$A$2:$C$11,3,false),vlookup($D899,Details!$E$2:$G$11,3,false))</f>
        <v>Snacks and Drinks</v>
      </c>
      <c r="N899" s="18">
        <f t="shared" si="1"/>
        <v>270</v>
      </c>
      <c r="O899" s="17"/>
      <c r="P899" s="17"/>
      <c r="Q899" s="17"/>
      <c r="R899" s="17"/>
      <c r="S899" s="17"/>
      <c r="T899" s="17"/>
      <c r="U899" s="17"/>
      <c r="V899" s="17"/>
      <c r="W899" s="17"/>
      <c r="X899" s="17"/>
      <c r="Y899" s="17"/>
      <c r="Z899" s="17"/>
    </row>
    <row r="900">
      <c r="A900" s="18" t="str">
        <f>IFERROR(__xludf.DUMMYFUNCTION("""COMPUTED_VALUE"""),"ord_30891")</f>
        <v>ord_30891</v>
      </c>
      <c r="B900" s="18" t="str">
        <f>IFERROR(__xludf.DUMMYFUNCTION("""COMPUTED_VALUE"""),"Mehul Thakkar")</f>
        <v>Mehul Thakkar</v>
      </c>
      <c r="C900" s="18" t="str">
        <f>IFERROR(__xludf.DUMMYFUNCTION("""COMPUTED_VALUE"""),"Malad")</f>
        <v>Malad</v>
      </c>
      <c r="D900" s="18" t="str">
        <f>IFERROR(__xludf.DUMMYFUNCTION("""COMPUTED_VALUE"""),"Chocolate Mousse")</f>
        <v>Chocolate Mousse</v>
      </c>
      <c r="E900" s="18">
        <f>IFERROR(__xludf.DUMMYFUNCTION("""COMPUTED_VALUE"""),1.0)</f>
        <v>1</v>
      </c>
      <c r="F900" s="18" t="str">
        <f>IFERROR(__xludf.DUMMYFUNCTION("""COMPUTED_VALUE"""),"Priya Joshi")</f>
        <v>Priya Joshi</v>
      </c>
      <c r="G900" s="19">
        <f>IFERROR(__xludf.DUMMYFUNCTION("""COMPUTED_VALUE"""),45287.0)</f>
        <v>45287</v>
      </c>
      <c r="H900" s="18" t="str">
        <f>IFERROR(__xludf.DUMMYFUNCTION("""COMPUTED_VALUE"""),"Online Payment")</f>
        <v>Online Payment</v>
      </c>
      <c r="I900" s="18" t="str">
        <f>IFERROR(__xludf.DUMMYFUNCTION("""COMPUTED_VALUE"""),"Cancelled")</f>
        <v>Cancelled</v>
      </c>
      <c r="J900" s="18" t="str">
        <f>IFERROR(__xludf.DUMMYFUNCTION("""COMPUTED_VALUE"""),"Delayed Delivery")</f>
        <v>Delayed Delivery</v>
      </c>
      <c r="K900" s="18" t="str">
        <f>IFERROR(__xludf.DUMMYFUNCTION("""COMPUTED_VALUE"""),"Bad Weather Conditions")</f>
        <v>Bad Weather Conditions</v>
      </c>
      <c r="L900" s="18">
        <f>iferror(VLOOKUP($D900,Details!$A$2:$C$11,2,false),vlookup($D900,Details!$E$2:$G$11,2,false))</f>
        <v>145</v>
      </c>
      <c r="M900" s="18" t="str">
        <f>iferror(VLOOKUP($D900,Details!$A$2:$C$11,3,false),vlookup($D900,Details!$E$2:$G$11,3,false))</f>
        <v>Snacks and Drinks</v>
      </c>
      <c r="N900" s="18">
        <f t="shared" si="1"/>
        <v>145</v>
      </c>
      <c r="O900" s="17"/>
      <c r="P900" s="17"/>
      <c r="Q900" s="17"/>
      <c r="R900" s="17"/>
      <c r="S900" s="17"/>
      <c r="T900" s="17"/>
      <c r="U900" s="17"/>
      <c r="V900" s="17"/>
      <c r="W900" s="17"/>
      <c r="X900" s="17"/>
      <c r="Y900" s="17"/>
      <c r="Z900" s="17"/>
    </row>
    <row r="901">
      <c r="A901" s="18" t="str">
        <f>IFERROR(__xludf.DUMMYFUNCTION("""COMPUTED_VALUE"""),"ord_30892")</f>
        <v>ord_30892</v>
      </c>
      <c r="B901" s="18" t="str">
        <f>IFERROR(__xludf.DUMMYFUNCTION("""COMPUTED_VALUE"""),"Dev Chauhan")</f>
        <v>Dev Chauhan</v>
      </c>
      <c r="C901" s="18" t="str">
        <f>IFERROR(__xludf.DUMMYFUNCTION("""COMPUTED_VALUE"""),"Bandra")</f>
        <v>Bandra</v>
      </c>
      <c r="D901" s="18" t="str">
        <f>IFERROR(__xludf.DUMMYFUNCTION("""COMPUTED_VALUE"""),"Rasmalai")</f>
        <v>Rasmalai</v>
      </c>
      <c r="E901" s="18">
        <f>IFERROR(__xludf.DUMMYFUNCTION("""COMPUTED_VALUE"""),2.0)</f>
        <v>2</v>
      </c>
      <c r="F901" s="18" t="str">
        <f>IFERROR(__xludf.DUMMYFUNCTION("""COMPUTED_VALUE"""),"Shine Thomas")</f>
        <v>Shine Thomas</v>
      </c>
      <c r="G901" s="19">
        <f>IFERROR(__xludf.DUMMYFUNCTION("""COMPUTED_VALUE"""),45265.0)</f>
        <v>45265</v>
      </c>
      <c r="H901" s="18" t="str">
        <f>IFERROR(__xludf.DUMMYFUNCTION("""COMPUTED_VALUE"""),"UPI")</f>
        <v>UPI</v>
      </c>
      <c r="I901" s="18" t="str">
        <f>IFERROR(__xludf.DUMMYFUNCTION("""COMPUTED_VALUE"""),"Delivered")</f>
        <v>Delivered</v>
      </c>
      <c r="J901" s="18" t="str">
        <f>IFERROR(__xludf.DUMMYFUNCTION("""COMPUTED_VALUE"""),"On-time Delivery")</f>
        <v>On-time Delivery</v>
      </c>
      <c r="K901" s="18" t="str">
        <f>IFERROR(__xludf.DUMMYFUNCTION("""COMPUTED_VALUE"""),"Delivered on time")</f>
        <v>Delivered on time</v>
      </c>
      <c r="L901" s="18">
        <f>iferror(VLOOKUP($D901,Details!$A$2:$C$11,2,false),vlookup($D901,Details!$E$2:$G$11,2,false))</f>
        <v>110</v>
      </c>
      <c r="M901" s="18" t="str">
        <f>iferror(VLOOKUP($D901,Details!$A$2:$C$11,3,false),vlookup($D901,Details!$E$2:$G$11,3,false))</f>
        <v>Snacks and Drinks</v>
      </c>
      <c r="N901" s="18">
        <f t="shared" si="1"/>
        <v>220</v>
      </c>
      <c r="O901" s="17"/>
      <c r="P901" s="17"/>
      <c r="Q901" s="17"/>
      <c r="R901" s="17"/>
      <c r="S901" s="17"/>
      <c r="T901" s="17"/>
      <c r="U901" s="17"/>
      <c r="V901" s="17"/>
      <c r="W901" s="17"/>
      <c r="X901" s="17"/>
      <c r="Y901" s="17"/>
      <c r="Z901" s="17"/>
    </row>
    <row r="902">
      <c r="A902" s="18" t="str">
        <f>IFERROR(__xludf.DUMMYFUNCTION("""COMPUTED_VALUE"""),"ord_30893")</f>
        <v>ord_30893</v>
      </c>
      <c r="B902" s="18" t="str">
        <f>IFERROR(__xludf.DUMMYFUNCTION("""COMPUTED_VALUE"""),"Siya Reddy")</f>
        <v>Siya Reddy</v>
      </c>
      <c r="C902" s="18" t="str">
        <f>IFERROR(__xludf.DUMMYFUNCTION("""COMPUTED_VALUE"""),"Juhu")</f>
        <v>Juhu</v>
      </c>
      <c r="D902" s="18" t="str">
        <f>IFERROR(__xludf.DUMMYFUNCTION("""COMPUTED_VALUE"""),"Cucumber")</f>
        <v>Cucumber</v>
      </c>
      <c r="E902" s="18">
        <f>IFERROR(__xludf.DUMMYFUNCTION("""COMPUTED_VALUE"""),1.0)</f>
        <v>1</v>
      </c>
      <c r="F902" s="18" t="str">
        <f>IFERROR(__xludf.DUMMYFUNCTION("""COMPUTED_VALUE"""),"Not Assigned")</f>
        <v>Not Assigned</v>
      </c>
      <c r="G902" s="19">
        <f>IFERROR(__xludf.DUMMYFUNCTION("""COMPUTED_VALUE"""),45269.0)</f>
        <v>45269</v>
      </c>
      <c r="H902" s="18" t="str">
        <f>IFERROR(__xludf.DUMMYFUNCTION("""COMPUTED_VALUE"""),"Credit Card")</f>
        <v>Credit Card</v>
      </c>
      <c r="I902" s="18" t="str">
        <f>IFERROR(__xludf.DUMMYFUNCTION("""COMPUTED_VALUE"""),"Cancelled")</f>
        <v>Cancelled</v>
      </c>
      <c r="J902" s="18" t="str">
        <f>IFERROR(__xludf.DUMMYFUNCTION("""COMPUTED_VALUE"""),"Out of Stock")</f>
        <v>Out of Stock</v>
      </c>
      <c r="K902" s="18"/>
      <c r="L902" s="18">
        <f>iferror(VLOOKUP($D902,Details!$A$2:$C$11,2,false),vlookup($D902,Details!$E$2:$G$11,2,false))</f>
        <v>30</v>
      </c>
      <c r="M902" s="18" t="str">
        <f>iferror(VLOOKUP($D902,Details!$A$2:$C$11,3,false),vlookup($D902,Details!$E$2:$G$11,3,false))</f>
        <v>Fruits and Vegetables</v>
      </c>
      <c r="N902" s="18">
        <f t="shared" si="1"/>
        <v>30</v>
      </c>
      <c r="O902" s="17"/>
      <c r="P902" s="17"/>
      <c r="Q902" s="17"/>
      <c r="R902" s="17"/>
      <c r="S902" s="17"/>
      <c r="T902" s="17"/>
      <c r="U902" s="17"/>
      <c r="V902" s="17"/>
      <c r="W902" s="17"/>
      <c r="X902" s="17"/>
      <c r="Y902" s="17"/>
      <c r="Z902" s="17"/>
    </row>
    <row r="903">
      <c r="A903" s="18" t="str">
        <f>IFERROR(__xludf.DUMMYFUNCTION("""COMPUTED_VALUE"""),"ord_30894")</f>
        <v>ord_30894</v>
      </c>
      <c r="B903" s="18" t="str">
        <f>IFERROR(__xludf.DUMMYFUNCTION("""COMPUTED_VALUE"""),"Ishaan Chaturvedi")</f>
        <v>Ishaan Chaturvedi</v>
      </c>
      <c r="C903" s="18" t="str">
        <f>IFERROR(__xludf.DUMMYFUNCTION("""COMPUTED_VALUE"""),"Bandra")</f>
        <v>Bandra</v>
      </c>
      <c r="D903" s="18" t="str">
        <f>IFERROR(__xludf.DUMMYFUNCTION("""COMPUTED_VALUE"""),"Potato")</f>
        <v>Potato</v>
      </c>
      <c r="E903" s="18">
        <f>IFERROR(__xludf.DUMMYFUNCTION("""COMPUTED_VALUE"""),1.0)</f>
        <v>1</v>
      </c>
      <c r="F903" s="18" t="str">
        <f>IFERROR(__xludf.DUMMYFUNCTION("""COMPUTED_VALUE"""),"Ramesh S")</f>
        <v>Ramesh S</v>
      </c>
      <c r="G903" s="19">
        <f>IFERROR(__xludf.DUMMYFUNCTION("""COMPUTED_VALUE"""),45215.0)</f>
        <v>45215</v>
      </c>
      <c r="H903" s="18" t="str">
        <f>IFERROR(__xludf.DUMMYFUNCTION("""COMPUTED_VALUE"""),"COD")</f>
        <v>COD</v>
      </c>
      <c r="I903" s="18" t="str">
        <f>IFERROR(__xludf.DUMMYFUNCTION("""COMPUTED_VALUE"""),"Delivered")</f>
        <v>Delivered</v>
      </c>
      <c r="J903" s="18" t="str">
        <f>IFERROR(__xludf.DUMMYFUNCTION("""COMPUTED_VALUE"""),"Quality of Items")</f>
        <v>Quality of Items</v>
      </c>
      <c r="K903" s="18" t="str">
        <f>IFERROR(__xludf.DUMMYFUNCTION("""COMPUTED_VALUE"""),"Perfect condition")</f>
        <v>Perfect condition</v>
      </c>
      <c r="L903" s="18">
        <f>iferror(VLOOKUP($D903,Details!$A$2:$C$11,2,false),vlookup($D903,Details!$E$2:$G$11,2,false))</f>
        <v>55</v>
      </c>
      <c r="M903" s="18" t="str">
        <f>iferror(VLOOKUP($D903,Details!$A$2:$C$11,3,false),vlookup($D903,Details!$E$2:$G$11,3,false))</f>
        <v>Fruits and Vegetables</v>
      </c>
      <c r="N903" s="18">
        <f t="shared" si="1"/>
        <v>55</v>
      </c>
      <c r="O903" s="17"/>
      <c r="P903" s="17"/>
      <c r="Q903" s="17"/>
      <c r="R903" s="17"/>
      <c r="S903" s="17"/>
      <c r="T903" s="17"/>
      <c r="U903" s="17"/>
      <c r="V903" s="17"/>
      <c r="W903" s="17"/>
      <c r="X903" s="17"/>
      <c r="Y903" s="17"/>
      <c r="Z903" s="17"/>
    </row>
    <row r="904">
      <c r="A904" s="18" t="str">
        <f>IFERROR(__xludf.DUMMYFUNCTION("""COMPUTED_VALUE"""),"ord_30895")</f>
        <v>ord_30895</v>
      </c>
      <c r="B904" s="18" t="str">
        <f>IFERROR(__xludf.DUMMYFUNCTION("""COMPUTED_VALUE"""),"Aarav Mehta")</f>
        <v>Aarav Mehta</v>
      </c>
      <c r="C904" s="18" t="str">
        <f>IFERROR(__xludf.DUMMYFUNCTION("""COMPUTED_VALUE"""),"Andheri")</f>
        <v>Andheri</v>
      </c>
      <c r="D904" s="18" t="str">
        <f>IFERROR(__xludf.DUMMYFUNCTION("""COMPUTED_VALUE"""),"Orange")</f>
        <v>Orange</v>
      </c>
      <c r="E904" s="18">
        <f>IFERROR(__xludf.DUMMYFUNCTION("""COMPUTED_VALUE"""),2.0)</f>
        <v>2</v>
      </c>
      <c r="F904" s="18" t="str">
        <f>IFERROR(__xludf.DUMMYFUNCTION("""COMPUTED_VALUE"""),"Vivek Kumar")</f>
        <v>Vivek Kumar</v>
      </c>
      <c r="G904" s="19">
        <f>IFERROR(__xludf.DUMMYFUNCTION("""COMPUTED_VALUE"""),45278.0)</f>
        <v>45278</v>
      </c>
      <c r="H904" s="18" t="str">
        <f>IFERROR(__xludf.DUMMYFUNCTION("""COMPUTED_VALUE"""),"Credit Card")</f>
        <v>Credit Card</v>
      </c>
      <c r="I904" s="18" t="str">
        <f>IFERROR(__xludf.DUMMYFUNCTION("""COMPUTED_VALUE"""),"Delivered")</f>
        <v>Delivered</v>
      </c>
      <c r="J904" s="18" t="str">
        <f>IFERROR(__xludf.DUMMYFUNCTION("""COMPUTED_VALUE"""),"On-time Delivery")</f>
        <v>On-time Delivery</v>
      </c>
      <c r="K904" s="18" t="str">
        <f>IFERROR(__xludf.DUMMYFUNCTION("""COMPUTED_VALUE"""),"Delivered on time")</f>
        <v>Delivered on time</v>
      </c>
      <c r="L904" s="18">
        <f>iferror(VLOOKUP($D904,Details!$A$2:$C$11,2,false),vlookup($D904,Details!$E$2:$G$11,2,false))</f>
        <v>180</v>
      </c>
      <c r="M904" s="18" t="str">
        <f>iferror(VLOOKUP($D904,Details!$A$2:$C$11,3,false),vlookup($D904,Details!$E$2:$G$11,3,false))</f>
        <v>Fruits and Vegetables</v>
      </c>
      <c r="N904" s="18">
        <f t="shared" si="1"/>
        <v>360</v>
      </c>
      <c r="O904" s="17"/>
      <c r="P904" s="17"/>
      <c r="Q904" s="17"/>
      <c r="R904" s="17"/>
      <c r="S904" s="17"/>
      <c r="T904" s="17"/>
      <c r="U904" s="17"/>
      <c r="V904" s="17"/>
      <c r="W904" s="17"/>
      <c r="X904" s="17"/>
      <c r="Y904" s="17"/>
      <c r="Z904" s="17"/>
    </row>
    <row r="905">
      <c r="A905" s="18" t="str">
        <f>IFERROR(__xludf.DUMMYFUNCTION("""COMPUTED_VALUE"""),"ord_30896")</f>
        <v>ord_30896</v>
      </c>
      <c r="B905" s="18" t="str">
        <f>IFERROR(__xludf.DUMMYFUNCTION("""COMPUTED_VALUE"""),"Pallavi Ghosh")</f>
        <v>Pallavi Ghosh</v>
      </c>
      <c r="C905" s="18" t="str">
        <f>IFERROR(__xludf.DUMMYFUNCTION("""COMPUTED_VALUE"""),"Bandra")</f>
        <v>Bandra</v>
      </c>
      <c r="D905" s="18" t="str">
        <f>IFERROR(__xludf.DUMMYFUNCTION("""COMPUTED_VALUE"""),"Veg Puff")</f>
        <v>Veg Puff</v>
      </c>
      <c r="E905" s="18">
        <f>IFERROR(__xludf.DUMMYFUNCTION("""COMPUTED_VALUE"""),4.0)</f>
        <v>4</v>
      </c>
      <c r="F905" s="18" t="str">
        <f>IFERROR(__xludf.DUMMYFUNCTION("""COMPUTED_VALUE"""),"Sita T")</f>
        <v>Sita T</v>
      </c>
      <c r="G905" s="19">
        <f>IFERROR(__xludf.DUMMYFUNCTION("""COMPUTED_VALUE"""),45063.0)</f>
        <v>45063</v>
      </c>
      <c r="H905" s="18" t="str">
        <f>IFERROR(__xludf.DUMMYFUNCTION("""COMPUTED_VALUE"""),"COD")</f>
        <v>COD</v>
      </c>
      <c r="I905" s="18" t="str">
        <f>IFERROR(__xludf.DUMMYFUNCTION("""COMPUTED_VALUE"""),"Delivered")</f>
        <v>Delivered</v>
      </c>
      <c r="J905" s="18" t="str">
        <f>IFERROR(__xludf.DUMMYFUNCTION("""COMPUTED_VALUE"""),"Quality of Items")</f>
        <v>Quality of Items</v>
      </c>
      <c r="K905" s="18" t="str">
        <f>IFERROR(__xludf.DUMMYFUNCTION("""COMPUTED_VALUE"""),"Perfect condition")</f>
        <v>Perfect condition</v>
      </c>
      <c r="L905" s="18">
        <f>iferror(VLOOKUP($D905,Details!$A$2:$C$11,2,false),vlookup($D905,Details!$E$2:$G$11,2,false))</f>
        <v>80</v>
      </c>
      <c r="M905" s="18" t="str">
        <f>iferror(VLOOKUP($D905,Details!$A$2:$C$11,3,false),vlookup($D905,Details!$E$2:$G$11,3,false))</f>
        <v>Snacks and Drinks</v>
      </c>
      <c r="N905" s="18">
        <f t="shared" si="1"/>
        <v>320</v>
      </c>
      <c r="O905" s="17"/>
      <c r="P905" s="17"/>
      <c r="Q905" s="17"/>
      <c r="R905" s="17"/>
      <c r="S905" s="17"/>
      <c r="T905" s="17"/>
      <c r="U905" s="17"/>
      <c r="V905" s="17"/>
      <c r="W905" s="17"/>
      <c r="X905" s="17"/>
      <c r="Y905" s="17"/>
      <c r="Z905" s="17"/>
    </row>
    <row r="906">
      <c r="A906" s="18" t="str">
        <f>IFERROR(__xludf.DUMMYFUNCTION("""COMPUTED_VALUE"""),"ord_30897")</f>
        <v>ord_30897</v>
      </c>
      <c r="B906" s="18" t="str">
        <f>IFERROR(__xludf.DUMMYFUNCTION("""COMPUTED_VALUE"""),"Aarohi Kapoor")</f>
        <v>Aarohi Kapoor</v>
      </c>
      <c r="C906" s="18" t="str">
        <f>IFERROR(__xludf.DUMMYFUNCTION("""COMPUTED_VALUE"""),"Bandra")</f>
        <v>Bandra</v>
      </c>
      <c r="D906" s="18" t="str">
        <f>IFERROR(__xludf.DUMMYFUNCTION("""COMPUTED_VALUE"""),"Juice")</f>
        <v>Juice</v>
      </c>
      <c r="E906" s="18">
        <f>IFERROR(__xludf.DUMMYFUNCTION("""COMPUTED_VALUE"""),2.0)</f>
        <v>2</v>
      </c>
      <c r="F906" s="18" t="str">
        <f>IFERROR(__xludf.DUMMYFUNCTION("""COMPUTED_VALUE"""),"Vivek Kumar")</f>
        <v>Vivek Kumar</v>
      </c>
      <c r="G906" s="19">
        <f>IFERROR(__xludf.DUMMYFUNCTION("""COMPUTED_VALUE"""),45189.0)</f>
        <v>45189</v>
      </c>
      <c r="H906" s="18" t="str">
        <f>IFERROR(__xludf.DUMMYFUNCTION("""COMPUTED_VALUE"""),"Online Payment")</f>
        <v>Online Payment</v>
      </c>
      <c r="I906" s="18" t="str">
        <f>IFERROR(__xludf.DUMMYFUNCTION("""COMPUTED_VALUE"""),"Delivered")</f>
        <v>Delivered</v>
      </c>
      <c r="J906" s="18" t="str">
        <f>IFERROR(__xludf.DUMMYFUNCTION("""COMPUTED_VALUE"""),"Packaging")</f>
        <v>Packaging</v>
      </c>
      <c r="K906" s="18" t="str">
        <f>IFERROR(__xludf.DUMMYFUNCTION("""COMPUTED_VALUE"""),"Secure and intact")</f>
        <v>Secure and intact</v>
      </c>
      <c r="L906" s="18">
        <f>iferror(VLOOKUP($D906,Details!$A$2:$C$11,2,false),vlookup($D906,Details!$E$2:$G$11,2,false))</f>
        <v>90</v>
      </c>
      <c r="M906" s="18" t="str">
        <f>iferror(VLOOKUP($D906,Details!$A$2:$C$11,3,false),vlookup($D906,Details!$E$2:$G$11,3,false))</f>
        <v>Snacks and Drinks</v>
      </c>
      <c r="N906" s="18">
        <f t="shared" si="1"/>
        <v>180</v>
      </c>
      <c r="O906" s="17"/>
      <c r="P906" s="17"/>
      <c r="Q906" s="17"/>
      <c r="R906" s="17"/>
      <c r="S906" s="17"/>
      <c r="T906" s="17"/>
      <c r="U906" s="17"/>
      <c r="V906" s="17"/>
      <c r="W906" s="17"/>
      <c r="X906" s="17"/>
      <c r="Y906" s="17"/>
      <c r="Z906" s="17"/>
    </row>
    <row r="907">
      <c r="A907" s="18" t="str">
        <f>IFERROR(__xludf.DUMMYFUNCTION("""COMPUTED_VALUE"""),"ord_30898")</f>
        <v>ord_30898</v>
      </c>
      <c r="B907" s="18" t="str">
        <f>IFERROR(__xludf.DUMMYFUNCTION("""COMPUTED_VALUE"""),"Pallavi Ghosh")</f>
        <v>Pallavi Ghosh</v>
      </c>
      <c r="C907" s="18" t="str">
        <f>IFERROR(__xludf.DUMMYFUNCTION("""COMPUTED_VALUE"""),"Bandra")</f>
        <v>Bandra</v>
      </c>
      <c r="D907" s="18" t="str">
        <f>IFERROR(__xludf.DUMMYFUNCTION("""COMPUTED_VALUE"""),"Chicken Puff")</f>
        <v>Chicken Puff</v>
      </c>
      <c r="E907" s="18">
        <f>IFERROR(__xludf.DUMMYFUNCTION("""COMPUTED_VALUE"""),3.0)</f>
        <v>3</v>
      </c>
      <c r="F907" s="18" t="str">
        <f>IFERROR(__xludf.DUMMYFUNCTION("""COMPUTED_VALUE"""),"Vivek Kumar")</f>
        <v>Vivek Kumar</v>
      </c>
      <c r="G907" s="19">
        <f>IFERROR(__xludf.DUMMYFUNCTION("""COMPUTED_VALUE"""),44999.0)</f>
        <v>44999</v>
      </c>
      <c r="H907" s="18" t="str">
        <f>IFERROR(__xludf.DUMMYFUNCTION("""COMPUTED_VALUE"""),"Online Payment")</f>
        <v>Online Payment</v>
      </c>
      <c r="I907" s="18" t="str">
        <f>IFERROR(__xludf.DUMMYFUNCTION("""COMPUTED_VALUE"""),"Delivered")</f>
        <v>Delivered</v>
      </c>
      <c r="J907" s="18" t="str">
        <f>IFERROR(__xludf.DUMMYFUNCTION("""COMPUTED_VALUE"""),"Satisfied with the Delivery")</f>
        <v>Satisfied with the Delivery</v>
      </c>
      <c r="K907" s="18" t="str">
        <f>IFERROR(__xludf.DUMMYFUNCTION("""COMPUTED_VALUE"""),"Timely and quality")</f>
        <v>Timely and quality</v>
      </c>
      <c r="L907" s="18">
        <f>iferror(VLOOKUP($D907,Details!$A$2:$C$11,2,false),vlookup($D907,Details!$E$2:$G$11,2,false))</f>
        <v>90</v>
      </c>
      <c r="M907" s="18" t="str">
        <f>iferror(VLOOKUP($D907,Details!$A$2:$C$11,3,false),vlookup($D907,Details!$E$2:$G$11,3,false))</f>
        <v>Snacks and Drinks</v>
      </c>
      <c r="N907" s="18">
        <f t="shared" si="1"/>
        <v>270</v>
      </c>
      <c r="O907" s="17"/>
      <c r="P907" s="17"/>
      <c r="Q907" s="17"/>
      <c r="R907" s="17"/>
      <c r="S907" s="17"/>
      <c r="T907" s="17"/>
      <c r="U907" s="17"/>
      <c r="V907" s="17"/>
      <c r="W907" s="17"/>
      <c r="X907" s="17"/>
      <c r="Y907" s="17"/>
      <c r="Z907" s="17"/>
    </row>
    <row r="908">
      <c r="A908" s="18" t="str">
        <f>IFERROR(__xludf.DUMMYFUNCTION("""COMPUTED_VALUE"""),"ord_30899")</f>
        <v>ord_30899</v>
      </c>
      <c r="B908" s="18" t="str">
        <f>IFERROR(__xludf.DUMMYFUNCTION("""COMPUTED_VALUE"""),"Arvind Kulkarni")</f>
        <v>Arvind Kulkarni</v>
      </c>
      <c r="C908" s="18" t="str">
        <f>IFERROR(__xludf.DUMMYFUNCTION("""COMPUTED_VALUE"""),"Juhu")</f>
        <v>Juhu</v>
      </c>
      <c r="D908" s="18" t="str">
        <f>IFERROR(__xludf.DUMMYFUNCTION("""COMPUTED_VALUE"""),"Chocolate Mousse")</f>
        <v>Chocolate Mousse</v>
      </c>
      <c r="E908" s="18">
        <f>IFERROR(__xludf.DUMMYFUNCTION("""COMPUTED_VALUE"""),3.0)</f>
        <v>3</v>
      </c>
      <c r="F908" s="18" t="str">
        <f>IFERROR(__xludf.DUMMYFUNCTION("""COMPUTED_VALUE"""),"Not Assigned")</f>
        <v>Not Assigned</v>
      </c>
      <c r="G908" s="19">
        <f>IFERROR(__xludf.DUMMYFUNCTION("""COMPUTED_VALUE"""),45086.0)</f>
        <v>45086</v>
      </c>
      <c r="H908" s="18" t="str">
        <f>IFERROR(__xludf.DUMMYFUNCTION("""COMPUTED_VALUE"""),"UPI")</f>
        <v>UPI</v>
      </c>
      <c r="I908" s="18" t="str">
        <f>IFERROR(__xludf.DUMMYFUNCTION("""COMPUTED_VALUE"""),"Cancelled")</f>
        <v>Cancelled</v>
      </c>
      <c r="J908" s="18" t="str">
        <f>IFERROR(__xludf.DUMMYFUNCTION("""COMPUTED_VALUE"""),"Out of Stock")</f>
        <v>Out of Stock</v>
      </c>
      <c r="K908" s="18"/>
      <c r="L908" s="18">
        <f>iferror(VLOOKUP($D908,Details!$A$2:$C$11,2,false),vlookup($D908,Details!$E$2:$G$11,2,false))</f>
        <v>145</v>
      </c>
      <c r="M908" s="18" t="str">
        <f>iferror(VLOOKUP($D908,Details!$A$2:$C$11,3,false),vlookup($D908,Details!$E$2:$G$11,3,false))</f>
        <v>Snacks and Drinks</v>
      </c>
      <c r="N908" s="18">
        <f t="shared" si="1"/>
        <v>435</v>
      </c>
      <c r="O908" s="17"/>
      <c r="P908" s="17"/>
      <c r="Q908" s="17"/>
      <c r="R908" s="17"/>
      <c r="S908" s="17"/>
      <c r="T908" s="17"/>
      <c r="U908" s="17"/>
      <c r="V908" s="17"/>
      <c r="W908" s="17"/>
      <c r="X908" s="17"/>
      <c r="Y908" s="17"/>
      <c r="Z908" s="17"/>
    </row>
    <row r="909">
      <c r="A909" s="18" t="str">
        <f>IFERROR(__xludf.DUMMYFUNCTION("""COMPUTED_VALUE"""),"ord_30900")</f>
        <v>ord_30900</v>
      </c>
      <c r="B909" s="18" t="str">
        <f>IFERROR(__xludf.DUMMYFUNCTION("""COMPUTED_VALUE"""),"Ishaan Chaturvedi")</f>
        <v>Ishaan Chaturvedi</v>
      </c>
      <c r="C909" s="18" t="str">
        <f>IFERROR(__xludf.DUMMYFUNCTION("""COMPUTED_VALUE"""),"Bandra")</f>
        <v>Bandra</v>
      </c>
      <c r="D909" s="18" t="str">
        <f>IFERROR(__xludf.DUMMYFUNCTION("""COMPUTED_VALUE"""),"Icecream")</f>
        <v>Icecream</v>
      </c>
      <c r="E909" s="18">
        <f>IFERROR(__xludf.DUMMYFUNCTION("""COMPUTED_VALUE"""),1.0)</f>
        <v>1</v>
      </c>
      <c r="F909" s="18" t="str">
        <f>IFERROR(__xludf.DUMMYFUNCTION("""COMPUTED_VALUE"""),"Ramesh S")</f>
        <v>Ramesh S</v>
      </c>
      <c r="G909" s="19">
        <f>IFERROR(__xludf.DUMMYFUNCTION("""COMPUTED_VALUE"""),45024.0)</f>
        <v>45024</v>
      </c>
      <c r="H909" s="18" t="str">
        <f>IFERROR(__xludf.DUMMYFUNCTION("""COMPUTED_VALUE"""),"COD")</f>
        <v>COD</v>
      </c>
      <c r="I909" s="18" t="str">
        <f>IFERROR(__xludf.DUMMYFUNCTION("""COMPUTED_VALUE"""),"Delivered")</f>
        <v>Delivered</v>
      </c>
      <c r="J909" s="18" t="str">
        <f>IFERROR(__xludf.DUMMYFUNCTION("""COMPUTED_VALUE"""),"Customer Service")</f>
        <v>Customer Service</v>
      </c>
      <c r="K909" s="18" t="str">
        <f>IFERROR(__xludf.DUMMYFUNCTION("""COMPUTED_VALUE"""),"Seamless and easy")</f>
        <v>Seamless and easy</v>
      </c>
      <c r="L909" s="18">
        <f>iferror(VLOOKUP($D909,Details!$A$2:$C$11,2,false),vlookup($D909,Details!$E$2:$G$11,2,false))</f>
        <v>90</v>
      </c>
      <c r="M909" s="18" t="str">
        <f>iferror(VLOOKUP($D909,Details!$A$2:$C$11,3,false),vlookup($D909,Details!$E$2:$G$11,3,false))</f>
        <v>Snacks and Drinks</v>
      </c>
      <c r="N909" s="18">
        <f t="shared" si="1"/>
        <v>90</v>
      </c>
      <c r="O909" s="17"/>
      <c r="P909" s="17"/>
      <c r="Q909" s="17"/>
      <c r="R909" s="17"/>
      <c r="S909" s="17"/>
      <c r="T909" s="17"/>
      <c r="U909" s="17"/>
      <c r="V909" s="17"/>
      <c r="W909" s="17"/>
      <c r="X909" s="17"/>
      <c r="Y909" s="17"/>
      <c r="Z909" s="17"/>
    </row>
    <row r="910">
      <c r="A910" s="18" t="str">
        <f>IFERROR(__xludf.DUMMYFUNCTION("""COMPUTED_VALUE"""),"ord_30901")</f>
        <v>ord_30901</v>
      </c>
      <c r="B910" s="18" t="str">
        <f>IFERROR(__xludf.DUMMYFUNCTION("""COMPUTED_VALUE"""),"Pranav Joshi")</f>
        <v>Pranav Joshi</v>
      </c>
      <c r="C910" s="18" t="str">
        <f>IFERROR(__xludf.DUMMYFUNCTION("""COMPUTED_VALUE"""),"Andheri")</f>
        <v>Andheri</v>
      </c>
      <c r="D910" s="18" t="str">
        <f>IFERROR(__xludf.DUMMYFUNCTION("""COMPUTED_VALUE"""),"Juice")</f>
        <v>Juice</v>
      </c>
      <c r="E910" s="18">
        <f>IFERROR(__xludf.DUMMYFUNCTION("""COMPUTED_VALUE"""),5.0)</f>
        <v>5</v>
      </c>
      <c r="F910" s="18" t="str">
        <f>IFERROR(__xludf.DUMMYFUNCTION("""COMPUTED_VALUE"""),"Vivek Kumar")</f>
        <v>Vivek Kumar</v>
      </c>
      <c r="G910" s="19">
        <f>IFERROR(__xludf.DUMMYFUNCTION("""COMPUTED_VALUE"""),44984.0)</f>
        <v>44984</v>
      </c>
      <c r="H910" s="18" t="str">
        <f>IFERROR(__xludf.DUMMYFUNCTION("""COMPUTED_VALUE"""),"Credit Card")</f>
        <v>Credit Card</v>
      </c>
      <c r="I910" s="18" t="str">
        <f>IFERROR(__xludf.DUMMYFUNCTION("""COMPUTED_VALUE"""),"Delivered")</f>
        <v>Delivered</v>
      </c>
      <c r="J910" s="18" t="str">
        <f>IFERROR(__xludf.DUMMYFUNCTION("""COMPUTED_VALUE"""),"Delivery Experience")</f>
        <v>Delivery Experience</v>
      </c>
      <c r="K910" s="18" t="str">
        <f>IFERROR(__xludf.DUMMYFUNCTION("""COMPUTED_VALUE"""),"Quick and professional")</f>
        <v>Quick and professional</v>
      </c>
      <c r="L910" s="18">
        <f>iferror(VLOOKUP($D910,Details!$A$2:$C$11,2,false),vlookup($D910,Details!$E$2:$G$11,2,false))</f>
        <v>90</v>
      </c>
      <c r="M910" s="18" t="str">
        <f>iferror(VLOOKUP($D910,Details!$A$2:$C$11,3,false),vlookup($D910,Details!$E$2:$G$11,3,false))</f>
        <v>Snacks and Drinks</v>
      </c>
      <c r="N910" s="18">
        <f t="shared" si="1"/>
        <v>450</v>
      </c>
      <c r="O910" s="17"/>
      <c r="P910" s="17"/>
      <c r="Q910" s="17"/>
      <c r="R910" s="17"/>
      <c r="S910" s="17"/>
      <c r="T910" s="17"/>
      <c r="U910" s="17"/>
      <c r="V910" s="17"/>
      <c r="W910" s="17"/>
      <c r="X910" s="17"/>
      <c r="Y910" s="17"/>
      <c r="Z910" s="17"/>
    </row>
    <row r="911">
      <c r="A911" s="18" t="str">
        <f>IFERROR(__xludf.DUMMYFUNCTION("""COMPUTED_VALUE"""),"ord_30902")</f>
        <v>ord_30902</v>
      </c>
      <c r="B911" s="18" t="str">
        <f>IFERROR(__xludf.DUMMYFUNCTION("""COMPUTED_VALUE"""),"Kritika Shetty")</f>
        <v>Kritika Shetty</v>
      </c>
      <c r="C911" s="18" t="str">
        <f>IFERROR(__xludf.DUMMYFUNCTION("""COMPUTED_VALUE"""),"Malad")</f>
        <v>Malad</v>
      </c>
      <c r="D911" s="18" t="str">
        <f>IFERROR(__xludf.DUMMYFUNCTION("""COMPUTED_VALUE"""),"Veg Puff")</f>
        <v>Veg Puff</v>
      </c>
      <c r="E911" s="18">
        <f>IFERROR(__xludf.DUMMYFUNCTION("""COMPUTED_VALUE"""),4.0)</f>
        <v>4</v>
      </c>
      <c r="F911" s="18" t="str">
        <f>IFERROR(__xludf.DUMMYFUNCTION("""COMPUTED_VALUE"""),"Sita T")</f>
        <v>Sita T</v>
      </c>
      <c r="G911" s="19">
        <f>IFERROR(__xludf.DUMMYFUNCTION("""COMPUTED_VALUE"""),45064.0)</f>
        <v>45064</v>
      </c>
      <c r="H911" s="18" t="str">
        <f>IFERROR(__xludf.DUMMYFUNCTION("""COMPUTED_VALUE"""),"Credit Card")</f>
        <v>Credit Card</v>
      </c>
      <c r="I911" s="18" t="str">
        <f>IFERROR(__xludf.DUMMYFUNCTION("""COMPUTED_VALUE"""),"Cancelled")</f>
        <v>Cancelled</v>
      </c>
      <c r="J911" s="18" t="str">
        <f>IFERROR(__xludf.DUMMYFUNCTION("""COMPUTED_VALUE"""),"Delayed Delivery")</f>
        <v>Delayed Delivery</v>
      </c>
      <c r="K911" s="18" t="str">
        <f>IFERROR(__xludf.DUMMYFUNCTION("""COMPUTED_VALUE"""),"Heavy Traffic")</f>
        <v>Heavy Traffic</v>
      </c>
      <c r="L911" s="18">
        <f>iferror(VLOOKUP($D911,Details!$A$2:$C$11,2,false),vlookup($D911,Details!$E$2:$G$11,2,false))</f>
        <v>80</v>
      </c>
      <c r="M911" s="18" t="str">
        <f>iferror(VLOOKUP($D911,Details!$A$2:$C$11,3,false),vlookup($D911,Details!$E$2:$G$11,3,false))</f>
        <v>Snacks and Drinks</v>
      </c>
      <c r="N911" s="18">
        <f t="shared" si="1"/>
        <v>320</v>
      </c>
      <c r="O911" s="17"/>
      <c r="P911" s="17"/>
      <c r="Q911" s="17"/>
      <c r="R911" s="17"/>
      <c r="S911" s="17"/>
      <c r="T911" s="17"/>
      <c r="U911" s="17"/>
      <c r="V911" s="17"/>
      <c r="W911" s="17"/>
      <c r="X911" s="17"/>
      <c r="Y911" s="17"/>
      <c r="Z911" s="17"/>
    </row>
    <row r="912">
      <c r="A912" s="18" t="str">
        <f>IFERROR(__xludf.DUMMYFUNCTION("""COMPUTED_VALUE"""),"ord_30903")</f>
        <v>ord_30903</v>
      </c>
      <c r="B912" s="18" t="str">
        <f>IFERROR(__xludf.DUMMYFUNCTION("""COMPUTED_VALUE"""),"Mehul Thakkar")</f>
        <v>Mehul Thakkar</v>
      </c>
      <c r="C912" s="18" t="str">
        <f>IFERROR(__xludf.DUMMYFUNCTION("""COMPUTED_VALUE"""),"Malad")</f>
        <v>Malad</v>
      </c>
      <c r="D912" s="18" t="str">
        <f>IFERROR(__xludf.DUMMYFUNCTION("""COMPUTED_VALUE"""),"Apple")</f>
        <v>Apple</v>
      </c>
      <c r="E912" s="18">
        <f>IFERROR(__xludf.DUMMYFUNCTION("""COMPUTED_VALUE"""),1.0)</f>
        <v>1</v>
      </c>
      <c r="F912" s="18" t="str">
        <f>IFERROR(__xludf.DUMMYFUNCTION("""COMPUTED_VALUE"""),"Aman Kumar")</f>
        <v>Aman Kumar</v>
      </c>
      <c r="G912" s="19">
        <f>IFERROR(__xludf.DUMMYFUNCTION("""COMPUTED_VALUE"""),44933.0)</f>
        <v>44933</v>
      </c>
      <c r="H912" s="18" t="str">
        <f>IFERROR(__xludf.DUMMYFUNCTION("""COMPUTED_VALUE"""),"Credit Card")</f>
        <v>Credit Card</v>
      </c>
      <c r="I912" s="18" t="str">
        <f>IFERROR(__xludf.DUMMYFUNCTION("""COMPUTED_VALUE"""),"Cancelled")</f>
        <v>Cancelled</v>
      </c>
      <c r="J912" s="18" t="str">
        <f>IFERROR(__xludf.DUMMYFUNCTION("""COMPUTED_VALUE"""),"Delayed Delivery")</f>
        <v>Delayed Delivery</v>
      </c>
      <c r="K912" s="18" t="str">
        <f>IFERROR(__xludf.DUMMYFUNCTION("""COMPUTED_VALUE"""),"Heavy Traffic")</f>
        <v>Heavy Traffic</v>
      </c>
      <c r="L912" s="18">
        <f>iferror(VLOOKUP($D912,Details!$A$2:$C$11,2,false),vlookup($D912,Details!$E$2:$G$11,2,false))</f>
        <v>230</v>
      </c>
      <c r="M912" s="18" t="str">
        <f>iferror(VLOOKUP($D912,Details!$A$2:$C$11,3,false),vlookup($D912,Details!$E$2:$G$11,3,false))</f>
        <v>Fruits and Vegetables</v>
      </c>
      <c r="N912" s="18">
        <f t="shared" si="1"/>
        <v>230</v>
      </c>
      <c r="O912" s="17"/>
      <c r="P912" s="17"/>
      <c r="Q912" s="17"/>
      <c r="R912" s="17"/>
      <c r="S912" s="17"/>
      <c r="T912" s="17"/>
      <c r="U912" s="17"/>
      <c r="V912" s="17"/>
      <c r="W912" s="17"/>
      <c r="X912" s="17"/>
      <c r="Y912" s="17"/>
      <c r="Z912" s="17"/>
    </row>
    <row r="913">
      <c r="A913" s="18" t="str">
        <f>IFERROR(__xludf.DUMMYFUNCTION("""COMPUTED_VALUE"""),"ord_30904")</f>
        <v>ord_30904</v>
      </c>
      <c r="B913" s="18" t="str">
        <f>IFERROR(__xludf.DUMMYFUNCTION("""COMPUTED_VALUE"""),"Omkar Mishra")</f>
        <v>Omkar Mishra</v>
      </c>
      <c r="C913" s="18" t="str">
        <f>IFERROR(__xludf.DUMMYFUNCTION("""COMPUTED_VALUE"""),"Powai")</f>
        <v>Powai</v>
      </c>
      <c r="D913" s="18" t="str">
        <f>IFERROR(__xludf.DUMMYFUNCTION("""COMPUTED_VALUE"""),"Tiramisu")</f>
        <v>Tiramisu</v>
      </c>
      <c r="E913" s="18">
        <f>IFERROR(__xludf.DUMMYFUNCTION("""COMPUTED_VALUE"""),5.0)</f>
        <v>5</v>
      </c>
      <c r="F913" s="18" t="str">
        <f>IFERROR(__xludf.DUMMYFUNCTION("""COMPUTED_VALUE"""),"Shine Thomas")</f>
        <v>Shine Thomas</v>
      </c>
      <c r="G913" s="19">
        <f>IFERROR(__xludf.DUMMYFUNCTION("""COMPUTED_VALUE"""),45279.0)</f>
        <v>45279</v>
      </c>
      <c r="H913" s="18" t="str">
        <f>IFERROR(__xludf.DUMMYFUNCTION("""COMPUTED_VALUE"""),"Credit Card")</f>
        <v>Credit Card</v>
      </c>
      <c r="I913" s="18" t="str">
        <f>IFERROR(__xludf.DUMMYFUNCTION("""COMPUTED_VALUE"""),"Delivered")</f>
        <v>Delivered</v>
      </c>
      <c r="J913" s="18" t="str">
        <f>IFERROR(__xludf.DUMMYFUNCTION("""COMPUTED_VALUE"""),"Convenience")</f>
        <v>Convenience</v>
      </c>
      <c r="K913" s="18" t="str">
        <f>IFERROR(__xludf.DUMMYFUNCTION("""COMPUTED_VALUE"""),"Easy tracking")</f>
        <v>Easy tracking</v>
      </c>
      <c r="L913" s="18">
        <f>iferror(VLOOKUP($D913,Details!$A$2:$C$11,2,false),vlookup($D913,Details!$E$2:$G$11,2,false))</f>
        <v>150</v>
      </c>
      <c r="M913" s="18" t="str">
        <f>iferror(VLOOKUP($D913,Details!$A$2:$C$11,3,false),vlookup($D913,Details!$E$2:$G$11,3,false))</f>
        <v>Snacks and Drinks</v>
      </c>
      <c r="N913" s="18">
        <f t="shared" si="1"/>
        <v>750</v>
      </c>
      <c r="O913" s="17"/>
      <c r="P913" s="17"/>
      <c r="Q913" s="17"/>
      <c r="R913" s="17"/>
      <c r="S913" s="17"/>
      <c r="T913" s="17"/>
      <c r="U913" s="17"/>
      <c r="V913" s="17"/>
      <c r="W913" s="17"/>
      <c r="X913" s="17"/>
      <c r="Y913" s="17"/>
      <c r="Z913" s="17"/>
    </row>
    <row r="914">
      <c r="A914" s="18" t="str">
        <f>IFERROR(__xludf.DUMMYFUNCTION("""COMPUTED_VALUE"""),"ord_30905")</f>
        <v>ord_30905</v>
      </c>
      <c r="B914" s="18" t="str">
        <f>IFERROR(__xludf.DUMMYFUNCTION("""COMPUTED_VALUE"""),"Sakshi Tandon")</f>
        <v>Sakshi Tandon</v>
      </c>
      <c r="C914" s="18" t="str">
        <f>IFERROR(__xludf.DUMMYFUNCTION("""COMPUTED_VALUE"""),"Colaba")</f>
        <v>Colaba</v>
      </c>
      <c r="D914" s="18" t="str">
        <f>IFERROR(__xludf.DUMMYFUNCTION("""COMPUTED_VALUE"""),"Sweet Corn")</f>
        <v>Sweet Corn</v>
      </c>
      <c r="E914" s="18">
        <f>IFERROR(__xludf.DUMMYFUNCTION("""COMPUTED_VALUE"""),2.0)</f>
        <v>2</v>
      </c>
      <c r="F914" s="18" t="str">
        <f>IFERROR(__xludf.DUMMYFUNCTION("""COMPUTED_VALUE"""),"Nikhil Deshmukh")</f>
        <v>Nikhil Deshmukh</v>
      </c>
      <c r="G914" s="19">
        <f>IFERROR(__xludf.DUMMYFUNCTION("""COMPUTED_VALUE"""),45046.0)</f>
        <v>45046</v>
      </c>
      <c r="H914" s="18" t="str">
        <f>IFERROR(__xludf.DUMMYFUNCTION("""COMPUTED_VALUE"""),"Credit Card")</f>
        <v>Credit Card</v>
      </c>
      <c r="I914" s="18" t="str">
        <f>IFERROR(__xludf.DUMMYFUNCTION("""COMPUTED_VALUE"""),"Delivered")</f>
        <v>Delivered</v>
      </c>
      <c r="J914" s="18" t="str">
        <f>IFERROR(__xludf.DUMMYFUNCTION("""COMPUTED_VALUE"""),"Overall Satisfaction")</f>
        <v>Overall Satisfaction</v>
      </c>
      <c r="K914" s="18" t="str">
        <f>IFERROR(__xludf.DUMMYFUNCTION("""COMPUTED_VALUE"""),"Great service will order again")</f>
        <v>Great service will order again</v>
      </c>
      <c r="L914" s="18">
        <f>iferror(VLOOKUP($D914,Details!$A$2:$C$11,2,false),vlookup($D914,Details!$E$2:$G$11,2,false))</f>
        <v>60</v>
      </c>
      <c r="M914" s="18" t="str">
        <f>iferror(VLOOKUP($D914,Details!$A$2:$C$11,3,false),vlookup($D914,Details!$E$2:$G$11,3,false))</f>
        <v>Fruits and Vegetables</v>
      </c>
      <c r="N914" s="18">
        <f t="shared" si="1"/>
        <v>120</v>
      </c>
      <c r="O914" s="17"/>
      <c r="P914" s="17"/>
      <c r="Q914" s="17"/>
      <c r="R914" s="17"/>
      <c r="S914" s="17"/>
      <c r="T914" s="17"/>
      <c r="U914" s="17"/>
      <c r="V914" s="17"/>
      <c r="W914" s="17"/>
      <c r="X914" s="17"/>
      <c r="Y914" s="17"/>
      <c r="Z914" s="17"/>
    </row>
    <row r="915">
      <c r="A915" s="18" t="str">
        <f>IFERROR(__xludf.DUMMYFUNCTION("""COMPUTED_VALUE"""),"ord_30906")</f>
        <v>ord_30906</v>
      </c>
      <c r="B915" s="18" t="str">
        <f>IFERROR(__xludf.DUMMYFUNCTION("""COMPUTED_VALUE"""),"Dev Chauhan")</f>
        <v>Dev Chauhan</v>
      </c>
      <c r="C915" s="18" t="str">
        <f>IFERROR(__xludf.DUMMYFUNCTION("""COMPUTED_VALUE"""),"Bandra")</f>
        <v>Bandra</v>
      </c>
      <c r="D915" s="18" t="str">
        <f>IFERROR(__xludf.DUMMYFUNCTION("""COMPUTED_VALUE"""),"Chicken Puff")</f>
        <v>Chicken Puff</v>
      </c>
      <c r="E915" s="18">
        <f>IFERROR(__xludf.DUMMYFUNCTION("""COMPUTED_VALUE"""),2.0)</f>
        <v>2</v>
      </c>
      <c r="F915" s="18" t="str">
        <f>IFERROR(__xludf.DUMMYFUNCTION("""COMPUTED_VALUE"""),"Priya Joshi")</f>
        <v>Priya Joshi</v>
      </c>
      <c r="G915" s="19">
        <f>IFERROR(__xludf.DUMMYFUNCTION("""COMPUTED_VALUE"""),45249.0)</f>
        <v>45249</v>
      </c>
      <c r="H915" s="18" t="str">
        <f>IFERROR(__xludf.DUMMYFUNCTION("""COMPUTED_VALUE"""),"UPI")</f>
        <v>UPI</v>
      </c>
      <c r="I915" s="18" t="str">
        <f>IFERROR(__xludf.DUMMYFUNCTION("""COMPUTED_VALUE"""),"Delivered")</f>
        <v>Delivered</v>
      </c>
      <c r="J915" s="18" t="str">
        <f>IFERROR(__xludf.DUMMYFUNCTION("""COMPUTED_VALUE"""),"On-time Delivery")</f>
        <v>On-time Delivery</v>
      </c>
      <c r="K915" s="18" t="str">
        <f>IFERROR(__xludf.DUMMYFUNCTION("""COMPUTED_VALUE"""),"Delivered on time")</f>
        <v>Delivered on time</v>
      </c>
      <c r="L915" s="18">
        <f>iferror(VLOOKUP($D915,Details!$A$2:$C$11,2,false),vlookup($D915,Details!$E$2:$G$11,2,false))</f>
        <v>90</v>
      </c>
      <c r="M915" s="18" t="str">
        <f>iferror(VLOOKUP($D915,Details!$A$2:$C$11,3,false),vlookup($D915,Details!$E$2:$G$11,3,false))</f>
        <v>Snacks and Drinks</v>
      </c>
      <c r="N915" s="18">
        <f t="shared" si="1"/>
        <v>180</v>
      </c>
      <c r="O915" s="17"/>
      <c r="P915" s="17"/>
      <c r="Q915" s="17"/>
      <c r="R915" s="17"/>
      <c r="S915" s="17"/>
      <c r="T915" s="17"/>
      <c r="U915" s="17"/>
      <c r="V915" s="17"/>
      <c r="W915" s="17"/>
      <c r="X915" s="17"/>
      <c r="Y915" s="17"/>
      <c r="Z915" s="17"/>
    </row>
    <row r="916">
      <c r="A916" s="18" t="str">
        <f>IFERROR(__xludf.DUMMYFUNCTION("""COMPUTED_VALUE"""),"ord_30907")</f>
        <v>ord_30907</v>
      </c>
      <c r="B916" s="18" t="str">
        <f>IFERROR(__xludf.DUMMYFUNCTION("""COMPUTED_VALUE"""),"Mehul Thakkar")</f>
        <v>Mehul Thakkar</v>
      </c>
      <c r="C916" s="18" t="str">
        <f>IFERROR(__xludf.DUMMYFUNCTION("""COMPUTED_VALUE"""),"Malad")</f>
        <v>Malad</v>
      </c>
      <c r="D916" s="18" t="str">
        <f>IFERROR(__xludf.DUMMYFUNCTION("""COMPUTED_VALUE"""),"Tomato")</f>
        <v>Tomato</v>
      </c>
      <c r="E916" s="18">
        <f>IFERROR(__xludf.DUMMYFUNCTION("""COMPUTED_VALUE"""),2.0)</f>
        <v>2</v>
      </c>
      <c r="F916" s="18" t="str">
        <f>IFERROR(__xludf.DUMMYFUNCTION("""COMPUTED_VALUE"""),"Not Assigned")</f>
        <v>Not Assigned</v>
      </c>
      <c r="G916" s="19">
        <f>IFERROR(__xludf.DUMMYFUNCTION("""COMPUTED_VALUE"""),45060.0)</f>
        <v>45060</v>
      </c>
      <c r="H916" s="18" t="str">
        <f>IFERROR(__xludf.DUMMYFUNCTION("""COMPUTED_VALUE"""),"Credit Card")</f>
        <v>Credit Card</v>
      </c>
      <c r="I916" s="18" t="str">
        <f>IFERROR(__xludf.DUMMYFUNCTION("""COMPUTED_VALUE"""),"Cancelled")</f>
        <v>Cancelled</v>
      </c>
      <c r="J916" s="18" t="str">
        <f>IFERROR(__xludf.DUMMYFUNCTION("""COMPUTED_VALUE"""),"Payment Issues")</f>
        <v>Payment Issues</v>
      </c>
      <c r="K916" s="18"/>
      <c r="L916" s="18">
        <f>iferror(VLOOKUP($D916,Details!$A$2:$C$11,2,false),vlookup($D916,Details!$E$2:$G$11,2,false))</f>
        <v>25</v>
      </c>
      <c r="M916" s="18" t="str">
        <f>iferror(VLOOKUP($D916,Details!$A$2:$C$11,3,false),vlookup($D916,Details!$E$2:$G$11,3,false))</f>
        <v>Fruits and Vegetables</v>
      </c>
      <c r="N916" s="18">
        <f t="shared" si="1"/>
        <v>50</v>
      </c>
      <c r="O916" s="17"/>
      <c r="P916" s="17"/>
      <c r="Q916" s="17"/>
      <c r="R916" s="17"/>
      <c r="S916" s="17"/>
      <c r="T916" s="17"/>
      <c r="U916" s="17"/>
      <c r="V916" s="17"/>
      <c r="W916" s="17"/>
      <c r="X916" s="17"/>
      <c r="Y916" s="17"/>
      <c r="Z916" s="17"/>
    </row>
    <row r="917">
      <c r="A917" s="18" t="str">
        <f>IFERROR(__xludf.DUMMYFUNCTION("""COMPUTED_VALUE"""),"ord_30908")</f>
        <v>ord_30908</v>
      </c>
      <c r="B917" s="18" t="str">
        <f>IFERROR(__xludf.DUMMYFUNCTION("""COMPUTED_VALUE"""),"Aditi Iyer")</f>
        <v>Aditi Iyer</v>
      </c>
      <c r="C917" s="18" t="str">
        <f>IFERROR(__xludf.DUMMYFUNCTION("""COMPUTED_VALUE"""),"Dadar")</f>
        <v>Dadar</v>
      </c>
      <c r="D917" s="18" t="str">
        <f>IFERROR(__xludf.DUMMYFUNCTION("""COMPUTED_VALUE"""),"Apple")</f>
        <v>Apple</v>
      </c>
      <c r="E917" s="18">
        <f>IFERROR(__xludf.DUMMYFUNCTION("""COMPUTED_VALUE"""),1.0)</f>
        <v>1</v>
      </c>
      <c r="F917" s="18" t="str">
        <f>IFERROR(__xludf.DUMMYFUNCTION("""COMPUTED_VALUE"""),"Aman Kumar")</f>
        <v>Aman Kumar</v>
      </c>
      <c r="G917" s="19">
        <f>IFERROR(__xludf.DUMMYFUNCTION("""COMPUTED_VALUE"""),45122.0)</f>
        <v>45122</v>
      </c>
      <c r="H917" s="18" t="str">
        <f>IFERROR(__xludf.DUMMYFUNCTION("""COMPUTED_VALUE"""),"Credit Card")</f>
        <v>Credit Card</v>
      </c>
      <c r="I917" s="18" t="str">
        <f>IFERROR(__xludf.DUMMYFUNCTION("""COMPUTED_VALUE"""),"Delivered")</f>
        <v>Delivered</v>
      </c>
      <c r="J917" s="18" t="str">
        <f>IFERROR(__xludf.DUMMYFUNCTION("""COMPUTED_VALUE"""),"Quality of Items")</f>
        <v>Quality of Items</v>
      </c>
      <c r="K917" s="18" t="str">
        <f>IFERROR(__xludf.DUMMYFUNCTION("""COMPUTED_VALUE"""),"Perfect condition")</f>
        <v>Perfect condition</v>
      </c>
      <c r="L917" s="18">
        <f>iferror(VLOOKUP($D917,Details!$A$2:$C$11,2,false),vlookup($D917,Details!$E$2:$G$11,2,false))</f>
        <v>230</v>
      </c>
      <c r="M917" s="18" t="str">
        <f>iferror(VLOOKUP($D917,Details!$A$2:$C$11,3,false),vlookup($D917,Details!$E$2:$G$11,3,false))</f>
        <v>Fruits and Vegetables</v>
      </c>
      <c r="N917" s="18">
        <f t="shared" si="1"/>
        <v>230</v>
      </c>
      <c r="O917" s="17"/>
      <c r="P917" s="17"/>
      <c r="Q917" s="17"/>
      <c r="R917" s="17"/>
      <c r="S917" s="17"/>
      <c r="T917" s="17"/>
      <c r="U917" s="17"/>
      <c r="V917" s="17"/>
      <c r="W917" s="17"/>
      <c r="X917" s="17"/>
      <c r="Y917" s="17"/>
      <c r="Z917" s="17"/>
    </row>
    <row r="918">
      <c r="A918" s="18" t="str">
        <f>IFERROR(__xludf.DUMMYFUNCTION("""COMPUTED_VALUE"""),"ord_30909")</f>
        <v>ord_30909</v>
      </c>
      <c r="B918" s="18" t="str">
        <f>IFERROR(__xludf.DUMMYFUNCTION("""COMPUTED_VALUE"""),"Kritika Shetty")</f>
        <v>Kritika Shetty</v>
      </c>
      <c r="C918" s="18" t="str">
        <f>IFERROR(__xludf.DUMMYFUNCTION("""COMPUTED_VALUE"""),"Malad")</f>
        <v>Malad</v>
      </c>
      <c r="D918" s="18" t="str">
        <f>IFERROR(__xludf.DUMMYFUNCTION("""COMPUTED_VALUE"""),"Icecream")</f>
        <v>Icecream</v>
      </c>
      <c r="E918" s="18">
        <f>IFERROR(__xludf.DUMMYFUNCTION("""COMPUTED_VALUE"""),4.0)</f>
        <v>4</v>
      </c>
      <c r="F918" s="18" t="str">
        <f>IFERROR(__xludf.DUMMYFUNCTION("""COMPUTED_VALUE"""),"Manju Ajay")</f>
        <v>Manju Ajay</v>
      </c>
      <c r="G918" s="19">
        <f>IFERROR(__xludf.DUMMYFUNCTION("""COMPUTED_VALUE"""),45037.0)</f>
        <v>45037</v>
      </c>
      <c r="H918" s="18" t="str">
        <f>IFERROR(__xludf.DUMMYFUNCTION("""COMPUTED_VALUE"""),"Online Payment")</f>
        <v>Online Payment</v>
      </c>
      <c r="I918" s="18" t="str">
        <f>IFERROR(__xludf.DUMMYFUNCTION("""COMPUTED_VALUE"""),"Cancelled")</f>
        <v>Cancelled</v>
      </c>
      <c r="J918" s="18" t="str">
        <f>IFERROR(__xludf.DUMMYFUNCTION("""COMPUTED_VALUE"""),"Delayed Delivery")</f>
        <v>Delayed Delivery</v>
      </c>
      <c r="K918" s="18" t="str">
        <f>IFERROR(__xludf.DUMMYFUNCTION("""COMPUTED_VALUE"""),"Bad Weather Conditions")</f>
        <v>Bad Weather Conditions</v>
      </c>
      <c r="L918" s="18">
        <f>iferror(VLOOKUP($D918,Details!$A$2:$C$11,2,false),vlookup($D918,Details!$E$2:$G$11,2,false))</f>
        <v>90</v>
      </c>
      <c r="M918" s="18" t="str">
        <f>iferror(VLOOKUP($D918,Details!$A$2:$C$11,3,false),vlookup($D918,Details!$E$2:$G$11,3,false))</f>
        <v>Snacks and Drinks</v>
      </c>
      <c r="N918" s="18">
        <f t="shared" si="1"/>
        <v>360</v>
      </c>
      <c r="O918" s="17"/>
      <c r="P918" s="17"/>
      <c r="Q918" s="17"/>
      <c r="R918" s="17"/>
      <c r="S918" s="17"/>
      <c r="T918" s="17"/>
      <c r="U918" s="17"/>
      <c r="V918" s="17"/>
      <c r="W918" s="17"/>
      <c r="X918" s="17"/>
      <c r="Y918" s="17"/>
      <c r="Z918" s="17"/>
    </row>
    <row r="919">
      <c r="A919" s="18" t="str">
        <f>IFERROR(__xludf.DUMMYFUNCTION("""COMPUTED_VALUE"""),"ord_30910")</f>
        <v>ord_30910</v>
      </c>
      <c r="B919" s="18" t="str">
        <f>IFERROR(__xludf.DUMMYFUNCTION("""COMPUTED_VALUE"""),"Sanjay Nair")</f>
        <v>Sanjay Nair</v>
      </c>
      <c r="C919" s="18" t="str">
        <f>IFERROR(__xludf.DUMMYFUNCTION("""COMPUTED_VALUE"""),"Dadar")</f>
        <v>Dadar</v>
      </c>
      <c r="D919" s="18" t="str">
        <f>IFERROR(__xludf.DUMMYFUNCTION("""COMPUTED_VALUE"""),"Juice")</f>
        <v>Juice</v>
      </c>
      <c r="E919" s="18">
        <f>IFERROR(__xludf.DUMMYFUNCTION("""COMPUTED_VALUE"""),1.0)</f>
        <v>1</v>
      </c>
      <c r="F919" s="18" t="str">
        <f>IFERROR(__xludf.DUMMYFUNCTION("""COMPUTED_VALUE"""),"Aman Kumar")</f>
        <v>Aman Kumar</v>
      </c>
      <c r="G919" s="19">
        <f>IFERROR(__xludf.DUMMYFUNCTION("""COMPUTED_VALUE"""),45079.0)</f>
        <v>45079</v>
      </c>
      <c r="H919" s="18" t="str">
        <f>IFERROR(__xludf.DUMMYFUNCTION("""COMPUTED_VALUE"""),"Online Payment")</f>
        <v>Online Payment</v>
      </c>
      <c r="I919" s="18" t="str">
        <f>IFERROR(__xludf.DUMMYFUNCTION("""COMPUTED_VALUE"""),"Delivered")</f>
        <v>Delivered</v>
      </c>
      <c r="J919" s="18" t="str">
        <f>IFERROR(__xludf.DUMMYFUNCTION("""COMPUTED_VALUE"""),"Satisfied with the Delivery")</f>
        <v>Satisfied with the Delivery</v>
      </c>
      <c r="K919" s="18" t="str">
        <f>IFERROR(__xludf.DUMMYFUNCTION("""COMPUTED_VALUE"""),"Timely and quality")</f>
        <v>Timely and quality</v>
      </c>
      <c r="L919" s="18">
        <f>iferror(VLOOKUP($D919,Details!$A$2:$C$11,2,false),vlookup($D919,Details!$E$2:$G$11,2,false))</f>
        <v>90</v>
      </c>
      <c r="M919" s="18" t="str">
        <f>iferror(VLOOKUP($D919,Details!$A$2:$C$11,3,false),vlookup($D919,Details!$E$2:$G$11,3,false))</f>
        <v>Snacks and Drinks</v>
      </c>
      <c r="N919" s="18">
        <f t="shared" si="1"/>
        <v>90</v>
      </c>
      <c r="O919" s="17"/>
      <c r="P919" s="17"/>
      <c r="Q919" s="17"/>
      <c r="R919" s="17"/>
      <c r="S919" s="17"/>
      <c r="T919" s="17"/>
      <c r="U919" s="17"/>
      <c r="V919" s="17"/>
      <c r="W919" s="17"/>
      <c r="X919" s="17"/>
      <c r="Y919" s="17"/>
      <c r="Z919" s="17"/>
    </row>
    <row r="920">
      <c r="A920" s="18" t="str">
        <f>IFERROR(__xludf.DUMMYFUNCTION("""COMPUTED_VALUE"""),"ord_96334")</f>
        <v>ord_96334</v>
      </c>
      <c r="B920" s="18" t="str">
        <f>IFERROR(__xludf.DUMMYFUNCTION("""COMPUTED_VALUE"""),"Parth Goel")</f>
        <v>Parth Goel</v>
      </c>
      <c r="C920" s="18" t="str">
        <f>IFERROR(__xludf.DUMMYFUNCTION("""COMPUTED_VALUE"""),"Juhu")</f>
        <v>Juhu</v>
      </c>
      <c r="D920" s="18" t="str">
        <f>IFERROR(__xludf.DUMMYFUNCTION("""COMPUTED_VALUE"""),"Chocolate Mousse")</f>
        <v>Chocolate Mousse</v>
      </c>
      <c r="E920" s="18">
        <f>IFERROR(__xludf.DUMMYFUNCTION("""COMPUTED_VALUE"""),1.0)</f>
        <v>1</v>
      </c>
      <c r="F920" s="18" t="str">
        <f>IFERROR(__xludf.DUMMYFUNCTION("""COMPUTED_VALUE"""),"Tanvi Jain")</f>
        <v>Tanvi Jain</v>
      </c>
      <c r="G920" s="19">
        <f>IFERROR(__xludf.DUMMYFUNCTION("""COMPUTED_VALUE"""),44941.0)</f>
        <v>44941</v>
      </c>
      <c r="H920" s="18" t="str">
        <f>IFERROR(__xludf.DUMMYFUNCTION("""COMPUTED_VALUE"""),"Credit Card")</f>
        <v>Credit Card</v>
      </c>
      <c r="I920" s="18" t="str">
        <f>IFERROR(__xludf.DUMMYFUNCTION("""COMPUTED_VALUE"""),"Delivered")</f>
        <v>Delivered</v>
      </c>
      <c r="J920" s="18" t="str">
        <f>IFERROR(__xludf.DUMMYFUNCTION("""COMPUTED_VALUE"""),"Satisfied with the Delivery")</f>
        <v>Satisfied with the Delivery</v>
      </c>
      <c r="K920" s="18" t="str">
        <f>IFERROR(__xludf.DUMMYFUNCTION("""COMPUTED_VALUE"""),"Timely and quality")</f>
        <v>Timely and quality</v>
      </c>
      <c r="L920" s="18">
        <f>iferror(VLOOKUP($D920,Details!$A$2:$C$11,2,false),vlookup($D920,Details!$E$2:$G$11,2,false))</f>
        <v>145</v>
      </c>
      <c r="M920" s="18" t="str">
        <f>iferror(VLOOKUP($D920,Details!$A$2:$C$11,3,false),vlookup($D920,Details!$E$2:$G$11,3,false))</f>
        <v>Snacks and Drinks</v>
      </c>
      <c r="N920" s="18">
        <f t="shared" si="1"/>
        <v>145</v>
      </c>
      <c r="O920" s="17"/>
      <c r="P920" s="17"/>
      <c r="Q920" s="17"/>
      <c r="R920" s="17"/>
      <c r="S920" s="17"/>
      <c r="T920" s="17"/>
      <c r="U920" s="17"/>
      <c r="V920" s="17"/>
      <c r="W920" s="17"/>
      <c r="X920" s="17"/>
      <c r="Y920" s="17"/>
      <c r="Z920" s="17"/>
    </row>
    <row r="921">
      <c r="A921" s="18" t="str">
        <f>IFERROR(__xludf.DUMMYFUNCTION("""COMPUTED_VALUE"""),"ord_96428")</f>
        <v>ord_96428</v>
      </c>
      <c r="B921" s="18" t="str">
        <f>IFERROR(__xludf.DUMMYFUNCTION("""COMPUTED_VALUE"""),"Omkar Mishra")</f>
        <v>Omkar Mishra</v>
      </c>
      <c r="C921" s="18" t="str">
        <f>IFERROR(__xludf.DUMMYFUNCTION("""COMPUTED_VALUE"""),"Powai")</f>
        <v>Powai</v>
      </c>
      <c r="D921" s="18" t="str">
        <f>IFERROR(__xludf.DUMMYFUNCTION("""COMPUTED_VALUE"""),"Orange")</f>
        <v>Orange</v>
      </c>
      <c r="E921" s="18">
        <f>IFERROR(__xludf.DUMMYFUNCTION("""COMPUTED_VALUE"""),2.0)</f>
        <v>2</v>
      </c>
      <c r="F921" s="18" t="str">
        <f>IFERROR(__xludf.DUMMYFUNCTION("""COMPUTED_VALUE"""),"Sandeep Kumar")</f>
        <v>Sandeep Kumar</v>
      </c>
      <c r="G921" s="19">
        <f>IFERROR(__xludf.DUMMYFUNCTION("""COMPUTED_VALUE"""),45035.0)</f>
        <v>45035</v>
      </c>
      <c r="H921" s="18" t="str">
        <f>IFERROR(__xludf.DUMMYFUNCTION("""COMPUTED_VALUE"""),"UPI")</f>
        <v>UPI</v>
      </c>
      <c r="I921" s="18" t="str">
        <f>IFERROR(__xludf.DUMMYFUNCTION("""COMPUTED_VALUE"""),"Delivered")</f>
        <v>Delivered</v>
      </c>
      <c r="J921" s="18" t="str">
        <f>IFERROR(__xludf.DUMMYFUNCTION("""COMPUTED_VALUE"""),"Customer Service")</f>
        <v>Customer Service</v>
      </c>
      <c r="K921" s="18" t="str">
        <f>IFERROR(__xludf.DUMMYFUNCTION("""COMPUTED_VALUE"""),"Seamless and easy")</f>
        <v>Seamless and easy</v>
      </c>
      <c r="L921" s="18">
        <f>iferror(VLOOKUP($D921,Details!$A$2:$C$11,2,false),vlookup($D921,Details!$E$2:$G$11,2,false))</f>
        <v>180</v>
      </c>
      <c r="M921" s="18" t="str">
        <f>iferror(VLOOKUP($D921,Details!$A$2:$C$11,3,false),vlookup($D921,Details!$E$2:$G$11,3,false))</f>
        <v>Fruits and Vegetables</v>
      </c>
      <c r="N921" s="18">
        <f t="shared" si="1"/>
        <v>360</v>
      </c>
      <c r="O921" s="17"/>
      <c r="P921" s="17"/>
      <c r="Q921" s="17"/>
      <c r="R921" s="17"/>
      <c r="S921" s="17"/>
      <c r="T921" s="17"/>
      <c r="U921" s="17"/>
      <c r="V921" s="17"/>
      <c r="W921" s="17"/>
      <c r="X921" s="17"/>
      <c r="Y921" s="17"/>
      <c r="Z921" s="17"/>
    </row>
    <row r="922">
      <c r="A922" s="18" t="str">
        <f>IFERROR(__xludf.DUMMYFUNCTION("""COMPUTED_VALUE"""),"ord_96522")</f>
        <v>ord_96522</v>
      </c>
      <c r="B922" s="18" t="str">
        <f>IFERROR(__xludf.DUMMYFUNCTION("""COMPUTED_VALUE"""),"Sakshi Tandon")</f>
        <v>Sakshi Tandon</v>
      </c>
      <c r="C922" s="18" t="str">
        <f>IFERROR(__xludf.DUMMYFUNCTION("""COMPUTED_VALUE"""),"Colaba")</f>
        <v>Colaba</v>
      </c>
      <c r="D922" s="18" t="str">
        <f>IFERROR(__xludf.DUMMYFUNCTION("""COMPUTED_VALUE"""),"Cold Coffee")</f>
        <v>Cold Coffee</v>
      </c>
      <c r="E922" s="18">
        <f>IFERROR(__xludf.DUMMYFUNCTION("""COMPUTED_VALUE"""),2.0)</f>
        <v>2</v>
      </c>
      <c r="F922" s="18" t="str">
        <f>IFERROR(__xludf.DUMMYFUNCTION("""COMPUTED_VALUE"""),"Nikhil Deshmukh")</f>
        <v>Nikhil Deshmukh</v>
      </c>
      <c r="G922" s="19">
        <f>IFERROR(__xludf.DUMMYFUNCTION("""COMPUTED_VALUE"""),45153.0)</f>
        <v>45153</v>
      </c>
      <c r="H922" s="18" t="str">
        <f>IFERROR(__xludf.DUMMYFUNCTION("""COMPUTED_VALUE"""),"COD")</f>
        <v>COD</v>
      </c>
      <c r="I922" s="18" t="str">
        <f>IFERROR(__xludf.DUMMYFUNCTION("""COMPUTED_VALUE"""),"Delivered")</f>
        <v>Delivered</v>
      </c>
      <c r="J922" s="18" t="str">
        <f>IFERROR(__xludf.DUMMYFUNCTION("""COMPUTED_VALUE"""),"On-time Delivery")</f>
        <v>On-time Delivery</v>
      </c>
      <c r="K922" s="18" t="str">
        <f>IFERROR(__xludf.DUMMYFUNCTION("""COMPUTED_VALUE"""),"Delivered on time")</f>
        <v>Delivered on time</v>
      </c>
      <c r="L922" s="18">
        <f>iferror(VLOOKUP($D922,Details!$A$2:$C$11,2,false),vlookup($D922,Details!$E$2:$G$11,2,false))</f>
        <v>270</v>
      </c>
      <c r="M922" s="18" t="str">
        <f>iferror(VLOOKUP($D922,Details!$A$2:$C$11,3,false),vlookup($D922,Details!$E$2:$G$11,3,false))</f>
        <v>Snacks and Drinks</v>
      </c>
      <c r="N922" s="18">
        <f t="shared" si="1"/>
        <v>540</v>
      </c>
      <c r="O922" s="17"/>
      <c r="P922" s="17"/>
      <c r="Q922" s="17"/>
      <c r="R922" s="17"/>
      <c r="S922" s="17"/>
      <c r="T922" s="17"/>
      <c r="U922" s="17"/>
      <c r="V922" s="17"/>
      <c r="W922" s="17"/>
      <c r="X922" s="17"/>
      <c r="Y922" s="17"/>
      <c r="Z922" s="17"/>
    </row>
    <row r="923">
      <c r="A923" s="18" t="str">
        <f>IFERROR(__xludf.DUMMYFUNCTION("""COMPUTED_VALUE"""),"ord_96616")</f>
        <v>ord_96616</v>
      </c>
      <c r="B923" s="18" t="str">
        <f>IFERROR(__xludf.DUMMYFUNCTION("""COMPUTED_VALUE"""),"Mohit Malhotra")</f>
        <v>Mohit Malhotra</v>
      </c>
      <c r="C923" s="18" t="str">
        <f>IFERROR(__xludf.DUMMYFUNCTION("""COMPUTED_VALUE"""),"Lower Parel")</f>
        <v>Lower Parel</v>
      </c>
      <c r="D923" s="18" t="str">
        <f>IFERROR(__xludf.DUMMYFUNCTION("""COMPUTED_VALUE"""),"Tiramisu")</f>
        <v>Tiramisu</v>
      </c>
      <c r="E923" s="18">
        <f>IFERROR(__xludf.DUMMYFUNCTION("""COMPUTED_VALUE"""),1.0)</f>
        <v>1</v>
      </c>
      <c r="F923" s="18" t="str">
        <f>IFERROR(__xludf.DUMMYFUNCTION("""COMPUTED_VALUE"""),"Kiran Mehta")</f>
        <v>Kiran Mehta</v>
      </c>
      <c r="G923" s="19">
        <f>IFERROR(__xludf.DUMMYFUNCTION("""COMPUTED_VALUE"""),45158.0)</f>
        <v>45158</v>
      </c>
      <c r="H923" s="18" t="str">
        <f>IFERROR(__xludf.DUMMYFUNCTION("""COMPUTED_VALUE"""),"UPI")</f>
        <v>UPI</v>
      </c>
      <c r="I923" s="18" t="str">
        <f>IFERROR(__xludf.DUMMYFUNCTION("""COMPUTED_VALUE"""),"Delivered")</f>
        <v>Delivered</v>
      </c>
      <c r="J923" s="18" t="str">
        <f>IFERROR(__xludf.DUMMYFUNCTION("""COMPUTED_VALUE"""),"Delivery Experience")</f>
        <v>Delivery Experience</v>
      </c>
      <c r="K923" s="18" t="str">
        <f>IFERROR(__xludf.DUMMYFUNCTION("""COMPUTED_VALUE"""),"Quick and professional")</f>
        <v>Quick and professional</v>
      </c>
      <c r="L923" s="18">
        <f>iferror(VLOOKUP($D923,Details!$A$2:$C$11,2,false),vlookup($D923,Details!$E$2:$G$11,2,false))</f>
        <v>150</v>
      </c>
      <c r="M923" s="18" t="str">
        <f>iferror(VLOOKUP($D923,Details!$A$2:$C$11,3,false),vlookup($D923,Details!$E$2:$G$11,3,false))</f>
        <v>Snacks and Drinks</v>
      </c>
      <c r="N923" s="18">
        <f t="shared" si="1"/>
        <v>150</v>
      </c>
      <c r="O923" s="17"/>
      <c r="P923" s="17"/>
      <c r="Q923" s="17"/>
      <c r="R923" s="17"/>
      <c r="S923" s="17"/>
      <c r="T923" s="17"/>
      <c r="U923" s="17"/>
      <c r="V923" s="17"/>
      <c r="W923" s="17"/>
      <c r="X923" s="17"/>
      <c r="Y923" s="17"/>
      <c r="Z923" s="17"/>
    </row>
    <row r="924">
      <c r="A924" s="18" t="str">
        <f>IFERROR(__xludf.DUMMYFUNCTION("""COMPUTED_VALUE"""),"ord_96710")</f>
        <v>ord_96710</v>
      </c>
      <c r="B924" s="18" t="str">
        <f>IFERROR(__xludf.DUMMYFUNCTION("""COMPUTED_VALUE"""),"Anaya Rao")</f>
        <v>Anaya Rao</v>
      </c>
      <c r="C924" s="18" t="str">
        <f>IFERROR(__xludf.DUMMYFUNCTION("""COMPUTED_VALUE"""),"Colaba")</f>
        <v>Colaba</v>
      </c>
      <c r="D924" s="18" t="str">
        <f>IFERROR(__xludf.DUMMYFUNCTION("""COMPUTED_VALUE"""),"Cold Coffee")</f>
        <v>Cold Coffee</v>
      </c>
      <c r="E924" s="18">
        <f>IFERROR(__xludf.DUMMYFUNCTION("""COMPUTED_VALUE"""),4.0)</f>
        <v>4</v>
      </c>
      <c r="F924" s="18" t="str">
        <f>IFERROR(__xludf.DUMMYFUNCTION("""COMPUTED_VALUE"""),"Nikhil Deshmukh")</f>
        <v>Nikhil Deshmukh</v>
      </c>
      <c r="G924" s="19">
        <f>IFERROR(__xludf.DUMMYFUNCTION("""COMPUTED_VALUE"""),45000.0)</f>
        <v>45000</v>
      </c>
      <c r="H924" s="18" t="str">
        <f>IFERROR(__xludf.DUMMYFUNCTION("""COMPUTED_VALUE"""),"COD")</f>
        <v>COD</v>
      </c>
      <c r="I924" s="18" t="str">
        <f>IFERROR(__xludf.DUMMYFUNCTION("""COMPUTED_VALUE"""),"Delivered")</f>
        <v>Delivered</v>
      </c>
      <c r="J924" s="18" t="str">
        <f>IFERROR(__xludf.DUMMYFUNCTION("""COMPUTED_VALUE"""),"Convenience")</f>
        <v>Convenience</v>
      </c>
      <c r="K924" s="18" t="str">
        <f>IFERROR(__xludf.DUMMYFUNCTION("""COMPUTED_VALUE"""),"Easy tracking")</f>
        <v>Easy tracking</v>
      </c>
      <c r="L924" s="18">
        <f>iferror(VLOOKUP($D924,Details!$A$2:$C$11,2,false),vlookup($D924,Details!$E$2:$G$11,2,false))</f>
        <v>270</v>
      </c>
      <c r="M924" s="18" t="str">
        <f>iferror(VLOOKUP($D924,Details!$A$2:$C$11,3,false),vlookup($D924,Details!$E$2:$G$11,3,false))</f>
        <v>Snacks and Drinks</v>
      </c>
      <c r="N924" s="18">
        <f t="shared" si="1"/>
        <v>1080</v>
      </c>
      <c r="O924" s="17"/>
      <c r="P924" s="17"/>
      <c r="Q924" s="17"/>
      <c r="R924" s="17"/>
      <c r="S924" s="17"/>
      <c r="T924" s="17"/>
      <c r="U924" s="17"/>
      <c r="V924" s="17"/>
      <c r="W924" s="17"/>
      <c r="X924" s="17"/>
      <c r="Y924" s="17"/>
      <c r="Z924" s="17"/>
    </row>
    <row r="925">
      <c r="A925" s="18" t="str">
        <f>IFERROR(__xludf.DUMMYFUNCTION("""COMPUTED_VALUE"""),"ord_96804")</f>
        <v>ord_96804</v>
      </c>
      <c r="B925" s="18" t="str">
        <f>IFERROR(__xludf.DUMMYFUNCTION("""COMPUTED_VALUE"""),"Dev Chauhan")</f>
        <v>Dev Chauhan</v>
      </c>
      <c r="C925" s="18" t="str">
        <f>IFERROR(__xludf.DUMMYFUNCTION("""COMPUTED_VALUE"""),"Bandra")</f>
        <v>Bandra</v>
      </c>
      <c r="D925" s="18" t="str">
        <f>IFERROR(__xludf.DUMMYFUNCTION("""COMPUTED_VALUE"""),"Orange")</f>
        <v>Orange</v>
      </c>
      <c r="E925" s="18">
        <f>IFERROR(__xludf.DUMMYFUNCTION("""COMPUTED_VALUE"""),1.0)</f>
        <v>1</v>
      </c>
      <c r="F925" s="18" t="str">
        <f>IFERROR(__xludf.DUMMYFUNCTION("""COMPUTED_VALUE"""),"Priya Joshi")</f>
        <v>Priya Joshi</v>
      </c>
      <c r="G925" s="19">
        <f>IFERROR(__xludf.DUMMYFUNCTION("""COMPUTED_VALUE"""),45206.0)</f>
        <v>45206</v>
      </c>
      <c r="H925" s="18" t="str">
        <f>IFERROR(__xludf.DUMMYFUNCTION("""COMPUTED_VALUE"""),"COD")</f>
        <v>COD</v>
      </c>
      <c r="I925" s="18" t="str">
        <f>IFERROR(__xludf.DUMMYFUNCTION("""COMPUTED_VALUE"""),"Delivered")</f>
        <v>Delivered</v>
      </c>
      <c r="J925" s="18" t="str">
        <f>IFERROR(__xludf.DUMMYFUNCTION("""COMPUTED_VALUE"""),"Overall Satisfaction")</f>
        <v>Overall Satisfaction</v>
      </c>
      <c r="K925" s="18" t="str">
        <f>IFERROR(__xludf.DUMMYFUNCTION("""COMPUTED_VALUE"""),"Great service will order again")</f>
        <v>Great service will order again</v>
      </c>
      <c r="L925" s="18">
        <f>iferror(VLOOKUP($D925,Details!$A$2:$C$11,2,false),vlookup($D925,Details!$E$2:$G$11,2,false))</f>
        <v>180</v>
      </c>
      <c r="M925" s="18" t="str">
        <f>iferror(VLOOKUP($D925,Details!$A$2:$C$11,3,false),vlookup($D925,Details!$E$2:$G$11,3,false))</f>
        <v>Fruits and Vegetables</v>
      </c>
      <c r="N925" s="18">
        <f t="shared" si="1"/>
        <v>180</v>
      </c>
      <c r="O925" s="17"/>
      <c r="P925" s="17"/>
      <c r="Q925" s="17"/>
      <c r="R925" s="17"/>
      <c r="S925" s="17"/>
      <c r="T925" s="17"/>
      <c r="U925" s="17"/>
      <c r="V925" s="17"/>
      <c r="W925" s="17"/>
      <c r="X925" s="17"/>
      <c r="Y925" s="17"/>
      <c r="Z925" s="17"/>
    </row>
    <row r="926">
      <c r="A926" s="18" t="str">
        <f>IFERROR(__xludf.DUMMYFUNCTION("""COMPUTED_VALUE"""),"ord_96898")</f>
        <v>ord_96898</v>
      </c>
      <c r="B926" s="18" t="str">
        <f>IFERROR(__xludf.DUMMYFUNCTION("""COMPUTED_VALUE"""),"Pallavi Ghosh")</f>
        <v>Pallavi Ghosh</v>
      </c>
      <c r="C926" s="18" t="str">
        <f>IFERROR(__xludf.DUMMYFUNCTION("""COMPUTED_VALUE"""),"Bandra")</f>
        <v>Bandra</v>
      </c>
      <c r="D926" s="18" t="str">
        <f>IFERROR(__xludf.DUMMYFUNCTION("""COMPUTED_VALUE"""),"Orange")</f>
        <v>Orange</v>
      </c>
      <c r="E926" s="18">
        <f>IFERROR(__xludf.DUMMYFUNCTION("""COMPUTED_VALUE"""),2.0)</f>
        <v>2</v>
      </c>
      <c r="F926" s="18" t="str">
        <f>IFERROR(__xludf.DUMMYFUNCTION("""COMPUTED_VALUE"""),"Aman Kumar")</f>
        <v>Aman Kumar</v>
      </c>
      <c r="G926" s="19">
        <f>IFERROR(__xludf.DUMMYFUNCTION("""COMPUTED_VALUE"""),44974.0)</f>
        <v>44974</v>
      </c>
      <c r="H926" s="18" t="str">
        <f>IFERROR(__xludf.DUMMYFUNCTION("""COMPUTED_VALUE"""),"Credit Card")</f>
        <v>Credit Card</v>
      </c>
      <c r="I926" s="18" t="str">
        <f>IFERROR(__xludf.DUMMYFUNCTION("""COMPUTED_VALUE"""),"Cancelled")</f>
        <v>Cancelled</v>
      </c>
      <c r="J926" s="18" t="str">
        <f>IFERROR(__xludf.DUMMYFUNCTION("""COMPUTED_VALUE"""),"Delayed Delivery")</f>
        <v>Delayed Delivery</v>
      </c>
      <c r="K926" s="18" t="str">
        <f>IFERROR(__xludf.DUMMYFUNCTION("""COMPUTED_VALUE"""),"Bad Weather Conditions")</f>
        <v>Bad Weather Conditions</v>
      </c>
      <c r="L926" s="18">
        <f>iferror(VLOOKUP($D926,Details!$A$2:$C$11,2,false),vlookup($D926,Details!$E$2:$G$11,2,false))</f>
        <v>180</v>
      </c>
      <c r="M926" s="18" t="str">
        <f>iferror(VLOOKUP($D926,Details!$A$2:$C$11,3,false),vlookup($D926,Details!$E$2:$G$11,3,false))</f>
        <v>Fruits and Vegetables</v>
      </c>
      <c r="N926" s="18">
        <f t="shared" si="1"/>
        <v>360</v>
      </c>
      <c r="O926" s="17"/>
      <c r="P926" s="17"/>
      <c r="Q926" s="17"/>
      <c r="R926" s="17"/>
      <c r="S926" s="17"/>
      <c r="T926" s="17"/>
      <c r="U926" s="17"/>
      <c r="V926" s="17"/>
      <c r="W926" s="17"/>
      <c r="X926" s="17"/>
      <c r="Y926" s="17"/>
      <c r="Z926" s="17"/>
    </row>
    <row r="927">
      <c r="A927" s="18" t="str">
        <f>IFERROR(__xludf.DUMMYFUNCTION("""COMPUTED_VALUE"""),"ord_96992")</f>
        <v>ord_96992</v>
      </c>
      <c r="B927" s="18" t="str">
        <f>IFERROR(__xludf.DUMMYFUNCTION("""COMPUTED_VALUE"""),"Siya Reddy")</f>
        <v>Siya Reddy</v>
      </c>
      <c r="C927" s="18" t="str">
        <f>IFERROR(__xludf.DUMMYFUNCTION("""COMPUTED_VALUE"""),"Juhu")</f>
        <v>Juhu</v>
      </c>
      <c r="D927" s="18" t="str">
        <f>IFERROR(__xludf.DUMMYFUNCTION("""COMPUTED_VALUE"""),"Veg Puff")</f>
        <v>Veg Puff</v>
      </c>
      <c r="E927" s="18">
        <f>IFERROR(__xludf.DUMMYFUNCTION("""COMPUTED_VALUE"""),1.0)</f>
        <v>1</v>
      </c>
      <c r="F927" s="18" t="str">
        <f>IFERROR(__xludf.DUMMYFUNCTION("""COMPUTED_VALUE"""),"Tanvi Jain")</f>
        <v>Tanvi Jain</v>
      </c>
      <c r="G927" s="19">
        <f>IFERROR(__xludf.DUMMYFUNCTION("""COMPUTED_VALUE"""),45202.0)</f>
        <v>45202</v>
      </c>
      <c r="H927" s="18" t="str">
        <f>IFERROR(__xludf.DUMMYFUNCTION("""COMPUTED_VALUE"""),"UPI")</f>
        <v>UPI</v>
      </c>
      <c r="I927" s="18" t="str">
        <f>IFERROR(__xludf.DUMMYFUNCTION("""COMPUTED_VALUE"""),"Delivered")</f>
        <v>Delivered</v>
      </c>
      <c r="J927" s="18" t="str">
        <f>IFERROR(__xludf.DUMMYFUNCTION("""COMPUTED_VALUE"""),"On-time Delivery")</f>
        <v>On-time Delivery</v>
      </c>
      <c r="K927" s="18" t="str">
        <f>IFERROR(__xludf.DUMMYFUNCTION("""COMPUTED_VALUE"""),"Delivered on time")</f>
        <v>Delivered on time</v>
      </c>
      <c r="L927" s="18">
        <f>iferror(VLOOKUP($D927,Details!$A$2:$C$11,2,false),vlookup($D927,Details!$E$2:$G$11,2,false))</f>
        <v>80</v>
      </c>
      <c r="M927" s="18" t="str">
        <f>iferror(VLOOKUP($D927,Details!$A$2:$C$11,3,false),vlookup($D927,Details!$E$2:$G$11,3,false))</f>
        <v>Snacks and Drinks</v>
      </c>
      <c r="N927" s="18">
        <f t="shared" si="1"/>
        <v>80</v>
      </c>
      <c r="O927" s="17"/>
      <c r="P927" s="17"/>
      <c r="Q927" s="17"/>
      <c r="R927" s="17"/>
      <c r="S927" s="17"/>
      <c r="T927" s="17"/>
      <c r="U927" s="17"/>
      <c r="V927" s="17"/>
      <c r="W927" s="17"/>
      <c r="X927" s="17"/>
      <c r="Y927" s="17"/>
      <c r="Z927" s="17"/>
    </row>
    <row r="928">
      <c r="A928" s="18" t="str">
        <f>IFERROR(__xludf.DUMMYFUNCTION("""COMPUTED_VALUE"""),"ord_97086")</f>
        <v>ord_97086</v>
      </c>
      <c r="B928" s="18" t="str">
        <f>IFERROR(__xludf.DUMMYFUNCTION("""COMPUTED_VALUE"""),"Tanishq Bansal")</f>
        <v>Tanishq Bansal</v>
      </c>
      <c r="C928" s="18" t="str">
        <f>IFERROR(__xludf.DUMMYFUNCTION("""COMPUTED_VALUE"""),"Powai")</f>
        <v>Powai</v>
      </c>
      <c r="D928" s="18" t="str">
        <f>IFERROR(__xludf.DUMMYFUNCTION("""COMPUTED_VALUE"""),"Cold Coffee")</f>
        <v>Cold Coffee</v>
      </c>
      <c r="E928" s="18">
        <f>IFERROR(__xludf.DUMMYFUNCTION("""COMPUTED_VALUE"""),2.0)</f>
        <v>2</v>
      </c>
      <c r="F928" s="18" t="str">
        <f>IFERROR(__xludf.DUMMYFUNCTION("""COMPUTED_VALUE"""),"Sandeep Kumar")</f>
        <v>Sandeep Kumar</v>
      </c>
      <c r="G928" s="19">
        <f>IFERROR(__xludf.DUMMYFUNCTION("""COMPUTED_VALUE"""),45093.0)</f>
        <v>45093</v>
      </c>
      <c r="H928" s="18" t="str">
        <f>IFERROR(__xludf.DUMMYFUNCTION("""COMPUTED_VALUE"""),"UPI")</f>
        <v>UPI</v>
      </c>
      <c r="I928" s="18" t="str">
        <f>IFERROR(__xludf.DUMMYFUNCTION("""COMPUTED_VALUE"""),"Delivered")</f>
        <v>Delivered</v>
      </c>
      <c r="J928" s="18" t="str">
        <f>IFERROR(__xludf.DUMMYFUNCTION("""COMPUTED_VALUE"""),"Quality of Items")</f>
        <v>Quality of Items</v>
      </c>
      <c r="K928" s="18" t="str">
        <f>IFERROR(__xludf.DUMMYFUNCTION("""COMPUTED_VALUE"""),"Perfect condition")</f>
        <v>Perfect condition</v>
      </c>
      <c r="L928" s="18">
        <f>iferror(VLOOKUP($D928,Details!$A$2:$C$11,2,false),vlookup($D928,Details!$E$2:$G$11,2,false))</f>
        <v>270</v>
      </c>
      <c r="M928" s="18" t="str">
        <f>iferror(VLOOKUP($D928,Details!$A$2:$C$11,3,false),vlookup($D928,Details!$E$2:$G$11,3,false))</f>
        <v>Snacks and Drinks</v>
      </c>
      <c r="N928" s="18">
        <f t="shared" si="1"/>
        <v>540</v>
      </c>
      <c r="O928" s="17"/>
      <c r="P928" s="17"/>
      <c r="Q928" s="17"/>
      <c r="R928" s="17"/>
      <c r="S928" s="17"/>
      <c r="T928" s="17"/>
      <c r="U928" s="17"/>
      <c r="V928" s="17"/>
      <c r="W928" s="17"/>
      <c r="X928" s="17"/>
      <c r="Y928" s="17"/>
      <c r="Z928" s="17"/>
    </row>
    <row r="929">
      <c r="A929" s="18" t="str">
        <f>IFERROR(__xludf.DUMMYFUNCTION("""COMPUTED_VALUE"""),"ord_97180")</f>
        <v>ord_97180</v>
      </c>
      <c r="B929" s="18" t="str">
        <f>IFERROR(__xludf.DUMMYFUNCTION("""COMPUTED_VALUE"""),"Anaya Rao")</f>
        <v>Anaya Rao</v>
      </c>
      <c r="C929" s="18" t="str">
        <f>IFERROR(__xludf.DUMMYFUNCTION("""COMPUTED_VALUE"""),"Colaba")</f>
        <v>Colaba</v>
      </c>
      <c r="D929" s="18" t="str">
        <f>IFERROR(__xludf.DUMMYFUNCTION("""COMPUTED_VALUE"""),"Tiramisu")</f>
        <v>Tiramisu</v>
      </c>
      <c r="E929" s="18">
        <f>IFERROR(__xludf.DUMMYFUNCTION("""COMPUTED_VALUE"""),3.0)</f>
        <v>3</v>
      </c>
      <c r="F929" s="18" t="str">
        <f>IFERROR(__xludf.DUMMYFUNCTION("""COMPUTED_VALUE"""),"Nikhil Deshmukh")</f>
        <v>Nikhil Deshmukh</v>
      </c>
      <c r="G929" s="19">
        <f>IFERROR(__xludf.DUMMYFUNCTION("""COMPUTED_VALUE"""),45140.0)</f>
        <v>45140</v>
      </c>
      <c r="H929" s="18" t="str">
        <f>IFERROR(__xludf.DUMMYFUNCTION("""COMPUTED_VALUE"""),"Credit Card")</f>
        <v>Credit Card</v>
      </c>
      <c r="I929" s="18" t="str">
        <f>IFERROR(__xludf.DUMMYFUNCTION("""COMPUTED_VALUE"""),"Delivered")</f>
        <v>Delivered</v>
      </c>
      <c r="J929" s="18" t="str">
        <f>IFERROR(__xludf.DUMMYFUNCTION("""COMPUTED_VALUE"""),"Quality of Items")</f>
        <v>Quality of Items</v>
      </c>
      <c r="K929" s="18" t="str">
        <f>IFERROR(__xludf.DUMMYFUNCTION("""COMPUTED_VALUE"""),"Perfect condition")</f>
        <v>Perfect condition</v>
      </c>
      <c r="L929" s="18">
        <f>iferror(VLOOKUP($D929,Details!$A$2:$C$11,2,false),vlookup($D929,Details!$E$2:$G$11,2,false))</f>
        <v>150</v>
      </c>
      <c r="M929" s="18" t="str">
        <f>iferror(VLOOKUP($D929,Details!$A$2:$C$11,3,false),vlookup($D929,Details!$E$2:$G$11,3,false))</f>
        <v>Snacks and Drinks</v>
      </c>
      <c r="N929" s="18">
        <f t="shared" si="1"/>
        <v>450</v>
      </c>
      <c r="O929" s="17"/>
      <c r="P929" s="17"/>
      <c r="Q929" s="17"/>
      <c r="R929" s="17"/>
      <c r="S929" s="17"/>
      <c r="T929" s="17"/>
      <c r="U929" s="17"/>
      <c r="V929" s="17"/>
      <c r="W929" s="17"/>
      <c r="X929" s="17"/>
      <c r="Y929" s="17"/>
      <c r="Z929" s="17"/>
    </row>
    <row r="930">
      <c r="A930" s="18" t="str">
        <f>IFERROR(__xludf.DUMMYFUNCTION("""COMPUTED_VALUE"""),"ord_30911")</f>
        <v>ord_30911</v>
      </c>
      <c r="B930" s="18" t="str">
        <f>IFERROR(__xludf.DUMMYFUNCTION("""COMPUTED_VALUE"""),"Arvind Kulkarni")</f>
        <v>Arvind Kulkarni</v>
      </c>
      <c r="C930" s="18" t="str">
        <f>IFERROR(__xludf.DUMMYFUNCTION("""COMPUTED_VALUE"""),"Juhu")</f>
        <v>Juhu</v>
      </c>
      <c r="D930" s="18" t="str">
        <f>IFERROR(__xludf.DUMMYFUNCTION("""COMPUTED_VALUE"""),"Onion")</f>
        <v>Onion</v>
      </c>
      <c r="E930" s="18">
        <f>IFERROR(__xludf.DUMMYFUNCTION("""COMPUTED_VALUE"""),2.0)</f>
        <v>2</v>
      </c>
      <c r="F930" s="18" t="str">
        <f>IFERROR(__xludf.DUMMYFUNCTION("""COMPUTED_VALUE"""),"Nithin Lal")</f>
        <v>Nithin Lal</v>
      </c>
      <c r="G930" s="19">
        <f>IFERROR(__xludf.DUMMYFUNCTION("""COMPUTED_VALUE"""),45049.0)</f>
        <v>45049</v>
      </c>
      <c r="H930" s="18" t="str">
        <f>IFERROR(__xludf.DUMMYFUNCTION("""COMPUTED_VALUE"""),"Credit Card")</f>
        <v>Credit Card</v>
      </c>
      <c r="I930" s="18" t="str">
        <f>IFERROR(__xludf.DUMMYFUNCTION("""COMPUTED_VALUE"""),"Cancelled")</f>
        <v>Cancelled</v>
      </c>
      <c r="J930" s="18" t="str">
        <f>IFERROR(__xludf.DUMMYFUNCTION("""COMPUTED_VALUE"""),"Delayed Delivery")</f>
        <v>Delayed Delivery</v>
      </c>
      <c r="K930" s="18" t="str">
        <f>IFERROR(__xludf.DUMMYFUNCTION("""COMPUTED_VALUE"""),"Heavy Traffic")</f>
        <v>Heavy Traffic</v>
      </c>
      <c r="L930" s="18">
        <f>iferror(VLOOKUP($D930,Details!$A$2:$C$11,2,false),vlookup($D930,Details!$E$2:$G$11,2,false))</f>
        <v>84</v>
      </c>
      <c r="M930" s="18" t="str">
        <f>iferror(VLOOKUP($D930,Details!$A$2:$C$11,3,false),vlookup($D930,Details!$E$2:$G$11,3,false))</f>
        <v>Fruits and Vegetables</v>
      </c>
      <c r="N930" s="18">
        <f t="shared" si="1"/>
        <v>168</v>
      </c>
      <c r="O930" s="17"/>
      <c r="P930" s="17"/>
      <c r="Q930" s="17"/>
      <c r="R930" s="17"/>
      <c r="S930" s="17"/>
      <c r="T930" s="17"/>
      <c r="U930" s="17"/>
      <c r="V930" s="17"/>
      <c r="W930" s="17"/>
      <c r="X930" s="17"/>
      <c r="Y930" s="17"/>
      <c r="Z930" s="17"/>
    </row>
    <row r="931">
      <c r="A931" s="18" t="str">
        <f>IFERROR(__xludf.DUMMYFUNCTION("""COMPUTED_VALUE"""),"ord_30912")</f>
        <v>ord_30912</v>
      </c>
      <c r="B931" s="18" t="str">
        <f>IFERROR(__xludf.DUMMYFUNCTION("""COMPUTED_VALUE"""),"Aditi Iyer")</f>
        <v>Aditi Iyer</v>
      </c>
      <c r="C931" s="18" t="str">
        <f>IFERROR(__xludf.DUMMYFUNCTION("""COMPUTED_VALUE"""),"Dadar")</f>
        <v>Dadar</v>
      </c>
      <c r="D931" s="18" t="str">
        <f>IFERROR(__xludf.DUMMYFUNCTION("""COMPUTED_VALUE"""),"Tiramisu")</f>
        <v>Tiramisu</v>
      </c>
      <c r="E931" s="18">
        <f>IFERROR(__xludf.DUMMYFUNCTION("""COMPUTED_VALUE"""),2.0)</f>
        <v>2</v>
      </c>
      <c r="F931" s="18" t="str">
        <f>IFERROR(__xludf.DUMMYFUNCTION("""COMPUTED_VALUE"""),"Aman Kumar")</f>
        <v>Aman Kumar</v>
      </c>
      <c r="G931" s="19">
        <f>IFERROR(__xludf.DUMMYFUNCTION("""COMPUTED_VALUE"""),44990.0)</f>
        <v>44990</v>
      </c>
      <c r="H931" s="18" t="str">
        <f>IFERROR(__xludf.DUMMYFUNCTION("""COMPUTED_VALUE"""),"UPI")</f>
        <v>UPI</v>
      </c>
      <c r="I931" s="18" t="str">
        <f>IFERROR(__xludf.DUMMYFUNCTION("""COMPUTED_VALUE"""),"Delivered")</f>
        <v>Delivered</v>
      </c>
      <c r="J931" s="18" t="str">
        <f>IFERROR(__xludf.DUMMYFUNCTION("""COMPUTED_VALUE"""),"Quality of Items")</f>
        <v>Quality of Items</v>
      </c>
      <c r="K931" s="18" t="str">
        <f>IFERROR(__xludf.DUMMYFUNCTION("""COMPUTED_VALUE"""),"Perfect condition")</f>
        <v>Perfect condition</v>
      </c>
      <c r="L931" s="18">
        <f>iferror(VLOOKUP($D931,Details!$A$2:$C$11,2,false),vlookup($D931,Details!$E$2:$G$11,2,false))</f>
        <v>150</v>
      </c>
      <c r="M931" s="18" t="str">
        <f>iferror(VLOOKUP($D931,Details!$A$2:$C$11,3,false),vlookup($D931,Details!$E$2:$G$11,3,false))</f>
        <v>Snacks and Drinks</v>
      </c>
      <c r="N931" s="18">
        <f t="shared" si="1"/>
        <v>300</v>
      </c>
      <c r="O931" s="17"/>
      <c r="P931" s="17"/>
      <c r="Q931" s="17"/>
      <c r="R931" s="17"/>
      <c r="S931" s="17"/>
      <c r="T931" s="17"/>
      <c r="U931" s="17"/>
      <c r="V931" s="17"/>
      <c r="W931" s="17"/>
      <c r="X931" s="17"/>
      <c r="Y931" s="17"/>
      <c r="Z931" s="17"/>
    </row>
    <row r="932">
      <c r="A932" s="18" t="str">
        <f>IFERROR(__xludf.DUMMYFUNCTION("""COMPUTED_VALUE"""),"ord_30913")</f>
        <v>ord_30913</v>
      </c>
      <c r="B932" s="18" t="str">
        <f>IFERROR(__xludf.DUMMYFUNCTION("""COMPUTED_VALUE"""),"Sakshi Tandon")</f>
        <v>Sakshi Tandon</v>
      </c>
      <c r="C932" s="18" t="str">
        <f>IFERROR(__xludf.DUMMYFUNCTION("""COMPUTED_VALUE"""),"Colaba")</f>
        <v>Colaba</v>
      </c>
      <c r="D932" s="18" t="str">
        <f>IFERROR(__xludf.DUMMYFUNCTION("""COMPUTED_VALUE"""),"Chocolate Mousse")</f>
        <v>Chocolate Mousse</v>
      </c>
      <c r="E932" s="18">
        <f>IFERROR(__xludf.DUMMYFUNCTION("""COMPUTED_VALUE"""),3.0)</f>
        <v>3</v>
      </c>
      <c r="F932" s="18" t="str">
        <f>IFERROR(__xludf.DUMMYFUNCTION("""COMPUTED_VALUE"""),"Nikhil Deshmukh")</f>
        <v>Nikhil Deshmukh</v>
      </c>
      <c r="G932" s="19">
        <f>IFERROR(__xludf.DUMMYFUNCTION("""COMPUTED_VALUE"""),45021.0)</f>
        <v>45021</v>
      </c>
      <c r="H932" s="18" t="str">
        <f>IFERROR(__xludf.DUMMYFUNCTION("""COMPUTED_VALUE"""),"COD")</f>
        <v>COD</v>
      </c>
      <c r="I932" s="18" t="str">
        <f>IFERROR(__xludf.DUMMYFUNCTION("""COMPUTED_VALUE"""),"Delivered")</f>
        <v>Delivered</v>
      </c>
      <c r="J932" s="18" t="str">
        <f>IFERROR(__xludf.DUMMYFUNCTION("""COMPUTED_VALUE"""),"Packaging")</f>
        <v>Packaging</v>
      </c>
      <c r="K932" s="18" t="str">
        <f>IFERROR(__xludf.DUMMYFUNCTION("""COMPUTED_VALUE"""),"Secure and intact")</f>
        <v>Secure and intact</v>
      </c>
      <c r="L932" s="18">
        <f>iferror(VLOOKUP($D932,Details!$A$2:$C$11,2,false),vlookup($D932,Details!$E$2:$G$11,2,false))</f>
        <v>145</v>
      </c>
      <c r="M932" s="18" t="str">
        <f>iferror(VLOOKUP($D932,Details!$A$2:$C$11,3,false),vlookup($D932,Details!$E$2:$G$11,3,false))</f>
        <v>Snacks and Drinks</v>
      </c>
      <c r="N932" s="18">
        <f t="shared" si="1"/>
        <v>435</v>
      </c>
      <c r="O932" s="17"/>
      <c r="P932" s="17"/>
      <c r="Q932" s="17"/>
      <c r="R932" s="17"/>
      <c r="S932" s="17"/>
      <c r="T932" s="17"/>
      <c r="U932" s="17"/>
      <c r="V932" s="17"/>
      <c r="W932" s="17"/>
      <c r="X932" s="17"/>
      <c r="Y932" s="17"/>
      <c r="Z932" s="17"/>
    </row>
    <row r="933">
      <c r="A933" s="18" t="str">
        <f>IFERROR(__xludf.DUMMYFUNCTION("""COMPUTED_VALUE"""),"ord_30914")</f>
        <v>ord_30914</v>
      </c>
      <c r="B933" s="18" t="str">
        <f>IFERROR(__xludf.DUMMYFUNCTION("""COMPUTED_VALUE"""),"Aarohi Kapoor")</f>
        <v>Aarohi Kapoor</v>
      </c>
      <c r="C933" s="18" t="str">
        <f>IFERROR(__xludf.DUMMYFUNCTION("""COMPUTED_VALUE"""),"Bandra")</f>
        <v>Bandra</v>
      </c>
      <c r="D933" s="18" t="str">
        <f>IFERROR(__xludf.DUMMYFUNCTION("""COMPUTED_VALUE"""),"Papaya")</f>
        <v>Papaya</v>
      </c>
      <c r="E933" s="18">
        <f>IFERROR(__xludf.DUMMYFUNCTION("""COMPUTED_VALUE"""),1.0)</f>
        <v>1</v>
      </c>
      <c r="F933" s="18" t="str">
        <f>IFERROR(__xludf.DUMMYFUNCTION("""COMPUTED_VALUE"""),"Priya Joshi")</f>
        <v>Priya Joshi</v>
      </c>
      <c r="G933" s="19">
        <f>IFERROR(__xludf.DUMMYFUNCTION("""COMPUTED_VALUE"""),45135.0)</f>
        <v>45135</v>
      </c>
      <c r="H933" s="18" t="str">
        <f>IFERROR(__xludf.DUMMYFUNCTION("""COMPUTED_VALUE"""),"COD")</f>
        <v>COD</v>
      </c>
      <c r="I933" s="18" t="str">
        <f>IFERROR(__xludf.DUMMYFUNCTION("""COMPUTED_VALUE"""),"Delivered")</f>
        <v>Delivered</v>
      </c>
      <c r="J933" s="18" t="str">
        <f>IFERROR(__xludf.DUMMYFUNCTION("""COMPUTED_VALUE"""),"Satisfied with the Delivery")</f>
        <v>Satisfied with the Delivery</v>
      </c>
      <c r="K933" s="18" t="str">
        <f>IFERROR(__xludf.DUMMYFUNCTION("""COMPUTED_VALUE"""),"Timely and quality")</f>
        <v>Timely and quality</v>
      </c>
      <c r="L933" s="18">
        <f>iferror(VLOOKUP($D933,Details!$A$2:$C$11,2,false),vlookup($D933,Details!$E$2:$G$11,2,false))</f>
        <v>75</v>
      </c>
      <c r="M933" s="18" t="str">
        <f>iferror(VLOOKUP($D933,Details!$A$2:$C$11,3,false),vlookup($D933,Details!$E$2:$G$11,3,false))</f>
        <v>Fruits and Vegetables</v>
      </c>
      <c r="N933" s="18">
        <f t="shared" si="1"/>
        <v>75</v>
      </c>
      <c r="O933" s="17"/>
      <c r="P933" s="17"/>
      <c r="Q933" s="17"/>
      <c r="R933" s="17"/>
      <c r="S933" s="17"/>
      <c r="T933" s="17"/>
      <c r="U933" s="17"/>
      <c r="V933" s="17"/>
      <c r="W933" s="17"/>
      <c r="X933" s="17"/>
      <c r="Y933" s="17"/>
      <c r="Z933" s="17"/>
    </row>
    <row r="934">
      <c r="A934" s="18" t="str">
        <f>IFERROR(__xludf.DUMMYFUNCTION("""COMPUTED_VALUE"""),"ord_30915")</f>
        <v>ord_30915</v>
      </c>
      <c r="B934" s="18" t="str">
        <f>IFERROR(__xludf.DUMMYFUNCTION("""COMPUTED_VALUE"""),"Aditi Iyer")</f>
        <v>Aditi Iyer</v>
      </c>
      <c r="C934" s="18" t="str">
        <f>IFERROR(__xludf.DUMMYFUNCTION("""COMPUTED_VALUE"""),"Dadar")</f>
        <v>Dadar</v>
      </c>
      <c r="D934" s="18" t="str">
        <f>IFERROR(__xludf.DUMMYFUNCTION("""COMPUTED_VALUE"""),"Sweet Corn")</f>
        <v>Sweet Corn</v>
      </c>
      <c r="E934" s="18">
        <f>IFERROR(__xludf.DUMMYFUNCTION("""COMPUTED_VALUE"""),1.0)</f>
        <v>1</v>
      </c>
      <c r="F934" s="18" t="str">
        <f>IFERROR(__xludf.DUMMYFUNCTION("""COMPUTED_VALUE"""),"Aman Kumar")</f>
        <v>Aman Kumar</v>
      </c>
      <c r="G934" s="19">
        <f>IFERROR(__xludf.DUMMYFUNCTION("""COMPUTED_VALUE"""),45274.0)</f>
        <v>45274</v>
      </c>
      <c r="H934" s="18" t="str">
        <f>IFERROR(__xludf.DUMMYFUNCTION("""COMPUTED_VALUE"""),"Online Payment")</f>
        <v>Online Payment</v>
      </c>
      <c r="I934" s="18" t="str">
        <f>IFERROR(__xludf.DUMMYFUNCTION("""COMPUTED_VALUE"""),"Delivered")</f>
        <v>Delivered</v>
      </c>
      <c r="J934" s="18" t="str">
        <f>IFERROR(__xludf.DUMMYFUNCTION("""COMPUTED_VALUE"""),"Customer Service")</f>
        <v>Customer Service</v>
      </c>
      <c r="K934" s="18" t="str">
        <f>IFERROR(__xludf.DUMMYFUNCTION("""COMPUTED_VALUE"""),"Seamless and easy")</f>
        <v>Seamless and easy</v>
      </c>
      <c r="L934" s="18">
        <f>iferror(VLOOKUP($D934,Details!$A$2:$C$11,2,false),vlookup($D934,Details!$E$2:$G$11,2,false))</f>
        <v>60</v>
      </c>
      <c r="M934" s="18" t="str">
        <f>iferror(VLOOKUP($D934,Details!$A$2:$C$11,3,false),vlookup($D934,Details!$E$2:$G$11,3,false))</f>
        <v>Fruits and Vegetables</v>
      </c>
      <c r="N934" s="18">
        <f t="shared" si="1"/>
        <v>60</v>
      </c>
      <c r="O934" s="17"/>
      <c r="P934" s="17"/>
      <c r="Q934" s="17"/>
      <c r="R934" s="17"/>
      <c r="S934" s="17"/>
      <c r="T934" s="17"/>
      <c r="U934" s="17"/>
      <c r="V934" s="17"/>
      <c r="W934" s="17"/>
      <c r="X934" s="17"/>
      <c r="Y934" s="17"/>
      <c r="Z934" s="17"/>
    </row>
    <row r="935">
      <c r="A935" s="18" t="str">
        <f>IFERROR(__xludf.DUMMYFUNCTION("""COMPUTED_VALUE"""),"ord_30916")</f>
        <v>ord_30916</v>
      </c>
      <c r="B935" s="18" t="str">
        <f>IFERROR(__xludf.DUMMYFUNCTION("""COMPUTED_VALUE"""),"Aarohi Kapoor")</f>
        <v>Aarohi Kapoor</v>
      </c>
      <c r="C935" s="18" t="str">
        <f>IFERROR(__xludf.DUMMYFUNCTION("""COMPUTED_VALUE"""),"Bandra")</f>
        <v>Bandra</v>
      </c>
      <c r="D935" s="18" t="str">
        <f>IFERROR(__xludf.DUMMYFUNCTION("""COMPUTED_VALUE"""),"Cucumber")</f>
        <v>Cucumber</v>
      </c>
      <c r="E935" s="18">
        <f>IFERROR(__xludf.DUMMYFUNCTION("""COMPUTED_VALUE"""),1.0)</f>
        <v>1</v>
      </c>
      <c r="F935" s="18" t="str">
        <f>IFERROR(__xludf.DUMMYFUNCTION("""COMPUTED_VALUE"""),"Priya Joshi")</f>
        <v>Priya Joshi</v>
      </c>
      <c r="G935" s="19">
        <f>IFERROR(__xludf.DUMMYFUNCTION("""COMPUTED_VALUE"""),45000.0)</f>
        <v>45000</v>
      </c>
      <c r="H935" s="18" t="str">
        <f>IFERROR(__xludf.DUMMYFUNCTION("""COMPUTED_VALUE"""),"UPI")</f>
        <v>UPI</v>
      </c>
      <c r="I935" s="18" t="str">
        <f>IFERROR(__xludf.DUMMYFUNCTION("""COMPUTED_VALUE"""),"Delivered")</f>
        <v>Delivered</v>
      </c>
      <c r="J935" s="18" t="str">
        <f>IFERROR(__xludf.DUMMYFUNCTION("""COMPUTED_VALUE"""),"Delivery Experience")</f>
        <v>Delivery Experience</v>
      </c>
      <c r="K935" s="18" t="str">
        <f>IFERROR(__xludf.DUMMYFUNCTION("""COMPUTED_VALUE"""),"Quick and professional")</f>
        <v>Quick and professional</v>
      </c>
      <c r="L935" s="18">
        <f>iferror(VLOOKUP($D935,Details!$A$2:$C$11,2,false),vlookup($D935,Details!$E$2:$G$11,2,false))</f>
        <v>30</v>
      </c>
      <c r="M935" s="18" t="str">
        <f>iferror(VLOOKUP($D935,Details!$A$2:$C$11,3,false),vlookup($D935,Details!$E$2:$G$11,3,false))</f>
        <v>Fruits and Vegetables</v>
      </c>
      <c r="N935" s="18">
        <f t="shared" si="1"/>
        <v>30</v>
      </c>
      <c r="O935" s="17"/>
      <c r="P935" s="17"/>
      <c r="Q935" s="17"/>
      <c r="R935" s="17"/>
      <c r="S935" s="17"/>
      <c r="T935" s="17"/>
      <c r="U935" s="17"/>
      <c r="V935" s="17"/>
      <c r="W935" s="17"/>
      <c r="X935" s="17"/>
      <c r="Y935" s="17"/>
      <c r="Z935" s="17"/>
    </row>
    <row r="936">
      <c r="A936" s="18" t="str">
        <f>IFERROR(__xludf.DUMMYFUNCTION("""COMPUTED_VALUE"""),"ord_30917")</f>
        <v>ord_30917</v>
      </c>
      <c r="B936" s="18" t="str">
        <f>IFERROR(__xludf.DUMMYFUNCTION("""COMPUTED_VALUE"""),"Sakshi Tandon")</f>
        <v>Sakshi Tandon</v>
      </c>
      <c r="C936" s="18" t="str">
        <f>IFERROR(__xludf.DUMMYFUNCTION("""COMPUTED_VALUE"""),"Colaba")</f>
        <v>Colaba</v>
      </c>
      <c r="D936" s="18" t="str">
        <f>IFERROR(__xludf.DUMMYFUNCTION("""COMPUTED_VALUE"""),"Potato")</f>
        <v>Potato</v>
      </c>
      <c r="E936" s="18">
        <f>IFERROR(__xludf.DUMMYFUNCTION("""COMPUTED_VALUE"""),1.0)</f>
        <v>1</v>
      </c>
      <c r="F936" s="18" t="str">
        <f>IFERROR(__xludf.DUMMYFUNCTION("""COMPUTED_VALUE"""),"Nikhil Deshmukh")</f>
        <v>Nikhil Deshmukh</v>
      </c>
      <c r="G936" s="19">
        <f>IFERROR(__xludf.DUMMYFUNCTION("""COMPUTED_VALUE"""),44948.0)</f>
        <v>44948</v>
      </c>
      <c r="H936" s="18" t="str">
        <f>IFERROR(__xludf.DUMMYFUNCTION("""COMPUTED_VALUE"""),"UPI")</f>
        <v>UPI</v>
      </c>
      <c r="I936" s="18" t="str">
        <f>IFERROR(__xludf.DUMMYFUNCTION("""COMPUTED_VALUE"""),"Delivered")</f>
        <v>Delivered</v>
      </c>
      <c r="J936" s="18" t="str">
        <f>IFERROR(__xludf.DUMMYFUNCTION("""COMPUTED_VALUE"""),"Convenience")</f>
        <v>Convenience</v>
      </c>
      <c r="K936" s="18" t="str">
        <f>IFERROR(__xludf.DUMMYFUNCTION("""COMPUTED_VALUE"""),"Easy tracking")</f>
        <v>Easy tracking</v>
      </c>
      <c r="L936" s="18">
        <f>iferror(VLOOKUP($D936,Details!$A$2:$C$11,2,false),vlookup($D936,Details!$E$2:$G$11,2,false))</f>
        <v>55</v>
      </c>
      <c r="M936" s="18" t="str">
        <f>iferror(VLOOKUP($D936,Details!$A$2:$C$11,3,false),vlookup($D936,Details!$E$2:$G$11,3,false))</f>
        <v>Fruits and Vegetables</v>
      </c>
      <c r="N936" s="18">
        <f t="shared" si="1"/>
        <v>55</v>
      </c>
      <c r="O936" s="17"/>
      <c r="P936" s="17"/>
      <c r="Q936" s="17"/>
      <c r="R936" s="17"/>
      <c r="S936" s="17"/>
      <c r="T936" s="17"/>
      <c r="U936" s="17"/>
      <c r="V936" s="17"/>
      <c r="W936" s="17"/>
      <c r="X936" s="17"/>
      <c r="Y936" s="17"/>
      <c r="Z936" s="17"/>
    </row>
    <row r="937">
      <c r="A937" s="18" t="str">
        <f>IFERROR(__xludf.DUMMYFUNCTION("""COMPUTED_VALUE"""),"ord_30918")</f>
        <v>ord_30918</v>
      </c>
      <c r="B937" s="18" t="str">
        <f>IFERROR(__xludf.DUMMYFUNCTION("""COMPUTED_VALUE"""),"Aarav Mehta")</f>
        <v>Aarav Mehta</v>
      </c>
      <c r="C937" s="18" t="str">
        <f>IFERROR(__xludf.DUMMYFUNCTION("""COMPUTED_VALUE"""),"Andheri")</f>
        <v>Andheri</v>
      </c>
      <c r="D937" s="18" t="str">
        <f>IFERROR(__xludf.DUMMYFUNCTION("""COMPUTED_VALUE"""),"Sweet Corn")</f>
        <v>Sweet Corn</v>
      </c>
      <c r="E937" s="18">
        <f>IFERROR(__xludf.DUMMYFUNCTION("""COMPUTED_VALUE"""),1.0)</f>
        <v>1</v>
      </c>
      <c r="F937" s="18" t="str">
        <f>IFERROR(__xludf.DUMMYFUNCTION("""COMPUTED_VALUE"""),"Rohan Yadav")</f>
        <v>Rohan Yadav</v>
      </c>
      <c r="G937" s="19">
        <f>IFERROR(__xludf.DUMMYFUNCTION("""COMPUTED_VALUE"""),45061.0)</f>
        <v>45061</v>
      </c>
      <c r="H937" s="18" t="str">
        <f>IFERROR(__xludf.DUMMYFUNCTION("""COMPUTED_VALUE"""),"Online Payment")</f>
        <v>Online Payment</v>
      </c>
      <c r="I937" s="18" t="str">
        <f>IFERROR(__xludf.DUMMYFUNCTION("""COMPUTED_VALUE"""),"Delivered")</f>
        <v>Delivered</v>
      </c>
      <c r="J937" s="18" t="str">
        <f>IFERROR(__xludf.DUMMYFUNCTION("""COMPUTED_VALUE"""),"Overall Satisfaction")</f>
        <v>Overall Satisfaction</v>
      </c>
      <c r="K937" s="18" t="str">
        <f>IFERROR(__xludf.DUMMYFUNCTION("""COMPUTED_VALUE"""),"Great service will order again")</f>
        <v>Great service will order again</v>
      </c>
      <c r="L937" s="18">
        <f>iferror(VLOOKUP($D937,Details!$A$2:$C$11,2,false),vlookup($D937,Details!$E$2:$G$11,2,false))</f>
        <v>60</v>
      </c>
      <c r="M937" s="18" t="str">
        <f>iferror(VLOOKUP($D937,Details!$A$2:$C$11,3,false),vlookup($D937,Details!$E$2:$G$11,3,false))</f>
        <v>Fruits and Vegetables</v>
      </c>
      <c r="N937" s="18">
        <f t="shared" si="1"/>
        <v>60</v>
      </c>
      <c r="O937" s="17"/>
      <c r="P937" s="17"/>
      <c r="Q937" s="17"/>
      <c r="R937" s="17"/>
      <c r="S937" s="17"/>
      <c r="T937" s="17"/>
      <c r="U937" s="17"/>
      <c r="V937" s="17"/>
      <c r="W937" s="17"/>
      <c r="X937" s="17"/>
      <c r="Y937" s="17"/>
      <c r="Z937" s="17"/>
    </row>
    <row r="938">
      <c r="A938" s="18" t="str">
        <f>IFERROR(__xludf.DUMMYFUNCTION("""COMPUTED_VALUE"""),"ord_30919")</f>
        <v>ord_30919</v>
      </c>
      <c r="B938" s="18" t="str">
        <f>IFERROR(__xludf.DUMMYFUNCTION("""COMPUTED_VALUE"""),"Siya Reddy")</f>
        <v>Siya Reddy</v>
      </c>
      <c r="C938" s="18" t="str">
        <f>IFERROR(__xludf.DUMMYFUNCTION("""COMPUTED_VALUE"""),"Juhu")</f>
        <v>Juhu</v>
      </c>
      <c r="D938" s="18" t="str">
        <f>IFERROR(__xludf.DUMMYFUNCTION("""COMPUTED_VALUE"""),"Veg Puff")</f>
        <v>Veg Puff</v>
      </c>
      <c r="E938" s="18">
        <f>IFERROR(__xludf.DUMMYFUNCTION("""COMPUTED_VALUE"""),4.0)</f>
        <v>4</v>
      </c>
      <c r="F938" s="18" t="str">
        <f>IFERROR(__xludf.DUMMYFUNCTION("""COMPUTED_VALUE"""),"Tanvi Jain")</f>
        <v>Tanvi Jain</v>
      </c>
      <c r="G938" s="19">
        <f>IFERROR(__xludf.DUMMYFUNCTION("""COMPUTED_VALUE"""),45083.0)</f>
        <v>45083</v>
      </c>
      <c r="H938" s="18" t="str">
        <f>IFERROR(__xludf.DUMMYFUNCTION("""COMPUTED_VALUE"""),"Credit Card")</f>
        <v>Credit Card</v>
      </c>
      <c r="I938" s="18" t="str">
        <f>IFERROR(__xludf.DUMMYFUNCTION("""COMPUTED_VALUE"""),"Cancelled")</f>
        <v>Cancelled</v>
      </c>
      <c r="J938" s="18" t="str">
        <f>IFERROR(__xludf.DUMMYFUNCTION("""COMPUTED_VALUE"""),"Delayed Delivery")</f>
        <v>Delayed Delivery</v>
      </c>
      <c r="K938" s="18" t="str">
        <f>IFERROR(__xludf.DUMMYFUNCTION("""COMPUTED_VALUE"""),"Heavy Traffic")</f>
        <v>Heavy Traffic</v>
      </c>
      <c r="L938" s="18">
        <f>iferror(VLOOKUP($D938,Details!$A$2:$C$11,2,false),vlookup($D938,Details!$E$2:$G$11,2,false))</f>
        <v>80</v>
      </c>
      <c r="M938" s="18" t="str">
        <f>iferror(VLOOKUP($D938,Details!$A$2:$C$11,3,false),vlookup($D938,Details!$E$2:$G$11,3,false))</f>
        <v>Snacks and Drinks</v>
      </c>
      <c r="N938" s="18">
        <f t="shared" si="1"/>
        <v>320</v>
      </c>
      <c r="O938" s="17"/>
      <c r="P938" s="17"/>
      <c r="Q938" s="17"/>
      <c r="R938" s="17"/>
      <c r="S938" s="17"/>
      <c r="T938" s="17"/>
      <c r="U938" s="17"/>
      <c r="V938" s="17"/>
      <c r="W938" s="17"/>
      <c r="X938" s="17"/>
      <c r="Y938" s="17"/>
      <c r="Z938" s="17"/>
    </row>
    <row r="939">
      <c r="A939" s="18" t="str">
        <f>IFERROR(__xludf.DUMMYFUNCTION("""COMPUTED_VALUE"""),"ord_30920")</f>
        <v>ord_30920</v>
      </c>
      <c r="B939" s="18" t="str">
        <f>IFERROR(__xludf.DUMMYFUNCTION("""COMPUTED_VALUE"""),"Parth Goel")</f>
        <v>Parth Goel</v>
      </c>
      <c r="C939" s="18" t="str">
        <f>IFERROR(__xludf.DUMMYFUNCTION("""COMPUTED_VALUE"""),"Juhu")</f>
        <v>Juhu</v>
      </c>
      <c r="D939" s="18" t="str">
        <f>IFERROR(__xludf.DUMMYFUNCTION("""COMPUTED_VALUE"""),"Banana")</f>
        <v>Banana</v>
      </c>
      <c r="E939" s="18">
        <f>IFERROR(__xludf.DUMMYFUNCTION("""COMPUTED_VALUE"""),2.0)</f>
        <v>2</v>
      </c>
      <c r="F939" s="18" t="str">
        <f>IFERROR(__xludf.DUMMYFUNCTION("""COMPUTED_VALUE"""),"Tanvi Jain")</f>
        <v>Tanvi Jain</v>
      </c>
      <c r="G939" s="19">
        <f>IFERROR(__xludf.DUMMYFUNCTION("""COMPUTED_VALUE"""),45119.0)</f>
        <v>45119</v>
      </c>
      <c r="H939" s="18" t="str">
        <f>IFERROR(__xludf.DUMMYFUNCTION("""COMPUTED_VALUE"""),"UPI")</f>
        <v>UPI</v>
      </c>
      <c r="I939" s="18" t="str">
        <f>IFERROR(__xludf.DUMMYFUNCTION("""COMPUTED_VALUE"""),"Delivered")</f>
        <v>Delivered</v>
      </c>
      <c r="J939" s="18" t="str">
        <f>IFERROR(__xludf.DUMMYFUNCTION("""COMPUTED_VALUE"""),"On-time Delivery")</f>
        <v>On-time Delivery</v>
      </c>
      <c r="K939" s="18" t="str">
        <f>IFERROR(__xludf.DUMMYFUNCTION("""COMPUTED_VALUE"""),"Delivered on time")</f>
        <v>Delivered on time</v>
      </c>
      <c r="L939" s="18">
        <f>iferror(VLOOKUP($D939,Details!$A$2:$C$11,2,false),vlookup($D939,Details!$E$2:$G$11,2,false))</f>
        <v>80</v>
      </c>
      <c r="M939" s="18" t="str">
        <f>iferror(VLOOKUP($D939,Details!$A$2:$C$11,3,false),vlookup($D939,Details!$E$2:$G$11,3,false))</f>
        <v>Fruits and Vegetables</v>
      </c>
      <c r="N939" s="18">
        <f t="shared" si="1"/>
        <v>160</v>
      </c>
      <c r="O939" s="17"/>
      <c r="P939" s="17"/>
      <c r="Q939" s="17"/>
      <c r="R939" s="17"/>
      <c r="S939" s="17"/>
      <c r="T939" s="17"/>
      <c r="U939" s="17"/>
      <c r="V939" s="17"/>
      <c r="W939" s="17"/>
      <c r="X939" s="17"/>
      <c r="Y939" s="17"/>
      <c r="Z939" s="17"/>
    </row>
    <row r="940">
      <c r="A940" s="18" t="str">
        <f>IFERROR(__xludf.DUMMYFUNCTION("""COMPUTED_VALUE"""),"ord_30921")</f>
        <v>ord_30921</v>
      </c>
      <c r="B940" s="18" t="str">
        <f>IFERROR(__xludf.DUMMYFUNCTION("""COMPUTED_VALUE"""),"Dev Chauhan")</f>
        <v>Dev Chauhan</v>
      </c>
      <c r="C940" s="18" t="str">
        <f>IFERROR(__xludf.DUMMYFUNCTION("""COMPUTED_VALUE"""),"Bandra")</f>
        <v>Bandra</v>
      </c>
      <c r="D940" s="18" t="str">
        <f>IFERROR(__xludf.DUMMYFUNCTION("""COMPUTED_VALUE"""),"Tiramisu")</f>
        <v>Tiramisu</v>
      </c>
      <c r="E940" s="18">
        <f>IFERROR(__xludf.DUMMYFUNCTION("""COMPUTED_VALUE"""),4.0)</f>
        <v>4</v>
      </c>
      <c r="F940" s="18" t="str">
        <f>IFERROR(__xludf.DUMMYFUNCTION("""COMPUTED_VALUE"""),"Priya Joshi")</f>
        <v>Priya Joshi</v>
      </c>
      <c r="G940" s="19">
        <f>IFERROR(__xludf.DUMMYFUNCTION("""COMPUTED_VALUE"""),44934.0)</f>
        <v>44934</v>
      </c>
      <c r="H940" s="18" t="str">
        <f>IFERROR(__xludf.DUMMYFUNCTION("""COMPUTED_VALUE"""),"UPI")</f>
        <v>UPI</v>
      </c>
      <c r="I940" s="18" t="str">
        <f>IFERROR(__xludf.DUMMYFUNCTION("""COMPUTED_VALUE"""),"Delivered")</f>
        <v>Delivered</v>
      </c>
      <c r="J940" s="18" t="str">
        <f>IFERROR(__xludf.DUMMYFUNCTION("""COMPUTED_VALUE"""),"Quality of Items")</f>
        <v>Quality of Items</v>
      </c>
      <c r="K940" s="18" t="str">
        <f>IFERROR(__xludf.DUMMYFUNCTION("""COMPUTED_VALUE"""),"Perfect condition")</f>
        <v>Perfect condition</v>
      </c>
      <c r="L940" s="18">
        <f>iferror(VLOOKUP($D940,Details!$A$2:$C$11,2,false),vlookup($D940,Details!$E$2:$G$11,2,false))</f>
        <v>150</v>
      </c>
      <c r="M940" s="18" t="str">
        <f>iferror(VLOOKUP($D940,Details!$A$2:$C$11,3,false),vlookup($D940,Details!$E$2:$G$11,3,false))</f>
        <v>Snacks and Drinks</v>
      </c>
      <c r="N940" s="18">
        <f t="shared" si="1"/>
        <v>600</v>
      </c>
      <c r="O940" s="17"/>
      <c r="P940" s="17"/>
      <c r="Q940" s="17"/>
      <c r="R940" s="17"/>
      <c r="S940" s="17"/>
      <c r="T940" s="17"/>
      <c r="U940" s="17"/>
      <c r="V940" s="17"/>
      <c r="W940" s="17"/>
      <c r="X940" s="17"/>
      <c r="Y940" s="17"/>
      <c r="Z940" s="17"/>
    </row>
    <row r="941">
      <c r="A941" s="18" t="str">
        <f>IFERROR(__xludf.DUMMYFUNCTION("""COMPUTED_VALUE"""),"ord_30922")</f>
        <v>ord_30922</v>
      </c>
      <c r="B941" s="18" t="str">
        <f>IFERROR(__xludf.DUMMYFUNCTION("""COMPUTED_VALUE"""),"Siya Reddy")</f>
        <v>Siya Reddy</v>
      </c>
      <c r="C941" s="18" t="str">
        <f>IFERROR(__xludf.DUMMYFUNCTION("""COMPUTED_VALUE"""),"Juhu")</f>
        <v>Juhu</v>
      </c>
      <c r="D941" s="18" t="str">
        <f>IFERROR(__xludf.DUMMYFUNCTION("""COMPUTED_VALUE"""),"Icecream")</f>
        <v>Icecream</v>
      </c>
      <c r="E941" s="18">
        <f>IFERROR(__xludf.DUMMYFUNCTION("""COMPUTED_VALUE"""),5.0)</f>
        <v>5</v>
      </c>
      <c r="F941" s="18" t="str">
        <f>IFERROR(__xludf.DUMMYFUNCTION("""COMPUTED_VALUE"""),"Vivek Kumar")</f>
        <v>Vivek Kumar</v>
      </c>
      <c r="G941" s="19">
        <f>IFERROR(__xludf.DUMMYFUNCTION("""COMPUTED_VALUE"""),45098.0)</f>
        <v>45098</v>
      </c>
      <c r="H941" s="18" t="str">
        <f>IFERROR(__xludf.DUMMYFUNCTION("""COMPUTED_VALUE"""),"Online Payment")</f>
        <v>Online Payment</v>
      </c>
      <c r="I941" s="18" t="str">
        <f>IFERROR(__xludf.DUMMYFUNCTION("""COMPUTED_VALUE"""),"Cancelled")</f>
        <v>Cancelled</v>
      </c>
      <c r="J941" s="18" t="str">
        <f>IFERROR(__xludf.DUMMYFUNCTION("""COMPUTED_VALUE"""),"Delayed Delivery")</f>
        <v>Delayed Delivery</v>
      </c>
      <c r="K941" s="18" t="str">
        <f>IFERROR(__xludf.DUMMYFUNCTION("""COMPUTED_VALUE"""),"Vehicle Breakdown")</f>
        <v>Vehicle Breakdown</v>
      </c>
      <c r="L941" s="18">
        <f>iferror(VLOOKUP($D941,Details!$A$2:$C$11,2,false),vlookup($D941,Details!$E$2:$G$11,2,false))</f>
        <v>90</v>
      </c>
      <c r="M941" s="18" t="str">
        <f>iferror(VLOOKUP($D941,Details!$A$2:$C$11,3,false),vlookup($D941,Details!$E$2:$G$11,3,false))</f>
        <v>Snacks and Drinks</v>
      </c>
      <c r="N941" s="18">
        <f t="shared" si="1"/>
        <v>450</v>
      </c>
      <c r="O941" s="17"/>
      <c r="P941" s="17"/>
      <c r="Q941" s="17"/>
      <c r="R941" s="17"/>
      <c r="S941" s="17"/>
      <c r="T941" s="17"/>
      <c r="U941" s="17"/>
      <c r="V941" s="17"/>
      <c r="W941" s="17"/>
      <c r="X941" s="17"/>
      <c r="Y941" s="17"/>
      <c r="Z941" s="17"/>
    </row>
    <row r="942">
      <c r="A942" s="18" t="str">
        <f>IFERROR(__xludf.DUMMYFUNCTION("""COMPUTED_VALUE"""),"ord_30923")</f>
        <v>ord_30923</v>
      </c>
      <c r="B942" s="18" t="str">
        <f>IFERROR(__xludf.DUMMYFUNCTION("""COMPUTED_VALUE"""),"Dev Chauhan")</f>
        <v>Dev Chauhan</v>
      </c>
      <c r="C942" s="18" t="str">
        <f>IFERROR(__xludf.DUMMYFUNCTION("""COMPUTED_VALUE"""),"Bandra")</f>
        <v>Bandra</v>
      </c>
      <c r="D942" s="18" t="str">
        <f>IFERROR(__xludf.DUMMYFUNCTION("""COMPUTED_VALUE"""),"Chilli Cheese Toast")</f>
        <v>Chilli Cheese Toast</v>
      </c>
      <c r="E942" s="18">
        <f>IFERROR(__xludf.DUMMYFUNCTION("""COMPUTED_VALUE"""),3.0)</f>
        <v>3</v>
      </c>
      <c r="F942" s="18" t="str">
        <f>IFERROR(__xludf.DUMMYFUNCTION("""COMPUTED_VALUE"""),"Priya Joshi")</f>
        <v>Priya Joshi</v>
      </c>
      <c r="G942" s="19">
        <f>IFERROR(__xludf.DUMMYFUNCTION("""COMPUTED_VALUE"""),45051.0)</f>
        <v>45051</v>
      </c>
      <c r="H942" s="18" t="str">
        <f>IFERROR(__xludf.DUMMYFUNCTION("""COMPUTED_VALUE"""),"Credit Card")</f>
        <v>Credit Card</v>
      </c>
      <c r="I942" s="18" t="str">
        <f>IFERROR(__xludf.DUMMYFUNCTION("""COMPUTED_VALUE"""),"Delivered")</f>
        <v>Delivered</v>
      </c>
      <c r="J942" s="18" t="str">
        <f>IFERROR(__xludf.DUMMYFUNCTION("""COMPUTED_VALUE"""),"On-time Delivery")</f>
        <v>On-time Delivery</v>
      </c>
      <c r="K942" s="18" t="str">
        <f>IFERROR(__xludf.DUMMYFUNCTION("""COMPUTED_VALUE"""),"Delivered on time")</f>
        <v>Delivered on time</v>
      </c>
      <c r="L942" s="18">
        <f>iferror(VLOOKUP($D942,Details!$A$2:$C$11,2,false),vlookup($D942,Details!$E$2:$G$11,2,false))</f>
        <v>80</v>
      </c>
      <c r="M942" s="18" t="str">
        <f>iferror(VLOOKUP($D942,Details!$A$2:$C$11,3,false),vlookup($D942,Details!$E$2:$G$11,3,false))</f>
        <v>Snacks and Drinks</v>
      </c>
      <c r="N942" s="18">
        <f t="shared" si="1"/>
        <v>240</v>
      </c>
      <c r="O942" s="17"/>
      <c r="P942" s="17"/>
      <c r="Q942" s="17"/>
      <c r="R942" s="17"/>
      <c r="S942" s="17"/>
      <c r="T942" s="17"/>
      <c r="U942" s="17"/>
      <c r="V942" s="17"/>
      <c r="W942" s="17"/>
      <c r="X942" s="17"/>
      <c r="Y942" s="17"/>
      <c r="Z942" s="17"/>
    </row>
    <row r="943">
      <c r="A943" s="18" t="str">
        <f>IFERROR(__xludf.DUMMYFUNCTION("""COMPUTED_VALUE"""),"ord_30924")</f>
        <v>ord_30924</v>
      </c>
      <c r="B943" s="18" t="str">
        <f>IFERROR(__xludf.DUMMYFUNCTION("""COMPUTED_VALUE"""),"Arvind Kulkarni")</f>
        <v>Arvind Kulkarni</v>
      </c>
      <c r="C943" s="18" t="str">
        <f>IFERROR(__xludf.DUMMYFUNCTION("""COMPUTED_VALUE"""),"Juhu")</f>
        <v>Juhu</v>
      </c>
      <c r="D943" s="18" t="str">
        <f>IFERROR(__xludf.DUMMYFUNCTION("""COMPUTED_VALUE"""),"Apple")</f>
        <v>Apple</v>
      </c>
      <c r="E943" s="18">
        <f>IFERROR(__xludf.DUMMYFUNCTION("""COMPUTED_VALUE"""),1.0)</f>
        <v>1</v>
      </c>
      <c r="F943" s="18" t="str">
        <f>IFERROR(__xludf.DUMMYFUNCTION("""COMPUTED_VALUE"""),"Kiran Mehta")</f>
        <v>Kiran Mehta</v>
      </c>
      <c r="G943" s="19">
        <f>IFERROR(__xludf.DUMMYFUNCTION("""COMPUTED_VALUE"""),45164.0)</f>
        <v>45164</v>
      </c>
      <c r="H943" s="18" t="str">
        <f>IFERROR(__xludf.DUMMYFUNCTION("""COMPUTED_VALUE"""),"Credit Card")</f>
        <v>Credit Card</v>
      </c>
      <c r="I943" s="18" t="str">
        <f>IFERROR(__xludf.DUMMYFUNCTION("""COMPUTED_VALUE"""),"Cancelled")</f>
        <v>Cancelled</v>
      </c>
      <c r="J943" s="18" t="str">
        <f>IFERROR(__xludf.DUMMYFUNCTION("""COMPUTED_VALUE"""),"Delayed Delivery")</f>
        <v>Delayed Delivery</v>
      </c>
      <c r="K943" s="18" t="str">
        <f>IFERROR(__xludf.DUMMYFUNCTION("""COMPUTED_VALUE"""),"Heavy Traffic")</f>
        <v>Heavy Traffic</v>
      </c>
      <c r="L943" s="18">
        <f>iferror(VLOOKUP($D943,Details!$A$2:$C$11,2,false),vlookup($D943,Details!$E$2:$G$11,2,false))</f>
        <v>230</v>
      </c>
      <c r="M943" s="18" t="str">
        <f>iferror(VLOOKUP($D943,Details!$A$2:$C$11,3,false),vlookup($D943,Details!$E$2:$G$11,3,false))</f>
        <v>Fruits and Vegetables</v>
      </c>
      <c r="N943" s="18">
        <f t="shared" si="1"/>
        <v>230</v>
      </c>
      <c r="O943" s="17"/>
      <c r="P943" s="17"/>
      <c r="Q943" s="17"/>
      <c r="R943" s="17"/>
      <c r="S943" s="17"/>
      <c r="T943" s="17"/>
      <c r="U943" s="17"/>
      <c r="V943" s="17"/>
      <c r="W943" s="17"/>
      <c r="X943" s="17"/>
      <c r="Y943" s="17"/>
      <c r="Z943" s="17"/>
    </row>
    <row r="944">
      <c r="A944" s="18" t="str">
        <f>IFERROR(__xludf.DUMMYFUNCTION("""COMPUTED_VALUE"""),"ord_30925")</f>
        <v>ord_30925</v>
      </c>
      <c r="B944" s="18" t="str">
        <f>IFERROR(__xludf.DUMMYFUNCTION("""COMPUTED_VALUE"""),"Mehul Thakkar")</f>
        <v>Mehul Thakkar</v>
      </c>
      <c r="C944" s="18" t="str">
        <f>IFERROR(__xludf.DUMMYFUNCTION("""COMPUTED_VALUE"""),"Dadar")</f>
        <v>Dadar</v>
      </c>
      <c r="D944" s="18" t="str">
        <f>IFERROR(__xludf.DUMMYFUNCTION("""COMPUTED_VALUE"""),"Cucumber")</f>
        <v>Cucumber</v>
      </c>
      <c r="E944" s="18">
        <f>IFERROR(__xludf.DUMMYFUNCTION("""COMPUTED_VALUE"""),1.0)</f>
        <v>1</v>
      </c>
      <c r="F944" s="18" t="str">
        <f>IFERROR(__xludf.DUMMYFUNCTION("""COMPUTED_VALUE"""),"Aman Kumar")</f>
        <v>Aman Kumar</v>
      </c>
      <c r="G944" s="19">
        <f>IFERROR(__xludf.DUMMYFUNCTION("""COMPUTED_VALUE"""),45033.0)</f>
        <v>45033</v>
      </c>
      <c r="H944" s="18" t="str">
        <f>IFERROR(__xludf.DUMMYFUNCTION("""COMPUTED_VALUE"""),"Online Payment")</f>
        <v>Online Payment</v>
      </c>
      <c r="I944" s="18" t="str">
        <f>IFERROR(__xludf.DUMMYFUNCTION("""COMPUTED_VALUE"""),"Delivered")</f>
        <v>Delivered</v>
      </c>
      <c r="J944" s="18" t="str">
        <f>IFERROR(__xludf.DUMMYFUNCTION("""COMPUTED_VALUE"""),"Quality of Items")</f>
        <v>Quality of Items</v>
      </c>
      <c r="K944" s="18" t="str">
        <f>IFERROR(__xludf.DUMMYFUNCTION("""COMPUTED_VALUE"""),"Perfect condition")</f>
        <v>Perfect condition</v>
      </c>
      <c r="L944" s="18">
        <f>iferror(VLOOKUP($D944,Details!$A$2:$C$11,2,false),vlookup($D944,Details!$E$2:$G$11,2,false))</f>
        <v>30</v>
      </c>
      <c r="M944" s="18" t="str">
        <f>iferror(VLOOKUP($D944,Details!$A$2:$C$11,3,false),vlookup($D944,Details!$E$2:$G$11,3,false))</f>
        <v>Fruits and Vegetables</v>
      </c>
      <c r="N944" s="18">
        <f t="shared" si="1"/>
        <v>30</v>
      </c>
      <c r="O944" s="17"/>
      <c r="P944" s="17"/>
      <c r="Q944" s="17"/>
      <c r="R944" s="17"/>
      <c r="S944" s="17"/>
      <c r="T944" s="17"/>
      <c r="U944" s="17"/>
      <c r="V944" s="17"/>
      <c r="W944" s="17"/>
      <c r="X944" s="17"/>
      <c r="Y944" s="17"/>
      <c r="Z944" s="17"/>
    </row>
    <row r="945">
      <c r="A945" s="18" t="str">
        <f>IFERROR(__xludf.DUMMYFUNCTION("""COMPUTED_VALUE"""),"ord_30926")</f>
        <v>ord_30926</v>
      </c>
      <c r="B945" s="18" t="str">
        <f>IFERROR(__xludf.DUMMYFUNCTION("""COMPUTED_VALUE"""),"Aditi Iyer")</f>
        <v>Aditi Iyer</v>
      </c>
      <c r="C945" s="18" t="str">
        <f>IFERROR(__xludf.DUMMYFUNCTION("""COMPUTED_VALUE"""),"Bandra")</f>
        <v>Bandra</v>
      </c>
      <c r="D945" s="18" t="str">
        <f>IFERROR(__xludf.DUMMYFUNCTION("""COMPUTED_VALUE"""),"Rasmalai")</f>
        <v>Rasmalai</v>
      </c>
      <c r="E945" s="18">
        <f>IFERROR(__xludf.DUMMYFUNCTION("""COMPUTED_VALUE"""),3.0)</f>
        <v>3</v>
      </c>
      <c r="F945" s="18" t="str">
        <f>IFERROR(__xludf.DUMMYFUNCTION("""COMPUTED_VALUE"""),"Priya Joshi")</f>
        <v>Priya Joshi</v>
      </c>
      <c r="G945" s="19">
        <f>IFERROR(__xludf.DUMMYFUNCTION("""COMPUTED_VALUE"""),45227.0)</f>
        <v>45227</v>
      </c>
      <c r="H945" s="18" t="str">
        <f>IFERROR(__xludf.DUMMYFUNCTION("""COMPUTED_VALUE"""),"Online Payment")</f>
        <v>Online Payment</v>
      </c>
      <c r="I945" s="18" t="str">
        <f>IFERROR(__xludf.DUMMYFUNCTION("""COMPUTED_VALUE"""),"Delivered")</f>
        <v>Delivered</v>
      </c>
      <c r="J945" s="18" t="str">
        <f>IFERROR(__xludf.DUMMYFUNCTION("""COMPUTED_VALUE"""),"Packaging")</f>
        <v>Packaging</v>
      </c>
      <c r="K945" s="18" t="str">
        <f>IFERROR(__xludf.DUMMYFUNCTION("""COMPUTED_VALUE"""),"Secure and intact")</f>
        <v>Secure and intact</v>
      </c>
      <c r="L945" s="18">
        <f>iferror(VLOOKUP($D945,Details!$A$2:$C$11,2,false),vlookup($D945,Details!$E$2:$G$11,2,false))</f>
        <v>110</v>
      </c>
      <c r="M945" s="18" t="str">
        <f>iferror(VLOOKUP($D945,Details!$A$2:$C$11,3,false),vlookup($D945,Details!$E$2:$G$11,3,false))</f>
        <v>Snacks and Drinks</v>
      </c>
      <c r="N945" s="18">
        <f t="shared" si="1"/>
        <v>330</v>
      </c>
      <c r="O945" s="17"/>
      <c r="P945" s="17"/>
      <c r="Q945" s="17"/>
      <c r="R945" s="17"/>
      <c r="S945" s="17"/>
      <c r="T945" s="17"/>
      <c r="U945" s="17"/>
      <c r="V945" s="17"/>
      <c r="W945" s="17"/>
      <c r="X945" s="17"/>
      <c r="Y945" s="17"/>
      <c r="Z945" s="17"/>
    </row>
    <row r="946">
      <c r="A946" s="18" t="str">
        <f>IFERROR(__xludf.DUMMYFUNCTION("""COMPUTED_VALUE"""),"ord_30927")</f>
        <v>ord_30927</v>
      </c>
      <c r="B946" s="18" t="str">
        <f>IFERROR(__xludf.DUMMYFUNCTION("""COMPUTED_VALUE"""),"Aditi Iyer")</f>
        <v>Aditi Iyer</v>
      </c>
      <c r="C946" s="18" t="str">
        <f>IFERROR(__xludf.DUMMYFUNCTION("""COMPUTED_VALUE"""),"Dadar")</f>
        <v>Dadar</v>
      </c>
      <c r="D946" s="18" t="str">
        <f>IFERROR(__xludf.DUMMYFUNCTION("""COMPUTED_VALUE"""),"Sweet Corn")</f>
        <v>Sweet Corn</v>
      </c>
      <c r="E946" s="18">
        <f>IFERROR(__xludf.DUMMYFUNCTION("""COMPUTED_VALUE"""),2.0)</f>
        <v>2</v>
      </c>
      <c r="F946" s="18" t="str">
        <f>IFERROR(__xludf.DUMMYFUNCTION("""COMPUTED_VALUE"""),"Aman Kumar")</f>
        <v>Aman Kumar</v>
      </c>
      <c r="G946" s="19">
        <f>IFERROR(__xludf.DUMMYFUNCTION("""COMPUTED_VALUE"""),44939.0)</f>
        <v>44939</v>
      </c>
      <c r="H946" s="18" t="str">
        <f>IFERROR(__xludf.DUMMYFUNCTION("""COMPUTED_VALUE"""),"UPI")</f>
        <v>UPI</v>
      </c>
      <c r="I946" s="18" t="str">
        <f>IFERROR(__xludf.DUMMYFUNCTION("""COMPUTED_VALUE"""),"Delivered")</f>
        <v>Delivered</v>
      </c>
      <c r="J946" s="18" t="str">
        <f>IFERROR(__xludf.DUMMYFUNCTION("""COMPUTED_VALUE"""),"Satisfied with the Delivery")</f>
        <v>Satisfied with the Delivery</v>
      </c>
      <c r="K946" s="18" t="str">
        <f>IFERROR(__xludf.DUMMYFUNCTION("""COMPUTED_VALUE"""),"Timely and quality")</f>
        <v>Timely and quality</v>
      </c>
      <c r="L946" s="18">
        <f>iferror(VLOOKUP($D946,Details!$A$2:$C$11,2,false),vlookup($D946,Details!$E$2:$G$11,2,false))</f>
        <v>60</v>
      </c>
      <c r="M946" s="18" t="str">
        <f>iferror(VLOOKUP($D946,Details!$A$2:$C$11,3,false),vlookup($D946,Details!$E$2:$G$11,3,false))</f>
        <v>Fruits and Vegetables</v>
      </c>
      <c r="N946" s="18">
        <f t="shared" si="1"/>
        <v>120</v>
      </c>
      <c r="O946" s="17"/>
      <c r="P946" s="17"/>
      <c r="Q946" s="17"/>
      <c r="R946" s="17"/>
      <c r="S946" s="17"/>
      <c r="T946" s="17"/>
      <c r="U946" s="17"/>
      <c r="V946" s="17"/>
      <c r="W946" s="17"/>
      <c r="X946" s="17"/>
      <c r="Y946" s="17"/>
      <c r="Z946" s="17"/>
    </row>
    <row r="947">
      <c r="A947" s="18" t="str">
        <f>IFERROR(__xludf.DUMMYFUNCTION("""COMPUTED_VALUE"""),"ord_30928")</f>
        <v>ord_30928</v>
      </c>
      <c r="B947" s="18" t="str">
        <f>IFERROR(__xludf.DUMMYFUNCTION("""COMPUTED_VALUE"""),"Ishita Banerjee")</f>
        <v>Ishita Banerjee</v>
      </c>
      <c r="C947" s="18" t="str">
        <f>IFERROR(__xludf.DUMMYFUNCTION("""COMPUTED_VALUE"""),"Juhu")</f>
        <v>Juhu</v>
      </c>
      <c r="D947" s="18" t="str">
        <f>IFERROR(__xludf.DUMMYFUNCTION("""COMPUTED_VALUE"""),"Veg Puff")</f>
        <v>Veg Puff</v>
      </c>
      <c r="E947" s="18">
        <f>IFERROR(__xludf.DUMMYFUNCTION("""COMPUTED_VALUE"""),3.0)</f>
        <v>3</v>
      </c>
      <c r="F947" s="18" t="str">
        <f>IFERROR(__xludf.DUMMYFUNCTION("""COMPUTED_VALUE"""),"Tanvi Jain")</f>
        <v>Tanvi Jain</v>
      </c>
      <c r="G947" s="19">
        <f>IFERROR(__xludf.DUMMYFUNCTION("""COMPUTED_VALUE"""),45235.0)</f>
        <v>45235</v>
      </c>
      <c r="H947" s="18" t="str">
        <f>IFERROR(__xludf.DUMMYFUNCTION("""COMPUTED_VALUE"""),"COD")</f>
        <v>COD</v>
      </c>
      <c r="I947" s="18" t="str">
        <f>IFERROR(__xludf.DUMMYFUNCTION("""COMPUTED_VALUE"""),"Delivered")</f>
        <v>Delivered</v>
      </c>
      <c r="J947" s="18" t="str">
        <f>IFERROR(__xludf.DUMMYFUNCTION("""COMPUTED_VALUE"""),"Customer Service")</f>
        <v>Customer Service</v>
      </c>
      <c r="K947" s="18" t="str">
        <f>IFERROR(__xludf.DUMMYFUNCTION("""COMPUTED_VALUE"""),"Seamless and easy")</f>
        <v>Seamless and easy</v>
      </c>
      <c r="L947" s="18">
        <f>iferror(VLOOKUP($D947,Details!$A$2:$C$11,2,false),vlookup($D947,Details!$E$2:$G$11,2,false))</f>
        <v>80</v>
      </c>
      <c r="M947" s="18" t="str">
        <f>iferror(VLOOKUP($D947,Details!$A$2:$C$11,3,false),vlookup($D947,Details!$E$2:$G$11,3,false))</f>
        <v>Snacks and Drinks</v>
      </c>
      <c r="N947" s="18">
        <f t="shared" si="1"/>
        <v>240</v>
      </c>
      <c r="O947" s="17"/>
      <c r="P947" s="17"/>
      <c r="Q947" s="17"/>
      <c r="R947" s="17"/>
      <c r="S947" s="17"/>
      <c r="T947" s="17"/>
      <c r="U947" s="17"/>
      <c r="V947" s="17"/>
      <c r="W947" s="17"/>
      <c r="X947" s="17"/>
      <c r="Y947" s="17"/>
      <c r="Z947" s="17"/>
    </row>
    <row r="948">
      <c r="A948" s="18" t="str">
        <f>IFERROR(__xludf.DUMMYFUNCTION("""COMPUTED_VALUE"""),"ord_30929")</f>
        <v>ord_30929</v>
      </c>
      <c r="B948" s="18" t="str">
        <f>IFERROR(__xludf.DUMMYFUNCTION("""COMPUTED_VALUE"""),"Diya Arora")</f>
        <v>Diya Arora</v>
      </c>
      <c r="C948" s="18" t="str">
        <f>IFERROR(__xludf.DUMMYFUNCTION("""COMPUTED_VALUE"""),"Lower Parel")</f>
        <v>Lower Parel</v>
      </c>
      <c r="D948" s="18" t="str">
        <f>IFERROR(__xludf.DUMMYFUNCTION("""COMPUTED_VALUE"""),"Potato")</f>
        <v>Potato</v>
      </c>
      <c r="E948" s="18">
        <f>IFERROR(__xludf.DUMMYFUNCTION("""COMPUTED_VALUE"""),2.0)</f>
        <v>2</v>
      </c>
      <c r="F948" s="18" t="str">
        <f>IFERROR(__xludf.DUMMYFUNCTION("""COMPUTED_VALUE"""),"Kiran Mehta")</f>
        <v>Kiran Mehta</v>
      </c>
      <c r="G948" s="19">
        <f>IFERROR(__xludf.DUMMYFUNCTION("""COMPUTED_VALUE"""),45239.0)</f>
        <v>45239</v>
      </c>
      <c r="H948" s="18" t="str">
        <f>IFERROR(__xludf.DUMMYFUNCTION("""COMPUTED_VALUE"""),"Credit Card")</f>
        <v>Credit Card</v>
      </c>
      <c r="I948" s="18" t="str">
        <f>IFERROR(__xludf.DUMMYFUNCTION("""COMPUTED_VALUE"""),"Delivered")</f>
        <v>Delivered</v>
      </c>
      <c r="J948" s="18" t="str">
        <f>IFERROR(__xludf.DUMMYFUNCTION("""COMPUTED_VALUE"""),"Delivery Experience")</f>
        <v>Delivery Experience</v>
      </c>
      <c r="K948" s="18" t="str">
        <f>IFERROR(__xludf.DUMMYFUNCTION("""COMPUTED_VALUE"""),"Quick and professional")</f>
        <v>Quick and professional</v>
      </c>
      <c r="L948" s="18">
        <f>iferror(VLOOKUP($D948,Details!$A$2:$C$11,2,false),vlookup($D948,Details!$E$2:$G$11,2,false))</f>
        <v>55</v>
      </c>
      <c r="M948" s="18" t="str">
        <f>iferror(VLOOKUP($D948,Details!$A$2:$C$11,3,false),vlookup($D948,Details!$E$2:$G$11,3,false))</f>
        <v>Fruits and Vegetables</v>
      </c>
      <c r="N948" s="18">
        <f t="shared" si="1"/>
        <v>110</v>
      </c>
      <c r="O948" s="17"/>
      <c r="P948" s="17"/>
      <c r="Q948" s="17"/>
      <c r="R948" s="17"/>
      <c r="S948" s="17"/>
      <c r="T948" s="17"/>
      <c r="U948" s="17"/>
      <c r="V948" s="17"/>
      <c r="W948" s="17"/>
      <c r="X948" s="17"/>
      <c r="Y948" s="17"/>
      <c r="Z948" s="17"/>
    </row>
    <row r="949">
      <c r="A949" s="18" t="str">
        <f>IFERROR(__xludf.DUMMYFUNCTION("""COMPUTED_VALUE"""),"ord_30930")</f>
        <v>ord_30930</v>
      </c>
      <c r="B949" s="18" t="str">
        <f>IFERROR(__xludf.DUMMYFUNCTION("""COMPUTED_VALUE"""),"Mohit Malhotra")</f>
        <v>Mohit Malhotra</v>
      </c>
      <c r="C949" s="18" t="str">
        <f>IFERROR(__xludf.DUMMYFUNCTION("""COMPUTED_VALUE"""),"Lower Parel")</f>
        <v>Lower Parel</v>
      </c>
      <c r="D949" s="18" t="str">
        <f>IFERROR(__xludf.DUMMYFUNCTION("""COMPUTED_VALUE"""),"Potato")</f>
        <v>Potato</v>
      </c>
      <c r="E949" s="18">
        <f>IFERROR(__xludf.DUMMYFUNCTION("""COMPUTED_VALUE"""),2.0)</f>
        <v>2</v>
      </c>
      <c r="F949" s="18" t="str">
        <f>IFERROR(__xludf.DUMMYFUNCTION("""COMPUTED_VALUE"""),"Kiran Mehta")</f>
        <v>Kiran Mehta</v>
      </c>
      <c r="G949" s="19">
        <f>IFERROR(__xludf.DUMMYFUNCTION("""COMPUTED_VALUE"""),45135.0)</f>
        <v>45135</v>
      </c>
      <c r="H949" s="18" t="str">
        <f>IFERROR(__xludf.DUMMYFUNCTION("""COMPUTED_VALUE"""),"Online Payment")</f>
        <v>Online Payment</v>
      </c>
      <c r="I949" s="18" t="str">
        <f>IFERROR(__xludf.DUMMYFUNCTION("""COMPUTED_VALUE"""),"Delivered")</f>
        <v>Delivered</v>
      </c>
      <c r="J949" s="18" t="str">
        <f>IFERROR(__xludf.DUMMYFUNCTION("""COMPUTED_VALUE"""),"Convenience")</f>
        <v>Convenience</v>
      </c>
      <c r="K949" s="18" t="str">
        <f>IFERROR(__xludf.DUMMYFUNCTION("""COMPUTED_VALUE"""),"Easy tracking")</f>
        <v>Easy tracking</v>
      </c>
      <c r="L949" s="18">
        <f>iferror(VLOOKUP($D949,Details!$A$2:$C$11,2,false),vlookup($D949,Details!$E$2:$G$11,2,false))</f>
        <v>55</v>
      </c>
      <c r="M949" s="18" t="str">
        <f>iferror(VLOOKUP($D949,Details!$A$2:$C$11,3,false),vlookup($D949,Details!$E$2:$G$11,3,false))</f>
        <v>Fruits and Vegetables</v>
      </c>
      <c r="N949" s="18">
        <f t="shared" si="1"/>
        <v>110</v>
      </c>
      <c r="O949" s="17"/>
      <c r="P949" s="17"/>
      <c r="Q949" s="17"/>
      <c r="R949" s="17"/>
      <c r="S949" s="17"/>
      <c r="T949" s="17"/>
      <c r="U949" s="17"/>
      <c r="V949" s="17"/>
      <c r="W949" s="17"/>
      <c r="X949" s="17"/>
      <c r="Y949" s="17"/>
      <c r="Z949" s="17"/>
    </row>
    <row r="950">
      <c r="A950" s="18" t="str">
        <f>IFERROR(__xludf.DUMMYFUNCTION("""COMPUTED_VALUE"""),"ord_30931")</f>
        <v>ord_30931</v>
      </c>
      <c r="B950" s="18" t="str">
        <f>IFERROR(__xludf.DUMMYFUNCTION("""COMPUTED_VALUE"""),"Ishita Banerjee")</f>
        <v>Ishita Banerjee</v>
      </c>
      <c r="C950" s="18" t="str">
        <f>IFERROR(__xludf.DUMMYFUNCTION("""COMPUTED_VALUE"""),"Juhu")</f>
        <v>Juhu</v>
      </c>
      <c r="D950" s="18" t="str">
        <f>IFERROR(__xludf.DUMMYFUNCTION("""COMPUTED_VALUE"""),"Onion")</f>
        <v>Onion</v>
      </c>
      <c r="E950" s="18">
        <f>IFERROR(__xludf.DUMMYFUNCTION("""COMPUTED_VALUE"""),2.0)</f>
        <v>2</v>
      </c>
      <c r="F950" s="18" t="str">
        <f>IFERROR(__xludf.DUMMYFUNCTION("""COMPUTED_VALUE"""),"Tanvi Jain")</f>
        <v>Tanvi Jain</v>
      </c>
      <c r="G950" s="19">
        <f>IFERROR(__xludf.DUMMYFUNCTION("""COMPUTED_VALUE"""),45118.0)</f>
        <v>45118</v>
      </c>
      <c r="H950" s="18" t="str">
        <f>IFERROR(__xludf.DUMMYFUNCTION("""COMPUTED_VALUE"""),"UPI")</f>
        <v>UPI</v>
      </c>
      <c r="I950" s="18" t="str">
        <f>IFERROR(__xludf.DUMMYFUNCTION("""COMPUTED_VALUE"""),"Delivered")</f>
        <v>Delivered</v>
      </c>
      <c r="J950" s="18" t="str">
        <f>IFERROR(__xludf.DUMMYFUNCTION("""COMPUTED_VALUE"""),"Overall Satisfaction")</f>
        <v>Overall Satisfaction</v>
      </c>
      <c r="K950" s="18" t="str">
        <f>IFERROR(__xludf.DUMMYFUNCTION("""COMPUTED_VALUE"""),"Great service will order again")</f>
        <v>Great service will order again</v>
      </c>
      <c r="L950" s="18">
        <f>iferror(VLOOKUP($D950,Details!$A$2:$C$11,2,false),vlookup($D950,Details!$E$2:$G$11,2,false))</f>
        <v>84</v>
      </c>
      <c r="M950" s="18" t="str">
        <f>iferror(VLOOKUP($D950,Details!$A$2:$C$11,3,false),vlookup($D950,Details!$E$2:$G$11,3,false))</f>
        <v>Fruits and Vegetables</v>
      </c>
      <c r="N950" s="18">
        <f t="shared" si="1"/>
        <v>168</v>
      </c>
      <c r="O950" s="17"/>
      <c r="P950" s="17"/>
      <c r="Q950" s="17"/>
      <c r="R950" s="17"/>
      <c r="S950" s="17"/>
      <c r="T950" s="17"/>
      <c r="U950" s="17"/>
      <c r="V950" s="17"/>
      <c r="W950" s="17"/>
      <c r="X950" s="17"/>
      <c r="Y950" s="17"/>
      <c r="Z950" s="17"/>
    </row>
    <row r="951">
      <c r="A951" s="18" t="str">
        <f>IFERROR(__xludf.DUMMYFUNCTION("""COMPUTED_VALUE"""),"ord_30932")</f>
        <v>ord_30932</v>
      </c>
      <c r="B951" s="18" t="str">
        <f>IFERROR(__xludf.DUMMYFUNCTION("""COMPUTED_VALUE"""),"Tanishq Bansal")</f>
        <v>Tanishq Bansal</v>
      </c>
      <c r="C951" s="18" t="str">
        <f>IFERROR(__xludf.DUMMYFUNCTION("""COMPUTED_VALUE"""),"Powai")</f>
        <v>Powai</v>
      </c>
      <c r="D951" s="18" t="str">
        <f>IFERROR(__xludf.DUMMYFUNCTION("""COMPUTED_VALUE"""),"Popcorn")</f>
        <v>Popcorn</v>
      </c>
      <c r="E951" s="18">
        <f>IFERROR(__xludf.DUMMYFUNCTION("""COMPUTED_VALUE"""),1.0)</f>
        <v>1</v>
      </c>
      <c r="F951" s="18" t="str">
        <f>IFERROR(__xludf.DUMMYFUNCTION("""COMPUTED_VALUE"""),"Sandeep Kumar")</f>
        <v>Sandeep Kumar</v>
      </c>
      <c r="G951" s="19">
        <f>IFERROR(__xludf.DUMMYFUNCTION("""COMPUTED_VALUE"""),44951.0)</f>
        <v>44951</v>
      </c>
      <c r="H951" s="18" t="str">
        <f>IFERROR(__xludf.DUMMYFUNCTION("""COMPUTED_VALUE"""),"Credit Card")</f>
        <v>Credit Card</v>
      </c>
      <c r="I951" s="18" t="str">
        <f>IFERROR(__xludf.DUMMYFUNCTION("""COMPUTED_VALUE"""),"Delivered")</f>
        <v>Delivered</v>
      </c>
      <c r="J951" s="18" t="str">
        <f>IFERROR(__xludf.DUMMYFUNCTION("""COMPUTED_VALUE"""),"On-time Delivery")</f>
        <v>On-time Delivery</v>
      </c>
      <c r="K951" s="18" t="str">
        <f>IFERROR(__xludf.DUMMYFUNCTION("""COMPUTED_VALUE"""),"Delivered on time")</f>
        <v>Delivered on time</v>
      </c>
      <c r="L951" s="18">
        <f>iferror(VLOOKUP($D951,Details!$A$2:$C$11,2,false),vlookup($D951,Details!$E$2:$G$11,2,false))</f>
        <v>150</v>
      </c>
      <c r="M951" s="18" t="str">
        <f>iferror(VLOOKUP($D951,Details!$A$2:$C$11,3,false),vlookup($D951,Details!$E$2:$G$11,3,false))</f>
        <v>Snacks and Drinks</v>
      </c>
      <c r="N951" s="18">
        <f t="shared" si="1"/>
        <v>150</v>
      </c>
      <c r="O951" s="17"/>
      <c r="P951" s="17"/>
      <c r="Q951" s="17"/>
      <c r="R951" s="17"/>
      <c r="S951" s="17"/>
      <c r="T951" s="17"/>
      <c r="U951" s="17"/>
      <c r="V951" s="17"/>
      <c r="W951" s="17"/>
      <c r="X951" s="17"/>
      <c r="Y951" s="17"/>
      <c r="Z951" s="17"/>
    </row>
    <row r="952">
      <c r="A952" s="18" t="str">
        <f>IFERROR(__xludf.DUMMYFUNCTION("""COMPUTED_VALUE"""),"ord_30933")</f>
        <v>ord_30933</v>
      </c>
      <c r="B952" s="18" t="str">
        <f>IFERROR(__xludf.DUMMYFUNCTION("""COMPUTED_VALUE"""),"Mohit Malhotra")</f>
        <v>Mohit Malhotra</v>
      </c>
      <c r="C952" s="18" t="str">
        <f>IFERROR(__xludf.DUMMYFUNCTION("""COMPUTED_VALUE"""),"Lower Parel")</f>
        <v>Lower Parel</v>
      </c>
      <c r="D952" s="18" t="str">
        <f>IFERROR(__xludf.DUMMYFUNCTION("""COMPUTED_VALUE"""),"Juice")</f>
        <v>Juice</v>
      </c>
      <c r="E952" s="18">
        <f>IFERROR(__xludf.DUMMYFUNCTION("""COMPUTED_VALUE"""),2.0)</f>
        <v>2</v>
      </c>
      <c r="F952" s="18" t="str">
        <f>IFERROR(__xludf.DUMMYFUNCTION("""COMPUTED_VALUE"""),"Kiran Mehta")</f>
        <v>Kiran Mehta</v>
      </c>
      <c r="G952" s="19">
        <f>IFERROR(__xludf.DUMMYFUNCTION("""COMPUTED_VALUE"""),45054.0)</f>
        <v>45054</v>
      </c>
      <c r="H952" s="18" t="str">
        <f>IFERROR(__xludf.DUMMYFUNCTION("""COMPUTED_VALUE"""),"Online Payment")</f>
        <v>Online Payment</v>
      </c>
      <c r="I952" s="18" t="str">
        <f>IFERROR(__xludf.DUMMYFUNCTION("""COMPUTED_VALUE"""),"Delivered")</f>
        <v>Delivered</v>
      </c>
      <c r="J952" s="18" t="str">
        <f>IFERROR(__xludf.DUMMYFUNCTION("""COMPUTED_VALUE"""),"Quality of Items")</f>
        <v>Quality of Items</v>
      </c>
      <c r="K952" s="18" t="str">
        <f>IFERROR(__xludf.DUMMYFUNCTION("""COMPUTED_VALUE"""),"Perfect condition")</f>
        <v>Perfect condition</v>
      </c>
      <c r="L952" s="18">
        <f>iferror(VLOOKUP($D952,Details!$A$2:$C$11,2,false),vlookup($D952,Details!$E$2:$G$11,2,false))</f>
        <v>90</v>
      </c>
      <c r="M952" s="18" t="str">
        <f>iferror(VLOOKUP($D952,Details!$A$2:$C$11,3,false),vlookup($D952,Details!$E$2:$G$11,3,false))</f>
        <v>Snacks and Drinks</v>
      </c>
      <c r="N952" s="18">
        <f t="shared" si="1"/>
        <v>180</v>
      </c>
      <c r="O952" s="17"/>
      <c r="P952" s="17"/>
      <c r="Q952" s="17"/>
      <c r="R952" s="17"/>
      <c r="S952" s="17"/>
      <c r="T952" s="17"/>
      <c r="U952" s="17"/>
      <c r="V952" s="17"/>
      <c r="W952" s="17"/>
      <c r="X952" s="17"/>
      <c r="Y952" s="17"/>
      <c r="Z952" s="17"/>
    </row>
    <row r="953">
      <c r="A953" s="18" t="str">
        <f>IFERROR(__xludf.DUMMYFUNCTION("""COMPUTED_VALUE"""),"ord_30934")</f>
        <v>ord_30934</v>
      </c>
      <c r="B953" s="18" t="str">
        <f>IFERROR(__xludf.DUMMYFUNCTION("""COMPUTED_VALUE"""),"Siya Reddy")</f>
        <v>Siya Reddy</v>
      </c>
      <c r="C953" s="18" t="str">
        <f>IFERROR(__xludf.DUMMYFUNCTION("""COMPUTED_VALUE"""),"Juhu")</f>
        <v>Juhu</v>
      </c>
      <c r="D953" s="18" t="str">
        <f>IFERROR(__xludf.DUMMYFUNCTION("""COMPUTED_VALUE"""),"Papaya")</f>
        <v>Papaya</v>
      </c>
      <c r="E953" s="18">
        <f>IFERROR(__xludf.DUMMYFUNCTION("""COMPUTED_VALUE"""),2.0)</f>
        <v>2</v>
      </c>
      <c r="F953" s="18" t="str">
        <f>IFERROR(__xludf.DUMMYFUNCTION("""COMPUTED_VALUE"""),"Tanvi Jain")</f>
        <v>Tanvi Jain</v>
      </c>
      <c r="G953" s="19">
        <f>IFERROR(__xludf.DUMMYFUNCTION("""COMPUTED_VALUE"""),45254.0)</f>
        <v>45254</v>
      </c>
      <c r="H953" s="18" t="str">
        <f>IFERROR(__xludf.DUMMYFUNCTION("""COMPUTED_VALUE"""),"Online Payment")</f>
        <v>Online Payment</v>
      </c>
      <c r="I953" s="18" t="str">
        <f>IFERROR(__xludf.DUMMYFUNCTION("""COMPUTED_VALUE"""),"Delivered")</f>
        <v>Delivered</v>
      </c>
      <c r="J953" s="18" t="str">
        <f>IFERROR(__xludf.DUMMYFUNCTION("""COMPUTED_VALUE"""),"On-time Delivery")</f>
        <v>On-time Delivery</v>
      </c>
      <c r="K953" s="18" t="str">
        <f>IFERROR(__xludf.DUMMYFUNCTION("""COMPUTED_VALUE"""),"Delivered on time")</f>
        <v>Delivered on time</v>
      </c>
      <c r="L953" s="18">
        <f>iferror(VLOOKUP($D953,Details!$A$2:$C$11,2,false),vlookup($D953,Details!$E$2:$G$11,2,false))</f>
        <v>75</v>
      </c>
      <c r="M953" s="18" t="str">
        <f>iferror(VLOOKUP($D953,Details!$A$2:$C$11,3,false),vlookup($D953,Details!$E$2:$G$11,3,false))</f>
        <v>Fruits and Vegetables</v>
      </c>
      <c r="N953" s="18">
        <f t="shared" si="1"/>
        <v>150</v>
      </c>
      <c r="O953" s="17"/>
      <c r="P953" s="17"/>
      <c r="Q953" s="17"/>
      <c r="R953" s="17"/>
      <c r="S953" s="17"/>
      <c r="T953" s="17"/>
      <c r="U953" s="17"/>
      <c r="V953" s="17"/>
      <c r="W953" s="17"/>
      <c r="X953" s="17"/>
      <c r="Y953" s="17"/>
      <c r="Z953" s="17"/>
    </row>
    <row r="954">
      <c r="A954" s="18" t="str">
        <f>IFERROR(__xludf.DUMMYFUNCTION("""COMPUTED_VALUE"""),"ord_30935")</f>
        <v>ord_30935</v>
      </c>
      <c r="B954" s="18" t="str">
        <f>IFERROR(__xludf.DUMMYFUNCTION("""COMPUTED_VALUE"""),"Aarav Mehta")</f>
        <v>Aarav Mehta</v>
      </c>
      <c r="C954" s="18" t="str">
        <f>IFERROR(__xludf.DUMMYFUNCTION("""COMPUTED_VALUE"""),"Andheri")</f>
        <v>Andheri</v>
      </c>
      <c r="D954" s="18" t="str">
        <f>IFERROR(__xludf.DUMMYFUNCTION("""COMPUTED_VALUE"""),"Chocolate Mousse")</f>
        <v>Chocolate Mousse</v>
      </c>
      <c r="E954" s="18">
        <f>IFERROR(__xludf.DUMMYFUNCTION("""COMPUTED_VALUE"""),2.0)</f>
        <v>2</v>
      </c>
      <c r="F954" s="18" t="str">
        <f>IFERROR(__xludf.DUMMYFUNCTION("""COMPUTED_VALUE"""),"Rohan Yadav")</f>
        <v>Rohan Yadav</v>
      </c>
      <c r="G954" s="19">
        <f>IFERROR(__xludf.DUMMYFUNCTION("""COMPUTED_VALUE"""),45248.0)</f>
        <v>45248</v>
      </c>
      <c r="H954" s="18" t="str">
        <f>IFERROR(__xludf.DUMMYFUNCTION("""COMPUTED_VALUE"""),"COD")</f>
        <v>COD</v>
      </c>
      <c r="I954" s="18" t="str">
        <f>IFERROR(__xludf.DUMMYFUNCTION("""COMPUTED_VALUE"""),"Delivered")</f>
        <v>Delivered</v>
      </c>
      <c r="J954" s="18" t="str">
        <f>IFERROR(__xludf.DUMMYFUNCTION("""COMPUTED_VALUE"""),"Quality of Items")</f>
        <v>Quality of Items</v>
      </c>
      <c r="K954" s="18" t="str">
        <f>IFERROR(__xludf.DUMMYFUNCTION("""COMPUTED_VALUE"""),"Perfect condition")</f>
        <v>Perfect condition</v>
      </c>
      <c r="L954" s="18">
        <f>iferror(VLOOKUP($D954,Details!$A$2:$C$11,2,false),vlookup($D954,Details!$E$2:$G$11,2,false))</f>
        <v>145</v>
      </c>
      <c r="M954" s="18" t="str">
        <f>iferror(VLOOKUP($D954,Details!$A$2:$C$11,3,false),vlookup($D954,Details!$E$2:$G$11,3,false))</f>
        <v>Snacks and Drinks</v>
      </c>
      <c r="N954" s="18">
        <f t="shared" si="1"/>
        <v>290</v>
      </c>
      <c r="O954" s="17"/>
      <c r="P954" s="17"/>
      <c r="Q954" s="17"/>
      <c r="R954" s="17"/>
      <c r="S954" s="17"/>
      <c r="T954" s="17"/>
      <c r="U954" s="17"/>
      <c r="V954" s="17"/>
      <c r="W954" s="17"/>
      <c r="X954" s="17"/>
      <c r="Y954" s="17"/>
      <c r="Z954" s="17"/>
    </row>
    <row r="955">
      <c r="A955" s="18" t="str">
        <f>IFERROR(__xludf.DUMMYFUNCTION("""COMPUTED_VALUE"""),"ord_30936")</f>
        <v>ord_30936</v>
      </c>
      <c r="B955" s="18" t="str">
        <f>IFERROR(__xludf.DUMMYFUNCTION("""COMPUTED_VALUE"""),"Ishita Banerjee")</f>
        <v>Ishita Banerjee</v>
      </c>
      <c r="C955" s="18" t="str">
        <f>IFERROR(__xludf.DUMMYFUNCTION("""COMPUTED_VALUE"""),"Juhu")</f>
        <v>Juhu</v>
      </c>
      <c r="D955" s="18" t="str">
        <f>IFERROR(__xludf.DUMMYFUNCTION("""COMPUTED_VALUE"""),"Popcorn")</f>
        <v>Popcorn</v>
      </c>
      <c r="E955" s="18">
        <f>IFERROR(__xludf.DUMMYFUNCTION("""COMPUTED_VALUE"""),4.0)</f>
        <v>4</v>
      </c>
      <c r="F955" s="18" t="str">
        <f>IFERROR(__xludf.DUMMYFUNCTION("""COMPUTED_VALUE"""),"Sita T")</f>
        <v>Sita T</v>
      </c>
      <c r="G955" s="19">
        <f>IFERROR(__xludf.DUMMYFUNCTION("""COMPUTED_VALUE"""),45275.0)</f>
        <v>45275</v>
      </c>
      <c r="H955" s="18" t="str">
        <f>IFERROR(__xludf.DUMMYFUNCTION("""COMPUTED_VALUE"""),"Credit Card")</f>
        <v>Credit Card</v>
      </c>
      <c r="I955" s="18" t="str">
        <f>IFERROR(__xludf.DUMMYFUNCTION("""COMPUTED_VALUE"""),"Cancelled")</f>
        <v>Cancelled</v>
      </c>
      <c r="J955" s="18" t="str">
        <f>IFERROR(__xludf.DUMMYFUNCTION("""COMPUTED_VALUE"""),"Delayed Delivery")</f>
        <v>Delayed Delivery</v>
      </c>
      <c r="K955" s="18" t="str">
        <f>IFERROR(__xludf.DUMMYFUNCTION("""COMPUTED_VALUE"""),"Bad Weather Conditions")</f>
        <v>Bad Weather Conditions</v>
      </c>
      <c r="L955" s="18">
        <f>iferror(VLOOKUP($D955,Details!$A$2:$C$11,2,false),vlookup($D955,Details!$E$2:$G$11,2,false))</f>
        <v>150</v>
      </c>
      <c r="M955" s="18" t="str">
        <f>iferror(VLOOKUP($D955,Details!$A$2:$C$11,3,false),vlookup($D955,Details!$E$2:$G$11,3,false))</f>
        <v>Snacks and Drinks</v>
      </c>
      <c r="N955" s="18">
        <f t="shared" si="1"/>
        <v>600</v>
      </c>
      <c r="O955" s="17"/>
      <c r="P955" s="17"/>
      <c r="Q955" s="17"/>
      <c r="R955" s="17"/>
      <c r="S955" s="17"/>
      <c r="T955" s="17"/>
      <c r="U955" s="17"/>
      <c r="V955" s="17"/>
      <c r="W955" s="17"/>
      <c r="X955" s="17"/>
      <c r="Y955" s="17"/>
      <c r="Z955" s="17"/>
    </row>
    <row r="956">
      <c r="A956" s="18" t="str">
        <f>IFERROR(__xludf.DUMMYFUNCTION("""COMPUTED_VALUE"""),"ord_30937")</f>
        <v>ord_30937</v>
      </c>
      <c r="B956" s="18" t="str">
        <f>IFERROR(__xludf.DUMMYFUNCTION("""COMPUTED_VALUE"""),"Dev Chauhan")</f>
        <v>Dev Chauhan</v>
      </c>
      <c r="C956" s="18" t="str">
        <f>IFERROR(__xludf.DUMMYFUNCTION("""COMPUTED_VALUE"""),"Bandra")</f>
        <v>Bandra</v>
      </c>
      <c r="D956" s="18" t="str">
        <f>IFERROR(__xludf.DUMMYFUNCTION("""COMPUTED_VALUE"""),"Rasmalai")</f>
        <v>Rasmalai</v>
      </c>
      <c r="E956" s="18">
        <f>IFERROR(__xludf.DUMMYFUNCTION("""COMPUTED_VALUE"""),3.0)</f>
        <v>3</v>
      </c>
      <c r="F956" s="18" t="str">
        <f>IFERROR(__xludf.DUMMYFUNCTION("""COMPUTED_VALUE"""),"Priya Joshi")</f>
        <v>Priya Joshi</v>
      </c>
      <c r="G956" s="19">
        <f>IFERROR(__xludf.DUMMYFUNCTION("""COMPUTED_VALUE"""),45067.0)</f>
        <v>45067</v>
      </c>
      <c r="H956" s="18" t="str">
        <f>IFERROR(__xludf.DUMMYFUNCTION("""COMPUTED_VALUE"""),"COD")</f>
        <v>COD</v>
      </c>
      <c r="I956" s="18" t="str">
        <f>IFERROR(__xludf.DUMMYFUNCTION("""COMPUTED_VALUE"""),"Delivered")</f>
        <v>Delivered</v>
      </c>
      <c r="J956" s="18" t="str">
        <f>IFERROR(__xludf.DUMMYFUNCTION("""COMPUTED_VALUE"""),"Packaging")</f>
        <v>Packaging</v>
      </c>
      <c r="K956" s="18" t="str">
        <f>IFERROR(__xludf.DUMMYFUNCTION("""COMPUTED_VALUE"""),"Secure and intact")</f>
        <v>Secure and intact</v>
      </c>
      <c r="L956" s="18">
        <f>iferror(VLOOKUP($D956,Details!$A$2:$C$11,2,false),vlookup($D956,Details!$E$2:$G$11,2,false))</f>
        <v>110</v>
      </c>
      <c r="M956" s="18" t="str">
        <f>iferror(VLOOKUP($D956,Details!$A$2:$C$11,3,false),vlookup($D956,Details!$E$2:$G$11,3,false))</f>
        <v>Snacks and Drinks</v>
      </c>
      <c r="N956" s="18">
        <f t="shared" si="1"/>
        <v>330</v>
      </c>
      <c r="O956" s="17"/>
      <c r="P956" s="17"/>
      <c r="Q956" s="17"/>
      <c r="R956" s="17"/>
      <c r="S956" s="17"/>
      <c r="T956" s="17"/>
      <c r="U956" s="17"/>
      <c r="V956" s="17"/>
      <c r="W956" s="17"/>
      <c r="X956" s="17"/>
      <c r="Y956" s="17"/>
      <c r="Z956" s="17"/>
    </row>
    <row r="957">
      <c r="A957" s="18" t="str">
        <f>IFERROR(__xludf.DUMMYFUNCTION("""COMPUTED_VALUE"""),"ord_30938")</f>
        <v>ord_30938</v>
      </c>
      <c r="B957" s="18" t="str">
        <f>IFERROR(__xludf.DUMMYFUNCTION("""COMPUTED_VALUE"""),"Arvind Kulkarni")</f>
        <v>Arvind Kulkarni</v>
      </c>
      <c r="C957" s="18" t="str">
        <f>IFERROR(__xludf.DUMMYFUNCTION("""COMPUTED_VALUE"""),"Juhu")</f>
        <v>Juhu</v>
      </c>
      <c r="D957" s="18" t="str">
        <f>IFERROR(__xludf.DUMMYFUNCTION("""COMPUTED_VALUE"""),"Rasmalai")</f>
        <v>Rasmalai</v>
      </c>
      <c r="E957" s="18">
        <f>IFERROR(__xludf.DUMMYFUNCTION("""COMPUTED_VALUE"""),2.0)</f>
        <v>2</v>
      </c>
      <c r="F957" s="18" t="str">
        <f>IFERROR(__xludf.DUMMYFUNCTION("""COMPUTED_VALUE"""),"Tanvi Jain")</f>
        <v>Tanvi Jain</v>
      </c>
      <c r="G957" s="19">
        <f>IFERROR(__xludf.DUMMYFUNCTION("""COMPUTED_VALUE"""),44950.0)</f>
        <v>44950</v>
      </c>
      <c r="H957" s="18" t="str">
        <f>IFERROR(__xludf.DUMMYFUNCTION("""COMPUTED_VALUE"""),"Online Payment")</f>
        <v>Online Payment</v>
      </c>
      <c r="I957" s="18" t="str">
        <f>IFERROR(__xludf.DUMMYFUNCTION("""COMPUTED_VALUE"""),"Delivered")</f>
        <v>Delivered</v>
      </c>
      <c r="J957" s="18" t="str">
        <f>IFERROR(__xludf.DUMMYFUNCTION("""COMPUTED_VALUE"""),"Satisfied with the Delivery")</f>
        <v>Satisfied with the Delivery</v>
      </c>
      <c r="K957" s="18" t="str">
        <f>IFERROR(__xludf.DUMMYFUNCTION("""COMPUTED_VALUE"""),"Timely and quality")</f>
        <v>Timely and quality</v>
      </c>
      <c r="L957" s="18">
        <f>iferror(VLOOKUP($D957,Details!$A$2:$C$11,2,false),vlookup($D957,Details!$E$2:$G$11,2,false))</f>
        <v>110</v>
      </c>
      <c r="M957" s="18" t="str">
        <f>iferror(VLOOKUP($D957,Details!$A$2:$C$11,3,false),vlookup($D957,Details!$E$2:$G$11,3,false))</f>
        <v>Snacks and Drinks</v>
      </c>
      <c r="N957" s="18">
        <f t="shared" si="1"/>
        <v>220</v>
      </c>
      <c r="O957" s="17"/>
      <c r="P957" s="17"/>
      <c r="Q957" s="17"/>
      <c r="R957" s="17"/>
      <c r="S957" s="17"/>
      <c r="T957" s="17"/>
      <c r="U957" s="17"/>
      <c r="V957" s="17"/>
      <c r="W957" s="17"/>
      <c r="X957" s="17"/>
      <c r="Y957" s="17"/>
      <c r="Z957" s="17"/>
    </row>
    <row r="958">
      <c r="A958" s="18" t="str">
        <f>IFERROR(__xludf.DUMMYFUNCTION("""COMPUTED_VALUE"""),"ord_30939")</f>
        <v>ord_30939</v>
      </c>
      <c r="B958" s="18" t="str">
        <f>IFERROR(__xludf.DUMMYFUNCTION("""COMPUTED_VALUE"""),"Mohit Malhotra")</f>
        <v>Mohit Malhotra</v>
      </c>
      <c r="C958" s="18" t="str">
        <f>IFERROR(__xludf.DUMMYFUNCTION("""COMPUTED_VALUE"""),"Lower Parel")</f>
        <v>Lower Parel</v>
      </c>
      <c r="D958" s="18" t="str">
        <f>IFERROR(__xludf.DUMMYFUNCTION("""COMPUTED_VALUE"""),"Icecream")</f>
        <v>Icecream</v>
      </c>
      <c r="E958" s="18">
        <f>IFERROR(__xludf.DUMMYFUNCTION("""COMPUTED_VALUE"""),4.0)</f>
        <v>4</v>
      </c>
      <c r="F958" s="18" t="str">
        <f>IFERROR(__xludf.DUMMYFUNCTION("""COMPUTED_VALUE"""),"Ramesh S")</f>
        <v>Ramesh S</v>
      </c>
      <c r="G958" s="19">
        <f>IFERROR(__xludf.DUMMYFUNCTION("""COMPUTED_VALUE"""),44972.0)</f>
        <v>44972</v>
      </c>
      <c r="H958" s="18" t="str">
        <f>IFERROR(__xludf.DUMMYFUNCTION("""COMPUTED_VALUE"""),"Credit Card")</f>
        <v>Credit Card</v>
      </c>
      <c r="I958" s="18" t="str">
        <f>IFERROR(__xludf.DUMMYFUNCTION("""COMPUTED_VALUE"""),"Delivered")</f>
        <v>Delivered</v>
      </c>
      <c r="J958" s="18" t="str">
        <f>IFERROR(__xludf.DUMMYFUNCTION("""COMPUTED_VALUE"""),"Customer Service")</f>
        <v>Customer Service</v>
      </c>
      <c r="K958" s="18" t="str">
        <f>IFERROR(__xludf.DUMMYFUNCTION("""COMPUTED_VALUE"""),"Seamless and easy")</f>
        <v>Seamless and easy</v>
      </c>
      <c r="L958" s="18">
        <f>iferror(VLOOKUP($D958,Details!$A$2:$C$11,2,false),vlookup($D958,Details!$E$2:$G$11,2,false))</f>
        <v>90</v>
      </c>
      <c r="M958" s="18" t="str">
        <f>iferror(VLOOKUP($D958,Details!$A$2:$C$11,3,false),vlookup($D958,Details!$E$2:$G$11,3,false))</f>
        <v>Snacks and Drinks</v>
      </c>
      <c r="N958" s="18">
        <f t="shared" si="1"/>
        <v>360</v>
      </c>
      <c r="O958" s="17"/>
      <c r="P958" s="17"/>
      <c r="Q958" s="17"/>
      <c r="R958" s="17"/>
      <c r="S958" s="17"/>
      <c r="T958" s="17"/>
      <c r="U958" s="17"/>
      <c r="V958" s="17"/>
      <c r="W958" s="17"/>
      <c r="X958" s="17"/>
      <c r="Y958" s="17"/>
      <c r="Z958" s="17"/>
    </row>
    <row r="959">
      <c r="A959" s="18" t="str">
        <f>IFERROR(__xludf.DUMMYFUNCTION("""COMPUTED_VALUE"""),"ord_30940")</f>
        <v>ord_30940</v>
      </c>
      <c r="B959" s="18" t="str">
        <f>IFERROR(__xludf.DUMMYFUNCTION("""COMPUTED_VALUE"""),"Mehul Thakkar")</f>
        <v>Mehul Thakkar</v>
      </c>
      <c r="C959" s="18" t="str">
        <f>IFERROR(__xludf.DUMMYFUNCTION("""COMPUTED_VALUE"""),"Malad")</f>
        <v>Malad</v>
      </c>
      <c r="D959" s="18" t="str">
        <f>IFERROR(__xludf.DUMMYFUNCTION("""COMPUTED_VALUE"""),"Sweet Corn")</f>
        <v>Sweet Corn</v>
      </c>
      <c r="E959" s="18">
        <f>IFERROR(__xludf.DUMMYFUNCTION("""COMPUTED_VALUE"""),2.0)</f>
        <v>2</v>
      </c>
      <c r="F959" s="18" t="str">
        <f>IFERROR(__xludf.DUMMYFUNCTION("""COMPUTED_VALUE"""),"Ram Gopal")</f>
        <v>Ram Gopal</v>
      </c>
      <c r="G959" s="19">
        <f>IFERROR(__xludf.DUMMYFUNCTION("""COMPUTED_VALUE"""),45076.0)</f>
        <v>45076</v>
      </c>
      <c r="H959" s="18" t="str">
        <f>IFERROR(__xludf.DUMMYFUNCTION("""COMPUTED_VALUE"""),"Credit Card")</f>
        <v>Credit Card</v>
      </c>
      <c r="I959" s="18" t="str">
        <f>IFERROR(__xludf.DUMMYFUNCTION("""COMPUTED_VALUE"""),"Delivered")</f>
        <v>Delivered</v>
      </c>
      <c r="J959" s="18" t="str">
        <f>IFERROR(__xludf.DUMMYFUNCTION("""COMPUTED_VALUE"""),"Delivery Experience")</f>
        <v>Delivery Experience</v>
      </c>
      <c r="K959" s="18" t="str">
        <f>IFERROR(__xludf.DUMMYFUNCTION("""COMPUTED_VALUE"""),"Quick and professional")</f>
        <v>Quick and professional</v>
      </c>
      <c r="L959" s="18">
        <f>iferror(VLOOKUP($D959,Details!$A$2:$C$11,2,false),vlookup($D959,Details!$E$2:$G$11,2,false))</f>
        <v>60</v>
      </c>
      <c r="M959" s="18" t="str">
        <f>iferror(VLOOKUP($D959,Details!$A$2:$C$11,3,false),vlookup($D959,Details!$E$2:$G$11,3,false))</f>
        <v>Fruits and Vegetables</v>
      </c>
      <c r="N959" s="18">
        <f t="shared" si="1"/>
        <v>120</v>
      </c>
      <c r="O959" s="17"/>
      <c r="P959" s="17"/>
      <c r="Q959" s="17"/>
      <c r="R959" s="17"/>
      <c r="S959" s="17"/>
      <c r="T959" s="17"/>
      <c r="U959" s="17"/>
      <c r="V959" s="17"/>
      <c r="W959" s="17"/>
      <c r="X959" s="17"/>
      <c r="Y959" s="17"/>
      <c r="Z959" s="17"/>
    </row>
    <row r="960">
      <c r="A960" s="18" t="str">
        <f>IFERROR(__xludf.DUMMYFUNCTION("""COMPUTED_VALUE"""),"ord_30941")</f>
        <v>ord_30941</v>
      </c>
      <c r="B960" s="18" t="str">
        <f>IFERROR(__xludf.DUMMYFUNCTION("""COMPUTED_VALUE"""),"Diya Arora")</f>
        <v>Diya Arora</v>
      </c>
      <c r="C960" s="18" t="str">
        <f>IFERROR(__xludf.DUMMYFUNCTION("""COMPUTED_VALUE"""),"Lower Parel")</f>
        <v>Lower Parel</v>
      </c>
      <c r="D960" s="18" t="str">
        <f>IFERROR(__xludf.DUMMYFUNCTION("""COMPUTED_VALUE"""),"Popcorn")</f>
        <v>Popcorn</v>
      </c>
      <c r="E960" s="18">
        <f>IFERROR(__xludf.DUMMYFUNCTION("""COMPUTED_VALUE"""),5.0)</f>
        <v>5</v>
      </c>
      <c r="F960" s="18" t="str">
        <f>IFERROR(__xludf.DUMMYFUNCTION("""COMPUTED_VALUE"""),"Shine Thomas")</f>
        <v>Shine Thomas</v>
      </c>
      <c r="G960" s="19">
        <f>IFERROR(__xludf.DUMMYFUNCTION("""COMPUTED_VALUE"""),45113.0)</f>
        <v>45113</v>
      </c>
      <c r="H960" s="18" t="str">
        <f>IFERROR(__xludf.DUMMYFUNCTION("""COMPUTED_VALUE"""),"Online Payment")</f>
        <v>Online Payment</v>
      </c>
      <c r="I960" s="18" t="str">
        <f>IFERROR(__xludf.DUMMYFUNCTION("""COMPUTED_VALUE"""),"Delivered")</f>
        <v>Delivered</v>
      </c>
      <c r="J960" s="18" t="str">
        <f>IFERROR(__xludf.DUMMYFUNCTION("""COMPUTED_VALUE"""),"Convenience")</f>
        <v>Convenience</v>
      </c>
      <c r="K960" s="18" t="str">
        <f>IFERROR(__xludf.DUMMYFUNCTION("""COMPUTED_VALUE"""),"Easy tracking")</f>
        <v>Easy tracking</v>
      </c>
      <c r="L960" s="18">
        <f>iferror(VLOOKUP($D960,Details!$A$2:$C$11,2,false),vlookup($D960,Details!$E$2:$G$11,2,false))</f>
        <v>150</v>
      </c>
      <c r="M960" s="18" t="str">
        <f>iferror(VLOOKUP($D960,Details!$A$2:$C$11,3,false),vlookup($D960,Details!$E$2:$G$11,3,false))</f>
        <v>Snacks and Drinks</v>
      </c>
      <c r="N960" s="18">
        <f t="shared" si="1"/>
        <v>750</v>
      </c>
      <c r="O960" s="17"/>
      <c r="P960" s="17"/>
      <c r="Q960" s="17"/>
      <c r="R960" s="17"/>
      <c r="S960" s="17"/>
      <c r="T960" s="17"/>
      <c r="U960" s="17"/>
      <c r="V960" s="17"/>
      <c r="W960" s="17"/>
      <c r="X960" s="17"/>
      <c r="Y960" s="17"/>
      <c r="Z960" s="17"/>
    </row>
    <row r="961">
      <c r="A961" s="18" t="str">
        <f>IFERROR(__xludf.DUMMYFUNCTION("""COMPUTED_VALUE"""),"ord_30942")</f>
        <v>ord_30942</v>
      </c>
      <c r="B961" s="18" t="str">
        <f>IFERROR(__xludf.DUMMYFUNCTION("""COMPUTED_VALUE"""),"Pallavi Ghosh")</f>
        <v>Pallavi Ghosh</v>
      </c>
      <c r="C961" s="18" t="str">
        <f>IFERROR(__xludf.DUMMYFUNCTION("""COMPUTED_VALUE"""),"Bandra")</f>
        <v>Bandra</v>
      </c>
      <c r="D961" s="18" t="str">
        <f>IFERROR(__xludf.DUMMYFUNCTION("""COMPUTED_VALUE"""),"Tomato")</f>
        <v>Tomato</v>
      </c>
      <c r="E961" s="18">
        <f>IFERROR(__xludf.DUMMYFUNCTION("""COMPUTED_VALUE"""),2.0)</f>
        <v>2</v>
      </c>
      <c r="F961" s="18" t="str">
        <f>IFERROR(__xludf.DUMMYFUNCTION("""COMPUTED_VALUE"""),"Ram Gopal")</f>
        <v>Ram Gopal</v>
      </c>
      <c r="G961" s="19">
        <f>IFERROR(__xludf.DUMMYFUNCTION("""COMPUTED_VALUE"""),45057.0)</f>
        <v>45057</v>
      </c>
      <c r="H961" s="18" t="str">
        <f>IFERROR(__xludf.DUMMYFUNCTION("""COMPUTED_VALUE"""),"COD")</f>
        <v>COD</v>
      </c>
      <c r="I961" s="18" t="str">
        <f>IFERROR(__xludf.DUMMYFUNCTION("""COMPUTED_VALUE"""),"Delivered")</f>
        <v>Delivered</v>
      </c>
      <c r="J961" s="18" t="str">
        <f>IFERROR(__xludf.DUMMYFUNCTION("""COMPUTED_VALUE"""),"Overall Satisfaction")</f>
        <v>Overall Satisfaction</v>
      </c>
      <c r="K961" s="18" t="str">
        <f>IFERROR(__xludf.DUMMYFUNCTION("""COMPUTED_VALUE"""),"Great service will order again")</f>
        <v>Great service will order again</v>
      </c>
      <c r="L961" s="18">
        <f>iferror(VLOOKUP($D961,Details!$A$2:$C$11,2,false),vlookup($D961,Details!$E$2:$G$11,2,false))</f>
        <v>25</v>
      </c>
      <c r="M961" s="18" t="str">
        <f>iferror(VLOOKUP($D961,Details!$A$2:$C$11,3,false),vlookup($D961,Details!$E$2:$G$11,3,false))</f>
        <v>Fruits and Vegetables</v>
      </c>
      <c r="N961" s="18">
        <f t="shared" si="1"/>
        <v>50</v>
      </c>
      <c r="O961" s="17"/>
      <c r="P961" s="17"/>
      <c r="Q961" s="17"/>
      <c r="R961" s="17"/>
      <c r="S961" s="17"/>
      <c r="T961" s="17"/>
      <c r="U961" s="17"/>
      <c r="V961" s="17"/>
      <c r="W961" s="17"/>
      <c r="X961" s="17"/>
      <c r="Y961" s="17"/>
      <c r="Z961" s="17"/>
    </row>
    <row r="962">
      <c r="A962" s="18" t="str">
        <f>IFERROR(__xludf.DUMMYFUNCTION("""COMPUTED_VALUE"""),"ord_30943")</f>
        <v>ord_30943</v>
      </c>
      <c r="B962" s="18" t="str">
        <f>IFERROR(__xludf.DUMMYFUNCTION("""COMPUTED_VALUE"""),"Ishita Banerjee")</f>
        <v>Ishita Banerjee</v>
      </c>
      <c r="C962" s="18" t="str">
        <f>IFERROR(__xludf.DUMMYFUNCTION("""COMPUTED_VALUE"""),"Juhu")</f>
        <v>Juhu</v>
      </c>
      <c r="D962" s="18" t="str">
        <f>IFERROR(__xludf.DUMMYFUNCTION("""COMPUTED_VALUE"""),"Veg Puff")</f>
        <v>Veg Puff</v>
      </c>
      <c r="E962" s="18">
        <f>IFERROR(__xludf.DUMMYFUNCTION("""COMPUTED_VALUE"""),1.0)</f>
        <v>1</v>
      </c>
      <c r="F962" s="18" t="str">
        <f>IFERROR(__xludf.DUMMYFUNCTION("""COMPUTED_VALUE"""),"Vivek Kumar")</f>
        <v>Vivek Kumar</v>
      </c>
      <c r="G962" s="19">
        <f>IFERROR(__xludf.DUMMYFUNCTION("""COMPUTED_VALUE"""),44977.0)</f>
        <v>44977</v>
      </c>
      <c r="H962" s="18" t="str">
        <f>IFERROR(__xludf.DUMMYFUNCTION("""COMPUTED_VALUE"""),"COD")</f>
        <v>COD</v>
      </c>
      <c r="I962" s="18" t="str">
        <f>IFERROR(__xludf.DUMMYFUNCTION("""COMPUTED_VALUE"""),"Delivered")</f>
        <v>Delivered</v>
      </c>
      <c r="J962" s="18" t="str">
        <f>IFERROR(__xludf.DUMMYFUNCTION("""COMPUTED_VALUE"""),"On-time Delivery")</f>
        <v>On-time Delivery</v>
      </c>
      <c r="K962" s="18" t="str">
        <f>IFERROR(__xludf.DUMMYFUNCTION("""COMPUTED_VALUE"""),"Delivered on time")</f>
        <v>Delivered on time</v>
      </c>
      <c r="L962" s="18">
        <f>iferror(VLOOKUP($D962,Details!$A$2:$C$11,2,false),vlookup($D962,Details!$E$2:$G$11,2,false))</f>
        <v>80</v>
      </c>
      <c r="M962" s="18" t="str">
        <f>iferror(VLOOKUP($D962,Details!$A$2:$C$11,3,false),vlookup($D962,Details!$E$2:$G$11,3,false))</f>
        <v>Snacks and Drinks</v>
      </c>
      <c r="N962" s="18">
        <f t="shared" si="1"/>
        <v>80</v>
      </c>
      <c r="O962" s="17"/>
      <c r="P962" s="17"/>
      <c r="Q962" s="17"/>
      <c r="R962" s="17"/>
      <c r="S962" s="17"/>
      <c r="T962" s="17"/>
      <c r="U962" s="17"/>
      <c r="V962" s="17"/>
      <c r="W962" s="17"/>
      <c r="X962" s="17"/>
      <c r="Y962" s="17"/>
      <c r="Z962" s="17"/>
    </row>
    <row r="963">
      <c r="A963" s="18" t="str">
        <f>IFERROR(__xludf.DUMMYFUNCTION("""COMPUTED_VALUE"""),"ord_30944")</f>
        <v>ord_30944</v>
      </c>
      <c r="B963" s="18" t="str">
        <f>IFERROR(__xludf.DUMMYFUNCTION("""COMPUTED_VALUE"""),"Mohit Malhotra")</f>
        <v>Mohit Malhotra</v>
      </c>
      <c r="C963" s="18" t="str">
        <f>IFERROR(__xludf.DUMMYFUNCTION("""COMPUTED_VALUE"""),"Lower Parel")</f>
        <v>Lower Parel</v>
      </c>
      <c r="D963" s="18" t="str">
        <f>IFERROR(__xludf.DUMMYFUNCTION("""COMPUTED_VALUE"""),"Papaya")</f>
        <v>Papaya</v>
      </c>
      <c r="E963" s="18">
        <f>IFERROR(__xludf.DUMMYFUNCTION("""COMPUTED_VALUE"""),1.0)</f>
        <v>1</v>
      </c>
      <c r="F963" s="18" t="str">
        <f>IFERROR(__xludf.DUMMYFUNCTION("""COMPUTED_VALUE"""),"Ramesh S")</f>
        <v>Ramesh S</v>
      </c>
      <c r="G963" s="19">
        <f>IFERROR(__xludf.DUMMYFUNCTION("""COMPUTED_VALUE"""),44966.0)</f>
        <v>44966</v>
      </c>
      <c r="H963" s="18" t="str">
        <f>IFERROR(__xludf.DUMMYFUNCTION("""COMPUTED_VALUE"""),"Credit Card")</f>
        <v>Credit Card</v>
      </c>
      <c r="I963" s="18" t="str">
        <f>IFERROR(__xludf.DUMMYFUNCTION("""COMPUTED_VALUE"""),"Delivered")</f>
        <v>Delivered</v>
      </c>
      <c r="J963" s="18" t="str">
        <f>IFERROR(__xludf.DUMMYFUNCTION("""COMPUTED_VALUE"""),"Quality of Items")</f>
        <v>Quality of Items</v>
      </c>
      <c r="K963" s="18" t="str">
        <f>IFERROR(__xludf.DUMMYFUNCTION("""COMPUTED_VALUE"""),"Perfect condition")</f>
        <v>Perfect condition</v>
      </c>
      <c r="L963" s="18">
        <f>iferror(VLOOKUP($D963,Details!$A$2:$C$11,2,false),vlookup($D963,Details!$E$2:$G$11,2,false))</f>
        <v>75</v>
      </c>
      <c r="M963" s="18" t="str">
        <f>iferror(VLOOKUP($D963,Details!$A$2:$C$11,3,false),vlookup($D963,Details!$E$2:$G$11,3,false))</f>
        <v>Fruits and Vegetables</v>
      </c>
      <c r="N963" s="18">
        <f t="shared" si="1"/>
        <v>75</v>
      </c>
      <c r="O963" s="17"/>
      <c r="P963" s="17"/>
      <c r="Q963" s="17"/>
      <c r="R963" s="17"/>
      <c r="S963" s="17"/>
      <c r="T963" s="17"/>
      <c r="U963" s="17"/>
      <c r="V963" s="17"/>
      <c r="W963" s="17"/>
      <c r="X963" s="17"/>
      <c r="Y963" s="17"/>
      <c r="Z963" s="17"/>
    </row>
    <row r="964">
      <c r="A964" s="18" t="str">
        <f>IFERROR(__xludf.DUMMYFUNCTION("""COMPUTED_VALUE"""),"ord_30945")</f>
        <v>ord_30945</v>
      </c>
      <c r="B964" s="18" t="str">
        <f>IFERROR(__xludf.DUMMYFUNCTION("""COMPUTED_VALUE"""),"Anaya Rao")</f>
        <v>Anaya Rao</v>
      </c>
      <c r="C964" s="18" t="str">
        <f>IFERROR(__xludf.DUMMYFUNCTION("""COMPUTED_VALUE"""),"Colaba")</f>
        <v>Colaba</v>
      </c>
      <c r="D964" s="18" t="str">
        <f>IFERROR(__xludf.DUMMYFUNCTION("""COMPUTED_VALUE"""),"Onion")</f>
        <v>Onion</v>
      </c>
      <c r="E964" s="18">
        <f>IFERROR(__xludf.DUMMYFUNCTION("""COMPUTED_VALUE"""),2.0)</f>
        <v>2</v>
      </c>
      <c r="F964" s="18" t="str">
        <f>IFERROR(__xludf.DUMMYFUNCTION("""COMPUTED_VALUE"""),"Ram Gopal")</f>
        <v>Ram Gopal</v>
      </c>
      <c r="G964" s="19">
        <f>IFERROR(__xludf.DUMMYFUNCTION("""COMPUTED_VALUE"""),45276.0)</f>
        <v>45276</v>
      </c>
      <c r="H964" s="18" t="str">
        <f>IFERROR(__xludf.DUMMYFUNCTION("""COMPUTED_VALUE"""),"COD")</f>
        <v>COD</v>
      </c>
      <c r="I964" s="18" t="str">
        <f>IFERROR(__xludf.DUMMYFUNCTION("""COMPUTED_VALUE"""),"Delivered")</f>
        <v>Delivered</v>
      </c>
      <c r="J964" s="18" t="str">
        <f>IFERROR(__xludf.DUMMYFUNCTION("""COMPUTED_VALUE"""),"On-time Delivery")</f>
        <v>On-time Delivery</v>
      </c>
      <c r="K964" s="18" t="str">
        <f>IFERROR(__xludf.DUMMYFUNCTION("""COMPUTED_VALUE"""),"Delivered on time")</f>
        <v>Delivered on time</v>
      </c>
      <c r="L964" s="18">
        <f>iferror(VLOOKUP($D964,Details!$A$2:$C$11,2,false),vlookup($D964,Details!$E$2:$G$11,2,false))</f>
        <v>84</v>
      </c>
      <c r="M964" s="18" t="str">
        <f>iferror(VLOOKUP($D964,Details!$A$2:$C$11,3,false),vlookup($D964,Details!$E$2:$G$11,3,false))</f>
        <v>Fruits and Vegetables</v>
      </c>
      <c r="N964" s="18">
        <f t="shared" si="1"/>
        <v>168</v>
      </c>
      <c r="O964" s="17"/>
      <c r="P964" s="17"/>
      <c r="Q964" s="17"/>
      <c r="R964" s="17"/>
      <c r="S964" s="17"/>
      <c r="T964" s="17"/>
      <c r="U964" s="17"/>
      <c r="V964" s="17"/>
      <c r="W964" s="17"/>
      <c r="X964" s="17"/>
      <c r="Y964" s="17"/>
      <c r="Z964" s="17"/>
    </row>
    <row r="965">
      <c r="A965" s="18" t="str">
        <f>IFERROR(__xludf.DUMMYFUNCTION("""COMPUTED_VALUE"""),"ord_30946")</f>
        <v>ord_30946</v>
      </c>
      <c r="B965" s="18" t="str">
        <f>IFERROR(__xludf.DUMMYFUNCTION("""COMPUTED_VALUE"""),"Tanishq Bansal")</f>
        <v>Tanishq Bansal</v>
      </c>
      <c r="C965" s="18" t="str">
        <f>IFERROR(__xludf.DUMMYFUNCTION("""COMPUTED_VALUE"""),"Powai")</f>
        <v>Powai</v>
      </c>
      <c r="D965" s="18" t="str">
        <f>IFERROR(__xludf.DUMMYFUNCTION("""COMPUTED_VALUE"""),"Popcorn")</f>
        <v>Popcorn</v>
      </c>
      <c r="E965" s="18">
        <f>IFERROR(__xludf.DUMMYFUNCTION("""COMPUTED_VALUE"""),5.0)</f>
        <v>5</v>
      </c>
      <c r="F965" s="18" t="str">
        <f>IFERROR(__xludf.DUMMYFUNCTION("""COMPUTED_VALUE"""),"Nithin Lal")</f>
        <v>Nithin Lal</v>
      </c>
      <c r="G965" s="19">
        <f>IFERROR(__xludf.DUMMYFUNCTION("""COMPUTED_VALUE"""),44994.0)</f>
        <v>44994</v>
      </c>
      <c r="H965" s="18" t="str">
        <f>IFERROR(__xludf.DUMMYFUNCTION("""COMPUTED_VALUE"""),"Online Payment")</f>
        <v>Online Payment</v>
      </c>
      <c r="I965" s="18" t="str">
        <f>IFERROR(__xludf.DUMMYFUNCTION("""COMPUTED_VALUE"""),"Delivered")</f>
        <v>Delivered</v>
      </c>
      <c r="J965" s="18" t="str">
        <f>IFERROR(__xludf.DUMMYFUNCTION("""COMPUTED_VALUE"""),"Quality of Items")</f>
        <v>Quality of Items</v>
      </c>
      <c r="K965" s="18" t="str">
        <f>IFERROR(__xludf.DUMMYFUNCTION("""COMPUTED_VALUE"""),"Perfect condition")</f>
        <v>Perfect condition</v>
      </c>
      <c r="L965" s="18">
        <f>iferror(VLOOKUP($D965,Details!$A$2:$C$11,2,false),vlookup($D965,Details!$E$2:$G$11,2,false))</f>
        <v>150</v>
      </c>
      <c r="M965" s="18" t="str">
        <f>iferror(VLOOKUP($D965,Details!$A$2:$C$11,3,false),vlookup($D965,Details!$E$2:$G$11,3,false))</f>
        <v>Snacks and Drinks</v>
      </c>
      <c r="N965" s="18">
        <f t="shared" si="1"/>
        <v>750</v>
      </c>
      <c r="O965" s="17"/>
      <c r="P965" s="17"/>
      <c r="Q965" s="17"/>
      <c r="R965" s="17"/>
      <c r="S965" s="17"/>
      <c r="T965" s="17"/>
      <c r="U965" s="17"/>
      <c r="V965" s="17"/>
      <c r="W965" s="17"/>
      <c r="X965" s="17"/>
      <c r="Y965" s="17"/>
      <c r="Z965" s="17"/>
    </row>
    <row r="966">
      <c r="A966" s="18" t="str">
        <f>IFERROR(__xludf.DUMMYFUNCTION("""COMPUTED_VALUE"""),"ord_30947")</f>
        <v>ord_30947</v>
      </c>
      <c r="B966" s="18" t="str">
        <f>IFERROR(__xludf.DUMMYFUNCTION("""COMPUTED_VALUE"""),"Dev Chauhan")</f>
        <v>Dev Chauhan</v>
      </c>
      <c r="C966" s="18" t="str">
        <f>IFERROR(__xludf.DUMMYFUNCTION("""COMPUTED_VALUE"""),"Bandra")</f>
        <v>Bandra</v>
      </c>
      <c r="D966" s="18" t="str">
        <f>IFERROR(__xludf.DUMMYFUNCTION("""COMPUTED_VALUE"""),"Popcorn")</f>
        <v>Popcorn</v>
      </c>
      <c r="E966" s="18">
        <f>IFERROR(__xludf.DUMMYFUNCTION("""COMPUTED_VALUE"""),1.0)</f>
        <v>1</v>
      </c>
      <c r="F966" s="18" t="str">
        <f>IFERROR(__xludf.DUMMYFUNCTION("""COMPUTED_VALUE"""),"Venu R")</f>
        <v>Venu R</v>
      </c>
      <c r="G966" s="19">
        <f>IFERROR(__xludf.DUMMYFUNCTION("""COMPUTED_VALUE"""),45152.0)</f>
        <v>45152</v>
      </c>
      <c r="H966" s="18" t="str">
        <f>IFERROR(__xludf.DUMMYFUNCTION("""COMPUTED_VALUE"""),"UPI")</f>
        <v>UPI</v>
      </c>
      <c r="I966" s="18" t="str">
        <f>IFERROR(__xludf.DUMMYFUNCTION("""COMPUTED_VALUE"""),"Delivered")</f>
        <v>Delivered</v>
      </c>
      <c r="J966" s="18" t="str">
        <f>IFERROR(__xludf.DUMMYFUNCTION("""COMPUTED_VALUE"""),"Packaging")</f>
        <v>Packaging</v>
      </c>
      <c r="K966" s="18" t="str">
        <f>IFERROR(__xludf.DUMMYFUNCTION("""COMPUTED_VALUE"""),"Secure and intact")</f>
        <v>Secure and intact</v>
      </c>
      <c r="L966" s="18">
        <f>iferror(VLOOKUP($D966,Details!$A$2:$C$11,2,false),vlookup($D966,Details!$E$2:$G$11,2,false))</f>
        <v>150</v>
      </c>
      <c r="M966" s="18" t="str">
        <f>iferror(VLOOKUP($D966,Details!$A$2:$C$11,3,false),vlookup($D966,Details!$E$2:$G$11,3,false))</f>
        <v>Snacks and Drinks</v>
      </c>
      <c r="N966" s="18">
        <f t="shared" si="1"/>
        <v>150</v>
      </c>
      <c r="O966" s="17"/>
      <c r="P966" s="17"/>
      <c r="Q966" s="17"/>
      <c r="R966" s="17"/>
      <c r="S966" s="17"/>
      <c r="T966" s="17"/>
      <c r="U966" s="17"/>
      <c r="V966" s="17"/>
      <c r="W966" s="17"/>
      <c r="X966" s="17"/>
      <c r="Y966" s="17"/>
      <c r="Z966" s="17"/>
    </row>
    <row r="967">
      <c r="A967" s="18" t="str">
        <f>IFERROR(__xludf.DUMMYFUNCTION("""COMPUTED_VALUE"""),"ord_30948")</f>
        <v>ord_30948</v>
      </c>
      <c r="B967" s="18" t="str">
        <f>IFERROR(__xludf.DUMMYFUNCTION("""COMPUTED_VALUE"""),"Pranav Joshi")</f>
        <v>Pranav Joshi</v>
      </c>
      <c r="C967" s="18" t="str">
        <f>IFERROR(__xludf.DUMMYFUNCTION("""COMPUTED_VALUE"""),"Andheri")</f>
        <v>Andheri</v>
      </c>
      <c r="D967" s="18" t="str">
        <f>IFERROR(__xludf.DUMMYFUNCTION("""COMPUTED_VALUE"""),"Popcorn")</f>
        <v>Popcorn</v>
      </c>
      <c r="E967" s="18">
        <f>IFERROR(__xludf.DUMMYFUNCTION("""COMPUTED_VALUE"""),1.0)</f>
        <v>1</v>
      </c>
      <c r="F967" s="18" t="str">
        <f>IFERROR(__xludf.DUMMYFUNCTION("""COMPUTED_VALUE"""),"Vivek Kumar")</f>
        <v>Vivek Kumar</v>
      </c>
      <c r="G967" s="19">
        <f>IFERROR(__xludf.DUMMYFUNCTION("""COMPUTED_VALUE"""),45112.0)</f>
        <v>45112</v>
      </c>
      <c r="H967" s="18" t="str">
        <f>IFERROR(__xludf.DUMMYFUNCTION("""COMPUTED_VALUE"""),"Online Payment")</f>
        <v>Online Payment</v>
      </c>
      <c r="I967" s="18" t="str">
        <f>IFERROR(__xludf.DUMMYFUNCTION("""COMPUTED_VALUE"""),"Delivered")</f>
        <v>Delivered</v>
      </c>
      <c r="J967" s="18" t="str">
        <f>IFERROR(__xludf.DUMMYFUNCTION("""COMPUTED_VALUE"""),"Satisfied with the Delivery")</f>
        <v>Satisfied with the Delivery</v>
      </c>
      <c r="K967" s="18" t="str">
        <f>IFERROR(__xludf.DUMMYFUNCTION("""COMPUTED_VALUE"""),"Timely and quality")</f>
        <v>Timely and quality</v>
      </c>
      <c r="L967" s="18">
        <f>iferror(VLOOKUP($D967,Details!$A$2:$C$11,2,false),vlookup($D967,Details!$E$2:$G$11,2,false))</f>
        <v>150</v>
      </c>
      <c r="M967" s="18" t="str">
        <f>iferror(VLOOKUP($D967,Details!$A$2:$C$11,3,false),vlookup($D967,Details!$E$2:$G$11,3,false))</f>
        <v>Snacks and Drinks</v>
      </c>
      <c r="N967" s="18">
        <f t="shared" si="1"/>
        <v>150</v>
      </c>
      <c r="O967" s="17"/>
      <c r="P967" s="17"/>
      <c r="Q967" s="17"/>
      <c r="R967" s="17"/>
      <c r="S967" s="17"/>
      <c r="T967" s="17"/>
      <c r="U967" s="17"/>
      <c r="V967" s="17"/>
      <c r="W967" s="17"/>
      <c r="X967" s="17"/>
      <c r="Y967" s="17"/>
      <c r="Z967" s="17"/>
    </row>
    <row r="968">
      <c r="A968" s="18" t="str">
        <f>IFERROR(__xludf.DUMMYFUNCTION("""COMPUTED_VALUE"""),"ord_30949")</f>
        <v>ord_30949</v>
      </c>
      <c r="B968" s="18" t="str">
        <f>IFERROR(__xludf.DUMMYFUNCTION("""COMPUTED_VALUE"""),"Parth Goel")</f>
        <v>Parth Goel</v>
      </c>
      <c r="C968" s="18" t="str">
        <f>IFERROR(__xludf.DUMMYFUNCTION("""COMPUTED_VALUE"""),"Juhu")</f>
        <v>Juhu</v>
      </c>
      <c r="D968" s="18" t="str">
        <f>IFERROR(__xludf.DUMMYFUNCTION("""COMPUTED_VALUE"""),"Icecream")</f>
        <v>Icecream</v>
      </c>
      <c r="E968" s="18">
        <f>IFERROR(__xludf.DUMMYFUNCTION("""COMPUTED_VALUE"""),4.0)</f>
        <v>4</v>
      </c>
      <c r="F968" s="18" t="str">
        <f>IFERROR(__xludf.DUMMYFUNCTION("""COMPUTED_VALUE"""),"Sita T")</f>
        <v>Sita T</v>
      </c>
      <c r="G968" s="19">
        <f>IFERROR(__xludf.DUMMYFUNCTION("""COMPUTED_VALUE"""),45141.0)</f>
        <v>45141</v>
      </c>
      <c r="H968" s="18" t="str">
        <f>IFERROR(__xludf.DUMMYFUNCTION("""COMPUTED_VALUE"""),"UPI")</f>
        <v>UPI</v>
      </c>
      <c r="I968" s="18" t="str">
        <f>IFERROR(__xludf.DUMMYFUNCTION("""COMPUTED_VALUE"""),"Delivered")</f>
        <v>Delivered</v>
      </c>
      <c r="J968" s="18" t="str">
        <f>IFERROR(__xludf.DUMMYFUNCTION("""COMPUTED_VALUE"""),"Customer Service")</f>
        <v>Customer Service</v>
      </c>
      <c r="K968" s="18" t="str">
        <f>IFERROR(__xludf.DUMMYFUNCTION("""COMPUTED_VALUE"""),"Seamless and easy")</f>
        <v>Seamless and easy</v>
      </c>
      <c r="L968" s="18">
        <f>iferror(VLOOKUP($D968,Details!$A$2:$C$11,2,false),vlookup($D968,Details!$E$2:$G$11,2,false))</f>
        <v>90</v>
      </c>
      <c r="M968" s="18" t="str">
        <f>iferror(VLOOKUP($D968,Details!$A$2:$C$11,3,false),vlookup($D968,Details!$E$2:$G$11,3,false))</f>
        <v>Snacks and Drinks</v>
      </c>
      <c r="N968" s="18">
        <f t="shared" si="1"/>
        <v>360</v>
      </c>
      <c r="O968" s="17"/>
      <c r="P968" s="17"/>
      <c r="Q968" s="17"/>
      <c r="R968" s="17"/>
      <c r="S968" s="17"/>
      <c r="T968" s="17"/>
      <c r="U968" s="17"/>
      <c r="V968" s="17"/>
      <c r="W968" s="17"/>
      <c r="X968" s="17"/>
      <c r="Y968" s="17"/>
      <c r="Z968" s="17"/>
    </row>
    <row r="969">
      <c r="A969" s="18" t="str">
        <f>IFERROR(__xludf.DUMMYFUNCTION("""COMPUTED_VALUE"""),"ord_30950")</f>
        <v>ord_30950</v>
      </c>
      <c r="B969" s="18" t="str">
        <f>IFERROR(__xludf.DUMMYFUNCTION("""COMPUTED_VALUE"""),"Kritika Shetty")</f>
        <v>Kritika Shetty</v>
      </c>
      <c r="C969" s="18" t="str">
        <f>IFERROR(__xludf.DUMMYFUNCTION("""COMPUTED_VALUE"""),"Malad")</f>
        <v>Malad</v>
      </c>
      <c r="D969" s="18" t="str">
        <f>IFERROR(__xludf.DUMMYFUNCTION("""COMPUTED_VALUE"""),"Banana")</f>
        <v>Banana</v>
      </c>
      <c r="E969" s="18">
        <f>IFERROR(__xludf.DUMMYFUNCTION("""COMPUTED_VALUE"""),2.0)</f>
        <v>2</v>
      </c>
      <c r="F969" s="18" t="str">
        <f>IFERROR(__xludf.DUMMYFUNCTION("""COMPUTED_VALUE"""),"Ramesh S")</f>
        <v>Ramesh S</v>
      </c>
      <c r="G969" s="19">
        <f>IFERROR(__xludf.DUMMYFUNCTION("""COMPUTED_VALUE"""),45079.0)</f>
        <v>45079</v>
      </c>
      <c r="H969" s="18" t="str">
        <f>IFERROR(__xludf.DUMMYFUNCTION("""COMPUTED_VALUE"""),"UPI")</f>
        <v>UPI</v>
      </c>
      <c r="I969" s="18" t="str">
        <f>IFERROR(__xludf.DUMMYFUNCTION("""COMPUTED_VALUE"""),"Delivered")</f>
        <v>Delivered</v>
      </c>
      <c r="J969" s="18" t="str">
        <f>IFERROR(__xludf.DUMMYFUNCTION("""COMPUTED_VALUE"""),"Delivery Experience")</f>
        <v>Delivery Experience</v>
      </c>
      <c r="K969" s="18" t="str">
        <f>IFERROR(__xludf.DUMMYFUNCTION("""COMPUTED_VALUE"""),"Quick and professional")</f>
        <v>Quick and professional</v>
      </c>
      <c r="L969" s="18">
        <f>iferror(VLOOKUP($D969,Details!$A$2:$C$11,2,false),vlookup($D969,Details!$E$2:$G$11,2,false))</f>
        <v>80</v>
      </c>
      <c r="M969" s="18" t="str">
        <f>iferror(VLOOKUP($D969,Details!$A$2:$C$11,3,false),vlookup($D969,Details!$E$2:$G$11,3,false))</f>
        <v>Fruits and Vegetables</v>
      </c>
      <c r="N969" s="18">
        <f t="shared" si="1"/>
        <v>160</v>
      </c>
      <c r="O969" s="17"/>
      <c r="P969" s="17"/>
      <c r="Q969" s="17"/>
      <c r="R969" s="17"/>
      <c r="S969" s="17"/>
      <c r="T969" s="17"/>
      <c r="U969" s="17"/>
      <c r="V969" s="17"/>
      <c r="W969" s="17"/>
      <c r="X969" s="17"/>
      <c r="Y969" s="17"/>
      <c r="Z969" s="17"/>
    </row>
    <row r="970">
      <c r="A970" s="18" t="str">
        <f>IFERROR(__xludf.DUMMYFUNCTION("""COMPUTED_VALUE"""),"ord_30951")</f>
        <v>ord_30951</v>
      </c>
      <c r="B970" s="18" t="str">
        <f>IFERROR(__xludf.DUMMYFUNCTION("""COMPUTED_VALUE"""),"Aarohi Kapoor")</f>
        <v>Aarohi Kapoor</v>
      </c>
      <c r="C970" s="18" t="str">
        <f>IFERROR(__xludf.DUMMYFUNCTION("""COMPUTED_VALUE"""),"Bandra")</f>
        <v>Bandra</v>
      </c>
      <c r="D970" s="18" t="str">
        <f>IFERROR(__xludf.DUMMYFUNCTION("""COMPUTED_VALUE"""),"Popcorn")</f>
        <v>Popcorn</v>
      </c>
      <c r="E970" s="18">
        <f>IFERROR(__xludf.DUMMYFUNCTION("""COMPUTED_VALUE"""),3.0)</f>
        <v>3</v>
      </c>
      <c r="F970" s="18" t="str">
        <f>IFERROR(__xludf.DUMMYFUNCTION("""COMPUTED_VALUE"""),"Shine Thomas")</f>
        <v>Shine Thomas</v>
      </c>
      <c r="G970" s="19">
        <f>IFERROR(__xludf.DUMMYFUNCTION("""COMPUTED_VALUE"""),45087.0)</f>
        <v>45087</v>
      </c>
      <c r="H970" s="18" t="str">
        <f>IFERROR(__xludf.DUMMYFUNCTION("""COMPUTED_VALUE"""),"Credit Card")</f>
        <v>Credit Card</v>
      </c>
      <c r="I970" s="18" t="str">
        <f>IFERROR(__xludf.DUMMYFUNCTION("""COMPUTED_VALUE"""),"Delivered")</f>
        <v>Delivered</v>
      </c>
      <c r="J970" s="18" t="str">
        <f>IFERROR(__xludf.DUMMYFUNCTION("""COMPUTED_VALUE"""),"Convenience")</f>
        <v>Convenience</v>
      </c>
      <c r="K970" s="18" t="str">
        <f>IFERROR(__xludf.DUMMYFUNCTION("""COMPUTED_VALUE"""),"Easy tracking")</f>
        <v>Easy tracking</v>
      </c>
      <c r="L970" s="18">
        <f>iferror(VLOOKUP($D970,Details!$A$2:$C$11,2,false),vlookup($D970,Details!$E$2:$G$11,2,false))</f>
        <v>150</v>
      </c>
      <c r="M970" s="18" t="str">
        <f>iferror(VLOOKUP($D970,Details!$A$2:$C$11,3,false),vlookup($D970,Details!$E$2:$G$11,3,false))</f>
        <v>Snacks and Drinks</v>
      </c>
      <c r="N970" s="18">
        <f t="shared" si="1"/>
        <v>450</v>
      </c>
      <c r="O970" s="17"/>
      <c r="P970" s="17"/>
      <c r="Q970" s="17"/>
      <c r="R970" s="17"/>
      <c r="S970" s="17"/>
      <c r="T970" s="17"/>
      <c r="U970" s="17"/>
      <c r="V970" s="17"/>
      <c r="W970" s="17"/>
      <c r="X970" s="17"/>
      <c r="Y970" s="17"/>
      <c r="Z970" s="17"/>
    </row>
    <row r="971">
      <c r="A971" s="18" t="str">
        <f>IFERROR(__xludf.DUMMYFUNCTION("""COMPUTED_VALUE"""),"ord_30952")</f>
        <v>ord_30952</v>
      </c>
      <c r="B971" s="18" t="str">
        <f>IFERROR(__xludf.DUMMYFUNCTION("""COMPUTED_VALUE"""),"Mehul Thakkar")</f>
        <v>Mehul Thakkar</v>
      </c>
      <c r="C971" s="18" t="str">
        <f>IFERROR(__xludf.DUMMYFUNCTION("""COMPUTED_VALUE"""),"Malad")</f>
        <v>Malad</v>
      </c>
      <c r="D971" s="18" t="str">
        <f>IFERROR(__xludf.DUMMYFUNCTION("""COMPUTED_VALUE"""),"Papaya")</f>
        <v>Papaya</v>
      </c>
      <c r="E971" s="18">
        <f>IFERROR(__xludf.DUMMYFUNCTION("""COMPUTED_VALUE"""),2.0)</f>
        <v>2</v>
      </c>
      <c r="F971" s="18" t="str">
        <f>IFERROR(__xludf.DUMMYFUNCTION("""COMPUTED_VALUE"""),"Not Assigned")</f>
        <v>Not Assigned</v>
      </c>
      <c r="G971" s="19">
        <f>IFERROR(__xludf.DUMMYFUNCTION("""COMPUTED_VALUE"""),45189.0)</f>
        <v>45189</v>
      </c>
      <c r="H971" s="18" t="str">
        <f>IFERROR(__xludf.DUMMYFUNCTION("""COMPUTED_VALUE"""),"Credit Card")</f>
        <v>Credit Card</v>
      </c>
      <c r="I971" s="18" t="str">
        <f>IFERROR(__xludf.DUMMYFUNCTION("""COMPUTED_VALUE"""),"Cancelled")</f>
        <v>Cancelled</v>
      </c>
      <c r="J971" s="18" t="str">
        <f>IFERROR(__xludf.DUMMYFUNCTION("""COMPUTED_VALUE"""),"App Glitches")</f>
        <v>App Glitches</v>
      </c>
      <c r="K971" s="18" t="str">
        <f>IFERROR(__xludf.DUMMYFUNCTION("""COMPUTED_VALUE"""),"Inconsistent Data Display")</f>
        <v>Inconsistent Data Display</v>
      </c>
      <c r="L971" s="18">
        <f>iferror(VLOOKUP($D971,Details!$A$2:$C$11,2,false),vlookup($D971,Details!$E$2:$G$11,2,false))</f>
        <v>75</v>
      </c>
      <c r="M971" s="18" t="str">
        <f>iferror(VLOOKUP($D971,Details!$A$2:$C$11,3,false),vlookup($D971,Details!$E$2:$G$11,3,false))</f>
        <v>Fruits and Vegetables</v>
      </c>
      <c r="N971" s="18">
        <f t="shared" si="1"/>
        <v>150</v>
      </c>
      <c r="O971" s="17"/>
      <c r="P971" s="17"/>
      <c r="Q971" s="17"/>
      <c r="R971" s="17"/>
      <c r="S971" s="17"/>
      <c r="T971" s="17"/>
      <c r="U971" s="17"/>
      <c r="V971" s="17"/>
      <c r="W971" s="17"/>
      <c r="X971" s="17"/>
      <c r="Y971" s="17"/>
      <c r="Z971" s="17"/>
    </row>
    <row r="972">
      <c r="A972" s="18" t="str">
        <f>IFERROR(__xludf.DUMMYFUNCTION("""COMPUTED_VALUE"""),"ord_30953")</f>
        <v>ord_30953</v>
      </c>
      <c r="B972" s="18" t="str">
        <f>IFERROR(__xludf.DUMMYFUNCTION("""COMPUTED_VALUE"""),"Ishaan Chaturvedi")</f>
        <v>Ishaan Chaturvedi</v>
      </c>
      <c r="C972" s="18" t="str">
        <f>IFERROR(__xludf.DUMMYFUNCTION("""COMPUTED_VALUE"""),"Bandra")</f>
        <v>Bandra</v>
      </c>
      <c r="D972" s="18" t="str">
        <f>IFERROR(__xludf.DUMMYFUNCTION("""COMPUTED_VALUE"""),"Icecream")</f>
        <v>Icecream</v>
      </c>
      <c r="E972" s="18">
        <f>IFERROR(__xludf.DUMMYFUNCTION("""COMPUTED_VALUE"""),4.0)</f>
        <v>4</v>
      </c>
      <c r="F972" s="18" t="str">
        <f>IFERROR(__xludf.DUMMYFUNCTION("""COMPUTED_VALUE"""),"Shine Thomas")</f>
        <v>Shine Thomas</v>
      </c>
      <c r="G972" s="19">
        <f>IFERROR(__xludf.DUMMYFUNCTION("""COMPUTED_VALUE"""),44997.0)</f>
        <v>44997</v>
      </c>
      <c r="H972" s="18" t="str">
        <f>IFERROR(__xludf.DUMMYFUNCTION("""COMPUTED_VALUE"""),"UPI")</f>
        <v>UPI</v>
      </c>
      <c r="I972" s="18" t="str">
        <f>IFERROR(__xludf.DUMMYFUNCTION("""COMPUTED_VALUE"""),"Delivered")</f>
        <v>Delivered</v>
      </c>
      <c r="J972" s="18" t="str">
        <f>IFERROR(__xludf.DUMMYFUNCTION("""COMPUTED_VALUE"""),"Overall Satisfaction")</f>
        <v>Overall Satisfaction</v>
      </c>
      <c r="K972" s="18" t="str">
        <f>IFERROR(__xludf.DUMMYFUNCTION("""COMPUTED_VALUE"""),"Great service will order again")</f>
        <v>Great service will order again</v>
      </c>
      <c r="L972" s="18">
        <f>iferror(VLOOKUP($D972,Details!$A$2:$C$11,2,false),vlookup($D972,Details!$E$2:$G$11,2,false))</f>
        <v>90</v>
      </c>
      <c r="M972" s="18" t="str">
        <f>iferror(VLOOKUP($D972,Details!$A$2:$C$11,3,false),vlookup($D972,Details!$E$2:$G$11,3,false))</f>
        <v>Snacks and Drinks</v>
      </c>
      <c r="N972" s="18">
        <f t="shared" si="1"/>
        <v>360</v>
      </c>
      <c r="O972" s="17"/>
      <c r="P972" s="17"/>
      <c r="Q972" s="17"/>
      <c r="R972" s="17"/>
      <c r="S972" s="17"/>
      <c r="T972" s="17"/>
      <c r="U972" s="17"/>
      <c r="V972" s="17"/>
      <c r="W972" s="17"/>
      <c r="X972" s="17"/>
      <c r="Y972" s="17"/>
      <c r="Z972" s="17"/>
    </row>
    <row r="973">
      <c r="A973" s="18" t="str">
        <f>IFERROR(__xludf.DUMMYFUNCTION("""COMPUTED_VALUE"""),"ord_30954")</f>
        <v>ord_30954</v>
      </c>
      <c r="B973" s="18" t="str">
        <f>IFERROR(__xludf.DUMMYFUNCTION("""COMPUTED_VALUE"""),"Pallavi Ghosh")</f>
        <v>Pallavi Ghosh</v>
      </c>
      <c r="C973" s="18" t="str">
        <f>IFERROR(__xludf.DUMMYFUNCTION("""COMPUTED_VALUE"""),"Bandra")</f>
        <v>Bandra</v>
      </c>
      <c r="D973" s="18" t="str">
        <f>IFERROR(__xludf.DUMMYFUNCTION("""COMPUTED_VALUE"""),"Chicken Puff")</f>
        <v>Chicken Puff</v>
      </c>
      <c r="E973" s="18">
        <f>IFERROR(__xludf.DUMMYFUNCTION("""COMPUTED_VALUE"""),3.0)</f>
        <v>3</v>
      </c>
      <c r="F973" s="18" t="str">
        <f>IFERROR(__xludf.DUMMYFUNCTION("""COMPUTED_VALUE"""),"Vivek Kumar")</f>
        <v>Vivek Kumar</v>
      </c>
      <c r="G973" s="19">
        <f>IFERROR(__xludf.DUMMYFUNCTION("""COMPUTED_VALUE"""),45224.0)</f>
        <v>45224</v>
      </c>
      <c r="H973" s="18" t="str">
        <f>IFERROR(__xludf.DUMMYFUNCTION("""COMPUTED_VALUE"""),"Online Payment")</f>
        <v>Online Payment</v>
      </c>
      <c r="I973" s="18" t="str">
        <f>IFERROR(__xludf.DUMMYFUNCTION("""COMPUTED_VALUE"""),"Delivered")</f>
        <v>Delivered</v>
      </c>
      <c r="J973" s="18" t="str">
        <f>IFERROR(__xludf.DUMMYFUNCTION("""COMPUTED_VALUE"""),"On-time Delivery")</f>
        <v>On-time Delivery</v>
      </c>
      <c r="K973" s="18" t="str">
        <f>IFERROR(__xludf.DUMMYFUNCTION("""COMPUTED_VALUE"""),"Delivered on time")</f>
        <v>Delivered on time</v>
      </c>
      <c r="L973" s="18">
        <f>iferror(VLOOKUP($D973,Details!$A$2:$C$11,2,false),vlookup($D973,Details!$E$2:$G$11,2,false))</f>
        <v>90</v>
      </c>
      <c r="M973" s="18" t="str">
        <f>iferror(VLOOKUP($D973,Details!$A$2:$C$11,3,false),vlookup($D973,Details!$E$2:$G$11,3,false))</f>
        <v>Snacks and Drinks</v>
      </c>
      <c r="N973" s="18">
        <f t="shared" si="1"/>
        <v>270</v>
      </c>
      <c r="O973" s="17"/>
      <c r="P973" s="17"/>
      <c r="Q973" s="17"/>
      <c r="R973" s="17"/>
      <c r="S973" s="17"/>
      <c r="T973" s="17"/>
      <c r="U973" s="17"/>
      <c r="V973" s="17"/>
      <c r="W973" s="17"/>
      <c r="X973" s="17"/>
      <c r="Y973" s="17"/>
      <c r="Z973" s="17"/>
    </row>
    <row r="974">
      <c r="A974" s="18" t="str">
        <f>IFERROR(__xludf.DUMMYFUNCTION("""COMPUTED_VALUE"""),"ord_30955")</f>
        <v>ord_30955</v>
      </c>
      <c r="B974" s="18" t="str">
        <f>IFERROR(__xludf.DUMMYFUNCTION("""COMPUTED_VALUE"""),"Mohit Malhotra")</f>
        <v>Mohit Malhotra</v>
      </c>
      <c r="C974" s="18" t="str">
        <f>IFERROR(__xludf.DUMMYFUNCTION("""COMPUTED_VALUE"""),"Lower Parel")</f>
        <v>Lower Parel</v>
      </c>
      <c r="D974" s="18" t="str">
        <f>IFERROR(__xludf.DUMMYFUNCTION("""COMPUTED_VALUE"""),"Juice")</f>
        <v>Juice</v>
      </c>
      <c r="E974" s="18">
        <f>IFERROR(__xludf.DUMMYFUNCTION("""COMPUTED_VALUE"""),1.0)</f>
        <v>1</v>
      </c>
      <c r="F974" s="18" t="str">
        <f>IFERROR(__xludf.DUMMYFUNCTION("""COMPUTED_VALUE"""),"Vivek Kumar")</f>
        <v>Vivek Kumar</v>
      </c>
      <c r="G974" s="19">
        <f>IFERROR(__xludf.DUMMYFUNCTION("""COMPUTED_VALUE"""),44937.0)</f>
        <v>44937</v>
      </c>
      <c r="H974" s="18" t="str">
        <f>IFERROR(__xludf.DUMMYFUNCTION("""COMPUTED_VALUE"""),"UPI")</f>
        <v>UPI</v>
      </c>
      <c r="I974" s="18" t="str">
        <f>IFERROR(__xludf.DUMMYFUNCTION("""COMPUTED_VALUE"""),"Delivered")</f>
        <v>Delivered</v>
      </c>
      <c r="J974" s="18" t="str">
        <f>IFERROR(__xludf.DUMMYFUNCTION("""COMPUTED_VALUE"""),"Quality of Items")</f>
        <v>Quality of Items</v>
      </c>
      <c r="K974" s="18" t="str">
        <f>IFERROR(__xludf.DUMMYFUNCTION("""COMPUTED_VALUE"""),"Perfect condition")</f>
        <v>Perfect condition</v>
      </c>
      <c r="L974" s="18">
        <f>iferror(VLOOKUP($D974,Details!$A$2:$C$11,2,false),vlookup($D974,Details!$E$2:$G$11,2,false))</f>
        <v>90</v>
      </c>
      <c r="M974" s="18" t="str">
        <f>iferror(VLOOKUP($D974,Details!$A$2:$C$11,3,false),vlookup($D974,Details!$E$2:$G$11,3,false))</f>
        <v>Snacks and Drinks</v>
      </c>
      <c r="N974" s="18">
        <f t="shared" si="1"/>
        <v>90</v>
      </c>
      <c r="O974" s="17"/>
      <c r="P974" s="17"/>
      <c r="Q974" s="17"/>
      <c r="R974" s="17"/>
      <c r="S974" s="17"/>
      <c r="T974" s="17"/>
      <c r="U974" s="17"/>
      <c r="V974" s="17"/>
      <c r="W974" s="17"/>
      <c r="X974" s="17"/>
      <c r="Y974" s="17"/>
      <c r="Z974" s="17"/>
    </row>
    <row r="975">
      <c r="A975" s="18" t="str">
        <f>IFERROR(__xludf.DUMMYFUNCTION("""COMPUTED_VALUE"""),"ord_40956")</f>
        <v>ord_40956</v>
      </c>
      <c r="B975" s="18" t="str">
        <f>IFERROR(__xludf.DUMMYFUNCTION("""COMPUTED_VALUE"""),"Sakshi Tandon")</f>
        <v>Sakshi Tandon</v>
      </c>
      <c r="C975" s="18" t="str">
        <f>IFERROR(__xludf.DUMMYFUNCTION("""COMPUTED_VALUE"""),"Colaba")</f>
        <v>Colaba</v>
      </c>
      <c r="D975" s="18" t="str">
        <f>IFERROR(__xludf.DUMMYFUNCTION("""COMPUTED_VALUE"""),"Veg Puff")</f>
        <v>Veg Puff</v>
      </c>
      <c r="E975" s="18">
        <f>IFERROR(__xludf.DUMMYFUNCTION("""COMPUTED_VALUE"""),5.0)</f>
        <v>5</v>
      </c>
      <c r="F975" s="18" t="str">
        <f>IFERROR(__xludf.DUMMYFUNCTION("""COMPUTED_VALUE"""),"Ram Gopal")</f>
        <v>Ram Gopal</v>
      </c>
      <c r="G975" s="19">
        <f>IFERROR(__xludf.DUMMYFUNCTION("""COMPUTED_VALUE"""),45048.0)</f>
        <v>45048</v>
      </c>
      <c r="H975" s="18" t="str">
        <f>IFERROR(__xludf.DUMMYFUNCTION("""COMPUTED_VALUE"""),"UPI")</f>
        <v>UPI</v>
      </c>
      <c r="I975" s="18" t="str">
        <f>IFERROR(__xludf.DUMMYFUNCTION("""COMPUTED_VALUE"""),"Delivered")</f>
        <v>Delivered</v>
      </c>
      <c r="J975" s="18" t="str">
        <f>IFERROR(__xludf.DUMMYFUNCTION("""COMPUTED_VALUE"""),"On-time Delivery")</f>
        <v>On-time Delivery</v>
      </c>
      <c r="K975" s="18" t="str">
        <f>IFERROR(__xludf.DUMMYFUNCTION("""COMPUTED_VALUE"""),"Delivered on time")</f>
        <v>Delivered on time</v>
      </c>
      <c r="L975" s="18">
        <f>iferror(VLOOKUP($D975,Details!$A$2:$C$11,2,false),vlookup($D975,Details!$E$2:$G$11,2,false))</f>
        <v>80</v>
      </c>
      <c r="M975" s="18" t="str">
        <f>iferror(VLOOKUP($D975,Details!$A$2:$C$11,3,false),vlookup($D975,Details!$E$2:$G$11,3,false))</f>
        <v>Snacks and Drinks</v>
      </c>
      <c r="N975" s="18">
        <f t="shared" si="1"/>
        <v>400</v>
      </c>
      <c r="O975" s="17"/>
      <c r="P975" s="17"/>
      <c r="Q975" s="17"/>
      <c r="R975" s="17"/>
      <c r="S975" s="17"/>
      <c r="T975" s="17"/>
      <c r="U975" s="17"/>
      <c r="V975" s="17"/>
      <c r="W975" s="17"/>
      <c r="X975" s="17"/>
      <c r="Y975" s="17"/>
      <c r="Z975" s="17"/>
    </row>
    <row r="976">
      <c r="A976" s="18" t="str">
        <f>IFERROR(__xludf.DUMMYFUNCTION("""COMPUTED_VALUE"""),"ord_40957")</f>
        <v>ord_40957</v>
      </c>
      <c r="B976" s="18" t="str">
        <f>IFERROR(__xludf.DUMMYFUNCTION("""COMPUTED_VALUE"""),"Aarohi Kapoor")</f>
        <v>Aarohi Kapoor</v>
      </c>
      <c r="C976" s="18" t="str">
        <f>IFERROR(__xludf.DUMMYFUNCTION("""COMPUTED_VALUE"""),"Bandra")</f>
        <v>Bandra</v>
      </c>
      <c r="D976" s="18" t="str">
        <f>IFERROR(__xludf.DUMMYFUNCTION("""COMPUTED_VALUE"""),"Tiramisu")</f>
        <v>Tiramisu</v>
      </c>
      <c r="E976" s="18">
        <f>IFERROR(__xludf.DUMMYFUNCTION("""COMPUTED_VALUE"""),2.0)</f>
        <v>2</v>
      </c>
      <c r="F976" s="18" t="str">
        <f>IFERROR(__xludf.DUMMYFUNCTION("""COMPUTED_VALUE"""),"Nithin Lal")</f>
        <v>Nithin Lal</v>
      </c>
      <c r="G976" s="19">
        <f>IFERROR(__xludf.DUMMYFUNCTION("""COMPUTED_VALUE"""),45167.0)</f>
        <v>45167</v>
      </c>
      <c r="H976" s="18" t="str">
        <f>IFERROR(__xludf.DUMMYFUNCTION("""COMPUTED_VALUE"""),"Online Payment")</f>
        <v>Online Payment</v>
      </c>
      <c r="I976" s="18" t="str">
        <f>IFERROR(__xludf.DUMMYFUNCTION("""COMPUTED_VALUE"""),"Delivered")</f>
        <v>Delivered</v>
      </c>
      <c r="J976" s="18" t="str">
        <f>IFERROR(__xludf.DUMMYFUNCTION("""COMPUTED_VALUE"""),"Quality of Items")</f>
        <v>Quality of Items</v>
      </c>
      <c r="K976" s="18" t="str">
        <f>IFERROR(__xludf.DUMMYFUNCTION("""COMPUTED_VALUE"""),"Perfect condition")</f>
        <v>Perfect condition</v>
      </c>
      <c r="L976" s="18">
        <f>iferror(VLOOKUP($D976,Details!$A$2:$C$11,2,false),vlookup($D976,Details!$E$2:$G$11,2,false))</f>
        <v>150</v>
      </c>
      <c r="M976" s="18" t="str">
        <f>iferror(VLOOKUP($D976,Details!$A$2:$C$11,3,false),vlookup($D976,Details!$E$2:$G$11,3,false))</f>
        <v>Snacks and Drinks</v>
      </c>
      <c r="N976" s="18">
        <f t="shared" si="1"/>
        <v>300</v>
      </c>
      <c r="O976" s="17"/>
      <c r="P976" s="17"/>
      <c r="Q976" s="17"/>
      <c r="R976" s="17"/>
      <c r="S976" s="17"/>
      <c r="T976" s="17"/>
      <c r="U976" s="17"/>
      <c r="V976" s="17"/>
      <c r="W976" s="17"/>
      <c r="X976" s="17"/>
      <c r="Y976" s="17"/>
      <c r="Z976" s="17"/>
    </row>
    <row r="977">
      <c r="A977" s="18" t="str">
        <f>IFERROR(__xludf.DUMMYFUNCTION("""COMPUTED_VALUE"""),"ord_40958")</f>
        <v>ord_40958</v>
      </c>
      <c r="B977" s="18" t="str">
        <f>IFERROR(__xludf.DUMMYFUNCTION("""COMPUTED_VALUE"""),"Tanishq Bansal")</f>
        <v>Tanishq Bansal</v>
      </c>
      <c r="C977" s="18" t="str">
        <f>IFERROR(__xludf.DUMMYFUNCTION("""COMPUTED_VALUE"""),"Powai")</f>
        <v>Powai</v>
      </c>
      <c r="D977" s="18" t="str">
        <f>IFERROR(__xludf.DUMMYFUNCTION("""COMPUTED_VALUE"""),"Cucumber")</f>
        <v>Cucumber</v>
      </c>
      <c r="E977" s="18">
        <f>IFERROR(__xludf.DUMMYFUNCTION("""COMPUTED_VALUE"""),2.0)</f>
        <v>2</v>
      </c>
      <c r="F977" s="18" t="str">
        <f>IFERROR(__xludf.DUMMYFUNCTION("""COMPUTED_VALUE"""),"Vivek Kumar")</f>
        <v>Vivek Kumar</v>
      </c>
      <c r="G977" s="19">
        <f>IFERROR(__xludf.DUMMYFUNCTION("""COMPUTED_VALUE"""),45084.0)</f>
        <v>45084</v>
      </c>
      <c r="H977" s="18" t="str">
        <f>IFERROR(__xludf.DUMMYFUNCTION("""COMPUTED_VALUE"""),"UPI")</f>
        <v>UPI</v>
      </c>
      <c r="I977" s="18" t="str">
        <f>IFERROR(__xludf.DUMMYFUNCTION("""COMPUTED_VALUE"""),"Delivered")</f>
        <v>Delivered</v>
      </c>
      <c r="J977" s="18" t="str">
        <f>IFERROR(__xludf.DUMMYFUNCTION("""COMPUTED_VALUE"""),"Packaging")</f>
        <v>Packaging</v>
      </c>
      <c r="K977" s="18" t="str">
        <f>IFERROR(__xludf.DUMMYFUNCTION("""COMPUTED_VALUE"""),"Secure and intact")</f>
        <v>Secure and intact</v>
      </c>
      <c r="L977" s="18">
        <f>iferror(VLOOKUP($D977,Details!$A$2:$C$11,2,false),vlookup($D977,Details!$E$2:$G$11,2,false))</f>
        <v>30</v>
      </c>
      <c r="M977" s="18" t="str">
        <f>iferror(VLOOKUP($D977,Details!$A$2:$C$11,3,false),vlookup($D977,Details!$E$2:$G$11,3,false))</f>
        <v>Fruits and Vegetables</v>
      </c>
      <c r="N977" s="18">
        <f t="shared" si="1"/>
        <v>60</v>
      </c>
      <c r="O977" s="17"/>
      <c r="P977" s="17"/>
      <c r="Q977" s="17"/>
      <c r="R977" s="17"/>
      <c r="S977" s="17"/>
      <c r="T977" s="17"/>
      <c r="U977" s="17"/>
      <c r="V977" s="17"/>
      <c r="W977" s="17"/>
      <c r="X977" s="17"/>
      <c r="Y977" s="17"/>
      <c r="Z977" s="17"/>
    </row>
    <row r="978">
      <c r="A978" s="18" t="str">
        <f>IFERROR(__xludf.DUMMYFUNCTION("""COMPUTED_VALUE"""),"ord_40959")</f>
        <v>ord_40959</v>
      </c>
      <c r="B978" s="18" t="str">
        <f>IFERROR(__xludf.DUMMYFUNCTION("""COMPUTED_VALUE"""),"Siya Reddy")</f>
        <v>Siya Reddy</v>
      </c>
      <c r="C978" s="18" t="str">
        <f>IFERROR(__xludf.DUMMYFUNCTION("""COMPUTED_VALUE"""),"Juhu")</f>
        <v>Juhu</v>
      </c>
      <c r="D978" s="18" t="str">
        <f>IFERROR(__xludf.DUMMYFUNCTION("""COMPUTED_VALUE"""),"Juice")</f>
        <v>Juice</v>
      </c>
      <c r="E978" s="18">
        <f>IFERROR(__xludf.DUMMYFUNCTION("""COMPUTED_VALUE"""),4.0)</f>
        <v>4</v>
      </c>
      <c r="F978" s="18" t="str">
        <f>IFERROR(__xludf.DUMMYFUNCTION("""COMPUTED_VALUE"""),"Not Assigned")</f>
        <v>Not Assigned</v>
      </c>
      <c r="G978" s="19">
        <f>IFERROR(__xludf.DUMMYFUNCTION("""COMPUTED_VALUE"""),45278.0)</f>
        <v>45278</v>
      </c>
      <c r="H978" s="18" t="str">
        <f>IFERROR(__xludf.DUMMYFUNCTION("""COMPUTED_VALUE"""),"Credit Card")</f>
        <v>Credit Card</v>
      </c>
      <c r="I978" s="18" t="str">
        <f>IFERROR(__xludf.DUMMYFUNCTION("""COMPUTED_VALUE"""),"Cancelled")</f>
        <v>Cancelled</v>
      </c>
      <c r="J978" s="18" t="str">
        <f>IFERROR(__xludf.DUMMYFUNCTION("""COMPUTED_VALUE"""),"High Delivery Fees")</f>
        <v>High Delivery Fees</v>
      </c>
      <c r="K978" s="18"/>
      <c r="L978" s="18">
        <f>iferror(VLOOKUP($D978,Details!$A$2:$C$11,2,false),vlookup($D978,Details!$E$2:$G$11,2,false))</f>
        <v>90</v>
      </c>
      <c r="M978" s="18" t="str">
        <f>iferror(VLOOKUP($D978,Details!$A$2:$C$11,3,false),vlookup($D978,Details!$E$2:$G$11,3,false))</f>
        <v>Snacks and Drinks</v>
      </c>
      <c r="N978" s="18">
        <f t="shared" si="1"/>
        <v>360</v>
      </c>
      <c r="O978" s="17"/>
      <c r="P978" s="17"/>
      <c r="Q978" s="17"/>
      <c r="R978" s="17"/>
      <c r="S978" s="17"/>
      <c r="T978" s="17"/>
      <c r="U978" s="17"/>
      <c r="V978" s="17"/>
      <c r="W978" s="17"/>
      <c r="X978" s="17"/>
      <c r="Y978" s="17"/>
      <c r="Z978" s="17"/>
    </row>
    <row r="979">
      <c r="A979" s="18" t="str">
        <f>IFERROR(__xludf.DUMMYFUNCTION("""COMPUTED_VALUE"""),"ord_40960")</f>
        <v>ord_40960</v>
      </c>
      <c r="B979" s="18" t="str">
        <f>IFERROR(__xludf.DUMMYFUNCTION("""COMPUTED_VALUE"""),"Kritika Shetty")</f>
        <v>Kritika Shetty</v>
      </c>
      <c r="C979" s="18" t="str">
        <f>IFERROR(__xludf.DUMMYFUNCTION("""COMPUTED_VALUE"""),"Malad")</f>
        <v>Malad</v>
      </c>
      <c r="D979" s="18" t="str">
        <f>IFERROR(__xludf.DUMMYFUNCTION("""COMPUTED_VALUE"""),"Juice")</f>
        <v>Juice</v>
      </c>
      <c r="E979" s="18">
        <f>IFERROR(__xludf.DUMMYFUNCTION("""COMPUTED_VALUE"""),4.0)</f>
        <v>4</v>
      </c>
      <c r="F979" s="18" t="str">
        <f>IFERROR(__xludf.DUMMYFUNCTION("""COMPUTED_VALUE"""),"Ramesh S")</f>
        <v>Ramesh S</v>
      </c>
      <c r="G979" s="19">
        <f>IFERROR(__xludf.DUMMYFUNCTION("""COMPUTED_VALUE"""),45062.0)</f>
        <v>45062</v>
      </c>
      <c r="H979" s="18" t="str">
        <f>IFERROR(__xludf.DUMMYFUNCTION("""COMPUTED_VALUE"""),"UPI")</f>
        <v>UPI</v>
      </c>
      <c r="I979" s="18" t="str">
        <f>IFERROR(__xludf.DUMMYFUNCTION("""COMPUTED_VALUE"""),"Delivered")</f>
        <v>Delivered</v>
      </c>
      <c r="J979" s="18" t="str">
        <f>IFERROR(__xludf.DUMMYFUNCTION("""COMPUTED_VALUE"""),"Satisfied with the Delivery")</f>
        <v>Satisfied with the Delivery</v>
      </c>
      <c r="K979" s="18" t="str">
        <f>IFERROR(__xludf.DUMMYFUNCTION("""COMPUTED_VALUE"""),"Timely and quality")</f>
        <v>Timely and quality</v>
      </c>
      <c r="L979" s="18">
        <f>iferror(VLOOKUP($D979,Details!$A$2:$C$11,2,false),vlookup($D979,Details!$E$2:$G$11,2,false))</f>
        <v>90</v>
      </c>
      <c r="M979" s="18" t="str">
        <f>iferror(VLOOKUP($D979,Details!$A$2:$C$11,3,false),vlookup($D979,Details!$E$2:$G$11,3,false))</f>
        <v>Snacks and Drinks</v>
      </c>
      <c r="N979" s="18">
        <f t="shared" si="1"/>
        <v>360</v>
      </c>
      <c r="O979" s="17"/>
      <c r="P979" s="17"/>
      <c r="Q979" s="17"/>
      <c r="R979" s="17"/>
      <c r="S979" s="17"/>
      <c r="T979" s="17"/>
      <c r="U979" s="17"/>
      <c r="V979" s="17"/>
      <c r="W979" s="17"/>
      <c r="X979" s="17"/>
      <c r="Y979" s="17"/>
      <c r="Z979" s="17"/>
    </row>
    <row r="980">
      <c r="A980" s="18" t="str">
        <f>IFERROR(__xludf.DUMMYFUNCTION("""COMPUTED_VALUE"""),"ord_40961")</f>
        <v>ord_40961</v>
      </c>
      <c r="B980" s="18" t="str">
        <f>IFERROR(__xludf.DUMMYFUNCTION("""COMPUTED_VALUE"""),"Parth Goel")</f>
        <v>Parth Goel</v>
      </c>
      <c r="C980" s="18" t="str">
        <f>IFERROR(__xludf.DUMMYFUNCTION("""COMPUTED_VALUE"""),"Juhu")</f>
        <v>Juhu</v>
      </c>
      <c r="D980" s="18" t="str">
        <f>IFERROR(__xludf.DUMMYFUNCTION("""COMPUTED_VALUE"""),"Cucumber")</f>
        <v>Cucumber</v>
      </c>
      <c r="E980" s="18">
        <f>IFERROR(__xludf.DUMMYFUNCTION("""COMPUTED_VALUE"""),2.0)</f>
        <v>2</v>
      </c>
      <c r="F980" s="18" t="str">
        <f>IFERROR(__xludf.DUMMYFUNCTION("""COMPUTED_VALUE"""),"Shine Thomas")</f>
        <v>Shine Thomas</v>
      </c>
      <c r="G980" s="19">
        <f>IFERROR(__xludf.DUMMYFUNCTION("""COMPUTED_VALUE"""),45282.0)</f>
        <v>45282</v>
      </c>
      <c r="H980" s="18" t="str">
        <f>IFERROR(__xludf.DUMMYFUNCTION("""COMPUTED_VALUE"""),"UPI")</f>
        <v>UPI</v>
      </c>
      <c r="I980" s="18" t="str">
        <f>IFERROR(__xludf.DUMMYFUNCTION("""COMPUTED_VALUE"""),"Delivered")</f>
        <v>Delivered</v>
      </c>
      <c r="J980" s="18" t="str">
        <f>IFERROR(__xludf.DUMMYFUNCTION("""COMPUTED_VALUE"""),"Customer Service")</f>
        <v>Customer Service</v>
      </c>
      <c r="K980" s="18" t="str">
        <f>IFERROR(__xludf.DUMMYFUNCTION("""COMPUTED_VALUE"""),"Seamless and easy")</f>
        <v>Seamless and easy</v>
      </c>
      <c r="L980" s="18">
        <f>iferror(VLOOKUP($D980,Details!$A$2:$C$11,2,false),vlookup($D980,Details!$E$2:$G$11,2,false))</f>
        <v>30</v>
      </c>
      <c r="M980" s="18" t="str">
        <f>iferror(VLOOKUP($D980,Details!$A$2:$C$11,3,false),vlookup($D980,Details!$E$2:$G$11,3,false))</f>
        <v>Fruits and Vegetables</v>
      </c>
      <c r="N980" s="18">
        <f t="shared" si="1"/>
        <v>60</v>
      </c>
      <c r="O980" s="17"/>
      <c r="P980" s="17"/>
      <c r="Q980" s="17"/>
      <c r="R980" s="17"/>
      <c r="S980" s="17"/>
      <c r="T980" s="17"/>
      <c r="U980" s="17"/>
      <c r="V980" s="17"/>
      <c r="W980" s="17"/>
      <c r="X980" s="17"/>
      <c r="Y980" s="17"/>
      <c r="Z980" s="17"/>
    </row>
    <row r="981">
      <c r="A981" s="18" t="str">
        <f>IFERROR(__xludf.DUMMYFUNCTION("""COMPUTED_VALUE"""),"ord_40962")</f>
        <v>ord_40962</v>
      </c>
      <c r="B981" s="18" t="str">
        <f>IFERROR(__xludf.DUMMYFUNCTION("""COMPUTED_VALUE"""),"Pranav Joshi")</f>
        <v>Pranav Joshi</v>
      </c>
      <c r="C981" s="18" t="str">
        <f>IFERROR(__xludf.DUMMYFUNCTION("""COMPUTED_VALUE"""),"Andheri")</f>
        <v>Andheri</v>
      </c>
      <c r="D981" s="18" t="str">
        <f>IFERROR(__xludf.DUMMYFUNCTION("""COMPUTED_VALUE"""),"Potato")</f>
        <v>Potato</v>
      </c>
      <c r="E981" s="18">
        <f>IFERROR(__xludf.DUMMYFUNCTION("""COMPUTED_VALUE"""),2.0)</f>
        <v>2</v>
      </c>
      <c r="F981" s="18" t="str">
        <f>IFERROR(__xludf.DUMMYFUNCTION("""COMPUTED_VALUE"""),"Ramesh S")</f>
        <v>Ramesh S</v>
      </c>
      <c r="G981" s="19">
        <f>IFERROR(__xludf.DUMMYFUNCTION("""COMPUTED_VALUE"""),45049.0)</f>
        <v>45049</v>
      </c>
      <c r="H981" s="18" t="str">
        <f>IFERROR(__xludf.DUMMYFUNCTION("""COMPUTED_VALUE"""),"UPI")</f>
        <v>UPI</v>
      </c>
      <c r="I981" s="18" t="str">
        <f>IFERROR(__xludf.DUMMYFUNCTION("""COMPUTED_VALUE"""),"Delivered")</f>
        <v>Delivered</v>
      </c>
      <c r="J981" s="18" t="str">
        <f>IFERROR(__xludf.DUMMYFUNCTION("""COMPUTED_VALUE"""),"Delivery Experience")</f>
        <v>Delivery Experience</v>
      </c>
      <c r="K981" s="18" t="str">
        <f>IFERROR(__xludf.DUMMYFUNCTION("""COMPUTED_VALUE"""),"Quick and professional")</f>
        <v>Quick and professional</v>
      </c>
      <c r="L981" s="18">
        <f>iferror(VLOOKUP($D981,Details!$A$2:$C$11,2,false),vlookup($D981,Details!$E$2:$G$11,2,false))</f>
        <v>55</v>
      </c>
      <c r="M981" s="18" t="str">
        <f>iferror(VLOOKUP($D981,Details!$A$2:$C$11,3,false),vlookup($D981,Details!$E$2:$G$11,3,false))</f>
        <v>Fruits and Vegetables</v>
      </c>
      <c r="N981" s="18">
        <f t="shared" si="1"/>
        <v>110</v>
      </c>
      <c r="O981" s="17"/>
      <c r="P981" s="17"/>
      <c r="Q981" s="17"/>
      <c r="R981" s="17"/>
      <c r="S981" s="17"/>
      <c r="T981" s="17"/>
      <c r="U981" s="17"/>
      <c r="V981" s="17"/>
      <c r="W981" s="17"/>
      <c r="X981" s="17"/>
      <c r="Y981" s="17"/>
      <c r="Z981" s="17"/>
    </row>
    <row r="982">
      <c r="A982" s="18" t="str">
        <f>IFERROR(__xludf.DUMMYFUNCTION("""COMPUTED_VALUE"""),"ord_40963")</f>
        <v>ord_40963</v>
      </c>
      <c r="B982" s="18" t="str">
        <f>IFERROR(__xludf.DUMMYFUNCTION("""COMPUTED_VALUE"""),"Pallavi Ghosh")</f>
        <v>Pallavi Ghosh</v>
      </c>
      <c r="C982" s="18" t="str">
        <f>IFERROR(__xludf.DUMMYFUNCTION("""COMPUTED_VALUE"""),"Bandra")</f>
        <v>Bandra</v>
      </c>
      <c r="D982" s="18" t="str">
        <f>IFERROR(__xludf.DUMMYFUNCTION("""COMPUTED_VALUE"""),"Chocolate Mousse")</f>
        <v>Chocolate Mousse</v>
      </c>
      <c r="E982" s="18">
        <f>IFERROR(__xludf.DUMMYFUNCTION("""COMPUTED_VALUE"""),3.0)</f>
        <v>3</v>
      </c>
      <c r="F982" s="18" t="str">
        <f>IFERROR(__xludf.DUMMYFUNCTION("""COMPUTED_VALUE"""),"Sita T")</f>
        <v>Sita T</v>
      </c>
      <c r="G982" s="19">
        <f>IFERROR(__xludf.DUMMYFUNCTION("""COMPUTED_VALUE"""),44995.0)</f>
        <v>44995</v>
      </c>
      <c r="H982" s="18" t="str">
        <f>IFERROR(__xludf.DUMMYFUNCTION("""COMPUTED_VALUE"""),"Credit Card")</f>
        <v>Credit Card</v>
      </c>
      <c r="I982" s="18" t="str">
        <f>IFERROR(__xludf.DUMMYFUNCTION("""COMPUTED_VALUE"""),"Delivered")</f>
        <v>Delivered</v>
      </c>
      <c r="J982" s="18" t="str">
        <f>IFERROR(__xludf.DUMMYFUNCTION("""COMPUTED_VALUE"""),"Convenience")</f>
        <v>Convenience</v>
      </c>
      <c r="K982" s="18" t="str">
        <f>IFERROR(__xludf.DUMMYFUNCTION("""COMPUTED_VALUE"""),"Easy tracking")</f>
        <v>Easy tracking</v>
      </c>
      <c r="L982" s="18">
        <f>iferror(VLOOKUP($D982,Details!$A$2:$C$11,2,false),vlookup($D982,Details!$E$2:$G$11,2,false))</f>
        <v>145</v>
      </c>
      <c r="M982" s="18" t="str">
        <f>iferror(VLOOKUP($D982,Details!$A$2:$C$11,3,false),vlookup($D982,Details!$E$2:$G$11,3,false))</f>
        <v>Snacks and Drinks</v>
      </c>
      <c r="N982" s="18">
        <f t="shared" si="1"/>
        <v>435</v>
      </c>
      <c r="O982" s="17"/>
      <c r="P982" s="17"/>
      <c r="Q982" s="17"/>
      <c r="R982" s="17"/>
      <c r="S982" s="17"/>
      <c r="T982" s="17"/>
      <c r="U982" s="17"/>
      <c r="V982" s="17"/>
      <c r="W982" s="17"/>
      <c r="X982" s="17"/>
      <c r="Y982" s="17"/>
      <c r="Z982" s="17"/>
    </row>
    <row r="983">
      <c r="A983" s="18" t="str">
        <f>IFERROR(__xludf.DUMMYFUNCTION("""COMPUTED_VALUE"""),"ord_40964")</f>
        <v>ord_40964</v>
      </c>
      <c r="B983" s="18" t="str">
        <f>IFERROR(__xludf.DUMMYFUNCTION("""COMPUTED_VALUE"""),"Mehul Thakkar")</f>
        <v>Mehul Thakkar</v>
      </c>
      <c r="C983" s="18" t="str">
        <f>IFERROR(__xludf.DUMMYFUNCTION("""COMPUTED_VALUE"""),"Malad")</f>
        <v>Malad</v>
      </c>
      <c r="D983" s="18" t="str">
        <f>IFERROR(__xludf.DUMMYFUNCTION("""COMPUTED_VALUE"""),"Apple")</f>
        <v>Apple</v>
      </c>
      <c r="E983" s="18">
        <f>IFERROR(__xludf.DUMMYFUNCTION("""COMPUTED_VALUE"""),2.0)</f>
        <v>2</v>
      </c>
      <c r="F983" s="18" t="str">
        <f>IFERROR(__xludf.DUMMYFUNCTION("""COMPUTED_VALUE"""),"Vivek Kumar")</f>
        <v>Vivek Kumar</v>
      </c>
      <c r="G983" s="19">
        <f>IFERROR(__xludf.DUMMYFUNCTION("""COMPUTED_VALUE"""),45004.0)</f>
        <v>45004</v>
      </c>
      <c r="H983" s="18" t="str">
        <f>IFERROR(__xludf.DUMMYFUNCTION("""COMPUTED_VALUE"""),"UPI")</f>
        <v>UPI</v>
      </c>
      <c r="I983" s="18" t="str">
        <f>IFERROR(__xludf.DUMMYFUNCTION("""COMPUTED_VALUE"""),"Delivered")</f>
        <v>Delivered</v>
      </c>
      <c r="J983" s="18" t="str">
        <f>IFERROR(__xludf.DUMMYFUNCTION("""COMPUTED_VALUE"""),"Overall Satisfaction")</f>
        <v>Overall Satisfaction</v>
      </c>
      <c r="K983" s="18" t="str">
        <f>IFERROR(__xludf.DUMMYFUNCTION("""COMPUTED_VALUE"""),"Great service will order again")</f>
        <v>Great service will order again</v>
      </c>
      <c r="L983" s="18">
        <f>iferror(VLOOKUP($D983,Details!$A$2:$C$11,2,false),vlookup($D983,Details!$E$2:$G$11,2,false))</f>
        <v>230</v>
      </c>
      <c r="M983" s="18" t="str">
        <f>iferror(VLOOKUP($D983,Details!$A$2:$C$11,3,false),vlookup($D983,Details!$E$2:$G$11,3,false))</f>
        <v>Fruits and Vegetables</v>
      </c>
      <c r="N983" s="18">
        <f t="shared" si="1"/>
        <v>460</v>
      </c>
      <c r="O983" s="17"/>
      <c r="P983" s="17"/>
      <c r="Q983" s="17"/>
      <c r="R983" s="17"/>
      <c r="S983" s="17"/>
      <c r="T983" s="17"/>
      <c r="U983" s="17"/>
      <c r="V983" s="17"/>
      <c r="W983" s="17"/>
      <c r="X983" s="17"/>
      <c r="Y983" s="17"/>
      <c r="Z983" s="17"/>
    </row>
    <row r="984">
      <c r="A984" s="18" t="str">
        <f>IFERROR(__xludf.DUMMYFUNCTION("""COMPUTED_VALUE"""),"ord_40965")</f>
        <v>ord_40965</v>
      </c>
      <c r="B984" s="18" t="str">
        <f>IFERROR(__xludf.DUMMYFUNCTION("""COMPUTED_VALUE"""),"Omkar Mishra")</f>
        <v>Omkar Mishra</v>
      </c>
      <c r="C984" s="18" t="str">
        <f>IFERROR(__xludf.DUMMYFUNCTION("""COMPUTED_VALUE"""),"Powai")</f>
        <v>Powai</v>
      </c>
      <c r="D984" s="18" t="str">
        <f>IFERROR(__xludf.DUMMYFUNCTION("""COMPUTED_VALUE"""),"Potato")</f>
        <v>Potato</v>
      </c>
      <c r="E984" s="18">
        <f>IFERROR(__xludf.DUMMYFUNCTION("""COMPUTED_VALUE"""),2.0)</f>
        <v>2</v>
      </c>
      <c r="F984" s="18" t="str">
        <f>IFERROR(__xludf.DUMMYFUNCTION("""COMPUTED_VALUE"""),"Shine Thomas")</f>
        <v>Shine Thomas</v>
      </c>
      <c r="G984" s="19">
        <f>IFERROR(__xludf.DUMMYFUNCTION("""COMPUTED_VALUE"""),45190.0)</f>
        <v>45190</v>
      </c>
      <c r="H984" s="18" t="str">
        <f>IFERROR(__xludf.DUMMYFUNCTION("""COMPUTED_VALUE"""),"Credit Card")</f>
        <v>Credit Card</v>
      </c>
      <c r="I984" s="18" t="str">
        <f>IFERROR(__xludf.DUMMYFUNCTION("""COMPUTED_VALUE"""),"Delivered")</f>
        <v>Delivered</v>
      </c>
      <c r="J984" s="18" t="str">
        <f>IFERROR(__xludf.DUMMYFUNCTION("""COMPUTED_VALUE"""),"On-time Delivery")</f>
        <v>On-time Delivery</v>
      </c>
      <c r="K984" s="18" t="str">
        <f>IFERROR(__xludf.DUMMYFUNCTION("""COMPUTED_VALUE"""),"Delivered on time")</f>
        <v>Delivered on time</v>
      </c>
      <c r="L984" s="18">
        <f>iferror(VLOOKUP($D984,Details!$A$2:$C$11,2,false),vlookup($D984,Details!$E$2:$G$11,2,false))</f>
        <v>55</v>
      </c>
      <c r="M984" s="18" t="str">
        <f>iferror(VLOOKUP($D984,Details!$A$2:$C$11,3,false),vlookup($D984,Details!$E$2:$G$11,3,false))</f>
        <v>Fruits and Vegetables</v>
      </c>
      <c r="N984" s="18">
        <f t="shared" si="1"/>
        <v>110</v>
      </c>
      <c r="O984" s="17"/>
      <c r="P984" s="17"/>
      <c r="Q984" s="17"/>
      <c r="R984" s="17"/>
      <c r="S984" s="17"/>
      <c r="T984" s="17"/>
      <c r="U984" s="17"/>
      <c r="V984" s="17"/>
      <c r="W984" s="17"/>
      <c r="X984" s="17"/>
      <c r="Y984" s="17"/>
      <c r="Z984" s="17"/>
    </row>
    <row r="985">
      <c r="A985" s="18" t="str">
        <f>IFERROR(__xludf.DUMMYFUNCTION("""COMPUTED_VALUE"""),"ord_40966")</f>
        <v>ord_40966</v>
      </c>
      <c r="B985" s="18" t="str">
        <f>IFERROR(__xludf.DUMMYFUNCTION("""COMPUTED_VALUE"""),"Arvind Kulkarni")</f>
        <v>Arvind Kulkarni</v>
      </c>
      <c r="C985" s="18" t="str">
        <f>IFERROR(__xludf.DUMMYFUNCTION("""COMPUTED_VALUE"""),"Juhu")</f>
        <v>Juhu</v>
      </c>
      <c r="D985" s="18" t="str">
        <f>IFERROR(__xludf.DUMMYFUNCTION("""COMPUTED_VALUE"""),"Chicken Puff")</f>
        <v>Chicken Puff</v>
      </c>
      <c r="E985" s="18">
        <f>IFERROR(__xludf.DUMMYFUNCTION("""COMPUTED_VALUE"""),3.0)</f>
        <v>3</v>
      </c>
      <c r="F985" s="18" t="str">
        <f>IFERROR(__xludf.DUMMYFUNCTION("""COMPUTED_VALUE"""),"Venu R")</f>
        <v>Venu R</v>
      </c>
      <c r="G985" s="19">
        <f>IFERROR(__xludf.DUMMYFUNCTION("""COMPUTED_VALUE"""),45093.0)</f>
        <v>45093</v>
      </c>
      <c r="H985" s="18" t="str">
        <f>IFERROR(__xludf.DUMMYFUNCTION("""COMPUTED_VALUE"""),"UPI")</f>
        <v>UPI</v>
      </c>
      <c r="I985" s="18" t="str">
        <f>IFERROR(__xludf.DUMMYFUNCTION("""COMPUTED_VALUE"""),"Delivered")</f>
        <v>Delivered</v>
      </c>
      <c r="J985" s="18" t="str">
        <f>IFERROR(__xludf.DUMMYFUNCTION("""COMPUTED_VALUE"""),"Quality of Items")</f>
        <v>Quality of Items</v>
      </c>
      <c r="K985" s="18" t="str">
        <f>IFERROR(__xludf.DUMMYFUNCTION("""COMPUTED_VALUE"""),"Perfect condition")</f>
        <v>Perfect condition</v>
      </c>
      <c r="L985" s="18">
        <f>iferror(VLOOKUP($D985,Details!$A$2:$C$11,2,false),vlookup($D985,Details!$E$2:$G$11,2,false))</f>
        <v>90</v>
      </c>
      <c r="M985" s="18" t="str">
        <f>iferror(VLOOKUP($D985,Details!$A$2:$C$11,3,false),vlookup($D985,Details!$E$2:$G$11,3,false))</f>
        <v>Snacks and Drinks</v>
      </c>
      <c r="N985" s="18">
        <f t="shared" si="1"/>
        <v>270</v>
      </c>
      <c r="O985" s="17"/>
      <c r="P985" s="17"/>
      <c r="Q985" s="17"/>
      <c r="R985" s="17"/>
      <c r="S985" s="17"/>
      <c r="T985" s="17"/>
      <c r="U985" s="17"/>
      <c r="V985" s="17"/>
      <c r="W985" s="17"/>
      <c r="X985" s="17"/>
      <c r="Y985" s="17"/>
      <c r="Z985" s="17"/>
    </row>
    <row r="986">
      <c r="A986" s="18" t="str">
        <f>IFERROR(__xludf.DUMMYFUNCTION("""COMPUTED_VALUE"""),"ord_40967")</f>
        <v>ord_40967</v>
      </c>
      <c r="B986" s="18" t="str">
        <f>IFERROR(__xludf.DUMMYFUNCTION("""COMPUTED_VALUE"""),"Aditya Rao")</f>
        <v>Aditya Rao</v>
      </c>
      <c r="C986" s="18" t="str">
        <f>IFERROR(__xludf.DUMMYFUNCTION("""COMPUTED_VALUE"""),"Lower Parel")</f>
        <v>Lower Parel</v>
      </c>
      <c r="D986" s="18" t="str">
        <f>IFERROR(__xludf.DUMMYFUNCTION("""COMPUTED_VALUE"""),"Chocolate Mousse")</f>
        <v>Chocolate Mousse</v>
      </c>
      <c r="E986" s="18">
        <f>IFERROR(__xludf.DUMMYFUNCTION("""COMPUTED_VALUE"""),3.0)</f>
        <v>3</v>
      </c>
      <c r="F986" s="18" t="str">
        <f>IFERROR(__xludf.DUMMYFUNCTION("""COMPUTED_VALUE"""),"Ramesh S")</f>
        <v>Ramesh S</v>
      </c>
      <c r="G986" s="19">
        <f>IFERROR(__xludf.DUMMYFUNCTION("""COMPUTED_VALUE"""),45277.0)</f>
        <v>45277</v>
      </c>
      <c r="H986" s="18" t="str">
        <f>IFERROR(__xludf.DUMMYFUNCTION("""COMPUTED_VALUE"""),"UPI")</f>
        <v>UPI</v>
      </c>
      <c r="I986" s="18" t="str">
        <f>IFERROR(__xludf.DUMMYFUNCTION("""COMPUTED_VALUE"""),"Delivered")</f>
        <v>Delivered</v>
      </c>
      <c r="J986" s="18" t="str">
        <f>IFERROR(__xludf.DUMMYFUNCTION("""COMPUTED_VALUE"""),"On-time Delivery")</f>
        <v>On-time Delivery</v>
      </c>
      <c r="K986" s="18" t="str">
        <f>IFERROR(__xludf.DUMMYFUNCTION("""COMPUTED_VALUE"""),"Delivered on time")</f>
        <v>Delivered on time</v>
      </c>
      <c r="L986" s="18">
        <f>iferror(VLOOKUP($D986,Details!$A$2:$C$11,2,false),vlookup($D986,Details!$E$2:$G$11,2,false))</f>
        <v>145</v>
      </c>
      <c r="M986" s="18" t="str">
        <f>iferror(VLOOKUP($D986,Details!$A$2:$C$11,3,false),vlookup($D986,Details!$E$2:$G$11,3,false))</f>
        <v>Snacks and Drinks</v>
      </c>
      <c r="N986" s="18">
        <f t="shared" si="1"/>
        <v>435</v>
      </c>
      <c r="O986" s="17"/>
      <c r="P986" s="17"/>
      <c r="Q986" s="17"/>
      <c r="R986" s="17"/>
      <c r="S986" s="17"/>
      <c r="T986" s="17"/>
      <c r="U986" s="17"/>
      <c r="V986" s="17"/>
      <c r="W986" s="17"/>
      <c r="X986" s="17"/>
      <c r="Y986" s="17"/>
      <c r="Z986" s="17"/>
    </row>
    <row r="987">
      <c r="A987" s="18" t="str">
        <f>IFERROR(__xludf.DUMMYFUNCTION("""COMPUTED_VALUE"""),"ord_40968")</f>
        <v>ord_40968</v>
      </c>
      <c r="B987" s="18" t="str">
        <f>IFERROR(__xludf.DUMMYFUNCTION("""COMPUTED_VALUE"""),"Aditi Iyer")</f>
        <v>Aditi Iyer</v>
      </c>
      <c r="C987" s="18" t="str">
        <f>IFERROR(__xludf.DUMMYFUNCTION("""COMPUTED_VALUE"""),"Dadar")</f>
        <v>Dadar</v>
      </c>
      <c r="D987" s="18" t="str">
        <f>IFERROR(__xludf.DUMMYFUNCTION("""COMPUTED_VALUE"""),"Apple")</f>
        <v>Apple</v>
      </c>
      <c r="E987" s="18">
        <f>IFERROR(__xludf.DUMMYFUNCTION("""COMPUTED_VALUE"""),2.0)</f>
        <v>2</v>
      </c>
      <c r="F987" s="18" t="str">
        <f>IFERROR(__xludf.DUMMYFUNCTION("""COMPUTED_VALUE"""),"Ram Gopal")</f>
        <v>Ram Gopal</v>
      </c>
      <c r="G987" s="19">
        <f>IFERROR(__xludf.DUMMYFUNCTION("""COMPUTED_VALUE"""),45277.0)</f>
        <v>45277</v>
      </c>
      <c r="H987" s="18" t="str">
        <f>IFERROR(__xludf.DUMMYFUNCTION("""COMPUTED_VALUE"""),"UPI")</f>
        <v>UPI</v>
      </c>
      <c r="I987" s="18" t="str">
        <f>IFERROR(__xludf.DUMMYFUNCTION("""COMPUTED_VALUE"""),"Delivered")</f>
        <v>Delivered</v>
      </c>
      <c r="J987" s="18" t="str">
        <f>IFERROR(__xludf.DUMMYFUNCTION("""COMPUTED_VALUE"""),"Quality of Items")</f>
        <v>Quality of Items</v>
      </c>
      <c r="K987" s="18" t="str">
        <f>IFERROR(__xludf.DUMMYFUNCTION("""COMPUTED_VALUE"""),"Perfect condition")</f>
        <v>Perfect condition</v>
      </c>
      <c r="L987" s="18">
        <f>iferror(VLOOKUP($D987,Details!$A$2:$C$11,2,false),vlookup($D987,Details!$E$2:$G$11,2,false))</f>
        <v>230</v>
      </c>
      <c r="M987" s="18" t="str">
        <f>iferror(VLOOKUP($D987,Details!$A$2:$C$11,3,false),vlookup($D987,Details!$E$2:$G$11,3,false))</f>
        <v>Fruits and Vegetables</v>
      </c>
      <c r="N987" s="18">
        <f t="shared" si="1"/>
        <v>460</v>
      </c>
      <c r="O987" s="17"/>
      <c r="P987" s="17"/>
      <c r="Q987" s="17"/>
      <c r="R987" s="17"/>
      <c r="S987" s="17"/>
      <c r="T987" s="17"/>
      <c r="U987" s="17"/>
      <c r="V987" s="17"/>
      <c r="W987" s="17"/>
      <c r="X987" s="17"/>
      <c r="Y987" s="17"/>
      <c r="Z987" s="17"/>
    </row>
    <row r="988">
      <c r="A988" s="18" t="str">
        <f>IFERROR(__xludf.DUMMYFUNCTION("""COMPUTED_VALUE"""),"ord_40969")</f>
        <v>ord_40969</v>
      </c>
      <c r="B988" s="18" t="str">
        <f>IFERROR(__xludf.DUMMYFUNCTION("""COMPUTED_VALUE"""),"Aditi Iyer")</f>
        <v>Aditi Iyer</v>
      </c>
      <c r="C988" s="18" t="str">
        <f>IFERROR(__xludf.DUMMYFUNCTION("""COMPUTED_VALUE"""),"Dadar")</f>
        <v>Dadar</v>
      </c>
      <c r="D988" s="18" t="str">
        <f>IFERROR(__xludf.DUMMYFUNCTION("""COMPUTED_VALUE"""),"Chicken Puff")</f>
        <v>Chicken Puff</v>
      </c>
      <c r="E988" s="18">
        <f>IFERROR(__xludf.DUMMYFUNCTION("""COMPUTED_VALUE"""),5.0)</f>
        <v>5</v>
      </c>
      <c r="F988" s="18" t="str">
        <f>IFERROR(__xludf.DUMMYFUNCTION("""COMPUTED_VALUE"""),"Manju Ajay")</f>
        <v>Manju Ajay</v>
      </c>
      <c r="G988" s="19">
        <f>IFERROR(__xludf.DUMMYFUNCTION("""COMPUTED_VALUE"""),45278.0)</f>
        <v>45278</v>
      </c>
      <c r="H988" s="18" t="str">
        <f>IFERROR(__xludf.DUMMYFUNCTION("""COMPUTED_VALUE"""),"Credit Card")</f>
        <v>Credit Card</v>
      </c>
      <c r="I988" s="18" t="str">
        <f>IFERROR(__xludf.DUMMYFUNCTION("""COMPUTED_VALUE"""),"Delivered")</f>
        <v>Delivered</v>
      </c>
      <c r="J988" s="18" t="str">
        <f>IFERROR(__xludf.DUMMYFUNCTION("""COMPUTED_VALUE"""),"Packaging")</f>
        <v>Packaging</v>
      </c>
      <c r="K988" s="18" t="str">
        <f>IFERROR(__xludf.DUMMYFUNCTION("""COMPUTED_VALUE"""),"Secure and intact")</f>
        <v>Secure and intact</v>
      </c>
      <c r="L988" s="18">
        <f>iferror(VLOOKUP($D988,Details!$A$2:$C$11,2,false),vlookup($D988,Details!$E$2:$G$11,2,false))</f>
        <v>90</v>
      </c>
      <c r="M988" s="18" t="str">
        <f>iferror(VLOOKUP($D988,Details!$A$2:$C$11,3,false),vlookup($D988,Details!$E$2:$G$11,3,false))</f>
        <v>Snacks and Drinks</v>
      </c>
      <c r="N988" s="18">
        <f t="shared" si="1"/>
        <v>450</v>
      </c>
      <c r="O988" s="17"/>
      <c r="P988" s="17"/>
      <c r="Q988" s="17"/>
      <c r="R988" s="17"/>
      <c r="S988" s="17"/>
      <c r="T988" s="17"/>
      <c r="U988" s="17"/>
      <c r="V988" s="17"/>
      <c r="W988" s="17"/>
      <c r="X988" s="17"/>
      <c r="Y988" s="17"/>
      <c r="Z988" s="17"/>
    </row>
    <row r="989">
      <c r="A989" s="18" t="str">
        <f>IFERROR(__xludf.DUMMYFUNCTION("""COMPUTED_VALUE"""),"ord_40970")</f>
        <v>ord_40970</v>
      </c>
      <c r="B989" s="18" t="str">
        <f>IFERROR(__xludf.DUMMYFUNCTION("""COMPUTED_VALUE"""),"Aditi Iyer")</f>
        <v>Aditi Iyer</v>
      </c>
      <c r="C989" s="18" t="str">
        <f>IFERROR(__xludf.DUMMYFUNCTION("""COMPUTED_VALUE"""),"Dadar")</f>
        <v>Dadar</v>
      </c>
      <c r="D989" s="18" t="str">
        <f>IFERROR(__xludf.DUMMYFUNCTION("""COMPUTED_VALUE"""),"Potato")</f>
        <v>Potato</v>
      </c>
      <c r="E989" s="18">
        <f>IFERROR(__xludf.DUMMYFUNCTION("""COMPUTED_VALUE"""),2.0)</f>
        <v>2</v>
      </c>
      <c r="F989" s="18" t="str">
        <f>IFERROR(__xludf.DUMMYFUNCTION("""COMPUTED_VALUE"""),"Manju Ajay")</f>
        <v>Manju Ajay</v>
      </c>
      <c r="G989" s="19">
        <f>IFERROR(__xludf.DUMMYFUNCTION("""COMPUTED_VALUE"""),44977.0)</f>
        <v>44977</v>
      </c>
      <c r="H989" s="18" t="str">
        <f>IFERROR(__xludf.DUMMYFUNCTION("""COMPUTED_VALUE"""),"Online Payment")</f>
        <v>Online Payment</v>
      </c>
      <c r="I989" s="18" t="str">
        <f>IFERROR(__xludf.DUMMYFUNCTION("""COMPUTED_VALUE"""),"Delivered")</f>
        <v>Delivered</v>
      </c>
      <c r="J989" s="18" t="str">
        <f>IFERROR(__xludf.DUMMYFUNCTION("""COMPUTED_VALUE"""),"Satisfied with the Delivery")</f>
        <v>Satisfied with the Delivery</v>
      </c>
      <c r="K989" s="18" t="str">
        <f>IFERROR(__xludf.DUMMYFUNCTION("""COMPUTED_VALUE"""),"Timely and quality")</f>
        <v>Timely and quality</v>
      </c>
      <c r="L989" s="18">
        <f>iferror(VLOOKUP($D989,Details!$A$2:$C$11,2,false),vlookup($D989,Details!$E$2:$G$11,2,false))</f>
        <v>55</v>
      </c>
      <c r="M989" s="18" t="str">
        <f>iferror(VLOOKUP($D989,Details!$A$2:$C$11,3,false),vlookup($D989,Details!$E$2:$G$11,3,false))</f>
        <v>Fruits and Vegetables</v>
      </c>
      <c r="N989" s="18">
        <f t="shared" si="1"/>
        <v>110</v>
      </c>
      <c r="O989" s="17"/>
      <c r="P989" s="17"/>
      <c r="Q989" s="17"/>
      <c r="R989" s="17"/>
      <c r="S989" s="17"/>
      <c r="T989" s="17"/>
      <c r="U989" s="17"/>
      <c r="V989" s="17"/>
      <c r="W989" s="17"/>
      <c r="X989" s="17"/>
      <c r="Y989" s="17"/>
      <c r="Z989" s="17"/>
    </row>
    <row r="990">
      <c r="A990" s="18" t="str">
        <f>IFERROR(__xludf.DUMMYFUNCTION("""COMPUTED_VALUE"""),"ord_40971")</f>
        <v>ord_40971</v>
      </c>
      <c r="B990" s="18" t="str">
        <f>IFERROR(__xludf.DUMMYFUNCTION("""COMPUTED_VALUE"""),"Mohit Malhotra")</f>
        <v>Mohit Malhotra</v>
      </c>
      <c r="C990" s="18" t="str">
        <f>IFERROR(__xludf.DUMMYFUNCTION("""COMPUTED_VALUE"""),"Lower Parel")</f>
        <v>Lower Parel</v>
      </c>
      <c r="D990" s="18" t="str">
        <f>IFERROR(__xludf.DUMMYFUNCTION("""COMPUTED_VALUE"""),"Tiramisu")</f>
        <v>Tiramisu</v>
      </c>
      <c r="E990" s="18">
        <f>IFERROR(__xludf.DUMMYFUNCTION("""COMPUTED_VALUE"""),5.0)</f>
        <v>5</v>
      </c>
      <c r="F990" s="18" t="str">
        <f>IFERROR(__xludf.DUMMYFUNCTION("""COMPUTED_VALUE"""),"Manju Ajay")</f>
        <v>Manju Ajay</v>
      </c>
      <c r="G990" s="19">
        <f>IFERROR(__xludf.DUMMYFUNCTION("""COMPUTED_VALUE"""),45121.0)</f>
        <v>45121</v>
      </c>
      <c r="H990" s="18" t="str">
        <f>IFERROR(__xludf.DUMMYFUNCTION("""COMPUTED_VALUE"""),"Online Payment")</f>
        <v>Online Payment</v>
      </c>
      <c r="I990" s="18" t="str">
        <f>IFERROR(__xludf.DUMMYFUNCTION("""COMPUTED_VALUE"""),"Delivered")</f>
        <v>Delivered</v>
      </c>
      <c r="J990" s="18" t="str">
        <f>IFERROR(__xludf.DUMMYFUNCTION("""COMPUTED_VALUE"""),"Customer Service")</f>
        <v>Customer Service</v>
      </c>
      <c r="K990" s="18" t="str">
        <f>IFERROR(__xludf.DUMMYFUNCTION("""COMPUTED_VALUE"""),"Seamless and easy")</f>
        <v>Seamless and easy</v>
      </c>
      <c r="L990" s="18">
        <f>iferror(VLOOKUP($D990,Details!$A$2:$C$11,2,false),vlookup($D990,Details!$E$2:$G$11,2,false))</f>
        <v>150</v>
      </c>
      <c r="M990" s="18" t="str">
        <f>iferror(VLOOKUP($D990,Details!$A$2:$C$11,3,false),vlookup($D990,Details!$E$2:$G$11,3,false))</f>
        <v>Snacks and Drinks</v>
      </c>
      <c r="N990" s="18">
        <f t="shared" si="1"/>
        <v>750</v>
      </c>
      <c r="O990" s="17"/>
      <c r="P990" s="17"/>
      <c r="Q990" s="17"/>
      <c r="R990" s="17"/>
      <c r="S990" s="17"/>
      <c r="T990" s="17"/>
      <c r="U990" s="17"/>
      <c r="V990" s="17"/>
      <c r="W990" s="17"/>
      <c r="X990" s="17"/>
      <c r="Y990" s="17"/>
      <c r="Z990" s="17"/>
    </row>
    <row r="991">
      <c r="A991" s="18" t="str">
        <f>IFERROR(__xludf.DUMMYFUNCTION("""COMPUTED_VALUE"""),"ord_40972")</f>
        <v>ord_40972</v>
      </c>
      <c r="B991" s="18" t="str">
        <f>IFERROR(__xludf.DUMMYFUNCTION("""COMPUTED_VALUE"""),"Anaya Rao")</f>
        <v>Anaya Rao</v>
      </c>
      <c r="C991" s="18" t="str">
        <f>IFERROR(__xludf.DUMMYFUNCTION("""COMPUTED_VALUE"""),"Colaba")</f>
        <v>Colaba</v>
      </c>
      <c r="D991" s="18" t="str">
        <f>IFERROR(__xludf.DUMMYFUNCTION("""COMPUTED_VALUE"""),"Tomato")</f>
        <v>Tomato</v>
      </c>
      <c r="E991" s="18">
        <f>IFERROR(__xludf.DUMMYFUNCTION("""COMPUTED_VALUE"""),1.0)</f>
        <v>1</v>
      </c>
      <c r="F991" s="18" t="str">
        <f>IFERROR(__xludf.DUMMYFUNCTION("""COMPUTED_VALUE"""),"Ram Gopal")</f>
        <v>Ram Gopal</v>
      </c>
      <c r="G991" s="19">
        <f>IFERROR(__xludf.DUMMYFUNCTION("""COMPUTED_VALUE"""),45045.0)</f>
        <v>45045</v>
      </c>
      <c r="H991" s="18" t="str">
        <f>IFERROR(__xludf.DUMMYFUNCTION("""COMPUTED_VALUE"""),"Credit Card")</f>
        <v>Credit Card</v>
      </c>
      <c r="I991" s="18" t="str">
        <f>IFERROR(__xludf.DUMMYFUNCTION("""COMPUTED_VALUE"""),"Delivered")</f>
        <v>Delivered</v>
      </c>
      <c r="J991" s="18" t="str">
        <f>IFERROR(__xludf.DUMMYFUNCTION("""COMPUTED_VALUE"""),"Delivery Experience")</f>
        <v>Delivery Experience</v>
      </c>
      <c r="K991" s="18" t="str">
        <f>IFERROR(__xludf.DUMMYFUNCTION("""COMPUTED_VALUE"""),"Quick and professional")</f>
        <v>Quick and professional</v>
      </c>
      <c r="L991" s="18">
        <f>iferror(VLOOKUP($D991,Details!$A$2:$C$11,2,false),vlookup($D991,Details!$E$2:$G$11,2,false))</f>
        <v>25</v>
      </c>
      <c r="M991" s="18" t="str">
        <f>iferror(VLOOKUP($D991,Details!$A$2:$C$11,3,false),vlookup($D991,Details!$E$2:$G$11,3,false))</f>
        <v>Fruits and Vegetables</v>
      </c>
      <c r="N991" s="18">
        <f t="shared" si="1"/>
        <v>25</v>
      </c>
      <c r="O991" s="17"/>
      <c r="P991" s="17"/>
      <c r="Q991" s="17"/>
      <c r="R991" s="17"/>
      <c r="S991" s="17"/>
      <c r="T991" s="17"/>
      <c r="U991" s="17"/>
      <c r="V991" s="17"/>
      <c r="W991" s="17"/>
      <c r="X991" s="17"/>
      <c r="Y991" s="17"/>
      <c r="Z991" s="17"/>
    </row>
    <row r="992">
      <c r="A992" s="18" t="str">
        <f>IFERROR(__xludf.DUMMYFUNCTION("""COMPUTED_VALUE"""),"ord_40973")</f>
        <v>ord_40973</v>
      </c>
      <c r="B992" s="18" t="str">
        <f>IFERROR(__xludf.DUMMYFUNCTION("""COMPUTED_VALUE"""),"Kritika Shetty")</f>
        <v>Kritika Shetty</v>
      </c>
      <c r="C992" s="18" t="str">
        <f>IFERROR(__xludf.DUMMYFUNCTION("""COMPUTED_VALUE"""),"Malad")</f>
        <v>Malad</v>
      </c>
      <c r="D992" s="18" t="str">
        <f>IFERROR(__xludf.DUMMYFUNCTION("""COMPUTED_VALUE"""),"Papaya")</f>
        <v>Papaya</v>
      </c>
      <c r="E992" s="18">
        <f>IFERROR(__xludf.DUMMYFUNCTION("""COMPUTED_VALUE"""),1.0)</f>
        <v>1</v>
      </c>
      <c r="F992" s="18" t="str">
        <f>IFERROR(__xludf.DUMMYFUNCTION("""COMPUTED_VALUE"""),"Not Assigned")</f>
        <v>Not Assigned</v>
      </c>
      <c r="G992" s="19">
        <f>IFERROR(__xludf.DUMMYFUNCTION("""COMPUTED_VALUE"""),45058.0)</f>
        <v>45058</v>
      </c>
      <c r="H992" s="18" t="str">
        <f>IFERROR(__xludf.DUMMYFUNCTION("""COMPUTED_VALUE"""),"Credit Card")</f>
        <v>Credit Card</v>
      </c>
      <c r="I992" s="18" t="str">
        <f>IFERROR(__xludf.DUMMYFUNCTION("""COMPUTED_VALUE"""),"Cancelled")</f>
        <v>Cancelled</v>
      </c>
      <c r="J992" s="18" t="str">
        <f>IFERROR(__xludf.DUMMYFUNCTION("""COMPUTED_VALUE"""),"App Glitches")</f>
        <v>App Glitches</v>
      </c>
      <c r="K992" s="18" t="str">
        <f>IFERROR(__xludf.DUMMYFUNCTION("""COMPUTED_VALUE"""),"Slow Loading Time")</f>
        <v>Slow Loading Time</v>
      </c>
      <c r="L992" s="18">
        <f>iferror(VLOOKUP($D992,Details!$A$2:$C$11,2,false),vlookup($D992,Details!$E$2:$G$11,2,false))</f>
        <v>75</v>
      </c>
      <c r="M992" s="18" t="str">
        <f>iferror(VLOOKUP($D992,Details!$A$2:$C$11,3,false),vlookup($D992,Details!$E$2:$G$11,3,false))</f>
        <v>Fruits and Vegetables</v>
      </c>
      <c r="N992" s="18">
        <f t="shared" si="1"/>
        <v>75</v>
      </c>
      <c r="O992" s="17"/>
      <c r="P992" s="17"/>
      <c r="Q992" s="17"/>
      <c r="R992" s="17"/>
      <c r="S992" s="17"/>
      <c r="T992" s="17"/>
      <c r="U992" s="17"/>
      <c r="V992" s="17"/>
      <c r="W992" s="17"/>
      <c r="X992" s="17"/>
      <c r="Y992" s="17"/>
      <c r="Z992" s="17"/>
    </row>
    <row r="993">
      <c r="A993" s="18" t="str">
        <f>IFERROR(__xludf.DUMMYFUNCTION("""COMPUTED_VALUE"""),"ord_40974")</f>
        <v>ord_40974</v>
      </c>
      <c r="B993" s="18" t="str">
        <f>IFERROR(__xludf.DUMMYFUNCTION("""COMPUTED_VALUE"""),"Pranav Joshi")</f>
        <v>Pranav Joshi</v>
      </c>
      <c r="C993" s="18" t="str">
        <f>IFERROR(__xludf.DUMMYFUNCTION("""COMPUTED_VALUE"""),"Andheri")</f>
        <v>Andheri</v>
      </c>
      <c r="D993" s="18" t="str">
        <f>IFERROR(__xludf.DUMMYFUNCTION("""COMPUTED_VALUE"""),"Papaya")</f>
        <v>Papaya</v>
      </c>
      <c r="E993" s="18">
        <f>IFERROR(__xludf.DUMMYFUNCTION("""COMPUTED_VALUE"""),1.0)</f>
        <v>1</v>
      </c>
      <c r="F993" s="18" t="str">
        <f>IFERROR(__xludf.DUMMYFUNCTION("""COMPUTED_VALUE"""),"Shine Thomas")</f>
        <v>Shine Thomas</v>
      </c>
      <c r="G993" s="19">
        <f>IFERROR(__xludf.DUMMYFUNCTION("""COMPUTED_VALUE"""),45264.0)</f>
        <v>45264</v>
      </c>
      <c r="H993" s="18" t="str">
        <f>IFERROR(__xludf.DUMMYFUNCTION("""COMPUTED_VALUE"""),"Online Payment")</f>
        <v>Online Payment</v>
      </c>
      <c r="I993" s="18" t="str">
        <f>IFERROR(__xludf.DUMMYFUNCTION("""COMPUTED_VALUE"""),"Delivered")</f>
        <v>Delivered</v>
      </c>
      <c r="J993" s="18" t="str">
        <f>IFERROR(__xludf.DUMMYFUNCTION("""COMPUTED_VALUE"""),"Convenience")</f>
        <v>Convenience</v>
      </c>
      <c r="K993" s="18" t="str">
        <f>IFERROR(__xludf.DUMMYFUNCTION("""COMPUTED_VALUE"""),"Easy tracking")</f>
        <v>Easy tracking</v>
      </c>
      <c r="L993" s="18">
        <f>iferror(VLOOKUP($D993,Details!$A$2:$C$11,2,false),vlookup($D993,Details!$E$2:$G$11,2,false))</f>
        <v>75</v>
      </c>
      <c r="M993" s="18" t="str">
        <f>iferror(VLOOKUP($D993,Details!$A$2:$C$11,3,false),vlookup($D993,Details!$E$2:$G$11,3,false))</f>
        <v>Fruits and Vegetables</v>
      </c>
      <c r="N993" s="18">
        <f t="shared" si="1"/>
        <v>75</v>
      </c>
      <c r="O993" s="17"/>
      <c r="P993" s="17"/>
      <c r="Q993" s="17"/>
      <c r="R993" s="17"/>
      <c r="S993" s="17"/>
      <c r="T993" s="17"/>
      <c r="U993" s="17"/>
      <c r="V993" s="17"/>
      <c r="W993" s="17"/>
      <c r="X993" s="17"/>
      <c r="Y993" s="17"/>
      <c r="Z993" s="17"/>
    </row>
    <row r="994">
      <c r="A994" s="18" t="str">
        <f>IFERROR(__xludf.DUMMYFUNCTION("""COMPUTED_VALUE"""),"ord_40975")</f>
        <v>ord_40975</v>
      </c>
      <c r="B994" s="18" t="str">
        <f>IFERROR(__xludf.DUMMYFUNCTION("""COMPUTED_VALUE"""),"Aditi Iyer")</f>
        <v>Aditi Iyer</v>
      </c>
      <c r="C994" s="18" t="str">
        <f>IFERROR(__xludf.DUMMYFUNCTION("""COMPUTED_VALUE"""),"Dadar")</f>
        <v>Dadar</v>
      </c>
      <c r="D994" s="18" t="str">
        <f>IFERROR(__xludf.DUMMYFUNCTION("""COMPUTED_VALUE"""),"Guava")</f>
        <v>Guava</v>
      </c>
      <c r="E994" s="18">
        <f>IFERROR(__xludf.DUMMYFUNCTION("""COMPUTED_VALUE"""),2.0)</f>
        <v>2</v>
      </c>
      <c r="F994" s="18" t="str">
        <f>IFERROR(__xludf.DUMMYFUNCTION("""COMPUTED_VALUE"""),"Sita T")</f>
        <v>Sita T</v>
      </c>
      <c r="G994" s="19">
        <f>IFERROR(__xludf.DUMMYFUNCTION("""COMPUTED_VALUE"""),45036.0)</f>
        <v>45036</v>
      </c>
      <c r="H994" s="18" t="str">
        <f>IFERROR(__xludf.DUMMYFUNCTION("""COMPUTED_VALUE"""),"Online Payment")</f>
        <v>Online Payment</v>
      </c>
      <c r="I994" s="18" t="str">
        <f>IFERROR(__xludf.DUMMYFUNCTION("""COMPUTED_VALUE"""),"Delivered")</f>
        <v>Delivered</v>
      </c>
      <c r="J994" s="18" t="str">
        <f>IFERROR(__xludf.DUMMYFUNCTION("""COMPUTED_VALUE"""),"Overall Satisfaction")</f>
        <v>Overall Satisfaction</v>
      </c>
      <c r="K994" s="18" t="str">
        <f>IFERROR(__xludf.DUMMYFUNCTION("""COMPUTED_VALUE"""),"Great service will order again")</f>
        <v>Great service will order again</v>
      </c>
      <c r="L994" s="18">
        <f>iferror(VLOOKUP($D994,Details!$A$2:$C$11,2,false),vlookup($D994,Details!$E$2:$G$11,2,false))</f>
        <v>70</v>
      </c>
      <c r="M994" s="18" t="str">
        <f>iferror(VLOOKUP($D994,Details!$A$2:$C$11,3,false),vlookup($D994,Details!$E$2:$G$11,3,false))</f>
        <v>Fruits and Vegetables</v>
      </c>
      <c r="N994" s="18">
        <f t="shared" si="1"/>
        <v>140</v>
      </c>
      <c r="O994" s="17"/>
      <c r="P994" s="17"/>
      <c r="Q994" s="17"/>
      <c r="R994" s="17"/>
      <c r="S994" s="17"/>
      <c r="T994" s="17"/>
      <c r="U994" s="17"/>
      <c r="V994" s="17"/>
      <c r="W994" s="17"/>
      <c r="X994" s="17"/>
      <c r="Y994" s="17"/>
      <c r="Z994" s="17"/>
    </row>
    <row r="995">
      <c r="A995" s="18" t="str">
        <f>IFERROR(__xludf.DUMMYFUNCTION("""COMPUTED_VALUE"""),"ord_40976")</f>
        <v>ord_40976</v>
      </c>
      <c r="B995" s="18" t="str">
        <f>IFERROR(__xludf.DUMMYFUNCTION("""COMPUTED_VALUE"""),"Aditya Basu")</f>
        <v>Aditya Basu</v>
      </c>
      <c r="C995" s="18" t="str">
        <f>IFERROR(__xludf.DUMMYFUNCTION("""COMPUTED_VALUE"""),"Juhu")</f>
        <v>Juhu</v>
      </c>
      <c r="D995" s="18" t="str">
        <f>IFERROR(__xludf.DUMMYFUNCTION("""COMPUTED_VALUE"""),"Cucumber")</f>
        <v>Cucumber</v>
      </c>
      <c r="E995" s="18">
        <f>IFERROR(__xludf.DUMMYFUNCTION("""COMPUTED_VALUE"""),2.0)</f>
        <v>2</v>
      </c>
      <c r="F995" s="18" t="str">
        <f>IFERROR(__xludf.DUMMYFUNCTION("""COMPUTED_VALUE"""),"Manju Ajay")</f>
        <v>Manju Ajay</v>
      </c>
      <c r="G995" s="19">
        <f>IFERROR(__xludf.DUMMYFUNCTION("""COMPUTED_VALUE"""),44999.0)</f>
        <v>44999</v>
      </c>
      <c r="H995" s="18" t="str">
        <f>IFERROR(__xludf.DUMMYFUNCTION("""COMPUTED_VALUE"""),"UPI")</f>
        <v>UPI</v>
      </c>
      <c r="I995" s="18" t="str">
        <f>IFERROR(__xludf.DUMMYFUNCTION("""COMPUTED_VALUE"""),"Delivered")</f>
        <v>Delivered</v>
      </c>
      <c r="J995" s="18" t="str">
        <f>IFERROR(__xludf.DUMMYFUNCTION("""COMPUTED_VALUE"""),"On-time Delivery")</f>
        <v>On-time Delivery</v>
      </c>
      <c r="K995" s="18" t="str">
        <f>IFERROR(__xludf.DUMMYFUNCTION("""COMPUTED_VALUE"""),"Delivered on time")</f>
        <v>Delivered on time</v>
      </c>
      <c r="L995" s="18">
        <f>iferror(VLOOKUP($D995,Details!$A$2:$C$11,2,false),vlookup($D995,Details!$E$2:$G$11,2,false))</f>
        <v>30</v>
      </c>
      <c r="M995" s="18" t="str">
        <f>iferror(VLOOKUP($D995,Details!$A$2:$C$11,3,false),vlookup($D995,Details!$E$2:$G$11,3,false))</f>
        <v>Fruits and Vegetables</v>
      </c>
      <c r="N995" s="18">
        <f t="shared" si="1"/>
        <v>60</v>
      </c>
      <c r="O995" s="17"/>
      <c r="P995" s="17"/>
      <c r="Q995" s="17"/>
      <c r="R995" s="17"/>
      <c r="S995" s="17"/>
      <c r="T995" s="17"/>
      <c r="U995" s="17"/>
      <c r="V995" s="17"/>
      <c r="W995" s="17"/>
      <c r="X995" s="17"/>
      <c r="Y995" s="17"/>
      <c r="Z995" s="17"/>
    </row>
    <row r="996">
      <c r="A996" s="18" t="str">
        <f>IFERROR(__xludf.DUMMYFUNCTION("""COMPUTED_VALUE"""),"ord_40977")</f>
        <v>ord_40977</v>
      </c>
      <c r="B996" s="18" t="str">
        <f>IFERROR(__xludf.DUMMYFUNCTION("""COMPUTED_VALUE"""),"Aditya Rao")</f>
        <v>Aditya Rao</v>
      </c>
      <c r="C996" s="18" t="str">
        <f>IFERROR(__xludf.DUMMYFUNCTION("""COMPUTED_VALUE"""),"Lower Parel")</f>
        <v>Lower Parel</v>
      </c>
      <c r="D996" s="18" t="str">
        <f>IFERROR(__xludf.DUMMYFUNCTION("""COMPUTED_VALUE"""),"Tiramisu")</f>
        <v>Tiramisu</v>
      </c>
      <c r="E996" s="18">
        <f>IFERROR(__xludf.DUMMYFUNCTION("""COMPUTED_VALUE"""),2.0)</f>
        <v>2</v>
      </c>
      <c r="F996" s="18" t="str">
        <f>IFERROR(__xludf.DUMMYFUNCTION("""COMPUTED_VALUE"""),"Ramesh S")</f>
        <v>Ramesh S</v>
      </c>
      <c r="G996" s="19">
        <f>IFERROR(__xludf.DUMMYFUNCTION("""COMPUTED_VALUE"""),44977.0)</f>
        <v>44977</v>
      </c>
      <c r="H996" s="18" t="str">
        <f>IFERROR(__xludf.DUMMYFUNCTION("""COMPUTED_VALUE"""),"Credit Card")</f>
        <v>Credit Card</v>
      </c>
      <c r="I996" s="18" t="str">
        <f>IFERROR(__xludf.DUMMYFUNCTION("""COMPUTED_VALUE"""),"Delivered")</f>
        <v>Delivered</v>
      </c>
      <c r="J996" s="18" t="str">
        <f>IFERROR(__xludf.DUMMYFUNCTION("""COMPUTED_VALUE"""),"Quality of Items")</f>
        <v>Quality of Items</v>
      </c>
      <c r="K996" s="18" t="str">
        <f>IFERROR(__xludf.DUMMYFUNCTION("""COMPUTED_VALUE"""),"Perfect condition")</f>
        <v>Perfect condition</v>
      </c>
      <c r="L996" s="18">
        <f>iferror(VLOOKUP($D996,Details!$A$2:$C$11,2,false),vlookup($D996,Details!$E$2:$G$11,2,false))</f>
        <v>150</v>
      </c>
      <c r="M996" s="18" t="str">
        <f>iferror(VLOOKUP($D996,Details!$A$2:$C$11,3,false),vlookup($D996,Details!$E$2:$G$11,3,false))</f>
        <v>Snacks and Drinks</v>
      </c>
      <c r="N996" s="18">
        <f t="shared" si="1"/>
        <v>300</v>
      </c>
      <c r="O996" s="17"/>
      <c r="P996" s="17"/>
      <c r="Q996" s="17"/>
      <c r="R996" s="17"/>
      <c r="S996" s="17"/>
      <c r="T996" s="17"/>
      <c r="U996" s="17"/>
      <c r="V996" s="17"/>
      <c r="W996" s="17"/>
      <c r="X996" s="17"/>
      <c r="Y996" s="17"/>
      <c r="Z996" s="17"/>
    </row>
    <row r="997">
      <c r="A997" s="18" t="str">
        <f>IFERROR(__xludf.DUMMYFUNCTION("""COMPUTED_VALUE"""),"ord_40978")</f>
        <v>ord_40978</v>
      </c>
      <c r="B997" s="18" t="str">
        <f>IFERROR(__xludf.DUMMYFUNCTION("""COMPUTED_VALUE"""),"Mehul Thakkar")</f>
        <v>Mehul Thakkar</v>
      </c>
      <c r="C997" s="18" t="str">
        <f>IFERROR(__xludf.DUMMYFUNCTION("""COMPUTED_VALUE"""),"Malad")</f>
        <v>Malad</v>
      </c>
      <c r="D997" s="18" t="str">
        <f>IFERROR(__xludf.DUMMYFUNCTION("""COMPUTED_VALUE"""),"Onion")</f>
        <v>Onion</v>
      </c>
      <c r="E997" s="18">
        <f>IFERROR(__xludf.DUMMYFUNCTION("""COMPUTED_VALUE"""),2.0)</f>
        <v>2</v>
      </c>
      <c r="F997" s="18" t="str">
        <f>IFERROR(__xludf.DUMMYFUNCTION("""COMPUTED_VALUE"""),"Not Assigned")</f>
        <v>Not Assigned</v>
      </c>
      <c r="G997" s="19">
        <f>IFERROR(__xludf.DUMMYFUNCTION("""COMPUTED_VALUE"""),45227.0)</f>
        <v>45227</v>
      </c>
      <c r="H997" s="18" t="str">
        <f>IFERROR(__xludf.DUMMYFUNCTION("""COMPUTED_VALUE"""),"Credit Card")</f>
        <v>Credit Card</v>
      </c>
      <c r="I997" s="18" t="str">
        <f>IFERROR(__xludf.DUMMYFUNCTION("""COMPUTED_VALUE"""),"Cancelled")</f>
        <v>Cancelled</v>
      </c>
      <c r="J997" s="18" t="str">
        <f>IFERROR(__xludf.DUMMYFUNCTION("""COMPUTED_VALUE"""),"App Glitches")</f>
        <v>App Glitches</v>
      </c>
      <c r="K997" s="18" t="str">
        <f>IFERROR(__xludf.DUMMYFUNCTION("""COMPUTED_VALUE"""),"Missing Content")</f>
        <v>Missing Content</v>
      </c>
      <c r="L997" s="18">
        <f>iferror(VLOOKUP($D997,Details!$A$2:$C$11,2,false),vlookup($D997,Details!$E$2:$G$11,2,false))</f>
        <v>84</v>
      </c>
      <c r="M997" s="18" t="str">
        <f>iferror(VLOOKUP($D997,Details!$A$2:$C$11,3,false),vlookup($D997,Details!$E$2:$G$11,3,false))</f>
        <v>Fruits and Vegetables</v>
      </c>
      <c r="N997" s="18">
        <f t="shared" si="1"/>
        <v>168</v>
      </c>
      <c r="O997" s="17"/>
      <c r="P997" s="17"/>
      <c r="Q997" s="17"/>
      <c r="R997" s="17"/>
      <c r="S997" s="17"/>
      <c r="T997" s="17"/>
      <c r="U997" s="17"/>
      <c r="V997" s="17"/>
      <c r="W997" s="17"/>
      <c r="X997" s="17"/>
      <c r="Y997" s="17"/>
      <c r="Z997" s="17"/>
    </row>
    <row r="998">
      <c r="A998" s="18" t="str">
        <f>IFERROR(__xludf.DUMMYFUNCTION("""COMPUTED_VALUE"""),"ord_40979")</f>
        <v>ord_40979</v>
      </c>
      <c r="B998" s="18" t="str">
        <f>IFERROR(__xludf.DUMMYFUNCTION("""COMPUTED_VALUE"""),"Aarohi Kapoor")</f>
        <v>Aarohi Kapoor</v>
      </c>
      <c r="C998" s="18" t="str">
        <f>IFERROR(__xludf.DUMMYFUNCTION("""COMPUTED_VALUE"""),"Bandra")</f>
        <v>Bandra</v>
      </c>
      <c r="D998" s="18" t="str">
        <f>IFERROR(__xludf.DUMMYFUNCTION("""COMPUTED_VALUE"""),"Papaya")</f>
        <v>Papaya</v>
      </c>
      <c r="E998" s="18">
        <f>IFERROR(__xludf.DUMMYFUNCTION("""COMPUTED_VALUE"""),2.0)</f>
        <v>2</v>
      </c>
      <c r="F998" s="18" t="str">
        <f>IFERROR(__xludf.DUMMYFUNCTION("""COMPUTED_VALUE"""),"Shine Thomas")</f>
        <v>Shine Thomas</v>
      </c>
      <c r="G998" s="19">
        <f>IFERROR(__xludf.DUMMYFUNCTION("""COMPUTED_VALUE"""),45224.0)</f>
        <v>45224</v>
      </c>
      <c r="H998" s="18" t="str">
        <f>IFERROR(__xludf.DUMMYFUNCTION("""COMPUTED_VALUE"""),"Online Payment")</f>
        <v>Online Payment</v>
      </c>
      <c r="I998" s="18" t="str">
        <f>IFERROR(__xludf.DUMMYFUNCTION("""COMPUTED_VALUE"""),"Delivered")</f>
        <v>Delivered</v>
      </c>
      <c r="J998" s="18" t="str">
        <f>IFERROR(__xludf.DUMMYFUNCTION("""COMPUTED_VALUE"""),"On-time Delivery")</f>
        <v>On-time Delivery</v>
      </c>
      <c r="K998" s="18" t="str">
        <f>IFERROR(__xludf.DUMMYFUNCTION("""COMPUTED_VALUE"""),"Delivered on time")</f>
        <v>Delivered on time</v>
      </c>
      <c r="L998" s="18">
        <f>iferror(VLOOKUP($D998,Details!$A$2:$C$11,2,false),vlookup($D998,Details!$E$2:$G$11,2,false))</f>
        <v>75</v>
      </c>
      <c r="M998" s="18" t="str">
        <f>iferror(VLOOKUP($D998,Details!$A$2:$C$11,3,false),vlookup($D998,Details!$E$2:$G$11,3,false))</f>
        <v>Fruits and Vegetables</v>
      </c>
      <c r="N998" s="18">
        <f t="shared" si="1"/>
        <v>150</v>
      </c>
      <c r="O998" s="17"/>
      <c r="P998" s="17"/>
      <c r="Q998" s="17"/>
      <c r="R998" s="17"/>
      <c r="S998" s="17"/>
      <c r="T998" s="17"/>
      <c r="U998" s="17"/>
      <c r="V998" s="17"/>
      <c r="W998" s="17"/>
      <c r="X998" s="17"/>
      <c r="Y998" s="17"/>
      <c r="Z998" s="17"/>
    </row>
    <row r="999">
      <c r="A999" s="18" t="str">
        <f>IFERROR(__xludf.DUMMYFUNCTION("""COMPUTED_VALUE"""),"ord_40980")</f>
        <v>ord_40980</v>
      </c>
      <c r="B999" s="18" t="str">
        <f>IFERROR(__xludf.DUMMYFUNCTION("""COMPUTED_VALUE"""),"Pranav Joshi")</f>
        <v>Pranav Joshi</v>
      </c>
      <c r="C999" s="18" t="str">
        <f>IFERROR(__xludf.DUMMYFUNCTION("""COMPUTED_VALUE"""),"Andheri")</f>
        <v>Andheri</v>
      </c>
      <c r="D999" s="18" t="str">
        <f>IFERROR(__xludf.DUMMYFUNCTION("""COMPUTED_VALUE"""),"Orange")</f>
        <v>Orange</v>
      </c>
      <c r="E999" s="18">
        <f>IFERROR(__xludf.DUMMYFUNCTION("""COMPUTED_VALUE"""),1.0)</f>
        <v>1</v>
      </c>
      <c r="F999" s="18" t="str">
        <f>IFERROR(__xludf.DUMMYFUNCTION("""COMPUTED_VALUE"""),"Vivek Kumar")</f>
        <v>Vivek Kumar</v>
      </c>
      <c r="G999" s="19">
        <f>IFERROR(__xludf.DUMMYFUNCTION("""COMPUTED_VALUE"""),45183.0)</f>
        <v>45183</v>
      </c>
      <c r="H999" s="18" t="str">
        <f>IFERROR(__xludf.DUMMYFUNCTION("""COMPUTED_VALUE"""),"Online Payment")</f>
        <v>Online Payment</v>
      </c>
      <c r="I999" s="18" t="str">
        <f>IFERROR(__xludf.DUMMYFUNCTION("""COMPUTED_VALUE"""),"Delivered")</f>
        <v>Delivered</v>
      </c>
      <c r="J999" s="18" t="str">
        <f>IFERROR(__xludf.DUMMYFUNCTION("""COMPUTED_VALUE"""),"Quality of Items")</f>
        <v>Quality of Items</v>
      </c>
      <c r="K999" s="18" t="str">
        <f>IFERROR(__xludf.DUMMYFUNCTION("""COMPUTED_VALUE"""),"Perfect condition")</f>
        <v>Perfect condition</v>
      </c>
      <c r="L999" s="18">
        <f>iferror(VLOOKUP($D999,Details!$A$2:$C$11,2,false),vlookup($D999,Details!$E$2:$G$11,2,false))</f>
        <v>180</v>
      </c>
      <c r="M999" s="18" t="str">
        <f>iferror(VLOOKUP($D999,Details!$A$2:$C$11,3,false),vlookup($D999,Details!$E$2:$G$11,3,false))</f>
        <v>Fruits and Vegetables</v>
      </c>
      <c r="N999" s="18">
        <f t="shared" si="1"/>
        <v>180</v>
      </c>
      <c r="O999" s="17"/>
      <c r="P999" s="17"/>
      <c r="Q999" s="17"/>
      <c r="R999" s="17"/>
      <c r="S999" s="17"/>
      <c r="T999" s="17"/>
      <c r="U999" s="17"/>
      <c r="V999" s="17"/>
      <c r="W999" s="17"/>
      <c r="X999" s="17"/>
      <c r="Y999" s="17"/>
      <c r="Z999" s="17"/>
    </row>
    <row r="1000">
      <c r="A1000" s="18" t="str">
        <f>IFERROR(__xludf.DUMMYFUNCTION("""COMPUTED_VALUE"""),"ord_40981")</f>
        <v>ord_40981</v>
      </c>
      <c r="B1000" s="18" t="str">
        <f>IFERROR(__xludf.DUMMYFUNCTION("""COMPUTED_VALUE"""),"Ishita Banerjee")</f>
        <v>Ishita Banerjee</v>
      </c>
      <c r="C1000" s="18" t="str">
        <f>IFERROR(__xludf.DUMMYFUNCTION("""COMPUTED_VALUE"""),"Juhu")</f>
        <v>Juhu</v>
      </c>
      <c r="D1000" s="18" t="str">
        <f>IFERROR(__xludf.DUMMYFUNCTION("""COMPUTED_VALUE"""),"Sweet Corn")</f>
        <v>Sweet Corn</v>
      </c>
      <c r="E1000" s="18">
        <f>IFERROR(__xludf.DUMMYFUNCTION("""COMPUTED_VALUE"""),2.0)</f>
        <v>2</v>
      </c>
      <c r="F1000" s="18" t="str">
        <f>IFERROR(__xludf.DUMMYFUNCTION("""COMPUTED_VALUE"""),"Not Assigned")</f>
        <v>Not Assigned</v>
      </c>
      <c r="G1000" s="19">
        <f>IFERROR(__xludf.DUMMYFUNCTION("""COMPUTED_VALUE"""),45108.0)</f>
        <v>45108</v>
      </c>
      <c r="H1000" s="18" t="str">
        <f>IFERROR(__xludf.DUMMYFUNCTION("""COMPUTED_VALUE"""),"Credit Card")</f>
        <v>Credit Card</v>
      </c>
      <c r="I1000" s="18" t="str">
        <f>IFERROR(__xludf.DUMMYFUNCTION("""COMPUTED_VALUE"""),"Cancelled")</f>
        <v>Cancelled</v>
      </c>
      <c r="J1000" s="18" t="str">
        <f>IFERROR(__xludf.DUMMYFUNCTION("""COMPUTED_VALUE"""),"App Glitches")</f>
        <v>App Glitches</v>
      </c>
      <c r="K1000" s="18" t="str">
        <f>IFERROR(__xludf.DUMMYFUNCTION("""COMPUTED_VALUE"""),"Payment Button Malfunction")</f>
        <v>Payment Button Malfunction</v>
      </c>
      <c r="L1000" s="18">
        <f>iferror(VLOOKUP($D1000,Details!$A$2:$C$11,2,false),vlookup($D1000,Details!$E$2:$G$11,2,false))</f>
        <v>60</v>
      </c>
      <c r="M1000" s="18" t="str">
        <f>iferror(VLOOKUP($D1000,Details!$A$2:$C$11,3,false),vlookup($D1000,Details!$E$2:$G$11,3,false))</f>
        <v>Fruits and Vegetables</v>
      </c>
      <c r="N1000" s="18">
        <f t="shared" si="1"/>
        <v>120</v>
      </c>
      <c r="O1000" s="17"/>
      <c r="P1000" s="17"/>
      <c r="Q1000" s="17"/>
      <c r="R1000" s="17"/>
      <c r="S1000" s="17"/>
      <c r="T1000" s="17"/>
      <c r="U1000" s="17"/>
      <c r="V1000" s="17"/>
      <c r="W1000" s="17"/>
      <c r="X1000" s="17"/>
      <c r="Y1000" s="17"/>
      <c r="Z1000" s="17"/>
    </row>
    <row r="1001">
      <c r="A1001" s="18" t="str">
        <f>IFERROR(__xludf.DUMMYFUNCTION("""COMPUTED_VALUE"""),"ord_40982")</f>
        <v>ord_40982</v>
      </c>
      <c r="B1001" s="18" t="str">
        <f>IFERROR(__xludf.DUMMYFUNCTION("""COMPUTED_VALUE"""),"Sanjay Nair")</f>
        <v>Sanjay Nair</v>
      </c>
      <c r="C1001" s="18" t="str">
        <f>IFERROR(__xludf.DUMMYFUNCTION("""COMPUTED_VALUE"""),"Dadar")</f>
        <v>Dadar</v>
      </c>
      <c r="D1001" s="18" t="str">
        <f>IFERROR(__xludf.DUMMYFUNCTION("""COMPUTED_VALUE"""),"Juice")</f>
        <v>Juice</v>
      </c>
      <c r="E1001" s="18">
        <f>IFERROR(__xludf.DUMMYFUNCTION("""COMPUTED_VALUE"""),2.0)</f>
        <v>2</v>
      </c>
      <c r="F1001" s="18" t="str">
        <f>IFERROR(__xludf.DUMMYFUNCTION("""COMPUTED_VALUE"""),"Ramesh S")</f>
        <v>Ramesh S</v>
      </c>
      <c r="G1001" s="19">
        <f>IFERROR(__xludf.DUMMYFUNCTION("""COMPUTED_VALUE"""),45236.0)</f>
        <v>45236</v>
      </c>
      <c r="H1001" s="18" t="str">
        <f>IFERROR(__xludf.DUMMYFUNCTION("""COMPUTED_VALUE"""),"UPI")</f>
        <v>UPI</v>
      </c>
      <c r="I1001" s="18" t="str">
        <f>IFERROR(__xludf.DUMMYFUNCTION("""COMPUTED_VALUE"""),"Delivered")</f>
        <v>Delivered</v>
      </c>
      <c r="J1001" s="18" t="str">
        <f>IFERROR(__xludf.DUMMYFUNCTION("""COMPUTED_VALUE"""),"Packaging")</f>
        <v>Packaging</v>
      </c>
      <c r="K1001" s="18" t="str">
        <f>IFERROR(__xludf.DUMMYFUNCTION("""COMPUTED_VALUE"""),"Secure and intact")</f>
        <v>Secure and intact</v>
      </c>
      <c r="L1001" s="18">
        <f>iferror(VLOOKUP($D1001,Details!$A$2:$C$11,2,false),vlookup($D1001,Details!$E$2:$G$11,2,false))</f>
        <v>90</v>
      </c>
      <c r="M1001" s="18" t="str">
        <f>iferror(VLOOKUP($D1001,Details!$A$2:$C$11,3,false),vlookup($D1001,Details!$E$2:$G$11,3,false))</f>
        <v>Snacks and Drinks</v>
      </c>
      <c r="N1001" s="18">
        <f t="shared" si="1"/>
        <v>180</v>
      </c>
      <c r="O1001" s="17"/>
      <c r="P1001" s="17"/>
      <c r="Q1001" s="17"/>
      <c r="R1001" s="17"/>
      <c r="S1001" s="17"/>
      <c r="T1001" s="17"/>
      <c r="U1001" s="17"/>
      <c r="V1001" s="17"/>
      <c r="W1001" s="17"/>
      <c r="X1001" s="17"/>
      <c r="Y1001" s="17"/>
      <c r="Z1001" s="17"/>
    </row>
    <row r="1002">
      <c r="A1002" s="18" t="str">
        <f>IFERROR(__xludf.DUMMYFUNCTION("""COMPUTED_VALUE"""),"ord_40983")</f>
        <v>ord_40983</v>
      </c>
      <c r="B1002" s="18" t="str">
        <f>IFERROR(__xludf.DUMMYFUNCTION("""COMPUTED_VALUE"""),"Siya Reddy")</f>
        <v>Siya Reddy</v>
      </c>
      <c r="C1002" s="18" t="str">
        <f>IFERROR(__xludf.DUMMYFUNCTION("""COMPUTED_VALUE"""),"Juhu")</f>
        <v>Juhu</v>
      </c>
      <c r="D1002" s="18" t="str">
        <f>IFERROR(__xludf.DUMMYFUNCTION("""COMPUTED_VALUE"""),"Rasmalai")</f>
        <v>Rasmalai</v>
      </c>
      <c r="E1002" s="18">
        <f>IFERROR(__xludf.DUMMYFUNCTION("""COMPUTED_VALUE"""),4.0)</f>
        <v>4</v>
      </c>
      <c r="F1002" s="18" t="str">
        <f>IFERROR(__xludf.DUMMYFUNCTION("""COMPUTED_VALUE"""),"Manju Ajay")</f>
        <v>Manju Ajay</v>
      </c>
      <c r="G1002" s="19">
        <f>IFERROR(__xludf.DUMMYFUNCTION("""COMPUTED_VALUE"""),45010.0)</f>
        <v>45010</v>
      </c>
      <c r="H1002" s="18" t="str">
        <f>IFERROR(__xludf.DUMMYFUNCTION("""COMPUTED_VALUE"""),"Credit Card")</f>
        <v>Credit Card</v>
      </c>
      <c r="I1002" s="18" t="str">
        <f>IFERROR(__xludf.DUMMYFUNCTION("""COMPUTED_VALUE"""),"Delivered")</f>
        <v>Delivered</v>
      </c>
      <c r="J1002" s="18" t="str">
        <f>IFERROR(__xludf.DUMMYFUNCTION("""COMPUTED_VALUE"""),"Satisfied with the Delivery")</f>
        <v>Satisfied with the Delivery</v>
      </c>
      <c r="K1002" s="18" t="str">
        <f>IFERROR(__xludf.DUMMYFUNCTION("""COMPUTED_VALUE"""),"Timely and quality")</f>
        <v>Timely and quality</v>
      </c>
      <c r="L1002" s="18">
        <f>iferror(VLOOKUP($D1002,Details!$A$2:$C$11,2,false),vlookup($D1002,Details!$E$2:$G$11,2,false))</f>
        <v>110</v>
      </c>
      <c r="M1002" s="18" t="str">
        <f>iferror(VLOOKUP($D1002,Details!$A$2:$C$11,3,false),vlookup($D1002,Details!$E$2:$G$11,3,false))</f>
        <v>Snacks and Drinks</v>
      </c>
      <c r="N1002" s="18">
        <f t="shared" si="1"/>
        <v>440</v>
      </c>
      <c r="O1002" s="17"/>
      <c r="P1002" s="17"/>
      <c r="Q1002" s="17"/>
      <c r="R1002" s="17"/>
      <c r="S1002" s="17"/>
      <c r="T1002" s="17"/>
      <c r="U1002" s="17"/>
      <c r="V1002" s="17"/>
      <c r="W1002" s="17"/>
      <c r="X1002" s="17"/>
      <c r="Y1002" s="17"/>
      <c r="Z1002" s="17"/>
    </row>
    <row r="1003">
      <c r="A1003" s="18" t="str">
        <f>IFERROR(__xludf.DUMMYFUNCTION("""COMPUTED_VALUE"""),"ord_40984")</f>
        <v>ord_40984</v>
      </c>
      <c r="B1003" s="18" t="str">
        <f>IFERROR(__xludf.DUMMYFUNCTION("""COMPUTED_VALUE"""),"Sanjay Nair")</f>
        <v>Sanjay Nair</v>
      </c>
      <c r="C1003" s="18" t="str">
        <f>IFERROR(__xludf.DUMMYFUNCTION("""COMPUTED_VALUE"""),"Dadar")</f>
        <v>Dadar</v>
      </c>
      <c r="D1003" s="18" t="str">
        <f>IFERROR(__xludf.DUMMYFUNCTION("""COMPUTED_VALUE"""),"Chicken Puff")</f>
        <v>Chicken Puff</v>
      </c>
      <c r="E1003" s="18">
        <f>IFERROR(__xludf.DUMMYFUNCTION("""COMPUTED_VALUE"""),3.0)</f>
        <v>3</v>
      </c>
      <c r="F1003" s="18" t="str">
        <f>IFERROR(__xludf.DUMMYFUNCTION("""COMPUTED_VALUE"""),"Ramesh S")</f>
        <v>Ramesh S</v>
      </c>
      <c r="G1003" s="19">
        <f>IFERROR(__xludf.DUMMYFUNCTION("""COMPUTED_VALUE"""),45236.0)</f>
        <v>45236</v>
      </c>
      <c r="H1003" s="18" t="str">
        <f>IFERROR(__xludf.DUMMYFUNCTION("""COMPUTED_VALUE"""),"UPI")</f>
        <v>UPI</v>
      </c>
      <c r="I1003" s="18" t="str">
        <f>IFERROR(__xludf.DUMMYFUNCTION("""COMPUTED_VALUE"""),"Delivered")</f>
        <v>Delivered</v>
      </c>
      <c r="J1003" s="18" t="str">
        <f>IFERROR(__xludf.DUMMYFUNCTION("""COMPUTED_VALUE"""),"Customer Service")</f>
        <v>Customer Service</v>
      </c>
      <c r="K1003" s="18" t="str">
        <f>IFERROR(__xludf.DUMMYFUNCTION("""COMPUTED_VALUE"""),"Seamless and easy")</f>
        <v>Seamless and easy</v>
      </c>
      <c r="L1003" s="18">
        <f>iferror(VLOOKUP($D1003,Details!$A$2:$C$11,2,false),vlookup($D1003,Details!$E$2:$G$11,2,false))</f>
        <v>90</v>
      </c>
      <c r="M1003" s="18" t="str">
        <f>iferror(VLOOKUP($D1003,Details!$A$2:$C$11,3,false),vlookup($D1003,Details!$E$2:$G$11,3,false))</f>
        <v>Snacks and Drinks</v>
      </c>
      <c r="N1003" s="18">
        <f t="shared" si="1"/>
        <v>270</v>
      </c>
      <c r="O1003" s="17"/>
      <c r="P1003" s="17"/>
      <c r="Q1003" s="17"/>
      <c r="R1003" s="17"/>
      <c r="S1003" s="17"/>
      <c r="T1003" s="17"/>
      <c r="U1003" s="17"/>
      <c r="V1003" s="17"/>
      <c r="W1003" s="17"/>
      <c r="X1003" s="17"/>
      <c r="Y1003" s="17"/>
      <c r="Z1003" s="17"/>
    </row>
    <row r="1004">
      <c r="A1004" s="18" t="str">
        <f>IFERROR(__xludf.DUMMYFUNCTION("""COMPUTED_VALUE"""),"ord_40985")</f>
        <v>ord_40985</v>
      </c>
      <c r="B1004" s="18" t="str">
        <f>IFERROR(__xludf.DUMMYFUNCTION("""COMPUTED_VALUE"""),"Pranav Joshi")</f>
        <v>Pranav Joshi</v>
      </c>
      <c r="C1004" s="18" t="str">
        <f>IFERROR(__xludf.DUMMYFUNCTION("""COMPUTED_VALUE"""),"Andheri")</f>
        <v>Andheri</v>
      </c>
      <c r="D1004" s="18" t="str">
        <f>IFERROR(__xludf.DUMMYFUNCTION("""COMPUTED_VALUE"""),"Banana")</f>
        <v>Banana</v>
      </c>
      <c r="E1004" s="18">
        <f>IFERROR(__xludf.DUMMYFUNCTION("""COMPUTED_VALUE"""),1.0)</f>
        <v>1</v>
      </c>
      <c r="F1004" s="18" t="str">
        <f>IFERROR(__xludf.DUMMYFUNCTION("""COMPUTED_VALUE"""),"Manju Ajay")</f>
        <v>Manju Ajay</v>
      </c>
      <c r="G1004" s="19">
        <f>IFERROR(__xludf.DUMMYFUNCTION("""COMPUTED_VALUE"""),44982.0)</f>
        <v>44982</v>
      </c>
      <c r="H1004" s="18" t="str">
        <f>IFERROR(__xludf.DUMMYFUNCTION("""COMPUTED_VALUE"""),"UPI")</f>
        <v>UPI</v>
      </c>
      <c r="I1004" s="18" t="str">
        <f>IFERROR(__xludf.DUMMYFUNCTION("""COMPUTED_VALUE"""),"Delivered")</f>
        <v>Delivered</v>
      </c>
      <c r="J1004" s="18" t="str">
        <f>IFERROR(__xludf.DUMMYFUNCTION("""COMPUTED_VALUE"""),"Delivery Experience")</f>
        <v>Delivery Experience</v>
      </c>
      <c r="K1004" s="18" t="str">
        <f>IFERROR(__xludf.DUMMYFUNCTION("""COMPUTED_VALUE"""),"Quick and professional")</f>
        <v>Quick and professional</v>
      </c>
      <c r="L1004" s="18">
        <f>iferror(VLOOKUP($D1004,Details!$A$2:$C$11,2,false),vlookup($D1004,Details!$E$2:$G$11,2,false))</f>
        <v>80</v>
      </c>
      <c r="M1004" s="18" t="str">
        <f>iferror(VLOOKUP($D1004,Details!$A$2:$C$11,3,false),vlookup($D1004,Details!$E$2:$G$11,3,false))</f>
        <v>Fruits and Vegetables</v>
      </c>
      <c r="N1004" s="18">
        <f t="shared" si="1"/>
        <v>80</v>
      </c>
      <c r="O1004" s="17"/>
      <c r="P1004" s="17"/>
      <c r="Q1004" s="17"/>
      <c r="R1004" s="17"/>
      <c r="S1004" s="17"/>
      <c r="T1004" s="17"/>
      <c r="U1004" s="17"/>
      <c r="V1004" s="17"/>
      <c r="W1004" s="17"/>
      <c r="X1004" s="17"/>
      <c r="Y1004" s="17"/>
      <c r="Z1004" s="17"/>
    </row>
    <row r="1005">
      <c r="A1005" s="18" t="str">
        <f>IFERROR(__xludf.DUMMYFUNCTION("""COMPUTED_VALUE"""),"ord_40986")</f>
        <v>ord_40986</v>
      </c>
      <c r="B1005" s="18" t="str">
        <f>IFERROR(__xludf.DUMMYFUNCTION("""COMPUTED_VALUE"""),"Mehul Thakkar")</f>
        <v>Mehul Thakkar</v>
      </c>
      <c r="C1005" s="18" t="str">
        <f>IFERROR(__xludf.DUMMYFUNCTION("""COMPUTED_VALUE"""),"Malad")</f>
        <v>Malad</v>
      </c>
      <c r="D1005" s="18" t="str">
        <f>IFERROR(__xludf.DUMMYFUNCTION("""COMPUTED_VALUE"""),"Apple")</f>
        <v>Apple</v>
      </c>
      <c r="E1005" s="18">
        <f>IFERROR(__xludf.DUMMYFUNCTION("""COMPUTED_VALUE"""),1.0)</f>
        <v>1</v>
      </c>
      <c r="F1005" s="18" t="str">
        <f>IFERROR(__xludf.DUMMYFUNCTION("""COMPUTED_VALUE"""),"Priya Joshi")</f>
        <v>Priya Joshi</v>
      </c>
      <c r="G1005" s="19">
        <f>IFERROR(__xludf.DUMMYFUNCTION("""COMPUTED_VALUE"""),45174.0)</f>
        <v>45174</v>
      </c>
      <c r="H1005" s="18" t="str">
        <f>IFERROR(__xludf.DUMMYFUNCTION("""COMPUTED_VALUE"""),"Credit Card")</f>
        <v>Credit Card</v>
      </c>
      <c r="I1005" s="18" t="str">
        <f>IFERROR(__xludf.DUMMYFUNCTION("""COMPUTED_VALUE"""),"Cancelled")</f>
        <v>Cancelled</v>
      </c>
      <c r="J1005" s="18" t="str">
        <f>IFERROR(__xludf.DUMMYFUNCTION("""COMPUTED_VALUE"""),"Delayed Delivery")</f>
        <v>Delayed Delivery</v>
      </c>
      <c r="K1005" s="18" t="str">
        <f>IFERROR(__xludf.DUMMYFUNCTION("""COMPUTED_VALUE"""),"Bad Weather Conditions")</f>
        <v>Bad Weather Conditions</v>
      </c>
      <c r="L1005" s="18">
        <f>iferror(VLOOKUP($D1005,Details!$A$2:$C$11,2,false),vlookup($D1005,Details!$E$2:$G$11,2,false))</f>
        <v>230</v>
      </c>
      <c r="M1005" s="18" t="str">
        <f>iferror(VLOOKUP($D1005,Details!$A$2:$C$11,3,false),vlookup($D1005,Details!$E$2:$G$11,3,false))</f>
        <v>Fruits and Vegetables</v>
      </c>
      <c r="N1005" s="18">
        <f t="shared" si="1"/>
        <v>230</v>
      </c>
      <c r="O1005" s="17"/>
      <c r="P1005" s="17"/>
      <c r="Q1005" s="17"/>
      <c r="R1005" s="17"/>
      <c r="S1005" s="17"/>
      <c r="T1005" s="17"/>
      <c r="U1005" s="17"/>
      <c r="V1005" s="17"/>
      <c r="W1005" s="17"/>
      <c r="X1005" s="17"/>
      <c r="Y1005" s="17"/>
      <c r="Z1005" s="17"/>
    </row>
    <row r="1006">
      <c r="A1006" s="18" t="str">
        <f>IFERROR(__xludf.DUMMYFUNCTION("""COMPUTED_VALUE"""),"ord_40987")</f>
        <v>ord_40987</v>
      </c>
      <c r="B1006" s="18" t="str">
        <f>IFERROR(__xludf.DUMMYFUNCTION("""COMPUTED_VALUE"""),"Aarav Mehta")</f>
        <v>Aarav Mehta</v>
      </c>
      <c r="C1006" s="18" t="str">
        <f>IFERROR(__xludf.DUMMYFUNCTION("""COMPUTED_VALUE"""),"Andheri")</f>
        <v>Andheri</v>
      </c>
      <c r="D1006" s="18" t="str">
        <f>IFERROR(__xludf.DUMMYFUNCTION("""COMPUTED_VALUE"""),"Tiramisu")</f>
        <v>Tiramisu</v>
      </c>
      <c r="E1006" s="18">
        <f>IFERROR(__xludf.DUMMYFUNCTION("""COMPUTED_VALUE"""),4.0)</f>
        <v>4</v>
      </c>
      <c r="F1006" s="18" t="str">
        <f>IFERROR(__xludf.DUMMYFUNCTION("""COMPUTED_VALUE"""),"Shine Thomas")</f>
        <v>Shine Thomas</v>
      </c>
      <c r="G1006" s="19">
        <f>IFERROR(__xludf.DUMMYFUNCTION("""COMPUTED_VALUE"""),45103.0)</f>
        <v>45103</v>
      </c>
      <c r="H1006" s="18" t="str">
        <f>IFERROR(__xludf.DUMMYFUNCTION("""COMPUTED_VALUE"""),"UPI")</f>
        <v>UPI</v>
      </c>
      <c r="I1006" s="18" t="str">
        <f>IFERROR(__xludf.DUMMYFUNCTION("""COMPUTED_VALUE"""),"Delivered")</f>
        <v>Delivered</v>
      </c>
      <c r="J1006" s="18" t="str">
        <f>IFERROR(__xludf.DUMMYFUNCTION("""COMPUTED_VALUE"""),"Convenience")</f>
        <v>Convenience</v>
      </c>
      <c r="K1006" s="18" t="str">
        <f>IFERROR(__xludf.DUMMYFUNCTION("""COMPUTED_VALUE"""),"Easy tracking")</f>
        <v>Easy tracking</v>
      </c>
      <c r="L1006" s="18">
        <f>iferror(VLOOKUP($D1006,Details!$A$2:$C$11,2,false),vlookup($D1006,Details!$E$2:$G$11,2,false))</f>
        <v>150</v>
      </c>
      <c r="M1006" s="18" t="str">
        <f>iferror(VLOOKUP($D1006,Details!$A$2:$C$11,3,false),vlookup($D1006,Details!$E$2:$G$11,3,false))</f>
        <v>Snacks and Drinks</v>
      </c>
      <c r="N1006" s="18">
        <f t="shared" si="1"/>
        <v>600</v>
      </c>
      <c r="O1006" s="17"/>
      <c r="P1006" s="17"/>
      <c r="Q1006" s="17"/>
      <c r="R1006" s="17"/>
      <c r="S1006" s="17"/>
      <c r="T1006" s="17"/>
      <c r="U1006" s="17"/>
      <c r="V1006" s="17"/>
      <c r="W1006" s="17"/>
      <c r="X1006" s="17"/>
      <c r="Y1006" s="17"/>
      <c r="Z1006" s="17"/>
    </row>
    <row r="1007">
      <c r="A1007" s="18" t="str">
        <f>IFERROR(__xludf.DUMMYFUNCTION("""COMPUTED_VALUE"""),"ord_10090")</f>
        <v>ord_10090</v>
      </c>
      <c r="B1007" s="18" t="str">
        <f>IFERROR(__xludf.DUMMYFUNCTION("""COMPUTED_VALUE"""),"Siya Reddy")</f>
        <v>Siya Reddy</v>
      </c>
      <c r="C1007" s="18" t="str">
        <f>IFERROR(__xludf.DUMMYFUNCTION("""COMPUTED_VALUE"""),"Juhu")</f>
        <v>Juhu</v>
      </c>
      <c r="D1007" s="18" t="str">
        <f>IFERROR(__xludf.DUMMYFUNCTION("""COMPUTED_VALUE"""),"Banana")</f>
        <v>Banana</v>
      </c>
      <c r="E1007" s="18">
        <f>IFERROR(__xludf.DUMMYFUNCTION("""COMPUTED_VALUE"""),2.0)</f>
        <v>2</v>
      </c>
      <c r="F1007" s="18" t="str">
        <f>IFERROR(__xludf.DUMMYFUNCTION("""COMPUTED_VALUE"""),"Sita T")</f>
        <v>Sita T</v>
      </c>
      <c r="G1007" s="19">
        <f>IFERROR(__xludf.DUMMYFUNCTION("""COMPUTED_VALUE"""),44970.0)</f>
        <v>44970</v>
      </c>
      <c r="H1007" s="18" t="str">
        <f>IFERROR(__xludf.DUMMYFUNCTION("""COMPUTED_VALUE"""),"Online Payment")</f>
        <v>Online Payment</v>
      </c>
      <c r="I1007" s="18" t="str">
        <f>IFERROR(__xludf.DUMMYFUNCTION("""COMPUTED_VALUE"""),"Delivered")</f>
        <v>Delivered</v>
      </c>
      <c r="J1007" s="18" t="str">
        <f>IFERROR(__xludf.DUMMYFUNCTION("""COMPUTED_VALUE"""),"Customer Service")</f>
        <v>Customer Service</v>
      </c>
      <c r="K1007" s="18" t="str">
        <f>IFERROR(__xludf.DUMMYFUNCTION("""COMPUTED_VALUE"""),"Seamless and easy")</f>
        <v>Seamless and easy</v>
      </c>
      <c r="L1007" s="18">
        <f>iferror(VLOOKUP($D1007,Details!$A$2:$C$11,2,false),vlookup($D1007,Details!$E$2:$G$11,2,false))</f>
        <v>80</v>
      </c>
      <c r="M1007" s="18" t="str">
        <f>iferror(VLOOKUP($D1007,Details!$A$2:$C$11,3,false),vlookup($D1007,Details!$E$2:$G$11,3,false))</f>
        <v>Fruits and Vegetables</v>
      </c>
      <c r="N1007" s="18">
        <f t="shared" si="1"/>
        <v>160</v>
      </c>
      <c r="O1007" s="17"/>
      <c r="P1007" s="17"/>
      <c r="Q1007" s="17"/>
      <c r="R1007" s="17"/>
      <c r="S1007" s="17"/>
      <c r="T1007" s="17"/>
      <c r="U1007" s="17"/>
      <c r="V1007" s="17"/>
      <c r="W1007" s="17"/>
      <c r="X1007" s="17"/>
      <c r="Y1007" s="17"/>
      <c r="Z1007" s="17"/>
    </row>
    <row r="1008">
      <c r="A1008" s="18" t="str">
        <f>IFERROR(__xludf.DUMMYFUNCTION("""COMPUTED_VALUE"""),"ord_10099")</f>
        <v>ord_10099</v>
      </c>
      <c r="B1008" s="18" t="str">
        <f>IFERROR(__xludf.DUMMYFUNCTION("""COMPUTED_VALUE"""),"Pranav Joshi")</f>
        <v>Pranav Joshi</v>
      </c>
      <c r="C1008" s="18" t="str">
        <f>IFERROR(__xludf.DUMMYFUNCTION("""COMPUTED_VALUE"""),"Andheri")</f>
        <v>Andheri</v>
      </c>
      <c r="D1008" s="18" t="str">
        <f>IFERROR(__xludf.DUMMYFUNCTION("""COMPUTED_VALUE"""),"Banana")</f>
        <v>Banana</v>
      </c>
      <c r="E1008" s="18">
        <f>IFERROR(__xludf.DUMMYFUNCTION("""COMPUTED_VALUE"""),1.0)</f>
        <v>1</v>
      </c>
      <c r="F1008" s="18" t="str">
        <f>IFERROR(__xludf.DUMMYFUNCTION("""COMPUTED_VALUE"""),"Ramesh S")</f>
        <v>Ramesh S</v>
      </c>
      <c r="G1008" s="19">
        <f>IFERROR(__xludf.DUMMYFUNCTION("""COMPUTED_VALUE"""),44988.0)</f>
        <v>44988</v>
      </c>
      <c r="H1008" s="18" t="str">
        <f>IFERROR(__xludf.DUMMYFUNCTION("""COMPUTED_VALUE"""),"Credit Card")</f>
        <v>Credit Card</v>
      </c>
      <c r="I1008" s="18" t="str">
        <f>IFERROR(__xludf.DUMMYFUNCTION("""COMPUTED_VALUE"""),"Delivered")</f>
        <v>Delivered</v>
      </c>
      <c r="J1008" s="18" t="str">
        <f>IFERROR(__xludf.DUMMYFUNCTION("""COMPUTED_VALUE"""),"Delivery Experience")</f>
        <v>Delivery Experience</v>
      </c>
      <c r="K1008" s="18" t="str">
        <f>IFERROR(__xludf.DUMMYFUNCTION("""COMPUTED_VALUE"""),"Quick and professional")</f>
        <v>Quick and professional</v>
      </c>
      <c r="L1008" s="18">
        <f>iferror(VLOOKUP($D1008,Details!$A$2:$C$11,2,false),vlookup($D1008,Details!$E$2:$G$11,2,false))</f>
        <v>80</v>
      </c>
      <c r="M1008" s="18" t="str">
        <f>iferror(VLOOKUP($D1008,Details!$A$2:$C$11,3,false),vlookup($D1008,Details!$E$2:$G$11,3,false))</f>
        <v>Fruits and Vegetables</v>
      </c>
      <c r="N1008" s="18">
        <f t="shared" si="1"/>
        <v>80</v>
      </c>
      <c r="O1008" s="17"/>
      <c r="P1008" s="17"/>
      <c r="Q1008" s="17"/>
      <c r="R1008" s="17"/>
      <c r="S1008" s="17"/>
      <c r="T1008" s="17"/>
      <c r="U1008" s="17"/>
      <c r="V1008" s="17"/>
      <c r="W1008" s="17"/>
      <c r="X1008" s="17"/>
      <c r="Y1008" s="17"/>
      <c r="Z1008" s="17"/>
    </row>
    <row r="1009">
      <c r="A1009" s="18" t="str">
        <f>IFERROR(__xludf.DUMMYFUNCTION("""COMPUTED_VALUE"""),"ord_10108")</f>
        <v>ord_10108</v>
      </c>
      <c r="B1009" s="18" t="str">
        <f>IFERROR(__xludf.DUMMYFUNCTION("""COMPUTED_VALUE"""),"Mehul Thakkar")</f>
        <v>Mehul Thakkar</v>
      </c>
      <c r="C1009" s="18" t="str">
        <f>IFERROR(__xludf.DUMMYFUNCTION("""COMPUTED_VALUE"""),"Malad")</f>
        <v>Malad</v>
      </c>
      <c r="D1009" s="18" t="str">
        <f>IFERROR(__xludf.DUMMYFUNCTION("""COMPUTED_VALUE"""),"Apple")</f>
        <v>Apple</v>
      </c>
      <c r="E1009" s="18">
        <f>IFERROR(__xludf.DUMMYFUNCTION("""COMPUTED_VALUE"""),2.0)</f>
        <v>2</v>
      </c>
      <c r="F1009" s="18" t="str">
        <f>IFERROR(__xludf.DUMMYFUNCTION("""COMPUTED_VALUE"""),"Sita T")</f>
        <v>Sita T</v>
      </c>
      <c r="G1009" s="19">
        <f>IFERROR(__xludf.DUMMYFUNCTION("""COMPUTED_VALUE"""),45189.0)</f>
        <v>45189</v>
      </c>
      <c r="H1009" s="18" t="str">
        <f>IFERROR(__xludf.DUMMYFUNCTION("""COMPUTED_VALUE"""),"Credit Card")</f>
        <v>Credit Card</v>
      </c>
      <c r="I1009" s="18" t="str">
        <f>IFERROR(__xludf.DUMMYFUNCTION("""COMPUTED_VALUE"""),"Delivered")</f>
        <v>Delivered</v>
      </c>
      <c r="J1009" s="18" t="str">
        <f>IFERROR(__xludf.DUMMYFUNCTION("""COMPUTED_VALUE"""),"Convenience")</f>
        <v>Convenience</v>
      </c>
      <c r="K1009" s="18" t="str">
        <f>IFERROR(__xludf.DUMMYFUNCTION("""COMPUTED_VALUE"""),"Easy tracking")</f>
        <v>Easy tracking</v>
      </c>
      <c r="L1009" s="18">
        <f>iferror(VLOOKUP($D1009,Details!$A$2:$C$11,2,false),vlookup($D1009,Details!$E$2:$G$11,2,false))</f>
        <v>230</v>
      </c>
      <c r="M1009" s="18" t="str">
        <f>iferror(VLOOKUP($D1009,Details!$A$2:$C$11,3,false),vlookup($D1009,Details!$E$2:$G$11,3,false))</f>
        <v>Fruits and Vegetables</v>
      </c>
      <c r="N1009" s="18">
        <f t="shared" si="1"/>
        <v>460</v>
      </c>
      <c r="O1009" s="17"/>
      <c r="P1009" s="17"/>
      <c r="Q1009" s="17"/>
      <c r="R1009" s="17"/>
      <c r="S1009" s="17"/>
      <c r="T1009" s="17"/>
      <c r="U1009" s="17"/>
      <c r="V1009" s="17"/>
      <c r="W1009" s="17"/>
      <c r="X1009" s="17"/>
      <c r="Y1009" s="17"/>
      <c r="Z1009" s="17"/>
    </row>
    <row r="1010">
      <c r="A1010" s="18" t="str">
        <f>IFERROR(__xludf.DUMMYFUNCTION("""COMPUTED_VALUE"""),"ord_40988")</f>
        <v>ord_40988</v>
      </c>
      <c r="B1010" s="18" t="str">
        <f>IFERROR(__xludf.DUMMYFUNCTION("""COMPUTED_VALUE"""),"Dev Chauhan")</f>
        <v>Dev Chauhan</v>
      </c>
      <c r="C1010" s="18" t="str">
        <f>IFERROR(__xludf.DUMMYFUNCTION("""COMPUTED_VALUE"""),"Bandra")</f>
        <v>Bandra</v>
      </c>
      <c r="D1010" s="18" t="str">
        <f>IFERROR(__xludf.DUMMYFUNCTION("""COMPUTED_VALUE"""),"Rasmalai")</f>
        <v>Rasmalai</v>
      </c>
      <c r="E1010" s="18">
        <f>IFERROR(__xludf.DUMMYFUNCTION("""COMPUTED_VALUE"""),3.0)</f>
        <v>3</v>
      </c>
      <c r="F1010" s="18" t="str">
        <f>IFERROR(__xludf.DUMMYFUNCTION("""COMPUTED_VALUE"""),"Shine Thomas")</f>
        <v>Shine Thomas</v>
      </c>
      <c r="G1010" s="19">
        <f>IFERROR(__xludf.DUMMYFUNCTION("""COMPUTED_VALUE"""),45091.0)</f>
        <v>45091</v>
      </c>
      <c r="H1010" s="18" t="str">
        <f>IFERROR(__xludf.DUMMYFUNCTION("""COMPUTED_VALUE"""),"Credit Card")</f>
        <v>Credit Card</v>
      </c>
      <c r="I1010" s="18" t="str">
        <f>IFERROR(__xludf.DUMMYFUNCTION("""COMPUTED_VALUE"""),"Delivered")</f>
        <v>Delivered</v>
      </c>
      <c r="J1010" s="18" t="str">
        <f>IFERROR(__xludf.DUMMYFUNCTION("""COMPUTED_VALUE"""),"Overall Satisfaction")</f>
        <v>Overall Satisfaction</v>
      </c>
      <c r="K1010" s="18" t="str">
        <f>IFERROR(__xludf.DUMMYFUNCTION("""COMPUTED_VALUE"""),"Great service will order again")</f>
        <v>Great service will order again</v>
      </c>
      <c r="L1010" s="18">
        <f>iferror(VLOOKUP($D1010,Details!$A$2:$C$11,2,false),vlookup($D1010,Details!$E$2:$G$11,2,false))</f>
        <v>110</v>
      </c>
      <c r="M1010" s="18" t="str">
        <f>iferror(VLOOKUP($D1010,Details!$A$2:$C$11,3,false),vlookup($D1010,Details!$E$2:$G$11,3,false))</f>
        <v>Snacks and Drinks</v>
      </c>
      <c r="N1010" s="18">
        <f t="shared" si="1"/>
        <v>330</v>
      </c>
      <c r="O1010" s="17"/>
      <c r="P1010" s="17"/>
      <c r="Q1010" s="17"/>
      <c r="R1010" s="17"/>
      <c r="S1010" s="17"/>
      <c r="T1010" s="17"/>
      <c r="U1010" s="17"/>
      <c r="V1010" s="17"/>
      <c r="W1010" s="17"/>
      <c r="X1010" s="17"/>
      <c r="Y1010" s="17"/>
      <c r="Z1010" s="17"/>
    </row>
    <row r="1011">
      <c r="A1011" s="18" t="str">
        <f>IFERROR(__xludf.DUMMYFUNCTION("""COMPUTED_VALUE"""),"ord_40989")</f>
        <v>ord_40989</v>
      </c>
      <c r="B1011" s="18" t="str">
        <f>IFERROR(__xludf.DUMMYFUNCTION("""COMPUTED_VALUE"""),"Siya Reddy")</f>
        <v>Siya Reddy</v>
      </c>
      <c r="C1011" s="18" t="str">
        <f>IFERROR(__xludf.DUMMYFUNCTION("""COMPUTED_VALUE"""),"Juhu")</f>
        <v>Juhu</v>
      </c>
      <c r="D1011" s="18" t="str">
        <f>IFERROR(__xludf.DUMMYFUNCTION("""COMPUTED_VALUE"""),"Chilli Cheese Toast")</f>
        <v>Chilli Cheese Toast</v>
      </c>
      <c r="E1011" s="18">
        <f>IFERROR(__xludf.DUMMYFUNCTION("""COMPUTED_VALUE"""),1.0)</f>
        <v>1</v>
      </c>
      <c r="F1011" s="18" t="str">
        <f>IFERROR(__xludf.DUMMYFUNCTION("""COMPUTED_VALUE"""),"Vivek Kumar")</f>
        <v>Vivek Kumar</v>
      </c>
      <c r="G1011" s="19">
        <f>IFERROR(__xludf.DUMMYFUNCTION("""COMPUTED_VALUE"""),45037.0)</f>
        <v>45037</v>
      </c>
      <c r="H1011" s="18" t="str">
        <f>IFERROR(__xludf.DUMMYFUNCTION("""COMPUTED_VALUE"""),"UPI")</f>
        <v>UPI</v>
      </c>
      <c r="I1011" s="18" t="str">
        <f>IFERROR(__xludf.DUMMYFUNCTION("""COMPUTED_VALUE"""),"Delivered")</f>
        <v>Delivered</v>
      </c>
      <c r="J1011" s="18" t="str">
        <f>IFERROR(__xludf.DUMMYFUNCTION("""COMPUTED_VALUE"""),"On-time Delivery")</f>
        <v>On-time Delivery</v>
      </c>
      <c r="K1011" s="18" t="str">
        <f>IFERROR(__xludf.DUMMYFUNCTION("""COMPUTED_VALUE"""),"Delivered on time")</f>
        <v>Delivered on time</v>
      </c>
      <c r="L1011" s="18">
        <f>iferror(VLOOKUP($D1011,Details!$A$2:$C$11,2,false),vlookup($D1011,Details!$E$2:$G$11,2,false))</f>
        <v>80</v>
      </c>
      <c r="M1011" s="18" t="str">
        <f>iferror(VLOOKUP($D1011,Details!$A$2:$C$11,3,false),vlookup($D1011,Details!$E$2:$G$11,3,false))</f>
        <v>Snacks and Drinks</v>
      </c>
      <c r="N1011" s="18">
        <f t="shared" si="1"/>
        <v>80</v>
      </c>
      <c r="O1011" s="17"/>
      <c r="P1011" s="17"/>
      <c r="Q1011" s="17"/>
      <c r="R1011" s="17"/>
      <c r="S1011" s="17"/>
      <c r="T1011" s="17"/>
      <c r="U1011" s="17"/>
      <c r="V1011" s="17"/>
      <c r="W1011" s="17"/>
      <c r="X1011" s="17"/>
      <c r="Y1011" s="17"/>
      <c r="Z1011" s="17"/>
    </row>
    <row r="1012">
      <c r="A1012" s="18" t="str">
        <f>IFERROR(__xludf.DUMMYFUNCTION("""COMPUTED_VALUE"""),"ord_40990")</f>
        <v>ord_40990</v>
      </c>
      <c r="B1012" s="18" t="str">
        <f>IFERROR(__xludf.DUMMYFUNCTION("""COMPUTED_VALUE"""),"Anaya Rao")</f>
        <v>Anaya Rao</v>
      </c>
      <c r="C1012" s="18" t="str">
        <f>IFERROR(__xludf.DUMMYFUNCTION("""COMPUTED_VALUE"""),"Colaba")</f>
        <v>Colaba</v>
      </c>
      <c r="D1012" s="18" t="str">
        <f>IFERROR(__xludf.DUMMYFUNCTION("""COMPUTED_VALUE"""),"Veg Puff")</f>
        <v>Veg Puff</v>
      </c>
      <c r="E1012" s="18">
        <f>IFERROR(__xludf.DUMMYFUNCTION("""COMPUTED_VALUE"""),5.0)</f>
        <v>5</v>
      </c>
      <c r="F1012" s="18" t="str">
        <f>IFERROR(__xludf.DUMMYFUNCTION("""COMPUTED_VALUE"""),"Ramesh S")</f>
        <v>Ramesh S</v>
      </c>
      <c r="G1012" s="19">
        <f>IFERROR(__xludf.DUMMYFUNCTION("""COMPUTED_VALUE"""),45111.0)</f>
        <v>45111</v>
      </c>
      <c r="H1012" s="18" t="str">
        <f>IFERROR(__xludf.DUMMYFUNCTION("""COMPUTED_VALUE"""),"UPI")</f>
        <v>UPI</v>
      </c>
      <c r="I1012" s="18" t="str">
        <f>IFERROR(__xludf.DUMMYFUNCTION("""COMPUTED_VALUE"""),"Delivered")</f>
        <v>Delivered</v>
      </c>
      <c r="J1012" s="18" t="str">
        <f>IFERROR(__xludf.DUMMYFUNCTION("""COMPUTED_VALUE"""),"Quality of Items")</f>
        <v>Quality of Items</v>
      </c>
      <c r="K1012" s="18" t="str">
        <f>IFERROR(__xludf.DUMMYFUNCTION("""COMPUTED_VALUE"""),"Perfect condition")</f>
        <v>Perfect condition</v>
      </c>
      <c r="L1012" s="18">
        <f>iferror(VLOOKUP($D1012,Details!$A$2:$C$11,2,false),vlookup($D1012,Details!$E$2:$G$11,2,false))</f>
        <v>80</v>
      </c>
      <c r="M1012" s="18" t="str">
        <f>iferror(VLOOKUP($D1012,Details!$A$2:$C$11,3,false),vlookup($D1012,Details!$E$2:$G$11,3,false))</f>
        <v>Snacks and Drinks</v>
      </c>
      <c r="N1012" s="18">
        <f t="shared" si="1"/>
        <v>400</v>
      </c>
      <c r="O1012" s="17"/>
      <c r="P1012" s="17"/>
      <c r="Q1012" s="17"/>
      <c r="R1012" s="17"/>
      <c r="S1012" s="17"/>
      <c r="T1012" s="17"/>
      <c r="U1012" s="17"/>
      <c r="V1012" s="17"/>
      <c r="W1012" s="17"/>
      <c r="X1012" s="17"/>
      <c r="Y1012" s="17"/>
      <c r="Z1012" s="17"/>
    </row>
    <row r="1013">
      <c r="A1013" s="18" t="str">
        <f>IFERROR(__xludf.DUMMYFUNCTION("""COMPUTED_VALUE"""),"ord_40991")</f>
        <v>ord_40991</v>
      </c>
      <c r="B1013" s="18" t="str">
        <f>IFERROR(__xludf.DUMMYFUNCTION("""COMPUTED_VALUE"""),"Aarohi Kapoor")</f>
        <v>Aarohi Kapoor</v>
      </c>
      <c r="C1013" s="18" t="str">
        <f>IFERROR(__xludf.DUMMYFUNCTION("""COMPUTED_VALUE"""),"Bandra")</f>
        <v>Bandra</v>
      </c>
      <c r="D1013" s="18" t="str">
        <f>IFERROR(__xludf.DUMMYFUNCTION("""COMPUTED_VALUE"""),"Orange")</f>
        <v>Orange</v>
      </c>
      <c r="E1013" s="18">
        <f>IFERROR(__xludf.DUMMYFUNCTION("""COMPUTED_VALUE"""),1.0)</f>
        <v>1</v>
      </c>
      <c r="F1013" s="18" t="str">
        <f>IFERROR(__xludf.DUMMYFUNCTION("""COMPUTED_VALUE"""),"Nithin Lal")</f>
        <v>Nithin Lal</v>
      </c>
      <c r="G1013" s="19">
        <f>IFERROR(__xludf.DUMMYFUNCTION("""COMPUTED_VALUE"""),45139.0)</f>
        <v>45139</v>
      </c>
      <c r="H1013" s="18" t="str">
        <f>IFERROR(__xludf.DUMMYFUNCTION("""COMPUTED_VALUE"""),"Credit Card")</f>
        <v>Credit Card</v>
      </c>
      <c r="I1013" s="18" t="str">
        <f>IFERROR(__xludf.DUMMYFUNCTION("""COMPUTED_VALUE"""),"Delivered")</f>
        <v>Delivered</v>
      </c>
      <c r="J1013" s="18" t="str">
        <f>IFERROR(__xludf.DUMMYFUNCTION("""COMPUTED_VALUE"""),"On-time Delivery")</f>
        <v>On-time Delivery</v>
      </c>
      <c r="K1013" s="18" t="str">
        <f>IFERROR(__xludf.DUMMYFUNCTION("""COMPUTED_VALUE"""),"Delivered on time")</f>
        <v>Delivered on time</v>
      </c>
      <c r="L1013" s="18">
        <f>iferror(VLOOKUP($D1013,Details!$A$2:$C$11,2,false),vlookup($D1013,Details!$E$2:$G$11,2,false))</f>
        <v>180</v>
      </c>
      <c r="M1013" s="18" t="str">
        <f>iferror(VLOOKUP($D1013,Details!$A$2:$C$11,3,false),vlookup($D1013,Details!$E$2:$G$11,3,false))</f>
        <v>Fruits and Vegetables</v>
      </c>
      <c r="N1013" s="18">
        <f t="shared" si="1"/>
        <v>180</v>
      </c>
      <c r="O1013" s="17"/>
      <c r="P1013" s="17"/>
      <c r="Q1013" s="17"/>
      <c r="R1013" s="17"/>
      <c r="S1013" s="17"/>
      <c r="T1013" s="17"/>
      <c r="U1013" s="17"/>
      <c r="V1013" s="17"/>
      <c r="W1013" s="17"/>
      <c r="X1013" s="17"/>
      <c r="Y1013" s="17"/>
      <c r="Z1013" s="17"/>
    </row>
    <row r="1014">
      <c r="A1014" s="18" t="str">
        <f>IFERROR(__xludf.DUMMYFUNCTION("""COMPUTED_VALUE"""),"ord_40992")</f>
        <v>ord_40992</v>
      </c>
      <c r="B1014" s="18" t="str">
        <f>IFERROR(__xludf.DUMMYFUNCTION("""COMPUTED_VALUE"""),"Kritika Shetty")</f>
        <v>Kritika Shetty</v>
      </c>
      <c r="C1014" s="18" t="str">
        <f>IFERROR(__xludf.DUMMYFUNCTION("""COMPUTED_VALUE"""),"Malad")</f>
        <v>Malad</v>
      </c>
      <c r="D1014" s="18" t="str">
        <f>IFERROR(__xludf.DUMMYFUNCTION("""COMPUTED_VALUE"""),"Juice")</f>
        <v>Juice</v>
      </c>
      <c r="E1014" s="18">
        <f>IFERROR(__xludf.DUMMYFUNCTION("""COMPUTED_VALUE"""),1.0)</f>
        <v>1</v>
      </c>
      <c r="F1014" s="18" t="str">
        <f>IFERROR(__xludf.DUMMYFUNCTION("""COMPUTED_VALUE"""),"Vivek Kumar")</f>
        <v>Vivek Kumar</v>
      </c>
      <c r="G1014" s="19">
        <f>IFERROR(__xludf.DUMMYFUNCTION("""COMPUTED_VALUE"""),45110.0)</f>
        <v>45110</v>
      </c>
      <c r="H1014" s="18" t="str">
        <f>IFERROR(__xludf.DUMMYFUNCTION("""COMPUTED_VALUE"""),"UPI")</f>
        <v>UPI</v>
      </c>
      <c r="I1014" s="18" t="str">
        <f>IFERROR(__xludf.DUMMYFUNCTION("""COMPUTED_VALUE"""),"Delivered")</f>
        <v>Delivered</v>
      </c>
      <c r="J1014" s="18" t="str">
        <f>IFERROR(__xludf.DUMMYFUNCTION("""COMPUTED_VALUE"""),"Quality of Items")</f>
        <v>Quality of Items</v>
      </c>
      <c r="K1014" s="18" t="str">
        <f>IFERROR(__xludf.DUMMYFUNCTION("""COMPUTED_VALUE"""),"Perfect condition")</f>
        <v>Perfect condition</v>
      </c>
      <c r="L1014" s="18">
        <f>iferror(VLOOKUP($D1014,Details!$A$2:$C$11,2,false),vlookup($D1014,Details!$E$2:$G$11,2,false))</f>
        <v>90</v>
      </c>
      <c r="M1014" s="18" t="str">
        <f>iferror(VLOOKUP($D1014,Details!$A$2:$C$11,3,false),vlookup($D1014,Details!$E$2:$G$11,3,false))</f>
        <v>Snacks and Drinks</v>
      </c>
      <c r="N1014" s="18">
        <f t="shared" si="1"/>
        <v>90</v>
      </c>
      <c r="O1014" s="17"/>
      <c r="P1014" s="17"/>
      <c r="Q1014" s="17"/>
      <c r="R1014" s="17"/>
      <c r="S1014" s="17"/>
      <c r="T1014" s="17"/>
      <c r="U1014" s="17"/>
      <c r="V1014" s="17"/>
      <c r="W1014" s="17"/>
      <c r="X1014" s="17"/>
      <c r="Y1014" s="17"/>
      <c r="Z1014" s="17"/>
    </row>
    <row r="1015">
      <c r="A1015" s="18" t="str">
        <f>IFERROR(__xludf.DUMMYFUNCTION("""COMPUTED_VALUE"""),"ord_40993")</f>
        <v>ord_40993</v>
      </c>
      <c r="B1015" s="18" t="str">
        <f>IFERROR(__xludf.DUMMYFUNCTION("""COMPUTED_VALUE"""),"Siya Reddy")</f>
        <v>Siya Reddy</v>
      </c>
      <c r="C1015" s="18" t="str">
        <f>IFERROR(__xludf.DUMMYFUNCTION("""COMPUTED_VALUE"""),"Juhu")</f>
        <v>Juhu</v>
      </c>
      <c r="D1015" s="18" t="str">
        <f>IFERROR(__xludf.DUMMYFUNCTION("""COMPUTED_VALUE"""),"Apple")</f>
        <v>Apple</v>
      </c>
      <c r="E1015" s="18">
        <f>IFERROR(__xludf.DUMMYFUNCTION("""COMPUTED_VALUE"""),2.0)</f>
        <v>2</v>
      </c>
      <c r="F1015" s="18" t="str">
        <f>IFERROR(__xludf.DUMMYFUNCTION("""COMPUTED_VALUE"""),"Shine Thomas")</f>
        <v>Shine Thomas</v>
      </c>
      <c r="G1015" s="19">
        <f>IFERROR(__xludf.DUMMYFUNCTION("""COMPUTED_VALUE"""),45199.0)</f>
        <v>45199</v>
      </c>
      <c r="H1015" s="18" t="str">
        <f>IFERROR(__xludf.DUMMYFUNCTION("""COMPUTED_VALUE"""),"UPI")</f>
        <v>UPI</v>
      </c>
      <c r="I1015" s="18" t="str">
        <f>IFERROR(__xludf.DUMMYFUNCTION("""COMPUTED_VALUE"""),"Delivered")</f>
        <v>Delivered</v>
      </c>
      <c r="J1015" s="18" t="str">
        <f>IFERROR(__xludf.DUMMYFUNCTION("""COMPUTED_VALUE"""),"Packaging")</f>
        <v>Packaging</v>
      </c>
      <c r="K1015" s="18" t="str">
        <f>IFERROR(__xludf.DUMMYFUNCTION("""COMPUTED_VALUE"""),"Secure and intact")</f>
        <v>Secure and intact</v>
      </c>
      <c r="L1015" s="18">
        <f>iferror(VLOOKUP($D1015,Details!$A$2:$C$11,2,false),vlookup($D1015,Details!$E$2:$G$11,2,false))</f>
        <v>230</v>
      </c>
      <c r="M1015" s="18" t="str">
        <f>iferror(VLOOKUP($D1015,Details!$A$2:$C$11,3,false),vlookup($D1015,Details!$E$2:$G$11,3,false))</f>
        <v>Fruits and Vegetables</v>
      </c>
      <c r="N1015" s="18">
        <f t="shared" si="1"/>
        <v>460</v>
      </c>
      <c r="O1015" s="17"/>
      <c r="P1015" s="17"/>
      <c r="Q1015" s="17"/>
      <c r="R1015" s="17"/>
      <c r="S1015" s="17"/>
      <c r="T1015" s="17"/>
      <c r="U1015" s="17"/>
      <c r="V1015" s="17"/>
      <c r="W1015" s="17"/>
      <c r="X1015" s="17"/>
      <c r="Y1015" s="17"/>
      <c r="Z1015" s="17"/>
    </row>
    <row r="1016">
      <c r="A1016" s="18" t="str">
        <f>IFERROR(__xludf.DUMMYFUNCTION("""COMPUTED_VALUE"""),"ord_40994")</f>
        <v>ord_40994</v>
      </c>
      <c r="B1016" s="18" t="str">
        <f>IFERROR(__xludf.DUMMYFUNCTION("""COMPUTED_VALUE"""),"Anaya Rao")</f>
        <v>Anaya Rao</v>
      </c>
      <c r="C1016" s="18" t="str">
        <f>IFERROR(__xludf.DUMMYFUNCTION("""COMPUTED_VALUE"""),"Colaba")</f>
        <v>Colaba</v>
      </c>
      <c r="D1016" s="18" t="str">
        <f>IFERROR(__xludf.DUMMYFUNCTION("""COMPUTED_VALUE"""),"Cold Coffee")</f>
        <v>Cold Coffee</v>
      </c>
      <c r="E1016" s="18">
        <f>IFERROR(__xludf.DUMMYFUNCTION("""COMPUTED_VALUE"""),4.0)</f>
        <v>4</v>
      </c>
      <c r="F1016" s="18" t="str">
        <f>IFERROR(__xludf.DUMMYFUNCTION("""COMPUTED_VALUE"""),"Ramesh S")</f>
        <v>Ramesh S</v>
      </c>
      <c r="G1016" s="19">
        <f>IFERROR(__xludf.DUMMYFUNCTION("""COMPUTED_VALUE"""),45277.0)</f>
        <v>45277</v>
      </c>
      <c r="H1016" s="18" t="str">
        <f>IFERROR(__xludf.DUMMYFUNCTION("""COMPUTED_VALUE"""),"UPI")</f>
        <v>UPI</v>
      </c>
      <c r="I1016" s="18" t="str">
        <f>IFERROR(__xludf.DUMMYFUNCTION("""COMPUTED_VALUE"""),"Delivered")</f>
        <v>Delivered</v>
      </c>
      <c r="J1016" s="18" t="str">
        <f>IFERROR(__xludf.DUMMYFUNCTION("""COMPUTED_VALUE"""),"Satisfied with the Delivery")</f>
        <v>Satisfied with the Delivery</v>
      </c>
      <c r="K1016" s="18" t="str">
        <f>IFERROR(__xludf.DUMMYFUNCTION("""COMPUTED_VALUE"""),"Timely and quality")</f>
        <v>Timely and quality</v>
      </c>
      <c r="L1016" s="18">
        <f>iferror(VLOOKUP($D1016,Details!$A$2:$C$11,2,false),vlookup($D1016,Details!$E$2:$G$11,2,false))</f>
        <v>270</v>
      </c>
      <c r="M1016" s="18" t="str">
        <f>iferror(VLOOKUP($D1016,Details!$A$2:$C$11,3,false),vlookup($D1016,Details!$E$2:$G$11,3,false))</f>
        <v>Snacks and Drinks</v>
      </c>
      <c r="N1016" s="18">
        <f t="shared" si="1"/>
        <v>1080</v>
      </c>
      <c r="O1016" s="17"/>
      <c r="P1016" s="17"/>
      <c r="Q1016" s="17"/>
      <c r="R1016" s="17"/>
      <c r="S1016" s="17"/>
      <c r="T1016" s="17"/>
      <c r="U1016" s="17"/>
      <c r="V1016" s="17"/>
      <c r="W1016" s="17"/>
      <c r="X1016" s="17"/>
      <c r="Y1016" s="17"/>
      <c r="Z1016" s="17"/>
    </row>
    <row r="1017">
      <c r="A1017" s="18" t="str">
        <f>IFERROR(__xludf.DUMMYFUNCTION("""COMPUTED_VALUE"""),"ord_40995")</f>
        <v>ord_40995</v>
      </c>
      <c r="B1017" s="18" t="str">
        <f>IFERROR(__xludf.DUMMYFUNCTION("""COMPUTED_VALUE"""),"Aditi Iyer")</f>
        <v>Aditi Iyer</v>
      </c>
      <c r="C1017" s="18" t="str">
        <f>IFERROR(__xludf.DUMMYFUNCTION("""COMPUTED_VALUE"""),"Dadar")</f>
        <v>Dadar</v>
      </c>
      <c r="D1017" s="18" t="str">
        <f>IFERROR(__xludf.DUMMYFUNCTION("""COMPUTED_VALUE"""),"Guava")</f>
        <v>Guava</v>
      </c>
      <c r="E1017" s="18">
        <f>IFERROR(__xludf.DUMMYFUNCTION("""COMPUTED_VALUE"""),1.0)</f>
        <v>1</v>
      </c>
      <c r="F1017" s="18" t="str">
        <f>IFERROR(__xludf.DUMMYFUNCTION("""COMPUTED_VALUE"""),"Nithin Lal")</f>
        <v>Nithin Lal</v>
      </c>
      <c r="G1017" s="19">
        <f>IFERROR(__xludf.DUMMYFUNCTION("""COMPUTED_VALUE"""),45278.0)</f>
        <v>45278</v>
      </c>
      <c r="H1017" s="18" t="str">
        <f>IFERROR(__xludf.DUMMYFUNCTION("""COMPUTED_VALUE"""),"Credit Card")</f>
        <v>Credit Card</v>
      </c>
      <c r="I1017" s="18" t="str">
        <f>IFERROR(__xludf.DUMMYFUNCTION("""COMPUTED_VALUE"""),"Delivered")</f>
        <v>Delivered</v>
      </c>
      <c r="J1017" s="18" t="str">
        <f>IFERROR(__xludf.DUMMYFUNCTION("""COMPUTED_VALUE"""),"Customer Service")</f>
        <v>Customer Service</v>
      </c>
      <c r="K1017" s="18" t="str">
        <f>IFERROR(__xludf.DUMMYFUNCTION("""COMPUTED_VALUE"""),"Seamless and easy")</f>
        <v>Seamless and easy</v>
      </c>
      <c r="L1017" s="18">
        <f>iferror(VLOOKUP($D1017,Details!$A$2:$C$11,2,false),vlookup($D1017,Details!$E$2:$G$11,2,false))</f>
        <v>70</v>
      </c>
      <c r="M1017" s="18" t="str">
        <f>iferror(VLOOKUP($D1017,Details!$A$2:$C$11,3,false),vlookup($D1017,Details!$E$2:$G$11,3,false))</f>
        <v>Fruits and Vegetables</v>
      </c>
      <c r="N1017" s="18">
        <f t="shared" si="1"/>
        <v>70</v>
      </c>
      <c r="O1017" s="17"/>
      <c r="P1017" s="17"/>
      <c r="Q1017" s="17"/>
      <c r="R1017" s="17"/>
      <c r="S1017" s="17"/>
      <c r="T1017" s="17"/>
      <c r="U1017" s="17"/>
      <c r="V1017" s="17"/>
      <c r="W1017" s="17"/>
      <c r="X1017" s="17"/>
      <c r="Y1017" s="17"/>
      <c r="Z1017" s="17"/>
    </row>
    <row r="1018">
      <c r="A1018" s="18" t="str">
        <f>IFERROR(__xludf.DUMMYFUNCTION("""COMPUTED_VALUE"""),"ord_40996")</f>
        <v>ord_40996</v>
      </c>
      <c r="B1018" s="18" t="str">
        <f>IFERROR(__xludf.DUMMYFUNCTION("""COMPUTED_VALUE"""),"Aarohi Kapoor")</f>
        <v>Aarohi Kapoor</v>
      </c>
      <c r="C1018" s="18" t="str">
        <f>IFERROR(__xludf.DUMMYFUNCTION("""COMPUTED_VALUE"""),"Bandra")</f>
        <v>Bandra</v>
      </c>
      <c r="D1018" s="18" t="str">
        <f>IFERROR(__xludf.DUMMYFUNCTION("""COMPUTED_VALUE"""),"Veg Puff")</f>
        <v>Veg Puff</v>
      </c>
      <c r="E1018" s="18">
        <f>IFERROR(__xludf.DUMMYFUNCTION("""COMPUTED_VALUE"""),1.0)</f>
        <v>1</v>
      </c>
      <c r="F1018" s="18" t="str">
        <f>IFERROR(__xludf.DUMMYFUNCTION("""COMPUTED_VALUE"""),"Manju Ajay")</f>
        <v>Manju Ajay</v>
      </c>
      <c r="G1018" s="19">
        <f>IFERROR(__xludf.DUMMYFUNCTION("""COMPUTED_VALUE"""),45272.0)</f>
        <v>45272</v>
      </c>
      <c r="H1018" s="18" t="str">
        <f>IFERROR(__xludf.DUMMYFUNCTION("""COMPUTED_VALUE"""),"UPI")</f>
        <v>UPI</v>
      </c>
      <c r="I1018" s="18" t="str">
        <f>IFERROR(__xludf.DUMMYFUNCTION("""COMPUTED_VALUE"""),"Delivered")</f>
        <v>Delivered</v>
      </c>
      <c r="J1018" s="18" t="str">
        <f>IFERROR(__xludf.DUMMYFUNCTION("""COMPUTED_VALUE"""),"Delivery Experience")</f>
        <v>Delivery Experience</v>
      </c>
      <c r="K1018" s="18" t="str">
        <f>IFERROR(__xludf.DUMMYFUNCTION("""COMPUTED_VALUE"""),"Quick and professional")</f>
        <v>Quick and professional</v>
      </c>
      <c r="L1018" s="18">
        <f>iferror(VLOOKUP($D1018,Details!$A$2:$C$11,2,false),vlookup($D1018,Details!$E$2:$G$11,2,false))</f>
        <v>80</v>
      </c>
      <c r="M1018" s="18" t="str">
        <f>iferror(VLOOKUP($D1018,Details!$A$2:$C$11,3,false),vlookup($D1018,Details!$E$2:$G$11,3,false))</f>
        <v>Snacks and Drinks</v>
      </c>
      <c r="N1018" s="18">
        <f t="shared" si="1"/>
        <v>80</v>
      </c>
      <c r="O1018" s="17"/>
      <c r="P1018" s="17"/>
      <c r="Q1018" s="17"/>
      <c r="R1018" s="17"/>
      <c r="S1018" s="17"/>
      <c r="T1018" s="17"/>
      <c r="U1018" s="17"/>
      <c r="V1018" s="17"/>
      <c r="W1018" s="17"/>
      <c r="X1018" s="17"/>
      <c r="Y1018" s="17"/>
      <c r="Z1018" s="17"/>
    </row>
    <row r="1019">
      <c r="A1019" s="18" t="str">
        <f>IFERROR(__xludf.DUMMYFUNCTION("""COMPUTED_VALUE"""),"ord_40997")</f>
        <v>ord_40997</v>
      </c>
      <c r="B1019" s="18" t="str">
        <f>IFERROR(__xludf.DUMMYFUNCTION("""COMPUTED_VALUE"""),"Tanishq Bansal")</f>
        <v>Tanishq Bansal</v>
      </c>
      <c r="C1019" s="18" t="str">
        <f>IFERROR(__xludf.DUMMYFUNCTION("""COMPUTED_VALUE"""),"Powai")</f>
        <v>Powai</v>
      </c>
      <c r="D1019" s="18" t="str">
        <f>IFERROR(__xludf.DUMMYFUNCTION("""COMPUTED_VALUE"""),"Apple")</f>
        <v>Apple</v>
      </c>
      <c r="E1019" s="18">
        <f>IFERROR(__xludf.DUMMYFUNCTION("""COMPUTED_VALUE"""),1.0)</f>
        <v>1</v>
      </c>
      <c r="F1019" s="18" t="str">
        <f>IFERROR(__xludf.DUMMYFUNCTION("""COMPUTED_VALUE"""),"Vivek Kumar")</f>
        <v>Vivek Kumar</v>
      </c>
      <c r="G1019" s="19">
        <f>IFERROR(__xludf.DUMMYFUNCTION("""COMPUTED_VALUE"""),44975.0)</f>
        <v>44975</v>
      </c>
      <c r="H1019" s="18" t="str">
        <f>IFERROR(__xludf.DUMMYFUNCTION("""COMPUTED_VALUE"""),"Credit Card")</f>
        <v>Credit Card</v>
      </c>
      <c r="I1019" s="18" t="str">
        <f>IFERROR(__xludf.DUMMYFUNCTION("""COMPUTED_VALUE"""),"Delivered")</f>
        <v>Delivered</v>
      </c>
      <c r="J1019" s="18" t="str">
        <f>IFERROR(__xludf.DUMMYFUNCTION("""COMPUTED_VALUE"""),"Convenience")</f>
        <v>Convenience</v>
      </c>
      <c r="K1019" s="18" t="str">
        <f>IFERROR(__xludf.DUMMYFUNCTION("""COMPUTED_VALUE"""),"Easy tracking")</f>
        <v>Easy tracking</v>
      </c>
      <c r="L1019" s="18">
        <f>iferror(VLOOKUP($D1019,Details!$A$2:$C$11,2,false),vlookup($D1019,Details!$E$2:$G$11,2,false))</f>
        <v>230</v>
      </c>
      <c r="M1019" s="18" t="str">
        <f>iferror(VLOOKUP($D1019,Details!$A$2:$C$11,3,false),vlookup($D1019,Details!$E$2:$G$11,3,false))</f>
        <v>Fruits and Vegetables</v>
      </c>
      <c r="N1019" s="18">
        <f t="shared" si="1"/>
        <v>230</v>
      </c>
      <c r="O1019" s="17"/>
      <c r="P1019" s="17"/>
      <c r="Q1019" s="17"/>
      <c r="R1019" s="17"/>
      <c r="S1019" s="17"/>
      <c r="T1019" s="17"/>
      <c r="U1019" s="17"/>
      <c r="V1019" s="17"/>
      <c r="W1019" s="17"/>
      <c r="X1019" s="17"/>
      <c r="Y1019" s="17"/>
      <c r="Z1019" s="17"/>
    </row>
    <row r="1020">
      <c r="A1020" s="18" t="str">
        <f>IFERROR(__xludf.DUMMYFUNCTION("""COMPUTED_VALUE"""),"ord_40998")</f>
        <v>ord_40998</v>
      </c>
      <c r="B1020" s="18" t="str">
        <f>IFERROR(__xludf.DUMMYFUNCTION("""COMPUTED_VALUE"""),"Parth Goel")</f>
        <v>Parth Goel</v>
      </c>
      <c r="C1020" s="18" t="str">
        <f>IFERROR(__xludf.DUMMYFUNCTION("""COMPUTED_VALUE"""),"Juhu")</f>
        <v>Juhu</v>
      </c>
      <c r="D1020" s="18" t="str">
        <f>IFERROR(__xludf.DUMMYFUNCTION("""COMPUTED_VALUE"""),"Veg Puff")</f>
        <v>Veg Puff</v>
      </c>
      <c r="E1020" s="18">
        <f>IFERROR(__xludf.DUMMYFUNCTION("""COMPUTED_VALUE"""),4.0)</f>
        <v>4</v>
      </c>
      <c r="F1020" s="18" t="str">
        <f>IFERROR(__xludf.DUMMYFUNCTION("""COMPUTED_VALUE"""),"Venu R")</f>
        <v>Venu R</v>
      </c>
      <c r="G1020" s="19">
        <f>IFERROR(__xludf.DUMMYFUNCTION("""COMPUTED_VALUE"""),44986.0)</f>
        <v>44986</v>
      </c>
      <c r="H1020" s="18" t="str">
        <f>IFERROR(__xludf.DUMMYFUNCTION("""COMPUTED_VALUE"""),"UPI")</f>
        <v>UPI</v>
      </c>
      <c r="I1020" s="18" t="str">
        <f>IFERROR(__xludf.DUMMYFUNCTION("""COMPUTED_VALUE"""),"Delivered")</f>
        <v>Delivered</v>
      </c>
      <c r="J1020" s="18" t="str">
        <f>IFERROR(__xludf.DUMMYFUNCTION("""COMPUTED_VALUE"""),"Overall Satisfaction")</f>
        <v>Overall Satisfaction</v>
      </c>
      <c r="K1020" s="18" t="str">
        <f>IFERROR(__xludf.DUMMYFUNCTION("""COMPUTED_VALUE"""),"Great service will order again")</f>
        <v>Great service will order again</v>
      </c>
      <c r="L1020" s="18">
        <f>iferror(VLOOKUP($D1020,Details!$A$2:$C$11,2,false),vlookup($D1020,Details!$E$2:$G$11,2,false))</f>
        <v>80</v>
      </c>
      <c r="M1020" s="18" t="str">
        <f>iferror(VLOOKUP($D1020,Details!$A$2:$C$11,3,false),vlookup($D1020,Details!$E$2:$G$11,3,false))</f>
        <v>Snacks and Drinks</v>
      </c>
      <c r="N1020" s="18">
        <f t="shared" si="1"/>
        <v>320</v>
      </c>
      <c r="O1020" s="17"/>
      <c r="P1020" s="17"/>
      <c r="Q1020" s="17"/>
      <c r="R1020" s="17"/>
      <c r="S1020" s="17"/>
      <c r="T1020" s="17"/>
      <c r="U1020" s="17"/>
      <c r="V1020" s="17"/>
      <c r="W1020" s="17"/>
      <c r="X1020" s="17"/>
      <c r="Y1020" s="17"/>
      <c r="Z1020" s="17"/>
    </row>
    <row r="1021">
      <c r="A1021" s="18" t="str">
        <f>IFERROR(__xludf.DUMMYFUNCTION("""COMPUTED_VALUE"""),"ord_40999")</f>
        <v>ord_40999</v>
      </c>
      <c r="B1021" s="18" t="str">
        <f>IFERROR(__xludf.DUMMYFUNCTION("""COMPUTED_VALUE"""),"Anaya Rao")</f>
        <v>Anaya Rao</v>
      </c>
      <c r="C1021" s="18" t="str">
        <f>IFERROR(__xludf.DUMMYFUNCTION("""COMPUTED_VALUE"""),"Colaba")</f>
        <v>Colaba</v>
      </c>
      <c r="D1021" s="18" t="str">
        <f>IFERROR(__xludf.DUMMYFUNCTION("""COMPUTED_VALUE"""),"Chocolate Mousse")</f>
        <v>Chocolate Mousse</v>
      </c>
      <c r="E1021" s="18">
        <f>IFERROR(__xludf.DUMMYFUNCTION("""COMPUTED_VALUE"""),4.0)</f>
        <v>4</v>
      </c>
      <c r="F1021" s="18" t="str">
        <f>IFERROR(__xludf.DUMMYFUNCTION("""COMPUTED_VALUE"""),"Ramesh S")</f>
        <v>Ramesh S</v>
      </c>
      <c r="G1021" s="19">
        <f>IFERROR(__xludf.DUMMYFUNCTION("""COMPUTED_VALUE"""),45267.0)</f>
        <v>45267</v>
      </c>
      <c r="H1021" s="18" t="str">
        <f>IFERROR(__xludf.DUMMYFUNCTION("""COMPUTED_VALUE"""),"Online Payment")</f>
        <v>Online Payment</v>
      </c>
      <c r="I1021" s="18" t="str">
        <f>IFERROR(__xludf.DUMMYFUNCTION("""COMPUTED_VALUE"""),"Delivered")</f>
        <v>Delivered</v>
      </c>
      <c r="J1021" s="18" t="str">
        <f>IFERROR(__xludf.DUMMYFUNCTION("""COMPUTED_VALUE"""),"On-time Delivery")</f>
        <v>On-time Delivery</v>
      </c>
      <c r="K1021" s="18" t="str">
        <f>IFERROR(__xludf.DUMMYFUNCTION("""COMPUTED_VALUE"""),"Delivered on time")</f>
        <v>Delivered on time</v>
      </c>
      <c r="L1021" s="18">
        <f>iferror(VLOOKUP($D1021,Details!$A$2:$C$11,2,false),vlookup($D1021,Details!$E$2:$G$11,2,false))</f>
        <v>145</v>
      </c>
      <c r="M1021" s="18" t="str">
        <f>iferror(VLOOKUP($D1021,Details!$A$2:$C$11,3,false),vlookup($D1021,Details!$E$2:$G$11,3,false))</f>
        <v>Snacks and Drinks</v>
      </c>
      <c r="N1021" s="18">
        <f t="shared" si="1"/>
        <v>580</v>
      </c>
      <c r="O1021" s="17"/>
      <c r="P1021" s="17"/>
      <c r="Q1021" s="17"/>
      <c r="R1021" s="17"/>
      <c r="S1021" s="17"/>
      <c r="T1021" s="17"/>
      <c r="U1021" s="17"/>
      <c r="V1021" s="17"/>
      <c r="W1021" s="17"/>
      <c r="X1021" s="17"/>
      <c r="Y1021" s="17"/>
      <c r="Z1021" s="17"/>
    </row>
    <row r="1022">
      <c r="A1022" s="18" t="str">
        <f>IFERROR(__xludf.DUMMYFUNCTION("""COMPUTED_VALUE"""),"ord_41000")</f>
        <v>ord_41000</v>
      </c>
      <c r="B1022" s="18" t="str">
        <f>IFERROR(__xludf.DUMMYFUNCTION("""COMPUTED_VALUE"""),"Ishita Banerjee")</f>
        <v>Ishita Banerjee</v>
      </c>
      <c r="C1022" s="18" t="str">
        <f>IFERROR(__xludf.DUMMYFUNCTION("""COMPUTED_VALUE"""),"Juhu")</f>
        <v>Juhu</v>
      </c>
      <c r="D1022" s="18" t="str">
        <f>IFERROR(__xludf.DUMMYFUNCTION("""COMPUTED_VALUE"""),"Papaya")</f>
        <v>Papaya</v>
      </c>
      <c r="E1022" s="18">
        <f>IFERROR(__xludf.DUMMYFUNCTION("""COMPUTED_VALUE"""),1.0)</f>
        <v>1</v>
      </c>
      <c r="F1022" s="18" t="str">
        <f>IFERROR(__xludf.DUMMYFUNCTION("""COMPUTED_VALUE"""),"Not Assigned")</f>
        <v>Not Assigned</v>
      </c>
      <c r="G1022" s="19">
        <f>IFERROR(__xludf.DUMMYFUNCTION("""COMPUTED_VALUE"""),45081.0)</f>
        <v>45081</v>
      </c>
      <c r="H1022" s="18" t="str">
        <f>IFERROR(__xludf.DUMMYFUNCTION("""COMPUTED_VALUE"""),"UPI")</f>
        <v>UPI</v>
      </c>
      <c r="I1022" s="18" t="str">
        <f>IFERROR(__xludf.DUMMYFUNCTION("""COMPUTED_VALUE"""),"Cancelled")</f>
        <v>Cancelled</v>
      </c>
      <c r="J1022" s="18" t="str">
        <f>IFERROR(__xludf.DUMMYFUNCTION("""COMPUTED_VALUE"""),"App Glitches")</f>
        <v>App Glitches</v>
      </c>
      <c r="K1022" s="18" t="str">
        <f>IFERROR(__xludf.DUMMYFUNCTION("""COMPUTED_VALUE"""),"Payment Button Malfunction")</f>
        <v>Payment Button Malfunction</v>
      </c>
      <c r="L1022" s="18">
        <f>iferror(VLOOKUP($D1022,Details!$A$2:$C$11,2,false),vlookup($D1022,Details!$E$2:$G$11,2,false))</f>
        <v>75</v>
      </c>
      <c r="M1022" s="18" t="str">
        <f>iferror(VLOOKUP($D1022,Details!$A$2:$C$11,3,false),vlookup($D1022,Details!$E$2:$G$11,3,false))</f>
        <v>Fruits and Vegetables</v>
      </c>
      <c r="N1022" s="18">
        <f t="shared" si="1"/>
        <v>75</v>
      </c>
      <c r="O1022" s="17"/>
      <c r="P1022" s="17"/>
      <c r="Q1022" s="17"/>
      <c r="R1022" s="17"/>
      <c r="S1022" s="17"/>
      <c r="T1022" s="17"/>
      <c r="U1022" s="17"/>
      <c r="V1022" s="17"/>
      <c r="W1022" s="17"/>
      <c r="X1022" s="17"/>
      <c r="Y1022" s="17"/>
      <c r="Z1022" s="17"/>
    </row>
    <row r="1023">
      <c r="A1023" s="18" t="str">
        <f>IFERROR(__xludf.DUMMYFUNCTION("""COMPUTED_VALUE"""),"ord_41001")</f>
        <v>ord_41001</v>
      </c>
      <c r="B1023" s="18" t="str">
        <f>IFERROR(__xludf.DUMMYFUNCTION("""COMPUTED_VALUE"""),"Sanjay Nair")</f>
        <v>Sanjay Nair</v>
      </c>
      <c r="C1023" s="18" t="str">
        <f>IFERROR(__xludf.DUMMYFUNCTION("""COMPUTED_VALUE"""),"Dadar")</f>
        <v>Dadar</v>
      </c>
      <c r="D1023" s="18" t="str">
        <f>IFERROR(__xludf.DUMMYFUNCTION("""COMPUTED_VALUE"""),"Apple")</f>
        <v>Apple</v>
      </c>
      <c r="E1023" s="18">
        <f>IFERROR(__xludf.DUMMYFUNCTION("""COMPUTED_VALUE"""),2.0)</f>
        <v>2</v>
      </c>
      <c r="F1023" s="18" t="str">
        <f>IFERROR(__xludf.DUMMYFUNCTION("""COMPUTED_VALUE"""),"Ramesh S")</f>
        <v>Ramesh S</v>
      </c>
      <c r="G1023" s="19">
        <f>IFERROR(__xludf.DUMMYFUNCTION("""COMPUTED_VALUE"""),45083.0)</f>
        <v>45083</v>
      </c>
      <c r="H1023" s="18" t="str">
        <f>IFERROR(__xludf.DUMMYFUNCTION("""COMPUTED_VALUE"""),"Online Payment")</f>
        <v>Online Payment</v>
      </c>
      <c r="I1023" s="18" t="str">
        <f>IFERROR(__xludf.DUMMYFUNCTION("""COMPUTED_VALUE"""),"Delivered")</f>
        <v>Delivered</v>
      </c>
      <c r="J1023" s="18" t="str">
        <f>IFERROR(__xludf.DUMMYFUNCTION("""COMPUTED_VALUE"""),"Quality of Items")</f>
        <v>Quality of Items</v>
      </c>
      <c r="K1023" s="18" t="str">
        <f>IFERROR(__xludf.DUMMYFUNCTION("""COMPUTED_VALUE"""),"Perfect condition")</f>
        <v>Perfect condition</v>
      </c>
      <c r="L1023" s="18">
        <f>iferror(VLOOKUP($D1023,Details!$A$2:$C$11,2,false),vlookup($D1023,Details!$E$2:$G$11,2,false))</f>
        <v>230</v>
      </c>
      <c r="M1023" s="18" t="str">
        <f>iferror(VLOOKUP($D1023,Details!$A$2:$C$11,3,false),vlookup($D1023,Details!$E$2:$G$11,3,false))</f>
        <v>Fruits and Vegetables</v>
      </c>
      <c r="N1023" s="18">
        <f t="shared" si="1"/>
        <v>460</v>
      </c>
      <c r="O1023" s="17"/>
      <c r="P1023" s="17"/>
      <c r="Q1023" s="17"/>
      <c r="R1023" s="17"/>
      <c r="S1023" s="17"/>
      <c r="T1023" s="17"/>
      <c r="U1023" s="17"/>
      <c r="V1023" s="17"/>
      <c r="W1023" s="17"/>
      <c r="X1023" s="17"/>
      <c r="Y1023" s="17"/>
      <c r="Z1023" s="17"/>
    </row>
    <row r="1024">
      <c r="A1024" s="18" t="str">
        <f>IFERROR(__xludf.DUMMYFUNCTION("""COMPUTED_VALUE"""),"ord_41002")</f>
        <v>ord_41002</v>
      </c>
      <c r="B1024" s="18" t="str">
        <f>IFERROR(__xludf.DUMMYFUNCTION("""COMPUTED_VALUE"""),"Diya Arora")</f>
        <v>Diya Arora</v>
      </c>
      <c r="C1024" s="18" t="str">
        <f>IFERROR(__xludf.DUMMYFUNCTION("""COMPUTED_VALUE"""),"Lower Parel")</f>
        <v>Lower Parel</v>
      </c>
      <c r="D1024" s="18" t="str">
        <f>IFERROR(__xludf.DUMMYFUNCTION("""COMPUTED_VALUE"""),"Cucumber")</f>
        <v>Cucumber</v>
      </c>
      <c r="E1024" s="18">
        <f>IFERROR(__xludf.DUMMYFUNCTION("""COMPUTED_VALUE"""),2.0)</f>
        <v>2</v>
      </c>
      <c r="F1024" s="18" t="str">
        <f>IFERROR(__xludf.DUMMYFUNCTION("""COMPUTED_VALUE"""),"Manju Ajay")</f>
        <v>Manju Ajay</v>
      </c>
      <c r="G1024" s="19">
        <f>IFERROR(__xludf.DUMMYFUNCTION("""COMPUTED_VALUE"""),45184.0)</f>
        <v>45184</v>
      </c>
      <c r="H1024" s="18" t="str">
        <f>IFERROR(__xludf.DUMMYFUNCTION("""COMPUTED_VALUE"""),"UPI")</f>
        <v>UPI</v>
      </c>
      <c r="I1024" s="18" t="str">
        <f>IFERROR(__xludf.DUMMYFUNCTION("""COMPUTED_VALUE"""),"Delivered")</f>
        <v>Delivered</v>
      </c>
      <c r="J1024" s="18" t="str">
        <f>IFERROR(__xludf.DUMMYFUNCTION("""COMPUTED_VALUE"""),"On-time Delivery")</f>
        <v>On-time Delivery</v>
      </c>
      <c r="K1024" s="18" t="str">
        <f>IFERROR(__xludf.DUMMYFUNCTION("""COMPUTED_VALUE"""),"Delivered on time")</f>
        <v>Delivered on time</v>
      </c>
      <c r="L1024" s="18">
        <f>iferror(VLOOKUP($D1024,Details!$A$2:$C$11,2,false),vlookup($D1024,Details!$E$2:$G$11,2,false))</f>
        <v>30</v>
      </c>
      <c r="M1024" s="18" t="str">
        <f>iferror(VLOOKUP($D1024,Details!$A$2:$C$11,3,false),vlookup($D1024,Details!$E$2:$G$11,3,false))</f>
        <v>Fruits and Vegetables</v>
      </c>
      <c r="N1024" s="18">
        <f t="shared" si="1"/>
        <v>60</v>
      </c>
      <c r="O1024" s="17"/>
      <c r="P1024" s="17"/>
      <c r="Q1024" s="17"/>
      <c r="R1024" s="17"/>
      <c r="S1024" s="17"/>
      <c r="T1024" s="17"/>
      <c r="U1024" s="17"/>
      <c r="V1024" s="17"/>
      <c r="W1024" s="17"/>
      <c r="X1024" s="17"/>
      <c r="Y1024" s="17"/>
      <c r="Z1024" s="17"/>
    </row>
    <row r="1025">
      <c r="A1025" s="18" t="str">
        <f>IFERROR(__xludf.DUMMYFUNCTION("""COMPUTED_VALUE"""),"ord_41003")</f>
        <v>ord_41003</v>
      </c>
      <c r="B1025" s="18" t="str">
        <f>IFERROR(__xludf.DUMMYFUNCTION("""COMPUTED_VALUE"""),"Siya Reddy")</f>
        <v>Siya Reddy</v>
      </c>
      <c r="C1025" s="18" t="str">
        <f>IFERROR(__xludf.DUMMYFUNCTION("""COMPUTED_VALUE"""),"Juhu")</f>
        <v>Juhu</v>
      </c>
      <c r="D1025" s="18" t="str">
        <f>IFERROR(__xludf.DUMMYFUNCTION("""COMPUTED_VALUE"""),"Chocolate Mousse")</f>
        <v>Chocolate Mousse</v>
      </c>
      <c r="E1025" s="18">
        <f>IFERROR(__xludf.DUMMYFUNCTION("""COMPUTED_VALUE"""),2.0)</f>
        <v>2</v>
      </c>
      <c r="F1025" s="18" t="str">
        <f>IFERROR(__xludf.DUMMYFUNCTION("""COMPUTED_VALUE"""),"Ram Gopal")</f>
        <v>Ram Gopal</v>
      </c>
      <c r="G1025" s="19">
        <f>IFERROR(__xludf.DUMMYFUNCTION("""COMPUTED_VALUE"""),45015.0)</f>
        <v>45015</v>
      </c>
      <c r="H1025" s="18" t="str">
        <f>IFERROR(__xludf.DUMMYFUNCTION("""COMPUTED_VALUE"""),"Credit Card")</f>
        <v>Credit Card</v>
      </c>
      <c r="I1025" s="18" t="str">
        <f>IFERROR(__xludf.DUMMYFUNCTION("""COMPUTED_VALUE"""),"Delivered")</f>
        <v>Delivered</v>
      </c>
      <c r="J1025" s="18" t="str">
        <f>IFERROR(__xludf.DUMMYFUNCTION("""COMPUTED_VALUE"""),"Quality of Items")</f>
        <v>Quality of Items</v>
      </c>
      <c r="K1025" s="18" t="str">
        <f>IFERROR(__xludf.DUMMYFUNCTION("""COMPUTED_VALUE"""),"Perfect condition")</f>
        <v>Perfect condition</v>
      </c>
      <c r="L1025" s="18">
        <f>iferror(VLOOKUP($D1025,Details!$A$2:$C$11,2,false),vlookup($D1025,Details!$E$2:$G$11,2,false))</f>
        <v>145</v>
      </c>
      <c r="M1025" s="18" t="str">
        <f>iferror(VLOOKUP($D1025,Details!$A$2:$C$11,3,false),vlookup($D1025,Details!$E$2:$G$11,3,false))</f>
        <v>Snacks and Drinks</v>
      </c>
      <c r="N1025" s="18">
        <f t="shared" si="1"/>
        <v>290</v>
      </c>
      <c r="O1025" s="17"/>
      <c r="P1025" s="17"/>
      <c r="Q1025" s="17"/>
      <c r="R1025" s="17"/>
      <c r="S1025" s="17"/>
      <c r="T1025" s="17"/>
      <c r="U1025" s="17"/>
      <c r="V1025" s="17"/>
      <c r="W1025" s="17"/>
      <c r="X1025" s="17"/>
      <c r="Y1025" s="17"/>
      <c r="Z1025" s="17"/>
    </row>
    <row r="1026">
      <c r="A1026" s="18" t="str">
        <f>IFERROR(__xludf.DUMMYFUNCTION("""COMPUTED_VALUE"""),"ord_41004")</f>
        <v>ord_41004</v>
      </c>
      <c r="B1026" s="18" t="str">
        <f>IFERROR(__xludf.DUMMYFUNCTION("""COMPUTED_VALUE"""),"Siya Reddy")</f>
        <v>Siya Reddy</v>
      </c>
      <c r="C1026" s="18" t="str">
        <f>IFERROR(__xludf.DUMMYFUNCTION("""COMPUTED_VALUE"""),"Juhu")</f>
        <v>Juhu</v>
      </c>
      <c r="D1026" s="18" t="str">
        <f>IFERROR(__xludf.DUMMYFUNCTION("""COMPUTED_VALUE"""),"Chicken Puff")</f>
        <v>Chicken Puff</v>
      </c>
      <c r="E1026" s="18">
        <f>IFERROR(__xludf.DUMMYFUNCTION("""COMPUTED_VALUE"""),4.0)</f>
        <v>4</v>
      </c>
      <c r="F1026" s="18" t="str">
        <f>IFERROR(__xludf.DUMMYFUNCTION("""COMPUTED_VALUE"""),"Ramesh S")</f>
        <v>Ramesh S</v>
      </c>
      <c r="G1026" s="19">
        <f>IFERROR(__xludf.DUMMYFUNCTION("""COMPUTED_VALUE"""),45243.0)</f>
        <v>45243</v>
      </c>
      <c r="H1026" s="18" t="str">
        <f>IFERROR(__xludf.DUMMYFUNCTION("""COMPUTED_VALUE"""),"Online Payment")</f>
        <v>Online Payment</v>
      </c>
      <c r="I1026" s="18" t="str">
        <f>IFERROR(__xludf.DUMMYFUNCTION("""COMPUTED_VALUE"""),"Delivered")</f>
        <v>Delivered</v>
      </c>
      <c r="J1026" s="18" t="str">
        <f>IFERROR(__xludf.DUMMYFUNCTION("""COMPUTED_VALUE"""),"Packaging")</f>
        <v>Packaging</v>
      </c>
      <c r="K1026" s="18" t="str">
        <f>IFERROR(__xludf.DUMMYFUNCTION("""COMPUTED_VALUE"""),"Secure and intact")</f>
        <v>Secure and intact</v>
      </c>
      <c r="L1026" s="18">
        <f>iferror(VLOOKUP($D1026,Details!$A$2:$C$11,2,false),vlookup($D1026,Details!$E$2:$G$11,2,false))</f>
        <v>90</v>
      </c>
      <c r="M1026" s="18" t="str">
        <f>iferror(VLOOKUP($D1026,Details!$A$2:$C$11,3,false),vlookup($D1026,Details!$E$2:$G$11,3,false))</f>
        <v>Snacks and Drinks</v>
      </c>
      <c r="N1026" s="18">
        <f t="shared" si="1"/>
        <v>360</v>
      </c>
      <c r="O1026" s="17"/>
      <c r="P1026" s="17"/>
      <c r="Q1026" s="17"/>
      <c r="R1026" s="17"/>
      <c r="S1026" s="17"/>
      <c r="T1026" s="17"/>
      <c r="U1026" s="17"/>
      <c r="V1026" s="17"/>
      <c r="W1026" s="17"/>
      <c r="X1026" s="17"/>
      <c r="Y1026" s="17"/>
      <c r="Z1026" s="17"/>
    </row>
    <row r="1027">
      <c r="A1027" s="18" t="str">
        <f>IFERROR(__xludf.DUMMYFUNCTION("""COMPUTED_VALUE"""),"ord_41005")</f>
        <v>ord_41005</v>
      </c>
      <c r="B1027" s="18" t="str">
        <f>IFERROR(__xludf.DUMMYFUNCTION("""COMPUTED_VALUE"""),"Dev Chauhan")</f>
        <v>Dev Chauhan</v>
      </c>
      <c r="C1027" s="18" t="str">
        <f>IFERROR(__xludf.DUMMYFUNCTION("""COMPUTED_VALUE"""),"Bandra")</f>
        <v>Bandra</v>
      </c>
      <c r="D1027" s="18" t="str">
        <f>IFERROR(__xludf.DUMMYFUNCTION("""COMPUTED_VALUE"""),"Cold Coffee")</f>
        <v>Cold Coffee</v>
      </c>
      <c r="E1027" s="18">
        <f>IFERROR(__xludf.DUMMYFUNCTION("""COMPUTED_VALUE"""),4.0)</f>
        <v>4</v>
      </c>
      <c r="F1027" s="18" t="str">
        <f>IFERROR(__xludf.DUMMYFUNCTION("""COMPUTED_VALUE"""),"Ramesh S")</f>
        <v>Ramesh S</v>
      </c>
      <c r="G1027" s="19">
        <f>IFERROR(__xludf.DUMMYFUNCTION("""COMPUTED_VALUE"""),45165.0)</f>
        <v>45165</v>
      </c>
      <c r="H1027" s="18" t="str">
        <f>IFERROR(__xludf.DUMMYFUNCTION("""COMPUTED_VALUE"""),"Online Payment")</f>
        <v>Online Payment</v>
      </c>
      <c r="I1027" s="18" t="str">
        <f>IFERROR(__xludf.DUMMYFUNCTION("""COMPUTED_VALUE"""),"Delivered")</f>
        <v>Delivered</v>
      </c>
      <c r="J1027" s="18" t="str">
        <f>IFERROR(__xludf.DUMMYFUNCTION("""COMPUTED_VALUE"""),"Satisfied with the Delivery")</f>
        <v>Satisfied with the Delivery</v>
      </c>
      <c r="K1027" s="18" t="str">
        <f>IFERROR(__xludf.DUMMYFUNCTION("""COMPUTED_VALUE"""),"Timely and quality")</f>
        <v>Timely and quality</v>
      </c>
      <c r="L1027" s="18">
        <f>iferror(VLOOKUP($D1027,Details!$A$2:$C$11,2,false),vlookup($D1027,Details!$E$2:$G$11,2,false))</f>
        <v>270</v>
      </c>
      <c r="M1027" s="18" t="str">
        <f>iferror(VLOOKUP($D1027,Details!$A$2:$C$11,3,false),vlookup($D1027,Details!$E$2:$G$11,3,false))</f>
        <v>Snacks and Drinks</v>
      </c>
      <c r="N1027" s="18">
        <f t="shared" si="1"/>
        <v>1080</v>
      </c>
      <c r="O1027" s="17"/>
      <c r="P1027" s="17"/>
      <c r="Q1027" s="17"/>
      <c r="R1027" s="17"/>
      <c r="S1027" s="17"/>
      <c r="T1027" s="17"/>
      <c r="U1027" s="17"/>
      <c r="V1027" s="17"/>
      <c r="W1027" s="17"/>
      <c r="X1027" s="17"/>
      <c r="Y1027" s="17"/>
      <c r="Z1027" s="17"/>
    </row>
    <row r="1028">
      <c r="A1028" s="18" t="str">
        <f>IFERROR(__xludf.DUMMYFUNCTION("""COMPUTED_VALUE"""),"ord_41006")</f>
        <v>ord_41006</v>
      </c>
      <c r="B1028" s="18" t="str">
        <f>IFERROR(__xludf.DUMMYFUNCTION("""COMPUTED_VALUE"""),"Pranav Joshi")</f>
        <v>Pranav Joshi</v>
      </c>
      <c r="C1028" s="18" t="str">
        <f>IFERROR(__xludf.DUMMYFUNCTION("""COMPUTED_VALUE"""),"Andheri")</f>
        <v>Andheri</v>
      </c>
      <c r="D1028" s="18" t="str">
        <f>IFERROR(__xludf.DUMMYFUNCTION("""COMPUTED_VALUE"""),"Veg Puff")</f>
        <v>Veg Puff</v>
      </c>
      <c r="E1028" s="18">
        <f>IFERROR(__xludf.DUMMYFUNCTION("""COMPUTED_VALUE"""),1.0)</f>
        <v>1</v>
      </c>
      <c r="F1028" s="18" t="str">
        <f>IFERROR(__xludf.DUMMYFUNCTION("""COMPUTED_VALUE"""),"Vivek Kumar")</f>
        <v>Vivek Kumar</v>
      </c>
      <c r="G1028" s="19">
        <f>IFERROR(__xludf.DUMMYFUNCTION("""COMPUTED_VALUE"""),45088.0)</f>
        <v>45088</v>
      </c>
      <c r="H1028" s="18" t="str">
        <f>IFERROR(__xludf.DUMMYFUNCTION("""COMPUTED_VALUE"""),"UPI")</f>
        <v>UPI</v>
      </c>
      <c r="I1028" s="18" t="str">
        <f>IFERROR(__xludf.DUMMYFUNCTION("""COMPUTED_VALUE"""),"Delivered")</f>
        <v>Delivered</v>
      </c>
      <c r="J1028" s="18" t="str">
        <f>IFERROR(__xludf.DUMMYFUNCTION("""COMPUTED_VALUE"""),"Customer Service")</f>
        <v>Customer Service</v>
      </c>
      <c r="K1028" s="18" t="str">
        <f>IFERROR(__xludf.DUMMYFUNCTION("""COMPUTED_VALUE"""),"Seamless and easy")</f>
        <v>Seamless and easy</v>
      </c>
      <c r="L1028" s="18">
        <f>iferror(VLOOKUP($D1028,Details!$A$2:$C$11,2,false),vlookup($D1028,Details!$E$2:$G$11,2,false))</f>
        <v>80</v>
      </c>
      <c r="M1028" s="18" t="str">
        <f>iferror(VLOOKUP($D1028,Details!$A$2:$C$11,3,false),vlookup($D1028,Details!$E$2:$G$11,3,false))</f>
        <v>Snacks and Drinks</v>
      </c>
      <c r="N1028" s="18">
        <f t="shared" si="1"/>
        <v>80</v>
      </c>
      <c r="O1028" s="17"/>
      <c r="P1028" s="17"/>
      <c r="Q1028" s="17"/>
      <c r="R1028" s="17"/>
      <c r="S1028" s="17"/>
      <c r="T1028" s="17"/>
      <c r="U1028" s="17"/>
      <c r="V1028" s="17"/>
      <c r="W1028" s="17"/>
      <c r="X1028" s="17"/>
      <c r="Y1028" s="17"/>
      <c r="Z1028" s="17"/>
    </row>
    <row r="1029">
      <c r="A1029" s="18" t="str">
        <f>IFERROR(__xludf.DUMMYFUNCTION("""COMPUTED_VALUE"""),"ord_41007")</f>
        <v>ord_41007</v>
      </c>
      <c r="B1029" s="18" t="str">
        <f>IFERROR(__xludf.DUMMYFUNCTION("""COMPUTED_VALUE"""),"Pranav Joshi")</f>
        <v>Pranav Joshi</v>
      </c>
      <c r="C1029" s="18" t="str">
        <f>IFERROR(__xludf.DUMMYFUNCTION("""COMPUTED_VALUE"""),"Andheri")</f>
        <v>Andheri</v>
      </c>
      <c r="D1029" s="18" t="str">
        <f>IFERROR(__xludf.DUMMYFUNCTION("""COMPUTED_VALUE"""),"Tiramisu")</f>
        <v>Tiramisu</v>
      </c>
      <c r="E1029" s="18">
        <f>IFERROR(__xludf.DUMMYFUNCTION("""COMPUTED_VALUE"""),2.0)</f>
        <v>2</v>
      </c>
      <c r="F1029" s="18" t="str">
        <f>IFERROR(__xludf.DUMMYFUNCTION("""COMPUTED_VALUE"""),"Sita T")</f>
        <v>Sita T</v>
      </c>
      <c r="G1029" s="19">
        <f>IFERROR(__xludf.DUMMYFUNCTION("""COMPUTED_VALUE"""),44934.0)</f>
        <v>44934</v>
      </c>
      <c r="H1029" s="18" t="str">
        <f>IFERROR(__xludf.DUMMYFUNCTION("""COMPUTED_VALUE"""),"Credit Card")</f>
        <v>Credit Card</v>
      </c>
      <c r="I1029" s="18" t="str">
        <f>IFERROR(__xludf.DUMMYFUNCTION("""COMPUTED_VALUE"""),"Delivered")</f>
        <v>Delivered</v>
      </c>
      <c r="J1029" s="18" t="str">
        <f>IFERROR(__xludf.DUMMYFUNCTION("""COMPUTED_VALUE"""),"Delivery Experience")</f>
        <v>Delivery Experience</v>
      </c>
      <c r="K1029" s="18" t="str">
        <f>IFERROR(__xludf.DUMMYFUNCTION("""COMPUTED_VALUE"""),"Quick and professional")</f>
        <v>Quick and professional</v>
      </c>
      <c r="L1029" s="18">
        <f>iferror(VLOOKUP($D1029,Details!$A$2:$C$11,2,false),vlookup($D1029,Details!$E$2:$G$11,2,false))</f>
        <v>150</v>
      </c>
      <c r="M1029" s="18" t="str">
        <f>iferror(VLOOKUP($D1029,Details!$A$2:$C$11,3,false),vlookup($D1029,Details!$E$2:$G$11,3,false))</f>
        <v>Snacks and Drinks</v>
      </c>
      <c r="N1029" s="18">
        <f t="shared" si="1"/>
        <v>300</v>
      </c>
      <c r="O1029" s="17"/>
      <c r="P1029" s="17"/>
      <c r="Q1029" s="17"/>
      <c r="R1029" s="17"/>
      <c r="S1029" s="17"/>
      <c r="T1029" s="17"/>
      <c r="U1029" s="17"/>
      <c r="V1029" s="17"/>
      <c r="W1029" s="17"/>
      <c r="X1029" s="17"/>
      <c r="Y1029" s="17"/>
      <c r="Z1029" s="17"/>
    </row>
    <row r="1030">
      <c r="A1030" s="18" t="str">
        <f>IFERROR(__xludf.DUMMYFUNCTION("""COMPUTED_VALUE"""),"ord_41008")</f>
        <v>ord_41008</v>
      </c>
      <c r="B1030" s="18" t="str">
        <f>IFERROR(__xludf.DUMMYFUNCTION("""COMPUTED_VALUE"""),"Dev Chauhan")</f>
        <v>Dev Chauhan</v>
      </c>
      <c r="C1030" s="18" t="str">
        <f>IFERROR(__xludf.DUMMYFUNCTION("""COMPUTED_VALUE"""),"Bandra")</f>
        <v>Bandra</v>
      </c>
      <c r="D1030" s="18" t="str">
        <f>IFERROR(__xludf.DUMMYFUNCTION("""COMPUTED_VALUE"""),"Potato")</f>
        <v>Potato</v>
      </c>
      <c r="E1030" s="18">
        <f>IFERROR(__xludf.DUMMYFUNCTION("""COMPUTED_VALUE"""),1.0)</f>
        <v>1</v>
      </c>
      <c r="F1030" s="18" t="str">
        <f>IFERROR(__xludf.DUMMYFUNCTION("""COMPUTED_VALUE"""),"Priya Joshi")</f>
        <v>Priya Joshi</v>
      </c>
      <c r="G1030" s="19">
        <f>IFERROR(__xludf.DUMMYFUNCTION("""COMPUTED_VALUE"""),45027.0)</f>
        <v>45027</v>
      </c>
      <c r="H1030" s="18" t="str">
        <f>IFERROR(__xludf.DUMMYFUNCTION("""COMPUTED_VALUE"""),"UPI")</f>
        <v>UPI</v>
      </c>
      <c r="I1030" s="18" t="str">
        <f>IFERROR(__xludf.DUMMYFUNCTION("""COMPUTED_VALUE"""),"Delivered")</f>
        <v>Delivered</v>
      </c>
      <c r="J1030" s="18" t="str">
        <f>IFERROR(__xludf.DUMMYFUNCTION("""COMPUTED_VALUE"""),"Convenience")</f>
        <v>Convenience</v>
      </c>
      <c r="K1030" s="18" t="str">
        <f>IFERROR(__xludf.DUMMYFUNCTION("""COMPUTED_VALUE"""),"Easy tracking")</f>
        <v>Easy tracking</v>
      </c>
      <c r="L1030" s="18">
        <f>iferror(VLOOKUP($D1030,Details!$A$2:$C$11,2,false),vlookup($D1030,Details!$E$2:$G$11,2,false))</f>
        <v>55</v>
      </c>
      <c r="M1030" s="18" t="str">
        <f>iferror(VLOOKUP($D1030,Details!$A$2:$C$11,3,false),vlookup($D1030,Details!$E$2:$G$11,3,false))</f>
        <v>Fruits and Vegetables</v>
      </c>
      <c r="N1030" s="18">
        <f t="shared" si="1"/>
        <v>55</v>
      </c>
      <c r="O1030" s="17"/>
      <c r="P1030" s="17"/>
      <c r="Q1030" s="17"/>
      <c r="R1030" s="17"/>
      <c r="S1030" s="17"/>
      <c r="T1030" s="17"/>
      <c r="U1030" s="17"/>
      <c r="V1030" s="17"/>
      <c r="W1030" s="17"/>
      <c r="X1030" s="17"/>
      <c r="Y1030" s="17"/>
      <c r="Z1030" s="17"/>
    </row>
    <row r="1031">
      <c r="A1031" s="18" t="str">
        <f>IFERROR(__xludf.DUMMYFUNCTION("""COMPUTED_VALUE"""),"ord_41009")</f>
        <v>ord_41009</v>
      </c>
      <c r="B1031" s="18" t="str">
        <f>IFERROR(__xludf.DUMMYFUNCTION("""COMPUTED_VALUE"""),"Arvind Kulkarni")</f>
        <v>Arvind Kulkarni</v>
      </c>
      <c r="C1031" s="18" t="str">
        <f>IFERROR(__xludf.DUMMYFUNCTION("""COMPUTED_VALUE"""),"Juhu")</f>
        <v>Juhu</v>
      </c>
      <c r="D1031" s="18" t="str">
        <f>IFERROR(__xludf.DUMMYFUNCTION("""COMPUTED_VALUE"""),"Potato")</f>
        <v>Potato</v>
      </c>
      <c r="E1031" s="18">
        <f>IFERROR(__xludf.DUMMYFUNCTION("""COMPUTED_VALUE"""),2.0)</f>
        <v>2</v>
      </c>
      <c r="F1031" s="18" t="str">
        <f>IFERROR(__xludf.DUMMYFUNCTION("""COMPUTED_VALUE"""),"Tanvi Jain")</f>
        <v>Tanvi Jain</v>
      </c>
      <c r="G1031" s="19">
        <f>IFERROR(__xludf.DUMMYFUNCTION("""COMPUTED_VALUE"""),45275.0)</f>
        <v>45275</v>
      </c>
      <c r="H1031" s="18" t="str">
        <f>IFERROR(__xludf.DUMMYFUNCTION("""COMPUTED_VALUE"""),"Credit Card")</f>
        <v>Credit Card</v>
      </c>
      <c r="I1031" s="18" t="str">
        <f>IFERROR(__xludf.DUMMYFUNCTION("""COMPUTED_VALUE"""),"Delivered")</f>
        <v>Delivered</v>
      </c>
      <c r="J1031" s="18" t="str">
        <f>IFERROR(__xludf.DUMMYFUNCTION("""COMPUTED_VALUE"""),"Overall Satisfaction")</f>
        <v>Overall Satisfaction</v>
      </c>
      <c r="K1031" s="18" t="str">
        <f>IFERROR(__xludf.DUMMYFUNCTION("""COMPUTED_VALUE"""),"Great service will order again")</f>
        <v>Great service will order again</v>
      </c>
      <c r="L1031" s="18">
        <f>iferror(VLOOKUP($D1031,Details!$A$2:$C$11,2,false),vlookup($D1031,Details!$E$2:$G$11,2,false))</f>
        <v>55</v>
      </c>
      <c r="M1031" s="18" t="str">
        <f>iferror(VLOOKUP($D1031,Details!$A$2:$C$11,3,false),vlookup($D1031,Details!$E$2:$G$11,3,false))</f>
        <v>Fruits and Vegetables</v>
      </c>
      <c r="N1031" s="18">
        <f t="shared" si="1"/>
        <v>110</v>
      </c>
      <c r="O1031" s="17"/>
      <c r="P1031" s="17"/>
      <c r="Q1031" s="17"/>
      <c r="R1031" s="17"/>
      <c r="S1031" s="17"/>
      <c r="T1031" s="17"/>
      <c r="U1031" s="17"/>
      <c r="V1031" s="17"/>
      <c r="W1031" s="17"/>
      <c r="X1031" s="17"/>
      <c r="Y1031" s="17"/>
      <c r="Z1031" s="17"/>
    </row>
    <row r="1032">
      <c r="A1032" s="18" t="str">
        <f>IFERROR(__xludf.DUMMYFUNCTION("""COMPUTED_VALUE"""),"ord_41010")</f>
        <v>ord_41010</v>
      </c>
      <c r="B1032" s="18" t="str">
        <f>IFERROR(__xludf.DUMMYFUNCTION("""COMPUTED_VALUE"""),"Aarohi Kapoor")</f>
        <v>Aarohi Kapoor</v>
      </c>
      <c r="C1032" s="18" t="str">
        <f>IFERROR(__xludf.DUMMYFUNCTION("""COMPUTED_VALUE"""),"Bandra")</f>
        <v>Bandra</v>
      </c>
      <c r="D1032" s="18" t="str">
        <f>IFERROR(__xludf.DUMMYFUNCTION("""COMPUTED_VALUE"""),"Apple")</f>
        <v>Apple</v>
      </c>
      <c r="E1032" s="18">
        <f>IFERROR(__xludf.DUMMYFUNCTION("""COMPUTED_VALUE"""),2.0)</f>
        <v>2</v>
      </c>
      <c r="F1032" s="18" t="str">
        <f>IFERROR(__xludf.DUMMYFUNCTION("""COMPUTED_VALUE"""),"Priya Joshi")</f>
        <v>Priya Joshi</v>
      </c>
      <c r="G1032" s="19">
        <f>IFERROR(__xludf.DUMMYFUNCTION("""COMPUTED_VALUE"""),44953.0)</f>
        <v>44953</v>
      </c>
      <c r="H1032" s="18" t="str">
        <f>IFERROR(__xludf.DUMMYFUNCTION("""COMPUTED_VALUE"""),"Credit Card")</f>
        <v>Credit Card</v>
      </c>
      <c r="I1032" s="18" t="str">
        <f>IFERROR(__xludf.DUMMYFUNCTION("""COMPUTED_VALUE"""),"Delivered")</f>
        <v>Delivered</v>
      </c>
      <c r="J1032" s="18" t="str">
        <f>IFERROR(__xludf.DUMMYFUNCTION("""COMPUTED_VALUE"""),"On-time Delivery")</f>
        <v>On-time Delivery</v>
      </c>
      <c r="K1032" s="18" t="str">
        <f>IFERROR(__xludf.DUMMYFUNCTION("""COMPUTED_VALUE"""),"Delivered on time")</f>
        <v>Delivered on time</v>
      </c>
      <c r="L1032" s="18">
        <f>iferror(VLOOKUP($D1032,Details!$A$2:$C$11,2,false),vlookup($D1032,Details!$E$2:$G$11,2,false))</f>
        <v>230</v>
      </c>
      <c r="M1032" s="18" t="str">
        <f>iferror(VLOOKUP($D1032,Details!$A$2:$C$11,3,false),vlookup($D1032,Details!$E$2:$G$11,3,false))</f>
        <v>Fruits and Vegetables</v>
      </c>
      <c r="N1032" s="18">
        <f t="shared" si="1"/>
        <v>460</v>
      </c>
      <c r="O1032" s="17"/>
      <c r="P1032" s="17"/>
      <c r="Q1032" s="17"/>
      <c r="R1032" s="17"/>
      <c r="S1032" s="17"/>
      <c r="T1032" s="17"/>
      <c r="U1032" s="17"/>
      <c r="V1032" s="17"/>
      <c r="W1032" s="17"/>
      <c r="X1032" s="17"/>
      <c r="Y1032" s="17"/>
      <c r="Z1032" s="17"/>
    </row>
    <row r="1033">
      <c r="A1033" s="18" t="str">
        <f>IFERROR(__xludf.DUMMYFUNCTION("""COMPUTED_VALUE"""),"ord_41011")</f>
        <v>ord_41011</v>
      </c>
      <c r="B1033" s="18" t="str">
        <f>IFERROR(__xludf.DUMMYFUNCTION("""COMPUTED_VALUE"""),"Tanishq Bansal")</f>
        <v>Tanishq Bansal</v>
      </c>
      <c r="C1033" s="18" t="str">
        <f>IFERROR(__xludf.DUMMYFUNCTION("""COMPUTED_VALUE"""),"Powai")</f>
        <v>Powai</v>
      </c>
      <c r="D1033" s="18" t="str">
        <f>IFERROR(__xludf.DUMMYFUNCTION("""COMPUTED_VALUE"""),"Icecream")</f>
        <v>Icecream</v>
      </c>
      <c r="E1033" s="18">
        <f>IFERROR(__xludf.DUMMYFUNCTION("""COMPUTED_VALUE"""),4.0)</f>
        <v>4</v>
      </c>
      <c r="F1033" s="18" t="str">
        <f>IFERROR(__xludf.DUMMYFUNCTION("""COMPUTED_VALUE"""),"Sandeep Kumar")</f>
        <v>Sandeep Kumar</v>
      </c>
      <c r="G1033" s="19">
        <f>IFERROR(__xludf.DUMMYFUNCTION("""COMPUTED_VALUE"""),45031.0)</f>
        <v>45031</v>
      </c>
      <c r="H1033" s="18" t="str">
        <f>IFERROR(__xludf.DUMMYFUNCTION("""COMPUTED_VALUE"""),"UPI")</f>
        <v>UPI</v>
      </c>
      <c r="I1033" s="18" t="str">
        <f>IFERROR(__xludf.DUMMYFUNCTION("""COMPUTED_VALUE"""),"Delivered")</f>
        <v>Delivered</v>
      </c>
      <c r="J1033" s="18" t="str">
        <f>IFERROR(__xludf.DUMMYFUNCTION("""COMPUTED_VALUE"""),"Quality of Items")</f>
        <v>Quality of Items</v>
      </c>
      <c r="K1033" s="18" t="str">
        <f>IFERROR(__xludf.DUMMYFUNCTION("""COMPUTED_VALUE"""),"Perfect condition")</f>
        <v>Perfect condition</v>
      </c>
      <c r="L1033" s="18">
        <f>iferror(VLOOKUP($D1033,Details!$A$2:$C$11,2,false),vlookup($D1033,Details!$E$2:$G$11,2,false))</f>
        <v>90</v>
      </c>
      <c r="M1033" s="18" t="str">
        <f>iferror(VLOOKUP($D1033,Details!$A$2:$C$11,3,false),vlookup($D1033,Details!$E$2:$G$11,3,false))</f>
        <v>Snacks and Drinks</v>
      </c>
      <c r="N1033" s="18">
        <f t="shared" si="1"/>
        <v>360</v>
      </c>
      <c r="O1033" s="17"/>
      <c r="P1033" s="17"/>
      <c r="Q1033" s="17"/>
      <c r="R1033" s="17"/>
      <c r="S1033" s="17"/>
      <c r="T1033" s="17"/>
      <c r="U1033" s="17"/>
      <c r="V1033" s="17"/>
      <c r="W1033" s="17"/>
      <c r="X1033" s="17"/>
      <c r="Y1033" s="17"/>
      <c r="Z1033" s="17"/>
    </row>
    <row r="1034">
      <c r="A1034" s="18" t="str">
        <f>IFERROR(__xludf.DUMMYFUNCTION("""COMPUTED_VALUE"""),"ord_41012")</f>
        <v>ord_41012</v>
      </c>
      <c r="B1034" s="18" t="str">
        <f>IFERROR(__xludf.DUMMYFUNCTION("""COMPUTED_VALUE"""),"Aarav Mehta")</f>
        <v>Aarav Mehta</v>
      </c>
      <c r="C1034" s="18" t="str">
        <f>IFERROR(__xludf.DUMMYFUNCTION("""COMPUTED_VALUE"""),"Andheri")</f>
        <v>Andheri</v>
      </c>
      <c r="D1034" s="18" t="str">
        <f>IFERROR(__xludf.DUMMYFUNCTION("""COMPUTED_VALUE"""),"Sweet Corn")</f>
        <v>Sweet Corn</v>
      </c>
      <c r="E1034" s="18">
        <f>IFERROR(__xludf.DUMMYFUNCTION("""COMPUTED_VALUE"""),1.0)</f>
        <v>1</v>
      </c>
      <c r="F1034" s="18" t="str">
        <f>IFERROR(__xludf.DUMMYFUNCTION("""COMPUTED_VALUE"""),"Rohan Yadav")</f>
        <v>Rohan Yadav</v>
      </c>
      <c r="G1034" s="19">
        <f>IFERROR(__xludf.DUMMYFUNCTION("""COMPUTED_VALUE"""),44971.0)</f>
        <v>44971</v>
      </c>
      <c r="H1034" s="18" t="str">
        <f>IFERROR(__xludf.DUMMYFUNCTION("""COMPUTED_VALUE"""),"Online Payment")</f>
        <v>Online Payment</v>
      </c>
      <c r="I1034" s="18" t="str">
        <f>IFERROR(__xludf.DUMMYFUNCTION("""COMPUTED_VALUE"""),"Delivered")</f>
        <v>Delivered</v>
      </c>
      <c r="J1034" s="18" t="str">
        <f>IFERROR(__xludf.DUMMYFUNCTION("""COMPUTED_VALUE"""),"On-time Delivery")</f>
        <v>On-time Delivery</v>
      </c>
      <c r="K1034" s="18" t="str">
        <f>IFERROR(__xludf.DUMMYFUNCTION("""COMPUTED_VALUE"""),"Delivered on time")</f>
        <v>Delivered on time</v>
      </c>
      <c r="L1034" s="18">
        <f>iferror(VLOOKUP($D1034,Details!$A$2:$C$11,2,false),vlookup($D1034,Details!$E$2:$G$11,2,false))</f>
        <v>60</v>
      </c>
      <c r="M1034" s="18" t="str">
        <f>iferror(VLOOKUP($D1034,Details!$A$2:$C$11,3,false),vlookup($D1034,Details!$E$2:$G$11,3,false))</f>
        <v>Fruits and Vegetables</v>
      </c>
      <c r="N1034" s="18">
        <f t="shared" si="1"/>
        <v>60</v>
      </c>
      <c r="O1034" s="17"/>
      <c r="P1034" s="17"/>
      <c r="Q1034" s="17"/>
      <c r="R1034" s="17"/>
      <c r="S1034" s="17"/>
      <c r="T1034" s="17"/>
      <c r="U1034" s="17"/>
      <c r="V1034" s="17"/>
      <c r="W1034" s="17"/>
      <c r="X1034" s="17"/>
      <c r="Y1034" s="17"/>
      <c r="Z1034" s="17"/>
    </row>
    <row r="1035">
      <c r="A1035" s="18" t="str">
        <f>IFERROR(__xludf.DUMMYFUNCTION("""COMPUTED_VALUE"""),"ord_41013")</f>
        <v>ord_41013</v>
      </c>
      <c r="B1035" s="18" t="str">
        <f>IFERROR(__xludf.DUMMYFUNCTION("""COMPUTED_VALUE"""),"Tanishq Bansal")</f>
        <v>Tanishq Bansal</v>
      </c>
      <c r="C1035" s="18" t="str">
        <f>IFERROR(__xludf.DUMMYFUNCTION("""COMPUTED_VALUE"""),"Powai")</f>
        <v>Powai</v>
      </c>
      <c r="D1035" s="18" t="str">
        <f>IFERROR(__xludf.DUMMYFUNCTION("""COMPUTED_VALUE"""),"Veg Puff")</f>
        <v>Veg Puff</v>
      </c>
      <c r="E1035" s="18">
        <f>IFERROR(__xludf.DUMMYFUNCTION("""COMPUTED_VALUE"""),5.0)</f>
        <v>5</v>
      </c>
      <c r="F1035" s="18" t="str">
        <f>IFERROR(__xludf.DUMMYFUNCTION("""COMPUTED_VALUE"""),"Sandeep Kumar")</f>
        <v>Sandeep Kumar</v>
      </c>
      <c r="G1035" s="19">
        <f>IFERROR(__xludf.DUMMYFUNCTION("""COMPUTED_VALUE"""),45095.0)</f>
        <v>45095</v>
      </c>
      <c r="H1035" s="18" t="str">
        <f>IFERROR(__xludf.DUMMYFUNCTION("""COMPUTED_VALUE"""),"UPI")</f>
        <v>UPI</v>
      </c>
      <c r="I1035" s="18" t="str">
        <f>IFERROR(__xludf.DUMMYFUNCTION("""COMPUTED_VALUE"""),"Delivered")</f>
        <v>Delivered</v>
      </c>
      <c r="J1035" s="18" t="str">
        <f>IFERROR(__xludf.DUMMYFUNCTION("""COMPUTED_VALUE"""),"Quality of Items")</f>
        <v>Quality of Items</v>
      </c>
      <c r="K1035" s="18" t="str">
        <f>IFERROR(__xludf.DUMMYFUNCTION("""COMPUTED_VALUE"""),"Perfect condition")</f>
        <v>Perfect condition</v>
      </c>
      <c r="L1035" s="18">
        <f>iferror(VLOOKUP($D1035,Details!$A$2:$C$11,2,false),vlookup($D1035,Details!$E$2:$G$11,2,false))</f>
        <v>80</v>
      </c>
      <c r="M1035" s="18" t="str">
        <f>iferror(VLOOKUP($D1035,Details!$A$2:$C$11,3,false),vlookup($D1035,Details!$E$2:$G$11,3,false))</f>
        <v>Snacks and Drinks</v>
      </c>
      <c r="N1035" s="18">
        <f t="shared" si="1"/>
        <v>400</v>
      </c>
      <c r="O1035" s="17"/>
      <c r="P1035" s="17"/>
      <c r="Q1035" s="17"/>
      <c r="R1035" s="17"/>
      <c r="S1035" s="17"/>
      <c r="T1035" s="17"/>
      <c r="U1035" s="17"/>
      <c r="V1035" s="17"/>
      <c r="W1035" s="17"/>
      <c r="X1035" s="17"/>
      <c r="Y1035" s="17"/>
      <c r="Z1035" s="17"/>
    </row>
    <row r="1036">
      <c r="A1036" s="18" t="str">
        <f>IFERROR(__xludf.DUMMYFUNCTION("""COMPUTED_VALUE"""),"ord_41014")</f>
        <v>ord_41014</v>
      </c>
      <c r="B1036" s="18" t="str">
        <f>IFERROR(__xludf.DUMMYFUNCTION("""COMPUTED_VALUE"""),"Aarohi Kapoor")</f>
        <v>Aarohi Kapoor</v>
      </c>
      <c r="C1036" s="18" t="str">
        <f>IFERROR(__xludf.DUMMYFUNCTION("""COMPUTED_VALUE"""),"Bandra")</f>
        <v>Bandra</v>
      </c>
      <c r="D1036" s="18" t="str">
        <f>IFERROR(__xludf.DUMMYFUNCTION("""COMPUTED_VALUE"""),"Potato")</f>
        <v>Potato</v>
      </c>
      <c r="E1036" s="18">
        <f>IFERROR(__xludf.DUMMYFUNCTION("""COMPUTED_VALUE"""),1.0)</f>
        <v>1</v>
      </c>
      <c r="F1036" s="18" t="str">
        <f>IFERROR(__xludf.DUMMYFUNCTION("""COMPUTED_VALUE"""),"Priya Joshi")</f>
        <v>Priya Joshi</v>
      </c>
      <c r="G1036" s="19">
        <f>IFERROR(__xludf.DUMMYFUNCTION("""COMPUTED_VALUE"""),45171.0)</f>
        <v>45171</v>
      </c>
      <c r="H1036" s="18" t="str">
        <f>IFERROR(__xludf.DUMMYFUNCTION("""COMPUTED_VALUE"""),"Online Payment")</f>
        <v>Online Payment</v>
      </c>
      <c r="I1036" s="18" t="str">
        <f>IFERROR(__xludf.DUMMYFUNCTION("""COMPUTED_VALUE"""),"Delivered")</f>
        <v>Delivered</v>
      </c>
      <c r="J1036" s="18" t="str">
        <f>IFERROR(__xludf.DUMMYFUNCTION("""COMPUTED_VALUE"""),"Packaging")</f>
        <v>Packaging</v>
      </c>
      <c r="K1036" s="18" t="str">
        <f>IFERROR(__xludf.DUMMYFUNCTION("""COMPUTED_VALUE"""),"Secure and intact")</f>
        <v>Secure and intact</v>
      </c>
      <c r="L1036" s="18">
        <f>iferror(VLOOKUP($D1036,Details!$A$2:$C$11,2,false),vlookup($D1036,Details!$E$2:$G$11,2,false))</f>
        <v>55</v>
      </c>
      <c r="M1036" s="18" t="str">
        <f>iferror(VLOOKUP($D1036,Details!$A$2:$C$11,3,false),vlookup($D1036,Details!$E$2:$G$11,3,false))</f>
        <v>Fruits and Vegetables</v>
      </c>
      <c r="N1036" s="18">
        <f t="shared" si="1"/>
        <v>55</v>
      </c>
      <c r="O1036" s="17"/>
      <c r="P1036" s="17"/>
      <c r="Q1036" s="17"/>
      <c r="R1036" s="17"/>
      <c r="S1036" s="17"/>
      <c r="T1036" s="17"/>
      <c r="U1036" s="17"/>
      <c r="V1036" s="17"/>
      <c r="W1036" s="17"/>
      <c r="X1036" s="17"/>
      <c r="Y1036" s="17"/>
      <c r="Z1036" s="17"/>
    </row>
    <row r="1037">
      <c r="A1037" s="18" t="str">
        <f>IFERROR(__xludf.DUMMYFUNCTION("""COMPUTED_VALUE"""),"ord_41015")</f>
        <v>ord_41015</v>
      </c>
      <c r="B1037" s="18" t="str">
        <f>IFERROR(__xludf.DUMMYFUNCTION("""COMPUTED_VALUE"""),"Aarohi Kapoor")</f>
        <v>Aarohi Kapoor</v>
      </c>
      <c r="C1037" s="18" t="str">
        <f>IFERROR(__xludf.DUMMYFUNCTION("""COMPUTED_VALUE"""),"Bandra")</f>
        <v>Bandra</v>
      </c>
      <c r="D1037" s="18" t="str">
        <f>IFERROR(__xludf.DUMMYFUNCTION("""COMPUTED_VALUE"""),"Popcorn")</f>
        <v>Popcorn</v>
      </c>
      <c r="E1037" s="18">
        <f>IFERROR(__xludf.DUMMYFUNCTION("""COMPUTED_VALUE"""),3.0)</f>
        <v>3</v>
      </c>
      <c r="F1037" s="18" t="str">
        <f>IFERROR(__xludf.DUMMYFUNCTION("""COMPUTED_VALUE"""),"Priya Joshi")</f>
        <v>Priya Joshi</v>
      </c>
      <c r="G1037" s="19">
        <f>IFERROR(__xludf.DUMMYFUNCTION("""COMPUTED_VALUE"""),45232.0)</f>
        <v>45232</v>
      </c>
      <c r="H1037" s="18" t="str">
        <f>IFERROR(__xludf.DUMMYFUNCTION("""COMPUTED_VALUE"""),"COD")</f>
        <v>COD</v>
      </c>
      <c r="I1037" s="18" t="str">
        <f>IFERROR(__xludf.DUMMYFUNCTION("""COMPUTED_VALUE"""),"Delivered")</f>
        <v>Delivered</v>
      </c>
      <c r="J1037" s="18" t="str">
        <f>IFERROR(__xludf.DUMMYFUNCTION("""COMPUTED_VALUE"""),"Satisfied with the Delivery")</f>
        <v>Satisfied with the Delivery</v>
      </c>
      <c r="K1037" s="18" t="str">
        <f>IFERROR(__xludf.DUMMYFUNCTION("""COMPUTED_VALUE"""),"Timely and quality")</f>
        <v>Timely and quality</v>
      </c>
      <c r="L1037" s="18">
        <f>iferror(VLOOKUP($D1037,Details!$A$2:$C$11,2,false),vlookup($D1037,Details!$E$2:$G$11,2,false))</f>
        <v>150</v>
      </c>
      <c r="M1037" s="18" t="str">
        <f>iferror(VLOOKUP($D1037,Details!$A$2:$C$11,3,false),vlookup($D1037,Details!$E$2:$G$11,3,false))</f>
        <v>Snacks and Drinks</v>
      </c>
      <c r="N1037" s="18">
        <f t="shared" si="1"/>
        <v>450</v>
      </c>
      <c r="O1037" s="17"/>
      <c r="P1037" s="17"/>
      <c r="Q1037" s="17"/>
      <c r="R1037" s="17"/>
      <c r="S1037" s="17"/>
      <c r="T1037" s="17"/>
      <c r="U1037" s="17"/>
      <c r="V1037" s="17"/>
      <c r="W1037" s="17"/>
      <c r="X1037" s="17"/>
      <c r="Y1037" s="17"/>
      <c r="Z1037" s="17"/>
    </row>
    <row r="1038">
      <c r="A1038" s="18" t="str">
        <f>IFERROR(__xludf.DUMMYFUNCTION("""COMPUTED_VALUE"""),"ord_41016")</f>
        <v>ord_41016</v>
      </c>
      <c r="B1038" s="18" t="str">
        <f>IFERROR(__xludf.DUMMYFUNCTION("""COMPUTED_VALUE"""),"Aarohi Kapoor")</f>
        <v>Aarohi Kapoor</v>
      </c>
      <c r="C1038" s="18" t="str">
        <f>IFERROR(__xludf.DUMMYFUNCTION("""COMPUTED_VALUE"""),"Bandra")</f>
        <v>Bandra</v>
      </c>
      <c r="D1038" s="18" t="str">
        <f>IFERROR(__xludf.DUMMYFUNCTION("""COMPUTED_VALUE"""),"Papaya")</f>
        <v>Papaya</v>
      </c>
      <c r="E1038" s="18">
        <f>IFERROR(__xludf.DUMMYFUNCTION("""COMPUTED_VALUE"""),2.0)</f>
        <v>2</v>
      </c>
      <c r="F1038" s="18" t="str">
        <f>IFERROR(__xludf.DUMMYFUNCTION("""COMPUTED_VALUE"""),"Priya Joshi")</f>
        <v>Priya Joshi</v>
      </c>
      <c r="G1038" s="19">
        <f>IFERROR(__xludf.DUMMYFUNCTION("""COMPUTED_VALUE"""),44999.0)</f>
        <v>44999</v>
      </c>
      <c r="H1038" s="18" t="str">
        <f>IFERROR(__xludf.DUMMYFUNCTION("""COMPUTED_VALUE"""),"UPI")</f>
        <v>UPI</v>
      </c>
      <c r="I1038" s="18" t="str">
        <f>IFERROR(__xludf.DUMMYFUNCTION("""COMPUTED_VALUE"""),"Delivered")</f>
        <v>Delivered</v>
      </c>
      <c r="J1038" s="18" t="str">
        <f>IFERROR(__xludf.DUMMYFUNCTION("""COMPUTED_VALUE"""),"Customer Service")</f>
        <v>Customer Service</v>
      </c>
      <c r="K1038" s="18" t="str">
        <f>IFERROR(__xludf.DUMMYFUNCTION("""COMPUTED_VALUE"""),"Seamless and easy")</f>
        <v>Seamless and easy</v>
      </c>
      <c r="L1038" s="18">
        <f>iferror(VLOOKUP($D1038,Details!$A$2:$C$11,2,false),vlookup($D1038,Details!$E$2:$G$11,2,false))</f>
        <v>75</v>
      </c>
      <c r="M1038" s="18" t="str">
        <f>iferror(VLOOKUP($D1038,Details!$A$2:$C$11,3,false),vlookup($D1038,Details!$E$2:$G$11,3,false))</f>
        <v>Fruits and Vegetables</v>
      </c>
      <c r="N1038" s="18">
        <f t="shared" si="1"/>
        <v>150</v>
      </c>
      <c r="O1038" s="17"/>
      <c r="P1038" s="17"/>
      <c r="Q1038" s="17"/>
      <c r="R1038" s="17"/>
      <c r="S1038" s="17"/>
      <c r="T1038" s="17"/>
      <c r="U1038" s="17"/>
      <c r="V1038" s="17"/>
      <c r="W1038" s="17"/>
      <c r="X1038" s="17"/>
      <c r="Y1038" s="17"/>
      <c r="Z1038" s="17"/>
    </row>
    <row r="1039">
      <c r="A1039" s="18" t="str">
        <f>IFERROR(__xludf.DUMMYFUNCTION("""COMPUTED_VALUE"""),"ord_41017")</f>
        <v>ord_41017</v>
      </c>
      <c r="B1039" s="18" t="str">
        <f>IFERROR(__xludf.DUMMYFUNCTION("""COMPUTED_VALUE"""),"Ishaan Chaturvedi")</f>
        <v>Ishaan Chaturvedi</v>
      </c>
      <c r="C1039" s="18" t="str">
        <f>IFERROR(__xludf.DUMMYFUNCTION("""COMPUTED_VALUE"""),"Bandra")</f>
        <v>Bandra</v>
      </c>
      <c r="D1039" s="18" t="str">
        <f>IFERROR(__xludf.DUMMYFUNCTION("""COMPUTED_VALUE"""),"Tomato")</f>
        <v>Tomato</v>
      </c>
      <c r="E1039" s="18">
        <f>IFERROR(__xludf.DUMMYFUNCTION("""COMPUTED_VALUE"""),1.0)</f>
        <v>1</v>
      </c>
      <c r="F1039" s="18" t="str">
        <f>IFERROR(__xludf.DUMMYFUNCTION("""COMPUTED_VALUE"""),"Priya Joshi")</f>
        <v>Priya Joshi</v>
      </c>
      <c r="G1039" s="19">
        <f>IFERROR(__xludf.DUMMYFUNCTION("""COMPUTED_VALUE"""),44940.0)</f>
        <v>44940</v>
      </c>
      <c r="H1039" s="18" t="str">
        <f>IFERROR(__xludf.DUMMYFUNCTION("""COMPUTED_VALUE"""),"COD")</f>
        <v>COD</v>
      </c>
      <c r="I1039" s="18" t="str">
        <f>IFERROR(__xludf.DUMMYFUNCTION("""COMPUTED_VALUE"""),"Delivered")</f>
        <v>Delivered</v>
      </c>
      <c r="J1039" s="18" t="str">
        <f>IFERROR(__xludf.DUMMYFUNCTION("""COMPUTED_VALUE"""),"Delivery Experience")</f>
        <v>Delivery Experience</v>
      </c>
      <c r="K1039" s="18" t="str">
        <f>IFERROR(__xludf.DUMMYFUNCTION("""COMPUTED_VALUE"""),"Quick and professional")</f>
        <v>Quick and professional</v>
      </c>
      <c r="L1039" s="18">
        <f>iferror(VLOOKUP($D1039,Details!$A$2:$C$11,2,false),vlookup($D1039,Details!$E$2:$G$11,2,false))</f>
        <v>25</v>
      </c>
      <c r="M1039" s="18" t="str">
        <f>iferror(VLOOKUP($D1039,Details!$A$2:$C$11,3,false),vlookup($D1039,Details!$E$2:$G$11,3,false))</f>
        <v>Fruits and Vegetables</v>
      </c>
      <c r="N1039" s="18">
        <f t="shared" si="1"/>
        <v>25</v>
      </c>
      <c r="O1039" s="17"/>
      <c r="P1039" s="17"/>
      <c r="Q1039" s="17"/>
      <c r="R1039" s="17"/>
      <c r="S1039" s="17"/>
      <c r="T1039" s="17"/>
      <c r="U1039" s="17"/>
      <c r="V1039" s="17"/>
      <c r="W1039" s="17"/>
      <c r="X1039" s="17"/>
      <c r="Y1039" s="17"/>
      <c r="Z1039" s="17"/>
    </row>
    <row r="1040">
      <c r="A1040" s="18" t="str">
        <f>IFERROR(__xludf.DUMMYFUNCTION("""COMPUTED_VALUE"""),"ord_41018")</f>
        <v>ord_41018</v>
      </c>
      <c r="B1040" s="18" t="str">
        <f>IFERROR(__xludf.DUMMYFUNCTION("""COMPUTED_VALUE"""),"Pranav Joshi")</f>
        <v>Pranav Joshi</v>
      </c>
      <c r="C1040" s="18" t="str">
        <f>IFERROR(__xludf.DUMMYFUNCTION("""COMPUTED_VALUE"""),"Andheri")</f>
        <v>Andheri</v>
      </c>
      <c r="D1040" s="18" t="str">
        <f>IFERROR(__xludf.DUMMYFUNCTION("""COMPUTED_VALUE"""),"Papaya")</f>
        <v>Papaya</v>
      </c>
      <c r="E1040" s="18">
        <f>IFERROR(__xludf.DUMMYFUNCTION("""COMPUTED_VALUE"""),2.0)</f>
        <v>2</v>
      </c>
      <c r="F1040" s="18" t="str">
        <f>IFERROR(__xludf.DUMMYFUNCTION("""COMPUTED_VALUE"""),"Rohan Yadav")</f>
        <v>Rohan Yadav</v>
      </c>
      <c r="G1040" s="19">
        <f>IFERROR(__xludf.DUMMYFUNCTION("""COMPUTED_VALUE"""),45235.0)</f>
        <v>45235</v>
      </c>
      <c r="H1040" s="18" t="str">
        <f>IFERROR(__xludf.DUMMYFUNCTION("""COMPUTED_VALUE"""),"UPI")</f>
        <v>UPI</v>
      </c>
      <c r="I1040" s="18" t="str">
        <f>IFERROR(__xludf.DUMMYFUNCTION("""COMPUTED_VALUE"""),"Delivered")</f>
        <v>Delivered</v>
      </c>
      <c r="J1040" s="18" t="str">
        <f>IFERROR(__xludf.DUMMYFUNCTION("""COMPUTED_VALUE"""),"Convenience")</f>
        <v>Convenience</v>
      </c>
      <c r="K1040" s="18" t="str">
        <f>IFERROR(__xludf.DUMMYFUNCTION("""COMPUTED_VALUE"""),"Easy tracking")</f>
        <v>Easy tracking</v>
      </c>
      <c r="L1040" s="18">
        <f>iferror(VLOOKUP($D1040,Details!$A$2:$C$11,2,false),vlookup($D1040,Details!$E$2:$G$11,2,false))</f>
        <v>75</v>
      </c>
      <c r="M1040" s="18" t="str">
        <f>iferror(VLOOKUP($D1040,Details!$A$2:$C$11,3,false),vlookup($D1040,Details!$E$2:$G$11,3,false))</f>
        <v>Fruits and Vegetables</v>
      </c>
      <c r="N1040" s="18">
        <f t="shared" si="1"/>
        <v>150</v>
      </c>
      <c r="O1040" s="17"/>
      <c r="P1040" s="17"/>
      <c r="Q1040" s="17"/>
      <c r="R1040" s="17"/>
      <c r="S1040" s="17"/>
      <c r="T1040" s="17"/>
      <c r="U1040" s="17"/>
      <c r="V1040" s="17"/>
      <c r="W1040" s="17"/>
      <c r="X1040" s="17"/>
      <c r="Y1040" s="17"/>
      <c r="Z1040" s="17"/>
    </row>
    <row r="1041">
      <c r="A1041" s="18" t="str">
        <f>IFERROR(__xludf.DUMMYFUNCTION("""COMPUTED_VALUE"""),"ord_41019")</f>
        <v>ord_41019</v>
      </c>
      <c r="B1041" s="18" t="str">
        <f>IFERROR(__xludf.DUMMYFUNCTION("""COMPUTED_VALUE"""),"Aarohi Kapoor")</f>
        <v>Aarohi Kapoor</v>
      </c>
      <c r="C1041" s="18" t="str">
        <f>IFERROR(__xludf.DUMMYFUNCTION("""COMPUTED_VALUE"""),"Bandra")</f>
        <v>Bandra</v>
      </c>
      <c r="D1041" s="18" t="str">
        <f>IFERROR(__xludf.DUMMYFUNCTION("""COMPUTED_VALUE"""),"Icecream")</f>
        <v>Icecream</v>
      </c>
      <c r="E1041" s="18">
        <f>IFERROR(__xludf.DUMMYFUNCTION("""COMPUTED_VALUE"""),5.0)</f>
        <v>5</v>
      </c>
      <c r="F1041" s="18" t="str">
        <f>IFERROR(__xludf.DUMMYFUNCTION("""COMPUTED_VALUE"""),"Priya Joshi")</f>
        <v>Priya Joshi</v>
      </c>
      <c r="G1041" s="19">
        <f>IFERROR(__xludf.DUMMYFUNCTION("""COMPUTED_VALUE"""),45115.0)</f>
        <v>45115</v>
      </c>
      <c r="H1041" s="18" t="str">
        <f>IFERROR(__xludf.DUMMYFUNCTION("""COMPUTED_VALUE"""),"Online Payment")</f>
        <v>Online Payment</v>
      </c>
      <c r="I1041" s="18" t="str">
        <f>IFERROR(__xludf.DUMMYFUNCTION("""COMPUTED_VALUE"""),"Delivered")</f>
        <v>Delivered</v>
      </c>
      <c r="J1041" s="18" t="str">
        <f>IFERROR(__xludf.DUMMYFUNCTION("""COMPUTED_VALUE"""),"Overall Satisfaction")</f>
        <v>Overall Satisfaction</v>
      </c>
      <c r="K1041" s="18" t="str">
        <f>IFERROR(__xludf.DUMMYFUNCTION("""COMPUTED_VALUE"""),"Great service will order again")</f>
        <v>Great service will order again</v>
      </c>
      <c r="L1041" s="18">
        <f>iferror(VLOOKUP($D1041,Details!$A$2:$C$11,2,false),vlookup($D1041,Details!$E$2:$G$11,2,false))</f>
        <v>90</v>
      </c>
      <c r="M1041" s="18" t="str">
        <f>iferror(VLOOKUP($D1041,Details!$A$2:$C$11,3,false),vlookup($D1041,Details!$E$2:$G$11,3,false))</f>
        <v>Snacks and Drinks</v>
      </c>
      <c r="N1041" s="18">
        <f t="shared" si="1"/>
        <v>450</v>
      </c>
      <c r="O1041" s="17"/>
      <c r="P1041" s="17"/>
      <c r="Q1041" s="17"/>
      <c r="R1041" s="17"/>
      <c r="S1041" s="17"/>
      <c r="T1041" s="17"/>
      <c r="U1041" s="17"/>
      <c r="V1041" s="17"/>
      <c r="W1041" s="17"/>
      <c r="X1041" s="17"/>
      <c r="Y1041" s="17"/>
      <c r="Z1041" s="17"/>
    </row>
    <row r="1042">
      <c r="A1042" s="18" t="str">
        <f>IFERROR(__xludf.DUMMYFUNCTION("""COMPUTED_VALUE"""),"ord_41020")</f>
        <v>ord_41020</v>
      </c>
      <c r="B1042" s="18" t="str">
        <f>IFERROR(__xludf.DUMMYFUNCTION("""COMPUTED_VALUE"""),"Siya Reddy")</f>
        <v>Siya Reddy</v>
      </c>
      <c r="C1042" s="18" t="str">
        <f>IFERROR(__xludf.DUMMYFUNCTION("""COMPUTED_VALUE"""),"Juhu")</f>
        <v>Juhu</v>
      </c>
      <c r="D1042" s="18" t="str">
        <f>IFERROR(__xludf.DUMMYFUNCTION("""COMPUTED_VALUE"""),"Cold Coffee")</f>
        <v>Cold Coffee</v>
      </c>
      <c r="E1042" s="18">
        <f>IFERROR(__xludf.DUMMYFUNCTION("""COMPUTED_VALUE"""),3.0)</f>
        <v>3</v>
      </c>
      <c r="F1042" s="18" t="str">
        <f>IFERROR(__xludf.DUMMYFUNCTION("""COMPUTED_VALUE"""),"Vivek Kumar")</f>
        <v>Vivek Kumar</v>
      </c>
      <c r="G1042" s="19">
        <f>IFERROR(__xludf.DUMMYFUNCTION("""COMPUTED_VALUE"""),45100.0)</f>
        <v>45100</v>
      </c>
      <c r="H1042" s="18" t="str">
        <f>IFERROR(__xludf.DUMMYFUNCTION("""COMPUTED_VALUE"""),"UPI")</f>
        <v>UPI</v>
      </c>
      <c r="I1042" s="18" t="str">
        <f>IFERROR(__xludf.DUMMYFUNCTION("""COMPUTED_VALUE"""),"Cancelled")</f>
        <v>Cancelled</v>
      </c>
      <c r="J1042" s="18" t="str">
        <f>IFERROR(__xludf.DUMMYFUNCTION("""COMPUTED_VALUE"""),"Delayed Delivery")</f>
        <v>Delayed Delivery</v>
      </c>
      <c r="K1042" s="18" t="str">
        <f>IFERROR(__xludf.DUMMYFUNCTION("""COMPUTED_VALUE"""),"Incorrect Address or Location")</f>
        <v>Incorrect Address or Location</v>
      </c>
      <c r="L1042" s="18">
        <f>iferror(VLOOKUP($D1042,Details!$A$2:$C$11,2,false),vlookup($D1042,Details!$E$2:$G$11,2,false))</f>
        <v>270</v>
      </c>
      <c r="M1042" s="18" t="str">
        <f>iferror(VLOOKUP($D1042,Details!$A$2:$C$11,3,false),vlookup($D1042,Details!$E$2:$G$11,3,false))</f>
        <v>Snacks and Drinks</v>
      </c>
      <c r="N1042" s="18">
        <f t="shared" si="1"/>
        <v>810</v>
      </c>
      <c r="O1042" s="17"/>
      <c r="P1042" s="17"/>
      <c r="Q1042" s="17"/>
      <c r="R1042" s="17"/>
      <c r="S1042" s="17"/>
      <c r="T1042" s="17"/>
      <c r="U1042" s="17"/>
      <c r="V1042" s="17"/>
      <c r="W1042" s="17"/>
      <c r="X1042" s="17"/>
      <c r="Y1042" s="17"/>
      <c r="Z1042" s="17"/>
    </row>
    <row r="1043">
      <c r="A1043" s="18" t="str">
        <f>IFERROR(__xludf.DUMMYFUNCTION("""COMPUTED_VALUE"""),"ord_41021")</f>
        <v>ord_41021</v>
      </c>
      <c r="B1043" s="18" t="str">
        <f>IFERROR(__xludf.DUMMYFUNCTION("""COMPUTED_VALUE"""),"Aarav Mehta")</f>
        <v>Aarav Mehta</v>
      </c>
      <c r="C1043" s="18" t="str">
        <f>IFERROR(__xludf.DUMMYFUNCTION("""COMPUTED_VALUE"""),"Andheri")</f>
        <v>Andheri</v>
      </c>
      <c r="D1043" s="18" t="str">
        <f>IFERROR(__xludf.DUMMYFUNCTION("""COMPUTED_VALUE"""),"Chilli Cheese Toast")</f>
        <v>Chilli Cheese Toast</v>
      </c>
      <c r="E1043" s="18">
        <f>IFERROR(__xludf.DUMMYFUNCTION("""COMPUTED_VALUE"""),1.0)</f>
        <v>1</v>
      </c>
      <c r="F1043" s="18" t="str">
        <f>IFERROR(__xludf.DUMMYFUNCTION("""COMPUTED_VALUE"""),"Rohan Yadav")</f>
        <v>Rohan Yadav</v>
      </c>
      <c r="G1043" s="19">
        <f>IFERROR(__xludf.DUMMYFUNCTION("""COMPUTED_VALUE"""),45078.0)</f>
        <v>45078</v>
      </c>
      <c r="H1043" s="18" t="str">
        <f>IFERROR(__xludf.DUMMYFUNCTION("""COMPUTED_VALUE"""),"Credit Card")</f>
        <v>Credit Card</v>
      </c>
      <c r="I1043" s="18" t="str">
        <f>IFERROR(__xludf.DUMMYFUNCTION("""COMPUTED_VALUE"""),"Delivered")</f>
        <v>Delivered</v>
      </c>
      <c r="J1043" s="18" t="str">
        <f>IFERROR(__xludf.DUMMYFUNCTION("""COMPUTED_VALUE"""),"On-time Delivery")</f>
        <v>On-time Delivery</v>
      </c>
      <c r="K1043" s="18" t="str">
        <f>IFERROR(__xludf.DUMMYFUNCTION("""COMPUTED_VALUE"""),"Delivered on time")</f>
        <v>Delivered on time</v>
      </c>
      <c r="L1043" s="18">
        <f>iferror(VLOOKUP($D1043,Details!$A$2:$C$11,2,false),vlookup($D1043,Details!$E$2:$G$11,2,false))</f>
        <v>80</v>
      </c>
      <c r="M1043" s="18" t="str">
        <f>iferror(VLOOKUP($D1043,Details!$A$2:$C$11,3,false),vlookup($D1043,Details!$E$2:$G$11,3,false))</f>
        <v>Snacks and Drinks</v>
      </c>
      <c r="N1043" s="18">
        <f t="shared" si="1"/>
        <v>80</v>
      </c>
      <c r="O1043" s="17"/>
      <c r="P1043" s="17"/>
      <c r="Q1043" s="17"/>
      <c r="R1043" s="17"/>
      <c r="S1043" s="17"/>
      <c r="T1043" s="17"/>
      <c r="U1043" s="17"/>
      <c r="V1043" s="17"/>
      <c r="W1043" s="17"/>
      <c r="X1043" s="17"/>
      <c r="Y1043" s="17"/>
      <c r="Z1043" s="17"/>
    </row>
    <row r="1044">
      <c r="A1044" s="18" t="str">
        <f>IFERROR(__xludf.DUMMYFUNCTION("""COMPUTED_VALUE"""),"ord_41022")</f>
        <v>ord_41022</v>
      </c>
      <c r="B1044" s="18" t="str">
        <f>IFERROR(__xludf.DUMMYFUNCTION("""COMPUTED_VALUE"""),"Mehul Thakkar")</f>
        <v>Mehul Thakkar</v>
      </c>
      <c r="C1044" s="18" t="str">
        <f>IFERROR(__xludf.DUMMYFUNCTION("""COMPUTED_VALUE"""),"Malad")</f>
        <v>Malad</v>
      </c>
      <c r="D1044" s="18" t="str">
        <f>IFERROR(__xludf.DUMMYFUNCTION("""COMPUTED_VALUE"""),"Guava")</f>
        <v>Guava</v>
      </c>
      <c r="E1044" s="18">
        <f>IFERROR(__xludf.DUMMYFUNCTION("""COMPUTED_VALUE"""),2.0)</f>
        <v>2</v>
      </c>
      <c r="F1044" s="18" t="str">
        <f>IFERROR(__xludf.DUMMYFUNCTION("""COMPUTED_VALUE"""),"Neha Shah")</f>
        <v>Neha Shah</v>
      </c>
      <c r="G1044" s="19">
        <f>IFERROR(__xludf.DUMMYFUNCTION("""COMPUTED_VALUE"""),45234.0)</f>
        <v>45234</v>
      </c>
      <c r="H1044" s="18" t="str">
        <f>IFERROR(__xludf.DUMMYFUNCTION("""COMPUTED_VALUE"""),"Online Payment")</f>
        <v>Online Payment</v>
      </c>
      <c r="I1044" s="18" t="str">
        <f>IFERROR(__xludf.DUMMYFUNCTION("""COMPUTED_VALUE"""),"Delivered")</f>
        <v>Delivered</v>
      </c>
      <c r="J1044" s="18" t="str">
        <f>IFERROR(__xludf.DUMMYFUNCTION("""COMPUTED_VALUE"""),"Quality of Items")</f>
        <v>Quality of Items</v>
      </c>
      <c r="K1044" s="18" t="str">
        <f>IFERROR(__xludf.DUMMYFUNCTION("""COMPUTED_VALUE"""),"Perfect condition")</f>
        <v>Perfect condition</v>
      </c>
      <c r="L1044" s="18">
        <f>iferror(VLOOKUP($D1044,Details!$A$2:$C$11,2,false),vlookup($D1044,Details!$E$2:$G$11,2,false))</f>
        <v>70</v>
      </c>
      <c r="M1044" s="18" t="str">
        <f>iferror(VLOOKUP($D1044,Details!$A$2:$C$11,3,false),vlookup($D1044,Details!$E$2:$G$11,3,false))</f>
        <v>Fruits and Vegetables</v>
      </c>
      <c r="N1044" s="18">
        <f t="shared" si="1"/>
        <v>140</v>
      </c>
      <c r="O1044" s="17"/>
      <c r="P1044" s="17"/>
      <c r="Q1044" s="17"/>
      <c r="R1044" s="17"/>
      <c r="S1044" s="17"/>
      <c r="T1044" s="17"/>
      <c r="U1044" s="17"/>
      <c r="V1044" s="17"/>
      <c r="W1044" s="17"/>
      <c r="X1044" s="17"/>
      <c r="Y1044" s="17"/>
      <c r="Z1044" s="17"/>
    </row>
    <row r="1045">
      <c r="A1045" s="18" t="str">
        <f>IFERROR(__xludf.DUMMYFUNCTION("""COMPUTED_VALUE"""),"ord_41023")</f>
        <v>ord_41023</v>
      </c>
      <c r="B1045" s="18" t="str">
        <f>IFERROR(__xludf.DUMMYFUNCTION("""COMPUTED_VALUE"""),"Aditi Iyer")</f>
        <v>Aditi Iyer</v>
      </c>
      <c r="C1045" s="18" t="str">
        <f>IFERROR(__xludf.DUMMYFUNCTION("""COMPUTED_VALUE"""),"Dadar")</f>
        <v>Dadar</v>
      </c>
      <c r="D1045" s="18" t="str">
        <f>IFERROR(__xludf.DUMMYFUNCTION("""COMPUTED_VALUE"""),"Rasmalai")</f>
        <v>Rasmalai</v>
      </c>
      <c r="E1045" s="18">
        <f>IFERROR(__xludf.DUMMYFUNCTION("""COMPUTED_VALUE"""),2.0)</f>
        <v>2</v>
      </c>
      <c r="F1045" s="18" t="str">
        <f>IFERROR(__xludf.DUMMYFUNCTION("""COMPUTED_VALUE"""),"Aman Kumar")</f>
        <v>Aman Kumar</v>
      </c>
      <c r="G1045" s="19">
        <f>IFERROR(__xludf.DUMMYFUNCTION("""COMPUTED_VALUE"""),45190.0)</f>
        <v>45190</v>
      </c>
      <c r="H1045" s="18" t="str">
        <f>IFERROR(__xludf.DUMMYFUNCTION("""COMPUTED_VALUE"""),"COD")</f>
        <v>COD</v>
      </c>
      <c r="I1045" s="18" t="str">
        <f>IFERROR(__xludf.DUMMYFUNCTION("""COMPUTED_VALUE"""),"Delivered")</f>
        <v>Delivered</v>
      </c>
      <c r="J1045" s="18" t="str">
        <f>IFERROR(__xludf.DUMMYFUNCTION("""COMPUTED_VALUE"""),"On-time Delivery")</f>
        <v>On-time Delivery</v>
      </c>
      <c r="K1045" s="18" t="str">
        <f>IFERROR(__xludf.DUMMYFUNCTION("""COMPUTED_VALUE"""),"Delivered on time")</f>
        <v>Delivered on time</v>
      </c>
      <c r="L1045" s="18">
        <f>iferror(VLOOKUP($D1045,Details!$A$2:$C$11,2,false),vlookup($D1045,Details!$E$2:$G$11,2,false))</f>
        <v>110</v>
      </c>
      <c r="M1045" s="18" t="str">
        <f>iferror(VLOOKUP($D1045,Details!$A$2:$C$11,3,false),vlookup($D1045,Details!$E$2:$G$11,3,false))</f>
        <v>Snacks and Drinks</v>
      </c>
      <c r="N1045" s="18">
        <f t="shared" si="1"/>
        <v>220</v>
      </c>
      <c r="O1045" s="17"/>
      <c r="P1045" s="17"/>
      <c r="Q1045" s="17"/>
      <c r="R1045" s="17"/>
      <c r="S1045" s="17"/>
      <c r="T1045" s="17"/>
      <c r="U1045" s="17"/>
      <c r="V1045" s="17"/>
      <c r="W1045" s="17"/>
      <c r="X1045" s="17"/>
      <c r="Y1045" s="17"/>
      <c r="Z1045" s="17"/>
    </row>
    <row r="1046">
      <c r="A1046" s="18" t="str">
        <f>IFERROR(__xludf.DUMMYFUNCTION("""COMPUTED_VALUE"""),"ord_41024")</f>
        <v>ord_41024</v>
      </c>
      <c r="B1046" s="18" t="str">
        <f>IFERROR(__xludf.DUMMYFUNCTION("""COMPUTED_VALUE"""),"Anaya Rao")</f>
        <v>Anaya Rao</v>
      </c>
      <c r="C1046" s="18" t="str">
        <f>IFERROR(__xludf.DUMMYFUNCTION("""COMPUTED_VALUE"""),"Colaba")</f>
        <v>Colaba</v>
      </c>
      <c r="D1046" s="18" t="str">
        <f>IFERROR(__xludf.DUMMYFUNCTION("""COMPUTED_VALUE"""),"Orange")</f>
        <v>Orange</v>
      </c>
      <c r="E1046" s="18">
        <f>IFERROR(__xludf.DUMMYFUNCTION("""COMPUTED_VALUE"""),2.0)</f>
        <v>2</v>
      </c>
      <c r="F1046" s="18" t="str">
        <f>IFERROR(__xludf.DUMMYFUNCTION("""COMPUTED_VALUE"""),"Nikhil Deshmukh")</f>
        <v>Nikhil Deshmukh</v>
      </c>
      <c r="G1046" s="19">
        <f>IFERROR(__xludf.DUMMYFUNCTION("""COMPUTED_VALUE"""),44988.0)</f>
        <v>44988</v>
      </c>
      <c r="H1046" s="18" t="str">
        <f>IFERROR(__xludf.DUMMYFUNCTION("""COMPUTED_VALUE"""),"COD")</f>
        <v>COD</v>
      </c>
      <c r="I1046" s="18" t="str">
        <f>IFERROR(__xludf.DUMMYFUNCTION("""COMPUTED_VALUE"""),"Delivered")</f>
        <v>Delivered</v>
      </c>
      <c r="J1046" s="18" t="str">
        <f>IFERROR(__xludf.DUMMYFUNCTION("""COMPUTED_VALUE"""),"Quality of Items")</f>
        <v>Quality of Items</v>
      </c>
      <c r="K1046" s="18" t="str">
        <f>IFERROR(__xludf.DUMMYFUNCTION("""COMPUTED_VALUE"""),"Perfect condition")</f>
        <v>Perfect condition</v>
      </c>
      <c r="L1046" s="18">
        <f>iferror(VLOOKUP($D1046,Details!$A$2:$C$11,2,false),vlookup($D1046,Details!$E$2:$G$11,2,false))</f>
        <v>180</v>
      </c>
      <c r="M1046" s="18" t="str">
        <f>iferror(VLOOKUP($D1046,Details!$A$2:$C$11,3,false),vlookup($D1046,Details!$E$2:$G$11,3,false))</f>
        <v>Fruits and Vegetables</v>
      </c>
      <c r="N1046" s="18">
        <f t="shared" si="1"/>
        <v>360</v>
      </c>
      <c r="O1046" s="17"/>
      <c r="P1046" s="17"/>
      <c r="Q1046" s="17"/>
      <c r="R1046" s="17"/>
      <c r="S1046" s="17"/>
      <c r="T1046" s="17"/>
      <c r="U1046" s="17"/>
      <c r="V1046" s="17"/>
      <c r="W1046" s="17"/>
      <c r="X1046" s="17"/>
      <c r="Y1046" s="17"/>
      <c r="Z1046" s="17"/>
    </row>
    <row r="1047">
      <c r="A1047" s="18" t="str">
        <f>IFERROR(__xludf.DUMMYFUNCTION("""COMPUTED_VALUE"""),"ord_41025")</f>
        <v>ord_41025</v>
      </c>
      <c r="B1047" s="18" t="str">
        <f>IFERROR(__xludf.DUMMYFUNCTION("""COMPUTED_VALUE"""),"Kritika Shetty")</f>
        <v>Kritika Shetty</v>
      </c>
      <c r="C1047" s="18" t="str">
        <f>IFERROR(__xludf.DUMMYFUNCTION("""COMPUTED_VALUE"""),"Malad")</f>
        <v>Malad</v>
      </c>
      <c r="D1047" s="18" t="str">
        <f>IFERROR(__xludf.DUMMYFUNCTION("""COMPUTED_VALUE"""),"Banana")</f>
        <v>Banana</v>
      </c>
      <c r="E1047" s="18">
        <f>IFERROR(__xludf.DUMMYFUNCTION("""COMPUTED_VALUE"""),2.0)</f>
        <v>2</v>
      </c>
      <c r="F1047" s="18" t="str">
        <f>IFERROR(__xludf.DUMMYFUNCTION("""COMPUTED_VALUE"""),"Not Assigned")</f>
        <v>Not Assigned</v>
      </c>
      <c r="G1047" s="19">
        <f>IFERROR(__xludf.DUMMYFUNCTION("""COMPUTED_VALUE"""),45039.0)</f>
        <v>45039</v>
      </c>
      <c r="H1047" s="18" t="str">
        <f>IFERROR(__xludf.DUMMYFUNCTION("""COMPUTED_VALUE"""),"UPI")</f>
        <v>UPI</v>
      </c>
      <c r="I1047" s="18" t="str">
        <f>IFERROR(__xludf.DUMMYFUNCTION("""COMPUTED_VALUE"""),"Cancelled")</f>
        <v>Cancelled</v>
      </c>
      <c r="J1047" s="18" t="str">
        <f>IFERROR(__xludf.DUMMYFUNCTION("""COMPUTED_VALUE"""),"App Glitches")</f>
        <v>App Glitches</v>
      </c>
      <c r="K1047" s="18" t="str">
        <f>IFERROR(__xludf.DUMMYFUNCTION("""COMPUTED_VALUE"""),"Slow Loading Time")</f>
        <v>Slow Loading Time</v>
      </c>
      <c r="L1047" s="18">
        <f>iferror(VLOOKUP($D1047,Details!$A$2:$C$11,2,false),vlookup($D1047,Details!$E$2:$G$11,2,false))</f>
        <v>80</v>
      </c>
      <c r="M1047" s="18" t="str">
        <f>iferror(VLOOKUP($D1047,Details!$A$2:$C$11,3,false),vlookup($D1047,Details!$E$2:$G$11,3,false))</f>
        <v>Fruits and Vegetables</v>
      </c>
      <c r="N1047" s="18">
        <f t="shared" si="1"/>
        <v>160</v>
      </c>
      <c r="O1047" s="17"/>
      <c r="P1047" s="17"/>
      <c r="Q1047" s="17"/>
      <c r="R1047" s="17"/>
      <c r="S1047" s="17"/>
      <c r="T1047" s="17"/>
      <c r="U1047" s="17"/>
      <c r="V1047" s="17"/>
      <c r="W1047" s="17"/>
      <c r="X1047" s="17"/>
      <c r="Y1047" s="17"/>
      <c r="Z1047" s="17"/>
    </row>
    <row r="1048">
      <c r="A1048" s="18" t="str">
        <f>IFERROR(__xludf.DUMMYFUNCTION("""COMPUTED_VALUE"""),"ord_41026")</f>
        <v>ord_41026</v>
      </c>
      <c r="B1048" s="18" t="str">
        <f>IFERROR(__xludf.DUMMYFUNCTION("""COMPUTED_VALUE"""),"Tanishq Bansal")</f>
        <v>Tanishq Bansal</v>
      </c>
      <c r="C1048" s="18" t="str">
        <f>IFERROR(__xludf.DUMMYFUNCTION("""COMPUTED_VALUE"""),"Powai")</f>
        <v>Powai</v>
      </c>
      <c r="D1048" s="18" t="str">
        <f>IFERROR(__xludf.DUMMYFUNCTION("""COMPUTED_VALUE"""),"Tiramisu")</f>
        <v>Tiramisu</v>
      </c>
      <c r="E1048" s="18">
        <f>IFERROR(__xludf.DUMMYFUNCTION("""COMPUTED_VALUE"""),4.0)</f>
        <v>4</v>
      </c>
      <c r="F1048" s="18" t="str">
        <f>IFERROR(__xludf.DUMMYFUNCTION("""COMPUTED_VALUE"""),"Sandeep Kumar")</f>
        <v>Sandeep Kumar</v>
      </c>
      <c r="G1048" s="19">
        <f>IFERROR(__xludf.DUMMYFUNCTION("""COMPUTED_VALUE"""),45001.0)</f>
        <v>45001</v>
      </c>
      <c r="H1048" s="18" t="str">
        <f>IFERROR(__xludf.DUMMYFUNCTION("""COMPUTED_VALUE"""),"Online Payment")</f>
        <v>Online Payment</v>
      </c>
      <c r="I1048" s="18" t="str">
        <f>IFERROR(__xludf.DUMMYFUNCTION("""COMPUTED_VALUE"""),"Delivered")</f>
        <v>Delivered</v>
      </c>
      <c r="J1048" s="18" t="str">
        <f>IFERROR(__xludf.DUMMYFUNCTION("""COMPUTED_VALUE"""),"Packaging")</f>
        <v>Packaging</v>
      </c>
      <c r="K1048" s="18" t="str">
        <f>IFERROR(__xludf.DUMMYFUNCTION("""COMPUTED_VALUE"""),"Secure and intact")</f>
        <v>Secure and intact</v>
      </c>
      <c r="L1048" s="18">
        <f>iferror(VLOOKUP($D1048,Details!$A$2:$C$11,2,false),vlookup($D1048,Details!$E$2:$G$11,2,false))</f>
        <v>150</v>
      </c>
      <c r="M1048" s="18" t="str">
        <f>iferror(VLOOKUP($D1048,Details!$A$2:$C$11,3,false),vlookup($D1048,Details!$E$2:$G$11,3,false))</f>
        <v>Snacks and Drinks</v>
      </c>
      <c r="N1048" s="18">
        <f t="shared" si="1"/>
        <v>600</v>
      </c>
      <c r="O1048" s="17"/>
      <c r="P1048" s="17"/>
      <c r="Q1048" s="17"/>
      <c r="R1048" s="17"/>
      <c r="S1048" s="17"/>
      <c r="T1048" s="17"/>
      <c r="U1048" s="17"/>
      <c r="V1048" s="17"/>
      <c r="W1048" s="17"/>
      <c r="X1048" s="17"/>
      <c r="Y1048" s="17"/>
      <c r="Z1048" s="17"/>
    </row>
    <row r="1049">
      <c r="A1049" s="18" t="str">
        <f>IFERROR(__xludf.DUMMYFUNCTION("""COMPUTED_VALUE"""),"ord_41027")</f>
        <v>ord_41027</v>
      </c>
      <c r="B1049" s="18" t="str">
        <f>IFERROR(__xludf.DUMMYFUNCTION("""COMPUTED_VALUE"""),"Diya Arora")</f>
        <v>Diya Arora</v>
      </c>
      <c r="C1049" s="18" t="str">
        <f>IFERROR(__xludf.DUMMYFUNCTION("""COMPUTED_VALUE"""),"Lower Parel")</f>
        <v>Lower Parel</v>
      </c>
      <c r="D1049" s="18" t="str">
        <f>IFERROR(__xludf.DUMMYFUNCTION("""COMPUTED_VALUE"""),"Icecream")</f>
        <v>Icecream</v>
      </c>
      <c r="E1049" s="18">
        <f>IFERROR(__xludf.DUMMYFUNCTION("""COMPUTED_VALUE"""),3.0)</f>
        <v>3</v>
      </c>
      <c r="F1049" s="18" t="str">
        <f>IFERROR(__xludf.DUMMYFUNCTION("""COMPUTED_VALUE"""),"Kiran Mehta")</f>
        <v>Kiran Mehta</v>
      </c>
      <c r="G1049" s="19">
        <f>IFERROR(__xludf.DUMMYFUNCTION("""COMPUTED_VALUE"""),45060.0)</f>
        <v>45060</v>
      </c>
      <c r="H1049" s="18" t="str">
        <f>IFERROR(__xludf.DUMMYFUNCTION("""COMPUTED_VALUE"""),"UPI")</f>
        <v>UPI</v>
      </c>
      <c r="I1049" s="18" t="str">
        <f>IFERROR(__xludf.DUMMYFUNCTION("""COMPUTED_VALUE"""),"Delivered")</f>
        <v>Delivered</v>
      </c>
      <c r="J1049" s="18" t="str">
        <f>IFERROR(__xludf.DUMMYFUNCTION("""COMPUTED_VALUE"""),"Satisfied with the Delivery")</f>
        <v>Satisfied with the Delivery</v>
      </c>
      <c r="K1049" s="18" t="str">
        <f>IFERROR(__xludf.DUMMYFUNCTION("""COMPUTED_VALUE"""),"Timely and quality")</f>
        <v>Timely and quality</v>
      </c>
      <c r="L1049" s="18">
        <f>iferror(VLOOKUP($D1049,Details!$A$2:$C$11,2,false),vlookup($D1049,Details!$E$2:$G$11,2,false))</f>
        <v>90</v>
      </c>
      <c r="M1049" s="18" t="str">
        <f>iferror(VLOOKUP($D1049,Details!$A$2:$C$11,3,false),vlookup($D1049,Details!$E$2:$G$11,3,false))</f>
        <v>Snacks and Drinks</v>
      </c>
      <c r="N1049" s="18">
        <f t="shared" si="1"/>
        <v>270</v>
      </c>
      <c r="O1049" s="17"/>
      <c r="P1049" s="17"/>
      <c r="Q1049" s="17"/>
      <c r="R1049" s="17"/>
      <c r="S1049" s="17"/>
      <c r="T1049" s="17"/>
      <c r="U1049" s="17"/>
      <c r="V1049" s="17"/>
      <c r="W1049" s="17"/>
      <c r="X1049" s="17"/>
      <c r="Y1049" s="17"/>
      <c r="Z1049" s="17"/>
    </row>
    <row r="1050">
      <c r="A1050" s="18" t="str">
        <f>IFERROR(__xludf.DUMMYFUNCTION("""COMPUTED_VALUE"""),"ord_41028")</f>
        <v>ord_41028</v>
      </c>
      <c r="B1050" s="18" t="str">
        <f>IFERROR(__xludf.DUMMYFUNCTION("""COMPUTED_VALUE"""),"Mohit Malhotra")</f>
        <v>Mohit Malhotra</v>
      </c>
      <c r="C1050" s="18" t="str">
        <f>IFERROR(__xludf.DUMMYFUNCTION("""COMPUTED_VALUE"""),"Lower Parel")</f>
        <v>Lower Parel</v>
      </c>
      <c r="D1050" s="18" t="str">
        <f>IFERROR(__xludf.DUMMYFUNCTION("""COMPUTED_VALUE"""),"Juice")</f>
        <v>Juice</v>
      </c>
      <c r="E1050" s="18">
        <f>IFERROR(__xludf.DUMMYFUNCTION("""COMPUTED_VALUE"""),3.0)</f>
        <v>3</v>
      </c>
      <c r="F1050" s="18" t="str">
        <f>IFERROR(__xludf.DUMMYFUNCTION("""COMPUTED_VALUE"""),"Kiran Mehta")</f>
        <v>Kiran Mehta</v>
      </c>
      <c r="G1050" s="19">
        <f>IFERROR(__xludf.DUMMYFUNCTION("""COMPUTED_VALUE"""),45261.0)</f>
        <v>45261</v>
      </c>
      <c r="H1050" s="18" t="str">
        <f>IFERROR(__xludf.DUMMYFUNCTION("""COMPUTED_VALUE"""),"Online Payment")</f>
        <v>Online Payment</v>
      </c>
      <c r="I1050" s="18" t="str">
        <f>IFERROR(__xludf.DUMMYFUNCTION("""COMPUTED_VALUE"""),"Delivered")</f>
        <v>Delivered</v>
      </c>
      <c r="J1050" s="18" t="str">
        <f>IFERROR(__xludf.DUMMYFUNCTION("""COMPUTED_VALUE"""),"Customer Service")</f>
        <v>Customer Service</v>
      </c>
      <c r="K1050" s="18" t="str">
        <f>IFERROR(__xludf.DUMMYFUNCTION("""COMPUTED_VALUE"""),"Seamless and easy")</f>
        <v>Seamless and easy</v>
      </c>
      <c r="L1050" s="18">
        <f>iferror(VLOOKUP($D1050,Details!$A$2:$C$11,2,false),vlookup($D1050,Details!$E$2:$G$11,2,false))</f>
        <v>90</v>
      </c>
      <c r="M1050" s="18" t="str">
        <f>iferror(VLOOKUP($D1050,Details!$A$2:$C$11,3,false),vlookup($D1050,Details!$E$2:$G$11,3,false))</f>
        <v>Snacks and Drinks</v>
      </c>
      <c r="N1050" s="18">
        <f t="shared" si="1"/>
        <v>270</v>
      </c>
      <c r="O1050" s="17"/>
      <c r="P1050" s="17"/>
      <c r="Q1050" s="17"/>
      <c r="R1050" s="17"/>
      <c r="S1050" s="17"/>
      <c r="T1050" s="17"/>
      <c r="U1050" s="17"/>
      <c r="V1050" s="17"/>
      <c r="W1050" s="17"/>
      <c r="X1050" s="17"/>
      <c r="Y1050" s="17"/>
      <c r="Z1050" s="17"/>
    </row>
    <row r="1051">
      <c r="A1051" s="18" t="str">
        <f>IFERROR(__xludf.DUMMYFUNCTION("""COMPUTED_VALUE"""),"ord_41029")</f>
        <v>ord_41029</v>
      </c>
      <c r="B1051" s="18" t="str">
        <f>IFERROR(__xludf.DUMMYFUNCTION("""COMPUTED_VALUE"""),"Parth Goel")</f>
        <v>Parth Goel</v>
      </c>
      <c r="C1051" s="18" t="str">
        <f>IFERROR(__xludf.DUMMYFUNCTION("""COMPUTED_VALUE"""),"Juhu")</f>
        <v>Juhu</v>
      </c>
      <c r="D1051" s="18" t="str">
        <f>IFERROR(__xludf.DUMMYFUNCTION("""COMPUTED_VALUE"""),"Chocolate Mousse")</f>
        <v>Chocolate Mousse</v>
      </c>
      <c r="E1051" s="18">
        <f>IFERROR(__xludf.DUMMYFUNCTION("""COMPUTED_VALUE"""),5.0)</f>
        <v>5</v>
      </c>
      <c r="F1051" s="18" t="str">
        <f>IFERROR(__xludf.DUMMYFUNCTION("""COMPUTED_VALUE"""),"Tanvi Jain")</f>
        <v>Tanvi Jain</v>
      </c>
      <c r="G1051" s="19">
        <f>IFERROR(__xludf.DUMMYFUNCTION("""COMPUTED_VALUE"""),45053.0)</f>
        <v>45053</v>
      </c>
      <c r="H1051" s="18" t="str">
        <f>IFERROR(__xludf.DUMMYFUNCTION("""COMPUTED_VALUE"""),"Credit Card")</f>
        <v>Credit Card</v>
      </c>
      <c r="I1051" s="18" t="str">
        <f>IFERROR(__xludf.DUMMYFUNCTION("""COMPUTED_VALUE"""),"Delivered")</f>
        <v>Delivered</v>
      </c>
      <c r="J1051" s="18" t="str">
        <f>IFERROR(__xludf.DUMMYFUNCTION("""COMPUTED_VALUE"""),"Delivery Experience")</f>
        <v>Delivery Experience</v>
      </c>
      <c r="K1051" s="18" t="str">
        <f>IFERROR(__xludf.DUMMYFUNCTION("""COMPUTED_VALUE"""),"Quick and professional")</f>
        <v>Quick and professional</v>
      </c>
      <c r="L1051" s="18">
        <f>iferror(VLOOKUP($D1051,Details!$A$2:$C$11,2,false),vlookup($D1051,Details!$E$2:$G$11,2,false))</f>
        <v>145</v>
      </c>
      <c r="M1051" s="18" t="str">
        <f>iferror(VLOOKUP($D1051,Details!$A$2:$C$11,3,false),vlookup($D1051,Details!$E$2:$G$11,3,false))</f>
        <v>Snacks and Drinks</v>
      </c>
      <c r="N1051" s="18">
        <f t="shared" si="1"/>
        <v>725</v>
      </c>
      <c r="O1051" s="17"/>
      <c r="P1051" s="17"/>
      <c r="Q1051" s="17"/>
      <c r="R1051" s="17"/>
      <c r="S1051" s="17"/>
      <c r="T1051" s="17"/>
      <c r="U1051" s="17"/>
      <c r="V1051" s="17"/>
      <c r="W1051" s="17"/>
      <c r="X1051" s="17"/>
      <c r="Y1051" s="17"/>
      <c r="Z1051" s="17"/>
    </row>
    <row r="1052">
      <c r="A1052" s="18" t="str">
        <f>IFERROR(__xludf.DUMMYFUNCTION("""COMPUTED_VALUE"""),"ord_41030")</f>
        <v>ord_41030</v>
      </c>
      <c r="B1052" s="18" t="str">
        <f>IFERROR(__xludf.DUMMYFUNCTION("""COMPUTED_VALUE"""),"Sakshi Tandon")</f>
        <v>Sakshi Tandon</v>
      </c>
      <c r="C1052" s="18" t="str">
        <f>IFERROR(__xludf.DUMMYFUNCTION("""COMPUTED_VALUE"""),"Colaba")</f>
        <v>Colaba</v>
      </c>
      <c r="D1052" s="18" t="str">
        <f>IFERROR(__xludf.DUMMYFUNCTION("""COMPUTED_VALUE"""),"Popcorn")</f>
        <v>Popcorn</v>
      </c>
      <c r="E1052" s="18">
        <f>IFERROR(__xludf.DUMMYFUNCTION("""COMPUTED_VALUE"""),1.0)</f>
        <v>1</v>
      </c>
      <c r="F1052" s="18" t="str">
        <f>IFERROR(__xludf.DUMMYFUNCTION("""COMPUTED_VALUE"""),"Nikhil Deshmukh")</f>
        <v>Nikhil Deshmukh</v>
      </c>
      <c r="G1052" s="19">
        <f>IFERROR(__xludf.DUMMYFUNCTION("""COMPUTED_VALUE"""),45194.0)</f>
        <v>45194</v>
      </c>
      <c r="H1052" s="18" t="str">
        <f>IFERROR(__xludf.DUMMYFUNCTION("""COMPUTED_VALUE"""),"Online Payment")</f>
        <v>Online Payment</v>
      </c>
      <c r="I1052" s="18" t="str">
        <f>IFERROR(__xludf.DUMMYFUNCTION("""COMPUTED_VALUE"""),"Delivered")</f>
        <v>Delivered</v>
      </c>
      <c r="J1052" s="18" t="str">
        <f>IFERROR(__xludf.DUMMYFUNCTION("""COMPUTED_VALUE"""),"Convenience")</f>
        <v>Convenience</v>
      </c>
      <c r="K1052" s="18" t="str">
        <f>IFERROR(__xludf.DUMMYFUNCTION("""COMPUTED_VALUE"""),"Easy tracking")</f>
        <v>Easy tracking</v>
      </c>
      <c r="L1052" s="18">
        <f>iferror(VLOOKUP($D1052,Details!$A$2:$C$11,2,false),vlookup($D1052,Details!$E$2:$G$11,2,false))</f>
        <v>150</v>
      </c>
      <c r="M1052" s="18" t="str">
        <f>iferror(VLOOKUP($D1052,Details!$A$2:$C$11,3,false),vlookup($D1052,Details!$E$2:$G$11,3,false))</f>
        <v>Snacks and Drinks</v>
      </c>
      <c r="N1052" s="18">
        <f t="shared" si="1"/>
        <v>150</v>
      </c>
      <c r="O1052" s="17"/>
      <c r="P1052" s="17"/>
      <c r="Q1052" s="17"/>
      <c r="R1052" s="17"/>
      <c r="S1052" s="17"/>
      <c r="T1052" s="17"/>
      <c r="U1052" s="17"/>
      <c r="V1052" s="17"/>
      <c r="W1052" s="17"/>
      <c r="X1052" s="17"/>
      <c r="Y1052" s="17"/>
      <c r="Z1052" s="17"/>
    </row>
    <row r="1053">
      <c r="A1053" s="18" t="str">
        <f>IFERROR(__xludf.DUMMYFUNCTION("""COMPUTED_VALUE"""),"ord_41031")</f>
        <v>ord_41031</v>
      </c>
      <c r="B1053" s="18" t="str">
        <f>IFERROR(__xludf.DUMMYFUNCTION("""COMPUTED_VALUE"""),"Anaya Rao")</f>
        <v>Anaya Rao</v>
      </c>
      <c r="C1053" s="18" t="str">
        <f>IFERROR(__xludf.DUMMYFUNCTION("""COMPUTED_VALUE"""),"Colaba")</f>
        <v>Colaba</v>
      </c>
      <c r="D1053" s="18" t="str">
        <f>IFERROR(__xludf.DUMMYFUNCTION("""COMPUTED_VALUE"""),"Onion")</f>
        <v>Onion</v>
      </c>
      <c r="E1053" s="18">
        <f>IFERROR(__xludf.DUMMYFUNCTION("""COMPUTED_VALUE"""),1.0)</f>
        <v>1</v>
      </c>
      <c r="F1053" s="18" t="str">
        <f>IFERROR(__xludf.DUMMYFUNCTION("""COMPUTED_VALUE"""),"Nikhil Deshmukh")</f>
        <v>Nikhil Deshmukh</v>
      </c>
      <c r="G1053" s="19">
        <f>IFERROR(__xludf.DUMMYFUNCTION("""COMPUTED_VALUE"""),45093.0)</f>
        <v>45093</v>
      </c>
      <c r="H1053" s="18" t="str">
        <f>IFERROR(__xludf.DUMMYFUNCTION("""COMPUTED_VALUE"""),"COD")</f>
        <v>COD</v>
      </c>
      <c r="I1053" s="18" t="str">
        <f>IFERROR(__xludf.DUMMYFUNCTION("""COMPUTED_VALUE"""),"Delivered")</f>
        <v>Delivered</v>
      </c>
      <c r="J1053" s="18" t="str">
        <f>IFERROR(__xludf.DUMMYFUNCTION("""COMPUTED_VALUE"""),"Overall Satisfaction")</f>
        <v>Overall Satisfaction</v>
      </c>
      <c r="K1053" s="18" t="str">
        <f>IFERROR(__xludf.DUMMYFUNCTION("""COMPUTED_VALUE"""),"Great service will order again")</f>
        <v>Great service will order again</v>
      </c>
      <c r="L1053" s="18">
        <f>iferror(VLOOKUP($D1053,Details!$A$2:$C$11,2,false),vlookup($D1053,Details!$E$2:$G$11,2,false))</f>
        <v>84</v>
      </c>
      <c r="M1053" s="18" t="str">
        <f>iferror(VLOOKUP($D1053,Details!$A$2:$C$11,3,false),vlookup($D1053,Details!$E$2:$G$11,3,false))</f>
        <v>Fruits and Vegetables</v>
      </c>
      <c r="N1053" s="18">
        <f t="shared" si="1"/>
        <v>84</v>
      </c>
      <c r="O1053" s="17"/>
      <c r="P1053" s="17"/>
      <c r="Q1053" s="17"/>
      <c r="R1053" s="17"/>
      <c r="S1053" s="17"/>
      <c r="T1053" s="17"/>
      <c r="U1053" s="17"/>
      <c r="V1053" s="17"/>
      <c r="W1053" s="17"/>
      <c r="X1053" s="17"/>
      <c r="Y1053" s="17"/>
      <c r="Z1053" s="17"/>
    </row>
    <row r="1054">
      <c r="A1054" s="18" t="str">
        <f>IFERROR(__xludf.DUMMYFUNCTION("""COMPUTED_VALUE"""),"ord_41032")</f>
        <v>ord_41032</v>
      </c>
      <c r="B1054" s="18" t="str">
        <f>IFERROR(__xludf.DUMMYFUNCTION("""COMPUTED_VALUE"""),"Aditi Iyer")</f>
        <v>Aditi Iyer</v>
      </c>
      <c r="C1054" s="18" t="str">
        <f>IFERROR(__xludf.DUMMYFUNCTION("""COMPUTED_VALUE"""),"Dadar")</f>
        <v>Dadar</v>
      </c>
      <c r="D1054" s="18" t="str">
        <f>IFERROR(__xludf.DUMMYFUNCTION("""COMPUTED_VALUE"""),"Potato")</f>
        <v>Potato</v>
      </c>
      <c r="E1054" s="18">
        <f>IFERROR(__xludf.DUMMYFUNCTION("""COMPUTED_VALUE"""),1.0)</f>
        <v>1</v>
      </c>
      <c r="F1054" s="18" t="str">
        <f>IFERROR(__xludf.DUMMYFUNCTION("""COMPUTED_VALUE"""),"Aman Kumar")</f>
        <v>Aman Kumar</v>
      </c>
      <c r="G1054" s="19">
        <f>IFERROR(__xludf.DUMMYFUNCTION("""COMPUTED_VALUE"""),45097.0)</f>
        <v>45097</v>
      </c>
      <c r="H1054" s="18" t="str">
        <f>IFERROR(__xludf.DUMMYFUNCTION("""COMPUTED_VALUE"""),"UPI")</f>
        <v>UPI</v>
      </c>
      <c r="I1054" s="18" t="str">
        <f>IFERROR(__xludf.DUMMYFUNCTION("""COMPUTED_VALUE"""),"Delivered")</f>
        <v>Delivered</v>
      </c>
      <c r="J1054" s="18" t="str">
        <f>IFERROR(__xludf.DUMMYFUNCTION("""COMPUTED_VALUE"""),"On-time Delivery")</f>
        <v>On-time Delivery</v>
      </c>
      <c r="K1054" s="18" t="str">
        <f>IFERROR(__xludf.DUMMYFUNCTION("""COMPUTED_VALUE"""),"Delivered on time")</f>
        <v>Delivered on time</v>
      </c>
      <c r="L1054" s="18">
        <f>iferror(VLOOKUP($D1054,Details!$A$2:$C$11,2,false),vlookup($D1054,Details!$E$2:$G$11,2,false))</f>
        <v>55</v>
      </c>
      <c r="M1054" s="18" t="str">
        <f>iferror(VLOOKUP($D1054,Details!$A$2:$C$11,3,false),vlookup($D1054,Details!$E$2:$G$11,3,false))</f>
        <v>Fruits and Vegetables</v>
      </c>
      <c r="N1054" s="18">
        <f t="shared" si="1"/>
        <v>55</v>
      </c>
      <c r="O1054" s="17"/>
      <c r="P1054" s="17"/>
      <c r="Q1054" s="17"/>
      <c r="R1054" s="17"/>
      <c r="S1054" s="17"/>
      <c r="T1054" s="17"/>
      <c r="U1054" s="17"/>
      <c r="V1054" s="17"/>
      <c r="W1054" s="17"/>
      <c r="X1054" s="17"/>
      <c r="Y1054" s="17"/>
      <c r="Z1054" s="17"/>
    </row>
    <row r="1055">
      <c r="A1055" s="18" t="str">
        <f>IFERROR(__xludf.DUMMYFUNCTION("""COMPUTED_VALUE"""),"ord_41033")</f>
        <v>ord_41033</v>
      </c>
      <c r="B1055" s="18" t="str">
        <f>IFERROR(__xludf.DUMMYFUNCTION("""COMPUTED_VALUE"""),"Arvind Kulkarni")</f>
        <v>Arvind Kulkarni</v>
      </c>
      <c r="C1055" s="18" t="str">
        <f>IFERROR(__xludf.DUMMYFUNCTION("""COMPUTED_VALUE"""),"Juhu")</f>
        <v>Juhu</v>
      </c>
      <c r="D1055" s="18" t="str">
        <f>IFERROR(__xludf.DUMMYFUNCTION("""COMPUTED_VALUE"""),"Apple")</f>
        <v>Apple</v>
      </c>
      <c r="E1055" s="18">
        <f>IFERROR(__xludf.DUMMYFUNCTION("""COMPUTED_VALUE"""),2.0)</f>
        <v>2</v>
      </c>
      <c r="F1055" s="18" t="str">
        <f>IFERROR(__xludf.DUMMYFUNCTION("""COMPUTED_VALUE"""),"Priya Joshi")</f>
        <v>Priya Joshi</v>
      </c>
      <c r="G1055" s="19">
        <f>IFERROR(__xludf.DUMMYFUNCTION("""COMPUTED_VALUE"""),45211.0)</f>
        <v>45211</v>
      </c>
      <c r="H1055" s="18" t="str">
        <f>IFERROR(__xludf.DUMMYFUNCTION("""COMPUTED_VALUE"""),"Credit Card")</f>
        <v>Credit Card</v>
      </c>
      <c r="I1055" s="18" t="str">
        <f>IFERROR(__xludf.DUMMYFUNCTION("""COMPUTED_VALUE"""),"Cancelled")</f>
        <v>Cancelled</v>
      </c>
      <c r="J1055" s="18" t="str">
        <f>IFERROR(__xludf.DUMMYFUNCTION("""COMPUTED_VALUE"""),"Delayed Delivery")</f>
        <v>Delayed Delivery</v>
      </c>
      <c r="K1055" s="18" t="str">
        <f>IFERROR(__xludf.DUMMYFUNCTION("""COMPUTED_VALUE"""),"Heavy Traffic")</f>
        <v>Heavy Traffic</v>
      </c>
      <c r="L1055" s="18">
        <f>iferror(VLOOKUP($D1055,Details!$A$2:$C$11,2,false),vlookup($D1055,Details!$E$2:$G$11,2,false))</f>
        <v>230</v>
      </c>
      <c r="M1055" s="18" t="str">
        <f>iferror(VLOOKUP($D1055,Details!$A$2:$C$11,3,false),vlookup($D1055,Details!$E$2:$G$11,3,false))</f>
        <v>Fruits and Vegetables</v>
      </c>
      <c r="N1055" s="18">
        <f t="shared" si="1"/>
        <v>460</v>
      </c>
      <c r="O1055" s="17"/>
      <c r="P1055" s="17"/>
      <c r="Q1055" s="17"/>
      <c r="R1055" s="17"/>
      <c r="S1055" s="17"/>
      <c r="T1055" s="17"/>
      <c r="U1055" s="17"/>
      <c r="V1055" s="17"/>
      <c r="W1055" s="17"/>
      <c r="X1055" s="17"/>
      <c r="Y1055" s="17"/>
      <c r="Z1055" s="17"/>
    </row>
    <row r="1056">
      <c r="A1056" s="18" t="str">
        <f>IFERROR(__xludf.DUMMYFUNCTION("""COMPUTED_VALUE"""),"ord_41034")</f>
        <v>ord_41034</v>
      </c>
      <c r="B1056" s="18" t="str">
        <f>IFERROR(__xludf.DUMMYFUNCTION("""COMPUTED_VALUE"""),"Diya Arora")</f>
        <v>Diya Arora</v>
      </c>
      <c r="C1056" s="18" t="str">
        <f>IFERROR(__xludf.DUMMYFUNCTION("""COMPUTED_VALUE"""),"Lower Parel")</f>
        <v>Lower Parel</v>
      </c>
      <c r="D1056" s="18" t="str">
        <f>IFERROR(__xludf.DUMMYFUNCTION("""COMPUTED_VALUE"""),"Orange")</f>
        <v>Orange</v>
      </c>
      <c r="E1056" s="18">
        <f>IFERROR(__xludf.DUMMYFUNCTION("""COMPUTED_VALUE"""),1.0)</f>
        <v>1</v>
      </c>
      <c r="F1056" s="18" t="str">
        <f>IFERROR(__xludf.DUMMYFUNCTION("""COMPUTED_VALUE"""),"Kiran Mehta")</f>
        <v>Kiran Mehta</v>
      </c>
      <c r="G1056" s="19">
        <f>IFERROR(__xludf.DUMMYFUNCTION("""COMPUTED_VALUE"""),45278.0)</f>
        <v>45278</v>
      </c>
      <c r="H1056" s="18" t="str">
        <f>IFERROR(__xludf.DUMMYFUNCTION("""COMPUTED_VALUE"""),"Credit Card")</f>
        <v>Credit Card</v>
      </c>
      <c r="I1056" s="18" t="str">
        <f>IFERROR(__xludf.DUMMYFUNCTION("""COMPUTED_VALUE"""),"Delivered")</f>
        <v>Delivered</v>
      </c>
      <c r="J1056" s="18" t="str">
        <f>IFERROR(__xludf.DUMMYFUNCTION("""COMPUTED_VALUE"""),"Quality of Items")</f>
        <v>Quality of Items</v>
      </c>
      <c r="K1056" s="18" t="str">
        <f>IFERROR(__xludf.DUMMYFUNCTION("""COMPUTED_VALUE"""),"Perfect condition")</f>
        <v>Perfect condition</v>
      </c>
      <c r="L1056" s="18">
        <f>iferror(VLOOKUP($D1056,Details!$A$2:$C$11,2,false),vlookup($D1056,Details!$E$2:$G$11,2,false))</f>
        <v>180</v>
      </c>
      <c r="M1056" s="18" t="str">
        <f>iferror(VLOOKUP($D1056,Details!$A$2:$C$11,3,false),vlookup($D1056,Details!$E$2:$G$11,3,false))</f>
        <v>Fruits and Vegetables</v>
      </c>
      <c r="N1056" s="18">
        <f t="shared" si="1"/>
        <v>180</v>
      </c>
      <c r="O1056" s="17"/>
      <c r="P1056" s="17"/>
      <c r="Q1056" s="17"/>
      <c r="R1056" s="17"/>
      <c r="S1056" s="17"/>
      <c r="T1056" s="17"/>
      <c r="U1056" s="17"/>
      <c r="V1056" s="17"/>
      <c r="W1056" s="17"/>
      <c r="X1056" s="17"/>
      <c r="Y1056" s="17"/>
      <c r="Z1056" s="17"/>
    </row>
    <row r="1057">
      <c r="A1057" s="18" t="str">
        <f>IFERROR(__xludf.DUMMYFUNCTION("""COMPUTED_VALUE"""),"ord_41035")</f>
        <v>ord_41035</v>
      </c>
      <c r="B1057" s="18" t="str">
        <f>IFERROR(__xludf.DUMMYFUNCTION("""COMPUTED_VALUE"""),"Aditi Iyer")</f>
        <v>Aditi Iyer</v>
      </c>
      <c r="C1057" s="18" t="str">
        <f>IFERROR(__xludf.DUMMYFUNCTION("""COMPUTED_VALUE"""),"Dadar")</f>
        <v>Dadar</v>
      </c>
      <c r="D1057" s="18" t="str">
        <f>IFERROR(__xludf.DUMMYFUNCTION("""COMPUTED_VALUE"""),"Papaya")</f>
        <v>Papaya</v>
      </c>
      <c r="E1057" s="18">
        <f>IFERROR(__xludf.DUMMYFUNCTION("""COMPUTED_VALUE"""),1.0)</f>
        <v>1</v>
      </c>
      <c r="F1057" s="18" t="str">
        <f>IFERROR(__xludf.DUMMYFUNCTION("""COMPUTED_VALUE"""),"Aman Kumar")</f>
        <v>Aman Kumar</v>
      </c>
      <c r="G1057" s="19">
        <f>IFERROR(__xludf.DUMMYFUNCTION("""COMPUTED_VALUE"""),44978.0)</f>
        <v>44978</v>
      </c>
      <c r="H1057" s="18" t="str">
        <f>IFERROR(__xludf.DUMMYFUNCTION("""COMPUTED_VALUE"""),"Online Payment")</f>
        <v>Online Payment</v>
      </c>
      <c r="I1057" s="18" t="str">
        <f>IFERROR(__xludf.DUMMYFUNCTION("""COMPUTED_VALUE"""),"Delivered")</f>
        <v>Delivered</v>
      </c>
      <c r="J1057" s="18" t="str">
        <f>IFERROR(__xludf.DUMMYFUNCTION("""COMPUTED_VALUE"""),"On-time Delivery")</f>
        <v>On-time Delivery</v>
      </c>
      <c r="K1057" s="18" t="str">
        <f>IFERROR(__xludf.DUMMYFUNCTION("""COMPUTED_VALUE"""),"Delivered on time")</f>
        <v>Delivered on time</v>
      </c>
      <c r="L1057" s="18">
        <f>iferror(VLOOKUP($D1057,Details!$A$2:$C$11,2,false),vlookup($D1057,Details!$E$2:$G$11,2,false))</f>
        <v>75</v>
      </c>
      <c r="M1057" s="18" t="str">
        <f>iferror(VLOOKUP($D1057,Details!$A$2:$C$11,3,false),vlookup($D1057,Details!$E$2:$G$11,3,false))</f>
        <v>Fruits and Vegetables</v>
      </c>
      <c r="N1057" s="18">
        <f t="shared" si="1"/>
        <v>75</v>
      </c>
      <c r="O1057" s="17"/>
      <c r="P1057" s="17"/>
      <c r="Q1057" s="17"/>
      <c r="R1057" s="17"/>
      <c r="S1057" s="17"/>
      <c r="T1057" s="17"/>
      <c r="U1057" s="17"/>
      <c r="V1057" s="17"/>
      <c r="W1057" s="17"/>
      <c r="X1057" s="17"/>
      <c r="Y1057" s="17"/>
      <c r="Z1057" s="17"/>
    </row>
    <row r="1058">
      <c r="A1058" s="18" t="str">
        <f>IFERROR(__xludf.DUMMYFUNCTION("""COMPUTED_VALUE"""),"ord_41036")</f>
        <v>ord_41036</v>
      </c>
      <c r="B1058" s="18" t="str">
        <f>IFERROR(__xludf.DUMMYFUNCTION("""COMPUTED_VALUE"""),"Tanishq Bansal")</f>
        <v>Tanishq Bansal</v>
      </c>
      <c r="C1058" s="18" t="str">
        <f>IFERROR(__xludf.DUMMYFUNCTION("""COMPUTED_VALUE"""),"Powai")</f>
        <v>Powai</v>
      </c>
      <c r="D1058" s="18" t="str">
        <f>IFERROR(__xludf.DUMMYFUNCTION("""COMPUTED_VALUE"""),"Juice")</f>
        <v>Juice</v>
      </c>
      <c r="E1058" s="18">
        <f>IFERROR(__xludf.DUMMYFUNCTION("""COMPUTED_VALUE"""),1.0)</f>
        <v>1</v>
      </c>
      <c r="F1058" s="18" t="str">
        <f>IFERROR(__xludf.DUMMYFUNCTION("""COMPUTED_VALUE"""),"Sandeep Kumar")</f>
        <v>Sandeep Kumar</v>
      </c>
      <c r="G1058" s="19">
        <f>IFERROR(__xludf.DUMMYFUNCTION("""COMPUTED_VALUE"""),44967.0)</f>
        <v>44967</v>
      </c>
      <c r="H1058" s="18" t="str">
        <f>IFERROR(__xludf.DUMMYFUNCTION("""COMPUTED_VALUE"""),"Online Payment")</f>
        <v>Online Payment</v>
      </c>
      <c r="I1058" s="18" t="str">
        <f>IFERROR(__xludf.DUMMYFUNCTION("""COMPUTED_VALUE"""),"Delivered")</f>
        <v>Delivered</v>
      </c>
      <c r="J1058" s="18" t="str">
        <f>IFERROR(__xludf.DUMMYFUNCTION("""COMPUTED_VALUE"""),"Quality of Items")</f>
        <v>Quality of Items</v>
      </c>
      <c r="K1058" s="18" t="str">
        <f>IFERROR(__xludf.DUMMYFUNCTION("""COMPUTED_VALUE"""),"Perfect condition")</f>
        <v>Perfect condition</v>
      </c>
      <c r="L1058" s="18">
        <f>iferror(VLOOKUP($D1058,Details!$A$2:$C$11,2,false),vlookup($D1058,Details!$E$2:$G$11,2,false))</f>
        <v>90</v>
      </c>
      <c r="M1058" s="18" t="str">
        <f>iferror(VLOOKUP($D1058,Details!$A$2:$C$11,3,false),vlookup($D1058,Details!$E$2:$G$11,3,false))</f>
        <v>Snacks and Drinks</v>
      </c>
      <c r="N1058" s="18">
        <f t="shared" si="1"/>
        <v>90</v>
      </c>
      <c r="O1058" s="17"/>
      <c r="P1058" s="17"/>
      <c r="Q1058" s="17"/>
      <c r="R1058" s="17"/>
      <c r="S1058" s="17"/>
      <c r="T1058" s="17"/>
      <c r="U1058" s="17"/>
      <c r="V1058" s="17"/>
      <c r="W1058" s="17"/>
      <c r="X1058" s="17"/>
      <c r="Y1058" s="17"/>
      <c r="Z1058" s="17"/>
    </row>
    <row r="1059">
      <c r="A1059" s="18" t="str">
        <f>IFERROR(__xludf.DUMMYFUNCTION("""COMPUTED_VALUE"""),"ord_41037")</f>
        <v>ord_41037</v>
      </c>
      <c r="B1059" s="18" t="str">
        <f>IFERROR(__xludf.DUMMYFUNCTION("""COMPUTED_VALUE"""),"Diya Arora")</f>
        <v>Diya Arora</v>
      </c>
      <c r="C1059" s="18" t="str">
        <f>IFERROR(__xludf.DUMMYFUNCTION("""COMPUTED_VALUE"""),"Lower Parel")</f>
        <v>Lower Parel</v>
      </c>
      <c r="D1059" s="18" t="str">
        <f>IFERROR(__xludf.DUMMYFUNCTION("""COMPUTED_VALUE"""),"Papaya")</f>
        <v>Papaya</v>
      </c>
      <c r="E1059" s="18">
        <f>IFERROR(__xludf.DUMMYFUNCTION("""COMPUTED_VALUE"""),1.0)</f>
        <v>1</v>
      </c>
      <c r="F1059" s="18" t="str">
        <f>IFERROR(__xludf.DUMMYFUNCTION("""COMPUTED_VALUE"""),"Kiran Mehta")</f>
        <v>Kiran Mehta</v>
      </c>
      <c r="G1059" s="19">
        <f>IFERROR(__xludf.DUMMYFUNCTION("""COMPUTED_VALUE"""),44947.0)</f>
        <v>44947</v>
      </c>
      <c r="H1059" s="18" t="str">
        <f>IFERROR(__xludf.DUMMYFUNCTION("""COMPUTED_VALUE"""),"COD")</f>
        <v>COD</v>
      </c>
      <c r="I1059" s="18" t="str">
        <f>IFERROR(__xludf.DUMMYFUNCTION("""COMPUTED_VALUE"""),"Delivered")</f>
        <v>Delivered</v>
      </c>
      <c r="J1059" s="18" t="str">
        <f>IFERROR(__xludf.DUMMYFUNCTION("""COMPUTED_VALUE"""),"Packaging")</f>
        <v>Packaging</v>
      </c>
      <c r="K1059" s="18" t="str">
        <f>IFERROR(__xludf.DUMMYFUNCTION("""COMPUTED_VALUE"""),"Secure and intact")</f>
        <v>Secure and intact</v>
      </c>
      <c r="L1059" s="18">
        <f>iferror(VLOOKUP($D1059,Details!$A$2:$C$11,2,false),vlookup($D1059,Details!$E$2:$G$11,2,false))</f>
        <v>75</v>
      </c>
      <c r="M1059" s="18" t="str">
        <f>iferror(VLOOKUP($D1059,Details!$A$2:$C$11,3,false),vlookup($D1059,Details!$E$2:$G$11,3,false))</f>
        <v>Fruits and Vegetables</v>
      </c>
      <c r="N1059" s="18">
        <f t="shared" si="1"/>
        <v>75</v>
      </c>
      <c r="O1059" s="17"/>
      <c r="P1059" s="17"/>
      <c r="Q1059" s="17"/>
      <c r="R1059" s="17"/>
      <c r="S1059" s="17"/>
      <c r="T1059" s="17"/>
      <c r="U1059" s="17"/>
      <c r="V1059" s="17"/>
      <c r="W1059" s="17"/>
      <c r="X1059" s="17"/>
      <c r="Y1059" s="17"/>
      <c r="Z1059" s="17"/>
    </row>
    <row r="1060">
      <c r="A1060" s="18" t="str">
        <f>IFERROR(__xludf.DUMMYFUNCTION("""COMPUTED_VALUE"""),"ord_41038")</f>
        <v>ord_41038</v>
      </c>
      <c r="B1060" s="18" t="str">
        <f>IFERROR(__xludf.DUMMYFUNCTION("""COMPUTED_VALUE"""),"Ishaan Chaturvedi")</f>
        <v>Ishaan Chaturvedi</v>
      </c>
      <c r="C1060" s="18" t="str">
        <f>IFERROR(__xludf.DUMMYFUNCTION("""COMPUTED_VALUE"""),"Bandra")</f>
        <v>Bandra</v>
      </c>
      <c r="D1060" s="18" t="str">
        <f>IFERROR(__xludf.DUMMYFUNCTION("""COMPUTED_VALUE"""),"Cucumber")</f>
        <v>Cucumber</v>
      </c>
      <c r="E1060" s="18">
        <f>IFERROR(__xludf.DUMMYFUNCTION("""COMPUTED_VALUE"""),1.0)</f>
        <v>1</v>
      </c>
      <c r="F1060" s="18" t="str">
        <f>IFERROR(__xludf.DUMMYFUNCTION("""COMPUTED_VALUE"""),"Priya Joshi")</f>
        <v>Priya Joshi</v>
      </c>
      <c r="G1060" s="19">
        <f>IFERROR(__xludf.DUMMYFUNCTION("""COMPUTED_VALUE"""),45202.0)</f>
        <v>45202</v>
      </c>
      <c r="H1060" s="18" t="str">
        <f>IFERROR(__xludf.DUMMYFUNCTION("""COMPUTED_VALUE"""),"UPI")</f>
        <v>UPI</v>
      </c>
      <c r="I1060" s="18" t="str">
        <f>IFERROR(__xludf.DUMMYFUNCTION("""COMPUTED_VALUE"""),"Delivered")</f>
        <v>Delivered</v>
      </c>
      <c r="J1060" s="18" t="str">
        <f>IFERROR(__xludf.DUMMYFUNCTION("""COMPUTED_VALUE"""),"Satisfied with the Delivery")</f>
        <v>Satisfied with the Delivery</v>
      </c>
      <c r="K1060" s="18" t="str">
        <f>IFERROR(__xludf.DUMMYFUNCTION("""COMPUTED_VALUE"""),"Timely and quality")</f>
        <v>Timely and quality</v>
      </c>
      <c r="L1060" s="18">
        <f>iferror(VLOOKUP($D1060,Details!$A$2:$C$11,2,false),vlookup($D1060,Details!$E$2:$G$11,2,false))</f>
        <v>30</v>
      </c>
      <c r="M1060" s="18" t="str">
        <f>iferror(VLOOKUP($D1060,Details!$A$2:$C$11,3,false),vlookup($D1060,Details!$E$2:$G$11,3,false))</f>
        <v>Fruits and Vegetables</v>
      </c>
      <c r="N1060" s="18">
        <f t="shared" si="1"/>
        <v>30</v>
      </c>
      <c r="O1060" s="17"/>
      <c r="P1060" s="17"/>
      <c r="Q1060" s="17"/>
      <c r="R1060" s="17"/>
      <c r="S1060" s="17"/>
      <c r="T1060" s="17"/>
      <c r="U1060" s="17"/>
      <c r="V1060" s="17"/>
      <c r="W1060" s="17"/>
      <c r="X1060" s="17"/>
      <c r="Y1060" s="17"/>
      <c r="Z1060" s="17"/>
    </row>
    <row r="1061">
      <c r="A1061" s="18" t="str">
        <f>IFERROR(__xludf.DUMMYFUNCTION("""COMPUTED_VALUE"""),"ord_41039")</f>
        <v>ord_41039</v>
      </c>
      <c r="B1061" s="18" t="str">
        <f>IFERROR(__xludf.DUMMYFUNCTION("""COMPUTED_VALUE"""),"Aarohi Kapoor")</f>
        <v>Aarohi Kapoor</v>
      </c>
      <c r="C1061" s="18" t="str">
        <f>IFERROR(__xludf.DUMMYFUNCTION("""COMPUTED_VALUE"""),"Bandra")</f>
        <v>Bandra</v>
      </c>
      <c r="D1061" s="18" t="str">
        <f>IFERROR(__xludf.DUMMYFUNCTION("""COMPUTED_VALUE"""),"Veg Puff")</f>
        <v>Veg Puff</v>
      </c>
      <c r="E1061" s="18">
        <f>IFERROR(__xludf.DUMMYFUNCTION("""COMPUTED_VALUE"""),1.0)</f>
        <v>1</v>
      </c>
      <c r="F1061" s="18" t="str">
        <f>IFERROR(__xludf.DUMMYFUNCTION("""COMPUTED_VALUE"""),"Priya Joshi")</f>
        <v>Priya Joshi</v>
      </c>
      <c r="G1061" s="19">
        <f>IFERROR(__xludf.DUMMYFUNCTION("""COMPUTED_VALUE"""),45109.0)</f>
        <v>45109</v>
      </c>
      <c r="H1061" s="18" t="str">
        <f>IFERROR(__xludf.DUMMYFUNCTION("""COMPUTED_VALUE"""),"Credit Card")</f>
        <v>Credit Card</v>
      </c>
      <c r="I1061" s="18" t="str">
        <f>IFERROR(__xludf.DUMMYFUNCTION("""COMPUTED_VALUE"""),"Delivered")</f>
        <v>Delivered</v>
      </c>
      <c r="J1061" s="18" t="str">
        <f>IFERROR(__xludf.DUMMYFUNCTION("""COMPUTED_VALUE"""),"Customer Service")</f>
        <v>Customer Service</v>
      </c>
      <c r="K1061" s="18" t="str">
        <f>IFERROR(__xludf.DUMMYFUNCTION("""COMPUTED_VALUE"""),"Seamless and easy")</f>
        <v>Seamless and easy</v>
      </c>
      <c r="L1061" s="18">
        <f>iferror(VLOOKUP($D1061,Details!$A$2:$C$11,2,false),vlookup($D1061,Details!$E$2:$G$11,2,false))</f>
        <v>80</v>
      </c>
      <c r="M1061" s="18" t="str">
        <f>iferror(VLOOKUP($D1061,Details!$A$2:$C$11,3,false),vlookup($D1061,Details!$E$2:$G$11,3,false))</f>
        <v>Snacks and Drinks</v>
      </c>
      <c r="N1061" s="18">
        <f t="shared" si="1"/>
        <v>80</v>
      </c>
      <c r="O1061" s="17"/>
      <c r="P1061" s="17"/>
      <c r="Q1061" s="17"/>
      <c r="R1061" s="17"/>
      <c r="S1061" s="17"/>
      <c r="T1061" s="17"/>
      <c r="U1061" s="17"/>
      <c r="V1061" s="17"/>
      <c r="W1061" s="17"/>
      <c r="X1061" s="17"/>
      <c r="Y1061" s="17"/>
      <c r="Z1061" s="17"/>
    </row>
    <row r="1062">
      <c r="A1062" s="18" t="str">
        <f>IFERROR(__xludf.DUMMYFUNCTION("""COMPUTED_VALUE"""),"ord_41040")</f>
        <v>ord_41040</v>
      </c>
      <c r="B1062" s="18" t="str">
        <f>IFERROR(__xludf.DUMMYFUNCTION("""COMPUTED_VALUE"""),"Aditya Rao")</f>
        <v>Aditya Rao</v>
      </c>
      <c r="C1062" s="18" t="str">
        <f>IFERROR(__xludf.DUMMYFUNCTION("""COMPUTED_VALUE"""),"Lower Parel")</f>
        <v>Lower Parel</v>
      </c>
      <c r="D1062" s="18" t="str">
        <f>IFERROR(__xludf.DUMMYFUNCTION("""COMPUTED_VALUE"""),"Veg Puff")</f>
        <v>Veg Puff</v>
      </c>
      <c r="E1062" s="18">
        <f>IFERROR(__xludf.DUMMYFUNCTION("""COMPUTED_VALUE"""),4.0)</f>
        <v>4</v>
      </c>
      <c r="F1062" s="18" t="str">
        <f>IFERROR(__xludf.DUMMYFUNCTION("""COMPUTED_VALUE"""),"Kiran Mehta")</f>
        <v>Kiran Mehta</v>
      </c>
      <c r="G1062" s="19">
        <f>IFERROR(__xludf.DUMMYFUNCTION("""COMPUTED_VALUE"""),45152.0)</f>
        <v>45152</v>
      </c>
      <c r="H1062" s="18" t="str">
        <f>IFERROR(__xludf.DUMMYFUNCTION("""COMPUTED_VALUE"""),"Credit Card")</f>
        <v>Credit Card</v>
      </c>
      <c r="I1062" s="18" t="str">
        <f>IFERROR(__xludf.DUMMYFUNCTION("""COMPUTED_VALUE"""),"Delivered")</f>
        <v>Delivered</v>
      </c>
      <c r="J1062" s="18" t="str">
        <f>IFERROR(__xludf.DUMMYFUNCTION("""COMPUTED_VALUE"""),"Delivery Experience")</f>
        <v>Delivery Experience</v>
      </c>
      <c r="K1062" s="18" t="str">
        <f>IFERROR(__xludf.DUMMYFUNCTION("""COMPUTED_VALUE"""),"Quick and professional")</f>
        <v>Quick and professional</v>
      </c>
      <c r="L1062" s="18">
        <f>iferror(VLOOKUP($D1062,Details!$A$2:$C$11,2,false),vlookup($D1062,Details!$E$2:$G$11,2,false))</f>
        <v>80</v>
      </c>
      <c r="M1062" s="18" t="str">
        <f>iferror(VLOOKUP($D1062,Details!$A$2:$C$11,3,false),vlookup($D1062,Details!$E$2:$G$11,3,false))</f>
        <v>Snacks and Drinks</v>
      </c>
      <c r="N1062" s="18">
        <f t="shared" si="1"/>
        <v>320</v>
      </c>
      <c r="O1062" s="17"/>
      <c r="P1062" s="17"/>
      <c r="Q1062" s="17"/>
      <c r="R1062" s="17"/>
      <c r="S1062" s="17"/>
      <c r="T1062" s="17"/>
      <c r="U1062" s="17"/>
      <c r="V1062" s="17"/>
      <c r="W1062" s="17"/>
      <c r="X1062" s="17"/>
      <c r="Y1062" s="17"/>
      <c r="Z1062" s="17"/>
    </row>
    <row r="1063">
      <c r="A1063" s="18" t="str">
        <f>IFERROR(__xludf.DUMMYFUNCTION("""COMPUTED_VALUE"""),"ord_41041")</f>
        <v>ord_41041</v>
      </c>
      <c r="B1063" s="18" t="str">
        <f>IFERROR(__xludf.DUMMYFUNCTION("""COMPUTED_VALUE"""),"Aditi Iyer")</f>
        <v>Aditi Iyer</v>
      </c>
      <c r="C1063" s="18" t="str">
        <f>IFERROR(__xludf.DUMMYFUNCTION("""COMPUTED_VALUE"""),"Dadar")</f>
        <v>Dadar</v>
      </c>
      <c r="D1063" s="18" t="str">
        <f>IFERROR(__xludf.DUMMYFUNCTION("""COMPUTED_VALUE"""),"Sweet Corn")</f>
        <v>Sweet Corn</v>
      </c>
      <c r="E1063" s="18">
        <f>IFERROR(__xludf.DUMMYFUNCTION("""COMPUTED_VALUE"""),2.0)</f>
        <v>2</v>
      </c>
      <c r="F1063" s="18" t="str">
        <f>IFERROR(__xludf.DUMMYFUNCTION("""COMPUTED_VALUE"""),"Aman Kumar")</f>
        <v>Aman Kumar</v>
      </c>
      <c r="G1063" s="19">
        <f>IFERROR(__xludf.DUMMYFUNCTION("""COMPUTED_VALUE"""),44972.0)</f>
        <v>44972</v>
      </c>
      <c r="H1063" s="18" t="str">
        <f>IFERROR(__xludf.DUMMYFUNCTION("""COMPUTED_VALUE"""),"Credit Card")</f>
        <v>Credit Card</v>
      </c>
      <c r="I1063" s="18" t="str">
        <f>IFERROR(__xludf.DUMMYFUNCTION("""COMPUTED_VALUE"""),"Delivered")</f>
        <v>Delivered</v>
      </c>
      <c r="J1063" s="18" t="str">
        <f>IFERROR(__xludf.DUMMYFUNCTION("""COMPUTED_VALUE"""),"Convenience")</f>
        <v>Convenience</v>
      </c>
      <c r="K1063" s="18" t="str">
        <f>IFERROR(__xludf.DUMMYFUNCTION("""COMPUTED_VALUE"""),"Easy tracking")</f>
        <v>Easy tracking</v>
      </c>
      <c r="L1063" s="18">
        <f>iferror(VLOOKUP($D1063,Details!$A$2:$C$11,2,false),vlookup($D1063,Details!$E$2:$G$11,2,false))</f>
        <v>60</v>
      </c>
      <c r="M1063" s="18" t="str">
        <f>iferror(VLOOKUP($D1063,Details!$A$2:$C$11,3,false),vlookup($D1063,Details!$E$2:$G$11,3,false))</f>
        <v>Fruits and Vegetables</v>
      </c>
      <c r="N1063" s="18">
        <f t="shared" si="1"/>
        <v>120</v>
      </c>
      <c r="O1063" s="17"/>
      <c r="P1063" s="17"/>
      <c r="Q1063" s="17"/>
      <c r="R1063" s="17"/>
      <c r="S1063" s="17"/>
      <c r="T1063" s="17"/>
      <c r="U1063" s="17"/>
      <c r="V1063" s="17"/>
      <c r="W1063" s="17"/>
      <c r="X1063" s="17"/>
      <c r="Y1063" s="17"/>
      <c r="Z1063" s="17"/>
    </row>
    <row r="1064">
      <c r="A1064" s="18" t="str">
        <f>IFERROR(__xludf.DUMMYFUNCTION("""COMPUTED_VALUE"""),"ord_41042")</f>
        <v>ord_41042</v>
      </c>
      <c r="B1064" s="18" t="str">
        <f>IFERROR(__xludf.DUMMYFUNCTION("""COMPUTED_VALUE"""),"Aditi Iyer")</f>
        <v>Aditi Iyer</v>
      </c>
      <c r="C1064" s="18" t="str">
        <f>IFERROR(__xludf.DUMMYFUNCTION("""COMPUTED_VALUE"""),"Dadar")</f>
        <v>Dadar</v>
      </c>
      <c r="D1064" s="18" t="str">
        <f>IFERROR(__xludf.DUMMYFUNCTION("""COMPUTED_VALUE"""),"Guava")</f>
        <v>Guava</v>
      </c>
      <c r="E1064" s="18">
        <f>IFERROR(__xludf.DUMMYFUNCTION("""COMPUTED_VALUE"""),1.0)</f>
        <v>1</v>
      </c>
      <c r="F1064" s="18" t="str">
        <f>IFERROR(__xludf.DUMMYFUNCTION("""COMPUTED_VALUE"""),"Aman Kumar")</f>
        <v>Aman Kumar</v>
      </c>
      <c r="G1064" s="19">
        <f>IFERROR(__xludf.DUMMYFUNCTION("""COMPUTED_VALUE"""),44933.0)</f>
        <v>44933</v>
      </c>
      <c r="H1064" s="18" t="str">
        <f>IFERROR(__xludf.DUMMYFUNCTION("""COMPUTED_VALUE"""),"Credit Card")</f>
        <v>Credit Card</v>
      </c>
      <c r="I1064" s="18" t="str">
        <f>IFERROR(__xludf.DUMMYFUNCTION("""COMPUTED_VALUE"""),"Delivered")</f>
        <v>Delivered</v>
      </c>
      <c r="J1064" s="18" t="str">
        <f>IFERROR(__xludf.DUMMYFUNCTION("""COMPUTED_VALUE"""),"Overall Satisfaction")</f>
        <v>Overall Satisfaction</v>
      </c>
      <c r="K1064" s="18" t="str">
        <f>IFERROR(__xludf.DUMMYFUNCTION("""COMPUTED_VALUE"""),"Great service will order again")</f>
        <v>Great service will order again</v>
      </c>
      <c r="L1064" s="18">
        <f>iferror(VLOOKUP($D1064,Details!$A$2:$C$11,2,false),vlookup($D1064,Details!$E$2:$G$11,2,false))</f>
        <v>70</v>
      </c>
      <c r="M1064" s="18" t="str">
        <f>iferror(VLOOKUP($D1064,Details!$A$2:$C$11,3,false),vlookup($D1064,Details!$E$2:$G$11,3,false))</f>
        <v>Fruits and Vegetables</v>
      </c>
      <c r="N1064" s="18">
        <f t="shared" si="1"/>
        <v>70</v>
      </c>
      <c r="O1064" s="17"/>
      <c r="P1064" s="17"/>
      <c r="Q1064" s="17"/>
      <c r="R1064" s="17"/>
      <c r="S1064" s="17"/>
      <c r="T1064" s="17"/>
      <c r="U1064" s="17"/>
      <c r="V1064" s="17"/>
      <c r="W1064" s="17"/>
      <c r="X1064" s="17"/>
      <c r="Y1064" s="17"/>
      <c r="Z1064" s="17"/>
    </row>
    <row r="1065">
      <c r="A1065" s="18" t="str">
        <f>IFERROR(__xludf.DUMMYFUNCTION("""COMPUTED_VALUE"""),"ord_41043")</f>
        <v>ord_41043</v>
      </c>
      <c r="B1065" s="18" t="str">
        <f>IFERROR(__xludf.DUMMYFUNCTION("""COMPUTED_VALUE"""),"Pranav Joshi")</f>
        <v>Pranav Joshi</v>
      </c>
      <c r="C1065" s="18" t="str">
        <f>IFERROR(__xludf.DUMMYFUNCTION("""COMPUTED_VALUE"""),"Andheri")</f>
        <v>Andheri</v>
      </c>
      <c r="D1065" s="18" t="str">
        <f>IFERROR(__xludf.DUMMYFUNCTION("""COMPUTED_VALUE"""),"Popcorn")</f>
        <v>Popcorn</v>
      </c>
      <c r="E1065" s="18">
        <f>IFERROR(__xludf.DUMMYFUNCTION("""COMPUTED_VALUE"""),5.0)</f>
        <v>5</v>
      </c>
      <c r="F1065" s="18" t="str">
        <f>IFERROR(__xludf.DUMMYFUNCTION("""COMPUTED_VALUE"""),"Rohan Yadav")</f>
        <v>Rohan Yadav</v>
      </c>
      <c r="G1065" s="19">
        <f>IFERROR(__xludf.DUMMYFUNCTION("""COMPUTED_VALUE"""),45112.0)</f>
        <v>45112</v>
      </c>
      <c r="H1065" s="18" t="str">
        <f>IFERROR(__xludf.DUMMYFUNCTION("""COMPUTED_VALUE"""),"Credit Card")</f>
        <v>Credit Card</v>
      </c>
      <c r="I1065" s="18" t="str">
        <f>IFERROR(__xludf.DUMMYFUNCTION("""COMPUTED_VALUE"""),"Delivered")</f>
        <v>Delivered</v>
      </c>
      <c r="J1065" s="18" t="str">
        <f>IFERROR(__xludf.DUMMYFUNCTION("""COMPUTED_VALUE"""),"On-time Delivery")</f>
        <v>On-time Delivery</v>
      </c>
      <c r="K1065" s="18" t="str">
        <f>IFERROR(__xludf.DUMMYFUNCTION("""COMPUTED_VALUE"""),"Delivered on time")</f>
        <v>Delivered on time</v>
      </c>
      <c r="L1065" s="18">
        <f>iferror(VLOOKUP($D1065,Details!$A$2:$C$11,2,false),vlookup($D1065,Details!$E$2:$G$11,2,false))</f>
        <v>150</v>
      </c>
      <c r="M1065" s="18" t="str">
        <f>iferror(VLOOKUP($D1065,Details!$A$2:$C$11,3,false),vlookup($D1065,Details!$E$2:$G$11,3,false))</f>
        <v>Snacks and Drinks</v>
      </c>
      <c r="N1065" s="18">
        <f t="shared" si="1"/>
        <v>750</v>
      </c>
      <c r="O1065" s="17"/>
      <c r="P1065" s="17"/>
      <c r="Q1065" s="17"/>
      <c r="R1065" s="17"/>
      <c r="S1065" s="17"/>
      <c r="T1065" s="17"/>
      <c r="U1065" s="17"/>
      <c r="V1065" s="17"/>
      <c r="W1065" s="17"/>
      <c r="X1065" s="17"/>
      <c r="Y1065" s="17"/>
      <c r="Z1065" s="17"/>
    </row>
    <row r="1066">
      <c r="A1066" s="18" t="str">
        <f>IFERROR(__xludf.DUMMYFUNCTION("""COMPUTED_VALUE"""),"ord_41044")</f>
        <v>ord_41044</v>
      </c>
      <c r="B1066" s="18" t="str">
        <f>IFERROR(__xludf.DUMMYFUNCTION("""COMPUTED_VALUE"""),"Sanjay Nair")</f>
        <v>Sanjay Nair</v>
      </c>
      <c r="C1066" s="18" t="str">
        <f>IFERROR(__xludf.DUMMYFUNCTION("""COMPUTED_VALUE"""),"Dadar")</f>
        <v>Dadar</v>
      </c>
      <c r="D1066" s="18" t="str">
        <f>IFERROR(__xludf.DUMMYFUNCTION("""COMPUTED_VALUE"""),"Orange")</f>
        <v>Orange</v>
      </c>
      <c r="E1066" s="18">
        <f>IFERROR(__xludf.DUMMYFUNCTION("""COMPUTED_VALUE"""),1.0)</f>
        <v>1</v>
      </c>
      <c r="F1066" s="18" t="str">
        <f>IFERROR(__xludf.DUMMYFUNCTION("""COMPUTED_VALUE"""),"Sita T")</f>
        <v>Sita T</v>
      </c>
      <c r="G1066" s="19">
        <f>IFERROR(__xludf.DUMMYFUNCTION("""COMPUTED_VALUE"""),45065.0)</f>
        <v>45065</v>
      </c>
      <c r="H1066" s="18" t="str">
        <f>IFERROR(__xludf.DUMMYFUNCTION("""COMPUTED_VALUE"""),"Online Payment")</f>
        <v>Online Payment</v>
      </c>
      <c r="I1066" s="18" t="str">
        <f>IFERROR(__xludf.DUMMYFUNCTION("""COMPUTED_VALUE"""),"Delivered")</f>
        <v>Delivered</v>
      </c>
      <c r="J1066" s="18" t="str">
        <f>IFERROR(__xludf.DUMMYFUNCTION("""COMPUTED_VALUE"""),"Quality of Items")</f>
        <v>Quality of Items</v>
      </c>
      <c r="K1066" s="18" t="str">
        <f>IFERROR(__xludf.DUMMYFUNCTION("""COMPUTED_VALUE"""),"Perfect condition")</f>
        <v>Perfect condition</v>
      </c>
      <c r="L1066" s="18">
        <f>iferror(VLOOKUP($D1066,Details!$A$2:$C$11,2,false),vlookup($D1066,Details!$E$2:$G$11,2,false))</f>
        <v>180</v>
      </c>
      <c r="M1066" s="18" t="str">
        <f>iferror(VLOOKUP($D1066,Details!$A$2:$C$11,3,false),vlookup($D1066,Details!$E$2:$G$11,3,false))</f>
        <v>Fruits and Vegetables</v>
      </c>
      <c r="N1066" s="18">
        <f t="shared" si="1"/>
        <v>180</v>
      </c>
      <c r="O1066" s="17"/>
      <c r="P1066" s="17"/>
      <c r="Q1066" s="17"/>
      <c r="R1066" s="17"/>
      <c r="S1066" s="17"/>
      <c r="T1066" s="17"/>
      <c r="U1066" s="17"/>
      <c r="V1066" s="17"/>
      <c r="W1066" s="17"/>
      <c r="X1066" s="17"/>
      <c r="Y1066" s="17"/>
      <c r="Z1066" s="17"/>
    </row>
    <row r="1067">
      <c r="A1067" s="18" t="str">
        <f>IFERROR(__xludf.DUMMYFUNCTION("""COMPUTED_VALUE"""),"ord_41045")</f>
        <v>ord_41045</v>
      </c>
      <c r="B1067" s="18" t="str">
        <f>IFERROR(__xludf.DUMMYFUNCTION("""COMPUTED_VALUE"""),"Kritika Shetty")</f>
        <v>Kritika Shetty</v>
      </c>
      <c r="C1067" s="18" t="str">
        <f>IFERROR(__xludf.DUMMYFUNCTION("""COMPUTED_VALUE"""),"Malad")</f>
        <v>Malad</v>
      </c>
      <c r="D1067" s="18" t="str">
        <f>IFERROR(__xludf.DUMMYFUNCTION("""COMPUTED_VALUE"""),"Tiramisu")</f>
        <v>Tiramisu</v>
      </c>
      <c r="E1067" s="18">
        <f>IFERROR(__xludf.DUMMYFUNCTION("""COMPUTED_VALUE"""),2.0)</f>
        <v>2</v>
      </c>
      <c r="F1067" s="18" t="str">
        <f>IFERROR(__xludf.DUMMYFUNCTION("""COMPUTED_VALUE"""),"Manju Ajay")</f>
        <v>Manju Ajay</v>
      </c>
      <c r="G1067" s="19">
        <f>IFERROR(__xludf.DUMMYFUNCTION("""COMPUTED_VALUE"""),45278.0)</f>
        <v>45278</v>
      </c>
      <c r="H1067" s="18" t="str">
        <f>IFERROR(__xludf.DUMMYFUNCTION("""COMPUTED_VALUE"""),"Credit Card")</f>
        <v>Credit Card</v>
      </c>
      <c r="I1067" s="18" t="str">
        <f>IFERROR(__xludf.DUMMYFUNCTION("""COMPUTED_VALUE"""),"Cancelled")</f>
        <v>Cancelled</v>
      </c>
      <c r="J1067" s="18" t="str">
        <f>IFERROR(__xludf.DUMMYFUNCTION("""COMPUTED_VALUE"""),"Delayed Delivery")</f>
        <v>Delayed Delivery</v>
      </c>
      <c r="K1067" s="18" t="str">
        <f>IFERROR(__xludf.DUMMYFUNCTION("""COMPUTED_VALUE"""),"High Order Volume")</f>
        <v>High Order Volume</v>
      </c>
      <c r="L1067" s="18">
        <f>iferror(VLOOKUP($D1067,Details!$A$2:$C$11,2,false),vlookup($D1067,Details!$E$2:$G$11,2,false))</f>
        <v>150</v>
      </c>
      <c r="M1067" s="18" t="str">
        <f>iferror(VLOOKUP($D1067,Details!$A$2:$C$11,3,false),vlookup($D1067,Details!$E$2:$G$11,3,false))</f>
        <v>Snacks and Drinks</v>
      </c>
      <c r="N1067" s="18">
        <f t="shared" si="1"/>
        <v>300</v>
      </c>
      <c r="O1067" s="17"/>
      <c r="P1067" s="17"/>
      <c r="Q1067" s="17"/>
      <c r="R1067" s="17"/>
      <c r="S1067" s="17"/>
      <c r="T1067" s="17"/>
      <c r="U1067" s="17"/>
      <c r="V1067" s="17"/>
      <c r="W1067" s="17"/>
      <c r="X1067" s="17"/>
      <c r="Y1067" s="17"/>
      <c r="Z1067" s="17"/>
    </row>
    <row r="1068">
      <c r="A1068" s="18" t="str">
        <f>IFERROR(__xludf.DUMMYFUNCTION("""COMPUTED_VALUE"""),"ord_41046")</f>
        <v>ord_41046</v>
      </c>
      <c r="B1068" s="18" t="str">
        <f>IFERROR(__xludf.DUMMYFUNCTION("""COMPUTED_VALUE"""),"Sahil Desai")</f>
        <v>Sahil Desai</v>
      </c>
      <c r="C1068" s="18" t="str">
        <f>IFERROR(__xludf.DUMMYFUNCTION("""COMPUTED_VALUE"""),"Lower Parel")</f>
        <v>Lower Parel</v>
      </c>
      <c r="D1068" s="18" t="str">
        <f>IFERROR(__xludf.DUMMYFUNCTION("""COMPUTED_VALUE"""),"Veg Puff")</f>
        <v>Veg Puff</v>
      </c>
      <c r="E1068" s="18">
        <f>IFERROR(__xludf.DUMMYFUNCTION("""COMPUTED_VALUE"""),8.0)</f>
        <v>8</v>
      </c>
      <c r="F1068" s="18" t="str">
        <f>IFERROR(__xludf.DUMMYFUNCTION("""COMPUTED_VALUE"""),"Shine Thomas")</f>
        <v>Shine Thomas</v>
      </c>
      <c r="G1068" s="19">
        <f>IFERROR(__xludf.DUMMYFUNCTION("""COMPUTED_VALUE"""),45114.0)</f>
        <v>45114</v>
      </c>
      <c r="H1068" s="18" t="str">
        <f>IFERROR(__xludf.DUMMYFUNCTION("""COMPUTED_VALUE"""),"COD")</f>
        <v>COD</v>
      </c>
      <c r="I1068" s="18" t="str">
        <f>IFERROR(__xludf.DUMMYFUNCTION("""COMPUTED_VALUE"""),"Delivered")</f>
        <v>Delivered</v>
      </c>
      <c r="J1068" s="18" t="str">
        <f>IFERROR(__xludf.DUMMYFUNCTION("""COMPUTED_VALUE"""),"On-time Delivery")</f>
        <v>On-time Delivery</v>
      </c>
      <c r="K1068" s="18" t="str">
        <f>IFERROR(__xludf.DUMMYFUNCTION("""COMPUTED_VALUE"""),"Delivered on time")</f>
        <v>Delivered on time</v>
      </c>
      <c r="L1068" s="18">
        <f>iferror(VLOOKUP($D1068,Details!$A$2:$C$11,2,false),vlookup($D1068,Details!$E$2:$G$11,2,false))</f>
        <v>80</v>
      </c>
      <c r="M1068" s="18" t="str">
        <f>iferror(VLOOKUP($D1068,Details!$A$2:$C$11,3,false),vlookup($D1068,Details!$E$2:$G$11,3,false))</f>
        <v>Snacks and Drinks</v>
      </c>
      <c r="N1068" s="18">
        <f t="shared" si="1"/>
        <v>640</v>
      </c>
      <c r="O1068" s="17"/>
      <c r="P1068" s="17"/>
      <c r="Q1068" s="17"/>
      <c r="R1068" s="17"/>
      <c r="S1068" s="17"/>
      <c r="T1068" s="17"/>
      <c r="U1068" s="17"/>
      <c r="V1068" s="17"/>
      <c r="W1068" s="17"/>
      <c r="X1068" s="17"/>
      <c r="Y1068" s="17"/>
      <c r="Z1068" s="17"/>
    </row>
    <row r="1069">
      <c r="A1069" s="18" t="str">
        <f>IFERROR(__xludf.DUMMYFUNCTION("""COMPUTED_VALUE"""),"ord_41047")</f>
        <v>ord_41047</v>
      </c>
      <c r="B1069" s="18" t="str">
        <f>IFERROR(__xludf.DUMMYFUNCTION("""COMPUTED_VALUE"""),"Ishaan Chaturvedi")</f>
        <v>Ishaan Chaturvedi</v>
      </c>
      <c r="C1069" s="18" t="str">
        <f>IFERROR(__xludf.DUMMYFUNCTION("""COMPUTED_VALUE"""),"Bandra")</f>
        <v>Bandra</v>
      </c>
      <c r="D1069" s="18" t="str">
        <f>IFERROR(__xludf.DUMMYFUNCTION("""COMPUTED_VALUE"""),"Potato")</f>
        <v>Potato</v>
      </c>
      <c r="E1069" s="18">
        <f>IFERROR(__xludf.DUMMYFUNCTION("""COMPUTED_VALUE"""),1.0)</f>
        <v>1</v>
      </c>
      <c r="F1069" s="18" t="str">
        <f>IFERROR(__xludf.DUMMYFUNCTION("""COMPUTED_VALUE"""),"Ram Gopal")</f>
        <v>Ram Gopal</v>
      </c>
      <c r="G1069" s="19">
        <f>IFERROR(__xludf.DUMMYFUNCTION("""COMPUTED_VALUE"""),45225.0)</f>
        <v>45225</v>
      </c>
      <c r="H1069" s="18" t="str">
        <f>IFERROR(__xludf.DUMMYFUNCTION("""COMPUTED_VALUE"""),"Online Payment")</f>
        <v>Online Payment</v>
      </c>
      <c r="I1069" s="18" t="str">
        <f>IFERROR(__xludf.DUMMYFUNCTION("""COMPUTED_VALUE"""),"Delivered")</f>
        <v>Delivered</v>
      </c>
      <c r="J1069" s="18" t="str">
        <f>IFERROR(__xludf.DUMMYFUNCTION("""COMPUTED_VALUE"""),"Quality of Items")</f>
        <v>Quality of Items</v>
      </c>
      <c r="K1069" s="18" t="str">
        <f>IFERROR(__xludf.DUMMYFUNCTION("""COMPUTED_VALUE"""),"Perfect condition")</f>
        <v>Perfect condition</v>
      </c>
      <c r="L1069" s="18">
        <f>iferror(VLOOKUP($D1069,Details!$A$2:$C$11,2,false),vlookup($D1069,Details!$E$2:$G$11,2,false))</f>
        <v>55</v>
      </c>
      <c r="M1069" s="18" t="str">
        <f>iferror(VLOOKUP($D1069,Details!$A$2:$C$11,3,false),vlookup($D1069,Details!$E$2:$G$11,3,false))</f>
        <v>Fruits and Vegetables</v>
      </c>
      <c r="N1069" s="18">
        <f t="shared" si="1"/>
        <v>55</v>
      </c>
      <c r="O1069" s="17"/>
      <c r="P1069" s="17"/>
      <c r="Q1069" s="17"/>
      <c r="R1069" s="17"/>
      <c r="S1069" s="17"/>
      <c r="T1069" s="17"/>
      <c r="U1069" s="17"/>
      <c r="V1069" s="17"/>
      <c r="W1069" s="17"/>
      <c r="X1069" s="17"/>
      <c r="Y1069" s="17"/>
      <c r="Z1069" s="17"/>
    </row>
    <row r="1070">
      <c r="A1070" s="18" t="str">
        <f>IFERROR(__xludf.DUMMYFUNCTION("""COMPUTED_VALUE"""),"ord_41048")</f>
        <v>ord_41048</v>
      </c>
      <c r="B1070" s="18" t="str">
        <f>IFERROR(__xludf.DUMMYFUNCTION("""COMPUTED_VALUE"""),"Aarav Mehta")</f>
        <v>Aarav Mehta</v>
      </c>
      <c r="C1070" s="18" t="str">
        <f>IFERROR(__xludf.DUMMYFUNCTION("""COMPUTED_VALUE"""),"Andheri")</f>
        <v>Andheri</v>
      </c>
      <c r="D1070" s="18" t="str">
        <f>IFERROR(__xludf.DUMMYFUNCTION("""COMPUTED_VALUE"""),"Cucumber")</f>
        <v>Cucumber</v>
      </c>
      <c r="E1070" s="18">
        <f>IFERROR(__xludf.DUMMYFUNCTION("""COMPUTED_VALUE"""),1.0)</f>
        <v>1</v>
      </c>
      <c r="F1070" s="18" t="str">
        <f>IFERROR(__xludf.DUMMYFUNCTION("""COMPUTED_VALUE"""),"Vivek Kumar")</f>
        <v>Vivek Kumar</v>
      </c>
      <c r="G1070" s="19">
        <f>IFERROR(__xludf.DUMMYFUNCTION("""COMPUTED_VALUE"""),45114.0)</f>
        <v>45114</v>
      </c>
      <c r="H1070" s="18" t="str">
        <f>IFERROR(__xludf.DUMMYFUNCTION("""COMPUTED_VALUE"""),"Online Payment")</f>
        <v>Online Payment</v>
      </c>
      <c r="I1070" s="18" t="str">
        <f>IFERROR(__xludf.DUMMYFUNCTION("""COMPUTED_VALUE"""),"Delivered")</f>
        <v>Delivered</v>
      </c>
      <c r="J1070" s="18" t="str">
        <f>IFERROR(__xludf.DUMMYFUNCTION("""COMPUTED_VALUE"""),"Packaging")</f>
        <v>Packaging</v>
      </c>
      <c r="K1070" s="18" t="str">
        <f>IFERROR(__xludf.DUMMYFUNCTION("""COMPUTED_VALUE"""),"Secure and intact")</f>
        <v>Secure and intact</v>
      </c>
      <c r="L1070" s="18">
        <f>iferror(VLOOKUP($D1070,Details!$A$2:$C$11,2,false),vlookup($D1070,Details!$E$2:$G$11,2,false))</f>
        <v>30</v>
      </c>
      <c r="M1070" s="18" t="str">
        <f>iferror(VLOOKUP($D1070,Details!$A$2:$C$11,3,false),vlookup($D1070,Details!$E$2:$G$11,3,false))</f>
        <v>Fruits and Vegetables</v>
      </c>
      <c r="N1070" s="18">
        <f t="shared" si="1"/>
        <v>30</v>
      </c>
      <c r="O1070" s="17"/>
      <c r="P1070" s="17"/>
      <c r="Q1070" s="17"/>
      <c r="R1070" s="17"/>
      <c r="S1070" s="17"/>
      <c r="T1070" s="17"/>
      <c r="U1070" s="17"/>
      <c r="V1070" s="17"/>
      <c r="W1070" s="17"/>
      <c r="X1070" s="17"/>
      <c r="Y1070" s="17"/>
      <c r="Z1070" s="17"/>
    </row>
    <row r="1071">
      <c r="A1071" s="18" t="str">
        <f>IFERROR(__xludf.DUMMYFUNCTION("""COMPUTED_VALUE"""),"ord_41049")</f>
        <v>ord_41049</v>
      </c>
      <c r="B1071" s="18" t="str">
        <f>IFERROR(__xludf.DUMMYFUNCTION("""COMPUTED_VALUE"""),"Arvind Kulkarni")</f>
        <v>Arvind Kulkarni</v>
      </c>
      <c r="C1071" s="18" t="str">
        <f>IFERROR(__xludf.DUMMYFUNCTION("""COMPUTED_VALUE"""),"Juhu")</f>
        <v>Juhu</v>
      </c>
      <c r="D1071" s="18" t="str">
        <f>IFERROR(__xludf.DUMMYFUNCTION("""COMPUTED_VALUE"""),"Tomato")</f>
        <v>Tomato</v>
      </c>
      <c r="E1071" s="18">
        <f>IFERROR(__xludf.DUMMYFUNCTION("""COMPUTED_VALUE"""),1.0)</f>
        <v>1</v>
      </c>
      <c r="F1071" s="18" t="str">
        <f>IFERROR(__xludf.DUMMYFUNCTION("""COMPUTED_VALUE"""),"Not Assigned")</f>
        <v>Not Assigned</v>
      </c>
      <c r="G1071" s="19">
        <f>IFERROR(__xludf.DUMMYFUNCTION("""COMPUTED_VALUE"""),45208.0)</f>
        <v>45208</v>
      </c>
      <c r="H1071" s="18" t="str">
        <f>IFERROR(__xludf.DUMMYFUNCTION("""COMPUTED_VALUE"""),"UPI")</f>
        <v>UPI</v>
      </c>
      <c r="I1071" s="18" t="str">
        <f>IFERROR(__xludf.DUMMYFUNCTION("""COMPUTED_VALUE"""),"Cancelled")</f>
        <v>Cancelled</v>
      </c>
      <c r="J1071" s="18" t="str">
        <f>IFERROR(__xludf.DUMMYFUNCTION("""COMPUTED_VALUE"""),"App Glitches")</f>
        <v>App Glitches</v>
      </c>
      <c r="K1071" s="18" t="str">
        <f>IFERROR(__xludf.DUMMYFUNCTION("""COMPUTED_VALUE"""),"Inconsistent Data Display")</f>
        <v>Inconsistent Data Display</v>
      </c>
      <c r="L1071" s="18">
        <f>iferror(VLOOKUP($D1071,Details!$A$2:$C$11,2,false),vlookup($D1071,Details!$E$2:$G$11,2,false))</f>
        <v>25</v>
      </c>
      <c r="M1071" s="18" t="str">
        <f>iferror(VLOOKUP($D1071,Details!$A$2:$C$11,3,false),vlookup($D1071,Details!$E$2:$G$11,3,false))</f>
        <v>Fruits and Vegetables</v>
      </c>
      <c r="N1071" s="18">
        <f t="shared" si="1"/>
        <v>25</v>
      </c>
      <c r="O1071" s="17"/>
      <c r="P1071" s="17"/>
      <c r="Q1071" s="17"/>
      <c r="R1071" s="17"/>
      <c r="S1071" s="17"/>
      <c r="T1071" s="17"/>
      <c r="U1071" s="17"/>
      <c r="V1071" s="17"/>
      <c r="W1071" s="17"/>
      <c r="X1071" s="17"/>
      <c r="Y1071" s="17"/>
      <c r="Z1071" s="17"/>
    </row>
    <row r="1072">
      <c r="A1072" s="18" t="str">
        <f>IFERROR(__xludf.DUMMYFUNCTION("""COMPUTED_VALUE"""),"ord_41050")</f>
        <v>ord_41050</v>
      </c>
      <c r="B1072" s="18" t="str">
        <f>IFERROR(__xludf.DUMMYFUNCTION("""COMPUTED_VALUE"""),"Parth Goel")</f>
        <v>Parth Goel</v>
      </c>
      <c r="C1072" s="18" t="str">
        <f>IFERROR(__xludf.DUMMYFUNCTION("""COMPUTED_VALUE"""),"Juhu")</f>
        <v>Juhu</v>
      </c>
      <c r="D1072" s="18" t="str">
        <f>IFERROR(__xludf.DUMMYFUNCTION("""COMPUTED_VALUE"""),"Onion")</f>
        <v>Onion</v>
      </c>
      <c r="E1072" s="18">
        <f>IFERROR(__xludf.DUMMYFUNCTION("""COMPUTED_VALUE"""),1.0)</f>
        <v>1</v>
      </c>
      <c r="F1072" s="18" t="str">
        <f>IFERROR(__xludf.DUMMYFUNCTION("""COMPUTED_VALUE"""),"Ramesh S")</f>
        <v>Ramesh S</v>
      </c>
      <c r="G1072" s="19">
        <f>IFERROR(__xludf.DUMMYFUNCTION("""COMPUTED_VALUE"""),45185.0)</f>
        <v>45185</v>
      </c>
      <c r="H1072" s="18" t="str">
        <f>IFERROR(__xludf.DUMMYFUNCTION("""COMPUTED_VALUE"""),"Online Payment")</f>
        <v>Online Payment</v>
      </c>
      <c r="I1072" s="18" t="str">
        <f>IFERROR(__xludf.DUMMYFUNCTION("""COMPUTED_VALUE"""),"Delivered")</f>
        <v>Delivered</v>
      </c>
      <c r="J1072" s="18" t="str">
        <f>IFERROR(__xludf.DUMMYFUNCTION("""COMPUTED_VALUE"""),"Satisfied with the Delivery")</f>
        <v>Satisfied with the Delivery</v>
      </c>
      <c r="K1072" s="18" t="str">
        <f>IFERROR(__xludf.DUMMYFUNCTION("""COMPUTED_VALUE"""),"Timely and quality")</f>
        <v>Timely and quality</v>
      </c>
      <c r="L1072" s="18">
        <f>iferror(VLOOKUP($D1072,Details!$A$2:$C$11,2,false),vlookup($D1072,Details!$E$2:$G$11,2,false))</f>
        <v>84</v>
      </c>
      <c r="M1072" s="18" t="str">
        <f>iferror(VLOOKUP($D1072,Details!$A$2:$C$11,3,false),vlookup($D1072,Details!$E$2:$G$11,3,false))</f>
        <v>Fruits and Vegetables</v>
      </c>
      <c r="N1072" s="18">
        <f t="shared" si="1"/>
        <v>84</v>
      </c>
      <c r="O1072" s="17"/>
      <c r="P1072" s="17"/>
      <c r="Q1072" s="17"/>
      <c r="R1072" s="17"/>
      <c r="S1072" s="17"/>
      <c r="T1072" s="17"/>
      <c r="U1072" s="17"/>
      <c r="V1072" s="17"/>
      <c r="W1072" s="17"/>
      <c r="X1072" s="17"/>
      <c r="Y1072" s="17"/>
      <c r="Z1072" s="17"/>
    </row>
    <row r="1073">
      <c r="A1073" s="18" t="str">
        <f>IFERROR(__xludf.DUMMYFUNCTION("""COMPUTED_VALUE"""),"ord_41051")</f>
        <v>ord_41051</v>
      </c>
      <c r="B1073" s="18" t="str">
        <f>IFERROR(__xludf.DUMMYFUNCTION("""COMPUTED_VALUE"""),"Aditi Iyer")</f>
        <v>Aditi Iyer</v>
      </c>
      <c r="C1073" s="18" t="str">
        <f>IFERROR(__xludf.DUMMYFUNCTION("""COMPUTED_VALUE"""),"Dadar")</f>
        <v>Dadar</v>
      </c>
      <c r="D1073" s="18" t="str">
        <f>IFERROR(__xludf.DUMMYFUNCTION("""COMPUTED_VALUE"""),"Papaya")</f>
        <v>Papaya</v>
      </c>
      <c r="E1073" s="18">
        <f>IFERROR(__xludf.DUMMYFUNCTION("""COMPUTED_VALUE"""),1.0)</f>
        <v>1</v>
      </c>
      <c r="F1073" s="18" t="str">
        <f>IFERROR(__xludf.DUMMYFUNCTION("""COMPUTED_VALUE"""),"Ramesh S")</f>
        <v>Ramesh S</v>
      </c>
      <c r="G1073" s="19">
        <f>IFERROR(__xludf.DUMMYFUNCTION("""COMPUTED_VALUE"""),45085.0)</f>
        <v>45085</v>
      </c>
      <c r="H1073" s="18" t="str">
        <f>IFERROR(__xludf.DUMMYFUNCTION("""COMPUTED_VALUE"""),"Credit Card")</f>
        <v>Credit Card</v>
      </c>
      <c r="I1073" s="18" t="str">
        <f>IFERROR(__xludf.DUMMYFUNCTION("""COMPUTED_VALUE"""),"Delivered")</f>
        <v>Delivered</v>
      </c>
      <c r="J1073" s="18" t="str">
        <f>IFERROR(__xludf.DUMMYFUNCTION("""COMPUTED_VALUE"""),"Customer Service")</f>
        <v>Customer Service</v>
      </c>
      <c r="K1073" s="18" t="str">
        <f>IFERROR(__xludf.DUMMYFUNCTION("""COMPUTED_VALUE"""),"Seamless and easy")</f>
        <v>Seamless and easy</v>
      </c>
      <c r="L1073" s="18">
        <f>iferror(VLOOKUP($D1073,Details!$A$2:$C$11,2,false),vlookup($D1073,Details!$E$2:$G$11,2,false))</f>
        <v>75</v>
      </c>
      <c r="M1073" s="18" t="str">
        <f>iferror(VLOOKUP($D1073,Details!$A$2:$C$11,3,false),vlookup($D1073,Details!$E$2:$G$11,3,false))</f>
        <v>Fruits and Vegetables</v>
      </c>
      <c r="N1073" s="18">
        <f t="shared" si="1"/>
        <v>75</v>
      </c>
      <c r="O1073" s="17"/>
      <c r="P1073" s="17"/>
      <c r="Q1073" s="17"/>
      <c r="R1073" s="17"/>
      <c r="S1073" s="17"/>
      <c r="T1073" s="17"/>
      <c r="U1073" s="17"/>
      <c r="V1073" s="17"/>
      <c r="W1073" s="17"/>
      <c r="X1073" s="17"/>
      <c r="Y1073" s="17"/>
      <c r="Z1073" s="17"/>
    </row>
    <row r="1074">
      <c r="A1074" s="18" t="str">
        <f>IFERROR(__xludf.DUMMYFUNCTION("""COMPUTED_VALUE"""),"ord_41052")</f>
        <v>ord_41052</v>
      </c>
      <c r="B1074" s="18" t="str">
        <f>IFERROR(__xludf.DUMMYFUNCTION("""COMPUTED_VALUE"""),"Omkar Mishra")</f>
        <v>Omkar Mishra</v>
      </c>
      <c r="C1074" s="18" t="str">
        <f>IFERROR(__xludf.DUMMYFUNCTION("""COMPUTED_VALUE"""),"Powai")</f>
        <v>Powai</v>
      </c>
      <c r="D1074" s="18" t="str">
        <f>IFERROR(__xludf.DUMMYFUNCTION("""COMPUTED_VALUE"""),"Chilli Cheese Toast")</f>
        <v>Chilli Cheese Toast</v>
      </c>
      <c r="E1074" s="18">
        <f>IFERROR(__xludf.DUMMYFUNCTION("""COMPUTED_VALUE"""),2.0)</f>
        <v>2</v>
      </c>
      <c r="F1074" s="18" t="str">
        <f>IFERROR(__xludf.DUMMYFUNCTION("""COMPUTED_VALUE"""),"Manju Ajay")</f>
        <v>Manju Ajay</v>
      </c>
      <c r="G1074" s="19">
        <f>IFERROR(__xludf.DUMMYFUNCTION("""COMPUTED_VALUE"""),45050.0)</f>
        <v>45050</v>
      </c>
      <c r="H1074" s="18" t="str">
        <f>IFERROR(__xludf.DUMMYFUNCTION("""COMPUTED_VALUE"""),"UPI")</f>
        <v>UPI</v>
      </c>
      <c r="I1074" s="18" t="str">
        <f>IFERROR(__xludf.DUMMYFUNCTION("""COMPUTED_VALUE"""),"Delivered")</f>
        <v>Delivered</v>
      </c>
      <c r="J1074" s="18" t="str">
        <f>IFERROR(__xludf.DUMMYFUNCTION("""COMPUTED_VALUE"""),"Delivery Experience")</f>
        <v>Delivery Experience</v>
      </c>
      <c r="K1074" s="18" t="str">
        <f>IFERROR(__xludf.DUMMYFUNCTION("""COMPUTED_VALUE"""),"Quick and professional")</f>
        <v>Quick and professional</v>
      </c>
      <c r="L1074" s="18">
        <f>iferror(VLOOKUP($D1074,Details!$A$2:$C$11,2,false),vlookup($D1074,Details!$E$2:$G$11,2,false))</f>
        <v>80</v>
      </c>
      <c r="M1074" s="18" t="str">
        <f>iferror(VLOOKUP($D1074,Details!$A$2:$C$11,3,false),vlookup($D1074,Details!$E$2:$G$11,3,false))</f>
        <v>Snacks and Drinks</v>
      </c>
      <c r="N1074" s="18">
        <f t="shared" si="1"/>
        <v>160</v>
      </c>
      <c r="O1074" s="17"/>
      <c r="P1074" s="17"/>
      <c r="Q1074" s="17"/>
      <c r="R1074" s="17"/>
      <c r="S1074" s="17"/>
      <c r="T1074" s="17"/>
      <c r="U1074" s="17"/>
      <c r="V1074" s="17"/>
      <c r="W1074" s="17"/>
      <c r="X1074" s="17"/>
      <c r="Y1074" s="17"/>
      <c r="Z1074" s="17"/>
    </row>
    <row r="1075">
      <c r="A1075" s="18" t="str">
        <f>IFERROR(__xludf.DUMMYFUNCTION("""COMPUTED_VALUE"""),"ord_41053")</f>
        <v>ord_41053</v>
      </c>
      <c r="B1075" s="18" t="str">
        <f>IFERROR(__xludf.DUMMYFUNCTION("""COMPUTED_VALUE"""),"Aditi Iyer")</f>
        <v>Aditi Iyer</v>
      </c>
      <c r="C1075" s="18" t="str">
        <f>IFERROR(__xludf.DUMMYFUNCTION("""COMPUTED_VALUE"""),"Dadar")</f>
        <v>Dadar</v>
      </c>
      <c r="D1075" s="18" t="str">
        <f>IFERROR(__xludf.DUMMYFUNCTION("""COMPUTED_VALUE"""),"Rasmalai")</f>
        <v>Rasmalai</v>
      </c>
      <c r="E1075" s="18">
        <f>IFERROR(__xludf.DUMMYFUNCTION("""COMPUTED_VALUE"""),1.0)</f>
        <v>1</v>
      </c>
      <c r="F1075" s="18" t="str">
        <f>IFERROR(__xludf.DUMMYFUNCTION("""COMPUTED_VALUE"""),"Venu R")</f>
        <v>Venu R</v>
      </c>
      <c r="G1075" s="19">
        <f>IFERROR(__xludf.DUMMYFUNCTION("""COMPUTED_VALUE"""),44936.0)</f>
        <v>44936</v>
      </c>
      <c r="H1075" s="18" t="str">
        <f>IFERROR(__xludf.DUMMYFUNCTION("""COMPUTED_VALUE"""),"UPI")</f>
        <v>UPI</v>
      </c>
      <c r="I1075" s="18" t="str">
        <f>IFERROR(__xludf.DUMMYFUNCTION("""COMPUTED_VALUE"""),"Delivered")</f>
        <v>Delivered</v>
      </c>
      <c r="J1075" s="18" t="str">
        <f>IFERROR(__xludf.DUMMYFUNCTION("""COMPUTED_VALUE"""),"Convenience")</f>
        <v>Convenience</v>
      </c>
      <c r="K1075" s="18" t="str">
        <f>IFERROR(__xludf.DUMMYFUNCTION("""COMPUTED_VALUE"""),"Easy tracking")</f>
        <v>Easy tracking</v>
      </c>
      <c r="L1075" s="18">
        <f>iferror(VLOOKUP($D1075,Details!$A$2:$C$11,2,false),vlookup($D1075,Details!$E$2:$G$11,2,false))</f>
        <v>110</v>
      </c>
      <c r="M1075" s="18" t="str">
        <f>iferror(VLOOKUP($D1075,Details!$A$2:$C$11,3,false),vlookup($D1075,Details!$E$2:$G$11,3,false))</f>
        <v>Snacks and Drinks</v>
      </c>
      <c r="N1075" s="18">
        <f t="shared" si="1"/>
        <v>110</v>
      </c>
      <c r="O1075" s="17"/>
      <c r="P1075" s="17"/>
      <c r="Q1075" s="17"/>
      <c r="R1075" s="17"/>
      <c r="S1075" s="17"/>
      <c r="T1075" s="17"/>
      <c r="U1075" s="17"/>
      <c r="V1075" s="17"/>
      <c r="W1075" s="17"/>
      <c r="X1075" s="17"/>
      <c r="Y1075" s="17"/>
      <c r="Z1075" s="17"/>
    </row>
    <row r="1076">
      <c r="A1076" s="18" t="str">
        <f>IFERROR(__xludf.DUMMYFUNCTION("""COMPUTED_VALUE"""),"ord_41054")</f>
        <v>ord_41054</v>
      </c>
      <c r="B1076" s="18" t="str">
        <f>IFERROR(__xludf.DUMMYFUNCTION("""COMPUTED_VALUE"""),"Aarav Mehta")</f>
        <v>Aarav Mehta</v>
      </c>
      <c r="C1076" s="18" t="str">
        <f>IFERROR(__xludf.DUMMYFUNCTION("""COMPUTED_VALUE"""),"Andheri")</f>
        <v>Andheri</v>
      </c>
      <c r="D1076" s="18" t="str">
        <f>IFERROR(__xludf.DUMMYFUNCTION("""COMPUTED_VALUE"""),"Popcorn")</f>
        <v>Popcorn</v>
      </c>
      <c r="E1076" s="18">
        <f>IFERROR(__xludf.DUMMYFUNCTION("""COMPUTED_VALUE"""),5.0)</f>
        <v>5</v>
      </c>
      <c r="F1076" s="18" t="str">
        <f>IFERROR(__xludf.DUMMYFUNCTION("""COMPUTED_VALUE"""),"Manju Ajay")</f>
        <v>Manju Ajay</v>
      </c>
      <c r="G1076" s="19">
        <f>IFERROR(__xludf.DUMMYFUNCTION("""COMPUTED_VALUE"""),44945.0)</f>
        <v>44945</v>
      </c>
      <c r="H1076" s="18" t="str">
        <f>IFERROR(__xludf.DUMMYFUNCTION("""COMPUTED_VALUE"""),"Credit Card")</f>
        <v>Credit Card</v>
      </c>
      <c r="I1076" s="18" t="str">
        <f>IFERROR(__xludf.DUMMYFUNCTION("""COMPUTED_VALUE"""),"Delivered")</f>
        <v>Delivered</v>
      </c>
      <c r="J1076" s="18" t="str">
        <f>IFERROR(__xludf.DUMMYFUNCTION("""COMPUTED_VALUE"""),"Overall Satisfaction")</f>
        <v>Overall Satisfaction</v>
      </c>
      <c r="K1076" s="18" t="str">
        <f>IFERROR(__xludf.DUMMYFUNCTION("""COMPUTED_VALUE"""),"Great service will order again")</f>
        <v>Great service will order again</v>
      </c>
      <c r="L1076" s="18">
        <f>iferror(VLOOKUP($D1076,Details!$A$2:$C$11,2,false),vlookup($D1076,Details!$E$2:$G$11,2,false))</f>
        <v>150</v>
      </c>
      <c r="M1076" s="18" t="str">
        <f>iferror(VLOOKUP($D1076,Details!$A$2:$C$11,3,false),vlookup($D1076,Details!$E$2:$G$11,3,false))</f>
        <v>Snacks and Drinks</v>
      </c>
      <c r="N1076" s="18">
        <f t="shared" si="1"/>
        <v>750</v>
      </c>
      <c r="O1076" s="17"/>
      <c r="P1076" s="17"/>
      <c r="Q1076" s="17"/>
      <c r="R1076" s="17"/>
      <c r="S1076" s="17"/>
      <c r="T1076" s="17"/>
      <c r="U1076" s="17"/>
      <c r="V1076" s="17"/>
      <c r="W1076" s="17"/>
      <c r="X1076" s="17"/>
      <c r="Y1076" s="17"/>
      <c r="Z1076" s="17"/>
    </row>
    <row r="1077">
      <c r="A1077" s="18" t="str">
        <f>IFERROR(__xludf.DUMMYFUNCTION("""COMPUTED_VALUE"""),"ord_41055")</f>
        <v>ord_41055</v>
      </c>
      <c r="B1077" s="18" t="str">
        <f>IFERROR(__xludf.DUMMYFUNCTION("""COMPUTED_VALUE"""),"Aarav Mehta")</f>
        <v>Aarav Mehta</v>
      </c>
      <c r="C1077" s="18" t="str">
        <f>IFERROR(__xludf.DUMMYFUNCTION("""COMPUTED_VALUE"""),"Andheri")</f>
        <v>Andheri</v>
      </c>
      <c r="D1077" s="18" t="str">
        <f>IFERROR(__xludf.DUMMYFUNCTION("""COMPUTED_VALUE"""),"Papaya")</f>
        <v>Papaya</v>
      </c>
      <c r="E1077" s="18">
        <f>IFERROR(__xludf.DUMMYFUNCTION("""COMPUTED_VALUE"""),1.0)</f>
        <v>1</v>
      </c>
      <c r="F1077" s="18" t="str">
        <f>IFERROR(__xludf.DUMMYFUNCTION("""COMPUTED_VALUE"""),"Sita T")</f>
        <v>Sita T</v>
      </c>
      <c r="G1077" s="19">
        <f>IFERROR(__xludf.DUMMYFUNCTION("""COMPUTED_VALUE"""),45164.0)</f>
        <v>45164</v>
      </c>
      <c r="H1077" s="18" t="str">
        <f>IFERROR(__xludf.DUMMYFUNCTION("""COMPUTED_VALUE"""),"Credit Card")</f>
        <v>Credit Card</v>
      </c>
      <c r="I1077" s="18" t="str">
        <f>IFERROR(__xludf.DUMMYFUNCTION("""COMPUTED_VALUE"""),"Delivered")</f>
        <v>Delivered</v>
      </c>
      <c r="J1077" s="18" t="str">
        <f>IFERROR(__xludf.DUMMYFUNCTION("""COMPUTED_VALUE"""),"On-time Delivery")</f>
        <v>On-time Delivery</v>
      </c>
      <c r="K1077" s="18" t="str">
        <f>IFERROR(__xludf.DUMMYFUNCTION("""COMPUTED_VALUE"""),"Delivered on time")</f>
        <v>Delivered on time</v>
      </c>
      <c r="L1077" s="18">
        <f>iferror(VLOOKUP($D1077,Details!$A$2:$C$11,2,false),vlookup($D1077,Details!$E$2:$G$11,2,false))</f>
        <v>75</v>
      </c>
      <c r="M1077" s="18" t="str">
        <f>iferror(VLOOKUP($D1077,Details!$A$2:$C$11,3,false),vlookup($D1077,Details!$E$2:$G$11,3,false))</f>
        <v>Fruits and Vegetables</v>
      </c>
      <c r="N1077" s="18">
        <f t="shared" si="1"/>
        <v>75</v>
      </c>
      <c r="O1077" s="17"/>
      <c r="P1077" s="17"/>
      <c r="Q1077" s="17"/>
      <c r="R1077" s="17"/>
      <c r="S1077" s="17"/>
      <c r="T1077" s="17"/>
      <c r="U1077" s="17"/>
      <c r="V1077" s="17"/>
      <c r="W1077" s="17"/>
      <c r="X1077" s="17"/>
      <c r="Y1077" s="17"/>
      <c r="Z1077" s="17"/>
    </row>
    <row r="1078">
      <c r="A1078" s="18" t="str">
        <f>IFERROR(__xludf.DUMMYFUNCTION("""COMPUTED_VALUE"""),"ord_41056")</f>
        <v>ord_41056</v>
      </c>
      <c r="B1078" s="18" t="str">
        <f>IFERROR(__xludf.DUMMYFUNCTION("""COMPUTED_VALUE"""),"Ishaan Chaturvedi")</f>
        <v>Ishaan Chaturvedi</v>
      </c>
      <c r="C1078" s="18" t="str">
        <f>IFERROR(__xludf.DUMMYFUNCTION("""COMPUTED_VALUE"""),"Bandra")</f>
        <v>Bandra</v>
      </c>
      <c r="D1078" s="18" t="str">
        <f>IFERROR(__xludf.DUMMYFUNCTION("""COMPUTED_VALUE"""),"Potato")</f>
        <v>Potato</v>
      </c>
      <c r="E1078" s="18">
        <f>IFERROR(__xludf.DUMMYFUNCTION("""COMPUTED_VALUE"""),1.0)</f>
        <v>1</v>
      </c>
      <c r="F1078" s="18" t="str">
        <f>IFERROR(__xludf.DUMMYFUNCTION("""COMPUTED_VALUE"""),"Sita T")</f>
        <v>Sita T</v>
      </c>
      <c r="G1078" s="19">
        <f>IFERROR(__xludf.DUMMYFUNCTION("""COMPUTED_VALUE"""),45083.0)</f>
        <v>45083</v>
      </c>
      <c r="H1078" s="18" t="str">
        <f>IFERROR(__xludf.DUMMYFUNCTION("""COMPUTED_VALUE"""),"COD")</f>
        <v>COD</v>
      </c>
      <c r="I1078" s="18" t="str">
        <f>IFERROR(__xludf.DUMMYFUNCTION("""COMPUTED_VALUE"""),"Delivered")</f>
        <v>Delivered</v>
      </c>
      <c r="J1078" s="18" t="str">
        <f>IFERROR(__xludf.DUMMYFUNCTION("""COMPUTED_VALUE"""),"Quality of Items")</f>
        <v>Quality of Items</v>
      </c>
      <c r="K1078" s="18" t="str">
        <f>IFERROR(__xludf.DUMMYFUNCTION("""COMPUTED_VALUE"""),"Perfect condition")</f>
        <v>Perfect condition</v>
      </c>
      <c r="L1078" s="18">
        <f>iferror(VLOOKUP($D1078,Details!$A$2:$C$11,2,false),vlookup($D1078,Details!$E$2:$G$11,2,false))</f>
        <v>55</v>
      </c>
      <c r="M1078" s="18" t="str">
        <f>iferror(VLOOKUP($D1078,Details!$A$2:$C$11,3,false),vlookup($D1078,Details!$E$2:$G$11,3,false))</f>
        <v>Fruits and Vegetables</v>
      </c>
      <c r="N1078" s="18">
        <f t="shared" si="1"/>
        <v>55</v>
      </c>
      <c r="O1078" s="17"/>
      <c r="P1078" s="17"/>
      <c r="Q1078" s="17"/>
      <c r="R1078" s="17"/>
      <c r="S1078" s="17"/>
      <c r="T1078" s="17"/>
      <c r="U1078" s="17"/>
      <c r="V1078" s="17"/>
      <c r="W1078" s="17"/>
      <c r="X1078" s="17"/>
      <c r="Y1078" s="17"/>
      <c r="Z1078" s="17"/>
    </row>
    <row r="1079">
      <c r="A1079" s="18" t="str">
        <f>IFERROR(__xludf.DUMMYFUNCTION("""COMPUTED_VALUE"""),"ord_41057")</f>
        <v>ord_41057</v>
      </c>
      <c r="B1079" s="18" t="str">
        <f>IFERROR(__xludf.DUMMYFUNCTION("""COMPUTED_VALUE"""),"Pranav Joshi")</f>
        <v>Pranav Joshi</v>
      </c>
      <c r="C1079" s="18" t="str">
        <f>IFERROR(__xludf.DUMMYFUNCTION("""COMPUTED_VALUE"""),"Andheri")</f>
        <v>Andheri</v>
      </c>
      <c r="D1079" s="18" t="str">
        <f>IFERROR(__xludf.DUMMYFUNCTION("""COMPUTED_VALUE"""),"Cucumber")</f>
        <v>Cucumber</v>
      </c>
      <c r="E1079" s="18">
        <f>IFERROR(__xludf.DUMMYFUNCTION("""COMPUTED_VALUE"""),1.0)</f>
        <v>1</v>
      </c>
      <c r="F1079" s="18" t="str">
        <f>IFERROR(__xludf.DUMMYFUNCTION("""COMPUTED_VALUE"""),"Vivek Kumar")</f>
        <v>Vivek Kumar</v>
      </c>
      <c r="G1079" s="19">
        <f>IFERROR(__xludf.DUMMYFUNCTION("""COMPUTED_VALUE"""),45181.0)</f>
        <v>45181</v>
      </c>
      <c r="H1079" s="18" t="str">
        <f>IFERROR(__xludf.DUMMYFUNCTION("""COMPUTED_VALUE"""),"UPI")</f>
        <v>UPI</v>
      </c>
      <c r="I1079" s="18" t="str">
        <f>IFERROR(__xludf.DUMMYFUNCTION("""COMPUTED_VALUE"""),"Delivered")</f>
        <v>Delivered</v>
      </c>
      <c r="J1079" s="18" t="str">
        <f>IFERROR(__xludf.DUMMYFUNCTION("""COMPUTED_VALUE"""),"On-time Delivery")</f>
        <v>On-time Delivery</v>
      </c>
      <c r="K1079" s="18" t="str">
        <f>IFERROR(__xludf.DUMMYFUNCTION("""COMPUTED_VALUE"""),"Delivered on time")</f>
        <v>Delivered on time</v>
      </c>
      <c r="L1079" s="18">
        <f>iferror(VLOOKUP($D1079,Details!$A$2:$C$11,2,false),vlookup($D1079,Details!$E$2:$G$11,2,false))</f>
        <v>30</v>
      </c>
      <c r="M1079" s="18" t="str">
        <f>iferror(VLOOKUP($D1079,Details!$A$2:$C$11,3,false),vlookup($D1079,Details!$E$2:$G$11,3,false))</f>
        <v>Fruits and Vegetables</v>
      </c>
      <c r="N1079" s="18">
        <f t="shared" si="1"/>
        <v>30</v>
      </c>
      <c r="O1079" s="17"/>
      <c r="P1079" s="17"/>
      <c r="Q1079" s="17"/>
      <c r="R1079" s="17"/>
      <c r="S1079" s="17"/>
      <c r="T1079" s="17"/>
      <c r="U1079" s="17"/>
      <c r="V1079" s="17"/>
      <c r="W1079" s="17"/>
      <c r="X1079" s="17"/>
      <c r="Y1079" s="17"/>
      <c r="Z1079" s="17"/>
    </row>
    <row r="1080">
      <c r="A1080" s="18" t="str">
        <f>IFERROR(__xludf.DUMMYFUNCTION("""COMPUTED_VALUE"""),"ord_41058")</f>
        <v>ord_41058</v>
      </c>
      <c r="B1080" s="18" t="str">
        <f>IFERROR(__xludf.DUMMYFUNCTION("""COMPUTED_VALUE"""),"Aditi Iyer")</f>
        <v>Aditi Iyer</v>
      </c>
      <c r="C1080" s="18" t="str">
        <f>IFERROR(__xludf.DUMMYFUNCTION("""COMPUTED_VALUE"""),"Dadar")</f>
        <v>Dadar</v>
      </c>
      <c r="D1080" s="18" t="str">
        <f>IFERROR(__xludf.DUMMYFUNCTION("""COMPUTED_VALUE"""),"Veg Puff")</f>
        <v>Veg Puff</v>
      </c>
      <c r="E1080" s="18">
        <f>IFERROR(__xludf.DUMMYFUNCTION("""COMPUTED_VALUE"""),3.0)</f>
        <v>3</v>
      </c>
      <c r="F1080" s="18" t="str">
        <f>IFERROR(__xludf.DUMMYFUNCTION("""COMPUTED_VALUE"""),"Sita T")</f>
        <v>Sita T</v>
      </c>
      <c r="G1080" s="19">
        <f>IFERROR(__xludf.DUMMYFUNCTION("""COMPUTED_VALUE"""),45054.0)</f>
        <v>45054</v>
      </c>
      <c r="H1080" s="18" t="str">
        <f>IFERROR(__xludf.DUMMYFUNCTION("""COMPUTED_VALUE"""),"UPI")</f>
        <v>UPI</v>
      </c>
      <c r="I1080" s="18" t="str">
        <f>IFERROR(__xludf.DUMMYFUNCTION("""COMPUTED_VALUE"""),"Delivered")</f>
        <v>Delivered</v>
      </c>
      <c r="J1080" s="18" t="str">
        <f>IFERROR(__xludf.DUMMYFUNCTION("""COMPUTED_VALUE"""),"Quality of Items")</f>
        <v>Quality of Items</v>
      </c>
      <c r="K1080" s="18" t="str">
        <f>IFERROR(__xludf.DUMMYFUNCTION("""COMPUTED_VALUE"""),"Perfect condition")</f>
        <v>Perfect condition</v>
      </c>
      <c r="L1080" s="18">
        <f>iferror(VLOOKUP($D1080,Details!$A$2:$C$11,2,false),vlookup($D1080,Details!$E$2:$G$11,2,false))</f>
        <v>80</v>
      </c>
      <c r="M1080" s="18" t="str">
        <f>iferror(VLOOKUP($D1080,Details!$A$2:$C$11,3,false),vlookup($D1080,Details!$E$2:$G$11,3,false))</f>
        <v>Snacks and Drinks</v>
      </c>
      <c r="N1080" s="18">
        <f t="shared" si="1"/>
        <v>240</v>
      </c>
      <c r="O1080" s="17"/>
      <c r="P1080" s="17"/>
      <c r="Q1080" s="17"/>
      <c r="R1080" s="17"/>
      <c r="S1080" s="17"/>
      <c r="T1080" s="17"/>
      <c r="U1080" s="17"/>
      <c r="V1080" s="17"/>
      <c r="W1080" s="17"/>
      <c r="X1080" s="17"/>
      <c r="Y1080" s="17"/>
      <c r="Z1080" s="17"/>
    </row>
    <row r="1081">
      <c r="A1081" s="18" t="str">
        <f>IFERROR(__xludf.DUMMYFUNCTION("""COMPUTED_VALUE"""),"ord_41059")</f>
        <v>ord_41059</v>
      </c>
      <c r="B1081" s="18" t="str">
        <f>IFERROR(__xludf.DUMMYFUNCTION("""COMPUTED_VALUE"""),"Sanjay Nair")</f>
        <v>Sanjay Nair</v>
      </c>
      <c r="C1081" s="18" t="str">
        <f>IFERROR(__xludf.DUMMYFUNCTION("""COMPUTED_VALUE"""),"Dadar")</f>
        <v>Dadar</v>
      </c>
      <c r="D1081" s="18" t="str">
        <f>IFERROR(__xludf.DUMMYFUNCTION("""COMPUTED_VALUE"""),"Chilli Cheese Toast")</f>
        <v>Chilli Cheese Toast</v>
      </c>
      <c r="E1081" s="18">
        <f>IFERROR(__xludf.DUMMYFUNCTION("""COMPUTED_VALUE"""),2.0)</f>
        <v>2</v>
      </c>
      <c r="F1081" s="18" t="str">
        <f>IFERROR(__xludf.DUMMYFUNCTION("""COMPUTED_VALUE"""),"Manju Ajay")</f>
        <v>Manju Ajay</v>
      </c>
      <c r="G1081" s="19">
        <f>IFERROR(__xludf.DUMMYFUNCTION("""COMPUTED_VALUE"""),45020.0)</f>
        <v>45020</v>
      </c>
      <c r="H1081" s="18" t="str">
        <f>IFERROR(__xludf.DUMMYFUNCTION("""COMPUTED_VALUE"""),"COD")</f>
        <v>COD</v>
      </c>
      <c r="I1081" s="18" t="str">
        <f>IFERROR(__xludf.DUMMYFUNCTION("""COMPUTED_VALUE"""),"Delivered")</f>
        <v>Delivered</v>
      </c>
      <c r="J1081" s="18" t="str">
        <f>IFERROR(__xludf.DUMMYFUNCTION("""COMPUTED_VALUE"""),"Packaging")</f>
        <v>Packaging</v>
      </c>
      <c r="K1081" s="18" t="str">
        <f>IFERROR(__xludf.DUMMYFUNCTION("""COMPUTED_VALUE"""),"Secure and intact")</f>
        <v>Secure and intact</v>
      </c>
      <c r="L1081" s="18">
        <f>iferror(VLOOKUP($D1081,Details!$A$2:$C$11,2,false),vlookup($D1081,Details!$E$2:$G$11,2,false))</f>
        <v>80</v>
      </c>
      <c r="M1081" s="18" t="str">
        <f>iferror(VLOOKUP($D1081,Details!$A$2:$C$11,3,false),vlookup($D1081,Details!$E$2:$G$11,3,false))</f>
        <v>Snacks and Drinks</v>
      </c>
      <c r="N1081" s="18">
        <f t="shared" si="1"/>
        <v>160</v>
      </c>
      <c r="O1081" s="17"/>
      <c r="P1081" s="17"/>
      <c r="Q1081" s="17"/>
      <c r="R1081" s="17"/>
      <c r="S1081" s="17"/>
      <c r="T1081" s="17"/>
      <c r="U1081" s="17"/>
      <c r="V1081" s="17"/>
      <c r="W1081" s="17"/>
      <c r="X1081" s="17"/>
      <c r="Y1081" s="17"/>
      <c r="Z1081" s="17"/>
    </row>
    <row r="1082">
      <c r="A1082" s="18" t="str">
        <f>IFERROR(__xludf.DUMMYFUNCTION("""COMPUTED_VALUE"""),"ord_41060")</f>
        <v>ord_41060</v>
      </c>
      <c r="B1082" s="18" t="str">
        <f>IFERROR(__xludf.DUMMYFUNCTION("""COMPUTED_VALUE"""),"Ishaan Chaturvedi")</f>
        <v>Ishaan Chaturvedi</v>
      </c>
      <c r="C1082" s="18" t="str">
        <f>IFERROR(__xludf.DUMMYFUNCTION("""COMPUTED_VALUE"""),"Bandra")</f>
        <v>Bandra</v>
      </c>
      <c r="D1082" s="18" t="str">
        <f>IFERROR(__xludf.DUMMYFUNCTION("""COMPUTED_VALUE"""),"Chocolate Mousse")</f>
        <v>Chocolate Mousse</v>
      </c>
      <c r="E1082" s="18">
        <f>IFERROR(__xludf.DUMMYFUNCTION("""COMPUTED_VALUE"""),3.0)</f>
        <v>3</v>
      </c>
      <c r="F1082" s="18" t="str">
        <f>IFERROR(__xludf.DUMMYFUNCTION("""COMPUTED_VALUE"""),"Manju Ajay")</f>
        <v>Manju Ajay</v>
      </c>
      <c r="G1082" s="19">
        <f>IFERROR(__xludf.DUMMYFUNCTION("""COMPUTED_VALUE"""),45164.0)</f>
        <v>45164</v>
      </c>
      <c r="H1082" s="18" t="str">
        <f>IFERROR(__xludf.DUMMYFUNCTION("""COMPUTED_VALUE"""),"UPI")</f>
        <v>UPI</v>
      </c>
      <c r="I1082" s="18" t="str">
        <f>IFERROR(__xludf.DUMMYFUNCTION("""COMPUTED_VALUE"""),"Delivered")</f>
        <v>Delivered</v>
      </c>
      <c r="J1082" s="18" t="str">
        <f>IFERROR(__xludf.DUMMYFUNCTION("""COMPUTED_VALUE"""),"Satisfied with the Delivery")</f>
        <v>Satisfied with the Delivery</v>
      </c>
      <c r="K1082" s="18" t="str">
        <f>IFERROR(__xludf.DUMMYFUNCTION("""COMPUTED_VALUE"""),"Timely and quality")</f>
        <v>Timely and quality</v>
      </c>
      <c r="L1082" s="18">
        <f>iferror(VLOOKUP($D1082,Details!$A$2:$C$11,2,false),vlookup($D1082,Details!$E$2:$G$11,2,false))</f>
        <v>145</v>
      </c>
      <c r="M1082" s="18" t="str">
        <f>iferror(VLOOKUP($D1082,Details!$A$2:$C$11,3,false),vlookup($D1082,Details!$E$2:$G$11,3,false))</f>
        <v>Snacks and Drinks</v>
      </c>
      <c r="N1082" s="18">
        <f t="shared" si="1"/>
        <v>435</v>
      </c>
      <c r="O1082" s="17"/>
      <c r="P1082" s="17"/>
      <c r="Q1082" s="17"/>
      <c r="R1082" s="17"/>
      <c r="S1082" s="17"/>
      <c r="T1082" s="17"/>
      <c r="U1082" s="17"/>
      <c r="V1082" s="17"/>
      <c r="W1082" s="17"/>
      <c r="X1082" s="17"/>
      <c r="Y1082" s="17"/>
      <c r="Z1082" s="17"/>
    </row>
    <row r="1083">
      <c r="A1083" s="18" t="str">
        <f>IFERROR(__xludf.DUMMYFUNCTION("""COMPUTED_VALUE"""),"ord_41061")</f>
        <v>ord_41061</v>
      </c>
      <c r="B1083" s="18" t="str">
        <f>IFERROR(__xludf.DUMMYFUNCTION("""COMPUTED_VALUE"""),"Kritika Shetty")</f>
        <v>Kritika Shetty</v>
      </c>
      <c r="C1083" s="18" t="str">
        <f>IFERROR(__xludf.DUMMYFUNCTION("""COMPUTED_VALUE"""),"Malad")</f>
        <v>Malad</v>
      </c>
      <c r="D1083" s="18" t="str">
        <f>IFERROR(__xludf.DUMMYFUNCTION("""COMPUTED_VALUE"""),"Chicken Puff")</f>
        <v>Chicken Puff</v>
      </c>
      <c r="E1083" s="18">
        <f>IFERROR(__xludf.DUMMYFUNCTION("""COMPUTED_VALUE"""),4.0)</f>
        <v>4</v>
      </c>
      <c r="F1083" s="18" t="str">
        <f>IFERROR(__xludf.DUMMYFUNCTION("""COMPUTED_VALUE"""),"Not Assigned")</f>
        <v>Not Assigned</v>
      </c>
      <c r="G1083" s="19">
        <f>IFERROR(__xludf.DUMMYFUNCTION("""COMPUTED_VALUE"""),44952.0)</f>
        <v>44952</v>
      </c>
      <c r="H1083" s="18" t="str">
        <f>IFERROR(__xludf.DUMMYFUNCTION("""COMPUTED_VALUE"""),"Online Payment")</f>
        <v>Online Payment</v>
      </c>
      <c r="I1083" s="18" t="str">
        <f>IFERROR(__xludf.DUMMYFUNCTION("""COMPUTED_VALUE"""),"Cancelled")</f>
        <v>Cancelled</v>
      </c>
      <c r="J1083" s="18" t="str">
        <f>IFERROR(__xludf.DUMMYFUNCTION("""COMPUTED_VALUE"""),"App Glitches")</f>
        <v>App Glitches</v>
      </c>
      <c r="K1083" s="18" t="str">
        <f>IFERROR(__xludf.DUMMYFUNCTION("""COMPUTED_VALUE"""),"Slow Loading Time")</f>
        <v>Slow Loading Time</v>
      </c>
      <c r="L1083" s="18">
        <f>iferror(VLOOKUP($D1083,Details!$A$2:$C$11,2,false),vlookup($D1083,Details!$E$2:$G$11,2,false))</f>
        <v>90</v>
      </c>
      <c r="M1083" s="18" t="str">
        <f>iferror(VLOOKUP($D1083,Details!$A$2:$C$11,3,false),vlookup($D1083,Details!$E$2:$G$11,3,false))</f>
        <v>Snacks and Drinks</v>
      </c>
      <c r="N1083" s="18">
        <f t="shared" si="1"/>
        <v>360</v>
      </c>
      <c r="O1083" s="17"/>
      <c r="P1083" s="17"/>
      <c r="Q1083" s="17"/>
      <c r="R1083" s="17"/>
      <c r="S1083" s="17"/>
      <c r="T1083" s="17"/>
      <c r="U1083" s="17"/>
      <c r="V1083" s="17"/>
      <c r="W1083" s="17"/>
      <c r="X1083" s="17"/>
      <c r="Y1083" s="17"/>
      <c r="Z1083" s="17"/>
    </row>
    <row r="1084">
      <c r="A1084" s="18" t="str">
        <f>IFERROR(__xludf.DUMMYFUNCTION("""COMPUTED_VALUE"""),"ord_41062")</f>
        <v>ord_41062</v>
      </c>
      <c r="B1084" s="18" t="str">
        <f>IFERROR(__xludf.DUMMYFUNCTION("""COMPUTED_VALUE"""),"Sanjay Nair")</f>
        <v>Sanjay Nair</v>
      </c>
      <c r="C1084" s="18" t="str">
        <f>IFERROR(__xludf.DUMMYFUNCTION("""COMPUTED_VALUE"""),"Dadar")</f>
        <v>Dadar</v>
      </c>
      <c r="D1084" s="18" t="str">
        <f>IFERROR(__xludf.DUMMYFUNCTION("""COMPUTED_VALUE"""),"Juice")</f>
        <v>Juice</v>
      </c>
      <c r="E1084" s="18">
        <f>IFERROR(__xludf.DUMMYFUNCTION("""COMPUTED_VALUE"""),5.0)</f>
        <v>5</v>
      </c>
      <c r="F1084" s="18" t="str">
        <f>IFERROR(__xludf.DUMMYFUNCTION("""COMPUTED_VALUE"""),"Nikhil Deshmukh")</f>
        <v>Nikhil Deshmukh</v>
      </c>
      <c r="G1084" s="19">
        <f>IFERROR(__xludf.DUMMYFUNCTION("""COMPUTED_VALUE"""),45010.0)</f>
        <v>45010</v>
      </c>
      <c r="H1084" s="18" t="str">
        <f>IFERROR(__xludf.DUMMYFUNCTION("""COMPUTED_VALUE"""),"Online Payment")</f>
        <v>Online Payment</v>
      </c>
      <c r="I1084" s="18" t="str">
        <f>IFERROR(__xludf.DUMMYFUNCTION("""COMPUTED_VALUE"""),"Cancelled")</f>
        <v>Cancelled</v>
      </c>
      <c r="J1084" s="18" t="str">
        <f>IFERROR(__xludf.DUMMYFUNCTION("""COMPUTED_VALUE"""),"Delayed Delivery")</f>
        <v>Delayed Delivery</v>
      </c>
      <c r="K1084" s="18" t="str">
        <f>IFERROR(__xludf.DUMMYFUNCTION("""COMPUTED_VALUE"""),"Bad Weather Conditions")</f>
        <v>Bad Weather Conditions</v>
      </c>
      <c r="L1084" s="18">
        <f>iferror(VLOOKUP($D1084,Details!$A$2:$C$11,2,false),vlookup($D1084,Details!$E$2:$G$11,2,false))</f>
        <v>90</v>
      </c>
      <c r="M1084" s="18" t="str">
        <f>iferror(VLOOKUP($D1084,Details!$A$2:$C$11,3,false),vlookup($D1084,Details!$E$2:$G$11,3,false))</f>
        <v>Snacks and Drinks</v>
      </c>
      <c r="N1084" s="18">
        <f t="shared" si="1"/>
        <v>450</v>
      </c>
      <c r="O1084" s="17"/>
      <c r="P1084" s="17"/>
      <c r="Q1084" s="17"/>
      <c r="R1084" s="17"/>
      <c r="S1084" s="17"/>
      <c r="T1084" s="17"/>
      <c r="U1084" s="17"/>
      <c r="V1084" s="17"/>
      <c r="W1084" s="17"/>
      <c r="X1084" s="17"/>
      <c r="Y1084" s="17"/>
      <c r="Z1084" s="17"/>
    </row>
    <row r="1085">
      <c r="A1085" s="18" t="str">
        <f>IFERROR(__xludf.DUMMYFUNCTION("""COMPUTED_VALUE"""),"ord_41063")</f>
        <v>ord_41063</v>
      </c>
      <c r="B1085" s="18" t="str">
        <f>IFERROR(__xludf.DUMMYFUNCTION("""COMPUTED_VALUE"""),"Ishaan Chaturvedi")</f>
        <v>Ishaan Chaturvedi</v>
      </c>
      <c r="C1085" s="18" t="str">
        <f>IFERROR(__xludf.DUMMYFUNCTION("""COMPUTED_VALUE"""),"Bandra")</f>
        <v>Bandra</v>
      </c>
      <c r="D1085" s="18" t="str">
        <f>IFERROR(__xludf.DUMMYFUNCTION("""COMPUTED_VALUE"""),"Veg Puff")</f>
        <v>Veg Puff</v>
      </c>
      <c r="E1085" s="18">
        <f>IFERROR(__xludf.DUMMYFUNCTION("""COMPUTED_VALUE"""),4.0)</f>
        <v>4</v>
      </c>
      <c r="F1085" s="18" t="str">
        <f>IFERROR(__xludf.DUMMYFUNCTION("""COMPUTED_VALUE"""),"Not Assigned")</f>
        <v>Not Assigned</v>
      </c>
      <c r="G1085" s="19">
        <f>IFERROR(__xludf.DUMMYFUNCTION("""COMPUTED_VALUE"""),45128.0)</f>
        <v>45128</v>
      </c>
      <c r="H1085" s="18" t="str">
        <f>IFERROR(__xludf.DUMMYFUNCTION("""COMPUTED_VALUE"""),"UPI")</f>
        <v>UPI</v>
      </c>
      <c r="I1085" s="18" t="str">
        <f>IFERROR(__xludf.DUMMYFUNCTION("""COMPUTED_VALUE"""),"Cancelled")</f>
        <v>Cancelled</v>
      </c>
      <c r="J1085" s="18" t="str">
        <f>IFERROR(__xludf.DUMMYFUNCTION("""COMPUTED_VALUE"""),"Payment Issues")</f>
        <v>Payment Issues</v>
      </c>
      <c r="K1085" s="18"/>
      <c r="L1085" s="18">
        <f>iferror(VLOOKUP($D1085,Details!$A$2:$C$11,2,false),vlookup($D1085,Details!$E$2:$G$11,2,false))</f>
        <v>80</v>
      </c>
      <c r="M1085" s="18" t="str">
        <f>iferror(VLOOKUP($D1085,Details!$A$2:$C$11,3,false),vlookup($D1085,Details!$E$2:$G$11,3,false))</f>
        <v>Snacks and Drinks</v>
      </c>
      <c r="N1085" s="18">
        <f t="shared" si="1"/>
        <v>320</v>
      </c>
      <c r="O1085" s="17"/>
      <c r="P1085" s="17"/>
      <c r="Q1085" s="17"/>
      <c r="R1085" s="17"/>
      <c r="S1085" s="17"/>
      <c r="T1085" s="17"/>
      <c r="U1085" s="17"/>
      <c r="V1085" s="17"/>
      <c r="W1085" s="17"/>
      <c r="X1085" s="17"/>
      <c r="Y1085" s="17"/>
      <c r="Z1085" s="17"/>
    </row>
    <row r="1086">
      <c r="A1086" s="18" t="str">
        <f>IFERROR(__xludf.DUMMYFUNCTION("""COMPUTED_VALUE"""),"ord_41064")</f>
        <v>ord_41064</v>
      </c>
      <c r="B1086" s="18" t="str">
        <f>IFERROR(__xludf.DUMMYFUNCTION("""COMPUTED_VALUE"""),"Omkar Mishra")</f>
        <v>Omkar Mishra</v>
      </c>
      <c r="C1086" s="18" t="str">
        <f>IFERROR(__xludf.DUMMYFUNCTION("""COMPUTED_VALUE"""),"Powai")</f>
        <v>Powai</v>
      </c>
      <c r="D1086" s="18" t="str">
        <f>IFERROR(__xludf.DUMMYFUNCTION("""COMPUTED_VALUE"""),"Apple")</f>
        <v>Apple</v>
      </c>
      <c r="E1086" s="18">
        <f>IFERROR(__xludf.DUMMYFUNCTION("""COMPUTED_VALUE"""),1.0)</f>
        <v>1</v>
      </c>
      <c r="F1086" s="18" t="str">
        <f>IFERROR(__xludf.DUMMYFUNCTION("""COMPUTED_VALUE"""),"Vivek Kumar")</f>
        <v>Vivek Kumar</v>
      </c>
      <c r="G1086" s="19">
        <f>IFERROR(__xludf.DUMMYFUNCTION("""COMPUTED_VALUE"""),45110.0)</f>
        <v>45110</v>
      </c>
      <c r="H1086" s="18" t="str">
        <f>IFERROR(__xludf.DUMMYFUNCTION("""COMPUTED_VALUE"""),"COD")</f>
        <v>COD</v>
      </c>
      <c r="I1086" s="18" t="str">
        <f>IFERROR(__xludf.DUMMYFUNCTION("""COMPUTED_VALUE"""),"Delivered")</f>
        <v>Delivered</v>
      </c>
      <c r="J1086" s="18" t="str">
        <f>IFERROR(__xludf.DUMMYFUNCTION("""COMPUTED_VALUE"""),"Customer Service")</f>
        <v>Customer Service</v>
      </c>
      <c r="K1086" s="18" t="str">
        <f>IFERROR(__xludf.DUMMYFUNCTION("""COMPUTED_VALUE"""),"Seamless and easy")</f>
        <v>Seamless and easy</v>
      </c>
      <c r="L1086" s="18">
        <f>iferror(VLOOKUP($D1086,Details!$A$2:$C$11,2,false),vlookup($D1086,Details!$E$2:$G$11,2,false))</f>
        <v>230</v>
      </c>
      <c r="M1086" s="18" t="str">
        <f>iferror(VLOOKUP($D1086,Details!$A$2:$C$11,3,false),vlookup($D1086,Details!$E$2:$G$11,3,false))</f>
        <v>Fruits and Vegetables</v>
      </c>
      <c r="N1086" s="18">
        <f t="shared" si="1"/>
        <v>230</v>
      </c>
      <c r="O1086" s="17"/>
      <c r="P1086" s="17"/>
      <c r="Q1086" s="17"/>
      <c r="R1086" s="17"/>
      <c r="S1086" s="17"/>
      <c r="T1086" s="17"/>
      <c r="U1086" s="17"/>
      <c r="V1086" s="17"/>
      <c r="W1086" s="17"/>
      <c r="X1086" s="17"/>
      <c r="Y1086" s="17"/>
      <c r="Z1086" s="17"/>
    </row>
    <row r="1087">
      <c r="A1087" s="18" t="str">
        <f>IFERROR(__xludf.DUMMYFUNCTION("""COMPUTED_VALUE"""),"ord_41065")</f>
        <v>ord_41065</v>
      </c>
      <c r="B1087" s="18" t="str">
        <f>IFERROR(__xludf.DUMMYFUNCTION("""COMPUTED_VALUE"""),"Mohit Malhotra")</f>
        <v>Mohit Malhotra</v>
      </c>
      <c r="C1087" s="18" t="str">
        <f>IFERROR(__xludf.DUMMYFUNCTION("""COMPUTED_VALUE"""),"Lower Parel")</f>
        <v>Lower Parel</v>
      </c>
      <c r="D1087" s="18" t="str">
        <f>IFERROR(__xludf.DUMMYFUNCTION("""COMPUTED_VALUE"""),"Banana")</f>
        <v>Banana</v>
      </c>
      <c r="E1087" s="18">
        <f>IFERROR(__xludf.DUMMYFUNCTION("""COMPUTED_VALUE"""),2.0)</f>
        <v>2</v>
      </c>
      <c r="F1087" s="18" t="str">
        <f>IFERROR(__xludf.DUMMYFUNCTION("""COMPUTED_VALUE"""),"Venu R")</f>
        <v>Venu R</v>
      </c>
      <c r="G1087" s="19">
        <f>IFERROR(__xludf.DUMMYFUNCTION("""COMPUTED_VALUE"""),45060.0)</f>
        <v>45060</v>
      </c>
      <c r="H1087" s="18" t="str">
        <f>IFERROR(__xludf.DUMMYFUNCTION("""COMPUTED_VALUE"""),"Credit Card")</f>
        <v>Credit Card</v>
      </c>
      <c r="I1087" s="18" t="str">
        <f>IFERROR(__xludf.DUMMYFUNCTION("""COMPUTED_VALUE"""),"Delivered")</f>
        <v>Delivered</v>
      </c>
      <c r="J1087" s="18" t="str">
        <f>IFERROR(__xludf.DUMMYFUNCTION("""COMPUTED_VALUE"""),"Delivery Experience")</f>
        <v>Delivery Experience</v>
      </c>
      <c r="K1087" s="18" t="str">
        <f>IFERROR(__xludf.DUMMYFUNCTION("""COMPUTED_VALUE"""),"Quick and professional")</f>
        <v>Quick and professional</v>
      </c>
      <c r="L1087" s="18">
        <f>iferror(VLOOKUP($D1087,Details!$A$2:$C$11,2,false),vlookup($D1087,Details!$E$2:$G$11,2,false))</f>
        <v>80</v>
      </c>
      <c r="M1087" s="18" t="str">
        <f>iferror(VLOOKUP($D1087,Details!$A$2:$C$11,3,false),vlookup($D1087,Details!$E$2:$G$11,3,false))</f>
        <v>Fruits and Vegetables</v>
      </c>
      <c r="N1087" s="18">
        <f t="shared" si="1"/>
        <v>160</v>
      </c>
      <c r="O1087" s="17"/>
      <c r="P1087" s="17"/>
      <c r="Q1087" s="17"/>
      <c r="R1087" s="17"/>
      <c r="S1087" s="17"/>
      <c r="T1087" s="17"/>
      <c r="U1087" s="17"/>
      <c r="V1087" s="17"/>
      <c r="W1087" s="17"/>
      <c r="X1087" s="17"/>
      <c r="Y1087" s="17"/>
      <c r="Z1087" s="17"/>
    </row>
    <row r="1088">
      <c r="A1088" s="18" t="str">
        <f>IFERROR(__xludf.DUMMYFUNCTION("""COMPUTED_VALUE"""),"ord_41066")</f>
        <v>ord_41066</v>
      </c>
      <c r="B1088" s="18" t="str">
        <f>IFERROR(__xludf.DUMMYFUNCTION("""COMPUTED_VALUE"""),"Anaya Rao")</f>
        <v>Anaya Rao</v>
      </c>
      <c r="C1088" s="18" t="str">
        <f>IFERROR(__xludf.DUMMYFUNCTION("""COMPUTED_VALUE"""),"Colaba")</f>
        <v>Colaba</v>
      </c>
      <c r="D1088" s="18" t="str">
        <f>IFERROR(__xludf.DUMMYFUNCTION("""COMPUTED_VALUE"""),"Apple")</f>
        <v>Apple</v>
      </c>
      <c r="E1088" s="18">
        <f>IFERROR(__xludf.DUMMYFUNCTION("""COMPUTED_VALUE"""),1.0)</f>
        <v>1</v>
      </c>
      <c r="F1088" s="18" t="str">
        <f>IFERROR(__xludf.DUMMYFUNCTION("""COMPUTED_VALUE"""),"Ram Gopal")</f>
        <v>Ram Gopal</v>
      </c>
      <c r="G1088" s="19">
        <f>IFERROR(__xludf.DUMMYFUNCTION("""COMPUTED_VALUE"""),45062.0)</f>
        <v>45062</v>
      </c>
      <c r="H1088" s="18" t="str">
        <f>IFERROR(__xludf.DUMMYFUNCTION("""COMPUTED_VALUE"""),"UPI")</f>
        <v>UPI</v>
      </c>
      <c r="I1088" s="18" t="str">
        <f>IFERROR(__xludf.DUMMYFUNCTION("""COMPUTED_VALUE"""),"Cancelled")</f>
        <v>Cancelled</v>
      </c>
      <c r="J1088" s="18" t="str">
        <f>IFERROR(__xludf.DUMMYFUNCTION("""COMPUTED_VALUE"""),"Delayed Delivery")</f>
        <v>Delayed Delivery</v>
      </c>
      <c r="K1088" s="18" t="str">
        <f>IFERROR(__xludf.DUMMYFUNCTION("""COMPUTED_VALUE"""),"Heavy Traffic")</f>
        <v>Heavy Traffic</v>
      </c>
      <c r="L1088" s="18">
        <f>iferror(VLOOKUP($D1088,Details!$A$2:$C$11,2,false),vlookup($D1088,Details!$E$2:$G$11,2,false))</f>
        <v>230</v>
      </c>
      <c r="M1088" s="18" t="str">
        <f>iferror(VLOOKUP($D1088,Details!$A$2:$C$11,3,false),vlookup($D1088,Details!$E$2:$G$11,3,false))</f>
        <v>Fruits and Vegetables</v>
      </c>
      <c r="N1088" s="18">
        <f t="shared" si="1"/>
        <v>230</v>
      </c>
      <c r="O1088" s="17"/>
      <c r="P1088" s="17"/>
      <c r="Q1088" s="17"/>
      <c r="R1088" s="17"/>
      <c r="S1088" s="17"/>
      <c r="T1088" s="17"/>
      <c r="U1088" s="17"/>
      <c r="V1088" s="17"/>
      <c r="W1088" s="17"/>
      <c r="X1088" s="17"/>
      <c r="Y1088" s="17"/>
      <c r="Z1088" s="17"/>
    </row>
    <row r="1089">
      <c r="A1089" s="18" t="str">
        <f>IFERROR(__xludf.DUMMYFUNCTION("""COMPUTED_VALUE"""),"ord_41067")</f>
        <v>ord_41067</v>
      </c>
      <c r="B1089" s="18" t="str">
        <f>IFERROR(__xludf.DUMMYFUNCTION("""COMPUTED_VALUE"""),"Sakshi Tandon")</f>
        <v>Sakshi Tandon</v>
      </c>
      <c r="C1089" s="18" t="str">
        <f>IFERROR(__xludf.DUMMYFUNCTION("""COMPUTED_VALUE"""),"Colaba")</f>
        <v>Colaba</v>
      </c>
      <c r="D1089" s="18" t="str">
        <f>IFERROR(__xludf.DUMMYFUNCTION("""COMPUTED_VALUE"""),"Tiramisu")</f>
        <v>Tiramisu</v>
      </c>
      <c r="E1089" s="18">
        <f>IFERROR(__xludf.DUMMYFUNCTION("""COMPUTED_VALUE"""),5.0)</f>
        <v>5</v>
      </c>
      <c r="F1089" s="18" t="str">
        <f>IFERROR(__xludf.DUMMYFUNCTION("""COMPUTED_VALUE"""),"Not Assigned")</f>
        <v>Not Assigned</v>
      </c>
      <c r="G1089" s="19">
        <f>IFERROR(__xludf.DUMMYFUNCTION("""COMPUTED_VALUE"""),45185.0)</f>
        <v>45185</v>
      </c>
      <c r="H1089" s="18" t="str">
        <f>IFERROR(__xludf.DUMMYFUNCTION("""COMPUTED_VALUE"""),"Credit Card")</f>
        <v>Credit Card</v>
      </c>
      <c r="I1089" s="18" t="str">
        <f>IFERROR(__xludf.DUMMYFUNCTION("""COMPUTED_VALUE"""),"Cancelled")</f>
        <v>Cancelled</v>
      </c>
      <c r="J1089" s="18" t="str">
        <f>IFERROR(__xludf.DUMMYFUNCTION("""COMPUTED_VALUE"""),"Payment Issues")</f>
        <v>Payment Issues</v>
      </c>
      <c r="K1089" s="18"/>
      <c r="L1089" s="18">
        <f>iferror(VLOOKUP($D1089,Details!$A$2:$C$11,2,false),vlookup($D1089,Details!$E$2:$G$11,2,false))</f>
        <v>150</v>
      </c>
      <c r="M1089" s="18" t="str">
        <f>iferror(VLOOKUP($D1089,Details!$A$2:$C$11,3,false),vlookup($D1089,Details!$E$2:$G$11,3,false))</f>
        <v>Snacks and Drinks</v>
      </c>
      <c r="N1089" s="18">
        <f t="shared" si="1"/>
        <v>750</v>
      </c>
      <c r="O1089" s="17"/>
      <c r="P1089" s="17"/>
      <c r="Q1089" s="17"/>
      <c r="R1089" s="17"/>
      <c r="S1089" s="17"/>
      <c r="T1089" s="17"/>
      <c r="U1089" s="17"/>
      <c r="V1089" s="17"/>
      <c r="W1089" s="17"/>
      <c r="X1089" s="17"/>
      <c r="Y1089" s="17"/>
      <c r="Z1089" s="17"/>
    </row>
    <row r="1090">
      <c r="A1090" s="18" t="str">
        <f>IFERROR(__xludf.DUMMYFUNCTION("""COMPUTED_VALUE"""),"ord_41068")</f>
        <v>ord_41068</v>
      </c>
      <c r="B1090" s="18" t="str">
        <f>IFERROR(__xludf.DUMMYFUNCTION("""COMPUTED_VALUE"""),"Sakshi Tandon")</f>
        <v>Sakshi Tandon</v>
      </c>
      <c r="C1090" s="18" t="str">
        <f>IFERROR(__xludf.DUMMYFUNCTION("""COMPUTED_VALUE"""),"Colaba")</f>
        <v>Colaba</v>
      </c>
      <c r="D1090" s="18" t="str">
        <f>IFERROR(__xludf.DUMMYFUNCTION("""COMPUTED_VALUE"""),"Icecream")</f>
        <v>Icecream</v>
      </c>
      <c r="E1090" s="18">
        <f>IFERROR(__xludf.DUMMYFUNCTION("""COMPUTED_VALUE"""),1.0)</f>
        <v>1</v>
      </c>
      <c r="F1090" s="18" t="str">
        <f>IFERROR(__xludf.DUMMYFUNCTION("""COMPUTED_VALUE"""),"Not Assigned")</f>
        <v>Not Assigned</v>
      </c>
      <c r="G1090" s="19">
        <f>IFERROR(__xludf.DUMMYFUNCTION("""COMPUTED_VALUE"""),45100.0)</f>
        <v>45100</v>
      </c>
      <c r="H1090" s="18" t="str">
        <f>IFERROR(__xludf.DUMMYFUNCTION("""COMPUTED_VALUE"""),"UPI")</f>
        <v>UPI</v>
      </c>
      <c r="I1090" s="18" t="str">
        <f>IFERROR(__xludf.DUMMYFUNCTION("""COMPUTED_VALUE"""),"Cancelled")</f>
        <v>Cancelled</v>
      </c>
      <c r="J1090" s="18" t="str">
        <f>IFERROR(__xludf.DUMMYFUNCTION("""COMPUTED_VALUE"""),"App Glitches")</f>
        <v>App Glitches</v>
      </c>
      <c r="K1090" s="18" t="str">
        <f>IFERROR(__xludf.DUMMYFUNCTION("""COMPUTED_VALUE"""),"Missing Content")</f>
        <v>Missing Content</v>
      </c>
      <c r="L1090" s="18">
        <f>iferror(VLOOKUP($D1090,Details!$A$2:$C$11,2,false),vlookup($D1090,Details!$E$2:$G$11,2,false))</f>
        <v>90</v>
      </c>
      <c r="M1090" s="18" t="str">
        <f>iferror(VLOOKUP($D1090,Details!$A$2:$C$11,3,false),vlookup($D1090,Details!$E$2:$G$11,3,false))</f>
        <v>Snacks and Drinks</v>
      </c>
      <c r="N1090" s="18">
        <f t="shared" si="1"/>
        <v>90</v>
      </c>
      <c r="O1090" s="17"/>
      <c r="P1090" s="17"/>
      <c r="Q1090" s="17"/>
      <c r="R1090" s="17"/>
      <c r="S1090" s="17"/>
      <c r="T1090" s="17"/>
      <c r="U1090" s="17"/>
      <c r="V1090" s="17"/>
      <c r="W1090" s="17"/>
      <c r="X1090" s="17"/>
      <c r="Y1090" s="17"/>
      <c r="Z1090" s="17"/>
    </row>
    <row r="1091">
      <c r="A1091" s="18" t="str">
        <f>IFERROR(__xludf.DUMMYFUNCTION("""COMPUTED_VALUE"""),"ord_41069")</f>
        <v>ord_41069</v>
      </c>
      <c r="B1091" s="18" t="str">
        <f>IFERROR(__xludf.DUMMYFUNCTION("""COMPUTED_VALUE"""),"Sanjay Nair")</f>
        <v>Sanjay Nair</v>
      </c>
      <c r="C1091" s="18" t="str">
        <f>IFERROR(__xludf.DUMMYFUNCTION("""COMPUTED_VALUE"""),"Dadar")</f>
        <v>Dadar</v>
      </c>
      <c r="D1091" s="18" t="str">
        <f>IFERROR(__xludf.DUMMYFUNCTION("""COMPUTED_VALUE"""),"Chicken Puff")</f>
        <v>Chicken Puff</v>
      </c>
      <c r="E1091" s="18">
        <f>IFERROR(__xludf.DUMMYFUNCTION("""COMPUTED_VALUE"""),5.0)</f>
        <v>5</v>
      </c>
      <c r="F1091" s="18" t="str">
        <f>IFERROR(__xludf.DUMMYFUNCTION("""COMPUTED_VALUE"""),"Not Assigned")</f>
        <v>Not Assigned</v>
      </c>
      <c r="G1091" s="19">
        <f>IFERROR(__xludf.DUMMYFUNCTION("""COMPUTED_VALUE"""),45003.0)</f>
        <v>45003</v>
      </c>
      <c r="H1091" s="18" t="str">
        <f>IFERROR(__xludf.DUMMYFUNCTION("""COMPUTED_VALUE"""),"Credit Card")</f>
        <v>Credit Card</v>
      </c>
      <c r="I1091" s="18" t="str">
        <f>IFERROR(__xludf.DUMMYFUNCTION("""COMPUTED_VALUE"""),"Cancelled")</f>
        <v>Cancelled</v>
      </c>
      <c r="J1091" s="18" t="str">
        <f>IFERROR(__xludf.DUMMYFUNCTION("""COMPUTED_VALUE"""),"High Delivery Fees")</f>
        <v>High Delivery Fees</v>
      </c>
      <c r="K1091" s="18"/>
      <c r="L1091" s="18">
        <f>iferror(VLOOKUP($D1091,Details!$A$2:$C$11,2,false),vlookup($D1091,Details!$E$2:$G$11,2,false))</f>
        <v>90</v>
      </c>
      <c r="M1091" s="18" t="str">
        <f>iferror(VLOOKUP($D1091,Details!$A$2:$C$11,3,false),vlookup($D1091,Details!$E$2:$G$11,3,false))</f>
        <v>Snacks and Drinks</v>
      </c>
      <c r="N1091" s="18">
        <f t="shared" si="1"/>
        <v>450</v>
      </c>
      <c r="O1091" s="17"/>
      <c r="P1091" s="17"/>
      <c r="Q1091" s="17"/>
      <c r="R1091" s="17"/>
      <c r="S1091" s="17"/>
      <c r="T1091" s="17"/>
      <c r="U1091" s="17"/>
      <c r="V1091" s="17"/>
      <c r="W1091" s="17"/>
      <c r="X1091" s="17"/>
      <c r="Y1091" s="17"/>
      <c r="Z1091" s="17"/>
    </row>
    <row r="1092">
      <c r="A1092" s="18" t="str">
        <f>IFERROR(__xludf.DUMMYFUNCTION("""COMPUTED_VALUE"""),"ord_41070")</f>
        <v>ord_41070</v>
      </c>
      <c r="B1092" s="18" t="str">
        <f>IFERROR(__xludf.DUMMYFUNCTION("""COMPUTED_VALUE"""),"Mehul Thakkar")</f>
        <v>Mehul Thakkar</v>
      </c>
      <c r="C1092" s="18" t="str">
        <f>IFERROR(__xludf.DUMMYFUNCTION("""COMPUTED_VALUE"""),"Malad")</f>
        <v>Malad</v>
      </c>
      <c r="D1092" s="18" t="str">
        <f>IFERROR(__xludf.DUMMYFUNCTION("""COMPUTED_VALUE"""),"Veg Puff")</f>
        <v>Veg Puff</v>
      </c>
      <c r="E1092" s="18">
        <f>IFERROR(__xludf.DUMMYFUNCTION("""COMPUTED_VALUE"""),1.0)</f>
        <v>1</v>
      </c>
      <c r="F1092" s="18" t="str">
        <f>IFERROR(__xludf.DUMMYFUNCTION("""COMPUTED_VALUE"""),"Manju Ajay")</f>
        <v>Manju Ajay</v>
      </c>
      <c r="G1092" s="19">
        <f>IFERROR(__xludf.DUMMYFUNCTION("""COMPUTED_VALUE"""),45071.0)</f>
        <v>45071</v>
      </c>
      <c r="H1092" s="18" t="str">
        <f>IFERROR(__xludf.DUMMYFUNCTION("""COMPUTED_VALUE"""),"UPI")</f>
        <v>UPI</v>
      </c>
      <c r="I1092" s="18" t="str">
        <f>IFERROR(__xludf.DUMMYFUNCTION("""COMPUTED_VALUE"""),"Delivered")</f>
        <v>Delivered</v>
      </c>
      <c r="J1092" s="18" t="str">
        <f>IFERROR(__xludf.DUMMYFUNCTION("""COMPUTED_VALUE"""),"Convenience")</f>
        <v>Convenience</v>
      </c>
      <c r="K1092" s="18" t="str">
        <f>IFERROR(__xludf.DUMMYFUNCTION("""COMPUTED_VALUE"""),"Easy tracking")</f>
        <v>Easy tracking</v>
      </c>
      <c r="L1092" s="18">
        <f>iferror(VLOOKUP($D1092,Details!$A$2:$C$11,2,false),vlookup($D1092,Details!$E$2:$G$11,2,false))</f>
        <v>80</v>
      </c>
      <c r="M1092" s="18" t="str">
        <f>iferror(VLOOKUP($D1092,Details!$A$2:$C$11,3,false),vlookup($D1092,Details!$E$2:$G$11,3,false))</f>
        <v>Snacks and Drinks</v>
      </c>
      <c r="N1092" s="18">
        <f t="shared" si="1"/>
        <v>80</v>
      </c>
      <c r="O1092" s="17"/>
      <c r="P1092" s="17"/>
      <c r="Q1092" s="17"/>
      <c r="R1092" s="17"/>
      <c r="S1092" s="17"/>
      <c r="T1092" s="17"/>
      <c r="U1092" s="17"/>
      <c r="V1092" s="17"/>
      <c r="W1092" s="17"/>
      <c r="X1092" s="17"/>
      <c r="Y1092" s="17"/>
      <c r="Z1092" s="17"/>
    </row>
    <row r="1093">
      <c r="A1093" s="18" t="str">
        <f>IFERROR(__xludf.DUMMYFUNCTION("""COMPUTED_VALUE"""),"ord_41071")</f>
        <v>ord_41071</v>
      </c>
      <c r="B1093" s="18" t="str">
        <f>IFERROR(__xludf.DUMMYFUNCTION("""COMPUTED_VALUE"""),"Aarohi Kapoor")</f>
        <v>Aarohi Kapoor</v>
      </c>
      <c r="C1093" s="18" t="str">
        <f>IFERROR(__xludf.DUMMYFUNCTION("""COMPUTED_VALUE"""),"Bandra")</f>
        <v>Bandra</v>
      </c>
      <c r="D1093" s="18" t="str">
        <f>IFERROR(__xludf.DUMMYFUNCTION("""COMPUTED_VALUE"""),"Sweet Corn")</f>
        <v>Sweet Corn</v>
      </c>
      <c r="E1093" s="18">
        <f>IFERROR(__xludf.DUMMYFUNCTION("""COMPUTED_VALUE"""),2.0)</f>
        <v>2</v>
      </c>
      <c r="F1093" s="18" t="str">
        <f>IFERROR(__xludf.DUMMYFUNCTION("""COMPUTED_VALUE"""),"Shine Thomas")</f>
        <v>Shine Thomas</v>
      </c>
      <c r="G1093" s="19">
        <f>IFERROR(__xludf.DUMMYFUNCTION("""COMPUTED_VALUE"""),45203.0)</f>
        <v>45203</v>
      </c>
      <c r="H1093" s="18" t="str">
        <f>IFERROR(__xludf.DUMMYFUNCTION("""COMPUTED_VALUE"""),"UPI")</f>
        <v>UPI</v>
      </c>
      <c r="I1093" s="18" t="str">
        <f>IFERROR(__xludf.DUMMYFUNCTION("""COMPUTED_VALUE"""),"Delivered")</f>
        <v>Delivered</v>
      </c>
      <c r="J1093" s="18" t="str">
        <f>IFERROR(__xludf.DUMMYFUNCTION("""COMPUTED_VALUE"""),"Overall Satisfaction")</f>
        <v>Overall Satisfaction</v>
      </c>
      <c r="K1093" s="18" t="str">
        <f>IFERROR(__xludf.DUMMYFUNCTION("""COMPUTED_VALUE"""),"Great service will order again")</f>
        <v>Great service will order again</v>
      </c>
      <c r="L1093" s="18">
        <f>iferror(VLOOKUP($D1093,Details!$A$2:$C$11,2,false),vlookup($D1093,Details!$E$2:$G$11,2,false))</f>
        <v>60</v>
      </c>
      <c r="M1093" s="18" t="str">
        <f>iferror(VLOOKUP($D1093,Details!$A$2:$C$11,3,false),vlookup($D1093,Details!$E$2:$G$11,3,false))</f>
        <v>Fruits and Vegetables</v>
      </c>
      <c r="N1093" s="18">
        <f t="shared" si="1"/>
        <v>120</v>
      </c>
      <c r="O1093" s="17"/>
      <c r="P1093" s="17"/>
      <c r="Q1093" s="17"/>
      <c r="R1093" s="17"/>
      <c r="S1093" s="17"/>
      <c r="T1093" s="17"/>
      <c r="U1093" s="17"/>
      <c r="V1093" s="17"/>
      <c r="W1093" s="17"/>
      <c r="X1093" s="17"/>
      <c r="Y1093" s="17"/>
      <c r="Z1093" s="17"/>
    </row>
    <row r="1094">
      <c r="A1094" s="18" t="str">
        <f>IFERROR(__xludf.DUMMYFUNCTION("""COMPUTED_VALUE"""),"ord_41072")</f>
        <v>ord_41072</v>
      </c>
      <c r="B1094" s="18" t="str">
        <f>IFERROR(__xludf.DUMMYFUNCTION("""COMPUTED_VALUE"""),"Mohit Malhotra")</f>
        <v>Mohit Malhotra</v>
      </c>
      <c r="C1094" s="18" t="str">
        <f>IFERROR(__xludf.DUMMYFUNCTION("""COMPUTED_VALUE"""),"Lower Parel")</f>
        <v>Lower Parel</v>
      </c>
      <c r="D1094" s="18" t="str">
        <f>IFERROR(__xludf.DUMMYFUNCTION("""COMPUTED_VALUE"""),"Cucumber")</f>
        <v>Cucumber</v>
      </c>
      <c r="E1094" s="18">
        <f>IFERROR(__xludf.DUMMYFUNCTION("""COMPUTED_VALUE"""),2.0)</f>
        <v>2</v>
      </c>
      <c r="F1094" s="18" t="str">
        <f>IFERROR(__xludf.DUMMYFUNCTION("""COMPUTED_VALUE"""),"Not Assigned")</f>
        <v>Not Assigned</v>
      </c>
      <c r="G1094" s="19">
        <f>IFERROR(__xludf.DUMMYFUNCTION("""COMPUTED_VALUE"""),45019.0)</f>
        <v>45019</v>
      </c>
      <c r="H1094" s="18" t="str">
        <f>IFERROR(__xludf.DUMMYFUNCTION("""COMPUTED_VALUE"""),"UPI")</f>
        <v>UPI</v>
      </c>
      <c r="I1094" s="18" t="str">
        <f>IFERROR(__xludf.DUMMYFUNCTION("""COMPUTED_VALUE"""),"Cancelled")</f>
        <v>Cancelled</v>
      </c>
      <c r="J1094" s="18" t="str">
        <f>IFERROR(__xludf.DUMMYFUNCTION("""COMPUTED_VALUE"""),"App Glitches")</f>
        <v>App Glitches</v>
      </c>
      <c r="K1094" s="18" t="str">
        <f>IFERROR(__xludf.DUMMYFUNCTION("""COMPUTED_VALUE"""),"Payment Button Malfunction")</f>
        <v>Payment Button Malfunction</v>
      </c>
      <c r="L1094" s="18">
        <f>iferror(VLOOKUP($D1094,Details!$A$2:$C$11,2,false),vlookup($D1094,Details!$E$2:$G$11,2,false))</f>
        <v>30</v>
      </c>
      <c r="M1094" s="18" t="str">
        <f>iferror(VLOOKUP($D1094,Details!$A$2:$C$11,3,false),vlookup($D1094,Details!$E$2:$G$11,3,false))</f>
        <v>Fruits and Vegetables</v>
      </c>
      <c r="N1094" s="18">
        <f t="shared" si="1"/>
        <v>60</v>
      </c>
      <c r="O1094" s="17"/>
      <c r="P1094" s="17"/>
      <c r="Q1094" s="17"/>
      <c r="R1094" s="17"/>
      <c r="S1094" s="17"/>
      <c r="T1094" s="17"/>
      <c r="U1094" s="17"/>
      <c r="V1094" s="17"/>
      <c r="W1094" s="17"/>
      <c r="X1094" s="17"/>
      <c r="Y1094" s="17"/>
      <c r="Z1094" s="17"/>
    </row>
    <row r="1095">
      <c r="A1095" s="18" t="str">
        <f>IFERROR(__xludf.DUMMYFUNCTION("""COMPUTED_VALUE"""),"ord_41073")</f>
        <v>ord_41073</v>
      </c>
      <c r="B1095" s="18" t="str">
        <f>IFERROR(__xludf.DUMMYFUNCTION("""COMPUTED_VALUE"""),"Ishita Banerjee")</f>
        <v>Ishita Banerjee</v>
      </c>
      <c r="C1095" s="18" t="str">
        <f>IFERROR(__xludf.DUMMYFUNCTION("""COMPUTED_VALUE"""),"Juhu")</f>
        <v>Juhu</v>
      </c>
      <c r="D1095" s="18" t="str">
        <f>IFERROR(__xludf.DUMMYFUNCTION("""COMPUTED_VALUE"""),"Cucumber")</f>
        <v>Cucumber</v>
      </c>
      <c r="E1095" s="18">
        <f>IFERROR(__xludf.DUMMYFUNCTION("""COMPUTED_VALUE"""),2.0)</f>
        <v>2</v>
      </c>
      <c r="F1095" s="18" t="str">
        <f>IFERROR(__xludf.DUMMYFUNCTION("""COMPUTED_VALUE"""),"Not Assigned")</f>
        <v>Not Assigned</v>
      </c>
      <c r="G1095" s="19">
        <f>IFERROR(__xludf.DUMMYFUNCTION("""COMPUTED_VALUE"""),45069.0)</f>
        <v>45069</v>
      </c>
      <c r="H1095" s="18" t="str">
        <f>IFERROR(__xludf.DUMMYFUNCTION("""COMPUTED_VALUE"""),"Credit Card")</f>
        <v>Credit Card</v>
      </c>
      <c r="I1095" s="18" t="str">
        <f>IFERROR(__xludf.DUMMYFUNCTION("""COMPUTED_VALUE"""),"Cancelled")</f>
        <v>Cancelled</v>
      </c>
      <c r="J1095" s="18" t="str">
        <f>IFERROR(__xludf.DUMMYFUNCTION("""COMPUTED_VALUE"""),"Out of Stock")</f>
        <v>Out of Stock</v>
      </c>
      <c r="K1095" s="18"/>
      <c r="L1095" s="18">
        <f>iferror(VLOOKUP($D1095,Details!$A$2:$C$11,2,false),vlookup($D1095,Details!$E$2:$G$11,2,false))</f>
        <v>30</v>
      </c>
      <c r="M1095" s="18" t="str">
        <f>iferror(VLOOKUP($D1095,Details!$A$2:$C$11,3,false),vlookup($D1095,Details!$E$2:$G$11,3,false))</f>
        <v>Fruits and Vegetables</v>
      </c>
      <c r="N1095" s="18">
        <f t="shared" si="1"/>
        <v>60</v>
      </c>
      <c r="O1095" s="17"/>
      <c r="P1095" s="17"/>
      <c r="Q1095" s="17"/>
      <c r="R1095" s="17"/>
      <c r="S1095" s="17"/>
      <c r="T1095" s="17"/>
      <c r="U1095" s="17"/>
      <c r="V1095" s="17"/>
      <c r="W1095" s="17"/>
      <c r="X1095" s="17"/>
      <c r="Y1095" s="17"/>
      <c r="Z1095" s="17"/>
    </row>
    <row r="1096">
      <c r="A1096" s="18" t="str">
        <f>IFERROR(__xludf.DUMMYFUNCTION("""COMPUTED_VALUE"""),"ord_41074")</f>
        <v>ord_41074</v>
      </c>
      <c r="B1096" s="18" t="str">
        <f>IFERROR(__xludf.DUMMYFUNCTION("""COMPUTED_VALUE"""),"Siya Reddy")</f>
        <v>Siya Reddy</v>
      </c>
      <c r="C1096" s="18" t="str">
        <f>IFERROR(__xludf.DUMMYFUNCTION("""COMPUTED_VALUE"""),"Juhu")</f>
        <v>Juhu</v>
      </c>
      <c r="D1096" s="18" t="str">
        <f>IFERROR(__xludf.DUMMYFUNCTION("""COMPUTED_VALUE"""),"Orange")</f>
        <v>Orange</v>
      </c>
      <c r="E1096" s="18">
        <f>IFERROR(__xludf.DUMMYFUNCTION("""COMPUTED_VALUE"""),1.0)</f>
        <v>1</v>
      </c>
      <c r="F1096" s="18" t="str">
        <f>IFERROR(__xludf.DUMMYFUNCTION("""COMPUTED_VALUE"""),"Ramesh S")</f>
        <v>Ramesh S</v>
      </c>
      <c r="G1096" s="19">
        <f>IFERROR(__xludf.DUMMYFUNCTION("""COMPUTED_VALUE"""),45220.0)</f>
        <v>45220</v>
      </c>
      <c r="H1096" s="18" t="str">
        <f>IFERROR(__xludf.DUMMYFUNCTION("""COMPUTED_VALUE"""),"Credit Card")</f>
        <v>Credit Card</v>
      </c>
      <c r="I1096" s="18" t="str">
        <f>IFERROR(__xludf.DUMMYFUNCTION("""COMPUTED_VALUE"""),"Delivered")</f>
        <v>Delivered</v>
      </c>
      <c r="J1096" s="18" t="str">
        <f>IFERROR(__xludf.DUMMYFUNCTION("""COMPUTED_VALUE"""),"On-time Delivery")</f>
        <v>On-time Delivery</v>
      </c>
      <c r="K1096" s="18" t="str">
        <f>IFERROR(__xludf.DUMMYFUNCTION("""COMPUTED_VALUE"""),"Delivered on time")</f>
        <v>Delivered on time</v>
      </c>
      <c r="L1096" s="18">
        <f>iferror(VLOOKUP($D1096,Details!$A$2:$C$11,2,false),vlookup($D1096,Details!$E$2:$G$11,2,false))</f>
        <v>180</v>
      </c>
      <c r="M1096" s="18" t="str">
        <f>iferror(VLOOKUP($D1096,Details!$A$2:$C$11,3,false),vlookup($D1096,Details!$E$2:$G$11,3,false))</f>
        <v>Fruits and Vegetables</v>
      </c>
      <c r="N1096" s="18">
        <f t="shared" si="1"/>
        <v>180</v>
      </c>
      <c r="O1096" s="17"/>
      <c r="P1096" s="17"/>
      <c r="Q1096" s="17"/>
      <c r="R1096" s="17"/>
      <c r="S1096" s="17"/>
      <c r="T1096" s="17"/>
      <c r="U1096" s="17"/>
      <c r="V1096" s="17"/>
      <c r="W1096" s="17"/>
      <c r="X1096" s="17"/>
      <c r="Y1096" s="17"/>
      <c r="Z1096" s="17"/>
    </row>
    <row r="1097">
      <c r="A1097" s="18" t="str">
        <f>IFERROR(__xludf.DUMMYFUNCTION("""COMPUTED_VALUE"""),"ord_41075")</f>
        <v>ord_41075</v>
      </c>
      <c r="B1097" s="18" t="str">
        <f>IFERROR(__xludf.DUMMYFUNCTION("""COMPUTED_VALUE"""),"Ishita Banerjee")</f>
        <v>Ishita Banerjee</v>
      </c>
      <c r="C1097" s="18" t="str">
        <f>IFERROR(__xludf.DUMMYFUNCTION("""COMPUTED_VALUE"""),"Juhu")</f>
        <v>Juhu</v>
      </c>
      <c r="D1097" s="18" t="str">
        <f>IFERROR(__xludf.DUMMYFUNCTION("""COMPUTED_VALUE"""),"Potato")</f>
        <v>Potato</v>
      </c>
      <c r="E1097" s="18">
        <f>IFERROR(__xludf.DUMMYFUNCTION("""COMPUTED_VALUE"""),2.0)</f>
        <v>2</v>
      </c>
      <c r="F1097" s="18" t="str">
        <f>IFERROR(__xludf.DUMMYFUNCTION("""COMPUTED_VALUE"""),"Ramesh S")</f>
        <v>Ramesh S</v>
      </c>
      <c r="G1097" s="19">
        <f>IFERROR(__xludf.DUMMYFUNCTION("""COMPUTED_VALUE"""),45041.0)</f>
        <v>45041</v>
      </c>
      <c r="H1097" s="18" t="str">
        <f>IFERROR(__xludf.DUMMYFUNCTION("""COMPUTED_VALUE"""),"COD")</f>
        <v>COD</v>
      </c>
      <c r="I1097" s="18" t="str">
        <f>IFERROR(__xludf.DUMMYFUNCTION("""COMPUTED_VALUE"""),"Delivered")</f>
        <v>Delivered</v>
      </c>
      <c r="J1097" s="18" t="str">
        <f>IFERROR(__xludf.DUMMYFUNCTION("""COMPUTED_VALUE"""),"Quality of Items")</f>
        <v>Quality of Items</v>
      </c>
      <c r="K1097" s="18" t="str">
        <f>IFERROR(__xludf.DUMMYFUNCTION("""COMPUTED_VALUE"""),"Perfect condition")</f>
        <v>Perfect condition</v>
      </c>
      <c r="L1097" s="18">
        <f>iferror(VLOOKUP($D1097,Details!$A$2:$C$11,2,false),vlookup($D1097,Details!$E$2:$G$11,2,false))</f>
        <v>55</v>
      </c>
      <c r="M1097" s="18" t="str">
        <f>iferror(VLOOKUP($D1097,Details!$A$2:$C$11,3,false),vlookup($D1097,Details!$E$2:$G$11,3,false))</f>
        <v>Fruits and Vegetables</v>
      </c>
      <c r="N1097" s="18">
        <f t="shared" si="1"/>
        <v>110</v>
      </c>
      <c r="O1097" s="17"/>
      <c r="P1097" s="17"/>
      <c r="Q1097" s="17"/>
      <c r="R1097" s="17"/>
      <c r="S1097" s="17"/>
      <c r="T1097" s="17"/>
      <c r="U1097" s="17"/>
      <c r="V1097" s="17"/>
      <c r="W1097" s="17"/>
      <c r="X1097" s="17"/>
      <c r="Y1097" s="17"/>
      <c r="Z1097" s="17"/>
    </row>
    <row r="1098">
      <c r="A1098" s="18" t="str">
        <f>IFERROR(__xludf.DUMMYFUNCTION("""COMPUTED_VALUE"""),"ord_41076")</f>
        <v>ord_41076</v>
      </c>
      <c r="B1098" s="18" t="str">
        <f>IFERROR(__xludf.DUMMYFUNCTION("""COMPUTED_VALUE"""),"Sanjay Nair")</f>
        <v>Sanjay Nair</v>
      </c>
      <c r="C1098" s="18" t="str">
        <f>IFERROR(__xludf.DUMMYFUNCTION("""COMPUTED_VALUE"""),"Dadar")</f>
        <v>Dadar</v>
      </c>
      <c r="D1098" s="18" t="str">
        <f>IFERROR(__xludf.DUMMYFUNCTION("""COMPUTED_VALUE"""),"Papaya")</f>
        <v>Papaya</v>
      </c>
      <c r="E1098" s="18">
        <f>IFERROR(__xludf.DUMMYFUNCTION("""COMPUTED_VALUE"""),2.0)</f>
        <v>2</v>
      </c>
      <c r="F1098" s="18" t="str">
        <f>IFERROR(__xludf.DUMMYFUNCTION("""COMPUTED_VALUE"""),"Ramesh S")</f>
        <v>Ramesh S</v>
      </c>
      <c r="G1098" s="19">
        <f>IFERROR(__xludf.DUMMYFUNCTION("""COMPUTED_VALUE"""),45044.0)</f>
        <v>45044</v>
      </c>
      <c r="H1098" s="18" t="str">
        <f>IFERROR(__xludf.DUMMYFUNCTION("""COMPUTED_VALUE"""),"COD")</f>
        <v>COD</v>
      </c>
      <c r="I1098" s="18" t="str">
        <f>IFERROR(__xludf.DUMMYFUNCTION("""COMPUTED_VALUE"""),"Delivered")</f>
        <v>Delivered</v>
      </c>
      <c r="J1098" s="18" t="str">
        <f>IFERROR(__xludf.DUMMYFUNCTION("""COMPUTED_VALUE"""),"On-time Delivery")</f>
        <v>On-time Delivery</v>
      </c>
      <c r="K1098" s="18" t="str">
        <f>IFERROR(__xludf.DUMMYFUNCTION("""COMPUTED_VALUE"""),"Delivered on time")</f>
        <v>Delivered on time</v>
      </c>
      <c r="L1098" s="18">
        <f>iferror(VLOOKUP($D1098,Details!$A$2:$C$11,2,false),vlookup($D1098,Details!$E$2:$G$11,2,false))</f>
        <v>75</v>
      </c>
      <c r="M1098" s="18" t="str">
        <f>iferror(VLOOKUP($D1098,Details!$A$2:$C$11,3,false),vlookup($D1098,Details!$E$2:$G$11,3,false))</f>
        <v>Fruits and Vegetables</v>
      </c>
      <c r="N1098" s="18">
        <f t="shared" si="1"/>
        <v>150</v>
      </c>
      <c r="O1098" s="17"/>
      <c r="P1098" s="17"/>
      <c r="Q1098" s="17"/>
      <c r="R1098" s="17"/>
      <c r="S1098" s="17"/>
      <c r="T1098" s="17"/>
      <c r="U1098" s="17"/>
      <c r="V1098" s="17"/>
      <c r="W1098" s="17"/>
      <c r="X1098" s="17"/>
      <c r="Y1098" s="17"/>
      <c r="Z1098" s="17"/>
    </row>
    <row r="1099">
      <c r="A1099" s="18" t="str">
        <f>IFERROR(__xludf.DUMMYFUNCTION("""COMPUTED_VALUE"""),"ord_41077")</f>
        <v>ord_41077</v>
      </c>
      <c r="B1099" s="18" t="str">
        <f>IFERROR(__xludf.DUMMYFUNCTION("""COMPUTED_VALUE"""),"Sanjay Nair")</f>
        <v>Sanjay Nair</v>
      </c>
      <c r="C1099" s="18" t="str">
        <f>IFERROR(__xludf.DUMMYFUNCTION("""COMPUTED_VALUE"""),"Dadar")</f>
        <v>Dadar</v>
      </c>
      <c r="D1099" s="18" t="str">
        <f>IFERROR(__xludf.DUMMYFUNCTION("""COMPUTED_VALUE"""),"Guava")</f>
        <v>Guava</v>
      </c>
      <c r="E1099" s="18">
        <f>IFERROR(__xludf.DUMMYFUNCTION("""COMPUTED_VALUE"""),2.0)</f>
        <v>2</v>
      </c>
      <c r="F1099" s="18" t="str">
        <f>IFERROR(__xludf.DUMMYFUNCTION("""COMPUTED_VALUE"""),"Manju Ajay")</f>
        <v>Manju Ajay</v>
      </c>
      <c r="G1099" s="19">
        <f>IFERROR(__xludf.DUMMYFUNCTION("""COMPUTED_VALUE"""),44937.0)</f>
        <v>44937</v>
      </c>
      <c r="H1099" s="18" t="str">
        <f>IFERROR(__xludf.DUMMYFUNCTION("""COMPUTED_VALUE"""),"COD")</f>
        <v>COD</v>
      </c>
      <c r="I1099" s="18" t="str">
        <f>IFERROR(__xludf.DUMMYFUNCTION("""COMPUTED_VALUE"""),"Delivered")</f>
        <v>Delivered</v>
      </c>
      <c r="J1099" s="18" t="str">
        <f>IFERROR(__xludf.DUMMYFUNCTION("""COMPUTED_VALUE"""),"Quality of Items")</f>
        <v>Quality of Items</v>
      </c>
      <c r="K1099" s="18" t="str">
        <f>IFERROR(__xludf.DUMMYFUNCTION("""COMPUTED_VALUE"""),"Perfect condition")</f>
        <v>Perfect condition</v>
      </c>
      <c r="L1099" s="18">
        <f>iferror(VLOOKUP($D1099,Details!$A$2:$C$11,2,false),vlookup($D1099,Details!$E$2:$G$11,2,false))</f>
        <v>70</v>
      </c>
      <c r="M1099" s="18" t="str">
        <f>iferror(VLOOKUP($D1099,Details!$A$2:$C$11,3,false),vlookup($D1099,Details!$E$2:$G$11,3,false))</f>
        <v>Fruits and Vegetables</v>
      </c>
      <c r="N1099" s="18">
        <f t="shared" si="1"/>
        <v>140</v>
      </c>
      <c r="O1099" s="17"/>
      <c r="P1099" s="17"/>
      <c r="Q1099" s="17"/>
      <c r="R1099" s="17"/>
      <c r="S1099" s="17"/>
      <c r="T1099" s="17"/>
      <c r="U1099" s="17"/>
      <c r="V1099" s="17"/>
      <c r="W1099" s="17"/>
      <c r="X1099" s="17"/>
      <c r="Y1099" s="17"/>
      <c r="Z1099" s="17"/>
    </row>
    <row r="1100">
      <c r="A1100" s="18" t="str">
        <f>IFERROR(__xludf.DUMMYFUNCTION("""COMPUTED_VALUE"""),"ord_41078")</f>
        <v>ord_41078</v>
      </c>
      <c r="B1100" s="18" t="str">
        <f>IFERROR(__xludf.DUMMYFUNCTION("""COMPUTED_VALUE"""),"Omkar Mishra")</f>
        <v>Omkar Mishra</v>
      </c>
      <c r="C1100" s="18" t="str">
        <f>IFERROR(__xludf.DUMMYFUNCTION("""COMPUTED_VALUE"""),"Powai")</f>
        <v>Powai</v>
      </c>
      <c r="D1100" s="18" t="str">
        <f>IFERROR(__xludf.DUMMYFUNCTION("""COMPUTED_VALUE"""),"Orange")</f>
        <v>Orange</v>
      </c>
      <c r="E1100" s="18">
        <f>IFERROR(__xludf.DUMMYFUNCTION("""COMPUTED_VALUE"""),2.0)</f>
        <v>2</v>
      </c>
      <c r="F1100" s="18" t="str">
        <f>IFERROR(__xludf.DUMMYFUNCTION("""COMPUTED_VALUE"""),"Manju Ajay")</f>
        <v>Manju Ajay</v>
      </c>
      <c r="G1100" s="19">
        <f>IFERROR(__xludf.DUMMYFUNCTION("""COMPUTED_VALUE"""),44927.0)</f>
        <v>44927</v>
      </c>
      <c r="H1100" s="18" t="str">
        <f>IFERROR(__xludf.DUMMYFUNCTION("""COMPUTED_VALUE"""),"Online Payment")</f>
        <v>Online Payment</v>
      </c>
      <c r="I1100" s="18" t="str">
        <f>IFERROR(__xludf.DUMMYFUNCTION("""COMPUTED_VALUE"""),"Delivered")</f>
        <v>Delivered</v>
      </c>
      <c r="J1100" s="18" t="str">
        <f>IFERROR(__xludf.DUMMYFUNCTION("""COMPUTED_VALUE"""),"Packaging")</f>
        <v>Packaging</v>
      </c>
      <c r="K1100" s="18" t="str">
        <f>IFERROR(__xludf.DUMMYFUNCTION("""COMPUTED_VALUE"""),"Secure and intact")</f>
        <v>Secure and intact</v>
      </c>
      <c r="L1100" s="18">
        <f>iferror(VLOOKUP($D1100,Details!$A$2:$C$11,2,false),vlookup($D1100,Details!$E$2:$G$11,2,false))</f>
        <v>180</v>
      </c>
      <c r="M1100" s="18" t="str">
        <f>iferror(VLOOKUP($D1100,Details!$A$2:$C$11,3,false),vlookup($D1100,Details!$E$2:$G$11,3,false))</f>
        <v>Fruits and Vegetables</v>
      </c>
      <c r="N1100" s="18">
        <f t="shared" si="1"/>
        <v>360</v>
      </c>
      <c r="O1100" s="17"/>
      <c r="P1100" s="17"/>
      <c r="Q1100" s="17"/>
      <c r="R1100" s="17"/>
      <c r="S1100" s="17"/>
      <c r="T1100" s="17"/>
      <c r="U1100" s="17"/>
      <c r="V1100" s="17"/>
      <c r="W1100" s="17"/>
      <c r="X1100" s="17"/>
      <c r="Y1100" s="17"/>
      <c r="Z1100" s="17"/>
    </row>
    <row r="1101">
      <c r="A1101" s="18" t="str">
        <f>IFERROR(__xludf.DUMMYFUNCTION("""COMPUTED_VALUE"""),"ord_41079")</f>
        <v>ord_41079</v>
      </c>
      <c r="B1101" s="18" t="str">
        <f>IFERROR(__xludf.DUMMYFUNCTION("""COMPUTED_VALUE"""),"Mohit Malhotra")</f>
        <v>Mohit Malhotra</v>
      </c>
      <c r="C1101" s="18" t="str">
        <f>IFERROR(__xludf.DUMMYFUNCTION("""COMPUTED_VALUE"""),"Lower Parel")</f>
        <v>Lower Parel</v>
      </c>
      <c r="D1101" s="18" t="str">
        <f>IFERROR(__xludf.DUMMYFUNCTION("""COMPUTED_VALUE"""),"Cucumber")</f>
        <v>Cucumber</v>
      </c>
      <c r="E1101" s="18">
        <f>IFERROR(__xludf.DUMMYFUNCTION("""COMPUTED_VALUE"""),2.0)</f>
        <v>2</v>
      </c>
      <c r="F1101" s="18" t="str">
        <f>IFERROR(__xludf.DUMMYFUNCTION("""COMPUTED_VALUE"""),"Kiran Mehta")</f>
        <v>Kiran Mehta</v>
      </c>
      <c r="G1101" s="19">
        <f>IFERROR(__xludf.DUMMYFUNCTION("""COMPUTED_VALUE"""),45067.0)</f>
        <v>45067</v>
      </c>
      <c r="H1101" s="18" t="str">
        <f>IFERROR(__xludf.DUMMYFUNCTION("""COMPUTED_VALUE"""),"Online Payment")</f>
        <v>Online Payment</v>
      </c>
      <c r="I1101" s="18" t="str">
        <f>IFERROR(__xludf.DUMMYFUNCTION("""COMPUTED_VALUE"""),"Cancelled")</f>
        <v>Cancelled</v>
      </c>
      <c r="J1101" s="18" t="str">
        <f>IFERROR(__xludf.DUMMYFUNCTION("""COMPUTED_VALUE"""),"Delayed Delivery")</f>
        <v>Delayed Delivery</v>
      </c>
      <c r="K1101" s="18" t="str">
        <f>IFERROR(__xludf.DUMMYFUNCTION("""COMPUTED_VALUE"""),"Bad Weather Conditions")</f>
        <v>Bad Weather Conditions</v>
      </c>
      <c r="L1101" s="18">
        <f>iferror(VLOOKUP($D1101,Details!$A$2:$C$11,2,false),vlookup($D1101,Details!$E$2:$G$11,2,false))</f>
        <v>30</v>
      </c>
      <c r="M1101" s="18" t="str">
        <f>iferror(VLOOKUP($D1101,Details!$A$2:$C$11,3,false),vlookup($D1101,Details!$E$2:$G$11,3,false))</f>
        <v>Fruits and Vegetables</v>
      </c>
      <c r="N1101" s="18">
        <f t="shared" si="1"/>
        <v>60</v>
      </c>
      <c r="O1101" s="17"/>
      <c r="P1101" s="17"/>
      <c r="Q1101" s="17"/>
      <c r="R1101" s="17"/>
      <c r="S1101" s="17"/>
      <c r="T1101" s="17"/>
      <c r="U1101" s="17"/>
      <c r="V1101" s="17"/>
      <c r="W1101" s="17"/>
      <c r="X1101" s="17"/>
      <c r="Y1101" s="17"/>
      <c r="Z1101" s="17"/>
    </row>
    <row r="1102">
      <c r="A1102" s="18" t="str">
        <f>IFERROR(__xludf.DUMMYFUNCTION("""COMPUTED_VALUE"""),"ord_41080")</f>
        <v>ord_41080</v>
      </c>
      <c r="B1102" s="18" t="str">
        <f>IFERROR(__xludf.DUMMYFUNCTION("""COMPUTED_VALUE"""),"Sanjay Nair")</f>
        <v>Sanjay Nair</v>
      </c>
      <c r="C1102" s="18" t="str">
        <f>IFERROR(__xludf.DUMMYFUNCTION("""COMPUTED_VALUE"""),"Dadar")</f>
        <v>Dadar</v>
      </c>
      <c r="D1102" s="18" t="str">
        <f>IFERROR(__xludf.DUMMYFUNCTION("""COMPUTED_VALUE"""),"Tiramisu")</f>
        <v>Tiramisu</v>
      </c>
      <c r="E1102" s="18">
        <f>IFERROR(__xludf.DUMMYFUNCTION("""COMPUTED_VALUE"""),4.0)</f>
        <v>4</v>
      </c>
      <c r="F1102" s="18" t="str">
        <f>IFERROR(__xludf.DUMMYFUNCTION("""COMPUTED_VALUE"""),"Ram Gopal")</f>
        <v>Ram Gopal</v>
      </c>
      <c r="G1102" s="19">
        <f>IFERROR(__xludf.DUMMYFUNCTION("""COMPUTED_VALUE"""),45256.0)</f>
        <v>45256</v>
      </c>
      <c r="H1102" s="18" t="str">
        <f>IFERROR(__xludf.DUMMYFUNCTION("""COMPUTED_VALUE"""),"UPI")</f>
        <v>UPI</v>
      </c>
      <c r="I1102" s="18" t="str">
        <f>IFERROR(__xludf.DUMMYFUNCTION("""COMPUTED_VALUE"""),"Delivered")</f>
        <v>Delivered</v>
      </c>
      <c r="J1102" s="18" t="str">
        <f>IFERROR(__xludf.DUMMYFUNCTION("""COMPUTED_VALUE"""),"Satisfied with the Delivery")</f>
        <v>Satisfied with the Delivery</v>
      </c>
      <c r="K1102" s="18" t="str">
        <f>IFERROR(__xludf.DUMMYFUNCTION("""COMPUTED_VALUE"""),"Timely and quality")</f>
        <v>Timely and quality</v>
      </c>
      <c r="L1102" s="18">
        <f>iferror(VLOOKUP($D1102,Details!$A$2:$C$11,2,false),vlookup($D1102,Details!$E$2:$G$11,2,false))</f>
        <v>150</v>
      </c>
      <c r="M1102" s="18" t="str">
        <f>iferror(VLOOKUP($D1102,Details!$A$2:$C$11,3,false),vlookup($D1102,Details!$E$2:$G$11,3,false))</f>
        <v>Snacks and Drinks</v>
      </c>
      <c r="N1102" s="18">
        <f t="shared" si="1"/>
        <v>600</v>
      </c>
      <c r="O1102" s="17"/>
      <c r="P1102" s="17"/>
      <c r="Q1102" s="17"/>
      <c r="R1102" s="17"/>
      <c r="S1102" s="17"/>
      <c r="T1102" s="17"/>
      <c r="U1102" s="17"/>
      <c r="V1102" s="17"/>
      <c r="W1102" s="17"/>
      <c r="X1102" s="17"/>
      <c r="Y1102" s="17"/>
      <c r="Z1102" s="17"/>
    </row>
    <row r="1103">
      <c r="A1103" s="18" t="str">
        <f>IFERROR(__xludf.DUMMYFUNCTION("""COMPUTED_VALUE"""),"ord_41081")</f>
        <v>ord_41081</v>
      </c>
      <c r="B1103" s="18" t="str">
        <f>IFERROR(__xludf.DUMMYFUNCTION("""COMPUTED_VALUE"""),"Mehul Thakkar")</f>
        <v>Mehul Thakkar</v>
      </c>
      <c r="C1103" s="18" t="str">
        <f>IFERROR(__xludf.DUMMYFUNCTION("""COMPUTED_VALUE"""),"Malad")</f>
        <v>Malad</v>
      </c>
      <c r="D1103" s="18" t="str">
        <f>IFERROR(__xludf.DUMMYFUNCTION("""COMPUTED_VALUE"""),"Chicken Puff")</f>
        <v>Chicken Puff</v>
      </c>
      <c r="E1103" s="18">
        <f>IFERROR(__xludf.DUMMYFUNCTION("""COMPUTED_VALUE"""),5.0)</f>
        <v>5</v>
      </c>
      <c r="F1103" s="18" t="str">
        <f>IFERROR(__xludf.DUMMYFUNCTION("""COMPUTED_VALUE"""),"Manju Ajay")</f>
        <v>Manju Ajay</v>
      </c>
      <c r="G1103" s="19">
        <f>IFERROR(__xludf.DUMMYFUNCTION("""COMPUTED_VALUE"""),45251.0)</f>
        <v>45251</v>
      </c>
      <c r="H1103" s="18" t="str">
        <f>IFERROR(__xludf.DUMMYFUNCTION("""COMPUTED_VALUE"""),"Online Payment")</f>
        <v>Online Payment</v>
      </c>
      <c r="I1103" s="18" t="str">
        <f>IFERROR(__xludf.DUMMYFUNCTION("""COMPUTED_VALUE"""),"Delivered")</f>
        <v>Delivered</v>
      </c>
      <c r="J1103" s="18" t="str">
        <f>IFERROR(__xludf.DUMMYFUNCTION("""COMPUTED_VALUE"""),"Customer Service")</f>
        <v>Customer Service</v>
      </c>
      <c r="K1103" s="18" t="str">
        <f>IFERROR(__xludf.DUMMYFUNCTION("""COMPUTED_VALUE"""),"Seamless and easy")</f>
        <v>Seamless and easy</v>
      </c>
      <c r="L1103" s="18">
        <f>iferror(VLOOKUP($D1103,Details!$A$2:$C$11,2,false),vlookup($D1103,Details!$E$2:$G$11,2,false))</f>
        <v>90</v>
      </c>
      <c r="M1103" s="18" t="str">
        <f>iferror(VLOOKUP($D1103,Details!$A$2:$C$11,3,false),vlookup($D1103,Details!$E$2:$G$11,3,false))</f>
        <v>Snacks and Drinks</v>
      </c>
      <c r="N1103" s="18">
        <f t="shared" si="1"/>
        <v>450</v>
      </c>
      <c r="O1103" s="17"/>
      <c r="P1103" s="17"/>
      <c r="Q1103" s="17"/>
      <c r="R1103" s="17"/>
      <c r="S1103" s="17"/>
      <c r="T1103" s="17"/>
      <c r="U1103" s="17"/>
      <c r="V1103" s="17"/>
      <c r="W1103" s="17"/>
      <c r="X1103" s="17"/>
      <c r="Y1103" s="17"/>
      <c r="Z1103" s="17"/>
    </row>
    <row r="1104">
      <c r="A1104" s="18" t="str">
        <f>IFERROR(__xludf.DUMMYFUNCTION("""COMPUTED_VALUE"""),"ord_41082")</f>
        <v>ord_41082</v>
      </c>
      <c r="B1104" s="18" t="str">
        <f>IFERROR(__xludf.DUMMYFUNCTION("""COMPUTED_VALUE"""),"Aarav Mehta")</f>
        <v>Aarav Mehta</v>
      </c>
      <c r="C1104" s="18" t="str">
        <f>IFERROR(__xludf.DUMMYFUNCTION("""COMPUTED_VALUE"""),"Andheri")</f>
        <v>Andheri</v>
      </c>
      <c r="D1104" s="18" t="str">
        <f>IFERROR(__xludf.DUMMYFUNCTION("""COMPUTED_VALUE"""),"Chilli Cheese Toast")</f>
        <v>Chilli Cheese Toast</v>
      </c>
      <c r="E1104" s="18">
        <f>IFERROR(__xludf.DUMMYFUNCTION("""COMPUTED_VALUE"""),2.0)</f>
        <v>2</v>
      </c>
      <c r="F1104" s="18" t="str">
        <f>IFERROR(__xludf.DUMMYFUNCTION("""COMPUTED_VALUE"""),"Shine Thomas")</f>
        <v>Shine Thomas</v>
      </c>
      <c r="G1104" s="19">
        <f>IFERROR(__xludf.DUMMYFUNCTION("""COMPUTED_VALUE"""),44954.0)</f>
        <v>44954</v>
      </c>
      <c r="H1104" s="18" t="str">
        <f>IFERROR(__xludf.DUMMYFUNCTION("""COMPUTED_VALUE"""),"Credit Card")</f>
        <v>Credit Card</v>
      </c>
      <c r="I1104" s="18" t="str">
        <f>IFERROR(__xludf.DUMMYFUNCTION("""COMPUTED_VALUE"""),"Delivered")</f>
        <v>Delivered</v>
      </c>
      <c r="J1104" s="18" t="str">
        <f>IFERROR(__xludf.DUMMYFUNCTION("""COMPUTED_VALUE"""),"Delivery Experience")</f>
        <v>Delivery Experience</v>
      </c>
      <c r="K1104" s="18" t="str">
        <f>IFERROR(__xludf.DUMMYFUNCTION("""COMPUTED_VALUE"""),"Quick and professional")</f>
        <v>Quick and professional</v>
      </c>
      <c r="L1104" s="18">
        <f>iferror(VLOOKUP($D1104,Details!$A$2:$C$11,2,false),vlookup($D1104,Details!$E$2:$G$11,2,false))</f>
        <v>80</v>
      </c>
      <c r="M1104" s="18" t="str">
        <f>iferror(VLOOKUP($D1104,Details!$A$2:$C$11,3,false),vlookup($D1104,Details!$E$2:$G$11,3,false))</f>
        <v>Snacks and Drinks</v>
      </c>
      <c r="N1104" s="18">
        <f t="shared" si="1"/>
        <v>160</v>
      </c>
      <c r="O1104" s="17"/>
      <c r="P1104" s="17"/>
      <c r="Q1104" s="17"/>
      <c r="R1104" s="17"/>
      <c r="S1104" s="17"/>
      <c r="T1104" s="17"/>
      <c r="U1104" s="17"/>
      <c r="V1104" s="17"/>
      <c r="W1104" s="17"/>
      <c r="X1104" s="17"/>
      <c r="Y1104" s="17"/>
      <c r="Z1104" s="17"/>
    </row>
    <row r="1105">
      <c r="A1105" s="18" t="str">
        <f>IFERROR(__xludf.DUMMYFUNCTION("""COMPUTED_VALUE"""),"ord_41083")</f>
        <v>ord_41083</v>
      </c>
      <c r="B1105" s="18" t="str">
        <f>IFERROR(__xludf.DUMMYFUNCTION("""COMPUTED_VALUE"""),"Kritika Shetty")</f>
        <v>Kritika Shetty</v>
      </c>
      <c r="C1105" s="18" t="str">
        <f>IFERROR(__xludf.DUMMYFUNCTION("""COMPUTED_VALUE"""),"Malad")</f>
        <v>Malad</v>
      </c>
      <c r="D1105" s="18" t="str">
        <f>IFERROR(__xludf.DUMMYFUNCTION("""COMPUTED_VALUE"""),"Tiramisu")</f>
        <v>Tiramisu</v>
      </c>
      <c r="E1105" s="18">
        <f>IFERROR(__xludf.DUMMYFUNCTION("""COMPUTED_VALUE"""),4.0)</f>
        <v>4</v>
      </c>
      <c r="F1105" s="18" t="str">
        <f>IFERROR(__xludf.DUMMYFUNCTION("""COMPUTED_VALUE"""),"Sita T")</f>
        <v>Sita T</v>
      </c>
      <c r="G1105" s="19">
        <f>IFERROR(__xludf.DUMMYFUNCTION("""COMPUTED_VALUE"""),45063.0)</f>
        <v>45063</v>
      </c>
      <c r="H1105" s="18" t="str">
        <f>IFERROR(__xludf.DUMMYFUNCTION("""COMPUTED_VALUE"""),"COD")</f>
        <v>COD</v>
      </c>
      <c r="I1105" s="18" t="str">
        <f>IFERROR(__xludf.DUMMYFUNCTION("""COMPUTED_VALUE"""),"Delivered")</f>
        <v>Delivered</v>
      </c>
      <c r="J1105" s="18" t="str">
        <f>IFERROR(__xludf.DUMMYFUNCTION("""COMPUTED_VALUE"""),"Convenience")</f>
        <v>Convenience</v>
      </c>
      <c r="K1105" s="18" t="str">
        <f>IFERROR(__xludf.DUMMYFUNCTION("""COMPUTED_VALUE"""),"Easy tracking")</f>
        <v>Easy tracking</v>
      </c>
      <c r="L1105" s="18">
        <f>iferror(VLOOKUP($D1105,Details!$A$2:$C$11,2,false),vlookup($D1105,Details!$E$2:$G$11,2,false))</f>
        <v>150</v>
      </c>
      <c r="M1105" s="18" t="str">
        <f>iferror(VLOOKUP($D1105,Details!$A$2:$C$11,3,false),vlookup($D1105,Details!$E$2:$G$11,3,false))</f>
        <v>Snacks and Drinks</v>
      </c>
      <c r="N1105" s="18">
        <f t="shared" si="1"/>
        <v>600</v>
      </c>
      <c r="O1105" s="17"/>
      <c r="P1105" s="17"/>
      <c r="Q1105" s="17"/>
      <c r="R1105" s="17"/>
      <c r="S1105" s="17"/>
      <c r="T1105" s="17"/>
      <c r="U1105" s="17"/>
      <c r="V1105" s="17"/>
      <c r="W1105" s="17"/>
      <c r="X1105" s="17"/>
      <c r="Y1105" s="17"/>
      <c r="Z1105" s="17"/>
    </row>
    <row r="1106">
      <c r="A1106" s="18" t="str">
        <f>IFERROR(__xludf.DUMMYFUNCTION("""COMPUTED_VALUE"""),"ord_41084")</f>
        <v>ord_41084</v>
      </c>
      <c r="B1106" s="18" t="str">
        <f>IFERROR(__xludf.DUMMYFUNCTION("""COMPUTED_VALUE"""),"Ritika Dutta")</f>
        <v>Ritika Dutta</v>
      </c>
      <c r="C1106" s="18" t="str">
        <f>IFERROR(__xludf.DUMMYFUNCTION("""COMPUTED_VALUE"""),"Lower Parel")</f>
        <v>Lower Parel</v>
      </c>
      <c r="D1106" s="18" t="str">
        <f>IFERROR(__xludf.DUMMYFUNCTION("""COMPUTED_VALUE"""),"Orange")</f>
        <v>Orange</v>
      </c>
      <c r="E1106" s="18">
        <f>IFERROR(__xludf.DUMMYFUNCTION("""COMPUTED_VALUE"""),2.0)</f>
        <v>2</v>
      </c>
      <c r="F1106" s="18" t="str">
        <f>IFERROR(__xludf.DUMMYFUNCTION("""COMPUTED_VALUE"""),"Shine Thomas")</f>
        <v>Shine Thomas</v>
      </c>
      <c r="G1106" s="19">
        <f>IFERROR(__xludf.DUMMYFUNCTION("""COMPUTED_VALUE"""),45120.0)</f>
        <v>45120</v>
      </c>
      <c r="H1106" s="18" t="str">
        <f>IFERROR(__xludf.DUMMYFUNCTION("""COMPUTED_VALUE"""),"UPI")</f>
        <v>UPI</v>
      </c>
      <c r="I1106" s="18" t="str">
        <f>IFERROR(__xludf.DUMMYFUNCTION("""COMPUTED_VALUE"""),"Delivered")</f>
        <v>Delivered</v>
      </c>
      <c r="J1106" s="18" t="str">
        <f>IFERROR(__xludf.DUMMYFUNCTION("""COMPUTED_VALUE"""),"Overall Satisfaction")</f>
        <v>Overall Satisfaction</v>
      </c>
      <c r="K1106" s="18" t="str">
        <f>IFERROR(__xludf.DUMMYFUNCTION("""COMPUTED_VALUE"""),"Great service will order again")</f>
        <v>Great service will order again</v>
      </c>
      <c r="L1106" s="18">
        <f>iferror(VLOOKUP($D1106,Details!$A$2:$C$11,2,false),vlookup($D1106,Details!$E$2:$G$11,2,false))</f>
        <v>180</v>
      </c>
      <c r="M1106" s="18" t="str">
        <f>iferror(VLOOKUP($D1106,Details!$A$2:$C$11,3,false),vlookup($D1106,Details!$E$2:$G$11,3,false))</f>
        <v>Fruits and Vegetables</v>
      </c>
      <c r="N1106" s="18">
        <f t="shared" si="1"/>
        <v>360</v>
      </c>
      <c r="O1106" s="17"/>
      <c r="P1106" s="17"/>
      <c r="Q1106" s="17"/>
      <c r="R1106" s="17"/>
      <c r="S1106" s="17"/>
      <c r="T1106" s="17"/>
      <c r="U1106" s="17"/>
      <c r="V1106" s="17"/>
      <c r="W1106" s="17"/>
      <c r="X1106" s="17"/>
      <c r="Y1106" s="17"/>
      <c r="Z1106" s="17"/>
    </row>
    <row r="1107">
      <c r="A1107" s="18" t="str">
        <f>IFERROR(__xludf.DUMMYFUNCTION("""COMPUTED_VALUE"""),"ord_41085")</f>
        <v>ord_41085</v>
      </c>
      <c r="B1107" s="18" t="str">
        <f>IFERROR(__xludf.DUMMYFUNCTION("""COMPUTED_VALUE"""),"Pallavi Ghosh")</f>
        <v>Pallavi Ghosh</v>
      </c>
      <c r="C1107" s="18" t="str">
        <f>IFERROR(__xludf.DUMMYFUNCTION("""COMPUTED_VALUE"""),"Bandra")</f>
        <v>Bandra</v>
      </c>
      <c r="D1107" s="18" t="str">
        <f>IFERROR(__xludf.DUMMYFUNCTION("""COMPUTED_VALUE"""),"Chocolate Mousse")</f>
        <v>Chocolate Mousse</v>
      </c>
      <c r="E1107" s="18">
        <f>IFERROR(__xludf.DUMMYFUNCTION("""COMPUTED_VALUE"""),4.0)</f>
        <v>4</v>
      </c>
      <c r="F1107" s="18" t="str">
        <f>IFERROR(__xludf.DUMMYFUNCTION("""COMPUTED_VALUE"""),"Not Assigned")</f>
        <v>Not Assigned</v>
      </c>
      <c r="G1107" s="19">
        <f>IFERROR(__xludf.DUMMYFUNCTION("""COMPUTED_VALUE"""),44955.0)</f>
        <v>44955</v>
      </c>
      <c r="H1107" s="18" t="str">
        <f>IFERROR(__xludf.DUMMYFUNCTION("""COMPUTED_VALUE"""),"Credit Card")</f>
        <v>Credit Card</v>
      </c>
      <c r="I1107" s="18" t="str">
        <f>IFERROR(__xludf.DUMMYFUNCTION("""COMPUTED_VALUE"""),"Cancelled")</f>
        <v>Cancelled</v>
      </c>
      <c r="J1107" s="18" t="str">
        <f>IFERROR(__xludf.DUMMYFUNCTION("""COMPUTED_VALUE"""),"App Glitches")</f>
        <v>App Glitches</v>
      </c>
      <c r="K1107" s="18" t="str">
        <f>IFERROR(__xludf.DUMMYFUNCTION("""COMPUTED_VALUE"""),"Payment Button Malfunction")</f>
        <v>Payment Button Malfunction</v>
      </c>
      <c r="L1107" s="18">
        <f>iferror(VLOOKUP($D1107,Details!$A$2:$C$11,2,false),vlookup($D1107,Details!$E$2:$G$11,2,false))</f>
        <v>145</v>
      </c>
      <c r="M1107" s="18" t="str">
        <f>iferror(VLOOKUP($D1107,Details!$A$2:$C$11,3,false),vlookup($D1107,Details!$E$2:$G$11,3,false))</f>
        <v>Snacks and Drinks</v>
      </c>
      <c r="N1107" s="18">
        <f t="shared" si="1"/>
        <v>580</v>
      </c>
      <c r="O1107" s="17"/>
      <c r="P1107" s="17"/>
      <c r="Q1107" s="17"/>
      <c r="R1107" s="17"/>
      <c r="S1107" s="17"/>
      <c r="T1107" s="17"/>
      <c r="U1107" s="17"/>
      <c r="V1107" s="17"/>
      <c r="W1107" s="17"/>
      <c r="X1107" s="17"/>
      <c r="Y1107" s="17"/>
      <c r="Z1107" s="17"/>
    </row>
    <row r="1108">
      <c r="A1108" s="18" t="str">
        <f>IFERROR(__xludf.DUMMYFUNCTION("""COMPUTED_VALUE"""),"ord_41086")</f>
        <v>ord_41086</v>
      </c>
      <c r="B1108" s="18" t="str">
        <f>IFERROR(__xludf.DUMMYFUNCTION("""COMPUTED_VALUE"""),"Aarohi Kapoor")</f>
        <v>Aarohi Kapoor</v>
      </c>
      <c r="C1108" s="18" t="str">
        <f>IFERROR(__xludf.DUMMYFUNCTION("""COMPUTED_VALUE"""),"Bandra")</f>
        <v>Bandra</v>
      </c>
      <c r="D1108" s="18" t="str">
        <f>IFERROR(__xludf.DUMMYFUNCTION("""COMPUTED_VALUE"""),"Popcorn")</f>
        <v>Popcorn</v>
      </c>
      <c r="E1108" s="18">
        <f>IFERROR(__xludf.DUMMYFUNCTION("""COMPUTED_VALUE"""),4.0)</f>
        <v>4</v>
      </c>
      <c r="F1108" s="18" t="str">
        <f>IFERROR(__xludf.DUMMYFUNCTION("""COMPUTED_VALUE"""),"Vivek Kumar")</f>
        <v>Vivek Kumar</v>
      </c>
      <c r="G1108" s="19">
        <f>IFERROR(__xludf.DUMMYFUNCTION("""COMPUTED_VALUE"""),44928.0)</f>
        <v>44928</v>
      </c>
      <c r="H1108" s="18" t="str">
        <f>IFERROR(__xludf.DUMMYFUNCTION("""COMPUTED_VALUE"""),"UPI")</f>
        <v>UPI</v>
      </c>
      <c r="I1108" s="18" t="str">
        <f>IFERROR(__xludf.DUMMYFUNCTION("""COMPUTED_VALUE"""),"Delivered")</f>
        <v>Delivered</v>
      </c>
      <c r="J1108" s="18" t="str">
        <f>IFERROR(__xludf.DUMMYFUNCTION("""COMPUTED_VALUE"""),"On-time Delivery")</f>
        <v>On-time Delivery</v>
      </c>
      <c r="K1108" s="18" t="str">
        <f>IFERROR(__xludf.DUMMYFUNCTION("""COMPUTED_VALUE"""),"Delivered on time")</f>
        <v>Delivered on time</v>
      </c>
      <c r="L1108" s="18">
        <f>iferror(VLOOKUP($D1108,Details!$A$2:$C$11,2,false),vlookup($D1108,Details!$E$2:$G$11,2,false))</f>
        <v>150</v>
      </c>
      <c r="M1108" s="18" t="str">
        <f>iferror(VLOOKUP($D1108,Details!$A$2:$C$11,3,false),vlookup($D1108,Details!$E$2:$G$11,3,false))</f>
        <v>Snacks and Drinks</v>
      </c>
      <c r="N1108" s="18">
        <f t="shared" si="1"/>
        <v>600</v>
      </c>
      <c r="O1108" s="17"/>
      <c r="P1108" s="17"/>
      <c r="Q1108" s="17"/>
      <c r="R1108" s="17"/>
      <c r="S1108" s="17"/>
      <c r="T1108" s="17"/>
      <c r="U1108" s="17"/>
      <c r="V1108" s="17"/>
      <c r="W1108" s="17"/>
      <c r="X1108" s="17"/>
      <c r="Y1108" s="17"/>
      <c r="Z1108" s="17"/>
    </row>
    <row r="1109">
      <c r="A1109" s="18" t="str">
        <f>IFERROR(__xludf.DUMMYFUNCTION("""COMPUTED_VALUE"""),"ord_41087")</f>
        <v>ord_41087</v>
      </c>
      <c r="B1109" s="18" t="str">
        <f>IFERROR(__xludf.DUMMYFUNCTION("""COMPUTED_VALUE"""),"Arvind Kulkarni")</f>
        <v>Arvind Kulkarni</v>
      </c>
      <c r="C1109" s="18" t="str">
        <f>IFERROR(__xludf.DUMMYFUNCTION("""COMPUTED_VALUE"""),"Juhu")</f>
        <v>Juhu</v>
      </c>
      <c r="D1109" s="18" t="str">
        <f>IFERROR(__xludf.DUMMYFUNCTION("""COMPUTED_VALUE"""),"Guava")</f>
        <v>Guava</v>
      </c>
      <c r="E1109" s="18">
        <f>IFERROR(__xludf.DUMMYFUNCTION("""COMPUTED_VALUE"""),1.0)</f>
        <v>1</v>
      </c>
      <c r="F1109" s="18" t="str">
        <f>IFERROR(__xludf.DUMMYFUNCTION("""COMPUTED_VALUE"""),"Not Assigned")</f>
        <v>Not Assigned</v>
      </c>
      <c r="G1109" s="19">
        <f>IFERROR(__xludf.DUMMYFUNCTION("""COMPUTED_VALUE"""),44950.0)</f>
        <v>44950</v>
      </c>
      <c r="H1109" s="18" t="str">
        <f>IFERROR(__xludf.DUMMYFUNCTION("""COMPUTED_VALUE"""),"Credit Card")</f>
        <v>Credit Card</v>
      </c>
      <c r="I1109" s="18" t="str">
        <f>IFERROR(__xludf.DUMMYFUNCTION("""COMPUTED_VALUE"""),"Cancelled")</f>
        <v>Cancelled</v>
      </c>
      <c r="J1109" s="18" t="str">
        <f>IFERROR(__xludf.DUMMYFUNCTION("""COMPUTED_VALUE"""),"Out of Stock")</f>
        <v>Out of Stock</v>
      </c>
      <c r="K1109" s="18"/>
      <c r="L1109" s="18">
        <f>iferror(VLOOKUP($D1109,Details!$A$2:$C$11,2,false),vlookup($D1109,Details!$E$2:$G$11,2,false))</f>
        <v>70</v>
      </c>
      <c r="M1109" s="18" t="str">
        <f>iferror(VLOOKUP($D1109,Details!$A$2:$C$11,3,false),vlookup($D1109,Details!$E$2:$G$11,3,false))</f>
        <v>Fruits and Vegetables</v>
      </c>
      <c r="N1109" s="18">
        <f t="shared" si="1"/>
        <v>70</v>
      </c>
      <c r="O1109" s="17"/>
      <c r="P1109" s="17"/>
      <c r="Q1109" s="17"/>
      <c r="R1109" s="17"/>
      <c r="S1109" s="17"/>
      <c r="T1109" s="17"/>
      <c r="U1109" s="17"/>
      <c r="V1109" s="17"/>
      <c r="W1109" s="17"/>
      <c r="X1109" s="17"/>
      <c r="Y1109" s="17"/>
      <c r="Z1109" s="17"/>
    </row>
    <row r="1110">
      <c r="A1110" s="18" t="str">
        <f>IFERROR(__xludf.DUMMYFUNCTION("""COMPUTED_VALUE"""),"ord_41088")</f>
        <v>ord_41088</v>
      </c>
      <c r="B1110" s="18" t="str">
        <f>IFERROR(__xludf.DUMMYFUNCTION("""COMPUTED_VALUE"""),"Diya Arora")</f>
        <v>Diya Arora</v>
      </c>
      <c r="C1110" s="18" t="str">
        <f>IFERROR(__xludf.DUMMYFUNCTION("""COMPUTED_VALUE"""),"Lower Parel")</f>
        <v>Lower Parel</v>
      </c>
      <c r="D1110" s="18" t="str">
        <f>IFERROR(__xludf.DUMMYFUNCTION("""COMPUTED_VALUE"""),"Rasmalai")</f>
        <v>Rasmalai</v>
      </c>
      <c r="E1110" s="18">
        <f>IFERROR(__xludf.DUMMYFUNCTION("""COMPUTED_VALUE"""),3.0)</f>
        <v>3</v>
      </c>
      <c r="F1110" s="18" t="str">
        <f>IFERROR(__xludf.DUMMYFUNCTION("""COMPUTED_VALUE"""),"Ramesh S")</f>
        <v>Ramesh S</v>
      </c>
      <c r="G1110" s="19">
        <f>IFERROR(__xludf.DUMMYFUNCTION("""COMPUTED_VALUE"""),45025.0)</f>
        <v>45025</v>
      </c>
      <c r="H1110" s="18" t="str">
        <f>IFERROR(__xludf.DUMMYFUNCTION("""COMPUTED_VALUE"""),"UPI")</f>
        <v>UPI</v>
      </c>
      <c r="I1110" s="18" t="str">
        <f>IFERROR(__xludf.DUMMYFUNCTION("""COMPUTED_VALUE"""),"Delivered")</f>
        <v>Delivered</v>
      </c>
      <c r="J1110" s="18" t="str">
        <f>IFERROR(__xludf.DUMMYFUNCTION("""COMPUTED_VALUE"""),"Quality of Items")</f>
        <v>Quality of Items</v>
      </c>
      <c r="K1110" s="18" t="str">
        <f>IFERROR(__xludf.DUMMYFUNCTION("""COMPUTED_VALUE"""),"Perfect condition")</f>
        <v>Perfect condition</v>
      </c>
      <c r="L1110" s="18">
        <f>iferror(VLOOKUP($D1110,Details!$A$2:$C$11,2,false),vlookup($D1110,Details!$E$2:$G$11,2,false))</f>
        <v>110</v>
      </c>
      <c r="M1110" s="18" t="str">
        <f>iferror(VLOOKUP($D1110,Details!$A$2:$C$11,3,false),vlookup($D1110,Details!$E$2:$G$11,3,false))</f>
        <v>Snacks and Drinks</v>
      </c>
      <c r="N1110" s="18">
        <f t="shared" si="1"/>
        <v>330</v>
      </c>
      <c r="O1110" s="17"/>
      <c r="P1110" s="17"/>
      <c r="Q1110" s="17"/>
      <c r="R1110" s="17"/>
      <c r="S1110" s="17"/>
      <c r="T1110" s="17"/>
      <c r="U1110" s="17"/>
      <c r="V1110" s="17"/>
      <c r="W1110" s="17"/>
      <c r="X1110" s="17"/>
      <c r="Y1110" s="17"/>
      <c r="Z1110" s="17"/>
    </row>
    <row r="1111">
      <c r="A1111" s="18" t="str">
        <f>IFERROR(__xludf.DUMMYFUNCTION("""COMPUTED_VALUE"""),"ord_41089")</f>
        <v>ord_41089</v>
      </c>
      <c r="B1111" s="18" t="str">
        <f>IFERROR(__xludf.DUMMYFUNCTION("""COMPUTED_VALUE"""),"Tanishq Bansal")</f>
        <v>Tanishq Bansal</v>
      </c>
      <c r="C1111" s="18" t="str">
        <f>IFERROR(__xludf.DUMMYFUNCTION("""COMPUTED_VALUE"""),"Powai")</f>
        <v>Powai</v>
      </c>
      <c r="D1111" s="18" t="str">
        <f>IFERROR(__xludf.DUMMYFUNCTION("""COMPUTED_VALUE"""),"Sweet Corn")</f>
        <v>Sweet Corn</v>
      </c>
      <c r="E1111" s="18">
        <f>IFERROR(__xludf.DUMMYFUNCTION("""COMPUTED_VALUE"""),2.0)</f>
        <v>2</v>
      </c>
      <c r="F1111" s="18" t="str">
        <f>IFERROR(__xludf.DUMMYFUNCTION("""COMPUTED_VALUE"""),"Ram Gopal")</f>
        <v>Ram Gopal</v>
      </c>
      <c r="G1111" s="19">
        <f>IFERROR(__xludf.DUMMYFUNCTION("""COMPUTED_VALUE"""),45117.0)</f>
        <v>45117</v>
      </c>
      <c r="H1111" s="18" t="str">
        <f>IFERROR(__xludf.DUMMYFUNCTION("""COMPUTED_VALUE"""),"Credit Card")</f>
        <v>Credit Card</v>
      </c>
      <c r="I1111" s="18" t="str">
        <f>IFERROR(__xludf.DUMMYFUNCTION("""COMPUTED_VALUE"""),"Delivered")</f>
        <v>Delivered</v>
      </c>
      <c r="J1111" s="18" t="str">
        <f>IFERROR(__xludf.DUMMYFUNCTION("""COMPUTED_VALUE"""),"On-time Delivery")</f>
        <v>On-time Delivery</v>
      </c>
      <c r="K1111" s="18" t="str">
        <f>IFERROR(__xludf.DUMMYFUNCTION("""COMPUTED_VALUE"""),"Delivered on time")</f>
        <v>Delivered on time</v>
      </c>
      <c r="L1111" s="18">
        <f>iferror(VLOOKUP($D1111,Details!$A$2:$C$11,2,false),vlookup($D1111,Details!$E$2:$G$11,2,false))</f>
        <v>60</v>
      </c>
      <c r="M1111" s="18" t="str">
        <f>iferror(VLOOKUP($D1111,Details!$A$2:$C$11,3,false),vlookup($D1111,Details!$E$2:$G$11,3,false))</f>
        <v>Fruits and Vegetables</v>
      </c>
      <c r="N1111" s="18">
        <f t="shared" si="1"/>
        <v>120</v>
      </c>
      <c r="O1111" s="17"/>
      <c r="P1111" s="17"/>
      <c r="Q1111" s="17"/>
      <c r="R1111" s="17"/>
      <c r="S1111" s="17"/>
      <c r="T1111" s="17"/>
      <c r="U1111" s="17"/>
      <c r="V1111" s="17"/>
      <c r="W1111" s="17"/>
      <c r="X1111" s="17"/>
      <c r="Y1111" s="17"/>
      <c r="Z1111" s="17"/>
    </row>
    <row r="1112">
      <c r="A1112" s="18" t="str">
        <f>IFERROR(__xludf.DUMMYFUNCTION("""COMPUTED_VALUE"""),"ord_41090")</f>
        <v>ord_41090</v>
      </c>
      <c r="B1112" s="18" t="str">
        <f>IFERROR(__xludf.DUMMYFUNCTION("""COMPUTED_VALUE"""),"Aarav Mehta")</f>
        <v>Aarav Mehta</v>
      </c>
      <c r="C1112" s="18" t="str">
        <f>IFERROR(__xludf.DUMMYFUNCTION("""COMPUTED_VALUE"""),"Andheri")</f>
        <v>Andheri</v>
      </c>
      <c r="D1112" s="18" t="str">
        <f>IFERROR(__xludf.DUMMYFUNCTION("""COMPUTED_VALUE"""),"Rasmalai")</f>
        <v>Rasmalai</v>
      </c>
      <c r="E1112" s="18">
        <f>IFERROR(__xludf.DUMMYFUNCTION("""COMPUTED_VALUE"""),5.0)</f>
        <v>5</v>
      </c>
      <c r="F1112" s="18" t="str">
        <f>IFERROR(__xludf.DUMMYFUNCTION("""COMPUTED_VALUE"""),"Venu R")</f>
        <v>Venu R</v>
      </c>
      <c r="G1112" s="19">
        <f>IFERROR(__xludf.DUMMYFUNCTION("""COMPUTED_VALUE"""),45153.0)</f>
        <v>45153</v>
      </c>
      <c r="H1112" s="18" t="str">
        <f>IFERROR(__xludf.DUMMYFUNCTION("""COMPUTED_VALUE"""),"Online Payment")</f>
        <v>Online Payment</v>
      </c>
      <c r="I1112" s="18" t="str">
        <f>IFERROR(__xludf.DUMMYFUNCTION("""COMPUTED_VALUE"""),"Delivered")</f>
        <v>Delivered</v>
      </c>
      <c r="J1112" s="18" t="str">
        <f>IFERROR(__xludf.DUMMYFUNCTION("""COMPUTED_VALUE"""),"Quality of Items")</f>
        <v>Quality of Items</v>
      </c>
      <c r="K1112" s="18" t="str">
        <f>IFERROR(__xludf.DUMMYFUNCTION("""COMPUTED_VALUE"""),"Perfect condition")</f>
        <v>Perfect condition</v>
      </c>
      <c r="L1112" s="18">
        <f>iferror(VLOOKUP($D1112,Details!$A$2:$C$11,2,false),vlookup($D1112,Details!$E$2:$G$11,2,false))</f>
        <v>110</v>
      </c>
      <c r="M1112" s="18" t="str">
        <f>iferror(VLOOKUP($D1112,Details!$A$2:$C$11,3,false),vlookup($D1112,Details!$E$2:$G$11,3,false))</f>
        <v>Snacks and Drinks</v>
      </c>
      <c r="N1112" s="18">
        <f t="shared" si="1"/>
        <v>550</v>
      </c>
      <c r="O1112" s="17"/>
      <c r="P1112" s="17"/>
      <c r="Q1112" s="17"/>
      <c r="R1112" s="17"/>
      <c r="S1112" s="17"/>
      <c r="T1112" s="17"/>
      <c r="U1112" s="17"/>
      <c r="V1112" s="17"/>
      <c r="W1112" s="17"/>
      <c r="X1112" s="17"/>
      <c r="Y1112" s="17"/>
      <c r="Z1112" s="17"/>
    </row>
    <row r="1113">
      <c r="A1113" s="18" t="str">
        <f>IFERROR(__xludf.DUMMYFUNCTION("""COMPUTED_VALUE"""),"ord_41091")</f>
        <v>ord_41091</v>
      </c>
      <c r="B1113" s="18" t="str">
        <f>IFERROR(__xludf.DUMMYFUNCTION("""COMPUTED_VALUE"""),"Aditi Iyer")</f>
        <v>Aditi Iyer</v>
      </c>
      <c r="C1113" s="18" t="str">
        <f>IFERROR(__xludf.DUMMYFUNCTION("""COMPUTED_VALUE"""),"Dadar")</f>
        <v>Dadar</v>
      </c>
      <c r="D1113" s="18" t="str">
        <f>IFERROR(__xludf.DUMMYFUNCTION("""COMPUTED_VALUE"""),"Orange")</f>
        <v>Orange</v>
      </c>
      <c r="E1113" s="18">
        <f>IFERROR(__xludf.DUMMYFUNCTION("""COMPUTED_VALUE"""),2.0)</f>
        <v>2</v>
      </c>
      <c r="F1113" s="18" t="str">
        <f>IFERROR(__xludf.DUMMYFUNCTION("""COMPUTED_VALUE"""),"Sita T")</f>
        <v>Sita T</v>
      </c>
      <c r="G1113" s="19">
        <f>IFERROR(__xludf.DUMMYFUNCTION("""COMPUTED_VALUE"""),45260.0)</f>
        <v>45260</v>
      </c>
      <c r="H1113" s="18" t="str">
        <f>IFERROR(__xludf.DUMMYFUNCTION("""COMPUTED_VALUE"""),"Online Payment")</f>
        <v>Online Payment</v>
      </c>
      <c r="I1113" s="18" t="str">
        <f>IFERROR(__xludf.DUMMYFUNCTION("""COMPUTED_VALUE"""),"Delivered")</f>
        <v>Delivered</v>
      </c>
      <c r="J1113" s="18" t="str">
        <f>IFERROR(__xludf.DUMMYFUNCTION("""COMPUTED_VALUE"""),"Packaging")</f>
        <v>Packaging</v>
      </c>
      <c r="K1113" s="18" t="str">
        <f>IFERROR(__xludf.DUMMYFUNCTION("""COMPUTED_VALUE"""),"Secure and intact")</f>
        <v>Secure and intact</v>
      </c>
      <c r="L1113" s="18">
        <f>iferror(VLOOKUP($D1113,Details!$A$2:$C$11,2,false),vlookup($D1113,Details!$E$2:$G$11,2,false))</f>
        <v>180</v>
      </c>
      <c r="M1113" s="18" t="str">
        <f>iferror(VLOOKUP($D1113,Details!$A$2:$C$11,3,false),vlookup($D1113,Details!$E$2:$G$11,3,false))</f>
        <v>Fruits and Vegetables</v>
      </c>
      <c r="N1113" s="18">
        <f t="shared" si="1"/>
        <v>360</v>
      </c>
      <c r="O1113" s="17"/>
      <c r="P1113" s="17"/>
      <c r="Q1113" s="17"/>
      <c r="R1113" s="17"/>
      <c r="S1113" s="17"/>
      <c r="T1113" s="17"/>
      <c r="U1113" s="17"/>
      <c r="V1113" s="17"/>
      <c r="W1113" s="17"/>
      <c r="X1113" s="17"/>
      <c r="Y1113" s="17"/>
      <c r="Z1113" s="17"/>
    </row>
    <row r="1114">
      <c r="A1114" s="18" t="str">
        <f>IFERROR(__xludf.DUMMYFUNCTION("""COMPUTED_VALUE"""),"ord_41092")</f>
        <v>ord_41092</v>
      </c>
      <c r="B1114" s="18" t="str">
        <f>IFERROR(__xludf.DUMMYFUNCTION("""COMPUTED_VALUE"""),"Kritika Shetty")</f>
        <v>Kritika Shetty</v>
      </c>
      <c r="C1114" s="18" t="str">
        <f>IFERROR(__xludf.DUMMYFUNCTION("""COMPUTED_VALUE"""),"Malad")</f>
        <v>Malad</v>
      </c>
      <c r="D1114" s="18" t="str">
        <f>IFERROR(__xludf.DUMMYFUNCTION("""COMPUTED_VALUE"""),"Icecream")</f>
        <v>Icecream</v>
      </c>
      <c r="E1114" s="18">
        <f>IFERROR(__xludf.DUMMYFUNCTION("""COMPUTED_VALUE"""),1.0)</f>
        <v>1</v>
      </c>
      <c r="F1114" s="18" t="str">
        <f>IFERROR(__xludf.DUMMYFUNCTION("""COMPUTED_VALUE"""),"Manju Ajay")</f>
        <v>Manju Ajay</v>
      </c>
      <c r="G1114" s="19">
        <f>IFERROR(__xludf.DUMMYFUNCTION("""COMPUTED_VALUE"""),44942.0)</f>
        <v>44942</v>
      </c>
      <c r="H1114" s="18" t="str">
        <f>IFERROR(__xludf.DUMMYFUNCTION("""COMPUTED_VALUE"""),"Online Payment")</f>
        <v>Online Payment</v>
      </c>
      <c r="I1114" s="18" t="str">
        <f>IFERROR(__xludf.DUMMYFUNCTION("""COMPUTED_VALUE"""),"Delivered")</f>
        <v>Delivered</v>
      </c>
      <c r="J1114" s="18" t="str">
        <f>IFERROR(__xludf.DUMMYFUNCTION("""COMPUTED_VALUE"""),"Satisfied with the Delivery")</f>
        <v>Satisfied with the Delivery</v>
      </c>
      <c r="K1114" s="18" t="str">
        <f>IFERROR(__xludf.DUMMYFUNCTION("""COMPUTED_VALUE"""),"Timely and quality")</f>
        <v>Timely and quality</v>
      </c>
      <c r="L1114" s="18">
        <f>iferror(VLOOKUP($D1114,Details!$A$2:$C$11,2,false),vlookup($D1114,Details!$E$2:$G$11,2,false))</f>
        <v>90</v>
      </c>
      <c r="M1114" s="18" t="str">
        <f>iferror(VLOOKUP($D1114,Details!$A$2:$C$11,3,false),vlookup($D1114,Details!$E$2:$G$11,3,false))</f>
        <v>Snacks and Drinks</v>
      </c>
      <c r="N1114" s="18">
        <f t="shared" si="1"/>
        <v>90</v>
      </c>
      <c r="O1114" s="17"/>
      <c r="P1114" s="17"/>
      <c r="Q1114" s="17"/>
      <c r="R1114" s="17"/>
      <c r="S1114" s="17"/>
      <c r="T1114" s="17"/>
      <c r="U1114" s="17"/>
      <c r="V1114" s="17"/>
      <c r="W1114" s="17"/>
      <c r="X1114" s="17"/>
      <c r="Y1114" s="17"/>
      <c r="Z1114" s="17"/>
    </row>
    <row r="1115">
      <c r="A1115" s="18" t="str">
        <f>IFERROR(__xludf.DUMMYFUNCTION("""COMPUTED_VALUE"""),"ord_41093")</f>
        <v>ord_41093</v>
      </c>
      <c r="B1115" s="18" t="str">
        <f>IFERROR(__xludf.DUMMYFUNCTION("""COMPUTED_VALUE"""),"Kritika Shetty")</f>
        <v>Kritika Shetty</v>
      </c>
      <c r="C1115" s="18" t="str">
        <f>IFERROR(__xludf.DUMMYFUNCTION("""COMPUTED_VALUE"""),"Malad")</f>
        <v>Malad</v>
      </c>
      <c r="D1115" s="18" t="str">
        <f>IFERROR(__xludf.DUMMYFUNCTION("""COMPUTED_VALUE"""),"Chilli Cheese Toast")</f>
        <v>Chilli Cheese Toast</v>
      </c>
      <c r="E1115" s="18">
        <f>IFERROR(__xludf.DUMMYFUNCTION("""COMPUTED_VALUE"""),2.0)</f>
        <v>2</v>
      </c>
      <c r="F1115" s="18" t="str">
        <f>IFERROR(__xludf.DUMMYFUNCTION("""COMPUTED_VALUE"""),"Shine Thomas")</f>
        <v>Shine Thomas</v>
      </c>
      <c r="G1115" s="19">
        <f>IFERROR(__xludf.DUMMYFUNCTION("""COMPUTED_VALUE"""),45210.0)</f>
        <v>45210</v>
      </c>
      <c r="H1115" s="18" t="str">
        <f>IFERROR(__xludf.DUMMYFUNCTION("""COMPUTED_VALUE"""),"Online Payment")</f>
        <v>Online Payment</v>
      </c>
      <c r="I1115" s="18" t="str">
        <f>IFERROR(__xludf.DUMMYFUNCTION("""COMPUTED_VALUE"""),"Cancelled")</f>
        <v>Cancelled</v>
      </c>
      <c r="J1115" s="18" t="str">
        <f>IFERROR(__xludf.DUMMYFUNCTION("""COMPUTED_VALUE"""),"Delayed Delivery")</f>
        <v>Delayed Delivery</v>
      </c>
      <c r="K1115" s="18" t="str">
        <f>IFERROR(__xludf.DUMMYFUNCTION("""COMPUTED_VALUE"""),"Heavy Traffic")</f>
        <v>Heavy Traffic</v>
      </c>
      <c r="L1115" s="18">
        <f>iferror(VLOOKUP($D1115,Details!$A$2:$C$11,2,false),vlookup($D1115,Details!$E$2:$G$11,2,false))</f>
        <v>80</v>
      </c>
      <c r="M1115" s="18" t="str">
        <f>iferror(VLOOKUP($D1115,Details!$A$2:$C$11,3,false),vlookup($D1115,Details!$E$2:$G$11,3,false))</f>
        <v>Snacks and Drinks</v>
      </c>
      <c r="N1115" s="18">
        <f t="shared" si="1"/>
        <v>160</v>
      </c>
      <c r="O1115" s="17"/>
      <c r="P1115" s="17"/>
      <c r="Q1115" s="17"/>
      <c r="R1115" s="17"/>
      <c r="S1115" s="17"/>
      <c r="T1115" s="17"/>
      <c r="U1115" s="17"/>
      <c r="V1115" s="17"/>
      <c r="W1115" s="17"/>
      <c r="X1115" s="17"/>
      <c r="Y1115" s="17"/>
      <c r="Z1115" s="17"/>
    </row>
    <row r="1116">
      <c r="A1116" s="18" t="str">
        <f>IFERROR(__xludf.DUMMYFUNCTION("""COMPUTED_VALUE"""),"ord_41094")</f>
        <v>ord_41094</v>
      </c>
      <c r="B1116" s="18" t="str">
        <f>IFERROR(__xludf.DUMMYFUNCTION("""COMPUTED_VALUE"""),"Arvind Kulkarni")</f>
        <v>Arvind Kulkarni</v>
      </c>
      <c r="C1116" s="18" t="str">
        <f>IFERROR(__xludf.DUMMYFUNCTION("""COMPUTED_VALUE"""),"Juhu")</f>
        <v>Juhu</v>
      </c>
      <c r="D1116" s="18" t="str">
        <f>IFERROR(__xludf.DUMMYFUNCTION("""COMPUTED_VALUE"""),"Sweet Corn")</f>
        <v>Sweet Corn</v>
      </c>
      <c r="E1116" s="18">
        <f>IFERROR(__xludf.DUMMYFUNCTION("""COMPUTED_VALUE"""),2.0)</f>
        <v>2</v>
      </c>
      <c r="F1116" s="18" t="str">
        <f>IFERROR(__xludf.DUMMYFUNCTION("""COMPUTED_VALUE"""),"Not Assigned")</f>
        <v>Not Assigned</v>
      </c>
      <c r="G1116" s="19">
        <f>IFERROR(__xludf.DUMMYFUNCTION("""COMPUTED_VALUE"""),45202.0)</f>
        <v>45202</v>
      </c>
      <c r="H1116" s="18" t="str">
        <f>IFERROR(__xludf.DUMMYFUNCTION("""COMPUTED_VALUE"""),"Credit Card")</f>
        <v>Credit Card</v>
      </c>
      <c r="I1116" s="18" t="str">
        <f>IFERROR(__xludf.DUMMYFUNCTION("""COMPUTED_VALUE"""),"Cancelled")</f>
        <v>Cancelled</v>
      </c>
      <c r="J1116" s="18" t="str">
        <f>IFERROR(__xludf.DUMMYFUNCTION("""COMPUTED_VALUE"""),"App Glitches")</f>
        <v>App Glitches</v>
      </c>
      <c r="K1116" s="18" t="str">
        <f>IFERROR(__xludf.DUMMYFUNCTION("""COMPUTED_VALUE"""),"Slow Loading Time")</f>
        <v>Slow Loading Time</v>
      </c>
      <c r="L1116" s="18">
        <f>iferror(VLOOKUP($D1116,Details!$A$2:$C$11,2,false),vlookup($D1116,Details!$E$2:$G$11,2,false))</f>
        <v>60</v>
      </c>
      <c r="M1116" s="18" t="str">
        <f>iferror(VLOOKUP($D1116,Details!$A$2:$C$11,3,false),vlookup($D1116,Details!$E$2:$G$11,3,false))</f>
        <v>Fruits and Vegetables</v>
      </c>
      <c r="N1116" s="18">
        <f t="shared" si="1"/>
        <v>120</v>
      </c>
      <c r="O1116" s="17"/>
      <c r="P1116" s="17"/>
      <c r="Q1116" s="17"/>
      <c r="R1116" s="17"/>
      <c r="S1116" s="17"/>
      <c r="T1116" s="17"/>
      <c r="U1116" s="17"/>
      <c r="V1116" s="17"/>
      <c r="W1116" s="17"/>
      <c r="X1116" s="17"/>
      <c r="Y1116" s="17"/>
      <c r="Z1116" s="17"/>
    </row>
    <row r="1117">
      <c r="A1117" s="18" t="str">
        <f>IFERROR(__xludf.DUMMYFUNCTION("""COMPUTED_VALUE"""),"ord_41095")</f>
        <v>ord_41095</v>
      </c>
      <c r="B1117" s="18" t="str">
        <f>IFERROR(__xludf.DUMMYFUNCTION("""COMPUTED_VALUE"""),"Parth Goel")</f>
        <v>Parth Goel</v>
      </c>
      <c r="C1117" s="18" t="str">
        <f>IFERROR(__xludf.DUMMYFUNCTION("""COMPUTED_VALUE"""),"Juhu")</f>
        <v>Juhu</v>
      </c>
      <c r="D1117" s="18" t="str">
        <f>IFERROR(__xludf.DUMMYFUNCTION("""COMPUTED_VALUE"""),"Rasmalai")</f>
        <v>Rasmalai</v>
      </c>
      <c r="E1117" s="18">
        <f>IFERROR(__xludf.DUMMYFUNCTION("""COMPUTED_VALUE"""),1.0)</f>
        <v>1</v>
      </c>
      <c r="F1117" s="18" t="str">
        <f>IFERROR(__xludf.DUMMYFUNCTION("""COMPUTED_VALUE"""),"Ramesh S")</f>
        <v>Ramesh S</v>
      </c>
      <c r="G1117" s="19">
        <f>IFERROR(__xludf.DUMMYFUNCTION("""COMPUTED_VALUE"""),45118.0)</f>
        <v>45118</v>
      </c>
      <c r="H1117" s="18" t="str">
        <f>IFERROR(__xludf.DUMMYFUNCTION("""COMPUTED_VALUE"""),"Credit Card")</f>
        <v>Credit Card</v>
      </c>
      <c r="I1117" s="18" t="str">
        <f>IFERROR(__xludf.DUMMYFUNCTION("""COMPUTED_VALUE"""),"Delivered")</f>
        <v>Delivered</v>
      </c>
      <c r="J1117" s="18" t="str">
        <f>IFERROR(__xludf.DUMMYFUNCTION("""COMPUTED_VALUE"""),"Customer Service")</f>
        <v>Customer Service</v>
      </c>
      <c r="K1117" s="18" t="str">
        <f>IFERROR(__xludf.DUMMYFUNCTION("""COMPUTED_VALUE"""),"Seamless and easy")</f>
        <v>Seamless and easy</v>
      </c>
      <c r="L1117" s="18">
        <f>iferror(VLOOKUP($D1117,Details!$A$2:$C$11,2,false),vlookup($D1117,Details!$E$2:$G$11,2,false))</f>
        <v>110</v>
      </c>
      <c r="M1117" s="18" t="str">
        <f>iferror(VLOOKUP($D1117,Details!$A$2:$C$11,3,false),vlookup($D1117,Details!$E$2:$G$11,3,false))</f>
        <v>Snacks and Drinks</v>
      </c>
      <c r="N1117" s="18">
        <f t="shared" si="1"/>
        <v>110</v>
      </c>
      <c r="O1117" s="17"/>
      <c r="P1117" s="17"/>
      <c r="Q1117" s="17"/>
      <c r="R1117" s="17"/>
      <c r="S1117" s="17"/>
      <c r="T1117" s="17"/>
      <c r="U1117" s="17"/>
      <c r="V1117" s="17"/>
      <c r="W1117" s="17"/>
      <c r="X1117" s="17"/>
      <c r="Y1117" s="17"/>
      <c r="Z1117" s="17"/>
    </row>
    <row r="1118">
      <c r="A1118" s="18" t="str">
        <f>IFERROR(__xludf.DUMMYFUNCTION("""COMPUTED_VALUE"""),"ord_41096")</f>
        <v>ord_41096</v>
      </c>
      <c r="B1118" s="18" t="str">
        <f>IFERROR(__xludf.DUMMYFUNCTION("""COMPUTED_VALUE"""),"Aarohi Kapoor")</f>
        <v>Aarohi Kapoor</v>
      </c>
      <c r="C1118" s="18" t="str">
        <f>IFERROR(__xludf.DUMMYFUNCTION("""COMPUTED_VALUE"""),"Bandra")</f>
        <v>Bandra</v>
      </c>
      <c r="D1118" s="18" t="str">
        <f>IFERROR(__xludf.DUMMYFUNCTION("""COMPUTED_VALUE"""),"Onion")</f>
        <v>Onion</v>
      </c>
      <c r="E1118" s="18">
        <f>IFERROR(__xludf.DUMMYFUNCTION("""COMPUTED_VALUE"""),2.0)</f>
        <v>2</v>
      </c>
      <c r="F1118" s="18" t="str">
        <f>IFERROR(__xludf.DUMMYFUNCTION("""COMPUTED_VALUE"""),"Ramesh S")</f>
        <v>Ramesh S</v>
      </c>
      <c r="G1118" s="19">
        <f>IFERROR(__xludf.DUMMYFUNCTION("""COMPUTED_VALUE"""),45190.0)</f>
        <v>45190</v>
      </c>
      <c r="H1118" s="18" t="str">
        <f>IFERROR(__xludf.DUMMYFUNCTION("""COMPUTED_VALUE"""),"COD")</f>
        <v>COD</v>
      </c>
      <c r="I1118" s="18" t="str">
        <f>IFERROR(__xludf.DUMMYFUNCTION("""COMPUTED_VALUE"""),"Delivered")</f>
        <v>Delivered</v>
      </c>
      <c r="J1118" s="18" t="str">
        <f>IFERROR(__xludf.DUMMYFUNCTION("""COMPUTED_VALUE"""),"Delivery Experience")</f>
        <v>Delivery Experience</v>
      </c>
      <c r="K1118" s="18" t="str">
        <f>IFERROR(__xludf.DUMMYFUNCTION("""COMPUTED_VALUE"""),"Quick and professional")</f>
        <v>Quick and professional</v>
      </c>
      <c r="L1118" s="18">
        <f>iferror(VLOOKUP($D1118,Details!$A$2:$C$11,2,false),vlookup($D1118,Details!$E$2:$G$11,2,false))</f>
        <v>84</v>
      </c>
      <c r="M1118" s="18" t="str">
        <f>iferror(VLOOKUP($D1118,Details!$A$2:$C$11,3,false),vlookup($D1118,Details!$E$2:$G$11,3,false))</f>
        <v>Fruits and Vegetables</v>
      </c>
      <c r="N1118" s="18">
        <f t="shared" si="1"/>
        <v>168</v>
      </c>
      <c r="O1118" s="17"/>
      <c r="P1118" s="17"/>
      <c r="Q1118" s="17"/>
      <c r="R1118" s="17"/>
      <c r="S1118" s="17"/>
      <c r="T1118" s="17"/>
      <c r="U1118" s="17"/>
      <c r="V1118" s="17"/>
      <c r="W1118" s="17"/>
      <c r="X1118" s="17"/>
      <c r="Y1118" s="17"/>
      <c r="Z1118" s="17"/>
    </row>
    <row r="1119">
      <c r="A1119" s="18" t="str">
        <f>IFERROR(__xludf.DUMMYFUNCTION("""COMPUTED_VALUE"""),"ord_41097")</f>
        <v>ord_41097</v>
      </c>
      <c r="B1119" s="18" t="str">
        <f>IFERROR(__xludf.DUMMYFUNCTION("""COMPUTED_VALUE"""),"Mohit Malhotra")</f>
        <v>Mohit Malhotra</v>
      </c>
      <c r="C1119" s="18" t="str">
        <f>IFERROR(__xludf.DUMMYFUNCTION("""COMPUTED_VALUE"""),"Lower Parel")</f>
        <v>Lower Parel</v>
      </c>
      <c r="D1119" s="18" t="str">
        <f>IFERROR(__xludf.DUMMYFUNCTION("""COMPUTED_VALUE"""),"Potato")</f>
        <v>Potato</v>
      </c>
      <c r="E1119" s="18">
        <f>IFERROR(__xludf.DUMMYFUNCTION("""COMPUTED_VALUE"""),2.0)</f>
        <v>2</v>
      </c>
      <c r="F1119" s="18" t="str">
        <f>IFERROR(__xludf.DUMMYFUNCTION("""COMPUTED_VALUE"""),"Vivek Kumar")</f>
        <v>Vivek Kumar</v>
      </c>
      <c r="G1119" s="19">
        <f>IFERROR(__xludf.DUMMYFUNCTION("""COMPUTED_VALUE"""),45137.0)</f>
        <v>45137</v>
      </c>
      <c r="H1119" s="18" t="str">
        <f>IFERROR(__xludf.DUMMYFUNCTION("""COMPUTED_VALUE"""),"Online Payment")</f>
        <v>Online Payment</v>
      </c>
      <c r="I1119" s="18" t="str">
        <f>IFERROR(__xludf.DUMMYFUNCTION("""COMPUTED_VALUE"""),"Delivered")</f>
        <v>Delivered</v>
      </c>
      <c r="J1119" s="18" t="str">
        <f>IFERROR(__xludf.DUMMYFUNCTION("""COMPUTED_VALUE"""),"Convenience")</f>
        <v>Convenience</v>
      </c>
      <c r="K1119" s="18" t="str">
        <f>IFERROR(__xludf.DUMMYFUNCTION("""COMPUTED_VALUE"""),"Easy tracking")</f>
        <v>Easy tracking</v>
      </c>
      <c r="L1119" s="18">
        <f>iferror(VLOOKUP($D1119,Details!$A$2:$C$11,2,false),vlookup($D1119,Details!$E$2:$G$11,2,false))</f>
        <v>55</v>
      </c>
      <c r="M1119" s="18" t="str">
        <f>iferror(VLOOKUP($D1119,Details!$A$2:$C$11,3,false),vlookup($D1119,Details!$E$2:$G$11,3,false))</f>
        <v>Fruits and Vegetables</v>
      </c>
      <c r="N1119" s="18">
        <f t="shared" si="1"/>
        <v>110</v>
      </c>
      <c r="O1119" s="17"/>
      <c r="P1119" s="17"/>
      <c r="Q1119" s="17"/>
      <c r="R1119" s="17"/>
      <c r="S1119" s="17"/>
      <c r="T1119" s="17"/>
      <c r="U1119" s="17"/>
      <c r="V1119" s="17"/>
      <c r="W1119" s="17"/>
      <c r="X1119" s="17"/>
      <c r="Y1119" s="17"/>
      <c r="Z1119" s="17"/>
    </row>
    <row r="1120">
      <c r="A1120" s="18" t="str">
        <f>IFERROR(__xludf.DUMMYFUNCTION("""COMPUTED_VALUE"""),"ord_41098")</f>
        <v>ord_41098</v>
      </c>
      <c r="B1120" s="18" t="str">
        <f>IFERROR(__xludf.DUMMYFUNCTION("""COMPUTED_VALUE"""),"Kritika Shetty")</f>
        <v>Kritika Shetty</v>
      </c>
      <c r="C1120" s="18" t="str">
        <f>IFERROR(__xludf.DUMMYFUNCTION("""COMPUTED_VALUE"""),"Malad")</f>
        <v>Malad</v>
      </c>
      <c r="D1120" s="18" t="str">
        <f>IFERROR(__xludf.DUMMYFUNCTION("""COMPUTED_VALUE"""),"Juice")</f>
        <v>Juice</v>
      </c>
      <c r="E1120" s="18">
        <f>IFERROR(__xludf.DUMMYFUNCTION("""COMPUTED_VALUE"""),2.0)</f>
        <v>2</v>
      </c>
      <c r="F1120" s="18" t="str">
        <f>IFERROR(__xludf.DUMMYFUNCTION("""COMPUTED_VALUE"""),"Not Assigned")</f>
        <v>Not Assigned</v>
      </c>
      <c r="G1120" s="19">
        <f>IFERROR(__xludf.DUMMYFUNCTION("""COMPUTED_VALUE"""),44939.0)</f>
        <v>44939</v>
      </c>
      <c r="H1120" s="18" t="str">
        <f>IFERROR(__xludf.DUMMYFUNCTION("""COMPUTED_VALUE"""),"Credit Card")</f>
        <v>Credit Card</v>
      </c>
      <c r="I1120" s="18" t="str">
        <f>IFERROR(__xludf.DUMMYFUNCTION("""COMPUTED_VALUE"""),"Cancelled")</f>
        <v>Cancelled</v>
      </c>
      <c r="J1120" s="18" t="str">
        <f>IFERROR(__xludf.DUMMYFUNCTION("""COMPUTED_VALUE"""),"App Glitches")</f>
        <v>App Glitches</v>
      </c>
      <c r="K1120" s="18" t="str">
        <f>IFERROR(__xludf.DUMMYFUNCTION("""COMPUTED_VALUE"""),"Slow Loading Time")</f>
        <v>Slow Loading Time</v>
      </c>
      <c r="L1120" s="18">
        <f>iferror(VLOOKUP($D1120,Details!$A$2:$C$11,2,false),vlookup($D1120,Details!$E$2:$G$11,2,false))</f>
        <v>90</v>
      </c>
      <c r="M1120" s="18" t="str">
        <f>iferror(VLOOKUP($D1120,Details!$A$2:$C$11,3,false),vlookup($D1120,Details!$E$2:$G$11,3,false))</f>
        <v>Snacks and Drinks</v>
      </c>
      <c r="N1120" s="18">
        <f t="shared" si="1"/>
        <v>180</v>
      </c>
      <c r="O1120" s="17"/>
      <c r="P1120" s="17"/>
      <c r="Q1120" s="17"/>
      <c r="R1120" s="17"/>
      <c r="S1120" s="17"/>
      <c r="T1120" s="17"/>
      <c r="U1120" s="17"/>
      <c r="V1120" s="17"/>
      <c r="W1120" s="17"/>
      <c r="X1120" s="17"/>
      <c r="Y1120" s="17"/>
      <c r="Z1120" s="17"/>
    </row>
    <row r="1121">
      <c r="A1121" s="18" t="str">
        <f>IFERROR(__xludf.DUMMYFUNCTION("""COMPUTED_VALUE"""),"ord_41099")</f>
        <v>ord_41099</v>
      </c>
      <c r="B1121" s="18" t="str">
        <f>IFERROR(__xludf.DUMMYFUNCTION("""COMPUTED_VALUE"""),"Dev Chauhan")</f>
        <v>Dev Chauhan</v>
      </c>
      <c r="C1121" s="18" t="str">
        <f>IFERROR(__xludf.DUMMYFUNCTION("""COMPUTED_VALUE"""),"Bandra")</f>
        <v>Bandra</v>
      </c>
      <c r="D1121" s="18" t="str">
        <f>IFERROR(__xludf.DUMMYFUNCTION("""COMPUTED_VALUE"""),"Juice")</f>
        <v>Juice</v>
      </c>
      <c r="E1121" s="18">
        <f>IFERROR(__xludf.DUMMYFUNCTION("""COMPUTED_VALUE"""),2.0)</f>
        <v>2</v>
      </c>
      <c r="F1121" s="18" t="str">
        <f>IFERROR(__xludf.DUMMYFUNCTION("""COMPUTED_VALUE"""),"Shine Thomas")</f>
        <v>Shine Thomas</v>
      </c>
      <c r="G1121" s="19">
        <f>IFERROR(__xludf.DUMMYFUNCTION("""COMPUTED_VALUE"""),44941.0)</f>
        <v>44941</v>
      </c>
      <c r="H1121" s="18" t="str">
        <f>IFERROR(__xludf.DUMMYFUNCTION("""COMPUTED_VALUE"""),"Credit Card")</f>
        <v>Credit Card</v>
      </c>
      <c r="I1121" s="18" t="str">
        <f>IFERROR(__xludf.DUMMYFUNCTION("""COMPUTED_VALUE"""),"Delivered")</f>
        <v>Delivered</v>
      </c>
      <c r="J1121" s="18" t="str">
        <f>IFERROR(__xludf.DUMMYFUNCTION("""COMPUTED_VALUE"""),"Overall Satisfaction")</f>
        <v>Overall Satisfaction</v>
      </c>
      <c r="K1121" s="18" t="str">
        <f>IFERROR(__xludf.DUMMYFUNCTION("""COMPUTED_VALUE"""),"Great service will order again")</f>
        <v>Great service will order again</v>
      </c>
      <c r="L1121" s="18">
        <f>iferror(VLOOKUP($D1121,Details!$A$2:$C$11,2,false),vlookup($D1121,Details!$E$2:$G$11,2,false))</f>
        <v>90</v>
      </c>
      <c r="M1121" s="18" t="str">
        <f>iferror(VLOOKUP($D1121,Details!$A$2:$C$11,3,false),vlookup($D1121,Details!$E$2:$G$11,3,false))</f>
        <v>Snacks and Drinks</v>
      </c>
      <c r="N1121" s="18">
        <f t="shared" si="1"/>
        <v>180</v>
      </c>
      <c r="O1121" s="17"/>
      <c r="P1121" s="17"/>
      <c r="Q1121" s="17"/>
      <c r="R1121" s="17"/>
      <c r="S1121" s="17"/>
      <c r="T1121" s="17"/>
      <c r="U1121" s="17"/>
      <c r="V1121" s="17"/>
      <c r="W1121" s="17"/>
      <c r="X1121" s="17"/>
      <c r="Y1121" s="17"/>
      <c r="Z1121" s="17"/>
    </row>
    <row r="1122">
      <c r="A1122" s="18" t="str">
        <f>IFERROR(__xludf.DUMMYFUNCTION("""COMPUTED_VALUE"""),"ord_41100")</f>
        <v>ord_41100</v>
      </c>
      <c r="B1122" s="18" t="str">
        <f>IFERROR(__xludf.DUMMYFUNCTION("""COMPUTED_VALUE"""),"Mehul Thakkar")</f>
        <v>Mehul Thakkar</v>
      </c>
      <c r="C1122" s="18" t="str">
        <f>IFERROR(__xludf.DUMMYFUNCTION("""COMPUTED_VALUE"""),"Malad")</f>
        <v>Malad</v>
      </c>
      <c r="D1122" s="18" t="str">
        <f>IFERROR(__xludf.DUMMYFUNCTION("""COMPUTED_VALUE"""),"Chocolate Mousse")</f>
        <v>Chocolate Mousse</v>
      </c>
      <c r="E1122" s="18">
        <f>IFERROR(__xludf.DUMMYFUNCTION("""COMPUTED_VALUE"""),1.0)</f>
        <v>1</v>
      </c>
      <c r="F1122" s="18" t="str">
        <f>IFERROR(__xludf.DUMMYFUNCTION("""COMPUTED_VALUE"""),"Not Assigned")</f>
        <v>Not Assigned</v>
      </c>
      <c r="G1122" s="19">
        <f>IFERROR(__xludf.DUMMYFUNCTION("""COMPUTED_VALUE"""),45090.0)</f>
        <v>45090</v>
      </c>
      <c r="H1122" s="18" t="str">
        <f>IFERROR(__xludf.DUMMYFUNCTION("""COMPUTED_VALUE"""),"Credit Card")</f>
        <v>Credit Card</v>
      </c>
      <c r="I1122" s="18" t="str">
        <f>IFERROR(__xludf.DUMMYFUNCTION("""COMPUTED_VALUE"""),"Cancelled")</f>
        <v>Cancelled</v>
      </c>
      <c r="J1122" s="18" t="str">
        <f>IFERROR(__xludf.DUMMYFUNCTION("""COMPUTED_VALUE"""),"Out of Stock")</f>
        <v>Out of Stock</v>
      </c>
      <c r="K1122" s="18"/>
      <c r="L1122" s="18">
        <f>iferror(VLOOKUP($D1122,Details!$A$2:$C$11,2,false),vlookup($D1122,Details!$E$2:$G$11,2,false))</f>
        <v>145</v>
      </c>
      <c r="M1122" s="18" t="str">
        <f>iferror(VLOOKUP($D1122,Details!$A$2:$C$11,3,false),vlookup($D1122,Details!$E$2:$G$11,3,false))</f>
        <v>Snacks and Drinks</v>
      </c>
      <c r="N1122" s="18">
        <f t="shared" si="1"/>
        <v>145</v>
      </c>
      <c r="O1122" s="17"/>
      <c r="P1122" s="17"/>
      <c r="Q1122" s="17"/>
      <c r="R1122" s="17"/>
      <c r="S1122" s="17"/>
      <c r="T1122" s="17"/>
      <c r="U1122" s="17"/>
      <c r="V1122" s="17"/>
      <c r="W1122" s="17"/>
      <c r="X1122" s="17"/>
      <c r="Y1122" s="17"/>
      <c r="Z1122" s="17"/>
    </row>
    <row r="1123">
      <c r="A1123" s="18" t="str">
        <f>IFERROR(__xludf.DUMMYFUNCTION("""COMPUTED_VALUE"""),"ord_41101")</f>
        <v>ord_41101</v>
      </c>
      <c r="B1123" s="18" t="str">
        <f>IFERROR(__xludf.DUMMYFUNCTION("""COMPUTED_VALUE"""),"Ishaan Chaturvedi")</f>
        <v>Ishaan Chaturvedi</v>
      </c>
      <c r="C1123" s="18" t="str">
        <f>IFERROR(__xludf.DUMMYFUNCTION("""COMPUTED_VALUE"""),"Bandra")</f>
        <v>Bandra</v>
      </c>
      <c r="D1123" s="18" t="str">
        <f>IFERROR(__xludf.DUMMYFUNCTION("""COMPUTED_VALUE"""),"Guava")</f>
        <v>Guava</v>
      </c>
      <c r="E1123" s="18">
        <f>IFERROR(__xludf.DUMMYFUNCTION("""COMPUTED_VALUE"""),1.0)</f>
        <v>1</v>
      </c>
      <c r="F1123" s="18" t="str">
        <f>IFERROR(__xludf.DUMMYFUNCTION("""COMPUTED_VALUE"""),"Shine Thomas")</f>
        <v>Shine Thomas</v>
      </c>
      <c r="G1123" s="19">
        <f>IFERROR(__xludf.DUMMYFUNCTION("""COMPUTED_VALUE"""),45178.0)</f>
        <v>45178</v>
      </c>
      <c r="H1123" s="18" t="str">
        <f>IFERROR(__xludf.DUMMYFUNCTION("""COMPUTED_VALUE"""),"UPI")</f>
        <v>UPI</v>
      </c>
      <c r="I1123" s="18" t="str">
        <f>IFERROR(__xludf.DUMMYFUNCTION("""COMPUTED_VALUE"""),"Delivered")</f>
        <v>Delivered</v>
      </c>
      <c r="J1123" s="18" t="str">
        <f>IFERROR(__xludf.DUMMYFUNCTION("""COMPUTED_VALUE"""),"On-time Delivery")</f>
        <v>On-time Delivery</v>
      </c>
      <c r="K1123" s="18" t="str">
        <f>IFERROR(__xludf.DUMMYFUNCTION("""COMPUTED_VALUE"""),"Delivered on time")</f>
        <v>Delivered on time</v>
      </c>
      <c r="L1123" s="18">
        <f>iferror(VLOOKUP($D1123,Details!$A$2:$C$11,2,false),vlookup($D1123,Details!$E$2:$G$11,2,false))</f>
        <v>70</v>
      </c>
      <c r="M1123" s="18" t="str">
        <f>iferror(VLOOKUP($D1123,Details!$A$2:$C$11,3,false),vlookup($D1123,Details!$E$2:$G$11,3,false))</f>
        <v>Fruits and Vegetables</v>
      </c>
      <c r="N1123" s="18">
        <f t="shared" si="1"/>
        <v>70</v>
      </c>
      <c r="O1123" s="17"/>
      <c r="P1123" s="17"/>
      <c r="Q1123" s="17"/>
      <c r="R1123" s="17"/>
      <c r="S1123" s="17"/>
      <c r="T1123" s="17"/>
      <c r="U1123" s="17"/>
      <c r="V1123" s="17"/>
      <c r="W1123" s="17"/>
      <c r="X1123" s="17"/>
      <c r="Y1123" s="17"/>
      <c r="Z1123" s="17"/>
    </row>
    <row r="1124">
      <c r="A1124" s="18" t="str">
        <f>IFERROR(__xludf.DUMMYFUNCTION("""COMPUTED_VALUE"""),"ord_41102")</f>
        <v>ord_41102</v>
      </c>
      <c r="B1124" s="18" t="str">
        <f>IFERROR(__xludf.DUMMYFUNCTION("""COMPUTED_VALUE"""),"Sanjay Nair")</f>
        <v>Sanjay Nair</v>
      </c>
      <c r="C1124" s="18" t="str">
        <f>IFERROR(__xludf.DUMMYFUNCTION("""COMPUTED_VALUE"""),"Dadar")</f>
        <v>Dadar</v>
      </c>
      <c r="D1124" s="18" t="str">
        <f>IFERROR(__xludf.DUMMYFUNCTION("""COMPUTED_VALUE"""),"Chocolate Mousse")</f>
        <v>Chocolate Mousse</v>
      </c>
      <c r="E1124" s="18">
        <f>IFERROR(__xludf.DUMMYFUNCTION("""COMPUTED_VALUE"""),4.0)</f>
        <v>4</v>
      </c>
      <c r="F1124" s="18" t="str">
        <f>IFERROR(__xludf.DUMMYFUNCTION("""COMPUTED_VALUE"""),"Vivek Kumar")</f>
        <v>Vivek Kumar</v>
      </c>
      <c r="G1124" s="19">
        <f>IFERROR(__xludf.DUMMYFUNCTION("""COMPUTED_VALUE"""),45277.0)</f>
        <v>45277</v>
      </c>
      <c r="H1124" s="18" t="str">
        <f>IFERROR(__xludf.DUMMYFUNCTION("""COMPUTED_VALUE"""),"COD")</f>
        <v>COD</v>
      </c>
      <c r="I1124" s="18" t="str">
        <f>IFERROR(__xludf.DUMMYFUNCTION("""COMPUTED_VALUE"""),"Delivered")</f>
        <v>Delivered</v>
      </c>
      <c r="J1124" s="18" t="str">
        <f>IFERROR(__xludf.DUMMYFUNCTION("""COMPUTED_VALUE"""),"Quality of Items")</f>
        <v>Quality of Items</v>
      </c>
      <c r="K1124" s="18" t="str">
        <f>IFERROR(__xludf.DUMMYFUNCTION("""COMPUTED_VALUE"""),"Perfect condition")</f>
        <v>Perfect condition</v>
      </c>
      <c r="L1124" s="18">
        <f>iferror(VLOOKUP($D1124,Details!$A$2:$C$11,2,false),vlookup($D1124,Details!$E$2:$G$11,2,false))</f>
        <v>145</v>
      </c>
      <c r="M1124" s="18" t="str">
        <f>iferror(VLOOKUP($D1124,Details!$A$2:$C$11,3,false),vlookup($D1124,Details!$E$2:$G$11,3,false))</f>
        <v>Snacks and Drinks</v>
      </c>
      <c r="N1124" s="18">
        <f t="shared" si="1"/>
        <v>580</v>
      </c>
      <c r="O1124" s="17"/>
      <c r="P1124" s="17"/>
      <c r="Q1124" s="17"/>
      <c r="R1124" s="17"/>
      <c r="S1124" s="17"/>
      <c r="T1124" s="17"/>
      <c r="U1124" s="17"/>
      <c r="V1124" s="17"/>
      <c r="W1124" s="17"/>
      <c r="X1124" s="17"/>
      <c r="Y1124" s="17"/>
      <c r="Z1124" s="17"/>
    </row>
    <row r="1125">
      <c r="A1125" s="18" t="str">
        <f>IFERROR(__xludf.DUMMYFUNCTION("""COMPUTED_VALUE"""),"ord_41103")</f>
        <v>ord_41103</v>
      </c>
      <c r="B1125" s="18" t="str">
        <f>IFERROR(__xludf.DUMMYFUNCTION("""COMPUTED_VALUE"""),"Diya Arora")</f>
        <v>Diya Arora</v>
      </c>
      <c r="C1125" s="18" t="str">
        <f>IFERROR(__xludf.DUMMYFUNCTION("""COMPUTED_VALUE"""),"Lower Parel")</f>
        <v>Lower Parel</v>
      </c>
      <c r="D1125" s="18" t="str">
        <f>IFERROR(__xludf.DUMMYFUNCTION("""COMPUTED_VALUE"""),"Apple")</f>
        <v>Apple</v>
      </c>
      <c r="E1125" s="18">
        <f>IFERROR(__xludf.DUMMYFUNCTION("""COMPUTED_VALUE"""),1.0)</f>
        <v>1</v>
      </c>
      <c r="F1125" s="18" t="str">
        <f>IFERROR(__xludf.DUMMYFUNCTION("""COMPUTED_VALUE"""),"Manju Ajay")</f>
        <v>Manju Ajay</v>
      </c>
      <c r="G1125" s="19">
        <f>IFERROR(__xludf.DUMMYFUNCTION("""COMPUTED_VALUE"""),44939.0)</f>
        <v>44939</v>
      </c>
      <c r="H1125" s="18" t="str">
        <f>IFERROR(__xludf.DUMMYFUNCTION("""COMPUTED_VALUE"""),"COD")</f>
        <v>COD</v>
      </c>
      <c r="I1125" s="18" t="str">
        <f>IFERROR(__xludf.DUMMYFUNCTION("""COMPUTED_VALUE"""),"Delivered")</f>
        <v>Delivered</v>
      </c>
      <c r="J1125" s="18" t="str">
        <f>IFERROR(__xludf.DUMMYFUNCTION("""COMPUTED_VALUE"""),"On-time Delivery")</f>
        <v>On-time Delivery</v>
      </c>
      <c r="K1125" s="18" t="str">
        <f>IFERROR(__xludf.DUMMYFUNCTION("""COMPUTED_VALUE"""),"Delivered on time")</f>
        <v>Delivered on time</v>
      </c>
      <c r="L1125" s="18">
        <f>iferror(VLOOKUP($D1125,Details!$A$2:$C$11,2,false),vlookup($D1125,Details!$E$2:$G$11,2,false))</f>
        <v>230</v>
      </c>
      <c r="M1125" s="18" t="str">
        <f>iferror(VLOOKUP($D1125,Details!$A$2:$C$11,3,false),vlookup($D1125,Details!$E$2:$G$11,3,false))</f>
        <v>Fruits and Vegetables</v>
      </c>
      <c r="N1125" s="18">
        <f t="shared" si="1"/>
        <v>230</v>
      </c>
      <c r="O1125" s="17"/>
      <c r="P1125" s="17"/>
      <c r="Q1125" s="17"/>
      <c r="R1125" s="17"/>
      <c r="S1125" s="17"/>
      <c r="T1125" s="17"/>
      <c r="U1125" s="17"/>
      <c r="V1125" s="17"/>
      <c r="W1125" s="17"/>
      <c r="X1125" s="17"/>
      <c r="Y1125" s="17"/>
      <c r="Z1125" s="17"/>
    </row>
    <row r="1126">
      <c r="A1126" s="18" t="str">
        <f>IFERROR(__xludf.DUMMYFUNCTION("""COMPUTED_VALUE"""),"ord_41104")</f>
        <v>ord_41104</v>
      </c>
      <c r="B1126" s="18" t="str">
        <f>IFERROR(__xludf.DUMMYFUNCTION("""COMPUTED_VALUE"""),"Kritika Shetty")</f>
        <v>Kritika Shetty</v>
      </c>
      <c r="C1126" s="18" t="str">
        <f>IFERROR(__xludf.DUMMYFUNCTION("""COMPUTED_VALUE"""),"Malad")</f>
        <v>Malad</v>
      </c>
      <c r="D1126" s="18" t="str">
        <f>IFERROR(__xludf.DUMMYFUNCTION("""COMPUTED_VALUE"""),"Onion")</f>
        <v>Onion</v>
      </c>
      <c r="E1126" s="18">
        <f>IFERROR(__xludf.DUMMYFUNCTION("""COMPUTED_VALUE"""),1.0)</f>
        <v>1</v>
      </c>
      <c r="F1126" s="18" t="str">
        <f>IFERROR(__xludf.DUMMYFUNCTION("""COMPUTED_VALUE"""),"Not Assigned")</f>
        <v>Not Assigned</v>
      </c>
      <c r="G1126" s="19">
        <f>IFERROR(__xludf.DUMMYFUNCTION("""COMPUTED_VALUE"""),45226.0)</f>
        <v>45226</v>
      </c>
      <c r="H1126" s="18" t="str">
        <f>IFERROR(__xludf.DUMMYFUNCTION("""COMPUTED_VALUE"""),"UPI")</f>
        <v>UPI</v>
      </c>
      <c r="I1126" s="18" t="str">
        <f>IFERROR(__xludf.DUMMYFUNCTION("""COMPUTED_VALUE"""),"Cancelled")</f>
        <v>Cancelled</v>
      </c>
      <c r="J1126" s="18" t="str">
        <f>IFERROR(__xludf.DUMMYFUNCTION("""COMPUTED_VALUE"""),"App Glitches")</f>
        <v>App Glitches</v>
      </c>
      <c r="K1126" s="18" t="str">
        <f>IFERROR(__xludf.DUMMYFUNCTION("""COMPUTED_VALUE"""),"Slow Loading Time")</f>
        <v>Slow Loading Time</v>
      </c>
      <c r="L1126" s="18">
        <f>iferror(VLOOKUP($D1126,Details!$A$2:$C$11,2,false),vlookup($D1126,Details!$E$2:$G$11,2,false))</f>
        <v>84</v>
      </c>
      <c r="M1126" s="18" t="str">
        <f>iferror(VLOOKUP($D1126,Details!$A$2:$C$11,3,false),vlookup($D1126,Details!$E$2:$G$11,3,false))</f>
        <v>Fruits and Vegetables</v>
      </c>
      <c r="N1126" s="18">
        <f t="shared" si="1"/>
        <v>84</v>
      </c>
      <c r="O1126" s="17"/>
      <c r="P1126" s="17"/>
      <c r="Q1126" s="17"/>
      <c r="R1126" s="17"/>
      <c r="S1126" s="17"/>
      <c r="T1126" s="17"/>
      <c r="U1126" s="17"/>
      <c r="V1126" s="17"/>
      <c r="W1126" s="17"/>
      <c r="X1126" s="17"/>
      <c r="Y1126" s="17"/>
      <c r="Z1126" s="17"/>
    </row>
    <row r="1127">
      <c r="A1127" s="18" t="str">
        <f>IFERROR(__xludf.DUMMYFUNCTION("""COMPUTED_VALUE"""),"ord_41105")</f>
        <v>ord_41105</v>
      </c>
      <c r="B1127" s="18" t="str">
        <f>IFERROR(__xludf.DUMMYFUNCTION("""COMPUTED_VALUE"""),"Parth Goel")</f>
        <v>Parth Goel</v>
      </c>
      <c r="C1127" s="18" t="str">
        <f>IFERROR(__xludf.DUMMYFUNCTION("""COMPUTED_VALUE"""),"Juhu")</f>
        <v>Juhu</v>
      </c>
      <c r="D1127" s="18" t="str">
        <f>IFERROR(__xludf.DUMMYFUNCTION("""COMPUTED_VALUE"""),"Potato")</f>
        <v>Potato</v>
      </c>
      <c r="E1127" s="18">
        <f>IFERROR(__xludf.DUMMYFUNCTION("""COMPUTED_VALUE"""),2.0)</f>
        <v>2</v>
      </c>
      <c r="F1127" s="18" t="str">
        <f>IFERROR(__xludf.DUMMYFUNCTION("""COMPUTED_VALUE"""),"Shine Thomas")</f>
        <v>Shine Thomas</v>
      </c>
      <c r="G1127" s="19">
        <f>IFERROR(__xludf.DUMMYFUNCTION("""COMPUTED_VALUE"""),44962.0)</f>
        <v>44962</v>
      </c>
      <c r="H1127" s="18" t="str">
        <f>IFERROR(__xludf.DUMMYFUNCTION("""COMPUTED_VALUE"""),"COD")</f>
        <v>COD</v>
      </c>
      <c r="I1127" s="18" t="str">
        <f>IFERROR(__xludf.DUMMYFUNCTION("""COMPUTED_VALUE"""),"Delivered")</f>
        <v>Delivered</v>
      </c>
      <c r="J1127" s="18" t="str">
        <f>IFERROR(__xludf.DUMMYFUNCTION("""COMPUTED_VALUE"""),"Quality of Items")</f>
        <v>Quality of Items</v>
      </c>
      <c r="K1127" s="18" t="str">
        <f>IFERROR(__xludf.DUMMYFUNCTION("""COMPUTED_VALUE"""),"Perfect condition")</f>
        <v>Perfect condition</v>
      </c>
      <c r="L1127" s="18">
        <f>iferror(VLOOKUP($D1127,Details!$A$2:$C$11,2,false),vlookup($D1127,Details!$E$2:$G$11,2,false))</f>
        <v>55</v>
      </c>
      <c r="M1127" s="18" t="str">
        <f>iferror(VLOOKUP($D1127,Details!$A$2:$C$11,3,false),vlookup($D1127,Details!$E$2:$G$11,3,false))</f>
        <v>Fruits and Vegetables</v>
      </c>
      <c r="N1127" s="18">
        <f t="shared" si="1"/>
        <v>110</v>
      </c>
      <c r="O1127" s="17"/>
      <c r="P1127" s="17"/>
      <c r="Q1127" s="17"/>
      <c r="R1127" s="17"/>
      <c r="S1127" s="17"/>
      <c r="T1127" s="17"/>
      <c r="U1127" s="17"/>
      <c r="V1127" s="17"/>
      <c r="W1127" s="17"/>
      <c r="X1127" s="17"/>
      <c r="Y1127" s="17"/>
      <c r="Z1127" s="17"/>
    </row>
    <row r="1128">
      <c r="A1128" s="18" t="str">
        <f>IFERROR(__xludf.DUMMYFUNCTION("""COMPUTED_VALUE"""),"ord_41106")</f>
        <v>ord_41106</v>
      </c>
      <c r="B1128" s="18" t="str">
        <f>IFERROR(__xludf.DUMMYFUNCTION("""COMPUTED_VALUE"""),"Pallavi Ghosh")</f>
        <v>Pallavi Ghosh</v>
      </c>
      <c r="C1128" s="18" t="str">
        <f>IFERROR(__xludf.DUMMYFUNCTION("""COMPUTED_VALUE"""),"Bandra")</f>
        <v>Bandra</v>
      </c>
      <c r="D1128" s="18" t="str">
        <f>IFERROR(__xludf.DUMMYFUNCTION("""COMPUTED_VALUE"""),"Veg Puff")</f>
        <v>Veg Puff</v>
      </c>
      <c r="E1128" s="18">
        <f>IFERROR(__xludf.DUMMYFUNCTION("""COMPUTED_VALUE"""),1.0)</f>
        <v>1</v>
      </c>
      <c r="F1128" s="18" t="str">
        <f>IFERROR(__xludf.DUMMYFUNCTION("""COMPUTED_VALUE"""),"Ramesh S")</f>
        <v>Ramesh S</v>
      </c>
      <c r="G1128" s="19">
        <f>IFERROR(__xludf.DUMMYFUNCTION("""COMPUTED_VALUE"""),44969.0)</f>
        <v>44969</v>
      </c>
      <c r="H1128" s="18" t="str">
        <f>IFERROR(__xludf.DUMMYFUNCTION("""COMPUTED_VALUE"""),"Credit Card")</f>
        <v>Credit Card</v>
      </c>
      <c r="I1128" s="18" t="str">
        <f>IFERROR(__xludf.DUMMYFUNCTION("""COMPUTED_VALUE"""),"Delivered")</f>
        <v>Delivered</v>
      </c>
      <c r="J1128" s="18" t="str">
        <f>IFERROR(__xludf.DUMMYFUNCTION("""COMPUTED_VALUE"""),"Packaging")</f>
        <v>Packaging</v>
      </c>
      <c r="K1128" s="18" t="str">
        <f>IFERROR(__xludf.DUMMYFUNCTION("""COMPUTED_VALUE"""),"Secure and intact")</f>
        <v>Secure and intact</v>
      </c>
      <c r="L1128" s="18">
        <f>iferror(VLOOKUP($D1128,Details!$A$2:$C$11,2,false),vlookup($D1128,Details!$E$2:$G$11,2,false))</f>
        <v>80</v>
      </c>
      <c r="M1128" s="18" t="str">
        <f>iferror(VLOOKUP($D1128,Details!$A$2:$C$11,3,false),vlookup($D1128,Details!$E$2:$G$11,3,false))</f>
        <v>Snacks and Drinks</v>
      </c>
      <c r="N1128" s="18">
        <f t="shared" si="1"/>
        <v>80</v>
      </c>
      <c r="O1128" s="17"/>
      <c r="P1128" s="17"/>
      <c r="Q1128" s="17"/>
      <c r="R1128" s="17"/>
      <c r="S1128" s="17"/>
      <c r="T1128" s="17"/>
      <c r="U1128" s="17"/>
      <c r="V1128" s="17"/>
      <c r="W1128" s="17"/>
      <c r="X1128" s="17"/>
      <c r="Y1128" s="17"/>
      <c r="Z1128" s="17"/>
    </row>
    <row r="1129">
      <c r="A1129" s="18" t="str">
        <f>IFERROR(__xludf.DUMMYFUNCTION("""COMPUTED_VALUE"""),"ord_41107")</f>
        <v>ord_41107</v>
      </c>
      <c r="B1129" s="18" t="str">
        <f>IFERROR(__xludf.DUMMYFUNCTION("""COMPUTED_VALUE"""),"Tanishq Bansal")</f>
        <v>Tanishq Bansal</v>
      </c>
      <c r="C1129" s="18" t="str">
        <f>IFERROR(__xludf.DUMMYFUNCTION("""COMPUTED_VALUE"""),"Powai")</f>
        <v>Powai</v>
      </c>
      <c r="D1129" s="18" t="str">
        <f>IFERROR(__xludf.DUMMYFUNCTION("""COMPUTED_VALUE"""),"Orange")</f>
        <v>Orange</v>
      </c>
      <c r="E1129" s="18">
        <f>IFERROR(__xludf.DUMMYFUNCTION("""COMPUTED_VALUE"""),1.0)</f>
        <v>1</v>
      </c>
      <c r="F1129" s="18" t="str">
        <f>IFERROR(__xludf.DUMMYFUNCTION("""COMPUTED_VALUE"""),"Vivek Kumar")</f>
        <v>Vivek Kumar</v>
      </c>
      <c r="G1129" s="19">
        <f>IFERROR(__xludf.DUMMYFUNCTION("""COMPUTED_VALUE"""),45257.0)</f>
        <v>45257</v>
      </c>
      <c r="H1129" s="18" t="str">
        <f>IFERROR(__xludf.DUMMYFUNCTION("""COMPUTED_VALUE"""),"Online Payment")</f>
        <v>Online Payment</v>
      </c>
      <c r="I1129" s="18" t="str">
        <f>IFERROR(__xludf.DUMMYFUNCTION("""COMPUTED_VALUE"""),"Delivered")</f>
        <v>Delivered</v>
      </c>
      <c r="J1129" s="18" t="str">
        <f>IFERROR(__xludf.DUMMYFUNCTION("""COMPUTED_VALUE"""),"Satisfied with the Delivery")</f>
        <v>Satisfied with the Delivery</v>
      </c>
      <c r="K1129" s="18" t="str">
        <f>IFERROR(__xludf.DUMMYFUNCTION("""COMPUTED_VALUE"""),"Timely and quality")</f>
        <v>Timely and quality</v>
      </c>
      <c r="L1129" s="18">
        <f>iferror(VLOOKUP($D1129,Details!$A$2:$C$11,2,false),vlookup($D1129,Details!$E$2:$G$11,2,false))</f>
        <v>180</v>
      </c>
      <c r="M1129" s="18" t="str">
        <f>iferror(VLOOKUP($D1129,Details!$A$2:$C$11,3,false),vlookup($D1129,Details!$E$2:$G$11,3,false))</f>
        <v>Fruits and Vegetables</v>
      </c>
      <c r="N1129" s="18">
        <f t="shared" si="1"/>
        <v>180</v>
      </c>
      <c r="O1129" s="17"/>
      <c r="P1129" s="17"/>
      <c r="Q1129" s="17"/>
      <c r="R1129" s="17"/>
      <c r="S1129" s="17"/>
      <c r="T1129" s="17"/>
      <c r="U1129" s="17"/>
      <c r="V1129" s="17"/>
      <c r="W1129" s="17"/>
      <c r="X1129" s="17"/>
      <c r="Y1129" s="17"/>
      <c r="Z1129" s="17"/>
    </row>
    <row r="1130">
      <c r="A1130" s="18" t="str">
        <f>IFERROR(__xludf.DUMMYFUNCTION("""COMPUTED_VALUE"""),"ord_41108")</f>
        <v>ord_41108</v>
      </c>
      <c r="B1130" s="18" t="str">
        <f>IFERROR(__xludf.DUMMYFUNCTION("""COMPUTED_VALUE"""),"Anaya Rao")</f>
        <v>Anaya Rao</v>
      </c>
      <c r="C1130" s="18" t="str">
        <f>IFERROR(__xludf.DUMMYFUNCTION("""COMPUTED_VALUE"""),"Colaba")</f>
        <v>Colaba</v>
      </c>
      <c r="D1130" s="18" t="str">
        <f>IFERROR(__xludf.DUMMYFUNCTION("""COMPUTED_VALUE"""),"Potato")</f>
        <v>Potato</v>
      </c>
      <c r="E1130" s="18">
        <f>IFERROR(__xludf.DUMMYFUNCTION("""COMPUTED_VALUE"""),2.0)</f>
        <v>2</v>
      </c>
      <c r="F1130" s="18" t="str">
        <f>IFERROR(__xludf.DUMMYFUNCTION("""COMPUTED_VALUE"""),"Venu R")</f>
        <v>Venu R</v>
      </c>
      <c r="G1130" s="19">
        <f>IFERROR(__xludf.DUMMYFUNCTION("""COMPUTED_VALUE"""),44929.0)</f>
        <v>44929</v>
      </c>
      <c r="H1130" s="18" t="str">
        <f>IFERROR(__xludf.DUMMYFUNCTION("""COMPUTED_VALUE"""),"UPI")</f>
        <v>UPI</v>
      </c>
      <c r="I1130" s="18" t="str">
        <f>IFERROR(__xludf.DUMMYFUNCTION("""COMPUTED_VALUE"""),"Delivered")</f>
        <v>Delivered</v>
      </c>
      <c r="J1130" s="18" t="str">
        <f>IFERROR(__xludf.DUMMYFUNCTION("""COMPUTED_VALUE"""),"Customer Service")</f>
        <v>Customer Service</v>
      </c>
      <c r="K1130" s="18" t="str">
        <f>IFERROR(__xludf.DUMMYFUNCTION("""COMPUTED_VALUE"""),"Seamless and easy")</f>
        <v>Seamless and easy</v>
      </c>
      <c r="L1130" s="18">
        <f>iferror(VLOOKUP($D1130,Details!$A$2:$C$11,2,false),vlookup($D1130,Details!$E$2:$G$11,2,false))</f>
        <v>55</v>
      </c>
      <c r="M1130" s="18" t="str">
        <f>iferror(VLOOKUP($D1130,Details!$A$2:$C$11,3,false),vlookup($D1130,Details!$E$2:$G$11,3,false))</f>
        <v>Fruits and Vegetables</v>
      </c>
      <c r="N1130" s="18">
        <f t="shared" si="1"/>
        <v>110</v>
      </c>
      <c r="O1130" s="17"/>
      <c r="P1130" s="17"/>
      <c r="Q1130" s="17"/>
      <c r="R1130" s="17"/>
      <c r="S1130" s="17"/>
      <c r="T1130" s="17"/>
      <c r="U1130" s="17"/>
      <c r="V1130" s="17"/>
      <c r="W1130" s="17"/>
      <c r="X1130" s="17"/>
      <c r="Y1130" s="17"/>
      <c r="Z1130" s="17"/>
    </row>
    <row r="1131">
      <c r="A1131" s="18" t="str">
        <f>IFERROR(__xludf.DUMMYFUNCTION("""COMPUTED_VALUE"""),"ord_41109")</f>
        <v>ord_41109</v>
      </c>
      <c r="B1131" s="18" t="str">
        <f>IFERROR(__xludf.DUMMYFUNCTION("""COMPUTED_VALUE"""),"Kritika Shetty")</f>
        <v>Kritika Shetty</v>
      </c>
      <c r="C1131" s="18" t="str">
        <f>IFERROR(__xludf.DUMMYFUNCTION("""COMPUTED_VALUE"""),"Malad")</f>
        <v>Malad</v>
      </c>
      <c r="D1131" s="18" t="str">
        <f>IFERROR(__xludf.DUMMYFUNCTION("""COMPUTED_VALUE"""),"Veg Puff")</f>
        <v>Veg Puff</v>
      </c>
      <c r="E1131" s="18">
        <f>IFERROR(__xludf.DUMMYFUNCTION("""COMPUTED_VALUE"""),1.0)</f>
        <v>1</v>
      </c>
      <c r="F1131" s="18" t="str">
        <f>IFERROR(__xludf.DUMMYFUNCTION("""COMPUTED_VALUE"""),"Nithin Lal")</f>
        <v>Nithin Lal</v>
      </c>
      <c r="G1131" s="19">
        <f>IFERROR(__xludf.DUMMYFUNCTION("""COMPUTED_VALUE"""),45264.0)</f>
        <v>45264</v>
      </c>
      <c r="H1131" s="18" t="str">
        <f>IFERROR(__xludf.DUMMYFUNCTION("""COMPUTED_VALUE"""),"Credit Card")</f>
        <v>Credit Card</v>
      </c>
      <c r="I1131" s="18" t="str">
        <f>IFERROR(__xludf.DUMMYFUNCTION("""COMPUTED_VALUE"""),"Delivered")</f>
        <v>Delivered</v>
      </c>
      <c r="J1131" s="18" t="str">
        <f>IFERROR(__xludf.DUMMYFUNCTION("""COMPUTED_VALUE"""),"Delivery Experience")</f>
        <v>Delivery Experience</v>
      </c>
      <c r="K1131" s="18" t="str">
        <f>IFERROR(__xludf.DUMMYFUNCTION("""COMPUTED_VALUE"""),"Quick and professional")</f>
        <v>Quick and professional</v>
      </c>
      <c r="L1131" s="18">
        <f>iferror(VLOOKUP($D1131,Details!$A$2:$C$11,2,false),vlookup($D1131,Details!$E$2:$G$11,2,false))</f>
        <v>80</v>
      </c>
      <c r="M1131" s="18" t="str">
        <f>iferror(VLOOKUP($D1131,Details!$A$2:$C$11,3,false),vlookup($D1131,Details!$E$2:$G$11,3,false))</f>
        <v>Snacks and Drinks</v>
      </c>
      <c r="N1131" s="18">
        <f t="shared" si="1"/>
        <v>80</v>
      </c>
      <c r="O1131" s="17"/>
      <c r="P1131" s="17"/>
      <c r="Q1131" s="17"/>
      <c r="R1131" s="17"/>
      <c r="S1131" s="17"/>
      <c r="T1131" s="17"/>
      <c r="U1131" s="17"/>
      <c r="V1131" s="17"/>
      <c r="W1131" s="17"/>
      <c r="X1131" s="17"/>
      <c r="Y1131" s="17"/>
      <c r="Z1131" s="17"/>
    </row>
    <row r="1132">
      <c r="A1132" s="18" t="str">
        <f>IFERROR(__xludf.DUMMYFUNCTION("""COMPUTED_VALUE"""),"ord_41110")</f>
        <v>ord_41110</v>
      </c>
      <c r="B1132" s="18" t="str">
        <f>IFERROR(__xludf.DUMMYFUNCTION("""COMPUTED_VALUE"""),"Aditi Iyer")</f>
        <v>Aditi Iyer</v>
      </c>
      <c r="C1132" s="18" t="str">
        <f>IFERROR(__xludf.DUMMYFUNCTION("""COMPUTED_VALUE"""),"Dadar")</f>
        <v>Dadar</v>
      </c>
      <c r="D1132" s="18" t="str">
        <f>IFERROR(__xludf.DUMMYFUNCTION("""COMPUTED_VALUE"""),"Guava")</f>
        <v>Guava</v>
      </c>
      <c r="E1132" s="18">
        <f>IFERROR(__xludf.DUMMYFUNCTION("""COMPUTED_VALUE"""),2.0)</f>
        <v>2</v>
      </c>
      <c r="F1132" s="18" t="str">
        <f>IFERROR(__xludf.DUMMYFUNCTION("""COMPUTED_VALUE"""),"Shine Thomas")</f>
        <v>Shine Thomas</v>
      </c>
      <c r="G1132" s="19">
        <f>IFERROR(__xludf.DUMMYFUNCTION("""COMPUTED_VALUE"""),45119.0)</f>
        <v>45119</v>
      </c>
      <c r="H1132" s="18" t="str">
        <f>IFERROR(__xludf.DUMMYFUNCTION("""COMPUTED_VALUE"""),"COD")</f>
        <v>COD</v>
      </c>
      <c r="I1132" s="18" t="str">
        <f>IFERROR(__xludf.DUMMYFUNCTION("""COMPUTED_VALUE"""),"Delivered")</f>
        <v>Delivered</v>
      </c>
      <c r="J1132" s="18" t="str">
        <f>IFERROR(__xludf.DUMMYFUNCTION("""COMPUTED_VALUE"""),"Convenience")</f>
        <v>Convenience</v>
      </c>
      <c r="K1132" s="18" t="str">
        <f>IFERROR(__xludf.DUMMYFUNCTION("""COMPUTED_VALUE"""),"Easy tracking")</f>
        <v>Easy tracking</v>
      </c>
      <c r="L1132" s="18">
        <f>iferror(VLOOKUP($D1132,Details!$A$2:$C$11,2,false),vlookup($D1132,Details!$E$2:$G$11,2,false))</f>
        <v>70</v>
      </c>
      <c r="M1132" s="18" t="str">
        <f>iferror(VLOOKUP($D1132,Details!$A$2:$C$11,3,false),vlookup($D1132,Details!$E$2:$G$11,3,false))</f>
        <v>Fruits and Vegetables</v>
      </c>
      <c r="N1132" s="18">
        <f t="shared" si="1"/>
        <v>140</v>
      </c>
      <c r="O1132" s="17"/>
      <c r="P1132" s="17"/>
      <c r="Q1132" s="17"/>
      <c r="R1132" s="17"/>
      <c r="S1132" s="17"/>
      <c r="T1132" s="17"/>
      <c r="U1132" s="17"/>
      <c r="V1132" s="17"/>
      <c r="W1132" s="17"/>
      <c r="X1132" s="17"/>
      <c r="Y1132" s="17"/>
      <c r="Z1132" s="17"/>
    </row>
    <row r="1133">
      <c r="A1133" s="18" t="str">
        <f>IFERROR(__xludf.DUMMYFUNCTION("""COMPUTED_VALUE"""),"ord_41111")</f>
        <v>ord_41111</v>
      </c>
      <c r="B1133" s="18" t="str">
        <f>IFERROR(__xludf.DUMMYFUNCTION("""COMPUTED_VALUE"""),"Parth Goel")</f>
        <v>Parth Goel</v>
      </c>
      <c r="C1133" s="18" t="str">
        <f>IFERROR(__xludf.DUMMYFUNCTION("""COMPUTED_VALUE"""),"Juhu")</f>
        <v>Juhu</v>
      </c>
      <c r="D1133" s="18" t="str">
        <f>IFERROR(__xludf.DUMMYFUNCTION("""COMPUTED_VALUE"""),"Guava")</f>
        <v>Guava</v>
      </c>
      <c r="E1133" s="18">
        <f>IFERROR(__xludf.DUMMYFUNCTION("""COMPUTED_VALUE"""),2.0)</f>
        <v>2</v>
      </c>
      <c r="F1133" s="18" t="str">
        <f>IFERROR(__xludf.DUMMYFUNCTION("""COMPUTED_VALUE"""),"Manju Ajay")</f>
        <v>Manju Ajay</v>
      </c>
      <c r="G1133" s="19">
        <f>IFERROR(__xludf.DUMMYFUNCTION("""COMPUTED_VALUE"""),44936.0)</f>
        <v>44936</v>
      </c>
      <c r="H1133" s="18" t="str">
        <f>IFERROR(__xludf.DUMMYFUNCTION("""COMPUTED_VALUE"""),"COD")</f>
        <v>COD</v>
      </c>
      <c r="I1133" s="18" t="str">
        <f>IFERROR(__xludf.DUMMYFUNCTION("""COMPUTED_VALUE"""),"Delivered")</f>
        <v>Delivered</v>
      </c>
      <c r="J1133" s="18" t="str">
        <f>IFERROR(__xludf.DUMMYFUNCTION("""COMPUTED_VALUE"""),"Overall Satisfaction")</f>
        <v>Overall Satisfaction</v>
      </c>
      <c r="K1133" s="18" t="str">
        <f>IFERROR(__xludf.DUMMYFUNCTION("""COMPUTED_VALUE"""),"Great service will order again")</f>
        <v>Great service will order again</v>
      </c>
      <c r="L1133" s="18">
        <f>iferror(VLOOKUP($D1133,Details!$A$2:$C$11,2,false),vlookup($D1133,Details!$E$2:$G$11,2,false))</f>
        <v>70</v>
      </c>
      <c r="M1133" s="18" t="str">
        <f>iferror(VLOOKUP($D1133,Details!$A$2:$C$11,3,false),vlookup($D1133,Details!$E$2:$G$11,3,false))</f>
        <v>Fruits and Vegetables</v>
      </c>
      <c r="N1133" s="18">
        <f t="shared" si="1"/>
        <v>140</v>
      </c>
      <c r="O1133" s="17"/>
      <c r="P1133" s="17"/>
      <c r="Q1133" s="17"/>
      <c r="R1133" s="17"/>
      <c r="S1133" s="17"/>
      <c r="T1133" s="17"/>
      <c r="U1133" s="17"/>
      <c r="V1133" s="17"/>
      <c r="W1133" s="17"/>
      <c r="X1133" s="17"/>
      <c r="Y1133" s="17"/>
      <c r="Z1133" s="17"/>
    </row>
    <row r="1134">
      <c r="A1134" s="18" t="str">
        <f>IFERROR(__xludf.DUMMYFUNCTION("""COMPUTED_VALUE"""),"ord_41112")</f>
        <v>ord_41112</v>
      </c>
      <c r="B1134" s="18" t="str">
        <f>IFERROR(__xludf.DUMMYFUNCTION("""COMPUTED_VALUE"""),"Pallavi Ghosh")</f>
        <v>Pallavi Ghosh</v>
      </c>
      <c r="C1134" s="18" t="str">
        <f>IFERROR(__xludf.DUMMYFUNCTION("""COMPUTED_VALUE"""),"Bandra")</f>
        <v>Bandra</v>
      </c>
      <c r="D1134" s="18" t="str">
        <f>IFERROR(__xludf.DUMMYFUNCTION("""COMPUTED_VALUE"""),"Potato")</f>
        <v>Potato</v>
      </c>
      <c r="E1134" s="18">
        <f>IFERROR(__xludf.DUMMYFUNCTION("""COMPUTED_VALUE"""),1.0)</f>
        <v>1</v>
      </c>
      <c r="F1134" s="18" t="str">
        <f>IFERROR(__xludf.DUMMYFUNCTION("""COMPUTED_VALUE"""),"Priya Joshi")</f>
        <v>Priya Joshi</v>
      </c>
      <c r="G1134" s="19">
        <f>IFERROR(__xludf.DUMMYFUNCTION("""COMPUTED_VALUE"""),45241.0)</f>
        <v>45241</v>
      </c>
      <c r="H1134" s="18" t="str">
        <f>IFERROR(__xludf.DUMMYFUNCTION("""COMPUTED_VALUE"""),"Online Payment")</f>
        <v>Online Payment</v>
      </c>
      <c r="I1134" s="18" t="str">
        <f>IFERROR(__xludf.DUMMYFUNCTION("""COMPUTED_VALUE"""),"Delivered")</f>
        <v>Delivered</v>
      </c>
      <c r="J1134" s="18" t="str">
        <f>IFERROR(__xludf.DUMMYFUNCTION("""COMPUTED_VALUE"""),"On-time Delivery")</f>
        <v>On-time Delivery</v>
      </c>
      <c r="K1134" s="18" t="str">
        <f>IFERROR(__xludf.DUMMYFUNCTION("""COMPUTED_VALUE"""),"Delivered on time")</f>
        <v>Delivered on time</v>
      </c>
      <c r="L1134" s="18">
        <f>iferror(VLOOKUP($D1134,Details!$A$2:$C$11,2,false),vlookup($D1134,Details!$E$2:$G$11,2,false))</f>
        <v>55</v>
      </c>
      <c r="M1134" s="18" t="str">
        <f>iferror(VLOOKUP($D1134,Details!$A$2:$C$11,3,false),vlookup($D1134,Details!$E$2:$G$11,3,false))</f>
        <v>Fruits and Vegetables</v>
      </c>
      <c r="N1134" s="18">
        <f t="shared" si="1"/>
        <v>55</v>
      </c>
      <c r="O1134" s="17"/>
      <c r="P1134" s="17"/>
      <c r="Q1134" s="17"/>
      <c r="R1134" s="17"/>
      <c r="S1134" s="17"/>
      <c r="T1134" s="17"/>
      <c r="U1134" s="17"/>
      <c r="V1134" s="17"/>
      <c r="W1134" s="17"/>
      <c r="X1134" s="17"/>
      <c r="Y1134" s="17"/>
      <c r="Z1134" s="17"/>
    </row>
    <row r="1135">
      <c r="A1135" s="18" t="str">
        <f>IFERROR(__xludf.DUMMYFUNCTION("""COMPUTED_VALUE"""),"ord_41113")</f>
        <v>ord_41113</v>
      </c>
      <c r="B1135" s="18" t="str">
        <f>IFERROR(__xludf.DUMMYFUNCTION("""COMPUTED_VALUE"""),"Omkar Mishra")</f>
        <v>Omkar Mishra</v>
      </c>
      <c r="C1135" s="18" t="str">
        <f>IFERROR(__xludf.DUMMYFUNCTION("""COMPUTED_VALUE"""),"Powai")</f>
        <v>Powai</v>
      </c>
      <c r="D1135" s="18" t="str">
        <f>IFERROR(__xludf.DUMMYFUNCTION("""COMPUTED_VALUE"""),"Sweet Corn")</f>
        <v>Sweet Corn</v>
      </c>
      <c r="E1135" s="18">
        <f>IFERROR(__xludf.DUMMYFUNCTION("""COMPUTED_VALUE"""),1.0)</f>
        <v>1</v>
      </c>
      <c r="F1135" s="18" t="str">
        <f>IFERROR(__xludf.DUMMYFUNCTION("""COMPUTED_VALUE"""),"Sandeep Kumar")</f>
        <v>Sandeep Kumar</v>
      </c>
      <c r="G1135" s="19">
        <f>IFERROR(__xludf.DUMMYFUNCTION("""COMPUTED_VALUE"""),45058.0)</f>
        <v>45058</v>
      </c>
      <c r="H1135" s="18" t="str">
        <f>IFERROR(__xludf.DUMMYFUNCTION("""COMPUTED_VALUE"""),"COD")</f>
        <v>COD</v>
      </c>
      <c r="I1135" s="18" t="str">
        <f>IFERROR(__xludf.DUMMYFUNCTION("""COMPUTED_VALUE"""),"Delivered")</f>
        <v>Delivered</v>
      </c>
      <c r="J1135" s="18" t="str">
        <f>IFERROR(__xludf.DUMMYFUNCTION("""COMPUTED_VALUE"""),"Quality of Items")</f>
        <v>Quality of Items</v>
      </c>
      <c r="K1135" s="18" t="str">
        <f>IFERROR(__xludf.DUMMYFUNCTION("""COMPUTED_VALUE"""),"Perfect condition")</f>
        <v>Perfect condition</v>
      </c>
      <c r="L1135" s="18">
        <f>iferror(VLOOKUP($D1135,Details!$A$2:$C$11,2,false),vlookup($D1135,Details!$E$2:$G$11,2,false))</f>
        <v>60</v>
      </c>
      <c r="M1135" s="18" t="str">
        <f>iferror(VLOOKUP($D1135,Details!$A$2:$C$11,3,false),vlookup($D1135,Details!$E$2:$G$11,3,false))</f>
        <v>Fruits and Vegetables</v>
      </c>
      <c r="N1135" s="18">
        <f t="shared" si="1"/>
        <v>60</v>
      </c>
      <c r="O1135" s="17"/>
      <c r="P1135" s="17"/>
      <c r="Q1135" s="17"/>
      <c r="R1135" s="17"/>
      <c r="S1135" s="17"/>
      <c r="T1135" s="17"/>
      <c r="U1135" s="17"/>
      <c r="V1135" s="17"/>
      <c r="W1135" s="17"/>
      <c r="X1135" s="17"/>
      <c r="Y1135" s="17"/>
      <c r="Z1135" s="17"/>
    </row>
    <row r="1136">
      <c r="A1136" s="18" t="str">
        <f>IFERROR(__xludf.DUMMYFUNCTION("""COMPUTED_VALUE"""),"ord_41114")</f>
        <v>ord_41114</v>
      </c>
      <c r="B1136" s="18" t="str">
        <f>IFERROR(__xludf.DUMMYFUNCTION("""COMPUTED_VALUE"""),"Siya Reddy")</f>
        <v>Siya Reddy</v>
      </c>
      <c r="C1136" s="18" t="str">
        <f>IFERROR(__xludf.DUMMYFUNCTION("""COMPUTED_VALUE"""),"Juhu")</f>
        <v>Juhu</v>
      </c>
      <c r="D1136" s="18" t="str">
        <f>IFERROR(__xludf.DUMMYFUNCTION("""COMPUTED_VALUE"""),"Papaya")</f>
        <v>Papaya</v>
      </c>
      <c r="E1136" s="18">
        <f>IFERROR(__xludf.DUMMYFUNCTION("""COMPUTED_VALUE"""),1.0)</f>
        <v>1</v>
      </c>
      <c r="F1136" s="18" t="str">
        <f>IFERROR(__xludf.DUMMYFUNCTION("""COMPUTED_VALUE"""),"Not Assigned")</f>
        <v>Not Assigned</v>
      </c>
      <c r="G1136" s="19">
        <f>IFERROR(__xludf.DUMMYFUNCTION("""COMPUTED_VALUE"""),45052.0)</f>
        <v>45052</v>
      </c>
      <c r="H1136" s="18" t="str">
        <f>IFERROR(__xludf.DUMMYFUNCTION("""COMPUTED_VALUE"""),"Online Payment")</f>
        <v>Online Payment</v>
      </c>
      <c r="I1136" s="18" t="str">
        <f>IFERROR(__xludf.DUMMYFUNCTION("""COMPUTED_VALUE"""),"Cancelled")</f>
        <v>Cancelled</v>
      </c>
      <c r="J1136" s="18" t="str">
        <f>IFERROR(__xludf.DUMMYFUNCTION("""COMPUTED_VALUE"""),"Payment Issues")</f>
        <v>Payment Issues</v>
      </c>
      <c r="K1136" s="18"/>
      <c r="L1136" s="18">
        <f>iferror(VLOOKUP($D1136,Details!$A$2:$C$11,2,false),vlookup($D1136,Details!$E$2:$G$11,2,false))</f>
        <v>75</v>
      </c>
      <c r="M1136" s="18" t="str">
        <f>iferror(VLOOKUP($D1136,Details!$A$2:$C$11,3,false),vlookup($D1136,Details!$E$2:$G$11,3,false))</f>
        <v>Fruits and Vegetables</v>
      </c>
      <c r="N1136" s="18">
        <f t="shared" si="1"/>
        <v>75</v>
      </c>
      <c r="O1136" s="17"/>
      <c r="P1136" s="17"/>
      <c r="Q1136" s="17"/>
      <c r="R1136" s="17"/>
      <c r="S1136" s="17"/>
      <c r="T1136" s="17"/>
      <c r="U1136" s="17"/>
      <c r="V1136" s="17"/>
      <c r="W1136" s="17"/>
      <c r="X1136" s="17"/>
      <c r="Y1136" s="17"/>
      <c r="Z1136" s="17"/>
    </row>
    <row r="1137">
      <c r="A1137" s="18" t="str">
        <f>IFERROR(__xludf.DUMMYFUNCTION("""COMPUTED_VALUE"""),"ord_41115")</f>
        <v>ord_41115</v>
      </c>
      <c r="B1137" s="18" t="str">
        <f>IFERROR(__xludf.DUMMYFUNCTION("""COMPUTED_VALUE"""),"Aarohi Kapoor")</f>
        <v>Aarohi Kapoor</v>
      </c>
      <c r="C1137" s="18" t="str">
        <f>IFERROR(__xludf.DUMMYFUNCTION("""COMPUTED_VALUE"""),"Bandra")</f>
        <v>Bandra</v>
      </c>
      <c r="D1137" s="18" t="str">
        <f>IFERROR(__xludf.DUMMYFUNCTION("""COMPUTED_VALUE"""),"Veg Puff")</f>
        <v>Veg Puff</v>
      </c>
      <c r="E1137" s="18">
        <f>IFERROR(__xludf.DUMMYFUNCTION("""COMPUTED_VALUE"""),5.0)</f>
        <v>5</v>
      </c>
      <c r="F1137" s="18" t="str">
        <f>IFERROR(__xludf.DUMMYFUNCTION("""COMPUTED_VALUE"""),"Priya Joshi")</f>
        <v>Priya Joshi</v>
      </c>
      <c r="G1137" s="19">
        <f>IFERROR(__xludf.DUMMYFUNCTION("""COMPUTED_VALUE"""),45081.0)</f>
        <v>45081</v>
      </c>
      <c r="H1137" s="18" t="str">
        <f>IFERROR(__xludf.DUMMYFUNCTION("""COMPUTED_VALUE"""),"UPI")</f>
        <v>UPI</v>
      </c>
      <c r="I1137" s="18" t="str">
        <f>IFERROR(__xludf.DUMMYFUNCTION("""COMPUTED_VALUE"""),"Delivered")</f>
        <v>Delivered</v>
      </c>
      <c r="J1137" s="18" t="str">
        <f>IFERROR(__xludf.DUMMYFUNCTION("""COMPUTED_VALUE"""),"On-time Delivery")</f>
        <v>On-time Delivery</v>
      </c>
      <c r="K1137" s="18" t="str">
        <f>IFERROR(__xludf.DUMMYFUNCTION("""COMPUTED_VALUE"""),"Delivered on time")</f>
        <v>Delivered on time</v>
      </c>
      <c r="L1137" s="18">
        <f>iferror(VLOOKUP($D1137,Details!$A$2:$C$11,2,false),vlookup($D1137,Details!$E$2:$G$11,2,false))</f>
        <v>80</v>
      </c>
      <c r="M1137" s="18" t="str">
        <f>iferror(VLOOKUP($D1137,Details!$A$2:$C$11,3,false),vlookup($D1137,Details!$E$2:$G$11,3,false))</f>
        <v>Snacks and Drinks</v>
      </c>
      <c r="N1137" s="18">
        <f t="shared" si="1"/>
        <v>400</v>
      </c>
      <c r="O1137" s="17"/>
      <c r="P1137" s="17"/>
      <c r="Q1137" s="17"/>
      <c r="R1137" s="17"/>
      <c r="S1137" s="17"/>
      <c r="T1137" s="17"/>
      <c r="U1137" s="17"/>
      <c r="V1137" s="17"/>
      <c r="W1137" s="17"/>
      <c r="X1137" s="17"/>
      <c r="Y1137" s="17"/>
      <c r="Z1137" s="17"/>
    </row>
    <row r="1138">
      <c r="A1138" s="18" t="str">
        <f>IFERROR(__xludf.DUMMYFUNCTION("""COMPUTED_VALUE"""),"ord_41116")</f>
        <v>ord_41116</v>
      </c>
      <c r="B1138" s="18" t="str">
        <f>IFERROR(__xludf.DUMMYFUNCTION("""COMPUTED_VALUE"""),"Diya Arora")</f>
        <v>Diya Arora</v>
      </c>
      <c r="C1138" s="18" t="str">
        <f>IFERROR(__xludf.DUMMYFUNCTION("""COMPUTED_VALUE"""),"Lower Parel")</f>
        <v>Lower Parel</v>
      </c>
      <c r="D1138" s="18" t="str">
        <f>IFERROR(__xludf.DUMMYFUNCTION("""COMPUTED_VALUE"""),"Chilli Cheese Toast")</f>
        <v>Chilli Cheese Toast</v>
      </c>
      <c r="E1138" s="18">
        <f>IFERROR(__xludf.DUMMYFUNCTION("""COMPUTED_VALUE"""),3.0)</f>
        <v>3</v>
      </c>
      <c r="F1138" s="18" t="str">
        <f>IFERROR(__xludf.DUMMYFUNCTION("""COMPUTED_VALUE"""),"Kiran Mehta")</f>
        <v>Kiran Mehta</v>
      </c>
      <c r="G1138" s="19">
        <f>IFERROR(__xludf.DUMMYFUNCTION("""COMPUTED_VALUE"""),45200.0)</f>
        <v>45200</v>
      </c>
      <c r="H1138" s="18" t="str">
        <f>IFERROR(__xludf.DUMMYFUNCTION("""COMPUTED_VALUE"""),"UPI")</f>
        <v>UPI</v>
      </c>
      <c r="I1138" s="18" t="str">
        <f>IFERROR(__xludf.DUMMYFUNCTION("""COMPUTED_VALUE"""),"Delivered")</f>
        <v>Delivered</v>
      </c>
      <c r="J1138" s="18" t="str">
        <f>IFERROR(__xludf.DUMMYFUNCTION("""COMPUTED_VALUE"""),"Quality of Items")</f>
        <v>Quality of Items</v>
      </c>
      <c r="K1138" s="18" t="str">
        <f>IFERROR(__xludf.DUMMYFUNCTION("""COMPUTED_VALUE"""),"Perfect condition")</f>
        <v>Perfect condition</v>
      </c>
      <c r="L1138" s="18">
        <f>iferror(VLOOKUP($D1138,Details!$A$2:$C$11,2,false),vlookup($D1138,Details!$E$2:$G$11,2,false))</f>
        <v>80</v>
      </c>
      <c r="M1138" s="18" t="str">
        <f>iferror(VLOOKUP($D1138,Details!$A$2:$C$11,3,false),vlookup($D1138,Details!$E$2:$G$11,3,false))</f>
        <v>Snacks and Drinks</v>
      </c>
      <c r="N1138" s="18">
        <f t="shared" si="1"/>
        <v>240</v>
      </c>
      <c r="O1138" s="17"/>
      <c r="P1138" s="17"/>
      <c r="Q1138" s="17"/>
      <c r="R1138" s="17"/>
      <c r="S1138" s="17"/>
      <c r="T1138" s="17"/>
      <c r="U1138" s="17"/>
      <c r="V1138" s="17"/>
      <c r="W1138" s="17"/>
      <c r="X1138" s="17"/>
      <c r="Y1138" s="17"/>
      <c r="Z1138" s="17"/>
    </row>
    <row r="1139">
      <c r="A1139" s="18" t="str">
        <f>IFERROR(__xludf.DUMMYFUNCTION("""COMPUTED_VALUE"""),"ord_41117")</f>
        <v>ord_41117</v>
      </c>
      <c r="B1139" s="18" t="str">
        <f>IFERROR(__xludf.DUMMYFUNCTION("""COMPUTED_VALUE"""),"Arvind Kulkarni")</f>
        <v>Arvind Kulkarni</v>
      </c>
      <c r="C1139" s="18" t="str">
        <f>IFERROR(__xludf.DUMMYFUNCTION("""COMPUTED_VALUE"""),"Juhu")</f>
        <v>Juhu</v>
      </c>
      <c r="D1139" s="18" t="str">
        <f>IFERROR(__xludf.DUMMYFUNCTION("""COMPUTED_VALUE"""),"Juice")</f>
        <v>Juice</v>
      </c>
      <c r="E1139" s="18">
        <f>IFERROR(__xludf.DUMMYFUNCTION("""COMPUTED_VALUE"""),2.0)</f>
        <v>2</v>
      </c>
      <c r="F1139" s="18" t="str">
        <f>IFERROR(__xludf.DUMMYFUNCTION("""COMPUTED_VALUE"""),"Not Assigned")</f>
        <v>Not Assigned</v>
      </c>
      <c r="G1139" s="19">
        <f>IFERROR(__xludf.DUMMYFUNCTION("""COMPUTED_VALUE"""),45137.0)</f>
        <v>45137</v>
      </c>
      <c r="H1139" s="18" t="str">
        <f>IFERROR(__xludf.DUMMYFUNCTION("""COMPUTED_VALUE"""),"UPI")</f>
        <v>UPI</v>
      </c>
      <c r="I1139" s="18" t="str">
        <f>IFERROR(__xludf.DUMMYFUNCTION("""COMPUTED_VALUE"""),"Cancelled")</f>
        <v>Cancelled</v>
      </c>
      <c r="J1139" s="18" t="str">
        <f>IFERROR(__xludf.DUMMYFUNCTION("""COMPUTED_VALUE"""),"App Glitches")</f>
        <v>App Glitches</v>
      </c>
      <c r="K1139" s="18" t="str">
        <f>IFERROR(__xludf.DUMMYFUNCTION("""COMPUTED_VALUE"""),"Slow Loading Time")</f>
        <v>Slow Loading Time</v>
      </c>
      <c r="L1139" s="18">
        <f>iferror(VLOOKUP($D1139,Details!$A$2:$C$11,2,false),vlookup($D1139,Details!$E$2:$G$11,2,false))</f>
        <v>90</v>
      </c>
      <c r="M1139" s="18" t="str">
        <f>iferror(VLOOKUP($D1139,Details!$A$2:$C$11,3,false),vlookup($D1139,Details!$E$2:$G$11,3,false))</f>
        <v>Snacks and Drinks</v>
      </c>
      <c r="N1139" s="18">
        <f t="shared" si="1"/>
        <v>180</v>
      </c>
      <c r="O1139" s="17"/>
      <c r="P1139" s="17"/>
      <c r="Q1139" s="17"/>
      <c r="R1139" s="17"/>
      <c r="S1139" s="17"/>
      <c r="T1139" s="17"/>
      <c r="U1139" s="17"/>
      <c r="V1139" s="17"/>
      <c r="W1139" s="17"/>
      <c r="X1139" s="17"/>
      <c r="Y1139" s="17"/>
      <c r="Z1139" s="17"/>
    </row>
    <row r="1140">
      <c r="A1140" s="18" t="str">
        <f>IFERROR(__xludf.DUMMYFUNCTION("""COMPUTED_VALUE"""),"ord_41118")</f>
        <v>ord_41118</v>
      </c>
      <c r="B1140" s="18" t="str">
        <f>IFERROR(__xludf.DUMMYFUNCTION("""COMPUTED_VALUE"""),"Arvind Kulkarni")</f>
        <v>Arvind Kulkarni</v>
      </c>
      <c r="C1140" s="18" t="str">
        <f>IFERROR(__xludf.DUMMYFUNCTION("""COMPUTED_VALUE"""),"Juhu")</f>
        <v>Juhu</v>
      </c>
      <c r="D1140" s="18" t="str">
        <f>IFERROR(__xludf.DUMMYFUNCTION("""COMPUTED_VALUE"""),"Orange")</f>
        <v>Orange</v>
      </c>
      <c r="E1140" s="18">
        <f>IFERROR(__xludf.DUMMYFUNCTION("""COMPUTED_VALUE"""),2.0)</f>
        <v>2</v>
      </c>
      <c r="F1140" s="18" t="str">
        <f>IFERROR(__xludf.DUMMYFUNCTION("""COMPUTED_VALUE"""),"Not Assigned")</f>
        <v>Not Assigned</v>
      </c>
      <c r="G1140" s="19">
        <f>IFERROR(__xludf.DUMMYFUNCTION("""COMPUTED_VALUE"""),45152.0)</f>
        <v>45152</v>
      </c>
      <c r="H1140" s="18" t="str">
        <f>IFERROR(__xludf.DUMMYFUNCTION("""COMPUTED_VALUE"""),"Credit Card")</f>
        <v>Credit Card</v>
      </c>
      <c r="I1140" s="18" t="str">
        <f>IFERROR(__xludf.DUMMYFUNCTION("""COMPUTED_VALUE"""),"Cancelled")</f>
        <v>Cancelled</v>
      </c>
      <c r="J1140" s="18" t="str">
        <f>IFERROR(__xludf.DUMMYFUNCTION("""COMPUTED_VALUE"""),"Payment Issues")</f>
        <v>Payment Issues</v>
      </c>
      <c r="K1140" s="18"/>
      <c r="L1140" s="18">
        <f>iferror(VLOOKUP($D1140,Details!$A$2:$C$11,2,false),vlookup($D1140,Details!$E$2:$G$11,2,false))</f>
        <v>180</v>
      </c>
      <c r="M1140" s="18" t="str">
        <f>iferror(VLOOKUP($D1140,Details!$A$2:$C$11,3,false),vlookup($D1140,Details!$E$2:$G$11,3,false))</f>
        <v>Fruits and Vegetables</v>
      </c>
      <c r="N1140" s="18">
        <f t="shared" si="1"/>
        <v>360</v>
      </c>
      <c r="O1140" s="17"/>
      <c r="P1140" s="17"/>
      <c r="Q1140" s="17"/>
      <c r="R1140" s="17"/>
      <c r="S1140" s="17"/>
      <c r="T1140" s="17"/>
      <c r="U1140" s="17"/>
      <c r="V1140" s="17"/>
      <c r="W1140" s="17"/>
      <c r="X1140" s="17"/>
      <c r="Y1140" s="17"/>
      <c r="Z1140" s="17"/>
    </row>
    <row r="1141">
      <c r="A1141" s="18" t="str">
        <f>IFERROR(__xludf.DUMMYFUNCTION("""COMPUTED_VALUE"""),"ord_41119")</f>
        <v>ord_41119</v>
      </c>
      <c r="B1141" s="18" t="str">
        <f>IFERROR(__xludf.DUMMYFUNCTION("""COMPUTED_VALUE"""),"Anaya Rao")</f>
        <v>Anaya Rao</v>
      </c>
      <c r="C1141" s="18" t="str">
        <f>IFERROR(__xludf.DUMMYFUNCTION("""COMPUTED_VALUE"""),"Colaba")</f>
        <v>Colaba</v>
      </c>
      <c r="D1141" s="18" t="str">
        <f>IFERROR(__xludf.DUMMYFUNCTION("""COMPUTED_VALUE"""),"Tiramisu")</f>
        <v>Tiramisu</v>
      </c>
      <c r="E1141" s="18">
        <f>IFERROR(__xludf.DUMMYFUNCTION("""COMPUTED_VALUE"""),5.0)</f>
        <v>5</v>
      </c>
      <c r="F1141" s="18" t="str">
        <f>IFERROR(__xludf.DUMMYFUNCTION("""COMPUTED_VALUE"""),"Nikhil Deshmukh")</f>
        <v>Nikhil Deshmukh</v>
      </c>
      <c r="G1141" s="19">
        <f>IFERROR(__xludf.DUMMYFUNCTION("""COMPUTED_VALUE"""),44976.0)</f>
        <v>44976</v>
      </c>
      <c r="H1141" s="18" t="str">
        <f>IFERROR(__xludf.DUMMYFUNCTION("""COMPUTED_VALUE"""),"COD")</f>
        <v>COD</v>
      </c>
      <c r="I1141" s="18" t="str">
        <f>IFERROR(__xludf.DUMMYFUNCTION("""COMPUTED_VALUE"""),"Delivered")</f>
        <v>Delivered</v>
      </c>
      <c r="J1141" s="18" t="str">
        <f>IFERROR(__xludf.DUMMYFUNCTION("""COMPUTED_VALUE"""),"Packaging")</f>
        <v>Packaging</v>
      </c>
      <c r="K1141" s="18" t="str">
        <f>IFERROR(__xludf.DUMMYFUNCTION("""COMPUTED_VALUE"""),"Secure and intact")</f>
        <v>Secure and intact</v>
      </c>
      <c r="L1141" s="18">
        <f>iferror(VLOOKUP($D1141,Details!$A$2:$C$11,2,false),vlookup($D1141,Details!$E$2:$G$11,2,false))</f>
        <v>150</v>
      </c>
      <c r="M1141" s="18" t="str">
        <f>iferror(VLOOKUP($D1141,Details!$A$2:$C$11,3,false),vlookup($D1141,Details!$E$2:$G$11,3,false))</f>
        <v>Snacks and Drinks</v>
      </c>
      <c r="N1141" s="18">
        <f t="shared" si="1"/>
        <v>750</v>
      </c>
      <c r="O1141" s="17"/>
      <c r="P1141" s="17"/>
      <c r="Q1141" s="17"/>
      <c r="R1141" s="17"/>
      <c r="S1141" s="17"/>
      <c r="T1141" s="17"/>
      <c r="U1141" s="17"/>
      <c r="V1141" s="17"/>
      <c r="W1141" s="17"/>
      <c r="X1141" s="17"/>
      <c r="Y1141" s="17"/>
      <c r="Z1141" s="17"/>
    </row>
    <row r="1142">
      <c r="A1142" s="18" t="str">
        <f>IFERROR(__xludf.DUMMYFUNCTION("""COMPUTED_VALUE"""),"ord_41120")</f>
        <v>ord_41120</v>
      </c>
      <c r="B1142" s="18" t="str">
        <f>IFERROR(__xludf.DUMMYFUNCTION("""COMPUTED_VALUE"""),"Pranav Joshi")</f>
        <v>Pranav Joshi</v>
      </c>
      <c r="C1142" s="18" t="str">
        <f>IFERROR(__xludf.DUMMYFUNCTION("""COMPUTED_VALUE"""),"Andheri")</f>
        <v>Andheri</v>
      </c>
      <c r="D1142" s="18" t="str">
        <f>IFERROR(__xludf.DUMMYFUNCTION("""COMPUTED_VALUE"""),"Banana")</f>
        <v>Banana</v>
      </c>
      <c r="E1142" s="18">
        <f>IFERROR(__xludf.DUMMYFUNCTION("""COMPUTED_VALUE"""),1.0)</f>
        <v>1</v>
      </c>
      <c r="F1142" s="18" t="str">
        <f>IFERROR(__xludf.DUMMYFUNCTION("""COMPUTED_VALUE"""),"Rohan Yadav")</f>
        <v>Rohan Yadav</v>
      </c>
      <c r="G1142" s="19">
        <f>IFERROR(__xludf.DUMMYFUNCTION("""COMPUTED_VALUE"""),45245.0)</f>
        <v>45245</v>
      </c>
      <c r="H1142" s="18" t="str">
        <f>IFERROR(__xludf.DUMMYFUNCTION("""COMPUTED_VALUE"""),"UPI")</f>
        <v>UPI</v>
      </c>
      <c r="I1142" s="18" t="str">
        <f>IFERROR(__xludf.DUMMYFUNCTION("""COMPUTED_VALUE"""),"Delivered")</f>
        <v>Delivered</v>
      </c>
      <c r="J1142" s="18" t="str">
        <f>IFERROR(__xludf.DUMMYFUNCTION("""COMPUTED_VALUE"""),"Satisfied with the Delivery")</f>
        <v>Satisfied with the Delivery</v>
      </c>
      <c r="K1142" s="18" t="str">
        <f>IFERROR(__xludf.DUMMYFUNCTION("""COMPUTED_VALUE"""),"Timely and quality")</f>
        <v>Timely and quality</v>
      </c>
      <c r="L1142" s="18">
        <f>iferror(VLOOKUP($D1142,Details!$A$2:$C$11,2,false),vlookup($D1142,Details!$E$2:$G$11,2,false))</f>
        <v>80</v>
      </c>
      <c r="M1142" s="18" t="str">
        <f>iferror(VLOOKUP($D1142,Details!$A$2:$C$11,3,false),vlookup($D1142,Details!$E$2:$G$11,3,false))</f>
        <v>Fruits and Vegetables</v>
      </c>
      <c r="N1142" s="18">
        <f t="shared" si="1"/>
        <v>80</v>
      </c>
      <c r="O1142" s="17"/>
      <c r="P1142" s="17"/>
      <c r="Q1142" s="17"/>
      <c r="R1142" s="17"/>
      <c r="S1142" s="17"/>
      <c r="T1142" s="17"/>
      <c r="U1142" s="17"/>
      <c r="V1142" s="17"/>
      <c r="W1142" s="17"/>
      <c r="X1142" s="17"/>
      <c r="Y1142" s="17"/>
      <c r="Z1142" s="17"/>
    </row>
    <row r="1143">
      <c r="A1143" s="18" t="str">
        <f>IFERROR(__xludf.DUMMYFUNCTION("""COMPUTED_VALUE"""),"ord_41121")</f>
        <v>ord_41121</v>
      </c>
      <c r="B1143" s="18" t="str">
        <f>IFERROR(__xludf.DUMMYFUNCTION("""COMPUTED_VALUE"""),"Ishaan Chaturvedi")</f>
        <v>Ishaan Chaturvedi</v>
      </c>
      <c r="C1143" s="18" t="str">
        <f>IFERROR(__xludf.DUMMYFUNCTION("""COMPUTED_VALUE"""),"Bandra")</f>
        <v>Bandra</v>
      </c>
      <c r="D1143" s="18" t="str">
        <f>IFERROR(__xludf.DUMMYFUNCTION("""COMPUTED_VALUE"""),"Apple")</f>
        <v>Apple</v>
      </c>
      <c r="E1143" s="18">
        <f>IFERROR(__xludf.DUMMYFUNCTION("""COMPUTED_VALUE"""),1.0)</f>
        <v>1</v>
      </c>
      <c r="F1143" s="18" t="str">
        <f>IFERROR(__xludf.DUMMYFUNCTION("""COMPUTED_VALUE"""),"Priya Joshi")</f>
        <v>Priya Joshi</v>
      </c>
      <c r="G1143" s="19">
        <f>IFERROR(__xludf.DUMMYFUNCTION("""COMPUTED_VALUE"""),45189.0)</f>
        <v>45189</v>
      </c>
      <c r="H1143" s="18" t="str">
        <f>IFERROR(__xludf.DUMMYFUNCTION("""COMPUTED_VALUE"""),"UPI")</f>
        <v>UPI</v>
      </c>
      <c r="I1143" s="18" t="str">
        <f>IFERROR(__xludf.DUMMYFUNCTION("""COMPUTED_VALUE"""),"Delivered")</f>
        <v>Delivered</v>
      </c>
      <c r="J1143" s="18" t="str">
        <f>IFERROR(__xludf.DUMMYFUNCTION("""COMPUTED_VALUE"""),"Customer Service")</f>
        <v>Customer Service</v>
      </c>
      <c r="K1143" s="18" t="str">
        <f>IFERROR(__xludf.DUMMYFUNCTION("""COMPUTED_VALUE"""),"Seamless and easy")</f>
        <v>Seamless and easy</v>
      </c>
      <c r="L1143" s="18">
        <f>iferror(VLOOKUP($D1143,Details!$A$2:$C$11,2,false),vlookup($D1143,Details!$E$2:$G$11,2,false))</f>
        <v>230</v>
      </c>
      <c r="M1143" s="18" t="str">
        <f>iferror(VLOOKUP($D1143,Details!$A$2:$C$11,3,false),vlookup($D1143,Details!$E$2:$G$11,3,false))</f>
        <v>Fruits and Vegetables</v>
      </c>
      <c r="N1143" s="18">
        <f t="shared" si="1"/>
        <v>230</v>
      </c>
      <c r="O1143" s="17"/>
      <c r="P1143" s="17"/>
      <c r="Q1143" s="17"/>
      <c r="R1143" s="17"/>
      <c r="S1143" s="17"/>
      <c r="T1143" s="17"/>
      <c r="U1143" s="17"/>
      <c r="V1143" s="17"/>
      <c r="W1143" s="17"/>
      <c r="X1143" s="17"/>
      <c r="Y1143" s="17"/>
      <c r="Z1143" s="17"/>
    </row>
    <row r="1144">
      <c r="A1144" s="18" t="str">
        <f>IFERROR(__xludf.DUMMYFUNCTION("""COMPUTED_VALUE"""),"ord_41122")</f>
        <v>ord_41122</v>
      </c>
      <c r="B1144" s="18" t="str">
        <f>IFERROR(__xludf.DUMMYFUNCTION("""COMPUTED_VALUE"""),"Ishaan Chaturvedi")</f>
        <v>Ishaan Chaturvedi</v>
      </c>
      <c r="C1144" s="18" t="str">
        <f>IFERROR(__xludf.DUMMYFUNCTION("""COMPUTED_VALUE"""),"Bandra")</f>
        <v>Bandra</v>
      </c>
      <c r="D1144" s="18" t="str">
        <f>IFERROR(__xludf.DUMMYFUNCTION("""COMPUTED_VALUE"""),"Apple")</f>
        <v>Apple</v>
      </c>
      <c r="E1144" s="18">
        <f>IFERROR(__xludf.DUMMYFUNCTION("""COMPUTED_VALUE"""),2.0)</f>
        <v>2</v>
      </c>
      <c r="F1144" s="18" t="str">
        <f>IFERROR(__xludf.DUMMYFUNCTION("""COMPUTED_VALUE"""),"Priya Joshi")</f>
        <v>Priya Joshi</v>
      </c>
      <c r="G1144" s="19">
        <f>IFERROR(__xludf.DUMMYFUNCTION("""COMPUTED_VALUE"""),45005.0)</f>
        <v>45005</v>
      </c>
      <c r="H1144" s="18" t="str">
        <f>IFERROR(__xludf.DUMMYFUNCTION("""COMPUTED_VALUE"""),"Credit Card")</f>
        <v>Credit Card</v>
      </c>
      <c r="I1144" s="18" t="str">
        <f>IFERROR(__xludf.DUMMYFUNCTION("""COMPUTED_VALUE"""),"Delivered")</f>
        <v>Delivered</v>
      </c>
      <c r="J1144" s="18" t="str">
        <f>IFERROR(__xludf.DUMMYFUNCTION("""COMPUTED_VALUE"""),"Delivery Experience")</f>
        <v>Delivery Experience</v>
      </c>
      <c r="K1144" s="18" t="str">
        <f>IFERROR(__xludf.DUMMYFUNCTION("""COMPUTED_VALUE"""),"Quick and professional")</f>
        <v>Quick and professional</v>
      </c>
      <c r="L1144" s="18">
        <f>iferror(VLOOKUP($D1144,Details!$A$2:$C$11,2,false),vlookup($D1144,Details!$E$2:$G$11,2,false))</f>
        <v>230</v>
      </c>
      <c r="M1144" s="18" t="str">
        <f>iferror(VLOOKUP($D1144,Details!$A$2:$C$11,3,false),vlookup($D1144,Details!$E$2:$G$11,3,false))</f>
        <v>Fruits and Vegetables</v>
      </c>
      <c r="N1144" s="18">
        <f t="shared" si="1"/>
        <v>460</v>
      </c>
      <c r="O1144" s="17"/>
      <c r="P1144" s="17"/>
      <c r="Q1144" s="17"/>
      <c r="R1144" s="17"/>
      <c r="S1144" s="17"/>
      <c r="T1144" s="17"/>
      <c r="U1144" s="17"/>
      <c r="V1144" s="17"/>
      <c r="W1144" s="17"/>
      <c r="X1144" s="17"/>
      <c r="Y1144" s="17"/>
      <c r="Z1144" s="17"/>
    </row>
    <row r="1145">
      <c r="A1145" s="18" t="str">
        <f>IFERROR(__xludf.DUMMYFUNCTION("""COMPUTED_VALUE"""),"ord_41123")</f>
        <v>ord_41123</v>
      </c>
      <c r="B1145" s="18" t="str">
        <f>IFERROR(__xludf.DUMMYFUNCTION("""COMPUTED_VALUE"""),"Diya Arora")</f>
        <v>Diya Arora</v>
      </c>
      <c r="C1145" s="18" t="str">
        <f>IFERROR(__xludf.DUMMYFUNCTION("""COMPUTED_VALUE"""),"Lower Parel")</f>
        <v>Lower Parel</v>
      </c>
      <c r="D1145" s="18" t="str">
        <f>IFERROR(__xludf.DUMMYFUNCTION("""COMPUTED_VALUE"""),"Rasmalai")</f>
        <v>Rasmalai</v>
      </c>
      <c r="E1145" s="18">
        <f>IFERROR(__xludf.DUMMYFUNCTION("""COMPUTED_VALUE"""),4.0)</f>
        <v>4</v>
      </c>
      <c r="F1145" s="18" t="str">
        <f>IFERROR(__xludf.DUMMYFUNCTION("""COMPUTED_VALUE"""),"Kiran Mehta")</f>
        <v>Kiran Mehta</v>
      </c>
      <c r="G1145" s="19">
        <f>IFERROR(__xludf.DUMMYFUNCTION("""COMPUTED_VALUE"""),45113.0)</f>
        <v>45113</v>
      </c>
      <c r="H1145" s="18" t="str">
        <f>IFERROR(__xludf.DUMMYFUNCTION("""COMPUTED_VALUE"""),"Online Payment")</f>
        <v>Online Payment</v>
      </c>
      <c r="I1145" s="18" t="str">
        <f>IFERROR(__xludf.DUMMYFUNCTION("""COMPUTED_VALUE"""),"Delivered")</f>
        <v>Delivered</v>
      </c>
      <c r="J1145" s="18" t="str">
        <f>IFERROR(__xludf.DUMMYFUNCTION("""COMPUTED_VALUE"""),"Convenience")</f>
        <v>Convenience</v>
      </c>
      <c r="K1145" s="18" t="str">
        <f>IFERROR(__xludf.DUMMYFUNCTION("""COMPUTED_VALUE"""),"Easy tracking")</f>
        <v>Easy tracking</v>
      </c>
      <c r="L1145" s="18">
        <f>iferror(VLOOKUP($D1145,Details!$A$2:$C$11,2,false),vlookup($D1145,Details!$E$2:$G$11,2,false))</f>
        <v>110</v>
      </c>
      <c r="M1145" s="18" t="str">
        <f>iferror(VLOOKUP($D1145,Details!$A$2:$C$11,3,false),vlookup($D1145,Details!$E$2:$G$11,3,false))</f>
        <v>Snacks and Drinks</v>
      </c>
      <c r="N1145" s="18">
        <f t="shared" si="1"/>
        <v>440</v>
      </c>
      <c r="O1145" s="17"/>
      <c r="P1145" s="17"/>
      <c r="Q1145" s="17"/>
      <c r="R1145" s="17"/>
      <c r="S1145" s="17"/>
      <c r="T1145" s="17"/>
      <c r="U1145" s="17"/>
      <c r="V1145" s="17"/>
      <c r="W1145" s="17"/>
      <c r="X1145" s="17"/>
      <c r="Y1145" s="17"/>
      <c r="Z1145" s="17"/>
    </row>
    <row r="1146">
      <c r="A1146" s="18" t="str">
        <f>IFERROR(__xludf.DUMMYFUNCTION("""COMPUTED_VALUE"""),"ord_41124")</f>
        <v>ord_41124</v>
      </c>
      <c r="B1146" s="18" t="str">
        <f>IFERROR(__xludf.DUMMYFUNCTION("""COMPUTED_VALUE"""),"Parth Goel")</f>
        <v>Parth Goel</v>
      </c>
      <c r="C1146" s="18" t="str">
        <f>IFERROR(__xludf.DUMMYFUNCTION("""COMPUTED_VALUE"""),"Juhu")</f>
        <v>Juhu</v>
      </c>
      <c r="D1146" s="18" t="str">
        <f>IFERROR(__xludf.DUMMYFUNCTION("""COMPUTED_VALUE"""),"Icecream")</f>
        <v>Icecream</v>
      </c>
      <c r="E1146" s="18">
        <f>IFERROR(__xludf.DUMMYFUNCTION("""COMPUTED_VALUE"""),4.0)</f>
        <v>4</v>
      </c>
      <c r="F1146" s="18" t="str">
        <f>IFERROR(__xludf.DUMMYFUNCTION("""COMPUTED_VALUE"""),"Tanvi Jain")</f>
        <v>Tanvi Jain</v>
      </c>
      <c r="G1146" s="19">
        <f>IFERROR(__xludf.DUMMYFUNCTION("""COMPUTED_VALUE"""),45039.0)</f>
        <v>45039</v>
      </c>
      <c r="H1146" s="18" t="str">
        <f>IFERROR(__xludf.DUMMYFUNCTION("""COMPUTED_VALUE"""),"UPI")</f>
        <v>UPI</v>
      </c>
      <c r="I1146" s="18" t="str">
        <f>IFERROR(__xludf.DUMMYFUNCTION("""COMPUTED_VALUE"""),"Delivered")</f>
        <v>Delivered</v>
      </c>
      <c r="J1146" s="18" t="str">
        <f>IFERROR(__xludf.DUMMYFUNCTION("""COMPUTED_VALUE"""),"Overall Satisfaction")</f>
        <v>Overall Satisfaction</v>
      </c>
      <c r="K1146" s="18" t="str">
        <f>IFERROR(__xludf.DUMMYFUNCTION("""COMPUTED_VALUE"""),"Great service will order again")</f>
        <v>Great service will order again</v>
      </c>
      <c r="L1146" s="18">
        <f>iferror(VLOOKUP($D1146,Details!$A$2:$C$11,2,false),vlookup($D1146,Details!$E$2:$G$11,2,false))</f>
        <v>90</v>
      </c>
      <c r="M1146" s="18" t="str">
        <f>iferror(VLOOKUP($D1146,Details!$A$2:$C$11,3,false),vlookup($D1146,Details!$E$2:$G$11,3,false))</f>
        <v>Snacks and Drinks</v>
      </c>
      <c r="N1146" s="18">
        <f t="shared" si="1"/>
        <v>360</v>
      </c>
      <c r="O1146" s="17"/>
      <c r="P1146" s="17"/>
      <c r="Q1146" s="17"/>
      <c r="R1146" s="17"/>
      <c r="S1146" s="17"/>
      <c r="T1146" s="17"/>
      <c r="U1146" s="17"/>
      <c r="V1146" s="17"/>
      <c r="W1146" s="17"/>
      <c r="X1146" s="17"/>
      <c r="Y1146" s="17"/>
      <c r="Z1146" s="17"/>
    </row>
    <row r="1147">
      <c r="A1147" s="18" t="str">
        <f>IFERROR(__xludf.DUMMYFUNCTION("""COMPUTED_VALUE"""),"ord_41125")</f>
        <v>ord_41125</v>
      </c>
      <c r="B1147" s="18" t="str">
        <f>IFERROR(__xludf.DUMMYFUNCTION("""COMPUTED_VALUE"""),"Mehul Thakkar")</f>
        <v>Mehul Thakkar</v>
      </c>
      <c r="C1147" s="18" t="str">
        <f>IFERROR(__xludf.DUMMYFUNCTION("""COMPUTED_VALUE"""),"Malad")</f>
        <v>Malad</v>
      </c>
      <c r="D1147" s="18" t="str">
        <f>IFERROR(__xludf.DUMMYFUNCTION("""COMPUTED_VALUE"""),"Onion")</f>
        <v>Onion</v>
      </c>
      <c r="E1147" s="18">
        <f>IFERROR(__xludf.DUMMYFUNCTION("""COMPUTED_VALUE"""),2.0)</f>
        <v>2</v>
      </c>
      <c r="F1147" s="18" t="str">
        <f>IFERROR(__xludf.DUMMYFUNCTION("""COMPUTED_VALUE"""),"Neha Shah")</f>
        <v>Neha Shah</v>
      </c>
      <c r="G1147" s="19">
        <f>IFERROR(__xludf.DUMMYFUNCTION("""COMPUTED_VALUE"""),45099.0)</f>
        <v>45099</v>
      </c>
      <c r="H1147" s="18" t="str">
        <f>IFERROR(__xludf.DUMMYFUNCTION("""COMPUTED_VALUE"""),"Credit Card")</f>
        <v>Credit Card</v>
      </c>
      <c r="I1147" s="18" t="str">
        <f>IFERROR(__xludf.DUMMYFUNCTION("""COMPUTED_VALUE"""),"Delivered")</f>
        <v>Delivered</v>
      </c>
      <c r="J1147" s="18" t="str">
        <f>IFERROR(__xludf.DUMMYFUNCTION("""COMPUTED_VALUE"""),"On-time Delivery")</f>
        <v>On-time Delivery</v>
      </c>
      <c r="K1147" s="18" t="str">
        <f>IFERROR(__xludf.DUMMYFUNCTION("""COMPUTED_VALUE"""),"Delivered on time")</f>
        <v>Delivered on time</v>
      </c>
      <c r="L1147" s="18">
        <f>iferror(VLOOKUP($D1147,Details!$A$2:$C$11,2,false),vlookup($D1147,Details!$E$2:$G$11,2,false))</f>
        <v>84</v>
      </c>
      <c r="M1147" s="18" t="str">
        <f>iferror(VLOOKUP($D1147,Details!$A$2:$C$11,3,false),vlookup($D1147,Details!$E$2:$G$11,3,false))</f>
        <v>Fruits and Vegetables</v>
      </c>
      <c r="N1147" s="18">
        <f t="shared" si="1"/>
        <v>168</v>
      </c>
      <c r="O1147" s="17"/>
      <c r="P1147" s="17"/>
      <c r="Q1147" s="17"/>
      <c r="R1147" s="17"/>
      <c r="S1147" s="17"/>
      <c r="T1147" s="17"/>
      <c r="U1147" s="17"/>
      <c r="V1147" s="17"/>
      <c r="W1147" s="17"/>
      <c r="X1147" s="17"/>
      <c r="Y1147" s="17"/>
      <c r="Z1147" s="17"/>
    </row>
    <row r="1148">
      <c r="A1148" s="18" t="str">
        <f>IFERROR(__xludf.DUMMYFUNCTION("""COMPUTED_VALUE"""),"ord_41126")</f>
        <v>ord_41126</v>
      </c>
      <c r="B1148" s="18" t="str">
        <f>IFERROR(__xludf.DUMMYFUNCTION("""COMPUTED_VALUE"""),"Diya Arora")</f>
        <v>Diya Arora</v>
      </c>
      <c r="C1148" s="18" t="str">
        <f>IFERROR(__xludf.DUMMYFUNCTION("""COMPUTED_VALUE"""),"Lower Parel")</f>
        <v>Lower Parel</v>
      </c>
      <c r="D1148" s="18" t="str">
        <f>IFERROR(__xludf.DUMMYFUNCTION("""COMPUTED_VALUE"""),"Apple")</f>
        <v>Apple</v>
      </c>
      <c r="E1148" s="18">
        <f>IFERROR(__xludf.DUMMYFUNCTION("""COMPUTED_VALUE"""),2.0)</f>
        <v>2</v>
      </c>
      <c r="F1148" s="18" t="str">
        <f>IFERROR(__xludf.DUMMYFUNCTION("""COMPUTED_VALUE"""),"Kiran Mehta")</f>
        <v>Kiran Mehta</v>
      </c>
      <c r="G1148" s="19">
        <f>IFERROR(__xludf.DUMMYFUNCTION("""COMPUTED_VALUE"""),45149.0)</f>
        <v>45149</v>
      </c>
      <c r="H1148" s="18" t="str">
        <f>IFERROR(__xludf.DUMMYFUNCTION("""COMPUTED_VALUE"""),"Online Payment")</f>
        <v>Online Payment</v>
      </c>
      <c r="I1148" s="18" t="str">
        <f>IFERROR(__xludf.DUMMYFUNCTION("""COMPUTED_VALUE"""),"Delivered")</f>
        <v>Delivered</v>
      </c>
      <c r="J1148" s="18" t="str">
        <f>IFERROR(__xludf.DUMMYFUNCTION("""COMPUTED_VALUE"""),"Quality of Items")</f>
        <v>Quality of Items</v>
      </c>
      <c r="K1148" s="18" t="str">
        <f>IFERROR(__xludf.DUMMYFUNCTION("""COMPUTED_VALUE"""),"Perfect condition")</f>
        <v>Perfect condition</v>
      </c>
      <c r="L1148" s="18">
        <f>iferror(VLOOKUP($D1148,Details!$A$2:$C$11,2,false),vlookup($D1148,Details!$E$2:$G$11,2,false))</f>
        <v>230</v>
      </c>
      <c r="M1148" s="18" t="str">
        <f>iferror(VLOOKUP($D1148,Details!$A$2:$C$11,3,false),vlookup($D1148,Details!$E$2:$G$11,3,false))</f>
        <v>Fruits and Vegetables</v>
      </c>
      <c r="N1148" s="18">
        <f t="shared" si="1"/>
        <v>460</v>
      </c>
      <c r="O1148" s="17"/>
      <c r="P1148" s="17"/>
      <c r="Q1148" s="17"/>
      <c r="R1148" s="17"/>
      <c r="S1148" s="17"/>
      <c r="T1148" s="17"/>
      <c r="U1148" s="17"/>
      <c r="V1148" s="17"/>
      <c r="W1148" s="17"/>
      <c r="X1148" s="17"/>
      <c r="Y1148" s="17"/>
      <c r="Z1148" s="17"/>
    </row>
    <row r="1149">
      <c r="A1149" s="18" t="str">
        <f>IFERROR(__xludf.DUMMYFUNCTION("""COMPUTED_VALUE"""),"ord_41127")</f>
        <v>ord_41127</v>
      </c>
      <c r="B1149" s="18" t="str">
        <f>IFERROR(__xludf.DUMMYFUNCTION("""COMPUTED_VALUE"""),"Tanishq Bansal")</f>
        <v>Tanishq Bansal</v>
      </c>
      <c r="C1149" s="18" t="str">
        <f>IFERROR(__xludf.DUMMYFUNCTION("""COMPUTED_VALUE"""),"Powai")</f>
        <v>Powai</v>
      </c>
      <c r="D1149" s="18" t="str">
        <f>IFERROR(__xludf.DUMMYFUNCTION("""COMPUTED_VALUE"""),"Cold Coffee")</f>
        <v>Cold Coffee</v>
      </c>
      <c r="E1149" s="18">
        <f>IFERROR(__xludf.DUMMYFUNCTION("""COMPUTED_VALUE"""),2.0)</f>
        <v>2</v>
      </c>
      <c r="F1149" s="18" t="str">
        <f>IFERROR(__xludf.DUMMYFUNCTION("""COMPUTED_VALUE"""),"Sandeep Kumar")</f>
        <v>Sandeep Kumar</v>
      </c>
      <c r="G1149" s="19">
        <f>IFERROR(__xludf.DUMMYFUNCTION("""COMPUTED_VALUE"""),45064.0)</f>
        <v>45064</v>
      </c>
      <c r="H1149" s="18" t="str">
        <f>IFERROR(__xludf.DUMMYFUNCTION("""COMPUTED_VALUE"""),"Online Payment")</f>
        <v>Online Payment</v>
      </c>
      <c r="I1149" s="18" t="str">
        <f>IFERROR(__xludf.DUMMYFUNCTION("""COMPUTED_VALUE"""),"Delivered")</f>
        <v>Delivered</v>
      </c>
      <c r="J1149" s="18" t="str">
        <f>IFERROR(__xludf.DUMMYFUNCTION("""COMPUTED_VALUE"""),"On-time Delivery")</f>
        <v>On-time Delivery</v>
      </c>
      <c r="K1149" s="18" t="str">
        <f>IFERROR(__xludf.DUMMYFUNCTION("""COMPUTED_VALUE"""),"Delivered on time")</f>
        <v>Delivered on time</v>
      </c>
      <c r="L1149" s="18">
        <f>iferror(VLOOKUP($D1149,Details!$A$2:$C$11,2,false),vlookup($D1149,Details!$E$2:$G$11,2,false))</f>
        <v>270</v>
      </c>
      <c r="M1149" s="18" t="str">
        <f>iferror(VLOOKUP($D1149,Details!$A$2:$C$11,3,false),vlookup($D1149,Details!$E$2:$G$11,3,false))</f>
        <v>Snacks and Drinks</v>
      </c>
      <c r="N1149" s="18">
        <f t="shared" si="1"/>
        <v>540</v>
      </c>
      <c r="O1149" s="17"/>
      <c r="P1149" s="17"/>
      <c r="Q1149" s="17"/>
      <c r="R1149" s="17"/>
      <c r="S1149" s="17"/>
      <c r="T1149" s="17"/>
      <c r="U1149" s="17"/>
      <c r="V1149" s="17"/>
      <c r="W1149" s="17"/>
      <c r="X1149" s="17"/>
      <c r="Y1149" s="17"/>
      <c r="Z1149" s="17"/>
    </row>
    <row r="1150">
      <c r="A1150" s="18" t="str">
        <f>IFERROR(__xludf.DUMMYFUNCTION("""COMPUTED_VALUE"""),"ord_41128")</f>
        <v>ord_41128</v>
      </c>
      <c r="B1150" s="18" t="str">
        <f>IFERROR(__xludf.DUMMYFUNCTION("""COMPUTED_VALUE"""),"Arvind Kulkarni")</f>
        <v>Arvind Kulkarni</v>
      </c>
      <c r="C1150" s="18" t="str">
        <f>IFERROR(__xludf.DUMMYFUNCTION("""COMPUTED_VALUE"""),"Juhu")</f>
        <v>Juhu</v>
      </c>
      <c r="D1150" s="18" t="str">
        <f>IFERROR(__xludf.DUMMYFUNCTION("""COMPUTED_VALUE"""),"Chocolate Mousse")</f>
        <v>Chocolate Mousse</v>
      </c>
      <c r="E1150" s="18">
        <f>IFERROR(__xludf.DUMMYFUNCTION("""COMPUTED_VALUE"""),5.0)</f>
        <v>5</v>
      </c>
      <c r="F1150" s="18" t="str">
        <f>IFERROR(__xludf.DUMMYFUNCTION("""COMPUTED_VALUE"""),"Tanvi Jain")</f>
        <v>Tanvi Jain</v>
      </c>
      <c r="G1150" s="19">
        <f>IFERROR(__xludf.DUMMYFUNCTION("""COMPUTED_VALUE"""),45159.0)</f>
        <v>45159</v>
      </c>
      <c r="H1150" s="18" t="str">
        <f>IFERROR(__xludf.DUMMYFUNCTION("""COMPUTED_VALUE"""),"COD")</f>
        <v>COD</v>
      </c>
      <c r="I1150" s="18" t="str">
        <f>IFERROR(__xludf.DUMMYFUNCTION("""COMPUTED_VALUE"""),"Delivered")</f>
        <v>Delivered</v>
      </c>
      <c r="J1150" s="18" t="str">
        <f>IFERROR(__xludf.DUMMYFUNCTION("""COMPUTED_VALUE"""),"Quality of Items")</f>
        <v>Quality of Items</v>
      </c>
      <c r="K1150" s="18" t="str">
        <f>IFERROR(__xludf.DUMMYFUNCTION("""COMPUTED_VALUE"""),"Perfect condition")</f>
        <v>Perfect condition</v>
      </c>
      <c r="L1150" s="18">
        <f>iferror(VLOOKUP($D1150,Details!$A$2:$C$11,2,false),vlookup($D1150,Details!$E$2:$G$11,2,false))</f>
        <v>145</v>
      </c>
      <c r="M1150" s="18" t="str">
        <f>iferror(VLOOKUP($D1150,Details!$A$2:$C$11,3,false),vlookup($D1150,Details!$E$2:$G$11,3,false))</f>
        <v>Snacks and Drinks</v>
      </c>
      <c r="N1150" s="18">
        <f t="shared" si="1"/>
        <v>725</v>
      </c>
      <c r="O1150" s="17"/>
      <c r="P1150" s="17"/>
      <c r="Q1150" s="17"/>
      <c r="R1150" s="17"/>
      <c r="S1150" s="17"/>
      <c r="T1150" s="17"/>
      <c r="U1150" s="17"/>
      <c r="V1150" s="17"/>
      <c r="W1150" s="17"/>
      <c r="X1150" s="17"/>
      <c r="Y1150" s="17"/>
      <c r="Z1150" s="17"/>
    </row>
    <row r="1151">
      <c r="A1151" s="18" t="str">
        <f>IFERROR(__xludf.DUMMYFUNCTION("""COMPUTED_VALUE"""),"ord_41129")</f>
        <v>ord_41129</v>
      </c>
      <c r="B1151" s="18" t="str">
        <f>IFERROR(__xludf.DUMMYFUNCTION("""COMPUTED_VALUE"""),"Aarav Mehta")</f>
        <v>Aarav Mehta</v>
      </c>
      <c r="C1151" s="18" t="str">
        <f>IFERROR(__xludf.DUMMYFUNCTION("""COMPUTED_VALUE"""),"Andheri")</f>
        <v>Andheri</v>
      </c>
      <c r="D1151" s="18" t="str">
        <f>IFERROR(__xludf.DUMMYFUNCTION("""COMPUTED_VALUE"""),"Guava")</f>
        <v>Guava</v>
      </c>
      <c r="E1151" s="18">
        <f>IFERROR(__xludf.DUMMYFUNCTION("""COMPUTED_VALUE"""),1.0)</f>
        <v>1</v>
      </c>
      <c r="F1151" s="18" t="str">
        <f>IFERROR(__xludf.DUMMYFUNCTION("""COMPUTED_VALUE"""),"Rohan Yadav")</f>
        <v>Rohan Yadav</v>
      </c>
      <c r="G1151" s="19">
        <f>IFERROR(__xludf.DUMMYFUNCTION("""COMPUTED_VALUE"""),44976.0)</f>
        <v>44976</v>
      </c>
      <c r="H1151" s="18" t="str">
        <f>IFERROR(__xludf.DUMMYFUNCTION("""COMPUTED_VALUE"""),"Online Payment")</f>
        <v>Online Payment</v>
      </c>
      <c r="I1151" s="18" t="str">
        <f>IFERROR(__xludf.DUMMYFUNCTION("""COMPUTED_VALUE"""),"Delivered")</f>
        <v>Delivered</v>
      </c>
      <c r="J1151" s="18" t="str">
        <f>IFERROR(__xludf.DUMMYFUNCTION("""COMPUTED_VALUE"""),"Packaging")</f>
        <v>Packaging</v>
      </c>
      <c r="K1151" s="18" t="str">
        <f>IFERROR(__xludf.DUMMYFUNCTION("""COMPUTED_VALUE"""),"Secure and intact")</f>
        <v>Secure and intact</v>
      </c>
      <c r="L1151" s="18">
        <f>iferror(VLOOKUP($D1151,Details!$A$2:$C$11,2,false),vlookup($D1151,Details!$E$2:$G$11,2,false))</f>
        <v>70</v>
      </c>
      <c r="M1151" s="18" t="str">
        <f>iferror(VLOOKUP($D1151,Details!$A$2:$C$11,3,false),vlookup($D1151,Details!$E$2:$G$11,3,false))</f>
        <v>Fruits and Vegetables</v>
      </c>
      <c r="N1151" s="18">
        <f t="shared" si="1"/>
        <v>70</v>
      </c>
      <c r="O1151" s="17"/>
      <c r="P1151" s="17"/>
      <c r="Q1151" s="17"/>
      <c r="R1151" s="17"/>
      <c r="S1151" s="17"/>
      <c r="T1151" s="17"/>
      <c r="U1151" s="17"/>
      <c r="V1151" s="17"/>
      <c r="W1151" s="17"/>
      <c r="X1151" s="17"/>
      <c r="Y1151" s="17"/>
      <c r="Z1151" s="17"/>
    </row>
    <row r="1152">
      <c r="A1152" s="18" t="str">
        <f>IFERROR(__xludf.DUMMYFUNCTION("""COMPUTED_VALUE"""),"ord_41130")</f>
        <v>ord_41130</v>
      </c>
      <c r="B1152" s="18" t="str">
        <f>IFERROR(__xludf.DUMMYFUNCTION("""COMPUTED_VALUE"""),"Mehul Thakkar")</f>
        <v>Mehul Thakkar</v>
      </c>
      <c r="C1152" s="18" t="str">
        <f>IFERROR(__xludf.DUMMYFUNCTION("""COMPUTED_VALUE"""),"Malad")</f>
        <v>Malad</v>
      </c>
      <c r="D1152" s="18" t="str">
        <f>IFERROR(__xludf.DUMMYFUNCTION("""COMPUTED_VALUE"""),"Chilli Cheese Toast")</f>
        <v>Chilli Cheese Toast</v>
      </c>
      <c r="E1152" s="18">
        <f>IFERROR(__xludf.DUMMYFUNCTION("""COMPUTED_VALUE"""),2.0)</f>
        <v>2</v>
      </c>
      <c r="F1152" s="18" t="str">
        <f>IFERROR(__xludf.DUMMYFUNCTION("""COMPUTED_VALUE"""),"Neha Shah")</f>
        <v>Neha Shah</v>
      </c>
      <c r="G1152" s="19">
        <f>IFERROR(__xludf.DUMMYFUNCTION("""COMPUTED_VALUE"""),45133.0)</f>
        <v>45133</v>
      </c>
      <c r="H1152" s="18" t="str">
        <f>IFERROR(__xludf.DUMMYFUNCTION("""COMPUTED_VALUE"""),"Online Payment")</f>
        <v>Online Payment</v>
      </c>
      <c r="I1152" s="18" t="str">
        <f>IFERROR(__xludf.DUMMYFUNCTION("""COMPUTED_VALUE"""),"Delivered")</f>
        <v>Delivered</v>
      </c>
      <c r="J1152" s="18" t="str">
        <f>IFERROR(__xludf.DUMMYFUNCTION("""COMPUTED_VALUE"""),"Satisfied with the Delivery")</f>
        <v>Satisfied with the Delivery</v>
      </c>
      <c r="K1152" s="18" t="str">
        <f>IFERROR(__xludf.DUMMYFUNCTION("""COMPUTED_VALUE"""),"Timely and quality")</f>
        <v>Timely and quality</v>
      </c>
      <c r="L1152" s="18">
        <f>iferror(VLOOKUP($D1152,Details!$A$2:$C$11,2,false),vlookup($D1152,Details!$E$2:$G$11,2,false))</f>
        <v>80</v>
      </c>
      <c r="M1152" s="18" t="str">
        <f>iferror(VLOOKUP($D1152,Details!$A$2:$C$11,3,false),vlookup($D1152,Details!$E$2:$G$11,3,false))</f>
        <v>Snacks and Drinks</v>
      </c>
      <c r="N1152" s="18">
        <f t="shared" si="1"/>
        <v>160</v>
      </c>
      <c r="O1152" s="17"/>
      <c r="P1152" s="17"/>
      <c r="Q1152" s="17"/>
      <c r="R1152" s="17"/>
      <c r="S1152" s="17"/>
      <c r="T1152" s="17"/>
      <c r="U1152" s="17"/>
      <c r="V1152" s="17"/>
      <c r="W1152" s="17"/>
      <c r="X1152" s="17"/>
      <c r="Y1152" s="17"/>
      <c r="Z1152" s="17"/>
    </row>
    <row r="1153">
      <c r="A1153" s="18" t="str">
        <f>IFERROR(__xludf.DUMMYFUNCTION("""COMPUTED_VALUE"""),"ord_41131")</f>
        <v>ord_41131</v>
      </c>
      <c r="B1153" s="18" t="str">
        <f>IFERROR(__xludf.DUMMYFUNCTION("""COMPUTED_VALUE"""),"Aarav Mehta")</f>
        <v>Aarav Mehta</v>
      </c>
      <c r="C1153" s="18" t="str">
        <f>IFERROR(__xludf.DUMMYFUNCTION("""COMPUTED_VALUE"""),"Andheri")</f>
        <v>Andheri</v>
      </c>
      <c r="D1153" s="18" t="str">
        <f>IFERROR(__xludf.DUMMYFUNCTION("""COMPUTED_VALUE"""),"Cold Coffee")</f>
        <v>Cold Coffee</v>
      </c>
      <c r="E1153" s="18">
        <f>IFERROR(__xludf.DUMMYFUNCTION("""COMPUTED_VALUE"""),2.0)</f>
        <v>2</v>
      </c>
      <c r="F1153" s="18" t="str">
        <f>IFERROR(__xludf.DUMMYFUNCTION("""COMPUTED_VALUE"""),"Rohan Yadav")</f>
        <v>Rohan Yadav</v>
      </c>
      <c r="G1153" s="19">
        <f>IFERROR(__xludf.DUMMYFUNCTION("""COMPUTED_VALUE"""),45210.0)</f>
        <v>45210</v>
      </c>
      <c r="H1153" s="18" t="str">
        <f>IFERROR(__xludf.DUMMYFUNCTION("""COMPUTED_VALUE"""),"Credit Card")</f>
        <v>Credit Card</v>
      </c>
      <c r="I1153" s="18" t="str">
        <f>IFERROR(__xludf.DUMMYFUNCTION("""COMPUTED_VALUE"""),"Delivered")</f>
        <v>Delivered</v>
      </c>
      <c r="J1153" s="18" t="str">
        <f>IFERROR(__xludf.DUMMYFUNCTION("""COMPUTED_VALUE"""),"Customer Service")</f>
        <v>Customer Service</v>
      </c>
      <c r="K1153" s="18" t="str">
        <f>IFERROR(__xludf.DUMMYFUNCTION("""COMPUTED_VALUE"""),"Seamless and easy")</f>
        <v>Seamless and easy</v>
      </c>
      <c r="L1153" s="18">
        <f>iferror(VLOOKUP($D1153,Details!$A$2:$C$11,2,false),vlookup($D1153,Details!$E$2:$G$11,2,false))</f>
        <v>270</v>
      </c>
      <c r="M1153" s="18" t="str">
        <f>iferror(VLOOKUP($D1153,Details!$A$2:$C$11,3,false),vlookup($D1153,Details!$E$2:$G$11,3,false))</f>
        <v>Snacks and Drinks</v>
      </c>
      <c r="N1153" s="18">
        <f t="shared" si="1"/>
        <v>540</v>
      </c>
      <c r="O1153" s="17"/>
      <c r="P1153" s="17"/>
      <c r="Q1153" s="17"/>
      <c r="R1153" s="17"/>
      <c r="S1153" s="17"/>
      <c r="T1153" s="17"/>
      <c r="U1153" s="17"/>
      <c r="V1153" s="17"/>
      <c r="W1153" s="17"/>
      <c r="X1153" s="17"/>
      <c r="Y1153" s="17"/>
      <c r="Z1153" s="17"/>
    </row>
    <row r="1154">
      <c r="A1154" s="18" t="str">
        <f>IFERROR(__xludf.DUMMYFUNCTION("""COMPUTED_VALUE"""),"ord_41132")</f>
        <v>ord_41132</v>
      </c>
      <c r="B1154" s="18" t="str">
        <f>IFERROR(__xludf.DUMMYFUNCTION("""COMPUTED_VALUE"""),"Arvind Kulkarni")</f>
        <v>Arvind Kulkarni</v>
      </c>
      <c r="C1154" s="18" t="str">
        <f>IFERROR(__xludf.DUMMYFUNCTION("""COMPUTED_VALUE"""),"Juhu")</f>
        <v>Juhu</v>
      </c>
      <c r="D1154" s="18" t="str">
        <f>IFERROR(__xludf.DUMMYFUNCTION("""COMPUTED_VALUE"""),"Tiramisu")</f>
        <v>Tiramisu</v>
      </c>
      <c r="E1154" s="18">
        <f>IFERROR(__xludf.DUMMYFUNCTION("""COMPUTED_VALUE"""),1.0)</f>
        <v>1</v>
      </c>
      <c r="F1154" s="18" t="str">
        <f>IFERROR(__xludf.DUMMYFUNCTION("""COMPUTED_VALUE"""),"Tanvi Jain")</f>
        <v>Tanvi Jain</v>
      </c>
      <c r="G1154" s="19">
        <f>IFERROR(__xludf.DUMMYFUNCTION("""COMPUTED_VALUE"""),45187.0)</f>
        <v>45187</v>
      </c>
      <c r="H1154" s="18" t="str">
        <f>IFERROR(__xludf.DUMMYFUNCTION("""COMPUTED_VALUE"""),"UPI")</f>
        <v>UPI</v>
      </c>
      <c r="I1154" s="18" t="str">
        <f>IFERROR(__xludf.DUMMYFUNCTION("""COMPUTED_VALUE"""),"Delivered")</f>
        <v>Delivered</v>
      </c>
      <c r="J1154" s="18" t="str">
        <f>IFERROR(__xludf.DUMMYFUNCTION("""COMPUTED_VALUE"""),"Delivery Experience")</f>
        <v>Delivery Experience</v>
      </c>
      <c r="K1154" s="18" t="str">
        <f>IFERROR(__xludf.DUMMYFUNCTION("""COMPUTED_VALUE"""),"Quick and professional")</f>
        <v>Quick and professional</v>
      </c>
      <c r="L1154" s="18">
        <f>iferror(VLOOKUP($D1154,Details!$A$2:$C$11,2,false),vlookup($D1154,Details!$E$2:$G$11,2,false))</f>
        <v>150</v>
      </c>
      <c r="M1154" s="18" t="str">
        <f>iferror(VLOOKUP($D1154,Details!$A$2:$C$11,3,false),vlookup($D1154,Details!$E$2:$G$11,3,false))</f>
        <v>Snacks and Drinks</v>
      </c>
      <c r="N1154" s="18">
        <f t="shared" si="1"/>
        <v>150</v>
      </c>
      <c r="O1154" s="17"/>
      <c r="P1154" s="17"/>
      <c r="Q1154" s="17"/>
      <c r="R1154" s="17"/>
      <c r="S1154" s="17"/>
      <c r="T1154" s="17"/>
      <c r="U1154" s="17"/>
      <c r="V1154" s="17"/>
      <c r="W1154" s="17"/>
      <c r="X1154" s="17"/>
      <c r="Y1154" s="17"/>
      <c r="Z1154" s="17"/>
    </row>
    <row r="1155">
      <c r="A1155" s="18" t="str">
        <f>IFERROR(__xludf.DUMMYFUNCTION("""COMPUTED_VALUE"""),"ord_41133")</f>
        <v>ord_41133</v>
      </c>
      <c r="B1155" s="18" t="str">
        <f>IFERROR(__xludf.DUMMYFUNCTION("""COMPUTED_VALUE"""),"Arvind Kulkarni")</f>
        <v>Arvind Kulkarni</v>
      </c>
      <c r="C1155" s="18" t="str">
        <f>IFERROR(__xludf.DUMMYFUNCTION("""COMPUTED_VALUE"""),"Juhu")</f>
        <v>Juhu</v>
      </c>
      <c r="D1155" s="18" t="str">
        <f>IFERROR(__xludf.DUMMYFUNCTION("""COMPUTED_VALUE"""),"Papaya")</f>
        <v>Papaya</v>
      </c>
      <c r="E1155" s="18">
        <f>IFERROR(__xludf.DUMMYFUNCTION("""COMPUTED_VALUE"""),2.0)</f>
        <v>2</v>
      </c>
      <c r="F1155" s="18" t="str">
        <f>IFERROR(__xludf.DUMMYFUNCTION("""COMPUTED_VALUE"""),"Neha Shah")</f>
        <v>Neha Shah</v>
      </c>
      <c r="G1155" s="19">
        <f>IFERROR(__xludf.DUMMYFUNCTION("""COMPUTED_VALUE"""),44929.0)</f>
        <v>44929</v>
      </c>
      <c r="H1155" s="18" t="str">
        <f>IFERROR(__xludf.DUMMYFUNCTION("""COMPUTED_VALUE"""),"Online Payment")</f>
        <v>Online Payment</v>
      </c>
      <c r="I1155" s="18" t="str">
        <f>IFERROR(__xludf.DUMMYFUNCTION("""COMPUTED_VALUE"""),"Cancelled")</f>
        <v>Cancelled</v>
      </c>
      <c r="J1155" s="18" t="str">
        <f>IFERROR(__xludf.DUMMYFUNCTION("""COMPUTED_VALUE"""),"Delayed Delivery")</f>
        <v>Delayed Delivery</v>
      </c>
      <c r="K1155" s="18" t="str">
        <f>IFERROR(__xludf.DUMMYFUNCTION("""COMPUTED_VALUE"""),"Traffic Accidents or Road Closures")</f>
        <v>Traffic Accidents or Road Closures</v>
      </c>
      <c r="L1155" s="18">
        <f>iferror(VLOOKUP($D1155,Details!$A$2:$C$11,2,false),vlookup($D1155,Details!$E$2:$G$11,2,false))</f>
        <v>75</v>
      </c>
      <c r="M1155" s="18" t="str">
        <f>iferror(VLOOKUP($D1155,Details!$A$2:$C$11,3,false),vlookup($D1155,Details!$E$2:$G$11,3,false))</f>
        <v>Fruits and Vegetables</v>
      </c>
      <c r="N1155" s="18">
        <f t="shared" si="1"/>
        <v>150</v>
      </c>
      <c r="O1155" s="17"/>
      <c r="P1155" s="17"/>
      <c r="Q1155" s="17"/>
      <c r="R1155" s="17"/>
      <c r="S1155" s="17"/>
      <c r="T1155" s="17"/>
      <c r="U1155" s="17"/>
      <c r="V1155" s="17"/>
      <c r="W1155" s="17"/>
      <c r="X1155" s="17"/>
      <c r="Y1155" s="17"/>
      <c r="Z1155" s="17"/>
    </row>
    <row r="1156">
      <c r="A1156" s="18" t="str">
        <f>IFERROR(__xludf.DUMMYFUNCTION("""COMPUTED_VALUE"""),"ord_41134")</f>
        <v>ord_41134</v>
      </c>
      <c r="B1156" s="18" t="str">
        <f>IFERROR(__xludf.DUMMYFUNCTION("""COMPUTED_VALUE"""),"Aditi Iyer")</f>
        <v>Aditi Iyer</v>
      </c>
      <c r="C1156" s="18" t="str">
        <f>IFERROR(__xludf.DUMMYFUNCTION("""COMPUTED_VALUE"""),"Dadar")</f>
        <v>Dadar</v>
      </c>
      <c r="D1156" s="18" t="str">
        <f>IFERROR(__xludf.DUMMYFUNCTION("""COMPUTED_VALUE"""),"Rasmalai")</f>
        <v>Rasmalai</v>
      </c>
      <c r="E1156" s="18">
        <f>IFERROR(__xludf.DUMMYFUNCTION("""COMPUTED_VALUE"""),2.0)</f>
        <v>2</v>
      </c>
      <c r="F1156" s="18" t="str">
        <f>IFERROR(__xludf.DUMMYFUNCTION("""COMPUTED_VALUE"""),"Aman Kumar")</f>
        <v>Aman Kumar</v>
      </c>
      <c r="G1156" s="19">
        <f>IFERROR(__xludf.DUMMYFUNCTION("""COMPUTED_VALUE"""),44950.0)</f>
        <v>44950</v>
      </c>
      <c r="H1156" s="18" t="str">
        <f>IFERROR(__xludf.DUMMYFUNCTION("""COMPUTED_VALUE"""),"COD")</f>
        <v>COD</v>
      </c>
      <c r="I1156" s="18" t="str">
        <f>IFERROR(__xludf.DUMMYFUNCTION("""COMPUTED_VALUE"""),"Delivered")</f>
        <v>Delivered</v>
      </c>
      <c r="J1156" s="18" t="str">
        <f>IFERROR(__xludf.DUMMYFUNCTION("""COMPUTED_VALUE"""),"Convenience")</f>
        <v>Convenience</v>
      </c>
      <c r="K1156" s="18" t="str">
        <f>IFERROR(__xludf.DUMMYFUNCTION("""COMPUTED_VALUE"""),"Easy tracking")</f>
        <v>Easy tracking</v>
      </c>
      <c r="L1156" s="18">
        <f>iferror(VLOOKUP($D1156,Details!$A$2:$C$11,2,false),vlookup($D1156,Details!$E$2:$G$11,2,false))</f>
        <v>110</v>
      </c>
      <c r="M1156" s="18" t="str">
        <f>iferror(VLOOKUP($D1156,Details!$A$2:$C$11,3,false),vlookup($D1156,Details!$E$2:$G$11,3,false))</f>
        <v>Snacks and Drinks</v>
      </c>
      <c r="N1156" s="18">
        <f t="shared" si="1"/>
        <v>220</v>
      </c>
      <c r="O1156" s="17"/>
      <c r="P1156" s="17"/>
      <c r="Q1156" s="17"/>
      <c r="R1156" s="17"/>
      <c r="S1156" s="17"/>
      <c r="T1156" s="17"/>
      <c r="U1156" s="17"/>
      <c r="V1156" s="17"/>
      <c r="W1156" s="17"/>
      <c r="X1156" s="17"/>
      <c r="Y1156" s="17"/>
      <c r="Z1156" s="17"/>
    </row>
    <row r="1157">
      <c r="A1157" s="18" t="str">
        <f>IFERROR(__xludf.DUMMYFUNCTION("""COMPUTED_VALUE"""),"ord_41135")</f>
        <v>ord_41135</v>
      </c>
      <c r="B1157" s="18" t="str">
        <f>IFERROR(__xludf.DUMMYFUNCTION("""COMPUTED_VALUE"""),"Aarav Mehta")</f>
        <v>Aarav Mehta</v>
      </c>
      <c r="C1157" s="18" t="str">
        <f>IFERROR(__xludf.DUMMYFUNCTION("""COMPUTED_VALUE"""),"Andheri")</f>
        <v>Andheri</v>
      </c>
      <c r="D1157" s="18" t="str">
        <f>IFERROR(__xludf.DUMMYFUNCTION("""COMPUTED_VALUE"""),"Veg Puff")</f>
        <v>Veg Puff</v>
      </c>
      <c r="E1157" s="18">
        <f>IFERROR(__xludf.DUMMYFUNCTION("""COMPUTED_VALUE"""),3.0)</f>
        <v>3</v>
      </c>
      <c r="F1157" s="18" t="str">
        <f>IFERROR(__xludf.DUMMYFUNCTION("""COMPUTED_VALUE"""),"Rohan Yadav")</f>
        <v>Rohan Yadav</v>
      </c>
      <c r="G1157" s="19">
        <f>IFERROR(__xludf.DUMMYFUNCTION("""COMPUTED_VALUE"""),44977.0)</f>
        <v>44977</v>
      </c>
      <c r="H1157" s="18" t="str">
        <f>IFERROR(__xludf.DUMMYFUNCTION("""COMPUTED_VALUE"""),"Online Payment")</f>
        <v>Online Payment</v>
      </c>
      <c r="I1157" s="18" t="str">
        <f>IFERROR(__xludf.DUMMYFUNCTION("""COMPUTED_VALUE"""),"Delivered")</f>
        <v>Delivered</v>
      </c>
      <c r="J1157" s="18" t="str">
        <f>IFERROR(__xludf.DUMMYFUNCTION("""COMPUTED_VALUE"""),"Overall Satisfaction")</f>
        <v>Overall Satisfaction</v>
      </c>
      <c r="K1157" s="18" t="str">
        <f>IFERROR(__xludf.DUMMYFUNCTION("""COMPUTED_VALUE"""),"Great service will order again")</f>
        <v>Great service will order again</v>
      </c>
      <c r="L1157" s="18">
        <f>iferror(VLOOKUP($D1157,Details!$A$2:$C$11,2,false),vlookup($D1157,Details!$E$2:$G$11,2,false))</f>
        <v>80</v>
      </c>
      <c r="M1157" s="18" t="str">
        <f>iferror(VLOOKUP($D1157,Details!$A$2:$C$11,3,false),vlookup($D1157,Details!$E$2:$G$11,3,false))</f>
        <v>Snacks and Drinks</v>
      </c>
      <c r="N1157" s="18">
        <f t="shared" si="1"/>
        <v>240</v>
      </c>
      <c r="O1157" s="17"/>
      <c r="P1157" s="17"/>
      <c r="Q1157" s="17"/>
      <c r="R1157" s="17"/>
      <c r="S1157" s="17"/>
      <c r="T1157" s="17"/>
      <c r="U1157" s="17"/>
      <c r="V1157" s="17"/>
      <c r="W1157" s="17"/>
      <c r="X1157" s="17"/>
      <c r="Y1157" s="17"/>
      <c r="Z1157" s="17"/>
    </row>
    <row r="1158">
      <c r="A1158" s="18" t="str">
        <f>IFERROR(__xludf.DUMMYFUNCTION("""COMPUTED_VALUE"""),"ord_41136")</f>
        <v>ord_41136</v>
      </c>
      <c r="B1158" s="18" t="str">
        <f>IFERROR(__xludf.DUMMYFUNCTION("""COMPUTED_VALUE"""),"Aditi Iyer")</f>
        <v>Aditi Iyer</v>
      </c>
      <c r="C1158" s="18" t="str">
        <f>IFERROR(__xludf.DUMMYFUNCTION("""COMPUTED_VALUE"""),"Dadar")</f>
        <v>Dadar</v>
      </c>
      <c r="D1158" s="18" t="str">
        <f>IFERROR(__xludf.DUMMYFUNCTION("""COMPUTED_VALUE"""),"Orange")</f>
        <v>Orange</v>
      </c>
      <c r="E1158" s="18">
        <f>IFERROR(__xludf.DUMMYFUNCTION("""COMPUTED_VALUE"""),1.0)</f>
        <v>1</v>
      </c>
      <c r="F1158" s="18" t="str">
        <f>IFERROR(__xludf.DUMMYFUNCTION("""COMPUTED_VALUE"""),"Aman Kumar")</f>
        <v>Aman Kumar</v>
      </c>
      <c r="G1158" s="19">
        <f>IFERROR(__xludf.DUMMYFUNCTION("""COMPUTED_VALUE"""),45096.0)</f>
        <v>45096</v>
      </c>
      <c r="H1158" s="18" t="str">
        <f>IFERROR(__xludf.DUMMYFUNCTION("""COMPUTED_VALUE"""),"COD")</f>
        <v>COD</v>
      </c>
      <c r="I1158" s="18" t="str">
        <f>IFERROR(__xludf.DUMMYFUNCTION("""COMPUTED_VALUE"""),"Delivered")</f>
        <v>Delivered</v>
      </c>
      <c r="J1158" s="18" t="str">
        <f>IFERROR(__xludf.DUMMYFUNCTION("""COMPUTED_VALUE"""),"On-time Delivery")</f>
        <v>On-time Delivery</v>
      </c>
      <c r="K1158" s="18" t="str">
        <f>IFERROR(__xludf.DUMMYFUNCTION("""COMPUTED_VALUE"""),"Delivered on time")</f>
        <v>Delivered on time</v>
      </c>
      <c r="L1158" s="18">
        <f>iferror(VLOOKUP($D1158,Details!$A$2:$C$11,2,false),vlookup($D1158,Details!$E$2:$G$11,2,false))</f>
        <v>180</v>
      </c>
      <c r="M1158" s="18" t="str">
        <f>iferror(VLOOKUP($D1158,Details!$A$2:$C$11,3,false),vlookup($D1158,Details!$E$2:$G$11,3,false))</f>
        <v>Fruits and Vegetables</v>
      </c>
      <c r="N1158" s="18">
        <f t="shared" si="1"/>
        <v>180</v>
      </c>
      <c r="O1158" s="17"/>
      <c r="P1158" s="17"/>
      <c r="Q1158" s="17"/>
      <c r="R1158" s="17"/>
      <c r="S1158" s="17"/>
      <c r="T1158" s="17"/>
      <c r="U1158" s="17"/>
      <c r="V1158" s="17"/>
      <c r="W1158" s="17"/>
      <c r="X1158" s="17"/>
      <c r="Y1158" s="17"/>
      <c r="Z1158" s="17"/>
    </row>
    <row r="1159">
      <c r="A1159" s="18" t="str">
        <f>IFERROR(__xludf.DUMMYFUNCTION("""COMPUTED_VALUE"""),"ord_41137")</f>
        <v>ord_41137</v>
      </c>
      <c r="B1159" s="18" t="str">
        <f>IFERROR(__xludf.DUMMYFUNCTION("""COMPUTED_VALUE"""),"Pallavi Ghosh")</f>
        <v>Pallavi Ghosh</v>
      </c>
      <c r="C1159" s="18" t="str">
        <f>IFERROR(__xludf.DUMMYFUNCTION("""COMPUTED_VALUE"""),"Bandra")</f>
        <v>Bandra</v>
      </c>
      <c r="D1159" s="18" t="str">
        <f>IFERROR(__xludf.DUMMYFUNCTION("""COMPUTED_VALUE"""),"Chocolate Mousse")</f>
        <v>Chocolate Mousse</v>
      </c>
      <c r="E1159" s="18">
        <f>IFERROR(__xludf.DUMMYFUNCTION("""COMPUTED_VALUE"""),2.0)</f>
        <v>2</v>
      </c>
      <c r="F1159" s="18" t="str">
        <f>IFERROR(__xludf.DUMMYFUNCTION("""COMPUTED_VALUE"""),"Priya Joshi")</f>
        <v>Priya Joshi</v>
      </c>
      <c r="G1159" s="19">
        <f>IFERROR(__xludf.DUMMYFUNCTION("""COMPUTED_VALUE"""),45091.0)</f>
        <v>45091</v>
      </c>
      <c r="H1159" s="18" t="str">
        <f>IFERROR(__xludf.DUMMYFUNCTION("""COMPUTED_VALUE"""),"Credit Card")</f>
        <v>Credit Card</v>
      </c>
      <c r="I1159" s="18" t="str">
        <f>IFERROR(__xludf.DUMMYFUNCTION("""COMPUTED_VALUE"""),"Delivered")</f>
        <v>Delivered</v>
      </c>
      <c r="J1159" s="18" t="str">
        <f>IFERROR(__xludf.DUMMYFUNCTION("""COMPUTED_VALUE"""),"Quality of Items")</f>
        <v>Quality of Items</v>
      </c>
      <c r="K1159" s="18" t="str">
        <f>IFERROR(__xludf.DUMMYFUNCTION("""COMPUTED_VALUE"""),"Perfect condition")</f>
        <v>Perfect condition</v>
      </c>
      <c r="L1159" s="18">
        <f>iferror(VLOOKUP($D1159,Details!$A$2:$C$11,2,false),vlookup($D1159,Details!$E$2:$G$11,2,false))</f>
        <v>145</v>
      </c>
      <c r="M1159" s="18" t="str">
        <f>iferror(VLOOKUP($D1159,Details!$A$2:$C$11,3,false),vlookup($D1159,Details!$E$2:$G$11,3,false))</f>
        <v>Snacks and Drinks</v>
      </c>
      <c r="N1159" s="18">
        <f t="shared" si="1"/>
        <v>290</v>
      </c>
      <c r="O1159" s="17"/>
      <c r="P1159" s="17"/>
      <c r="Q1159" s="17"/>
      <c r="R1159" s="17"/>
      <c r="S1159" s="17"/>
      <c r="T1159" s="17"/>
      <c r="U1159" s="17"/>
      <c r="V1159" s="17"/>
      <c r="W1159" s="17"/>
      <c r="X1159" s="17"/>
      <c r="Y1159" s="17"/>
      <c r="Z1159" s="17"/>
    </row>
    <row r="1160">
      <c r="A1160" s="18" t="str">
        <f>IFERROR(__xludf.DUMMYFUNCTION("""COMPUTED_VALUE"""),"ord_41138")</f>
        <v>ord_41138</v>
      </c>
      <c r="B1160" s="18" t="str">
        <f>IFERROR(__xludf.DUMMYFUNCTION("""COMPUTED_VALUE"""),"Mehul Thakkar")</f>
        <v>Mehul Thakkar</v>
      </c>
      <c r="C1160" s="18" t="str">
        <f>IFERROR(__xludf.DUMMYFUNCTION("""COMPUTED_VALUE"""),"Malad")</f>
        <v>Malad</v>
      </c>
      <c r="D1160" s="18" t="str">
        <f>IFERROR(__xludf.DUMMYFUNCTION("""COMPUTED_VALUE"""),"Potato")</f>
        <v>Potato</v>
      </c>
      <c r="E1160" s="18">
        <f>IFERROR(__xludf.DUMMYFUNCTION("""COMPUTED_VALUE"""),2.0)</f>
        <v>2</v>
      </c>
      <c r="F1160" s="18" t="str">
        <f>IFERROR(__xludf.DUMMYFUNCTION("""COMPUTED_VALUE"""),"Neha Shah")</f>
        <v>Neha Shah</v>
      </c>
      <c r="G1160" s="19">
        <f>IFERROR(__xludf.DUMMYFUNCTION("""COMPUTED_VALUE"""),44955.0)</f>
        <v>44955</v>
      </c>
      <c r="H1160" s="18" t="str">
        <f>IFERROR(__xludf.DUMMYFUNCTION("""COMPUTED_VALUE"""),"Credit Card")</f>
        <v>Credit Card</v>
      </c>
      <c r="I1160" s="18" t="str">
        <f>IFERROR(__xludf.DUMMYFUNCTION("""COMPUTED_VALUE"""),"Delivered")</f>
        <v>Delivered</v>
      </c>
      <c r="J1160" s="18" t="str">
        <f>IFERROR(__xludf.DUMMYFUNCTION("""COMPUTED_VALUE"""),"On-time Delivery")</f>
        <v>On-time Delivery</v>
      </c>
      <c r="K1160" s="18" t="str">
        <f>IFERROR(__xludf.DUMMYFUNCTION("""COMPUTED_VALUE"""),"Delivered on time")</f>
        <v>Delivered on time</v>
      </c>
      <c r="L1160" s="18">
        <f>iferror(VLOOKUP($D1160,Details!$A$2:$C$11,2,false),vlookup($D1160,Details!$E$2:$G$11,2,false))</f>
        <v>55</v>
      </c>
      <c r="M1160" s="18" t="str">
        <f>iferror(VLOOKUP($D1160,Details!$A$2:$C$11,3,false),vlookup($D1160,Details!$E$2:$G$11,3,false))</f>
        <v>Fruits and Vegetables</v>
      </c>
      <c r="N1160" s="18">
        <f t="shared" si="1"/>
        <v>110</v>
      </c>
      <c r="O1160" s="17"/>
      <c r="P1160" s="17"/>
      <c r="Q1160" s="17"/>
      <c r="R1160" s="17"/>
      <c r="S1160" s="17"/>
      <c r="T1160" s="17"/>
      <c r="U1160" s="17"/>
      <c r="V1160" s="17"/>
      <c r="W1160" s="17"/>
      <c r="X1160" s="17"/>
      <c r="Y1160" s="17"/>
      <c r="Z1160" s="17"/>
    </row>
    <row r="1161">
      <c r="A1161" s="18" t="str">
        <f>IFERROR(__xludf.DUMMYFUNCTION("""COMPUTED_VALUE"""),"ord_41139")</f>
        <v>ord_41139</v>
      </c>
      <c r="B1161" s="18" t="str">
        <f>IFERROR(__xludf.DUMMYFUNCTION("""COMPUTED_VALUE"""),"Mohit Malhotra")</f>
        <v>Mohit Malhotra</v>
      </c>
      <c r="C1161" s="18" t="str">
        <f>IFERROR(__xludf.DUMMYFUNCTION("""COMPUTED_VALUE"""),"Lower Parel")</f>
        <v>Lower Parel</v>
      </c>
      <c r="D1161" s="18" t="str">
        <f>IFERROR(__xludf.DUMMYFUNCTION("""COMPUTED_VALUE"""),"Guava")</f>
        <v>Guava</v>
      </c>
      <c r="E1161" s="18">
        <f>IFERROR(__xludf.DUMMYFUNCTION("""COMPUTED_VALUE"""),2.0)</f>
        <v>2</v>
      </c>
      <c r="F1161" s="18" t="str">
        <f>IFERROR(__xludf.DUMMYFUNCTION("""COMPUTED_VALUE"""),"Kiran Mehta")</f>
        <v>Kiran Mehta</v>
      </c>
      <c r="G1161" s="19">
        <f>IFERROR(__xludf.DUMMYFUNCTION("""COMPUTED_VALUE"""),45238.0)</f>
        <v>45238</v>
      </c>
      <c r="H1161" s="18" t="str">
        <f>IFERROR(__xludf.DUMMYFUNCTION("""COMPUTED_VALUE"""),"Online Payment")</f>
        <v>Online Payment</v>
      </c>
      <c r="I1161" s="18" t="str">
        <f>IFERROR(__xludf.DUMMYFUNCTION("""COMPUTED_VALUE"""),"Delivered")</f>
        <v>Delivered</v>
      </c>
      <c r="J1161" s="18" t="str">
        <f>IFERROR(__xludf.DUMMYFUNCTION("""COMPUTED_VALUE"""),"Quality of Items")</f>
        <v>Quality of Items</v>
      </c>
      <c r="K1161" s="18" t="str">
        <f>IFERROR(__xludf.DUMMYFUNCTION("""COMPUTED_VALUE"""),"Perfect condition")</f>
        <v>Perfect condition</v>
      </c>
      <c r="L1161" s="18">
        <f>iferror(VLOOKUP($D1161,Details!$A$2:$C$11,2,false),vlookup($D1161,Details!$E$2:$G$11,2,false))</f>
        <v>70</v>
      </c>
      <c r="M1161" s="18" t="str">
        <f>iferror(VLOOKUP($D1161,Details!$A$2:$C$11,3,false),vlookup($D1161,Details!$E$2:$G$11,3,false))</f>
        <v>Fruits and Vegetables</v>
      </c>
      <c r="N1161" s="18">
        <f t="shared" si="1"/>
        <v>140</v>
      </c>
      <c r="O1161" s="17"/>
      <c r="P1161" s="17"/>
      <c r="Q1161" s="17"/>
      <c r="R1161" s="17"/>
      <c r="S1161" s="17"/>
      <c r="T1161" s="17"/>
      <c r="U1161" s="17"/>
      <c r="V1161" s="17"/>
      <c r="W1161" s="17"/>
      <c r="X1161" s="17"/>
      <c r="Y1161" s="17"/>
      <c r="Z1161" s="17"/>
    </row>
    <row r="1162">
      <c r="A1162" s="18" t="str">
        <f>IFERROR(__xludf.DUMMYFUNCTION("""COMPUTED_VALUE"""),"ord_41140")</f>
        <v>ord_41140</v>
      </c>
      <c r="B1162" s="18" t="str">
        <f>IFERROR(__xludf.DUMMYFUNCTION("""COMPUTED_VALUE"""),"Ishaan Chaturvedi")</f>
        <v>Ishaan Chaturvedi</v>
      </c>
      <c r="C1162" s="18" t="str">
        <f>IFERROR(__xludf.DUMMYFUNCTION("""COMPUTED_VALUE"""),"Bandra")</f>
        <v>Bandra</v>
      </c>
      <c r="D1162" s="18" t="str">
        <f>IFERROR(__xludf.DUMMYFUNCTION("""COMPUTED_VALUE"""),"Tiramisu")</f>
        <v>Tiramisu</v>
      </c>
      <c r="E1162" s="18">
        <f>IFERROR(__xludf.DUMMYFUNCTION("""COMPUTED_VALUE"""),5.0)</f>
        <v>5</v>
      </c>
      <c r="F1162" s="18" t="str">
        <f>IFERROR(__xludf.DUMMYFUNCTION("""COMPUTED_VALUE"""),"Priya Joshi")</f>
        <v>Priya Joshi</v>
      </c>
      <c r="G1162" s="19">
        <f>IFERROR(__xludf.DUMMYFUNCTION("""COMPUTED_VALUE"""),45284.0)</f>
        <v>45284</v>
      </c>
      <c r="H1162" s="18" t="str">
        <f>IFERROR(__xludf.DUMMYFUNCTION("""COMPUTED_VALUE"""),"Online Payment")</f>
        <v>Online Payment</v>
      </c>
      <c r="I1162" s="18" t="str">
        <f>IFERROR(__xludf.DUMMYFUNCTION("""COMPUTED_VALUE"""),"Delivered")</f>
        <v>Delivered</v>
      </c>
      <c r="J1162" s="18" t="str">
        <f>IFERROR(__xludf.DUMMYFUNCTION("""COMPUTED_VALUE"""),"Packaging")</f>
        <v>Packaging</v>
      </c>
      <c r="K1162" s="18" t="str">
        <f>IFERROR(__xludf.DUMMYFUNCTION("""COMPUTED_VALUE"""),"Secure and intact")</f>
        <v>Secure and intact</v>
      </c>
      <c r="L1162" s="18">
        <f>iferror(VLOOKUP($D1162,Details!$A$2:$C$11,2,false),vlookup($D1162,Details!$E$2:$G$11,2,false))</f>
        <v>150</v>
      </c>
      <c r="M1162" s="18" t="str">
        <f>iferror(VLOOKUP($D1162,Details!$A$2:$C$11,3,false),vlookup($D1162,Details!$E$2:$G$11,3,false))</f>
        <v>Snacks and Drinks</v>
      </c>
      <c r="N1162" s="18">
        <f t="shared" si="1"/>
        <v>750</v>
      </c>
      <c r="O1162" s="17"/>
      <c r="P1162" s="17"/>
      <c r="Q1162" s="17"/>
      <c r="R1162" s="17"/>
      <c r="S1162" s="17"/>
      <c r="T1162" s="17"/>
      <c r="U1162" s="17"/>
      <c r="V1162" s="17"/>
      <c r="W1162" s="17"/>
      <c r="X1162" s="17"/>
      <c r="Y1162" s="17"/>
      <c r="Z1162" s="17"/>
    </row>
    <row r="1163">
      <c r="A1163" s="18" t="str">
        <f>IFERROR(__xludf.DUMMYFUNCTION("""COMPUTED_VALUE"""),"ord_41141")</f>
        <v>ord_41141</v>
      </c>
      <c r="B1163" s="18" t="str">
        <f>IFERROR(__xludf.DUMMYFUNCTION("""COMPUTED_VALUE"""),"Kritika Shetty")</f>
        <v>Kritika Shetty</v>
      </c>
      <c r="C1163" s="18" t="str">
        <f>IFERROR(__xludf.DUMMYFUNCTION("""COMPUTED_VALUE"""),"Malad")</f>
        <v>Malad</v>
      </c>
      <c r="D1163" s="18" t="str">
        <f>IFERROR(__xludf.DUMMYFUNCTION("""COMPUTED_VALUE"""),"Onion")</f>
        <v>Onion</v>
      </c>
      <c r="E1163" s="18">
        <f>IFERROR(__xludf.DUMMYFUNCTION("""COMPUTED_VALUE"""),1.0)</f>
        <v>1</v>
      </c>
      <c r="F1163" s="18" t="str">
        <f>IFERROR(__xludf.DUMMYFUNCTION("""COMPUTED_VALUE"""),"Not Assigned")</f>
        <v>Not Assigned</v>
      </c>
      <c r="G1163" s="19">
        <f>IFERROR(__xludf.DUMMYFUNCTION("""COMPUTED_VALUE"""),45200.0)</f>
        <v>45200</v>
      </c>
      <c r="H1163" s="18" t="str">
        <f>IFERROR(__xludf.DUMMYFUNCTION("""COMPUTED_VALUE"""),"Online Payment")</f>
        <v>Online Payment</v>
      </c>
      <c r="I1163" s="18" t="str">
        <f>IFERROR(__xludf.DUMMYFUNCTION("""COMPUTED_VALUE"""),"Cancelled")</f>
        <v>Cancelled</v>
      </c>
      <c r="J1163" s="18" t="str">
        <f>IFERROR(__xludf.DUMMYFUNCTION("""COMPUTED_VALUE"""),"App Glitches")</f>
        <v>App Glitches</v>
      </c>
      <c r="K1163" s="18" t="str">
        <f>IFERROR(__xludf.DUMMYFUNCTION("""COMPUTED_VALUE"""),"Missing Content")</f>
        <v>Missing Content</v>
      </c>
      <c r="L1163" s="18">
        <f>iferror(VLOOKUP($D1163,Details!$A$2:$C$11,2,false),vlookup($D1163,Details!$E$2:$G$11,2,false))</f>
        <v>84</v>
      </c>
      <c r="M1163" s="18" t="str">
        <f>iferror(VLOOKUP($D1163,Details!$A$2:$C$11,3,false),vlookup($D1163,Details!$E$2:$G$11,3,false))</f>
        <v>Fruits and Vegetables</v>
      </c>
      <c r="N1163" s="18">
        <f t="shared" si="1"/>
        <v>84</v>
      </c>
      <c r="O1163" s="17"/>
      <c r="P1163" s="17"/>
      <c r="Q1163" s="17"/>
      <c r="R1163" s="17"/>
      <c r="S1163" s="17"/>
      <c r="T1163" s="17"/>
      <c r="U1163" s="17"/>
      <c r="V1163" s="17"/>
      <c r="W1163" s="17"/>
      <c r="X1163" s="17"/>
      <c r="Y1163" s="17"/>
      <c r="Z1163" s="17"/>
    </row>
    <row r="1164">
      <c r="A1164" s="18" t="str">
        <f>IFERROR(__xludf.DUMMYFUNCTION("""COMPUTED_VALUE"""),"ord_41142")</f>
        <v>ord_41142</v>
      </c>
      <c r="B1164" s="18" t="str">
        <f>IFERROR(__xludf.DUMMYFUNCTION("""COMPUTED_VALUE"""),"Sanjay Nair")</f>
        <v>Sanjay Nair</v>
      </c>
      <c r="C1164" s="18" t="str">
        <f>IFERROR(__xludf.DUMMYFUNCTION("""COMPUTED_VALUE"""),"Dadar")</f>
        <v>Dadar</v>
      </c>
      <c r="D1164" s="18" t="str">
        <f>IFERROR(__xludf.DUMMYFUNCTION("""COMPUTED_VALUE"""),"Potato")</f>
        <v>Potato</v>
      </c>
      <c r="E1164" s="18">
        <f>IFERROR(__xludf.DUMMYFUNCTION("""COMPUTED_VALUE"""),2.0)</f>
        <v>2</v>
      </c>
      <c r="F1164" s="18" t="str">
        <f>IFERROR(__xludf.DUMMYFUNCTION("""COMPUTED_VALUE"""),"Aman Kumar")</f>
        <v>Aman Kumar</v>
      </c>
      <c r="G1164" s="19">
        <f>IFERROR(__xludf.DUMMYFUNCTION("""COMPUTED_VALUE"""),45037.0)</f>
        <v>45037</v>
      </c>
      <c r="H1164" s="18" t="str">
        <f>IFERROR(__xludf.DUMMYFUNCTION("""COMPUTED_VALUE"""),"Credit Card")</f>
        <v>Credit Card</v>
      </c>
      <c r="I1164" s="18" t="str">
        <f>IFERROR(__xludf.DUMMYFUNCTION("""COMPUTED_VALUE"""),"Delivered")</f>
        <v>Delivered</v>
      </c>
      <c r="J1164" s="18" t="str">
        <f>IFERROR(__xludf.DUMMYFUNCTION("""COMPUTED_VALUE"""),"Satisfied with the Delivery")</f>
        <v>Satisfied with the Delivery</v>
      </c>
      <c r="K1164" s="18" t="str">
        <f>IFERROR(__xludf.DUMMYFUNCTION("""COMPUTED_VALUE"""),"Timely and quality")</f>
        <v>Timely and quality</v>
      </c>
      <c r="L1164" s="18">
        <f>iferror(VLOOKUP($D1164,Details!$A$2:$C$11,2,false),vlookup($D1164,Details!$E$2:$G$11,2,false))</f>
        <v>55</v>
      </c>
      <c r="M1164" s="18" t="str">
        <f>iferror(VLOOKUP($D1164,Details!$A$2:$C$11,3,false),vlookup($D1164,Details!$E$2:$G$11,3,false))</f>
        <v>Fruits and Vegetables</v>
      </c>
      <c r="N1164" s="18">
        <f t="shared" si="1"/>
        <v>110</v>
      </c>
      <c r="O1164" s="17"/>
      <c r="P1164" s="17"/>
      <c r="Q1164" s="17"/>
      <c r="R1164" s="17"/>
      <c r="S1164" s="17"/>
      <c r="T1164" s="17"/>
      <c r="U1164" s="17"/>
      <c r="V1164" s="17"/>
      <c r="W1164" s="17"/>
      <c r="X1164" s="17"/>
      <c r="Y1164" s="17"/>
      <c r="Z1164" s="17"/>
    </row>
    <row r="1165">
      <c r="A1165" s="18" t="str">
        <f>IFERROR(__xludf.DUMMYFUNCTION("""COMPUTED_VALUE"""),"ord_41143")</f>
        <v>ord_41143</v>
      </c>
      <c r="B1165" s="18" t="str">
        <f>IFERROR(__xludf.DUMMYFUNCTION("""COMPUTED_VALUE"""),"Pranav Joshi")</f>
        <v>Pranav Joshi</v>
      </c>
      <c r="C1165" s="18" t="str">
        <f>IFERROR(__xludf.DUMMYFUNCTION("""COMPUTED_VALUE"""),"Andheri")</f>
        <v>Andheri</v>
      </c>
      <c r="D1165" s="18" t="str">
        <f>IFERROR(__xludf.DUMMYFUNCTION("""COMPUTED_VALUE"""),"Onion")</f>
        <v>Onion</v>
      </c>
      <c r="E1165" s="18">
        <f>IFERROR(__xludf.DUMMYFUNCTION("""COMPUTED_VALUE"""),1.0)</f>
        <v>1</v>
      </c>
      <c r="F1165" s="18" t="str">
        <f>IFERROR(__xludf.DUMMYFUNCTION("""COMPUTED_VALUE"""),"Rohan Yadav")</f>
        <v>Rohan Yadav</v>
      </c>
      <c r="G1165" s="19">
        <f>IFERROR(__xludf.DUMMYFUNCTION("""COMPUTED_VALUE"""),45185.0)</f>
        <v>45185</v>
      </c>
      <c r="H1165" s="18" t="str">
        <f>IFERROR(__xludf.DUMMYFUNCTION("""COMPUTED_VALUE"""),"Online Payment")</f>
        <v>Online Payment</v>
      </c>
      <c r="I1165" s="18" t="str">
        <f>IFERROR(__xludf.DUMMYFUNCTION("""COMPUTED_VALUE"""),"Delivered")</f>
        <v>Delivered</v>
      </c>
      <c r="J1165" s="18" t="str">
        <f>IFERROR(__xludf.DUMMYFUNCTION("""COMPUTED_VALUE"""),"Customer Service")</f>
        <v>Customer Service</v>
      </c>
      <c r="K1165" s="18" t="str">
        <f>IFERROR(__xludf.DUMMYFUNCTION("""COMPUTED_VALUE"""),"Seamless and easy")</f>
        <v>Seamless and easy</v>
      </c>
      <c r="L1165" s="18">
        <f>iferror(VLOOKUP($D1165,Details!$A$2:$C$11,2,false),vlookup($D1165,Details!$E$2:$G$11,2,false))</f>
        <v>84</v>
      </c>
      <c r="M1165" s="18" t="str">
        <f>iferror(VLOOKUP($D1165,Details!$A$2:$C$11,3,false),vlookup($D1165,Details!$E$2:$G$11,3,false))</f>
        <v>Fruits and Vegetables</v>
      </c>
      <c r="N1165" s="18">
        <f t="shared" si="1"/>
        <v>84</v>
      </c>
      <c r="O1165" s="17"/>
      <c r="P1165" s="17"/>
      <c r="Q1165" s="17"/>
      <c r="R1165" s="17"/>
      <c r="S1165" s="17"/>
      <c r="T1165" s="17"/>
      <c r="U1165" s="17"/>
      <c r="V1165" s="17"/>
      <c r="W1165" s="17"/>
      <c r="X1165" s="17"/>
      <c r="Y1165" s="17"/>
      <c r="Z1165" s="17"/>
    </row>
    <row r="1166">
      <c r="A1166" s="18" t="str">
        <f>IFERROR(__xludf.DUMMYFUNCTION("""COMPUTED_VALUE"""),"ord_41144")</f>
        <v>ord_41144</v>
      </c>
      <c r="B1166" s="18" t="str">
        <f>IFERROR(__xludf.DUMMYFUNCTION("""COMPUTED_VALUE"""),"Parth Goel")</f>
        <v>Parth Goel</v>
      </c>
      <c r="C1166" s="18" t="str">
        <f>IFERROR(__xludf.DUMMYFUNCTION("""COMPUTED_VALUE"""),"Juhu")</f>
        <v>Juhu</v>
      </c>
      <c r="D1166" s="18" t="str">
        <f>IFERROR(__xludf.DUMMYFUNCTION("""COMPUTED_VALUE"""),"Banana")</f>
        <v>Banana</v>
      </c>
      <c r="E1166" s="18">
        <f>IFERROR(__xludf.DUMMYFUNCTION("""COMPUTED_VALUE"""),2.0)</f>
        <v>2</v>
      </c>
      <c r="F1166" s="18" t="str">
        <f>IFERROR(__xludf.DUMMYFUNCTION("""COMPUTED_VALUE"""),"Tanvi Jain")</f>
        <v>Tanvi Jain</v>
      </c>
      <c r="G1166" s="19">
        <f>IFERROR(__xludf.DUMMYFUNCTION("""COMPUTED_VALUE"""),45108.0)</f>
        <v>45108</v>
      </c>
      <c r="H1166" s="18" t="str">
        <f>IFERROR(__xludf.DUMMYFUNCTION("""COMPUTED_VALUE"""),"UPI")</f>
        <v>UPI</v>
      </c>
      <c r="I1166" s="18" t="str">
        <f>IFERROR(__xludf.DUMMYFUNCTION("""COMPUTED_VALUE"""),"Delivered")</f>
        <v>Delivered</v>
      </c>
      <c r="J1166" s="18" t="str">
        <f>IFERROR(__xludf.DUMMYFUNCTION("""COMPUTED_VALUE"""),"Delivery Experience")</f>
        <v>Delivery Experience</v>
      </c>
      <c r="K1166" s="18" t="str">
        <f>IFERROR(__xludf.DUMMYFUNCTION("""COMPUTED_VALUE"""),"Quick and professional")</f>
        <v>Quick and professional</v>
      </c>
      <c r="L1166" s="18">
        <f>iferror(VLOOKUP($D1166,Details!$A$2:$C$11,2,false),vlookup($D1166,Details!$E$2:$G$11,2,false))</f>
        <v>80</v>
      </c>
      <c r="M1166" s="18" t="str">
        <f>iferror(VLOOKUP($D1166,Details!$A$2:$C$11,3,false),vlookup($D1166,Details!$E$2:$G$11,3,false))</f>
        <v>Fruits and Vegetables</v>
      </c>
      <c r="N1166" s="18">
        <f t="shared" si="1"/>
        <v>160</v>
      </c>
      <c r="O1166" s="17"/>
      <c r="P1166" s="17"/>
      <c r="Q1166" s="17"/>
      <c r="R1166" s="17"/>
      <c r="S1166" s="17"/>
      <c r="T1166" s="17"/>
      <c r="U1166" s="17"/>
      <c r="V1166" s="17"/>
      <c r="W1166" s="17"/>
      <c r="X1166" s="17"/>
      <c r="Y1166" s="17"/>
      <c r="Z1166" s="17"/>
    </row>
    <row r="1167">
      <c r="A1167" s="18" t="str">
        <f>IFERROR(__xludf.DUMMYFUNCTION("""COMPUTED_VALUE"""),"ord_41145")</f>
        <v>ord_41145</v>
      </c>
      <c r="B1167" s="18" t="str">
        <f>IFERROR(__xludf.DUMMYFUNCTION("""COMPUTED_VALUE"""),"Sanjay Nair")</f>
        <v>Sanjay Nair</v>
      </c>
      <c r="C1167" s="18" t="str">
        <f>IFERROR(__xludf.DUMMYFUNCTION("""COMPUTED_VALUE"""),"Dadar")</f>
        <v>Dadar</v>
      </c>
      <c r="D1167" s="18" t="str">
        <f>IFERROR(__xludf.DUMMYFUNCTION("""COMPUTED_VALUE"""),"Rasmalai")</f>
        <v>Rasmalai</v>
      </c>
      <c r="E1167" s="18">
        <f>IFERROR(__xludf.DUMMYFUNCTION("""COMPUTED_VALUE"""),2.0)</f>
        <v>2</v>
      </c>
      <c r="F1167" s="18" t="str">
        <f>IFERROR(__xludf.DUMMYFUNCTION("""COMPUTED_VALUE"""),"Aman Kumar")</f>
        <v>Aman Kumar</v>
      </c>
      <c r="G1167" s="19">
        <f>IFERROR(__xludf.DUMMYFUNCTION("""COMPUTED_VALUE"""),45021.0)</f>
        <v>45021</v>
      </c>
      <c r="H1167" s="18" t="str">
        <f>IFERROR(__xludf.DUMMYFUNCTION("""COMPUTED_VALUE"""),"COD")</f>
        <v>COD</v>
      </c>
      <c r="I1167" s="18" t="str">
        <f>IFERROR(__xludf.DUMMYFUNCTION("""COMPUTED_VALUE"""),"Delivered")</f>
        <v>Delivered</v>
      </c>
      <c r="J1167" s="18" t="str">
        <f>IFERROR(__xludf.DUMMYFUNCTION("""COMPUTED_VALUE"""),"Convenience")</f>
        <v>Convenience</v>
      </c>
      <c r="K1167" s="18" t="str">
        <f>IFERROR(__xludf.DUMMYFUNCTION("""COMPUTED_VALUE"""),"Easy tracking")</f>
        <v>Easy tracking</v>
      </c>
      <c r="L1167" s="18">
        <f>iferror(VLOOKUP($D1167,Details!$A$2:$C$11,2,false),vlookup($D1167,Details!$E$2:$G$11,2,false))</f>
        <v>110</v>
      </c>
      <c r="M1167" s="18" t="str">
        <f>iferror(VLOOKUP($D1167,Details!$A$2:$C$11,3,false),vlookup($D1167,Details!$E$2:$G$11,3,false))</f>
        <v>Snacks and Drinks</v>
      </c>
      <c r="N1167" s="18">
        <f t="shared" si="1"/>
        <v>220</v>
      </c>
      <c r="O1167" s="17"/>
      <c r="P1167" s="17"/>
      <c r="Q1167" s="17"/>
      <c r="R1167" s="17"/>
      <c r="S1167" s="17"/>
      <c r="T1167" s="17"/>
      <c r="U1167" s="17"/>
      <c r="V1167" s="17"/>
      <c r="W1167" s="17"/>
      <c r="X1167" s="17"/>
      <c r="Y1167" s="17"/>
      <c r="Z1167" s="17"/>
    </row>
    <row r="1168">
      <c r="A1168" s="18" t="str">
        <f>IFERROR(__xludf.DUMMYFUNCTION("""COMPUTED_VALUE"""),"ord_41146")</f>
        <v>ord_41146</v>
      </c>
      <c r="B1168" s="18" t="str">
        <f>IFERROR(__xludf.DUMMYFUNCTION("""COMPUTED_VALUE"""),"Pranav Joshi")</f>
        <v>Pranav Joshi</v>
      </c>
      <c r="C1168" s="18" t="str">
        <f>IFERROR(__xludf.DUMMYFUNCTION("""COMPUTED_VALUE"""),"Andheri")</f>
        <v>Andheri</v>
      </c>
      <c r="D1168" s="18" t="str">
        <f>IFERROR(__xludf.DUMMYFUNCTION("""COMPUTED_VALUE"""),"Orange")</f>
        <v>Orange</v>
      </c>
      <c r="E1168" s="18">
        <f>IFERROR(__xludf.DUMMYFUNCTION("""COMPUTED_VALUE"""),2.0)</f>
        <v>2</v>
      </c>
      <c r="F1168" s="18" t="str">
        <f>IFERROR(__xludf.DUMMYFUNCTION("""COMPUTED_VALUE"""),"Rohan Yadav")</f>
        <v>Rohan Yadav</v>
      </c>
      <c r="G1168" s="19">
        <f>IFERROR(__xludf.DUMMYFUNCTION("""COMPUTED_VALUE"""),45126.0)</f>
        <v>45126</v>
      </c>
      <c r="H1168" s="18" t="str">
        <f>IFERROR(__xludf.DUMMYFUNCTION("""COMPUTED_VALUE"""),"Online Payment")</f>
        <v>Online Payment</v>
      </c>
      <c r="I1168" s="18" t="str">
        <f>IFERROR(__xludf.DUMMYFUNCTION("""COMPUTED_VALUE"""),"Delivered")</f>
        <v>Delivered</v>
      </c>
      <c r="J1168" s="18" t="str">
        <f>IFERROR(__xludf.DUMMYFUNCTION("""COMPUTED_VALUE"""),"Overall Satisfaction")</f>
        <v>Overall Satisfaction</v>
      </c>
      <c r="K1168" s="18" t="str">
        <f>IFERROR(__xludf.DUMMYFUNCTION("""COMPUTED_VALUE"""),"Great service will order again")</f>
        <v>Great service will order again</v>
      </c>
      <c r="L1168" s="18">
        <f>iferror(VLOOKUP($D1168,Details!$A$2:$C$11,2,false),vlookup($D1168,Details!$E$2:$G$11,2,false))</f>
        <v>180</v>
      </c>
      <c r="M1168" s="18" t="str">
        <f>iferror(VLOOKUP($D1168,Details!$A$2:$C$11,3,false),vlookup($D1168,Details!$E$2:$G$11,3,false))</f>
        <v>Fruits and Vegetables</v>
      </c>
      <c r="N1168" s="18">
        <f t="shared" si="1"/>
        <v>360</v>
      </c>
      <c r="O1168" s="17"/>
      <c r="P1168" s="17"/>
      <c r="Q1168" s="17"/>
      <c r="R1168" s="17"/>
      <c r="S1168" s="17"/>
      <c r="T1168" s="17"/>
      <c r="U1168" s="17"/>
      <c r="V1168" s="17"/>
      <c r="W1168" s="17"/>
      <c r="X1168" s="17"/>
      <c r="Y1168" s="17"/>
      <c r="Z1168" s="17"/>
    </row>
    <row r="1169">
      <c r="A1169" s="18" t="str">
        <f>IFERROR(__xludf.DUMMYFUNCTION("""COMPUTED_VALUE"""),"ord_41147")</f>
        <v>ord_41147</v>
      </c>
      <c r="B1169" s="18" t="str">
        <f>IFERROR(__xludf.DUMMYFUNCTION("""COMPUTED_VALUE"""),"Omkar Mishra")</f>
        <v>Omkar Mishra</v>
      </c>
      <c r="C1169" s="18" t="str">
        <f>IFERROR(__xludf.DUMMYFUNCTION("""COMPUTED_VALUE"""),"Powai")</f>
        <v>Powai</v>
      </c>
      <c r="D1169" s="18" t="str">
        <f>IFERROR(__xludf.DUMMYFUNCTION("""COMPUTED_VALUE"""),"Tiramisu")</f>
        <v>Tiramisu</v>
      </c>
      <c r="E1169" s="18">
        <f>IFERROR(__xludf.DUMMYFUNCTION("""COMPUTED_VALUE"""),5.0)</f>
        <v>5</v>
      </c>
      <c r="F1169" s="18" t="str">
        <f>IFERROR(__xludf.DUMMYFUNCTION("""COMPUTED_VALUE"""),"Sandeep Kumar")</f>
        <v>Sandeep Kumar</v>
      </c>
      <c r="G1169" s="19">
        <f>IFERROR(__xludf.DUMMYFUNCTION("""COMPUTED_VALUE"""),45277.0)</f>
        <v>45277</v>
      </c>
      <c r="H1169" s="18" t="str">
        <f>IFERROR(__xludf.DUMMYFUNCTION("""COMPUTED_VALUE"""),"Online Payment")</f>
        <v>Online Payment</v>
      </c>
      <c r="I1169" s="18" t="str">
        <f>IFERROR(__xludf.DUMMYFUNCTION("""COMPUTED_VALUE"""),"Delivered")</f>
        <v>Delivered</v>
      </c>
      <c r="J1169" s="18" t="str">
        <f>IFERROR(__xludf.DUMMYFUNCTION("""COMPUTED_VALUE"""),"On-time Delivery")</f>
        <v>On-time Delivery</v>
      </c>
      <c r="K1169" s="18" t="str">
        <f>IFERROR(__xludf.DUMMYFUNCTION("""COMPUTED_VALUE"""),"Delivered on time")</f>
        <v>Delivered on time</v>
      </c>
      <c r="L1169" s="18">
        <f>iferror(VLOOKUP($D1169,Details!$A$2:$C$11,2,false),vlookup($D1169,Details!$E$2:$G$11,2,false))</f>
        <v>150</v>
      </c>
      <c r="M1169" s="18" t="str">
        <f>iferror(VLOOKUP($D1169,Details!$A$2:$C$11,3,false),vlookup($D1169,Details!$E$2:$G$11,3,false))</f>
        <v>Snacks and Drinks</v>
      </c>
      <c r="N1169" s="18">
        <f t="shared" si="1"/>
        <v>750</v>
      </c>
      <c r="O1169" s="17"/>
      <c r="P1169" s="17"/>
      <c r="Q1169" s="17"/>
      <c r="R1169" s="17"/>
      <c r="S1169" s="17"/>
      <c r="T1169" s="17"/>
      <c r="U1169" s="17"/>
      <c r="V1169" s="17"/>
      <c r="W1169" s="17"/>
      <c r="X1169" s="17"/>
      <c r="Y1169" s="17"/>
      <c r="Z1169" s="17"/>
    </row>
    <row r="1170">
      <c r="A1170" s="18" t="str">
        <f>IFERROR(__xludf.DUMMYFUNCTION("""COMPUTED_VALUE"""),"ord_41148")</f>
        <v>ord_41148</v>
      </c>
      <c r="B1170" s="18" t="str">
        <f>IFERROR(__xludf.DUMMYFUNCTION("""COMPUTED_VALUE"""),"Anaya Rao")</f>
        <v>Anaya Rao</v>
      </c>
      <c r="C1170" s="18" t="str">
        <f>IFERROR(__xludf.DUMMYFUNCTION("""COMPUTED_VALUE"""),"Colaba")</f>
        <v>Colaba</v>
      </c>
      <c r="D1170" s="18" t="str">
        <f>IFERROR(__xludf.DUMMYFUNCTION("""COMPUTED_VALUE"""),"Rasmalai")</f>
        <v>Rasmalai</v>
      </c>
      <c r="E1170" s="18">
        <f>IFERROR(__xludf.DUMMYFUNCTION("""COMPUTED_VALUE"""),3.0)</f>
        <v>3</v>
      </c>
      <c r="F1170" s="18" t="str">
        <f>IFERROR(__xludf.DUMMYFUNCTION("""COMPUTED_VALUE"""),"Nikhil Deshmukh")</f>
        <v>Nikhil Deshmukh</v>
      </c>
      <c r="G1170" s="19">
        <f>IFERROR(__xludf.DUMMYFUNCTION("""COMPUTED_VALUE"""),45090.0)</f>
        <v>45090</v>
      </c>
      <c r="H1170" s="18" t="str">
        <f>IFERROR(__xludf.DUMMYFUNCTION("""COMPUTED_VALUE"""),"UPI")</f>
        <v>UPI</v>
      </c>
      <c r="I1170" s="18" t="str">
        <f>IFERROR(__xludf.DUMMYFUNCTION("""COMPUTED_VALUE"""),"Delivered")</f>
        <v>Delivered</v>
      </c>
      <c r="J1170" s="18" t="str">
        <f>IFERROR(__xludf.DUMMYFUNCTION("""COMPUTED_VALUE"""),"Quality of Items")</f>
        <v>Quality of Items</v>
      </c>
      <c r="K1170" s="18" t="str">
        <f>IFERROR(__xludf.DUMMYFUNCTION("""COMPUTED_VALUE"""),"Perfect condition")</f>
        <v>Perfect condition</v>
      </c>
      <c r="L1170" s="18">
        <f>iferror(VLOOKUP($D1170,Details!$A$2:$C$11,2,false),vlookup($D1170,Details!$E$2:$G$11,2,false))</f>
        <v>110</v>
      </c>
      <c r="M1170" s="18" t="str">
        <f>iferror(VLOOKUP($D1170,Details!$A$2:$C$11,3,false),vlookup($D1170,Details!$E$2:$G$11,3,false))</f>
        <v>Snacks and Drinks</v>
      </c>
      <c r="N1170" s="18">
        <f t="shared" si="1"/>
        <v>330</v>
      </c>
      <c r="O1170" s="17"/>
      <c r="P1170" s="17"/>
      <c r="Q1170" s="17"/>
      <c r="R1170" s="17"/>
      <c r="S1170" s="17"/>
      <c r="T1170" s="17"/>
      <c r="U1170" s="17"/>
      <c r="V1170" s="17"/>
      <c r="W1170" s="17"/>
      <c r="X1170" s="17"/>
      <c r="Y1170" s="17"/>
      <c r="Z1170" s="17"/>
    </row>
    <row r="1171">
      <c r="A1171" s="18" t="str">
        <f>IFERROR(__xludf.DUMMYFUNCTION("""COMPUTED_VALUE"""),"ord_41149")</f>
        <v>ord_41149</v>
      </c>
      <c r="B1171" s="18" t="str">
        <f>IFERROR(__xludf.DUMMYFUNCTION("""COMPUTED_VALUE"""),"Omkar Mishra")</f>
        <v>Omkar Mishra</v>
      </c>
      <c r="C1171" s="18" t="str">
        <f>IFERROR(__xludf.DUMMYFUNCTION("""COMPUTED_VALUE"""),"Powai")</f>
        <v>Powai</v>
      </c>
      <c r="D1171" s="18" t="str">
        <f>IFERROR(__xludf.DUMMYFUNCTION("""COMPUTED_VALUE"""),"Banana")</f>
        <v>Banana</v>
      </c>
      <c r="E1171" s="18">
        <f>IFERROR(__xludf.DUMMYFUNCTION("""COMPUTED_VALUE"""),2.0)</f>
        <v>2</v>
      </c>
      <c r="F1171" s="18" t="str">
        <f>IFERROR(__xludf.DUMMYFUNCTION("""COMPUTED_VALUE"""),"Sandeep Kumar")</f>
        <v>Sandeep Kumar</v>
      </c>
      <c r="G1171" s="19">
        <f>IFERROR(__xludf.DUMMYFUNCTION("""COMPUTED_VALUE"""),45189.0)</f>
        <v>45189</v>
      </c>
      <c r="H1171" s="18" t="str">
        <f>IFERROR(__xludf.DUMMYFUNCTION("""COMPUTED_VALUE"""),"Credit Card")</f>
        <v>Credit Card</v>
      </c>
      <c r="I1171" s="18" t="str">
        <f>IFERROR(__xludf.DUMMYFUNCTION("""COMPUTED_VALUE"""),"Delivered")</f>
        <v>Delivered</v>
      </c>
      <c r="J1171" s="18" t="str">
        <f>IFERROR(__xludf.DUMMYFUNCTION("""COMPUTED_VALUE"""),"On-time Delivery")</f>
        <v>On-time Delivery</v>
      </c>
      <c r="K1171" s="18" t="str">
        <f>IFERROR(__xludf.DUMMYFUNCTION("""COMPUTED_VALUE"""),"Delivered on time")</f>
        <v>Delivered on time</v>
      </c>
      <c r="L1171" s="18">
        <f>iferror(VLOOKUP($D1171,Details!$A$2:$C$11,2,false),vlookup($D1171,Details!$E$2:$G$11,2,false))</f>
        <v>80</v>
      </c>
      <c r="M1171" s="18" t="str">
        <f>iferror(VLOOKUP($D1171,Details!$A$2:$C$11,3,false),vlookup($D1171,Details!$E$2:$G$11,3,false))</f>
        <v>Fruits and Vegetables</v>
      </c>
      <c r="N1171" s="18">
        <f t="shared" si="1"/>
        <v>160</v>
      </c>
      <c r="O1171" s="17"/>
      <c r="P1171" s="17"/>
      <c r="Q1171" s="17"/>
      <c r="R1171" s="17"/>
      <c r="S1171" s="17"/>
      <c r="T1171" s="17"/>
      <c r="U1171" s="17"/>
      <c r="V1171" s="17"/>
      <c r="W1171" s="17"/>
      <c r="X1171" s="17"/>
      <c r="Y1171" s="17"/>
      <c r="Z1171" s="17"/>
    </row>
    <row r="1172">
      <c r="A1172" s="18" t="str">
        <f>IFERROR(__xludf.DUMMYFUNCTION("""COMPUTED_VALUE"""),"ord_41150")</f>
        <v>ord_41150</v>
      </c>
      <c r="B1172" s="18" t="str">
        <f>IFERROR(__xludf.DUMMYFUNCTION("""COMPUTED_VALUE"""),"Ishita Banerjee")</f>
        <v>Ishita Banerjee</v>
      </c>
      <c r="C1172" s="18" t="str">
        <f>IFERROR(__xludf.DUMMYFUNCTION("""COMPUTED_VALUE"""),"Juhu")</f>
        <v>Juhu</v>
      </c>
      <c r="D1172" s="18" t="str">
        <f>IFERROR(__xludf.DUMMYFUNCTION("""COMPUTED_VALUE"""),"Veg Puff")</f>
        <v>Veg Puff</v>
      </c>
      <c r="E1172" s="18">
        <f>IFERROR(__xludf.DUMMYFUNCTION("""COMPUTED_VALUE"""),3.0)</f>
        <v>3</v>
      </c>
      <c r="F1172" s="18" t="str">
        <f>IFERROR(__xludf.DUMMYFUNCTION("""COMPUTED_VALUE"""),"Venu R")</f>
        <v>Venu R</v>
      </c>
      <c r="G1172" s="19">
        <f>IFERROR(__xludf.DUMMYFUNCTION("""COMPUTED_VALUE"""),45112.0)</f>
        <v>45112</v>
      </c>
      <c r="H1172" s="18" t="str">
        <f>IFERROR(__xludf.DUMMYFUNCTION("""COMPUTED_VALUE"""),"Credit Card")</f>
        <v>Credit Card</v>
      </c>
      <c r="I1172" s="18" t="str">
        <f>IFERROR(__xludf.DUMMYFUNCTION("""COMPUTED_VALUE"""),"Delivered")</f>
        <v>Delivered</v>
      </c>
      <c r="J1172" s="18" t="str">
        <f>IFERROR(__xludf.DUMMYFUNCTION("""COMPUTED_VALUE"""),"Quality of Items")</f>
        <v>Quality of Items</v>
      </c>
      <c r="K1172" s="18" t="str">
        <f>IFERROR(__xludf.DUMMYFUNCTION("""COMPUTED_VALUE"""),"Perfect condition")</f>
        <v>Perfect condition</v>
      </c>
      <c r="L1172" s="18">
        <f>iferror(VLOOKUP($D1172,Details!$A$2:$C$11,2,false),vlookup($D1172,Details!$E$2:$G$11,2,false))</f>
        <v>80</v>
      </c>
      <c r="M1172" s="18" t="str">
        <f>iferror(VLOOKUP($D1172,Details!$A$2:$C$11,3,false),vlookup($D1172,Details!$E$2:$G$11,3,false))</f>
        <v>Snacks and Drinks</v>
      </c>
      <c r="N1172" s="18">
        <f t="shared" si="1"/>
        <v>240</v>
      </c>
      <c r="O1172" s="17"/>
      <c r="P1172" s="17"/>
      <c r="Q1172" s="17"/>
      <c r="R1172" s="17"/>
      <c r="S1172" s="17"/>
      <c r="T1172" s="17"/>
      <c r="U1172" s="17"/>
      <c r="V1172" s="17"/>
      <c r="W1172" s="17"/>
      <c r="X1172" s="17"/>
      <c r="Y1172" s="17"/>
      <c r="Z1172" s="17"/>
    </row>
    <row r="1173">
      <c r="A1173" s="18" t="str">
        <f>IFERROR(__xludf.DUMMYFUNCTION("""COMPUTED_VALUE"""),"ord_41151")</f>
        <v>ord_41151</v>
      </c>
      <c r="B1173" s="18" t="str">
        <f>IFERROR(__xludf.DUMMYFUNCTION("""COMPUTED_VALUE"""),"Pallavi Ghosh")</f>
        <v>Pallavi Ghosh</v>
      </c>
      <c r="C1173" s="18" t="str">
        <f>IFERROR(__xludf.DUMMYFUNCTION("""COMPUTED_VALUE"""),"Bandra")</f>
        <v>Bandra</v>
      </c>
      <c r="D1173" s="18" t="str">
        <f>IFERROR(__xludf.DUMMYFUNCTION("""COMPUTED_VALUE"""),"Onion")</f>
        <v>Onion</v>
      </c>
      <c r="E1173" s="18">
        <f>IFERROR(__xludf.DUMMYFUNCTION("""COMPUTED_VALUE"""),2.0)</f>
        <v>2</v>
      </c>
      <c r="F1173" s="18" t="str">
        <f>IFERROR(__xludf.DUMMYFUNCTION("""COMPUTED_VALUE"""),"Ramesh S")</f>
        <v>Ramesh S</v>
      </c>
      <c r="G1173" s="19">
        <f>IFERROR(__xludf.DUMMYFUNCTION("""COMPUTED_VALUE"""),44970.0)</f>
        <v>44970</v>
      </c>
      <c r="H1173" s="18" t="str">
        <f>IFERROR(__xludf.DUMMYFUNCTION("""COMPUTED_VALUE"""),"COD")</f>
        <v>COD</v>
      </c>
      <c r="I1173" s="18" t="str">
        <f>IFERROR(__xludf.DUMMYFUNCTION("""COMPUTED_VALUE"""),"Delivered")</f>
        <v>Delivered</v>
      </c>
      <c r="J1173" s="18" t="str">
        <f>IFERROR(__xludf.DUMMYFUNCTION("""COMPUTED_VALUE"""),"Packaging")</f>
        <v>Packaging</v>
      </c>
      <c r="K1173" s="18" t="str">
        <f>IFERROR(__xludf.DUMMYFUNCTION("""COMPUTED_VALUE"""),"Secure and intact")</f>
        <v>Secure and intact</v>
      </c>
      <c r="L1173" s="18">
        <f>iferror(VLOOKUP($D1173,Details!$A$2:$C$11,2,false),vlookup($D1173,Details!$E$2:$G$11,2,false))</f>
        <v>84</v>
      </c>
      <c r="M1173" s="18" t="str">
        <f>iferror(VLOOKUP($D1173,Details!$A$2:$C$11,3,false),vlookup($D1173,Details!$E$2:$G$11,3,false))</f>
        <v>Fruits and Vegetables</v>
      </c>
      <c r="N1173" s="18">
        <f t="shared" si="1"/>
        <v>168</v>
      </c>
      <c r="O1173" s="17"/>
      <c r="P1173" s="17"/>
      <c r="Q1173" s="17"/>
      <c r="R1173" s="17"/>
      <c r="S1173" s="17"/>
      <c r="T1173" s="17"/>
      <c r="U1173" s="17"/>
      <c r="V1173" s="17"/>
      <c r="W1173" s="17"/>
      <c r="X1173" s="17"/>
      <c r="Y1173" s="17"/>
      <c r="Z1173" s="17"/>
    </row>
    <row r="1174">
      <c r="A1174" s="18" t="str">
        <f>IFERROR(__xludf.DUMMYFUNCTION("""COMPUTED_VALUE"""),"ord_41152")</f>
        <v>ord_41152</v>
      </c>
      <c r="B1174" s="18" t="str">
        <f>IFERROR(__xludf.DUMMYFUNCTION("""COMPUTED_VALUE"""),"Kritika Shetty")</f>
        <v>Kritika Shetty</v>
      </c>
      <c r="C1174" s="18" t="str">
        <f>IFERROR(__xludf.DUMMYFUNCTION("""COMPUTED_VALUE"""),"Malad")</f>
        <v>Malad</v>
      </c>
      <c r="D1174" s="18" t="str">
        <f>IFERROR(__xludf.DUMMYFUNCTION("""COMPUTED_VALUE"""),"Juice")</f>
        <v>Juice</v>
      </c>
      <c r="E1174" s="18">
        <f>IFERROR(__xludf.DUMMYFUNCTION("""COMPUTED_VALUE"""),1.0)</f>
        <v>1</v>
      </c>
      <c r="F1174" s="18" t="str">
        <f>IFERROR(__xludf.DUMMYFUNCTION("""COMPUTED_VALUE"""),"Vivek Kumar")</f>
        <v>Vivek Kumar</v>
      </c>
      <c r="G1174" s="19">
        <f>IFERROR(__xludf.DUMMYFUNCTION("""COMPUTED_VALUE"""),45095.0)</f>
        <v>45095</v>
      </c>
      <c r="H1174" s="18" t="str">
        <f>IFERROR(__xludf.DUMMYFUNCTION("""COMPUTED_VALUE"""),"Credit Card")</f>
        <v>Credit Card</v>
      </c>
      <c r="I1174" s="18" t="str">
        <f>IFERROR(__xludf.DUMMYFUNCTION("""COMPUTED_VALUE"""),"Delivered")</f>
        <v>Delivered</v>
      </c>
      <c r="J1174" s="18" t="str">
        <f>IFERROR(__xludf.DUMMYFUNCTION("""COMPUTED_VALUE"""),"Satisfied with the Delivery")</f>
        <v>Satisfied with the Delivery</v>
      </c>
      <c r="K1174" s="18" t="str">
        <f>IFERROR(__xludf.DUMMYFUNCTION("""COMPUTED_VALUE"""),"Timely and quality")</f>
        <v>Timely and quality</v>
      </c>
      <c r="L1174" s="18">
        <f>iferror(VLOOKUP($D1174,Details!$A$2:$C$11,2,false),vlookup($D1174,Details!$E$2:$G$11,2,false))</f>
        <v>90</v>
      </c>
      <c r="M1174" s="18" t="str">
        <f>iferror(VLOOKUP($D1174,Details!$A$2:$C$11,3,false),vlookup($D1174,Details!$E$2:$G$11,3,false))</f>
        <v>Snacks and Drinks</v>
      </c>
      <c r="N1174" s="18">
        <f t="shared" si="1"/>
        <v>90</v>
      </c>
      <c r="O1174" s="17"/>
      <c r="P1174" s="17"/>
      <c r="Q1174" s="17"/>
      <c r="R1174" s="17"/>
      <c r="S1174" s="17"/>
      <c r="T1174" s="17"/>
      <c r="U1174" s="17"/>
      <c r="V1174" s="17"/>
      <c r="W1174" s="17"/>
      <c r="X1174" s="17"/>
      <c r="Y1174" s="17"/>
      <c r="Z1174" s="17"/>
    </row>
    <row r="1175">
      <c r="A1175" s="18" t="str">
        <f>IFERROR(__xludf.DUMMYFUNCTION("""COMPUTED_VALUE"""),"ord_41153")</f>
        <v>ord_41153</v>
      </c>
      <c r="B1175" s="18" t="str">
        <f>IFERROR(__xludf.DUMMYFUNCTION("""COMPUTED_VALUE"""),"Aditi Iyer")</f>
        <v>Aditi Iyer</v>
      </c>
      <c r="C1175" s="18" t="str">
        <f>IFERROR(__xludf.DUMMYFUNCTION("""COMPUTED_VALUE"""),"Dadar")</f>
        <v>Dadar</v>
      </c>
      <c r="D1175" s="18" t="str">
        <f>IFERROR(__xludf.DUMMYFUNCTION("""COMPUTED_VALUE"""),"Onion")</f>
        <v>Onion</v>
      </c>
      <c r="E1175" s="18">
        <f>IFERROR(__xludf.DUMMYFUNCTION("""COMPUTED_VALUE"""),2.0)</f>
        <v>2</v>
      </c>
      <c r="F1175" s="18" t="str">
        <f>IFERROR(__xludf.DUMMYFUNCTION("""COMPUTED_VALUE"""),"Shine Thomas")</f>
        <v>Shine Thomas</v>
      </c>
      <c r="G1175" s="19">
        <f>IFERROR(__xludf.DUMMYFUNCTION("""COMPUTED_VALUE"""),45194.0)</f>
        <v>45194</v>
      </c>
      <c r="H1175" s="18" t="str">
        <f>IFERROR(__xludf.DUMMYFUNCTION("""COMPUTED_VALUE"""),"Credit Card")</f>
        <v>Credit Card</v>
      </c>
      <c r="I1175" s="18" t="str">
        <f>IFERROR(__xludf.DUMMYFUNCTION("""COMPUTED_VALUE"""),"Delivered")</f>
        <v>Delivered</v>
      </c>
      <c r="J1175" s="18" t="str">
        <f>IFERROR(__xludf.DUMMYFUNCTION("""COMPUTED_VALUE"""),"Customer Service")</f>
        <v>Customer Service</v>
      </c>
      <c r="K1175" s="18" t="str">
        <f>IFERROR(__xludf.DUMMYFUNCTION("""COMPUTED_VALUE"""),"Seamless and easy")</f>
        <v>Seamless and easy</v>
      </c>
      <c r="L1175" s="18">
        <f>iferror(VLOOKUP($D1175,Details!$A$2:$C$11,2,false),vlookup($D1175,Details!$E$2:$G$11,2,false))</f>
        <v>84</v>
      </c>
      <c r="M1175" s="18" t="str">
        <f>iferror(VLOOKUP($D1175,Details!$A$2:$C$11,3,false),vlookup($D1175,Details!$E$2:$G$11,3,false))</f>
        <v>Fruits and Vegetables</v>
      </c>
      <c r="N1175" s="18">
        <f t="shared" si="1"/>
        <v>168</v>
      </c>
      <c r="O1175" s="17"/>
      <c r="P1175" s="17"/>
      <c r="Q1175" s="17"/>
      <c r="R1175" s="17"/>
      <c r="S1175" s="17"/>
      <c r="T1175" s="17"/>
      <c r="U1175" s="17"/>
      <c r="V1175" s="17"/>
      <c r="W1175" s="17"/>
      <c r="X1175" s="17"/>
      <c r="Y1175" s="17"/>
      <c r="Z1175" s="17"/>
    </row>
    <row r="1176">
      <c r="A1176" s="18" t="str">
        <f>IFERROR(__xludf.DUMMYFUNCTION("""COMPUTED_VALUE"""),"ord_41154")</f>
        <v>ord_41154</v>
      </c>
      <c r="B1176" s="18" t="str">
        <f>IFERROR(__xludf.DUMMYFUNCTION("""COMPUTED_VALUE"""),"Ishita Banerjee")</f>
        <v>Ishita Banerjee</v>
      </c>
      <c r="C1176" s="18" t="str">
        <f>IFERROR(__xludf.DUMMYFUNCTION("""COMPUTED_VALUE"""),"Juhu")</f>
        <v>Juhu</v>
      </c>
      <c r="D1176" s="18" t="str">
        <f>IFERROR(__xludf.DUMMYFUNCTION("""COMPUTED_VALUE"""),"Guava")</f>
        <v>Guava</v>
      </c>
      <c r="E1176" s="18">
        <f>IFERROR(__xludf.DUMMYFUNCTION("""COMPUTED_VALUE"""),1.0)</f>
        <v>1</v>
      </c>
      <c r="F1176" s="18" t="str">
        <f>IFERROR(__xludf.DUMMYFUNCTION("""COMPUTED_VALUE"""),"Manju Ajay")</f>
        <v>Manju Ajay</v>
      </c>
      <c r="G1176" s="19">
        <f>IFERROR(__xludf.DUMMYFUNCTION("""COMPUTED_VALUE"""),45159.0)</f>
        <v>45159</v>
      </c>
      <c r="H1176" s="18" t="str">
        <f>IFERROR(__xludf.DUMMYFUNCTION("""COMPUTED_VALUE"""),"Online Payment")</f>
        <v>Online Payment</v>
      </c>
      <c r="I1176" s="18" t="str">
        <f>IFERROR(__xludf.DUMMYFUNCTION("""COMPUTED_VALUE"""),"Delivered")</f>
        <v>Delivered</v>
      </c>
      <c r="J1176" s="18" t="str">
        <f>IFERROR(__xludf.DUMMYFUNCTION("""COMPUTED_VALUE"""),"Delivery Experience")</f>
        <v>Delivery Experience</v>
      </c>
      <c r="K1176" s="18" t="str">
        <f>IFERROR(__xludf.DUMMYFUNCTION("""COMPUTED_VALUE"""),"Quick and professional")</f>
        <v>Quick and professional</v>
      </c>
      <c r="L1176" s="18">
        <f>iferror(VLOOKUP($D1176,Details!$A$2:$C$11,2,false),vlookup($D1176,Details!$E$2:$G$11,2,false))</f>
        <v>70</v>
      </c>
      <c r="M1176" s="18" t="str">
        <f>iferror(VLOOKUP($D1176,Details!$A$2:$C$11,3,false),vlookup($D1176,Details!$E$2:$G$11,3,false))</f>
        <v>Fruits and Vegetables</v>
      </c>
      <c r="N1176" s="18">
        <f t="shared" si="1"/>
        <v>70</v>
      </c>
      <c r="O1176" s="17"/>
      <c r="P1176" s="17"/>
      <c r="Q1176" s="17"/>
      <c r="R1176" s="17"/>
      <c r="S1176" s="17"/>
      <c r="T1176" s="17"/>
      <c r="U1176" s="17"/>
      <c r="V1176" s="17"/>
      <c r="W1176" s="17"/>
      <c r="X1176" s="17"/>
      <c r="Y1176" s="17"/>
      <c r="Z1176" s="17"/>
    </row>
    <row r="1177">
      <c r="A1177" s="18" t="str">
        <f>IFERROR(__xludf.DUMMYFUNCTION("""COMPUTED_VALUE"""),"ord_41155")</f>
        <v>ord_41155</v>
      </c>
      <c r="B1177" s="18" t="str">
        <f>IFERROR(__xludf.DUMMYFUNCTION("""COMPUTED_VALUE"""),"Omkar Mishra")</f>
        <v>Omkar Mishra</v>
      </c>
      <c r="C1177" s="18" t="str">
        <f>IFERROR(__xludf.DUMMYFUNCTION("""COMPUTED_VALUE"""),"Powai")</f>
        <v>Powai</v>
      </c>
      <c r="D1177" s="18" t="str">
        <f>IFERROR(__xludf.DUMMYFUNCTION("""COMPUTED_VALUE"""),"Tiramisu")</f>
        <v>Tiramisu</v>
      </c>
      <c r="E1177" s="18">
        <f>IFERROR(__xludf.DUMMYFUNCTION("""COMPUTED_VALUE"""),5.0)</f>
        <v>5</v>
      </c>
      <c r="F1177" s="18" t="str">
        <f>IFERROR(__xludf.DUMMYFUNCTION("""COMPUTED_VALUE"""),"Ramesh S")</f>
        <v>Ramesh S</v>
      </c>
      <c r="G1177" s="19">
        <f>IFERROR(__xludf.DUMMYFUNCTION("""COMPUTED_VALUE"""),44969.0)</f>
        <v>44969</v>
      </c>
      <c r="H1177" s="18" t="str">
        <f>IFERROR(__xludf.DUMMYFUNCTION("""COMPUTED_VALUE"""),"Online Payment")</f>
        <v>Online Payment</v>
      </c>
      <c r="I1177" s="18" t="str">
        <f>IFERROR(__xludf.DUMMYFUNCTION("""COMPUTED_VALUE"""),"Delivered")</f>
        <v>Delivered</v>
      </c>
      <c r="J1177" s="18" t="str">
        <f>IFERROR(__xludf.DUMMYFUNCTION("""COMPUTED_VALUE"""),"Convenience")</f>
        <v>Convenience</v>
      </c>
      <c r="K1177" s="18" t="str">
        <f>IFERROR(__xludf.DUMMYFUNCTION("""COMPUTED_VALUE"""),"Easy tracking")</f>
        <v>Easy tracking</v>
      </c>
      <c r="L1177" s="18">
        <f>iferror(VLOOKUP($D1177,Details!$A$2:$C$11,2,false),vlookup($D1177,Details!$E$2:$G$11,2,false))</f>
        <v>150</v>
      </c>
      <c r="M1177" s="18" t="str">
        <f>iferror(VLOOKUP($D1177,Details!$A$2:$C$11,3,false),vlookup($D1177,Details!$E$2:$G$11,3,false))</f>
        <v>Snacks and Drinks</v>
      </c>
      <c r="N1177" s="18">
        <f t="shared" si="1"/>
        <v>750</v>
      </c>
      <c r="O1177" s="17"/>
      <c r="P1177" s="17"/>
      <c r="Q1177" s="17"/>
      <c r="R1177" s="17"/>
      <c r="S1177" s="17"/>
      <c r="T1177" s="17"/>
      <c r="U1177" s="17"/>
      <c r="V1177" s="17"/>
      <c r="W1177" s="17"/>
      <c r="X1177" s="17"/>
      <c r="Y1177" s="17"/>
      <c r="Z1177" s="17"/>
    </row>
    <row r="1178">
      <c r="A1178" s="18" t="str">
        <f>IFERROR(__xludf.DUMMYFUNCTION("""COMPUTED_VALUE"""),"ord_41156")</f>
        <v>ord_41156</v>
      </c>
      <c r="B1178" s="18" t="str">
        <f>IFERROR(__xludf.DUMMYFUNCTION("""COMPUTED_VALUE"""),"Dev Chauhan")</f>
        <v>Dev Chauhan</v>
      </c>
      <c r="C1178" s="18" t="str">
        <f>IFERROR(__xludf.DUMMYFUNCTION("""COMPUTED_VALUE"""),"Bandra")</f>
        <v>Bandra</v>
      </c>
      <c r="D1178" s="18" t="str">
        <f>IFERROR(__xludf.DUMMYFUNCTION("""COMPUTED_VALUE"""),"Cucumber")</f>
        <v>Cucumber</v>
      </c>
      <c r="E1178" s="18">
        <f>IFERROR(__xludf.DUMMYFUNCTION("""COMPUTED_VALUE"""),1.0)</f>
        <v>1</v>
      </c>
      <c r="F1178" s="18" t="str">
        <f>IFERROR(__xludf.DUMMYFUNCTION("""COMPUTED_VALUE"""),"Venu R")</f>
        <v>Venu R</v>
      </c>
      <c r="G1178" s="19">
        <f>IFERROR(__xludf.DUMMYFUNCTION("""COMPUTED_VALUE"""),44952.0)</f>
        <v>44952</v>
      </c>
      <c r="H1178" s="18" t="str">
        <f>IFERROR(__xludf.DUMMYFUNCTION("""COMPUTED_VALUE"""),"Online Payment")</f>
        <v>Online Payment</v>
      </c>
      <c r="I1178" s="18" t="str">
        <f>IFERROR(__xludf.DUMMYFUNCTION("""COMPUTED_VALUE"""),"Delivered")</f>
        <v>Delivered</v>
      </c>
      <c r="J1178" s="18" t="str">
        <f>IFERROR(__xludf.DUMMYFUNCTION("""COMPUTED_VALUE"""),"Overall Satisfaction")</f>
        <v>Overall Satisfaction</v>
      </c>
      <c r="K1178" s="18" t="str">
        <f>IFERROR(__xludf.DUMMYFUNCTION("""COMPUTED_VALUE"""),"Great service will order again")</f>
        <v>Great service will order again</v>
      </c>
      <c r="L1178" s="18">
        <f>iferror(VLOOKUP($D1178,Details!$A$2:$C$11,2,false),vlookup($D1178,Details!$E$2:$G$11,2,false))</f>
        <v>30</v>
      </c>
      <c r="M1178" s="18" t="str">
        <f>iferror(VLOOKUP($D1178,Details!$A$2:$C$11,3,false),vlookup($D1178,Details!$E$2:$G$11,3,false))</f>
        <v>Fruits and Vegetables</v>
      </c>
      <c r="N1178" s="18">
        <f t="shared" si="1"/>
        <v>30</v>
      </c>
      <c r="O1178" s="17"/>
      <c r="P1178" s="17"/>
      <c r="Q1178" s="17"/>
      <c r="R1178" s="17"/>
      <c r="S1178" s="17"/>
      <c r="T1178" s="17"/>
      <c r="U1178" s="17"/>
      <c r="V1178" s="17"/>
      <c r="W1178" s="17"/>
      <c r="X1178" s="17"/>
      <c r="Y1178" s="17"/>
      <c r="Z1178" s="17"/>
    </row>
    <row r="1179">
      <c r="A1179" s="18" t="str">
        <f>IFERROR(__xludf.DUMMYFUNCTION("""COMPUTED_VALUE"""),"ord_41157")</f>
        <v>ord_41157</v>
      </c>
      <c r="B1179" s="18" t="str">
        <f>IFERROR(__xludf.DUMMYFUNCTION("""COMPUTED_VALUE"""),"Dev Chauhan")</f>
        <v>Dev Chauhan</v>
      </c>
      <c r="C1179" s="18" t="str">
        <f>IFERROR(__xludf.DUMMYFUNCTION("""COMPUTED_VALUE"""),"Bandra")</f>
        <v>Bandra</v>
      </c>
      <c r="D1179" s="18" t="str">
        <f>IFERROR(__xludf.DUMMYFUNCTION("""COMPUTED_VALUE"""),"Banana")</f>
        <v>Banana</v>
      </c>
      <c r="E1179" s="18">
        <f>IFERROR(__xludf.DUMMYFUNCTION("""COMPUTED_VALUE"""),2.0)</f>
        <v>2</v>
      </c>
      <c r="F1179" s="18" t="str">
        <f>IFERROR(__xludf.DUMMYFUNCTION("""COMPUTED_VALUE"""),"Vivek Kumar")</f>
        <v>Vivek Kumar</v>
      </c>
      <c r="G1179" s="19">
        <f>IFERROR(__xludf.DUMMYFUNCTION("""COMPUTED_VALUE"""),45086.0)</f>
        <v>45086</v>
      </c>
      <c r="H1179" s="18" t="str">
        <f>IFERROR(__xludf.DUMMYFUNCTION("""COMPUTED_VALUE"""),"Online Payment")</f>
        <v>Online Payment</v>
      </c>
      <c r="I1179" s="18" t="str">
        <f>IFERROR(__xludf.DUMMYFUNCTION("""COMPUTED_VALUE"""),"Delivered")</f>
        <v>Delivered</v>
      </c>
      <c r="J1179" s="18" t="str">
        <f>IFERROR(__xludf.DUMMYFUNCTION("""COMPUTED_VALUE"""),"On-time Delivery")</f>
        <v>On-time Delivery</v>
      </c>
      <c r="K1179" s="18" t="str">
        <f>IFERROR(__xludf.DUMMYFUNCTION("""COMPUTED_VALUE"""),"Delivered on time")</f>
        <v>Delivered on time</v>
      </c>
      <c r="L1179" s="18">
        <f>iferror(VLOOKUP($D1179,Details!$A$2:$C$11,2,false),vlookup($D1179,Details!$E$2:$G$11,2,false))</f>
        <v>80</v>
      </c>
      <c r="M1179" s="18" t="str">
        <f>iferror(VLOOKUP($D1179,Details!$A$2:$C$11,3,false),vlookup($D1179,Details!$E$2:$G$11,3,false))</f>
        <v>Fruits and Vegetables</v>
      </c>
      <c r="N1179" s="18">
        <f t="shared" si="1"/>
        <v>160</v>
      </c>
      <c r="O1179" s="17"/>
      <c r="P1179" s="17"/>
      <c r="Q1179" s="17"/>
      <c r="R1179" s="17"/>
      <c r="S1179" s="17"/>
      <c r="T1179" s="17"/>
      <c r="U1179" s="17"/>
      <c r="V1179" s="17"/>
      <c r="W1179" s="17"/>
      <c r="X1179" s="17"/>
      <c r="Y1179" s="17"/>
      <c r="Z1179" s="17"/>
    </row>
    <row r="1180">
      <c r="A1180" s="18" t="str">
        <f>IFERROR(__xludf.DUMMYFUNCTION("""COMPUTED_VALUE"""),"ord_41158")</f>
        <v>ord_41158</v>
      </c>
      <c r="B1180" s="18" t="str">
        <f>IFERROR(__xludf.DUMMYFUNCTION("""COMPUTED_VALUE"""),"Ishaan Chaturvedi")</f>
        <v>Ishaan Chaturvedi</v>
      </c>
      <c r="C1180" s="18" t="str">
        <f>IFERROR(__xludf.DUMMYFUNCTION("""COMPUTED_VALUE"""),"Bandra")</f>
        <v>Bandra</v>
      </c>
      <c r="D1180" s="18" t="str">
        <f>IFERROR(__xludf.DUMMYFUNCTION("""COMPUTED_VALUE"""),"Popcorn")</f>
        <v>Popcorn</v>
      </c>
      <c r="E1180" s="18">
        <f>IFERROR(__xludf.DUMMYFUNCTION("""COMPUTED_VALUE"""),4.0)</f>
        <v>4</v>
      </c>
      <c r="F1180" s="18" t="str">
        <f>IFERROR(__xludf.DUMMYFUNCTION("""COMPUTED_VALUE"""),"Vivek Kumar")</f>
        <v>Vivek Kumar</v>
      </c>
      <c r="G1180" s="19">
        <f>IFERROR(__xludf.DUMMYFUNCTION("""COMPUTED_VALUE"""),45150.0)</f>
        <v>45150</v>
      </c>
      <c r="H1180" s="18" t="str">
        <f>IFERROR(__xludf.DUMMYFUNCTION("""COMPUTED_VALUE"""),"UPI")</f>
        <v>UPI</v>
      </c>
      <c r="I1180" s="18" t="str">
        <f>IFERROR(__xludf.DUMMYFUNCTION("""COMPUTED_VALUE"""),"Delivered")</f>
        <v>Delivered</v>
      </c>
      <c r="J1180" s="18" t="str">
        <f>IFERROR(__xludf.DUMMYFUNCTION("""COMPUTED_VALUE"""),"Quality of Items")</f>
        <v>Quality of Items</v>
      </c>
      <c r="K1180" s="18" t="str">
        <f>IFERROR(__xludf.DUMMYFUNCTION("""COMPUTED_VALUE"""),"Perfect condition")</f>
        <v>Perfect condition</v>
      </c>
      <c r="L1180" s="18">
        <f>iferror(VLOOKUP($D1180,Details!$A$2:$C$11,2,false),vlookup($D1180,Details!$E$2:$G$11,2,false))</f>
        <v>150</v>
      </c>
      <c r="M1180" s="18" t="str">
        <f>iferror(VLOOKUP($D1180,Details!$A$2:$C$11,3,false),vlookup($D1180,Details!$E$2:$G$11,3,false))</f>
        <v>Snacks and Drinks</v>
      </c>
      <c r="N1180" s="18">
        <f t="shared" si="1"/>
        <v>600</v>
      </c>
      <c r="O1180" s="17"/>
      <c r="P1180" s="17"/>
      <c r="Q1180" s="17"/>
      <c r="R1180" s="17"/>
      <c r="S1180" s="17"/>
      <c r="T1180" s="17"/>
      <c r="U1180" s="17"/>
      <c r="V1180" s="17"/>
      <c r="W1180" s="17"/>
      <c r="X1180" s="17"/>
      <c r="Y1180" s="17"/>
      <c r="Z1180" s="17"/>
    </row>
    <row r="1181">
      <c r="A1181" s="18" t="str">
        <f>IFERROR(__xludf.DUMMYFUNCTION("""COMPUTED_VALUE"""),"ord_41159")</f>
        <v>ord_41159</v>
      </c>
      <c r="B1181" s="18" t="str">
        <f>IFERROR(__xludf.DUMMYFUNCTION("""COMPUTED_VALUE"""),"Mehul Thakkar")</f>
        <v>Mehul Thakkar</v>
      </c>
      <c r="C1181" s="18" t="str">
        <f>IFERROR(__xludf.DUMMYFUNCTION("""COMPUTED_VALUE"""),"Malad")</f>
        <v>Malad</v>
      </c>
      <c r="D1181" s="18" t="str">
        <f>IFERROR(__xludf.DUMMYFUNCTION("""COMPUTED_VALUE"""),"Chicken Puff")</f>
        <v>Chicken Puff</v>
      </c>
      <c r="E1181" s="18">
        <f>IFERROR(__xludf.DUMMYFUNCTION("""COMPUTED_VALUE"""),4.0)</f>
        <v>4</v>
      </c>
      <c r="F1181" s="18" t="str">
        <f>IFERROR(__xludf.DUMMYFUNCTION("""COMPUTED_VALUE"""),"Not Assigned")</f>
        <v>Not Assigned</v>
      </c>
      <c r="G1181" s="19">
        <f>IFERROR(__xludf.DUMMYFUNCTION("""COMPUTED_VALUE"""),45275.0)</f>
        <v>45275</v>
      </c>
      <c r="H1181" s="18" t="str">
        <f>IFERROR(__xludf.DUMMYFUNCTION("""COMPUTED_VALUE"""),"Credit Card")</f>
        <v>Credit Card</v>
      </c>
      <c r="I1181" s="18" t="str">
        <f>IFERROR(__xludf.DUMMYFUNCTION("""COMPUTED_VALUE"""),"Cancelled")</f>
        <v>Cancelled</v>
      </c>
      <c r="J1181" s="18" t="str">
        <f>IFERROR(__xludf.DUMMYFUNCTION("""COMPUTED_VALUE"""),"App Glitches")</f>
        <v>App Glitches</v>
      </c>
      <c r="K1181" s="18" t="str">
        <f>IFERROR(__xludf.DUMMYFUNCTION("""COMPUTED_VALUE"""),"Payment Button Malfunction")</f>
        <v>Payment Button Malfunction</v>
      </c>
      <c r="L1181" s="18">
        <f>iferror(VLOOKUP($D1181,Details!$A$2:$C$11,2,false),vlookup($D1181,Details!$E$2:$G$11,2,false))</f>
        <v>90</v>
      </c>
      <c r="M1181" s="18" t="str">
        <f>iferror(VLOOKUP($D1181,Details!$A$2:$C$11,3,false),vlookup($D1181,Details!$E$2:$G$11,3,false))</f>
        <v>Snacks and Drinks</v>
      </c>
      <c r="N1181" s="18">
        <f t="shared" si="1"/>
        <v>360</v>
      </c>
      <c r="O1181" s="17"/>
      <c r="P1181" s="17"/>
      <c r="Q1181" s="17"/>
      <c r="R1181" s="17"/>
      <c r="S1181" s="17"/>
      <c r="T1181" s="17"/>
      <c r="U1181" s="17"/>
      <c r="V1181" s="17"/>
      <c r="W1181" s="17"/>
      <c r="X1181" s="17"/>
      <c r="Y1181" s="17"/>
      <c r="Z1181" s="17"/>
    </row>
    <row r="1182">
      <c r="A1182" s="18" t="str">
        <f>IFERROR(__xludf.DUMMYFUNCTION("""COMPUTED_VALUE"""),"ord_41160")</f>
        <v>ord_41160</v>
      </c>
      <c r="B1182" s="18" t="str">
        <f>IFERROR(__xludf.DUMMYFUNCTION("""COMPUTED_VALUE"""),"Sanjay Nair")</f>
        <v>Sanjay Nair</v>
      </c>
      <c r="C1182" s="18" t="str">
        <f>IFERROR(__xludf.DUMMYFUNCTION("""COMPUTED_VALUE"""),"Dadar")</f>
        <v>Dadar</v>
      </c>
      <c r="D1182" s="18" t="str">
        <f>IFERROR(__xludf.DUMMYFUNCTION("""COMPUTED_VALUE"""),"Popcorn")</f>
        <v>Popcorn</v>
      </c>
      <c r="E1182" s="18">
        <f>IFERROR(__xludf.DUMMYFUNCTION("""COMPUTED_VALUE"""),4.0)</f>
        <v>4</v>
      </c>
      <c r="F1182" s="18" t="str">
        <f>IFERROR(__xludf.DUMMYFUNCTION("""COMPUTED_VALUE"""),"Shine Thomas")</f>
        <v>Shine Thomas</v>
      </c>
      <c r="G1182" s="19">
        <f>IFERROR(__xludf.DUMMYFUNCTION("""COMPUTED_VALUE"""),44973.0)</f>
        <v>44973</v>
      </c>
      <c r="H1182" s="18" t="str">
        <f>IFERROR(__xludf.DUMMYFUNCTION("""COMPUTED_VALUE"""),"Online Payment")</f>
        <v>Online Payment</v>
      </c>
      <c r="I1182" s="18" t="str">
        <f>IFERROR(__xludf.DUMMYFUNCTION("""COMPUTED_VALUE"""),"Delivered")</f>
        <v>Delivered</v>
      </c>
      <c r="J1182" s="18" t="str">
        <f>IFERROR(__xludf.DUMMYFUNCTION("""COMPUTED_VALUE"""),"On-time Delivery")</f>
        <v>On-time Delivery</v>
      </c>
      <c r="K1182" s="18" t="str">
        <f>IFERROR(__xludf.DUMMYFUNCTION("""COMPUTED_VALUE"""),"Delivered on time")</f>
        <v>Delivered on time</v>
      </c>
      <c r="L1182" s="18">
        <f>iferror(VLOOKUP($D1182,Details!$A$2:$C$11,2,false),vlookup($D1182,Details!$E$2:$G$11,2,false))</f>
        <v>150</v>
      </c>
      <c r="M1182" s="18" t="str">
        <f>iferror(VLOOKUP($D1182,Details!$A$2:$C$11,3,false),vlookup($D1182,Details!$E$2:$G$11,3,false))</f>
        <v>Snacks and Drinks</v>
      </c>
      <c r="N1182" s="18">
        <f t="shared" si="1"/>
        <v>600</v>
      </c>
      <c r="O1182" s="17"/>
      <c r="P1182" s="17"/>
      <c r="Q1182" s="17"/>
      <c r="R1182" s="17"/>
      <c r="S1182" s="17"/>
      <c r="T1182" s="17"/>
      <c r="U1182" s="17"/>
      <c r="V1182" s="17"/>
      <c r="W1182" s="17"/>
      <c r="X1182" s="17"/>
      <c r="Y1182" s="17"/>
      <c r="Z1182" s="17"/>
    </row>
    <row r="1183">
      <c r="A1183" s="18" t="str">
        <f>IFERROR(__xludf.DUMMYFUNCTION("""COMPUTED_VALUE"""),"ord_41161")</f>
        <v>ord_41161</v>
      </c>
      <c r="B1183" s="18" t="str">
        <f>IFERROR(__xludf.DUMMYFUNCTION("""COMPUTED_VALUE"""),"Aarohi Kapoor")</f>
        <v>Aarohi Kapoor</v>
      </c>
      <c r="C1183" s="18" t="str">
        <f>IFERROR(__xludf.DUMMYFUNCTION("""COMPUTED_VALUE"""),"Bandra")</f>
        <v>Bandra</v>
      </c>
      <c r="D1183" s="18" t="str">
        <f>IFERROR(__xludf.DUMMYFUNCTION("""COMPUTED_VALUE"""),"Tiramisu")</f>
        <v>Tiramisu</v>
      </c>
      <c r="E1183" s="18">
        <f>IFERROR(__xludf.DUMMYFUNCTION("""COMPUTED_VALUE"""),3.0)</f>
        <v>3</v>
      </c>
      <c r="F1183" s="18" t="str">
        <f>IFERROR(__xludf.DUMMYFUNCTION("""COMPUTED_VALUE"""),"Manju Ajay")</f>
        <v>Manju Ajay</v>
      </c>
      <c r="G1183" s="19">
        <f>IFERROR(__xludf.DUMMYFUNCTION("""COMPUTED_VALUE"""),45144.0)</f>
        <v>45144</v>
      </c>
      <c r="H1183" s="18" t="str">
        <f>IFERROR(__xludf.DUMMYFUNCTION("""COMPUTED_VALUE"""),"COD")</f>
        <v>COD</v>
      </c>
      <c r="I1183" s="18" t="str">
        <f>IFERROR(__xludf.DUMMYFUNCTION("""COMPUTED_VALUE"""),"Delivered")</f>
        <v>Delivered</v>
      </c>
      <c r="J1183" s="18" t="str">
        <f>IFERROR(__xludf.DUMMYFUNCTION("""COMPUTED_VALUE"""),"Quality of Items")</f>
        <v>Quality of Items</v>
      </c>
      <c r="K1183" s="18" t="str">
        <f>IFERROR(__xludf.DUMMYFUNCTION("""COMPUTED_VALUE"""),"Perfect condition")</f>
        <v>Perfect condition</v>
      </c>
      <c r="L1183" s="18">
        <f>iferror(VLOOKUP($D1183,Details!$A$2:$C$11,2,false),vlookup($D1183,Details!$E$2:$G$11,2,false))</f>
        <v>150</v>
      </c>
      <c r="M1183" s="18" t="str">
        <f>iferror(VLOOKUP($D1183,Details!$A$2:$C$11,3,false),vlookup($D1183,Details!$E$2:$G$11,3,false))</f>
        <v>Snacks and Drinks</v>
      </c>
      <c r="N1183" s="18">
        <f t="shared" si="1"/>
        <v>450</v>
      </c>
      <c r="O1183" s="17"/>
      <c r="P1183" s="17"/>
      <c r="Q1183" s="17"/>
      <c r="R1183" s="17"/>
      <c r="S1183" s="17"/>
      <c r="T1183" s="17"/>
      <c r="U1183" s="17"/>
      <c r="V1183" s="17"/>
      <c r="W1183" s="17"/>
      <c r="X1183" s="17"/>
      <c r="Y1183" s="17"/>
      <c r="Z1183" s="17"/>
    </row>
    <row r="1184">
      <c r="A1184" s="18" t="str">
        <f>IFERROR(__xludf.DUMMYFUNCTION("""COMPUTED_VALUE"""),"ord_41162")</f>
        <v>ord_41162</v>
      </c>
      <c r="B1184" s="18" t="str">
        <f>IFERROR(__xludf.DUMMYFUNCTION("""COMPUTED_VALUE"""),"Sanjay Nair")</f>
        <v>Sanjay Nair</v>
      </c>
      <c r="C1184" s="18" t="str">
        <f>IFERROR(__xludf.DUMMYFUNCTION("""COMPUTED_VALUE"""),"Dadar")</f>
        <v>Dadar</v>
      </c>
      <c r="D1184" s="18" t="str">
        <f>IFERROR(__xludf.DUMMYFUNCTION("""COMPUTED_VALUE"""),"Guava")</f>
        <v>Guava</v>
      </c>
      <c r="E1184" s="18">
        <f>IFERROR(__xludf.DUMMYFUNCTION("""COMPUTED_VALUE"""),2.0)</f>
        <v>2</v>
      </c>
      <c r="F1184" s="18" t="str">
        <f>IFERROR(__xludf.DUMMYFUNCTION("""COMPUTED_VALUE"""),"Vivek Kumar")</f>
        <v>Vivek Kumar</v>
      </c>
      <c r="G1184" s="19">
        <f>IFERROR(__xludf.DUMMYFUNCTION("""COMPUTED_VALUE"""),44978.0)</f>
        <v>44978</v>
      </c>
      <c r="H1184" s="18" t="str">
        <f>IFERROR(__xludf.DUMMYFUNCTION("""COMPUTED_VALUE"""),"UPI")</f>
        <v>UPI</v>
      </c>
      <c r="I1184" s="18" t="str">
        <f>IFERROR(__xludf.DUMMYFUNCTION("""COMPUTED_VALUE"""),"Delivered")</f>
        <v>Delivered</v>
      </c>
      <c r="J1184" s="18" t="str">
        <f>IFERROR(__xludf.DUMMYFUNCTION("""COMPUTED_VALUE"""),"Packaging")</f>
        <v>Packaging</v>
      </c>
      <c r="K1184" s="18" t="str">
        <f>IFERROR(__xludf.DUMMYFUNCTION("""COMPUTED_VALUE"""),"Secure and intact")</f>
        <v>Secure and intact</v>
      </c>
      <c r="L1184" s="18">
        <f>iferror(VLOOKUP($D1184,Details!$A$2:$C$11,2,false),vlookup($D1184,Details!$E$2:$G$11,2,false))</f>
        <v>70</v>
      </c>
      <c r="M1184" s="18" t="str">
        <f>iferror(VLOOKUP($D1184,Details!$A$2:$C$11,3,false),vlookup($D1184,Details!$E$2:$G$11,3,false))</f>
        <v>Fruits and Vegetables</v>
      </c>
      <c r="N1184" s="18">
        <f t="shared" si="1"/>
        <v>140</v>
      </c>
      <c r="O1184" s="17"/>
      <c r="P1184" s="17"/>
      <c r="Q1184" s="17"/>
      <c r="R1184" s="17"/>
      <c r="S1184" s="17"/>
      <c r="T1184" s="17"/>
      <c r="U1184" s="17"/>
      <c r="V1184" s="17"/>
      <c r="W1184" s="17"/>
      <c r="X1184" s="17"/>
      <c r="Y1184" s="17"/>
      <c r="Z1184" s="17"/>
    </row>
    <row r="1185">
      <c r="A1185" s="18" t="str">
        <f>IFERROR(__xludf.DUMMYFUNCTION("""COMPUTED_VALUE"""),"ord_41163")</f>
        <v>ord_41163</v>
      </c>
      <c r="B1185" s="18" t="str">
        <f>IFERROR(__xludf.DUMMYFUNCTION("""COMPUTED_VALUE"""),"Dev Chauhan")</f>
        <v>Dev Chauhan</v>
      </c>
      <c r="C1185" s="18" t="str">
        <f>IFERROR(__xludf.DUMMYFUNCTION("""COMPUTED_VALUE"""),"Bandra")</f>
        <v>Bandra</v>
      </c>
      <c r="D1185" s="18" t="str">
        <f>IFERROR(__xludf.DUMMYFUNCTION("""COMPUTED_VALUE"""),"Juice")</f>
        <v>Juice</v>
      </c>
      <c r="E1185" s="18">
        <f>IFERROR(__xludf.DUMMYFUNCTION("""COMPUTED_VALUE"""),3.0)</f>
        <v>3</v>
      </c>
      <c r="F1185" s="18" t="str">
        <f>IFERROR(__xludf.DUMMYFUNCTION("""COMPUTED_VALUE"""),"Manju Ajay")</f>
        <v>Manju Ajay</v>
      </c>
      <c r="G1185" s="19">
        <f>IFERROR(__xludf.DUMMYFUNCTION("""COMPUTED_VALUE"""),44949.0)</f>
        <v>44949</v>
      </c>
      <c r="H1185" s="18" t="str">
        <f>IFERROR(__xludf.DUMMYFUNCTION("""COMPUTED_VALUE"""),"Credit Card")</f>
        <v>Credit Card</v>
      </c>
      <c r="I1185" s="18" t="str">
        <f>IFERROR(__xludf.DUMMYFUNCTION("""COMPUTED_VALUE"""),"Delivered")</f>
        <v>Delivered</v>
      </c>
      <c r="J1185" s="18" t="str">
        <f>IFERROR(__xludf.DUMMYFUNCTION("""COMPUTED_VALUE"""),"Satisfied with the Delivery")</f>
        <v>Satisfied with the Delivery</v>
      </c>
      <c r="K1185" s="18" t="str">
        <f>IFERROR(__xludf.DUMMYFUNCTION("""COMPUTED_VALUE"""),"Timely and quality")</f>
        <v>Timely and quality</v>
      </c>
      <c r="L1185" s="18">
        <f>iferror(VLOOKUP($D1185,Details!$A$2:$C$11,2,false),vlookup($D1185,Details!$E$2:$G$11,2,false))</f>
        <v>90</v>
      </c>
      <c r="M1185" s="18" t="str">
        <f>iferror(VLOOKUP($D1185,Details!$A$2:$C$11,3,false),vlookup($D1185,Details!$E$2:$G$11,3,false))</f>
        <v>Snacks and Drinks</v>
      </c>
      <c r="N1185" s="18">
        <f t="shared" si="1"/>
        <v>270</v>
      </c>
      <c r="O1185" s="17"/>
      <c r="P1185" s="17"/>
      <c r="Q1185" s="17"/>
      <c r="R1185" s="17"/>
      <c r="S1185" s="17"/>
      <c r="T1185" s="17"/>
      <c r="U1185" s="17"/>
      <c r="V1185" s="17"/>
      <c r="W1185" s="17"/>
      <c r="X1185" s="17"/>
      <c r="Y1185" s="17"/>
      <c r="Z1185" s="17"/>
    </row>
    <row r="1186">
      <c r="A1186" s="18" t="str">
        <f>IFERROR(__xludf.DUMMYFUNCTION("""COMPUTED_VALUE"""),"ord_41164")</f>
        <v>ord_41164</v>
      </c>
      <c r="B1186" s="18" t="str">
        <f>IFERROR(__xludf.DUMMYFUNCTION("""COMPUTED_VALUE"""),"Dev Chauhan")</f>
        <v>Dev Chauhan</v>
      </c>
      <c r="C1186" s="18" t="str">
        <f>IFERROR(__xludf.DUMMYFUNCTION("""COMPUTED_VALUE"""),"Bandra")</f>
        <v>Bandra</v>
      </c>
      <c r="D1186" s="18" t="str">
        <f>IFERROR(__xludf.DUMMYFUNCTION("""COMPUTED_VALUE"""),"Rasmalai")</f>
        <v>Rasmalai</v>
      </c>
      <c r="E1186" s="18">
        <f>IFERROR(__xludf.DUMMYFUNCTION("""COMPUTED_VALUE"""),4.0)</f>
        <v>4</v>
      </c>
      <c r="F1186" s="18" t="str">
        <f>IFERROR(__xludf.DUMMYFUNCTION("""COMPUTED_VALUE"""),"Vivek Kumar")</f>
        <v>Vivek Kumar</v>
      </c>
      <c r="G1186" s="19">
        <f>IFERROR(__xludf.DUMMYFUNCTION("""COMPUTED_VALUE"""),45043.0)</f>
        <v>45043</v>
      </c>
      <c r="H1186" s="18" t="str">
        <f>IFERROR(__xludf.DUMMYFUNCTION("""COMPUTED_VALUE"""),"Credit Card")</f>
        <v>Credit Card</v>
      </c>
      <c r="I1186" s="18" t="str">
        <f>IFERROR(__xludf.DUMMYFUNCTION("""COMPUTED_VALUE"""),"Delivered")</f>
        <v>Delivered</v>
      </c>
      <c r="J1186" s="18" t="str">
        <f>IFERROR(__xludf.DUMMYFUNCTION("""COMPUTED_VALUE"""),"Customer Service")</f>
        <v>Customer Service</v>
      </c>
      <c r="K1186" s="18" t="str">
        <f>IFERROR(__xludf.DUMMYFUNCTION("""COMPUTED_VALUE"""),"Seamless and easy")</f>
        <v>Seamless and easy</v>
      </c>
      <c r="L1186" s="18">
        <f>iferror(VLOOKUP($D1186,Details!$A$2:$C$11,2,false),vlookup($D1186,Details!$E$2:$G$11,2,false))</f>
        <v>110</v>
      </c>
      <c r="M1186" s="18" t="str">
        <f>iferror(VLOOKUP($D1186,Details!$A$2:$C$11,3,false),vlookup($D1186,Details!$E$2:$G$11,3,false))</f>
        <v>Snacks and Drinks</v>
      </c>
      <c r="N1186" s="18">
        <f t="shared" si="1"/>
        <v>440</v>
      </c>
      <c r="O1186" s="17"/>
      <c r="P1186" s="17"/>
      <c r="Q1186" s="17"/>
      <c r="R1186" s="17"/>
      <c r="S1186" s="17"/>
      <c r="T1186" s="17"/>
      <c r="U1186" s="17"/>
      <c r="V1186" s="17"/>
      <c r="W1186" s="17"/>
      <c r="X1186" s="17"/>
      <c r="Y1186" s="17"/>
      <c r="Z1186" s="17"/>
    </row>
    <row r="1187">
      <c r="A1187" s="18" t="str">
        <f>IFERROR(__xludf.DUMMYFUNCTION("""COMPUTED_VALUE"""),"ord_41165")</f>
        <v>ord_41165</v>
      </c>
      <c r="B1187" s="18" t="str">
        <f>IFERROR(__xludf.DUMMYFUNCTION("""COMPUTED_VALUE"""),"Ishaan Chaturvedi")</f>
        <v>Ishaan Chaturvedi</v>
      </c>
      <c r="C1187" s="18" t="str">
        <f>IFERROR(__xludf.DUMMYFUNCTION("""COMPUTED_VALUE"""),"Bandra")</f>
        <v>Bandra</v>
      </c>
      <c r="D1187" s="18" t="str">
        <f>IFERROR(__xludf.DUMMYFUNCTION("""COMPUTED_VALUE"""),"Orange")</f>
        <v>Orange</v>
      </c>
      <c r="E1187" s="18">
        <f>IFERROR(__xludf.DUMMYFUNCTION("""COMPUTED_VALUE"""),1.0)</f>
        <v>1</v>
      </c>
      <c r="F1187" s="18" t="str">
        <f>IFERROR(__xludf.DUMMYFUNCTION("""COMPUTED_VALUE"""),"Vivek Kumar")</f>
        <v>Vivek Kumar</v>
      </c>
      <c r="G1187" s="19">
        <f>IFERROR(__xludf.DUMMYFUNCTION("""COMPUTED_VALUE"""),45181.0)</f>
        <v>45181</v>
      </c>
      <c r="H1187" s="18" t="str">
        <f>IFERROR(__xludf.DUMMYFUNCTION("""COMPUTED_VALUE"""),"UPI")</f>
        <v>UPI</v>
      </c>
      <c r="I1187" s="18" t="str">
        <f>IFERROR(__xludf.DUMMYFUNCTION("""COMPUTED_VALUE"""),"Delivered")</f>
        <v>Delivered</v>
      </c>
      <c r="J1187" s="18" t="str">
        <f>IFERROR(__xludf.DUMMYFUNCTION("""COMPUTED_VALUE"""),"Delivery Experience")</f>
        <v>Delivery Experience</v>
      </c>
      <c r="K1187" s="18" t="str">
        <f>IFERROR(__xludf.DUMMYFUNCTION("""COMPUTED_VALUE"""),"Quick and professional")</f>
        <v>Quick and professional</v>
      </c>
      <c r="L1187" s="18">
        <f>iferror(VLOOKUP($D1187,Details!$A$2:$C$11,2,false),vlookup($D1187,Details!$E$2:$G$11,2,false))</f>
        <v>180</v>
      </c>
      <c r="M1187" s="18" t="str">
        <f>iferror(VLOOKUP($D1187,Details!$A$2:$C$11,3,false),vlookup($D1187,Details!$E$2:$G$11,3,false))</f>
        <v>Fruits and Vegetables</v>
      </c>
      <c r="N1187" s="18">
        <f t="shared" si="1"/>
        <v>180</v>
      </c>
      <c r="O1187" s="17"/>
      <c r="P1187" s="17"/>
      <c r="Q1187" s="17"/>
      <c r="R1187" s="17"/>
      <c r="S1187" s="17"/>
      <c r="T1187" s="17"/>
      <c r="U1187" s="17"/>
      <c r="V1187" s="17"/>
      <c r="W1187" s="17"/>
      <c r="X1187" s="17"/>
      <c r="Y1187" s="17"/>
      <c r="Z1187" s="17"/>
    </row>
    <row r="1188">
      <c r="A1188" s="18" t="str">
        <f>IFERROR(__xludf.DUMMYFUNCTION("""COMPUTED_VALUE"""),"ord_41166")</f>
        <v>ord_41166</v>
      </c>
      <c r="B1188" s="18" t="str">
        <f>IFERROR(__xludf.DUMMYFUNCTION("""COMPUTED_VALUE"""),"Anaya Rao")</f>
        <v>Anaya Rao</v>
      </c>
      <c r="C1188" s="18" t="str">
        <f>IFERROR(__xludf.DUMMYFUNCTION("""COMPUTED_VALUE"""),"Colaba")</f>
        <v>Colaba</v>
      </c>
      <c r="D1188" s="18" t="str">
        <f>IFERROR(__xludf.DUMMYFUNCTION("""COMPUTED_VALUE"""),"Chicken Puff")</f>
        <v>Chicken Puff</v>
      </c>
      <c r="E1188" s="18">
        <f>IFERROR(__xludf.DUMMYFUNCTION("""COMPUTED_VALUE"""),2.0)</f>
        <v>2</v>
      </c>
      <c r="F1188" s="18" t="str">
        <f>IFERROR(__xludf.DUMMYFUNCTION("""COMPUTED_VALUE"""),"Vivek Kumar")</f>
        <v>Vivek Kumar</v>
      </c>
      <c r="G1188" s="19">
        <f>IFERROR(__xludf.DUMMYFUNCTION("""COMPUTED_VALUE"""),44973.0)</f>
        <v>44973</v>
      </c>
      <c r="H1188" s="18" t="str">
        <f>IFERROR(__xludf.DUMMYFUNCTION("""COMPUTED_VALUE"""),"Credit Card")</f>
        <v>Credit Card</v>
      </c>
      <c r="I1188" s="18" t="str">
        <f>IFERROR(__xludf.DUMMYFUNCTION("""COMPUTED_VALUE"""),"Delivered")</f>
        <v>Delivered</v>
      </c>
      <c r="J1188" s="18" t="str">
        <f>IFERROR(__xludf.DUMMYFUNCTION("""COMPUTED_VALUE"""),"Convenience")</f>
        <v>Convenience</v>
      </c>
      <c r="K1188" s="18" t="str">
        <f>IFERROR(__xludf.DUMMYFUNCTION("""COMPUTED_VALUE"""),"Easy tracking")</f>
        <v>Easy tracking</v>
      </c>
      <c r="L1188" s="18">
        <f>iferror(VLOOKUP($D1188,Details!$A$2:$C$11,2,false),vlookup($D1188,Details!$E$2:$G$11,2,false))</f>
        <v>90</v>
      </c>
      <c r="M1188" s="18" t="str">
        <f>iferror(VLOOKUP($D1188,Details!$A$2:$C$11,3,false),vlookup($D1188,Details!$E$2:$G$11,3,false))</f>
        <v>Snacks and Drinks</v>
      </c>
      <c r="N1188" s="18">
        <f t="shared" si="1"/>
        <v>180</v>
      </c>
      <c r="O1188" s="17"/>
      <c r="P1188" s="17"/>
      <c r="Q1188" s="17"/>
      <c r="R1188" s="17"/>
      <c r="S1188" s="17"/>
      <c r="T1188" s="17"/>
      <c r="U1188" s="17"/>
      <c r="V1188" s="17"/>
      <c r="W1188" s="17"/>
      <c r="X1188" s="17"/>
      <c r="Y1188" s="17"/>
      <c r="Z1188" s="17"/>
    </row>
    <row r="1189">
      <c r="A1189" s="18" t="str">
        <f>IFERROR(__xludf.DUMMYFUNCTION("""COMPUTED_VALUE"""),"ord_41167")</f>
        <v>ord_41167</v>
      </c>
      <c r="B1189" s="18" t="str">
        <f>IFERROR(__xludf.DUMMYFUNCTION("""COMPUTED_VALUE"""),"Parth Goel")</f>
        <v>Parth Goel</v>
      </c>
      <c r="C1189" s="18" t="str">
        <f>IFERROR(__xludf.DUMMYFUNCTION("""COMPUTED_VALUE"""),"Juhu")</f>
        <v>Juhu</v>
      </c>
      <c r="D1189" s="18" t="str">
        <f>IFERROR(__xludf.DUMMYFUNCTION("""COMPUTED_VALUE"""),"Chicken Puff")</f>
        <v>Chicken Puff</v>
      </c>
      <c r="E1189" s="18">
        <f>IFERROR(__xludf.DUMMYFUNCTION("""COMPUTED_VALUE"""),4.0)</f>
        <v>4</v>
      </c>
      <c r="F1189" s="18" t="str">
        <f>IFERROR(__xludf.DUMMYFUNCTION("""COMPUTED_VALUE"""),"Nithin Lal")</f>
        <v>Nithin Lal</v>
      </c>
      <c r="G1189" s="19">
        <f>IFERROR(__xludf.DUMMYFUNCTION("""COMPUTED_VALUE"""),45170.0)</f>
        <v>45170</v>
      </c>
      <c r="H1189" s="18" t="str">
        <f>IFERROR(__xludf.DUMMYFUNCTION("""COMPUTED_VALUE"""),"Online Payment")</f>
        <v>Online Payment</v>
      </c>
      <c r="I1189" s="18" t="str">
        <f>IFERROR(__xludf.DUMMYFUNCTION("""COMPUTED_VALUE"""),"Delivered")</f>
        <v>Delivered</v>
      </c>
      <c r="J1189" s="18" t="str">
        <f>IFERROR(__xludf.DUMMYFUNCTION("""COMPUTED_VALUE"""),"Overall Satisfaction")</f>
        <v>Overall Satisfaction</v>
      </c>
      <c r="K1189" s="18" t="str">
        <f>IFERROR(__xludf.DUMMYFUNCTION("""COMPUTED_VALUE"""),"Great service will order again")</f>
        <v>Great service will order again</v>
      </c>
      <c r="L1189" s="18">
        <f>iferror(VLOOKUP($D1189,Details!$A$2:$C$11,2,false),vlookup($D1189,Details!$E$2:$G$11,2,false))</f>
        <v>90</v>
      </c>
      <c r="M1189" s="18" t="str">
        <f>iferror(VLOOKUP($D1189,Details!$A$2:$C$11,3,false),vlookup($D1189,Details!$E$2:$G$11,3,false))</f>
        <v>Snacks and Drinks</v>
      </c>
      <c r="N1189" s="18">
        <f t="shared" si="1"/>
        <v>360</v>
      </c>
      <c r="O1189" s="17"/>
      <c r="P1189" s="17"/>
      <c r="Q1189" s="17"/>
      <c r="R1189" s="17"/>
      <c r="S1189" s="17"/>
      <c r="T1189" s="17"/>
      <c r="U1189" s="17"/>
      <c r="V1189" s="17"/>
      <c r="W1189" s="17"/>
      <c r="X1189" s="17"/>
      <c r="Y1189" s="17"/>
      <c r="Z1189" s="17"/>
    </row>
    <row r="1190">
      <c r="A1190" s="18" t="str">
        <f>IFERROR(__xludf.DUMMYFUNCTION("""COMPUTED_VALUE"""),"ord_41168")</f>
        <v>ord_41168</v>
      </c>
      <c r="B1190" s="18" t="str">
        <f>IFERROR(__xludf.DUMMYFUNCTION("""COMPUTED_VALUE"""),"Diya Arora")</f>
        <v>Diya Arora</v>
      </c>
      <c r="C1190" s="18" t="str">
        <f>IFERROR(__xludf.DUMMYFUNCTION("""COMPUTED_VALUE"""),"Lower Parel")</f>
        <v>Lower Parel</v>
      </c>
      <c r="D1190" s="18" t="str">
        <f>IFERROR(__xludf.DUMMYFUNCTION("""COMPUTED_VALUE"""),"Cucumber")</f>
        <v>Cucumber</v>
      </c>
      <c r="E1190" s="18">
        <f>IFERROR(__xludf.DUMMYFUNCTION("""COMPUTED_VALUE"""),2.0)</f>
        <v>2</v>
      </c>
      <c r="F1190" s="18" t="str">
        <f>IFERROR(__xludf.DUMMYFUNCTION("""COMPUTED_VALUE"""),"Ramesh S")</f>
        <v>Ramesh S</v>
      </c>
      <c r="G1190" s="19">
        <f>IFERROR(__xludf.DUMMYFUNCTION("""COMPUTED_VALUE"""),45046.0)</f>
        <v>45046</v>
      </c>
      <c r="H1190" s="18" t="str">
        <f>IFERROR(__xludf.DUMMYFUNCTION("""COMPUTED_VALUE"""),"Online Payment")</f>
        <v>Online Payment</v>
      </c>
      <c r="I1190" s="18" t="str">
        <f>IFERROR(__xludf.DUMMYFUNCTION("""COMPUTED_VALUE"""),"Delivered")</f>
        <v>Delivered</v>
      </c>
      <c r="J1190" s="18" t="str">
        <f>IFERROR(__xludf.DUMMYFUNCTION("""COMPUTED_VALUE"""),"On-time Delivery")</f>
        <v>On-time Delivery</v>
      </c>
      <c r="K1190" s="18" t="str">
        <f>IFERROR(__xludf.DUMMYFUNCTION("""COMPUTED_VALUE"""),"Delivered on time")</f>
        <v>Delivered on time</v>
      </c>
      <c r="L1190" s="18">
        <f>iferror(VLOOKUP($D1190,Details!$A$2:$C$11,2,false),vlookup($D1190,Details!$E$2:$G$11,2,false))</f>
        <v>30</v>
      </c>
      <c r="M1190" s="18" t="str">
        <f>iferror(VLOOKUP($D1190,Details!$A$2:$C$11,3,false),vlookup($D1190,Details!$E$2:$G$11,3,false))</f>
        <v>Fruits and Vegetables</v>
      </c>
      <c r="N1190" s="18">
        <f t="shared" si="1"/>
        <v>60</v>
      </c>
      <c r="O1190" s="17"/>
      <c r="P1190" s="17"/>
      <c r="Q1190" s="17"/>
      <c r="R1190" s="17"/>
      <c r="S1190" s="17"/>
      <c r="T1190" s="17"/>
      <c r="U1190" s="17"/>
      <c r="V1190" s="17"/>
      <c r="W1190" s="17"/>
      <c r="X1190" s="17"/>
      <c r="Y1190" s="17"/>
      <c r="Z1190" s="17"/>
    </row>
    <row r="1191">
      <c r="A1191" s="18" t="str">
        <f>IFERROR(__xludf.DUMMYFUNCTION("""COMPUTED_VALUE"""),"ord_41169")</f>
        <v>ord_41169</v>
      </c>
      <c r="B1191" s="18" t="str">
        <f>IFERROR(__xludf.DUMMYFUNCTION("""COMPUTED_VALUE"""),"Pranav Joshi")</f>
        <v>Pranav Joshi</v>
      </c>
      <c r="C1191" s="18" t="str">
        <f>IFERROR(__xludf.DUMMYFUNCTION("""COMPUTED_VALUE"""),"Andheri")</f>
        <v>Andheri</v>
      </c>
      <c r="D1191" s="18" t="str">
        <f>IFERROR(__xludf.DUMMYFUNCTION("""COMPUTED_VALUE"""),"Papaya")</f>
        <v>Papaya</v>
      </c>
      <c r="E1191" s="18">
        <f>IFERROR(__xludf.DUMMYFUNCTION("""COMPUTED_VALUE"""),2.0)</f>
        <v>2</v>
      </c>
      <c r="F1191" s="18" t="str">
        <f>IFERROR(__xludf.DUMMYFUNCTION("""COMPUTED_VALUE"""),"Ram Gopal")</f>
        <v>Ram Gopal</v>
      </c>
      <c r="G1191" s="19">
        <f>IFERROR(__xludf.DUMMYFUNCTION("""COMPUTED_VALUE"""),45052.0)</f>
        <v>45052</v>
      </c>
      <c r="H1191" s="18" t="str">
        <f>IFERROR(__xludf.DUMMYFUNCTION("""COMPUTED_VALUE"""),"UPI")</f>
        <v>UPI</v>
      </c>
      <c r="I1191" s="18" t="str">
        <f>IFERROR(__xludf.DUMMYFUNCTION("""COMPUTED_VALUE"""),"Delivered")</f>
        <v>Delivered</v>
      </c>
      <c r="J1191" s="18" t="str">
        <f>IFERROR(__xludf.DUMMYFUNCTION("""COMPUTED_VALUE"""),"Quality of Items")</f>
        <v>Quality of Items</v>
      </c>
      <c r="K1191" s="18" t="str">
        <f>IFERROR(__xludf.DUMMYFUNCTION("""COMPUTED_VALUE"""),"Perfect condition")</f>
        <v>Perfect condition</v>
      </c>
      <c r="L1191" s="18">
        <f>iferror(VLOOKUP($D1191,Details!$A$2:$C$11,2,false),vlookup($D1191,Details!$E$2:$G$11,2,false))</f>
        <v>75</v>
      </c>
      <c r="M1191" s="18" t="str">
        <f>iferror(VLOOKUP($D1191,Details!$A$2:$C$11,3,false),vlookup($D1191,Details!$E$2:$G$11,3,false))</f>
        <v>Fruits and Vegetables</v>
      </c>
      <c r="N1191" s="18">
        <f t="shared" si="1"/>
        <v>150</v>
      </c>
      <c r="O1191" s="17"/>
      <c r="P1191" s="17"/>
      <c r="Q1191" s="17"/>
      <c r="R1191" s="17"/>
      <c r="S1191" s="17"/>
      <c r="T1191" s="17"/>
      <c r="U1191" s="17"/>
      <c r="V1191" s="17"/>
      <c r="W1191" s="17"/>
      <c r="X1191" s="17"/>
      <c r="Y1191" s="17"/>
      <c r="Z1191" s="17"/>
    </row>
    <row r="1192">
      <c r="A1192" s="18" t="str">
        <f>IFERROR(__xludf.DUMMYFUNCTION("""COMPUTED_VALUE"""),"ord_41170")</f>
        <v>ord_41170</v>
      </c>
      <c r="B1192" s="18" t="str">
        <f>IFERROR(__xludf.DUMMYFUNCTION("""COMPUTED_VALUE"""),"Parth Goel")</f>
        <v>Parth Goel</v>
      </c>
      <c r="C1192" s="18" t="str">
        <f>IFERROR(__xludf.DUMMYFUNCTION("""COMPUTED_VALUE"""),"Juhu")</f>
        <v>Juhu</v>
      </c>
      <c r="D1192" s="18" t="str">
        <f>IFERROR(__xludf.DUMMYFUNCTION("""COMPUTED_VALUE"""),"Sweet Corn")</f>
        <v>Sweet Corn</v>
      </c>
      <c r="E1192" s="18">
        <f>IFERROR(__xludf.DUMMYFUNCTION("""COMPUTED_VALUE"""),1.0)</f>
        <v>1</v>
      </c>
      <c r="F1192" s="18" t="str">
        <f>IFERROR(__xludf.DUMMYFUNCTION("""COMPUTED_VALUE"""),"Sita T")</f>
        <v>Sita T</v>
      </c>
      <c r="G1192" s="19">
        <f>IFERROR(__xludf.DUMMYFUNCTION("""COMPUTED_VALUE"""),45155.0)</f>
        <v>45155</v>
      </c>
      <c r="H1192" s="18" t="str">
        <f>IFERROR(__xludf.DUMMYFUNCTION("""COMPUTED_VALUE"""),"Credit Card")</f>
        <v>Credit Card</v>
      </c>
      <c r="I1192" s="18" t="str">
        <f>IFERROR(__xludf.DUMMYFUNCTION("""COMPUTED_VALUE"""),"Delivered")</f>
        <v>Delivered</v>
      </c>
      <c r="J1192" s="18" t="str">
        <f>IFERROR(__xludf.DUMMYFUNCTION("""COMPUTED_VALUE"""),"On-time Delivery")</f>
        <v>On-time Delivery</v>
      </c>
      <c r="K1192" s="18" t="str">
        <f>IFERROR(__xludf.DUMMYFUNCTION("""COMPUTED_VALUE"""),"Delivered on time")</f>
        <v>Delivered on time</v>
      </c>
      <c r="L1192" s="18">
        <f>iferror(VLOOKUP($D1192,Details!$A$2:$C$11,2,false),vlookup($D1192,Details!$E$2:$G$11,2,false))</f>
        <v>60</v>
      </c>
      <c r="M1192" s="18" t="str">
        <f>iferror(VLOOKUP($D1192,Details!$A$2:$C$11,3,false),vlookup($D1192,Details!$E$2:$G$11,3,false))</f>
        <v>Fruits and Vegetables</v>
      </c>
      <c r="N1192" s="18">
        <f t="shared" si="1"/>
        <v>60</v>
      </c>
      <c r="O1192" s="17"/>
      <c r="P1192" s="17"/>
      <c r="Q1192" s="17"/>
      <c r="R1192" s="17"/>
      <c r="S1192" s="17"/>
      <c r="T1192" s="17"/>
      <c r="U1192" s="17"/>
      <c r="V1192" s="17"/>
      <c r="W1192" s="17"/>
      <c r="X1192" s="17"/>
      <c r="Y1192" s="17"/>
      <c r="Z1192" s="17"/>
    </row>
    <row r="1193">
      <c r="A1193" s="18" t="str">
        <f>IFERROR(__xludf.DUMMYFUNCTION("""COMPUTED_VALUE"""),"ord_41171")</f>
        <v>ord_41171</v>
      </c>
      <c r="B1193" s="18" t="str">
        <f>IFERROR(__xludf.DUMMYFUNCTION("""COMPUTED_VALUE"""),"Dev Chauhan")</f>
        <v>Dev Chauhan</v>
      </c>
      <c r="C1193" s="18" t="str">
        <f>IFERROR(__xludf.DUMMYFUNCTION("""COMPUTED_VALUE"""),"Bandra")</f>
        <v>Bandra</v>
      </c>
      <c r="D1193" s="18" t="str">
        <f>IFERROR(__xludf.DUMMYFUNCTION("""COMPUTED_VALUE"""),"Papaya")</f>
        <v>Papaya</v>
      </c>
      <c r="E1193" s="18">
        <f>IFERROR(__xludf.DUMMYFUNCTION("""COMPUTED_VALUE"""),1.0)</f>
        <v>1</v>
      </c>
      <c r="F1193" s="18" t="str">
        <f>IFERROR(__xludf.DUMMYFUNCTION("""COMPUTED_VALUE"""),"Ramesh S")</f>
        <v>Ramesh S</v>
      </c>
      <c r="G1193" s="19">
        <f>IFERROR(__xludf.DUMMYFUNCTION("""COMPUTED_VALUE"""),45187.0)</f>
        <v>45187</v>
      </c>
      <c r="H1193" s="18" t="str">
        <f>IFERROR(__xludf.DUMMYFUNCTION("""COMPUTED_VALUE"""),"Online Payment")</f>
        <v>Online Payment</v>
      </c>
      <c r="I1193" s="18" t="str">
        <f>IFERROR(__xludf.DUMMYFUNCTION("""COMPUTED_VALUE"""),"Delivered")</f>
        <v>Delivered</v>
      </c>
      <c r="J1193" s="18" t="str">
        <f>IFERROR(__xludf.DUMMYFUNCTION("""COMPUTED_VALUE"""),"Quality of Items")</f>
        <v>Quality of Items</v>
      </c>
      <c r="K1193" s="18" t="str">
        <f>IFERROR(__xludf.DUMMYFUNCTION("""COMPUTED_VALUE"""),"Perfect condition")</f>
        <v>Perfect condition</v>
      </c>
      <c r="L1193" s="18">
        <f>iferror(VLOOKUP($D1193,Details!$A$2:$C$11,2,false),vlookup($D1193,Details!$E$2:$G$11,2,false))</f>
        <v>75</v>
      </c>
      <c r="M1193" s="18" t="str">
        <f>iferror(VLOOKUP($D1193,Details!$A$2:$C$11,3,false),vlookup($D1193,Details!$E$2:$G$11,3,false))</f>
        <v>Fruits and Vegetables</v>
      </c>
      <c r="N1193" s="18">
        <f t="shared" si="1"/>
        <v>75</v>
      </c>
      <c r="O1193" s="17"/>
      <c r="P1193" s="17"/>
      <c r="Q1193" s="17"/>
      <c r="R1193" s="17"/>
      <c r="S1193" s="17"/>
      <c r="T1193" s="17"/>
      <c r="U1193" s="17"/>
      <c r="V1193" s="17"/>
      <c r="W1193" s="17"/>
      <c r="X1193" s="17"/>
      <c r="Y1193" s="17"/>
      <c r="Z1193" s="17"/>
    </row>
    <row r="1194">
      <c r="A1194" s="18" t="str">
        <f>IFERROR(__xludf.DUMMYFUNCTION("""COMPUTED_VALUE"""),"ord_41172")</f>
        <v>ord_41172</v>
      </c>
      <c r="B1194" s="18" t="str">
        <f>IFERROR(__xludf.DUMMYFUNCTION("""COMPUTED_VALUE"""),"Mehul Thakkar")</f>
        <v>Mehul Thakkar</v>
      </c>
      <c r="C1194" s="18" t="str">
        <f>IFERROR(__xludf.DUMMYFUNCTION("""COMPUTED_VALUE"""),"Malad")</f>
        <v>Malad</v>
      </c>
      <c r="D1194" s="18" t="str">
        <f>IFERROR(__xludf.DUMMYFUNCTION("""COMPUTED_VALUE"""),"Tiramisu")</f>
        <v>Tiramisu</v>
      </c>
      <c r="E1194" s="18">
        <f>IFERROR(__xludf.DUMMYFUNCTION("""COMPUTED_VALUE"""),3.0)</f>
        <v>3</v>
      </c>
      <c r="F1194" s="18" t="str">
        <f>IFERROR(__xludf.DUMMYFUNCTION("""COMPUTED_VALUE"""),"Vivek Kumar")</f>
        <v>Vivek Kumar</v>
      </c>
      <c r="G1194" s="19">
        <f>IFERROR(__xludf.DUMMYFUNCTION("""COMPUTED_VALUE"""),45168.0)</f>
        <v>45168</v>
      </c>
      <c r="H1194" s="18" t="str">
        <f>IFERROR(__xludf.DUMMYFUNCTION("""COMPUTED_VALUE"""),"COD")</f>
        <v>COD</v>
      </c>
      <c r="I1194" s="18" t="str">
        <f>IFERROR(__xludf.DUMMYFUNCTION("""COMPUTED_VALUE"""),"Delivered")</f>
        <v>Delivered</v>
      </c>
      <c r="J1194" s="18" t="str">
        <f>IFERROR(__xludf.DUMMYFUNCTION("""COMPUTED_VALUE"""),"Packaging")</f>
        <v>Packaging</v>
      </c>
      <c r="K1194" s="18" t="str">
        <f>IFERROR(__xludf.DUMMYFUNCTION("""COMPUTED_VALUE"""),"Secure and intact")</f>
        <v>Secure and intact</v>
      </c>
      <c r="L1194" s="18">
        <f>iferror(VLOOKUP($D1194,Details!$A$2:$C$11,2,false),vlookup($D1194,Details!$E$2:$G$11,2,false))</f>
        <v>150</v>
      </c>
      <c r="M1194" s="18" t="str">
        <f>iferror(VLOOKUP($D1194,Details!$A$2:$C$11,3,false),vlookup($D1194,Details!$E$2:$G$11,3,false))</f>
        <v>Snacks and Drinks</v>
      </c>
      <c r="N1194" s="18">
        <f t="shared" si="1"/>
        <v>450</v>
      </c>
      <c r="O1194" s="17"/>
      <c r="P1194" s="17"/>
      <c r="Q1194" s="17"/>
      <c r="R1194" s="17"/>
      <c r="S1194" s="17"/>
      <c r="T1194" s="17"/>
      <c r="U1194" s="17"/>
      <c r="V1194" s="17"/>
      <c r="W1194" s="17"/>
      <c r="X1194" s="17"/>
      <c r="Y1194" s="17"/>
      <c r="Z1194" s="17"/>
    </row>
    <row r="1195">
      <c r="A1195" s="18" t="str">
        <f>IFERROR(__xludf.DUMMYFUNCTION("""COMPUTED_VALUE"""),"ord_41173")</f>
        <v>ord_41173</v>
      </c>
      <c r="B1195" s="18" t="str">
        <f>IFERROR(__xludf.DUMMYFUNCTION("""COMPUTED_VALUE"""),"Ishita Banerjee")</f>
        <v>Ishita Banerjee</v>
      </c>
      <c r="C1195" s="18" t="str">
        <f>IFERROR(__xludf.DUMMYFUNCTION("""COMPUTED_VALUE"""),"Juhu")</f>
        <v>Juhu</v>
      </c>
      <c r="D1195" s="18" t="str">
        <f>IFERROR(__xludf.DUMMYFUNCTION("""COMPUTED_VALUE"""),"Rasmalai")</f>
        <v>Rasmalai</v>
      </c>
      <c r="E1195" s="18">
        <f>IFERROR(__xludf.DUMMYFUNCTION("""COMPUTED_VALUE"""),3.0)</f>
        <v>3</v>
      </c>
      <c r="F1195" s="18" t="str">
        <f>IFERROR(__xludf.DUMMYFUNCTION("""COMPUTED_VALUE"""),"Not Assigned")</f>
        <v>Not Assigned</v>
      </c>
      <c r="G1195" s="19">
        <f>IFERROR(__xludf.DUMMYFUNCTION("""COMPUTED_VALUE"""),45171.0)</f>
        <v>45171</v>
      </c>
      <c r="H1195" s="18" t="str">
        <f>IFERROR(__xludf.DUMMYFUNCTION("""COMPUTED_VALUE"""),"Online Payment")</f>
        <v>Online Payment</v>
      </c>
      <c r="I1195" s="18" t="str">
        <f>IFERROR(__xludf.DUMMYFUNCTION("""COMPUTED_VALUE"""),"Cancelled")</f>
        <v>Cancelled</v>
      </c>
      <c r="J1195" s="18" t="str">
        <f>IFERROR(__xludf.DUMMYFUNCTION("""COMPUTED_VALUE"""),"Out of Stock")</f>
        <v>Out of Stock</v>
      </c>
      <c r="K1195" s="18"/>
      <c r="L1195" s="18">
        <f>iferror(VLOOKUP($D1195,Details!$A$2:$C$11,2,false),vlookup($D1195,Details!$E$2:$G$11,2,false))</f>
        <v>110</v>
      </c>
      <c r="M1195" s="18" t="str">
        <f>iferror(VLOOKUP($D1195,Details!$A$2:$C$11,3,false),vlookup($D1195,Details!$E$2:$G$11,3,false))</f>
        <v>Snacks and Drinks</v>
      </c>
      <c r="N1195" s="18">
        <f t="shared" si="1"/>
        <v>330</v>
      </c>
      <c r="O1195" s="17"/>
      <c r="P1195" s="17"/>
      <c r="Q1195" s="17"/>
      <c r="R1195" s="17"/>
      <c r="S1195" s="17"/>
      <c r="T1195" s="17"/>
      <c r="U1195" s="17"/>
      <c r="V1195" s="17"/>
      <c r="W1195" s="17"/>
      <c r="X1195" s="17"/>
      <c r="Y1195" s="17"/>
      <c r="Z1195" s="17"/>
    </row>
    <row r="1196">
      <c r="A1196" s="18" t="str">
        <f>IFERROR(__xludf.DUMMYFUNCTION("""COMPUTED_VALUE"""),"ord_41174")</f>
        <v>ord_41174</v>
      </c>
      <c r="B1196" s="18" t="str">
        <f>IFERROR(__xludf.DUMMYFUNCTION("""COMPUTED_VALUE"""),"Mohit Malhotra")</f>
        <v>Mohit Malhotra</v>
      </c>
      <c r="C1196" s="18" t="str">
        <f>IFERROR(__xludf.DUMMYFUNCTION("""COMPUTED_VALUE"""),"Lower Parel")</f>
        <v>Lower Parel</v>
      </c>
      <c r="D1196" s="18" t="str">
        <f>IFERROR(__xludf.DUMMYFUNCTION("""COMPUTED_VALUE"""),"Rasmalai")</f>
        <v>Rasmalai</v>
      </c>
      <c r="E1196" s="18">
        <f>IFERROR(__xludf.DUMMYFUNCTION("""COMPUTED_VALUE"""),2.0)</f>
        <v>2</v>
      </c>
      <c r="F1196" s="18" t="str">
        <f>IFERROR(__xludf.DUMMYFUNCTION("""COMPUTED_VALUE"""),"Ramesh S")</f>
        <v>Ramesh S</v>
      </c>
      <c r="G1196" s="19">
        <f>IFERROR(__xludf.DUMMYFUNCTION("""COMPUTED_VALUE"""),45195.0)</f>
        <v>45195</v>
      </c>
      <c r="H1196" s="18" t="str">
        <f>IFERROR(__xludf.DUMMYFUNCTION("""COMPUTED_VALUE"""),"UPI")</f>
        <v>UPI</v>
      </c>
      <c r="I1196" s="18" t="str">
        <f>IFERROR(__xludf.DUMMYFUNCTION("""COMPUTED_VALUE"""),"Delivered")</f>
        <v>Delivered</v>
      </c>
      <c r="J1196" s="18" t="str">
        <f>IFERROR(__xludf.DUMMYFUNCTION("""COMPUTED_VALUE"""),"Satisfied with the Delivery")</f>
        <v>Satisfied with the Delivery</v>
      </c>
      <c r="K1196" s="18" t="str">
        <f>IFERROR(__xludf.DUMMYFUNCTION("""COMPUTED_VALUE"""),"Timely and quality")</f>
        <v>Timely and quality</v>
      </c>
      <c r="L1196" s="18">
        <f>iferror(VLOOKUP($D1196,Details!$A$2:$C$11,2,false),vlookup($D1196,Details!$E$2:$G$11,2,false))</f>
        <v>110</v>
      </c>
      <c r="M1196" s="18" t="str">
        <f>iferror(VLOOKUP($D1196,Details!$A$2:$C$11,3,false),vlookup($D1196,Details!$E$2:$G$11,3,false))</f>
        <v>Snacks and Drinks</v>
      </c>
      <c r="N1196" s="18">
        <f t="shared" si="1"/>
        <v>220</v>
      </c>
      <c r="O1196" s="17"/>
      <c r="P1196" s="17"/>
      <c r="Q1196" s="17"/>
      <c r="R1196" s="17"/>
      <c r="S1196" s="17"/>
      <c r="T1196" s="17"/>
      <c r="U1196" s="17"/>
      <c r="V1196" s="17"/>
      <c r="W1196" s="17"/>
      <c r="X1196" s="17"/>
      <c r="Y1196" s="17"/>
      <c r="Z1196" s="17"/>
    </row>
    <row r="1197">
      <c r="A1197" s="18" t="str">
        <f>IFERROR(__xludf.DUMMYFUNCTION("""COMPUTED_VALUE"""),"ord_41175")</f>
        <v>ord_41175</v>
      </c>
      <c r="B1197" s="18" t="str">
        <f>IFERROR(__xludf.DUMMYFUNCTION("""COMPUTED_VALUE"""),"Arvind Kulkarni")</f>
        <v>Arvind Kulkarni</v>
      </c>
      <c r="C1197" s="18" t="str">
        <f>IFERROR(__xludf.DUMMYFUNCTION("""COMPUTED_VALUE"""),"Juhu")</f>
        <v>Juhu</v>
      </c>
      <c r="D1197" s="18" t="str">
        <f>IFERROR(__xludf.DUMMYFUNCTION("""COMPUTED_VALUE"""),"Apple")</f>
        <v>Apple</v>
      </c>
      <c r="E1197" s="18">
        <f>IFERROR(__xludf.DUMMYFUNCTION("""COMPUTED_VALUE"""),1.0)</f>
        <v>1</v>
      </c>
      <c r="F1197" s="18" t="str">
        <f>IFERROR(__xludf.DUMMYFUNCTION("""COMPUTED_VALUE"""),"Ram Gopal")</f>
        <v>Ram Gopal</v>
      </c>
      <c r="G1197" s="19">
        <f>IFERROR(__xludf.DUMMYFUNCTION("""COMPUTED_VALUE"""),45209.0)</f>
        <v>45209</v>
      </c>
      <c r="H1197" s="18" t="str">
        <f>IFERROR(__xludf.DUMMYFUNCTION("""COMPUTED_VALUE"""),"UPI")</f>
        <v>UPI</v>
      </c>
      <c r="I1197" s="18" t="str">
        <f>IFERROR(__xludf.DUMMYFUNCTION("""COMPUTED_VALUE"""),"Delivered")</f>
        <v>Delivered</v>
      </c>
      <c r="J1197" s="18" t="str">
        <f>IFERROR(__xludf.DUMMYFUNCTION("""COMPUTED_VALUE"""),"Customer Service")</f>
        <v>Customer Service</v>
      </c>
      <c r="K1197" s="18" t="str">
        <f>IFERROR(__xludf.DUMMYFUNCTION("""COMPUTED_VALUE"""),"Seamless and easy")</f>
        <v>Seamless and easy</v>
      </c>
      <c r="L1197" s="18">
        <f>iferror(VLOOKUP($D1197,Details!$A$2:$C$11,2,false),vlookup($D1197,Details!$E$2:$G$11,2,false))</f>
        <v>230</v>
      </c>
      <c r="M1197" s="18" t="str">
        <f>iferror(VLOOKUP($D1197,Details!$A$2:$C$11,3,false),vlookup($D1197,Details!$E$2:$G$11,3,false))</f>
        <v>Fruits and Vegetables</v>
      </c>
      <c r="N1197" s="18">
        <f t="shared" si="1"/>
        <v>230</v>
      </c>
      <c r="O1197" s="17"/>
      <c r="P1197" s="17"/>
      <c r="Q1197" s="17"/>
      <c r="R1197" s="17"/>
      <c r="S1197" s="17"/>
      <c r="T1197" s="17"/>
      <c r="U1197" s="17"/>
      <c r="V1197" s="17"/>
      <c r="W1197" s="17"/>
      <c r="X1197" s="17"/>
      <c r="Y1197" s="17"/>
      <c r="Z1197" s="17"/>
    </row>
    <row r="1198">
      <c r="A1198" s="18" t="str">
        <f>IFERROR(__xludf.DUMMYFUNCTION("""COMPUTED_VALUE"""),"ord_41176")</f>
        <v>ord_41176</v>
      </c>
      <c r="B1198" s="18" t="str">
        <f>IFERROR(__xludf.DUMMYFUNCTION("""COMPUTED_VALUE"""),"Sahil Desai")</f>
        <v>Sahil Desai</v>
      </c>
      <c r="C1198" s="18" t="str">
        <f>IFERROR(__xludf.DUMMYFUNCTION("""COMPUTED_VALUE"""),"Lower Parel")</f>
        <v>Lower Parel</v>
      </c>
      <c r="D1198" s="18" t="str">
        <f>IFERROR(__xludf.DUMMYFUNCTION("""COMPUTED_VALUE"""),"Banana")</f>
        <v>Banana</v>
      </c>
      <c r="E1198" s="18">
        <f>IFERROR(__xludf.DUMMYFUNCTION("""COMPUTED_VALUE"""),2.0)</f>
        <v>2</v>
      </c>
      <c r="F1198" s="18" t="str">
        <f>IFERROR(__xludf.DUMMYFUNCTION("""COMPUTED_VALUE"""),"Ramesh S")</f>
        <v>Ramesh S</v>
      </c>
      <c r="G1198" s="19">
        <f>IFERROR(__xludf.DUMMYFUNCTION("""COMPUTED_VALUE"""),45171.0)</f>
        <v>45171</v>
      </c>
      <c r="H1198" s="18" t="str">
        <f>IFERROR(__xludf.DUMMYFUNCTION("""COMPUTED_VALUE"""),"UPI")</f>
        <v>UPI</v>
      </c>
      <c r="I1198" s="18" t="str">
        <f>IFERROR(__xludf.DUMMYFUNCTION("""COMPUTED_VALUE"""),"Delivered")</f>
        <v>Delivered</v>
      </c>
      <c r="J1198" s="18" t="str">
        <f>IFERROR(__xludf.DUMMYFUNCTION("""COMPUTED_VALUE"""),"Delivery Experience")</f>
        <v>Delivery Experience</v>
      </c>
      <c r="K1198" s="18" t="str">
        <f>IFERROR(__xludf.DUMMYFUNCTION("""COMPUTED_VALUE"""),"Quick and professional")</f>
        <v>Quick and professional</v>
      </c>
      <c r="L1198" s="18">
        <f>iferror(VLOOKUP($D1198,Details!$A$2:$C$11,2,false),vlookup($D1198,Details!$E$2:$G$11,2,false))</f>
        <v>80</v>
      </c>
      <c r="M1198" s="18" t="str">
        <f>iferror(VLOOKUP($D1198,Details!$A$2:$C$11,3,false),vlookup($D1198,Details!$E$2:$G$11,3,false))</f>
        <v>Fruits and Vegetables</v>
      </c>
      <c r="N1198" s="18">
        <f t="shared" si="1"/>
        <v>160</v>
      </c>
      <c r="O1198" s="17"/>
      <c r="P1198" s="17"/>
      <c r="Q1198" s="17"/>
      <c r="R1198" s="17"/>
      <c r="S1198" s="17"/>
      <c r="T1198" s="17"/>
      <c r="U1198" s="17"/>
      <c r="V1198" s="17"/>
      <c r="W1198" s="17"/>
      <c r="X1198" s="17"/>
      <c r="Y1198" s="17"/>
      <c r="Z1198" s="17"/>
    </row>
    <row r="1199">
      <c r="A1199" s="18" t="str">
        <f>IFERROR(__xludf.DUMMYFUNCTION("""COMPUTED_VALUE"""),"ord_41177")</f>
        <v>ord_41177</v>
      </c>
      <c r="B1199" s="18" t="str">
        <f>IFERROR(__xludf.DUMMYFUNCTION("""COMPUTED_VALUE"""),"Diya Arora")</f>
        <v>Diya Arora</v>
      </c>
      <c r="C1199" s="18" t="str">
        <f>IFERROR(__xludf.DUMMYFUNCTION("""COMPUTED_VALUE"""),"Lower Parel")</f>
        <v>Lower Parel</v>
      </c>
      <c r="D1199" s="18" t="str">
        <f>IFERROR(__xludf.DUMMYFUNCTION("""COMPUTED_VALUE"""),"Icecream")</f>
        <v>Icecream</v>
      </c>
      <c r="E1199" s="18">
        <f>IFERROR(__xludf.DUMMYFUNCTION("""COMPUTED_VALUE"""),4.0)</f>
        <v>4</v>
      </c>
      <c r="F1199" s="18" t="str">
        <f>IFERROR(__xludf.DUMMYFUNCTION("""COMPUTED_VALUE"""),"Ram Gopal")</f>
        <v>Ram Gopal</v>
      </c>
      <c r="G1199" s="19">
        <f>IFERROR(__xludf.DUMMYFUNCTION("""COMPUTED_VALUE"""),45217.0)</f>
        <v>45217</v>
      </c>
      <c r="H1199" s="18" t="str">
        <f>IFERROR(__xludf.DUMMYFUNCTION("""COMPUTED_VALUE"""),"Online Payment")</f>
        <v>Online Payment</v>
      </c>
      <c r="I1199" s="18" t="str">
        <f>IFERROR(__xludf.DUMMYFUNCTION("""COMPUTED_VALUE"""),"Delivered")</f>
        <v>Delivered</v>
      </c>
      <c r="J1199" s="18" t="str">
        <f>IFERROR(__xludf.DUMMYFUNCTION("""COMPUTED_VALUE"""),"Convenience")</f>
        <v>Convenience</v>
      </c>
      <c r="K1199" s="18" t="str">
        <f>IFERROR(__xludf.DUMMYFUNCTION("""COMPUTED_VALUE"""),"Easy tracking")</f>
        <v>Easy tracking</v>
      </c>
      <c r="L1199" s="18">
        <f>iferror(VLOOKUP($D1199,Details!$A$2:$C$11,2,false),vlookup($D1199,Details!$E$2:$G$11,2,false))</f>
        <v>90</v>
      </c>
      <c r="M1199" s="18" t="str">
        <f>iferror(VLOOKUP($D1199,Details!$A$2:$C$11,3,false),vlookup($D1199,Details!$E$2:$G$11,3,false))</f>
        <v>Snacks and Drinks</v>
      </c>
      <c r="N1199" s="18">
        <f t="shared" si="1"/>
        <v>360</v>
      </c>
      <c r="O1199" s="17"/>
      <c r="P1199" s="17"/>
      <c r="Q1199" s="17"/>
      <c r="R1199" s="17"/>
      <c r="S1199" s="17"/>
      <c r="T1199" s="17"/>
      <c r="U1199" s="17"/>
      <c r="V1199" s="17"/>
      <c r="W1199" s="17"/>
      <c r="X1199" s="17"/>
      <c r="Y1199" s="17"/>
      <c r="Z1199" s="17"/>
    </row>
    <row r="1200">
      <c r="A1200" s="18" t="str">
        <f>IFERROR(__xludf.DUMMYFUNCTION("""COMPUTED_VALUE"""),"ord_41178")</f>
        <v>ord_41178</v>
      </c>
      <c r="B1200" s="18" t="str">
        <f>IFERROR(__xludf.DUMMYFUNCTION("""COMPUTED_VALUE"""),"Ishaan Chaturvedi")</f>
        <v>Ishaan Chaturvedi</v>
      </c>
      <c r="C1200" s="18" t="str">
        <f>IFERROR(__xludf.DUMMYFUNCTION("""COMPUTED_VALUE"""),"Bandra")</f>
        <v>Bandra</v>
      </c>
      <c r="D1200" s="18" t="str">
        <f>IFERROR(__xludf.DUMMYFUNCTION("""COMPUTED_VALUE"""),"Potato")</f>
        <v>Potato</v>
      </c>
      <c r="E1200" s="18">
        <f>IFERROR(__xludf.DUMMYFUNCTION("""COMPUTED_VALUE"""),2.0)</f>
        <v>2</v>
      </c>
      <c r="F1200" s="18" t="str">
        <f>IFERROR(__xludf.DUMMYFUNCTION("""COMPUTED_VALUE"""),"Ram Gopal")</f>
        <v>Ram Gopal</v>
      </c>
      <c r="G1200" s="19">
        <f>IFERROR(__xludf.DUMMYFUNCTION("""COMPUTED_VALUE"""),44942.0)</f>
        <v>44942</v>
      </c>
      <c r="H1200" s="18" t="str">
        <f>IFERROR(__xludf.DUMMYFUNCTION("""COMPUTED_VALUE"""),"Online Payment")</f>
        <v>Online Payment</v>
      </c>
      <c r="I1200" s="18" t="str">
        <f>IFERROR(__xludf.DUMMYFUNCTION("""COMPUTED_VALUE"""),"Delivered")</f>
        <v>Delivered</v>
      </c>
      <c r="J1200" s="18" t="str">
        <f>IFERROR(__xludf.DUMMYFUNCTION("""COMPUTED_VALUE"""),"Overall Satisfaction")</f>
        <v>Overall Satisfaction</v>
      </c>
      <c r="K1200" s="18" t="str">
        <f>IFERROR(__xludf.DUMMYFUNCTION("""COMPUTED_VALUE"""),"Great service will order again")</f>
        <v>Great service will order again</v>
      </c>
      <c r="L1200" s="18">
        <f>iferror(VLOOKUP($D1200,Details!$A$2:$C$11,2,false),vlookup($D1200,Details!$E$2:$G$11,2,false))</f>
        <v>55</v>
      </c>
      <c r="M1200" s="18" t="str">
        <f>iferror(VLOOKUP($D1200,Details!$A$2:$C$11,3,false),vlookup($D1200,Details!$E$2:$G$11,3,false))</f>
        <v>Fruits and Vegetables</v>
      </c>
      <c r="N1200" s="18">
        <f t="shared" si="1"/>
        <v>110</v>
      </c>
      <c r="O1200" s="17"/>
      <c r="P1200" s="17"/>
      <c r="Q1200" s="17"/>
      <c r="R1200" s="17"/>
      <c r="S1200" s="17"/>
      <c r="T1200" s="17"/>
      <c r="U1200" s="17"/>
      <c r="V1200" s="17"/>
      <c r="W1200" s="17"/>
      <c r="X1200" s="17"/>
      <c r="Y1200" s="17"/>
      <c r="Z1200" s="17"/>
    </row>
    <row r="1201">
      <c r="A1201" s="18" t="str">
        <f>IFERROR(__xludf.DUMMYFUNCTION("""COMPUTED_VALUE"""),"ord_41179")</f>
        <v>ord_41179</v>
      </c>
      <c r="B1201" s="18" t="str">
        <f>IFERROR(__xludf.DUMMYFUNCTION("""COMPUTED_VALUE"""),"Pallavi Ghosh")</f>
        <v>Pallavi Ghosh</v>
      </c>
      <c r="C1201" s="18" t="str">
        <f>IFERROR(__xludf.DUMMYFUNCTION("""COMPUTED_VALUE"""),"Bandra")</f>
        <v>Bandra</v>
      </c>
      <c r="D1201" s="18" t="str">
        <f>IFERROR(__xludf.DUMMYFUNCTION("""COMPUTED_VALUE"""),"Juice")</f>
        <v>Juice</v>
      </c>
      <c r="E1201" s="18">
        <f>IFERROR(__xludf.DUMMYFUNCTION("""COMPUTED_VALUE"""),4.0)</f>
        <v>4</v>
      </c>
      <c r="F1201" s="18" t="str">
        <f>IFERROR(__xludf.DUMMYFUNCTION("""COMPUTED_VALUE"""),"Vivek Kumar")</f>
        <v>Vivek Kumar</v>
      </c>
      <c r="G1201" s="19">
        <f>IFERROR(__xludf.DUMMYFUNCTION("""COMPUTED_VALUE"""),44985.0)</f>
        <v>44985</v>
      </c>
      <c r="H1201" s="18" t="str">
        <f>IFERROR(__xludf.DUMMYFUNCTION("""COMPUTED_VALUE"""),"Credit Card")</f>
        <v>Credit Card</v>
      </c>
      <c r="I1201" s="18" t="str">
        <f>IFERROR(__xludf.DUMMYFUNCTION("""COMPUTED_VALUE"""),"Delivered")</f>
        <v>Delivered</v>
      </c>
      <c r="J1201" s="18" t="str">
        <f>IFERROR(__xludf.DUMMYFUNCTION("""COMPUTED_VALUE"""),"On-time Delivery")</f>
        <v>On-time Delivery</v>
      </c>
      <c r="K1201" s="18" t="str">
        <f>IFERROR(__xludf.DUMMYFUNCTION("""COMPUTED_VALUE"""),"Delivered on time")</f>
        <v>Delivered on time</v>
      </c>
      <c r="L1201" s="18">
        <f>iferror(VLOOKUP($D1201,Details!$A$2:$C$11,2,false),vlookup($D1201,Details!$E$2:$G$11,2,false))</f>
        <v>90</v>
      </c>
      <c r="M1201" s="18" t="str">
        <f>iferror(VLOOKUP($D1201,Details!$A$2:$C$11,3,false),vlookup($D1201,Details!$E$2:$G$11,3,false))</f>
        <v>Snacks and Drinks</v>
      </c>
      <c r="N1201" s="18">
        <f t="shared" si="1"/>
        <v>360</v>
      </c>
      <c r="O1201" s="17"/>
      <c r="P1201" s="17"/>
      <c r="Q1201" s="17"/>
      <c r="R1201" s="17"/>
      <c r="S1201" s="17"/>
      <c r="T1201" s="17"/>
      <c r="U1201" s="17"/>
      <c r="V1201" s="17"/>
      <c r="W1201" s="17"/>
      <c r="X1201" s="17"/>
      <c r="Y1201" s="17"/>
      <c r="Z1201" s="17"/>
    </row>
    <row r="1202">
      <c r="A1202" s="18" t="str">
        <f>IFERROR(__xludf.DUMMYFUNCTION("""COMPUTED_VALUE"""),"ord_41180")</f>
        <v>ord_41180</v>
      </c>
      <c r="B1202" s="18" t="str">
        <f>IFERROR(__xludf.DUMMYFUNCTION("""COMPUTED_VALUE"""),"Siya Reddy")</f>
        <v>Siya Reddy</v>
      </c>
      <c r="C1202" s="18" t="str">
        <f>IFERROR(__xludf.DUMMYFUNCTION("""COMPUTED_VALUE"""),"Juhu")</f>
        <v>Juhu</v>
      </c>
      <c r="D1202" s="18" t="str">
        <f>IFERROR(__xludf.DUMMYFUNCTION("""COMPUTED_VALUE"""),"Papaya")</f>
        <v>Papaya</v>
      </c>
      <c r="E1202" s="18">
        <f>IFERROR(__xludf.DUMMYFUNCTION("""COMPUTED_VALUE"""),2.0)</f>
        <v>2</v>
      </c>
      <c r="F1202" s="18" t="str">
        <f>IFERROR(__xludf.DUMMYFUNCTION("""COMPUTED_VALUE"""),"Not Assigned")</f>
        <v>Not Assigned</v>
      </c>
      <c r="G1202" s="19">
        <f>IFERROR(__xludf.DUMMYFUNCTION("""COMPUTED_VALUE"""),44984.0)</f>
        <v>44984</v>
      </c>
      <c r="H1202" s="18" t="str">
        <f>IFERROR(__xludf.DUMMYFUNCTION("""COMPUTED_VALUE"""),"Credit Card")</f>
        <v>Credit Card</v>
      </c>
      <c r="I1202" s="18" t="str">
        <f>IFERROR(__xludf.DUMMYFUNCTION("""COMPUTED_VALUE"""),"Cancelled")</f>
        <v>Cancelled</v>
      </c>
      <c r="J1202" s="18" t="str">
        <f>IFERROR(__xludf.DUMMYFUNCTION("""COMPUTED_VALUE"""),"App Glitches")</f>
        <v>App Glitches</v>
      </c>
      <c r="K1202" s="18" t="str">
        <f>IFERROR(__xludf.DUMMYFUNCTION("""COMPUTED_VALUE"""),"Payment Button Malfunction")</f>
        <v>Payment Button Malfunction</v>
      </c>
      <c r="L1202" s="18">
        <f>iferror(VLOOKUP($D1202,Details!$A$2:$C$11,2,false),vlookup($D1202,Details!$E$2:$G$11,2,false))</f>
        <v>75</v>
      </c>
      <c r="M1202" s="18" t="str">
        <f>iferror(VLOOKUP($D1202,Details!$A$2:$C$11,3,false),vlookup($D1202,Details!$E$2:$G$11,3,false))</f>
        <v>Fruits and Vegetables</v>
      </c>
      <c r="N1202" s="18">
        <f t="shared" si="1"/>
        <v>150</v>
      </c>
      <c r="O1202" s="17"/>
      <c r="P1202" s="17"/>
      <c r="Q1202" s="17"/>
      <c r="R1202" s="17"/>
      <c r="S1202" s="17"/>
      <c r="T1202" s="17"/>
      <c r="U1202" s="17"/>
      <c r="V1202" s="17"/>
      <c r="W1202" s="17"/>
      <c r="X1202" s="17"/>
      <c r="Y1202" s="17"/>
      <c r="Z1202" s="17"/>
    </row>
    <row r="1203">
      <c r="A1203" s="18" t="str">
        <f>IFERROR(__xludf.DUMMYFUNCTION("""COMPUTED_VALUE"""),"ord_41181")</f>
        <v>ord_41181</v>
      </c>
      <c r="B1203" s="18" t="str">
        <f>IFERROR(__xludf.DUMMYFUNCTION("""COMPUTED_VALUE"""),"Siya Reddy")</f>
        <v>Siya Reddy</v>
      </c>
      <c r="C1203" s="18" t="str">
        <f>IFERROR(__xludf.DUMMYFUNCTION("""COMPUTED_VALUE"""),"Juhu")</f>
        <v>Juhu</v>
      </c>
      <c r="D1203" s="18" t="str">
        <f>IFERROR(__xludf.DUMMYFUNCTION("""COMPUTED_VALUE"""),"Popcorn")</f>
        <v>Popcorn</v>
      </c>
      <c r="E1203" s="18">
        <f>IFERROR(__xludf.DUMMYFUNCTION("""COMPUTED_VALUE"""),5.0)</f>
        <v>5</v>
      </c>
      <c r="F1203" s="18" t="str">
        <f>IFERROR(__xludf.DUMMYFUNCTION("""COMPUTED_VALUE"""),"Not Assigned")</f>
        <v>Not Assigned</v>
      </c>
      <c r="G1203" s="19">
        <f>IFERROR(__xludf.DUMMYFUNCTION("""COMPUTED_VALUE"""),45150.0)</f>
        <v>45150</v>
      </c>
      <c r="H1203" s="18" t="str">
        <f>IFERROR(__xludf.DUMMYFUNCTION("""COMPUTED_VALUE"""),"UPI")</f>
        <v>UPI</v>
      </c>
      <c r="I1203" s="18" t="str">
        <f>IFERROR(__xludf.DUMMYFUNCTION("""COMPUTED_VALUE"""),"Cancelled")</f>
        <v>Cancelled</v>
      </c>
      <c r="J1203" s="18" t="str">
        <f>IFERROR(__xludf.DUMMYFUNCTION("""COMPUTED_VALUE"""),"App Glitches")</f>
        <v>App Glitches</v>
      </c>
      <c r="K1203" s="18" t="str">
        <f>IFERROR(__xludf.DUMMYFUNCTION("""COMPUTED_VALUE"""),"Payment Button Malfunction")</f>
        <v>Payment Button Malfunction</v>
      </c>
      <c r="L1203" s="18">
        <f>iferror(VLOOKUP($D1203,Details!$A$2:$C$11,2,false),vlookup($D1203,Details!$E$2:$G$11,2,false))</f>
        <v>150</v>
      </c>
      <c r="M1203" s="18" t="str">
        <f>iferror(VLOOKUP($D1203,Details!$A$2:$C$11,3,false),vlookup($D1203,Details!$E$2:$G$11,3,false))</f>
        <v>Snacks and Drinks</v>
      </c>
      <c r="N1203" s="18">
        <f t="shared" si="1"/>
        <v>750</v>
      </c>
      <c r="O1203" s="17"/>
      <c r="P1203" s="17"/>
      <c r="Q1203" s="17"/>
      <c r="R1203" s="17"/>
      <c r="S1203" s="17"/>
      <c r="T1203" s="17"/>
      <c r="U1203" s="17"/>
      <c r="V1203" s="17"/>
      <c r="W1203" s="17"/>
      <c r="X1203" s="17"/>
      <c r="Y1203" s="17"/>
      <c r="Z1203" s="17"/>
    </row>
    <row r="1204">
      <c r="A1204" s="18" t="str">
        <f>IFERROR(__xludf.DUMMYFUNCTION("""COMPUTED_VALUE"""),"ord_41182")</f>
        <v>ord_41182</v>
      </c>
      <c r="B1204" s="18" t="str">
        <f>IFERROR(__xludf.DUMMYFUNCTION("""COMPUTED_VALUE"""),"Tanishq Bansal")</f>
        <v>Tanishq Bansal</v>
      </c>
      <c r="C1204" s="18" t="str">
        <f>IFERROR(__xludf.DUMMYFUNCTION("""COMPUTED_VALUE"""),"Bandra")</f>
        <v>Bandra</v>
      </c>
      <c r="D1204" s="18" t="str">
        <f>IFERROR(__xludf.DUMMYFUNCTION("""COMPUTED_VALUE"""),"Sweet Corn")</f>
        <v>Sweet Corn</v>
      </c>
      <c r="E1204" s="18">
        <f>IFERROR(__xludf.DUMMYFUNCTION("""COMPUTED_VALUE"""),1.0)</f>
        <v>1</v>
      </c>
      <c r="F1204" s="18" t="str">
        <f>IFERROR(__xludf.DUMMYFUNCTION("""COMPUTED_VALUE"""),"Ramesh S")</f>
        <v>Ramesh S</v>
      </c>
      <c r="G1204" s="19">
        <f>IFERROR(__xludf.DUMMYFUNCTION("""COMPUTED_VALUE"""),44950.0)</f>
        <v>44950</v>
      </c>
      <c r="H1204" s="18" t="str">
        <f>IFERROR(__xludf.DUMMYFUNCTION("""COMPUTED_VALUE"""),"UPI")</f>
        <v>UPI</v>
      </c>
      <c r="I1204" s="18" t="str">
        <f>IFERROR(__xludf.DUMMYFUNCTION("""COMPUTED_VALUE"""),"Delivered")</f>
        <v>Delivered</v>
      </c>
      <c r="J1204" s="18" t="str">
        <f>IFERROR(__xludf.DUMMYFUNCTION("""COMPUTED_VALUE"""),"Quality of Items")</f>
        <v>Quality of Items</v>
      </c>
      <c r="K1204" s="18" t="str">
        <f>IFERROR(__xludf.DUMMYFUNCTION("""COMPUTED_VALUE"""),"Perfect condition")</f>
        <v>Perfect condition</v>
      </c>
      <c r="L1204" s="18">
        <f>iferror(VLOOKUP($D1204,Details!$A$2:$C$11,2,false),vlookup($D1204,Details!$E$2:$G$11,2,false))</f>
        <v>60</v>
      </c>
      <c r="M1204" s="18" t="str">
        <f>iferror(VLOOKUP($D1204,Details!$A$2:$C$11,3,false),vlookup($D1204,Details!$E$2:$G$11,3,false))</f>
        <v>Fruits and Vegetables</v>
      </c>
      <c r="N1204" s="18">
        <f t="shared" si="1"/>
        <v>60</v>
      </c>
      <c r="O1204" s="17"/>
      <c r="P1204" s="17"/>
      <c r="Q1204" s="17"/>
      <c r="R1204" s="17"/>
      <c r="S1204" s="17"/>
      <c r="T1204" s="17"/>
      <c r="U1204" s="17"/>
      <c r="V1204" s="17"/>
      <c r="W1204" s="17"/>
      <c r="X1204" s="17"/>
      <c r="Y1204" s="17"/>
      <c r="Z1204" s="17"/>
    </row>
    <row r="1205">
      <c r="A1205" s="18" t="str">
        <f>IFERROR(__xludf.DUMMYFUNCTION("""COMPUTED_VALUE"""),"ord_41183")</f>
        <v>ord_41183</v>
      </c>
      <c r="B1205" s="18" t="str">
        <f>IFERROR(__xludf.DUMMYFUNCTION("""COMPUTED_VALUE"""),"Anaya Rao")</f>
        <v>Anaya Rao</v>
      </c>
      <c r="C1205" s="18" t="str">
        <f>IFERROR(__xludf.DUMMYFUNCTION("""COMPUTED_VALUE"""),"Colaba")</f>
        <v>Colaba</v>
      </c>
      <c r="D1205" s="18" t="str">
        <f>IFERROR(__xludf.DUMMYFUNCTION("""COMPUTED_VALUE"""),"Guava")</f>
        <v>Guava</v>
      </c>
      <c r="E1205" s="18">
        <f>IFERROR(__xludf.DUMMYFUNCTION("""COMPUTED_VALUE"""),1.0)</f>
        <v>1</v>
      </c>
      <c r="F1205" s="18" t="str">
        <f>IFERROR(__xludf.DUMMYFUNCTION("""COMPUTED_VALUE"""),"Vivek Kumar")</f>
        <v>Vivek Kumar</v>
      </c>
      <c r="G1205" s="19">
        <f>IFERROR(__xludf.DUMMYFUNCTION("""COMPUTED_VALUE"""),45187.0)</f>
        <v>45187</v>
      </c>
      <c r="H1205" s="18" t="str">
        <f>IFERROR(__xludf.DUMMYFUNCTION("""COMPUTED_VALUE"""),"Online Payment")</f>
        <v>Online Payment</v>
      </c>
      <c r="I1205" s="18" t="str">
        <f>IFERROR(__xludf.DUMMYFUNCTION("""COMPUTED_VALUE"""),"Delivered")</f>
        <v>Delivered</v>
      </c>
      <c r="J1205" s="18" t="str">
        <f>IFERROR(__xludf.DUMMYFUNCTION("""COMPUTED_VALUE"""),"On-time Delivery")</f>
        <v>On-time Delivery</v>
      </c>
      <c r="K1205" s="18" t="str">
        <f>IFERROR(__xludf.DUMMYFUNCTION("""COMPUTED_VALUE"""),"Delivered on time")</f>
        <v>Delivered on time</v>
      </c>
      <c r="L1205" s="18">
        <f>iferror(VLOOKUP($D1205,Details!$A$2:$C$11,2,false),vlookup($D1205,Details!$E$2:$G$11,2,false))</f>
        <v>70</v>
      </c>
      <c r="M1205" s="18" t="str">
        <f>iferror(VLOOKUP($D1205,Details!$A$2:$C$11,3,false),vlookup($D1205,Details!$E$2:$G$11,3,false))</f>
        <v>Fruits and Vegetables</v>
      </c>
      <c r="N1205" s="18">
        <f t="shared" si="1"/>
        <v>70</v>
      </c>
      <c r="O1205" s="17"/>
      <c r="P1205" s="17"/>
      <c r="Q1205" s="17"/>
      <c r="R1205" s="17"/>
      <c r="S1205" s="17"/>
      <c r="T1205" s="17"/>
      <c r="U1205" s="17"/>
      <c r="V1205" s="17"/>
      <c r="W1205" s="17"/>
      <c r="X1205" s="17"/>
      <c r="Y1205" s="17"/>
      <c r="Z1205" s="17"/>
    </row>
    <row r="1206">
      <c r="A1206" s="18" t="str">
        <f>IFERROR(__xludf.DUMMYFUNCTION("""COMPUTED_VALUE"""),"ord_41184")</f>
        <v>ord_41184</v>
      </c>
      <c r="B1206" s="18" t="str">
        <f>IFERROR(__xludf.DUMMYFUNCTION("""COMPUTED_VALUE"""),"Arvind Kulkarni")</f>
        <v>Arvind Kulkarni</v>
      </c>
      <c r="C1206" s="18" t="str">
        <f>IFERROR(__xludf.DUMMYFUNCTION("""COMPUTED_VALUE"""),"Juhu")</f>
        <v>Juhu</v>
      </c>
      <c r="D1206" s="18" t="str">
        <f>IFERROR(__xludf.DUMMYFUNCTION("""COMPUTED_VALUE"""),"Chilli Cheese Toast")</f>
        <v>Chilli Cheese Toast</v>
      </c>
      <c r="E1206" s="18">
        <f>IFERROR(__xludf.DUMMYFUNCTION("""COMPUTED_VALUE"""),4.0)</f>
        <v>4</v>
      </c>
      <c r="F1206" s="18" t="str">
        <f>IFERROR(__xludf.DUMMYFUNCTION("""COMPUTED_VALUE"""),"Not Assigned")</f>
        <v>Not Assigned</v>
      </c>
      <c r="G1206" s="19">
        <f>IFERROR(__xludf.DUMMYFUNCTION("""COMPUTED_VALUE"""),45186.0)</f>
        <v>45186</v>
      </c>
      <c r="H1206" s="18" t="str">
        <f>IFERROR(__xludf.DUMMYFUNCTION("""COMPUTED_VALUE"""),"UPI")</f>
        <v>UPI</v>
      </c>
      <c r="I1206" s="18" t="str">
        <f>IFERROR(__xludf.DUMMYFUNCTION("""COMPUTED_VALUE"""),"Cancelled")</f>
        <v>Cancelled</v>
      </c>
      <c r="J1206" s="18" t="str">
        <f>IFERROR(__xludf.DUMMYFUNCTION("""COMPUTED_VALUE"""),"App Glitches")</f>
        <v>App Glitches</v>
      </c>
      <c r="K1206" s="18" t="str">
        <f>IFERROR(__xludf.DUMMYFUNCTION("""COMPUTED_VALUE"""),"Error Messages")</f>
        <v>Error Messages</v>
      </c>
      <c r="L1206" s="18">
        <f>iferror(VLOOKUP($D1206,Details!$A$2:$C$11,2,false),vlookup($D1206,Details!$E$2:$G$11,2,false))</f>
        <v>80</v>
      </c>
      <c r="M1206" s="18" t="str">
        <f>iferror(VLOOKUP($D1206,Details!$A$2:$C$11,3,false),vlookup($D1206,Details!$E$2:$G$11,3,false))</f>
        <v>Snacks and Drinks</v>
      </c>
      <c r="N1206" s="18">
        <f t="shared" si="1"/>
        <v>320</v>
      </c>
      <c r="O1206" s="17"/>
      <c r="P1206" s="17"/>
      <c r="Q1206" s="17"/>
      <c r="R1206" s="17"/>
      <c r="S1206" s="17"/>
      <c r="T1206" s="17"/>
      <c r="U1206" s="17"/>
      <c r="V1206" s="17"/>
      <c r="W1206" s="17"/>
      <c r="X1206" s="17"/>
      <c r="Y1206" s="17"/>
      <c r="Z1206" s="17"/>
    </row>
    <row r="1207">
      <c r="A1207" s="18" t="str">
        <f>IFERROR(__xludf.DUMMYFUNCTION("""COMPUTED_VALUE"""),"ord_41185")</f>
        <v>ord_41185</v>
      </c>
      <c r="B1207" s="18" t="str">
        <f>IFERROR(__xludf.DUMMYFUNCTION("""COMPUTED_VALUE"""),"Aditi Iyer")</f>
        <v>Aditi Iyer</v>
      </c>
      <c r="C1207" s="18" t="str">
        <f>IFERROR(__xludf.DUMMYFUNCTION("""COMPUTED_VALUE"""),"Dadar")</f>
        <v>Dadar</v>
      </c>
      <c r="D1207" s="18" t="str">
        <f>IFERROR(__xludf.DUMMYFUNCTION("""COMPUTED_VALUE"""),"Papaya")</f>
        <v>Papaya</v>
      </c>
      <c r="E1207" s="18">
        <f>IFERROR(__xludf.DUMMYFUNCTION("""COMPUTED_VALUE"""),2.0)</f>
        <v>2</v>
      </c>
      <c r="F1207" s="18" t="str">
        <f>IFERROR(__xludf.DUMMYFUNCTION("""COMPUTED_VALUE"""),"Ramesh S")</f>
        <v>Ramesh S</v>
      </c>
      <c r="G1207" s="19">
        <f>IFERROR(__xludf.DUMMYFUNCTION("""COMPUTED_VALUE"""),45289.0)</f>
        <v>45289</v>
      </c>
      <c r="H1207" s="18" t="str">
        <f>IFERROR(__xludf.DUMMYFUNCTION("""COMPUTED_VALUE"""),"UPI")</f>
        <v>UPI</v>
      </c>
      <c r="I1207" s="18" t="str">
        <f>IFERROR(__xludf.DUMMYFUNCTION("""COMPUTED_VALUE"""),"Delivered")</f>
        <v>Delivered</v>
      </c>
      <c r="J1207" s="18" t="str">
        <f>IFERROR(__xludf.DUMMYFUNCTION("""COMPUTED_VALUE"""),"Quality of Items")</f>
        <v>Quality of Items</v>
      </c>
      <c r="K1207" s="18" t="str">
        <f>IFERROR(__xludf.DUMMYFUNCTION("""COMPUTED_VALUE"""),"Perfect condition")</f>
        <v>Perfect condition</v>
      </c>
      <c r="L1207" s="18">
        <f>iferror(VLOOKUP($D1207,Details!$A$2:$C$11,2,false),vlookup($D1207,Details!$E$2:$G$11,2,false))</f>
        <v>75</v>
      </c>
      <c r="M1207" s="18" t="str">
        <f>iferror(VLOOKUP($D1207,Details!$A$2:$C$11,3,false),vlookup($D1207,Details!$E$2:$G$11,3,false))</f>
        <v>Fruits and Vegetables</v>
      </c>
      <c r="N1207" s="18">
        <f t="shared" si="1"/>
        <v>150</v>
      </c>
      <c r="O1207" s="17"/>
      <c r="P1207" s="17"/>
      <c r="Q1207" s="17"/>
      <c r="R1207" s="17"/>
      <c r="S1207" s="17"/>
      <c r="T1207" s="17"/>
      <c r="U1207" s="17"/>
      <c r="V1207" s="17"/>
      <c r="W1207" s="17"/>
      <c r="X1207" s="17"/>
      <c r="Y1207" s="17"/>
      <c r="Z1207" s="17"/>
    </row>
    <row r="1208">
      <c r="A1208" s="18" t="str">
        <f>IFERROR(__xludf.DUMMYFUNCTION("""COMPUTED_VALUE"""),"ord_61186")</f>
        <v>ord_61186</v>
      </c>
      <c r="B1208" s="18" t="str">
        <f>IFERROR(__xludf.DUMMYFUNCTION("""COMPUTED_VALUE"""),"Ishita Banerjee")</f>
        <v>Ishita Banerjee</v>
      </c>
      <c r="C1208" s="18" t="str">
        <f>IFERROR(__xludf.DUMMYFUNCTION("""COMPUTED_VALUE"""),"Juhu")</f>
        <v>Juhu</v>
      </c>
      <c r="D1208" s="18" t="str">
        <f>IFERROR(__xludf.DUMMYFUNCTION("""COMPUTED_VALUE"""),"Chicken Puff")</f>
        <v>Chicken Puff</v>
      </c>
      <c r="E1208" s="18">
        <f>IFERROR(__xludf.DUMMYFUNCTION("""COMPUTED_VALUE"""),1.0)</f>
        <v>1</v>
      </c>
      <c r="F1208" s="18" t="str">
        <f>IFERROR(__xludf.DUMMYFUNCTION("""COMPUTED_VALUE"""),"Not Assigned")</f>
        <v>Not Assigned</v>
      </c>
      <c r="G1208" s="19">
        <f>IFERROR(__xludf.DUMMYFUNCTION("""COMPUTED_VALUE"""),45281.0)</f>
        <v>45281</v>
      </c>
      <c r="H1208" s="18" t="str">
        <f>IFERROR(__xludf.DUMMYFUNCTION("""COMPUTED_VALUE"""),"UPI")</f>
        <v>UPI</v>
      </c>
      <c r="I1208" s="18" t="str">
        <f>IFERROR(__xludf.DUMMYFUNCTION("""COMPUTED_VALUE"""),"Cancelled")</f>
        <v>Cancelled</v>
      </c>
      <c r="J1208" s="18" t="str">
        <f>IFERROR(__xludf.DUMMYFUNCTION("""COMPUTED_VALUE"""),"App Glitches")</f>
        <v>App Glitches</v>
      </c>
      <c r="K1208" s="18" t="str">
        <f>IFERROR(__xludf.DUMMYFUNCTION("""COMPUTED_VALUE"""),"Inconsistent Data Display")</f>
        <v>Inconsistent Data Display</v>
      </c>
      <c r="L1208" s="18">
        <f>iferror(VLOOKUP($D1208,Details!$A$2:$C$11,2,false),vlookup($D1208,Details!$E$2:$G$11,2,false))</f>
        <v>90</v>
      </c>
      <c r="M1208" s="18" t="str">
        <f>iferror(VLOOKUP($D1208,Details!$A$2:$C$11,3,false),vlookup($D1208,Details!$E$2:$G$11,3,false))</f>
        <v>Snacks and Drinks</v>
      </c>
      <c r="N1208" s="18">
        <f t="shared" si="1"/>
        <v>90</v>
      </c>
      <c r="O1208" s="17"/>
      <c r="P1208" s="17"/>
      <c r="Q1208" s="17"/>
      <c r="R1208" s="17"/>
      <c r="S1208" s="17"/>
      <c r="T1208" s="17"/>
      <c r="U1208" s="17"/>
      <c r="V1208" s="17"/>
      <c r="W1208" s="17"/>
      <c r="X1208" s="17"/>
      <c r="Y1208" s="17"/>
      <c r="Z1208" s="17"/>
    </row>
    <row r="1209">
      <c r="A1209" s="18" t="str">
        <f>IFERROR(__xludf.DUMMYFUNCTION("""COMPUTED_VALUE"""),"ord_61187")</f>
        <v>ord_61187</v>
      </c>
      <c r="B1209" s="18" t="str">
        <f>IFERROR(__xludf.DUMMYFUNCTION("""COMPUTED_VALUE"""),"Pranav Joshi")</f>
        <v>Pranav Joshi</v>
      </c>
      <c r="C1209" s="18" t="str">
        <f>IFERROR(__xludf.DUMMYFUNCTION("""COMPUTED_VALUE"""),"Andheri")</f>
        <v>Andheri</v>
      </c>
      <c r="D1209" s="18" t="str">
        <f>IFERROR(__xludf.DUMMYFUNCTION("""COMPUTED_VALUE"""),"Banana")</f>
        <v>Banana</v>
      </c>
      <c r="E1209" s="18">
        <f>IFERROR(__xludf.DUMMYFUNCTION("""COMPUTED_VALUE"""),1.0)</f>
        <v>1</v>
      </c>
      <c r="F1209" s="18" t="str">
        <f>IFERROR(__xludf.DUMMYFUNCTION("""COMPUTED_VALUE"""),"Ramesh S")</f>
        <v>Ramesh S</v>
      </c>
      <c r="G1209" s="19">
        <f>IFERROR(__xludf.DUMMYFUNCTION("""COMPUTED_VALUE"""),45163.0)</f>
        <v>45163</v>
      </c>
      <c r="H1209" s="18" t="str">
        <f>IFERROR(__xludf.DUMMYFUNCTION("""COMPUTED_VALUE"""),"Online Payment")</f>
        <v>Online Payment</v>
      </c>
      <c r="I1209" s="18" t="str">
        <f>IFERROR(__xludf.DUMMYFUNCTION("""COMPUTED_VALUE"""),"Delivered")</f>
        <v>Delivered</v>
      </c>
      <c r="J1209" s="18" t="str">
        <f>IFERROR(__xludf.DUMMYFUNCTION("""COMPUTED_VALUE"""),"Packaging")</f>
        <v>Packaging</v>
      </c>
      <c r="K1209" s="18" t="str">
        <f>IFERROR(__xludf.DUMMYFUNCTION("""COMPUTED_VALUE"""),"Secure and intact")</f>
        <v>Secure and intact</v>
      </c>
      <c r="L1209" s="18">
        <f>iferror(VLOOKUP($D1209,Details!$A$2:$C$11,2,false),vlookup($D1209,Details!$E$2:$G$11,2,false))</f>
        <v>80</v>
      </c>
      <c r="M1209" s="18" t="str">
        <f>iferror(VLOOKUP($D1209,Details!$A$2:$C$11,3,false),vlookup($D1209,Details!$E$2:$G$11,3,false))</f>
        <v>Fruits and Vegetables</v>
      </c>
      <c r="N1209" s="18">
        <f t="shared" si="1"/>
        <v>80</v>
      </c>
      <c r="O1209" s="17"/>
      <c r="P1209" s="17"/>
      <c r="Q1209" s="17"/>
      <c r="R1209" s="17"/>
      <c r="S1209" s="17"/>
      <c r="T1209" s="17"/>
      <c r="U1209" s="17"/>
      <c r="V1209" s="17"/>
      <c r="W1209" s="17"/>
      <c r="X1209" s="17"/>
      <c r="Y1209" s="17"/>
      <c r="Z1209" s="17"/>
    </row>
    <row r="1210">
      <c r="A1210" s="18" t="str">
        <f>IFERROR(__xludf.DUMMYFUNCTION("""COMPUTED_VALUE"""),"ord_61188")</f>
        <v>ord_61188</v>
      </c>
      <c r="B1210" s="18" t="str">
        <f>IFERROR(__xludf.DUMMYFUNCTION("""COMPUTED_VALUE"""),"Pranav Joshi")</f>
        <v>Pranav Joshi</v>
      </c>
      <c r="C1210" s="18" t="str">
        <f>IFERROR(__xludf.DUMMYFUNCTION("""COMPUTED_VALUE"""),"Andheri")</f>
        <v>Andheri</v>
      </c>
      <c r="D1210" s="18" t="str">
        <f>IFERROR(__xludf.DUMMYFUNCTION("""COMPUTED_VALUE"""),"Onion")</f>
        <v>Onion</v>
      </c>
      <c r="E1210" s="18">
        <f>IFERROR(__xludf.DUMMYFUNCTION("""COMPUTED_VALUE"""),1.0)</f>
        <v>1</v>
      </c>
      <c r="F1210" s="18" t="str">
        <f>IFERROR(__xludf.DUMMYFUNCTION("""COMPUTED_VALUE"""),"Sita T")</f>
        <v>Sita T</v>
      </c>
      <c r="G1210" s="19">
        <f>IFERROR(__xludf.DUMMYFUNCTION("""COMPUTED_VALUE"""),45076.0)</f>
        <v>45076</v>
      </c>
      <c r="H1210" s="18" t="str">
        <f>IFERROR(__xludf.DUMMYFUNCTION("""COMPUTED_VALUE"""),"COD")</f>
        <v>COD</v>
      </c>
      <c r="I1210" s="18" t="str">
        <f>IFERROR(__xludf.DUMMYFUNCTION("""COMPUTED_VALUE"""),"Delivered")</f>
        <v>Delivered</v>
      </c>
      <c r="J1210" s="18" t="str">
        <f>IFERROR(__xludf.DUMMYFUNCTION("""COMPUTED_VALUE"""),"Satisfied with the Delivery")</f>
        <v>Satisfied with the Delivery</v>
      </c>
      <c r="K1210" s="18" t="str">
        <f>IFERROR(__xludf.DUMMYFUNCTION("""COMPUTED_VALUE"""),"Timely and quality")</f>
        <v>Timely and quality</v>
      </c>
      <c r="L1210" s="18">
        <f>iferror(VLOOKUP($D1210,Details!$A$2:$C$11,2,false),vlookup($D1210,Details!$E$2:$G$11,2,false))</f>
        <v>84</v>
      </c>
      <c r="M1210" s="18" t="str">
        <f>iferror(VLOOKUP($D1210,Details!$A$2:$C$11,3,false),vlookup($D1210,Details!$E$2:$G$11,3,false))</f>
        <v>Fruits and Vegetables</v>
      </c>
      <c r="N1210" s="18">
        <f t="shared" si="1"/>
        <v>84</v>
      </c>
      <c r="O1210" s="17"/>
      <c r="P1210" s="17"/>
      <c r="Q1210" s="17"/>
      <c r="R1210" s="17"/>
      <c r="S1210" s="17"/>
      <c r="T1210" s="17"/>
      <c r="U1210" s="17"/>
      <c r="V1210" s="17"/>
      <c r="W1210" s="17"/>
      <c r="X1210" s="17"/>
      <c r="Y1210" s="17"/>
      <c r="Z1210" s="17"/>
    </row>
    <row r="1211">
      <c r="A1211" s="18" t="str">
        <f>IFERROR(__xludf.DUMMYFUNCTION("""COMPUTED_VALUE"""),"ord_61189")</f>
        <v>ord_61189</v>
      </c>
      <c r="B1211" s="18" t="str">
        <f>IFERROR(__xludf.DUMMYFUNCTION("""COMPUTED_VALUE"""),"Parth Goel")</f>
        <v>Parth Goel</v>
      </c>
      <c r="C1211" s="18" t="str">
        <f>IFERROR(__xludf.DUMMYFUNCTION("""COMPUTED_VALUE"""),"Juhu")</f>
        <v>Juhu</v>
      </c>
      <c r="D1211" s="18" t="str">
        <f>IFERROR(__xludf.DUMMYFUNCTION("""COMPUTED_VALUE"""),"Chicken Puff")</f>
        <v>Chicken Puff</v>
      </c>
      <c r="E1211" s="18">
        <f>IFERROR(__xludf.DUMMYFUNCTION("""COMPUTED_VALUE"""),2.0)</f>
        <v>2</v>
      </c>
      <c r="F1211" s="18" t="str">
        <f>IFERROR(__xludf.DUMMYFUNCTION("""COMPUTED_VALUE"""),"Sita T")</f>
        <v>Sita T</v>
      </c>
      <c r="G1211" s="19">
        <f>IFERROR(__xludf.DUMMYFUNCTION("""COMPUTED_VALUE"""),44950.0)</f>
        <v>44950</v>
      </c>
      <c r="H1211" s="18" t="str">
        <f>IFERROR(__xludf.DUMMYFUNCTION("""COMPUTED_VALUE"""),"UPI")</f>
        <v>UPI</v>
      </c>
      <c r="I1211" s="18" t="str">
        <f>IFERROR(__xludf.DUMMYFUNCTION("""COMPUTED_VALUE"""),"Delivered")</f>
        <v>Delivered</v>
      </c>
      <c r="J1211" s="18" t="str">
        <f>IFERROR(__xludf.DUMMYFUNCTION("""COMPUTED_VALUE"""),"Customer Service")</f>
        <v>Customer Service</v>
      </c>
      <c r="K1211" s="18" t="str">
        <f>IFERROR(__xludf.DUMMYFUNCTION("""COMPUTED_VALUE"""),"Seamless and easy")</f>
        <v>Seamless and easy</v>
      </c>
      <c r="L1211" s="18">
        <f>iferror(VLOOKUP($D1211,Details!$A$2:$C$11,2,false),vlookup($D1211,Details!$E$2:$G$11,2,false))</f>
        <v>90</v>
      </c>
      <c r="M1211" s="18" t="str">
        <f>iferror(VLOOKUP($D1211,Details!$A$2:$C$11,3,false),vlookup($D1211,Details!$E$2:$G$11,3,false))</f>
        <v>Snacks and Drinks</v>
      </c>
      <c r="N1211" s="18">
        <f t="shared" si="1"/>
        <v>180</v>
      </c>
      <c r="O1211" s="17"/>
      <c r="P1211" s="17"/>
      <c r="Q1211" s="17"/>
      <c r="R1211" s="17"/>
      <c r="S1211" s="17"/>
      <c r="T1211" s="17"/>
      <c r="U1211" s="17"/>
      <c r="V1211" s="17"/>
      <c r="W1211" s="17"/>
      <c r="X1211" s="17"/>
      <c r="Y1211" s="17"/>
      <c r="Z1211" s="17"/>
    </row>
    <row r="1212">
      <c r="A1212" s="18" t="str">
        <f>IFERROR(__xludf.DUMMYFUNCTION("""COMPUTED_VALUE"""),"ord_61190")</f>
        <v>ord_61190</v>
      </c>
      <c r="B1212" s="18" t="str">
        <f>IFERROR(__xludf.DUMMYFUNCTION("""COMPUTED_VALUE"""),"Ritika Dutta")</f>
        <v>Ritika Dutta</v>
      </c>
      <c r="C1212" s="18" t="str">
        <f>IFERROR(__xludf.DUMMYFUNCTION("""COMPUTED_VALUE"""),"Lower Parel")</f>
        <v>Lower Parel</v>
      </c>
      <c r="D1212" s="18" t="str">
        <f>IFERROR(__xludf.DUMMYFUNCTION("""COMPUTED_VALUE"""),"Chicken Puff")</f>
        <v>Chicken Puff</v>
      </c>
      <c r="E1212" s="18">
        <f>IFERROR(__xludf.DUMMYFUNCTION("""COMPUTED_VALUE"""),9.0)</f>
        <v>9</v>
      </c>
      <c r="F1212" s="18" t="str">
        <f>IFERROR(__xludf.DUMMYFUNCTION("""COMPUTED_VALUE"""),"Ramesh S")</f>
        <v>Ramesh S</v>
      </c>
      <c r="G1212" s="19">
        <f>IFERROR(__xludf.DUMMYFUNCTION("""COMPUTED_VALUE"""),45168.0)</f>
        <v>45168</v>
      </c>
      <c r="H1212" s="18" t="str">
        <f>IFERROR(__xludf.DUMMYFUNCTION("""COMPUTED_VALUE"""),"Online Payment")</f>
        <v>Online Payment</v>
      </c>
      <c r="I1212" s="18" t="str">
        <f>IFERROR(__xludf.DUMMYFUNCTION("""COMPUTED_VALUE"""),"Delivered")</f>
        <v>Delivered</v>
      </c>
      <c r="J1212" s="18" t="str">
        <f>IFERROR(__xludf.DUMMYFUNCTION("""COMPUTED_VALUE"""),"Delivery Experience")</f>
        <v>Delivery Experience</v>
      </c>
      <c r="K1212" s="18" t="str">
        <f>IFERROR(__xludf.DUMMYFUNCTION("""COMPUTED_VALUE"""),"Quick and professional")</f>
        <v>Quick and professional</v>
      </c>
      <c r="L1212" s="18">
        <f>iferror(VLOOKUP($D1212,Details!$A$2:$C$11,2,false),vlookup($D1212,Details!$E$2:$G$11,2,false))</f>
        <v>90</v>
      </c>
      <c r="M1212" s="18" t="str">
        <f>iferror(VLOOKUP($D1212,Details!$A$2:$C$11,3,false),vlookup($D1212,Details!$E$2:$G$11,3,false))</f>
        <v>Snacks and Drinks</v>
      </c>
      <c r="N1212" s="18">
        <f t="shared" si="1"/>
        <v>810</v>
      </c>
      <c r="O1212" s="17"/>
      <c r="P1212" s="17"/>
      <c r="Q1212" s="17"/>
      <c r="R1212" s="17"/>
      <c r="S1212" s="17"/>
      <c r="T1212" s="17"/>
      <c r="U1212" s="17"/>
      <c r="V1212" s="17"/>
      <c r="W1212" s="17"/>
      <c r="X1212" s="17"/>
      <c r="Y1212" s="17"/>
      <c r="Z1212" s="17"/>
    </row>
    <row r="1213">
      <c r="A1213" s="18" t="str">
        <f>IFERROR(__xludf.DUMMYFUNCTION("""COMPUTED_VALUE"""),"ord_61191")</f>
        <v>ord_61191</v>
      </c>
      <c r="B1213" s="18" t="str">
        <f>IFERROR(__xludf.DUMMYFUNCTION("""COMPUTED_VALUE"""),"Simran Bhatt")</f>
        <v>Simran Bhatt</v>
      </c>
      <c r="C1213" s="18" t="str">
        <f>IFERROR(__xludf.DUMMYFUNCTION("""COMPUTED_VALUE"""),"Juhu")</f>
        <v>Juhu</v>
      </c>
      <c r="D1213" s="18" t="str">
        <f>IFERROR(__xludf.DUMMYFUNCTION("""COMPUTED_VALUE"""),"Juice")</f>
        <v>Juice</v>
      </c>
      <c r="E1213" s="18">
        <f>IFERROR(__xludf.DUMMYFUNCTION("""COMPUTED_VALUE"""),1.0)</f>
        <v>1</v>
      </c>
      <c r="F1213" s="18" t="str">
        <f>IFERROR(__xludf.DUMMYFUNCTION("""COMPUTED_VALUE"""),"Ram Gopal")</f>
        <v>Ram Gopal</v>
      </c>
      <c r="G1213" s="19">
        <f>IFERROR(__xludf.DUMMYFUNCTION("""COMPUTED_VALUE"""),45251.0)</f>
        <v>45251</v>
      </c>
      <c r="H1213" s="18" t="str">
        <f>IFERROR(__xludf.DUMMYFUNCTION("""COMPUTED_VALUE"""),"Online Payment")</f>
        <v>Online Payment</v>
      </c>
      <c r="I1213" s="18" t="str">
        <f>IFERROR(__xludf.DUMMYFUNCTION("""COMPUTED_VALUE"""),"Delivered")</f>
        <v>Delivered</v>
      </c>
      <c r="J1213" s="18" t="str">
        <f>IFERROR(__xludf.DUMMYFUNCTION("""COMPUTED_VALUE"""),"Convenience")</f>
        <v>Convenience</v>
      </c>
      <c r="K1213" s="18" t="str">
        <f>IFERROR(__xludf.DUMMYFUNCTION("""COMPUTED_VALUE"""),"Easy tracking")</f>
        <v>Easy tracking</v>
      </c>
      <c r="L1213" s="18">
        <f>iferror(VLOOKUP($D1213,Details!$A$2:$C$11,2,false),vlookup($D1213,Details!$E$2:$G$11,2,false))</f>
        <v>90</v>
      </c>
      <c r="M1213" s="18" t="str">
        <f>iferror(VLOOKUP($D1213,Details!$A$2:$C$11,3,false),vlookup($D1213,Details!$E$2:$G$11,3,false))</f>
        <v>Snacks and Drinks</v>
      </c>
      <c r="N1213" s="18">
        <f t="shared" si="1"/>
        <v>90</v>
      </c>
      <c r="O1213" s="17"/>
      <c r="P1213" s="17"/>
      <c r="Q1213" s="17"/>
      <c r="R1213" s="17"/>
      <c r="S1213" s="17"/>
      <c r="T1213" s="17"/>
      <c r="U1213" s="17"/>
      <c r="V1213" s="17"/>
      <c r="W1213" s="17"/>
      <c r="X1213" s="17"/>
      <c r="Y1213" s="17"/>
      <c r="Z1213" s="17"/>
    </row>
    <row r="1214">
      <c r="A1214" s="18" t="str">
        <f>IFERROR(__xludf.DUMMYFUNCTION("""COMPUTED_VALUE"""),"ord_61192")</f>
        <v>ord_61192</v>
      </c>
      <c r="B1214" s="18" t="str">
        <f>IFERROR(__xludf.DUMMYFUNCTION("""COMPUTED_VALUE"""),"Tanishq Bansal")</f>
        <v>Tanishq Bansal</v>
      </c>
      <c r="C1214" s="18" t="str">
        <f>IFERROR(__xludf.DUMMYFUNCTION("""COMPUTED_VALUE"""),"Powai")</f>
        <v>Powai</v>
      </c>
      <c r="D1214" s="18" t="str">
        <f>IFERROR(__xludf.DUMMYFUNCTION("""COMPUTED_VALUE"""),"Chilli Cheese Toast")</f>
        <v>Chilli Cheese Toast</v>
      </c>
      <c r="E1214" s="18">
        <f>IFERROR(__xludf.DUMMYFUNCTION("""COMPUTED_VALUE"""),1.0)</f>
        <v>1</v>
      </c>
      <c r="F1214" s="18" t="str">
        <f>IFERROR(__xludf.DUMMYFUNCTION("""COMPUTED_VALUE"""),"Ramesh S")</f>
        <v>Ramesh S</v>
      </c>
      <c r="G1214" s="19">
        <f>IFERROR(__xludf.DUMMYFUNCTION("""COMPUTED_VALUE"""),44963.0)</f>
        <v>44963</v>
      </c>
      <c r="H1214" s="18" t="str">
        <f>IFERROR(__xludf.DUMMYFUNCTION("""COMPUTED_VALUE"""),"UPI")</f>
        <v>UPI</v>
      </c>
      <c r="I1214" s="18" t="str">
        <f>IFERROR(__xludf.DUMMYFUNCTION("""COMPUTED_VALUE"""),"Delivered")</f>
        <v>Delivered</v>
      </c>
      <c r="J1214" s="18" t="str">
        <f>IFERROR(__xludf.DUMMYFUNCTION("""COMPUTED_VALUE"""),"Overall Satisfaction")</f>
        <v>Overall Satisfaction</v>
      </c>
      <c r="K1214" s="18" t="str">
        <f>IFERROR(__xludf.DUMMYFUNCTION("""COMPUTED_VALUE"""),"Great service will order again")</f>
        <v>Great service will order again</v>
      </c>
      <c r="L1214" s="18">
        <f>iferror(VLOOKUP($D1214,Details!$A$2:$C$11,2,false),vlookup($D1214,Details!$E$2:$G$11,2,false))</f>
        <v>80</v>
      </c>
      <c r="M1214" s="18" t="str">
        <f>iferror(VLOOKUP($D1214,Details!$A$2:$C$11,3,false),vlookup($D1214,Details!$E$2:$G$11,3,false))</f>
        <v>Snacks and Drinks</v>
      </c>
      <c r="N1214" s="18">
        <f t="shared" si="1"/>
        <v>80</v>
      </c>
      <c r="O1214" s="17"/>
      <c r="P1214" s="17"/>
      <c r="Q1214" s="17"/>
      <c r="R1214" s="17"/>
      <c r="S1214" s="17"/>
      <c r="T1214" s="17"/>
      <c r="U1214" s="17"/>
      <c r="V1214" s="17"/>
      <c r="W1214" s="17"/>
      <c r="X1214" s="17"/>
      <c r="Y1214" s="17"/>
      <c r="Z1214" s="17"/>
    </row>
    <row r="1215">
      <c r="A1215" s="18" t="str">
        <f>IFERROR(__xludf.DUMMYFUNCTION("""COMPUTED_VALUE"""),"ord_61193")</f>
        <v>ord_61193</v>
      </c>
      <c r="B1215" s="18" t="str">
        <f>IFERROR(__xludf.DUMMYFUNCTION("""COMPUTED_VALUE"""),"Aarohi Kapoor")</f>
        <v>Aarohi Kapoor</v>
      </c>
      <c r="C1215" s="18" t="str">
        <f>IFERROR(__xludf.DUMMYFUNCTION("""COMPUTED_VALUE"""),"Bandra")</f>
        <v>Bandra</v>
      </c>
      <c r="D1215" s="18" t="str">
        <f>IFERROR(__xludf.DUMMYFUNCTION("""COMPUTED_VALUE"""),"Tiramisu")</f>
        <v>Tiramisu</v>
      </c>
      <c r="E1215" s="18">
        <f>IFERROR(__xludf.DUMMYFUNCTION("""COMPUTED_VALUE"""),1.0)</f>
        <v>1</v>
      </c>
      <c r="F1215" s="18" t="str">
        <f>IFERROR(__xludf.DUMMYFUNCTION("""COMPUTED_VALUE"""),"Venu R")</f>
        <v>Venu R</v>
      </c>
      <c r="G1215" s="19">
        <f>IFERROR(__xludf.DUMMYFUNCTION("""COMPUTED_VALUE"""),45205.0)</f>
        <v>45205</v>
      </c>
      <c r="H1215" s="18" t="str">
        <f>IFERROR(__xludf.DUMMYFUNCTION("""COMPUTED_VALUE"""),"Online Payment")</f>
        <v>Online Payment</v>
      </c>
      <c r="I1215" s="18" t="str">
        <f>IFERROR(__xludf.DUMMYFUNCTION("""COMPUTED_VALUE"""),"Delivered")</f>
        <v>Delivered</v>
      </c>
      <c r="J1215" s="18" t="str">
        <f>IFERROR(__xludf.DUMMYFUNCTION("""COMPUTED_VALUE"""),"On-time Delivery")</f>
        <v>On-time Delivery</v>
      </c>
      <c r="K1215" s="18" t="str">
        <f>IFERROR(__xludf.DUMMYFUNCTION("""COMPUTED_VALUE"""),"Delivered on time")</f>
        <v>Delivered on time</v>
      </c>
      <c r="L1215" s="18">
        <f>iferror(VLOOKUP($D1215,Details!$A$2:$C$11,2,false),vlookup($D1215,Details!$E$2:$G$11,2,false))</f>
        <v>150</v>
      </c>
      <c r="M1215" s="18" t="str">
        <f>iferror(VLOOKUP($D1215,Details!$A$2:$C$11,3,false),vlookup($D1215,Details!$E$2:$G$11,3,false))</f>
        <v>Snacks and Drinks</v>
      </c>
      <c r="N1215" s="18">
        <f t="shared" si="1"/>
        <v>150</v>
      </c>
      <c r="O1215" s="17"/>
      <c r="P1215" s="17"/>
      <c r="Q1215" s="17"/>
      <c r="R1215" s="17"/>
      <c r="S1215" s="17"/>
      <c r="T1215" s="17"/>
      <c r="U1215" s="17"/>
      <c r="V1215" s="17"/>
      <c r="W1215" s="17"/>
      <c r="X1215" s="17"/>
      <c r="Y1215" s="17"/>
      <c r="Z1215" s="17"/>
    </row>
    <row r="1216">
      <c r="A1216" s="18" t="str">
        <f>IFERROR(__xludf.DUMMYFUNCTION("""COMPUTED_VALUE"""),"ord_61194")</f>
        <v>ord_61194</v>
      </c>
      <c r="B1216" s="18" t="str">
        <f>IFERROR(__xludf.DUMMYFUNCTION("""COMPUTED_VALUE"""),"Aarohi Kapoor")</f>
        <v>Aarohi Kapoor</v>
      </c>
      <c r="C1216" s="18" t="str">
        <f>IFERROR(__xludf.DUMMYFUNCTION("""COMPUTED_VALUE"""),"Bandra")</f>
        <v>Bandra</v>
      </c>
      <c r="D1216" s="18" t="str">
        <f>IFERROR(__xludf.DUMMYFUNCTION("""COMPUTED_VALUE"""),"Veg Puff")</f>
        <v>Veg Puff</v>
      </c>
      <c r="E1216" s="18">
        <f>IFERROR(__xludf.DUMMYFUNCTION("""COMPUTED_VALUE"""),1.0)</f>
        <v>1</v>
      </c>
      <c r="F1216" s="18" t="str">
        <f>IFERROR(__xludf.DUMMYFUNCTION("""COMPUTED_VALUE"""),"Vivek Kumar")</f>
        <v>Vivek Kumar</v>
      </c>
      <c r="G1216" s="19">
        <f>IFERROR(__xludf.DUMMYFUNCTION("""COMPUTED_VALUE"""),45242.0)</f>
        <v>45242</v>
      </c>
      <c r="H1216" s="18" t="str">
        <f>IFERROR(__xludf.DUMMYFUNCTION("""COMPUTED_VALUE"""),"UPI")</f>
        <v>UPI</v>
      </c>
      <c r="I1216" s="18" t="str">
        <f>IFERROR(__xludf.DUMMYFUNCTION("""COMPUTED_VALUE"""),"Delivered")</f>
        <v>Delivered</v>
      </c>
      <c r="J1216" s="18" t="str">
        <f>IFERROR(__xludf.DUMMYFUNCTION("""COMPUTED_VALUE"""),"Quality of Items")</f>
        <v>Quality of Items</v>
      </c>
      <c r="K1216" s="18" t="str">
        <f>IFERROR(__xludf.DUMMYFUNCTION("""COMPUTED_VALUE"""),"Perfect condition")</f>
        <v>Perfect condition</v>
      </c>
      <c r="L1216" s="18">
        <f>iferror(VLOOKUP($D1216,Details!$A$2:$C$11,2,false),vlookup($D1216,Details!$E$2:$G$11,2,false))</f>
        <v>80</v>
      </c>
      <c r="M1216" s="18" t="str">
        <f>iferror(VLOOKUP($D1216,Details!$A$2:$C$11,3,false),vlookup($D1216,Details!$E$2:$G$11,3,false))</f>
        <v>Snacks and Drinks</v>
      </c>
      <c r="N1216" s="18">
        <f t="shared" si="1"/>
        <v>80</v>
      </c>
      <c r="O1216" s="17"/>
      <c r="P1216" s="17"/>
      <c r="Q1216" s="17"/>
      <c r="R1216" s="17"/>
      <c r="S1216" s="17"/>
      <c r="T1216" s="17"/>
      <c r="U1216" s="17"/>
      <c r="V1216" s="17"/>
      <c r="W1216" s="17"/>
      <c r="X1216" s="17"/>
      <c r="Y1216" s="17"/>
      <c r="Z1216" s="17"/>
    </row>
    <row r="1217">
      <c r="A1217" s="18" t="str">
        <f>IFERROR(__xludf.DUMMYFUNCTION("""COMPUTED_VALUE"""),"ord_61195")</f>
        <v>ord_61195</v>
      </c>
      <c r="B1217" s="18" t="str">
        <f>IFERROR(__xludf.DUMMYFUNCTION("""COMPUTED_VALUE"""),"Pallavi Ghosh")</f>
        <v>Pallavi Ghosh</v>
      </c>
      <c r="C1217" s="18" t="str">
        <f>IFERROR(__xludf.DUMMYFUNCTION("""COMPUTED_VALUE"""),"Bandra")</f>
        <v>Bandra</v>
      </c>
      <c r="D1217" s="18" t="str">
        <f>IFERROR(__xludf.DUMMYFUNCTION("""COMPUTED_VALUE"""),"Apple")</f>
        <v>Apple</v>
      </c>
      <c r="E1217" s="18">
        <f>IFERROR(__xludf.DUMMYFUNCTION("""COMPUTED_VALUE"""),1.0)</f>
        <v>1</v>
      </c>
      <c r="F1217" s="18" t="str">
        <f>IFERROR(__xludf.DUMMYFUNCTION("""COMPUTED_VALUE"""),"Vivek Kumar")</f>
        <v>Vivek Kumar</v>
      </c>
      <c r="G1217" s="19">
        <f>IFERROR(__xludf.DUMMYFUNCTION("""COMPUTED_VALUE"""),45190.0)</f>
        <v>45190</v>
      </c>
      <c r="H1217" s="18" t="str">
        <f>IFERROR(__xludf.DUMMYFUNCTION("""COMPUTED_VALUE"""),"UPI")</f>
        <v>UPI</v>
      </c>
      <c r="I1217" s="18" t="str">
        <f>IFERROR(__xludf.DUMMYFUNCTION("""COMPUTED_VALUE"""),"Delivered")</f>
        <v>Delivered</v>
      </c>
      <c r="J1217" s="18" t="str">
        <f>IFERROR(__xludf.DUMMYFUNCTION("""COMPUTED_VALUE"""),"On-time Delivery")</f>
        <v>On-time Delivery</v>
      </c>
      <c r="K1217" s="18" t="str">
        <f>IFERROR(__xludf.DUMMYFUNCTION("""COMPUTED_VALUE"""),"Delivered on time")</f>
        <v>Delivered on time</v>
      </c>
      <c r="L1217" s="18">
        <f>iferror(VLOOKUP($D1217,Details!$A$2:$C$11,2,false),vlookup($D1217,Details!$E$2:$G$11,2,false))</f>
        <v>230</v>
      </c>
      <c r="M1217" s="18" t="str">
        <f>iferror(VLOOKUP($D1217,Details!$A$2:$C$11,3,false),vlookup($D1217,Details!$E$2:$G$11,3,false))</f>
        <v>Fruits and Vegetables</v>
      </c>
      <c r="N1217" s="18">
        <f t="shared" si="1"/>
        <v>230</v>
      </c>
      <c r="O1217" s="17"/>
      <c r="P1217" s="17"/>
      <c r="Q1217" s="17"/>
      <c r="R1217" s="17"/>
      <c r="S1217" s="17"/>
      <c r="T1217" s="17"/>
      <c r="U1217" s="17"/>
      <c r="V1217" s="17"/>
      <c r="W1217" s="17"/>
      <c r="X1217" s="17"/>
      <c r="Y1217" s="17"/>
      <c r="Z1217" s="17"/>
    </row>
    <row r="1218">
      <c r="A1218" s="18" t="str">
        <f>IFERROR(__xludf.DUMMYFUNCTION("""COMPUTED_VALUE"""),"ord_61196")</f>
        <v>ord_61196</v>
      </c>
      <c r="B1218" s="18" t="str">
        <f>IFERROR(__xludf.DUMMYFUNCTION("""COMPUTED_VALUE"""),"Aarav Mehta")</f>
        <v>Aarav Mehta</v>
      </c>
      <c r="C1218" s="18" t="str">
        <f>IFERROR(__xludf.DUMMYFUNCTION("""COMPUTED_VALUE"""),"Andheri")</f>
        <v>Andheri</v>
      </c>
      <c r="D1218" s="18" t="str">
        <f>IFERROR(__xludf.DUMMYFUNCTION("""COMPUTED_VALUE"""),"Potato")</f>
        <v>Potato</v>
      </c>
      <c r="E1218" s="18">
        <f>IFERROR(__xludf.DUMMYFUNCTION("""COMPUTED_VALUE"""),2.0)</f>
        <v>2</v>
      </c>
      <c r="F1218" s="18" t="str">
        <f>IFERROR(__xludf.DUMMYFUNCTION("""COMPUTED_VALUE"""),"Vivek Kumar")</f>
        <v>Vivek Kumar</v>
      </c>
      <c r="G1218" s="19">
        <f>IFERROR(__xludf.DUMMYFUNCTION("""COMPUTED_VALUE"""),45287.0)</f>
        <v>45287</v>
      </c>
      <c r="H1218" s="18" t="str">
        <f>IFERROR(__xludf.DUMMYFUNCTION("""COMPUTED_VALUE"""),"Credit Card")</f>
        <v>Credit Card</v>
      </c>
      <c r="I1218" s="18" t="str">
        <f>IFERROR(__xludf.DUMMYFUNCTION("""COMPUTED_VALUE"""),"Delivered")</f>
        <v>Delivered</v>
      </c>
      <c r="J1218" s="18" t="str">
        <f>IFERROR(__xludf.DUMMYFUNCTION("""COMPUTED_VALUE"""),"Quality of Items")</f>
        <v>Quality of Items</v>
      </c>
      <c r="K1218" s="18" t="str">
        <f>IFERROR(__xludf.DUMMYFUNCTION("""COMPUTED_VALUE"""),"Perfect condition")</f>
        <v>Perfect condition</v>
      </c>
      <c r="L1218" s="18">
        <f>iferror(VLOOKUP($D1218,Details!$A$2:$C$11,2,false),vlookup($D1218,Details!$E$2:$G$11,2,false))</f>
        <v>55</v>
      </c>
      <c r="M1218" s="18" t="str">
        <f>iferror(VLOOKUP($D1218,Details!$A$2:$C$11,3,false),vlookup($D1218,Details!$E$2:$G$11,3,false))</f>
        <v>Fruits and Vegetables</v>
      </c>
      <c r="N1218" s="18">
        <f t="shared" si="1"/>
        <v>110</v>
      </c>
      <c r="O1218" s="17"/>
      <c r="P1218" s="17"/>
      <c r="Q1218" s="17"/>
      <c r="R1218" s="17"/>
      <c r="S1218" s="17"/>
      <c r="T1218" s="17"/>
      <c r="U1218" s="17"/>
      <c r="V1218" s="17"/>
      <c r="W1218" s="17"/>
      <c r="X1218" s="17"/>
      <c r="Y1218" s="17"/>
      <c r="Z1218" s="17"/>
    </row>
    <row r="1219">
      <c r="A1219" s="18" t="str">
        <f>IFERROR(__xludf.DUMMYFUNCTION("""COMPUTED_VALUE"""),"ord_61197")</f>
        <v>ord_61197</v>
      </c>
      <c r="B1219" s="18" t="str">
        <f>IFERROR(__xludf.DUMMYFUNCTION("""COMPUTED_VALUE"""),"Arvind Kulkarni")</f>
        <v>Arvind Kulkarni</v>
      </c>
      <c r="C1219" s="18" t="str">
        <f>IFERROR(__xludf.DUMMYFUNCTION("""COMPUTED_VALUE"""),"Juhu")</f>
        <v>Juhu</v>
      </c>
      <c r="D1219" s="18" t="str">
        <f>IFERROR(__xludf.DUMMYFUNCTION("""COMPUTED_VALUE"""),"Apple")</f>
        <v>Apple</v>
      </c>
      <c r="E1219" s="18">
        <f>IFERROR(__xludf.DUMMYFUNCTION("""COMPUTED_VALUE"""),2.0)</f>
        <v>2</v>
      </c>
      <c r="F1219" s="18" t="str">
        <f>IFERROR(__xludf.DUMMYFUNCTION("""COMPUTED_VALUE"""),"Not Assigned")</f>
        <v>Not Assigned</v>
      </c>
      <c r="G1219" s="19">
        <f>IFERROR(__xludf.DUMMYFUNCTION("""COMPUTED_VALUE"""),45022.0)</f>
        <v>45022</v>
      </c>
      <c r="H1219" s="18" t="str">
        <f>IFERROR(__xludf.DUMMYFUNCTION("""COMPUTED_VALUE"""),"Credit Card")</f>
        <v>Credit Card</v>
      </c>
      <c r="I1219" s="18" t="str">
        <f>IFERROR(__xludf.DUMMYFUNCTION("""COMPUTED_VALUE"""),"Cancelled")</f>
        <v>Cancelled</v>
      </c>
      <c r="J1219" s="18" t="str">
        <f>IFERROR(__xludf.DUMMYFUNCTION("""COMPUTED_VALUE"""),"Out of Stock")</f>
        <v>Out of Stock</v>
      </c>
      <c r="K1219" s="18"/>
      <c r="L1219" s="18">
        <f>iferror(VLOOKUP($D1219,Details!$A$2:$C$11,2,false),vlookup($D1219,Details!$E$2:$G$11,2,false))</f>
        <v>230</v>
      </c>
      <c r="M1219" s="18" t="str">
        <f>iferror(VLOOKUP($D1219,Details!$A$2:$C$11,3,false),vlookup($D1219,Details!$E$2:$G$11,3,false))</f>
        <v>Fruits and Vegetables</v>
      </c>
      <c r="N1219" s="18">
        <f t="shared" si="1"/>
        <v>460</v>
      </c>
      <c r="O1219" s="17"/>
      <c r="P1219" s="17"/>
      <c r="Q1219" s="17"/>
      <c r="R1219" s="17"/>
      <c r="S1219" s="17"/>
      <c r="T1219" s="17"/>
      <c r="U1219" s="17"/>
      <c r="V1219" s="17"/>
      <c r="W1219" s="17"/>
      <c r="X1219" s="17"/>
      <c r="Y1219" s="17"/>
      <c r="Z1219" s="17"/>
    </row>
    <row r="1220">
      <c r="A1220" s="18" t="str">
        <f>IFERROR(__xludf.DUMMYFUNCTION("""COMPUTED_VALUE"""),"ord_61198")</f>
        <v>ord_61198</v>
      </c>
      <c r="B1220" s="18" t="str">
        <f>IFERROR(__xludf.DUMMYFUNCTION("""COMPUTED_VALUE"""),"Aarav Mehta")</f>
        <v>Aarav Mehta</v>
      </c>
      <c r="C1220" s="18" t="str">
        <f>IFERROR(__xludf.DUMMYFUNCTION("""COMPUTED_VALUE"""),"Andheri")</f>
        <v>Andheri</v>
      </c>
      <c r="D1220" s="18" t="str">
        <f>IFERROR(__xludf.DUMMYFUNCTION("""COMPUTED_VALUE"""),"Veg Puff")</f>
        <v>Veg Puff</v>
      </c>
      <c r="E1220" s="18">
        <f>IFERROR(__xludf.DUMMYFUNCTION("""COMPUTED_VALUE"""),2.0)</f>
        <v>2</v>
      </c>
      <c r="F1220" s="18" t="str">
        <f>IFERROR(__xludf.DUMMYFUNCTION("""COMPUTED_VALUE"""),"Ramesh S")</f>
        <v>Ramesh S</v>
      </c>
      <c r="G1220" s="19">
        <f>IFERROR(__xludf.DUMMYFUNCTION("""COMPUTED_VALUE"""),45260.0)</f>
        <v>45260</v>
      </c>
      <c r="H1220" s="18" t="str">
        <f>IFERROR(__xludf.DUMMYFUNCTION("""COMPUTED_VALUE"""),"Online Payment")</f>
        <v>Online Payment</v>
      </c>
      <c r="I1220" s="18" t="str">
        <f>IFERROR(__xludf.DUMMYFUNCTION("""COMPUTED_VALUE"""),"Delivered")</f>
        <v>Delivered</v>
      </c>
      <c r="J1220" s="18" t="str">
        <f>IFERROR(__xludf.DUMMYFUNCTION("""COMPUTED_VALUE"""),"Packaging")</f>
        <v>Packaging</v>
      </c>
      <c r="K1220" s="18" t="str">
        <f>IFERROR(__xludf.DUMMYFUNCTION("""COMPUTED_VALUE"""),"Secure and intact")</f>
        <v>Secure and intact</v>
      </c>
      <c r="L1220" s="18">
        <f>iferror(VLOOKUP($D1220,Details!$A$2:$C$11,2,false),vlookup($D1220,Details!$E$2:$G$11,2,false))</f>
        <v>80</v>
      </c>
      <c r="M1220" s="18" t="str">
        <f>iferror(VLOOKUP($D1220,Details!$A$2:$C$11,3,false),vlookup($D1220,Details!$E$2:$G$11,3,false))</f>
        <v>Snacks and Drinks</v>
      </c>
      <c r="N1220" s="18">
        <f t="shared" si="1"/>
        <v>160</v>
      </c>
      <c r="O1220" s="17"/>
      <c r="P1220" s="17"/>
      <c r="Q1220" s="17"/>
      <c r="R1220" s="17"/>
      <c r="S1220" s="17"/>
      <c r="T1220" s="17"/>
      <c r="U1220" s="17"/>
      <c r="V1220" s="17"/>
      <c r="W1220" s="17"/>
      <c r="X1220" s="17"/>
      <c r="Y1220" s="17"/>
      <c r="Z1220" s="17"/>
    </row>
    <row r="1221">
      <c r="A1221" s="18" t="str">
        <f>IFERROR(__xludf.DUMMYFUNCTION("""COMPUTED_VALUE"""),"ord_61199")</f>
        <v>ord_61199</v>
      </c>
      <c r="B1221" s="18" t="str">
        <f>IFERROR(__xludf.DUMMYFUNCTION("""COMPUTED_VALUE"""),"Siya Reddy")</f>
        <v>Siya Reddy</v>
      </c>
      <c r="C1221" s="18" t="str">
        <f>IFERROR(__xludf.DUMMYFUNCTION("""COMPUTED_VALUE"""),"Juhu")</f>
        <v>Juhu</v>
      </c>
      <c r="D1221" s="18" t="str">
        <f>IFERROR(__xludf.DUMMYFUNCTION("""COMPUTED_VALUE"""),"Orange")</f>
        <v>Orange</v>
      </c>
      <c r="E1221" s="18">
        <f>IFERROR(__xludf.DUMMYFUNCTION("""COMPUTED_VALUE"""),2.0)</f>
        <v>2</v>
      </c>
      <c r="F1221" s="18" t="str">
        <f>IFERROR(__xludf.DUMMYFUNCTION("""COMPUTED_VALUE"""),"Not Assigned")</f>
        <v>Not Assigned</v>
      </c>
      <c r="G1221" s="19">
        <f>IFERROR(__xludf.DUMMYFUNCTION("""COMPUTED_VALUE"""),44975.0)</f>
        <v>44975</v>
      </c>
      <c r="H1221" s="18" t="str">
        <f>IFERROR(__xludf.DUMMYFUNCTION("""COMPUTED_VALUE"""),"Credit Card")</f>
        <v>Credit Card</v>
      </c>
      <c r="I1221" s="18" t="str">
        <f>IFERROR(__xludf.DUMMYFUNCTION("""COMPUTED_VALUE"""),"Cancelled")</f>
        <v>Cancelled</v>
      </c>
      <c r="J1221" s="18" t="str">
        <f>IFERROR(__xludf.DUMMYFUNCTION("""COMPUTED_VALUE"""),"App Glitches")</f>
        <v>App Glitches</v>
      </c>
      <c r="K1221" s="18" t="str">
        <f>IFERROR(__xludf.DUMMYFUNCTION("""COMPUTED_VALUE"""),"Slow Loading Time")</f>
        <v>Slow Loading Time</v>
      </c>
      <c r="L1221" s="18">
        <f>iferror(VLOOKUP($D1221,Details!$A$2:$C$11,2,false),vlookup($D1221,Details!$E$2:$G$11,2,false))</f>
        <v>180</v>
      </c>
      <c r="M1221" s="18" t="str">
        <f>iferror(VLOOKUP($D1221,Details!$A$2:$C$11,3,false),vlookup($D1221,Details!$E$2:$G$11,3,false))</f>
        <v>Fruits and Vegetables</v>
      </c>
      <c r="N1221" s="18">
        <f t="shared" si="1"/>
        <v>360</v>
      </c>
      <c r="O1221" s="17"/>
      <c r="P1221" s="17"/>
      <c r="Q1221" s="17"/>
      <c r="R1221" s="17"/>
      <c r="S1221" s="17"/>
      <c r="T1221" s="17"/>
      <c r="U1221" s="17"/>
      <c r="V1221" s="17"/>
      <c r="W1221" s="17"/>
      <c r="X1221" s="17"/>
      <c r="Y1221" s="17"/>
      <c r="Z1221" s="17"/>
    </row>
    <row r="1222">
      <c r="A1222" s="18" t="str">
        <f>IFERROR(__xludf.DUMMYFUNCTION("""COMPUTED_VALUE"""),"ord_61200")</f>
        <v>ord_61200</v>
      </c>
      <c r="B1222" s="18" t="str">
        <f>IFERROR(__xludf.DUMMYFUNCTION("""COMPUTED_VALUE"""),"Tanishq Bansal")</f>
        <v>Tanishq Bansal</v>
      </c>
      <c r="C1222" s="18" t="str">
        <f>IFERROR(__xludf.DUMMYFUNCTION("""COMPUTED_VALUE"""),"Powai")</f>
        <v>Powai</v>
      </c>
      <c r="D1222" s="18" t="str">
        <f>IFERROR(__xludf.DUMMYFUNCTION("""COMPUTED_VALUE"""),"Sweet Corn")</f>
        <v>Sweet Corn</v>
      </c>
      <c r="E1222" s="18">
        <f>IFERROR(__xludf.DUMMYFUNCTION("""COMPUTED_VALUE"""),2.0)</f>
        <v>2</v>
      </c>
      <c r="F1222" s="18" t="str">
        <f>IFERROR(__xludf.DUMMYFUNCTION("""COMPUTED_VALUE"""),"Ramesh S")</f>
        <v>Ramesh S</v>
      </c>
      <c r="G1222" s="19">
        <f>IFERROR(__xludf.DUMMYFUNCTION("""COMPUTED_VALUE"""),44953.0)</f>
        <v>44953</v>
      </c>
      <c r="H1222" s="18" t="str">
        <f>IFERROR(__xludf.DUMMYFUNCTION("""COMPUTED_VALUE"""),"UPI")</f>
        <v>UPI</v>
      </c>
      <c r="I1222" s="18" t="str">
        <f>IFERROR(__xludf.DUMMYFUNCTION("""COMPUTED_VALUE"""),"Delivered")</f>
        <v>Delivered</v>
      </c>
      <c r="J1222" s="18" t="str">
        <f>IFERROR(__xludf.DUMMYFUNCTION("""COMPUTED_VALUE"""),"Satisfied with the Delivery")</f>
        <v>Satisfied with the Delivery</v>
      </c>
      <c r="K1222" s="18" t="str">
        <f>IFERROR(__xludf.DUMMYFUNCTION("""COMPUTED_VALUE"""),"Timely and quality")</f>
        <v>Timely and quality</v>
      </c>
      <c r="L1222" s="18">
        <f>iferror(VLOOKUP($D1222,Details!$A$2:$C$11,2,false),vlookup($D1222,Details!$E$2:$G$11,2,false))</f>
        <v>60</v>
      </c>
      <c r="M1222" s="18" t="str">
        <f>iferror(VLOOKUP($D1222,Details!$A$2:$C$11,3,false),vlookup($D1222,Details!$E$2:$G$11,3,false))</f>
        <v>Fruits and Vegetables</v>
      </c>
      <c r="N1222" s="18">
        <f t="shared" si="1"/>
        <v>120</v>
      </c>
      <c r="O1222" s="17"/>
      <c r="P1222" s="17"/>
      <c r="Q1222" s="17"/>
      <c r="R1222" s="17"/>
      <c r="S1222" s="17"/>
      <c r="T1222" s="17"/>
      <c r="U1222" s="17"/>
      <c r="V1222" s="17"/>
      <c r="W1222" s="17"/>
      <c r="X1222" s="17"/>
      <c r="Y1222" s="17"/>
      <c r="Z1222" s="17"/>
    </row>
    <row r="1223">
      <c r="A1223" s="18" t="str">
        <f>IFERROR(__xludf.DUMMYFUNCTION("""COMPUTED_VALUE"""),"ord_61201")</f>
        <v>ord_61201</v>
      </c>
      <c r="B1223" s="18" t="str">
        <f>IFERROR(__xludf.DUMMYFUNCTION("""COMPUTED_VALUE"""),"Sakshi Tandon")</f>
        <v>Sakshi Tandon</v>
      </c>
      <c r="C1223" s="18" t="str">
        <f>IFERROR(__xludf.DUMMYFUNCTION("""COMPUTED_VALUE"""),"Colaba")</f>
        <v>Colaba</v>
      </c>
      <c r="D1223" s="18" t="str">
        <f>IFERROR(__xludf.DUMMYFUNCTION("""COMPUTED_VALUE"""),"Orange")</f>
        <v>Orange</v>
      </c>
      <c r="E1223" s="18">
        <f>IFERROR(__xludf.DUMMYFUNCTION("""COMPUTED_VALUE"""),1.0)</f>
        <v>1</v>
      </c>
      <c r="F1223" s="18" t="str">
        <f>IFERROR(__xludf.DUMMYFUNCTION("""COMPUTED_VALUE"""),"Venu R")</f>
        <v>Venu R</v>
      </c>
      <c r="G1223" s="19">
        <f>IFERROR(__xludf.DUMMYFUNCTION("""COMPUTED_VALUE"""),45288.0)</f>
        <v>45288</v>
      </c>
      <c r="H1223" s="18" t="str">
        <f>IFERROR(__xludf.DUMMYFUNCTION("""COMPUTED_VALUE"""),"Credit Card")</f>
        <v>Credit Card</v>
      </c>
      <c r="I1223" s="18" t="str">
        <f>IFERROR(__xludf.DUMMYFUNCTION("""COMPUTED_VALUE"""),"Delivered")</f>
        <v>Delivered</v>
      </c>
      <c r="J1223" s="18" t="str">
        <f>IFERROR(__xludf.DUMMYFUNCTION("""COMPUTED_VALUE"""),"Customer Service")</f>
        <v>Customer Service</v>
      </c>
      <c r="K1223" s="18" t="str">
        <f>IFERROR(__xludf.DUMMYFUNCTION("""COMPUTED_VALUE"""),"Seamless and easy")</f>
        <v>Seamless and easy</v>
      </c>
      <c r="L1223" s="18">
        <f>iferror(VLOOKUP($D1223,Details!$A$2:$C$11,2,false),vlookup($D1223,Details!$E$2:$G$11,2,false))</f>
        <v>180</v>
      </c>
      <c r="M1223" s="18" t="str">
        <f>iferror(VLOOKUP($D1223,Details!$A$2:$C$11,3,false),vlookup($D1223,Details!$E$2:$G$11,3,false))</f>
        <v>Fruits and Vegetables</v>
      </c>
      <c r="N1223" s="18">
        <f t="shared" si="1"/>
        <v>180</v>
      </c>
      <c r="O1223" s="17"/>
      <c r="P1223" s="17"/>
      <c r="Q1223" s="17"/>
      <c r="R1223" s="17"/>
      <c r="S1223" s="17"/>
      <c r="T1223" s="17"/>
      <c r="U1223" s="17"/>
      <c r="V1223" s="17"/>
      <c r="W1223" s="17"/>
      <c r="X1223" s="17"/>
      <c r="Y1223" s="17"/>
      <c r="Z1223" s="17"/>
    </row>
    <row r="1224">
      <c r="A1224" s="18" t="str">
        <f>IFERROR(__xludf.DUMMYFUNCTION("""COMPUTED_VALUE"""),"ord_61202")</f>
        <v>ord_61202</v>
      </c>
      <c r="B1224" s="18" t="str">
        <f>IFERROR(__xludf.DUMMYFUNCTION("""COMPUTED_VALUE"""),"Ishaan Chaturvedi")</f>
        <v>Ishaan Chaturvedi</v>
      </c>
      <c r="C1224" s="18" t="str">
        <f>IFERROR(__xludf.DUMMYFUNCTION("""COMPUTED_VALUE"""),"Bandra")</f>
        <v>Bandra</v>
      </c>
      <c r="D1224" s="18" t="str">
        <f>IFERROR(__xludf.DUMMYFUNCTION("""COMPUTED_VALUE"""),"Onion")</f>
        <v>Onion</v>
      </c>
      <c r="E1224" s="18">
        <f>IFERROR(__xludf.DUMMYFUNCTION("""COMPUTED_VALUE"""),2.0)</f>
        <v>2</v>
      </c>
      <c r="F1224" s="18" t="str">
        <f>IFERROR(__xludf.DUMMYFUNCTION("""COMPUTED_VALUE"""),"Nithin Lal")</f>
        <v>Nithin Lal</v>
      </c>
      <c r="G1224" s="19">
        <f>IFERROR(__xludf.DUMMYFUNCTION("""COMPUTED_VALUE"""),44983.0)</f>
        <v>44983</v>
      </c>
      <c r="H1224" s="18" t="str">
        <f>IFERROR(__xludf.DUMMYFUNCTION("""COMPUTED_VALUE"""),"COD")</f>
        <v>COD</v>
      </c>
      <c r="I1224" s="18" t="str">
        <f>IFERROR(__xludf.DUMMYFUNCTION("""COMPUTED_VALUE"""),"Delivered")</f>
        <v>Delivered</v>
      </c>
      <c r="J1224" s="18" t="str">
        <f>IFERROR(__xludf.DUMMYFUNCTION("""COMPUTED_VALUE"""),"Delivery Experience")</f>
        <v>Delivery Experience</v>
      </c>
      <c r="K1224" s="18" t="str">
        <f>IFERROR(__xludf.DUMMYFUNCTION("""COMPUTED_VALUE"""),"Quick and professional")</f>
        <v>Quick and professional</v>
      </c>
      <c r="L1224" s="18">
        <f>iferror(VLOOKUP($D1224,Details!$A$2:$C$11,2,false),vlookup($D1224,Details!$E$2:$G$11,2,false))</f>
        <v>84</v>
      </c>
      <c r="M1224" s="18" t="str">
        <f>iferror(VLOOKUP($D1224,Details!$A$2:$C$11,3,false),vlookup($D1224,Details!$E$2:$G$11,3,false))</f>
        <v>Fruits and Vegetables</v>
      </c>
      <c r="N1224" s="18">
        <f t="shared" si="1"/>
        <v>168</v>
      </c>
      <c r="O1224" s="17"/>
      <c r="P1224" s="17"/>
      <c r="Q1224" s="17"/>
      <c r="R1224" s="17"/>
      <c r="S1224" s="17"/>
      <c r="T1224" s="17"/>
      <c r="U1224" s="17"/>
      <c r="V1224" s="17"/>
      <c r="W1224" s="17"/>
      <c r="X1224" s="17"/>
      <c r="Y1224" s="17"/>
      <c r="Z1224" s="17"/>
    </row>
    <row r="1225">
      <c r="A1225" s="18" t="str">
        <f>IFERROR(__xludf.DUMMYFUNCTION("""COMPUTED_VALUE"""),"ord_61203")</f>
        <v>ord_61203</v>
      </c>
      <c r="B1225" s="18" t="str">
        <f>IFERROR(__xludf.DUMMYFUNCTION("""COMPUTED_VALUE"""),"Pranav Joshi")</f>
        <v>Pranav Joshi</v>
      </c>
      <c r="C1225" s="18" t="str">
        <f>IFERROR(__xludf.DUMMYFUNCTION("""COMPUTED_VALUE"""),"Andheri")</f>
        <v>Andheri</v>
      </c>
      <c r="D1225" s="18" t="str">
        <f>IFERROR(__xludf.DUMMYFUNCTION("""COMPUTED_VALUE"""),"Onion")</f>
        <v>Onion</v>
      </c>
      <c r="E1225" s="18">
        <f>IFERROR(__xludf.DUMMYFUNCTION("""COMPUTED_VALUE"""),1.0)</f>
        <v>1</v>
      </c>
      <c r="F1225" s="18" t="str">
        <f>IFERROR(__xludf.DUMMYFUNCTION("""COMPUTED_VALUE"""),"Vivek Kumar")</f>
        <v>Vivek Kumar</v>
      </c>
      <c r="G1225" s="19">
        <f>IFERROR(__xludf.DUMMYFUNCTION("""COMPUTED_VALUE"""),45112.0)</f>
        <v>45112</v>
      </c>
      <c r="H1225" s="18" t="str">
        <f>IFERROR(__xludf.DUMMYFUNCTION("""COMPUTED_VALUE"""),"COD")</f>
        <v>COD</v>
      </c>
      <c r="I1225" s="18" t="str">
        <f>IFERROR(__xludf.DUMMYFUNCTION("""COMPUTED_VALUE"""),"Delivered")</f>
        <v>Delivered</v>
      </c>
      <c r="J1225" s="18" t="str">
        <f>IFERROR(__xludf.DUMMYFUNCTION("""COMPUTED_VALUE"""),"Convenience")</f>
        <v>Convenience</v>
      </c>
      <c r="K1225" s="18" t="str">
        <f>IFERROR(__xludf.DUMMYFUNCTION("""COMPUTED_VALUE"""),"Easy tracking")</f>
        <v>Easy tracking</v>
      </c>
      <c r="L1225" s="18">
        <f>iferror(VLOOKUP($D1225,Details!$A$2:$C$11,2,false),vlookup($D1225,Details!$E$2:$G$11,2,false))</f>
        <v>84</v>
      </c>
      <c r="M1225" s="18" t="str">
        <f>iferror(VLOOKUP($D1225,Details!$A$2:$C$11,3,false),vlookup($D1225,Details!$E$2:$G$11,3,false))</f>
        <v>Fruits and Vegetables</v>
      </c>
      <c r="N1225" s="18">
        <f t="shared" si="1"/>
        <v>84</v>
      </c>
      <c r="O1225" s="17"/>
      <c r="P1225" s="17"/>
      <c r="Q1225" s="17"/>
      <c r="R1225" s="17"/>
      <c r="S1225" s="17"/>
      <c r="T1225" s="17"/>
      <c r="U1225" s="17"/>
      <c r="V1225" s="17"/>
      <c r="W1225" s="17"/>
      <c r="X1225" s="17"/>
      <c r="Y1225" s="17"/>
      <c r="Z1225" s="17"/>
    </row>
    <row r="1226">
      <c r="A1226" s="18" t="str">
        <f>IFERROR(__xludf.DUMMYFUNCTION("""COMPUTED_VALUE"""),"ord_61204")</f>
        <v>ord_61204</v>
      </c>
      <c r="B1226" s="18" t="str">
        <f>IFERROR(__xludf.DUMMYFUNCTION("""COMPUTED_VALUE"""),"Anaya Rao")</f>
        <v>Anaya Rao</v>
      </c>
      <c r="C1226" s="18" t="str">
        <f>IFERROR(__xludf.DUMMYFUNCTION("""COMPUTED_VALUE"""),"Colaba")</f>
        <v>Colaba</v>
      </c>
      <c r="D1226" s="18" t="str">
        <f>IFERROR(__xludf.DUMMYFUNCTION("""COMPUTED_VALUE"""),"Rasmalai")</f>
        <v>Rasmalai</v>
      </c>
      <c r="E1226" s="18">
        <f>IFERROR(__xludf.DUMMYFUNCTION("""COMPUTED_VALUE"""),1.0)</f>
        <v>1</v>
      </c>
      <c r="F1226" s="18" t="str">
        <f>IFERROR(__xludf.DUMMYFUNCTION("""COMPUTED_VALUE"""),"Sita T")</f>
        <v>Sita T</v>
      </c>
      <c r="G1226" s="19">
        <f>IFERROR(__xludf.DUMMYFUNCTION("""COMPUTED_VALUE"""),45167.0)</f>
        <v>45167</v>
      </c>
      <c r="H1226" s="18" t="str">
        <f>IFERROR(__xludf.DUMMYFUNCTION("""COMPUTED_VALUE"""),"Credit Card")</f>
        <v>Credit Card</v>
      </c>
      <c r="I1226" s="18" t="str">
        <f>IFERROR(__xludf.DUMMYFUNCTION("""COMPUTED_VALUE"""),"Delivered")</f>
        <v>Delivered</v>
      </c>
      <c r="J1226" s="18" t="str">
        <f>IFERROR(__xludf.DUMMYFUNCTION("""COMPUTED_VALUE"""),"Overall Satisfaction")</f>
        <v>Overall Satisfaction</v>
      </c>
      <c r="K1226" s="18" t="str">
        <f>IFERROR(__xludf.DUMMYFUNCTION("""COMPUTED_VALUE"""),"Great service will order again")</f>
        <v>Great service will order again</v>
      </c>
      <c r="L1226" s="18">
        <f>iferror(VLOOKUP($D1226,Details!$A$2:$C$11,2,false),vlookup($D1226,Details!$E$2:$G$11,2,false))</f>
        <v>110</v>
      </c>
      <c r="M1226" s="18" t="str">
        <f>iferror(VLOOKUP($D1226,Details!$A$2:$C$11,3,false),vlookup($D1226,Details!$E$2:$G$11,3,false))</f>
        <v>Snacks and Drinks</v>
      </c>
      <c r="N1226" s="18">
        <f t="shared" si="1"/>
        <v>110</v>
      </c>
      <c r="O1226" s="17"/>
      <c r="P1226" s="17"/>
      <c r="Q1226" s="17"/>
      <c r="R1226" s="17"/>
      <c r="S1226" s="17"/>
      <c r="T1226" s="17"/>
      <c r="U1226" s="17"/>
      <c r="V1226" s="17"/>
      <c r="W1226" s="17"/>
      <c r="X1226" s="17"/>
      <c r="Y1226" s="17"/>
      <c r="Z1226" s="17"/>
    </row>
    <row r="1227">
      <c r="A1227" s="18" t="str">
        <f>IFERROR(__xludf.DUMMYFUNCTION("""COMPUTED_VALUE"""),"ord_61205")</f>
        <v>ord_61205</v>
      </c>
      <c r="B1227" s="18" t="str">
        <f>IFERROR(__xludf.DUMMYFUNCTION("""COMPUTED_VALUE"""),"Ishita Banerjee")</f>
        <v>Ishita Banerjee</v>
      </c>
      <c r="C1227" s="18" t="str">
        <f>IFERROR(__xludf.DUMMYFUNCTION("""COMPUTED_VALUE"""),"Juhu")</f>
        <v>Juhu</v>
      </c>
      <c r="D1227" s="18" t="str">
        <f>IFERROR(__xludf.DUMMYFUNCTION("""COMPUTED_VALUE"""),"Veg Puff")</f>
        <v>Veg Puff</v>
      </c>
      <c r="E1227" s="18">
        <f>IFERROR(__xludf.DUMMYFUNCTION("""COMPUTED_VALUE"""),1.0)</f>
        <v>1</v>
      </c>
      <c r="F1227" s="18" t="str">
        <f>IFERROR(__xludf.DUMMYFUNCTION("""COMPUTED_VALUE"""),"Nithin Lal")</f>
        <v>Nithin Lal</v>
      </c>
      <c r="G1227" s="19">
        <f>IFERROR(__xludf.DUMMYFUNCTION("""COMPUTED_VALUE"""),45250.0)</f>
        <v>45250</v>
      </c>
      <c r="H1227" s="18" t="str">
        <f>IFERROR(__xludf.DUMMYFUNCTION("""COMPUTED_VALUE"""),"Credit Card")</f>
        <v>Credit Card</v>
      </c>
      <c r="I1227" s="18" t="str">
        <f>IFERROR(__xludf.DUMMYFUNCTION("""COMPUTED_VALUE"""),"Cancelled")</f>
        <v>Cancelled</v>
      </c>
      <c r="J1227" s="18" t="str">
        <f>IFERROR(__xludf.DUMMYFUNCTION("""COMPUTED_VALUE"""),"Delayed Delivery")</f>
        <v>Delayed Delivery</v>
      </c>
      <c r="K1227" s="18" t="str">
        <f>IFERROR(__xludf.DUMMYFUNCTION("""COMPUTED_VALUE"""),"Heavy Traffic")</f>
        <v>Heavy Traffic</v>
      </c>
      <c r="L1227" s="18">
        <f>iferror(VLOOKUP($D1227,Details!$A$2:$C$11,2,false),vlookup($D1227,Details!$E$2:$G$11,2,false))</f>
        <v>80</v>
      </c>
      <c r="M1227" s="18" t="str">
        <f>iferror(VLOOKUP($D1227,Details!$A$2:$C$11,3,false),vlookup($D1227,Details!$E$2:$G$11,3,false))</f>
        <v>Snacks and Drinks</v>
      </c>
      <c r="N1227" s="18">
        <f t="shared" si="1"/>
        <v>80</v>
      </c>
      <c r="O1227" s="17"/>
      <c r="P1227" s="17"/>
      <c r="Q1227" s="17"/>
      <c r="R1227" s="17"/>
      <c r="S1227" s="17"/>
      <c r="T1227" s="17"/>
      <c r="U1227" s="17"/>
      <c r="V1227" s="17"/>
      <c r="W1227" s="17"/>
      <c r="X1227" s="17"/>
      <c r="Y1227" s="17"/>
      <c r="Z1227" s="17"/>
    </row>
    <row r="1228">
      <c r="A1228" s="18" t="str">
        <f>IFERROR(__xludf.DUMMYFUNCTION("""COMPUTED_VALUE"""),"ord_61206")</f>
        <v>ord_61206</v>
      </c>
      <c r="B1228" s="18" t="str">
        <f>IFERROR(__xludf.DUMMYFUNCTION("""COMPUTED_VALUE"""),"Aarav Mehta")</f>
        <v>Aarav Mehta</v>
      </c>
      <c r="C1228" s="18" t="str">
        <f>IFERROR(__xludf.DUMMYFUNCTION("""COMPUTED_VALUE"""),"Andheri")</f>
        <v>Andheri</v>
      </c>
      <c r="D1228" s="18" t="str">
        <f>IFERROR(__xludf.DUMMYFUNCTION("""COMPUTED_VALUE"""),"Guava")</f>
        <v>Guava</v>
      </c>
      <c r="E1228" s="18">
        <f>IFERROR(__xludf.DUMMYFUNCTION("""COMPUTED_VALUE"""),1.0)</f>
        <v>1</v>
      </c>
      <c r="F1228" s="18" t="str">
        <f>IFERROR(__xludf.DUMMYFUNCTION("""COMPUTED_VALUE"""),"Ramesh S")</f>
        <v>Ramesh S</v>
      </c>
      <c r="G1228" s="19">
        <f>IFERROR(__xludf.DUMMYFUNCTION("""COMPUTED_VALUE"""),45260.0)</f>
        <v>45260</v>
      </c>
      <c r="H1228" s="18" t="str">
        <f>IFERROR(__xludf.DUMMYFUNCTION("""COMPUTED_VALUE"""),"Credit Card")</f>
        <v>Credit Card</v>
      </c>
      <c r="I1228" s="18" t="str">
        <f>IFERROR(__xludf.DUMMYFUNCTION("""COMPUTED_VALUE"""),"Delivered")</f>
        <v>Delivered</v>
      </c>
      <c r="J1228" s="18" t="str">
        <f>IFERROR(__xludf.DUMMYFUNCTION("""COMPUTED_VALUE"""),"On-time Delivery")</f>
        <v>On-time Delivery</v>
      </c>
      <c r="K1228" s="18" t="str">
        <f>IFERROR(__xludf.DUMMYFUNCTION("""COMPUTED_VALUE"""),"Delivered on time")</f>
        <v>Delivered on time</v>
      </c>
      <c r="L1228" s="18">
        <f>iferror(VLOOKUP($D1228,Details!$A$2:$C$11,2,false),vlookup($D1228,Details!$E$2:$G$11,2,false))</f>
        <v>70</v>
      </c>
      <c r="M1228" s="18" t="str">
        <f>iferror(VLOOKUP($D1228,Details!$A$2:$C$11,3,false),vlookup($D1228,Details!$E$2:$G$11,3,false))</f>
        <v>Fruits and Vegetables</v>
      </c>
      <c r="N1228" s="18">
        <f t="shared" si="1"/>
        <v>70</v>
      </c>
      <c r="O1228" s="17"/>
      <c r="P1228" s="17"/>
      <c r="Q1228" s="17"/>
      <c r="R1228" s="17"/>
      <c r="S1228" s="17"/>
      <c r="T1228" s="17"/>
      <c r="U1228" s="17"/>
      <c r="V1228" s="17"/>
      <c r="W1228" s="17"/>
      <c r="X1228" s="17"/>
      <c r="Y1228" s="17"/>
      <c r="Z1228" s="17"/>
    </row>
    <row r="1229">
      <c r="A1229" s="18" t="str">
        <f>IFERROR(__xludf.DUMMYFUNCTION("""COMPUTED_VALUE"""),"ord_61207")</f>
        <v>ord_61207</v>
      </c>
      <c r="B1229" s="18" t="str">
        <f>IFERROR(__xludf.DUMMYFUNCTION("""COMPUTED_VALUE"""),"Sakshi Tandon")</f>
        <v>Sakshi Tandon</v>
      </c>
      <c r="C1229" s="18" t="str">
        <f>IFERROR(__xludf.DUMMYFUNCTION("""COMPUTED_VALUE"""),"Colaba")</f>
        <v>Colaba</v>
      </c>
      <c r="D1229" s="18" t="str">
        <f>IFERROR(__xludf.DUMMYFUNCTION("""COMPUTED_VALUE"""),"Apple")</f>
        <v>Apple</v>
      </c>
      <c r="E1229" s="18">
        <f>IFERROR(__xludf.DUMMYFUNCTION("""COMPUTED_VALUE"""),1.0)</f>
        <v>1</v>
      </c>
      <c r="F1229" s="18" t="str">
        <f>IFERROR(__xludf.DUMMYFUNCTION("""COMPUTED_VALUE"""),"Sita T")</f>
        <v>Sita T</v>
      </c>
      <c r="G1229" s="19">
        <f>IFERROR(__xludf.DUMMYFUNCTION("""COMPUTED_VALUE"""),45262.0)</f>
        <v>45262</v>
      </c>
      <c r="H1229" s="18" t="str">
        <f>IFERROR(__xludf.DUMMYFUNCTION("""COMPUTED_VALUE"""),"COD")</f>
        <v>COD</v>
      </c>
      <c r="I1229" s="18" t="str">
        <f>IFERROR(__xludf.DUMMYFUNCTION("""COMPUTED_VALUE"""),"Delivered")</f>
        <v>Delivered</v>
      </c>
      <c r="J1229" s="18" t="str">
        <f>IFERROR(__xludf.DUMMYFUNCTION("""COMPUTED_VALUE"""),"Quality of Items")</f>
        <v>Quality of Items</v>
      </c>
      <c r="K1229" s="18" t="str">
        <f>IFERROR(__xludf.DUMMYFUNCTION("""COMPUTED_VALUE"""),"Perfect condition")</f>
        <v>Perfect condition</v>
      </c>
      <c r="L1229" s="18">
        <f>iferror(VLOOKUP($D1229,Details!$A$2:$C$11,2,false),vlookup($D1229,Details!$E$2:$G$11,2,false))</f>
        <v>230</v>
      </c>
      <c r="M1229" s="18" t="str">
        <f>iferror(VLOOKUP($D1229,Details!$A$2:$C$11,3,false),vlookup($D1229,Details!$E$2:$G$11,3,false))</f>
        <v>Fruits and Vegetables</v>
      </c>
      <c r="N1229" s="18">
        <f t="shared" si="1"/>
        <v>230</v>
      </c>
      <c r="O1229" s="17"/>
      <c r="P1229" s="17"/>
      <c r="Q1229" s="17"/>
      <c r="R1229" s="17"/>
      <c r="S1229" s="17"/>
      <c r="T1229" s="17"/>
      <c r="U1229" s="17"/>
      <c r="V1229" s="17"/>
      <c r="W1229" s="17"/>
      <c r="X1229" s="17"/>
      <c r="Y1229" s="17"/>
      <c r="Z1229" s="17"/>
    </row>
    <row r="1230">
      <c r="A1230" s="18" t="str">
        <f>IFERROR(__xludf.DUMMYFUNCTION("""COMPUTED_VALUE"""),"ord_61208")</f>
        <v>ord_61208</v>
      </c>
      <c r="B1230" s="18" t="str">
        <f>IFERROR(__xludf.DUMMYFUNCTION("""COMPUTED_VALUE"""),"Anaya Rao")</f>
        <v>Anaya Rao</v>
      </c>
      <c r="C1230" s="18" t="str">
        <f>IFERROR(__xludf.DUMMYFUNCTION("""COMPUTED_VALUE"""),"Colaba")</f>
        <v>Colaba</v>
      </c>
      <c r="D1230" s="18" t="str">
        <f>IFERROR(__xludf.DUMMYFUNCTION("""COMPUTED_VALUE"""),"Tiramisu")</f>
        <v>Tiramisu</v>
      </c>
      <c r="E1230" s="18">
        <f>IFERROR(__xludf.DUMMYFUNCTION("""COMPUTED_VALUE"""),5.0)</f>
        <v>5</v>
      </c>
      <c r="F1230" s="18" t="str">
        <f>IFERROR(__xludf.DUMMYFUNCTION("""COMPUTED_VALUE"""),"Nithin Lal")</f>
        <v>Nithin Lal</v>
      </c>
      <c r="G1230" s="19">
        <f>IFERROR(__xludf.DUMMYFUNCTION("""COMPUTED_VALUE"""),45190.0)</f>
        <v>45190</v>
      </c>
      <c r="H1230" s="18" t="str">
        <f>IFERROR(__xludf.DUMMYFUNCTION("""COMPUTED_VALUE"""),"Credit Card")</f>
        <v>Credit Card</v>
      </c>
      <c r="I1230" s="18" t="str">
        <f>IFERROR(__xludf.DUMMYFUNCTION("""COMPUTED_VALUE"""),"Delivered")</f>
        <v>Delivered</v>
      </c>
      <c r="J1230" s="18" t="str">
        <f>IFERROR(__xludf.DUMMYFUNCTION("""COMPUTED_VALUE"""),"On-time Delivery")</f>
        <v>On-time Delivery</v>
      </c>
      <c r="K1230" s="18" t="str">
        <f>IFERROR(__xludf.DUMMYFUNCTION("""COMPUTED_VALUE"""),"Delivered on time")</f>
        <v>Delivered on time</v>
      </c>
      <c r="L1230" s="18">
        <f>iferror(VLOOKUP($D1230,Details!$A$2:$C$11,2,false),vlookup($D1230,Details!$E$2:$G$11,2,false))</f>
        <v>150</v>
      </c>
      <c r="M1230" s="18" t="str">
        <f>iferror(VLOOKUP($D1230,Details!$A$2:$C$11,3,false),vlookup($D1230,Details!$E$2:$G$11,3,false))</f>
        <v>Snacks and Drinks</v>
      </c>
      <c r="N1230" s="18">
        <f t="shared" si="1"/>
        <v>750</v>
      </c>
      <c r="O1230" s="17"/>
      <c r="P1230" s="17"/>
      <c r="Q1230" s="17"/>
      <c r="R1230" s="17"/>
      <c r="S1230" s="17"/>
      <c r="T1230" s="17"/>
      <c r="U1230" s="17"/>
      <c r="V1230" s="17"/>
      <c r="W1230" s="17"/>
      <c r="X1230" s="17"/>
      <c r="Y1230" s="17"/>
      <c r="Z1230" s="17"/>
    </row>
    <row r="1231">
      <c r="A1231" s="18" t="str">
        <f>IFERROR(__xludf.DUMMYFUNCTION("""COMPUTED_VALUE"""),"ord_61209")</f>
        <v>ord_61209</v>
      </c>
      <c r="B1231" s="18" t="str">
        <f>IFERROR(__xludf.DUMMYFUNCTION("""COMPUTED_VALUE"""),"Omkar Mishra")</f>
        <v>Omkar Mishra</v>
      </c>
      <c r="C1231" s="18" t="str">
        <f>IFERROR(__xludf.DUMMYFUNCTION("""COMPUTED_VALUE"""),"Powai")</f>
        <v>Powai</v>
      </c>
      <c r="D1231" s="18" t="str">
        <f>IFERROR(__xludf.DUMMYFUNCTION("""COMPUTED_VALUE"""),"Onion")</f>
        <v>Onion</v>
      </c>
      <c r="E1231" s="18">
        <f>IFERROR(__xludf.DUMMYFUNCTION("""COMPUTED_VALUE"""),2.0)</f>
        <v>2</v>
      </c>
      <c r="F1231" s="18" t="str">
        <f>IFERROR(__xludf.DUMMYFUNCTION("""COMPUTED_VALUE"""),"Nithin Lal")</f>
        <v>Nithin Lal</v>
      </c>
      <c r="G1231" s="19">
        <f>IFERROR(__xludf.DUMMYFUNCTION("""COMPUTED_VALUE"""),45198.0)</f>
        <v>45198</v>
      </c>
      <c r="H1231" s="18" t="str">
        <f>IFERROR(__xludf.DUMMYFUNCTION("""COMPUTED_VALUE"""),"UPI")</f>
        <v>UPI</v>
      </c>
      <c r="I1231" s="18" t="str">
        <f>IFERROR(__xludf.DUMMYFUNCTION("""COMPUTED_VALUE"""),"Delivered")</f>
        <v>Delivered</v>
      </c>
      <c r="J1231" s="18" t="str">
        <f>IFERROR(__xludf.DUMMYFUNCTION("""COMPUTED_VALUE"""),"Quality of Items")</f>
        <v>Quality of Items</v>
      </c>
      <c r="K1231" s="18" t="str">
        <f>IFERROR(__xludf.DUMMYFUNCTION("""COMPUTED_VALUE"""),"Perfect condition")</f>
        <v>Perfect condition</v>
      </c>
      <c r="L1231" s="18">
        <f>iferror(VLOOKUP($D1231,Details!$A$2:$C$11,2,false),vlookup($D1231,Details!$E$2:$G$11,2,false))</f>
        <v>84</v>
      </c>
      <c r="M1231" s="18" t="str">
        <f>iferror(VLOOKUP($D1231,Details!$A$2:$C$11,3,false),vlookup($D1231,Details!$E$2:$G$11,3,false))</f>
        <v>Fruits and Vegetables</v>
      </c>
      <c r="N1231" s="18">
        <f t="shared" si="1"/>
        <v>168</v>
      </c>
      <c r="O1231" s="17"/>
      <c r="P1231" s="17"/>
      <c r="Q1231" s="17"/>
      <c r="R1231" s="17"/>
      <c r="S1231" s="17"/>
      <c r="T1231" s="17"/>
      <c r="U1231" s="17"/>
      <c r="V1231" s="17"/>
      <c r="W1231" s="17"/>
      <c r="X1231" s="17"/>
      <c r="Y1231" s="17"/>
      <c r="Z1231" s="17"/>
    </row>
    <row r="1232">
      <c r="A1232" s="18" t="str">
        <f>IFERROR(__xludf.DUMMYFUNCTION("""COMPUTED_VALUE"""),"ord_61210")</f>
        <v>ord_61210</v>
      </c>
      <c r="B1232" s="18" t="str">
        <f>IFERROR(__xludf.DUMMYFUNCTION("""COMPUTED_VALUE"""),"Aarohi Kapoor")</f>
        <v>Aarohi Kapoor</v>
      </c>
      <c r="C1232" s="18" t="str">
        <f>IFERROR(__xludf.DUMMYFUNCTION("""COMPUTED_VALUE"""),"Bandra")</f>
        <v>Bandra</v>
      </c>
      <c r="D1232" s="18" t="str">
        <f>IFERROR(__xludf.DUMMYFUNCTION("""COMPUTED_VALUE"""),"Banana")</f>
        <v>Banana</v>
      </c>
      <c r="E1232" s="18">
        <f>IFERROR(__xludf.DUMMYFUNCTION("""COMPUTED_VALUE"""),2.0)</f>
        <v>2</v>
      </c>
      <c r="F1232" s="18" t="str">
        <f>IFERROR(__xludf.DUMMYFUNCTION("""COMPUTED_VALUE"""),"Venu R")</f>
        <v>Venu R</v>
      </c>
      <c r="G1232" s="19">
        <f>IFERROR(__xludf.DUMMYFUNCTION("""COMPUTED_VALUE"""),44959.0)</f>
        <v>44959</v>
      </c>
      <c r="H1232" s="18" t="str">
        <f>IFERROR(__xludf.DUMMYFUNCTION("""COMPUTED_VALUE"""),"Credit Card")</f>
        <v>Credit Card</v>
      </c>
      <c r="I1232" s="18" t="str">
        <f>IFERROR(__xludf.DUMMYFUNCTION("""COMPUTED_VALUE"""),"Delivered")</f>
        <v>Delivered</v>
      </c>
      <c r="J1232" s="18" t="str">
        <f>IFERROR(__xludf.DUMMYFUNCTION("""COMPUTED_VALUE"""),"Packaging")</f>
        <v>Packaging</v>
      </c>
      <c r="K1232" s="18" t="str">
        <f>IFERROR(__xludf.DUMMYFUNCTION("""COMPUTED_VALUE"""),"Secure and intact")</f>
        <v>Secure and intact</v>
      </c>
      <c r="L1232" s="18">
        <f>iferror(VLOOKUP($D1232,Details!$A$2:$C$11,2,false),vlookup($D1232,Details!$E$2:$G$11,2,false))</f>
        <v>80</v>
      </c>
      <c r="M1232" s="18" t="str">
        <f>iferror(VLOOKUP($D1232,Details!$A$2:$C$11,3,false),vlookup($D1232,Details!$E$2:$G$11,3,false))</f>
        <v>Fruits and Vegetables</v>
      </c>
      <c r="N1232" s="18">
        <f t="shared" si="1"/>
        <v>160</v>
      </c>
      <c r="O1232" s="17"/>
      <c r="P1232" s="17"/>
      <c r="Q1232" s="17"/>
      <c r="R1232" s="17"/>
      <c r="S1232" s="17"/>
      <c r="T1232" s="17"/>
      <c r="U1232" s="17"/>
      <c r="V1232" s="17"/>
      <c r="W1232" s="17"/>
      <c r="X1232" s="17"/>
      <c r="Y1232" s="17"/>
      <c r="Z1232" s="17"/>
    </row>
    <row r="1233">
      <c r="A1233" s="18" t="str">
        <f>IFERROR(__xludf.DUMMYFUNCTION("""COMPUTED_VALUE"""),"ord_61211")</f>
        <v>ord_61211</v>
      </c>
      <c r="B1233" s="18" t="str">
        <f>IFERROR(__xludf.DUMMYFUNCTION("""COMPUTED_VALUE"""),"Mohit Malhotra")</f>
        <v>Mohit Malhotra</v>
      </c>
      <c r="C1233" s="18" t="str">
        <f>IFERROR(__xludf.DUMMYFUNCTION("""COMPUTED_VALUE"""),"Lower Parel")</f>
        <v>Lower Parel</v>
      </c>
      <c r="D1233" s="18" t="str">
        <f>IFERROR(__xludf.DUMMYFUNCTION("""COMPUTED_VALUE"""),"Cold Coffee")</f>
        <v>Cold Coffee</v>
      </c>
      <c r="E1233" s="18">
        <f>IFERROR(__xludf.DUMMYFUNCTION("""COMPUTED_VALUE"""),3.0)</f>
        <v>3</v>
      </c>
      <c r="F1233" s="18" t="str">
        <f>IFERROR(__xludf.DUMMYFUNCTION("""COMPUTED_VALUE"""),"Vivek Kumar")</f>
        <v>Vivek Kumar</v>
      </c>
      <c r="G1233" s="19">
        <f>IFERROR(__xludf.DUMMYFUNCTION("""COMPUTED_VALUE"""),45249.0)</f>
        <v>45249</v>
      </c>
      <c r="H1233" s="18" t="str">
        <f>IFERROR(__xludf.DUMMYFUNCTION("""COMPUTED_VALUE"""),"COD")</f>
        <v>COD</v>
      </c>
      <c r="I1233" s="18" t="str">
        <f>IFERROR(__xludf.DUMMYFUNCTION("""COMPUTED_VALUE"""),"Delivered")</f>
        <v>Delivered</v>
      </c>
      <c r="J1233" s="18" t="str">
        <f>IFERROR(__xludf.DUMMYFUNCTION("""COMPUTED_VALUE"""),"Satisfied with the Delivery")</f>
        <v>Satisfied with the Delivery</v>
      </c>
      <c r="K1233" s="18" t="str">
        <f>IFERROR(__xludf.DUMMYFUNCTION("""COMPUTED_VALUE"""),"Timely and quality")</f>
        <v>Timely and quality</v>
      </c>
      <c r="L1233" s="18">
        <f>iferror(VLOOKUP($D1233,Details!$A$2:$C$11,2,false),vlookup($D1233,Details!$E$2:$G$11,2,false))</f>
        <v>270</v>
      </c>
      <c r="M1233" s="18" t="str">
        <f>iferror(VLOOKUP($D1233,Details!$A$2:$C$11,3,false),vlookup($D1233,Details!$E$2:$G$11,3,false))</f>
        <v>Snacks and Drinks</v>
      </c>
      <c r="N1233" s="18">
        <f t="shared" si="1"/>
        <v>810</v>
      </c>
      <c r="O1233" s="17"/>
      <c r="P1233" s="17"/>
      <c r="Q1233" s="17"/>
      <c r="R1233" s="17"/>
      <c r="S1233" s="17"/>
      <c r="T1233" s="17"/>
      <c r="U1233" s="17"/>
      <c r="V1233" s="17"/>
      <c r="W1233" s="17"/>
      <c r="X1233" s="17"/>
      <c r="Y1233" s="17"/>
      <c r="Z1233" s="17"/>
    </row>
    <row r="1234">
      <c r="A1234" s="18" t="str">
        <f>IFERROR(__xludf.DUMMYFUNCTION("""COMPUTED_VALUE"""),"ord_61212")</f>
        <v>ord_61212</v>
      </c>
      <c r="B1234" s="18" t="str">
        <f>IFERROR(__xludf.DUMMYFUNCTION("""COMPUTED_VALUE"""),"Mehul Thakkar")</f>
        <v>Mehul Thakkar</v>
      </c>
      <c r="C1234" s="18" t="str">
        <f>IFERROR(__xludf.DUMMYFUNCTION("""COMPUTED_VALUE"""),"Malad")</f>
        <v>Malad</v>
      </c>
      <c r="D1234" s="18" t="str">
        <f>IFERROR(__xludf.DUMMYFUNCTION("""COMPUTED_VALUE"""),"Icecream")</f>
        <v>Icecream</v>
      </c>
      <c r="E1234" s="18">
        <f>IFERROR(__xludf.DUMMYFUNCTION("""COMPUTED_VALUE"""),4.0)</f>
        <v>4</v>
      </c>
      <c r="F1234" s="18" t="str">
        <f>IFERROR(__xludf.DUMMYFUNCTION("""COMPUTED_VALUE"""),"Not Assigned")</f>
        <v>Not Assigned</v>
      </c>
      <c r="G1234" s="19">
        <f>IFERROR(__xludf.DUMMYFUNCTION("""COMPUTED_VALUE"""),45055.0)</f>
        <v>45055</v>
      </c>
      <c r="H1234" s="18" t="str">
        <f>IFERROR(__xludf.DUMMYFUNCTION("""COMPUTED_VALUE"""),"Credit Card")</f>
        <v>Credit Card</v>
      </c>
      <c r="I1234" s="18" t="str">
        <f>IFERROR(__xludf.DUMMYFUNCTION("""COMPUTED_VALUE"""),"Cancelled")</f>
        <v>Cancelled</v>
      </c>
      <c r="J1234" s="18" t="str">
        <f>IFERROR(__xludf.DUMMYFUNCTION("""COMPUTED_VALUE"""),"App Glitches")</f>
        <v>App Glitches</v>
      </c>
      <c r="K1234" s="18" t="str">
        <f>IFERROR(__xludf.DUMMYFUNCTION("""COMPUTED_VALUE"""),"Missing Content")</f>
        <v>Missing Content</v>
      </c>
      <c r="L1234" s="18">
        <f>iferror(VLOOKUP($D1234,Details!$A$2:$C$11,2,false),vlookup($D1234,Details!$E$2:$G$11,2,false))</f>
        <v>90</v>
      </c>
      <c r="M1234" s="18" t="str">
        <f>iferror(VLOOKUP($D1234,Details!$A$2:$C$11,3,false),vlookup($D1234,Details!$E$2:$G$11,3,false))</f>
        <v>Snacks and Drinks</v>
      </c>
      <c r="N1234" s="18">
        <f t="shared" si="1"/>
        <v>360</v>
      </c>
      <c r="O1234" s="17"/>
      <c r="P1234" s="17"/>
      <c r="Q1234" s="17"/>
      <c r="R1234" s="17"/>
      <c r="S1234" s="17"/>
      <c r="T1234" s="17"/>
      <c r="U1234" s="17"/>
      <c r="V1234" s="17"/>
      <c r="W1234" s="17"/>
      <c r="X1234" s="17"/>
      <c r="Y1234" s="17"/>
      <c r="Z1234" s="17"/>
    </row>
    <row r="1235">
      <c r="A1235" s="18" t="str">
        <f>IFERROR(__xludf.DUMMYFUNCTION("""COMPUTED_VALUE"""),"ord_61213")</f>
        <v>ord_61213</v>
      </c>
      <c r="B1235" s="18" t="str">
        <f>IFERROR(__xludf.DUMMYFUNCTION("""COMPUTED_VALUE"""),"Sakshi Tandon")</f>
        <v>Sakshi Tandon</v>
      </c>
      <c r="C1235" s="18" t="str">
        <f>IFERROR(__xludf.DUMMYFUNCTION("""COMPUTED_VALUE"""),"Colaba")</f>
        <v>Colaba</v>
      </c>
      <c r="D1235" s="18" t="str">
        <f>IFERROR(__xludf.DUMMYFUNCTION("""COMPUTED_VALUE"""),"Icecream")</f>
        <v>Icecream</v>
      </c>
      <c r="E1235" s="18">
        <f>IFERROR(__xludf.DUMMYFUNCTION("""COMPUTED_VALUE"""),5.0)</f>
        <v>5</v>
      </c>
      <c r="F1235" s="18" t="str">
        <f>IFERROR(__xludf.DUMMYFUNCTION("""COMPUTED_VALUE"""),"Shine Thomas")</f>
        <v>Shine Thomas</v>
      </c>
      <c r="G1235" s="19">
        <f>IFERROR(__xludf.DUMMYFUNCTION("""COMPUTED_VALUE"""),45228.0)</f>
        <v>45228</v>
      </c>
      <c r="H1235" s="18" t="str">
        <f>IFERROR(__xludf.DUMMYFUNCTION("""COMPUTED_VALUE"""),"COD")</f>
        <v>COD</v>
      </c>
      <c r="I1235" s="18" t="str">
        <f>IFERROR(__xludf.DUMMYFUNCTION("""COMPUTED_VALUE"""),"Delivered")</f>
        <v>Delivered</v>
      </c>
      <c r="J1235" s="18" t="str">
        <f>IFERROR(__xludf.DUMMYFUNCTION("""COMPUTED_VALUE"""),"Customer Service")</f>
        <v>Customer Service</v>
      </c>
      <c r="K1235" s="18" t="str">
        <f>IFERROR(__xludf.DUMMYFUNCTION("""COMPUTED_VALUE"""),"Seamless and easy")</f>
        <v>Seamless and easy</v>
      </c>
      <c r="L1235" s="18">
        <f>iferror(VLOOKUP($D1235,Details!$A$2:$C$11,2,false),vlookup($D1235,Details!$E$2:$G$11,2,false))</f>
        <v>90</v>
      </c>
      <c r="M1235" s="18" t="str">
        <f>iferror(VLOOKUP($D1235,Details!$A$2:$C$11,3,false),vlookup($D1235,Details!$E$2:$G$11,3,false))</f>
        <v>Snacks and Drinks</v>
      </c>
      <c r="N1235" s="18">
        <f t="shared" si="1"/>
        <v>450</v>
      </c>
      <c r="O1235" s="17"/>
      <c r="P1235" s="17"/>
      <c r="Q1235" s="17"/>
      <c r="R1235" s="17"/>
      <c r="S1235" s="17"/>
      <c r="T1235" s="17"/>
      <c r="U1235" s="17"/>
      <c r="V1235" s="17"/>
      <c r="W1235" s="17"/>
      <c r="X1235" s="17"/>
      <c r="Y1235" s="17"/>
      <c r="Z1235" s="17"/>
    </row>
    <row r="1236">
      <c r="A1236" s="18" t="str">
        <f>IFERROR(__xludf.DUMMYFUNCTION("""COMPUTED_VALUE"""),"ord_61214")</f>
        <v>ord_61214</v>
      </c>
      <c r="B1236" s="18" t="str">
        <f>IFERROR(__xludf.DUMMYFUNCTION("""COMPUTED_VALUE"""),"Sakshi Tandon")</f>
        <v>Sakshi Tandon</v>
      </c>
      <c r="C1236" s="18" t="str">
        <f>IFERROR(__xludf.DUMMYFUNCTION("""COMPUTED_VALUE"""),"Colaba")</f>
        <v>Colaba</v>
      </c>
      <c r="D1236" s="18" t="str">
        <f>IFERROR(__xludf.DUMMYFUNCTION("""COMPUTED_VALUE"""),"Chilli Cheese Toast")</f>
        <v>Chilli Cheese Toast</v>
      </c>
      <c r="E1236" s="18">
        <f>IFERROR(__xludf.DUMMYFUNCTION("""COMPUTED_VALUE"""),5.0)</f>
        <v>5</v>
      </c>
      <c r="F1236" s="18" t="str">
        <f>IFERROR(__xludf.DUMMYFUNCTION("""COMPUTED_VALUE"""),"Nithin Lal")</f>
        <v>Nithin Lal</v>
      </c>
      <c r="G1236" s="19">
        <f>IFERROR(__xludf.DUMMYFUNCTION("""COMPUTED_VALUE"""),45246.0)</f>
        <v>45246</v>
      </c>
      <c r="H1236" s="18" t="str">
        <f>IFERROR(__xludf.DUMMYFUNCTION("""COMPUTED_VALUE"""),"Credit Card")</f>
        <v>Credit Card</v>
      </c>
      <c r="I1236" s="18" t="str">
        <f>IFERROR(__xludf.DUMMYFUNCTION("""COMPUTED_VALUE"""),"Delivered")</f>
        <v>Delivered</v>
      </c>
      <c r="J1236" s="18" t="str">
        <f>IFERROR(__xludf.DUMMYFUNCTION("""COMPUTED_VALUE"""),"Delivery Experience")</f>
        <v>Delivery Experience</v>
      </c>
      <c r="K1236" s="18" t="str">
        <f>IFERROR(__xludf.DUMMYFUNCTION("""COMPUTED_VALUE"""),"Quick and professional")</f>
        <v>Quick and professional</v>
      </c>
      <c r="L1236" s="18">
        <f>iferror(VLOOKUP($D1236,Details!$A$2:$C$11,2,false),vlookup($D1236,Details!$E$2:$G$11,2,false))</f>
        <v>80</v>
      </c>
      <c r="M1236" s="18" t="str">
        <f>iferror(VLOOKUP($D1236,Details!$A$2:$C$11,3,false),vlookup($D1236,Details!$E$2:$G$11,3,false))</f>
        <v>Snacks and Drinks</v>
      </c>
      <c r="N1236" s="18">
        <f t="shared" si="1"/>
        <v>400</v>
      </c>
      <c r="O1236" s="17"/>
      <c r="P1236" s="17"/>
      <c r="Q1236" s="17"/>
      <c r="R1236" s="17"/>
      <c r="S1236" s="17"/>
      <c r="T1236" s="17"/>
      <c r="U1236" s="17"/>
      <c r="V1236" s="17"/>
      <c r="W1236" s="17"/>
      <c r="X1236" s="17"/>
      <c r="Y1236" s="17"/>
      <c r="Z1236" s="17"/>
    </row>
    <row r="1237">
      <c r="A1237" s="18" t="str">
        <f>IFERROR(__xludf.DUMMYFUNCTION("""COMPUTED_VALUE"""),"ord_61215")</f>
        <v>ord_61215</v>
      </c>
      <c r="B1237" s="18" t="str">
        <f>IFERROR(__xludf.DUMMYFUNCTION("""COMPUTED_VALUE"""),"Aditya Rao")</f>
        <v>Aditya Rao</v>
      </c>
      <c r="C1237" s="18" t="str">
        <f>IFERROR(__xludf.DUMMYFUNCTION("""COMPUTED_VALUE"""),"Lower Parel")</f>
        <v>Lower Parel</v>
      </c>
      <c r="D1237" s="18" t="str">
        <f>IFERROR(__xludf.DUMMYFUNCTION("""COMPUTED_VALUE"""),"Tiramisu")</f>
        <v>Tiramisu</v>
      </c>
      <c r="E1237" s="18">
        <f>IFERROR(__xludf.DUMMYFUNCTION("""COMPUTED_VALUE"""),6.0)</f>
        <v>6</v>
      </c>
      <c r="F1237" s="18" t="str">
        <f>IFERROR(__xludf.DUMMYFUNCTION("""COMPUTED_VALUE"""),"Nithin Lal")</f>
        <v>Nithin Lal</v>
      </c>
      <c r="G1237" s="19">
        <f>IFERROR(__xludf.DUMMYFUNCTION("""COMPUTED_VALUE"""),45247.0)</f>
        <v>45247</v>
      </c>
      <c r="H1237" s="18" t="str">
        <f>IFERROR(__xludf.DUMMYFUNCTION("""COMPUTED_VALUE"""),"Online Payment")</f>
        <v>Online Payment</v>
      </c>
      <c r="I1237" s="18" t="str">
        <f>IFERROR(__xludf.DUMMYFUNCTION("""COMPUTED_VALUE"""),"Delivered")</f>
        <v>Delivered</v>
      </c>
      <c r="J1237" s="18" t="str">
        <f>IFERROR(__xludf.DUMMYFUNCTION("""COMPUTED_VALUE"""),"Convenience")</f>
        <v>Convenience</v>
      </c>
      <c r="K1237" s="18" t="str">
        <f>IFERROR(__xludf.DUMMYFUNCTION("""COMPUTED_VALUE"""),"Easy tracking")</f>
        <v>Easy tracking</v>
      </c>
      <c r="L1237" s="18">
        <f>iferror(VLOOKUP($D1237,Details!$A$2:$C$11,2,false),vlookup($D1237,Details!$E$2:$G$11,2,false))</f>
        <v>150</v>
      </c>
      <c r="M1237" s="18" t="str">
        <f>iferror(VLOOKUP($D1237,Details!$A$2:$C$11,3,false),vlookup($D1237,Details!$E$2:$G$11,3,false))</f>
        <v>Snacks and Drinks</v>
      </c>
      <c r="N1237" s="18">
        <f t="shared" si="1"/>
        <v>900</v>
      </c>
      <c r="O1237" s="17"/>
      <c r="P1237" s="17"/>
      <c r="Q1237" s="17"/>
      <c r="R1237" s="17"/>
      <c r="S1237" s="17"/>
      <c r="T1237" s="17"/>
      <c r="U1237" s="17"/>
      <c r="V1237" s="17"/>
      <c r="W1237" s="17"/>
      <c r="X1237" s="17"/>
      <c r="Y1237" s="17"/>
      <c r="Z1237" s="17"/>
    </row>
    <row r="1238">
      <c r="A1238" s="18" t="str">
        <f>IFERROR(__xludf.DUMMYFUNCTION("""COMPUTED_VALUE"""),"ord_61216")</f>
        <v>ord_61216</v>
      </c>
      <c r="B1238" s="18" t="str">
        <f>IFERROR(__xludf.DUMMYFUNCTION("""COMPUTED_VALUE"""),"Ishita Banerjee")</f>
        <v>Ishita Banerjee</v>
      </c>
      <c r="C1238" s="18" t="str">
        <f>IFERROR(__xludf.DUMMYFUNCTION("""COMPUTED_VALUE"""),"Juhu")</f>
        <v>Juhu</v>
      </c>
      <c r="D1238" s="18" t="str">
        <f>IFERROR(__xludf.DUMMYFUNCTION("""COMPUTED_VALUE"""),"Apple")</f>
        <v>Apple</v>
      </c>
      <c r="E1238" s="18">
        <f>IFERROR(__xludf.DUMMYFUNCTION("""COMPUTED_VALUE"""),2.0)</f>
        <v>2</v>
      </c>
      <c r="F1238" s="18" t="str">
        <f>IFERROR(__xludf.DUMMYFUNCTION("""COMPUTED_VALUE"""),"Sandeep Kumar")</f>
        <v>Sandeep Kumar</v>
      </c>
      <c r="G1238" s="19">
        <f>IFERROR(__xludf.DUMMYFUNCTION("""COMPUTED_VALUE"""),45117.0)</f>
        <v>45117</v>
      </c>
      <c r="H1238" s="18" t="str">
        <f>IFERROR(__xludf.DUMMYFUNCTION("""COMPUTED_VALUE"""),"UPI")</f>
        <v>UPI</v>
      </c>
      <c r="I1238" s="18" t="str">
        <f>IFERROR(__xludf.DUMMYFUNCTION("""COMPUTED_VALUE"""),"Cancelled")</f>
        <v>Cancelled</v>
      </c>
      <c r="J1238" s="18" t="str">
        <f>IFERROR(__xludf.DUMMYFUNCTION("""COMPUTED_VALUE"""),"Delayed Delivery")</f>
        <v>Delayed Delivery</v>
      </c>
      <c r="K1238" s="18" t="str">
        <f>IFERROR(__xludf.DUMMYFUNCTION("""COMPUTED_VALUE"""),"Vehicle Breakdown")</f>
        <v>Vehicle Breakdown</v>
      </c>
      <c r="L1238" s="18">
        <f>iferror(VLOOKUP($D1238,Details!$A$2:$C$11,2,false),vlookup($D1238,Details!$E$2:$G$11,2,false))</f>
        <v>230</v>
      </c>
      <c r="M1238" s="18" t="str">
        <f>iferror(VLOOKUP($D1238,Details!$A$2:$C$11,3,false),vlookup($D1238,Details!$E$2:$G$11,3,false))</f>
        <v>Fruits and Vegetables</v>
      </c>
      <c r="N1238" s="18">
        <f t="shared" si="1"/>
        <v>460</v>
      </c>
      <c r="O1238" s="17"/>
      <c r="P1238" s="17"/>
      <c r="Q1238" s="17"/>
      <c r="R1238" s="17"/>
      <c r="S1238" s="17"/>
      <c r="T1238" s="17"/>
      <c r="U1238" s="17"/>
      <c r="V1238" s="17"/>
      <c r="W1238" s="17"/>
      <c r="X1238" s="17"/>
      <c r="Y1238" s="17"/>
      <c r="Z1238" s="17"/>
    </row>
    <row r="1239">
      <c r="A1239" s="18" t="str">
        <f>IFERROR(__xludf.DUMMYFUNCTION("""COMPUTED_VALUE"""),"ord_61217")</f>
        <v>ord_61217</v>
      </c>
      <c r="B1239" s="18" t="str">
        <f>IFERROR(__xludf.DUMMYFUNCTION("""COMPUTED_VALUE"""),"Sanjay Nair")</f>
        <v>Sanjay Nair</v>
      </c>
      <c r="C1239" s="18" t="str">
        <f>IFERROR(__xludf.DUMMYFUNCTION("""COMPUTED_VALUE"""),"Dadar")</f>
        <v>Dadar</v>
      </c>
      <c r="D1239" s="18" t="str">
        <f>IFERROR(__xludf.DUMMYFUNCTION("""COMPUTED_VALUE"""),"Chocolate Mousse")</f>
        <v>Chocolate Mousse</v>
      </c>
      <c r="E1239" s="18">
        <f>IFERROR(__xludf.DUMMYFUNCTION("""COMPUTED_VALUE"""),5.0)</f>
        <v>5</v>
      </c>
      <c r="F1239" s="18" t="str">
        <f>IFERROR(__xludf.DUMMYFUNCTION("""COMPUTED_VALUE"""),"Ramesh S")</f>
        <v>Ramesh S</v>
      </c>
      <c r="G1239" s="19">
        <f>IFERROR(__xludf.DUMMYFUNCTION("""COMPUTED_VALUE"""),45255.0)</f>
        <v>45255</v>
      </c>
      <c r="H1239" s="18" t="str">
        <f>IFERROR(__xludf.DUMMYFUNCTION("""COMPUTED_VALUE"""),"COD")</f>
        <v>COD</v>
      </c>
      <c r="I1239" s="18" t="str">
        <f>IFERROR(__xludf.DUMMYFUNCTION("""COMPUTED_VALUE"""),"Delivered")</f>
        <v>Delivered</v>
      </c>
      <c r="J1239" s="18" t="str">
        <f>IFERROR(__xludf.DUMMYFUNCTION("""COMPUTED_VALUE"""),"Overall Satisfaction")</f>
        <v>Overall Satisfaction</v>
      </c>
      <c r="K1239" s="18" t="str">
        <f>IFERROR(__xludf.DUMMYFUNCTION("""COMPUTED_VALUE"""),"Great service will order again")</f>
        <v>Great service will order again</v>
      </c>
      <c r="L1239" s="18">
        <f>iferror(VLOOKUP($D1239,Details!$A$2:$C$11,2,false),vlookup($D1239,Details!$E$2:$G$11,2,false))</f>
        <v>145</v>
      </c>
      <c r="M1239" s="18" t="str">
        <f>iferror(VLOOKUP($D1239,Details!$A$2:$C$11,3,false),vlookup($D1239,Details!$E$2:$G$11,3,false))</f>
        <v>Snacks and Drinks</v>
      </c>
      <c r="N1239" s="18">
        <f t="shared" si="1"/>
        <v>725</v>
      </c>
      <c r="O1239" s="17"/>
      <c r="P1239" s="17"/>
      <c r="Q1239" s="17"/>
      <c r="R1239" s="17"/>
      <c r="S1239" s="17"/>
      <c r="T1239" s="17"/>
      <c r="U1239" s="17"/>
      <c r="V1239" s="17"/>
      <c r="W1239" s="17"/>
      <c r="X1239" s="17"/>
      <c r="Y1239" s="17"/>
      <c r="Z1239" s="17"/>
    </row>
    <row r="1240">
      <c r="A1240" s="18" t="str">
        <f>IFERROR(__xludf.DUMMYFUNCTION("""COMPUTED_VALUE"""),"ord_61218")</f>
        <v>ord_61218</v>
      </c>
      <c r="B1240" s="18" t="str">
        <f>IFERROR(__xludf.DUMMYFUNCTION("""COMPUTED_VALUE"""),"Sakshi Tandon")</f>
        <v>Sakshi Tandon</v>
      </c>
      <c r="C1240" s="18" t="str">
        <f>IFERROR(__xludf.DUMMYFUNCTION("""COMPUTED_VALUE"""),"Colaba")</f>
        <v>Colaba</v>
      </c>
      <c r="D1240" s="18" t="str">
        <f>IFERROR(__xludf.DUMMYFUNCTION("""COMPUTED_VALUE"""),"Guava")</f>
        <v>Guava</v>
      </c>
      <c r="E1240" s="18">
        <f>IFERROR(__xludf.DUMMYFUNCTION("""COMPUTED_VALUE"""),2.0)</f>
        <v>2</v>
      </c>
      <c r="F1240" s="18" t="str">
        <f>IFERROR(__xludf.DUMMYFUNCTION("""COMPUTED_VALUE"""),"Manju Ajay")</f>
        <v>Manju Ajay</v>
      </c>
      <c r="G1240" s="19">
        <f>IFERROR(__xludf.DUMMYFUNCTION("""COMPUTED_VALUE"""),44970.0)</f>
        <v>44970</v>
      </c>
      <c r="H1240" s="18" t="str">
        <f>IFERROR(__xludf.DUMMYFUNCTION("""COMPUTED_VALUE"""),"Credit Card")</f>
        <v>Credit Card</v>
      </c>
      <c r="I1240" s="18" t="str">
        <f>IFERROR(__xludf.DUMMYFUNCTION("""COMPUTED_VALUE"""),"Delivered")</f>
        <v>Delivered</v>
      </c>
      <c r="J1240" s="18" t="str">
        <f>IFERROR(__xludf.DUMMYFUNCTION("""COMPUTED_VALUE"""),"On-time Delivery")</f>
        <v>On-time Delivery</v>
      </c>
      <c r="K1240" s="18" t="str">
        <f>IFERROR(__xludf.DUMMYFUNCTION("""COMPUTED_VALUE"""),"Delivered on time")</f>
        <v>Delivered on time</v>
      </c>
      <c r="L1240" s="18">
        <f>iferror(VLOOKUP($D1240,Details!$A$2:$C$11,2,false),vlookup($D1240,Details!$E$2:$G$11,2,false))</f>
        <v>70</v>
      </c>
      <c r="M1240" s="18" t="str">
        <f>iferror(VLOOKUP($D1240,Details!$A$2:$C$11,3,false),vlookup($D1240,Details!$E$2:$G$11,3,false))</f>
        <v>Fruits and Vegetables</v>
      </c>
      <c r="N1240" s="18">
        <f t="shared" si="1"/>
        <v>140</v>
      </c>
      <c r="O1240" s="17"/>
      <c r="P1240" s="17"/>
      <c r="Q1240" s="17"/>
      <c r="R1240" s="17"/>
      <c r="S1240" s="17"/>
      <c r="T1240" s="17"/>
      <c r="U1240" s="17"/>
      <c r="V1240" s="17"/>
      <c r="W1240" s="17"/>
      <c r="X1240" s="17"/>
      <c r="Y1240" s="17"/>
      <c r="Z1240" s="17"/>
    </row>
    <row r="1241">
      <c r="A1241" s="18" t="str">
        <f>IFERROR(__xludf.DUMMYFUNCTION("""COMPUTED_VALUE"""),"ord_61219")</f>
        <v>ord_61219</v>
      </c>
      <c r="B1241" s="18" t="str">
        <f>IFERROR(__xludf.DUMMYFUNCTION("""COMPUTED_VALUE"""),"Mohit Malhotra")</f>
        <v>Mohit Malhotra</v>
      </c>
      <c r="C1241" s="18" t="str">
        <f>IFERROR(__xludf.DUMMYFUNCTION("""COMPUTED_VALUE"""),"Lower Parel")</f>
        <v>Lower Parel</v>
      </c>
      <c r="D1241" s="18" t="str">
        <f>IFERROR(__xludf.DUMMYFUNCTION("""COMPUTED_VALUE"""),"Popcorn")</f>
        <v>Popcorn</v>
      </c>
      <c r="E1241" s="18">
        <f>IFERROR(__xludf.DUMMYFUNCTION("""COMPUTED_VALUE"""),5.0)</f>
        <v>5</v>
      </c>
      <c r="F1241" s="18" t="str">
        <f>IFERROR(__xludf.DUMMYFUNCTION("""COMPUTED_VALUE"""),"Nithin Lal")</f>
        <v>Nithin Lal</v>
      </c>
      <c r="G1241" s="19">
        <f>IFERROR(__xludf.DUMMYFUNCTION("""COMPUTED_VALUE"""),45151.0)</f>
        <v>45151</v>
      </c>
      <c r="H1241" s="18" t="str">
        <f>IFERROR(__xludf.DUMMYFUNCTION("""COMPUTED_VALUE"""),"UPI")</f>
        <v>UPI</v>
      </c>
      <c r="I1241" s="18" t="str">
        <f>IFERROR(__xludf.DUMMYFUNCTION("""COMPUTED_VALUE"""),"Delivered")</f>
        <v>Delivered</v>
      </c>
      <c r="J1241" s="18" t="str">
        <f>IFERROR(__xludf.DUMMYFUNCTION("""COMPUTED_VALUE"""),"Quality of Items")</f>
        <v>Quality of Items</v>
      </c>
      <c r="K1241" s="18" t="str">
        <f>IFERROR(__xludf.DUMMYFUNCTION("""COMPUTED_VALUE"""),"Perfect condition")</f>
        <v>Perfect condition</v>
      </c>
      <c r="L1241" s="18">
        <f>iferror(VLOOKUP($D1241,Details!$A$2:$C$11,2,false),vlookup($D1241,Details!$E$2:$G$11,2,false))</f>
        <v>150</v>
      </c>
      <c r="M1241" s="18" t="str">
        <f>iferror(VLOOKUP($D1241,Details!$A$2:$C$11,3,false),vlookup($D1241,Details!$E$2:$G$11,3,false))</f>
        <v>Snacks and Drinks</v>
      </c>
      <c r="N1241" s="18">
        <f t="shared" si="1"/>
        <v>750</v>
      </c>
      <c r="O1241" s="17"/>
      <c r="P1241" s="17"/>
      <c r="Q1241" s="17"/>
      <c r="R1241" s="17"/>
      <c r="S1241" s="17"/>
      <c r="T1241" s="17"/>
      <c r="U1241" s="17"/>
      <c r="V1241" s="17"/>
      <c r="W1241" s="17"/>
      <c r="X1241" s="17"/>
      <c r="Y1241" s="17"/>
      <c r="Z1241" s="17"/>
    </row>
    <row r="1242">
      <c r="A1242" s="18" t="str">
        <f>IFERROR(__xludf.DUMMYFUNCTION("""COMPUTED_VALUE"""),"ord_61220")</f>
        <v>ord_61220</v>
      </c>
      <c r="B1242" s="18" t="str">
        <f>IFERROR(__xludf.DUMMYFUNCTION("""COMPUTED_VALUE"""),"Dev Chauhan")</f>
        <v>Dev Chauhan</v>
      </c>
      <c r="C1242" s="18" t="str">
        <f>IFERROR(__xludf.DUMMYFUNCTION("""COMPUTED_VALUE"""),"Bandra")</f>
        <v>Bandra</v>
      </c>
      <c r="D1242" s="18" t="str">
        <f>IFERROR(__xludf.DUMMYFUNCTION("""COMPUTED_VALUE"""),"Potato")</f>
        <v>Potato</v>
      </c>
      <c r="E1242" s="18">
        <f>IFERROR(__xludf.DUMMYFUNCTION("""COMPUTED_VALUE"""),1.0)</f>
        <v>1</v>
      </c>
      <c r="F1242" s="18" t="str">
        <f>IFERROR(__xludf.DUMMYFUNCTION("""COMPUTED_VALUE"""),"Ram Gopal")</f>
        <v>Ram Gopal</v>
      </c>
      <c r="G1242" s="19">
        <f>IFERROR(__xludf.DUMMYFUNCTION("""COMPUTED_VALUE"""),45289.0)</f>
        <v>45289</v>
      </c>
      <c r="H1242" s="18" t="str">
        <f>IFERROR(__xludf.DUMMYFUNCTION("""COMPUTED_VALUE"""),"UPI")</f>
        <v>UPI</v>
      </c>
      <c r="I1242" s="18" t="str">
        <f>IFERROR(__xludf.DUMMYFUNCTION("""COMPUTED_VALUE"""),"Delivered")</f>
        <v>Delivered</v>
      </c>
      <c r="J1242" s="18" t="str">
        <f>IFERROR(__xludf.DUMMYFUNCTION("""COMPUTED_VALUE"""),"On-time Delivery")</f>
        <v>On-time Delivery</v>
      </c>
      <c r="K1242" s="18" t="str">
        <f>IFERROR(__xludf.DUMMYFUNCTION("""COMPUTED_VALUE"""),"Delivered on time")</f>
        <v>Delivered on time</v>
      </c>
      <c r="L1242" s="18">
        <f>iferror(VLOOKUP($D1242,Details!$A$2:$C$11,2,false),vlookup($D1242,Details!$E$2:$G$11,2,false))</f>
        <v>55</v>
      </c>
      <c r="M1242" s="18" t="str">
        <f>iferror(VLOOKUP($D1242,Details!$A$2:$C$11,3,false),vlookup($D1242,Details!$E$2:$G$11,3,false))</f>
        <v>Fruits and Vegetables</v>
      </c>
      <c r="N1242" s="18">
        <f t="shared" si="1"/>
        <v>55</v>
      </c>
      <c r="O1242" s="17"/>
      <c r="P1242" s="17"/>
      <c r="Q1242" s="17"/>
      <c r="R1242" s="17"/>
      <c r="S1242" s="17"/>
      <c r="T1242" s="17"/>
      <c r="U1242" s="17"/>
      <c r="V1242" s="17"/>
      <c r="W1242" s="17"/>
      <c r="X1242" s="17"/>
      <c r="Y1242" s="17"/>
      <c r="Z1242" s="17"/>
    </row>
    <row r="1243">
      <c r="A1243" s="18" t="str">
        <f>IFERROR(__xludf.DUMMYFUNCTION("""COMPUTED_VALUE"""),"ord_61221")</f>
        <v>ord_61221</v>
      </c>
      <c r="B1243" s="18" t="str">
        <f>IFERROR(__xludf.DUMMYFUNCTION("""COMPUTED_VALUE"""),"Tanishq Bansal")</f>
        <v>Tanishq Bansal</v>
      </c>
      <c r="C1243" s="18" t="str">
        <f>IFERROR(__xludf.DUMMYFUNCTION("""COMPUTED_VALUE"""),"Powai")</f>
        <v>Powai</v>
      </c>
      <c r="D1243" s="18" t="str">
        <f>IFERROR(__xludf.DUMMYFUNCTION("""COMPUTED_VALUE"""),"Cold Coffee")</f>
        <v>Cold Coffee</v>
      </c>
      <c r="E1243" s="18">
        <f>IFERROR(__xludf.DUMMYFUNCTION("""COMPUTED_VALUE"""),4.0)</f>
        <v>4</v>
      </c>
      <c r="F1243" s="18" t="str">
        <f>IFERROR(__xludf.DUMMYFUNCTION("""COMPUTED_VALUE"""),"Vivek Kumar")</f>
        <v>Vivek Kumar</v>
      </c>
      <c r="G1243" s="19">
        <f>IFERROR(__xludf.DUMMYFUNCTION("""COMPUTED_VALUE"""),44968.0)</f>
        <v>44968</v>
      </c>
      <c r="H1243" s="18" t="str">
        <f>IFERROR(__xludf.DUMMYFUNCTION("""COMPUTED_VALUE"""),"UPI")</f>
        <v>UPI</v>
      </c>
      <c r="I1243" s="18" t="str">
        <f>IFERROR(__xludf.DUMMYFUNCTION("""COMPUTED_VALUE"""),"Delivered")</f>
        <v>Delivered</v>
      </c>
      <c r="J1243" s="18" t="str">
        <f>IFERROR(__xludf.DUMMYFUNCTION("""COMPUTED_VALUE"""),"Quality of Items")</f>
        <v>Quality of Items</v>
      </c>
      <c r="K1243" s="18" t="str">
        <f>IFERROR(__xludf.DUMMYFUNCTION("""COMPUTED_VALUE"""),"Perfect condition")</f>
        <v>Perfect condition</v>
      </c>
      <c r="L1243" s="18">
        <f>iferror(VLOOKUP($D1243,Details!$A$2:$C$11,2,false),vlookup($D1243,Details!$E$2:$G$11,2,false))</f>
        <v>270</v>
      </c>
      <c r="M1243" s="18" t="str">
        <f>iferror(VLOOKUP($D1243,Details!$A$2:$C$11,3,false),vlookup($D1243,Details!$E$2:$G$11,3,false))</f>
        <v>Snacks and Drinks</v>
      </c>
      <c r="N1243" s="18">
        <f t="shared" si="1"/>
        <v>1080</v>
      </c>
      <c r="O1243" s="17"/>
      <c r="P1243" s="17"/>
      <c r="Q1243" s="17"/>
      <c r="R1243" s="17"/>
      <c r="S1243" s="17"/>
      <c r="T1243" s="17"/>
      <c r="U1243" s="17"/>
      <c r="V1243" s="17"/>
      <c r="W1243" s="17"/>
      <c r="X1243" s="17"/>
      <c r="Y1243" s="17"/>
      <c r="Z1243" s="17"/>
    </row>
    <row r="1244">
      <c r="A1244" s="18" t="str">
        <f>IFERROR(__xludf.DUMMYFUNCTION("""COMPUTED_VALUE"""),"ord_61222")</f>
        <v>ord_61222</v>
      </c>
      <c r="B1244" s="18" t="str">
        <f>IFERROR(__xludf.DUMMYFUNCTION("""COMPUTED_VALUE"""),"Arvind Kulkarni")</f>
        <v>Arvind Kulkarni</v>
      </c>
      <c r="C1244" s="18" t="str">
        <f>IFERROR(__xludf.DUMMYFUNCTION("""COMPUTED_VALUE"""),"Juhu")</f>
        <v>Juhu</v>
      </c>
      <c r="D1244" s="18" t="str">
        <f>IFERROR(__xludf.DUMMYFUNCTION("""COMPUTED_VALUE"""),"Apple")</f>
        <v>Apple</v>
      </c>
      <c r="E1244" s="18">
        <f>IFERROR(__xludf.DUMMYFUNCTION("""COMPUTED_VALUE"""),2.0)</f>
        <v>2</v>
      </c>
      <c r="F1244" s="18" t="str">
        <f>IFERROR(__xludf.DUMMYFUNCTION("""COMPUTED_VALUE"""),"Venu R")</f>
        <v>Venu R</v>
      </c>
      <c r="G1244" s="19">
        <f>IFERROR(__xludf.DUMMYFUNCTION("""COMPUTED_VALUE"""),45041.0)</f>
        <v>45041</v>
      </c>
      <c r="H1244" s="18" t="str">
        <f>IFERROR(__xludf.DUMMYFUNCTION("""COMPUTED_VALUE"""),"Credit Card")</f>
        <v>Credit Card</v>
      </c>
      <c r="I1244" s="18" t="str">
        <f>IFERROR(__xludf.DUMMYFUNCTION("""COMPUTED_VALUE"""),"Cancelled")</f>
        <v>Cancelled</v>
      </c>
      <c r="J1244" s="18" t="str">
        <f>IFERROR(__xludf.DUMMYFUNCTION("""COMPUTED_VALUE"""),"Delayed Delivery")</f>
        <v>Delayed Delivery</v>
      </c>
      <c r="K1244" s="18" t="str">
        <f>IFERROR(__xludf.DUMMYFUNCTION("""COMPUTED_VALUE"""),"Heavy Traffic")</f>
        <v>Heavy Traffic</v>
      </c>
      <c r="L1244" s="18">
        <f>iferror(VLOOKUP($D1244,Details!$A$2:$C$11,2,false),vlookup($D1244,Details!$E$2:$G$11,2,false))</f>
        <v>230</v>
      </c>
      <c r="M1244" s="18" t="str">
        <f>iferror(VLOOKUP($D1244,Details!$A$2:$C$11,3,false),vlookup($D1244,Details!$E$2:$G$11,3,false))</f>
        <v>Fruits and Vegetables</v>
      </c>
      <c r="N1244" s="18">
        <f t="shared" si="1"/>
        <v>460</v>
      </c>
      <c r="O1244" s="17"/>
      <c r="P1244" s="17"/>
      <c r="Q1244" s="17"/>
      <c r="R1244" s="17"/>
      <c r="S1244" s="17"/>
      <c r="T1244" s="17"/>
      <c r="U1244" s="17"/>
      <c r="V1244" s="17"/>
      <c r="W1244" s="17"/>
      <c r="X1244" s="17"/>
      <c r="Y1244" s="17"/>
      <c r="Z1244" s="17"/>
    </row>
    <row r="1245">
      <c r="A1245" s="18" t="str">
        <f>IFERROR(__xludf.DUMMYFUNCTION("""COMPUTED_VALUE"""),"ord_61223")</f>
        <v>ord_61223</v>
      </c>
      <c r="B1245" s="18" t="str">
        <f>IFERROR(__xludf.DUMMYFUNCTION("""COMPUTED_VALUE"""),"Ishaan Chaturvedi")</f>
        <v>Ishaan Chaturvedi</v>
      </c>
      <c r="C1245" s="18" t="str">
        <f>IFERROR(__xludf.DUMMYFUNCTION("""COMPUTED_VALUE"""),"Bandra")</f>
        <v>Bandra</v>
      </c>
      <c r="D1245" s="18" t="str">
        <f>IFERROR(__xludf.DUMMYFUNCTION("""COMPUTED_VALUE"""),"Popcorn")</f>
        <v>Popcorn</v>
      </c>
      <c r="E1245" s="18">
        <f>IFERROR(__xludf.DUMMYFUNCTION("""COMPUTED_VALUE"""),5.0)</f>
        <v>5</v>
      </c>
      <c r="F1245" s="18" t="str">
        <f>IFERROR(__xludf.DUMMYFUNCTION("""COMPUTED_VALUE"""),"Ramesh S")</f>
        <v>Ramesh S</v>
      </c>
      <c r="G1245" s="19">
        <f>IFERROR(__xludf.DUMMYFUNCTION("""COMPUTED_VALUE"""),44971.0)</f>
        <v>44971</v>
      </c>
      <c r="H1245" s="18" t="str">
        <f>IFERROR(__xludf.DUMMYFUNCTION("""COMPUTED_VALUE"""),"Credit Card")</f>
        <v>Credit Card</v>
      </c>
      <c r="I1245" s="18" t="str">
        <f>IFERROR(__xludf.DUMMYFUNCTION("""COMPUTED_VALUE"""),"Delivered")</f>
        <v>Delivered</v>
      </c>
      <c r="J1245" s="18" t="str">
        <f>IFERROR(__xludf.DUMMYFUNCTION("""COMPUTED_VALUE"""),"Packaging")</f>
        <v>Packaging</v>
      </c>
      <c r="K1245" s="18" t="str">
        <f>IFERROR(__xludf.DUMMYFUNCTION("""COMPUTED_VALUE"""),"Secure and intact")</f>
        <v>Secure and intact</v>
      </c>
      <c r="L1245" s="18">
        <f>iferror(VLOOKUP($D1245,Details!$A$2:$C$11,2,false),vlookup($D1245,Details!$E$2:$G$11,2,false))</f>
        <v>150</v>
      </c>
      <c r="M1245" s="18" t="str">
        <f>iferror(VLOOKUP($D1245,Details!$A$2:$C$11,3,false),vlookup($D1245,Details!$E$2:$G$11,3,false))</f>
        <v>Snacks and Drinks</v>
      </c>
      <c r="N1245" s="18">
        <f t="shared" si="1"/>
        <v>750</v>
      </c>
      <c r="O1245" s="17"/>
      <c r="P1245" s="17"/>
      <c r="Q1245" s="17"/>
      <c r="R1245" s="17"/>
      <c r="S1245" s="17"/>
      <c r="T1245" s="17"/>
      <c r="U1245" s="17"/>
      <c r="V1245" s="17"/>
      <c r="W1245" s="17"/>
      <c r="X1245" s="17"/>
      <c r="Y1245" s="17"/>
      <c r="Z1245" s="17"/>
    </row>
    <row r="1246">
      <c r="A1246" s="18" t="str">
        <f>IFERROR(__xludf.DUMMYFUNCTION("""COMPUTED_VALUE"""),"ord_61224")</f>
        <v>ord_61224</v>
      </c>
      <c r="B1246" s="18" t="str">
        <f>IFERROR(__xludf.DUMMYFUNCTION("""COMPUTED_VALUE"""),"Pranav Joshi")</f>
        <v>Pranav Joshi</v>
      </c>
      <c r="C1246" s="18" t="str">
        <f>IFERROR(__xludf.DUMMYFUNCTION("""COMPUTED_VALUE"""),"Andheri")</f>
        <v>Andheri</v>
      </c>
      <c r="D1246" s="18" t="str">
        <f>IFERROR(__xludf.DUMMYFUNCTION("""COMPUTED_VALUE"""),"Guava")</f>
        <v>Guava</v>
      </c>
      <c r="E1246" s="18">
        <f>IFERROR(__xludf.DUMMYFUNCTION("""COMPUTED_VALUE"""),2.0)</f>
        <v>2</v>
      </c>
      <c r="F1246" s="18" t="str">
        <f>IFERROR(__xludf.DUMMYFUNCTION("""COMPUTED_VALUE"""),"Vivek Kumar")</f>
        <v>Vivek Kumar</v>
      </c>
      <c r="G1246" s="19">
        <f>IFERROR(__xludf.DUMMYFUNCTION("""COMPUTED_VALUE"""),45198.0)</f>
        <v>45198</v>
      </c>
      <c r="H1246" s="18" t="str">
        <f>IFERROR(__xludf.DUMMYFUNCTION("""COMPUTED_VALUE"""),"COD")</f>
        <v>COD</v>
      </c>
      <c r="I1246" s="18" t="str">
        <f>IFERROR(__xludf.DUMMYFUNCTION("""COMPUTED_VALUE"""),"Delivered")</f>
        <v>Delivered</v>
      </c>
      <c r="J1246" s="18" t="str">
        <f>IFERROR(__xludf.DUMMYFUNCTION("""COMPUTED_VALUE"""),"Satisfied with the Delivery")</f>
        <v>Satisfied with the Delivery</v>
      </c>
      <c r="K1246" s="18" t="str">
        <f>IFERROR(__xludf.DUMMYFUNCTION("""COMPUTED_VALUE"""),"Timely and quality")</f>
        <v>Timely and quality</v>
      </c>
      <c r="L1246" s="18">
        <f>iferror(VLOOKUP($D1246,Details!$A$2:$C$11,2,false),vlookup($D1246,Details!$E$2:$G$11,2,false))</f>
        <v>70</v>
      </c>
      <c r="M1246" s="18" t="str">
        <f>iferror(VLOOKUP($D1246,Details!$A$2:$C$11,3,false),vlookup($D1246,Details!$E$2:$G$11,3,false))</f>
        <v>Fruits and Vegetables</v>
      </c>
      <c r="N1246" s="18">
        <f t="shared" si="1"/>
        <v>140</v>
      </c>
      <c r="O1246" s="17"/>
      <c r="P1246" s="17"/>
      <c r="Q1246" s="17"/>
      <c r="R1246" s="17"/>
      <c r="S1246" s="17"/>
      <c r="T1246" s="17"/>
      <c r="U1246" s="17"/>
      <c r="V1246" s="17"/>
      <c r="W1246" s="17"/>
      <c r="X1246" s="17"/>
      <c r="Y1246" s="17"/>
      <c r="Z1246" s="17"/>
    </row>
    <row r="1247">
      <c r="A1247" s="18" t="str">
        <f>IFERROR(__xludf.DUMMYFUNCTION("""COMPUTED_VALUE"""),"ord_61225")</f>
        <v>ord_61225</v>
      </c>
      <c r="B1247" s="18" t="str">
        <f>IFERROR(__xludf.DUMMYFUNCTION("""COMPUTED_VALUE"""),"Diya Arora")</f>
        <v>Diya Arora</v>
      </c>
      <c r="C1247" s="18" t="str">
        <f>IFERROR(__xludf.DUMMYFUNCTION("""COMPUTED_VALUE"""),"Lower Parel")</f>
        <v>Lower Parel</v>
      </c>
      <c r="D1247" s="18" t="str">
        <f>IFERROR(__xludf.DUMMYFUNCTION("""COMPUTED_VALUE"""),"Orange")</f>
        <v>Orange</v>
      </c>
      <c r="E1247" s="18">
        <f>IFERROR(__xludf.DUMMYFUNCTION("""COMPUTED_VALUE"""),2.0)</f>
        <v>2</v>
      </c>
      <c r="F1247" s="18" t="str">
        <f>IFERROR(__xludf.DUMMYFUNCTION("""COMPUTED_VALUE"""),"Sita T")</f>
        <v>Sita T</v>
      </c>
      <c r="G1247" s="19">
        <f>IFERROR(__xludf.DUMMYFUNCTION("""COMPUTED_VALUE"""),45057.0)</f>
        <v>45057</v>
      </c>
      <c r="H1247" s="18" t="str">
        <f>IFERROR(__xludf.DUMMYFUNCTION("""COMPUTED_VALUE"""),"Credit Card")</f>
        <v>Credit Card</v>
      </c>
      <c r="I1247" s="18" t="str">
        <f>IFERROR(__xludf.DUMMYFUNCTION("""COMPUTED_VALUE"""),"Delivered")</f>
        <v>Delivered</v>
      </c>
      <c r="J1247" s="18" t="str">
        <f>IFERROR(__xludf.DUMMYFUNCTION("""COMPUTED_VALUE"""),"Customer Service")</f>
        <v>Customer Service</v>
      </c>
      <c r="K1247" s="18" t="str">
        <f>IFERROR(__xludf.DUMMYFUNCTION("""COMPUTED_VALUE"""),"Seamless and easy")</f>
        <v>Seamless and easy</v>
      </c>
      <c r="L1247" s="18">
        <f>iferror(VLOOKUP($D1247,Details!$A$2:$C$11,2,false),vlookup($D1247,Details!$E$2:$G$11,2,false))</f>
        <v>180</v>
      </c>
      <c r="M1247" s="18" t="str">
        <f>iferror(VLOOKUP($D1247,Details!$A$2:$C$11,3,false),vlookup($D1247,Details!$E$2:$G$11,3,false))</f>
        <v>Fruits and Vegetables</v>
      </c>
      <c r="N1247" s="18">
        <f t="shared" si="1"/>
        <v>360</v>
      </c>
      <c r="O1247" s="17"/>
      <c r="P1247" s="17"/>
      <c r="Q1247" s="17"/>
      <c r="R1247" s="17"/>
      <c r="S1247" s="17"/>
      <c r="T1247" s="17"/>
      <c r="U1247" s="17"/>
      <c r="V1247" s="17"/>
      <c r="W1247" s="17"/>
      <c r="X1247" s="17"/>
      <c r="Y1247" s="17"/>
      <c r="Z1247" s="17"/>
    </row>
    <row r="1248">
      <c r="A1248" s="18" t="str">
        <f>IFERROR(__xludf.DUMMYFUNCTION("""COMPUTED_VALUE"""),"ord_61226")</f>
        <v>ord_61226</v>
      </c>
      <c r="B1248" s="18" t="str">
        <f>IFERROR(__xludf.DUMMYFUNCTION("""COMPUTED_VALUE"""),"Pallavi Ghosh")</f>
        <v>Pallavi Ghosh</v>
      </c>
      <c r="C1248" s="18" t="str">
        <f>IFERROR(__xludf.DUMMYFUNCTION("""COMPUTED_VALUE"""),"Bandra")</f>
        <v>Bandra</v>
      </c>
      <c r="D1248" s="18" t="str">
        <f>IFERROR(__xludf.DUMMYFUNCTION("""COMPUTED_VALUE"""),"Papaya")</f>
        <v>Papaya</v>
      </c>
      <c r="E1248" s="18">
        <f>IFERROR(__xludf.DUMMYFUNCTION("""COMPUTED_VALUE"""),1.0)</f>
        <v>1</v>
      </c>
      <c r="F1248" s="18" t="str">
        <f>IFERROR(__xludf.DUMMYFUNCTION("""COMPUTED_VALUE"""),"Ram Gopal")</f>
        <v>Ram Gopal</v>
      </c>
      <c r="G1248" s="19">
        <f>IFERROR(__xludf.DUMMYFUNCTION("""COMPUTED_VALUE"""),45088.0)</f>
        <v>45088</v>
      </c>
      <c r="H1248" s="18" t="str">
        <f>IFERROR(__xludf.DUMMYFUNCTION("""COMPUTED_VALUE"""),"COD")</f>
        <v>COD</v>
      </c>
      <c r="I1248" s="18" t="str">
        <f>IFERROR(__xludf.DUMMYFUNCTION("""COMPUTED_VALUE"""),"Delivered")</f>
        <v>Delivered</v>
      </c>
      <c r="J1248" s="18" t="str">
        <f>IFERROR(__xludf.DUMMYFUNCTION("""COMPUTED_VALUE"""),"Delivery Experience")</f>
        <v>Delivery Experience</v>
      </c>
      <c r="K1248" s="18" t="str">
        <f>IFERROR(__xludf.DUMMYFUNCTION("""COMPUTED_VALUE"""),"Quick and professional")</f>
        <v>Quick and professional</v>
      </c>
      <c r="L1248" s="18">
        <f>iferror(VLOOKUP($D1248,Details!$A$2:$C$11,2,false),vlookup($D1248,Details!$E$2:$G$11,2,false))</f>
        <v>75</v>
      </c>
      <c r="M1248" s="18" t="str">
        <f>iferror(VLOOKUP($D1248,Details!$A$2:$C$11,3,false),vlookup($D1248,Details!$E$2:$G$11,3,false))</f>
        <v>Fruits and Vegetables</v>
      </c>
      <c r="N1248" s="18">
        <f t="shared" si="1"/>
        <v>75</v>
      </c>
      <c r="O1248" s="17"/>
      <c r="P1248" s="17"/>
      <c r="Q1248" s="17"/>
      <c r="R1248" s="17"/>
      <c r="S1248" s="17"/>
      <c r="T1248" s="17"/>
      <c r="U1248" s="17"/>
      <c r="V1248" s="17"/>
      <c r="W1248" s="17"/>
      <c r="X1248" s="17"/>
      <c r="Y1248" s="17"/>
      <c r="Z1248" s="17"/>
    </row>
    <row r="1249">
      <c r="A1249" s="18" t="str">
        <f>IFERROR(__xludf.DUMMYFUNCTION("""COMPUTED_VALUE"""),"ord_61227")</f>
        <v>ord_61227</v>
      </c>
      <c r="B1249" s="18" t="str">
        <f>IFERROR(__xludf.DUMMYFUNCTION("""COMPUTED_VALUE"""),"Omkar Mishra")</f>
        <v>Omkar Mishra</v>
      </c>
      <c r="C1249" s="18" t="str">
        <f>IFERROR(__xludf.DUMMYFUNCTION("""COMPUTED_VALUE"""),"Powai")</f>
        <v>Powai</v>
      </c>
      <c r="D1249" s="18" t="str">
        <f>IFERROR(__xludf.DUMMYFUNCTION("""COMPUTED_VALUE"""),"Guava")</f>
        <v>Guava</v>
      </c>
      <c r="E1249" s="18">
        <f>IFERROR(__xludf.DUMMYFUNCTION("""COMPUTED_VALUE"""),2.0)</f>
        <v>2</v>
      </c>
      <c r="F1249" s="18" t="str">
        <f>IFERROR(__xludf.DUMMYFUNCTION("""COMPUTED_VALUE"""),"Sandeep Kumar")</f>
        <v>Sandeep Kumar</v>
      </c>
      <c r="G1249" s="19">
        <f>IFERROR(__xludf.DUMMYFUNCTION("""COMPUTED_VALUE"""),45255.0)</f>
        <v>45255</v>
      </c>
      <c r="H1249" s="18" t="str">
        <f>IFERROR(__xludf.DUMMYFUNCTION("""COMPUTED_VALUE"""),"Credit Card")</f>
        <v>Credit Card</v>
      </c>
      <c r="I1249" s="18" t="str">
        <f>IFERROR(__xludf.DUMMYFUNCTION("""COMPUTED_VALUE"""),"Delivered")</f>
        <v>Delivered</v>
      </c>
      <c r="J1249" s="18" t="str">
        <f>IFERROR(__xludf.DUMMYFUNCTION("""COMPUTED_VALUE"""),"Convenience")</f>
        <v>Convenience</v>
      </c>
      <c r="K1249" s="18" t="str">
        <f>IFERROR(__xludf.DUMMYFUNCTION("""COMPUTED_VALUE"""),"Easy tracking")</f>
        <v>Easy tracking</v>
      </c>
      <c r="L1249" s="18">
        <f>iferror(VLOOKUP($D1249,Details!$A$2:$C$11,2,false),vlookup($D1249,Details!$E$2:$G$11,2,false))</f>
        <v>70</v>
      </c>
      <c r="M1249" s="18" t="str">
        <f>iferror(VLOOKUP($D1249,Details!$A$2:$C$11,3,false),vlookup($D1249,Details!$E$2:$G$11,3,false))</f>
        <v>Fruits and Vegetables</v>
      </c>
      <c r="N1249" s="18">
        <f t="shared" si="1"/>
        <v>140</v>
      </c>
      <c r="O1249" s="17"/>
      <c r="P1249" s="17"/>
      <c r="Q1249" s="17"/>
      <c r="R1249" s="17"/>
      <c r="S1249" s="17"/>
      <c r="T1249" s="17"/>
      <c r="U1249" s="17"/>
      <c r="V1249" s="17"/>
      <c r="W1249" s="17"/>
      <c r="X1249" s="17"/>
      <c r="Y1249" s="17"/>
      <c r="Z1249" s="17"/>
    </row>
    <row r="1250">
      <c r="A1250" s="18" t="str">
        <f>IFERROR(__xludf.DUMMYFUNCTION("""COMPUTED_VALUE"""),"ord_61228")</f>
        <v>ord_61228</v>
      </c>
      <c r="B1250" s="18" t="str">
        <f>IFERROR(__xludf.DUMMYFUNCTION("""COMPUTED_VALUE"""),"Aarohi Kapoor")</f>
        <v>Aarohi Kapoor</v>
      </c>
      <c r="C1250" s="18" t="str">
        <f>IFERROR(__xludf.DUMMYFUNCTION("""COMPUTED_VALUE"""),"Bandra")</f>
        <v>Bandra</v>
      </c>
      <c r="D1250" s="18" t="str">
        <f>IFERROR(__xludf.DUMMYFUNCTION("""COMPUTED_VALUE"""),"Chicken Puff")</f>
        <v>Chicken Puff</v>
      </c>
      <c r="E1250" s="18">
        <f>IFERROR(__xludf.DUMMYFUNCTION("""COMPUTED_VALUE"""),4.0)</f>
        <v>4</v>
      </c>
      <c r="F1250" s="18" t="str">
        <f>IFERROR(__xludf.DUMMYFUNCTION("""COMPUTED_VALUE"""),"Priya Joshi")</f>
        <v>Priya Joshi</v>
      </c>
      <c r="G1250" s="19">
        <f>IFERROR(__xludf.DUMMYFUNCTION("""COMPUTED_VALUE"""),45088.0)</f>
        <v>45088</v>
      </c>
      <c r="H1250" s="18" t="str">
        <f>IFERROR(__xludf.DUMMYFUNCTION("""COMPUTED_VALUE"""),"Online Payment")</f>
        <v>Online Payment</v>
      </c>
      <c r="I1250" s="18" t="str">
        <f>IFERROR(__xludf.DUMMYFUNCTION("""COMPUTED_VALUE"""),"Delivered")</f>
        <v>Delivered</v>
      </c>
      <c r="J1250" s="18" t="str">
        <f>IFERROR(__xludf.DUMMYFUNCTION("""COMPUTED_VALUE"""),"Overall Satisfaction")</f>
        <v>Overall Satisfaction</v>
      </c>
      <c r="K1250" s="18" t="str">
        <f>IFERROR(__xludf.DUMMYFUNCTION("""COMPUTED_VALUE"""),"Great service will order again")</f>
        <v>Great service will order again</v>
      </c>
      <c r="L1250" s="18">
        <f>iferror(VLOOKUP($D1250,Details!$A$2:$C$11,2,false),vlookup($D1250,Details!$E$2:$G$11,2,false))</f>
        <v>90</v>
      </c>
      <c r="M1250" s="18" t="str">
        <f>iferror(VLOOKUP($D1250,Details!$A$2:$C$11,3,false),vlookup($D1250,Details!$E$2:$G$11,3,false))</f>
        <v>Snacks and Drinks</v>
      </c>
      <c r="N1250" s="18">
        <f t="shared" si="1"/>
        <v>360</v>
      </c>
      <c r="O1250" s="17"/>
      <c r="P1250" s="17"/>
      <c r="Q1250" s="17"/>
      <c r="R1250" s="17"/>
      <c r="S1250" s="17"/>
      <c r="T1250" s="17"/>
      <c r="U1250" s="17"/>
      <c r="V1250" s="17"/>
      <c r="W1250" s="17"/>
      <c r="X1250" s="17"/>
      <c r="Y1250" s="17"/>
      <c r="Z1250" s="17"/>
    </row>
    <row r="1251">
      <c r="A1251" s="18" t="str">
        <f>IFERROR(__xludf.DUMMYFUNCTION("""COMPUTED_VALUE"""),"ord_61229")</f>
        <v>ord_61229</v>
      </c>
      <c r="B1251" s="18" t="str">
        <f>IFERROR(__xludf.DUMMYFUNCTION("""COMPUTED_VALUE"""),"Ishaan Chaturvedi")</f>
        <v>Ishaan Chaturvedi</v>
      </c>
      <c r="C1251" s="18" t="str">
        <f>IFERROR(__xludf.DUMMYFUNCTION("""COMPUTED_VALUE"""),"Bandra")</f>
        <v>Bandra</v>
      </c>
      <c r="D1251" s="18" t="str">
        <f>IFERROR(__xludf.DUMMYFUNCTION("""COMPUTED_VALUE"""),"Chilli Cheese Toast")</f>
        <v>Chilli Cheese Toast</v>
      </c>
      <c r="E1251" s="18">
        <f>IFERROR(__xludf.DUMMYFUNCTION("""COMPUTED_VALUE"""),3.0)</f>
        <v>3</v>
      </c>
      <c r="F1251" s="18" t="str">
        <f>IFERROR(__xludf.DUMMYFUNCTION("""COMPUTED_VALUE"""),"Priya Joshi")</f>
        <v>Priya Joshi</v>
      </c>
      <c r="G1251" s="19">
        <f>IFERROR(__xludf.DUMMYFUNCTION("""COMPUTED_VALUE"""),45195.0)</f>
        <v>45195</v>
      </c>
      <c r="H1251" s="18" t="str">
        <f>IFERROR(__xludf.DUMMYFUNCTION("""COMPUTED_VALUE"""),"Credit Card")</f>
        <v>Credit Card</v>
      </c>
      <c r="I1251" s="18" t="str">
        <f>IFERROR(__xludf.DUMMYFUNCTION("""COMPUTED_VALUE"""),"Delivered")</f>
        <v>Delivered</v>
      </c>
      <c r="J1251" s="18" t="str">
        <f>IFERROR(__xludf.DUMMYFUNCTION("""COMPUTED_VALUE"""),"On-time Delivery")</f>
        <v>On-time Delivery</v>
      </c>
      <c r="K1251" s="18" t="str">
        <f>IFERROR(__xludf.DUMMYFUNCTION("""COMPUTED_VALUE"""),"Delivered on time")</f>
        <v>Delivered on time</v>
      </c>
      <c r="L1251" s="18">
        <f>iferror(VLOOKUP($D1251,Details!$A$2:$C$11,2,false),vlookup($D1251,Details!$E$2:$G$11,2,false))</f>
        <v>80</v>
      </c>
      <c r="M1251" s="18" t="str">
        <f>iferror(VLOOKUP($D1251,Details!$A$2:$C$11,3,false),vlookup($D1251,Details!$E$2:$G$11,3,false))</f>
        <v>Snacks and Drinks</v>
      </c>
      <c r="N1251" s="18">
        <f t="shared" si="1"/>
        <v>240</v>
      </c>
      <c r="O1251" s="17"/>
      <c r="P1251" s="17"/>
      <c r="Q1251" s="17"/>
      <c r="R1251" s="17"/>
      <c r="S1251" s="17"/>
      <c r="T1251" s="17"/>
      <c r="U1251" s="17"/>
      <c r="V1251" s="17"/>
      <c r="W1251" s="17"/>
      <c r="X1251" s="17"/>
      <c r="Y1251" s="17"/>
      <c r="Z1251" s="17"/>
    </row>
    <row r="1252">
      <c r="A1252" s="18" t="str">
        <f>IFERROR(__xludf.DUMMYFUNCTION("""COMPUTED_VALUE"""),"ord_61230")</f>
        <v>ord_61230</v>
      </c>
      <c r="B1252" s="18" t="str">
        <f>IFERROR(__xludf.DUMMYFUNCTION("""COMPUTED_VALUE"""),"Diya Arora")</f>
        <v>Diya Arora</v>
      </c>
      <c r="C1252" s="18" t="str">
        <f>IFERROR(__xludf.DUMMYFUNCTION("""COMPUTED_VALUE"""),"Lower Parel")</f>
        <v>Lower Parel</v>
      </c>
      <c r="D1252" s="18" t="str">
        <f>IFERROR(__xludf.DUMMYFUNCTION("""COMPUTED_VALUE"""),"Orange")</f>
        <v>Orange</v>
      </c>
      <c r="E1252" s="18">
        <f>IFERROR(__xludf.DUMMYFUNCTION("""COMPUTED_VALUE"""),1.0)</f>
        <v>1</v>
      </c>
      <c r="F1252" s="18" t="str">
        <f>IFERROR(__xludf.DUMMYFUNCTION("""COMPUTED_VALUE"""),"Kiran Mehta")</f>
        <v>Kiran Mehta</v>
      </c>
      <c r="G1252" s="19">
        <f>IFERROR(__xludf.DUMMYFUNCTION("""COMPUTED_VALUE"""),45051.0)</f>
        <v>45051</v>
      </c>
      <c r="H1252" s="18" t="str">
        <f>IFERROR(__xludf.DUMMYFUNCTION("""COMPUTED_VALUE"""),"UPI")</f>
        <v>UPI</v>
      </c>
      <c r="I1252" s="18" t="str">
        <f>IFERROR(__xludf.DUMMYFUNCTION("""COMPUTED_VALUE"""),"Delivered")</f>
        <v>Delivered</v>
      </c>
      <c r="J1252" s="18" t="str">
        <f>IFERROR(__xludf.DUMMYFUNCTION("""COMPUTED_VALUE"""),"Quality of Items")</f>
        <v>Quality of Items</v>
      </c>
      <c r="K1252" s="18" t="str">
        <f>IFERROR(__xludf.DUMMYFUNCTION("""COMPUTED_VALUE"""),"Perfect condition")</f>
        <v>Perfect condition</v>
      </c>
      <c r="L1252" s="18">
        <f>iferror(VLOOKUP($D1252,Details!$A$2:$C$11,2,false),vlookup($D1252,Details!$E$2:$G$11,2,false))</f>
        <v>180</v>
      </c>
      <c r="M1252" s="18" t="str">
        <f>iferror(VLOOKUP($D1252,Details!$A$2:$C$11,3,false),vlookup($D1252,Details!$E$2:$G$11,3,false))</f>
        <v>Fruits and Vegetables</v>
      </c>
      <c r="N1252" s="18">
        <f t="shared" si="1"/>
        <v>180</v>
      </c>
      <c r="O1252" s="17"/>
      <c r="P1252" s="17"/>
      <c r="Q1252" s="17"/>
      <c r="R1252" s="17"/>
      <c r="S1252" s="17"/>
      <c r="T1252" s="17"/>
      <c r="U1252" s="17"/>
      <c r="V1252" s="17"/>
      <c r="W1252" s="17"/>
      <c r="X1252" s="17"/>
      <c r="Y1252" s="17"/>
      <c r="Z1252" s="17"/>
    </row>
    <row r="1253">
      <c r="A1253" s="18" t="str">
        <f>IFERROR(__xludf.DUMMYFUNCTION("""COMPUTED_VALUE"""),"ord_61231")</f>
        <v>ord_61231</v>
      </c>
      <c r="B1253" s="18" t="str">
        <f>IFERROR(__xludf.DUMMYFUNCTION("""COMPUTED_VALUE"""),"Tanishq Bansal")</f>
        <v>Tanishq Bansal</v>
      </c>
      <c r="C1253" s="18" t="str">
        <f>IFERROR(__xludf.DUMMYFUNCTION("""COMPUTED_VALUE"""),"Powai")</f>
        <v>Powai</v>
      </c>
      <c r="D1253" s="18" t="str">
        <f>IFERROR(__xludf.DUMMYFUNCTION("""COMPUTED_VALUE"""),"Onion")</f>
        <v>Onion</v>
      </c>
      <c r="E1253" s="18">
        <f>IFERROR(__xludf.DUMMYFUNCTION("""COMPUTED_VALUE"""),2.0)</f>
        <v>2</v>
      </c>
      <c r="F1253" s="18" t="str">
        <f>IFERROR(__xludf.DUMMYFUNCTION("""COMPUTED_VALUE"""),"Sandeep Kumar")</f>
        <v>Sandeep Kumar</v>
      </c>
      <c r="G1253" s="19">
        <f>IFERROR(__xludf.DUMMYFUNCTION("""COMPUTED_VALUE"""),45263.0)</f>
        <v>45263</v>
      </c>
      <c r="H1253" s="18" t="str">
        <f>IFERROR(__xludf.DUMMYFUNCTION("""COMPUTED_VALUE"""),"COD")</f>
        <v>COD</v>
      </c>
      <c r="I1253" s="18" t="str">
        <f>IFERROR(__xludf.DUMMYFUNCTION("""COMPUTED_VALUE"""),"Delivered")</f>
        <v>Delivered</v>
      </c>
      <c r="J1253" s="18" t="str">
        <f>IFERROR(__xludf.DUMMYFUNCTION("""COMPUTED_VALUE"""),"On-time Delivery")</f>
        <v>On-time Delivery</v>
      </c>
      <c r="K1253" s="18" t="str">
        <f>IFERROR(__xludf.DUMMYFUNCTION("""COMPUTED_VALUE"""),"Delivered on time")</f>
        <v>Delivered on time</v>
      </c>
      <c r="L1253" s="18">
        <f>iferror(VLOOKUP($D1253,Details!$A$2:$C$11,2,false),vlookup($D1253,Details!$E$2:$G$11,2,false))</f>
        <v>84</v>
      </c>
      <c r="M1253" s="18" t="str">
        <f>iferror(VLOOKUP($D1253,Details!$A$2:$C$11,3,false),vlookup($D1253,Details!$E$2:$G$11,3,false))</f>
        <v>Fruits and Vegetables</v>
      </c>
      <c r="N1253" s="18">
        <f t="shared" si="1"/>
        <v>168</v>
      </c>
      <c r="O1253" s="17"/>
      <c r="P1253" s="17"/>
      <c r="Q1253" s="17"/>
      <c r="R1253" s="17"/>
      <c r="S1253" s="17"/>
      <c r="T1253" s="17"/>
      <c r="U1253" s="17"/>
      <c r="V1253" s="17"/>
      <c r="W1253" s="17"/>
      <c r="X1253" s="17"/>
      <c r="Y1253" s="17"/>
      <c r="Z1253" s="17"/>
    </row>
    <row r="1254">
      <c r="A1254" s="18" t="str">
        <f>IFERROR(__xludf.DUMMYFUNCTION("""COMPUTED_VALUE"""),"ord_61232")</f>
        <v>ord_61232</v>
      </c>
      <c r="B1254" s="18" t="str">
        <f>IFERROR(__xludf.DUMMYFUNCTION("""COMPUTED_VALUE"""),"Kritika Shetty")</f>
        <v>Kritika Shetty</v>
      </c>
      <c r="C1254" s="18" t="str">
        <f>IFERROR(__xludf.DUMMYFUNCTION("""COMPUTED_VALUE"""),"Malad")</f>
        <v>Malad</v>
      </c>
      <c r="D1254" s="18" t="str">
        <f>IFERROR(__xludf.DUMMYFUNCTION("""COMPUTED_VALUE"""),"Veg Puff")</f>
        <v>Veg Puff</v>
      </c>
      <c r="E1254" s="18">
        <f>IFERROR(__xludf.DUMMYFUNCTION("""COMPUTED_VALUE"""),4.0)</f>
        <v>4</v>
      </c>
      <c r="F1254" s="18" t="str">
        <f>IFERROR(__xludf.DUMMYFUNCTION("""COMPUTED_VALUE"""),"Neha Shah")</f>
        <v>Neha Shah</v>
      </c>
      <c r="G1254" s="19">
        <f>IFERROR(__xludf.DUMMYFUNCTION("""COMPUTED_VALUE"""),45132.0)</f>
        <v>45132</v>
      </c>
      <c r="H1254" s="18" t="str">
        <f>IFERROR(__xludf.DUMMYFUNCTION("""COMPUTED_VALUE"""),"UPI")</f>
        <v>UPI</v>
      </c>
      <c r="I1254" s="18" t="str">
        <f>IFERROR(__xludf.DUMMYFUNCTION("""COMPUTED_VALUE"""),"Delivered")</f>
        <v>Delivered</v>
      </c>
      <c r="J1254" s="18" t="str">
        <f>IFERROR(__xludf.DUMMYFUNCTION("""COMPUTED_VALUE"""),"Quality of Items")</f>
        <v>Quality of Items</v>
      </c>
      <c r="K1254" s="18" t="str">
        <f>IFERROR(__xludf.DUMMYFUNCTION("""COMPUTED_VALUE"""),"Perfect condition")</f>
        <v>Perfect condition</v>
      </c>
      <c r="L1254" s="18">
        <f>iferror(VLOOKUP($D1254,Details!$A$2:$C$11,2,false),vlookup($D1254,Details!$E$2:$G$11,2,false))</f>
        <v>80</v>
      </c>
      <c r="M1254" s="18" t="str">
        <f>iferror(VLOOKUP($D1254,Details!$A$2:$C$11,3,false),vlookup($D1254,Details!$E$2:$G$11,3,false))</f>
        <v>Snacks and Drinks</v>
      </c>
      <c r="N1254" s="18">
        <f t="shared" si="1"/>
        <v>320</v>
      </c>
      <c r="O1254" s="17"/>
      <c r="P1254" s="17"/>
      <c r="Q1254" s="17"/>
      <c r="R1254" s="17"/>
      <c r="S1254" s="17"/>
      <c r="T1254" s="17"/>
      <c r="U1254" s="17"/>
      <c r="V1254" s="17"/>
      <c r="W1254" s="17"/>
      <c r="X1254" s="17"/>
      <c r="Y1254" s="17"/>
      <c r="Z1254" s="17"/>
    </row>
    <row r="1255">
      <c r="A1255" s="18" t="str">
        <f>IFERROR(__xludf.DUMMYFUNCTION("""COMPUTED_VALUE"""),"ord_61233")</f>
        <v>ord_61233</v>
      </c>
      <c r="B1255" s="18" t="str">
        <f>IFERROR(__xludf.DUMMYFUNCTION("""COMPUTED_VALUE"""),"Kritika Shetty")</f>
        <v>Kritika Shetty</v>
      </c>
      <c r="C1255" s="18" t="str">
        <f>IFERROR(__xludf.DUMMYFUNCTION("""COMPUTED_VALUE"""),"Malad")</f>
        <v>Malad</v>
      </c>
      <c r="D1255" s="18" t="str">
        <f>IFERROR(__xludf.DUMMYFUNCTION("""COMPUTED_VALUE"""),"Sweet Corn")</f>
        <v>Sweet Corn</v>
      </c>
      <c r="E1255" s="18">
        <f>IFERROR(__xludf.DUMMYFUNCTION("""COMPUTED_VALUE"""),1.0)</f>
        <v>1</v>
      </c>
      <c r="F1255" s="18" t="str">
        <f>IFERROR(__xludf.DUMMYFUNCTION("""COMPUTED_VALUE"""),"Neha Shah")</f>
        <v>Neha Shah</v>
      </c>
      <c r="G1255" s="19">
        <f>IFERROR(__xludf.DUMMYFUNCTION("""COMPUTED_VALUE"""),45085.0)</f>
        <v>45085</v>
      </c>
      <c r="H1255" s="18" t="str">
        <f>IFERROR(__xludf.DUMMYFUNCTION("""COMPUTED_VALUE"""),"Credit Card")</f>
        <v>Credit Card</v>
      </c>
      <c r="I1255" s="18" t="str">
        <f>IFERROR(__xludf.DUMMYFUNCTION("""COMPUTED_VALUE"""),"Delivered")</f>
        <v>Delivered</v>
      </c>
      <c r="J1255" s="18" t="str">
        <f>IFERROR(__xludf.DUMMYFUNCTION("""COMPUTED_VALUE"""),"Packaging")</f>
        <v>Packaging</v>
      </c>
      <c r="K1255" s="18" t="str">
        <f>IFERROR(__xludf.DUMMYFUNCTION("""COMPUTED_VALUE"""),"Secure and intact")</f>
        <v>Secure and intact</v>
      </c>
      <c r="L1255" s="18">
        <f>iferror(VLOOKUP($D1255,Details!$A$2:$C$11,2,false),vlookup($D1255,Details!$E$2:$G$11,2,false))</f>
        <v>60</v>
      </c>
      <c r="M1255" s="18" t="str">
        <f>iferror(VLOOKUP($D1255,Details!$A$2:$C$11,3,false),vlookup($D1255,Details!$E$2:$G$11,3,false))</f>
        <v>Fruits and Vegetables</v>
      </c>
      <c r="N1255" s="18">
        <f t="shared" si="1"/>
        <v>60</v>
      </c>
      <c r="O1255" s="17"/>
      <c r="P1255" s="17"/>
      <c r="Q1255" s="17"/>
      <c r="R1255" s="17"/>
      <c r="S1255" s="17"/>
      <c r="T1255" s="17"/>
      <c r="U1255" s="17"/>
      <c r="V1255" s="17"/>
      <c r="W1255" s="17"/>
      <c r="X1255" s="17"/>
      <c r="Y1255" s="17"/>
      <c r="Z1255" s="17"/>
    </row>
    <row r="1256">
      <c r="A1256" s="18" t="str">
        <f>IFERROR(__xludf.DUMMYFUNCTION("""COMPUTED_VALUE"""),"ord_61234")</f>
        <v>ord_61234</v>
      </c>
      <c r="B1256" s="18" t="str">
        <f>IFERROR(__xludf.DUMMYFUNCTION("""COMPUTED_VALUE"""),"Pranav Joshi")</f>
        <v>Pranav Joshi</v>
      </c>
      <c r="C1256" s="18" t="str">
        <f>IFERROR(__xludf.DUMMYFUNCTION("""COMPUTED_VALUE"""),"Andheri")</f>
        <v>Andheri</v>
      </c>
      <c r="D1256" s="18" t="str">
        <f>IFERROR(__xludf.DUMMYFUNCTION("""COMPUTED_VALUE"""),"Popcorn")</f>
        <v>Popcorn</v>
      </c>
      <c r="E1256" s="18">
        <f>IFERROR(__xludf.DUMMYFUNCTION("""COMPUTED_VALUE"""),2.0)</f>
        <v>2</v>
      </c>
      <c r="F1256" s="18" t="str">
        <f>IFERROR(__xludf.DUMMYFUNCTION("""COMPUTED_VALUE"""),"Not Assigned")</f>
        <v>Not Assigned</v>
      </c>
      <c r="G1256" s="19">
        <f>IFERROR(__xludf.DUMMYFUNCTION("""COMPUTED_VALUE"""),45114.0)</f>
        <v>45114</v>
      </c>
      <c r="H1256" s="18" t="str">
        <f>IFERROR(__xludf.DUMMYFUNCTION("""COMPUTED_VALUE"""),"Online Payment")</f>
        <v>Online Payment</v>
      </c>
      <c r="I1256" s="18" t="str">
        <f>IFERROR(__xludf.DUMMYFUNCTION("""COMPUTED_VALUE"""),"Cancelled")</f>
        <v>Cancelled</v>
      </c>
      <c r="J1256" s="18" t="str">
        <f>IFERROR(__xludf.DUMMYFUNCTION("""COMPUTED_VALUE"""),"Out of Stock")</f>
        <v>Out of Stock</v>
      </c>
      <c r="K1256" s="18"/>
      <c r="L1256" s="18">
        <f>iferror(VLOOKUP($D1256,Details!$A$2:$C$11,2,false),vlookup($D1256,Details!$E$2:$G$11,2,false))</f>
        <v>150</v>
      </c>
      <c r="M1256" s="18" t="str">
        <f>iferror(VLOOKUP($D1256,Details!$A$2:$C$11,3,false),vlookup($D1256,Details!$E$2:$G$11,3,false))</f>
        <v>Snacks and Drinks</v>
      </c>
      <c r="N1256" s="18">
        <f t="shared" si="1"/>
        <v>300</v>
      </c>
      <c r="O1256" s="17"/>
      <c r="P1256" s="17"/>
      <c r="Q1256" s="17"/>
      <c r="R1256" s="17"/>
      <c r="S1256" s="17"/>
      <c r="T1256" s="17"/>
      <c r="U1256" s="17"/>
      <c r="V1256" s="17"/>
      <c r="W1256" s="17"/>
      <c r="X1256" s="17"/>
      <c r="Y1256" s="17"/>
      <c r="Z1256" s="17"/>
    </row>
    <row r="1257">
      <c r="A1257" s="18" t="str">
        <f>IFERROR(__xludf.DUMMYFUNCTION("""COMPUTED_VALUE"""),"ord_61235")</f>
        <v>ord_61235</v>
      </c>
      <c r="B1257" s="18" t="str">
        <f>IFERROR(__xludf.DUMMYFUNCTION("""COMPUTED_VALUE"""),"Pallavi Ghosh")</f>
        <v>Pallavi Ghosh</v>
      </c>
      <c r="C1257" s="18" t="str">
        <f>IFERROR(__xludf.DUMMYFUNCTION("""COMPUTED_VALUE"""),"Bandra")</f>
        <v>Bandra</v>
      </c>
      <c r="D1257" s="18" t="str">
        <f>IFERROR(__xludf.DUMMYFUNCTION("""COMPUTED_VALUE"""),"Potato")</f>
        <v>Potato</v>
      </c>
      <c r="E1257" s="18">
        <f>IFERROR(__xludf.DUMMYFUNCTION("""COMPUTED_VALUE"""),2.0)</f>
        <v>2</v>
      </c>
      <c r="F1257" s="18" t="str">
        <f>IFERROR(__xludf.DUMMYFUNCTION("""COMPUTED_VALUE"""),"Not Assigned")</f>
        <v>Not Assigned</v>
      </c>
      <c r="G1257" s="19">
        <f>IFERROR(__xludf.DUMMYFUNCTION("""COMPUTED_VALUE"""),45156.0)</f>
        <v>45156</v>
      </c>
      <c r="H1257" s="18" t="str">
        <f>IFERROR(__xludf.DUMMYFUNCTION("""COMPUTED_VALUE"""),"UPI")</f>
        <v>UPI</v>
      </c>
      <c r="I1257" s="18" t="str">
        <f>IFERROR(__xludf.DUMMYFUNCTION("""COMPUTED_VALUE"""),"Cancelled")</f>
        <v>Cancelled</v>
      </c>
      <c r="J1257" s="18" t="str">
        <f>IFERROR(__xludf.DUMMYFUNCTION("""COMPUTED_VALUE"""),"High Delivery Fees")</f>
        <v>High Delivery Fees</v>
      </c>
      <c r="K1257" s="18"/>
      <c r="L1257" s="18">
        <f>iferror(VLOOKUP($D1257,Details!$A$2:$C$11,2,false),vlookup($D1257,Details!$E$2:$G$11,2,false))</f>
        <v>55</v>
      </c>
      <c r="M1257" s="18" t="str">
        <f>iferror(VLOOKUP($D1257,Details!$A$2:$C$11,3,false),vlookup($D1257,Details!$E$2:$G$11,3,false))</f>
        <v>Fruits and Vegetables</v>
      </c>
      <c r="N1257" s="18">
        <f t="shared" si="1"/>
        <v>110</v>
      </c>
      <c r="O1257" s="17"/>
      <c r="P1257" s="17"/>
      <c r="Q1257" s="17"/>
      <c r="R1257" s="17"/>
      <c r="S1257" s="17"/>
      <c r="T1257" s="17"/>
      <c r="U1257" s="17"/>
      <c r="V1257" s="17"/>
      <c r="W1257" s="17"/>
      <c r="X1257" s="17"/>
      <c r="Y1257" s="17"/>
      <c r="Z1257" s="17"/>
    </row>
    <row r="1258">
      <c r="A1258" s="18" t="str">
        <f>IFERROR(__xludf.DUMMYFUNCTION("""COMPUTED_VALUE"""),"ord_61236")</f>
        <v>ord_61236</v>
      </c>
      <c r="B1258" s="18" t="str">
        <f>IFERROR(__xludf.DUMMYFUNCTION("""COMPUTED_VALUE"""),"Mohit Malhotra")</f>
        <v>Mohit Malhotra</v>
      </c>
      <c r="C1258" s="18" t="str">
        <f>IFERROR(__xludf.DUMMYFUNCTION("""COMPUTED_VALUE"""),"Lower Parel")</f>
        <v>Lower Parel</v>
      </c>
      <c r="D1258" s="18" t="str">
        <f>IFERROR(__xludf.DUMMYFUNCTION("""COMPUTED_VALUE"""),"Chocolate Mousse")</f>
        <v>Chocolate Mousse</v>
      </c>
      <c r="E1258" s="18">
        <f>IFERROR(__xludf.DUMMYFUNCTION("""COMPUTED_VALUE"""),3.0)</f>
        <v>3</v>
      </c>
      <c r="F1258" s="18" t="str">
        <f>IFERROR(__xludf.DUMMYFUNCTION("""COMPUTED_VALUE"""),"Kiran Mehta")</f>
        <v>Kiran Mehta</v>
      </c>
      <c r="G1258" s="19">
        <f>IFERROR(__xludf.DUMMYFUNCTION("""COMPUTED_VALUE"""),45222.0)</f>
        <v>45222</v>
      </c>
      <c r="H1258" s="18" t="str">
        <f>IFERROR(__xludf.DUMMYFUNCTION("""COMPUTED_VALUE"""),"COD")</f>
        <v>COD</v>
      </c>
      <c r="I1258" s="18" t="str">
        <f>IFERROR(__xludf.DUMMYFUNCTION("""COMPUTED_VALUE"""),"Delivered")</f>
        <v>Delivered</v>
      </c>
      <c r="J1258" s="18" t="str">
        <f>IFERROR(__xludf.DUMMYFUNCTION("""COMPUTED_VALUE"""),"Satisfied with the Delivery")</f>
        <v>Satisfied with the Delivery</v>
      </c>
      <c r="K1258" s="18" t="str">
        <f>IFERROR(__xludf.DUMMYFUNCTION("""COMPUTED_VALUE"""),"Timely and quality")</f>
        <v>Timely and quality</v>
      </c>
      <c r="L1258" s="18">
        <f>iferror(VLOOKUP($D1258,Details!$A$2:$C$11,2,false),vlookup($D1258,Details!$E$2:$G$11,2,false))</f>
        <v>145</v>
      </c>
      <c r="M1258" s="18" t="str">
        <f>iferror(VLOOKUP($D1258,Details!$A$2:$C$11,3,false),vlookup($D1258,Details!$E$2:$G$11,3,false))</f>
        <v>Snacks and Drinks</v>
      </c>
      <c r="N1258" s="18">
        <f t="shared" si="1"/>
        <v>435</v>
      </c>
      <c r="O1258" s="17"/>
      <c r="P1258" s="17"/>
      <c r="Q1258" s="17"/>
      <c r="R1258" s="17"/>
      <c r="S1258" s="17"/>
      <c r="T1258" s="17"/>
      <c r="U1258" s="17"/>
      <c r="V1258" s="17"/>
      <c r="W1258" s="17"/>
      <c r="X1258" s="17"/>
      <c r="Y1258" s="17"/>
      <c r="Z1258" s="17"/>
    </row>
    <row r="1259">
      <c r="A1259" s="18" t="str">
        <f>IFERROR(__xludf.DUMMYFUNCTION("""COMPUTED_VALUE"""),"ord_61237")</f>
        <v>ord_61237</v>
      </c>
      <c r="B1259" s="18" t="str">
        <f>IFERROR(__xludf.DUMMYFUNCTION("""COMPUTED_VALUE"""),"Aditi Iyer")</f>
        <v>Aditi Iyer</v>
      </c>
      <c r="C1259" s="18" t="str">
        <f>IFERROR(__xludf.DUMMYFUNCTION("""COMPUTED_VALUE"""),"Dadar")</f>
        <v>Dadar</v>
      </c>
      <c r="D1259" s="18" t="str">
        <f>IFERROR(__xludf.DUMMYFUNCTION("""COMPUTED_VALUE"""),"Juice")</f>
        <v>Juice</v>
      </c>
      <c r="E1259" s="18">
        <f>IFERROR(__xludf.DUMMYFUNCTION("""COMPUTED_VALUE"""),5.0)</f>
        <v>5</v>
      </c>
      <c r="F1259" s="18" t="str">
        <f>IFERROR(__xludf.DUMMYFUNCTION("""COMPUTED_VALUE"""),"Not Assigned")</f>
        <v>Not Assigned</v>
      </c>
      <c r="G1259" s="19">
        <f>IFERROR(__xludf.DUMMYFUNCTION("""COMPUTED_VALUE"""),45014.0)</f>
        <v>45014</v>
      </c>
      <c r="H1259" s="18" t="str">
        <f>IFERROR(__xludf.DUMMYFUNCTION("""COMPUTED_VALUE"""),"UPI")</f>
        <v>UPI</v>
      </c>
      <c r="I1259" s="18" t="str">
        <f>IFERROR(__xludf.DUMMYFUNCTION("""COMPUTED_VALUE"""),"Cancelled")</f>
        <v>Cancelled</v>
      </c>
      <c r="J1259" s="18" t="str">
        <f>IFERROR(__xludf.DUMMYFUNCTION("""COMPUTED_VALUE"""),"Payment Issues")</f>
        <v>Payment Issues</v>
      </c>
      <c r="K1259" s="18"/>
      <c r="L1259" s="18">
        <f>iferror(VLOOKUP($D1259,Details!$A$2:$C$11,2,false),vlookup($D1259,Details!$E$2:$G$11,2,false))</f>
        <v>90</v>
      </c>
      <c r="M1259" s="18" t="str">
        <f>iferror(VLOOKUP($D1259,Details!$A$2:$C$11,3,false),vlookup($D1259,Details!$E$2:$G$11,3,false))</f>
        <v>Snacks and Drinks</v>
      </c>
      <c r="N1259" s="18">
        <f t="shared" si="1"/>
        <v>450</v>
      </c>
      <c r="O1259" s="17"/>
      <c r="P1259" s="17"/>
      <c r="Q1259" s="17"/>
      <c r="R1259" s="17"/>
      <c r="S1259" s="17"/>
      <c r="T1259" s="17"/>
      <c r="U1259" s="17"/>
      <c r="V1259" s="17"/>
      <c r="W1259" s="17"/>
      <c r="X1259" s="17"/>
      <c r="Y1259" s="17"/>
      <c r="Z1259" s="17"/>
    </row>
    <row r="1260">
      <c r="A1260" s="18" t="str">
        <f>IFERROR(__xludf.DUMMYFUNCTION("""COMPUTED_VALUE"""),"ord_61238")</f>
        <v>ord_61238</v>
      </c>
      <c r="B1260" s="18" t="str">
        <f>IFERROR(__xludf.DUMMYFUNCTION("""COMPUTED_VALUE"""),"Omkar Mishra")</f>
        <v>Omkar Mishra</v>
      </c>
      <c r="C1260" s="18" t="str">
        <f>IFERROR(__xludf.DUMMYFUNCTION("""COMPUTED_VALUE"""),"Powai")</f>
        <v>Powai</v>
      </c>
      <c r="D1260" s="18" t="str">
        <f>IFERROR(__xludf.DUMMYFUNCTION("""COMPUTED_VALUE"""),"Rasmalai")</f>
        <v>Rasmalai</v>
      </c>
      <c r="E1260" s="18">
        <f>IFERROR(__xludf.DUMMYFUNCTION("""COMPUTED_VALUE"""),5.0)</f>
        <v>5</v>
      </c>
      <c r="F1260" s="18" t="str">
        <f>IFERROR(__xludf.DUMMYFUNCTION("""COMPUTED_VALUE"""),"Sandeep Kumar")</f>
        <v>Sandeep Kumar</v>
      </c>
      <c r="G1260" s="19">
        <f>IFERROR(__xludf.DUMMYFUNCTION("""COMPUTED_VALUE"""),44982.0)</f>
        <v>44982</v>
      </c>
      <c r="H1260" s="18" t="str">
        <f>IFERROR(__xludf.DUMMYFUNCTION("""COMPUTED_VALUE"""),"UPI")</f>
        <v>UPI</v>
      </c>
      <c r="I1260" s="18" t="str">
        <f>IFERROR(__xludf.DUMMYFUNCTION("""COMPUTED_VALUE"""),"Delivered")</f>
        <v>Delivered</v>
      </c>
      <c r="J1260" s="18" t="str">
        <f>IFERROR(__xludf.DUMMYFUNCTION("""COMPUTED_VALUE"""),"Customer Service")</f>
        <v>Customer Service</v>
      </c>
      <c r="K1260" s="18" t="str">
        <f>IFERROR(__xludf.DUMMYFUNCTION("""COMPUTED_VALUE"""),"Seamless and easy")</f>
        <v>Seamless and easy</v>
      </c>
      <c r="L1260" s="18">
        <f>iferror(VLOOKUP($D1260,Details!$A$2:$C$11,2,false),vlookup($D1260,Details!$E$2:$G$11,2,false))</f>
        <v>110</v>
      </c>
      <c r="M1260" s="18" t="str">
        <f>iferror(VLOOKUP($D1260,Details!$A$2:$C$11,3,false),vlookup($D1260,Details!$E$2:$G$11,3,false))</f>
        <v>Snacks and Drinks</v>
      </c>
      <c r="N1260" s="18">
        <f t="shared" si="1"/>
        <v>550</v>
      </c>
      <c r="O1260" s="17"/>
      <c r="P1260" s="17"/>
      <c r="Q1260" s="17"/>
      <c r="R1260" s="17"/>
      <c r="S1260" s="17"/>
      <c r="T1260" s="17"/>
      <c r="U1260" s="17"/>
      <c r="V1260" s="17"/>
      <c r="W1260" s="17"/>
      <c r="X1260" s="17"/>
      <c r="Y1260" s="17"/>
      <c r="Z1260" s="17"/>
    </row>
    <row r="1261">
      <c r="A1261" s="18" t="str">
        <f>IFERROR(__xludf.DUMMYFUNCTION("""COMPUTED_VALUE"""),"ord_61239")</f>
        <v>ord_61239</v>
      </c>
      <c r="B1261" s="18" t="str">
        <f>IFERROR(__xludf.DUMMYFUNCTION("""COMPUTED_VALUE"""),"Dev Chauhan")</f>
        <v>Dev Chauhan</v>
      </c>
      <c r="C1261" s="18" t="str">
        <f>IFERROR(__xludf.DUMMYFUNCTION("""COMPUTED_VALUE"""),"Bandra")</f>
        <v>Bandra</v>
      </c>
      <c r="D1261" s="18" t="str">
        <f>IFERROR(__xludf.DUMMYFUNCTION("""COMPUTED_VALUE"""),"Chicken Puff")</f>
        <v>Chicken Puff</v>
      </c>
      <c r="E1261" s="18">
        <f>IFERROR(__xludf.DUMMYFUNCTION("""COMPUTED_VALUE"""),1.0)</f>
        <v>1</v>
      </c>
      <c r="F1261" s="18" t="str">
        <f>IFERROR(__xludf.DUMMYFUNCTION("""COMPUTED_VALUE"""),"Priya Joshi")</f>
        <v>Priya Joshi</v>
      </c>
      <c r="G1261" s="19">
        <f>IFERROR(__xludf.DUMMYFUNCTION("""COMPUTED_VALUE"""),44930.0)</f>
        <v>44930</v>
      </c>
      <c r="H1261" s="18" t="str">
        <f>IFERROR(__xludf.DUMMYFUNCTION("""COMPUTED_VALUE"""),"Credit Card")</f>
        <v>Credit Card</v>
      </c>
      <c r="I1261" s="18" t="str">
        <f>IFERROR(__xludf.DUMMYFUNCTION("""COMPUTED_VALUE"""),"Delivered")</f>
        <v>Delivered</v>
      </c>
      <c r="J1261" s="18" t="str">
        <f>IFERROR(__xludf.DUMMYFUNCTION("""COMPUTED_VALUE"""),"Delivery Experience")</f>
        <v>Delivery Experience</v>
      </c>
      <c r="K1261" s="18" t="str">
        <f>IFERROR(__xludf.DUMMYFUNCTION("""COMPUTED_VALUE"""),"Quick and professional")</f>
        <v>Quick and professional</v>
      </c>
      <c r="L1261" s="18">
        <f>iferror(VLOOKUP($D1261,Details!$A$2:$C$11,2,false),vlookup($D1261,Details!$E$2:$G$11,2,false))</f>
        <v>90</v>
      </c>
      <c r="M1261" s="18" t="str">
        <f>iferror(VLOOKUP($D1261,Details!$A$2:$C$11,3,false),vlookup($D1261,Details!$E$2:$G$11,3,false))</f>
        <v>Snacks and Drinks</v>
      </c>
      <c r="N1261" s="18">
        <f t="shared" si="1"/>
        <v>90</v>
      </c>
      <c r="O1261" s="17"/>
      <c r="P1261" s="17"/>
      <c r="Q1261" s="17"/>
      <c r="R1261" s="17"/>
      <c r="S1261" s="17"/>
      <c r="T1261" s="17"/>
      <c r="U1261" s="17"/>
      <c r="V1261" s="17"/>
      <c r="W1261" s="17"/>
      <c r="X1261" s="17"/>
      <c r="Y1261" s="17"/>
      <c r="Z1261" s="17"/>
    </row>
    <row r="1262">
      <c r="A1262" s="18" t="str">
        <f>IFERROR(__xludf.DUMMYFUNCTION("""COMPUTED_VALUE"""),"ord_61240")</f>
        <v>ord_61240</v>
      </c>
      <c r="B1262" s="18" t="str">
        <f>IFERROR(__xludf.DUMMYFUNCTION("""COMPUTED_VALUE"""),"Arvind Kulkarni")</f>
        <v>Arvind Kulkarni</v>
      </c>
      <c r="C1262" s="18" t="str">
        <f>IFERROR(__xludf.DUMMYFUNCTION("""COMPUTED_VALUE"""),"Juhu")</f>
        <v>Juhu</v>
      </c>
      <c r="D1262" s="18" t="str">
        <f>IFERROR(__xludf.DUMMYFUNCTION("""COMPUTED_VALUE"""),"Veg Puff")</f>
        <v>Veg Puff</v>
      </c>
      <c r="E1262" s="18">
        <f>IFERROR(__xludf.DUMMYFUNCTION("""COMPUTED_VALUE"""),4.0)</f>
        <v>4</v>
      </c>
      <c r="F1262" s="18" t="str">
        <f>IFERROR(__xludf.DUMMYFUNCTION("""COMPUTED_VALUE"""),"Nikhil Deshmukh")</f>
        <v>Nikhil Deshmukh</v>
      </c>
      <c r="G1262" s="19">
        <f>IFERROR(__xludf.DUMMYFUNCTION("""COMPUTED_VALUE"""),45057.0)</f>
        <v>45057</v>
      </c>
      <c r="H1262" s="18" t="str">
        <f>IFERROR(__xludf.DUMMYFUNCTION("""COMPUTED_VALUE"""),"Credit Card")</f>
        <v>Credit Card</v>
      </c>
      <c r="I1262" s="18" t="str">
        <f>IFERROR(__xludf.DUMMYFUNCTION("""COMPUTED_VALUE"""),"Cancelled")</f>
        <v>Cancelled</v>
      </c>
      <c r="J1262" s="18" t="str">
        <f>IFERROR(__xludf.DUMMYFUNCTION("""COMPUTED_VALUE"""),"Delayed Delivery")</f>
        <v>Delayed Delivery</v>
      </c>
      <c r="K1262" s="18" t="str">
        <f>IFERROR(__xludf.DUMMYFUNCTION("""COMPUTED_VALUE"""),"Bad Weather Conditions")</f>
        <v>Bad Weather Conditions</v>
      </c>
      <c r="L1262" s="18">
        <f>iferror(VLOOKUP($D1262,Details!$A$2:$C$11,2,false),vlookup($D1262,Details!$E$2:$G$11,2,false))</f>
        <v>80</v>
      </c>
      <c r="M1262" s="18" t="str">
        <f>iferror(VLOOKUP($D1262,Details!$A$2:$C$11,3,false),vlookup($D1262,Details!$E$2:$G$11,3,false))</f>
        <v>Snacks and Drinks</v>
      </c>
      <c r="N1262" s="18">
        <f t="shared" si="1"/>
        <v>320</v>
      </c>
      <c r="O1262" s="17"/>
      <c r="P1262" s="17"/>
      <c r="Q1262" s="17"/>
      <c r="R1262" s="17"/>
      <c r="S1262" s="17"/>
      <c r="T1262" s="17"/>
      <c r="U1262" s="17"/>
      <c r="V1262" s="17"/>
      <c r="W1262" s="17"/>
      <c r="X1262" s="17"/>
      <c r="Y1262" s="17"/>
      <c r="Z1262" s="17"/>
    </row>
    <row r="1263">
      <c r="A1263" s="18" t="str">
        <f>IFERROR(__xludf.DUMMYFUNCTION("""COMPUTED_VALUE"""),"ord_61241")</f>
        <v>ord_61241</v>
      </c>
      <c r="B1263" s="18" t="str">
        <f>IFERROR(__xludf.DUMMYFUNCTION("""COMPUTED_VALUE"""),"Ishaan Chaturvedi")</f>
        <v>Ishaan Chaturvedi</v>
      </c>
      <c r="C1263" s="18" t="str">
        <f>IFERROR(__xludf.DUMMYFUNCTION("""COMPUTED_VALUE"""),"Bandra")</f>
        <v>Bandra</v>
      </c>
      <c r="D1263" s="18" t="str">
        <f>IFERROR(__xludf.DUMMYFUNCTION("""COMPUTED_VALUE"""),"Orange")</f>
        <v>Orange</v>
      </c>
      <c r="E1263" s="18">
        <f>IFERROR(__xludf.DUMMYFUNCTION("""COMPUTED_VALUE"""),1.0)</f>
        <v>1</v>
      </c>
      <c r="F1263" s="18" t="str">
        <f>IFERROR(__xludf.DUMMYFUNCTION("""COMPUTED_VALUE"""),"Ramesh S")</f>
        <v>Ramesh S</v>
      </c>
      <c r="G1263" s="19">
        <f>IFERROR(__xludf.DUMMYFUNCTION("""COMPUTED_VALUE"""),45279.0)</f>
        <v>45279</v>
      </c>
      <c r="H1263" s="18" t="str">
        <f>IFERROR(__xludf.DUMMYFUNCTION("""COMPUTED_VALUE"""),"Credit Card")</f>
        <v>Credit Card</v>
      </c>
      <c r="I1263" s="18" t="str">
        <f>IFERROR(__xludf.DUMMYFUNCTION("""COMPUTED_VALUE"""),"Cancelled")</f>
        <v>Cancelled</v>
      </c>
      <c r="J1263" s="18" t="str">
        <f>IFERROR(__xludf.DUMMYFUNCTION("""COMPUTED_VALUE"""),"Delayed Delivery")</f>
        <v>Delayed Delivery</v>
      </c>
      <c r="K1263" s="18" t="str">
        <f>IFERROR(__xludf.DUMMYFUNCTION("""COMPUTED_VALUE"""),"Heavy Traffic")</f>
        <v>Heavy Traffic</v>
      </c>
      <c r="L1263" s="18">
        <f>iferror(VLOOKUP($D1263,Details!$A$2:$C$11,2,false),vlookup($D1263,Details!$E$2:$G$11,2,false))</f>
        <v>180</v>
      </c>
      <c r="M1263" s="18" t="str">
        <f>iferror(VLOOKUP($D1263,Details!$A$2:$C$11,3,false),vlookup($D1263,Details!$E$2:$G$11,3,false))</f>
        <v>Fruits and Vegetables</v>
      </c>
      <c r="N1263" s="18">
        <f t="shared" si="1"/>
        <v>180</v>
      </c>
      <c r="O1263" s="17"/>
      <c r="P1263" s="17"/>
      <c r="Q1263" s="17"/>
      <c r="R1263" s="17"/>
      <c r="S1263" s="17"/>
      <c r="T1263" s="17"/>
      <c r="U1263" s="17"/>
      <c r="V1263" s="17"/>
      <c r="W1263" s="17"/>
      <c r="X1263" s="17"/>
      <c r="Y1263" s="17"/>
      <c r="Z1263" s="17"/>
    </row>
    <row r="1264">
      <c r="A1264" s="18" t="str">
        <f>IFERROR(__xludf.DUMMYFUNCTION("""COMPUTED_VALUE"""),"ord_61242")</f>
        <v>ord_61242</v>
      </c>
      <c r="B1264" s="18" t="str">
        <f>IFERROR(__xludf.DUMMYFUNCTION("""COMPUTED_VALUE"""),"Anaya Rao")</f>
        <v>Anaya Rao</v>
      </c>
      <c r="C1264" s="18" t="str">
        <f>IFERROR(__xludf.DUMMYFUNCTION("""COMPUTED_VALUE"""),"Colaba")</f>
        <v>Colaba</v>
      </c>
      <c r="D1264" s="18" t="str">
        <f>IFERROR(__xludf.DUMMYFUNCTION("""COMPUTED_VALUE"""),"Veg Puff")</f>
        <v>Veg Puff</v>
      </c>
      <c r="E1264" s="18">
        <f>IFERROR(__xludf.DUMMYFUNCTION("""COMPUTED_VALUE"""),3.0)</f>
        <v>3</v>
      </c>
      <c r="F1264" s="18" t="str">
        <f>IFERROR(__xludf.DUMMYFUNCTION("""COMPUTED_VALUE"""),"Not Assigned")</f>
        <v>Not Assigned</v>
      </c>
      <c r="G1264" s="19">
        <f>IFERROR(__xludf.DUMMYFUNCTION("""COMPUTED_VALUE"""),44966.0)</f>
        <v>44966</v>
      </c>
      <c r="H1264" s="18" t="str">
        <f>IFERROR(__xludf.DUMMYFUNCTION("""COMPUTED_VALUE"""),"UPI")</f>
        <v>UPI</v>
      </c>
      <c r="I1264" s="18" t="str">
        <f>IFERROR(__xludf.DUMMYFUNCTION("""COMPUTED_VALUE"""),"Cancelled")</f>
        <v>Cancelled</v>
      </c>
      <c r="J1264" s="18" t="str">
        <f>IFERROR(__xludf.DUMMYFUNCTION("""COMPUTED_VALUE"""),"High Delivery Fees")</f>
        <v>High Delivery Fees</v>
      </c>
      <c r="K1264" s="18"/>
      <c r="L1264" s="18">
        <f>iferror(VLOOKUP($D1264,Details!$A$2:$C$11,2,false),vlookup($D1264,Details!$E$2:$G$11,2,false))</f>
        <v>80</v>
      </c>
      <c r="M1264" s="18" t="str">
        <f>iferror(VLOOKUP($D1264,Details!$A$2:$C$11,3,false),vlookup($D1264,Details!$E$2:$G$11,3,false))</f>
        <v>Snacks and Drinks</v>
      </c>
      <c r="N1264" s="18">
        <f t="shared" si="1"/>
        <v>240</v>
      </c>
      <c r="O1264" s="17"/>
      <c r="P1264" s="17"/>
      <c r="Q1264" s="17"/>
      <c r="R1264" s="17"/>
      <c r="S1264" s="17"/>
      <c r="T1264" s="17"/>
      <c r="U1264" s="17"/>
      <c r="V1264" s="17"/>
      <c r="W1264" s="17"/>
      <c r="X1264" s="17"/>
      <c r="Y1264" s="17"/>
      <c r="Z1264" s="17"/>
    </row>
    <row r="1265">
      <c r="A1265" s="18" t="str">
        <f>IFERROR(__xludf.DUMMYFUNCTION("""COMPUTED_VALUE"""),"ord_61243")</f>
        <v>ord_61243</v>
      </c>
      <c r="B1265" s="18" t="str">
        <f>IFERROR(__xludf.DUMMYFUNCTION("""COMPUTED_VALUE"""),"Pranav Joshi")</f>
        <v>Pranav Joshi</v>
      </c>
      <c r="C1265" s="18" t="str">
        <f>IFERROR(__xludf.DUMMYFUNCTION("""COMPUTED_VALUE"""),"Andheri")</f>
        <v>Andheri</v>
      </c>
      <c r="D1265" s="18" t="str">
        <f>IFERROR(__xludf.DUMMYFUNCTION("""COMPUTED_VALUE"""),"Orange")</f>
        <v>Orange</v>
      </c>
      <c r="E1265" s="18">
        <f>IFERROR(__xludf.DUMMYFUNCTION("""COMPUTED_VALUE"""),2.0)</f>
        <v>2</v>
      </c>
      <c r="F1265" s="18" t="str">
        <f>IFERROR(__xludf.DUMMYFUNCTION("""COMPUTED_VALUE"""),"Not Assigned")</f>
        <v>Not Assigned</v>
      </c>
      <c r="G1265" s="19">
        <f>IFERROR(__xludf.DUMMYFUNCTION("""COMPUTED_VALUE"""),45099.0)</f>
        <v>45099</v>
      </c>
      <c r="H1265" s="18" t="str">
        <f>IFERROR(__xludf.DUMMYFUNCTION("""COMPUTED_VALUE"""),"UPI")</f>
        <v>UPI</v>
      </c>
      <c r="I1265" s="18" t="str">
        <f>IFERROR(__xludf.DUMMYFUNCTION("""COMPUTED_VALUE"""),"Cancelled")</f>
        <v>Cancelled</v>
      </c>
      <c r="J1265" s="18" t="str">
        <f>IFERROR(__xludf.DUMMYFUNCTION("""COMPUTED_VALUE"""),"Out of Stock")</f>
        <v>Out of Stock</v>
      </c>
      <c r="K1265" s="18"/>
      <c r="L1265" s="18">
        <f>iferror(VLOOKUP($D1265,Details!$A$2:$C$11,2,false),vlookup($D1265,Details!$E$2:$G$11,2,false))</f>
        <v>180</v>
      </c>
      <c r="M1265" s="18" t="str">
        <f>iferror(VLOOKUP($D1265,Details!$A$2:$C$11,3,false),vlookup($D1265,Details!$E$2:$G$11,3,false))</f>
        <v>Fruits and Vegetables</v>
      </c>
      <c r="N1265" s="18">
        <f t="shared" si="1"/>
        <v>360</v>
      </c>
      <c r="O1265" s="17"/>
      <c r="P1265" s="17"/>
      <c r="Q1265" s="17"/>
      <c r="R1265" s="17"/>
      <c r="S1265" s="17"/>
      <c r="T1265" s="17"/>
      <c r="U1265" s="17"/>
      <c r="V1265" s="17"/>
      <c r="W1265" s="17"/>
      <c r="X1265" s="17"/>
      <c r="Y1265" s="17"/>
      <c r="Z1265" s="17"/>
    </row>
    <row r="1266">
      <c r="A1266" s="18" t="str">
        <f>IFERROR(__xludf.DUMMYFUNCTION("""COMPUTED_VALUE"""),"ord_61244")</f>
        <v>ord_61244</v>
      </c>
      <c r="B1266" s="18" t="str">
        <f>IFERROR(__xludf.DUMMYFUNCTION("""COMPUTED_VALUE"""),"Ishaan Chaturvedi")</f>
        <v>Ishaan Chaturvedi</v>
      </c>
      <c r="C1266" s="18" t="str">
        <f>IFERROR(__xludf.DUMMYFUNCTION("""COMPUTED_VALUE"""),"Bandra")</f>
        <v>Bandra</v>
      </c>
      <c r="D1266" s="18" t="str">
        <f>IFERROR(__xludf.DUMMYFUNCTION("""COMPUTED_VALUE"""),"Veg Puff")</f>
        <v>Veg Puff</v>
      </c>
      <c r="E1266" s="18">
        <f>IFERROR(__xludf.DUMMYFUNCTION("""COMPUTED_VALUE"""),5.0)</f>
        <v>5</v>
      </c>
      <c r="F1266" s="18" t="str">
        <f>IFERROR(__xludf.DUMMYFUNCTION("""COMPUTED_VALUE"""),"Nikhil Deshmukh")</f>
        <v>Nikhil Deshmukh</v>
      </c>
      <c r="G1266" s="19">
        <f>IFERROR(__xludf.DUMMYFUNCTION("""COMPUTED_VALUE"""),45118.0)</f>
        <v>45118</v>
      </c>
      <c r="H1266" s="18" t="str">
        <f>IFERROR(__xludf.DUMMYFUNCTION("""COMPUTED_VALUE"""),"Credit Card")</f>
        <v>Credit Card</v>
      </c>
      <c r="I1266" s="18" t="str">
        <f>IFERROR(__xludf.DUMMYFUNCTION("""COMPUTED_VALUE"""),"Cancelled")</f>
        <v>Cancelled</v>
      </c>
      <c r="J1266" s="18" t="str">
        <f>IFERROR(__xludf.DUMMYFUNCTION("""COMPUTED_VALUE"""),"Delayed Delivery")</f>
        <v>Delayed Delivery</v>
      </c>
      <c r="K1266" s="18" t="str">
        <f>IFERROR(__xludf.DUMMYFUNCTION("""COMPUTED_VALUE"""),"Bad Weather Conditions")</f>
        <v>Bad Weather Conditions</v>
      </c>
      <c r="L1266" s="18">
        <f>iferror(VLOOKUP($D1266,Details!$A$2:$C$11,2,false),vlookup($D1266,Details!$E$2:$G$11,2,false))</f>
        <v>80</v>
      </c>
      <c r="M1266" s="18" t="str">
        <f>iferror(VLOOKUP($D1266,Details!$A$2:$C$11,3,false),vlookup($D1266,Details!$E$2:$G$11,3,false))</f>
        <v>Snacks and Drinks</v>
      </c>
      <c r="N1266" s="18">
        <f t="shared" si="1"/>
        <v>400</v>
      </c>
      <c r="O1266" s="17"/>
      <c r="P1266" s="17"/>
      <c r="Q1266" s="17"/>
      <c r="R1266" s="17"/>
      <c r="S1266" s="17"/>
      <c r="T1266" s="17"/>
      <c r="U1266" s="17"/>
      <c r="V1266" s="17"/>
      <c r="W1266" s="17"/>
      <c r="X1266" s="17"/>
      <c r="Y1266" s="17"/>
      <c r="Z1266" s="17"/>
    </row>
    <row r="1267">
      <c r="A1267" s="18" t="str">
        <f>IFERROR(__xludf.DUMMYFUNCTION("""COMPUTED_VALUE"""),"ord_61245")</f>
        <v>ord_61245</v>
      </c>
      <c r="B1267" s="18" t="str">
        <f>IFERROR(__xludf.DUMMYFUNCTION("""COMPUTED_VALUE"""),"Sahil Desai")</f>
        <v>Sahil Desai</v>
      </c>
      <c r="C1267" s="18" t="str">
        <f>IFERROR(__xludf.DUMMYFUNCTION("""COMPUTED_VALUE"""),"Colaba")</f>
        <v>Colaba</v>
      </c>
      <c r="D1267" s="18" t="str">
        <f>IFERROR(__xludf.DUMMYFUNCTION("""COMPUTED_VALUE"""),"Guava")</f>
        <v>Guava</v>
      </c>
      <c r="E1267" s="18">
        <f>IFERROR(__xludf.DUMMYFUNCTION("""COMPUTED_VALUE"""),2.0)</f>
        <v>2</v>
      </c>
      <c r="F1267" s="18" t="str">
        <f>IFERROR(__xludf.DUMMYFUNCTION("""COMPUTED_VALUE"""),"Nikhil Deshmukh")</f>
        <v>Nikhil Deshmukh</v>
      </c>
      <c r="G1267" s="19">
        <f>IFERROR(__xludf.DUMMYFUNCTION("""COMPUTED_VALUE"""),45164.0)</f>
        <v>45164</v>
      </c>
      <c r="H1267" s="18" t="str">
        <f>IFERROR(__xludf.DUMMYFUNCTION("""COMPUTED_VALUE"""),"Online Payment")</f>
        <v>Online Payment</v>
      </c>
      <c r="I1267" s="18" t="str">
        <f>IFERROR(__xludf.DUMMYFUNCTION("""COMPUTED_VALUE"""),"Delivered")</f>
        <v>Delivered</v>
      </c>
      <c r="J1267" s="18" t="str">
        <f>IFERROR(__xludf.DUMMYFUNCTION("""COMPUTED_VALUE"""),"Convenience")</f>
        <v>Convenience</v>
      </c>
      <c r="K1267" s="18" t="str">
        <f>IFERROR(__xludf.DUMMYFUNCTION("""COMPUTED_VALUE"""),"Easy tracking")</f>
        <v>Easy tracking</v>
      </c>
      <c r="L1267" s="18">
        <f>iferror(VLOOKUP($D1267,Details!$A$2:$C$11,2,false),vlookup($D1267,Details!$E$2:$G$11,2,false))</f>
        <v>70</v>
      </c>
      <c r="M1267" s="18" t="str">
        <f>iferror(VLOOKUP($D1267,Details!$A$2:$C$11,3,false),vlookup($D1267,Details!$E$2:$G$11,3,false))</f>
        <v>Fruits and Vegetables</v>
      </c>
      <c r="N1267" s="18">
        <f t="shared" si="1"/>
        <v>140</v>
      </c>
      <c r="O1267" s="17"/>
      <c r="P1267" s="17"/>
      <c r="Q1267" s="17"/>
      <c r="R1267" s="17"/>
      <c r="S1267" s="17"/>
      <c r="T1267" s="17"/>
      <c r="U1267" s="17"/>
      <c r="V1267" s="17"/>
      <c r="W1267" s="17"/>
      <c r="X1267" s="17"/>
      <c r="Y1267" s="17"/>
      <c r="Z1267" s="17"/>
    </row>
    <row r="1268">
      <c r="A1268" s="18" t="str">
        <f>IFERROR(__xludf.DUMMYFUNCTION("""COMPUTED_VALUE"""),"ord_61246")</f>
        <v>ord_61246</v>
      </c>
      <c r="B1268" s="18" t="str">
        <f>IFERROR(__xludf.DUMMYFUNCTION("""COMPUTED_VALUE"""),"Sahil Desai")</f>
        <v>Sahil Desai</v>
      </c>
      <c r="C1268" s="18" t="str">
        <f>IFERROR(__xludf.DUMMYFUNCTION("""COMPUTED_VALUE"""),"Colaba")</f>
        <v>Colaba</v>
      </c>
      <c r="D1268" s="18" t="str">
        <f>IFERROR(__xludf.DUMMYFUNCTION("""COMPUTED_VALUE"""),"Chocolate Mousse")</f>
        <v>Chocolate Mousse</v>
      </c>
      <c r="E1268" s="18">
        <f>IFERROR(__xludf.DUMMYFUNCTION("""COMPUTED_VALUE"""),9.0)</f>
        <v>9</v>
      </c>
      <c r="F1268" s="18" t="str">
        <f>IFERROR(__xludf.DUMMYFUNCTION("""COMPUTED_VALUE"""),"Nikhil Deshmukh")</f>
        <v>Nikhil Deshmukh</v>
      </c>
      <c r="G1268" s="19">
        <f>IFERROR(__xludf.DUMMYFUNCTION("""COMPUTED_VALUE"""),45034.0)</f>
        <v>45034</v>
      </c>
      <c r="H1268" s="18" t="str">
        <f>IFERROR(__xludf.DUMMYFUNCTION("""COMPUTED_VALUE"""),"Credit Card")</f>
        <v>Credit Card</v>
      </c>
      <c r="I1268" s="18" t="str">
        <f>IFERROR(__xludf.DUMMYFUNCTION("""COMPUTED_VALUE"""),"Delivered")</f>
        <v>Delivered</v>
      </c>
      <c r="J1268" s="18" t="str">
        <f>IFERROR(__xludf.DUMMYFUNCTION("""COMPUTED_VALUE"""),"Overall Satisfaction")</f>
        <v>Overall Satisfaction</v>
      </c>
      <c r="K1268" s="18" t="str">
        <f>IFERROR(__xludf.DUMMYFUNCTION("""COMPUTED_VALUE"""),"Great service will order again")</f>
        <v>Great service will order again</v>
      </c>
      <c r="L1268" s="18">
        <f>iferror(VLOOKUP($D1268,Details!$A$2:$C$11,2,false),vlookup($D1268,Details!$E$2:$G$11,2,false))</f>
        <v>145</v>
      </c>
      <c r="M1268" s="18" t="str">
        <f>iferror(VLOOKUP($D1268,Details!$A$2:$C$11,3,false),vlookup($D1268,Details!$E$2:$G$11,3,false))</f>
        <v>Snacks and Drinks</v>
      </c>
      <c r="N1268" s="18">
        <f t="shared" si="1"/>
        <v>1305</v>
      </c>
      <c r="O1268" s="17"/>
      <c r="P1268" s="17"/>
      <c r="Q1268" s="17"/>
      <c r="R1268" s="17"/>
      <c r="S1268" s="17"/>
      <c r="T1268" s="17"/>
      <c r="U1268" s="17"/>
      <c r="V1268" s="17"/>
      <c r="W1268" s="17"/>
      <c r="X1268" s="17"/>
      <c r="Y1268" s="17"/>
      <c r="Z1268" s="17"/>
    </row>
    <row r="1269">
      <c r="A1269" s="18" t="str">
        <f>IFERROR(__xludf.DUMMYFUNCTION("""COMPUTED_VALUE"""),"ord_61247")</f>
        <v>ord_61247</v>
      </c>
      <c r="B1269" s="18" t="str">
        <f>IFERROR(__xludf.DUMMYFUNCTION("""COMPUTED_VALUE"""),"Aarav Mehta")</f>
        <v>Aarav Mehta</v>
      </c>
      <c r="C1269" s="18" t="str">
        <f>IFERROR(__xludf.DUMMYFUNCTION("""COMPUTED_VALUE"""),"Andheri")</f>
        <v>Andheri</v>
      </c>
      <c r="D1269" s="18" t="str">
        <f>IFERROR(__xludf.DUMMYFUNCTION("""COMPUTED_VALUE"""),"Orange")</f>
        <v>Orange</v>
      </c>
      <c r="E1269" s="18">
        <f>IFERROR(__xludf.DUMMYFUNCTION("""COMPUTED_VALUE"""),2.0)</f>
        <v>2</v>
      </c>
      <c r="F1269" s="18" t="str">
        <f>IFERROR(__xludf.DUMMYFUNCTION("""COMPUTED_VALUE"""),"Not Assigned")</f>
        <v>Not Assigned</v>
      </c>
      <c r="G1269" s="19">
        <f>IFERROR(__xludf.DUMMYFUNCTION("""COMPUTED_VALUE"""),45184.0)</f>
        <v>45184</v>
      </c>
      <c r="H1269" s="18" t="str">
        <f>IFERROR(__xludf.DUMMYFUNCTION("""COMPUTED_VALUE"""),"Online Payment")</f>
        <v>Online Payment</v>
      </c>
      <c r="I1269" s="18" t="str">
        <f>IFERROR(__xludf.DUMMYFUNCTION("""COMPUTED_VALUE"""),"Cancelled")</f>
        <v>Cancelled</v>
      </c>
      <c r="J1269" s="18" t="str">
        <f>IFERROR(__xludf.DUMMYFUNCTION("""COMPUTED_VALUE"""),"Out of Stock")</f>
        <v>Out of Stock</v>
      </c>
      <c r="K1269" s="18"/>
      <c r="L1269" s="18">
        <f>iferror(VLOOKUP($D1269,Details!$A$2:$C$11,2,false),vlookup($D1269,Details!$E$2:$G$11,2,false))</f>
        <v>180</v>
      </c>
      <c r="M1269" s="18" t="str">
        <f>iferror(VLOOKUP($D1269,Details!$A$2:$C$11,3,false),vlookup($D1269,Details!$E$2:$G$11,3,false))</f>
        <v>Fruits and Vegetables</v>
      </c>
      <c r="N1269" s="18">
        <f t="shared" si="1"/>
        <v>360</v>
      </c>
      <c r="O1269" s="17"/>
      <c r="P1269" s="17"/>
      <c r="Q1269" s="17"/>
      <c r="R1269" s="17"/>
      <c r="S1269" s="17"/>
      <c r="T1269" s="17"/>
      <c r="U1269" s="17"/>
      <c r="V1269" s="17"/>
      <c r="W1269" s="17"/>
      <c r="X1269" s="17"/>
      <c r="Y1269" s="17"/>
      <c r="Z1269" s="17"/>
    </row>
    <row r="1270">
      <c r="A1270" s="18" t="str">
        <f>IFERROR(__xludf.DUMMYFUNCTION("""COMPUTED_VALUE"""),"ord_61248")</f>
        <v>ord_61248</v>
      </c>
      <c r="B1270" s="18" t="str">
        <f>IFERROR(__xludf.DUMMYFUNCTION("""COMPUTED_VALUE"""),"Pranav Joshi")</f>
        <v>Pranav Joshi</v>
      </c>
      <c r="C1270" s="18" t="str">
        <f>IFERROR(__xludf.DUMMYFUNCTION("""COMPUTED_VALUE"""),"Andheri")</f>
        <v>Andheri</v>
      </c>
      <c r="D1270" s="18" t="str">
        <f>IFERROR(__xludf.DUMMYFUNCTION("""COMPUTED_VALUE"""),"Potato")</f>
        <v>Potato</v>
      </c>
      <c r="E1270" s="18">
        <f>IFERROR(__xludf.DUMMYFUNCTION("""COMPUTED_VALUE"""),1.0)</f>
        <v>1</v>
      </c>
      <c r="F1270" s="18" t="str">
        <f>IFERROR(__xludf.DUMMYFUNCTION("""COMPUTED_VALUE"""),"Not Assigned")</f>
        <v>Not Assigned</v>
      </c>
      <c r="G1270" s="19">
        <f>IFERROR(__xludf.DUMMYFUNCTION("""COMPUTED_VALUE"""),45011.0)</f>
        <v>45011</v>
      </c>
      <c r="H1270" s="18" t="str">
        <f>IFERROR(__xludf.DUMMYFUNCTION("""COMPUTED_VALUE"""),"Credit Card")</f>
        <v>Credit Card</v>
      </c>
      <c r="I1270" s="18" t="str">
        <f>IFERROR(__xludf.DUMMYFUNCTION("""COMPUTED_VALUE"""),"Cancelled")</f>
        <v>Cancelled</v>
      </c>
      <c r="J1270" s="18" t="str">
        <f>IFERROR(__xludf.DUMMYFUNCTION("""COMPUTED_VALUE"""),"Out of Stock")</f>
        <v>Out of Stock</v>
      </c>
      <c r="K1270" s="18"/>
      <c r="L1270" s="18">
        <f>iferror(VLOOKUP($D1270,Details!$A$2:$C$11,2,false),vlookup($D1270,Details!$E$2:$G$11,2,false))</f>
        <v>55</v>
      </c>
      <c r="M1270" s="18" t="str">
        <f>iferror(VLOOKUP($D1270,Details!$A$2:$C$11,3,false),vlookup($D1270,Details!$E$2:$G$11,3,false))</f>
        <v>Fruits and Vegetables</v>
      </c>
      <c r="N1270" s="18">
        <f t="shared" si="1"/>
        <v>55</v>
      </c>
      <c r="O1270" s="17"/>
      <c r="P1270" s="17"/>
      <c r="Q1270" s="17"/>
      <c r="R1270" s="17"/>
      <c r="S1270" s="17"/>
      <c r="T1270" s="17"/>
      <c r="U1270" s="17"/>
      <c r="V1270" s="17"/>
      <c r="W1270" s="17"/>
      <c r="X1270" s="17"/>
      <c r="Y1270" s="17"/>
      <c r="Z1270" s="17"/>
    </row>
    <row r="1271">
      <c r="A1271" s="18" t="str">
        <f>IFERROR(__xludf.DUMMYFUNCTION("""COMPUTED_VALUE"""),"ord_61249")</f>
        <v>ord_61249</v>
      </c>
      <c r="B1271" s="18" t="str">
        <f>IFERROR(__xludf.DUMMYFUNCTION("""COMPUTED_VALUE"""),"Sakshi Tandon")</f>
        <v>Sakshi Tandon</v>
      </c>
      <c r="C1271" s="18" t="str">
        <f>IFERROR(__xludf.DUMMYFUNCTION("""COMPUTED_VALUE"""),"Colaba")</f>
        <v>Colaba</v>
      </c>
      <c r="D1271" s="18" t="str">
        <f>IFERROR(__xludf.DUMMYFUNCTION("""COMPUTED_VALUE"""),"Potato")</f>
        <v>Potato</v>
      </c>
      <c r="E1271" s="18">
        <f>IFERROR(__xludf.DUMMYFUNCTION("""COMPUTED_VALUE"""),1.0)</f>
        <v>1</v>
      </c>
      <c r="F1271" s="18" t="str">
        <f>IFERROR(__xludf.DUMMYFUNCTION("""COMPUTED_VALUE"""),"Not Assigned")</f>
        <v>Not Assigned</v>
      </c>
      <c r="G1271" s="19">
        <f>IFERROR(__xludf.DUMMYFUNCTION("""COMPUTED_VALUE"""),44981.0)</f>
        <v>44981</v>
      </c>
      <c r="H1271" s="18" t="str">
        <f>IFERROR(__xludf.DUMMYFUNCTION("""COMPUTED_VALUE"""),"Online Payment")</f>
        <v>Online Payment</v>
      </c>
      <c r="I1271" s="18" t="str">
        <f>IFERROR(__xludf.DUMMYFUNCTION("""COMPUTED_VALUE"""),"Cancelled")</f>
        <v>Cancelled</v>
      </c>
      <c r="J1271" s="18" t="str">
        <f>IFERROR(__xludf.DUMMYFUNCTION("""COMPUTED_VALUE"""),"Out of Stock")</f>
        <v>Out of Stock</v>
      </c>
      <c r="K1271" s="18"/>
      <c r="L1271" s="18">
        <f>iferror(VLOOKUP($D1271,Details!$A$2:$C$11,2,false),vlookup($D1271,Details!$E$2:$G$11,2,false))</f>
        <v>55</v>
      </c>
      <c r="M1271" s="18" t="str">
        <f>iferror(VLOOKUP($D1271,Details!$A$2:$C$11,3,false),vlookup($D1271,Details!$E$2:$G$11,3,false))</f>
        <v>Fruits and Vegetables</v>
      </c>
      <c r="N1271" s="18">
        <f t="shared" si="1"/>
        <v>55</v>
      </c>
      <c r="O1271" s="17"/>
      <c r="P1271" s="17"/>
      <c r="Q1271" s="17"/>
      <c r="R1271" s="17"/>
      <c r="S1271" s="17"/>
      <c r="T1271" s="17"/>
      <c r="U1271" s="17"/>
      <c r="V1271" s="17"/>
      <c r="W1271" s="17"/>
      <c r="X1271" s="17"/>
      <c r="Y1271" s="17"/>
      <c r="Z1271" s="17"/>
    </row>
    <row r="1272">
      <c r="A1272" s="18" t="str">
        <f>IFERROR(__xludf.DUMMYFUNCTION("""COMPUTED_VALUE"""),"ord_61250")</f>
        <v>ord_61250</v>
      </c>
      <c r="B1272" s="18" t="str">
        <f>IFERROR(__xludf.DUMMYFUNCTION("""COMPUTED_VALUE"""),"Sakshi Tandon")</f>
        <v>Sakshi Tandon</v>
      </c>
      <c r="C1272" s="18" t="str">
        <f>IFERROR(__xludf.DUMMYFUNCTION("""COMPUTED_VALUE"""),"Colaba")</f>
        <v>Colaba</v>
      </c>
      <c r="D1272" s="18" t="str">
        <f>IFERROR(__xludf.DUMMYFUNCTION("""COMPUTED_VALUE"""),"Banana")</f>
        <v>Banana</v>
      </c>
      <c r="E1272" s="18">
        <f>IFERROR(__xludf.DUMMYFUNCTION("""COMPUTED_VALUE"""),2.0)</f>
        <v>2</v>
      </c>
      <c r="F1272" s="18" t="str">
        <f>IFERROR(__xludf.DUMMYFUNCTION("""COMPUTED_VALUE"""),"Not Assigned")</f>
        <v>Not Assigned</v>
      </c>
      <c r="G1272" s="19">
        <f>IFERROR(__xludf.DUMMYFUNCTION("""COMPUTED_VALUE"""),45054.0)</f>
        <v>45054</v>
      </c>
      <c r="H1272" s="18" t="str">
        <f>IFERROR(__xludf.DUMMYFUNCTION("""COMPUTED_VALUE"""),"Credit Card")</f>
        <v>Credit Card</v>
      </c>
      <c r="I1272" s="18" t="str">
        <f>IFERROR(__xludf.DUMMYFUNCTION("""COMPUTED_VALUE"""),"Cancelled")</f>
        <v>Cancelled</v>
      </c>
      <c r="J1272" s="18" t="str">
        <f>IFERROR(__xludf.DUMMYFUNCTION("""COMPUTED_VALUE"""),"Payment Issues")</f>
        <v>Payment Issues</v>
      </c>
      <c r="K1272" s="18"/>
      <c r="L1272" s="18">
        <f>iferror(VLOOKUP($D1272,Details!$A$2:$C$11,2,false),vlookup($D1272,Details!$E$2:$G$11,2,false))</f>
        <v>80</v>
      </c>
      <c r="M1272" s="18" t="str">
        <f>iferror(VLOOKUP($D1272,Details!$A$2:$C$11,3,false),vlookup($D1272,Details!$E$2:$G$11,3,false))</f>
        <v>Fruits and Vegetables</v>
      </c>
      <c r="N1272" s="18">
        <f t="shared" si="1"/>
        <v>160</v>
      </c>
      <c r="O1272" s="17"/>
      <c r="P1272" s="17"/>
      <c r="Q1272" s="17"/>
      <c r="R1272" s="17"/>
      <c r="S1272" s="17"/>
      <c r="T1272" s="17"/>
      <c r="U1272" s="17"/>
      <c r="V1272" s="17"/>
      <c r="W1272" s="17"/>
      <c r="X1272" s="17"/>
      <c r="Y1272" s="17"/>
      <c r="Z1272" s="17"/>
    </row>
    <row r="1273">
      <c r="A1273" s="18" t="str">
        <f>IFERROR(__xludf.DUMMYFUNCTION("""COMPUTED_VALUE"""),"ord_61251")</f>
        <v>ord_61251</v>
      </c>
      <c r="B1273" s="18" t="str">
        <f>IFERROR(__xludf.DUMMYFUNCTION("""COMPUTED_VALUE"""),"Sakshi Tandon")</f>
        <v>Sakshi Tandon</v>
      </c>
      <c r="C1273" s="18" t="str">
        <f>IFERROR(__xludf.DUMMYFUNCTION("""COMPUTED_VALUE"""),"Colaba")</f>
        <v>Colaba</v>
      </c>
      <c r="D1273" s="18" t="str">
        <f>IFERROR(__xludf.DUMMYFUNCTION("""COMPUTED_VALUE"""),"Onion")</f>
        <v>Onion</v>
      </c>
      <c r="E1273" s="18">
        <f>IFERROR(__xludf.DUMMYFUNCTION("""COMPUTED_VALUE"""),1.0)</f>
        <v>1</v>
      </c>
      <c r="F1273" s="18" t="str">
        <f>IFERROR(__xludf.DUMMYFUNCTION("""COMPUTED_VALUE"""),"Nikhil Deshmukh")</f>
        <v>Nikhil Deshmukh</v>
      </c>
      <c r="G1273" s="19">
        <f>IFERROR(__xludf.DUMMYFUNCTION("""COMPUTED_VALUE"""),45156.0)</f>
        <v>45156</v>
      </c>
      <c r="H1273" s="18" t="str">
        <f>IFERROR(__xludf.DUMMYFUNCTION("""COMPUTED_VALUE"""),"UPI")</f>
        <v>UPI</v>
      </c>
      <c r="I1273" s="18" t="str">
        <f>IFERROR(__xludf.DUMMYFUNCTION("""COMPUTED_VALUE"""),"Delivered")</f>
        <v>Delivered</v>
      </c>
      <c r="J1273" s="18" t="str">
        <f>IFERROR(__xludf.DUMMYFUNCTION("""COMPUTED_VALUE"""),"On-time Delivery")</f>
        <v>On-time Delivery</v>
      </c>
      <c r="K1273" s="18" t="str">
        <f>IFERROR(__xludf.DUMMYFUNCTION("""COMPUTED_VALUE"""),"Delivered on time")</f>
        <v>Delivered on time</v>
      </c>
      <c r="L1273" s="18">
        <f>iferror(VLOOKUP($D1273,Details!$A$2:$C$11,2,false),vlookup($D1273,Details!$E$2:$G$11,2,false))</f>
        <v>84</v>
      </c>
      <c r="M1273" s="18" t="str">
        <f>iferror(VLOOKUP($D1273,Details!$A$2:$C$11,3,false),vlookup($D1273,Details!$E$2:$G$11,3,false))</f>
        <v>Fruits and Vegetables</v>
      </c>
      <c r="N1273" s="18">
        <f t="shared" si="1"/>
        <v>84</v>
      </c>
      <c r="O1273" s="17"/>
      <c r="P1273" s="17"/>
      <c r="Q1273" s="17"/>
      <c r="R1273" s="17"/>
      <c r="S1273" s="17"/>
      <c r="T1273" s="17"/>
      <c r="U1273" s="17"/>
      <c r="V1273" s="17"/>
      <c r="W1273" s="17"/>
      <c r="X1273" s="17"/>
      <c r="Y1273" s="17"/>
      <c r="Z1273" s="17"/>
    </row>
    <row r="1274">
      <c r="A1274" s="18" t="str">
        <f>IFERROR(__xludf.DUMMYFUNCTION("""COMPUTED_VALUE"""),"ord_61252")</f>
        <v>ord_61252</v>
      </c>
      <c r="B1274" s="18" t="str">
        <f>IFERROR(__xludf.DUMMYFUNCTION("""COMPUTED_VALUE"""),"Tanishq Bansal")</f>
        <v>Tanishq Bansal</v>
      </c>
      <c r="C1274" s="18" t="str">
        <f>IFERROR(__xludf.DUMMYFUNCTION("""COMPUTED_VALUE"""),"Powai")</f>
        <v>Powai</v>
      </c>
      <c r="D1274" s="18" t="str">
        <f>IFERROR(__xludf.DUMMYFUNCTION("""COMPUTED_VALUE"""),"Orange")</f>
        <v>Orange</v>
      </c>
      <c r="E1274" s="18">
        <f>IFERROR(__xludf.DUMMYFUNCTION("""COMPUTED_VALUE"""),2.0)</f>
        <v>2</v>
      </c>
      <c r="F1274" s="18" t="str">
        <f>IFERROR(__xludf.DUMMYFUNCTION("""COMPUTED_VALUE"""),"Not Assigned")</f>
        <v>Not Assigned</v>
      </c>
      <c r="G1274" s="19">
        <f>IFERROR(__xludf.DUMMYFUNCTION("""COMPUTED_VALUE"""),44989.0)</f>
        <v>44989</v>
      </c>
      <c r="H1274" s="18" t="str">
        <f>IFERROR(__xludf.DUMMYFUNCTION("""COMPUTED_VALUE"""),"Credit Card")</f>
        <v>Credit Card</v>
      </c>
      <c r="I1274" s="18" t="str">
        <f>IFERROR(__xludf.DUMMYFUNCTION("""COMPUTED_VALUE"""),"Cancelled")</f>
        <v>Cancelled</v>
      </c>
      <c r="J1274" s="18" t="str">
        <f>IFERROR(__xludf.DUMMYFUNCTION("""COMPUTED_VALUE"""),"High Delivery Fees")</f>
        <v>High Delivery Fees</v>
      </c>
      <c r="K1274" s="18"/>
      <c r="L1274" s="18">
        <f>iferror(VLOOKUP($D1274,Details!$A$2:$C$11,2,false),vlookup($D1274,Details!$E$2:$G$11,2,false))</f>
        <v>180</v>
      </c>
      <c r="M1274" s="18" t="str">
        <f>iferror(VLOOKUP($D1274,Details!$A$2:$C$11,3,false),vlookup($D1274,Details!$E$2:$G$11,3,false))</f>
        <v>Fruits and Vegetables</v>
      </c>
      <c r="N1274" s="18">
        <f t="shared" si="1"/>
        <v>360</v>
      </c>
      <c r="O1274" s="17"/>
      <c r="P1274" s="17"/>
      <c r="Q1274" s="17"/>
      <c r="R1274" s="17"/>
      <c r="S1274" s="17"/>
      <c r="T1274" s="17"/>
      <c r="U1274" s="17"/>
      <c r="V1274" s="17"/>
      <c r="W1274" s="17"/>
      <c r="X1274" s="17"/>
      <c r="Y1274" s="17"/>
      <c r="Z1274" s="17"/>
    </row>
    <row r="1275">
      <c r="A1275" s="18" t="str">
        <f>IFERROR(__xludf.DUMMYFUNCTION("""COMPUTED_VALUE"""),"ord_61253")</f>
        <v>ord_61253</v>
      </c>
      <c r="B1275" s="18" t="str">
        <f>IFERROR(__xludf.DUMMYFUNCTION("""COMPUTED_VALUE"""),"Kritika Shetty")</f>
        <v>Kritika Shetty</v>
      </c>
      <c r="C1275" s="18" t="str">
        <f>IFERROR(__xludf.DUMMYFUNCTION("""COMPUTED_VALUE"""),"Malad")</f>
        <v>Malad</v>
      </c>
      <c r="D1275" s="18" t="str">
        <f>IFERROR(__xludf.DUMMYFUNCTION("""COMPUTED_VALUE"""),"Papaya")</f>
        <v>Papaya</v>
      </c>
      <c r="E1275" s="18">
        <f>IFERROR(__xludf.DUMMYFUNCTION("""COMPUTED_VALUE"""),2.0)</f>
        <v>2</v>
      </c>
      <c r="F1275" s="18" t="str">
        <f>IFERROR(__xludf.DUMMYFUNCTION("""COMPUTED_VALUE"""),"Not Assigned")</f>
        <v>Not Assigned</v>
      </c>
      <c r="G1275" s="19">
        <f>IFERROR(__xludf.DUMMYFUNCTION("""COMPUTED_VALUE"""),44931.0)</f>
        <v>44931</v>
      </c>
      <c r="H1275" s="18" t="str">
        <f>IFERROR(__xludf.DUMMYFUNCTION("""COMPUTED_VALUE"""),"Online Payment")</f>
        <v>Online Payment</v>
      </c>
      <c r="I1275" s="18" t="str">
        <f>IFERROR(__xludf.DUMMYFUNCTION("""COMPUTED_VALUE"""),"Cancelled")</f>
        <v>Cancelled</v>
      </c>
      <c r="J1275" s="18" t="str">
        <f>IFERROR(__xludf.DUMMYFUNCTION("""COMPUTED_VALUE"""),"App Glitches")</f>
        <v>App Glitches</v>
      </c>
      <c r="K1275" s="18" t="str">
        <f>IFERROR(__xludf.DUMMYFUNCTION("""COMPUTED_VALUE"""),"Error Messages")</f>
        <v>Error Messages</v>
      </c>
      <c r="L1275" s="18">
        <f>iferror(VLOOKUP($D1275,Details!$A$2:$C$11,2,false),vlookup($D1275,Details!$E$2:$G$11,2,false))</f>
        <v>75</v>
      </c>
      <c r="M1275" s="18" t="str">
        <f>iferror(VLOOKUP($D1275,Details!$A$2:$C$11,3,false),vlookup($D1275,Details!$E$2:$G$11,3,false))</f>
        <v>Fruits and Vegetables</v>
      </c>
      <c r="N1275" s="18">
        <f t="shared" si="1"/>
        <v>150</v>
      </c>
      <c r="O1275" s="17"/>
      <c r="P1275" s="17"/>
      <c r="Q1275" s="17"/>
      <c r="R1275" s="17"/>
      <c r="S1275" s="17"/>
      <c r="T1275" s="17"/>
      <c r="U1275" s="17"/>
      <c r="V1275" s="17"/>
      <c r="W1275" s="17"/>
      <c r="X1275" s="17"/>
      <c r="Y1275" s="17"/>
      <c r="Z1275" s="17"/>
    </row>
    <row r="1276">
      <c r="A1276" s="18" t="str">
        <f>IFERROR(__xludf.DUMMYFUNCTION("""COMPUTED_VALUE"""),"ord_61254")</f>
        <v>ord_61254</v>
      </c>
      <c r="B1276" s="18" t="str">
        <f>IFERROR(__xludf.DUMMYFUNCTION("""COMPUTED_VALUE"""),"Mohit Malhotra")</f>
        <v>Mohit Malhotra</v>
      </c>
      <c r="C1276" s="18" t="str">
        <f>IFERROR(__xludf.DUMMYFUNCTION("""COMPUTED_VALUE"""),"Lower Parel")</f>
        <v>Lower Parel</v>
      </c>
      <c r="D1276" s="18" t="str">
        <f>IFERROR(__xludf.DUMMYFUNCTION("""COMPUTED_VALUE"""),"Chicken Puff")</f>
        <v>Chicken Puff</v>
      </c>
      <c r="E1276" s="18">
        <f>IFERROR(__xludf.DUMMYFUNCTION("""COMPUTED_VALUE"""),4.0)</f>
        <v>4</v>
      </c>
      <c r="F1276" s="18" t="str">
        <f>IFERROR(__xludf.DUMMYFUNCTION("""COMPUTED_VALUE"""),"Not Assigned")</f>
        <v>Not Assigned</v>
      </c>
      <c r="G1276" s="19">
        <f>IFERROR(__xludf.DUMMYFUNCTION("""COMPUTED_VALUE"""),45198.0)</f>
        <v>45198</v>
      </c>
      <c r="H1276" s="18" t="str">
        <f>IFERROR(__xludf.DUMMYFUNCTION("""COMPUTED_VALUE"""),"Credit Card")</f>
        <v>Credit Card</v>
      </c>
      <c r="I1276" s="18" t="str">
        <f>IFERROR(__xludf.DUMMYFUNCTION("""COMPUTED_VALUE"""),"Cancelled")</f>
        <v>Cancelled</v>
      </c>
      <c r="J1276" s="18" t="str">
        <f>IFERROR(__xludf.DUMMYFUNCTION("""COMPUTED_VALUE"""),"High Delivery Fees")</f>
        <v>High Delivery Fees</v>
      </c>
      <c r="K1276" s="18"/>
      <c r="L1276" s="18">
        <f>iferror(VLOOKUP($D1276,Details!$A$2:$C$11,2,false),vlookup($D1276,Details!$E$2:$G$11,2,false))</f>
        <v>90</v>
      </c>
      <c r="M1276" s="18" t="str">
        <f>iferror(VLOOKUP($D1276,Details!$A$2:$C$11,3,false),vlookup($D1276,Details!$E$2:$G$11,3,false))</f>
        <v>Snacks and Drinks</v>
      </c>
      <c r="N1276" s="18">
        <f t="shared" si="1"/>
        <v>360</v>
      </c>
      <c r="O1276" s="17"/>
      <c r="P1276" s="17"/>
      <c r="Q1276" s="17"/>
      <c r="R1276" s="17"/>
      <c r="S1276" s="17"/>
      <c r="T1276" s="17"/>
      <c r="U1276" s="17"/>
      <c r="V1276" s="17"/>
      <c r="W1276" s="17"/>
      <c r="X1276" s="17"/>
      <c r="Y1276" s="17"/>
      <c r="Z1276" s="17"/>
    </row>
    <row r="1277">
      <c r="A1277" s="18" t="str">
        <f>IFERROR(__xludf.DUMMYFUNCTION("""COMPUTED_VALUE"""),"ord_61255")</f>
        <v>ord_61255</v>
      </c>
      <c r="B1277" s="18" t="str">
        <f>IFERROR(__xludf.DUMMYFUNCTION("""COMPUTED_VALUE"""),"Siya Reddy")</f>
        <v>Siya Reddy</v>
      </c>
      <c r="C1277" s="18" t="str">
        <f>IFERROR(__xludf.DUMMYFUNCTION("""COMPUTED_VALUE"""),"Juhu")</f>
        <v>Juhu</v>
      </c>
      <c r="D1277" s="18" t="str">
        <f>IFERROR(__xludf.DUMMYFUNCTION("""COMPUTED_VALUE"""),"Icecream")</f>
        <v>Icecream</v>
      </c>
      <c r="E1277" s="18">
        <f>IFERROR(__xludf.DUMMYFUNCTION("""COMPUTED_VALUE"""),3.0)</f>
        <v>3</v>
      </c>
      <c r="F1277" s="18" t="str">
        <f>IFERROR(__xludf.DUMMYFUNCTION("""COMPUTED_VALUE"""),"Tanvi Jain")</f>
        <v>Tanvi Jain</v>
      </c>
      <c r="G1277" s="19">
        <f>IFERROR(__xludf.DUMMYFUNCTION("""COMPUTED_VALUE"""),45130.0)</f>
        <v>45130</v>
      </c>
      <c r="H1277" s="18" t="str">
        <f>IFERROR(__xludf.DUMMYFUNCTION("""COMPUTED_VALUE"""),"UPI")</f>
        <v>UPI</v>
      </c>
      <c r="I1277" s="18" t="str">
        <f>IFERROR(__xludf.DUMMYFUNCTION("""COMPUTED_VALUE"""),"Delivered")</f>
        <v>Delivered</v>
      </c>
      <c r="J1277" s="18" t="str">
        <f>IFERROR(__xludf.DUMMYFUNCTION("""COMPUTED_VALUE"""),"Quality of Items")</f>
        <v>Quality of Items</v>
      </c>
      <c r="K1277" s="18" t="str">
        <f>IFERROR(__xludf.DUMMYFUNCTION("""COMPUTED_VALUE"""),"Perfect condition")</f>
        <v>Perfect condition</v>
      </c>
      <c r="L1277" s="18">
        <f>iferror(VLOOKUP($D1277,Details!$A$2:$C$11,2,false),vlookup($D1277,Details!$E$2:$G$11,2,false))</f>
        <v>90</v>
      </c>
      <c r="M1277" s="18" t="str">
        <f>iferror(VLOOKUP($D1277,Details!$A$2:$C$11,3,false),vlookup($D1277,Details!$E$2:$G$11,3,false))</f>
        <v>Snacks and Drinks</v>
      </c>
      <c r="N1277" s="18">
        <f t="shared" si="1"/>
        <v>270</v>
      </c>
      <c r="O1277" s="17"/>
      <c r="P1277" s="17"/>
      <c r="Q1277" s="17"/>
      <c r="R1277" s="17"/>
      <c r="S1277" s="17"/>
      <c r="T1277" s="17"/>
      <c r="U1277" s="17"/>
      <c r="V1277" s="17"/>
      <c r="W1277" s="17"/>
      <c r="X1277" s="17"/>
      <c r="Y1277" s="17"/>
      <c r="Z1277" s="17"/>
    </row>
    <row r="1278">
      <c r="A1278" s="18" t="str">
        <f>IFERROR(__xludf.DUMMYFUNCTION("""COMPUTED_VALUE"""),"ord_61256")</f>
        <v>ord_61256</v>
      </c>
      <c r="B1278" s="18" t="str">
        <f>IFERROR(__xludf.DUMMYFUNCTION("""COMPUTED_VALUE"""),"Mehul Thakkar")</f>
        <v>Mehul Thakkar</v>
      </c>
      <c r="C1278" s="18" t="str">
        <f>IFERROR(__xludf.DUMMYFUNCTION("""COMPUTED_VALUE"""),"Malad")</f>
        <v>Malad</v>
      </c>
      <c r="D1278" s="18" t="str">
        <f>IFERROR(__xludf.DUMMYFUNCTION("""COMPUTED_VALUE"""),"Banana")</f>
        <v>Banana</v>
      </c>
      <c r="E1278" s="18">
        <f>IFERROR(__xludf.DUMMYFUNCTION("""COMPUTED_VALUE"""),1.0)</f>
        <v>1</v>
      </c>
      <c r="F1278" s="18" t="str">
        <f>IFERROR(__xludf.DUMMYFUNCTION("""COMPUTED_VALUE"""),"Neha Shah")</f>
        <v>Neha Shah</v>
      </c>
      <c r="G1278" s="19">
        <f>IFERROR(__xludf.DUMMYFUNCTION("""COMPUTED_VALUE"""),44989.0)</f>
        <v>44989</v>
      </c>
      <c r="H1278" s="18" t="str">
        <f>IFERROR(__xludf.DUMMYFUNCTION("""COMPUTED_VALUE"""),"UPI")</f>
        <v>UPI</v>
      </c>
      <c r="I1278" s="18" t="str">
        <f>IFERROR(__xludf.DUMMYFUNCTION("""COMPUTED_VALUE"""),"Delivered")</f>
        <v>Delivered</v>
      </c>
      <c r="J1278" s="18" t="str">
        <f>IFERROR(__xludf.DUMMYFUNCTION("""COMPUTED_VALUE"""),"On-time Delivery")</f>
        <v>On-time Delivery</v>
      </c>
      <c r="K1278" s="18" t="str">
        <f>IFERROR(__xludf.DUMMYFUNCTION("""COMPUTED_VALUE"""),"Delivered on time")</f>
        <v>Delivered on time</v>
      </c>
      <c r="L1278" s="18">
        <f>iferror(VLOOKUP($D1278,Details!$A$2:$C$11,2,false),vlookup($D1278,Details!$E$2:$G$11,2,false))</f>
        <v>80</v>
      </c>
      <c r="M1278" s="18" t="str">
        <f>iferror(VLOOKUP($D1278,Details!$A$2:$C$11,3,false),vlookup($D1278,Details!$E$2:$G$11,3,false))</f>
        <v>Fruits and Vegetables</v>
      </c>
      <c r="N1278" s="18">
        <f t="shared" si="1"/>
        <v>80</v>
      </c>
      <c r="O1278" s="17"/>
      <c r="P1278" s="17"/>
      <c r="Q1278" s="17"/>
      <c r="R1278" s="17"/>
      <c r="S1278" s="17"/>
      <c r="T1278" s="17"/>
      <c r="U1278" s="17"/>
      <c r="V1278" s="17"/>
      <c r="W1278" s="17"/>
      <c r="X1278" s="17"/>
      <c r="Y1278" s="17"/>
      <c r="Z1278" s="17"/>
    </row>
    <row r="1279">
      <c r="A1279" s="18" t="str">
        <f>IFERROR(__xludf.DUMMYFUNCTION("""COMPUTED_VALUE"""),"ord_61257")</f>
        <v>ord_61257</v>
      </c>
      <c r="B1279" s="18" t="str">
        <f>IFERROR(__xludf.DUMMYFUNCTION("""COMPUTED_VALUE"""),"Parth Goel")</f>
        <v>Parth Goel</v>
      </c>
      <c r="C1279" s="18" t="str">
        <f>IFERROR(__xludf.DUMMYFUNCTION("""COMPUTED_VALUE"""),"Juhu")</f>
        <v>Juhu</v>
      </c>
      <c r="D1279" s="18" t="str">
        <f>IFERROR(__xludf.DUMMYFUNCTION("""COMPUTED_VALUE"""),"Chicken Puff")</f>
        <v>Chicken Puff</v>
      </c>
      <c r="E1279" s="18">
        <f>IFERROR(__xludf.DUMMYFUNCTION("""COMPUTED_VALUE"""),5.0)</f>
        <v>5</v>
      </c>
      <c r="F1279" s="18" t="str">
        <f>IFERROR(__xludf.DUMMYFUNCTION("""COMPUTED_VALUE"""),"Not Assigned")</f>
        <v>Not Assigned</v>
      </c>
      <c r="G1279" s="19">
        <f>IFERROR(__xludf.DUMMYFUNCTION("""COMPUTED_VALUE"""),45185.0)</f>
        <v>45185</v>
      </c>
      <c r="H1279" s="18" t="str">
        <f>IFERROR(__xludf.DUMMYFUNCTION("""COMPUTED_VALUE"""),"Online Payment")</f>
        <v>Online Payment</v>
      </c>
      <c r="I1279" s="18" t="str">
        <f>IFERROR(__xludf.DUMMYFUNCTION("""COMPUTED_VALUE"""),"Cancelled")</f>
        <v>Cancelled</v>
      </c>
      <c r="J1279" s="18" t="str">
        <f>IFERROR(__xludf.DUMMYFUNCTION("""COMPUTED_VALUE"""),"High Delivery Fees")</f>
        <v>High Delivery Fees</v>
      </c>
      <c r="K1279" s="18"/>
      <c r="L1279" s="18">
        <f>iferror(VLOOKUP($D1279,Details!$A$2:$C$11,2,false),vlookup($D1279,Details!$E$2:$G$11,2,false))</f>
        <v>90</v>
      </c>
      <c r="M1279" s="18" t="str">
        <f>iferror(VLOOKUP($D1279,Details!$A$2:$C$11,3,false),vlookup($D1279,Details!$E$2:$G$11,3,false))</f>
        <v>Snacks and Drinks</v>
      </c>
      <c r="N1279" s="18">
        <f t="shared" si="1"/>
        <v>450</v>
      </c>
      <c r="O1279" s="17"/>
      <c r="P1279" s="17"/>
      <c r="Q1279" s="17"/>
      <c r="R1279" s="17"/>
      <c r="S1279" s="17"/>
      <c r="T1279" s="17"/>
      <c r="U1279" s="17"/>
      <c r="V1279" s="17"/>
      <c r="W1279" s="17"/>
      <c r="X1279" s="17"/>
      <c r="Y1279" s="17"/>
      <c r="Z1279" s="17"/>
    </row>
    <row r="1280">
      <c r="A1280" s="18" t="str">
        <f>IFERROR(__xludf.DUMMYFUNCTION("""COMPUTED_VALUE"""),"ord_61258")</f>
        <v>ord_61258</v>
      </c>
      <c r="B1280" s="18" t="str">
        <f>IFERROR(__xludf.DUMMYFUNCTION("""COMPUTED_VALUE"""),"Kritika Shetty")</f>
        <v>Kritika Shetty</v>
      </c>
      <c r="C1280" s="18" t="str">
        <f>IFERROR(__xludf.DUMMYFUNCTION("""COMPUTED_VALUE"""),"Malad")</f>
        <v>Malad</v>
      </c>
      <c r="D1280" s="18" t="str">
        <f>IFERROR(__xludf.DUMMYFUNCTION("""COMPUTED_VALUE"""),"Guava")</f>
        <v>Guava</v>
      </c>
      <c r="E1280" s="18">
        <f>IFERROR(__xludf.DUMMYFUNCTION("""COMPUTED_VALUE"""),1.0)</f>
        <v>1</v>
      </c>
      <c r="F1280" s="18" t="str">
        <f>IFERROR(__xludf.DUMMYFUNCTION("""COMPUTED_VALUE"""),"Not Assigned")</f>
        <v>Not Assigned</v>
      </c>
      <c r="G1280" s="19">
        <f>IFERROR(__xludf.DUMMYFUNCTION("""COMPUTED_VALUE"""),45160.0)</f>
        <v>45160</v>
      </c>
      <c r="H1280" s="18" t="str">
        <f>IFERROR(__xludf.DUMMYFUNCTION("""COMPUTED_VALUE"""),"Credit Card")</f>
        <v>Credit Card</v>
      </c>
      <c r="I1280" s="18" t="str">
        <f>IFERROR(__xludf.DUMMYFUNCTION("""COMPUTED_VALUE"""),"Cancelled")</f>
        <v>Cancelled</v>
      </c>
      <c r="J1280" s="18" t="str">
        <f>IFERROR(__xludf.DUMMYFUNCTION("""COMPUTED_VALUE"""),"Payment Issues")</f>
        <v>Payment Issues</v>
      </c>
      <c r="K1280" s="18"/>
      <c r="L1280" s="18">
        <f>iferror(VLOOKUP($D1280,Details!$A$2:$C$11,2,false),vlookup($D1280,Details!$E$2:$G$11,2,false))</f>
        <v>70</v>
      </c>
      <c r="M1280" s="18" t="str">
        <f>iferror(VLOOKUP($D1280,Details!$A$2:$C$11,3,false),vlookup($D1280,Details!$E$2:$G$11,3,false))</f>
        <v>Fruits and Vegetables</v>
      </c>
      <c r="N1280" s="18">
        <f t="shared" si="1"/>
        <v>70</v>
      </c>
      <c r="O1280" s="17"/>
      <c r="P1280" s="17"/>
      <c r="Q1280" s="17"/>
      <c r="R1280" s="17"/>
      <c r="S1280" s="17"/>
      <c r="T1280" s="17"/>
      <c r="U1280" s="17"/>
      <c r="V1280" s="17"/>
      <c r="W1280" s="17"/>
      <c r="X1280" s="17"/>
      <c r="Y1280" s="17"/>
      <c r="Z1280" s="17"/>
    </row>
    <row r="1281">
      <c r="A1281" s="18" t="str">
        <f>IFERROR(__xludf.DUMMYFUNCTION("""COMPUTED_VALUE"""),"ord_61259")</f>
        <v>ord_61259</v>
      </c>
      <c r="B1281" s="18" t="str">
        <f>IFERROR(__xludf.DUMMYFUNCTION("""COMPUTED_VALUE"""),"Kritika Shetty")</f>
        <v>Kritika Shetty</v>
      </c>
      <c r="C1281" s="18" t="str">
        <f>IFERROR(__xludf.DUMMYFUNCTION("""COMPUTED_VALUE"""),"Malad")</f>
        <v>Malad</v>
      </c>
      <c r="D1281" s="18" t="str">
        <f>IFERROR(__xludf.DUMMYFUNCTION("""COMPUTED_VALUE"""),"Juice")</f>
        <v>Juice</v>
      </c>
      <c r="E1281" s="18">
        <f>IFERROR(__xludf.DUMMYFUNCTION("""COMPUTED_VALUE"""),4.0)</f>
        <v>4</v>
      </c>
      <c r="F1281" s="18" t="str">
        <f>IFERROR(__xludf.DUMMYFUNCTION("""COMPUTED_VALUE"""),"Not Assigned")</f>
        <v>Not Assigned</v>
      </c>
      <c r="G1281" s="19">
        <f>IFERROR(__xludf.DUMMYFUNCTION("""COMPUTED_VALUE"""),45065.0)</f>
        <v>45065</v>
      </c>
      <c r="H1281" s="18" t="str">
        <f>IFERROR(__xludf.DUMMYFUNCTION("""COMPUTED_VALUE"""),"Credit Card")</f>
        <v>Credit Card</v>
      </c>
      <c r="I1281" s="18" t="str">
        <f>IFERROR(__xludf.DUMMYFUNCTION("""COMPUTED_VALUE"""),"Cancelled")</f>
        <v>Cancelled</v>
      </c>
      <c r="J1281" s="18" t="str">
        <f>IFERROR(__xludf.DUMMYFUNCTION("""COMPUTED_VALUE"""),"App Glitches")</f>
        <v>App Glitches</v>
      </c>
      <c r="K1281" s="18" t="str">
        <f>IFERROR(__xludf.DUMMYFUNCTION("""COMPUTED_VALUE"""),"Payment Button Malfunction")</f>
        <v>Payment Button Malfunction</v>
      </c>
      <c r="L1281" s="18">
        <f>iferror(VLOOKUP($D1281,Details!$A$2:$C$11,2,false),vlookup($D1281,Details!$E$2:$G$11,2,false))</f>
        <v>90</v>
      </c>
      <c r="M1281" s="18" t="str">
        <f>iferror(VLOOKUP($D1281,Details!$A$2:$C$11,3,false),vlookup($D1281,Details!$E$2:$G$11,3,false))</f>
        <v>Snacks and Drinks</v>
      </c>
      <c r="N1281" s="18">
        <f t="shared" si="1"/>
        <v>360</v>
      </c>
      <c r="O1281" s="17"/>
      <c r="P1281" s="17"/>
      <c r="Q1281" s="17"/>
      <c r="R1281" s="17"/>
      <c r="S1281" s="17"/>
      <c r="T1281" s="17"/>
      <c r="U1281" s="17"/>
      <c r="V1281" s="17"/>
      <c r="W1281" s="17"/>
      <c r="X1281" s="17"/>
      <c r="Y1281" s="17"/>
      <c r="Z1281" s="17"/>
    </row>
    <row r="1282">
      <c r="A1282" s="18" t="str">
        <f>IFERROR(__xludf.DUMMYFUNCTION("""COMPUTED_VALUE"""),"ord_61260")</f>
        <v>ord_61260</v>
      </c>
      <c r="B1282" s="18" t="str">
        <f>IFERROR(__xludf.DUMMYFUNCTION("""COMPUTED_VALUE"""),"Omkar Mishra")</f>
        <v>Omkar Mishra</v>
      </c>
      <c r="C1282" s="18" t="str">
        <f>IFERROR(__xludf.DUMMYFUNCTION("""COMPUTED_VALUE"""),"Powai")</f>
        <v>Powai</v>
      </c>
      <c r="D1282" s="18" t="str">
        <f>IFERROR(__xludf.DUMMYFUNCTION("""COMPUTED_VALUE"""),"Juice")</f>
        <v>Juice</v>
      </c>
      <c r="E1282" s="18">
        <f>IFERROR(__xludf.DUMMYFUNCTION("""COMPUTED_VALUE"""),4.0)</f>
        <v>4</v>
      </c>
      <c r="F1282" s="18" t="str">
        <f>IFERROR(__xludf.DUMMYFUNCTION("""COMPUTED_VALUE"""),"Sandeep Kumar")</f>
        <v>Sandeep Kumar</v>
      </c>
      <c r="G1282" s="19">
        <f>IFERROR(__xludf.DUMMYFUNCTION("""COMPUTED_VALUE"""),45208.0)</f>
        <v>45208</v>
      </c>
      <c r="H1282" s="18" t="str">
        <f>IFERROR(__xludf.DUMMYFUNCTION("""COMPUTED_VALUE"""),"UPI")</f>
        <v>UPI</v>
      </c>
      <c r="I1282" s="18" t="str">
        <f>IFERROR(__xludf.DUMMYFUNCTION("""COMPUTED_VALUE"""),"Delivered")</f>
        <v>Delivered</v>
      </c>
      <c r="J1282" s="18" t="str">
        <f>IFERROR(__xludf.DUMMYFUNCTION("""COMPUTED_VALUE"""),"Quality of Items")</f>
        <v>Quality of Items</v>
      </c>
      <c r="K1282" s="18" t="str">
        <f>IFERROR(__xludf.DUMMYFUNCTION("""COMPUTED_VALUE"""),"Perfect condition")</f>
        <v>Perfect condition</v>
      </c>
      <c r="L1282" s="18">
        <f>iferror(VLOOKUP($D1282,Details!$A$2:$C$11,2,false),vlookup($D1282,Details!$E$2:$G$11,2,false))</f>
        <v>90</v>
      </c>
      <c r="M1282" s="18" t="str">
        <f>iferror(VLOOKUP($D1282,Details!$A$2:$C$11,3,false),vlookup($D1282,Details!$E$2:$G$11,3,false))</f>
        <v>Snacks and Drinks</v>
      </c>
      <c r="N1282" s="18">
        <f t="shared" si="1"/>
        <v>360</v>
      </c>
      <c r="O1282" s="17"/>
      <c r="P1282" s="17"/>
      <c r="Q1282" s="17"/>
      <c r="R1282" s="17"/>
      <c r="S1282" s="17"/>
      <c r="T1282" s="17"/>
      <c r="U1282" s="17"/>
      <c r="V1282" s="17"/>
      <c r="W1282" s="17"/>
      <c r="X1282" s="17"/>
      <c r="Y1282" s="17"/>
      <c r="Z1282" s="17"/>
    </row>
    <row r="1283">
      <c r="A1283" s="18" t="str">
        <f>IFERROR(__xludf.DUMMYFUNCTION("""COMPUTED_VALUE"""),"ord_61261")</f>
        <v>ord_61261</v>
      </c>
      <c r="B1283" s="18" t="str">
        <f>IFERROR(__xludf.DUMMYFUNCTION("""COMPUTED_VALUE"""),"Ishaan Chaturvedi")</f>
        <v>Ishaan Chaturvedi</v>
      </c>
      <c r="C1283" s="18" t="str">
        <f>IFERROR(__xludf.DUMMYFUNCTION("""COMPUTED_VALUE"""),"Bandra")</f>
        <v>Bandra</v>
      </c>
      <c r="D1283" s="18" t="str">
        <f>IFERROR(__xludf.DUMMYFUNCTION("""COMPUTED_VALUE"""),"Tiramisu")</f>
        <v>Tiramisu</v>
      </c>
      <c r="E1283" s="18">
        <f>IFERROR(__xludf.DUMMYFUNCTION("""COMPUTED_VALUE"""),5.0)</f>
        <v>5</v>
      </c>
      <c r="F1283" s="18" t="str">
        <f>IFERROR(__xludf.DUMMYFUNCTION("""COMPUTED_VALUE"""),"Priya Joshi")</f>
        <v>Priya Joshi</v>
      </c>
      <c r="G1283" s="19">
        <f>IFERROR(__xludf.DUMMYFUNCTION("""COMPUTED_VALUE"""),45084.0)</f>
        <v>45084</v>
      </c>
      <c r="H1283" s="18" t="str">
        <f>IFERROR(__xludf.DUMMYFUNCTION("""COMPUTED_VALUE"""),"Online Payment")</f>
        <v>Online Payment</v>
      </c>
      <c r="I1283" s="18" t="str">
        <f>IFERROR(__xludf.DUMMYFUNCTION("""COMPUTED_VALUE"""),"Delivered")</f>
        <v>Delivered</v>
      </c>
      <c r="J1283" s="18" t="str">
        <f>IFERROR(__xludf.DUMMYFUNCTION("""COMPUTED_VALUE"""),"Packaging")</f>
        <v>Packaging</v>
      </c>
      <c r="K1283" s="18" t="str">
        <f>IFERROR(__xludf.DUMMYFUNCTION("""COMPUTED_VALUE"""),"Secure and intact")</f>
        <v>Secure and intact</v>
      </c>
      <c r="L1283" s="18">
        <f>iferror(VLOOKUP($D1283,Details!$A$2:$C$11,2,false),vlookup($D1283,Details!$E$2:$G$11,2,false))</f>
        <v>150</v>
      </c>
      <c r="M1283" s="18" t="str">
        <f>iferror(VLOOKUP($D1283,Details!$A$2:$C$11,3,false),vlookup($D1283,Details!$E$2:$G$11,3,false))</f>
        <v>Snacks and Drinks</v>
      </c>
      <c r="N1283" s="18">
        <f t="shared" si="1"/>
        <v>750</v>
      </c>
      <c r="O1283" s="17"/>
      <c r="P1283" s="17"/>
      <c r="Q1283" s="17"/>
      <c r="R1283" s="17"/>
      <c r="S1283" s="17"/>
      <c r="T1283" s="17"/>
      <c r="U1283" s="17"/>
      <c r="V1283" s="17"/>
      <c r="W1283" s="17"/>
      <c r="X1283" s="17"/>
      <c r="Y1283" s="17"/>
      <c r="Z1283" s="17"/>
    </row>
    <row r="1284">
      <c r="A1284" s="18" t="str">
        <f>IFERROR(__xludf.DUMMYFUNCTION("""COMPUTED_VALUE"""),"ord_61262")</f>
        <v>ord_61262</v>
      </c>
      <c r="B1284" s="18" t="str">
        <f>IFERROR(__xludf.DUMMYFUNCTION("""COMPUTED_VALUE"""),"Ishita Banerjee")</f>
        <v>Ishita Banerjee</v>
      </c>
      <c r="C1284" s="18" t="str">
        <f>IFERROR(__xludf.DUMMYFUNCTION("""COMPUTED_VALUE"""),"Juhu")</f>
        <v>Juhu</v>
      </c>
      <c r="D1284" s="18" t="str">
        <f>IFERROR(__xludf.DUMMYFUNCTION("""COMPUTED_VALUE"""),"Veg Puff")</f>
        <v>Veg Puff</v>
      </c>
      <c r="E1284" s="18">
        <f>IFERROR(__xludf.DUMMYFUNCTION("""COMPUTED_VALUE"""),2.0)</f>
        <v>2</v>
      </c>
      <c r="F1284" s="18" t="str">
        <f>IFERROR(__xludf.DUMMYFUNCTION("""COMPUTED_VALUE"""),"Tanvi Jain")</f>
        <v>Tanvi Jain</v>
      </c>
      <c r="G1284" s="19">
        <f>IFERROR(__xludf.DUMMYFUNCTION("""COMPUTED_VALUE"""),44965.0)</f>
        <v>44965</v>
      </c>
      <c r="H1284" s="18" t="str">
        <f>IFERROR(__xludf.DUMMYFUNCTION("""COMPUTED_VALUE"""),"UPI")</f>
        <v>UPI</v>
      </c>
      <c r="I1284" s="18" t="str">
        <f>IFERROR(__xludf.DUMMYFUNCTION("""COMPUTED_VALUE"""),"Delivered")</f>
        <v>Delivered</v>
      </c>
      <c r="J1284" s="18" t="str">
        <f>IFERROR(__xludf.DUMMYFUNCTION("""COMPUTED_VALUE"""),"Satisfied with the Delivery")</f>
        <v>Satisfied with the Delivery</v>
      </c>
      <c r="K1284" s="18" t="str">
        <f>IFERROR(__xludf.DUMMYFUNCTION("""COMPUTED_VALUE"""),"Timely and quality")</f>
        <v>Timely and quality</v>
      </c>
      <c r="L1284" s="18">
        <f>iferror(VLOOKUP($D1284,Details!$A$2:$C$11,2,false),vlookup($D1284,Details!$E$2:$G$11,2,false))</f>
        <v>80</v>
      </c>
      <c r="M1284" s="18" t="str">
        <f>iferror(VLOOKUP($D1284,Details!$A$2:$C$11,3,false),vlookup($D1284,Details!$E$2:$G$11,3,false))</f>
        <v>Snacks and Drinks</v>
      </c>
      <c r="N1284" s="18">
        <f t="shared" si="1"/>
        <v>160</v>
      </c>
      <c r="O1284" s="17"/>
      <c r="P1284" s="17"/>
      <c r="Q1284" s="17"/>
      <c r="R1284" s="17"/>
      <c r="S1284" s="17"/>
      <c r="T1284" s="17"/>
      <c r="U1284" s="17"/>
      <c r="V1284" s="17"/>
      <c r="W1284" s="17"/>
      <c r="X1284" s="17"/>
      <c r="Y1284" s="17"/>
      <c r="Z1284" s="17"/>
    </row>
    <row r="1285">
      <c r="A1285" s="18" t="str">
        <f>IFERROR(__xludf.DUMMYFUNCTION("""COMPUTED_VALUE"""),"ord_61263")</f>
        <v>ord_61263</v>
      </c>
      <c r="B1285" s="18" t="str">
        <f>IFERROR(__xludf.DUMMYFUNCTION("""COMPUTED_VALUE"""),"Mohit Malhotra")</f>
        <v>Mohit Malhotra</v>
      </c>
      <c r="C1285" s="18" t="str">
        <f>IFERROR(__xludf.DUMMYFUNCTION("""COMPUTED_VALUE"""),"Lower Parel")</f>
        <v>Lower Parel</v>
      </c>
      <c r="D1285" s="18" t="str">
        <f>IFERROR(__xludf.DUMMYFUNCTION("""COMPUTED_VALUE"""),"Orange")</f>
        <v>Orange</v>
      </c>
      <c r="E1285" s="18">
        <f>IFERROR(__xludf.DUMMYFUNCTION("""COMPUTED_VALUE"""),1.0)</f>
        <v>1</v>
      </c>
      <c r="F1285" s="18" t="str">
        <f>IFERROR(__xludf.DUMMYFUNCTION("""COMPUTED_VALUE"""),"Kiran Mehta")</f>
        <v>Kiran Mehta</v>
      </c>
      <c r="G1285" s="19">
        <f>IFERROR(__xludf.DUMMYFUNCTION("""COMPUTED_VALUE"""),44945.0)</f>
        <v>44945</v>
      </c>
      <c r="H1285" s="18" t="str">
        <f>IFERROR(__xludf.DUMMYFUNCTION("""COMPUTED_VALUE"""),"UPI")</f>
        <v>UPI</v>
      </c>
      <c r="I1285" s="18" t="str">
        <f>IFERROR(__xludf.DUMMYFUNCTION("""COMPUTED_VALUE"""),"Delivered")</f>
        <v>Delivered</v>
      </c>
      <c r="J1285" s="18" t="str">
        <f>IFERROR(__xludf.DUMMYFUNCTION("""COMPUTED_VALUE"""),"Customer Service")</f>
        <v>Customer Service</v>
      </c>
      <c r="K1285" s="18" t="str">
        <f>IFERROR(__xludf.DUMMYFUNCTION("""COMPUTED_VALUE"""),"Seamless and easy")</f>
        <v>Seamless and easy</v>
      </c>
      <c r="L1285" s="18">
        <f>iferror(VLOOKUP($D1285,Details!$A$2:$C$11,2,false),vlookup($D1285,Details!$E$2:$G$11,2,false))</f>
        <v>180</v>
      </c>
      <c r="M1285" s="18" t="str">
        <f>iferror(VLOOKUP($D1285,Details!$A$2:$C$11,3,false),vlookup($D1285,Details!$E$2:$G$11,3,false))</f>
        <v>Fruits and Vegetables</v>
      </c>
      <c r="N1285" s="18">
        <f t="shared" si="1"/>
        <v>180</v>
      </c>
      <c r="O1285" s="17"/>
      <c r="P1285" s="17"/>
      <c r="Q1285" s="17"/>
      <c r="R1285" s="17"/>
      <c r="S1285" s="17"/>
      <c r="T1285" s="17"/>
      <c r="U1285" s="17"/>
      <c r="V1285" s="17"/>
      <c r="W1285" s="17"/>
      <c r="X1285" s="17"/>
      <c r="Y1285" s="17"/>
      <c r="Z1285" s="17"/>
    </row>
    <row r="1286">
      <c r="A1286" s="18" t="str">
        <f>IFERROR(__xludf.DUMMYFUNCTION("""COMPUTED_VALUE"""),"ord_61264")</f>
        <v>ord_61264</v>
      </c>
      <c r="B1286" s="18" t="str">
        <f>IFERROR(__xludf.DUMMYFUNCTION("""COMPUTED_VALUE"""),"Aarav Mehta")</f>
        <v>Aarav Mehta</v>
      </c>
      <c r="C1286" s="18" t="str">
        <f>IFERROR(__xludf.DUMMYFUNCTION("""COMPUTED_VALUE"""),"Andheri")</f>
        <v>Andheri</v>
      </c>
      <c r="D1286" s="18" t="str">
        <f>IFERROR(__xludf.DUMMYFUNCTION("""COMPUTED_VALUE"""),"Guava")</f>
        <v>Guava</v>
      </c>
      <c r="E1286" s="18">
        <f>IFERROR(__xludf.DUMMYFUNCTION("""COMPUTED_VALUE"""),1.0)</f>
        <v>1</v>
      </c>
      <c r="F1286" s="18" t="str">
        <f>IFERROR(__xludf.DUMMYFUNCTION("""COMPUTED_VALUE"""),"Rohan Yadav")</f>
        <v>Rohan Yadav</v>
      </c>
      <c r="G1286" s="19">
        <f>IFERROR(__xludf.DUMMYFUNCTION("""COMPUTED_VALUE"""),44944.0)</f>
        <v>44944</v>
      </c>
      <c r="H1286" s="18" t="str">
        <f>IFERROR(__xludf.DUMMYFUNCTION("""COMPUTED_VALUE"""),"Online Payment")</f>
        <v>Online Payment</v>
      </c>
      <c r="I1286" s="18" t="str">
        <f>IFERROR(__xludf.DUMMYFUNCTION("""COMPUTED_VALUE"""),"Delivered")</f>
        <v>Delivered</v>
      </c>
      <c r="J1286" s="18" t="str">
        <f>IFERROR(__xludf.DUMMYFUNCTION("""COMPUTED_VALUE"""),"Delivery Experience")</f>
        <v>Delivery Experience</v>
      </c>
      <c r="K1286" s="18" t="str">
        <f>IFERROR(__xludf.DUMMYFUNCTION("""COMPUTED_VALUE"""),"Quick and professional")</f>
        <v>Quick and professional</v>
      </c>
      <c r="L1286" s="18">
        <f>iferror(VLOOKUP($D1286,Details!$A$2:$C$11,2,false),vlookup($D1286,Details!$E$2:$G$11,2,false))</f>
        <v>70</v>
      </c>
      <c r="M1286" s="18" t="str">
        <f>iferror(VLOOKUP($D1286,Details!$A$2:$C$11,3,false),vlookup($D1286,Details!$E$2:$G$11,3,false))</f>
        <v>Fruits and Vegetables</v>
      </c>
      <c r="N1286" s="18">
        <f t="shared" si="1"/>
        <v>70</v>
      </c>
      <c r="O1286" s="17"/>
      <c r="P1286" s="17"/>
      <c r="Q1286" s="17"/>
      <c r="R1286" s="17"/>
      <c r="S1286" s="17"/>
      <c r="T1286" s="17"/>
      <c r="U1286" s="17"/>
      <c r="V1286" s="17"/>
      <c r="W1286" s="17"/>
      <c r="X1286" s="17"/>
      <c r="Y1286" s="17"/>
      <c r="Z1286" s="17"/>
    </row>
    <row r="1287">
      <c r="A1287" s="18" t="str">
        <f>IFERROR(__xludf.DUMMYFUNCTION("""COMPUTED_VALUE"""),"ord_61265")</f>
        <v>ord_61265</v>
      </c>
      <c r="B1287" s="18" t="str">
        <f>IFERROR(__xludf.DUMMYFUNCTION("""COMPUTED_VALUE"""),"Aarav Mehta")</f>
        <v>Aarav Mehta</v>
      </c>
      <c r="C1287" s="18" t="str">
        <f>IFERROR(__xludf.DUMMYFUNCTION("""COMPUTED_VALUE"""),"Andheri")</f>
        <v>Andheri</v>
      </c>
      <c r="D1287" s="18" t="str">
        <f>IFERROR(__xludf.DUMMYFUNCTION("""COMPUTED_VALUE"""),"Apple")</f>
        <v>Apple</v>
      </c>
      <c r="E1287" s="18">
        <f>IFERROR(__xludf.DUMMYFUNCTION("""COMPUTED_VALUE"""),1.0)</f>
        <v>1</v>
      </c>
      <c r="F1287" s="18" t="str">
        <f>IFERROR(__xludf.DUMMYFUNCTION("""COMPUTED_VALUE"""),"Rohan Yadav")</f>
        <v>Rohan Yadav</v>
      </c>
      <c r="G1287" s="19">
        <f>IFERROR(__xludf.DUMMYFUNCTION("""COMPUTED_VALUE"""),45256.0)</f>
        <v>45256</v>
      </c>
      <c r="H1287" s="18" t="str">
        <f>IFERROR(__xludf.DUMMYFUNCTION("""COMPUTED_VALUE"""),"UPI")</f>
        <v>UPI</v>
      </c>
      <c r="I1287" s="18" t="str">
        <f>IFERROR(__xludf.DUMMYFUNCTION("""COMPUTED_VALUE"""),"Delivered")</f>
        <v>Delivered</v>
      </c>
      <c r="J1287" s="18" t="str">
        <f>IFERROR(__xludf.DUMMYFUNCTION("""COMPUTED_VALUE"""),"Convenience")</f>
        <v>Convenience</v>
      </c>
      <c r="K1287" s="18" t="str">
        <f>IFERROR(__xludf.DUMMYFUNCTION("""COMPUTED_VALUE"""),"Easy tracking")</f>
        <v>Easy tracking</v>
      </c>
      <c r="L1287" s="18">
        <f>iferror(VLOOKUP($D1287,Details!$A$2:$C$11,2,false),vlookup($D1287,Details!$E$2:$G$11,2,false))</f>
        <v>230</v>
      </c>
      <c r="M1287" s="18" t="str">
        <f>iferror(VLOOKUP($D1287,Details!$A$2:$C$11,3,false),vlookup($D1287,Details!$E$2:$G$11,3,false))</f>
        <v>Fruits and Vegetables</v>
      </c>
      <c r="N1287" s="18">
        <f t="shared" si="1"/>
        <v>230</v>
      </c>
      <c r="O1287" s="17"/>
      <c r="P1287" s="17"/>
      <c r="Q1287" s="17"/>
      <c r="R1287" s="17"/>
      <c r="S1287" s="17"/>
      <c r="T1287" s="17"/>
      <c r="U1287" s="17"/>
      <c r="V1287" s="17"/>
      <c r="W1287" s="17"/>
      <c r="X1287" s="17"/>
      <c r="Y1287" s="17"/>
      <c r="Z1287" s="17"/>
    </row>
    <row r="1288">
      <c r="A1288" s="18" t="str">
        <f>IFERROR(__xludf.DUMMYFUNCTION("""COMPUTED_VALUE"""),"ord_61266")</f>
        <v>ord_61266</v>
      </c>
      <c r="B1288" s="18" t="str">
        <f>IFERROR(__xludf.DUMMYFUNCTION("""COMPUTED_VALUE"""),"Diya Arora")</f>
        <v>Diya Arora</v>
      </c>
      <c r="C1288" s="18" t="str">
        <f>IFERROR(__xludf.DUMMYFUNCTION("""COMPUTED_VALUE"""),"Lower Parel")</f>
        <v>Lower Parel</v>
      </c>
      <c r="D1288" s="18" t="str">
        <f>IFERROR(__xludf.DUMMYFUNCTION("""COMPUTED_VALUE"""),"Sweet Corn")</f>
        <v>Sweet Corn</v>
      </c>
      <c r="E1288" s="18">
        <f>IFERROR(__xludf.DUMMYFUNCTION("""COMPUTED_VALUE"""),2.0)</f>
        <v>2</v>
      </c>
      <c r="F1288" s="18" t="str">
        <f>IFERROR(__xludf.DUMMYFUNCTION("""COMPUTED_VALUE"""),"Sita T")</f>
        <v>Sita T</v>
      </c>
      <c r="G1288" s="19">
        <f>IFERROR(__xludf.DUMMYFUNCTION("""COMPUTED_VALUE"""),44966.0)</f>
        <v>44966</v>
      </c>
      <c r="H1288" s="18" t="str">
        <f>IFERROR(__xludf.DUMMYFUNCTION("""COMPUTED_VALUE"""),"Credit Card")</f>
        <v>Credit Card</v>
      </c>
      <c r="I1288" s="18" t="str">
        <f>IFERROR(__xludf.DUMMYFUNCTION("""COMPUTED_VALUE"""),"Cancelled")</f>
        <v>Cancelled</v>
      </c>
      <c r="J1288" s="18" t="str">
        <f>IFERROR(__xludf.DUMMYFUNCTION("""COMPUTED_VALUE"""),"Delayed Delivery")</f>
        <v>Delayed Delivery</v>
      </c>
      <c r="K1288" s="18" t="str">
        <f>IFERROR(__xludf.DUMMYFUNCTION("""COMPUTED_VALUE"""),"Heavy Traffic")</f>
        <v>Heavy Traffic</v>
      </c>
      <c r="L1288" s="18">
        <f>iferror(VLOOKUP($D1288,Details!$A$2:$C$11,2,false),vlookup($D1288,Details!$E$2:$G$11,2,false))</f>
        <v>60</v>
      </c>
      <c r="M1288" s="18" t="str">
        <f>iferror(VLOOKUP($D1288,Details!$A$2:$C$11,3,false),vlookup($D1288,Details!$E$2:$G$11,3,false))</f>
        <v>Fruits and Vegetables</v>
      </c>
      <c r="N1288" s="18">
        <f t="shared" si="1"/>
        <v>120</v>
      </c>
      <c r="O1288" s="17"/>
      <c r="P1288" s="17"/>
      <c r="Q1288" s="17"/>
      <c r="R1288" s="17"/>
      <c r="S1288" s="17"/>
      <c r="T1288" s="17"/>
      <c r="U1288" s="17"/>
      <c r="V1288" s="17"/>
      <c r="W1288" s="17"/>
      <c r="X1288" s="17"/>
      <c r="Y1288" s="17"/>
      <c r="Z1288" s="17"/>
    </row>
    <row r="1289">
      <c r="A1289" s="18" t="str">
        <f>IFERROR(__xludf.DUMMYFUNCTION("""COMPUTED_VALUE"""),"ord_61267")</f>
        <v>ord_61267</v>
      </c>
      <c r="B1289" s="18" t="str">
        <f>IFERROR(__xludf.DUMMYFUNCTION("""COMPUTED_VALUE"""),"Sakshi Tandon")</f>
        <v>Sakshi Tandon</v>
      </c>
      <c r="C1289" s="18" t="str">
        <f>IFERROR(__xludf.DUMMYFUNCTION("""COMPUTED_VALUE"""),"Colaba")</f>
        <v>Colaba</v>
      </c>
      <c r="D1289" s="18" t="str">
        <f>IFERROR(__xludf.DUMMYFUNCTION("""COMPUTED_VALUE"""),"Apple")</f>
        <v>Apple</v>
      </c>
      <c r="E1289" s="18">
        <f>IFERROR(__xludf.DUMMYFUNCTION("""COMPUTED_VALUE"""),2.0)</f>
        <v>2</v>
      </c>
      <c r="F1289" s="18" t="str">
        <f>IFERROR(__xludf.DUMMYFUNCTION("""COMPUTED_VALUE"""),"Nikhil Deshmukh")</f>
        <v>Nikhil Deshmukh</v>
      </c>
      <c r="G1289" s="19">
        <f>IFERROR(__xludf.DUMMYFUNCTION("""COMPUTED_VALUE"""),45234.0)</f>
        <v>45234</v>
      </c>
      <c r="H1289" s="18" t="str">
        <f>IFERROR(__xludf.DUMMYFUNCTION("""COMPUTED_VALUE"""),"UPI")</f>
        <v>UPI</v>
      </c>
      <c r="I1289" s="18" t="str">
        <f>IFERROR(__xludf.DUMMYFUNCTION("""COMPUTED_VALUE"""),"Delivered")</f>
        <v>Delivered</v>
      </c>
      <c r="J1289" s="18" t="str">
        <f>IFERROR(__xludf.DUMMYFUNCTION("""COMPUTED_VALUE"""),"Overall Satisfaction")</f>
        <v>Overall Satisfaction</v>
      </c>
      <c r="K1289" s="18" t="str">
        <f>IFERROR(__xludf.DUMMYFUNCTION("""COMPUTED_VALUE"""),"Great service will order again")</f>
        <v>Great service will order again</v>
      </c>
      <c r="L1289" s="18">
        <f>iferror(VLOOKUP($D1289,Details!$A$2:$C$11,2,false),vlookup($D1289,Details!$E$2:$G$11,2,false))</f>
        <v>230</v>
      </c>
      <c r="M1289" s="18" t="str">
        <f>iferror(VLOOKUP($D1289,Details!$A$2:$C$11,3,false),vlookup($D1289,Details!$E$2:$G$11,3,false))</f>
        <v>Fruits and Vegetables</v>
      </c>
      <c r="N1289" s="18">
        <f t="shared" si="1"/>
        <v>460</v>
      </c>
      <c r="O1289" s="17"/>
      <c r="P1289" s="17"/>
      <c r="Q1289" s="17"/>
      <c r="R1289" s="17"/>
      <c r="S1289" s="17"/>
      <c r="T1289" s="17"/>
      <c r="U1289" s="17"/>
      <c r="V1289" s="17"/>
      <c r="W1289" s="17"/>
      <c r="X1289" s="17"/>
      <c r="Y1289" s="17"/>
      <c r="Z1289" s="17"/>
    </row>
    <row r="1290">
      <c r="A1290" s="18" t="str">
        <f>IFERROR(__xludf.DUMMYFUNCTION("""COMPUTED_VALUE"""),"ord_61268")</f>
        <v>ord_61268</v>
      </c>
      <c r="B1290" s="18" t="str">
        <f>IFERROR(__xludf.DUMMYFUNCTION("""COMPUTED_VALUE"""),"Mehul Thakkar")</f>
        <v>Mehul Thakkar</v>
      </c>
      <c r="C1290" s="18" t="str">
        <f>IFERROR(__xludf.DUMMYFUNCTION("""COMPUTED_VALUE"""),"Malad")</f>
        <v>Malad</v>
      </c>
      <c r="D1290" s="18" t="str">
        <f>IFERROR(__xludf.DUMMYFUNCTION("""COMPUTED_VALUE"""),"Juice")</f>
        <v>Juice</v>
      </c>
      <c r="E1290" s="18">
        <f>IFERROR(__xludf.DUMMYFUNCTION("""COMPUTED_VALUE"""),5.0)</f>
        <v>5</v>
      </c>
      <c r="F1290" s="18" t="str">
        <f>IFERROR(__xludf.DUMMYFUNCTION("""COMPUTED_VALUE"""),"Neha Shah")</f>
        <v>Neha Shah</v>
      </c>
      <c r="G1290" s="19">
        <f>IFERROR(__xludf.DUMMYFUNCTION("""COMPUTED_VALUE"""),45191.0)</f>
        <v>45191</v>
      </c>
      <c r="H1290" s="18" t="str">
        <f>IFERROR(__xludf.DUMMYFUNCTION("""COMPUTED_VALUE"""),"UPI")</f>
        <v>UPI</v>
      </c>
      <c r="I1290" s="18" t="str">
        <f>IFERROR(__xludf.DUMMYFUNCTION("""COMPUTED_VALUE"""),"Delivered")</f>
        <v>Delivered</v>
      </c>
      <c r="J1290" s="18" t="str">
        <f>IFERROR(__xludf.DUMMYFUNCTION("""COMPUTED_VALUE"""),"On-time Delivery")</f>
        <v>On-time Delivery</v>
      </c>
      <c r="K1290" s="18" t="str">
        <f>IFERROR(__xludf.DUMMYFUNCTION("""COMPUTED_VALUE"""),"Delivered on time")</f>
        <v>Delivered on time</v>
      </c>
      <c r="L1290" s="18">
        <f>iferror(VLOOKUP($D1290,Details!$A$2:$C$11,2,false),vlookup($D1290,Details!$E$2:$G$11,2,false))</f>
        <v>90</v>
      </c>
      <c r="M1290" s="18" t="str">
        <f>iferror(VLOOKUP($D1290,Details!$A$2:$C$11,3,false),vlookup($D1290,Details!$E$2:$G$11,3,false))</f>
        <v>Snacks and Drinks</v>
      </c>
      <c r="N1290" s="18">
        <f t="shared" si="1"/>
        <v>450</v>
      </c>
      <c r="O1290" s="17"/>
      <c r="P1290" s="17"/>
      <c r="Q1290" s="17"/>
      <c r="R1290" s="17"/>
      <c r="S1290" s="17"/>
      <c r="T1290" s="17"/>
      <c r="U1290" s="17"/>
      <c r="V1290" s="17"/>
      <c r="W1290" s="17"/>
      <c r="X1290" s="17"/>
      <c r="Y1290" s="17"/>
      <c r="Z1290" s="17"/>
    </row>
    <row r="1291">
      <c r="A1291" s="18" t="str">
        <f>IFERROR(__xludf.DUMMYFUNCTION("""COMPUTED_VALUE"""),"ord_61269")</f>
        <v>ord_61269</v>
      </c>
      <c r="B1291" s="18" t="str">
        <f>IFERROR(__xludf.DUMMYFUNCTION("""COMPUTED_VALUE"""),"Arvind Kulkarni")</f>
        <v>Arvind Kulkarni</v>
      </c>
      <c r="C1291" s="18" t="str">
        <f>IFERROR(__xludf.DUMMYFUNCTION("""COMPUTED_VALUE"""),"Juhu")</f>
        <v>Juhu</v>
      </c>
      <c r="D1291" s="18" t="str">
        <f>IFERROR(__xludf.DUMMYFUNCTION("""COMPUTED_VALUE"""),"Chocolate Mousse")</f>
        <v>Chocolate Mousse</v>
      </c>
      <c r="E1291" s="18">
        <f>IFERROR(__xludf.DUMMYFUNCTION("""COMPUTED_VALUE"""),5.0)</f>
        <v>5</v>
      </c>
      <c r="F1291" s="18" t="str">
        <f>IFERROR(__xludf.DUMMYFUNCTION("""COMPUTED_VALUE"""),"Not Assigned")</f>
        <v>Not Assigned</v>
      </c>
      <c r="G1291" s="19">
        <f>IFERROR(__xludf.DUMMYFUNCTION("""COMPUTED_VALUE"""),44987.0)</f>
        <v>44987</v>
      </c>
      <c r="H1291" s="18" t="str">
        <f>IFERROR(__xludf.DUMMYFUNCTION("""COMPUTED_VALUE"""),"Online Payment")</f>
        <v>Online Payment</v>
      </c>
      <c r="I1291" s="18" t="str">
        <f>IFERROR(__xludf.DUMMYFUNCTION("""COMPUTED_VALUE"""),"Cancelled")</f>
        <v>Cancelled</v>
      </c>
      <c r="J1291" s="18" t="str">
        <f>IFERROR(__xludf.DUMMYFUNCTION("""COMPUTED_VALUE"""),"App Glitches")</f>
        <v>App Glitches</v>
      </c>
      <c r="K1291" s="18" t="str">
        <f>IFERROR(__xludf.DUMMYFUNCTION("""COMPUTED_VALUE"""),"Slow Loading Time")</f>
        <v>Slow Loading Time</v>
      </c>
      <c r="L1291" s="18">
        <f>iferror(VLOOKUP($D1291,Details!$A$2:$C$11,2,false),vlookup($D1291,Details!$E$2:$G$11,2,false))</f>
        <v>145</v>
      </c>
      <c r="M1291" s="18" t="str">
        <f>iferror(VLOOKUP($D1291,Details!$A$2:$C$11,3,false),vlookup($D1291,Details!$E$2:$G$11,3,false))</f>
        <v>Snacks and Drinks</v>
      </c>
      <c r="N1291" s="18">
        <f t="shared" si="1"/>
        <v>725</v>
      </c>
      <c r="O1291" s="17"/>
      <c r="P1291" s="17"/>
      <c r="Q1291" s="17"/>
      <c r="R1291" s="17"/>
      <c r="S1291" s="17"/>
      <c r="T1291" s="17"/>
      <c r="U1291" s="17"/>
      <c r="V1291" s="17"/>
      <c r="W1291" s="17"/>
      <c r="X1291" s="17"/>
      <c r="Y1291" s="17"/>
      <c r="Z1291" s="17"/>
    </row>
    <row r="1292">
      <c r="A1292" s="18" t="str">
        <f>IFERROR(__xludf.DUMMYFUNCTION("""COMPUTED_VALUE"""),"ord_61270")</f>
        <v>ord_61270</v>
      </c>
      <c r="B1292" s="18" t="str">
        <f>IFERROR(__xludf.DUMMYFUNCTION("""COMPUTED_VALUE"""),"Arvind Kulkarni")</f>
        <v>Arvind Kulkarni</v>
      </c>
      <c r="C1292" s="18" t="str">
        <f>IFERROR(__xludf.DUMMYFUNCTION("""COMPUTED_VALUE"""),"Juhu")</f>
        <v>Juhu</v>
      </c>
      <c r="D1292" s="18" t="str">
        <f>IFERROR(__xludf.DUMMYFUNCTION("""COMPUTED_VALUE"""),"Guava")</f>
        <v>Guava</v>
      </c>
      <c r="E1292" s="18">
        <f>IFERROR(__xludf.DUMMYFUNCTION("""COMPUTED_VALUE"""),2.0)</f>
        <v>2</v>
      </c>
      <c r="F1292" s="18" t="str">
        <f>IFERROR(__xludf.DUMMYFUNCTION("""COMPUTED_VALUE"""),"Kiran Mehta")</f>
        <v>Kiran Mehta</v>
      </c>
      <c r="G1292" s="19">
        <f>IFERROR(__xludf.DUMMYFUNCTION("""COMPUTED_VALUE"""),45191.0)</f>
        <v>45191</v>
      </c>
      <c r="H1292" s="18" t="str">
        <f>IFERROR(__xludf.DUMMYFUNCTION("""COMPUTED_VALUE"""),"UPI")</f>
        <v>UPI</v>
      </c>
      <c r="I1292" s="18" t="str">
        <f>IFERROR(__xludf.DUMMYFUNCTION("""COMPUTED_VALUE"""),"Cancelled")</f>
        <v>Cancelled</v>
      </c>
      <c r="J1292" s="18" t="str">
        <f>IFERROR(__xludf.DUMMYFUNCTION("""COMPUTED_VALUE"""),"Delayed Delivery")</f>
        <v>Delayed Delivery</v>
      </c>
      <c r="K1292" s="18" t="str">
        <f>IFERROR(__xludf.DUMMYFUNCTION("""COMPUTED_VALUE"""),"Bad Weather Conditions")</f>
        <v>Bad Weather Conditions</v>
      </c>
      <c r="L1292" s="18">
        <f>iferror(VLOOKUP($D1292,Details!$A$2:$C$11,2,false),vlookup($D1292,Details!$E$2:$G$11,2,false))</f>
        <v>70</v>
      </c>
      <c r="M1292" s="18" t="str">
        <f>iferror(VLOOKUP($D1292,Details!$A$2:$C$11,3,false),vlookup($D1292,Details!$E$2:$G$11,3,false))</f>
        <v>Fruits and Vegetables</v>
      </c>
      <c r="N1292" s="18">
        <f t="shared" si="1"/>
        <v>140</v>
      </c>
      <c r="O1292" s="17"/>
      <c r="P1292" s="17"/>
      <c r="Q1292" s="17"/>
      <c r="R1292" s="17"/>
      <c r="S1292" s="17"/>
      <c r="T1292" s="17"/>
      <c r="U1292" s="17"/>
      <c r="V1292" s="17"/>
      <c r="W1292" s="17"/>
      <c r="X1292" s="17"/>
      <c r="Y1292" s="17"/>
      <c r="Z1292" s="17"/>
    </row>
    <row r="1293">
      <c r="A1293" s="18" t="str">
        <f>IFERROR(__xludf.DUMMYFUNCTION("""COMPUTED_VALUE"""),"ord_61271")</f>
        <v>ord_61271</v>
      </c>
      <c r="B1293" s="18" t="str">
        <f>IFERROR(__xludf.DUMMYFUNCTION("""COMPUTED_VALUE"""),"Aarohi Kapoor")</f>
        <v>Aarohi Kapoor</v>
      </c>
      <c r="C1293" s="18" t="str">
        <f>IFERROR(__xludf.DUMMYFUNCTION("""COMPUTED_VALUE"""),"Bandra")</f>
        <v>Bandra</v>
      </c>
      <c r="D1293" s="18" t="str">
        <f>IFERROR(__xludf.DUMMYFUNCTION("""COMPUTED_VALUE"""),"Banana")</f>
        <v>Banana</v>
      </c>
      <c r="E1293" s="18">
        <f>IFERROR(__xludf.DUMMYFUNCTION("""COMPUTED_VALUE"""),2.0)</f>
        <v>2</v>
      </c>
      <c r="F1293" s="18" t="str">
        <f>IFERROR(__xludf.DUMMYFUNCTION("""COMPUTED_VALUE"""),"Not Assigned")</f>
        <v>Not Assigned</v>
      </c>
      <c r="G1293" s="19">
        <f>IFERROR(__xludf.DUMMYFUNCTION("""COMPUTED_VALUE"""),45068.0)</f>
        <v>45068</v>
      </c>
      <c r="H1293" s="18" t="str">
        <f>IFERROR(__xludf.DUMMYFUNCTION("""COMPUTED_VALUE"""),"Credit Card")</f>
        <v>Credit Card</v>
      </c>
      <c r="I1293" s="18" t="str">
        <f>IFERROR(__xludf.DUMMYFUNCTION("""COMPUTED_VALUE"""),"Cancelled")</f>
        <v>Cancelled</v>
      </c>
      <c r="J1293" s="18" t="str">
        <f>IFERROR(__xludf.DUMMYFUNCTION("""COMPUTED_VALUE"""),"App Glitches")</f>
        <v>App Glitches</v>
      </c>
      <c r="K1293" s="18" t="str">
        <f>IFERROR(__xludf.DUMMYFUNCTION("""COMPUTED_VALUE"""),"Payment Button Malfunction")</f>
        <v>Payment Button Malfunction</v>
      </c>
      <c r="L1293" s="18">
        <f>iferror(VLOOKUP($D1293,Details!$A$2:$C$11,2,false),vlookup($D1293,Details!$E$2:$G$11,2,false))</f>
        <v>80</v>
      </c>
      <c r="M1293" s="18" t="str">
        <f>iferror(VLOOKUP($D1293,Details!$A$2:$C$11,3,false),vlookup($D1293,Details!$E$2:$G$11,3,false))</f>
        <v>Fruits and Vegetables</v>
      </c>
      <c r="N1293" s="18">
        <f t="shared" si="1"/>
        <v>160</v>
      </c>
      <c r="O1293" s="17"/>
      <c r="P1293" s="17"/>
      <c r="Q1293" s="17"/>
      <c r="R1293" s="17"/>
      <c r="S1293" s="17"/>
      <c r="T1293" s="17"/>
      <c r="U1293" s="17"/>
      <c r="V1293" s="17"/>
      <c r="W1293" s="17"/>
      <c r="X1293" s="17"/>
      <c r="Y1293" s="17"/>
      <c r="Z1293" s="17"/>
    </row>
    <row r="1294">
      <c r="A1294" s="18" t="str">
        <f>IFERROR(__xludf.DUMMYFUNCTION("""COMPUTED_VALUE"""),"ord_61272")</f>
        <v>ord_61272</v>
      </c>
      <c r="B1294" s="18" t="str">
        <f>IFERROR(__xludf.DUMMYFUNCTION("""COMPUTED_VALUE"""),"Kritika Shetty")</f>
        <v>Kritika Shetty</v>
      </c>
      <c r="C1294" s="18" t="str">
        <f>IFERROR(__xludf.DUMMYFUNCTION("""COMPUTED_VALUE"""),"Malad")</f>
        <v>Malad</v>
      </c>
      <c r="D1294" s="18" t="str">
        <f>IFERROR(__xludf.DUMMYFUNCTION("""COMPUTED_VALUE"""),"Popcorn")</f>
        <v>Popcorn</v>
      </c>
      <c r="E1294" s="18">
        <f>IFERROR(__xludf.DUMMYFUNCTION("""COMPUTED_VALUE"""),2.0)</f>
        <v>2</v>
      </c>
      <c r="F1294" s="18" t="str">
        <f>IFERROR(__xludf.DUMMYFUNCTION("""COMPUTED_VALUE"""),"Not Assigned")</f>
        <v>Not Assigned</v>
      </c>
      <c r="G1294" s="19">
        <f>IFERROR(__xludf.DUMMYFUNCTION("""COMPUTED_VALUE"""),44966.0)</f>
        <v>44966</v>
      </c>
      <c r="H1294" s="18" t="str">
        <f>IFERROR(__xludf.DUMMYFUNCTION("""COMPUTED_VALUE"""),"Credit Card")</f>
        <v>Credit Card</v>
      </c>
      <c r="I1294" s="18" t="str">
        <f>IFERROR(__xludf.DUMMYFUNCTION("""COMPUTED_VALUE"""),"Cancelled")</f>
        <v>Cancelled</v>
      </c>
      <c r="J1294" s="18" t="str">
        <f>IFERROR(__xludf.DUMMYFUNCTION("""COMPUTED_VALUE"""),"App Glitches")</f>
        <v>App Glitches</v>
      </c>
      <c r="K1294" s="18" t="str">
        <f>IFERROR(__xludf.DUMMYFUNCTION("""COMPUTED_VALUE"""),"Slow Loading Time")</f>
        <v>Slow Loading Time</v>
      </c>
      <c r="L1294" s="18">
        <f>iferror(VLOOKUP($D1294,Details!$A$2:$C$11,2,false),vlookup($D1294,Details!$E$2:$G$11,2,false))</f>
        <v>150</v>
      </c>
      <c r="M1294" s="18" t="str">
        <f>iferror(VLOOKUP($D1294,Details!$A$2:$C$11,3,false),vlookup($D1294,Details!$E$2:$G$11,3,false))</f>
        <v>Snacks and Drinks</v>
      </c>
      <c r="N1294" s="18">
        <f t="shared" si="1"/>
        <v>300</v>
      </c>
      <c r="O1294" s="17"/>
      <c r="P1294" s="17"/>
      <c r="Q1294" s="17"/>
      <c r="R1294" s="17"/>
      <c r="S1294" s="17"/>
      <c r="T1294" s="17"/>
      <c r="U1294" s="17"/>
      <c r="V1294" s="17"/>
      <c r="W1294" s="17"/>
      <c r="X1294" s="17"/>
      <c r="Y1294" s="17"/>
      <c r="Z1294" s="17"/>
    </row>
    <row r="1295">
      <c r="A1295" s="18" t="str">
        <f>IFERROR(__xludf.DUMMYFUNCTION("""COMPUTED_VALUE"""),"ord_61273")</f>
        <v>ord_61273</v>
      </c>
      <c r="B1295" s="18" t="str">
        <f>IFERROR(__xludf.DUMMYFUNCTION("""COMPUTED_VALUE"""),"Pallavi Ghosh")</f>
        <v>Pallavi Ghosh</v>
      </c>
      <c r="C1295" s="18" t="str">
        <f>IFERROR(__xludf.DUMMYFUNCTION("""COMPUTED_VALUE"""),"Bandra")</f>
        <v>Bandra</v>
      </c>
      <c r="D1295" s="18" t="str">
        <f>IFERROR(__xludf.DUMMYFUNCTION("""COMPUTED_VALUE"""),"Popcorn")</f>
        <v>Popcorn</v>
      </c>
      <c r="E1295" s="18">
        <f>IFERROR(__xludf.DUMMYFUNCTION("""COMPUTED_VALUE"""),2.0)</f>
        <v>2</v>
      </c>
      <c r="F1295" s="18" t="str">
        <f>IFERROR(__xludf.DUMMYFUNCTION("""COMPUTED_VALUE"""),"Priya Joshi")</f>
        <v>Priya Joshi</v>
      </c>
      <c r="G1295" s="19">
        <f>IFERROR(__xludf.DUMMYFUNCTION("""COMPUTED_VALUE"""),45215.0)</f>
        <v>45215</v>
      </c>
      <c r="H1295" s="18" t="str">
        <f>IFERROR(__xludf.DUMMYFUNCTION("""COMPUTED_VALUE"""),"Credit Card")</f>
        <v>Credit Card</v>
      </c>
      <c r="I1295" s="18" t="str">
        <f>IFERROR(__xludf.DUMMYFUNCTION("""COMPUTED_VALUE"""),"Delivered")</f>
        <v>Delivered</v>
      </c>
      <c r="J1295" s="18" t="str">
        <f>IFERROR(__xludf.DUMMYFUNCTION("""COMPUTED_VALUE"""),"Quality of Items")</f>
        <v>Quality of Items</v>
      </c>
      <c r="K1295" s="18" t="str">
        <f>IFERROR(__xludf.DUMMYFUNCTION("""COMPUTED_VALUE"""),"Perfect condition")</f>
        <v>Perfect condition</v>
      </c>
      <c r="L1295" s="18">
        <f>iferror(VLOOKUP($D1295,Details!$A$2:$C$11,2,false),vlookup($D1295,Details!$E$2:$G$11,2,false))</f>
        <v>150</v>
      </c>
      <c r="M1295" s="18" t="str">
        <f>iferror(VLOOKUP($D1295,Details!$A$2:$C$11,3,false),vlookup($D1295,Details!$E$2:$G$11,3,false))</f>
        <v>Snacks and Drinks</v>
      </c>
      <c r="N1295" s="18">
        <f t="shared" si="1"/>
        <v>300</v>
      </c>
      <c r="O1295" s="17"/>
      <c r="P1295" s="17"/>
      <c r="Q1295" s="17"/>
      <c r="R1295" s="17"/>
      <c r="S1295" s="17"/>
      <c r="T1295" s="17"/>
      <c r="U1295" s="17"/>
      <c r="V1295" s="17"/>
      <c r="W1295" s="17"/>
      <c r="X1295" s="17"/>
      <c r="Y1295" s="17"/>
      <c r="Z1295" s="17"/>
    </row>
    <row r="1296">
      <c r="A1296" s="18" t="str">
        <f>IFERROR(__xludf.DUMMYFUNCTION("""COMPUTED_VALUE"""),"ord_61274")</f>
        <v>ord_61274</v>
      </c>
      <c r="B1296" s="18" t="str">
        <f>IFERROR(__xludf.DUMMYFUNCTION("""COMPUTED_VALUE"""),"Aarav Mehta")</f>
        <v>Aarav Mehta</v>
      </c>
      <c r="C1296" s="18" t="str">
        <f>IFERROR(__xludf.DUMMYFUNCTION("""COMPUTED_VALUE"""),"Andheri")</f>
        <v>Andheri</v>
      </c>
      <c r="D1296" s="18" t="str">
        <f>IFERROR(__xludf.DUMMYFUNCTION("""COMPUTED_VALUE"""),"Chilli Cheese Toast")</f>
        <v>Chilli Cheese Toast</v>
      </c>
      <c r="E1296" s="18">
        <f>IFERROR(__xludf.DUMMYFUNCTION("""COMPUTED_VALUE"""),2.0)</f>
        <v>2</v>
      </c>
      <c r="F1296" s="18" t="str">
        <f>IFERROR(__xludf.DUMMYFUNCTION("""COMPUTED_VALUE"""),"Vivek Kumar")</f>
        <v>Vivek Kumar</v>
      </c>
      <c r="G1296" s="19">
        <f>IFERROR(__xludf.DUMMYFUNCTION("""COMPUTED_VALUE"""),45190.0)</f>
        <v>45190</v>
      </c>
      <c r="H1296" s="18" t="str">
        <f>IFERROR(__xludf.DUMMYFUNCTION("""COMPUTED_VALUE"""),"Online Payment")</f>
        <v>Online Payment</v>
      </c>
      <c r="I1296" s="18" t="str">
        <f>IFERROR(__xludf.DUMMYFUNCTION("""COMPUTED_VALUE"""),"Delivered")</f>
        <v>Delivered</v>
      </c>
      <c r="J1296" s="18" t="str">
        <f>IFERROR(__xludf.DUMMYFUNCTION("""COMPUTED_VALUE"""),"On-time Delivery")</f>
        <v>On-time Delivery</v>
      </c>
      <c r="K1296" s="18" t="str">
        <f>IFERROR(__xludf.DUMMYFUNCTION("""COMPUTED_VALUE"""),"Delivered on time")</f>
        <v>Delivered on time</v>
      </c>
      <c r="L1296" s="18">
        <f>iferror(VLOOKUP($D1296,Details!$A$2:$C$11,2,false),vlookup($D1296,Details!$E$2:$G$11,2,false))</f>
        <v>80</v>
      </c>
      <c r="M1296" s="18" t="str">
        <f>iferror(VLOOKUP($D1296,Details!$A$2:$C$11,3,false),vlookup($D1296,Details!$E$2:$G$11,3,false))</f>
        <v>Snacks and Drinks</v>
      </c>
      <c r="N1296" s="18">
        <f t="shared" si="1"/>
        <v>160</v>
      </c>
      <c r="O1296" s="17"/>
      <c r="P1296" s="17"/>
      <c r="Q1296" s="17"/>
      <c r="R1296" s="17"/>
      <c r="S1296" s="17"/>
      <c r="T1296" s="17"/>
      <c r="U1296" s="17"/>
      <c r="V1296" s="17"/>
      <c r="W1296" s="17"/>
      <c r="X1296" s="17"/>
      <c r="Y1296" s="17"/>
      <c r="Z1296" s="17"/>
    </row>
    <row r="1297">
      <c r="A1297" s="18" t="str">
        <f>IFERROR(__xludf.DUMMYFUNCTION("""COMPUTED_VALUE"""),"ord_61275")</f>
        <v>ord_61275</v>
      </c>
      <c r="B1297" s="18" t="str">
        <f>IFERROR(__xludf.DUMMYFUNCTION("""COMPUTED_VALUE"""),"Mohit Malhotra")</f>
        <v>Mohit Malhotra</v>
      </c>
      <c r="C1297" s="18" t="str">
        <f>IFERROR(__xludf.DUMMYFUNCTION("""COMPUTED_VALUE"""),"Lower Parel")</f>
        <v>Lower Parel</v>
      </c>
      <c r="D1297" s="18" t="str">
        <f>IFERROR(__xludf.DUMMYFUNCTION("""COMPUTED_VALUE"""),"Sweet Corn")</f>
        <v>Sweet Corn</v>
      </c>
      <c r="E1297" s="18">
        <f>IFERROR(__xludf.DUMMYFUNCTION("""COMPUTED_VALUE"""),2.0)</f>
        <v>2</v>
      </c>
      <c r="F1297" s="18" t="str">
        <f>IFERROR(__xludf.DUMMYFUNCTION("""COMPUTED_VALUE"""),"Sita T")</f>
        <v>Sita T</v>
      </c>
      <c r="G1297" s="19">
        <f>IFERROR(__xludf.DUMMYFUNCTION("""COMPUTED_VALUE"""),44994.0)</f>
        <v>44994</v>
      </c>
      <c r="H1297" s="18" t="str">
        <f>IFERROR(__xludf.DUMMYFUNCTION("""COMPUTED_VALUE"""),"Online Payment")</f>
        <v>Online Payment</v>
      </c>
      <c r="I1297" s="18" t="str">
        <f>IFERROR(__xludf.DUMMYFUNCTION("""COMPUTED_VALUE"""),"Delivered")</f>
        <v>Delivered</v>
      </c>
      <c r="J1297" s="18" t="str">
        <f>IFERROR(__xludf.DUMMYFUNCTION("""COMPUTED_VALUE"""),"Quality of Items")</f>
        <v>Quality of Items</v>
      </c>
      <c r="K1297" s="18" t="str">
        <f>IFERROR(__xludf.DUMMYFUNCTION("""COMPUTED_VALUE"""),"Perfect condition")</f>
        <v>Perfect condition</v>
      </c>
      <c r="L1297" s="18">
        <f>iferror(VLOOKUP($D1297,Details!$A$2:$C$11,2,false),vlookup($D1297,Details!$E$2:$G$11,2,false))</f>
        <v>60</v>
      </c>
      <c r="M1297" s="18" t="str">
        <f>iferror(VLOOKUP($D1297,Details!$A$2:$C$11,3,false),vlookup($D1297,Details!$E$2:$G$11,3,false))</f>
        <v>Fruits and Vegetables</v>
      </c>
      <c r="N1297" s="18">
        <f t="shared" si="1"/>
        <v>120</v>
      </c>
      <c r="O1297" s="17"/>
      <c r="P1297" s="17"/>
      <c r="Q1297" s="17"/>
      <c r="R1297" s="17"/>
      <c r="S1297" s="17"/>
      <c r="T1297" s="17"/>
      <c r="U1297" s="17"/>
      <c r="V1297" s="17"/>
      <c r="W1297" s="17"/>
      <c r="X1297" s="17"/>
      <c r="Y1297" s="17"/>
      <c r="Z1297" s="17"/>
    </row>
    <row r="1298">
      <c r="A1298" s="18" t="str">
        <f>IFERROR(__xludf.DUMMYFUNCTION("""COMPUTED_VALUE"""),"ord_61276")</f>
        <v>ord_61276</v>
      </c>
      <c r="B1298" s="18" t="str">
        <f>IFERROR(__xludf.DUMMYFUNCTION("""COMPUTED_VALUE"""),"Siya Reddy")</f>
        <v>Siya Reddy</v>
      </c>
      <c r="C1298" s="18" t="str">
        <f>IFERROR(__xludf.DUMMYFUNCTION("""COMPUTED_VALUE"""),"Juhu")</f>
        <v>Juhu</v>
      </c>
      <c r="D1298" s="18" t="str">
        <f>IFERROR(__xludf.DUMMYFUNCTION("""COMPUTED_VALUE"""),"Tiramisu")</f>
        <v>Tiramisu</v>
      </c>
      <c r="E1298" s="18">
        <f>IFERROR(__xludf.DUMMYFUNCTION("""COMPUTED_VALUE"""),3.0)</f>
        <v>3</v>
      </c>
      <c r="F1298" s="18" t="str">
        <f>IFERROR(__xludf.DUMMYFUNCTION("""COMPUTED_VALUE"""),"Ram Gopal")</f>
        <v>Ram Gopal</v>
      </c>
      <c r="G1298" s="19">
        <f>IFERROR(__xludf.DUMMYFUNCTION("""COMPUTED_VALUE"""),45107.0)</f>
        <v>45107</v>
      </c>
      <c r="H1298" s="18" t="str">
        <f>IFERROR(__xludf.DUMMYFUNCTION("""COMPUTED_VALUE"""),"Credit Card")</f>
        <v>Credit Card</v>
      </c>
      <c r="I1298" s="18" t="str">
        <f>IFERROR(__xludf.DUMMYFUNCTION("""COMPUTED_VALUE"""),"Cancelled")</f>
        <v>Cancelled</v>
      </c>
      <c r="J1298" s="18" t="str">
        <f>IFERROR(__xludf.DUMMYFUNCTION("""COMPUTED_VALUE"""),"Delayed Delivery")</f>
        <v>Delayed Delivery</v>
      </c>
      <c r="K1298" s="18" t="str">
        <f>IFERROR(__xludf.DUMMYFUNCTION("""COMPUTED_VALUE"""),"Incorrect Address or Location")</f>
        <v>Incorrect Address or Location</v>
      </c>
      <c r="L1298" s="18">
        <f>iferror(VLOOKUP($D1298,Details!$A$2:$C$11,2,false),vlookup($D1298,Details!$E$2:$G$11,2,false))</f>
        <v>150</v>
      </c>
      <c r="M1298" s="18" t="str">
        <f>iferror(VLOOKUP($D1298,Details!$A$2:$C$11,3,false),vlookup($D1298,Details!$E$2:$G$11,3,false))</f>
        <v>Snacks and Drinks</v>
      </c>
      <c r="N1298" s="18">
        <f t="shared" si="1"/>
        <v>450</v>
      </c>
      <c r="O1298" s="17"/>
      <c r="P1298" s="17"/>
      <c r="Q1298" s="17"/>
      <c r="R1298" s="17"/>
      <c r="S1298" s="17"/>
      <c r="T1298" s="17"/>
      <c r="U1298" s="17"/>
      <c r="V1298" s="17"/>
      <c r="W1298" s="17"/>
      <c r="X1298" s="17"/>
      <c r="Y1298" s="17"/>
      <c r="Z1298" s="17"/>
    </row>
    <row r="1299">
      <c r="A1299" s="18" t="str">
        <f>IFERROR(__xludf.DUMMYFUNCTION("""COMPUTED_VALUE"""),"ord_61277")</f>
        <v>ord_61277</v>
      </c>
      <c r="B1299" s="18" t="str">
        <f>IFERROR(__xludf.DUMMYFUNCTION("""COMPUTED_VALUE"""),"Aditi Iyer")</f>
        <v>Aditi Iyer</v>
      </c>
      <c r="C1299" s="18" t="str">
        <f>IFERROR(__xludf.DUMMYFUNCTION("""COMPUTED_VALUE"""),"Dadar")</f>
        <v>Dadar</v>
      </c>
      <c r="D1299" s="18" t="str">
        <f>IFERROR(__xludf.DUMMYFUNCTION("""COMPUTED_VALUE"""),"Chocolate Mousse")</f>
        <v>Chocolate Mousse</v>
      </c>
      <c r="E1299" s="18">
        <f>IFERROR(__xludf.DUMMYFUNCTION("""COMPUTED_VALUE"""),1.0)</f>
        <v>1</v>
      </c>
      <c r="F1299" s="18" t="str">
        <f>IFERROR(__xludf.DUMMYFUNCTION("""COMPUTED_VALUE"""),"Ramesh S")</f>
        <v>Ramesh S</v>
      </c>
      <c r="G1299" s="19">
        <f>IFERROR(__xludf.DUMMYFUNCTION("""COMPUTED_VALUE"""),45231.0)</f>
        <v>45231</v>
      </c>
      <c r="H1299" s="18" t="str">
        <f>IFERROR(__xludf.DUMMYFUNCTION("""COMPUTED_VALUE"""),"UPI")</f>
        <v>UPI</v>
      </c>
      <c r="I1299" s="18" t="str">
        <f>IFERROR(__xludf.DUMMYFUNCTION("""COMPUTED_VALUE"""),"Delivered")</f>
        <v>Delivered</v>
      </c>
      <c r="J1299" s="18" t="str">
        <f>IFERROR(__xludf.DUMMYFUNCTION("""COMPUTED_VALUE"""),"Packaging")</f>
        <v>Packaging</v>
      </c>
      <c r="K1299" s="18" t="str">
        <f>IFERROR(__xludf.DUMMYFUNCTION("""COMPUTED_VALUE"""),"Secure and intact")</f>
        <v>Secure and intact</v>
      </c>
      <c r="L1299" s="18">
        <f>iferror(VLOOKUP($D1299,Details!$A$2:$C$11,2,false),vlookup($D1299,Details!$E$2:$G$11,2,false))</f>
        <v>145</v>
      </c>
      <c r="M1299" s="18" t="str">
        <f>iferror(VLOOKUP($D1299,Details!$A$2:$C$11,3,false),vlookup($D1299,Details!$E$2:$G$11,3,false))</f>
        <v>Snacks and Drinks</v>
      </c>
      <c r="N1299" s="18">
        <f t="shared" si="1"/>
        <v>145</v>
      </c>
      <c r="O1299" s="17"/>
      <c r="P1299" s="17"/>
      <c r="Q1299" s="17"/>
      <c r="R1299" s="17"/>
      <c r="S1299" s="17"/>
      <c r="T1299" s="17"/>
      <c r="U1299" s="17"/>
      <c r="V1299" s="17"/>
      <c r="W1299" s="17"/>
      <c r="X1299" s="17"/>
      <c r="Y1299" s="17"/>
      <c r="Z1299" s="17"/>
    </row>
    <row r="1300">
      <c r="A1300" s="18" t="str">
        <f>IFERROR(__xludf.DUMMYFUNCTION("""COMPUTED_VALUE"""),"ord_61278")</f>
        <v>ord_61278</v>
      </c>
      <c r="B1300" s="18" t="str">
        <f>IFERROR(__xludf.DUMMYFUNCTION("""COMPUTED_VALUE"""),"Dev Chauhan")</f>
        <v>Dev Chauhan</v>
      </c>
      <c r="C1300" s="18" t="str">
        <f>IFERROR(__xludf.DUMMYFUNCTION("""COMPUTED_VALUE"""),"Bandra")</f>
        <v>Bandra</v>
      </c>
      <c r="D1300" s="18" t="str">
        <f>IFERROR(__xludf.DUMMYFUNCTION("""COMPUTED_VALUE"""),"Cucumber")</f>
        <v>Cucumber</v>
      </c>
      <c r="E1300" s="18">
        <f>IFERROR(__xludf.DUMMYFUNCTION("""COMPUTED_VALUE"""),1.0)</f>
        <v>1</v>
      </c>
      <c r="F1300" s="18" t="str">
        <f>IFERROR(__xludf.DUMMYFUNCTION("""COMPUTED_VALUE"""),"Manju Ajay")</f>
        <v>Manju Ajay</v>
      </c>
      <c r="G1300" s="19">
        <f>IFERROR(__xludf.DUMMYFUNCTION("""COMPUTED_VALUE"""),45106.0)</f>
        <v>45106</v>
      </c>
      <c r="H1300" s="18" t="str">
        <f>IFERROR(__xludf.DUMMYFUNCTION("""COMPUTED_VALUE"""),"UPI")</f>
        <v>UPI</v>
      </c>
      <c r="I1300" s="18" t="str">
        <f>IFERROR(__xludf.DUMMYFUNCTION("""COMPUTED_VALUE"""),"Delivered")</f>
        <v>Delivered</v>
      </c>
      <c r="J1300" s="18" t="str">
        <f>IFERROR(__xludf.DUMMYFUNCTION("""COMPUTED_VALUE"""),"Satisfied with the Delivery")</f>
        <v>Satisfied with the Delivery</v>
      </c>
      <c r="K1300" s="18" t="str">
        <f>IFERROR(__xludf.DUMMYFUNCTION("""COMPUTED_VALUE"""),"Timely and quality")</f>
        <v>Timely and quality</v>
      </c>
      <c r="L1300" s="18">
        <f>iferror(VLOOKUP($D1300,Details!$A$2:$C$11,2,false),vlookup($D1300,Details!$E$2:$G$11,2,false))</f>
        <v>30</v>
      </c>
      <c r="M1300" s="18" t="str">
        <f>iferror(VLOOKUP($D1300,Details!$A$2:$C$11,3,false),vlookup($D1300,Details!$E$2:$G$11,3,false))</f>
        <v>Fruits and Vegetables</v>
      </c>
      <c r="N1300" s="18">
        <f t="shared" si="1"/>
        <v>30</v>
      </c>
      <c r="O1300" s="17"/>
      <c r="P1300" s="17"/>
      <c r="Q1300" s="17"/>
      <c r="R1300" s="17"/>
      <c r="S1300" s="17"/>
      <c r="T1300" s="17"/>
      <c r="U1300" s="17"/>
      <c r="V1300" s="17"/>
      <c r="W1300" s="17"/>
      <c r="X1300" s="17"/>
      <c r="Y1300" s="17"/>
      <c r="Z1300" s="17"/>
    </row>
    <row r="1301">
      <c r="A1301" s="18" t="str">
        <f>IFERROR(__xludf.DUMMYFUNCTION("""COMPUTED_VALUE"""),"ord_61279")</f>
        <v>ord_61279</v>
      </c>
      <c r="B1301" s="18" t="str">
        <f>IFERROR(__xludf.DUMMYFUNCTION("""COMPUTED_VALUE"""),"Ishaan Chaturvedi")</f>
        <v>Ishaan Chaturvedi</v>
      </c>
      <c r="C1301" s="18" t="str">
        <f>IFERROR(__xludf.DUMMYFUNCTION("""COMPUTED_VALUE"""),"Bandra")</f>
        <v>Bandra</v>
      </c>
      <c r="D1301" s="18" t="str">
        <f>IFERROR(__xludf.DUMMYFUNCTION("""COMPUTED_VALUE"""),"Chilli Cheese Toast")</f>
        <v>Chilli Cheese Toast</v>
      </c>
      <c r="E1301" s="18">
        <f>IFERROR(__xludf.DUMMYFUNCTION("""COMPUTED_VALUE"""),5.0)</f>
        <v>5</v>
      </c>
      <c r="F1301" s="18" t="str">
        <f>IFERROR(__xludf.DUMMYFUNCTION("""COMPUTED_VALUE"""),"Vivek Kumar")</f>
        <v>Vivek Kumar</v>
      </c>
      <c r="G1301" s="19">
        <f>IFERROR(__xludf.DUMMYFUNCTION("""COMPUTED_VALUE"""),45156.0)</f>
        <v>45156</v>
      </c>
      <c r="H1301" s="18" t="str">
        <f>IFERROR(__xludf.DUMMYFUNCTION("""COMPUTED_VALUE"""),"Online Payment")</f>
        <v>Online Payment</v>
      </c>
      <c r="I1301" s="18" t="str">
        <f>IFERROR(__xludf.DUMMYFUNCTION("""COMPUTED_VALUE"""),"Delivered")</f>
        <v>Delivered</v>
      </c>
      <c r="J1301" s="18" t="str">
        <f>IFERROR(__xludf.DUMMYFUNCTION("""COMPUTED_VALUE"""),"Customer Service")</f>
        <v>Customer Service</v>
      </c>
      <c r="K1301" s="18" t="str">
        <f>IFERROR(__xludf.DUMMYFUNCTION("""COMPUTED_VALUE"""),"Seamless and easy")</f>
        <v>Seamless and easy</v>
      </c>
      <c r="L1301" s="18">
        <f>iferror(VLOOKUP($D1301,Details!$A$2:$C$11,2,false),vlookup($D1301,Details!$E$2:$G$11,2,false))</f>
        <v>80</v>
      </c>
      <c r="M1301" s="18" t="str">
        <f>iferror(VLOOKUP($D1301,Details!$A$2:$C$11,3,false),vlookup($D1301,Details!$E$2:$G$11,3,false))</f>
        <v>Snacks and Drinks</v>
      </c>
      <c r="N1301" s="18">
        <f t="shared" si="1"/>
        <v>400</v>
      </c>
      <c r="O1301" s="17"/>
      <c r="P1301" s="17"/>
      <c r="Q1301" s="17"/>
      <c r="R1301" s="17"/>
      <c r="S1301" s="17"/>
      <c r="T1301" s="17"/>
      <c r="U1301" s="17"/>
      <c r="V1301" s="17"/>
      <c r="W1301" s="17"/>
      <c r="X1301" s="17"/>
      <c r="Y1301" s="17"/>
      <c r="Z1301" s="17"/>
    </row>
    <row r="1302">
      <c r="A1302" s="18" t="str">
        <f>IFERROR(__xludf.DUMMYFUNCTION("""COMPUTED_VALUE"""),"ord_61280")</f>
        <v>ord_61280</v>
      </c>
      <c r="B1302" s="18" t="str">
        <f>IFERROR(__xludf.DUMMYFUNCTION("""COMPUTED_VALUE"""),"Mehul Thakkar")</f>
        <v>Mehul Thakkar</v>
      </c>
      <c r="C1302" s="18" t="str">
        <f>IFERROR(__xludf.DUMMYFUNCTION("""COMPUTED_VALUE"""),"Malad")</f>
        <v>Malad</v>
      </c>
      <c r="D1302" s="18" t="str">
        <f>IFERROR(__xludf.DUMMYFUNCTION("""COMPUTED_VALUE"""),"Cold Coffee")</f>
        <v>Cold Coffee</v>
      </c>
      <c r="E1302" s="18">
        <f>IFERROR(__xludf.DUMMYFUNCTION("""COMPUTED_VALUE"""),3.0)</f>
        <v>3</v>
      </c>
      <c r="F1302" s="18" t="str">
        <f>IFERROR(__xludf.DUMMYFUNCTION("""COMPUTED_VALUE"""),"Not Assigned")</f>
        <v>Not Assigned</v>
      </c>
      <c r="G1302" s="19">
        <f>IFERROR(__xludf.DUMMYFUNCTION("""COMPUTED_VALUE"""),44975.0)</f>
        <v>44975</v>
      </c>
      <c r="H1302" s="18" t="str">
        <f>IFERROR(__xludf.DUMMYFUNCTION("""COMPUTED_VALUE"""),"Credit Card")</f>
        <v>Credit Card</v>
      </c>
      <c r="I1302" s="18" t="str">
        <f>IFERROR(__xludf.DUMMYFUNCTION("""COMPUTED_VALUE"""),"Cancelled")</f>
        <v>Cancelled</v>
      </c>
      <c r="J1302" s="18" t="str">
        <f>IFERROR(__xludf.DUMMYFUNCTION("""COMPUTED_VALUE"""),"App Glitches")</f>
        <v>App Glitches</v>
      </c>
      <c r="K1302" s="18" t="str">
        <f>IFERROR(__xludf.DUMMYFUNCTION("""COMPUTED_VALUE"""),"Payment Button Malfunction")</f>
        <v>Payment Button Malfunction</v>
      </c>
      <c r="L1302" s="18">
        <f>iferror(VLOOKUP($D1302,Details!$A$2:$C$11,2,false),vlookup($D1302,Details!$E$2:$G$11,2,false))</f>
        <v>270</v>
      </c>
      <c r="M1302" s="18" t="str">
        <f>iferror(VLOOKUP($D1302,Details!$A$2:$C$11,3,false),vlookup($D1302,Details!$E$2:$G$11,3,false))</f>
        <v>Snacks and Drinks</v>
      </c>
      <c r="N1302" s="18">
        <f t="shared" si="1"/>
        <v>810</v>
      </c>
      <c r="O1302" s="17"/>
      <c r="P1302" s="17"/>
      <c r="Q1302" s="17"/>
      <c r="R1302" s="17"/>
      <c r="S1302" s="17"/>
      <c r="T1302" s="17"/>
      <c r="U1302" s="17"/>
      <c r="V1302" s="17"/>
      <c r="W1302" s="17"/>
      <c r="X1302" s="17"/>
      <c r="Y1302" s="17"/>
      <c r="Z1302" s="17"/>
    </row>
    <row r="1303">
      <c r="A1303" s="18" t="str">
        <f>IFERROR(__xludf.DUMMYFUNCTION("""COMPUTED_VALUE"""),"ord_61281")</f>
        <v>ord_61281</v>
      </c>
      <c r="B1303" s="18" t="str">
        <f>IFERROR(__xludf.DUMMYFUNCTION("""COMPUTED_VALUE"""),"Ishita Banerjee")</f>
        <v>Ishita Banerjee</v>
      </c>
      <c r="C1303" s="18" t="str">
        <f>IFERROR(__xludf.DUMMYFUNCTION("""COMPUTED_VALUE"""),"Juhu")</f>
        <v>Juhu</v>
      </c>
      <c r="D1303" s="18" t="str">
        <f>IFERROR(__xludf.DUMMYFUNCTION("""COMPUTED_VALUE"""),"Guava")</f>
        <v>Guava</v>
      </c>
      <c r="E1303" s="18">
        <f>IFERROR(__xludf.DUMMYFUNCTION("""COMPUTED_VALUE"""),1.0)</f>
        <v>1</v>
      </c>
      <c r="F1303" s="18" t="str">
        <f>IFERROR(__xludf.DUMMYFUNCTION("""COMPUTED_VALUE"""),"Not Assigned")</f>
        <v>Not Assigned</v>
      </c>
      <c r="G1303" s="19">
        <f>IFERROR(__xludf.DUMMYFUNCTION("""COMPUTED_VALUE"""),45150.0)</f>
        <v>45150</v>
      </c>
      <c r="H1303" s="18" t="str">
        <f>IFERROR(__xludf.DUMMYFUNCTION("""COMPUTED_VALUE"""),"Credit Card")</f>
        <v>Credit Card</v>
      </c>
      <c r="I1303" s="18" t="str">
        <f>IFERROR(__xludf.DUMMYFUNCTION("""COMPUTED_VALUE"""),"Cancelled")</f>
        <v>Cancelled</v>
      </c>
      <c r="J1303" s="18" t="str">
        <f>IFERROR(__xludf.DUMMYFUNCTION("""COMPUTED_VALUE"""),"App Glitches")</f>
        <v>App Glitches</v>
      </c>
      <c r="K1303" s="18" t="str">
        <f>IFERROR(__xludf.DUMMYFUNCTION("""COMPUTED_VALUE"""),"App Freezes")</f>
        <v>App Freezes</v>
      </c>
      <c r="L1303" s="18">
        <f>iferror(VLOOKUP($D1303,Details!$A$2:$C$11,2,false),vlookup($D1303,Details!$E$2:$G$11,2,false))</f>
        <v>70</v>
      </c>
      <c r="M1303" s="18" t="str">
        <f>iferror(VLOOKUP($D1303,Details!$A$2:$C$11,3,false),vlookup($D1303,Details!$E$2:$G$11,3,false))</f>
        <v>Fruits and Vegetables</v>
      </c>
      <c r="N1303" s="18">
        <f t="shared" si="1"/>
        <v>70</v>
      </c>
      <c r="O1303" s="17"/>
      <c r="P1303" s="17"/>
      <c r="Q1303" s="17"/>
      <c r="R1303" s="17"/>
      <c r="S1303" s="17"/>
      <c r="T1303" s="17"/>
      <c r="U1303" s="17"/>
      <c r="V1303" s="17"/>
      <c r="W1303" s="17"/>
      <c r="X1303" s="17"/>
      <c r="Y1303" s="17"/>
      <c r="Z1303" s="17"/>
    </row>
    <row r="1304">
      <c r="A1304" s="18" t="str">
        <f>IFERROR(__xludf.DUMMYFUNCTION("""COMPUTED_VALUE"""),"ord_61282")</f>
        <v>ord_61282</v>
      </c>
      <c r="B1304" s="18" t="str">
        <f>IFERROR(__xludf.DUMMYFUNCTION("""COMPUTED_VALUE"""),"Anaya Rao")</f>
        <v>Anaya Rao</v>
      </c>
      <c r="C1304" s="18" t="str">
        <f>IFERROR(__xludf.DUMMYFUNCTION("""COMPUTED_VALUE"""),"Colaba")</f>
        <v>Colaba</v>
      </c>
      <c r="D1304" s="18" t="str">
        <f>IFERROR(__xludf.DUMMYFUNCTION("""COMPUTED_VALUE"""),"Sweet Corn")</f>
        <v>Sweet Corn</v>
      </c>
      <c r="E1304" s="18">
        <f>IFERROR(__xludf.DUMMYFUNCTION("""COMPUTED_VALUE"""),1.0)</f>
        <v>1</v>
      </c>
      <c r="F1304" s="18" t="str">
        <f>IFERROR(__xludf.DUMMYFUNCTION("""COMPUTED_VALUE"""),"Not Assigned")</f>
        <v>Not Assigned</v>
      </c>
      <c r="G1304" s="19">
        <f>IFERROR(__xludf.DUMMYFUNCTION("""COMPUTED_VALUE"""),45179.0)</f>
        <v>45179</v>
      </c>
      <c r="H1304" s="18" t="str">
        <f>IFERROR(__xludf.DUMMYFUNCTION("""COMPUTED_VALUE"""),"Online Payment")</f>
        <v>Online Payment</v>
      </c>
      <c r="I1304" s="18" t="str">
        <f>IFERROR(__xludf.DUMMYFUNCTION("""COMPUTED_VALUE"""),"Cancelled")</f>
        <v>Cancelled</v>
      </c>
      <c r="J1304" s="18" t="str">
        <f>IFERROR(__xludf.DUMMYFUNCTION("""COMPUTED_VALUE"""),"App Glitches")</f>
        <v>App Glitches</v>
      </c>
      <c r="K1304" s="18" t="str">
        <f>IFERROR(__xludf.DUMMYFUNCTION("""COMPUTED_VALUE"""),"Payment Button Malfunction")</f>
        <v>Payment Button Malfunction</v>
      </c>
      <c r="L1304" s="18">
        <f>iferror(VLOOKUP($D1304,Details!$A$2:$C$11,2,false),vlookup($D1304,Details!$E$2:$G$11,2,false))</f>
        <v>60</v>
      </c>
      <c r="M1304" s="18" t="str">
        <f>iferror(VLOOKUP($D1304,Details!$A$2:$C$11,3,false),vlookup($D1304,Details!$E$2:$G$11,3,false))</f>
        <v>Fruits and Vegetables</v>
      </c>
      <c r="N1304" s="18">
        <f t="shared" si="1"/>
        <v>60</v>
      </c>
      <c r="O1304" s="17"/>
      <c r="P1304" s="17"/>
      <c r="Q1304" s="17"/>
      <c r="R1304" s="17"/>
      <c r="S1304" s="17"/>
      <c r="T1304" s="17"/>
      <c r="U1304" s="17"/>
      <c r="V1304" s="17"/>
      <c r="W1304" s="17"/>
      <c r="X1304" s="17"/>
      <c r="Y1304" s="17"/>
      <c r="Z1304" s="17"/>
    </row>
    <row r="1305">
      <c r="A1305" s="18" t="str">
        <f>IFERROR(__xludf.DUMMYFUNCTION("""COMPUTED_VALUE"""),"ord_61283")</f>
        <v>ord_61283</v>
      </c>
      <c r="B1305" s="18" t="str">
        <f>IFERROR(__xludf.DUMMYFUNCTION("""COMPUTED_VALUE"""),"Arvind Kulkarni")</f>
        <v>Arvind Kulkarni</v>
      </c>
      <c r="C1305" s="18" t="str">
        <f>IFERROR(__xludf.DUMMYFUNCTION("""COMPUTED_VALUE"""),"Juhu")</f>
        <v>Juhu</v>
      </c>
      <c r="D1305" s="18" t="str">
        <f>IFERROR(__xludf.DUMMYFUNCTION("""COMPUTED_VALUE"""),"Orange")</f>
        <v>Orange</v>
      </c>
      <c r="E1305" s="18">
        <f>IFERROR(__xludf.DUMMYFUNCTION("""COMPUTED_VALUE"""),2.0)</f>
        <v>2</v>
      </c>
      <c r="F1305" s="18" t="str">
        <f>IFERROR(__xludf.DUMMYFUNCTION("""COMPUTED_VALUE"""),"Sandeep Kumar")</f>
        <v>Sandeep Kumar</v>
      </c>
      <c r="G1305" s="19">
        <f>IFERROR(__xludf.DUMMYFUNCTION("""COMPUTED_VALUE"""),44981.0)</f>
        <v>44981</v>
      </c>
      <c r="H1305" s="18" t="str">
        <f>IFERROR(__xludf.DUMMYFUNCTION("""COMPUTED_VALUE"""),"UPI")</f>
        <v>UPI</v>
      </c>
      <c r="I1305" s="18" t="str">
        <f>IFERROR(__xludf.DUMMYFUNCTION("""COMPUTED_VALUE"""),"Cancelled")</f>
        <v>Cancelled</v>
      </c>
      <c r="J1305" s="18" t="str">
        <f>IFERROR(__xludf.DUMMYFUNCTION("""COMPUTED_VALUE"""),"Delayed Delivery")</f>
        <v>Delayed Delivery</v>
      </c>
      <c r="K1305" s="18" t="str">
        <f>IFERROR(__xludf.DUMMYFUNCTION("""COMPUTED_VALUE"""),"Traffic Accidents or Road Closures")</f>
        <v>Traffic Accidents or Road Closures</v>
      </c>
      <c r="L1305" s="18">
        <f>iferror(VLOOKUP($D1305,Details!$A$2:$C$11,2,false),vlookup($D1305,Details!$E$2:$G$11,2,false))</f>
        <v>180</v>
      </c>
      <c r="M1305" s="18" t="str">
        <f>iferror(VLOOKUP($D1305,Details!$A$2:$C$11,3,false),vlookup($D1305,Details!$E$2:$G$11,3,false))</f>
        <v>Fruits and Vegetables</v>
      </c>
      <c r="N1305" s="18">
        <f t="shared" si="1"/>
        <v>360</v>
      </c>
      <c r="O1305" s="17"/>
      <c r="P1305" s="17"/>
      <c r="Q1305" s="17"/>
      <c r="R1305" s="17"/>
      <c r="S1305" s="17"/>
      <c r="T1305" s="17"/>
      <c r="U1305" s="17"/>
      <c r="V1305" s="17"/>
      <c r="W1305" s="17"/>
      <c r="X1305" s="17"/>
      <c r="Y1305" s="17"/>
      <c r="Z1305" s="17"/>
    </row>
    <row r="1306">
      <c r="A1306" s="18" t="str">
        <f>IFERROR(__xludf.DUMMYFUNCTION("""COMPUTED_VALUE"""),"ord_61284")</f>
        <v>ord_61284</v>
      </c>
      <c r="B1306" s="18" t="str">
        <f>IFERROR(__xludf.DUMMYFUNCTION("""COMPUTED_VALUE"""),"Parth Goel")</f>
        <v>Parth Goel</v>
      </c>
      <c r="C1306" s="18" t="str">
        <f>IFERROR(__xludf.DUMMYFUNCTION("""COMPUTED_VALUE"""),"Juhu")</f>
        <v>Juhu</v>
      </c>
      <c r="D1306" s="18" t="str">
        <f>IFERROR(__xludf.DUMMYFUNCTION("""COMPUTED_VALUE"""),"Sweet Corn")</f>
        <v>Sweet Corn</v>
      </c>
      <c r="E1306" s="18">
        <f>IFERROR(__xludf.DUMMYFUNCTION("""COMPUTED_VALUE"""),2.0)</f>
        <v>2</v>
      </c>
      <c r="F1306" s="18" t="str">
        <f>IFERROR(__xludf.DUMMYFUNCTION("""COMPUTED_VALUE"""),"Not Assigned")</f>
        <v>Not Assigned</v>
      </c>
      <c r="G1306" s="19">
        <f>IFERROR(__xludf.DUMMYFUNCTION("""COMPUTED_VALUE"""),44949.0)</f>
        <v>44949</v>
      </c>
      <c r="H1306" s="18" t="str">
        <f>IFERROR(__xludf.DUMMYFUNCTION("""COMPUTED_VALUE"""),"Credit Card")</f>
        <v>Credit Card</v>
      </c>
      <c r="I1306" s="18" t="str">
        <f>IFERROR(__xludf.DUMMYFUNCTION("""COMPUTED_VALUE"""),"Cancelled")</f>
        <v>Cancelled</v>
      </c>
      <c r="J1306" s="18" t="str">
        <f>IFERROR(__xludf.DUMMYFUNCTION("""COMPUTED_VALUE"""),"High Delivery Fees")</f>
        <v>High Delivery Fees</v>
      </c>
      <c r="K1306" s="18"/>
      <c r="L1306" s="18">
        <f>iferror(VLOOKUP($D1306,Details!$A$2:$C$11,2,false),vlookup($D1306,Details!$E$2:$G$11,2,false))</f>
        <v>60</v>
      </c>
      <c r="M1306" s="18" t="str">
        <f>iferror(VLOOKUP($D1306,Details!$A$2:$C$11,3,false),vlookup($D1306,Details!$E$2:$G$11,3,false))</f>
        <v>Fruits and Vegetables</v>
      </c>
      <c r="N1306" s="18">
        <f t="shared" si="1"/>
        <v>120</v>
      </c>
      <c r="O1306" s="17"/>
      <c r="P1306" s="17"/>
      <c r="Q1306" s="17"/>
      <c r="R1306" s="17"/>
      <c r="S1306" s="17"/>
      <c r="T1306" s="17"/>
      <c r="U1306" s="17"/>
      <c r="V1306" s="17"/>
      <c r="W1306" s="17"/>
      <c r="X1306" s="17"/>
      <c r="Y1306" s="17"/>
      <c r="Z1306" s="17"/>
    </row>
    <row r="1307">
      <c r="A1307" s="18" t="str">
        <f>IFERROR(__xludf.DUMMYFUNCTION("""COMPUTED_VALUE"""),"ord_61285")</f>
        <v>ord_61285</v>
      </c>
      <c r="B1307" s="18" t="str">
        <f>IFERROR(__xludf.DUMMYFUNCTION("""COMPUTED_VALUE"""),"Parth Goel")</f>
        <v>Parth Goel</v>
      </c>
      <c r="C1307" s="18" t="str">
        <f>IFERROR(__xludf.DUMMYFUNCTION("""COMPUTED_VALUE"""),"Juhu")</f>
        <v>Juhu</v>
      </c>
      <c r="D1307" s="18" t="str">
        <f>IFERROR(__xludf.DUMMYFUNCTION("""COMPUTED_VALUE"""),"Chicken Puff")</f>
        <v>Chicken Puff</v>
      </c>
      <c r="E1307" s="18">
        <f>IFERROR(__xludf.DUMMYFUNCTION("""COMPUTED_VALUE"""),4.0)</f>
        <v>4</v>
      </c>
      <c r="F1307" s="18" t="str">
        <f>IFERROR(__xludf.DUMMYFUNCTION("""COMPUTED_VALUE"""),"Ramesh S")</f>
        <v>Ramesh S</v>
      </c>
      <c r="G1307" s="19">
        <f>IFERROR(__xludf.DUMMYFUNCTION("""COMPUTED_VALUE"""),44938.0)</f>
        <v>44938</v>
      </c>
      <c r="H1307" s="18" t="str">
        <f>IFERROR(__xludf.DUMMYFUNCTION("""COMPUTED_VALUE"""),"UPI")</f>
        <v>UPI</v>
      </c>
      <c r="I1307" s="18" t="str">
        <f>IFERROR(__xludf.DUMMYFUNCTION("""COMPUTED_VALUE"""),"Delivered")</f>
        <v>Delivered</v>
      </c>
      <c r="J1307" s="18" t="str">
        <f>IFERROR(__xludf.DUMMYFUNCTION("""COMPUTED_VALUE"""),"Delivery Experience")</f>
        <v>Delivery Experience</v>
      </c>
      <c r="K1307" s="18" t="str">
        <f>IFERROR(__xludf.DUMMYFUNCTION("""COMPUTED_VALUE"""),"Quick and professional")</f>
        <v>Quick and professional</v>
      </c>
      <c r="L1307" s="18">
        <f>iferror(VLOOKUP($D1307,Details!$A$2:$C$11,2,false),vlookup($D1307,Details!$E$2:$G$11,2,false))</f>
        <v>90</v>
      </c>
      <c r="M1307" s="18" t="str">
        <f>iferror(VLOOKUP($D1307,Details!$A$2:$C$11,3,false),vlookup($D1307,Details!$E$2:$G$11,3,false))</f>
        <v>Snacks and Drinks</v>
      </c>
      <c r="N1307" s="18">
        <f t="shared" si="1"/>
        <v>360</v>
      </c>
      <c r="O1307" s="17"/>
      <c r="P1307" s="17"/>
      <c r="Q1307" s="17"/>
      <c r="R1307" s="17"/>
      <c r="S1307" s="17"/>
      <c r="T1307" s="17"/>
      <c r="U1307" s="17"/>
      <c r="V1307" s="17"/>
      <c r="W1307" s="17"/>
      <c r="X1307" s="17"/>
      <c r="Y1307" s="17"/>
      <c r="Z1307" s="17"/>
    </row>
    <row r="1308">
      <c r="A1308" s="18" t="str">
        <f>IFERROR(__xludf.DUMMYFUNCTION("""COMPUTED_VALUE"""),"ord_61286")</f>
        <v>ord_61286</v>
      </c>
      <c r="B1308" s="18" t="str">
        <f>IFERROR(__xludf.DUMMYFUNCTION("""COMPUTED_VALUE"""),"Siya Reddy")</f>
        <v>Siya Reddy</v>
      </c>
      <c r="C1308" s="18" t="str">
        <f>IFERROR(__xludf.DUMMYFUNCTION("""COMPUTED_VALUE"""),"Juhu")</f>
        <v>Juhu</v>
      </c>
      <c r="D1308" s="18" t="str">
        <f>IFERROR(__xludf.DUMMYFUNCTION("""COMPUTED_VALUE"""),"Rasmalai")</f>
        <v>Rasmalai</v>
      </c>
      <c r="E1308" s="18">
        <f>IFERROR(__xludf.DUMMYFUNCTION("""COMPUTED_VALUE"""),4.0)</f>
        <v>4</v>
      </c>
      <c r="F1308" s="18" t="str">
        <f>IFERROR(__xludf.DUMMYFUNCTION("""COMPUTED_VALUE"""),"Ramesh S")</f>
        <v>Ramesh S</v>
      </c>
      <c r="G1308" s="19">
        <f>IFERROR(__xludf.DUMMYFUNCTION("""COMPUTED_VALUE"""),45145.0)</f>
        <v>45145</v>
      </c>
      <c r="H1308" s="18" t="str">
        <f>IFERROR(__xludf.DUMMYFUNCTION("""COMPUTED_VALUE"""),"UPI")</f>
        <v>UPI</v>
      </c>
      <c r="I1308" s="18" t="str">
        <f>IFERROR(__xludf.DUMMYFUNCTION("""COMPUTED_VALUE"""),"Delivered")</f>
        <v>Delivered</v>
      </c>
      <c r="J1308" s="18" t="str">
        <f>IFERROR(__xludf.DUMMYFUNCTION("""COMPUTED_VALUE"""),"Convenience")</f>
        <v>Convenience</v>
      </c>
      <c r="K1308" s="18" t="str">
        <f>IFERROR(__xludf.DUMMYFUNCTION("""COMPUTED_VALUE"""),"Easy tracking")</f>
        <v>Easy tracking</v>
      </c>
      <c r="L1308" s="18">
        <f>iferror(VLOOKUP($D1308,Details!$A$2:$C$11,2,false),vlookup($D1308,Details!$E$2:$G$11,2,false))</f>
        <v>110</v>
      </c>
      <c r="M1308" s="18" t="str">
        <f>iferror(VLOOKUP($D1308,Details!$A$2:$C$11,3,false),vlookup($D1308,Details!$E$2:$G$11,3,false))</f>
        <v>Snacks and Drinks</v>
      </c>
      <c r="N1308" s="18">
        <f t="shared" si="1"/>
        <v>440</v>
      </c>
      <c r="O1308" s="17"/>
      <c r="P1308" s="17"/>
      <c r="Q1308" s="17"/>
      <c r="R1308" s="17"/>
      <c r="S1308" s="17"/>
      <c r="T1308" s="17"/>
      <c r="U1308" s="17"/>
      <c r="V1308" s="17"/>
      <c r="W1308" s="17"/>
      <c r="X1308" s="17"/>
      <c r="Y1308" s="17"/>
      <c r="Z1308" s="17"/>
    </row>
    <row r="1309">
      <c r="A1309" s="18" t="str">
        <f>IFERROR(__xludf.DUMMYFUNCTION("""COMPUTED_VALUE"""),"ord_61287")</f>
        <v>ord_61287</v>
      </c>
      <c r="B1309" s="18" t="str">
        <f>IFERROR(__xludf.DUMMYFUNCTION("""COMPUTED_VALUE"""),"Aarav Mehta")</f>
        <v>Aarav Mehta</v>
      </c>
      <c r="C1309" s="18" t="str">
        <f>IFERROR(__xludf.DUMMYFUNCTION("""COMPUTED_VALUE"""),"Andheri")</f>
        <v>Andheri</v>
      </c>
      <c r="D1309" s="18" t="str">
        <f>IFERROR(__xludf.DUMMYFUNCTION("""COMPUTED_VALUE"""),"Apple")</f>
        <v>Apple</v>
      </c>
      <c r="E1309" s="18">
        <f>IFERROR(__xludf.DUMMYFUNCTION("""COMPUTED_VALUE"""),1.0)</f>
        <v>1</v>
      </c>
      <c r="F1309" s="18" t="str">
        <f>IFERROR(__xludf.DUMMYFUNCTION("""COMPUTED_VALUE"""),"Ramesh S")</f>
        <v>Ramesh S</v>
      </c>
      <c r="G1309" s="19">
        <f>IFERROR(__xludf.DUMMYFUNCTION("""COMPUTED_VALUE"""),44982.0)</f>
        <v>44982</v>
      </c>
      <c r="H1309" s="18" t="str">
        <f>IFERROR(__xludf.DUMMYFUNCTION("""COMPUTED_VALUE"""),"UPI")</f>
        <v>UPI</v>
      </c>
      <c r="I1309" s="18" t="str">
        <f>IFERROR(__xludf.DUMMYFUNCTION("""COMPUTED_VALUE"""),"Delivered")</f>
        <v>Delivered</v>
      </c>
      <c r="J1309" s="18" t="str">
        <f>IFERROR(__xludf.DUMMYFUNCTION("""COMPUTED_VALUE"""),"Overall Satisfaction")</f>
        <v>Overall Satisfaction</v>
      </c>
      <c r="K1309" s="18" t="str">
        <f>IFERROR(__xludf.DUMMYFUNCTION("""COMPUTED_VALUE"""),"Great service will order again")</f>
        <v>Great service will order again</v>
      </c>
      <c r="L1309" s="18">
        <f>iferror(VLOOKUP($D1309,Details!$A$2:$C$11,2,false),vlookup($D1309,Details!$E$2:$G$11,2,false))</f>
        <v>230</v>
      </c>
      <c r="M1309" s="18" t="str">
        <f>iferror(VLOOKUP($D1309,Details!$A$2:$C$11,3,false),vlookup($D1309,Details!$E$2:$G$11,3,false))</f>
        <v>Fruits and Vegetables</v>
      </c>
      <c r="N1309" s="18">
        <f t="shared" si="1"/>
        <v>230</v>
      </c>
      <c r="O1309" s="17"/>
      <c r="P1309" s="17"/>
      <c r="Q1309" s="17"/>
      <c r="R1309" s="17"/>
      <c r="S1309" s="17"/>
      <c r="T1309" s="17"/>
      <c r="U1309" s="17"/>
      <c r="V1309" s="17"/>
      <c r="W1309" s="17"/>
      <c r="X1309" s="17"/>
      <c r="Y1309" s="17"/>
      <c r="Z1309" s="17"/>
    </row>
    <row r="1310">
      <c r="A1310" s="18" t="str">
        <f>IFERROR(__xludf.DUMMYFUNCTION("""COMPUTED_VALUE"""),"ord_61288")</f>
        <v>ord_61288</v>
      </c>
      <c r="B1310" s="18" t="str">
        <f>IFERROR(__xludf.DUMMYFUNCTION("""COMPUTED_VALUE"""),"Tanishq Bansal")</f>
        <v>Tanishq Bansal</v>
      </c>
      <c r="C1310" s="18" t="str">
        <f>IFERROR(__xludf.DUMMYFUNCTION("""COMPUTED_VALUE"""),"Powai")</f>
        <v>Powai</v>
      </c>
      <c r="D1310" s="18" t="str">
        <f>IFERROR(__xludf.DUMMYFUNCTION("""COMPUTED_VALUE"""),"Rasmalai")</f>
        <v>Rasmalai</v>
      </c>
      <c r="E1310" s="18">
        <f>IFERROR(__xludf.DUMMYFUNCTION("""COMPUTED_VALUE"""),4.0)</f>
        <v>4</v>
      </c>
      <c r="F1310" s="18" t="str">
        <f>IFERROR(__xludf.DUMMYFUNCTION("""COMPUTED_VALUE"""),"Sita T")</f>
        <v>Sita T</v>
      </c>
      <c r="G1310" s="19">
        <f>IFERROR(__xludf.DUMMYFUNCTION("""COMPUTED_VALUE"""),45145.0)</f>
        <v>45145</v>
      </c>
      <c r="H1310" s="18" t="str">
        <f>IFERROR(__xludf.DUMMYFUNCTION("""COMPUTED_VALUE"""),"Credit Card")</f>
        <v>Credit Card</v>
      </c>
      <c r="I1310" s="18" t="str">
        <f>IFERROR(__xludf.DUMMYFUNCTION("""COMPUTED_VALUE"""),"Delivered")</f>
        <v>Delivered</v>
      </c>
      <c r="J1310" s="18" t="str">
        <f>IFERROR(__xludf.DUMMYFUNCTION("""COMPUTED_VALUE"""),"On-time Delivery")</f>
        <v>On-time Delivery</v>
      </c>
      <c r="K1310" s="18" t="str">
        <f>IFERROR(__xludf.DUMMYFUNCTION("""COMPUTED_VALUE"""),"Delivered on time")</f>
        <v>Delivered on time</v>
      </c>
      <c r="L1310" s="18">
        <f>iferror(VLOOKUP($D1310,Details!$A$2:$C$11,2,false),vlookup($D1310,Details!$E$2:$G$11,2,false))</f>
        <v>110</v>
      </c>
      <c r="M1310" s="18" t="str">
        <f>iferror(VLOOKUP($D1310,Details!$A$2:$C$11,3,false),vlookup($D1310,Details!$E$2:$G$11,3,false))</f>
        <v>Snacks and Drinks</v>
      </c>
      <c r="N1310" s="18">
        <f t="shared" si="1"/>
        <v>440</v>
      </c>
      <c r="O1310" s="17"/>
      <c r="P1310" s="17"/>
      <c r="Q1310" s="17"/>
      <c r="R1310" s="17"/>
      <c r="S1310" s="17"/>
      <c r="T1310" s="17"/>
      <c r="U1310" s="17"/>
      <c r="V1310" s="17"/>
      <c r="W1310" s="17"/>
      <c r="X1310" s="17"/>
      <c r="Y1310" s="17"/>
      <c r="Z1310" s="17"/>
    </row>
    <row r="1311">
      <c r="A1311" s="18" t="str">
        <f>IFERROR(__xludf.DUMMYFUNCTION("""COMPUTED_VALUE"""),"ord_61289")</f>
        <v>ord_61289</v>
      </c>
      <c r="B1311" s="18" t="str">
        <f>IFERROR(__xludf.DUMMYFUNCTION("""COMPUTED_VALUE"""),"Sanjay Nair")</f>
        <v>Sanjay Nair</v>
      </c>
      <c r="C1311" s="18" t="str">
        <f>IFERROR(__xludf.DUMMYFUNCTION("""COMPUTED_VALUE"""),"Dadar")</f>
        <v>Dadar</v>
      </c>
      <c r="D1311" s="18" t="str">
        <f>IFERROR(__xludf.DUMMYFUNCTION("""COMPUTED_VALUE"""),"Banana")</f>
        <v>Banana</v>
      </c>
      <c r="E1311" s="18">
        <f>IFERROR(__xludf.DUMMYFUNCTION("""COMPUTED_VALUE"""),2.0)</f>
        <v>2</v>
      </c>
      <c r="F1311" s="18" t="str">
        <f>IFERROR(__xludf.DUMMYFUNCTION("""COMPUTED_VALUE"""),"Venu R")</f>
        <v>Venu R</v>
      </c>
      <c r="G1311" s="19">
        <f>IFERROR(__xludf.DUMMYFUNCTION("""COMPUTED_VALUE"""),45132.0)</f>
        <v>45132</v>
      </c>
      <c r="H1311" s="18" t="str">
        <f>IFERROR(__xludf.DUMMYFUNCTION("""COMPUTED_VALUE"""),"Credit Card")</f>
        <v>Credit Card</v>
      </c>
      <c r="I1311" s="18" t="str">
        <f>IFERROR(__xludf.DUMMYFUNCTION("""COMPUTED_VALUE"""),"Delivered")</f>
        <v>Delivered</v>
      </c>
      <c r="J1311" s="18" t="str">
        <f>IFERROR(__xludf.DUMMYFUNCTION("""COMPUTED_VALUE"""),"Quality of Items")</f>
        <v>Quality of Items</v>
      </c>
      <c r="K1311" s="18" t="str">
        <f>IFERROR(__xludf.DUMMYFUNCTION("""COMPUTED_VALUE"""),"Perfect condition")</f>
        <v>Perfect condition</v>
      </c>
      <c r="L1311" s="18">
        <f>iferror(VLOOKUP($D1311,Details!$A$2:$C$11,2,false),vlookup($D1311,Details!$E$2:$G$11,2,false))</f>
        <v>80</v>
      </c>
      <c r="M1311" s="18" t="str">
        <f>iferror(VLOOKUP($D1311,Details!$A$2:$C$11,3,false),vlookup($D1311,Details!$E$2:$G$11,3,false))</f>
        <v>Fruits and Vegetables</v>
      </c>
      <c r="N1311" s="18">
        <f t="shared" si="1"/>
        <v>160</v>
      </c>
      <c r="O1311" s="17"/>
      <c r="P1311" s="17"/>
      <c r="Q1311" s="17"/>
      <c r="R1311" s="17"/>
      <c r="S1311" s="17"/>
      <c r="T1311" s="17"/>
      <c r="U1311" s="17"/>
      <c r="V1311" s="17"/>
      <c r="W1311" s="17"/>
      <c r="X1311" s="17"/>
      <c r="Y1311" s="17"/>
      <c r="Z1311" s="17"/>
    </row>
    <row r="1312">
      <c r="A1312" s="18" t="str">
        <f>IFERROR(__xludf.DUMMYFUNCTION("""COMPUTED_VALUE"""),"ord_61290")</f>
        <v>ord_61290</v>
      </c>
      <c r="B1312" s="18" t="str">
        <f>IFERROR(__xludf.DUMMYFUNCTION("""COMPUTED_VALUE"""),"Kritika Shetty")</f>
        <v>Kritika Shetty</v>
      </c>
      <c r="C1312" s="18" t="str">
        <f>IFERROR(__xludf.DUMMYFUNCTION("""COMPUTED_VALUE"""),"Malad")</f>
        <v>Malad</v>
      </c>
      <c r="D1312" s="18" t="str">
        <f>IFERROR(__xludf.DUMMYFUNCTION("""COMPUTED_VALUE"""),"Tomato")</f>
        <v>Tomato</v>
      </c>
      <c r="E1312" s="18">
        <f>IFERROR(__xludf.DUMMYFUNCTION("""COMPUTED_VALUE"""),2.0)</f>
        <v>2</v>
      </c>
      <c r="F1312" s="18" t="str">
        <f>IFERROR(__xludf.DUMMYFUNCTION("""COMPUTED_VALUE"""),"Manju Ajay")</f>
        <v>Manju Ajay</v>
      </c>
      <c r="G1312" s="19">
        <f>IFERROR(__xludf.DUMMYFUNCTION("""COMPUTED_VALUE"""),45117.0)</f>
        <v>45117</v>
      </c>
      <c r="H1312" s="18" t="str">
        <f>IFERROR(__xludf.DUMMYFUNCTION("""COMPUTED_VALUE"""),"Online Payment")</f>
        <v>Online Payment</v>
      </c>
      <c r="I1312" s="18" t="str">
        <f>IFERROR(__xludf.DUMMYFUNCTION("""COMPUTED_VALUE"""),"Delivered")</f>
        <v>Delivered</v>
      </c>
      <c r="J1312" s="18" t="str">
        <f>IFERROR(__xludf.DUMMYFUNCTION("""COMPUTED_VALUE"""),"On-time Delivery")</f>
        <v>On-time Delivery</v>
      </c>
      <c r="K1312" s="18" t="str">
        <f>IFERROR(__xludf.DUMMYFUNCTION("""COMPUTED_VALUE"""),"Delivered on time")</f>
        <v>Delivered on time</v>
      </c>
      <c r="L1312" s="18">
        <f>iferror(VLOOKUP($D1312,Details!$A$2:$C$11,2,false),vlookup($D1312,Details!$E$2:$G$11,2,false))</f>
        <v>25</v>
      </c>
      <c r="M1312" s="18" t="str">
        <f>iferror(VLOOKUP($D1312,Details!$A$2:$C$11,3,false),vlookup($D1312,Details!$E$2:$G$11,3,false))</f>
        <v>Fruits and Vegetables</v>
      </c>
      <c r="N1312" s="18">
        <f t="shared" si="1"/>
        <v>50</v>
      </c>
      <c r="O1312" s="17"/>
      <c r="P1312" s="17"/>
      <c r="Q1312" s="17"/>
      <c r="R1312" s="17"/>
      <c r="S1312" s="17"/>
      <c r="T1312" s="17"/>
      <c r="U1312" s="17"/>
      <c r="V1312" s="17"/>
      <c r="W1312" s="17"/>
      <c r="X1312" s="17"/>
      <c r="Y1312" s="17"/>
      <c r="Z1312" s="17"/>
    </row>
    <row r="1313">
      <c r="A1313" s="18" t="str">
        <f>IFERROR(__xludf.DUMMYFUNCTION("""COMPUTED_VALUE"""),"ord_61291")</f>
        <v>ord_61291</v>
      </c>
      <c r="B1313" s="18" t="str">
        <f>IFERROR(__xludf.DUMMYFUNCTION("""COMPUTED_VALUE"""),"Ishaan Chaturvedi")</f>
        <v>Ishaan Chaturvedi</v>
      </c>
      <c r="C1313" s="18" t="str">
        <f>IFERROR(__xludf.DUMMYFUNCTION("""COMPUTED_VALUE"""),"Bandra")</f>
        <v>Bandra</v>
      </c>
      <c r="D1313" s="18" t="str">
        <f>IFERROR(__xludf.DUMMYFUNCTION("""COMPUTED_VALUE"""),"Potato")</f>
        <v>Potato</v>
      </c>
      <c r="E1313" s="18">
        <f>IFERROR(__xludf.DUMMYFUNCTION("""COMPUTED_VALUE"""),2.0)</f>
        <v>2</v>
      </c>
      <c r="F1313" s="18" t="str">
        <f>IFERROR(__xludf.DUMMYFUNCTION("""COMPUTED_VALUE"""),"Not Assigned")</f>
        <v>Not Assigned</v>
      </c>
      <c r="G1313" s="19">
        <f>IFERROR(__xludf.DUMMYFUNCTION("""COMPUTED_VALUE"""),44933.0)</f>
        <v>44933</v>
      </c>
      <c r="H1313" s="18" t="str">
        <f>IFERROR(__xludf.DUMMYFUNCTION("""COMPUTED_VALUE"""),"Online Payment")</f>
        <v>Online Payment</v>
      </c>
      <c r="I1313" s="18" t="str">
        <f>IFERROR(__xludf.DUMMYFUNCTION("""COMPUTED_VALUE"""),"Cancelled")</f>
        <v>Cancelled</v>
      </c>
      <c r="J1313" s="18" t="str">
        <f>IFERROR(__xludf.DUMMYFUNCTION("""COMPUTED_VALUE"""),"App Glitches")</f>
        <v>App Glitches</v>
      </c>
      <c r="K1313" s="18" t="str">
        <f>IFERROR(__xludf.DUMMYFUNCTION("""COMPUTED_VALUE"""),"Slow Loading Time")</f>
        <v>Slow Loading Time</v>
      </c>
      <c r="L1313" s="18">
        <f>iferror(VLOOKUP($D1313,Details!$A$2:$C$11,2,false),vlookup($D1313,Details!$E$2:$G$11,2,false))</f>
        <v>55</v>
      </c>
      <c r="M1313" s="18" t="str">
        <f>iferror(VLOOKUP($D1313,Details!$A$2:$C$11,3,false),vlookup($D1313,Details!$E$2:$G$11,3,false))</f>
        <v>Fruits and Vegetables</v>
      </c>
      <c r="N1313" s="18">
        <f t="shared" si="1"/>
        <v>110</v>
      </c>
      <c r="O1313" s="17"/>
      <c r="P1313" s="17"/>
      <c r="Q1313" s="17"/>
      <c r="R1313" s="17"/>
      <c r="S1313" s="17"/>
      <c r="T1313" s="17"/>
      <c r="U1313" s="17"/>
      <c r="V1313" s="17"/>
      <c r="W1313" s="17"/>
      <c r="X1313" s="17"/>
      <c r="Y1313" s="17"/>
      <c r="Z1313" s="17"/>
    </row>
    <row r="1314">
      <c r="A1314" s="18" t="str">
        <f>IFERROR(__xludf.DUMMYFUNCTION("""COMPUTED_VALUE"""),"ord_61292")</f>
        <v>ord_61292</v>
      </c>
      <c r="B1314" s="18" t="str">
        <f>IFERROR(__xludf.DUMMYFUNCTION("""COMPUTED_VALUE"""),"Aditya Basu")</f>
        <v>Aditya Basu</v>
      </c>
      <c r="C1314" s="18" t="str">
        <f>IFERROR(__xludf.DUMMYFUNCTION("""COMPUTED_VALUE"""),"Juhu")</f>
        <v>Juhu</v>
      </c>
      <c r="D1314" s="18" t="str">
        <f>IFERROR(__xludf.DUMMYFUNCTION("""COMPUTED_VALUE"""),"Onion")</f>
        <v>Onion</v>
      </c>
      <c r="E1314" s="18">
        <f>IFERROR(__xludf.DUMMYFUNCTION("""COMPUTED_VALUE"""),3.0)</f>
        <v>3</v>
      </c>
      <c r="F1314" s="18" t="str">
        <f>IFERROR(__xludf.DUMMYFUNCTION("""COMPUTED_VALUE"""),"Not Assigned")</f>
        <v>Not Assigned</v>
      </c>
      <c r="G1314" s="19">
        <f>IFERROR(__xludf.DUMMYFUNCTION("""COMPUTED_VALUE"""),45099.0)</f>
        <v>45099</v>
      </c>
      <c r="H1314" s="18" t="str">
        <f>IFERROR(__xludf.DUMMYFUNCTION("""COMPUTED_VALUE"""),"Credit Card")</f>
        <v>Credit Card</v>
      </c>
      <c r="I1314" s="18" t="str">
        <f>IFERROR(__xludf.DUMMYFUNCTION("""COMPUTED_VALUE"""),"Cancelled")</f>
        <v>Cancelled</v>
      </c>
      <c r="J1314" s="18" t="str">
        <f>IFERROR(__xludf.DUMMYFUNCTION("""COMPUTED_VALUE"""),"High Delivery Fees")</f>
        <v>High Delivery Fees</v>
      </c>
      <c r="K1314" s="18"/>
      <c r="L1314" s="18">
        <f>iferror(VLOOKUP($D1314,Details!$A$2:$C$11,2,false),vlookup($D1314,Details!$E$2:$G$11,2,false))</f>
        <v>84</v>
      </c>
      <c r="M1314" s="18" t="str">
        <f>iferror(VLOOKUP($D1314,Details!$A$2:$C$11,3,false),vlookup($D1314,Details!$E$2:$G$11,3,false))</f>
        <v>Fruits and Vegetables</v>
      </c>
      <c r="N1314" s="18">
        <f t="shared" si="1"/>
        <v>252</v>
      </c>
      <c r="O1314" s="17"/>
      <c r="P1314" s="17"/>
      <c r="Q1314" s="17"/>
      <c r="R1314" s="17"/>
      <c r="S1314" s="17"/>
      <c r="T1314" s="17"/>
      <c r="U1314" s="17"/>
      <c r="V1314" s="17"/>
      <c r="W1314" s="17"/>
      <c r="X1314" s="17"/>
      <c r="Y1314" s="17"/>
      <c r="Z1314" s="17"/>
    </row>
    <row r="1315">
      <c r="A1315" s="18" t="str">
        <f>IFERROR(__xludf.DUMMYFUNCTION("""COMPUTED_VALUE"""),"ord_61293")</f>
        <v>ord_61293</v>
      </c>
      <c r="B1315" s="18" t="str">
        <f>IFERROR(__xludf.DUMMYFUNCTION("""COMPUTED_VALUE"""),"Mohit Malhotra")</f>
        <v>Mohit Malhotra</v>
      </c>
      <c r="C1315" s="18" t="str">
        <f>IFERROR(__xludf.DUMMYFUNCTION("""COMPUTED_VALUE"""),"Lower Parel")</f>
        <v>Lower Parel</v>
      </c>
      <c r="D1315" s="18" t="str">
        <f>IFERROR(__xludf.DUMMYFUNCTION("""COMPUTED_VALUE"""),"Onion")</f>
        <v>Onion</v>
      </c>
      <c r="E1315" s="18">
        <f>IFERROR(__xludf.DUMMYFUNCTION("""COMPUTED_VALUE"""),2.0)</f>
        <v>2</v>
      </c>
      <c r="F1315" s="18" t="str">
        <f>IFERROR(__xludf.DUMMYFUNCTION("""COMPUTED_VALUE"""),"Ramesh S")</f>
        <v>Ramesh S</v>
      </c>
      <c r="G1315" s="19">
        <f>IFERROR(__xludf.DUMMYFUNCTION("""COMPUTED_VALUE"""),45041.0)</f>
        <v>45041</v>
      </c>
      <c r="H1315" s="18" t="str">
        <f>IFERROR(__xludf.DUMMYFUNCTION("""COMPUTED_VALUE"""),"Online Payment")</f>
        <v>Online Payment</v>
      </c>
      <c r="I1315" s="18" t="str">
        <f>IFERROR(__xludf.DUMMYFUNCTION("""COMPUTED_VALUE"""),"Delivered")</f>
        <v>Delivered</v>
      </c>
      <c r="J1315" s="18" t="str">
        <f>IFERROR(__xludf.DUMMYFUNCTION("""COMPUTED_VALUE"""),"Quality of Items")</f>
        <v>Quality of Items</v>
      </c>
      <c r="K1315" s="18" t="str">
        <f>IFERROR(__xludf.DUMMYFUNCTION("""COMPUTED_VALUE"""),"Perfect condition")</f>
        <v>Perfect condition</v>
      </c>
      <c r="L1315" s="18">
        <f>iferror(VLOOKUP($D1315,Details!$A$2:$C$11,2,false),vlookup($D1315,Details!$E$2:$G$11,2,false))</f>
        <v>84</v>
      </c>
      <c r="M1315" s="18" t="str">
        <f>iferror(VLOOKUP($D1315,Details!$A$2:$C$11,3,false),vlookup($D1315,Details!$E$2:$G$11,3,false))</f>
        <v>Fruits and Vegetables</v>
      </c>
      <c r="N1315" s="18">
        <f t="shared" si="1"/>
        <v>168</v>
      </c>
      <c r="O1315" s="17"/>
      <c r="P1315" s="17"/>
      <c r="Q1315" s="17"/>
      <c r="R1315" s="17"/>
      <c r="S1315" s="17"/>
      <c r="T1315" s="17"/>
      <c r="U1315" s="17"/>
      <c r="V1315" s="17"/>
      <c r="W1315" s="17"/>
      <c r="X1315" s="17"/>
      <c r="Y1315" s="17"/>
      <c r="Z1315" s="17"/>
    </row>
    <row r="1316">
      <c r="A1316" s="18" t="str">
        <f>IFERROR(__xludf.DUMMYFUNCTION("""COMPUTED_VALUE"""),"ord_61294")</f>
        <v>ord_61294</v>
      </c>
      <c r="B1316" s="18" t="str">
        <f>IFERROR(__xludf.DUMMYFUNCTION("""COMPUTED_VALUE"""),"Diya Arora")</f>
        <v>Diya Arora</v>
      </c>
      <c r="C1316" s="18" t="str">
        <f>IFERROR(__xludf.DUMMYFUNCTION("""COMPUTED_VALUE"""),"Lower Parel")</f>
        <v>Lower Parel</v>
      </c>
      <c r="D1316" s="18" t="str">
        <f>IFERROR(__xludf.DUMMYFUNCTION("""COMPUTED_VALUE"""),"Veg Puff")</f>
        <v>Veg Puff</v>
      </c>
      <c r="E1316" s="18">
        <f>IFERROR(__xludf.DUMMYFUNCTION("""COMPUTED_VALUE"""),5.0)</f>
        <v>5</v>
      </c>
      <c r="F1316" s="18" t="str">
        <f>IFERROR(__xludf.DUMMYFUNCTION("""COMPUTED_VALUE"""),"Ram Gopal")</f>
        <v>Ram Gopal</v>
      </c>
      <c r="G1316" s="19">
        <f>IFERROR(__xludf.DUMMYFUNCTION("""COMPUTED_VALUE"""),45228.0)</f>
        <v>45228</v>
      </c>
      <c r="H1316" s="18" t="str">
        <f>IFERROR(__xludf.DUMMYFUNCTION("""COMPUTED_VALUE"""),"UPI")</f>
        <v>UPI</v>
      </c>
      <c r="I1316" s="18" t="str">
        <f>IFERROR(__xludf.DUMMYFUNCTION("""COMPUTED_VALUE"""),"Delivered")</f>
        <v>Delivered</v>
      </c>
      <c r="J1316" s="18" t="str">
        <f>IFERROR(__xludf.DUMMYFUNCTION("""COMPUTED_VALUE"""),"Packaging")</f>
        <v>Packaging</v>
      </c>
      <c r="K1316" s="18" t="str">
        <f>IFERROR(__xludf.DUMMYFUNCTION("""COMPUTED_VALUE"""),"Secure and intact")</f>
        <v>Secure and intact</v>
      </c>
      <c r="L1316" s="18">
        <f>iferror(VLOOKUP($D1316,Details!$A$2:$C$11,2,false),vlookup($D1316,Details!$E$2:$G$11,2,false))</f>
        <v>80</v>
      </c>
      <c r="M1316" s="18" t="str">
        <f>iferror(VLOOKUP($D1316,Details!$A$2:$C$11,3,false),vlookup($D1316,Details!$E$2:$G$11,3,false))</f>
        <v>Snacks and Drinks</v>
      </c>
      <c r="N1316" s="18">
        <f t="shared" si="1"/>
        <v>400</v>
      </c>
      <c r="O1316" s="17"/>
      <c r="P1316" s="17"/>
      <c r="Q1316" s="17"/>
      <c r="R1316" s="17"/>
      <c r="S1316" s="17"/>
      <c r="T1316" s="17"/>
      <c r="U1316" s="17"/>
      <c r="V1316" s="17"/>
      <c r="W1316" s="17"/>
      <c r="X1316" s="17"/>
      <c r="Y1316" s="17"/>
      <c r="Z1316" s="17"/>
    </row>
    <row r="1317">
      <c r="A1317" s="18" t="str">
        <f>IFERROR(__xludf.DUMMYFUNCTION("""COMPUTED_VALUE"""),"ord_61295")</f>
        <v>ord_61295</v>
      </c>
      <c r="B1317" s="18" t="str">
        <f>IFERROR(__xludf.DUMMYFUNCTION("""COMPUTED_VALUE"""),"Pallavi Ghosh")</f>
        <v>Pallavi Ghosh</v>
      </c>
      <c r="C1317" s="18" t="str">
        <f>IFERROR(__xludf.DUMMYFUNCTION("""COMPUTED_VALUE"""),"Bandra")</f>
        <v>Bandra</v>
      </c>
      <c r="D1317" s="18" t="str">
        <f>IFERROR(__xludf.DUMMYFUNCTION("""COMPUTED_VALUE"""),"Cold Coffee")</f>
        <v>Cold Coffee</v>
      </c>
      <c r="E1317" s="18">
        <f>IFERROR(__xludf.DUMMYFUNCTION("""COMPUTED_VALUE"""),3.0)</f>
        <v>3</v>
      </c>
      <c r="F1317" s="18" t="str">
        <f>IFERROR(__xludf.DUMMYFUNCTION("""COMPUTED_VALUE"""),"Ram Gopal")</f>
        <v>Ram Gopal</v>
      </c>
      <c r="G1317" s="19">
        <f>IFERROR(__xludf.DUMMYFUNCTION("""COMPUTED_VALUE"""),45100.0)</f>
        <v>45100</v>
      </c>
      <c r="H1317" s="18" t="str">
        <f>IFERROR(__xludf.DUMMYFUNCTION("""COMPUTED_VALUE"""),"Credit Card")</f>
        <v>Credit Card</v>
      </c>
      <c r="I1317" s="18" t="str">
        <f>IFERROR(__xludf.DUMMYFUNCTION("""COMPUTED_VALUE"""),"Delivered")</f>
        <v>Delivered</v>
      </c>
      <c r="J1317" s="18" t="str">
        <f>IFERROR(__xludf.DUMMYFUNCTION("""COMPUTED_VALUE"""),"Satisfied with the Delivery")</f>
        <v>Satisfied with the Delivery</v>
      </c>
      <c r="K1317" s="18" t="str">
        <f>IFERROR(__xludf.DUMMYFUNCTION("""COMPUTED_VALUE"""),"Timely and quality")</f>
        <v>Timely and quality</v>
      </c>
      <c r="L1317" s="18">
        <f>iferror(VLOOKUP($D1317,Details!$A$2:$C$11,2,false),vlookup($D1317,Details!$E$2:$G$11,2,false))</f>
        <v>270</v>
      </c>
      <c r="M1317" s="18" t="str">
        <f>iferror(VLOOKUP($D1317,Details!$A$2:$C$11,3,false),vlookup($D1317,Details!$E$2:$G$11,3,false))</f>
        <v>Snacks and Drinks</v>
      </c>
      <c r="N1317" s="18">
        <f t="shared" si="1"/>
        <v>810</v>
      </c>
      <c r="O1317" s="17"/>
      <c r="P1317" s="17"/>
      <c r="Q1317" s="17"/>
      <c r="R1317" s="17"/>
      <c r="S1317" s="17"/>
      <c r="T1317" s="17"/>
      <c r="U1317" s="17"/>
      <c r="V1317" s="17"/>
      <c r="W1317" s="17"/>
      <c r="X1317" s="17"/>
      <c r="Y1317" s="17"/>
      <c r="Z1317" s="17"/>
    </row>
    <row r="1318">
      <c r="A1318" s="18" t="str">
        <f>IFERROR(__xludf.DUMMYFUNCTION("""COMPUTED_VALUE"""),"ord_61296")</f>
        <v>ord_61296</v>
      </c>
      <c r="B1318" s="18" t="str">
        <f>IFERROR(__xludf.DUMMYFUNCTION("""COMPUTED_VALUE"""),"Mehul Thakkar")</f>
        <v>Mehul Thakkar</v>
      </c>
      <c r="C1318" s="18" t="str">
        <f>IFERROR(__xludf.DUMMYFUNCTION("""COMPUTED_VALUE"""),"Malad")</f>
        <v>Malad</v>
      </c>
      <c r="D1318" s="18" t="str">
        <f>IFERROR(__xludf.DUMMYFUNCTION("""COMPUTED_VALUE"""),"Icecream")</f>
        <v>Icecream</v>
      </c>
      <c r="E1318" s="18">
        <f>IFERROR(__xludf.DUMMYFUNCTION("""COMPUTED_VALUE"""),3.0)</f>
        <v>3</v>
      </c>
      <c r="F1318" s="18" t="str">
        <f>IFERROR(__xludf.DUMMYFUNCTION("""COMPUTED_VALUE"""),"Vivek Kumar")</f>
        <v>Vivek Kumar</v>
      </c>
      <c r="G1318" s="19">
        <f>IFERROR(__xludf.DUMMYFUNCTION("""COMPUTED_VALUE"""),45115.0)</f>
        <v>45115</v>
      </c>
      <c r="H1318" s="18" t="str">
        <f>IFERROR(__xludf.DUMMYFUNCTION("""COMPUTED_VALUE"""),"Credit Card")</f>
        <v>Credit Card</v>
      </c>
      <c r="I1318" s="18" t="str">
        <f>IFERROR(__xludf.DUMMYFUNCTION("""COMPUTED_VALUE"""),"Delivered")</f>
        <v>Delivered</v>
      </c>
      <c r="J1318" s="18" t="str">
        <f>IFERROR(__xludf.DUMMYFUNCTION("""COMPUTED_VALUE"""),"Customer Service")</f>
        <v>Customer Service</v>
      </c>
      <c r="K1318" s="18" t="str">
        <f>IFERROR(__xludf.DUMMYFUNCTION("""COMPUTED_VALUE"""),"Seamless and easy")</f>
        <v>Seamless and easy</v>
      </c>
      <c r="L1318" s="18">
        <f>iferror(VLOOKUP($D1318,Details!$A$2:$C$11,2,false),vlookup($D1318,Details!$E$2:$G$11,2,false))</f>
        <v>90</v>
      </c>
      <c r="M1318" s="18" t="str">
        <f>iferror(VLOOKUP($D1318,Details!$A$2:$C$11,3,false),vlookup($D1318,Details!$E$2:$G$11,3,false))</f>
        <v>Snacks and Drinks</v>
      </c>
      <c r="N1318" s="18">
        <f t="shared" si="1"/>
        <v>270</v>
      </c>
      <c r="O1318" s="17"/>
      <c r="P1318" s="17"/>
      <c r="Q1318" s="17"/>
      <c r="R1318" s="17"/>
      <c r="S1318" s="17"/>
      <c r="T1318" s="17"/>
      <c r="U1318" s="17"/>
      <c r="V1318" s="17"/>
      <c r="W1318" s="17"/>
      <c r="X1318" s="17"/>
      <c r="Y1318" s="17"/>
      <c r="Z1318" s="17"/>
    </row>
    <row r="1319">
      <c r="A1319" s="18" t="str">
        <f>IFERROR(__xludf.DUMMYFUNCTION("""COMPUTED_VALUE"""),"ord_61297")</f>
        <v>ord_61297</v>
      </c>
      <c r="B1319" s="18" t="str">
        <f>IFERROR(__xludf.DUMMYFUNCTION("""COMPUTED_VALUE"""),"Kritika Shetty")</f>
        <v>Kritika Shetty</v>
      </c>
      <c r="C1319" s="18" t="str">
        <f>IFERROR(__xludf.DUMMYFUNCTION("""COMPUTED_VALUE"""),"Malad")</f>
        <v>Malad</v>
      </c>
      <c r="D1319" s="18" t="str">
        <f>IFERROR(__xludf.DUMMYFUNCTION("""COMPUTED_VALUE"""),"Sweet Corn")</f>
        <v>Sweet Corn</v>
      </c>
      <c r="E1319" s="18">
        <f>IFERROR(__xludf.DUMMYFUNCTION("""COMPUTED_VALUE"""),2.0)</f>
        <v>2</v>
      </c>
      <c r="F1319" s="18" t="str">
        <f>IFERROR(__xludf.DUMMYFUNCTION("""COMPUTED_VALUE"""),"Shine Thomas")</f>
        <v>Shine Thomas</v>
      </c>
      <c r="G1319" s="19">
        <f>IFERROR(__xludf.DUMMYFUNCTION("""COMPUTED_VALUE"""),45052.0)</f>
        <v>45052</v>
      </c>
      <c r="H1319" s="18" t="str">
        <f>IFERROR(__xludf.DUMMYFUNCTION("""COMPUTED_VALUE"""),"UPI")</f>
        <v>UPI</v>
      </c>
      <c r="I1319" s="18" t="str">
        <f>IFERROR(__xludf.DUMMYFUNCTION("""COMPUTED_VALUE"""),"Cancelled")</f>
        <v>Cancelled</v>
      </c>
      <c r="J1319" s="18" t="str">
        <f>IFERROR(__xludf.DUMMYFUNCTION("""COMPUTED_VALUE"""),"Delayed Delivery")</f>
        <v>Delayed Delivery</v>
      </c>
      <c r="K1319" s="18" t="str">
        <f>IFERROR(__xludf.DUMMYFUNCTION("""COMPUTED_VALUE"""),"High Order Volume")</f>
        <v>High Order Volume</v>
      </c>
      <c r="L1319" s="18">
        <f>iferror(VLOOKUP($D1319,Details!$A$2:$C$11,2,false),vlookup($D1319,Details!$E$2:$G$11,2,false))</f>
        <v>60</v>
      </c>
      <c r="M1319" s="18" t="str">
        <f>iferror(VLOOKUP($D1319,Details!$A$2:$C$11,3,false),vlookup($D1319,Details!$E$2:$G$11,3,false))</f>
        <v>Fruits and Vegetables</v>
      </c>
      <c r="N1319" s="18">
        <f t="shared" si="1"/>
        <v>120</v>
      </c>
      <c r="O1319" s="17"/>
      <c r="P1319" s="17"/>
      <c r="Q1319" s="17"/>
      <c r="R1319" s="17"/>
      <c r="S1319" s="17"/>
      <c r="T1319" s="17"/>
      <c r="U1319" s="17"/>
      <c r="V1319" s="17"/>
      <c r="W1319" s="17"/>
      <c r="X1319" s="17"/>
      <c r="Y1319" s="17"/>
      <c r="Z1319" s="17"/>
    </row>
    <row r="1320">
      <c r="A1320" s="18" t="str">
        <f>IFERROR(__xludf.DUMMYFUNCTION("""COMPUTED_VALUE"""),"ord_61298")</f>
        <v>ord_61298</v>
      </c>
      <c r="B1320" s="18" t="str">
        <f>IFERROR(__xludf.DUMMYFUNCTION("""COMPUTED_VALUE"""),"Siya Reddy")</f>
        <v>Siya Reddy</v>
      </c>
      <c r="C1320" s="18" t="str">
        <f>IFERROR(__xludf.DUMMYFUNCTION("""COMPUTED_VALUE"""),"Juhu")</f>
        <v>Juhu</v>
      </c>
      <c r="D1320" s="18" t="str">
        <f>IFERROR(__xludf.DUMMYFUNCTION("""COMPUTED_VALUE"""),"Cucumber")</f>
        <v>Cucumber</v>
      </c>
      <c r="E1320" s="18">
        <f>IFERROR(__xludf.DUMMYFUNCTION("""COMPUTED_VALUE"""),1.0)</f>
        <v>1</v>
      </c>
      <c r="F1320" s="18" t="str">
        <f>IFERROR(__xludf.DUMMYFUNCTION("""COMPUTED_VALUE"""),"Tanvi Jain")</f>
        <v>Tanvi Jain</v>
      </c>
      <c r="G1320" s="19">
        <f>IFERROR(__xludf.DUMMYFUNCTION("""COMPUTED_VALUE"""),44950.0)</f>
        <v>44950</v>
      </c>
      <c r="H1320" s="18" t="str">
        <f>IFERROR(__xludf.DUMMYFUNCTION("""COMPUTED_VALUE"""),"UPI")</f>
        <v>UPI</v>
      </c>
      <c r="I1320" s="18" t="str">
        <f>IFERROR(__xludf.DUMMYFUNCTION("""COMPUTED_VALUE"""),"Cancelled")</f>
        <v>Cancelled</v>
      </c>
      <c r="J1320" s="18" t="str">
        <f>IFERROR(__xludf.DUMMYFUNCTION("""COMPUTED_VALUE"""),"Delayed Delivery")</f>
        <v>Delayed Delivery</v>
      </c>
      <c r="K1320" s="18" t="str">
        <f>IFERROR(__xludf.DUMMYFUNCTION("""COMPUTED_VALUE"""),"Heavy Traffic")</f>
        <v>Heavy Traffic</v>
      </c>
      <c r="L1320" s="18">
        <f>iferror(VLOOKUP($D1320,Details!$A$2:$C$11,2,false),vlookup($D1320,Details!$E$2:$G$11,2,false))</f>
        <v>30</v>
      </c>
      <c r="M1320" s="18" t="str">
        <f>iferror(VLOOKUP($D1320,Details!$A$2:$C$11,3,false),vlookup($D1320,Details!$E$2:$G$11,3,false))</f>
        <v>Fruits and Vegetables</v>
      </c>
      <c r="N1320" s="18">
        <f t="shared" si="1"/>
        <v>30</v>
      </c>
      <c r="O1320" s="17"/>
      <c r="P1320" s="17"/>
      <c r="Q1320" s="17"/>
      <c r="R1320" s="17"/>
      <c r="S1320" s="17"/>
      <c r="T1320" s="17"/>
      <c r="U1320" s="17"/>
      <c r="V1320" s="17"/>
      <c r="W1320" s="17"/>
      <c r="X1320" s="17"/>
      <c r="Y1320" s="17"/>
      <c r="Z1320" s="17"/>
    </row>
    <row r="1321">
      <c r="A1321" s="18" t="str">
        <f>IFERROR(__xludf.DUMMYFUNCTION("""COMPUTED_VALUE"""),"ord_61299")</f>
        <v>ord_61299</v>
      </c>
      <c r="B1321" s="18" t="str">
        <f>IFERROR(__xludf.DUMMYFUNCTION("""COMPUTED_VALUE"""),"Aarav Mehta")</f>
        <v>Aarav Mehta</v>
      </c>
      <c r="C1321" s="18" t="str">
        <f>IFERROR(__xludf.DUMMYFUNCTION("""COMPUTED_VALUE"""),"Andheri")</f>
        <v>Andheri</v>
      </c>
      <c r="D1321" s="18" t="str">
        <f>IFERROR(__xludf.DUMMYFUNCTION("""COMPUTED_VALUE"""),"Sweet Corn")</f>
        <v>Sweet Corn</v>
      </c>
      <c r="E1321" s="18">
        <f>IFERROR(__xludf.DUMMYFUNCTION("""COMPUTED_VALUE"""),2.0)</f>
        <v>2</v>
      </c>
      <c r="F1321" s="18" t="str">
        <f>IFERROR(__xludf.DUMMYFUNCTION("""COMPUTED_VALUE"""),"Ramesh S")</f>
        <v>Ramesh S</v>
      </c>
      <c r="G1321" s="19">
        <f>IFERROR(__xludf.DUMMYFUNCTION("""COMPUTED_VALUE"""),45261.0)</f>
        <v>45261</v>
      </c>
      <c r="H1321" s="18" t="str">
        <f>IFERROR(__xludf.DUMMYFUNCTION("""COMPUTED_VALUE"""),"Online Payment")</f>
        <v>Online Payment</v>
      </c>
      <c r="I1321" s="18" t="str">
        <f>IFERROR(__xludf.DUMMYFUNCTION("""COMPUTED_VALUE"""),"Cancelled")</f>
        <v>Cancelled</v>
      </c>
      <c r="J1321" s="18" t="str">
        <f>IFERROR(__xludf.DUMMYFUNCTION("""COMPUTED_VALUE"""),"Delayed Delivery")</f>
        <v>Delayed Delivery</v>
      </c>
      <c r="K1321" s="18" t="str">
        <f>IFERROR(__xludf.DUMMYFUNCTION("""COMPUTED_VALUE"""),"Bad Weather Conditions")</f>
        <v>Bad Weather Conditions</v>
      </c>
      <c r="L1321" s="18">
        <f>iferror(VLOOKUP($D1321,Details!$A$2:$C$11,2,false),vlookup($D1321,Details!$E$2:$G$11,2,false))</f>
        <v>60</v>
      </c>
      <c r="M1321" s="18" t="str">
        <f>iferror(VLOOKUP($D1321,Details!$A$2:$C$11,3,false),vlookup($D1321,Details!$E$2:$G$11,3,false))</f>
        <v>Fruits and Vegetables</v>
      </c>
      <c r="N1321" s="18">
        <f t="shared" si="1"/>
        <v>120</v>
      </c>
      <c r="O1321" s="17"/>
      <c r="P1321" s="17"/>
      <c r="Q1321" s="17"/>
      <c r="R1321" s="17"/>
      <c r="S1321" s="17"/>
      <c r="T1321" s="17"/>
      <c r="U1321" s="17"/>
      <c r="V1321" s="17"/>
      <c r="W1321" s="17"/>
      <c r="X1321" s="17"/>
      <c r="Y1321" s="17"/>
      <c r="Z1321" s="17"/>
    </row>
    <row r="1322">
      <c r="A1322" s="18" t="str">
        <f>IFERROR(__xludf.DUMMYFUNCTION("""COMPUTED_VALUE"""),"ord_61300")</f>
        <v>ord_61300</v>
      </c>
      <c r="B1322" s="18" t="str">
        <f>IFERROR(__xludf.DUMMYFUNCTION("""COMPUTED_VALUE"""),"Dev Chauhan")</f>
        <v>Dev Chauhan</v>
      </c>
      <c r="C1322" s="18" t="str">
        <f>IFERROR(__xludf.DUMMYFUNCTION("""COMPUTED_VALUE"""),"Bandra")</f>
        <v>Bandra</v>
      </c>
      <c r="D1322" s="18" t="str">
        <f>IFERROR(__xludf.DUMMYFUNCTION("""COMPUTED_VALUE"""),"Popcorn")</f>
        <v>Popcorn</v>
      </c>
      <c r="E1322" s="18">
        <f>IFERROR(__xludf.DUMMYFUNCTION("""COMPUTED_VALUE"""),4.0)</f>
        <v>4</v>
      </c>
      <c r="F1322" s="18" t="str">
        <f>IFERROR(__xludf.DUMMYFUNCTION("""COMPUTED_VALUE"""),"Nikhil Deshmukh")</f>
        <v>Nikhil Deshmukh</v>
      </c>
      <c r="G1322" s="19">
        <f>IFERROR(__xludf.DUMMYFUNCTION("""COMPUTED_VALUE"""),45088.0)</f>
        <v>45088</v>
      </c>
      <c r="H1322" s="18" t="str">
        <f>IFERROR(__xludf.DUMMYFUNCTION("""COMPUTED_VALUE"""),"Online Payment")</f>
        <v>Online Payment</v>
      </c>
      <c r="I1322" s="18" t="str">
        <f>IFERROR(__xludf.DUMMYFUNCTION("""COMPUTED_VALUE"""),"Cancelled")</f>
        <v>Cancelled</v>
      </c>
      <c r="J1322" s="18" t="str">
        <f>IFERROR(__xludf.DUMMYFUNCTION("""COMPUTED_VALUE"""),"Delayed Delivery")</f>
        <v>Delayed Delivery</v>
      </c>
      <c r="K1322" s="18" t="str">
        <f>IFERROR(__xludf.DUMMYFUNCTION("""COMPUTED_VALUE"""),"Bad Weather Conditions")</f>
        <v>Bad Weather Conditions</v>
      </c>
      <c r="L1322" s="18">
        <f>iferror(VLOOKUP($D1322,Details!$A$2:$C$11,2,false),vlookup($D1322,Details!$E$2:$G$11,2,false))</f>
        <v>150</v>
      </c>
      <c r="M1322" s="18" t="str">
        <f>iferror(VLOOKUP($D1322,Details!$A$2:$C$11,3,false),vlookup($D1322,Details!$E$2:$G$11,3,false))</f>
        <v>Snacks and Drinks</v>
      </c>
      <c r="N1322" s="18">
        <f t="shared" si="1"/>
        <v>600</v>
      </c>
      <c r="O1322" s="17"/>
      <c r="P1322" s="17"/>
      <c r="Q1322" s="17"/>
      <c r="R1322" s="17"/>
      <c r="S1322" s="17"/>
      <c r="T1322" s="17"/>
      <c r="U1322" s="17"/>
      <c r="V1322" s="17"/>
      <c r="W1322" s="17"/>
      <c r="X1322" s="17"/>
      <c r="Y1322" s="17"/>
      <c r="Z1322" s="17"/>
    </row>
    <row r="1323">
      <c r="A1323" s="18" t="str">
        <f>IFERROR(__xludf.DUMMYFUNCTION("""COMPUTED_VALUE"""),"ord_61301")</f>
        <v>ord_61301</v>
      </c>
      <c r="B1323" s="18" t="str">
        <f>IFERROR(__xludf.DUMMYFUNCTION("""COMPUTED_VALUE"""),"Ishita Banerjee")</f>
        <v>Ishita Banerjee</v>
      </c>
      <c r="C1323" s="18" t="str">
        <f>IFERROR(__xludf.DUMMYFUNCTION("""COMPUTED_VALUE"""),"Juhu")</f>
        <v>Juhu</v>
      </c>
      <c r="D1323" s="18" t="str">
        <f>IFERROR(__xludf.DUMMYFUNCTION("""COMPUTED_VALUE"""),"Onion")</f>
        <v>Onion</v>
      </c>
      <c r="E1323" s="18">
        <f>IFERROR(__xludf.DUMMYFUNCTION("""COMPUTED_VALUE"""),2.0)</f>
        <v>2</v>
      </c>
      <c r="F1323" s="18" t="str">
        <f>IFERROR(__xludf.DUMMYFUNCTION("""COMPUTED_VALUE"""),"Vivek Kumar")</f>
        <v>Vivek Kumar</v>
      </c>
      <c r="G1323" s="19">
        <f>IFERROR(__xludf.DUMMYFUNCTION("""COMPUTED_VALUE"""),45191.0)</f>
        <v>45191</v>
      </c>
      <c r="H1323" s="18" t="str">
        <f>IFERROR(__xludf.DUMMYFUNCTION("""COMPUTED_VALUE"""),"Credit Card")</f>
        <v>Credit Card</v>
      </c>
      <c r="I1323" s="18" t="str">
        <f>IFERROR(__xludf.DUMMYFUNCTION("""COMPUTED_VALUE"""),"Cancelled")</f>
        <v>Cancelled</v>
      </c>
      <c r="J1323" s="18" t="str">
        <f>IFERROR(__xludf.DUMMYFUNCTION("""COMPUTED_VALUE"""),"Delayed Delivery")</f>
        <v>Delayed Delivery</v>
      </c>
      <c r="K1323" s="18" t="str">
        <f>IFERROR(__xludf.DUMMYFUNCTION("""COMPUTED_VALUE"""),"Heavy Traffic")</f>
        <v>Heavy Traffic</v>
      </c>
      <c r="L1323" s="18">
        <f>iferror(VLOOKUP($D1323,Details!$A$2:$C$11,2,false),vlookup($D1323,Details!$E$2:$G$11,2,false))</f>
        <v>84</v>
      </c>
      <c r="M1323" s="18" t="str">
        <f>iferror(VLOOKUP($D1323,Details!$A$2:$C$11,3,false),vlookup($D1323,Details!$E$2:$G$11,3,false))</f>
        <v>Fruits and Vegetables</v>
      </c>
      <c r="N1323" s="18">
        <f t="shared" si="1"/>
        <v>168</v>
      </c>
      <c r="O1323" s="17"/>
      <c r="P1323" s="17"/>
      <c r="Q1323" s="17"/>
      <c r="R1323" s="17"/>
      <c r="S1323" s="17"/>
      <c r="T1323" s="17"/>
      <c r="U1323" s="17"/>
      <c r="V1323" s="17"/>
      <c r="W1323" s="17"/>
      <c r="X1323" s="17"/>
      <c r="Y1323" s="17"/>
      <c r="Z1323" s="17"/>
    </row>
    <row r="1324">
      <c r="A1324" s="18" t="str">
        <f>IFERROR(__xludf.DUMMYFUNCTION("""COMPUTED_VALUE"""),"ord_61302")</f>
        <v>ord_61302</v>
      </c>
      <c r="B1324" s="18" t="str">
        <f>IFERROR(__xludf.DUMMYFUNCTION("""COMPUTED_VALUE"""),"Ishita Banerjee")</f>
        <v>Ishita Banerjee</v>
      </c>
      <c r="C1324" s="18" t="str">
        <f>IFERROR(__xludf.DUMMYFUNCTION("""COMPUTED_VALUE"""),"Juhu")</f>
        <v>Juhu</v>
      </c>
      <c r="D1324" s="18" t="str">
        <f>IFERROR(__xludf.DUMMYFUNCTION("""COMPUTED_VALUE"""),"Potato")</f>
        <v>Potato</v>
      </c>
      <c r="E1324" s="18">
        <f>IFERROR(__xludf.DUMMYFUNCTION("""COMPUTED_VALUE"""),1.0)</f>
        <v>1</v>
      </c>
      <c r="F1324" s="18" t="str">
        <f>IFERROR(__xludf.DUMMYFUNCTION("""COMPUTED_VALUE"""),"Ramesh S")</f>
        <v>Ramesh S</v>
      </c>
      <c r="G1324" s="19">
        <f>IFERROR(__xludf.DUMMYFUNCTION("""COMPUTED_VALUE"""),45260.0)</f>
        <v>45260</v>
      </c>
      <c r="H1324" s="18" t="str">
        <f>IFERROR(__xludf.DUMMYFUNCTION("""COMPUTED_VALUE"""),"UPI")</f>
        <v>UPI</v>
      </c>
      <c r="I1324" s="18" t="str">
        <f>IFERROR(__xludf.DUMMYFUNCTION("""COMPUTED_VALUE"""),"Delivered")</f>
        <v>Delivered</v>
      </c>
      <c r="J1324" s="18" t="str">
        <f>IFERROR(__xludf.DUMMYFUNCTION("""COMPUTED_VALUE"""),"Delivery Experience")</f>
        <v>Delivery Experience</v>
      </c>
      <c r="K1324" s="18" t="str">
        <f>IFERROR(__xludf.DUMMYFUNCTION("""COMPUTED_VALUE"""),"Quick and professional")</f>
        <v>Quick and professional</v>
      </c>
      <c r="L1324" s="18">
        <f>iferror(VLOOKUP($D1324,Details!$A$2:$C$11,2,false),vlookup($D1324,Details!$E$2:$G$11,2,false))</f>
        <v>55</v>
      </c>
      <c r="M1324" s="18" t="str">
        <f>iferror(VLOOKUP($D1324,Details!$A$2:$C$11,3,false),vlookup($D1324,Details!$E$2:$G$11,3,false))</f>
        <v>Fruits and Vegetables</v>
      </c>
      <c r="N1324" s="18">
        <f t="shared" si="1"/>
        <v>55</v>
      </c>
      <c r="O1324" s="17"/>
      <c r="P1324" s="17"/>
      <c r="Q1324" s="17"/>
      <c r="R1324" s="17"/>
      <c r="S1324" s="17"/>
      <c r="T1324" s="17"/>
      <c r="U1324" s="17"/>
      <c r="V1324" s="17"/>
      <c r="W1324" s="17"/>
      <c r="X1324" s="17"/>
      <c r="Y1324" s="17"/>
      <c r="Z1324" s="17"/>
    </row>
    <row r="1325">
      <c r="A1325" s="18" t="str">
        <f>IFERROR(__xludf.DUMMYFUNCTION("""COMPUTED_VALUE"""),"ord_61303")</f>
        <v>ord_61303</v>
      </c>
      <c r="B1325" s="18" t="str">
        <f>IFERROR(__xludf.DUMMYFUNCTION("""COMPUTED_VALUE"""),"Arvind Kulkarni")</f>
        <v>Arvind Kulkarni</v>
      </c>
      <c r="C1325" s="18" t="str">
        <f>IFERROR(__xludf.DUMMYFUNCTION("""COMPUTED_VALUE"""),"Juhu")</f>
        <v>Juhu</v>
      </c>
      <c r="D1325" s="18" t="str">
        <f>IFERROR(__xludf.DUMMYFUNCTION("""COMPUTED_VALUE"""),"Orange")</f>
        <v>Orange</v>
      </c>
      <c r="E1325" s="18">
        <f>IFERROR(__xludf.DUMMYFUNCTION("""COMPUTED_VALUE"""),2.0)</f>
        <v>2</v>
      </c>
      <c r="F1325" s="18" t="str">
        <f>IFERROR(__xludf.DUMMYFUNCTION("""COMPUTED_VALUE"""),"Ramesh S")</f>
        <v>Ramesh S</v>
      </c>
      <c r="G1325" s="19">
        <f>IFERROR(__xludf.DUMMYFUNCTION("""COMPUTED_VALUE"""),45106.0)</f>
        <v>45106</v>
      </c>
      <c r="H1325" s="18" t="str">
        <f>IFERROR(__xludf.DUMMYFUNCTION("""COMPUTED_VALUE"""),"Credit Card")</f>
        <v>Credit Card</v>
      </c>
      <c r="I1325" s="18" t="str">
        <f>IFERROR(__xludf.DUMMYFUNCTION("""COMPUTED_VALUE"""),"Delivered")</f>
        <v>Delivered</v>
      </c>
      <c r="J1325" s="18" t="str">
        <f>IFERROR(__xludf.DUMMYFUNCTION("""COMPUTED_VALUE"""),"Convenience")</f>
        <v>Convenience</v>
      </c>
      <c r="K1325" s="18" t="str">
        <f>IFERROR(__xludf.DUMMYFUNCTION("""COMPUTED_VALUE"""),"Easy tracking")</f>
        <v>Easy tracking</v>
      </c>
      <c r="L1325" s="18">
        <f>iferror(VLOOKUP($D1325,Details!$A$2:$C$11,2,false),vlookup($D1325,Details!$E$2:$G$11,2,false))</f>
        <v>180</v>
      </c>
      <c r="M1325" s="18" t="str">
        <f>iferror(VLOOKUP($D1325,Details!$A$2:$C$11,3,false),vlookup($D1325,Details!$E$2:$G$11,3,false))</f>
        <v>Fruits and Vegetables</v>
      </c>
      <c r="N1325" s="18">
        <f t="shared" si="1"/>
        <v>360</v>
      </c>
      <c r="O1325" s="17"/>
      <c r="P1325" s="17"/>
      <c r="Q1325" s="17"/>
      <c r="R1325" s="17"/>
      <c r="S1325" s="17"/>
      <c r="T1325" s="17"/>
      <c r="U1325" s="17"/>
      <c r="V1325" s="17"/>
      <c r="W1325" s="17"/>
      <c r="X1325" s="17"/>
      <c r="Y1325" s="17"/>
      <c r="Z1325" s="17"/>
    </row>
    <row r="1326">
      <c r="A1326" s="18" t="str">
        <f>IFERROR(__xludf.DUMMYFUNCTION("""COMPUTED_VALUE"""),"ord_61304")</f>
        <v>ord_61304</v>
      </c>
      <c r="B1326" s="18" t="str">
        <f>IFERROR(__xludf.DUMMYFUNCTION("""COMPUTED_VALUE"""),"Mehul Thakkar")</f>
        <v>Mehul Thakkar</v>
      </c>
      <c r="C1326" s="18" t="str">
        <f>IFERROR(__xludf.DUMMYFUNCTION("""COMPUTED_VALUE"""),"Malad")</f>
        <v>Malad</v>
      </c>
      <c r="D1326" s="18" t="str">
        <f>IFERROR(__xludf.DUMMYFUNCTION("""COMPUTED_VALUE"""),"Cucumber")</f>
        <v>Cucumber</v>
      </c>
      <c r="E1326" s="18">
        <f>IFERROR(__xludf.DUMMYFUNCTION("""COMPUTED_VALUE"""),2.0)</f>
        <v>2</v>
      </c>
      <c r="F1326" s="18" t="str">
        <f>IFERROR(__xludf.DUMMYFUNCTION("""COMPUTED_VALUE"""),"Not Assigned")</f>
        <v>Not Assigned</v>
      </c>
      <c r="G1326" s="19">
        <f>IFERROR(__xludf.DUMMYFUNCTION("""COMPUTED_VALUE"""),44931.0)</f>
        <v>44931</v>
      </c>
      <c r="H1326" s="18" t="str">
        <f>IFERROR(__xludf.DUMMYFUNCTION("""COMPUTED_VALUE"""),"Online Payment")</f>
        <v>Online Payment</v>
      </c>
      <c r="I1326" s="18" t="str">
        <f>IFERROR(__xludf.DUMMYFUNCTION("""COMPUTED_VALUE"""),"Cancelled")</f>
        <v>Cancelled</v>
      </c>
      <c r="J1326" s="18" t="str">
        <f>IFERROR(__xludf.DUMMYFUNCTION("""COMPUTED_VALUE"""),"High Delivery Fees")</f>
        <v>High Delivery Fees</v>
      </c>
      <c r="K1326" s="18"/>
      <c r="L1326" s="18">
        <f>iferror(VLOOKUP($D1326,Details!$A$2:$C$11,2,false),vlookup($D1326,Details!$E$2:$G$11,2,false))</f>
        <v>30</v>
      </c>
      <c r="M1326" s="18" t="str">
        <f>iferror(VLOOKUP($D1326,Details!$A$2:$C$11,3,false),vlookup($D1326,Details!$E$2:$G$11,3,false))</f>
        <v>Fruits and Vegetables</v>
      </c>
      <c r="N1326" s="18">
        <f t="shared" si="1"/>
        <v>60</v>
      </c>
      <c r="O1326" s="17"/>
      <c r="P1326" s="17"/>
      <c r="Q1326" s="17"/>
      <c r="R1326" s="17"/>
      <c r="S1326" s="17"/>
      <c r="T1326" s="17"/>
      <c r="U1326" s="17"/>
      <c r="V1326" s="17"/>
      <c r="W1326" s="17"/>
      <c r="X1326" s="17"/>
      <c r="Y1326" s="17"/>
      <c r="Z1326" s="17"/>
    </row>
    <row r="1327">
      <c r="A1327" s="18" t="str">
        <f>IFERROR(__xludf.DUMMYFUNCTION("""COMPUTED_VALUE"""),"ord_61305")</f>
        <v>ord_61305</v>
      </c>
      <c r="B1327" s="18" t="str">
        <f>IFERROR(__xludf.DUMMYFUNCTION("""COMPUTED_VALUE"""),"Anaya Rao")</f>
        <v>Anaya Rao</v>
      </c>
      <c r="C1327" s="18" t="str">
        <f>IFERROR(__xludf.DUMMYFUNCTION("""COMPUTED_VALUE"""),"Colaba")</f>
        <v>Colaba</v>
      </c>
      <c r="D1327" s="18" t="str">
        <f>IFERROR(__xludf.DUMMYFUNCTION("""COMPUTED_VALUE"""),"Onion")</f>
        <v>Onion</v>
      </c>
      <c r="E1327" s="18">
        <f>IFERROR(__xludf.DUMMYFUNCTION("""COMPUTED_VALUE"""),2.0)</f>
        <v>2</v>
      </c>
      <c r="F1327" s="18" t="str">
        <f>IFERROR(__xludf.DUMMYFUNCTION("""COMPUTED_VALUE"""),"Shine Thomas")</f>
        <v>Shine Thomas</v>
      </c>
      <c r="G1327" s="19">
        <f>IFERROR(__xludf.DUMMYFUNCTION("""COMPUTED_VALUE"""),45009.0)</f>
        <v>45009</v>
      </c>
      <c r="H1327" s="18" t="str">
        <f>IFERROR(__xludf.DUMMYFUNCTION("""COMPUTED_VALUE"""),"UPI")</f>
        <v>UPI</v>
      </c>
      <c r="I1327" s="18" t="str">
        <f>IFERROR(__xludf.DUMMYFUNCTION("""COMPUTED_VALUE"""),"Delivered")</f>
        <v>Delivered</v>
      </c>
      <c r="J1327" s="18" t="str">
        <f>IFERROR(__xludf.DUMMYFUNCTION("""COMPUTED_VALUE"""),"Overall Satisfaction")</f>
        <v>Overall Satisfaction</v>
      </c>
      <c r="K1327" s="18" t="str">
        <f>IFERROR(__xludf.DUMMYFUNCTION("""COMPUTED_VALUE"""),"Great service will order again")</f>
        <v>Great service will order again</v>
      </c>
      <c r="L1327" s="18">
        <f>iferror(VLOOKUP($D1327,Details!$A$2:$C$11,2,false),vlookup($D1327,Details!$E$2:$G$11,2,false))</f>
        <v>84</v>
      </c>
      <c r="M1327" s="18" t="str">
        <f>iferror(VLOOKUP($D1327,Details!$A$2:$C$11,3,false),vlookup($D1327,Details!$E$2:$G$11,3,false))</f>
        <v>Fruits and Vegetables</v>
      </c>
      <c r="N1327" s="18">
        <f t="shared" si="1"/>
        <v>168</v>
      </c>
      <c r="O1327" s="17"/>
      <c r="P1327" s="17"/>
      <c r="Q1327" s="17"/>
      <c r="R1327" s="17"/>
      <c r="S1327" s="17"/>
      <c r="T1327" s="17"/>
      <c r="U1327" s="17"/>
      <c r="V1327" s="17"/>
      <c r="W1327" s="17"/>
      <c r="X1327" s="17"/>
      <c r="Y1327" s="17"/>
      <c r="Z1327" s="17"/>
    </row>
    <row r="1328">
      <c r="A1328" s="18" t="str">
        <f>IFERROR(__xludf.DUMMYFUNCTION("""COMPUTED_VALUE"""),"ord_61306")</f>
        <v>ord_61306</v>
      </c>
      <c r="B1328" s="18" t="str">
        <f>IFERROR(__xludf.DUMMYFUNCTION("""COMPUTED_VALUE"""),"Aarav Mehta")</f>
        <v>Aarav Mehta</v>
      </c>
      <c r="C1328" s="18" t="str">
        <f>IFERROR(__xludf.DUMMYFUNCTION("""COMPUTED_VALUE"""),"Andheri")</f>
        <v>Andheri</v>
      </c>
      <c r="D1328" s="18" t="str">
        <f>IFERROR(__xludf.DUMMYFUNCTION("""COMPUTED_VALUE"""),"Potato")</f>
        <v>Potato</v>
      </c>
      <c r="E1328" s="18">
        <f>IFERROR(__xludf.DUMMYFUNCTION("""COMPUTED_VALUE"""),1.0)</f>
        <v>1</v>
      </c>
      <c r="F1328" s="18" t="str">
        <f>IFERROR(__xludf.DUMMYFUNCTION("""COMPUTED_VALUE"""),"Aman Kumar")</f>
        <v>Aman Kumar</v>
      </c>
      <c r="G1328" s="19">
        <f>IFERROR(__xludf.DUMMYFUNCTION("""COMPUTED_VALUE"""),45184.0)</f>
        <v>45184</v>
      </c>
      <c r="H1328" s="18" t="str">
        <f>IFERROR(__xludf.DUMMYFUNCTION("""COMPUTED_VALUE"""),"Credit Card")</f>
        <v>Credit Card</v>
      </c>
      <c r="I1328" s="18" t="str">
        <f>IFERROR(__xludf.DUMMYFUNCTION("""COMPUTED_VALUE"""),"Cancelled")</f>
        <v>Cancelled</v>
      </c>
      <c r="J1328" s="18" t="str">
        <f>IFERROR(__xludf.DUMMYFUNCTION("""COMPUTED_VALUE"""),"Delayed Delivery")</f>
        <v>Delayed Delivery</v>
      </c>
      <c r="K1328" s="18" t="str">
        <f>IFERROR(__xludf.DUMMYFUNCTION("""COMPUTED_VALUE"""),"Heavy Traffic")</f>
        <v>Heavy Traffic</v>
      </c>
      <c r="L1328" s="18">
        <f>iferror(VLOOKUP($D1328,Details!$A$2:$C$11,2,false),vlookup($D1328,Details!$E$2:$G$11,2,false))</f>
        <v>55</v>
      </c>
      <c r="M1328" s="18" t="str">
        <f>iferror(VLOOKUP($D1328,Details!$A$2:$C$11,3,false),vlookup($D1328,Details!$E$2:$G$11,3,false))</f>
        <v>Fruits and Vegetables</v>
      </c>
      <c r="N1328" s="18">
        <f t="shared" si="1"/>
        <v>55</v>
      </c>
      <c r="O1328" s="17"/>
      <c r="P1328" s="17"/>
      <c r="Q1328" s="17"/>
      <c r="R1328" s="17"/>
      <c r="S1328" s="17"/>
      <c r="T1328" s="17"/>
      <c r="U1328" s="17"/>
      <c r="V1328" s="17"/>
      <c r="W1328" s="17"/>
      <c r="X1328" s="17"/>
      <c r="Y1328" s="17"/>
      <c r="Z1328" s="17"/>
    </row>
    <row r="1329">
      <c r="A1329" s="18" t="str">
        <f>IFERROR(__xludf.DUMMYFUNCTION("""COMPUTED_VALUE"""),"ord_61307")</f>
        <v>ord_61307</v>
      </c>
      <c r="B1329" s="18" t="str">
        <f>IFERROR(__xludf.DUMMYFUNCTION("""COMPUTED_VALUE"""),"Ishaan Chaturvedi")</f>
        <v>Ishaan Chaturvedi</v>
      </c>
      <c r="C1329" s="18" t="str">
        <f>IFERROR(__xludf.DUMMYFUNCTION("""COMPUTED_VALUE"""),"Bandra")</f>
        <v>Bandra</v>
      </c>
      <c r="D1329" s="18" t="str">
        <f>IFERROR(__xludf.DUMMYFUNCTION("""COMPUTED_VALUE"""),"Veg Puff")</f>
        <v>Veg Puff</v>
      </c>
      <c r="E1329" s="18">
        <f>IFERROR(__xludf.DUMMYFUNCTION("""COMPUTED_VALUE"""),5.0)</f>
        <v>5</v>
      </c>
      <c r="F1329" s="18" t="str">
        <f>IFERROR(__xludf.DUMMYFUNCTION("""COMPUTED_VALUE"""),"Sita T")</f>
        <v>Sita T</v>
      </c>
      <c r="G1329" s="19">
        <f>IFERROR(__xludf.DUMMYFUNCTION("""COMPUTED_VALUE"""),44962.0)</f>
        <v>44962</v>
      </c>
      <c r="H1329" s="18" t="str">
        <f>IFERROR(__xludf.DUMMYFUNCTION("""COMPUTED_VALUE"""),"Credit Card")</f>
        <v>Credit Card</v>
      </c>
      <c r="I1329" s="18" t="str">
        <f>IFERROR(__xludf.DUMMYFUNCTION("""COMPUTED_VALUE"""),"Delivered")</f>
        <v>Delivered</v>
      </c>
      <c r="J1329" s="18" t="str">
        <f>IFERROR(__xludf.DUMMYFUNCTION("""COMPUTED_VALUE"""),"On-time Delivery")</f>
        <v>On-time Delivery</v>
      </c>
      <c r="K1329" s="18" t="str">
        <f>IFERROR(__xludf.DUMMYFUNCTION("""COMPUTED_VALUE"""),"Delivered on time")</f>
        <v>Delivered on time</v>
      </c>
      <c r="L1329" s="18">
        <f>iferror(VLOOKUP($D1329,Details!$A$2:$C$11,2,false),vlookup($D1329,Details!$E$2:$G$11,2,false))</f>
        <v>80</v>
      </c>
      <c r="M1329" s="18" t="str">
        <f>iferror(VLOOKUP($D1329,Details!$A$2:$C$11,3,false),vlookup($D1329,Details!$E$2:$G$11,3,false))</f>
        <v>Snacks and Drinks</v>
      </c>
      <c r="N1329" s="18">
        <f t="shared" si="1"/>
        <v>400</v>
      </c>
      <c r="O1329" s="17"/>
      <c r="P1329" s="17"/>
      <c r="Q1329" s="17"/>
      <c r="R1329" s="17"/>
      <c r="S1329" s="17"/>
      <c r="T1329" s="17"/>
      <c r="U1329" s="17"/>
      <c r="V1329" s="17"/>
      <c r="W1329" s="17"/>
      <c r="X1329" s="17"/>
      <c r="Y1329" s="17"/>
      <c r="Z1329" s="17"/>
    </row>
    <row r="1330">
      <c r="A1330" s="18" t="str">
        <f>IFERROR(__xludf.DUMMYFUNCTION("""COMPUTED_VALUE"""),"ord_61308")</f>
        <v>ord_61308</v>
      </c>
      <c r="B1330" s="18" t="str">
        <f>IFERROR(__xludf.DUMMYFUNCTION("""COMPUTED_VALUE"""),"Sanjay Nair")</f>
        <v>Sanjay Nair</v>
      </c>
      <c r="C1330" s="18" t="str">
        <f>IFERROR(__xludf.DUMMYFUNCTION("""COMPUTED_VALUE"""),"Dadar")</f>
        <v>Dadar</v>
      </c>
      <c r="D1330" s="18" t="str">
        <f>IFERROR(__xludf.DUMMYFUNCTION("""COMPUTED_VALUE"""),"Veg Puff")</f>
        <v>Veg Puff</v>
      </c>
      <c r="E1330" s="18">
        <f>IFERROR(__xludf.DUMMYFUNCTION("""COMPUTED_VALUE"""),2.0)</f>
        <v>2</v>
      </c>
      <c r="F1330" s="18" t="str">
        <f>IFERROR(__xludf.DUMMYFUNCTION("""COMPUTED_VALUE"""),"Vivek Kumar")</f>
        <v>Vivek Kumar</v>
      </c>
      <c r="G1330" s="19">
        <f>IFERROR(__xludf.DUMMYFUNCTION("""COMPUTED_VALUE"""),45076.0)</f>
        <v>45076</v>
      </c>
      <c r="H1330" s="18" t="str">
        <f>IFERROR(__xludf.DUMMYFUNCTION("""COMPUTED_VALUE"""),"UPI")</f>
        <v>UPI</v>
      </c>
      <c r="I1330" s="18" t="str">
        <f>IFERROR(__xludf.DUMMYFUNCTION("""COMPUTED_VALUE"""),"Cancelled")</f>
        <v>Cancelled</v>
      </c>
      <c r="J1330" s="18" t="str">
        <f>IFERROR(__xludf.DUMMYFUNCTION("""COMPUTED_VALUE"""),"Delayed Delivery")</f>
        <v>Delayed Delivery</v>
      </c>
      <c r="K1330" s="18" t="str">
        <f>IFERROR(__xludf.DUMMYFUNCTION("""COMPUTED_VALUE"""),"Bad Weather Conditions")</f>
        <v>Bad Weather Conditions</v>
      </c>
      <c r="L1330" s="18">
        <f>iferror(VLOOKUP($D1330,Details!$A$2:$C$11,2,false),vlookup($D1330,Details!$E$2:$G$11,2,false))</f>
        <v>80</v>
      </c>
      <c r="M1330" s="18" t="str">
        <f>iferror(VLOOKUP($D1330,Details!$A$2:$C$11,3,false),vlookup($D1330,Details!$E$2:$G$11,3,false))</f>
        <v>Snacks and Drinks</v>
      </c>
      <c r="N1330" s="18">
        <f t="shared" si="1"/>
        <v>160</v>
      </c>
      <c r="O1330" s="17"/>
      <c r="P1330" s="17"/>
      <c r="Q1330" s="17"/>
      <c r="R1330" s="17"/>
      <c r="S1330" s="17"/>
      <c r="T1330" s="17"/>
      <c r="U1330" s="17"/>
      <c r="V1330" s="17"/>
      <c r="W1330" s="17"/>
      <c r="X1330" s="17"/>
      <c r="Y1330" s="17"/>
      <c r="Z1330" s="17"/>
    </row>
    <row r="1331">
      <c r="A1331" s="18" t="str">
        <f>IFERROR(__xludf.DUMMYFUNCTION("""COMPUTED_VALUE"""),"ord_61309")</f>
        <v>ord_61309</v>
      </c>
      <c r="B1331" s="18" t="str">
        <f>IFERROR(__xludf.DUMMYFUNCTION("""COMPUTED_VALUE"""),"Aditi Iyer")</f>
        <v>Aditi Iyer</v>
      </c>
      <c r="C1331" s="18" t="str">
        <f>IFERROR(__xludf.DUMMYFUNCTION("""COMPUTED_VALUE"""),"Dadar")</f>
        <v>Dadar</v>
      </c>
      <c r="D1331" s="18" t="str">
        <f>IFERROR(__xludf.DUMMYFUNCTION("""COMPUTED_VALUE"""),"Icecream")</f>
        <v>Icecream</v>
      </c>
      <c r="E1331" s="18">
        <f>IFERROR(__xludf.DUMMYFUNCTION("""COMPUTED_VALUE"""),4.0)</f>
        <v>4</v>
      </c>
      <c r="F1331" s="18" t="str">
        <f>IFERROR(__xludf.DUMMYFUNCTION("""COMPUTED_VALUE"""),"Not Assigned")</f>
        <v>Not Assigned</v>
      </c>
      <c r="G1331" s="19">
        <f>IFERROR(__xludf.DUMMYFUNCTION("""COMPUTED_VALUE"""),45252.0)</f>
        <v>45252</v>
      </c>
      <c r="H1331" s="18" t="str">
        <f>IFERROR(__xludf.DUMMYFUNCTION("""COMPUTED_VALUE"""),"Online Payment")</f>
        <v>Online Payment</v>
      </c>
      <c r="I1331" s="18" t="str">
        <f>IFERROR(__xludf.DUMMYFUNCTION("""COMPUTED_VALUE"""),"Cancelled")</f>
        <v>Cancelled</v>
      </c>
      <c r="J1331" s="18" t="str">
        <f>IFERROR(__xludf.DUMMYFUNCTION("""COMPUTED_VALUE"""),"High Delivery Fees")</f>
        <v>High Delivery Fees</v>
      </c>
      <c r="K1331" s="18"/>
      <c r="L1331" s="18">
        <f>iferror(VLOOKUP($D1331,Details!$A$2:$C$11,2,false),vlookup($D1331,Details!$E$2:$G$11,2,false))</f>
        <v>90</v>
      </c>
      <c r="M1331" s="18" t="str">
        <f>iferror(VLOOKUP($D1331,Details!$A$2:$C$11,3,false),vlookup($D1331,Details!$E$2:$G$11,3,false))</f>
        <v>Snacks and Drinks</v>
      </c>
      <c r="N1331" s="18">
        <f t="shared" si="1"/>
        <v>360</v>
      </c>
      <c r="O1331" s="17"/>
      <c r="P1331" s="17"/>
      <c r="Q1331" s="17"/>
      <c r="R1331" s="17"/>
      <c r="S1331" s="17"/>
      <c r="T1331" s="17"/>
      <c r="U1331" s="17"/>
      <c r="V1331" s="17"/>
      <c r="W1331" s="17"/>
      <c r="X1331" s="17"/>
      <c r="Y1331" s="17"/>
      <c r="Z1331" s="17"/>
    </row>
    <row r="1332">
      <c r="A1332" s="18" t="str">
        <f>IFERROR(__xludf.DUMMYFUNCTION("""COMPUTED_VALUE"""),"ord_61310")</f>
        <v>ord_61310</v>
      </c>
      <c r="B1332" s="18" t="str">
        <f>IFERROR(__xludf.DUMMYFUNCTION("""COMPUTED_VALUE"""),"Mohit Malhotra")</f>
        <v>Mohit Malhotra</v>
      </c>
      <c r="C1332" s="18" t="str">
        <f>IFERROR(__xludf.DUMMYFUNCTION("""COMPUTED_VALUE"""),"Lower Parel")</f>
        <v>Lower Parel</v>
      </c>
      <c r="D1332" s="18" t="str">
        <f>IFERROR(__xludf.DUMMYFUNCTION("""COMPUTED_VALUE"""),"Cucumber")</f>
        <v>Cucumber</v>
      </c>
      <c r="E1332" s="18">
        <f>IFERROR(__xludf.DUMMYFUNCTION("""COMPUTED_VALUE"""),2.0)</f>
        <v>2</v>
      </c>
      <c r="F1332" s="18" t="str">
        <f>IFERROR(__xludf.DUMMYFUNCTION("""COMPUTED_VALUE"""),"Priya Joshi")</f>
        <v>Priya Joshi</v>
      </c>
      <c r="G1332" s="19">
        <f>IFERROR(__xludf.DUMMYFUNCTION("""COMPUTED_VALUE"""),44937.0)</f>
        <v>44937</v>
      </c>
      <c r="H1332" s="18" t="str">
        <f>IFERROR(__xludf.DUMMYFUNCTION("""COMPUTED_VALUE"""),"Online Payment")</f>
        <v>Online Payment</v>
      </c>
      <c r="I1332" s="18" t="str">
        <f>IFERROR(__xludf.DUMMYFUNCTION("""COMPUTED_VALUE"""),"Cancelled")</f>
        <v>Cancelled</v>
      </c>
      <c r="J1332" s="18" t="str">
        <f>IFERROR(__xludf.DUMMYFUNCTION("""COMPUTED_VALUE"""),"Delayed Delivery")</f>
        <v>Delayed Delivery</v>
      </c>
      <c r="K1332" s="18" t="str">
        <f>IFERROR(__xludf.DUMMYFUNCTION("""COMPUTED_VALUE"""),"Bad Weather Conditions")</f>
        <v>Bad Weather Conditions</v>
      </c>
      <c r="L1332" s="18">
        <f>iferror(VLOOKUP($D1332,Details!$A$2:$C$11,2,false),vlookup($D1332,Details!$E$2:$G$11,2,false))</f>
        <v>30</v>
      </c>
      <c r="M1332" s="18" t="str">
        <f>iferror(VLOOKUP($D1332,Details!$A$2:$C$11,3,false),vlookup($D1332,Details!$E$2:$G$11,3,false))</f>
        <v>Fruits and Vegetables</v>
      </c>
      <c r="N1332" s="18">
        <f t="shared" si="1"/>
        <v>60</v>
      </c>
      <c r="O1332" s="17"/>
      <c r="P1332" s="17"/>
      <c r="Q1332" s="17"/>
      <c r="R1332" s="17"/>
      <c r="S1332" s="17"/>
      <c r="T1332" s="17"/>
      <c r="U1332" s="17"/>
      <c r="V1332" s="17"/>
      <c r="W1332" s="17"/>
      <c r="X1332" s="17"/>
      <c r="Y1332" s="17"/>
      <c r="Z1332" s="17"/>
    </row>
    <row r="1333">
      <c r="A1333" s="18" t="str">
        <f>IFERROR(__xludf.DUMMYFUNCTION("""COMPUTED_VALUE"""),"ord_61311")</f>
        <v>ord_61311</v>
      </c>
      <c r="B1333" s="18" t="str">
        <f>IFERROR(__xludf.DUMMYFUNCTION("""COMPUTED_VALUE"""),"Sanjay Nair")</f>
        <v>Sanjay Nair</v>
      </c>
      <c r="C1333" s="18" t="str">
        <f>IFERROR(__xludf.DUMMYFUNCTION("""COMPUTED_VALUE"""),"Dadar")</f>
        <v>Dadar</v>
      </c>
      <c r="D1333" s="18" t="str">
        <f>IFERROR(__xludf.DUMMYFUNCTION("""COMPUTED_VALUE"""),"Papaya")</f>
        <v>Papaya</v>
      </c>
      <c r="E1333" s="18">
        <f>IFERROR(__xludf.DUMMYFUNCTION("""COMPUTED_VALUE"""),1.0)</f>
        <v>1</v>
      </c>
      <c r="F1333" s="18" t="str">
        <f>IFERROR(__xludf.DUMMYFUNCTION("""COMPUTED_VALUE"""),"Ram Gopal")</f>
        <v>Ram Gopal</v>
      </c>
      <c r="G1333" s="19">
        <f>IFERROR(__xludf.DUMMYFUNCTION("""COMPUTED_VALUE"""),44996.0)</f>
        <v>44996</v>
      </c>
      <c r="H1333" s="18" t="str">
        <f>IFERROR(__xludf.DUMMYFUNCTION("""COMPUTED_VALUE"""),"UPI")</f>
        <v>UPI</v>
      </c>
      <c r="I1333" s="18" t="str">
        <f>IFERROR(__xludf.DUMMYFUNCTION("""COMPUTED_VALUE"""),"Cancelled")</f>
        <v>Cancelled</v>
      </c>
      <c r="J1333" s="18" t="str">
        <f>IFERROR(__xludf.DUMMYFUNCTION("""COMPUTED_VALUE"""),"Delayed Delivery")</f>
        <v>Delayed Delivery</v>
      </c>
      <c r="K1333" s="18" t="str">
        <f>IFERROR(__xludf.DUMMYFUNCTION("""COMPUTED_VALUE"""),"Heavy Traffic")</f>
        <v>Heavy Traffic</v>
      </c>
      <c r="L1333" s="18">
        <f>iferror(VLOOKUP($D1333,Details!$A$2:$C$11,2,false),vlookup($D1333,Details!$E$2:$G$11,2,false))</f>
        <v>75</v>
      </c>
      <c r="M1333" s="18" t="str">
        <f>iferror(VLOOKUP($D1333,Details!$A$2:$C$11,3,false),vlookup($D1333,Details!$E$2:$G$11,3,false))</f>
        <v>Fruits and Vegetables</v>
      </c>
      <c r="N1333" s="18">
        <f t="shared" si="1"/>
        <v>75</v>
      </c>
      <c r="O1333" s="17"/>
      <c r="P1333" s="17"/>
      <c r="Q1333" s="17"/>
      <c r="R1333" s="17"/>
      <c r="S1333" s="17"/>
      <c r="T1333" s="17"/>
      <c r="U1333" s="17"/>
      <c r="V1333" s="17"/>
      <c r="W1333" s="17"/>
      <c r="X1333" s="17"/>
      <c r="Y1333" s="17"/>
      <c r="Z1333" s="17"/>
    </row>
    <row r="1334">
      <c r="A1334" s="18" t="str">
        <f>IFERROR(__xludf.DUMMYFUNCTION("""COMPUTED_VALUE"""),"ord_61312")</f>
        <v>ord_61312</v>
      </c>
      <c r="B1334" s="18" t="str">
        <f>IFERROR(__xludf.DUMMYFUNCTION("""COMPUTED_VALUE"""),"Diya Arora")</f>
        <v>Diya Arora</v>
      </c>
      <c r="C1334" s="18" t="str">
        <f>IFERROR(__xludf.DUMMYFUNCTION("""COMPUTED_VALUE"""),"Lower Parel")</f>
        <v>Lower Parel</v>
      </c>
      <c r="D1334" s="18" t="str">
        <f>IFERROR(__xludf.DUMMYFUNCTION("""COMPUTED_VALUE"""),"Cold Coffee")</f>
        <v>Cold Coffee</v>
      </c>
      <c r="E1334" s="18">
        <f>IFERROR(__xludf.DUMMYFUNCTION("""COMPUTED_VALUE"""),4.0)</f>
        <v>4</v>
      </c>
      <c r="F1334" s="18" t="str">
        <f>IFERROR(__xludf.DUMMYFUNCTION("""COMPUTED_VALUE"""),"Manju Ajay")</f>
        <v>Manju Ajay</v>
      </c>
      <c r="G1334" s="19">
        <f>IFERROR(__xludf.DUMMYFUNCTION("""COMPUTED_VALUE"""),45101.0)</f>
        <v>45101</v>
      </c>
      <c r="H1334" s="18" t="str">
        <f>IFERROR(__xludf.DUMMYFUNCTION("""COMPUTED_VALUE"""),"Credit Card")</f>
        <v>Credit Card</v>
      </c>
      <c r="I1334" s="18" t="str">
        <f>IFERROR(__xludf.DUMMYFUNCTION("""COMPUTED_VALUE"""),"Delivered")</f>
        <v>Delivered</v>
      </c>
      <c r="J1334" s="18" t="str">
        <f>IFERROR(__xludf.DUMMYFUNCTION("""COMPUTED_VALUE"""),"Quality of Items")</f>
        <v>Quality of Items</v>
      </c>
      <c r="K1334" s="18" t="str">
        <f>IFERROR(__xludf.DUMMYFUNCTION("""COMPUTED_VALUE"""),"Perfect condition")</f>
        <v>Perfect condition</v>
      </c>
      <c r="L1334" s="18">
        <f>iferror(VLOOKUP($D1334,Details!$A$2:$C$11,2,false),vlookup($D1334,Details!$E$2:$G$11,2,false))</f>
        <v>270</v>
      </c>
      <c r="M1334" s="18" t="str">
        <f>iferror(VLOOKUP($D1334,Details!$A$2:$C$11,3,false),vlookup($D1334,Details!$E$2:$G$11,3,false))</f>
        <v>Snacks and Drinks</v>
      </c>
      <c r="N1334" s="18">
        <f t="shared" si="1"/>
        <v>1080</v>
      </c>
      <c r="O1334" s="17"/>
      <c r="P1334" s="17"/>
      <c r="Q1334" s="17"/>
      <c r="R1334" s="17"/>
      <c r="S1334" s="17"/>
      <c r="T1334" s="17"/>
      <c r="U1334" s="17"/>
      <c r="V1334" s="17"/>
      <c r="W1334" s="17"/>
      <c r="X1334" s="17"/>
      <c r="Y1334" s="17"/>
      <c r="Z1334" s="17"/>
    </row>
    <row r="1335">
      <c r="A1335" s="18" t="str">
        <f>IFERROR(__xludf.DUMMYFUNCTION("""COMPUTED_VALUE"""),"ord_61313")</f>
        <v>ord_61313</v>
      </c>
      <c r="B1335" s="18" t="str">
        <f>IFERROR(__xludf.DUMMYFUNCTION("""COMPUTED_VALUE"""),"Mehul Thakkar")</f>
        <v>Mehul Thakkar</v>
      </c>
      <c r="C1335" s="18" t="str">
        <f>IFERROR(__xludf.DUMMYFUNCTION("""COMPUTED_VALUE"""),"Malad")</f>
        <v>Malad</v>
      </c>
      <c r="D1335" s="18" t="str">
        <f>IFERROR(__xludf.DUMMYFUNCTION("""COMPUTED_VALUE"""),"Banana")</f>
        <v>Banana</v>
      </c>
      <c r="E1335" s="18">
        <f>IFERROR(__xludf.DUMMYFUNCTION("""COMPUTED_VALUE"""),1.0)</f>
        <v>1</v>
      </c>
      <c r="F1335" s="18" t="str">
        <f>IFERROR(__xludf.DUMMYFUNCTION("""COMPUTED_VALUE"""),"Sandeep Kumar")</f>
        <v>Sandeep Kumar</v>
      </c>
      <c r="G1335" s="19">
        <f>IFERROR(__xludf.DUMMYFUNCTION("""COMPUTED_VALUE"""),44941.0)</f>
        <v>44941</v>
      </c>
      <c r="H1335" s="18" t="str">
        <f>IFERROR(__xludf.DUMMYFUNCTION("""COMPUTED_VALUE"""),"UPI")</f>
        <v>UPI</v>
      </c>
      <c r="I1335" s="18" t="str">
        <f>IFERROR(__xludf.DUMMYFUNCTION("""COMPUTED_VALUE"""),"Cancelled")</f>
        <v>Cancelled</v>
      </c>
      <c r="J1335" s="18" t="str">
        <f>IFERROR(__xludf.DUMMYFUNCTION("""COMPUTED_VALUE"""),"Delayed Delivery")</f>
        <v>Delayed Delivery</v>
      </c>
      <c r="K1335" s="18" t="str">
        <f>IFERROR(__xludf.DUMMYFUNCTION("""COMPUTED_VALUE"""),"Heavy Traffic")</f>
        <v>Heavy Traffic</v>
      </c>
      <c r="L1335" s="18">
        <f>iferror(VLOOKUP($D1335,Details!$A$2:$C$11,2,false),vlookup($D1335,Details!$E$2:$G$11,2,false))</f>
        <v>80</v>
      </c>
      <c r="M1335" s="18" t="str">
        <f>iferror(VLOOKUP($D1335,Details!$A$2:$C$11,3,false),vlookup($D1335,Details!$E$2:$G$11,3,false))</f>
        <v>Fruits and Vegetables</v>
      </c>
      <c r="N1335" s="18">
        <f t="shared" si="1"/>
        <v>80</v>
      </c>
      <c r="O1335" s="17"/>
      <c r="P1335" s="17"/>
      <c r="Q1335" s="17"/>
      <c r="R1335" s="17"/>
      <c r="S1335" s="17"/>
      <c r="T1335" s="17"/>
      <c r="U1335" s="17"/>
      <c r="V1335" s="17"/>
      <c r="W1335" s="17"/>
      <c r="X1335" s="17"/>
      <c r="Y1335" s="17"/>
      <c r="Z1335" s="17"/>
    </row>
    <row r="1336">
      <c r="A1336" s="18" t="str">
        <f>IFERROR(__xludf.DUMMYFUNCTION("""COMPUTED_VALUE"""),"ord_61314")</f>
        <v>ord_61314</v>
      </c>
      <c r="B1336" s="18" t="str">
        <f>IFERROR(__xludf.DUMMYFUNCTION("""COMPUTED_VALUE"""),"Ishaan Chaturvedi")</f>
        <v>Ishaan Chaturvedi</v>
      </c>
      <c r="C1336" s="18" t="str">
        <f>IFERROR(__xludf.DUMMYFUNCTION("""COMPUTED_VALUE"""),"Bandra")</f>
        <v>Bandra</v>
      </c>
      <c r="D1336" s="18" t="str">
        <f>IFERROR(__xludf.DUMMYFUNCTION("""COMPUTED_VALUE"""),"Juice")</f>
        <v>Juice</v>
      </c>
      <c r="E1336" s="18">
        <f>IFERROR(__xludf.DUMMYFUNCTION("""COMPUTED_VALUE"""),5.0)</f>
        <v>5</v>
      </c>
      <c r="F1336" s="18" t="str">
        <f>IFERROR(__xludf.DUMMYFUNCTION("""COMPUTED_VALUE"""),"Shine Thomas")</f>
        <v>Shine Thomas</v>
      </c>
      <c r="G1336" s="19">
        <f>IFERROR(__xludf.DUMMYFUNCTION("""COMPUTED_VALUE"""),45103.0)</f>
        <v>45103</v>
      </c>
      <c r="H1336" s="18" t="str">
        <f>IFERROR(__xludf.DUMMYFUNCTION("""COMPUTED_VALUE"""),"Credit Card")</f>
        <v>Credit Card</v>
      </c>
      <c r="I1336" s="18" t="str">
        <f>IFERROR(__xludf.DUMMYFUNCTION("""COMPUTED_VALUE"""),"Delivered")</f>
        <v>Delivered</v>
      </c>
      <c r="J1336" s="18" t="str">
        <f>IFERROR(__xludf.DUMMYFUNCTION("""COMPUTED_VALUE"""),"On-time Delivery")</f>
        <v>On-time Delivery</v>
      </c>
      <c r="K1336" s="18" t="str">
        <f>IFERROR(__xludf.DUMMYFUNCTION("""COMPUTED_VALUE"""),"Delivered on time")</f>
        <v>Delivered on time</v>
      </c>
      <c r="L1336" s="18">
        <f>iferror(VLOOKUP($D1336,Details!$A$2:$C$11,2,false),vlookup($D1336,Details!$E$2:$G$11,2,false))</f>
        <v>90</v>
      </c>
      <c r="M1336" s="18" t="str">
        <f>iferror(VLOOKUP($D1336,Details!$A$2:$C$11,3,false),vlookup($D1336,Details!$E$2:$G$11,3,false))</f>
        <v>Snacks and Drinks</v>
      </c>
      <c r="N1336" s="18">
        <f t="shared" si="1"/>
        <v>450</v>
      </c>
      <c r="O1336" s="17"/>
      <c r="P1336" s="17"/>
      <c r="Q1336" s="17"/>
      <c r="R1336" s="17"/>
      <c r="S1336" s="17"/>
      <c r="T1336" s="17"/>
      <c r="U1336" s="17"/>
      <c r="V1336" s="17"/>
      <c r="W1336" s="17"/>
      <c r="X1336" s="17"/>
      <c r="Y1336" s="17"/>
      <c r="Z1336" s="17"/>
    </row>
    <row r="1337">
      <c r="A1337" s="18" t="str">
        <f>IFERROR(__xludf.DUMMYFUNCTION("""COMPUTED_VALUE"""),"ord_61315")</f>
        <v>ord_61315</v>
      </c>
      <c r="B1337" s="18" t="str">
        <f>IFERROR(__xludf.DUMMYFUNCTION("""COMPUTED_VALUE"""),"Ishaan Chaturvedi")</f>
        <v>Ishaan Chaturvedi</v>
      </c>
      <c r="C1337" s="18" t="str">
        <f>IFERROR(__xludf.DUMMYFUNCTION("""COMPUTED_VALUE"""),"Bandra")</f>
        <v>Bandra</v>
      </c>
      <c r="D1337" s="18" t="str">
        <f>IFERROR(__xludf.DUMMYFUNCTION("""COMPUTED_VALUE"""),"Sweet Corn")</f>
        <v>Sweet Corn</v>
      </c>
      <c r="E1337" s="18">
        <f>IFERROR(__xludf.DUMMYFUNCTION("""COMPUTED_VALUE"""),1.0)</f>
        <v>1</v>
      </c>
      <c r="F1337" s="18" t="str">
        <f>IFERROR(__xludf.DUMMYFUNCTION("""COMPUTED_VALUE"""),"Vivek Kumar")</f>
        <v>Vivek Kumar</v>
      </c>
      <c r="G1337" s="19">
        <f>IFERROR(__xludf.DUMMYFUNCTION("""COMPUTED_VALUE"""),45004.0)</f>
        <v>45004</v>
      </c>
      <c r="H1337" s="18" t="str">
        <f>IFERROR(__xludf.DUMMYFUNCTION("""COMPUTED_VALUE"""),"Credit Card")</f>
        <v>Credit Card</v>
      </c>
      <c r="I1337" s="18" t="str">
        <f>IFERROR(__xludf.DUMMYFUNCTION("""COMPUTED_VALUE"""),"Delivered")</f>
        <v>Delivered</v>
      </c>
      <c r="J1337" s="18" t="str">
        <f>IFERROR(__xludf.DUMMYFUNCTION("""COMPUTED_VALUE"""),"Quality of Items")</f>
        <v>Quality of Items</v>
      </c>
      <c r="K1337" s="18" t="str">
        <f>IFERROR(__xludf.DUMMYFUNCTION("""COMPUTED_VALUE"""),"Perfect condition")</f>
        <v>Perfect condition</v>
      </c>
      <c r="L1337" s="18">
        <f>iferror(VLOOKUP($D1337,Details!$A$2:$C$11,2,false),vlookup($D1337,Details!$E$2:$G$11,2,false))</f>
        <v>60</v>
      </c>
      <c r="M1337" s="18" t="str">
        <f>iferror(VLOOKUP($D1337,Details!$A$2:$C$11,3,false),vlookup($D1337,Details!$E$2:$G$11,3,false))</f>
        <v>Fruits and Vegetables</v>
      </c>
      <c r="N1337" s="18">
        <f t="shared" si="1"/>
        <v>60</v>
      </c>
      <c r="O1337" s="17"/>
      <c r="P1337" s="17"/>
      <c r="Q1337" s="17"/>
      <c r="R1337" s="17"/>
      <c r="S1337" s="17"/>
      <c r="T1337" s="17"/>
      <c r="U1337" s="17"/>
      <c r="V1337" s="17"/>
      <c r="W1337" s="17"/>
      <c r="X1337" s="17"/>
      <c r="Y1337" s="17"/>
      <c r="Z1337" s="17"/>
    </row>
    <row r="1338">
      <c r="A1338" s="18" t="str">
        <f>IFERROR(__xludf.DUMMYFUNCTION("""COMPUTED_VALUE"""),"ord_61316")</f>
        <v>ord_61316</v>
      </c>
      <c r="B1338" s="18" t="str">
        <f>IFERROR(__xludf.DUMMYFUNCTION("""COMPUTED_VALUE"""),"Siya Reddy")</f>
        <v>Siya Reddy</v>
      </c>
      <c r="C1338" s="18" t="str">
        <f>IFERROR(__xludf.DUMMYFUNCTION("""COMPUTED_VALUE"""),"Juhu")</f>
        <v>Juhu</v>
      </c>
      <c r="D1338" s="18" t="str">
        <f>IFERROR(__xludf.DUMMYFUNCTION("""COMPUTED_VALUE"""),"Orange")</f>
        <v>Orange</v>
      </c>
      <c r="E1338" s="18">
        <f>IFERROR(__xludf.DUMMYFUNCTION("""COMPUTED_VALUE"""),2.0)</f>
        <v>2</v>
      </c>
      <c r="F1338" s="18" t="str">
        <f>IFERROR(__xludf.DUMMYFUNCTION("""COMPUTED_VALUE"""),"Vivek Kumar")</f>
        <v>Vivek Kumar</v>
      </c>
      <c r="G1338" s="19">
        <f>IFERROR(__xludf.DUMMYFUNCTION("""COMPUTED_VALUE"""),45150.0)</f>
        <v>45150</v>
      </c>
      <c r="H1338" s="18" t="str">
        <f>IFERROR(__xludf.DUMMYFUNCTION("""COMPUTED_VALUE"""),"UPI")</f>
        <v>UPI</v>
      </c>
      <c r="I1338" s="18" t="str">
        <f>IFERROR(__xludf.DUMMYFUNCTION("""COMPUTED_VALUE"""),"Delivered")</f>
        <v>Delivered</v>
      </c>
      <c r="J1338" s="18" t="str">
        <f>IFERROR(__xludf.DUMMYFUNCTION("""COMPUTED_VALUE"""),"Packaging")</f>
        <v>Packaging</v>
      </c>
      <c r="K1338" s="18" t="str">
        <f>IFERROR(__xludf.DUMMYFUNCTION("""COMPUTED_VALUE"""),"Secure and intact")</f>
        <v>Secure and intact</v>
      </c>
      <c r="L1338" s="18">
        <f>iferror(VLOOKUP($D1338,Details!$A$2:$C$11,2,false),vlookup($D1338,Details!$E$2:$G$11,2,false))</f>
        <v>180</v>
      </c>
      <c r="M1338" s="18" t="str">
        <f>iferror(VLOOKUP($D1338,Details!$A$2:$C$11,3,false),vlookup($D1338,Details!$E$2:$G$11,3,false))</f>
        <v>Fruits and Vegetables</v>
      </c>
      <c r="N1338" s="18">
        <f t="shared" si="1"/>
        <v>360</v>
      </c>
      <c r="O1338" s="17"/>
      <c r="P1338" s="17"/>
      <c r="Q1338" s="17"/>
      <c r="R1338" s="17"/>
      <c r="S1338" s="17"/>
      <c r="T1338" s="17"/>
      <c r="U1338" s="17"/>
      <c r="V1338" s="17"/>
      <c r="W1338" s="17"/>
      <c r="X1338" s="17"/>
      <c r="Y1338" s="17"/>
      <c r="Z1338" s="17"/>
    </row>
    <row r="1339">
      <c r="A1339" s="18" t="str">
        <f>IFERROR(__xludf.DUMMYFUNCTION("""COMPUTED_VALUE"""),"ord_61317")</f>
        <v>ord_61317</v>
      </c>
      <c r="B1339" s="18" t="str">
        <f>IFERROR(__xludf.DUMMYFUNCTION("""COMPUTED_VALUE"""),"Kunal Sharma")</f>
        <v>Kunal Sharma</v>
      </c>
      <c r="C1339" s="18" t="str">
        <f>IFERROR(__xludf.DUMMYFUNCTION("""COMPUTED_VALUE"""),"Powai")</f>
        <v>Powai</v>
      </c>
      <c r="D1339" s="18" t="str">
        <f>IFERROR(__xludf.DUMMYFUNCTION("""COMPUTED_VALUE"""),"Chocolate Mousse")</f>
        <v>Chocolate Mousse</v>
      </c>
      <c r="E1339" s="18">
        <f>IFERROR(__xludf.DUMMYFUNCTION("""COMPUTED_VALUE"""),4.0)</f>
        <v>4</v>
      </c>
      <c r="F1339" s="18" t="str">
        <f>IFERROR(__xludf.DUMMYFUNCTION("""COMPUTED_VALUE"""),"Ramesh S")</f>
        <v>Ramesh S</v>
      </c>
      <c r="G1339" s="19">
        <f>IFERROR(__xludf.DUMMYFUNCTION("""COMPUTED_VALUE"""),45157.0)</f>
        <v>45157</v>
      </c>
      <c r="H1339" s="18" t="str">
        <f>IFERROR(__xludf.DUMMYFUNCTION("""COMPUTED_VALUE"""),"UPI")</f>
        <v>UPI</v>
      </c>
      <c r="I1339" s="18" t="str">
        <f>IFERROR(__xludf.DUMMYFUNCTION("""COMPUTED_VALUE"""),"Delivered")</f>
        <v>Delivered</v>
      </c>
      <c r="J1339" s="18" t="str">
        <f>IFERROR(__xludf.DUMMYFUNCTION("""COMPUTED_VALUE"""),"Satisfied with the Delivery")</f>
        <v>Satisfied with the Delivery</v>
      </c>
      <c r="K1339" s="18" t="str">
        <f>IFERROR(__xludf.DUMMYFUNCTION("""COMPUTED_VALUE"""),"Timely and quality")</f>
        <v>Timely and quality</v>
      </c>
      <c r="L1339" s="18">
        <f>iferror(VLOOKUP($D1339,Details!$A$2:$C$11,2,false),vlookup($D1339,Details!$E$2:$G$11,2,false))</f>
        <v>145</v>
      </c>
      <c r="M1339" s="18" t="str">
        <f>iferror(VLOOKUP($D1339,Details!$A$2:$C$11,3,false),vlookup($D1339,Details!$E$2:$G$11,3,false))</f>
        <v>Snacks and Drinks</v>
      </c>
      <c r="N1339" s="18">
        <f t="shared" si="1"/>
        <v>580</v>
      </c>
      <c r="O1339" s="17"/>
      <c r="P1339" s="17"/>
      <c r="Q1339" s="17"/>
      <c r="R1339" s="17"/>
      <c r="S1339" s="17"/>
      <c r="T1339" s="17"/>
      <c r="U1339" s="17"/>
      <c r="V1339" s="17"/>
      <c r="W1339" s="17"/>
      <c r="X1339" s="17"/>
      <c r="Y1339" s="17"/>
      <c r="Z1339" s="17"/>
    </row>
    <row r="1340">
      <c r="A1340" s="18" t="str">
        <f>IFERROR(__xludf.DUMMYFUNCTION("""COMPUTED_VALUE"""),"ord_61318")</f>
        <v>ord_61318</v>
      </c>
      <c r="B1340" s="18" t="str">
        <f>IFERROR(__xludf.DUMMYFUNCTION("""COMPUTED_VALUE"""),"Kunal Sharma")</f>
        <v>Kunal Sharma</v>
      </c>
      <c r="C1340" s="18" t="str">
        <f>IFERROR(__xludf.DUMMYFUNCTION("""COMPUTED_VALUE"""),"Powai")</f>
        <v>Powai</v>
      </c>
      <c r="D1340" s="18" t="str">
        <f>IFERROR(__xludf.DUMMYFUNCTION("""COMPUTED_VALUE"""),"Guava")</f>
        <v>Guava</v>
      </c>
      <c r="E1340" s="18">
        <f>IFERROR(__xludf.DUMMYFUNCTION("""COMPUTED_VALUE"""),3.0)</f>
        <v>3</v>
      </c>
      <c r="F1340" s="18" t="str">
        <f>IFERROR(__xludf.DUMMYFUNCTION("""COMPUTED_VALUE"""),"Sandeep Kumar")</f>
        <v>Sandeep Kumar</v>
      </c>
      <c r="G1340" s="19">
        <f>IFERROR(__xludf.DUMMYFUNCTION("""COMPUTED_VALUE"""),44961.0)</f>
        <v>44961</v>
      </c>
      <c r="H1340" s="18" t="str">
        <f>IFERROR(__xludf.DUMMYFUNCTION("""COMPUTED_VALUE"""),"Online Payment")</f>
        <v>Online Payment</v>
      </c>
      <c r="I1340" s="18" t="str">
        <f>IFERROR(__xludf.DUMMYFUNCTION("""COMPUTED_VALUE"""),"Delivered")</f>
        <v>Delivered</v>
      </c>
      <c r="J1340" s="18" t="str">
        <f>IFERROR(__xludf.DUMMYFUNCTION("""COMPUTED_VALUE"""),"Customer Service")</f>
        <v>Customer Service</v>
      </c>
      <c r="K1340" s="18" t="str">
        <f>IFERROR(__xludf.DUMMYFUNCTION("""COMPUTED_VALUE"""),"Seamless and easy")</f>
        <v>Seamless and easy</v>
      </c>
      <c r="L1340" s="18">
        <f>iferror(VLOOKUP($D1340,Details!$A$2:$C$11,2,false),vlookup($D1340,Details!$E$2:$G$11,2,false))</f>
        <v>70</v>
      </c>
      <c r="M1340" s="18" t="str">
        <f>iferror(VLOOKUP($D1340,Details!$A$2:$C$11,3,false),vlookup($D1340,Details!$E$2:$G$11,3,false))</f>
        <v>Fruits and Vegetables</v>
      </c>
      <c r="N1340" s="18">
        <f t="shared" si="1"/>
        <v>210</v>
      </c>
      <c r="O1340" s="17"/>
      <c r="P1340" s="17"/>
      <c r="Q1340" s="17"/>
      <c r="R1340" s="17"/>
      <c r="S1340" s="17"/>
      <c r="T1340" s="17"/>
      <c r="U1340" s="17"/>
      <c r="V1340" s="17"/>
      <c r="W1340" s="17"/>
      <c r="X1340" s="17"/>
      <c r="Y1340" s="17"/>
      <c r="Z1340" s="17"/>
    </row>
    <row r="1341">
      <c r="A1341" s="18" t="str">
        <f>IFERROR(__xludf.DUMMYFUNCTION("""COMPUTED_VALUE"""),"ord_61319")</f>
        <v>ord_61319</v>
      </c>
      <c r="B1341" s="18" t="str">
        <f>IFERROR(__xludf.DUMMYFUNCTION("""COMPUTED_VALUE"""),"Ishaan Chaturvedi")</f>
        <v>Ishaan Chaturvedi</v>
      </c>
      <c r="C1341" s="18" t="str">
        <f>IFERROR(__xludf.DUMMYFUNCTION("""COMPUTED_VALUE"""),"Bandra")</f>
        <v>Bandra</v>
      </c>
      <c r="D1341" s="18" t="str">
        <f>IFERROR(__xludf.DUMMYFUNCTION("""COMPUTED_VALUE"""),"Onion")</f>
        <v>Onion</v>
      </c>
      <c r="E1341" s="18">
        <f>IFERROR(__xludf.DUMMYFUNCTION("""COMPUTED_VALUE"""),1.0)</f>
        <v>1</v>
      </c>
      <c r="F1341" s="18" t="str">
        <f>IFERROR(__xludf.DUMMYFUNCTION("""COMPUTED_VALUE"""),"Not Assigned")</f>
        <v>Not Assigned</v>
      </c>
      <c r="G1341" s="19">
        <f>IFERROR(__xludf.DUMMYFUNCTION("""COMPUTED_VALUE"""),45126.0)</f>
        <v>45126</v>
      </c>
      <c r="H1341" s="18" t="str">
        <f>IFERROR(__xludf.DUMMYFUNCTION("""COMPUTED_VALUE"""),"UPI")</f>
        <v>UPI</v>
      </c>
      <c r="I1341" s="18" t="str">
        <f>IFERROR(__xludf.DUMMYFUNCTION("""COMPUTED_VALUE"""),"Cancelled")</f>
        <v>Cancelled</v>
      </c>
      <c r="J1341" s="18" t="str">
        <f>IFERROR(__xludf.DUMMYFUNCTION("""COMPUTED_VALUE"""),"Out of Stock")</f>
        <v>Out of Stock</v>
      </c>
      <c r="K1341" s="18"/>
      <c r="L1341" s="18">
        <f>iferror(VLOOKUP($D1341,Details!$A$2:$C$11,2,false),vlookup($D1341,Details!$E$2:$G$11,2,false))</f>
        <v>84</v>
      </c>
      <c r="M1341" s="18" t="str">
        <f>iferror(VLOOKUP($D1341,Details!$A$2:$C$11,3,false),vlookup($D1341,Details!$E$2:$G$11,3,false))</f>
        <v>Fruits and Vegetables</v>
      </c>
      <c r="N1341" s="18">
        <f t="shared" si="1"/>
        <v>84</v>
      </c>
      <c r="O1341" s="17"/>
      <c r="P1341" s="17"/>
      <c r="Q1341" s="17"/>
      <c r="R1341" s="17"/>
      <c r="S1341" s="17"/>
      <c r="T1341" s="17"/>
      <c r="U1341" s="17"/>
      <c r="V1341" s="17"/>
      <c r="W1341" s="17"/>
      <c r="X1341" s="17"/>
      <c r="Y1341" s="17"/>
      <c r="Z1341" s="17"/>
    </row>
    <row r="1342">
      <c r="A1342" s="18" t="str">
        <f>IFERROR(__xludf.DUMMYFUNCTION("""COMPUTED_VALUE"""),"ord_61320")</f>
        <v>ord_61320</v>
      </c>
      <c r="B1342" s="18" t="str">
        <f>IFERROR(__xludf.DUMMYFUNCTION("""COMPUTED_VALUE"""),"Aditi Iyer")</f>
        <v>Aditi Iyer</v>
      </c>
      <c r="C1342" s="18" t="str">
        <f>IFERROR(__xludf.DUMMYFUNCTION("""COMPUTED_VALUE"""),"Dadar")</f>
        <v>Dadar</v>
      </c>
      <c r="D1342" s="18" t="str">
        <f>IFERROR(__xludf.DUMMYFUNCTION("""COMPUTED_VALUE"""),"Cucumber")</f>
        <v>Cucumber</v>
      </c>
      <c r="E1342" s="18">
        <f>IFERROR(__xludf.DUMMYFUNCTION("""COMPUTED_VALUE"""),2.0)</f>
        <v>2</v>
      </c>
      <c r="F1342" s="18" t="str">
        <f>IFERROR(__xludf.DUMMYFUNCTION("""COMPUTED_VALUE"""),"Aman Kumar")</f>
        <v>Aman Kumar</v>
      </c>
      <c r="G1342" s="19">
        <f>IFERROR(__xludf.DUMMYFUNCTION("""COMPUTED_VALUE"""),45241.0)</f>
        <v>45241</v>
      </c>
      <c r="H1342" s="18" t="str">
        <f>IFERROR(__xludf.DUMMYFUNCTION("""COMPUTED_VALUE"""),"Credit Card")</f>
        <v>Credit Card</v>
      </c>
      <c r="I1342" s="18" t="str">
        <f>IFERROR(__xludf.DUMMYFUNCTION("""COMPUTED_VALUE"""),"Delivered")</f>
        <v>Delivered</v>
      </c>
      <c r="J1342" s="18" t="str">
        <f>IFERROR(__xludf.DUMMYFUNCTION("""COMPUTED_VALUE"""),"Delivery Experience")</f>
        <v>Delivery Experience</v>
      </c>
      <c r="K1342" s="18" t="str">
        <f>IFERROR(__xludf.DUMMYFUNCTION("""COMPUTED_VALUE"""),"Quick and professional")</f>
        <v>Quick and professional</v>
      </c>
      <c r="L1342" s="18">
        <f>iferror(VLOOKUP($D1342,Details!$A$2:$C$11,2,false),vlookup($D1342,Details!$E$2:$G$11,2,false))</f>
        <v>30</v>
      </c>
      <c r="M1342" s="18" t="str">
        <f>iferror(VLOOKUP($D1342,Details!$A$2:$C$11,3,false),vlookup($D1342,Details!$E$2:$G$11,3,false))</f>
        <v>Fruits and Vegetables</v>
      </c>
      <c r="N1342" s="18">
        <f t="shared" si="1"/>
        <v>60</v>
      </c>
      <c r="O1342" s="17"/>
      <c r="P1342" s="17"/>
      <c r="Q1342" s="17"/>
      <c r="R1342" s="17"/>
      <c r="S1342" s="17"/>
      <c r="T1342" s="17"/>
      <c r="U1342" s="17"/>
      <c r="V1342" s="17"/>
      <c r="W1342" s="17"/>
      <c r="X1342" s="17"/>
      <c r="Y1342" s="17"/>
      <c r="Z1342" s="17"/>
    </row>
    <row r="1343">
      <c r="A1343" s="18" t="str">
        <f>IFERROR(__xludf.DUMMYFUNCTION("""COMPUTED_VALUE"""),"ord_61321")</f>
        <v>ord_61321</v>
      </c>
      <c r="B1343" s="18" t="str">
        <f>IFERROR(__xludf.DUMMYFUNCTION("""COMPUTED_VALUE"""),"Siya Reddy")</f>
        <v>Siya Reddy</v>
      </c>
      <c r="C1343" s="18" t="str">
        <f>IFERROR(__xludf.DUMMYFUNCTION("""COMPUTED_VALUE"""),"Juhu")</f>
        <v>Juhu</v>
      </c>
      <c r="D1343" s="18" t="str">
        <f>IFERROR(__xludf.DUMMYFUNCTION("""COMPUTED_VALUE"""),"Chicken Puff")</f>
        <v>Chicken Puff</v>
      </c>
      <c r="E1343" s="18">
        <f>IFERROR(__xludf.DUMMYFUNCTION("""COMPUTED_VALUE"""),5.0)</f>
        <v>5</v>
      </c>
      <c r="F1343" s="18" t="str">
        <f>IFERROR(__xludf.DUMMYFUNCTION("""COMPUTED_VALUE"""),"Not Assigned")</f>
        <v>Not Assigned</v>
      </c>
      <c r="G1343" s="19">
        <f>IFERROR(__xludf.DUMMYFUNCTION("""COMPUTED_VALUE"""),44987.0)</f>
        <v>44987</v>
      </c>
      <c r="H1343" s="18" t="str">
        <f>IFERROR(__xludf.DUMMYFUNCTION("""COMPUTED_VALUE"""),"Credit Card")</f>
        <v>Credit Card</v>
      </c>
      <c r="I1343" s="18" t="str">
        <f>IFERROR(__xludf.DUMMYFUNCTION("""COMPUTED_VALUE"""),"Cancelled")</f>
        <v>Cancelled</v>
      </c>
      <c r="J1343" s="18" t="str">
        <f>IFERROR(__xludf.DUMMYFUNCTION("""COMPUTED_VALUE"""),"Out of Stock")</f>
        <v>Out of Stock</v>
      </c>
      <c r="K1343" s="18"/>
      <c r="L1343" s="18">
        <f>iferror(VLOOKUP($D1343,Details!$A$2:$C$11,2,false),vlookup($D1343,Details!$E$2:$G$11,2,false))</f>
        <v>90</v>
      </c>
      <c r="M1343" s="18" t="str">
        <f>iferror(VLOOKUP($D1343,Details!$A$2:$C$11,3,false),vlookup($D1343,Details!$E$2:$G$11,3,false))</f>
        <v>Snacks and Drinks</v>
      </c>
      <c r="N1343" s="18">
        <f t="shared" si="1"/>
        <v>450</v>
      </c>
      <c r="O1343" s="17"/>
      <c r="P1343" s="17"/>
      <c r="Q1343" s="17"/>
      <c r="R1343" s="17"/>
      <c r="S1343" s="17"/>
      <c r="T1343" s="17"/>
      <c r="U1343" s="17"/>
      <c r="V1343" s="17"/>
      <c r="W1343" s="17"/>
      <c r="X1343" s="17"/>
      <c r="Y1343" s="17"/>
      <c r="Z1343" s="17"/>
    </row>
    <row r="1344">
      <c r="A1344" s="18" t="str">
        <f>IFERROR(__xludf.DUMMYFUNCTION("""COMPUTED_VALUE"""),"ord_61322")</f>
        <v>ord_61322</v>
      </c>
      <c r="B1344" s="18" t="str">
        <f>IFERROR(__xludf.DUMMYFUNCTION("""COMPUTED_VALUE"""),"Omkar Mishra")</f>
        <v>Omkar Mishra</v>
      </c>
      <c r="C1344" s="18" t="str">
        <f>IFERROR(__xludf.DUMMYFUNCTION("""COMPUTED_VALUE"""),"Powai")</f>
        <v>Powai</v>
      </c>
      <c r="D1344" s="18" t="str">
        <f>IFERROR(__xludf.DUMMYFUNCTION("""COMPUTED_VALUE"""),"Orange")</f>
        <v>Orange</v>
      </c>
      <c r="E1344" s="18">
        <f>IFERROR(__xludf.DUMMYFUNCTION("""COMPUTED_VALUE"""),2.0)</f>
        <v>2</v>
      </c>
      <c r="F1344" s="18" t="str">
        <f>IFERROR(__xludf.DUMMYFUNCTION("""COMPUTED_VALUE"""),"Sandeep Kumar")</f>
        <v>Sandeep Kumar</v>
      </c>
      <c r="G1344" s="19">
        <f>IFERROR(__xludf.DUMMYFUNCTION("""COMPUTED_VALUE"""),45255.0)</f>
        <v>45255</v>
      </c>
      <c r="H1344" s="18" t="str">
        <f>IFERROR(__xludf.DUMMYFUNCTION("""COMPUTED_VALUE"""),"UPI")</f>
        <v>UPI</v>
      </c>
      <c r="I1344" s="18" t="str">
        <f>IFERROR(__xludf.DUMMYFUNCTION("""COMPUTED_VALUE"""),"Delivered")</f>
        <v>Delivered</v>
      </c>
      <c r="J1344" s="18" t="str">
        <f>IFERROR(__xludf.DUMMYFUNCTION("""COMPUTED_VALUE"""),"Convenience")</f>
        <v>Convenience</v>
      </c>
      <c r="K1344" s="18" t="str">
        <f>IFERROR(__xludf.DUMMYFUNCTION("""COMPUTED_VALUE"""),"Easy tracking")</f>
        <v>Easy tracking</v>
      </c>
      <c r="L1344" s="18">
        <f>iferror(VLOOKUP($D1344,Details!$A$2:$C$11,2,false),vlookup($D1344,Details!$E$2:$G$11,2,false))</f>
        <v>180</v>
      </c>
      <c r="M1344" s="18" t="str">
        <f>iferror(VLOOKUP($D1344,Details!$A$2:$C$11,3,false),vlookup($D1344,Details!$E$2:$G$11,3,false))</f>
        <v>Fruits and Vegetables</v>
      </c>
      <c r="N1344" s="18">
        <f t="shared" si="1"/>
        <v>360</v>
      </c>
      <c r="O1344" s="17"/>
      <c r="P1344" s="17"/>
      <c r="Q1344" s="17"/>
      <c r="R1344" s="17"/>
      <c r="S1344" s="17"/>
      <c r="T1344" s="17"/>
      <c r="U1344" s="17"/>
      <c r="V1344" s="17"/>
      <c r="W1344" s="17"/>
      <c r="X1344" s="17"/>
      <c r="Y1344" s="17"/>
      <c r="Z1344" s="17"/>
    </row>
    <row r="1345">
      <c r="A1345" s="18" t="str">
        <f>IFERROR(__xludf.DUMMYFUNCTION("""COMPUTED_VALUE"""),"ord_61323")</f>
        <v>ord_61323</v>
      </c>
      <c r="B1345" s="18" t="str">
        <f>IFERROR(__xludf.DUMMYFUNCTION("""COMPUTED_VALUE"""),"Arvind Kulkarni")</f>
        <v>Arvind Kulkarni</v>
      </c>
      <c r="C1345" s="18" t="str">
        <f>IFERROR(__xludf.DUMMYFUNCTION("""COMPUTED_VALUE"""),"Juhu")</f>
        <v>Juhu</v>
      </c>
      <c r="D1345" s="18" t="str">
        <f>IFERROR(__xludf.DUMMYFUNCTION("""COMPUTED_VALUE"""),"Apple")</f>
        <v>Apple</v>
      </c>
      <c r="E1345" s="18">
        <f>IFERROR(__xludf.DUMMYFUNCTION("""COMPUTED_VALUE"""),1.0)</f>
        <v>1</v>
      </c>
      <c r="F1345" s="18" t="str">
        <f>IFERROR(__xludf.DUMMYFUNCTION("""COMPUTED_VALUE"""),"Venu R")</f>
        <v>Venu R</v>
      </c>
      <c r="G1345" s="19">
        <f>IFERROR(__xludf.DUMMYFUNCTION("""COMPUTED_VALUE"""),45075.0)</f>
        <v>45075</v>
      </c>
      <c r="H1345" s="18" t="str">
        <f>IFERROR(__xludf.DUMMYFUNCTION("""COMPUTED_VALUE"""),"UPI")</f>
        <v>UPI</v>
      </c>
      <c r="I1345" s="18" t="str">
        <f>IFERROR(__xludf.DUMMYFUNCTION("""COMPUTED_VALUE"""),"Cancelled")</f>
        <v>Cancelled</v>
      </c>
      <c r="J1345" s="18" t="str">
        <f>IFERROR(__xludf.DUMMYFUNCTION("""COMPUTED_VALUE"""),"Delayed Delivery")</f>
        <v>Delayed Delivery</v>
      </c>
      <c r="K1345" s="18" t="str">
        <f>IFERROR(__xludf.DUMMYFUNCTION("""COMPUTED_VALUE"""),"Bad Weather Conditions")</f>
        <v>Bad Weather Conditions</v>
      </c>
      <c r="L1345" s="18">
        <f>iferror(VLOOKUP($D1345,Details!$A$2:$C$11,2,false),vlookup($D1345,Details!$E$2:$G$11,2,false))</f>
        <v>230</v>
      </c>
      <c r="M1345" s="18" t="str">
        <f>iferror(VLOOKUP($D1345,Details!$A$2:$C$11,3,false),vlookup($D1345,Details!$E$2:$G$11,3,false))</f>
        <v>Fruits and Vegetables</v>
      </c>
      <c r="N1345" s="18">
        <f t="shared" si="1"/>
        <v>230</v>
      </c>
      <c r="O1345" s="17"/>
      <c r="P1345" s="17"/>
      <c r="Q1345" s="17"/>
      <c r="R1345" s="17"/>
      <c r="S1345" s="17"/>
      <c r="T1345" s="17"/>
      <c r="U1345" s="17"/>
      <c r="V1345" s="17"/>
      <c r="W1345" s="17"/>
      <c r="X1345" s="17"/>
      <c r="Y1345" s="17"/>
      <c r="Z1345" s="17"/>
    </row>
    <row r="1346">
      <c r="A1346" s="18" t="str">
        <f>IFERROR(__xludf.DUMMYFUNCTION("""COMPUTED_VALUE"""),"ord_61324")</f>
        <v>ord_61324</v>
      </c>
      <c r="B1346" s="18" t="str">
        <f>IFERROR(__xludf.DUMMYFUNCTION("""COMPUTED_VALUE"""),"Kritika Shetty")</f>
        <v>Kritika Shetty</v>
      </c>
      <c r="C1346" s="18" t="str">
        <f>IFERROR(__xludf.DUMMYFUNCTION("""COMPUTED_VALUE"""),"Malad")</f>
        <v>Malad</v>
      </c>
      <c r="D1346" s="18" t="str">
        <f>IFERROR(__xludf.DUMMYFUNCTION("""COMPUTED_VALUE"""),"Popcorn")</f>
        <v>Popcorn</v>
      </c>
      <c r="E1346" s="18">
        <f>IFERROR(__xludf.DUMMYFUNCTION("""COMPUTED_VALUE"""),4.0)</f>
        <v>4</v>
      </c>
      <c r="F1346" s="18" t="str">
        <f>IFERROR(__xludf.DUMMYFUNCTION("""COMPUTED_VALUE"""),"Neha Shah")</f>
        <v>Neha Shah</v>
      </c>
      <c r="G1346" s="19">
        <f>IFERROR(__xludf.DUMMYFUNCTION("""COMPUTED_VALUE"""),45174.0)</f>
        <v>45174</v>
      </c>
      <c r="H1346" s="18" t="str">
        <f>IFERROR(__xludf.DUMMYFUNCTION("""COMPUTED_VALUE"""),"Credit Card")</f>
        <v>Credit Card</v>
      </c>
      <c r="I1346" s="18" t="str">
        <f>IFERROR(__xludf.DUMMYFUNCTION("""COMPUTED_VALUE"""),"Delivered")</f>
        <v>Delivered</v>
      </c>
      <c r="J1346" s="18" t="str">
        <f>IFERROR(__xludf.DUMMYFUNCTION("""COMPUTED_VALUE"""),"Overall Satisfaction")</f>
        <v>Overall Satisfaction</v>
      </c>
      <c r="K1346" s="18" t="str">
        <f>IFERROR(__xludf.DUMMYFUNCTION("""COMPUTED_VALUE"""),"Great service will order again")</f>
        <v>Great service will order again</v>
      </c>
      <c r="L1346" s="18">
        <f>iferror(VLOOKUP($D1346,Details!$A$2:$C$11,2,false),vlookup($D1346,Details!$E$2:$G$11,2,false))</f>
        <v>150</v>
      </c>
      <c r="M1346" s="18" t="str">
        <f>iferror(VLOOKUP($D1346,Details!$A$2:$C$11,3,false),vlookup($D1346,Details!$E$2:$G$11,3,false))</f>
        <v>Snacks and Drinks</v>
      </c>
      <c r="N1346" s="18">
        <f t="shared" si="1"/>
        <v>600</v>
      </c>
      <c r="O1346" s="17"/>
      <c r="P1346" s="17"/>
      <c r="Q1346" s="17"/>
      <c r="R1346" s="17"/>
      <c r="S1346" s="17"/>
      <c r="T1346" s="17"/>
      <c r="U1346" s="17"/>
      <c r="V1346" s="17"/>
      <c r="W1346" s="17"/>
      <c r="X1346" s="17"/>
      <c r="Y1346" s="17"/>
      <c r="Z1346" s="17"/>
    </row>
    <row r="1347">
      <c r="A1347" s="18" t="str">
        <f>IFERROR(__xludf.DUMMYFUNCTION("""COMPUTED_VALUE"""),"ord_61325")</f>
        <v>ord_61325</v>
      </c>
      <c r="B1347" s="18" t="str">
        <f>IFERROR(__xludf.DUMMYFUNCTION("""COMPUTED_VALUE"""),"Aditi Iyer")</f>
        <v>Aditi Iyer</v>
      </c>
      <c r="C1347" s="18" t="str">
        <f>IFERROR(__xludf.DUMMYFUNCTION("""COMPUTED_VALUE"""),"Dadar")</f>
        <v>Dadar</v>
      </c>
      <c r="D1347" s="18" t="str">
        <f>IFERROR(__xludf.DUMMYFUNCTION("""COMPUTED_VALUE"""),"Icecream")</f>
        <v>Icecream</v>
      </c>
      <c r="E1347" s="18">
        <f>IFERROR(__xludf.DUMMYFUNCTION("""COMPUTED_VALUE"""),1.0)</f>
        <v>1</v>
      </c>
      <c r="F1347" s="18" t="str">
        <f>IFERROR(__xludf.DUMMYFUNCTION("""COMPUTED_VALUE"""),"Aman Kumar")</f>
        <v>Aman Kumar</v>
      </c>
      <c r="G1347" s="19">
        <f>IFERROR(__xludf.DUMMYFUNCTION("""COMPUTED_VALUE"""),44999.0)</f>
        <v>44999</v>
      </c>
      <c r="H1347" s="18" t="str">
        <f>IFERROR(__xludf.DUMMYFUNCTION("""COMPUTED_VALUE"""),"UPI")</f>
        <v>UPI</v>
      </c>
      <c r="I1347" s="18" t="str">
        <f>IFERROR(__xludf.DUMMYFUNCTION("""COMPUTED_VALUE"""),"Delivered")</f>
        <v>Delivered</v>
      </c>
      <c r="J1347" s="18" t="str">
        <f>IFERROR(__xludf.DUMMYFUNCTION("""COMPUTED_VALUE"""),"On-time Delivery")</f>
        <v>On-time Delivery</v>
      </c>
      <c r="K1347" s="18" t="str">
        <f>IFERROR(__xludf.DUMMYFUNCTION("""COMPUTED_VALUE"""),"Delivered on time")</f>
        <v>Delivered on time</v>
      </c>
      <c r="L1347" s="18">
        <f>iferror(VLOOKUP($D1347,Details!$A$2:$C$11,2,false),vlookup($D1347,Details!$E$2:$G$11,2,false))</f>
        <v>90</v>
      </c>
      <c r="M1347" s="18" t="str">
        <f>iferror(VLOOKUP($D1347,Details!$A$2:$C$11,3,false),vlookup($D1347,Details!$E$2:$G$11,3,false))</f>
        <v>Snacks and Drinks</v>
      </c>
      <c r="N1347" s="18">
        <f t="shared" si="1"/>
        <v>90</v>
      </c>
      <c r="O1347" s="17"/>
      <c r="P1347" s="17"/>
      <c r="Q1347" s="17"/>
      <c r="R1347" s="17"/>
      <c r="S1347" s="17"/>
      <c r="T1347" s="17"/>
      <c r="U1347" s="17"/>
      <c r="V1347" s="17"/>
      <c r="W1347" s="17"/>
      <c r="X1347" s="17"/>
      <c r="Y1347" s="17"/>
      <c r="Z1347" s="17"/>
    </row>
    <row r="1348">
      <c r="A1348" s="18" t="str">
        <f>IFERROR(__xludf.DUMMYFUNCTION("""COMPUTED_VALUE"""),"ord_61326")</f>
        <v>ord_61326</v>
      </c>
      <c r="B1348" s="18" t="str">
        <f>IFERROR(__xludf.DUMMYFUNCTION("""COMPUTED_VALUE"""),"Parth Goel")</f>
        <v>Parth Goel</v>
      </c>
      <c r="C1348" s="18" t="str">
        <f>IFERROR(__xludf.DUMMYFUNCTION("""COMPUTED_VALUE"""),"Juhu")</f>
        <v>Juhu</v>
      </c>
      <c r="D1348" s="18" t="str">
        <f>IFERROR(__xludf.DUMMYFUNCTION("""COMPUTED_VALUE"""),"Banana")</f>
        <v>Banana</v>
      </c>
      <c r="E1348" s="18">
        <f>IFERROR(__xludf.DUMMYFUNCTION("""COMPUTED_VALUE"""),2.0)</f>
        <v>2</v>
      </c>
      <c r="F1348" s="18" t="str">
        <f>IFERROR(__xludf.DUMMYFUNCTION("""COMPUTED_VALUE"""),"Tanvi Jain")</f>
        <v>Tanvi Jain</v>
      </c>
      <c r="G1348" s="19">
        <f>IFERROR(__xludf.DUMMYFUNCTION("""COMPUTED_VALUE"""),45182.0)</f>
        <v>45182</v>
      </c>
      <c r="H1348" s="18" t="str">
        <f>IFERROR(__xludf.DUMMYFUNCTION("""COMPUTED_VALUE"""),"UPI")</f>
        <v>UPI</v>
      </c>
      <c r="I1348" s="18" t="str">
        <f>IFERROR(__xludf.DUMMYFUNCTION("""COMPUTED_VALUE"""),"Delivered")</f>
        <v>Delivered</v>
      </c>
      <c r="J1348" s="18" t="str">
        <f>IFERROR(__xludf.DUMMYFUNCTION("""COMPUTED_VALUE"""),"Quality of Items")</f>
        <v>Quality of Items</v>
      </c>
      <c r="K1348" s="18" t="str">
        <f>IFERROR(__xludf.DUMMYFUNCTION("""COMPUTED_VALUE"""),"Perfect condition")</f>
        <v>Perfect condition</v>
      </c>
      <c r="L1348" s="18">
        <f>iferror(VLOOKUP($D1348,Details!$A$2:$C$11,2,false),vlookup($D1348,Details!$E$2:$G$11,2,false))</f>
        <v>80</v>
      </c>
      <c r="M1348" s="18" t="str">
        <f>iferror(VLOOKUP($D1348,Details!$A$2:$C$11,3,false),vlookup($D1348,Details!$E$2:$G$11,3,false))</f>
        <v>Fruits and Vegetables</v>
      </c>
      <c r="N1348" s="18">
        <f t="shared" si="1"/>
        <v>160</v>
      </c>
      <c r="O1348" s="17"/>
      <c r="P1348" s="17"/>
      <c r="Q1348" s="17"/>
      <c r="R1348" s="17"/>
      <c r="S1348" s="17"/>
      <c r="T1348" s="17"/>
      <c r="U1348" s="17"/>
      <c r="V1348" s="17"/>
      <c r="W1348" s="17"/>
      <c r="X1348" s="17"/>
      <c r="Y1348" s="17"/>
      <c r="Z1348" s="17"/>
    </row>
    <row r="1349">
      <c r="A1349" s="18" t="str">
        <f>IFERROR(__xludf.DUMMYFUNCTION("""COMPUTED_VALUE"""),"ord_61327")</f>
        <v>ord_61327</v>
      </c>
      <c r="B1349" s="18" t="str">
        <f>IFERROR(__xludf.DUMMYFUNCTION("""COMPUTED_VALUE"""),"Sanjay Nair")</f>
        <v>Sanjay Nair</v>
      </c>
      <c r="C1349" s="18" t="str">
        <f>IFERROR(__xludf.DUMMYFUNCTION("""COMPUTED_VALUE"""),"Dadar")</f>
        <v>Dadar</v>
      </c>
      <c r="D1349" s="18" t="str">
        <f>IFERROR(__xludf.DUMMYFUNCTION("""COMPUTED_VALUE"""),"Popcorn")</f>
        <v>Popcorn</v>
      </c>
      <c r="E1349" s="18">
        <f>IFERROR(__xludf.DUMMYFUNCTION("""COMPUTED_VALUE"""),1.0)</f>
        <v>1</v>
      </c>
      <c r="F1349" s="18" t="str">
        <f>IFERROR(__xludf.DUMMYFUNCTION("""COMPUTED_VALUE"""),"Aman Kumar")</f>
        <v>Aman Kumar</v>
      </c>
      <c r="G1349" s="19">
        <f>IFERROR(__xludf.DUMMYFUNCTION("""COMPUTED_VALUE"""),45248.0)</f>
        <v>45248</v>
      </c>
      <c r="H1349" s="18" t="str">
        <f>IFERROR(__xludf.DUMMYFUNCTION("""COMPUTED_VALUE"""),"Credit Card")</f>
        <v>Credit Card</v>
      </c>
      <c r="I1349" s="18" t="str">
        <f>IFERROR(__xludf.DUMMYFUNCTION("""COMPUTED_VALUE"""),"Delivered")</f>
        <v>Delivered</v>
      </c>
      <c r="J1349" s="18" t="str">
        <f>IFERROR(__xludf.DUMMYFUNCTION("""COMPUTED_VALUE"""),"On-time Delivery")</f>
        <v>On-time Delivery</v>
      </c>
      <c r="K1349" s="18" t="str">
        <f>IFERROR(__xludf.DUMMYFUNCTION("""COMPUTED_VALUE"""),"Delivered on time")</f>
        <v>Delivered on time</v>
      </c>
      <c r="L1349" s="18">
        <f>iferror(VLOOKUP($D1349,Details!$A$2:$C$11,2,false),vlookup($D1349,Details!$E$2:$G$11,2,false))</f>
        <v>150</v>
      </c>
      <c r="M1349" s="18" t="str">
        <f>iferror(VLOOKUP($D1349,Details!$A$2:$C$11,3,false),vlookup($D1349,Details!$E$2:$G$11,3,false))</f>
        <v>Snacks and Drinks</v>
      </c>
      <c r="N1349" s="18">
        <f t="shared" si="1"/>
        <v>150</v>
      </c>
      <c r="O1349" s="17"/>
      <c r="P1349" s="17"/>
      <c r="Q1349" s="17"/>
      <c r="R1349" s="17"/>
      <c r="S1349" s="17"/>
      <c r="T1349" s="17"/>
      <c r="U1349" s="17"/>
      <c r="V1349" s="17"/>
      <c r="W1349" s="17"/>
      <c r="X1349" s="17"/>
      <c r="Y1349" s="17"/>
      <c r="Z1349" s="17"/>
    </row>
    <row r="1350">
      <c r="A1350" s="18" t="str">
        <f>IFERROR(__xludf.DUMMYFUNCTION("""COMPUTED_VALUE"""),"ord_61328")</f>
        <v>ord_61328</v>
      </c>
      <c r="B1350" s="18" t="str">
        <f>IFERROR(__xludf.DUMMYFUNCTION("""COMPUTED_VALUE"""),"Diya Arora")</f>
        <v>Diya Arora</v>
      </c>
      <c r="C1350" s="18" t="str">
        <f>IFERROR(__xludf.DUMMYFUNCTION("""COMPUTED_VALUE"""),"Lower Parel")</f>
        <v>Lower Parel</v>
      </c>
      <c r="D1350" s="18" t="str">
        <f>IFERROR(__xludf.DUMMYFUNCTION("""COMPUTED_VALUE"""),"Popcorn")</f>
        <v>Popcorn</v>
      </c>
      <c r="E1350" s="18">
        <f>IFERROR(__xludf.DUMMYFUNCTION("""COMPUTED_VALUE"""),2.0)</f>
        <v>2</v>
      </c>
      <c r="F1350" s="18" t="str">
        <f>IFERROR(__xludf.DUMMYFUNCTION("""COMPUTED_VALUE"""),"Kiran Mehta")</f>
        <v>Kiran Mehta</v>
      </c>
      <c r="G1350" s="19">
        <f>IFERROR(__xludf.DUMMYFUNCTION("""COMPUTED_VALUE"""),44969.0)</f>
        <v>44969</v>
      </c>
      <c r="H1350" s="18" t="str">
        <f>IFERROR(__xludf.DUMMYFUNCTION("""COMPUTED_VALUE"""),"UPI")</f>
        <v>UPI</v>
      </c>
      <c r="I1350" s="18" t="str">
        <f>IFERROR(__xludf.DUMMYFUNCTION("""COMPUTED_VALUE"""),"Delivered")</f>
        <v>Delivered</v>
      </c>
      <c r="J1350" s="18" t="str">
        <f>IFERROR(__xludf.DUMMYFUNCTION("""COMPUTED_VALUE"""),"Quality of Items")</f>
        <v>Quality of Items</v>
      </c>
      <c r="K1350" s="18" t="str">
        <f>IFERROR(__xludf.DUMMYFUNCTION("""COMPUTED_VALUE"""),"Perfect condition")</f>
        <v>Perfect condition</v>
      </c>
      <c r="L1350" s="18">
        <f>iferror(VLOOKUP($D1350,Details!$A$2:$C$11,2,false),vlookup($D1350,Details!$E$2:$G$11,2,false))</f>
        <v>150</v>
      </c>
      <c r="M1350" s="18" t="str">
        <f>iferror(VLOOKUP($D1350,Details!$A$2:$C$11,3,false),vlookup($D1350,Details!$E$2:$G$11,3,false))</f>
        <v>Snacks and Drinks</v>
      </c>
      <c r="N1350" s="18">
        <f t="shared" si="1"/>
        <v>300</v>
      </c>
      <c r="O1350" s="17"/>
      <c r="P1350" s="17"/>
      <c r="Q1350" s="17"/>
      <c r="R1350" s="17"/>
      <c r="S1350" s="17"/>
      <c r="T1350" s="17"/>
      <c r="U1350" s="17"/>
      <c r="V1350" s="17"/>
      <c r="W1350" s="17"/>
      <c r="X1350" s="17"/>
      <c r="Y1350" s="17"/>
      <c r="Z1350" s="17"/>
    </row>
    <row r="1351">
      <c r="A1351" s="18" t="str">
        <f>IFERROR(__xludf.DUMMYFUNCTION("""COMPUTED_VALUE"""),"ord_61329")</f>
        <v>ord_61329</v>
      </c>
      <c r="B1351" s="18" t="str">
        <f>IFERROR(__xludf.DUMMYFUNCTION("""COMPUTED_VALUE"""),"Aditi Iyer")</f>
        <v>Aditi Iyer</v>
      </c>
      <c r="C1351" s="18" t="str">
        <f>IFERROR(__xludf.DUMMYFUNCTION("""COMPUTED_VALUE"""),"Dadar")</f>
        <v>Dadar</v>
      </c>
      <c r="D1351" s="18" t="str">
        <f>IFERROR(__xludf.DUMMYFUNCTION("""COMPUTED_VALUE"""),"Banana")</f>
        <v>Banana</v>
      </c>
      <c r="E1351" s="18">
        <f>IFERROR(__xludf.DUMMYFUNCTION("""COMPUTED_VALUE"""),1.0)</f>
        <v>1</v>
      </c>
      <c r="F1351" s="18" t="str">
        <f>IFERROR(__xludf.DUMMYFUNCTION("""COMPUTED_VALUE"""),"Aman Kumar")</f>
        <v>Aman Kumar</v>
      </c>
      <c r="G1351" s="19">
        <f>IFERROR(__xludf.DUMMYFUNCTION("""COMPUTED_VALUE"""),45104.0)</f>
        <v>45104</v>
      </c>
      <c r="H1351" s="18" t="str">
        <f>IFERROR(__xludf.DUMMYFUNCTION("""COMPUTED_VALUE"""),"UPI")</f>
        <v>UPI</v>
      </c>
      <c r="I1351" s="18" t="str">
        <f>IFERROR(__xludf.DUMMYFUNCTION("""COMPUTED_VALUE"""),"Delivered")</f>
        <v>Delivered</v>
      </c>
      <c r="J1351" s="18" t="str">
        <f>IFERROR(__xludf.DUMMYFUNCTION("""COMPUTED_VALUE"""),"Packaging")</f>
        <v>Packaging</v>
      </c>
      <c r="K1351" s="18" t="str">
        <f>IFERROR(__xludf.DUMMYFUNCTION("""COMPUTED_VALUE"""),"Secure and intact")</f>
        <v>Secure and intact</v>
      </c>
      <c r="L1351" s="18">
        <f>iferror(VLOOKUP($D1351,Details!$A$2:$C$11,2,false),vlookup($D1351,Details!$E$2:$G$11,2,false))</f>
        <v>80</v>
      </c>
      <c r="M1351" s="18" t="str">
        <f>iferror(VLOOKUP($D1351,Details!$A$2:$C$11,3,false),vlookup($D1351,Details!$E$2:$G$11,3,false))</f>
        <v>Fruits and Vegetables</v>
      </c>
      <c r="N1351" s="18">
        <f t="shared" si="1"/>
        <v>80</v>
      </c>
      <c r="O1351" s="17"/>
      <c r="P1351" s="17"/>
      <c r="Q1351" s="17"/>
      <c r="R1351" s="17"/>
      <c r="S1351" s="17"/>
      <c r="T1351" s="17"/>
      <c r="U1351" s="17"/>
      <c r="V1351" s="17"/>
      <c r="W1351" s="17"/>
      <c r="X1351" s="17"/>
      <c r="Y1351" s="17"/>
      <c r="Z1351" s="17"/>
    </row>
    <row r="1352">
      <c r="A1352" s="18" t="str">
        <f>IFERROR(__xludf.DUMMYFUNCTION("""COMPUTED_VALUE"""),"ord_61330")</f>
        <v>ord_61330</v>
      </c>
      <c r="B1352" s="18" t="str">
        <f>IFERROR(__xludf.DUMMYFUNCTION("""COMPUTED_VALUE"""),"Dev Chauhan")</f>
        <v>Dev Chauhan</v>
      </c>
      <c r="C1352" s="18" t="str">
        <f>IFERROR(__xludf.DUMMYFUNCTION("""COMPUTED_VALUE"""),"Bandra")</f>
        <v>Bandra</v>
      </c>
      <c r="D1352" s="18" t="str">
        <f>IFERROR(__xludf.DUMMYFUNCTION("""COMPUTED_VALUE"""),"Veg Puff")</f>
        <v>Veg Puff</v>
      </c>
      <c r="E1352" s="18">
        <f>IFERROR(__xludf.DUMMYFUNCTION("""COMPUTED_VALUE"""),3.0)</f>
        <v>3</v>
      </c>
      <c r="F1352" s="18" t="str">
        <f>IFERROR(__xludf.DUMMYFUNCTION("""COMPUTED_VALUE"""),"Priya Joshi")</f>
        <v>Priya Joshi</v>
      </c>
      <c r="G1352" s="19">
        <f>IFERROR(__xludf.DUMMYFUNCTION("""COMPUTED_VALUE"""),44938.0)</f>
        <v>44938</v>
      </c>
      <c r="H1352" s="18" t="str">
        <f>IFERROR(__xludf.DUMMYFUNCTION("""COMPUTED_VALUE"""),"UPI")</f>
        <v>UPI</v>
      </c>
      <c r="I1352" s="18" t="str">
        <f>IFERROR(__xludf.DUMMYFUNCTION("""COMPUTED_VALUE"""),"Delivered")</f>
        <v>Delivered</v>
      </c>
      <c r="J1352" s="18" t="str">
        <f>IFERROR(__xludf.DUMMYFUNCTION("""COMPUTED_VALUE"""),"Satisfied with the Delivery")</f>
        <v>Satisfied with the Delivery</v>
      </c>
      <c r="K1352" s="18" t="str">
        <f>IFERROR(__xludf.DUMMYFUNCTION("""COMPUTED_VALUE"""),"Timely and quality")</f>
        <v>Timely and quality</v>
      </c>
      <c r="L1352" s="18">
        <f>iferror(VLOOKUP($D1352,Details!$A$2:$C$11,2,false),vlookup($D1352,Details!$E$2:$G$11,2,false))</f>
        <v>80</v>
      </c>
      <c r="M1352" s="18" t="str">
        <f>iferror(VLOOKUP($D1352,Details!$A$2:$C$11,3,false),vlookup($D1352,Details!$E$2:$G$11,3,false))</f>
        <v>Snacks and Drinks</v>
      </c>
      <c r="N1352" s="18">
        <f t="shared" si="1"/>
        <v>240</v>
      </c>
      <c r="O1352" s="17"/>
      <c r="P1352" s="17"/>
      <c r="Q1352" s="17"/>
      <c r="R1352" s="17"/>
      <c r="S1352" s="17"/>
      <c r="T1352" s="17"/>
      <c r="U1352" s="17"/>
      <c r="V1352" s="17"/>
      <c r="W1352" s="17"/>
      <c r="X1352" s="17"/>
      <c r="Y1352" s="17"/>
      <c r="Z1352" s="17"/>
    </row>
    <row r="1353">
      <c r="A1353" s="18" t="str">
        <f>IFERROR(__xludf.DUMMYFUNCTION("""COMPUTED_VALUE"""),"ord_61331")</f>
        <v>ord_61331</v>
      </c>
      <c r="B1353" s="18" t="str">
        <f>IFERROR(__xludf.DUMMYFUNCTION("""COMPUTED_VALUE"""),"Ishita Banerjee")</f>
        <v>Ishita Banerjee</v>
      </c>
      <c r="C1353" s="18" t="str">
        <f>IFERROR(__xludf.DUMMYFUNCTION("""COMPUTED_VALUE"""),"Juhu")</f>
        <v>Juhu</v>
      </c>
      <c r="D1353" s="18" t="str">
        <f>IFERROR(__xludf.DUMMYFUNCTION("""COMPUTED_VALUE"""),"Rasmalai")</f>
        <v>Rasmalai</v>
      </c>
      <c r="E1353" s="18">
        <f>IFERROR(__xludf.DUMMYFUNCTION("""COMPUTED_VALUE"""),1.0)</f>
        <v>1</v>
      </c>
      <c r="F1353" s="18" t="str">
        <f>IFERROR(__xludf.DUMMYFUNCTION("""COMPUTED_VALUE"""),"Tanvi Jain")</f>
        <v>Tanvi Jain</v>
      </c>
      <c r="G1353" s="19">
        <f>IFERROR(__xludf.DUMMYFUNCTION("""COMPUTED_VALUE"""),45233.0)</f>
        <v>45233</v>
      </c>
      <c r="H1353" s="18" t="str">
        <f>IFERROR(__xludf.DUMMYFUNCTION("""COMPUTED_VALUE"""),"Credit Card")</f>
        <v>Credit Card</v>
      </c>
      <c r="I1353" s="18" t="str">
        <f>IFERROR(__xludf.DUMMYFUNCTION("""COMPUTED_VALUE"""),"Delivered")</f>
        <v>Delivered</v>
      </c>
      <c r="J1353" s="18" t="str">
        <f>IFERROR(__xludf.DUMMYFUNCTION("""COMPUTED_VALUE"""),"Customer Service")</f>
        <v>Customer Service</v>
      </c>
      <c r="K1353" s="18" t="str">
        <f>IFERROR(__xludf.DUMMYFUNCTION("""COMPUTED_VALUE"""),"Seamless and easy")</f>
        <v>Seamless and easy</v>
      </c>
      <c r="L1353" s="18">
        <f>iferror(VLOOKUP($D1353,Details!$A$2:$C$11,2,false),vlookup($D1353,Details!$E$2:$G$11,2,false))</f>
        <v>110</v>
      </c>
      <c r="M1353" s="18" t="str">
        <f>iferror(VLOOKUP($D1353,Details!$A$2:$C$11,3,false),vlookup($D1353,Details!$E$2:$G$11,3,false))</f>
        <v>Snacks and Drinks</v>
      </c>
      <c r="N1353" s="18">
        <f t="shared" si="1"/>
        <v>110</v>
      </c>
      <c r="O1353" s="17"/>
      <c r="P1353" s="17"/>
      <c r="Q1353" s="17"/>
      <c r="R1353" s="17"/>
      <c r="S1353" s="17"/>
      <c r="T1353" s="17"/>
      <c r="U1353" s="17"/>
      <c r="V1353" s="17"/>
      <c r="W1353" s="17"/>
      <c r="X1353" s="17"/>
      <c r="Y1353" s="17"/>
      <c r="Z1353" s="17"/>
    </row>
    <row r="1354">
      <c r="A1354" s="18" t="str">
        <f>IFERROR(__xludf.DUMMYFUNCTION("""COMPUTED_VALUE"""),"ord_61332")</f>
        <v>ord_61332</v>
      </c>
      <c r="B1354" s="18" t="str">
        <f>IFERROR(__xludf.DUMMYFUNCTION("""COMPUTED_VALUE"""),"Arvind Kulkarni")</f>
        <v>Arvind Kulkarni</v>
      </c>
      <c r="C1354" s="18" t="str">
        <f>IFERROR(__xludf.DUMMYFUNCTION("""COMPUTED_VALUE"""),"Juhu")</f>
        <v>Juhu</v>
      </c>
      <c r="D1354" s="18" t="str">
        <f>IFERROR(__xludf.DUMMYFUNCTION("""COMPUTED_VALUE"""),"Apple")</f>
        <v>Apple</v>
      </c>
      <c r="E1354" s="18">
        <f>IFERROR(__xludf.DUMMYFUNCTION("""COMPUTED_VALUE"""),1.0)</f>
        <v>1</v>
      </c>
      <c r="F1354" s="18" t="str">
        <f>IFERROR(__xludf.DUMMYFUNCTION("""COMPUTED_VALUE"""),"Tanvi Jain")</f>
        <v>Tanvi Jain</v>
      </c>
      <c r="G1354" s="19">
        <f>IFERROR(__xludf.DUMMYFUNCTION("""COMPUTED_VALUE"""),45058.0)</f>
        <v>45058</v>
      </c>
      <c r="H1354" s="18" t="str">
        <f>IFERROR(__xludf.DUMMYFUNCTION("""COMPUTED_VALUE"""),"UPI")</f>
        <v>UPI</v>
      </c>
      <c r="I1354" s="18" t="str">
        <f>IFERROR(__xludf.DUMMYFUNCTION("""COMPUTED_VALUE"""),"Delivered")</f>
        <v>Delivered</v>
      </c>
      <c r="J1354" s="18" t="str">
        <f>IFERROR(__xludf.DUMMYFUNCTION("""COMPUTED_VALUE"""),"Delivery Experience")</f>
        <v>Delivery Experience</v>
      </c>
      <c r="K1354" s="18" t="str">
        <f>IFERROR(__xludf.DUMMYFUNCTION("""COMPUTED_VALUE"""),"Quick and professional")</f>
        <v>Quick and professional</v>
      </c>
      <c r="L1354" s="18">
        <f>iferror(VLOOKUP($D1354,Details!$A$2:$C$11,2,false),vlookup($D1354,Details!$E$2:$G$11,2,false))</f>
        <v>230</v>
      </c>
      <c r="M1354" s="18" t="str">
        <f>iferror(VLOOKUP($D1354,Details!$A$2:$C$11,3,false),vlookup($D1354,Details!$E$2:$G$11,3,false))</f>
        <v>Fruits and Vegetables</v>
      </c>
      <c r="N1354" s="18">
        <f t="shared" si="1"/>
        <v>230</v>
      </c>
      <c r="O1354" s="17"/>
      <c r="P1354" s="17"/>
      <c r="Q1354" s="17"/>
      <c r="R1354" s="17"/>
      <c r="S1354" s="17"/>
      <c r="T1354" s="17"/>
      <c r="U1354" s="17"/>
      <c r="V1354" s="17"/>
      <c r="W1354" s="17"/>
      <c r="X1354" s="17"/>
      <c r="Y1354" s="17"/>
      <c r="Z1354" s="17"/>
    </row>
    <row r="1355">
      <c r="A1355" s="18" t="str">
        <f>IFERROR(__xludf.DUMMYFUNCTION("""COMPUTED_VALUE"""),"ord_61333")</f>
        <v>ord_61333</v>
      </c>
      <c r="B1355" s="18" t="str">
        <f>IFERROR(__xludf.DUMMYFUNCTION("""COMPUTED_VALUE"""),"Diya Arora")</f>
        <v>Diya Arora</v>
      </c>
      <c r="C1355" s="18" t="str">
        <f>IFERROR(__xludf.DUMMYFUNCTION("""COMPUTED_VALUE"""),"Lower Parel")</f>
        <v>Lower Parel</v>
      </c>
      <c r="D1355" s="18" t="str">
        <f>IFERROR(__xludf.DUMMYFUNCTION("""COMPUTED_VALUE"""),"Cold Coffee")</f>
        <v>Cold Coffee</v>
      </c>
      <c r="E1355" s="18">
        <f>IFERROR(__xludf.DUMMYFUNCTION("""COMPUTED_VALUE"""),3.0)</f>
        <v>3</v>
      </c>
      <c r="F1355" s="18" t="str">
        <f>IFERROR(__xludf.DUMMYFUNCTION("""COMPUTED_VALUE"""),"Kiran Mehta")</f>
        <v>Kiran Mehta</v>
      </c>
      <c r="G1355" s="19">
        <f>IFERROR(__xludf.DUMMYFUNCTION("""COMPUTED_VALUE"""),45266.0)</f>
        <v>45266</v>
      </c>
      <c r="H1355" s="18" t="str">
        <f>IFERROR(__xludf.DUMMYFUNCTION("""COMPUTED_VALUE"""),"Online Payment")</f>
        <v>Online Payment</v>
      </c>
      <c r="I1355" s="18" t="str">
        <f>IFERROR(__xludf.DUMMYFUNCTION("""COMPUTED_VALUE"""),"Delivered")</f>
        <v>Delivered</v>
      </c>
      <c r="J1355" s="18" t="str">
        <f>IFERROR(__xludf.DUMMYFUNCTION("""COMPUTED_VALUE"""),"Convenience")</f>
        <v>Convenience</v>
      </c>
      <c r="K1355" s="18" t="str">
        <f>IFERROR(__xludf.DUMMYFUNCTION("""COMPUTED_VALUE"""),"Easy tracking")</f>
        <v>Easy tracking</v>
      </c>
      <c r="L1355" s="18">
        <f>iferror(VLOOKUP($D1355,Details!$A$2:$C$11,2,false),vlookup($D1355,Details!$E$2:$G$11,2,false))</f>
        <v>270</v>
      </c>
      <c r="M1355" s="18" t="str">
        <f>iferror(VLOOKUP($D1355,Details!$A$2:$C$11,3,false),vlookup($D1355,Details!$E$2:$G$11,3,false))</f>
        <v>Snacks and Drinks</v>
      </c>
      <c r="N1355" s="18">
        <f t="shared" si="1"/>
        <v>810</v>
      </c>
      <c r="O1355" s="17"/>
      <c r="P1355" s="17"/>
      <c r="Q1355" s="17"/>
      <c r="R1355" s="17"/>
      <c r="S1355" s="17"/>
      <c r="T1355" s="17"/>
      <c r="U1355" s="17"/>
      <c r="V1355" s="17"/>
      <c r="W1355" s="17"/>
      <c r="X1355" s="17"/>
      <c r="Y1355" s="17"/>
      <c r="Z1355" s="17"/>
    </row>
    <row r="1356">
      <c r="A1356" s="18" t="str">
        <f>IFERROR(__xludf.DUMMYFUNCTION("""COMPUTED_VALUE"""),"ord_61334")</f>
        <v>ord_61334</v>
      </c>
      <c r="B1356" s="18" t="str">
        <f>IFERROR(__xludf.DUMMYFUNCTION("""COMPUTED_VALUE"""),"Aarohi Kapoor")</f>
        <v>Aarohi Kapoor</v>
      </c>
      <c r="C1356" s="18" t="str">
        <f>IFERROR(__xludf.DUMMYFUNCTION("""COMPUTED_VALUE"""),"Bandra")</f>
        <v>Bandra</v>
      </c>
      <c r="D1356" s="18" t="str">
        <f>IFERROR(__xludf.DUMMYFUNCTION("""COMPUTED_VALUE"""),"Guava")</f>
        <v>Guava</v>
      </c>
      <c r="E1356" s="18">
        <f>IFERROR(__xludf.DUMMYFUNCTION("""COMPUTED_VALUE"""),1.0)</f>
        <v>1</v>
      </c>
      <c r="F1356" s="18" t="str">
        <f>IFERROR(__xludf.DUMMYFUNCTION("""COMPUTED_VALUE"""),"Priya Joshi")</f>
        <v>Priya Joshi</v>
      </c>
      <c r="G1356" s="19">
        <f>IFERROR(__xludf.DUMMYFUNCTION("""COMPUTED_VALUE"""),45264.0)</f>
        <v>45264</v>
      </c>
      <c r="H1356" s="18" t="str">
        <f>IFERROR(__xludf.DUMMYFUNCTION("""COMPUTED_VALUE"""),"UPI")</f>
        <v>UPI</v>
      </c>
      <c r="I1356" s="18" t="str">
        <f>IFERROR(__xludf.DUMMYFUNCTION("""COMPUTED_VALUE"""),"Delivered")</f>
        <v>Delivered</v>
      </c>
      <c r="J1356" s="18" t="str">
        <f>IFERROR(__xludf.DUMMYFUNCTION("""COMPUTED_VALUE"""),"Overall Satisfaction")</f>
        <v>Overall Satisfaction</v>
      </c>
      <c r="K1356" s="18" t="str">
        <f>IFERROR(__xludf.DUMMYFUNCTION("""COMPUTED_VALUE"""),"Great service will order again")</f>
        <v>Great service will order again</v>
      </c>
      <c r="L1356" s="18">
        <f>iferror(VLOOKUP($D1356,Details!$A$2:$C$11,2,false),vlookup($D1356,Details!$E$2:$G$11,2,false))</f>
        <v>70</v>
      </c>
      <c r="M1356" s="18" t="str">
        <f>iferror(VLOOKUP($D1356,Details!$A$2:$C$11,3,false),vlookup($D1356,Details!$E$2:$G$11,3,false))</f>
        <v>Fruits and Vegetables</v>
      </c>
      <c r="N1356" s="18">
        <f t="shared" si="1"/>
        <v>70</v>
      </c>
      <c r="O1356" s="17"/>
      <c r="P1356" s="17"/>
      <c r="Q1356" s="17"/>
      <c r="R1356" s="17"/>
      <c r="S1356" s="17"/>
      <c r="T1356" s="17"/>
      <c r="U1356" s="17"/>
      <c r="V1356" s="17"/>
      <c r="W1356" s="17"/>
      <c r="X1356" s="17"/>
      <c r="Y1356" s="17"/>
      <c r="Z1356" s="17"/>
    </row>
    <row r="1357">
      <c r="A1357" s="18" t="str">
        <f>IFERROR(__xludf.DUMMYFUNCTION("""COMPUTED_VALUE"""),"ord_61335")</f>
        <v>ord_61335</v>
      </c>
      <c r="B1357" s="18" t="str">
        <f>IFERROR(__xludf.DUMMYFUNCTION("""COMPUTED_VALUE"""),"Arvind Kulkarni")</f>
        <v>Arvind Kulkarni</v>
      </c>
      <c r="C1357" s="18" t="str">
        <f>IFERROR(__xludf.DUMMYFUNCTION("""COMPUTED_VALUE"""),"Juhu")</f>
        <v>Juhu</v>
      </c>
      <c r="D1357" s="18" t="str">
        <f>IFERROR(__xludf.DUMMYFUNCTION("""COMPUTED_VALUE"""),"Guava")</f>
        <v>Guava</v>
      </c>
      <c r="E1357" s="18">
        <f>IFERROR(__xludf.DUMMYFUNCTION("""COMPUTED_VALUE"""),1.0)</f>
        <v>1</v>
      </c>
      <c r="F1357" s="18" t="str">
        <f>IFERROR(__xludf.DUMMYFUNCTION("""COMPUTED_VALUE"""),"Kiran Mehta")</f>
        <v>Kiran Mehta</v>
      </c>
      <c r="G1357" s="19">
        <f>IFERROR(__xludf.DUMMYFUNCTION("""COMPUTED_VALUE"""),45108.0)</f>
        <v>45108</v>
      </c>
      <c r="H1357" s="18" t="str">
        <f>IFERROR(__xludf.DUMMYFUNCTION("""COMPUTED_VALUE"""),"Online Payment")</f>
        <v>Online Payment</v>
      </c>
      <c r="I1357" s="18" t="str">
        <f>IFERROR(__xludf.DUMMYFUNCTION("""COMPUTED_VALUE"""),"Cancelled")</f>
        <v>Cancelled</v>
      </c>
      <c r="J1357" s="18" t="str">
        <f>IFERROR(__xludf.DUMMYFUNCTION("""COMPUTED_VALUE"""),"Delayed Delivery")</f>
        <v>Delayed Delivery</v>
      </c>
      <c r="K1357" s="18" t="str">
        <f>IFERROR(__xludf.DUMMYFUNCTION("""COMPUTED_VALUE"""),"Heavy Traffic")</f>
        <v>Heavy Traffic</v>
      </c>
      <c r="L1357" s="18">
        <f>iferror(VLOOKUP($D1357,Details!$A$2:$C$11,2,false),vlookup($D1357,Details!$E$2:$G$11,2,false))</f>
        <v>70</v>
      </c>
      <c r="M1357" s="18" t="str">
        <f>iferror(VLOOKUP($D1357,Details!$A$2:$C$11,3,false),vlookup($D1357,Details!$E$2:$G$11,3,false))</f>
        <v>Fruits and Vegetables</v>
      </c>
      <c r="N1357" s="18">
        <f t="shared" si="1"/>
        <v>70</v>
      </c>
      <c r="O1357" s="17"/>
      <c r="P1357" s="17"/>
      <c r="Q1357" s="17"/>
      <c r="R1357" s="17"/>
      <c r="S1357" s="17"/>
      <c r="T1357" s="17"/>
      <c r="U1357" s="17"/>
      <c r="V1357" s="17"/>
      <c r="W1357" s="17"/>
      <c r="X1357" s="17"/>
      <c r="Y1357" s="17"/>
      <c r="Z1357" s="17"/>
    </row>
    <row r="1358">
      <c r="A1358" s="18" t="str">
        <f>IFERROR(__xludf.DUMMYFUNCTION("""COMPUTED_VALUE"""),"ord_61336")</f>
        <v>ord_61336</v>
      </c>
      <c r="B1358" s="18" t="str">
        <f>IFERROR(__xludf.DUMMYFUNCTION("""COMPUTED_VALUE"""),"Siya Reddy")</f>
        <v>Siya Reddy</v>
      </c>
      <c r="C1358" s="18" t="str">
        <f>IFERROR(__xludf.DUMMYFUNCTION("""COMPUTED_VALUE"""),"Juhu")</f>
        <v>Juhu</v>
      </c>
      <c r="D1358" s="18" t="str">
        <f>IFERROR(__xludf.DUMMYFUNCTION("""COMPUTED_VALUE"""),"Chocolate Mousse")</f>
        <v>Chocolate Mousse</v>
      </c>
      <c r="E1358" s="18">
        <f>IFERROR(__xludf.DUMMYFUNCTION("""COMPUTED_VALUE"""),4.0)</f>
        <v>4</v>
      </c>
      <c r="F1358" s="18" t="str">
        <f>IFERROR(__xludf.DUMMYFUNCTION("""COMPUTED_VALUE"""),"Not Assigned")</f>
        <v>Not Assigned</v>
      </c>
      <c r="G1358" s="19">
        <f>IFERROR(__xludf.DUMMYFUNCTION("""COMPUTED_VALUE"""),45051.0)</f>
        <v>45051</v>
      </c>
      <c r="H1358" s="18" t="str">
        <f>IFERROR(__xludf.DUMMYFUNCTION("""COMPUTED_VALUE"""),"UPI")</f>
        <v>UPI</v>
      </c>
      <c r="I1358" s="18" t="str">
        <f>IFERROR(__xludf.DUMMYFUNCTION("""COMPUTED_VALUE"""),"Cancelled")</f>
        <v>Cancelled</v>
      </c>
      <c r="J1358" s="18" t="str">
        <f>IFERROR(__xludf.DUMMYFUNCTION("""COMPUTED_VALUE"""),"Payment Issues")</f>
        <v>Payment Issues</v>
      </c>
      <c r="K1358" s="18"/>
      <c r="L1358" s="18">
        <f>iferror(VLOOKUP($D1358,Details!$A$2:$C$11,2,false),vlookup($D1358,Details!$E$2:$G$11,2,false))</f>
        <v>145</v>
      </c>
      <c r="M1358" s="18" t="str">
        <f>iferror(VLOOKUP($D1358,Details!$A$2:$C$11,3,false),vlookup($D1358,Details!$E$2:$G$11,3,false))</f>
        <v>Snacks and Drinks</v>
      </c>
      <c r="N1358" s="18">
        <f t="shared" si="1"/>
        <v>580</v>
      </c>
      <c r="O1358" s="17"/>
      <c r="P1358" s="17"/>
      <c r="Q1358" s="17"/>
      <c r="R1358" s="17"/>
      <c r="S1358" s="17"/>
      <c r="T1358" s="17"/>
      <c r="U1358" s="17"/>
      <c r="V1358" s="17"/>
      <c r="W1358" s="17"/>
      <c r="X1358" s="17"/>
      <c r="Y1358" s="17"/>
      <c r="Z1358" s="17"/>
    </row>
    <row r="1359">
      <c r="A1359" s="18" t="str">
        <f>IFERROR(__xludf.DUMMYFUNCTION("""COMPUTED_VALUE"""),"ord_61337")</f>
        <v>ord_61337</v>
      </c>
      <c r="B1359" s="18" t="str">
        <f>IFERROR(__xludf.DUMMYFUNCTION("""COMPUTED_VALUE"""),"Omkar Mishra")</f>
        <v>Omkar Mishra</v>
      </c>
      <c r="C1359" s="18" t="str">
        <f>IFERROR(__xludf.DUMMYFUNCTION("""COMPUTED_VALUE"""),"Powai")</f>
        <v>Powai</v>
      </c>
      <c r="D1359" s="18" t="str">
        <f>IFERROR(__xludf.DUMMYFUNCTION("""COMPUTED_VALUE"""),"Tiramisu")</f>
        <v>Tiramisu</v>
      </c>
      <c r="E1359" s="18">
        <f>IFERROR(__xludf.DUMMYFUNCTION("""COMPUTED_VALUE"""),3.0)</f>
        <v>3</v>
      </c>
      <c r="F1359" s="18" t="str">
        <f>IFERROR(__xludf.DUMMYFUNCTION("""COMPUTED_VALUE"""),"Sandeep Kumar")</f>
        <v>Sandeep Kumar</v>
      </c>
      <c r="G1359" s="19">
        <f>IFERROR(__xludf.DUMMYFUNCTION("""COMPUTED_VALUE"""),44987.0)</f>
        <v>44987</v>
      </c>
      <c r="H1359" s="18" t="str">
        <f>IFERROR(__xludf.DUMMYFUNCTION("""COMPUTED_VALUE"""),"Online Payment")</f>
        <v>Online Payment</v>
      </c>
      <c r="I1359" s="18" t="str">
        <f>IFERROR(__xludf.DUMMYFUNCTION("""COMPUTED_VALUE"""),"Delivered")</f>
        <v>Delivered</v>
      </c>
      <c r="J1359" s="18" t="str">
        <f>IFERROR(__xludf.DUMMYFUNCTION("""COMPUTED_VALUE"""),"On-time Delivery")</f>
        <v>On-time Delivery</v>
      </c>
      <c r="K1359" s="18" t="str">
        <f>IFERROR(__xludf.DUMMYFUNCTION("""COMPUTED_VALUE"""),"Delivered on time")</f>
        <v>Delivered on time</v>
      </c>
      <c r="L1359" s="18">
        <f>iferror(VLOOKUP($D1359,Details!$A$2:$C$11,2,false),vlookup($D1359,Details!$E$2:$G$11,2,false))</f>
        <v>150</v>
      </c>
      <c r="M1359" s="18" t="str">
        <f>iferror(VLOOKUP($D1359,Details!$A$2:$C$11,3,false),vlookup($D1359,Details!$E$2:$G$11,3,false))</f>
        <v>Snacks and Drinks</v>
      </c>
      <c r="N1359" s="18">
        <f t="shared" si="1"/>
        <v>450</v>
      </c>
      <c r="O1359" s="17"/>
      <c r="P1359" s="17"/>
      <c r="Q1359" s="17"/>
      <c r="R1359" s="17"/>
      <c r="S1359" s="17"/>
      <c r="T1359" s="17"/>
      <c r="U1359" s="17"/>
      <c r="V1359" s="17"/>
      <c r="W1359" s="17"/>
      <c r="X1359" s="17"/>
      <c r="Y1359" s="17"/>
      <c r="Z1359" s="17"/>
    </row>
    <row r="1360">
      <c r="A1360" s="18" t="str">
        <f>IFERROR(__xludf.DUMMYFUNCTION("""COMPUTED_VALUE"""),"ord_61338")</f>
        <v>ord_61338</v>
      </c>
      <c r="B1360" s="18" t="str">
        <f>IFERROR(__xludf.DUMMYFUNCTION("""COMPUTED_VALUE"""),"Pallavi Ghosh")</f>
        <v>Pallavi Ghosh</v>
      </c>
      <c r="C1360" s="18" t="str">
        <f>IFERROR(__xludf.DUMMYFUNCTION("""COMPUTED_VALUE"""),"Bandra")</f>
        <v>Bandra</v>
      </c>
      <c r="D1360" s="18" t="str">
        <f>IFERROR(__xludf.DUMMYFUNCTION("""COMPUTED_VALUE"""),"Icecream")</f>
        <v>Icecream</v>
      </c>
      <c r="E1360" s="18">
        <f>IFERROR(__xludf.DUMMYFUNCTION("""COMPUTED_VALUE"""),4.0)</f>
        <v>4</v>
      </c>
      <c r="F1360" s="18" t="str">
        <f>IFERROR(__xludf.DUMMYFUNCTION("""COMPUTED_VALUE"""),"Priya Joshi")</f>
        <v>Priya Joshi</v>
      </c>
      <c r="G1360" s="19">
        <f>IFERROR(__xludf.DUMMYFUNCTION("""COMPUTED_VALUE"""),44945.0)</f>
        <v>44945</v>
      </c>
      <c r="H1360" s="18" t="str">
        <f>IFERROR(__xludf.DUMMYFUNCTION("""COMPUTED_VALUE"""),"UPI")</f>
        <v>UPI</v>
      </c>
      <c r="I1360" s="18" t="str">
        <f>IFERROR(__xludf.DUMMYFUNCTION("""COMPUTED_VALUE"""),"Delivered")</f>
        <v>Delivered</v>
      </c>
      <c r="J1360" s="18" t="str">
        <f>IFERROR(__xludf.DUMMYFUNCTION("""COMPUTED_VALUE"""),"Quality of Items")</f>
        <v>Quality of Items</v>
      </c>
      <c r="K1360" s="18" t="str">
        <f>IFERROR(__xludf.DUMMYFUNCTION("""COMPUTED_VALUE"""),"Perfect condition")</f>
        <v>Perfect condition</v>
      </c>
      <c r="L1360" s="18">
        <f>iferror(VLOOKUP($D1360,Details!$A$2:$C$11,2,false),vlookup($D1360,Details!$E$2:$G$11,2,false))</f>
        <v>90</v>
      </c>
      <c r="M1360" s="18" t="str">
        <f>iferror(VLOOKUP($D1360,Details!$A$2:$C$11,3,false),vlookup($D1360,Details!$E$2:$G$11,3,false))</f>
        <v>Snacks and Drinks</v>
      </c>
      <c r="N1360" s="18">
        <f t="shared" si="1"/>
        <v>360</v>
      </c>
      <c r="O1360" s="17"/>
      <c r="P1360" s="17"/>
      <c r="Q1360" s="17"/>
      <c r="R1360" s="17"/>
      <c r="S1360" s="17"/>
      <c r="T1360" s="17"/>
      <c r="U1360" s="17"/>
      <c r="V1360" s="17"/>
      <c r="W1360" s="17"/>
      <c r="X1360" s="17"/>
      <c r="Y1360" s="17"/>
      <c r="Z1360" s="17"/>
    </row>
    <row r="1361">
      <c r="A1361" s="18" t="str">
        <f>IFERROR(__xludf.DUMMYFUNCTION("""COMPUTED_VALUE"""),"ord_61339")</f>
        <v>ord_61339</v>
      </c>
      <c r="B1361" s="18" t="str">
        <f>IFERROR(__xludf.DUMMYFUNCTION("""COMPUTED_VALUE"""),"Ishaan Chaturvedi")</f>
        <v>Ishaan Chaturvedi</v>
      </c>
      <c r="C1361" s="18" t="str">
        <f>IFERROR(__xludf.DUMMYFUNCTION("""COMPUTED_VALUE"""),"Bandra")</f>
        <v>Bandra</v>
      </c>
      <c r="D1361" s="18" t="str">
        <f>IFERROR(__xludf.DUMMYFUNCTION("""COMPUTED_VALUE"""),"Chocolate Mousse")</f>
        <v>Chocolate Mousse</v>
      </c>
      <c r="E1361" s="18">
        <f>IFERROR(__xludf.DUMMYFUNCTION("""COMPUTED_VALUE"""),4.0)</f>
        <v>4</v>
      </c>
      <c r="F1361" s="18" t="str">
        <f>IFERROR(__xludf.DUMMYFUNCTION("""COMPUTED_VALUE"""),"Priya Joshi")</f>
        <v>Priya Joshi</v>
      </c>
      <c r="G1361" s="19">
        <f>IFERROR(__xludf.DUMMYFUNCTION("""COMPUTED_VALUE"""),45259.0)</f>
        <v>45259</v>
      </c>
      <c r="H1361" s="18" t="str">
        <f>IFERROR(__xludf.DUMMYFUNCTION("""COMPUTED_VALUE"""),"UPI")</f>
        <v>UPI</v>
      </c>
      <c r="I1361" s="18" t="str">
        <f>IFERROR(__xludf.DUMMYFUNCTION("""COMPUTED_VALUE"""),"Delivered")</f>
        <v>Delivered</v>
      </c>
      <c r="J1361" s="18" t="str">
        <f>IFERROR(__xludf.DUMMYFUNCTION("""COMPUTED_VALUE"""),"On-time Delivery")</f>
        <v>On-time Delivery</v>
      </c>
      <c r="K1361" s="18" t="str">
        <f>IFERROR(__xludf.DUMMYFUNCTION("""COMPUTED_VALUE"""),"Delivered on time")</f>
        <v>Delivered on time</v>
      </c>
      <c r="L1361" s="18">
        <f>iferror(VLOOKUP($D1361,Details!$A$2:$C$11,2,false),vlookup($D1361,Details!$E$2:$G$11,2,false))</f>
        <v>145</v>
      </c>
      <c r="M1361" s="18" t="str">
        <f>iferror(VLOOKUP($D1361,Details!$A$2:$C$11,3,false),vlookup($D1361,Details!$E$2:$G$11,3,false))</f>
        <v>Snacks and Drinks</v>
      </c>
      <c r="N1361" s="18">
        <f t="shared" si="1"/>
        <v>580</v>
      </c>
      <c r="O1361" s="17"/>
      <c r="P1361" s="17"/>
      <c r="Q1361" s="17"/>
      <c r="R1361" s="17"/>
      <c r="S1361" s="17"/>
      <c r="T1361" s="17"/>
      <c r="U1361" s="17"/>
      <c r="V1361" s="17"/>
      <c r="W1361" s="17"/>
      <c r="X1361" s="17"/>
      <c r="Y1361" s="17"/>
      <c r="Z1361" s="17"/>
    </row>
    <row r="1362">
      <c r="A1362" s="18" t="str">
        <f>IFERROR(__xludf.DUMMYFUNCTION("""COMPUTED_VALUE"""),"ord_61340")</f>
        <v>ord_61340</v>
      </c>
      <c r="B1362" s="18" t="str">
        <f>IFERROR(__xludf.DUMMYFUNCTION("""COMPUTED_VALUE"""),"Mohit Malhotra")</f>
        <v>Mohit Malhotra</v>
      </c>
      <c r="C1362" s="18" t="str">
        <f>IFERROR(__xludf.DUMMYFUNCTION("""COMPUTED_VALUE"""),"Lower Parel")</f>
        <v>Lower Parel</v>
      </c>
      <c r="D1362" s="18" t="str">
        <f>IFERROR(__xludf.DUMMYFUNCTION("""COMPUTED_VALUE"""),"Chocolate Mousse")</f>
        <v>Chocolate Mousse</v>
      </c>
      <c r="E1362" s="18">
        <f>IFERROR(__xludf.DUMMYFUNCTION("""COMPUTED_VALUE"""),1.0)</f>
        <v>1</v>
      </c>
      <c r="F1362" s="18" t="str">
        <f>IFERROR(__xludf.DUMMYFUNCTION("""COMPUTED_VALUE"""),"Kiran Mehta")</f>
        <v>Kiran Mehta</v>
      </c>
      <c r="G1362" s="19">
        <f>IFERROR(__xludf.DUMMYFUNCTION("""COMPUTED_VALUE"""),45107.0)</f>
        <v>45107</v>
      </c>
      <c r="H1362" s="18" t="str">
        <f>IFERROR(__xludf.DUMMYFUNCTION("""COMPUTED_VALUE"""),"Credit Card")</f>
        <v>Credit Card</v>
      </c>
      <c r="I1362" s="18" t="str">
        <f>IFERROR(__xludf.DUMMYFUNCTION("""COMPUTED_VALUE"""),"Delivered")</f>
        <v>Delivered</v>
      </c>
      <c r="J1362" s="18" t="str">
        <f>IFERROR(__xludf.DUMMYFUNCTION("""COMPUTED_VALUE"""),"Quality of Items")</f>
        <v>Quality of Items</v>
      </c>
      <c r="K1362" s="18" t="str">
        <f>IFERROR(__xludf.DUMMYFUNCTION("""COMPUTED_VALUE"""),"Perfect condition")</f>
        <v>Perfect condition</v>
      </c>
      <c r="L1362" s="18">
        <f>iferror(VLOOKUP($D1362,Details!$A$2:$C$11,2,false),vlookup($D1362,Details!$E$2:$G$11,2,false))</f>
        <v>145</v>
      </c>
      <c r="M1362" s="18" t="str">
        <f>iferror(VLOOKUP($D1362,Details!$A$2:$C$11,3,false),vlookup($D1362,Details!$E$2:$G$11,3,false))</f>
        <v>Snacks and Drinks</v>
      </c>
      <c r="N1362" s="18">
        <f t="shared" si="1"/>
        <v>145</v>
      </c>
      <c r="O1362" s="17"/>
      <c r="P1362" s="17"/>
      <c r="Q1362" s="17"/>
      <c r="R1362" s="17"/>
      <c r="S1362" s="17"/>
      <c r="T1362" s="17"/>
      <c r="U1362" s="17"/>
      <c r="V1362" s="17"/>
      <c r="W1362" s="17"/>
      <c r="X1362" s="17"/>
      <c r="Y1362" s="17"/>
      <c r="Z1362" s="17"/>
    </row>
    <row r="1363">
      <c r="A1363" s="18" t="str">
        <f>IFERROR(__xludf.DUMMYFUNCTION("""COMPUTED_VALUE"""),"ord_61341")</f>
        <v>ord_61341</v>
      </c>
      <c r="B1363" s="18" t="str">
        <f>IFERROR(__xludf.DUMMYFUNCTION("""COMPUTED_VALUE"""),"Ishita Banerjee")</f>
        <v>Ishita Banerjee</v>
      </c>
      <c r="C1363" s="18" t="str">
        <f>IFERROR(__xludf.DUMMYFUNCTION("""COMPUTED_VALUE"""),"Juhu")</f>
        <v>Juhu</v>
      </c>
      <c r="D1363" s="18" t="str">
        <f>IFERROR(__xludf.DUMMYFUNCTION("""COMPUTED_VALUE"""),"Apple")</f>
        <v>Apple</v>
      </c>
      <c r="E1363" s="18">
        <f>IFERROR(__xludf.DUMMYFUNCTION("""COMPUTED_VALUE"""),2.0)</f>
        <v>2</v>
      </c>
      <c r="F1363" s="18" t="str">
        <f>IFERROR(__xludf.DUMMYFUNCTION("""COMPUTED_VALUE"""),"Ram Gopal")</f>
        <v>Ram Gopal</v>
      </c>
      <c r="G1363" s="19">
        <f>IFERROR(__xludf.DUMMYFUNCTION("""COMPUTED_VALUE"""),45252.0)</f>
        <v>45252</v>
      </c>
      <c r="H1363" s="18" t="str">
        <f>IFERROR(__xludf.DUMMYFUNCTION("""COMPUTED_VALUE"""),"Credit Card")</f>
        <v>Credit Card</v>
      </c>
      <c r="I1363" s="18" t="str">
        <f>IFERROR(__xludf.DUMMYFUNCTION("""COMPUTED_VALUE"""),"Cancelled")</f>
        <v>Cancelled</v>
      </c>
      <c r="J1363" s="18" t="str">
        <f>IFERROR(__xludf.DUMMYFUNCTION("""COMPUTED_VALUE"""),"Delayed Delivery")</f>
        <v>Delayed Delivery</v>
      </c>
      <c r="K1363" s="18" t="str">
        <f>IFERROR(__xludf.DUMMYFUNCTION("""COMPUTED_VALUE"""),"Bad Weather Conditions")</f>
        <v>Bad Weather Conditions</v>
      </c>
      <c r="L1363" s="18">
        <f>iferror(VLOOKUP($D1363,Details!$A$2:$C$11,2,false),vlookup($D1363,Details!$E$2:$G$11,2,false))</f>
        <v>230</v>
      </c>
      <c r="M1363" s="18" t="str">
        <f>iferror(VLOOKUP($D1363,Details!$A$2:$C$11,3,false),vlookup($D1363,Details!$E$2:$G$11,3,false))</f>
        <v>Fruits and Vegetables</v>
      </c>
      <c r="N1363" s="18">
        <f t="shared" si="1"/>
        <v>460</v>
      </c>
      <c r="O1363" s="17"/>
      <c r="P1363" s="17"/>
      <c r="Q1363" s="17"/>
      <c r="R1363" s="17"/>
      <c r="S1363" s="17"/>
      <c r="T1363" s="17"/>
      <c r="U1363" s="17"/>
      <c r="V1363" s="17"/>
      <c r="W1363" s="17"/>
      <c r="X1363" s="17"/>
      <c r="Y1363" s="17"/>
      <c r="Z1363" s="17"/>
    </row>
    <row r="1364">
      <c r="A1364" s="18" t="str">
        <f>IFERROR(__xludf.DUMMYFUNCTION("""COMPUTED_VALUE"""),"ord_71342")</f>
        <v>ord_71342</v>
      </c>
      <c r="B1364" s="18" t="str">
        <f>IFERROR(__xludf.DUMMYFUNCTION("""COMPUTED_VALUE"""),"Pranav Joshi")</f>
        <v>Pranav Joshi</v>
      </c>
      <c r="C1364" s="18" t="str">
        <f>IFERROR(__xludf.DUMMYFUNCTION("""COMPUTED_VALUE"""),"Andheri")</f>
        <v>Andheri</v>
      </c>
      <c r="D1364" s="18" t="str">
        <f>IFERROR(__xludf.DUMMYFUNCTION("""COMPUTED_VALUE"""),"Sweet Corn")</f>
        <v>Sweet Corn</v>
      </c>
      <c r="E1364" s="18">
        <f>IFERROR(__xludf.DUMMYFUNCTION("""COMPUTED_VALUE"""),2.0)</f>
        <v>2</v>
      </c>
      <c r="F1364" s="18" t="str">
        <f>IFERROR(__xludf.DUMMYFUNCTION("""COMPUTED_VALUE"""),"Rohan Yadav")</f>
        <v>Rohan Yadav</v>
      </c>
      <c r="G1364" s="19">
        <f>IFERROR(__xludf.DUMMYFUNCTION("""COMPUTED_VALUE"""),45276.0)</f>
        <v>45276</v>
      </c>
      <c r="H1364" s="18" t="str">
        <f>IFERROR(__xludf.DUMMYFUNCTION("""COMPUTED_VALUE"""),"UPI")</f>
        <v>UPI</v>
      </c>
      <c r="I1364" s="18" t="str">
        <f>IFERROR(__xludf.DUMMYFUNCTION("""COMPUTED_VALUE"""),"Delivered")</f>
        <v>Delivered</v>
      </c>
      <c r="J1364" s="18" t="str">
        <f>IFERROR(__xludf.DUMMYFUNCTION("""COMPUTED_VALUE"""),"Packaging")</f>
        <v>Packaging</v>
      </c>
      <c r="K1364" s="18" t="str">
        <f>IFERROR(__xludf.DUMMYFUNCTION("""COMPUTED_VALUE"""),"Secure and intact")</f>
        <v>Secure and intact</v>
      </c>
      <c r="L1364" s="18">
        <f>iferror(VLOOKUP($D1364,Details!$A$2:$C$11,2,false),vlookup($D1364,Details!$E$2:$G$11,2,false))</f>
        <v>60</v>
      </c>
      <c r="M1364" s="18" t="str">
        <f>iferror(VLOOKUP($D1364,Details!$A$2:$C$11,3,false),vlookup($D1364,Details!$E$2:$G$11,3,false))</f>
        <v>Fruits and Vegetables</v>
      </c>
      <c r="N1364" s="18">
        <f t="shared" si="1"/>
        <v>120</v>
      </c>
      <c r="O1364" s="17"/>
      <c r="P1364" s="17"/>
      <c r="Q1364" s="17"/>
      <c r="R1364" s="17"/>
      <c r="S1364" s="17"/>
      <c r="T1364" s="17"/>
      <c r="U1364" s="17"/>
      <c r="V1364" s="17"/>
      <c r="W1364" s="17"/>
      <c r="X1364" s="17"/>
      <c r="Y1364" s="17"/>
      <c r="Z1364" s="17"/>
    </row>
    <row r="1365">
      <c r="A1365" s="18" t="str">
        <f>IFERROR(__xludf.DUMMYFUNCTION("""COMPUTED_VALUE"""),"ord_71343")</f>
        <v>ord_71343</v>
      </c>
      <c r="B1365" s="18" t="str">
        <f>IFERROR(__xludf.DUMMYFUNCTION("""COMPUTED_VALUE"""),"Aarav Mehta")</f>
        <v>Aarav Mehta</v>
      </c>
      <c r="C1365" s="18" t="str">
        <f>IFERROR(__xludf.DUMMYFUNCTION("""COMPUTED_VALUE"""),"Andheri")</f>
        <v>Andheri</v>
      </c>
      <c r="D1365" s="18" t="str">
        <f>IFERROR(__xludf.DUMMYFUNCTION("""COMPUTED_VALUE"""),"Chilli Cheese Toast")</f>
        <v>Chilli Cheese Toast</v>
      </c>
      <c r="E1365" s="18">
        <f>IFERROR(__xludf.DUMMYFUNCTION("""COMPUTED_VALUE"""),4.0)</f>
        <v>4</v>
      </c>
      <c r="F1365" s="18" t="str">
        <f>IFERROR(__xludf.DUMMYFUNCTION("""COMPUTED_VALUE"""),"Rohan Yadav")</f>
        <v>Rohan Yadav</v>
      </c>
      <c r="G1365" s="19">
        <f>IFERROR(__xludf.DUMMYFUNCTION("""COMPUTED_VALUE"""),45239.0)</f>
        <v>45239</v>
      </c>
      <c r="H1365" s="18" t="str">
        <f>IFERROR(__xludf.DUMMYFUNCTION("""COMPUTED_VALUE"""),"Online Payment")</f>
        <v>Online Payment</v>
      </c>
      <c r="I1365" s="18" t="str">
        <f>IFERROR(__xludf.DUMMYFUNCTION("""COMPUTED_VALUE"""),"Delivered")</f>
        <v>Delivered</v>
      </c>
      <c r="J1365" s="18" t="str">
        <f>IFERROR(__xludf.DUMMYFUNCTION("""COMPUTED_VALUE"""),"Satisfied with the Delivery")</f>
        <v>Satisfied with the Delivery</v>
      </c>
      <c r="K1365" s="18" t="str">
        <f>IFERROR(__xludf.DUMMYFUNCTION("""COMPUTED_VALUE"""),"Timely and quality")</f>
        <v>Timely and quality</v>
      </c>
      <c r="L1365" s="18">
        <f>iferror(VLOOKUP($D1365,Details!$A$2:$C$11,2,false),vlookup($D1365,Details!$E$2:$G$11,2,false))</f>
        <v>80</v>
      </c>
      <c r="M1365" s="18" t="str">
        <f>iferror(VLOOKUP($D1365,Details!$A$2:$C$11,3,false),vlookup($D1365,Details!$E$2:$G$11,3,false))</f>
        <v>Snacks and Drinks</v>
      </c>
      <c r="N1365" s="18">
        <f t="shared" si="1"/>
        <v>320</v>
      </c>
      <c r="O1365" s="17"/>
      <c r="P1365" s="17"/>
      <c r="Q1365" s="17"/>
      <c r="R1365" s="17"/>
      <c r="S1365" s="17"/>
      <c r="T1365" s="17"/>
      <c r="U1365" s="17"/>
      <c r="V1365" s="17"/>
      <c r="W1365" s="17"/>
      <c r="X1365" s="17"/>
      <c r="Y1365" s="17"/>
      <c r="Z1365" s="17"/>
    </row>
    <row r="1366">
      <c r="A1366" s="18" t="str">
        <f>IFERROR(__xludf.DUMMYFUNCTION("""COMPUTED_VALUE"""),"ord_71344")</f>
        <v>ord_71344</v>
      </c>
      <c r="B1366" s="18" t="str">
        <f>IFERROR(__xludf.DUMMYFUNCTION("""COMPUTED_VALUE"""),"Mehul Thakkar")</f>
        <v>Mehul Thakkar</v>
      </c>
      <c r="C1366" s="18" t="str">
        <f>IFERROR(__xludf.DUMMYFUNCTION("""COMPUTED_VALUE"""),"Malad")</f>
        <v>Malad</v>
      </c>
      <c r="D1366" s="18" t="str">
        <f>IFERROR(__xludf.DUMMYFUNCTION("""COMPUTED_VALUE"""),"Cucumber")</f>
        <v>Cucumber</v>
      </c>
      <c r="E1366" s="18">
        <f>IFERROR(__xludf.DUMMYFUNCTION("""COMPUTED_VALUE"""),1.0)</f>
        <v>1</v>
      </c>
      <c r="F1366" s="18" t="str">
        <f>IFERROR(__xludf.DUMMYFUNCTION("""COMPUTED_VALUE"""),"Not Assigned")</f>
        <v>Not Assigned</v>
      </c>
      <c r="G1366" s="19">
        <f>IFERROR(__xludf.DUMMYFUNCTION("""COMPUTED_VALUE"""),45277.0)</f>
        <v>45277</v>
      </c>
      <c r="H1366" s="18" t="str">
        <f>IFERROR(__xludf.DUMMYFUNCTION("""COMPUTED_VALUE"""),"Credit Card")</f>
        <v>Credit Card</v>
      </c>
      <c r="I1366" s="18" t="str">
        <f>IFERROR(__xludf.DUMMYFUNCTION("""COMPUTED_VALUE"""),"Cancelled")</f>
        <v>Cancelled</v>
      </c>
      <c r="J1366" s="18" t="str">
        <f>IFERROR(__xludf.DUMMYFUNCTION("""COMPUTED_VALUE"""),"Payment Issues")</f>
        <v>Payment Issues</v>
      </c>
      <c r="K1366" s="18"/>
      <c r="L1366" s="18">
        <f>iferror(VLOOKUP($D1366,Details!$A$2:$C$11,2,false),vlookup($D1366,Details!$E$2:$G$11,2,false))</f>
        <v>30</v>
      </c>
      <c r="M1366" s="18" t="str">
        <f>iferror(VLOOKUP($D1366,Details!$A$2:$C$11,3,false),vlookup($D1366,Details!$E$2:$G$11,3,false))</f>
        <v>Fruits and Vegetables</v>
      </c>
      <c r="N1366" s="18">
        <f t="shared" si="1"/>
        <v>30</v>
      </c>
      <c r="O1366" s="17"/>
      <c r="P1366" s="17"/>
      <c r="Q1366" s="17"/>
      <c r="R1366" s="17"/>
      <c r="S1366" s="17"/>
      <c r="T1366" s="17"/>
      <c r="U1366" s="17"/>
      <c r="V1366" s="17"/>
      <c r="W1366" s="17"/>
      <c r="X1366" s="17"/>
      <c r="Y1366" s="17"/>
      <c r="Z1366" s="17"/>
    </row>
    <row r="1367">
      <c r="A1367" s="18" t="str">
        <f>IFERROR(__xludf.DUMMYFUNCTION("""COMPUTED_VALUE"""),"ord_71345")</f>
        <v>ord_71345</v>
      </c>
      <c r="B1367" s="18" t="str">
        <f>IFERROR(__xludf.DUMMYFUNCTION("""COMPUTED_VALUE"""),"Pranav Joshi")</f>
        <v>Pranav Joshi</v>
      </c>
      <c r="C1367" s="18" t="str">
        <f>IFERROR(__xludf.DUMMYFUNCTION("""COMPUTED_VALUE"""),"Andheri")</f>
        <v>Andheri</v>
      </c>
      <c r="D1367" s="18" t="str">
        <f>IFERROR(__xludf.DUMMYFUNCTION("""COMPUTED_VALUE"""),"Tiramisu")</f>
        <v>Tiramisu</v>
      </c>
      <c r="E1367" s="18">
        <f>IFERROR(__xludf.DUMMYFUNCTION("""COMPUTED_VALUE"""),4.0)</f>
        <v>4</v>
      </c>
      <c r="F1367" s="18" t="str">
        <f>IFERROR(__xludf.DUMMYFUNCTION("""COMPUTED_VALUE"""),"Rohan Yadav")</f>
        <v>Rohan Yadav</v>
      </c>
      <c r="G1367" s="19">
        <f>IFERROR(__xludf.DUMMYFUNCTION("""COMPUTED_VALUE"""),45156.0)</f>
        <v>45156</v>
      </c>
      <c r="H1367" s="18" t="str">
        <f>IFERROR(__xludf.DUMMYFUNCTION("""COMPUTED_VALUE"""),"UPI")</f>
        <v>UPI</v>
      </c>
      <c r="I1367" s="18" t="str">
        <f>IFERROR(__xludf.DUMMYFUNCTION("""COMPUTED_VALUE"""),"Delivered")</f>
        <v>Delivered</v>
      </c>
      <c r="J1367" s="18" t="str">
        <f>IFERROR(__xludf.DUMMYFUNCTION("""COMPUTED_VALUE"""),"Customer Service")</f>
        <v>Customer Service</v>
      </c>
      <c r="K1367" s="18" t="str">
        <f>IFERROR(__xludf.DUMMYFUNCTION("""COMPUTED_VALUE"""),"Seamless and easy")</f>
        <v>Seamless and easy</v>
      </c>
      <c r="L1367" s="18">
        <f>iferror(VLOOKUP($D1367,Details!$A$2:$C$11,2,false),vlookup($D1367,Details!$E$2:$G$11,2,false))</f>
        <v>150</v>
      </c>
      <c r="M1367" s="18" t="str">
        <f>iferror(VLOOKUP($D1367,Details!$A$2:$C$11,3,false),vlookup($D1367,Details!$E$2:$G$11,3,false))</f>
        <v>Snacks and Drinks</v>
      </c>
      <c r="N1367" s="18">
        <f t="shared" si="1"/>
        <v>600</v>
      </c>
      <c r="O1367" s="17"/>
      <c r="P1367" s="17"/>
      <c r="Q1367" s="17"/>
      <c r="R1367" s="17"/>
      <c r="S1367" s="17"/>
      <c r="T1367" s="17"/>
      <c r="U1367" s="17"/>
      <c r="V1367" s="17"/>
      <c r="W1367" s="17"/>
      <c r="X1367" s="17"/>
      <c r="Y1367" s="17"/>
      <c r="Z1367" s="17"/>
    </row>
    <row r="1368">
      <c r="A1368" s="18" t="str">
        <f>IFERROR(__xludf.DUMMYFUNCTION("""COMPUTED_VALUE"""),"ord_71346")</f>
        <v>ord_71346</v>
      </c>
      <c r="B1368" s="18" t="str">
        <f>IFERROR(__xludf.DUMMYFUNCTION("""COMPUTED_VALUE"""),"Anaya Rao")</f>
        <v>Anaya Rao</v>
      </c>
      <c r="C1368" s="18" t="str">
        <f>IFERROR(__xludf.DUMMYFUNCTION("""COMPUTED_VALUE"""),"Malad")</f>
        <v>Malad</v>
      </c>
      <c r="D1368" s="18" t="str">
        <f>IFERROR(__xludf.DUMMYFUNCTION("""COMPUTED_VALUE"""),"Rasmalai")</f>
        <v>Rasmalai</v>
      </c>
      <c r="E1368" s="18">
        <f>IFERROR(__xludf.DUMMYFUNCTION("""COMPUTED_VALUE"""),2.0)</f>
        <v>2</v>
      </c>
      <c r="F1368" s="18" t="str">
        <f>IFERROR(__xludf.DUMMYFUNCTION("""COMPUTED_VALUE"""),"Neha Shah")</f>
        <v>Neha Shah</v>
      </c>
      <c r="G1368" s="19">
        <f>IFERROR(__xludf.DUMMYFUNCTION("""COMPUTED_VALUE"""),44984.0)</f>
        <v>44984</v>
      </c>
      <c r="H1368" s="18" t="str">
        <f>IFERROR(__xludf.DUMMYFUNCTION("""COMPUTED_VALUE"""),"Online Payment")</f>
        <v>Online Payment</v>
      </c>
      <c r="I1368" s="18" t="str">
        <f>IFERROR(__xludf.DUMMYFUNCTION("""COMPUTED_VALUE"""),"Delivered")</f>
        <v>Delivered</v>
      </c>
      <c r="J1368" s="18" t="str">
        <f>IFERROR(__xludf.DUMMYFUNCTION("""COMPUTED_VALUE"""),"Delivery Experience")</f>
        <v>Delivery Experience</v>
      </c>
      <c r="K1368" s="18" t="str">
        <f>IFERROR(__xludf.DUMMYFUNCTION("""COMPUTED_VALUE"""),"Quick and professional")</f>
        <v>Quick and professional</v>
      </c>
      <c r="L1368" s="18">
        <f>iferror(VLOOKUP($D1368,Details!$A$2:$C$11,2,false),vlookup($D1368,Details!$E$2:$G$11,2,false))</f>
        <v>110</v>
      </c>
      <c r="M1368" s="18" t="str">
        <f>iferror(VLOOKUP($D1368,Details!$A$2:$C$11,3,false),vlookup($D1368,Details!$E$2:$G$11,3,false))</f>
        <v>Snacks and Drinks</v>
      </c>
      <c r="N1368" s="18">
        <f t="shared" si="1"/>
        <v>220</v>
      </c>
      <c r="O1368" s="17"/>
      <c r="P1368" s="17"/>
      <c r="Q1368" s="17"/>
      <c r="R1368" s="17"/>
      <c r="S1368" s="17"/>
      <c r="T1368" s="17"/>
      <c r="U1368" s="17"/>
      <c r="V1368" s="17"/>
      <c r="W1368" s="17"/>
      <c r="X1368" s="17"/>
      <c r="Y1368" s="17"/>
      <c r="Z1368" s="17"/>
    </row>
    <row r="1369">
      <c r="A1369" s="18" t="str">
        <f>IFERROR(__xludf.DUMMYFUNCTION("""COMPUTED_VALUE"""),"ord_71347")</f>
        <v>ord_71347</v>
      </c>
      <c r="B1369" s="18" t="str">
        <f>IFERROR(__xludf.DUMMYFUNCTION("""COMPUTED_VALUE"""),"Mohit Malhotra")</f>
        <v>Mohit Malhotra</v>
      </c>
      <c r="C1369" s="18" t="str">
        <f>IFERROR(__xludf.DUMMYFUNCTION("""COMPUTED_VALUE"""),"Lower Parel")</f>
        <v>Lower Parel</v>
      </c>
      <c r="D1369" s="18" t="str">
        <f>IFERROR(__xludf.DUMMYFUNCTION("""COMPUTED_VALUE"""),"Banana")</f>
        <v>Banana</v>
      </c>
      <c r="E1369" s="18">
        <f>IFERROR(__xludf.DUMMYFUNCTION("""COMPUTED_VALUE"""),2.0)</f>
        <v>2</v>
      </c>
      <c r="F1369" s="18" t="str">
        <f>IFERROR(__xludf.DUMMYFUNCTION("""COMPUTED_VALUE"""),"Kiran Mehta")</f>
        <v>Kiran Mehta</v>
      </c>
      <c r="G1369" s="19">
        <f>IFERROR(__xludf.DUMMYFUNCTION("""COMPUTED_VALUE"""),44991.0)</f>
        <v>44991</v>
      </c>
      <c r="H1369" s="18" t="str">
        <f>IFERROR(__xludf.DUMMYFUNCTION("""COMPUTED_VALUE"""),"Online Payment")</f>
        <v>Online Payment</v>
      </c>
      <c r="I1369" s="18" t="str">
        <f>IFERROR(__xludf.DUMMYFUNCTION("""COMPUTED_VALUE"""),"Delivered")</f>
        <v>Delivered</v>
      </c>
      <c r="J1369" s="18" t="str">
        <f>IFERROR(__xludf.DUMMYFUNCTION("""COMPUTED_VALUE"""),"Convenience")</f>
        <v>Convenience</v>
      </c>
      <c r="K1369" s="18" t="str">
        <f>IFERROR(__xludf.DUMMYFUNCTION("""COMPUTED_VALUE"""),"Easy tracking")</f>
        <v>Easy tracking</v>
      </c>
      <c r="L1369" s="18">
        <f>iferror(VLOOKUP($D1369,Details!$A$2:$C$11,2,false),vlookup($D1369,Details!$E$2:$G$11,2,false))</f>
        <v>80</v>
      </c>
      <c r="M1369" s="18" t="str">
        <f>iferror(VLOOKUP($D1369,Details!$A$2:$C$11,3,false),vlookup($D1369,Details!$E$2:$G$11,3,false))</f>
        <v>Fruits and Vegetables</v>
      </c>
      <c r="N1369" s="18">
        <f t="shared" si="1"/>
        <v>160</v>
      </c>
      <c r="O1369" s="17"/>
      <c r="P1369" s="17"/>
      <c r="Q1369" s="17"/>
      <c r="R1369" s="17"/>
      <c r="S1369" s="17"/>
      <c r="T1369" s="17"/>
      <c r="U1369" s="17"/>
      <c r="V1369" s="17"/>
      <c r="W1369" s="17"/>
      <c r="X1369" s="17"/>
      <c r="Y1369" s="17"/>
      <c r="Z1369" s="17"/>
    </row>
    <row r="1370">
      <c r="A1370" s="18" t="str">
        <f>IFERROR(__xludf.DUMMYFUNCTION("""COMPUTED_VALUE"""),"ord_71348")</f>
        <v>ord_71348</v>
      </c>
      <c r="B1370" s="18" t="str">
        <f>IFERROR(__xludf.DUMMYFUNCTION("""COMPUTED_VALUE"""),"Arvind Kulkarni")</f>
        <v>Arvind Kulkarni</v>
      </c>
      <c r="C1370" s="18" t="str">
        <f>IFERROR(__xludf.DUMMYFUNCTION("""COMPUTED_VALUE"""),"Juhu")</f>
        <v>Juhu</v>
      </c>
      <c r="D1370" s="18" t="str">
        <f>IFERROR(__xludf.DUMMYFUNCTION("""COMPUTED_VALUE"""),"Sweet Corn")</f>
        <v>Sweet Corn</v>
      </c>
      <c r="E1370" s="18">
        <f>IFERROR(__xludf.DUMMYFUNCTION("""COMPUTED_VALUE"""),2.0)</f>
        <v>2</v>
      </c>
      <c r="F1370" s="18" t="str">
        <f>IFERROR(__xludf.DUMMYFUNCTION("""COMPUTED_VALUE"""),"Nikhil Deshmukh")</f>
        <v>Nikhil Deshmukh</v>
      </c>
      <c r="G1370" s="19">
        <f>IFERROR(__xludf.DUMMYFUNCTION("""COMPUTED_VALUE"""),45064.0)</f>
        <v>45064</v>
      </c>
      <c r="H1370" s="18" t="str">
        <f>IFERROR(__xludf.DUMMYFUNCTION("""COMPUTED_VALUE"""),"UPI")</f>
        <v>UPI</v>
      </c>
      <c r="I1370" s="18" t="str">
        <f>IFERROR(__xludf.DUMMYFUNCTION("""COMPUTED_VALUE"""),"Cancelled")</f>
        <v>Cancelled</v>
      </c>
      <c r="J1370" s="18" t="str">
        <f>IFERROR(__xludf.DUMMYFUNCTION("""COMPUTED_VALUE"""),"Delayed Delivery")</f>
        <v>Delayed Delivery</v>
      </c>
      <c r="K1370" s="18" t="str">
        <f>IFERROR(__xludf.DUMMYFUNCTION("""COMPUTED_VALUE"""),"Bad Weather Conditions")</f>
        <v>Bad Weather Conditions</v>
      </c>
      <c r="L1370" s="18">
        <f>iferror(VLOOKUP($D1370,Details!$A$2:$C$11,2,false),vlookup($D1370,Details!$E$2:$G$11,2,false))</f>
        <v>60</v>
      </c>
      <c r="M1370" s="18" t="str">
        <f>iferror(VLOOKUP($D1370,Details!$A$2:$C$11,3,false),vlookup($D1370,Details!$E$2:$G$11,3,false))</f>
        <v>Fruits and Vegetables</v>
      </c>
      <c r="N1370" s="18">
        <f t="shared" si="1"/>
        <v>120</v>
      </c>
      <c r="O1370" s="17"/>
      <c r="P1370" s="17"/>
      <c r="Q1370" s="17"/>
      <c r="R1370" s="17"/>
      <c r="S1370" s="17"/>
      <c r="T1370" s="17"/>
      <c r="U1370" s="17"/>
      <c r="V1370" s="17"/>
      <c r="W1370" s="17"/>
      <c r="X1370" s="17"/>
      <c r="Y1370" s="17"/>
      <c r="Z1370" s="17"/>
    </row>
    <row r="1371">
      <c r="A1371" s="18" t="str">
        <f>IFERROR(__xludf.DUMMYFUNCTION("""COMPUTED_VALUE"""),"ord_71349")</f>
        <v>ord_71349</v>
      </c>
      <c r="B1371" s="18" t="str">
        <f>IFERROR(__xludf.DUMMYFUNCTION("""COMPUTED_VALUE"""),"Ishita Banerjee")</f>
        <v>Ishita Banerjee</v>
      </c>
      <c r="C1371" s="18" t="str">
        <f>IFERROR(__xludf.DUMMYFUNCTION("""COMPUTED_VALUE"""),"Juhu")</f>
        <v>Juhu</v>
      </c>
      <c r="D1371" s="18" t="str">
        <f>IFERROR(__xludf.DUMMYFUNCTION("""COMPUTED_VALUE"""),"Guava")</f>
        <v>Guava</v>
      </c>
      <c r="E1371" s="18">
        <f>IFERROR(__xludf.DUMMYFUNCTION("""COMPUTED_VALUE"""),2.0)</f>
        <v>2</v>
      </c>
      <c r="F1371" s="18" t="str">
        <f>IFERROR(__xludf.DUMMYFUNCTION("""COMPUTED_VALUE"""),"Tanvi Jain")</f>
        <v>Tanvi Jain</v>
      </c>
      <c r="G1371" s="19">
        <f>IFERROR(__xludf.DUMMYFUNCTION("""COMPUTED_VALUE"""),44989.0)</f>
        <v>44989</v>
      </c>
      <c r="H1371" s="18" t="str">
        <f>IFERROR(__xludf.DUMMYFUNCTION("""COMPUTED_VALUE"""),"Online Payment")</f>
        <v>Online Payment</v>
      </c>
      <c r="I1371" s="18" t="str">
        <f>IFERROR(__xludf.DUMMYFUNCTION("""COMPUTED_VALUE"""),"Delivered")</f>
        <v>Delivered</v>
      </c>
      <c r="J1371" s="18" t="str">
        <f>IFERROR(__xludf.DUMMYFUNCTION("""COMPUTED_VALUE"""),"Overall Satisfaction")</f>
        <v>Overall Satisfaction</v>
      </c>
      <c r="K1371" s="18" t="str">
        <f>IFERROR(__xludf.DUMMYFUNCTION("""COMPUTED_VALUE"""),"Great service will order again")</f>
        <v>Great service will order again</v>
      </c>
      <c r="L1371" s="18">
        <f>iferror(VLOOKUP($D1371,Details!$A$2:$C$11,2,false),vlookup($D1371,Details!$E$2:$G$11,2,false))</f>
        <v>70</v>
      </c>
      <c r="M1371" s="18" t="str">
        <f>iferror(VLOOKUP($D1371,Details!$A$2:$C$11,3,false),vlookup($D1371,Details!$E$2:$G$11,3,false))</f>
        <v>Fruits and Vegetables</v>
      </c>
      <c r="N1371" s="18">
        <f t="shared" si="1"/>
        <v>140</v>
      </c>
      <c r="O1371" s="17"/>
      <c r="P1371" s="17"/>
      <c r="Q1371" s="17"/>
      <c r="R1371" s="17"/>
      <c r="S1371" s="17"/>
      <c r="T1371" s="17"/>
      <c r="U1371" s="17"/>
      <c r="V1371" s="17"/>
      <c r="W1371" s="17"/>
      <c r="X1371" s="17"/>
      <c r="Y1371" s="17"/>
      <c r="Z1371" s="17"/>
    </row>
    <row r="1372">
      <c r="A1372" s="18" t="str">
        <f>IFERROR(__xludf.DUMMYFUNCTION("""COMPUTED_VALUE"""),"ord_71350")</f>
        <v>ord_71350</v>
      </c>
      <c r="B1372" s="18" t="str">
        <f>IFERROR(__xludf.DUMMYFUNCTION("""COMPUTED_VALUE"""),"Parth Goel")</f>
        <v>Parth Goel</v>
      </c>
      <c r="C1372" s="18" t="str">
        <f>IFERROR(__xludf.DUMMYFUNCTION("""COMPUTED_VALUE"""),"Juhu")</f>
        <v>Juhu</v>
      </c>
      <c r="D1372" s="18" t="str">
        <f>IFERROR(__xludf.DUMMYFUNCTION("""COMPUTED_VALUE"""),"Icecream")</f>
        <v>Icecream</v>
      </c>
      <c r="E1372" s="18">
        <f>IFERROR(__xludf.DUMMYFUNCTION("""COMPUTED_VALUE"""),2.0)</f>
        <v>2</v>
      </c>
      <c r="F1372" s="18" t="str">
        <f>IFERROR(__xludf.DUMMYFUNCTION("""COMPUTED_VALUE"""),"Tanvi Jain")</f>
        <v>Tanvi Jain</v>
      </c>
      <c r="G1372" s="19">
        <f>IFERROR(__xludf.DUMMYFUNCTION("""COMPUTED_VALUE"""),45256.0)</f>
        <v>45256</v>
      </c>
      <c r="H1372" s="18" t="str">
        <f>IFERROR(__xludf.DUMMYFUNCTION("""COMPUTED_VALUE"""),"UPI")</f>
        <v>UPI</v>
      </c>
      <c r="I1372" s="18" t="str">
        <f>IFERROR(__xludf.DUMMYFUNCTION("""COMPUTED_VALUE"""),"Delivered")</f>
        <v>Delivered</v>
      </c>
      <c r="J1372" s="18" t="str">
        <f>IFERROR(__xludf.DUMMYFUNCTION("""COMPUTED_VALUE"""),"On-time Delivery")</f>
        <v>On-time Delivery</v>
      </c>
      <c r="K1372" s="18" t="str">
        <f>IFERROR(__xludf.DUMMYFUNCTION("""COMPUTED_VALUE"""),"Delivered on time")</f>
        <v>Delivered on time</v>
      </c>
      <c r="L1372" s="18">
        <f>iferror(VLOOKUP($D1372,Details!$A$2:$C$11,2,false),vlookup($D1372,Details!$E$2:$G$11,2,false))</f>
        <v>90</v>
      </c>
      <c r="M1372" s="18" t="str">
        <f>iferror(VLOOKUP($D1372,Details!$A$2:$C$11,3,false),vlookup($D1372,Details!$E$2:$G$11,3,false))</f>
        <v>Snacks and Drinks</v>
      </c>
      <c r="N1372" s="18">
        <f t="shared" si="1"/>
        <v>180</v>
      </c>
      <c r="O1372" s="17"/>
      <c r="P1372" s="17"/>
      <c r="Q1372" s="17"/>
      <c r="R1372" s="17"/>
      <c r="S1372" s="17"/>
      <c r="T1372" s="17"/>
      <c r="U1372" s="17"/>
      <c r="V1372" s="17"/>
      <c r="W1372" s="17"/>
      <c r="X1372" s="17"/>
      <c r="Y1372" s="17"/>
      <c r="Z1372" s="17"/>
    </row>
    <row r="1373">
      <c r="A1373" s="18" t="str">
        <f>IFERROR(__xludf.DUMMYFUNCTION("""COMPUTED_VALUE"""),"ord_71351")</f>
        <v>ord_71351</v>
      </c>
      <c r="B1373" s="18" t="str">
        <f>IFERROR(__xludf.DUMMYFUNCTION("""COMPUTED_VALUE"""),"Aarav Mehta")</f>
        <v>Aarav Mehta</v>
      </c>
      <c r="C1373" s="18" t="str">
        <f>IFERROR(__xludf.DUMMYFUNCTION("""COMPUTED_VALUE"""),"Andheri")</f>
        <v>Andheri</v>
      </c>
      <c r="D1373" s="18" t="str">
        <f>IFERROR(__xludf.DUMMYFUNCTION("""COMPUTED_VALUE"""),"Orange")</f>
        <v>Orange</v>
      </c>
      <c r="E1373" s="18">
        <f>IFERROR(__xludf.DUMMYFUNCTION("""COMPUTED_VALUE"""),2.0)</f>
        <v>2</v>
      </c>
      <c r="F1373" s="18" t="str">
        <f>IFERROR(__xludf.DUMMYFUNCTION("""COMPUTED_VALUE"""),"Rohan Yadav")</f>
        <v>Rohan Yadav</v>
      </c>
      <c r="G1373" s="19">
        <f>IFERROR(__xludf.DUMMYFUNCTION("""COMPUTED_VALUE"""),45018.0)</f>
        <v>45018</v>
      </c>
      <c r="H1373" s="18" t="str">
        <f>IFERROR(__xludf.DUMMYFUNCTION("""COMPUTED_VALUE"""),"Credit Card")</f>
        <v>Credit Card</v>
      </c>
      <c r="I1373" s="18" t="str">
        <f>IFERROR(__xludf.DUMMYFUNCTION("""COMPUTED_VALUE"""),"Delivered")</f>
        <v>Delivered</v>
      </c>
      <c r="J1373" s="18" t="str">
        <f>IFERROR(__xludf.DUMMYFUNCTION("""COMPUTED_VALUE"""),"Quality of Items")</f>
        <v>Quality of Items</v>
      </c>
      <c r="K1373" s="18" t="str">
        <f>IFERROR(__xludf.DUMMYFUNCTION("""COMPUTED_VALUE"""),"Perfect condition")</f>
        <v>Perfect condition</v>
      </c>
      <c r="L1373" s="18">
        <f>iferror(VLOOKUP($D1373,Details!$A$2:$C$11,2,false),vlookup($D1373,Details!$E$2:$G$11,2,false))</f>
        <v>180</v>
      </c>
      <c r="M1373" s="18" t="str">
        <f>iferror(VLOOKUP($D1373,Details!$A$2:$C$11,3,false),vlookup($D1373,Details!$E$2:$G$11,3,false))</f>
        <v>Fruits and Vegetables</v>
      </c>
      <c r="N1373" s="18">
        <f t="shared" si="1"/>
        <v>360</v>
      </c>
      <c r="O1373" s="17"/>
      <c r="P1373" s="17"/>
      <c r="Q1373" s="17"/>
      <c r="R1373" s="17"/>
      <c r="S1373" s="17"/>
      <c r="T1373" s="17"/>
      <c r="U1373" s="17"/>
      <c r="V1373" s="17"/>
      <c r="W1373" s="17"/>
      <c r="X1373" s="17"/>
      <c r="Y1373" s="17"/>
      <c r="Z1373" s="17"/>
    </row>
    <row r="1374">
      <c r="A1374" s="18" t="str">
        <f>IFERROR(__xludf.DUMMYFUNCTION("""COMPUTED_VALUE"""),"ord_71352")</f>
        <v>ord_71352</v>
      </c>
      <c r="B1374" s="18" t="str">
        <f>IFERROR(__xludf.DUMMYFUNCTION("""COMPUTED_VALUE"""),"Siya Reddy")</f>
        <v>Siya Reddy</v>
      </c>
      <c r="C1374" s="18" t="str">
        <f>IFERROR(__xludf.DUMMYFUNCTION("""COMPUTED_VALUE"""),"Juhu")</f>
        <v>Juhu</v>
      </c>
      <c r="D1374" s="18" t="str">
        <f>IFERROR(__xludf.DUMMYFUNCTION("""COMPUTED_VALUE"""),"Banana")</f>
        <v>Banana</v>
      </c>
      <c r="E1374" s="18">
        <f>IFERROR(__xludf.DUMMYFUNCTION("""COMPUTED_VALUE"""),2.0)</f>
        <v>2</v>
      </c>
      <c r="F1374" s="18" t="str">
        <f>IFERROR(__xludf.DUMMYFUNCTION("""COMPUTED_VALUE"""),"Sita T")</f>
        <v>Sita T</v>
      </c>
      <c r="G1374" s="19">
        <f>IFERROR(__xludf.DUMMYFUNCTION("""COMPUTED_VALUE"""),45072.0)</f>
        <v>45072</v>
      </c>
      <c r="H1374" s="18" t="str">
        <f>IFERROR(__xludf.DUMMYFUNCTION("""COMPUTED_VALUE"""),"Online Payment")</f>
        <v>Online Payment</v>
      </c>
      <c r="I1374" s="18" t="str">
        <f>IFERROR(__xludf.DUMMYFUNCTION("""COMPUTED_VALUE"""),"Cancelled")</f>
        <v>Cancelled</v>
      </c>
      <c r="J1374" s="18" t="str">
        <f>IFERROR(__xludf.DUMMYFUNCTION("""COMPUTED_VALUE"""),"Delayed Delivery")</f>
        <v>Delayed Delivery</v>
      </c>
      <c r="K1374" s="18" t="str">
        <f>IFERROR(__xludf.DUMMYFUNCTION("""COMPUTED_VALUE"""),"High Order Volume")</f>
        <v>High Order Volume</v>
      </c>
      <c r="L1374" s="18">
        <f>iferror(VLOOKUP($D1374,Details!$A$2:$C$11,2,false),vlookup($D1374,Details!$E$2:$G$11,2,false))</f>
        <v>80</v>
      </c>
      <c r="M1374" s="18" t="str">
        <f>iferror(VLOOKUP($D1374,Details!$A$2:$C$11,3,false),vlookup($D1374,Details!$E$2:$G$11,3,false))</f>
        <v>Fruits and Vegetables</v>
      </c>
      <c r="N1374" s="18">
        <f t="shared" si="1"/>
        <v>160</v>
      </c>
      <c r="O1374" s="17"/>
      <c r="P1374" s="17"/>
      <c r="Q1374" s="17"/>
      <c r="R1374" s="17"/>
      <c r="S1374" s="17"/>
      <c r="T1374" s="17"/>
      <c r="U1374" s="17"/>
      <c r="V1374" s="17"/>
      <c r="W1374" s="17"/>
      <c r="X1374" s="17"/>
      <c r="Y1374" s="17"/>
      <c r="Z1374" s="17"/>
    </row>
    <row r="1375">
      <c r="A1375" s="18" t="str">
        <f>IFERROR(__xludf.DUMMYFUNCTION("""COMPUTED_VALUE"""),"ord_71353")</f>
        <v>ord_71353</v>
      </c>
      <c r="B1375" s="18" t="str">
        <f>IFERROR(__xludf.DUMMYFUNCTION("""COMPUTED_VALUE"""),"Sakshi Tandon")</f>
        <v>Sakshi Tandon</v>
      </c>
      <c r="C1375" s="18" t="str">
        <f>IFERROR(__xludf.DUMMYFUNCTION("""COMPUTED_VALUE"""),"Colaba")</f>
        <v>Colaba</v>
      </c>
      <c r="D1375" s="18" t="str">
        <f>IFERROR(__xludf.DUMMYFUNCTION("""COMPUTED_VALUE"""),"Chilli Cheese Toast")</f>
        <v>Chilli Cheese Toast</v>
      </c>
      <c r="E1375" s="18">
        <f>IFERROR(__xludf.DUMMYFUNCTION("""COMPUTED_VALUE"""),4.0)</f>
        <v>4</v>
      </c>
      <c r="F1375" s="18" t="str">
        <f>IFERROR(__xludf.DUMMYFUNCTION("""COMPUTED_VALUE"""),"Nikhil Deshmukh")</f>
        <v>Nikhil Deshmukh</v>
      </c>
      <c r="G1375" s="19">
        <f>IFERROR(__xludf.DUMMYFUNCTION("""COMPUTED_VALUE"""),45179.0)</f>
        <v>45179</v>
      </c>
      <c r="H1375" s="18" t="str">
        <f>IFERROR(__xludf.DUMMYFUNCTION("""COMPUTED_VALUE"""),"UPI")</f>
        <v>UPI</v>
      </c>
      <c r="I1375" s="18" t="str">
        <f>IFERROR(__xludf.DUMMYFUNCTION("""COMPUTED_VALUE"""),"Delivered")</f>
        <v>Delivered</v>
      </c>
      <c r="J1375" s="18" t="str">
        <f>IFERROR(__xludf.DUMMYFUNCTION("""COMPUTED_VALUE"""),"On-time Delivery")</f>
        <v>On-time Delivery</v>
      </c>
      <c r="K1375" s="18" t="str">
        <f>IFERROR(__xludf.DUMMYFUNCTION("""COMPUTED_VALUE"""),"Delivered on time")</f>
        <v>Delivered on time</v>
      </c>
      <c r="L1375" s="18">
        <f>iferror(VLOOKUP($D1375,Details!$A$2:$C$11,2,false),vlookup($D1375,Details!$E$2:$G$11,2,false))</f>
        <v>80</v>
      </c>
      <c r="M1375" s="18" t="str">
        <f>iferror(VLOOKUP($D1375,Details!$A$2:$C$11,3,false),vlookup($D1375,Details!$E$2:$G$11,3,false))</f>
        <v>Snacks and Drinks</v>
      </c>
      <c r="N1375" s="18">
        <f t="shared" si="1"/>
        <v>320</v>
      </c>
      <c r="O1375" s="17"/>
      <c r="P1375" s="17"/>
      <c r="Q1375" s="17"/>
      <c r="R1375" s="17"/>
      <c r="S1375" s="17"/>
      <c r="T1375" s="17"/>
      <c r="U1375" s="17"/>
      <c r="V1375" s="17"/>
      <c r="W1375" s="17"/>
      <c r="X1375" s="17"/>
      <c r="Y1375" s="17"/>
      <c r="Z1375" s="17"/>
    </row>
    <row r="1376">
      <c r="A1376" s="18" t="str">
        <f>IFERROR(__xludf.DUMMYFUNCTION("""COMPUTED_VALUE"""),"ord_71354")</f>
        <v>ord_71354</v>
      </c>
      <c r="B1376" s="18" t="str">
        <f>IFERROR(__xludf.DUMMYFUNCTION("""COMPUTED_VALUE"""),"Ishita Banerjee")</f>
        <v>Ishita Banerjee</v>
      </c>
      <c r="C1376" s="18" t="str">
        <f>IFERROR(__xludf.DUMMYFUNCTION("""COMPUTED_VALUE"""),"Juhu")</f>
        <v>Juhu</v>
      </c>
      <c r="D1376" s="18" t="str">
        <f>IFERROR(__xludf.DUMMYFUNCTION("""COMPUTED_VALUE"""),"Rasmalai")</f>
        <v>Rasmalai</v>
      </c>
      <c r="E1376" s="18">
        <f>IFERROR(__xludf.DUMMYFUNCTION("""COMPUTED_VALUE"""),2.0)</f>
        <v>2</v>
      </c>
      <c r="F1376" s="18" t="str">
        <f>IFERROR(__xludf.DUMMYFUNCTION("""COMPUTED_VALUE"""),"Priya Joshi")</f>
        <v>Priya Joshi</v>
      </c>
      <c r="G1376" s="19">
        <f>IFERROR(__xludf.DUMMYFUNCTION("""COMPUTED_VALUE"""),45205.0)</f>
        <v>45205</v>
      </c>
      <c r="H1376" s="18" t="str">
        <f>IFERROR(__xludf.DUMMYFUNCTION("""COMPUTED_VALUE"""),"Credit Card")</f>
        <v>Credit Card</v>
      </c>
      <c r="I1376" s="18" t="str">
        <f>IFERROR(__xludf.DUMMYFUNCTION("""COMPUTED_VALUE"""),"Cancelled")</f>
        <v>Cancelled</v>
      </c>
      <c r="J1376" s="18" t="str">
        <f>IFERROR(__xludf.DUMMYFUNCTION("""COMPUTED_VALUE"""),"Delayed Delivery")</f>
        <v>Delayed Delivery</v>
      </c>
      <c r="K1376" s="18" t="str">
        <f>IFERROR(__xludf.DUMMYFUNCTION("""COMPUTED_VALUE"""),"Bad Weather Conditions")</f>
        <v>Bad Weather Conditions</v>
      </c>
      <c r="L1376" s="18">
        <f>iferror(VLOOKUP($D1376,Details!$A$2:$C$11,2,false),vlookup($D1376,Details!$E$2:$G$11,2,false))</f>
        <v>110</v>
      </c>
      <c r="M1376" s="18" t="str">
        <f>iferror(VLOOKUP($D1376,Details!$A$2:$C$11,3,false),vlookup($D1376,Details!$E$2:$G$11,3,false))</f>
        <v>Snacks and Drinks</v>
      </c>
      <c r="N1376" s="18">
        <f t="shared" si="1"/>
        <v>220</v>
      </c>
      <c r="O1376" s="17"/>
      <c r="P1376" s="17"/>
      <c r="Q1376" s="17"/>
      <c r="R1376" s="17"/>
      <c r="S1376" s="17"/>
      <c r="T1376" s="17"/>
      <c r="U1376" s="17"/>
      <c r="V1376" s="17"/>
      <c r="W1376" s="17"/>
      <c r="X1376" s="17"/>
      <c r="Y1376" s="17"/>
      <c r="Z1376" s="17"/>
    </row>
    <row r="1377">
      <c r="A1377" s="18" t="str">
        <f>IFERROR(__xludf.DUMMYFUNCTION("""COMPUTED_VALUE"""),"ord_71355")</f>
        <v>ord_71355</v>
      </c>
      <c r="B1377" s="18" t="str">
        <f>IFERROR(__xludf.DUMMYFUNCTION("""COMPUTED_VALUE"""),"Anaya Rao")</f>
        <v>Anaya Rao</v>
      </c>
      <c r="C1377" s="18" t="str">
        <f>IFERROR(__xludf.DUMMYFUNCTION("""COMPUTED_VALUE"""),"Colaba")</f>
        <v>Colaba</v>
      </c>
      <c r="D1377" s="18" t="str">
        <f>IFERROR(__xludf.DUMMYFUNCTION("""COMPUTED_VALUE"""),"Apple")</f>
        <v>Apple</v>
      </c>
      <c r="E1377" s="18">
        <f>IFERROR(__xludf.DUMMYFUNCTION("""COMPUTED_VALUE"""),1.0)</f>
        <v>1</v>
      </c>
      <c r="F1377" s="18" t="str">
        <f>IFERROR(__xludf.DUMMYFUNCTION("""COMPUTED_VALUE"""),"Nikhil Deshmukh")</f>
        <v>Nikhil Deshmukh</v>
      </c>
      <c r="G1377" s="19">
        <f>IFERROR(__xludf.DUMMYFUNCTION("""COMPUTED_VALUE"""),45253.0)</f>
        <v>45253</v>
      </c>
      <c r="H1377" s="18" t="str">
        <f>IFERROR(__xludf.DUMMYFUNCTION("""COMPUTED_VALUE"""),"Credit Card")</f>
        <v>Credit Card</v>
      </c>
      <c r="I1377" s="18" t="str">
        <f>IFERROR(__xludf.DUMMYFUNCTION("""COMPUTED_VALUE"""),"Delivered")</f>
        <v>Delivered</v>
      </c>
      <c r="J1377" s="18" t="str">
        <f>IFERROR(__xludf.DUMMYFUNCTION("""COMPUTED_VALUE"""),"Quality of Items")</f>
        <v>Quality of Items</v>
      </c>
      <c r="K1377" s="18" t="str">
        <f>IFERROR(__xludf.DUMMYFUNCTION("""COMPUTED_VALUE"""),"Perfect condition")</f>
        <v>Perfect condition</v>
      </c>
      <c r="L1377" s="18">
        <f>iferror(VLOOKUP($D1377,Details!$A$2:$C$11,2,false),vlookup($D1377,Details!$E$2:$G$11,2,false))</f>
        <v>230</v>
      </c>
      <c r="M1377" s="18" t="str">
        <f>iferror(VLOOKUP($D1377,Details!$A$2:$C$11,3,false),vlookup($D1377,Details!$E$2:$G$11,3,false))</f>
        <v>Fruits and Vegetables</v>
      </c>
      <c r="N1377" s="18">
        <f t="shared" si="1"/>
        <v>230</v>
      </c>
      <c r="O1377" s="17"/>
      <c r="P1377" s="17"/>
      <c r="Q1377" s="17"/>
      <c r="R1377" s="17"/>
      <c r="S1377" s="17"/>
      <c r="T1377" s="17"/>
      <c r="U1377" s="17"/>
      <c r="V1377" s="17"/>
      <c r="W1377" s="17"/>
      <c r="X1377" s="17"/>
      <c r="Y1377" s="17"/>
      <c r="Z1377" s="17"/>
    </row>
    <row r="1378">
      <c r="A1378" s="18" t="str">
        <f>IFERROR(__xludf.DUMMYFUNCTION("""COMPUTED_VALUE"""),"ord_71356")</f>
        <v>ord_71356</v>
      </c>
      <c r="B1378" s="18" t="str">
        <f>IFERROR(__xludf.DUMMYFUNCTION("""COMPUTED_VALUE"""),"Mehul Thakkar")</f>
        <v>Mehul Thakkar</v>
      </c>
      <c r="C1378" s="18" t="str">
        <f>IFERROR(__xludf.DUMMYFUNCTION("""COMPUTED_VALUE"""),"Dadar")</f>
        <v>Dadar</v>
      </c>
      <c r="D1378" s="18" t="str">
        <f>IFERROR(__xludf.DUMMYFUNCTION("""COMPUTED_VALUE"""),"Tiramisu")</f>
        <v>Tiramisu</v>
      </c>
      <c r="E1378" s="18">
        <f>IFERROR(__xludf.DUMMYFUNCTION("""COMPUTED_VALUE"""),2.0)</f>
        <v>2</v>
      </c>
      <c r="F1378" s="18" t="str">
        <f>IFERROR(__xludf.DUMMYFUNCTION("""COMPUTED_VALUE"""),"Aman Kumar")</f>
        <v>Aman Kumar</v>
      </c>
      <c r="G1378" s="19">
        <f>IFERROR(__xludf.DUMMYFUNCTION("""COMPUTED_VALUE"""),44930.0)</f>
        <v>44930</v>
      </c>
      <c r="H1378" s="18" t="str">
        <f>IFERROR(__xludf.DUMMYFUNCTION("""COMPUTED_VALUE"""),"Online Payment")</f>
        <v>Online Payment</v>
      </c>
      <c r="I1378" s="18" t="str">
        <f>IFERROR(__xludf.DUMMYFUNCTION("""COMPUTED_VALUE"""),"Delivered")</f>
        <v>Delivered</v>
      </c>
      <c r="J1378" s="18" t="str">
        <f>IFERROR(__xludf.DUMMYFUNCTION("""COMPUTED_VALUE"""),"Packaging")</f>
        <v>Packaging</v>
      </c>
      <c r="K1378" s="18" t="str">
        <f>IFERROR(__xludf.DUMMYFUNCTION("""COMPUTED_VALUE"""),"Secure and intact")</f>
        <v>Secure and intact</v>
      </c>
      <c r="L1378" s="18">
        <f>iferror(VLOOKUP($D1378,Details!$A$2:$C$11,2,false),vlookup($D1378,Details!$E$2:$G$11,2,false))</f>
        <v>150</v>
      </c>
      <c r="M1378" s="18" t="str">
        <f>iferror(VLOOKUP($D1378,Details!$A$2:$C$11,3,false),vlookup($D1378,Details!$E$2:$G$11,3,false))</f>
        <v>Snacks and Drinks</v>
      </c>
      <c r="N1378" s="18">
        <f t="shared" si="1"/>
        <v>300</v>
      </c>
      <c r="O1378" s="17"/>
      <c r="P1378" s="17"/>
      <c r="Q1378" s="17"/>
      <c r="R1378" s="17"/>
      <c r="S1378" s="17"/>
      <c r="T1378" s="17"/>
      <c r="U1378" s="17"/>
      <c r="V1378" s="17"/>
      <c r="W1378" s="17"/>
      <c r="X1378" s="17"/>
      <c r="Y1378" s="17"/>
      <c r="Z1378" s="17"/>
    </row>
    <row r="1379">
      <c r="A1379" s="18" t="str">
        <f>IFERROR(__xludf.DUMMYFUNCTION("""COMPUTED_VALUE"""),"ord_71357")</f>
        <v>ord_71357</v>
      </c>
      <c r="B1379" s="18" t="str">
        <f>IFERROR(__xludf.DUMMYFUNCTION("""COMPUTED_VALUE"""),"Aditi Iyer")</f>
        <v>Aditi Iyer</v>
      </c>
      <c r="C1379" s="18" t="str">
        <f>IFERROR(__xludf.DUMMYFUNCTION("""COMPUTED_VALUE"""),"Bandra")</f>
        <v>Bandra</v>
      </c>
      <c r="D1379" s="18" t="str">
        <f>IFERROR(__xludf.DUMMYFUNCTION("""COMPUTED_VALUE"""),"Popcorn")</f>
        <v>Popcorn</v>
      </c>
      <c r="E1379" s="18">
        <f>IFERROR(__xludf.DUMMYFUNCTION("""COMPUTED_VALUE"""),1.0)</f>
        <v>1</v>
      </c>
      <c r="F1379" s="18" t="str">
        <f>IFERROR(__xludf.DUMMYFUNCTION("""COMPUTED_VALUE"""),"Priya Joshi")</f>
        <v>Priya Joshi</v>
      </c>
      <c r="G1379" s="19">
        <f>IFERROR(__xludf.DUMMYFUNCTION("""COMPUTED_VALUE"""),45198.0)</f>
        <v>45198</v>
      </c>
      <c r="H1379" s="18" t="str">
        <f>IFERROR(__xludf.DUMMYFUNCTION("""COMPUTED_VALUE"""),"UPI")</f>
        <v>UPI</v>
      </c>
      <c r="I1379" s="18" t="str">
        <f>IFERROR(__xludf.DUMMYFUNCTION("""COMPUTED_VALUE"""),"Delivered")</f>
        <v>Delivered</v>
      </c>
      <c r="J1379" s="18" t="str">
        <f>IFERROR(__xludf.DUMMYFUNCTION("""COMPUTED_VALUE"""),"Satisfied with the Delivery")</f>
        <v>Satisfied with the Delivery</v>
      </c>
      <c r="K1379" s="18" t="str">
        <f>IFERROR(__xludf.DUMMYFUNCTION("""COMPUTED_VALUE"""),"Timely and quality")</f>
        <v>Timely and quality</v>
      </c>
      <c r="L1379" s="18">
        <f>iferror(VLOOKUP($D1379,Details!$A$2:$C$11,2,false),vlookup($D1379,Details!$E$2:$G$11,2,false))</f>
        <v>150</v>
      </c>
      <c r="M1379" s="18" t="str">
        <f>iferror(VLOOKUP($D1379,Details!$A$2:$C$11,3,false),vlookup($D1379,Details!$E$2:$G$11,3,false))</f>
        <v>Snacks and Drinks</v>
      </c>
      <c r="N1379" s="18">
        <f t="shared" si="1"/>
        <v>150</v>
      </c>
      <c r="O1379" s="17"/>
      <c r="P1379" s="17"/>
      <c r="Q1379" s="17"/>
      <c r="R1379" s="17"/>
      <c r="S1379" s="17"/>
      <c r="T1379" s="17"/>
      <c r="U1379" s="17"/>
      <c r="V1379" s="17"/>
      <c r="W1379" s="17"/>
      <c r="X1379" s="17"/>
      <c r="Y1379" s="17"/>
      <c r="Z1379" s="17"/>
    </row>
    <row r="1380">
      <c r="A1380" s="18" t="str">
        <f>IFERROR(__xludf.DUMMYFUNCTION("""COMPUTED_VALUE"""),"ord_71358")</f>
        <v>ord_71358</v>
      </c>
      <c r="B1380" s="18" t="str">
        <f>IFERROR(__xludf.DUMMYFUNCTION("""COMPUTED_VALUE"""),"Omkar Mishra")</f>
        <v>Omkar Mishra</v>
      </c>
      <c r="C1380" s="18" t="str">
        <f>IFERROR(__xludf.DUMMYFUNCTION("""COMPUTED_VALUE"""),"Powai")</f>
        <v>Powai</v>
      </c>
      <c r="D1380" s="18" t="str">
        <f>IFERROR(__xludf.DUMMYFUNCTION("""COMPUTED_VALUE"""),"Chilli Cheese Toast")</f>
        <v>Chilli Cheese Toast</v>
      </c>
      <c r="E1380" s="18">
        <f>IFERROR(__xludf.DUMMYFUNCTION("""COMPUTED_VALUE"""),5.0)</f>
        <v>5</v>
      </c>
      <c r="F1380" s="18" t="str">
        <f>IFERROR(__xludf.DUMMYFUNCTION("""COMPUTED_VALUE"""),"Sandeep Kumar")</f>
        <v>Sandeep Kumar</v>
      </c>
      <c r="G1380" s="19">
        <f>IFERROR(__xludf.DUMMYFUNCTION("""COMPUTED_VALUE"""),44928.0)</f>
        <v>44928</v>
      </c>
      <c r="H1380" s="18" t="str">
        <f>IFERROR(__xludf.DUMMYFUNCTION("""COMPUTED_VALUE"""),"Online Payment")</f>
        <v>Online Payment</v>
      </c>
      <c r="I1380" s="18" t="str">
        <f>IFERROR(__xludf.DUMMYFUNCTION("""COMPUTED_VALUE"""),"Delivered")</f>
        <v>Delivered</v>
      </c>
      <c r="J1380" s="18" t="str">
        <f>IFERROR(__xludf.DUMMYFUNCTION("""COMPUTED_VALUE"""),"Customer Service")</f>
        <v>Customer Service</v>
      </c>
      <c r="K1380" s="18" t="str">
        <f>IFERROR(__xludf.DUMMYFUNCTION("""COMPUTED_VALUE"""),"Seamless and easy")</f>
        <v>Seamless and easy</v>
      </c>
      <c r="L1380" s="18">
        <f>iferror(VLOOKUP($D1380,Details!$A$2:$C$11,2,false),vlookup($D1380,Details!$E$2:$G$11,2,false))</f>
        <v>80</v>
      </c>
      <c r="M1380" s="18" t="str">
        <f>iferror(VLOOKUP($D1380,Details!$A$2:$C$11,3,false),vlookup($D1380,Details!$E$2:$G$11,3,false))</f>
        <v>Snacks and Drinks</v>
      </c>
      <c r="N1380" s="18">
        <f t="shared" si="1"/>
        <v>400</v>
      </c>
      <c r="O1380" s="17"/>
      <c r="P1380" s="17"/>
      <c r="Q1380" s="17"/>
      <c r="R1380" s="17"/>
      <c r="S1380" s="17"/>
      <c r="T1380" s="17"/>
      <c r="U1380" s="17"/>
      <c r="V1380" s="17"/>
      <c r="W1380" s="17"/>
      <c r="X1380" s="17"/>
      <c r="Y1380" s="17"/>
      <c r="Z1380" s="17"/>
    </row>
    <row r="1381">
      <c r="A1381" s="18" t="str">
        <f>IFERROR(__xludf.DUMMYFUNCTION("""COMPUTED_VALUE"""),"ord_71359")</f>
        <v>ord_71359</v>
      </c>
      <c r="B1381" s="18" t="str">
        <f>IFERROR(__xludf.DUMMYFUNCTION("""COMPUTED_VALUE"""),"Dev Chauhan")</f>
        <v>Dev Chauhan</v>
      </c>
      <c r="C1381" s="18" t="str">
        <f>IFERROR(__xludf.DUMMYFUNCTION("""COMPUTED_VALUE"""),"Bandra")</f>
        <v>Bandra</v>
      </c>
      <c r="D1381" s="18" t="str">
        <f>IFERROR(__xludf.DUMMYFUNCTION("""COMPUTED_VALUE"""),"Icecream")</f>
        <v>Icecream</v>
      </c>
      <c r="E1381" s="18">
        <f>IFERROR(__xludf.DUMMYFUNCTION("""COMPUTED_VALUE"""),1.0)</f>
        <v>1</v>
      </c>
      <c r="F1381" s="18" t="str">
        <f>IFERROR(__xludf.DUMMYFUNCTION("""COMPUTED_VALUE"""),"Priya Joshi")</f>
        <v>Priya Joshi</v>
      </c>
      <c r="G1381" s="19">
        <f>IFERROR(__xludf.DUMMYFUNCTION("""COMPUTED_VALUE"""),45044.0)</f>
        <v>45044</v>
      </c>
      <c r="H1381" s="18" t="str">
        <f>IFERROR(__xludf.DUMMYFUNCTION("""COMPUTED_VALUE"""),"COD")</f>
        <v>COD</v>
      </c>
      <c r="I1381" s="18" t="str">
        <f>IFERROR(__xludf.DUMMYFUNCTION("""COMPUTED_VALUE"""),"Delivered")</f>
        <v>Delivered</v>
      </c>
      <c r="J1381" s="18" t="str">
        <f>IFERROR(__xludf.DUMMYFUNCTION("""COMPUTED_VALUE"""),"Delivery Experience")</f>
        <v>Delivery Experience</v>
      </c>
      <c r="K1381" s="18" t="str">
        <f>IFERROR(__xludf.DUMMYFUNCTION("""COMPUTED_VALUE"""),"Quick and professional")</f>
        <v>Quick and professional</v>
      </c>
      <c r="L1381" s="18">
        <f>iferror(VLOOKUP($D1381,Details!$A$2:$C$11,2,false),vlookup($D1381,Details!$E$2:$G$11,2,false))</f>
        <v>90</v>
      </c>
      <c r="M1381" s="18" t="str">
        <f>iferror(VLOOKUP($D1381,Details!$A$2:$C$11,3,false),vlookup($D1381,Details!$E$2:$G$11,3,false))</f>
        <v>Snacks and Drinks</v>
      </c>
      <c r="N1381" s="18">
        <f t="shared" si="1"/>
        <v>90</v>
      </c>
      <c r="O1381" s="17"/>
      <c r="P1381" s="17"/>
      <c r="Q1381" s="17"/>
      <c r="R1381" s="17"/>
      <c r="S1381" s="17"/>
      <c r="T1381" s="17"/>
      <c r="U1381" s="17"/>
      <c r="V1381" s="17"/>
      <c r="W1381" s="17"/>
      <c r="X1381" s="17"/>
      <c r="Y1381" s="17"/>
      <c r="Z1381" s="17"/>
    </row>
    <row r="1382">
      <c r="A1382" s="18" t="str">
        <f>IFERROR(__xludf.DUMMYFUNCTION("""COMPUTED_VALUE"""),"ord_71360")</f>
        <v>ord_71360</v>
      </c>
      <c r="B1382" s="18" t="str">
        <f>IFERROR(__xludf.DUMMYFUNCTION("""COMPUTED_VALUE"""),"Ishaan Chaturvedi")</f>
        <v>Ishaan Chaturvedi</v>
      </c>
      <c r="C1382" s="18" t="str">
        <f>IFERROR(__xludf.DUMMYFUNCTION("""COMPUTED_VALUE"""),"Bandra")</f>
        <v>Bandra</v>
      </c>
      <c r="D1382" s="18" t="str">
        <f>IFERROR(__xludf.DUMMYFUNCTION("""COMPUTED_VALUE"""),"Banana")</f>
        <v>Banana</v>
      </c>
      <c r="E1382" s="18">
        <f>IFERROR(__xludf.DUMMYFUNCTION("""COMPUTED_VALUE"""),1.0)</f>
        <v>1</v>
      </c>
      <c r="F1382" s="18" t="str">
        <f>IFERROR(__xludf.DUMMYFUNCTION("""COMPUTED_VALUE"""),"Priya Joshi")</f>
        <v>Priya Joshi</v>
      </c>
      <c r="G1382" s="19">
        <f>IFERROR(__xludf.DUMMYFUNCTION("""COMPUTED_VALUE"""),45210.0)</f>
        <v>45210</v>
      </c>
      <c r="H1382" s="18" t="str">
        <f>IFERROR(__xludf.DUMMYFUNCTION("""COMPUTED_VALUE"""),"Online Payment")</f>
        <v>Online Payment</v>
      </c>
      <c r="I1382" s="18" t="str">
        <f>IFERROR(__xludf.DUMMYFUNCTION("""COMPUTED_VALUE"""),"Delivered")</f>
        <v>Delivered</v>
      </c>
      <c r="J1382" s="18" t="str">
        <f>IFERROR(__xludf.DUMMYFUNCTION("""COMPUTED_VALUE"""),"Convenience")</f>
        <v>Convenience</v>
      </c>
      <c r="K1382" s="18" t="str">
        <f>IFERROR(__xludf.DUMMYFUNCTION("""COMPUTED_VALUE"""),"Easy tracking")</f>
        <v>Easy tracking</v>
      </c>
      <c r="L1382" s="18">
        <f>iferror(VLOOKUP($D1382,Details!$A$2:$C$11,2,false),vlookup($D1382,Details!$E$2:$G$11,2,false))</f>
        <v>80</v>
      </c>
      <c r="M1382" s="18" t="str">
        <f>iferror(VLOOKUP($D1382,Details!$A$2:$C$11,3,false),vlookup($D1382,Details!$E$2:$G$11,3,false))</f>
        <v>Fruits and Vegetables</v>
      </c>
      <c r="N1382" s="18">
        <f t="shared" si="1"/>
        <v>80</v>
      </c>
      <c r="O1382" s="17"/>
      <c r="P1382" s="17"/>
      <c r="Q1382" s="17"/>
      <c r="R1382" s="17"/>
      <c r="S1382" s="17"/>
      <c r="T1382" s="17"/>
      <c r="U1382" s="17"/>
      <c r="V1382" s="17"/>
      <c r="W1382" s="17"/>
      <c r="X1382" s="17"/>
      <c r="Y1382" s="17"/>
      <c r="Z1382" s="17"/>
    </row>
    <row r="1383">
      <c r="A1383" s="18" t="str">
        <f>IFERROR(__xludf.DUMMYFUNCTION("""COMPUTED_VALUE"""),"ord_71361")</f>
        <v>ord_71361</v>
      </c>
      <c r="B1383" s="18" t="str">
        <f>IFERROR(__xludf.DUMMYFUNCTION("""COMPUTED_VALUE"""),"Sanjay Nair")</f>
        <v>Sanjay Nair</v>
      </c>
      <c r="C1383" s="18" t="str">
        <f>IFERROR(__xludf.DUMMYFUNCTION("""COMPUTED_VALUE"""),"Dadar")</f>
        <v>Dadar</v>
      </c>
      <c r="D1383" s="18" t="str">
        <f>IFERROR(__xludf.DUMMYFUNCTION("""COMPUTED_VALUE"""),"Guava")</f>
        <v>Guava</v>
      </c>
      <c r="E1383" s="18">
        <f>IFERROR(__xludf.DUMMYFUNCTION("""COMPUTED_VALUE"""),1.0)</f>
        <v>1</v>
      </c>
      <c r="F1383" s="18" t="str">
        <f>IFERROR(__xludf.DUMMYFUNCTION("""COMPUTED_VALUE"""),"Aman Kumar")</f>
        <v>Aman Kumar</v>
      </c>
      <c r="G1383" s="19">
        <f>IFERROR(__xludf.DUMMYFUNCTION("""COMPUTED_VALUE"""),44956.0)</f>
        <v>44956</v>
      </c>
      <c r="H1383" s="18" t="str">
        <f>IFERROR(__xludf.DUMMYFUNCTION("""COMPUTED_VALUE"""),"Online Payment")</f>
        <v>Online Payment</v>
      </c>
      <c r="I1383" s="18" t="str">
        <f>IFERROR(__xludf.DUMMYFUNCTION("""COMPUTED_VALUE"""),"Delivered")</f>
        <v>Delivered</v>
      </c>
      <c r="J1383" s="18" t="str">
        <f>IFERROR(__xludf.DUMMYFUNCTION("""COMPUTED_VALUE"""),"Overall Satisfaction")</f>
        <v>Overall Satisfaction</v>
      </c>
      <c r="K1383" s="18" t="str">
        <f>IFERROR(__xludf.DUMMYFUNCTION("""COMPUTED_VALUE"""),"Great service will order again")</f>
        <v>Great service will order again</v>
      </c>
      <c r="L1383" s="18">
        <f>iferror(VLOOKUP($D1383,Details!$A$2:$C$11,2,false),vlookup($D1383,Details!$E$2:$G$11,2,false))</f>
        <v>70</v>
      </c>
      <c r="M1383" s="18" t="str">
        <f>iferror(VLOOKUP($D1383,Details!$A$2:$C$11,3,false),vlookup($D1383,Details!$E$2:$G$11,3,false))</f>
        <v>Fruits and Vegetables</v>
      </c>
      <c r="N1383" s="18">
        <f t="shared" si="1"/>
        <v>70</v>
      </c>
      <c r="O1383" s="17"/>
      <c r="P1383" s="17"/>
      <c r="Q1383" s="17"/>
      <c r="R1383" s="17"/>
      <c r="S1383" s="17"/>
      <c r="T1383" s="17"/>
      <c r="U1383" s="17"/>
      <c r="V1383" s="17"/>
      <c r="W1383" s="17"/>
      <c r="X1383" s="17"/>
      <c r="Y1383" s="17"/>
      <c r="Z1383" s="17"/>
    </row>
    <row r="1384">
      <c r="A1384" s="18" t="str">
        <f>IFERROR(__xludf.DUMMYFUNCTION("""COMPUTED_VALUE"""),"ord_71362")</f>
        <v>ord_71362</v>
      </c>
      <c r="B1384" s="18" t="str">
        <f>IFERROR(__xludf.DUMMYFUNCTION("""COMPUTED_VALUE"""),"Aarohi Kapoor")</f>
        <v>Aarohi Kapoor</v>
      </c>
      <c r="C1384" s="18" t="str">
        <f>IFERROR(__xludf.DUMMYFUNCTION("""COMPUTED_VALUE"""),"Bandra")</f>
        <v>Bandra</v>
      </c>
      <c r="D1384" s="18" t="str">
        <f>IFERROR(__xludf.DUMMYFUNCTION("""COMPUTED_VALUE"""),"Veg Puff")</f>
        <v>Veg Puff</v>
      </c>
      <c r="E1384" s="18">
        <f>IFERROR(__xludf.DUMMYFUNCTION("""COMPUTED_VALUE"""),2.0)</f>
        <v>2</v>
      </c>
      <c r="F1384" s="18" t="str">
        <f>IFERROR(__xludf.DUMMYFUNCTION("""COMPUTED_VALUE"""),"Priya Joshi")</f>
        <v>Priya Joshi</v>
      </c>
      <c r="G1384" s="19">
        <f>IFERROR(__xludf.DUMMYFUNCTION("""COMPUTED_VALUE"""),44964.0)</f>
        <v>44964</v>
      </c>
      <c r="H1384" s="18" t="str">
        <f>IFERROR(__xludf.DUMMYFUNCTION("""COMPUTED_VALUE"""),"Credit Card")</f>
        <v>Credit Card</v>
      </c>
      <c r="I1384" s="18" t="str">
        <f>IFERROR(__xludf.DUMMYFUNCTION("""COMPUTED_VALUE"""),"Delivered")</f>
        <v>Delivered</v>
      </c>
      <c r="J1384" s="18" t="str">
        <f>IFERROR(__xludf.DUMMYFUNCTION("""COMPUTED_VALUE"""),"On-time Delivery")</f>
        <v>On-time Delivery</v>
      </c>
      <c r="K1384" s="18" t="str">
        <f>IFERROR(__xludf.DUMMYFUNCTION("""COMPUTED_VALUE"""),"Delivered on time")</f>
        <v>Delivered on time</v>
      </c>
      <c r="L1384" s="18">
        <f>iferror(VLOOKUP($D1384,Details!$A$2:$C$11,2,false),vlookup($D1384,Details!$E$2:$G$11,2,false))</f>
        <v>80</v>
      </c>
      <c r="M1384" s="18" t="str">
        <f>iferror(VLOOKUP($D1384,Details!$A$2:$C$11,3,false),vlookup($D1384,Details!$E$2:$G$11,3,false))</f>
        <v>Snacks and Drinks</v>
      </c>
      <c r="N1384" s="18">
        <f t="shared" si="1"/>
        <v>160</v>
      </c>
      <c r="O1384" s="17"/>
      <c r="P1384" s="17"/>
      <c r="Q1384" s="17"/>
      <c r="R1384" s="17"/>
      <c r="S1384" s="17"/>
      <c r="T1384" s="17"/>
      <c r="U1384" s="17"/>
      <c r="V1384" s="17"/>
      <c r="W1384" s="17"/>
      <c r="X1384" s="17"/>
      <c r="Y1384" s="17"/>
      <c r="Z1384" s="17"/>
    </row>
    <row r="1385">
      <c r="A1385" s="18" t="str">
        <f>IFERROR(__xludf.DUMMYFUNCTION("""COMPUTED_VALUE"""),"ord_71363")</f>
        <v>ord_71363</v>
      </c>
      <c r="B1385" s="18" t="str">
        <f>IFERROR(__xludf.DUMMYFUNCTION("""COMPUTED_VALUE"""),"Aditi Iyer")</f>
        <v>Aditi Iyer</v>
      </c>
      <c r="C1385" s="18" t="str">
        <f>IFERROR(__xludf.DUMMYFUNCTION("""COMPUTED_VALUE"""),"Dadar")</f>
        <v>Dadar</v>
      </c>
      <c r="D1385" s="18" t="str">
        <f>IFERROR(__xludf.DUMMYFUNCTION("""COMPUTED_VALUE"""),"Orange")</f>
        <v>Orange</v>
      </c>
      <c r="E1385" s="18">
        <f>IFERROR(__xludf.DUMMYFUNCTION("""COMPUTED_VALUE"""),2.0)</f>
        <v>2</v>
      </c>
      <c r="F1385" s="18" t="str">
        <f>IFERROR(__xludf.DUMMYFUNCTION("""COMPUTED_VALUE"""),"Aman Kumar")</f>
        <v>Aman Kumar</v>
      </c>
      <c r="G1385" s="19">
        <f>IFERROR(__xludf.DUMMYFUNCTION("""COMPUTED_VALUE"""),45129.0)</f>
        <v>45129</v>
      </c>
      <c r="H1385" s="18" t="str">
        <f>IFERROR(__xludf.DUMMYFUNCTION("""COMPUTED_VALUE"""),"Credit Card")</f>
        <v>Credit Card</v>
      </c>
      <c r="I1385" s="18" t="str">
        <f>IFERROR(__xludf.DUMMYFUNCTION("""COMPUTED_VALUE"""),"Delivered")</f>
        <v>Delivered</v>
      </c>
      <c r="J1385" s="18" t="str">
        <f>IFERROR(__xludf.DUMMYFUNCTION("""COMPUTED_VALUE"""),"Quality of Items")</f>
        <v>Quality of Items</v>
      </c>
      <c r="K1385" s="18" t="str">
        <f>IFERROR(__xludf.DUMMYFUNCTION("""COMPUTED_VALUE"""),"Perfect condition")</f>
        <v>Perfect condition</v>
      </c>
      <c r="L1385" s="18">
        <f>iferror(VLOOKUP($D1385,Details!$A$2:$C$11,2,false),vlookup($D1385,Details!$E$2:$G$11,2,false))</f>
        <v>180</v>
      </c>
      <c r="M1385" s="18" t="str">
        <f>iferror(VLOOKUP($D1385,Details!$A$2:$C$11,3,false),vlookup($D1385,Details!$E$2:$G$11,3,false))</f>
        <v>Fruits and Vegetables</v>
      </c>
      <c r="N1385" s="18">
        <f t="shared" si="1"/>
        <v>360</v>
      </c>
      <c r="O1385" s="17"/>
      <c r="P1385" s="17"/>
      <c r="Q1385" s="17"/>
      <c r="R1385" s="17"/>
      <c r="S1385" s="17"/>
      <c r="T1385" s="17"/>
      <c r="U1385" s="17"/>
      <c r="V1385" s="17"/>
      <c r="W1385" s="17"/>
      <c r="X1385" s="17"/>
      <c r="Y1385" s="17"/>
      <c r="Z1385" s="17"/>
    </row>
    <row r="1386">
      <c r="A1386" s="18" t="str">
        <f>IFERROR(__xludf.DUMMYFUNCTION("""COMPUTED_VALUE"""),"ord_71364")</f>
        <v>ord_71364</v>
      </c>
      <c r="B1386" s="18" t="str">
        <f>IFERROR(__xludf.DUMMYFUNCTION("""COMPUTED_VALUE"""),"Diya Arora")</f>
        <v>Diya Arora</v>
      </c>
      <c r="C1386" s="18" t="str">
        <f>IFERROR(__xludf.DUMMYFUNCTION("""COMPUTED_VALUE"""),"Lower Parel")</f>
        <v>Lower Parel</v>
      </c>
      <c r="D1386" s="18" t="str">
        <f>IFERROR(__xludf.DUMMYFUNCTION("""COMPUTED_VALUE"""),"Guava")</f>
        <v>Guava</v>
      </c>
      <c r="E1386" s="18">
        <f>IFERROR(__xludf.DUMMYFUNCTION("""COMPUTED_VALUE"""),1.0)</f>
        <v>1</v>
      </c>
      <c r="F1386" s="18" t="str">
        <f>IFERROR(__xludf.DUMMYFUNCTION("""COMPUTED_VALUE"""),"Kiran Mehta")</f>
        <v>Kiran Mehta</v>
      </c>
      <c r="G1386" s="19">
        <f>IFERROR(__xludf.DUMMYFUNCTION("""COMPUTED_VALUE"""),45084.0)</f>
        <v>45084</v>
      </c>
      <c r="H1386" s="18" t="str">
        <f>IFERROR(__xludf.DUMMYFUNCTION("""COMPUTED_VALUE"""),"Credit Card")</f>
        <v>Credit Card</v>
      </c>
      <c r="I1386" s="18" t="str">
        <f>IFERROR(__xludf.DUMMYFUNCTION("""COMPUTED_VALUE"""),"Delivered")</f>
        <v>Delivered</v>
      </c>
      <c r="J1386" s="18" t="str">
        <f>IFERROR(__xludf.DUMMYFUNCTION("""COMPUTED_VALUE"""),"On-time Delivery")</f>
        <v>On-time Delivery</v>
      </c>
      <c r="K1386" s="18" t="str">
        <f>IFERROR(__xludf.DUMMYFUNCTION("""COMPUTED_VALUE"""),"Delivered on time")</f>
        <v>Delivered on time</v>
      </c>
      <c r="L1386" s="18">
        <f>iferror(VLOOKUP($D1386,Details!$A$2:$C$11,2,false),vlookup($D1386,Details!$E$2:$G$11,2,false))</f>
        <v>70</v>
      </c>
      <c r="M1386" s="18" t="str">
        <f>iferror(VLOOKUP($D1386,Details!$A$2:$C$11,3,false),vlookup($D1386,Details!$E$2:$G$11,3,false))</f>
        <v>Fruits and Vegetables</v>
      </c>
      <c r="N1386" s="18">
        <f t="shared" si="1"/>
        <v>70</v>
      </c>
      <c r="O1386" s="17"/>
      <c r="P1386" s="17"/>
      <c r="Q1386" s="17"/>
      <c r="R1386" s="17"/>
      <c r="S1386" s="17"/>
      <c r="T1386" s="17"/>
      <c r="U1386" s="17"/>
      <c r="V1386" s="17"/>
      <c r="W1386" s="17"/>
      <c r="X1386" s="17"/>
      <c r="Y1386" s="17"/>
      <c r="Z1386" s="17"/>
    </row>
    <row r="1387">
      <c r="A1387" s="18" t="str">
        <f>IFERROR(__xludf.DUMMYFUNCTION("""COMPUTED_VALUE"""),"ord_71365")</f>
        <v>ord_71365</v>
      </c>
      <c r="B1387" s="18" t="str">
        <f>IFERROR(__xludf.DUMMYFUNCTION("""COMPUTED_VALUE"""),"Parth Goel")</f>
        <v>Parth Goel</v>
      </c>
      <c r="C1387" s="18" t="str">
        <f>IFERROR(__xludf.DUMMYFUNCTION("""COMPUTED_VALUE"""),"Juhu")</f>
        <v>Juhu</v>
      </c>
      <c r="D1387" s="18" t="str">
        <f>IFERROR(__xludf.DUMMYFUNCTION("""COMPUTED_VALUE"""),"Cucumber")</f>
        <v>Cucumber</v>
      </c>
      <c r="E1387" s="18">
        <f>IFERROR(__xludf.DUMMYFUNCTION("""COMPUTED_VALUE"""),1.0)</f>
        <v>1</v>
      </c>
      <c r="F1387" s="18" t="str">
        <f>IFERROR(__xludf.DUMMYFUNCTION("""COMPUTED_VALUE"""),"Tanvi Jain")</f>
        <v>Tanvi Jain</v>
      </c>
      <c r="G1387" s="19">
        <f>IFERROR(__xludf.DUMMYFUNCTION("""COMPUTED_VALUE"""),44933.0)</f>
        <v>44933</v>
      </c>
      <c r="H1387" s="18" t="str">
        <f>IFERROR(__xludf.DUMMYFUNCTION("""COMPUTED_VALUE"""),"COD")</f>
        <v>COD</v>
      </c>
      <c r="I1387" s="18" t="str">
        <f>IFERROR(__xludf.DUMMYFUNCTION("""COMPUTED_VALUE"""),"Delivered")</f>
        <v>Delivered</v>
      </c>
      <c r="J1387" s="18" t="str">
        <f>IFERROR(__xludf.DUMMYFUNCTION("""COMPUTED_VALUE"""),"Quality of Items")</f>
        <v>Quality of Items</v>
      </c>
      <c r="K1387" s="18" t="str">
        <f>IFERROR(__xludf.DUMMYFUNCTION("""COMPUTED_VALUE"""),"Perfect condition")</f>
        <v>Perfect condition</v>
      </c>
      <c r="L1387" s="18">
        <f>iferror(VLOOKUP($D1387,Details!$A$2:$C$11,2,false),vlookup($D1387,Details!$E$2:$G$11,2,false))</f>
        <v>30</v>
      </c>
      <c r="M1387" s="18" t="str">
        <f>iferror(VLOOKUP($D1387,Details!$A$2:$C$11,3,false),vlookup($D1387,Details!$E$2:$G$11,3,false))</f>
        <v>Fruits and Vegetables</v>
      </c>
      <c r="N1387" s="18">
        <f t="shared" si="1"/>
        <v>30</v>
      </c>
      <c r="O1387" s="17"/>
      <c r="P1387" s="17"/>
      <c r="Q1387" s="17"/>
      <c r="R1387" s="17"/>
      <c r="S1387" s="17"/>
      <c r="T1387" s="17"/>
      <c r="U1387" s="17"/>
      <c r="V1387" s="17"/>
      <c r="W1387" s="17"/>
      <c r="X1387" s="17"/>
      <c r="Y1387" s="17"/>
      <c r="Z1387" s="17"/>
    </row>
    <row r="1388">
      <c r="A1388" s="18" t="str">
        <f>IFERROR(__xludf.DUMMYFUNCTION("""COMPUTED_VALUE"""),"ord_71366")</f>
        <v>ord_71366</v>
      </c>
      <c r="B1388" s="18" t="str">
        <f>IFERROR(__xludf.DUMMYFUNCTION("""COMPUTED_VALUE"""),"Mehul Thakkar")</f>
        <v>Mehul Thakkar</v>
      </c>
      <c r="C1388" s="18" t="str">
        <f>IFERROR(__xludf.DUMMYFUNCTION("""COMPUTED_VALUE"""),"Malad")</f>
        <v>Malad</v>
      </c>
      <c r="D1388" s="18" t="str">
        <f>IFERROR(__xludf.DUMMYFUNCTION("""COMPUTED_VALUE"""),"Veg Puff")</f>
        <v>Veg Puff</v>
      </c>
      <c r="E1388" s="18">
        <f>IFERROR(__xludf.DUMMYFUNCTION("""COMPUTED_VALUE"""),3.0)</f>
        <v>3</v>
      </c>
      <c r="F1388" s="18" t="str">
        <f>IFERROR(__xludf.DUMMYFUNCTION("""COMPUTED_VALUE"""),"Not Assigned")</f>
        <v>Not Assigned</v>
      </c>
      <c r="G1388" s="19">
        <f>IFERROR(__xludf.DUMMYFUNCTION("""COMPUTED_VALUE"""),45246.0)</f>
        <v>45246</v>
      </c>
      <c r="H1388" s="18" t="str">
        <f>IFERROR(__xludf.DUMMYFUNCTION("""COMPUTED_VALUE"""),"Credit Card")</f>
        <v>Credit Card</v>
      </c>
      <c r="I1388" s="18" t="str">
        <f>IFERROR(__xludf.DUMMYFUNCTION("""COMPUTED_VALUE"""),"Cancelled")</f>
        <v>Cancelled</v>
      </c>
      <c r="J1388" s="18" t="str">
        <f>IFERROR(__xludf.DUMMYFUNCTION("""COMPUTED_VALUE"""),"App Glitches")</f>
        <v>App Glitches</v>
      </c>
      <c r="K1388" s="18" t="str">
        <f>IFERROR(__xludf.DUMMYFUNCTION("""COMPUTED_VALUE"""),"Slow Loading Time")</f>
        <v>Slow Loading Time</v>
      </c>
      <c r="L1388" s="18">
        <f>iferror(VLOOKUP($D1388,Details!$A$2:$C$11,2,false),vlookup($D1388,Details!$E$2:$G$11,2,false))</f>
        <v>80</v>
      </c>
      <c r="M1388" s="18" t="str">
        <f>iferror(VLOOKUP($D1388,Details!$A$2:$C$11,3,false),vlookup($D1388,Details!$E$2:$G$11,3,false))</f>
        <v>Snacks and Drinks</v>
      </c>
      <c r="N1388" s="18">
        <f t="shared" si="1"/>
        <v>240</v>
      </c>
      <c r="O1388" s="17"/>
      <c r="P1388" s="17"/>
      <c r="Q1388" s="17"/>
      <c r="R1388" s="17"/>
      <c r="S1388" s="17"/>
      <c r="T1388" s="17"/>
      <c r="U1388" s="17"/>
      <c r="V1388" s="17"/>
      <c r="W1388" s="17"/>
      <c r="X1388" s="17"/>
      <c r="Y1388" s="17"/>
      <c r="Z1388" s="17"/>
    </row>
    <row r="1389">
      <c r="A1389" s="18" t="str">
        <f>IFERROR(__xludf.DUMMYFUNCTION("""COMPUTED_VALUE"""),"ord_71367")</f>
        <v>ord_71367</v>
      </c>
      <c r="B1389" s="18" t="str">
        <f>IFERROR(__xludf.DUMMYFUNCTION("""COMPUTED_VALUE"""),"Kritika Shetty")</f>
        <v>Kritika Shetty</v>
      </c>
      <c r="C1389" s="18" t="str">
        <f>IFERROR(__xludf.DUMMYFUNCTION("""COMPUTED_VALUE"""),"Malad")</f>
        <v>Malad</v>
      </c>
      <c r="D1389" s="18" t="str">
        <f>IFERROR(__xludf.DUMMYFUNCTION("""COMPUTED_VALUE"""),"Orange")</f>
        <v>Orange</v>
      </c>
      <c r="E1389" s="18">
        <f>IFERROR(__xludf.DUMMYFUNCTION("""COMPUTED_VALUE"""),2.0)</f>
        <v>2</v>
      </c>
      <c r="F1389" s="18" t="str">
        <f>IFERROR(__xludf.DUMMYFUNCTION("""COMPUTED_VALUE"""),"Shine Thomas")</f>
        <v>Shine Thomas</v>
      </c>
      <c r="G1389" s="19">
        <f>IFERROR(__xludf.DUMMYFUNCTION("""COMPUTED_VALUE"""),45228.0)</f>
        <v>45228</v>
      </c>
      <c r="H1389" s="18" t="str">
        <f>IFERROR(__xludf.DUMMYFUNCTION("""COMPUTED_VALUE"""),"Credit Card")</f>
        <v>Credit Card</v>
      </c>
      <c r="I1389" s="18" t="str">
        <f>IFERROR(__xludf.DUMMYFUNCTION("""COMPUTED_VALUE"""),"Cancelled")</f>
        <v>Cancelled</v>
      </c>
      <c r="J1389" s="18" t="str">
        <f>IFERROR(__xludf.DUMMYFUNCTION("""COMPUTED_VALUE"""),"Delayed Delivery")</f>
        <v>Delayed Delivery</v>
      </c>
      <c r="K1389" s="18" t="str">
        <f>IFERROR(__xludf.DUMMYFUNCTION("""COMPUTED_VALUE"""),"Heavy Traffic")</f>
        <v>Heavy Traffic</v>
      </c>
      <c r="L1389" s="18">
        <f>iferror(VLOOKUP($D1389,Details!$A$2:$C$11,2,false),vlookup($D1389,Details!$E$2:$G$11,2,false))</f>
        <v>180</v>
      </c>
      <c r="M1389" s="18" t="str">
        <f>iferror(VLOOKUP($D1389,Details!$A$2:$C$11,3,false),vlookup($D1389,Details!$E$2:$G$11,3,false))</f>
        <v>Fruits and Vegetables</v>
      </c>
      <c r="N1389" s="18">
        <f t="shared" si="1"/>
        <v>360</v>
      </c>
      <c r="O1389" s="17"/>
      <c r="P1389" s="17"/>
      <c r="Q1389" s="17"/>
      <c r="R1389" s="17"/>
      <c r="S1389" s="17"/>
      <c r="T1389" s="17"/>
      <c r="U1389" s="17"/>
      <c r="V1389" s="17"/>
      <c r="W1389" s="17"/>
      <c r="X1389" s="17"/>
      <c r="Y1389" s="17"/>
      <c r="Z1389" s="17"/>
    </row>
    <row r="1390">
      <c r="A1390" s="18" t="str">
        <f>IFERROR(__xludf.DUMMYFUNCTION("""COMPUTED_VALUE"""),"ord_71368")</f>
        <v>ord_71368</v>
      </c>
      <c r="B1390" s="18" t="str">
        <f>IFERROR(__xludf.DUMMYFUNCTION("""COMPUTED_VALUE"""),"Aarav Mehta")</f>
        <v>Aarav Mehta</v>
      </c>
      <c r="C1390" s="18" t="str">
        <f>IFERROR(__xludf.DUMMYFUNCTION("""COMPUTED_VALUE"""),"Andheri")</f>
        <v>Andheri</v>
      </c>
      <c r="D1390" s="18" t="str">
        <f>IFERROR(__xludf.DUMMYFUNCTION("""COMPUTED_VALUE"""),"Sweet Corn")</f>
        <v>Sweet Corn</v>
      </c>
      <c r="E1390" s="18">
        <f>IFERROR(__xludf.DUMMYFUNCTION("""COMPUTED_VALUE"""),2.0)</f>
        <v>2</v>
      </c>
      <c r="F1390" s="18" t="str">
        <f>IFERROR(__xludf.DUMMYFUNCTION("""COMPUTED_VALUE"""),"Rohan Yadav")</f>
        <v>Rohan Yadav</v>
      </c>
      <c r="G1390" s="19">
        <f>IFERROR(__xludf.DUMMYFUNCTION("""COMPUTED_VALUE"""),45054.0)</f>
        <v>45054</v>
      </c>
      <c r="H1390" s="18" t="str">
        <f>IFERROR(__xludf.DUMMYFUNCTION("""COMPUTED_VALUE"""),"Credit Card")</f>
        <v>Credit Card</v>
      </c>
      <c r="I1390" s="18" t="str">
        <f>IFERROR(__xludf.DUMMYFUNCTION("""COMPUTED_VALUE"""),"Delivered")</f>
        <v>Delivered</v>
      </c>
      <c r="J1390" s="18" t="str">
        <f>IFERROR(__xludf.DUMMYFUNCTION("""COMPUTED_VALUE"""),"Packaging")</f>
        <v>Packaging</v>
      </c>
      <c r="K1390" s="18" t="str">
        <f>IFERROR(__xludf.DUMMYFUNCTION("""COMPUTED_VALUE"""),"Secure and intact")</f>
        <v>Secure and intact</v>
      </c>
      <c r="L1390" s="18">
        <f>iferror(VLOOKUP($D1390,Details!$A$2:$C$11,2,false),vlookup($D1390,Details!$E$2:$G$11,2,false))</f>
        <v>60</v>
      </c>
      <c r="M1390" s="18" t="str">
        <f>iferror(VLOOKUP($D1390,Details!$A$2:$C$11,3,false),vlookup($D1390,Details!$E$2:$G$11,3,false))</f>
        <v>Fruits and Vegetables</v>
      </c>
      <c r="N1390" s="18">
        <f t="shared" si="1"/>
        <v>120</v>
      </c>
      <c r="O1390" s="17"/>
      <c r="P1390" s="17"/>
      <c r="Q1390" s="17"/>
      <c r="R1390" s="17"/>
      <c r="S1390" s="17"/>
      <c r="T1390" s="17"/>
      <c r="U1390" s="17"/>
      <c r="V1390" s="17"/>
      <c r="W1390" s="17"/>
      <c r="X1390" s="17"/>
      <c r="Y1390" s="17"/>
      <c r="Z1390" s="17"/>
    </row>
    <row r="1391">
      <c r="A1391" s="18" t="str">
        <f>IFERROR(__xludf.DUMMYFUNCTION("""COMPUTED_VALUE"""),"ord_71369")</f>
        <v>ord_71369</v>
      </c>
      <c r="B1391" s="18" t="str">
        <f>IFERROR(__xludf.DUMMYFUNCTION("""COMPUTED_VALUE"""),"Siya Reddy")</f>
        <v>Siya Reddy</v>
      </c>
      <c r="C1391" s="18" t="str">
        <f>IFERROR(__xludf.DUMMYFUNCTION("""COMPUTED_VALUE"""),"Juhu")</f>
        <v>Juhu</v>
      </c>
      <c r="D1391" s="18" t="str">
        <f>IFERROR(__xludf.DUMMYFUNCTION("""COMPUTED_VALUE"""),"Orange")</f>
        <v>Orange</v>
      </c>
      <c r="E1391" s="18">
        <f>IFERROR(__xludf.DUMMYFUNCTION("""COMPUTED_VALUE"""),1.0)</f>
        <v>1</v>
      </c>
      <c r="F1391" s="18" t="str">
        <f>IFERROR(__xludf.DUMMYFUNCTION("""COMPUTED_VALUE"""),"Not Assigned")</f>
        <v>Not Assigned</v>
      </c>
      <c r="G1391" s="19">
        <f>IFERROR(__xludf.DUMMYFUNCTION("""COMPUTED_VALUE"""),45119.0)</f>
        <v>45119</v>
      </c>
      <c r="H1391" s="18" t="str">
        <f>IFERROR(__xludf.DUMMYFUNCTION("""COMPUTED_VALUE"""),"Online Payment")</f>
        <v>Online Payment</v>
      </c>
      <c r="I1391" s="18" t="str">
        <f>IFERROR(__xludf.DUMMYFUNCTION("""COMPUTED_VALUE"""),"Cancelled")</f>
        <v>Cancelled</v>
      </c>
      <c r="J1391" s="18" t="str">
        <f>IFERROR(__xludf.DUMMYFUNCTION("""COMPUTED_VALUE"""),"App Glitches")</f>
        <v>App Glitches</v>
      </c>
      <c r="K1391" s="18" t="str">
        <f>IFERROR(__xludf.DUMMYFUNCTION("""COMPUTED_VALUE"""),"Payment Button Malfunction")</f>
        <v>Payment Button Malfunction</v>
      </c>
      <c r="L1391" s="18">
        <f>iferror(VLOOKUP($D1391,Details!$A$2:$C$11,2,false),vlookup($D1391,Details!$E$2:$G$11,2,false))</f>
        <v>180</v>
      </c>
      <c r="M1391" s="18" t="str">
        <f>iferror(VLOOKUP($D1391,Details!$A$2:$C$11,3,false),vlookup($D1391,Details!$E$2:$G$11,3,false))</f>
        <v>Fruits and Vegetables</v>
      </c>
      <c r="N1391" s="18">
        <f t="shared" si="1"/>
        <v>180</v>
      </c>
      <c r="O1391" s="17"/>
      <c r="P1391" s="17"/>
      <c r="Q1391" s="17"/>
      <c r="R1391" s="17"/>
      <c r="S1391" s="17"/>
      <c r="T1391" s="17"/>
      <c r="U1391" s="17"/>
      <c r="V1391" s="17"/>
      <c r="W1391" s="17"/>
      <c r="X1391" s="17"/>
      <c r="Y1391" s="17"/>
      <c r="Z1391" s="17"/>
    </row>
    <row r="1392">
      <c r="A1392" s="18" t="str">
        <f>IFERROR(__xludf.DUMMYFUNCTION("""COMPUTED_VALUE"""),"ord_71370")</f>
        <v>ord_71370</v>
      </c>
      <c r="B1392" s="18" t="str">
        <f>IFERROR(__xludf.DUMMYFUNCTION("""COMPUTED_VALUE"""),"Pranav Joshi")</f>
        <v>Pranav Joshi</v>
      </c>
      <c r="C1392" s="18" t="str">
        <f>IFERROR(__xludf.DUMMYFUNCTION("""COMPUTED_VALUE"""),"Andheri")</f>
        <v>Andheri</v>
      </c>
      <c r="D1392" s="18" t="str">
        <f>IFERROR(__xludf.DUMMYFUNCTION("""COMPUTED_VALUE"""),"Chicken Puff")</f>
        <v>Chicken Puff</v>
      </c>
      <c r="E1392" s="18">
        <f>IFERROR(__xludf.DUMMYFUNCTION("""COMPUTED_VALUE"""),5.0)</f>
        <v>5</v>
      </c>
      <c r="F1392" s="18" t="str">
        <f>IFERROR(__xludf.DUMMYFUNCTION("""COMPUTED_VALUE"""),"Ramesh S")</f>
        <v>Ramesh S</v>
      </c>
      <c r="G1392" s="19">
        <f>IFERROR(__xludf.DUMMYFUNCTION("""COMPUTED_VALUE"""),45163.0)</f>
        <v>45163</v>
      </c>
      <c r="H1392" s="18" t="str">
        <f>IFERROR(__xludf.DUMMYFUNCTION("""COMPUTED_VALUE"""),"UPI")</f>
        <v>UPI</v>
      </c>
      <c r="I1392" s="18" t="str">
        <f>IFERROR(__xludf.DUMMYFUNCTION("""COMPUTED_VALUE"""),"Delivered")</f>
        <v>Delivered</v>
      </c>
      <c r="J1392" s="18" t="str">
        <f>IFERROR(__xludf.DUMMYFUNCTION("""COMPUTED_VALUE"""),"Satisfied with the Delivery")</f>
        <v>Satisfied with the Delivery</v>
      </c>
      <c r="K1392" s="18" t="str">
        <f>IFERROR(__xludf.DUMMYFUNCTION("""COMPUTED_VALUE"""),"Timely and quality")</f>
        <v>Timely and quality</v>
      </c>
      <c r="L1392" s="18">
        <f>iferror(VLOOKUP($D1392,Details!$A$2:$C$11,2,false),vlookup($D1392,Details!$E$2:$G$11,2,false))</f>
        <v>90</v>
      </c>
      <c r="M1392" s="18" t="str">
        <f>iferror(VLOOKUP($D1392,Details!$A$2:$C$11,3,false),vlookup($D1392,Details!$E$2:$G$11,3,false))</f>
        <v>Snacks and Drinks</v>
      </c>
      <c r="N1392" s="18">
        <f t="shared" si="1"/>
        <v>450</v>
      </c>
      <c r="O1392" s="17"/>
      <c r="P1392" s="17"/>
      <c r="Q1392" s="17"/>
      <c r="R1392" s="17"/>
      <c r="S1392" s="17"/>
      <c r="T1392" s="17"/>
      <c r="U1392" s="17"/>
      <c r="V1392" s="17"/>
      <c r="W1392" s="17"/>
      <c r="X1392" s="17"/>
      <c r="Y1392" s="17"/>
      <c r="Z1392" s="17"/>
    </row>
    <row r="1393">
      <c r="A1393" s="18" t="str">
        <f>IFERROR(__xludf.DUMMYFUNCTION("""COMPUTED_VALUE"""),"ord_71371")</f>
        <v>ord_71371</v>
      </c>
      <c r="B1393" s="18" t="str">
        <f>IFERROR(__xludf.DUMMYFUNCTION("""COMPUTED_VALUE"""),"Ishaan Chaturvedi")</f>
        <v>Ishaan Chaturvedi</v>
      </c>
      <c r="C1393" s="18" t="str">
        <f>IFERROR(__xludf.DUMMYFUNCTION("""COMPUTED_VALUE"""),"Bandra")</f>
        <v>Bandra</v>
      </c>
      <c r="D1393" s="18" t="str">
        <f>IFERROR(__xludf.DUMMYFUNCTION("""COMPUTED_VALUE"""),"Popcorn")</f>
        <v>Popcorn</v>
      </c>
      <c r="E1393" s="18">
        <f>IFERROR(__xludf.DUMMYFUNCTION("""COMPUTED_VALUE"""),4.0)</f>
        <v>4</v>
      </c>
      <c r="F1393" s="18" t="str">
        <f>IFERROR(__xludf.DUMMYFUNCTION("""COMPUTED_VALUE"""),"Sita T")</f>
        <v>Sita T</v>
      </c>
      <c r="G1393" s="19">
        <f>IFERROR(__xludf.DUMMYFUNCTION("""COMPUTED_VALUE"""),45237.0)</f>
        <v>45237</v>
      </c>
      <c r="H1393" s="18" t="str">
        <f>IFERROR(__xludf.DUMMYFUNCTION("""COMPUTED_VALUE"""),"COD")</f>
        <v>COD</v>
      </c>
      <c r="I1393" s="18" t="str">
        <f>IFERROR(__xludf.DUMMYFUNCTION("""COMPUTED_VALUE"""),"Delivered")</f>
        <v>Delivered</v>
      </c>
      <c r="J1393" s="18" t="str">
        <f>IFERROR(__xludf.DUMMYFUNCTION("""COMPUTED_VALUE"""),"Customer Service")</f>
        <v>Customer Service</v>
      </c>
      <c r="K1393" s="18" t="str">
        <f>IFERROR(__xludf.DUMMYFUNCTION("""COMPUTED_VALUE"""),"Seamless and easy")</f>
        <v>Seamless and easy</v>
      </c>
      <c r="L1393" s="18">
        <f>iferror(VLOOKUP($D1393,Details!$A$2:$C$11,2,false),vlookup($D1393,Details!$E$2:$G$11,2,false))</f>
        <v>150</v>
      </c>
      <c r="M1393" s="18" t="str">
        <f>iferror(VLOOKUP($D1393,Details!$A$2:$C$11,3,false),vlookup($D1393,Details!$E$2:$G$11,3,false))</f>
        <v>Snacks and Drinks</v>
      </c>
      <c r="N1393" s="18">
        <f t="shared" si="1"/>
        <v>600</v>
      </c>
      <c r="O1393" s="17"/>
      <c r="P1393" s="17"/>
      <c r="Q1393" s="17"/>
      <c r="R1393" s="17"/>
      <c r="S1393" s="17"/>
      <c r="T1393" s="17"/>
      <c r="U1393" s="17"/>
      <c r="V1393" s="17"/>
      <c r="W1393" s="17"/>
      <c r="X1393" s="17"/>
      <c r="Y1393" s="17"/>
      <c r="Z1393" s="17"/>
    </row>
    <row r="1394">
      <c r="A1394" s="18" t="str">
        <f>IFERROR(__xludf.DUMMYFUNCTION("""COMPUTED_VALUE"""),"ord_71372")</f>
        <v>ord_71372</v>
      </c>
      <c r="B1394" s="18" t="str">
        <f>IFERROR(__xludf.DUMMYFUNCTION("""COMPUTED_VALUE"""),"Aarohi Kapoor")</f>
        <v>Aarohi Kapoor</v>
      </c>
      <c r="C1394" s="18" t="str">
        <f>IFERROR(__xludf.DUMMYFUNCTION("""COMPUTED_VALUE"""),"Bandra")</f>
        <v>Bandra</v>
      </c>
      <c r="D1394" s="18" t="str">
        <f>IFERROR(__xludf.DUMMYFUNCTION("""COMPUTED_VALUE"""),"Rasmalai")</f>
        <v>Rasmalai</v>
      </c>
      <c r="E1394" s="18">
        <f>IFERROR(__xludf.DUMMYFUNCTION("""COMPUTED_VALUE"""),1.0)</f>
        <v>1</v>
      </c>
      <c r="F1394" s="18" t="str">
        <f>IFERROR(__xludf.DUMMYFUNCTION("""COMPUTED_VALUE"""),"Vivek Kumar")</f>
        <v>Vivek Kumar</v>
      </c>
      <c r="G1394" s="19">
        <f>IFERROR(__xludf.DUMMYFUNCTION("""COMPUTED_VALUE"""),44973.0)</f>
        <v>44973</v>
      </c>
      <c r="H1394" s="18" t="str">
        <f>IFERROR(__xludf.DUMMYFUNCTION("""COMPUTED_VALUE"""),"Online Payment")</f>
        <v>Online Payment</v>
      </c>
      <c r="I1394" s="18" t="str">
        <f>IFERROR(__xludf.DUMMYFUNCTION("""COMPUTED_VALUE"""),"Delivered")</f>
        <v>Delivered</v>
      </c>
      <c r="J1394" s="18" t="str">
        <f>IFERROR(__xludf.DUMMYFUNCTION("""COMPUTED_VALUE"""),"Delivery Experience")</f>
        <v>Delivery Experience</v>
      </c>
      <c r="K1394" s="18" t="str">
        <f>IFERROR(__xludf.DUMMYFUNCTION("""COMPUTED_VALUE"""),"Quick and professional")</f>
        <v>Quick and professional</v>
      </c>
      <c r="L1394" s="18">
        <f>iferror(VLOOKUP($D1394,Details!$A$2:$C$11,2,false),vlookup($D1394,Details!$E$2:$G$11,2,false))</f>
        <v>110</v>
      </c>
      <c r="M1394" s="18" t="str">
        <f>iferror(VLOOKUP($D1394,Details!$A$2:$C$11,3,false),vlookup($D1394,Details!$E$2:$G$11,3,false))</f>
        <v>Snacks and Drinks</v>
      </c>
      <c r="N1394" s="18">
        <f t="shared" si="1"/>
        <v>110</v>
      </c>
      <c r="O1394" s="17"/>
      <c r="P1394" s="17"/>
      <c r="Q1394" s="17"/>
      <c r="R1394" s="17"/>
      <c r="S1394" s="17"/>
      <c r="T1394" s="17"/>
      <c r="U1394" s="17"/>
      <c r="V1394" s="17"/>
      <c r="W1394" s="17"/>
      <c r="X1394" s="17"/>
      <c r="Y1394" s="17"/>
      <c r="Z1394" s="17"/>
    </row>
    <row r="1395">
      <c r="A1395" s="18" t="str">
        <f>IFERROR(__xludf.DUMMYFUNCTION("""COMPUTED_VALUE"""),"ord_71373")</f>
        <v>ord_71373</v>
      </c>
      <c r="B1395" s="18" t="str">
        <f>IFERROR(__xludf.DUMMYFUNCTION("""COMPUTED_VALUE"""),"Sanjay Nair")</f>
        <v>Sanjay Nair</v>
      </c>
      <c r="C1395" s="18" t="str">
        <f>IFERROR(__xludf.DUMMYFUNCTION("""COMPUTED_VALUE"""),"Dadar")</f>
        <v>Dadar</v>
      </c>
      <c r="D1395" s="18" t="str">
        <f>IFERROR(__xludf.DUMMYFUNCTION("""COMPUTED_VALUE"""),"Apple")</f>
        <v>Apple</v>
      </c>
      <c r="E1395" s="18">
        <f>IFERROR(__xludf.DUMMYFUNCTION("""COMPUTED_VALUE"""),1.0)</f>
        <v>1</v>
      </c>
      <c r="F1395" s="18" t="str">
        <f>IFERROR(__xludf.DUMMYFUNCTION("""COMPUTED_VALUE"""),"Vivek Kumar")</f>
        <v>Vivek Kumar</v>
      </c>
      <c r="G1395" s="19">
        <f>IFERROR(__xludf.DUMMYFUNCTION("""COMPUTED_VALUE"""),44949.0)</f>
        <v>44949</v>
      </c>
      <c r="H1395" s="18" t="str">
        <f>IFERROR(__xludf.DUMMYFUNCTION("""COMPUTED_VALUE"""),"Online Payment")</f>
        <v>Online Payment</v>
      </c>
      <c r="I1395" s="18" t="str">
        <f>IFERROR(__xludf.DUMMYFUNCTION("""COMPUTED_VALUE"""),"Delivered")</f>
        <v>Delivered</v>
      </c>
      <c r="J1395" s="18" t="str">
        <f>IFERROR(__xludf.DUMMYFUNCTION("""COMPUTED_VALUE"""),"Convenience")</f>
        <v>Convenience</v>
      </c>
      <c r="K1395" s="18" t="str">
        <f>IFERROR(__xludf.DUMMYFUNCTION("""COMPUTED_VALUE"""),"Easy tracking")</f>
        <v>Easy tracking</v>
      </c>
      <c r="L1395" s="18">
        <f>iferror(VLOOKUP($D1395,Details!$A$2:$C$11,2,false),vlookup($D1395,Details!$E$2:$G$11,2,false))</f>
        <v>230</v>
      </c>
      <c r="M1395" s="18" t="str">
        <f>iferror(VLOOKUP($D1395,Details!$A$2:$C$11,3,false),vlookup($D1395,Details!$E$2:$G$11,3,false))</f>
        <v>Fruits and Vegetables</v>
      </c>
      <c r="N1395" s="18">
        <f t="shared" si="1"/>
        <v>230</v>
      </c>
      <c r="O1395" s="17"/>
      <c r="P1395" s="17"/>
      <c r="Q1395" s="17"/>
      <c r="R1395" s="17"/>
      <c r="S1395" s="17"/>
      <c r="T1395" s="17"/>
      <c r="U1395" s="17"/>
      <c r="V1395" s="17"/>
      <c r="W1395" s="17"/>
      <c r="X1395" s="17"/>
      <c r="Y1395" s="17"/>
      <c r="Z1395" s="17"/>
    </row>
    <row r="1396">
      <c r="A1396" s="18" t="str">
        <f>IFERROR(__xludf.DUMMYFUNCTION("""COMPUTED_VALUE"""),"ord_71374")</f>
        <v>ord_71374</v>
      </c>
      <c r="B1396" s="18" t="str">
        <f>IFERROR(__xludf.DUMMYFUNCTION("""COMPUTED_VALUE"""),"Sakshi Tandon")</f>
        <v>Sakshi Tandon</v>
      </c>
      <c r="C1396" s="18" t="str">
        <f>IFERROR(__xludf.DUMMYFUNCTION("""COMPUTED_VALUE"""),"Colaba")</f>
        <v>Colaba</v>
      </c>
      <c r="D1396" s="18" t="str">
        <f>IFERROR(__xludf.DUMMYFUNCTION("""COMPUTED_VALUE"""),"Potato")</f>
        <v>Potato</v>
      </c>
      <c r="E1396" s="18">
        <f>IFERROR(__xludf.DUMMYFUNCTION("""COMPUTED_VALUE"""),2.0)</f>
        <v>2</v>
      </c>
      <c r="F1396" s="18" t="str">
        <f>IFERROR(__xludf.DUMMYFUNCTION("""COMPUTED_VALUE"""),"Manju Ajay")</f>
        <v>Manju Ajay</v>
      </c>
      <c r="G1396" s="19">
        <f>IFERROR(__xludf.DUMMYFUNCTION("""COMPUTED_VALUE"""),45158.0)</f>
        <v>45158</v>
      </c>
      <c r="H1396" s="18" t="str">
        <f>IFERROR(__xludf.DUMMYFUNCTION("""COMPUTED_VALUE"""),"COD")</f>
        <v>COD</v>
      </c>
      <c r="I1396" s="18" t="str">
        <f>IFERROR(__xludf.DUMMYFUNCTION("""COMPUTED_VALUE"""),"Delivered")</f>
        <v>Delivered</v>
      </c>
      <c r="J1396" s="18" t="str">
        <f>IFERROR(__xludf.DUMMYFUNCTION("""COMPUTED_VALUE"""),"Overall Satisfaction")</f>
        <v>Overall Satisfaction</v>
      </c>
      <c r="K1396" s="18" t="str">
        <f>IFERROR(__xludf.DUMMYFUNCTION("""COMPUTED_VALUE"""),"Great service will order again")</f>
        <v>Great service will order again</v>
      </c>
      <c r="L1396" s="18">
        <f>iferror(VLOOKUP($D1396,Details!$A$2:$C$11,2,false),vlookup($D1396,Details!$E$2:$G$11,2,false))</f>
        <v>55</v>
      </c>
      <c r="M1396" s="18" t="str">
        <f>iferror(VLOOKUP($D1396,Details!$A$2:$C$11,3,false),vlookup($D1396,Details!$E$2:$G$11,3,false))</f>
        <v>Fruits and Vegetables</v>
      </c>
      <c r="N1396" s="18">
        <f t="shared" si="1"/>
        <v>110</v>
      </c>
      <c r="O1396" s="17"/>
      <c r="P1396" s="17"/>
      <c r="Q1396" s="17"/>
      <c r="R1396" s="17"/>
      <c r="S1396" s="17"/>
      <c r="T1396" s="17"/>
      <c r="U1396" s="17"/>
      <c r="V1396" s="17"/>
      <c r="W1396" s="17"/>
      <c r="X1396" s="17"/>
      <c r="Y1396" s="17"/>
      <c r="Z1396" s="17"/>
    </row>
    <row r="1397">
      <c r="A1397" s="18" t="str">
        <f>IFERROR(__xludf.DUMMYFUNCTION("""COMPUTED_VALUE"""),"ord_71375")</f>
        <v>ord_71375</v>
      </c>
      <c r="B1397" s="18" t="str">
        <f>IFERROR(__xludf.DUMMYFUNCTION("""COMPUTED_VALUE"""),"Siya Reddy")</f>
        <v>Siya Reddy</v>
      </c>
      <c r="C1397" s="18" t="str">
        <f>IFERROR(__xludf.DUMMYFUNCTION("""COMPUTED_VALUE"""),"Juhu")</f>
        <v>Juhu</v>
      </c>
      <c r="D1397" s="18" t="str">
        <f>IFERROR(__xludf.DUMMYFUNCTION("""COMPUTED_VALUE"""),"Juice")</f>
        <v>Juice</v>
      </c>
      <c r="E1397" s="18">
        <f>IFERROR(__xludf.DUMMYFUNCTION("""COMPUTED_VALUE"""),4.0)</f>
        <v>4</v>
      </c>
      <c r="F1397" s="18" t="str">
        <f>IFERROR(__xludf.DUMMYFUNCTION("""COMPUTED_VALUE"""),"Not Assigned")</f>
        <v>Not Assigned</v>
      </c>
      <c r="G1397" s="19">
        <f>IFERROR(__xludf.DUMMYFUNCTION("""COMPUTED_VALUE"""),45217.0)</f>
        <v>45217</v>
      </c>
      <c r="H1397" s="18" t="str">
        <f>IFERROR(__xludf.DUMMYFUNCTION("""COMPUTED_VALUE"""),"UPI")</f>
        <v>UPI</v>
      </c>
      <c r="I1397" s="18" t="str">
        <f>IFERROR(__xludf.DUMMYFUNCTION("""COMPUTED_VALUE"""),"Cancelled")</f>
        <v>Cancelled</v>
      </c>
      <c r="J1397" s="18" t="str">
        <f>IFERROR(__xludf.DUMMYFUNCTION("""COMPUTED_VALUE"""),"App Glitches")</f>
        <v>App Glitches</v>
      </c>
      <c r="K1397" s="18" t="str">
        <f>IFERROR(__xludf.DUMMYFUNCTION("""COMPUTED_VALUE"""),"Payment Button Malfunction")</f>
        <v>Payment Button Malfunction</v>
      </c>
      <c r="L1397" s="18">
        <f>iferror(VLOOKUP($D1397,Details!$A$2:$C$11,2,false),vlookup($D1397,Details!$E$2:$G$11,2,false))</f>
        <v>90</v>
      </c>
      <c r="M1397" s="18" t="str">
        <f>iferror(VLOOKUP($D1397,Details!$A$2:$C$11,3,false),vlookup($D1397,Details!$E$2:$G$11,3,false))</f>
        <v>Snacks and Drinks</v>
      </c>
      <c r="N1397" s="18">
        <f t="shared" si="1"/>
        <v>360</v>
      </c>
      <c r="O1397" s="17"/>
      <c r="P1397" s="17"/>
      <c r="Q1397" s="17"/>
      <c r="R1397" s="17"/>
      <c r="S1397" s="17"/>
      <c r="T1397" s="17"/>
      <c r="U1397" s="17"/>
      <c r="V1397" s="17"/>
      <c r="W1397" s="17"/>
      <c r="X1397" s="17"/>
      <c r="Y1397" s="17"/>
      <c r="Z1397" s="17"/>
    </row>
    <row r="1398">
      <c r="A1398" s="18" t="str">
        <f>IFERROR(__xludf.DUMMYFUNCTION("""COMPUTED_VALUE"""),"ord_71376")</f>
        <v>ord_71376</v>
      </c>
      <c r="B1398" s="18" t="str">
        <f>IFERROR(__xludf.DUMMYFUNCTION("""COMPUTED_VALUE"""),"Aarav Mehta")</f>
        <v>Aarav Mehta</v>
      </c>
      <c r="C1398" s="18" t="str">
        <f>IFERROR(__xludf.DUMMYFUNCTION("""COMPUTED_VALUE"""),"Andheri")</f>
        <v>Andheri</v>
      </c>
      <c r="D1398" s="18" t="str">
        <f>IFERROR(__xludf.DUMMYFUNCTION("""COMPUTED_VALUE"""),"Chilli Cheese Toast")</f>
        <v>Chilli Cheese Toast</v>
      </c>
      <c r="E1398" s="18">
        <f>IFERROR(__xludf.DUMMYFUNCTION("""COMPUTED_VALUE"""),2.0)</f>
        <v>2</v>
      </c>
      <c r="F1398" s="18" t="str">
        <f>IFERROR(__xludf.DUMMYFUNCTION("""COMPUTED_VALUE"""),"Ramesh S")</f>
        <v>Ramesh S</v>
      </c>
      <c r="G1398" s="19">
        <f>IFERROR(__xludf.DUMMYFUNCTION("""COMPUTED_VALUE"""),45130.0)</f>
        <v>45130</v>
      </c>
      <c r="H1398" s="18" t="str">
        <f>IFERROR(__xludf.DUMMYFUNCTION("""COMPUTED_VALUE"""),"Credit Card")</f>
        <v>Credit Card</v>
      </c>
      <c r="I1398" s="18" t="str">
        <f>IFERROR(__xludf.DUMMYFUNCTION("""COMPUTED_VALUE"""),"Delivered")</f>
        <v>Delivered</v>
      </c>
      <c r="J1398" s="18" t="str">
        <f>IFERROR(__xludf.DUMMYFUNCTION("""COMPUTED_VALUE"""),"On-time Delivery")</f>
        <v>On-time Delivery</v>
      </c>
      <c r="K1398" s="18" t="str">
        <f>IFERROR(__xludf.DUMMYFUNCTION("""COMPUTED_VALUE"""),"Delivered on time")</f>
        <v>Delivered on time</v>
      </c>
      <c r="L1398" s="18">
        <f>iferror(VLOOKUP($D1398,Details!$A$2:$C$11,2,false),vlookup($D1398,Details!$E$2:$G$11,2,false))</f>
        <v>80</v>
      </c>
      <c r="M1398" s="18" t="str">
        <f>iferror(VLOOKUP($D1398,Details!$A$2:$C$11,3,false),vlookup($D1398,Details!$E$2:$G$11,3,false))</f>
        <v>Snacks and Drinks</v>
      </c>
      <c r="N1398" s="18">
        <f t="shared" si="1"/>
        <v>160</v>
      </c>
      <c r="O1398" s="17"/>
      <c r="P1398" s="17"/>
      <c r="Q1398" s="17"/>
      <c r="R1398" s="17"/>
      <c r="S1398" s="17"/>
      <c r="T1398" s="17"/>
      <c r="U1398" s="17"/>
      <c r="V1398" s="17"/>
      <c r="W1398" s="17"/>
      <c r="X1398" s="17"/>
      <c r="Y1398" s="17"/>
      <c r="Z1398" s="17"/>
    </row>
    <row r="1399">
      <c r="A1399" s="18" t="str">
        <f>IFERROR(__xludf.DUMMYFUNCTION("""COMPUTED_VALUE"""),"ord_71377")</f>
        <v>ord_71377</v>
      </c>
      <c r="B1399" s="18" t="str">
        <f>IFERROR(__xludf.DUMMYFUNCTION("""COMPUTED_VALUE"""),"Aditi Iyer")</f>
        <v>Aditi Iyer</v>
      </c>
      <c r="C1399" s="18" t="str">
        <f>IFERROR(__xludf.DUMMYFUNCTION("""COMPUTED_VALUE"""),"Dadar")</f>
        <v>Dadar</v>
      </c>
      <c r="D1399" s="18" t="str">
        <f>IFERROR(__xludf.DUMMYFUNCTION("""COMPUTED_VALUE"""),"Cucumber")</f>
        <v>Cucumber</v>
      </c>
      <c r="E1399" s="18">
        <f>IFERROR(__xludf.DUMMYFUNCTION("""COMPUTED_VALUE"""),2.0)</f>
        <v>2</v>
      </c>
      <c r="F1399" s="18" t="str">
        <f>IFERROR(__xludf.DUMMYFUNCTION("""COMPUTED_VALUE"""),"Sita T")</f>
        <v>Sita T</v>
      </c>
      <c r="G1399" s="19">
        <f>IFERROR(__xludf.DUMMYFUNCTION("""COMPUTED_VALUE"""),45184.0)</f>
        <v>45184</v>
      </c>
      <c r="H1399" s="18" t="str">
        <f>IFERROR(__xludf.DUMMYFUNCTION("""COMPUTED_VALUE"""),"Online Payment")</f>
        <v>Online Payment</v>
      </c>
      <c r="I1399" s="18" t="str">
        <f>IFERROR(__xludf.DUMMYFUNCTION("""COMPUTED_VALUE"""),"Delivered")</f>
        <v>Delivered</v>
      </c>
      <c r="J1399" s="18" t="str">
        <f>IFERROR(__xludf.DUMMYFUNCTION("""COMPUTED_VALUE"""),"Quality of Items")</f>
        <v>Quality of Items</v>
      </c>
      <c r="K1399" s="18" t="str">
        <f>IFERROR(__xludf.DUMMYFUNCTION("""COMPUTED_VALUE"""),"Perfect condition")</f>
        <v>Perfect condition</v>
      </c>
      <c r="L1399" s="18">
        <f>iferror(VLOOKUP($D1399,Details!$A$2:$C$11,2,false),vlookup($D1399,Details!$E$2:$G$11,2,false))</f>
        <v>30</v>
      </c>
      <c r="M1399" s="18" t="str">
        <f>iferror(VLOOKUP($D1399,Details!$A$2:$C$11,3,false),vlookup($D1399,Details!$E$2:$G$11,3,false))</f>
        <v>Fruits and Vegetables</v>
      </c>
      <c r="N1399" s="18">
        <f t="shared" si="1"/>
        <v>60</v>
      </c>
      <c r="O1399" s="17"/>
      <c r="P1399" s="17"/>
      <c r="Q1399" s="17"/>
      <c r="R1399" s="17"/>
      <c r="S1399" s="17"/>
      <c r="T1399" s="17"/>
      <c r="U1399" s="17"/>
      <c r="V1399" s="17"/>
      <c r="W1399" s="17"/>
      <c r="X1399" s="17"/>
      <c r="Y1399" s="17"/>
      <c r="Z1399" s="17"/>
    </row>
    <row r="1400">
      <c r="A1400" s="18" t="str">
        <f>IFERROR(__xludf.DUMMYFUNCTION("""COMPUTED_VALUE"""),"ord_71378")</f>
        <v>ord_71378</v>
      </c>
      <c r="B1400" s="18" t="str">
        <f>IFERROR(__xludf.DUMMYFUNCTION("""COMPUTED_VALUE"""),"Aditi Iyer")</f>
        <v>Aditi Iyer</v>
      </c>
      <c r="C1400" s="18" t="str">
        <f>IFERROR(__xludf.DUMMYFUNCTION("""COMPUTED_VALUE"""),"Dadar")</f>
        <v>Dadar</v>
      </c>
      <c r="D1400" s="18" t="str">
        <f>IFERROR(__xludf.DUMMYFUNCTION("""COMPUTED_VALUE"""),"Veg Puff")</f>
        <v>Veg Puff</v>
      </c>
      <c r="E1400" s="18">
        <f>IFERROR(__xludf.DUMMYFUNCTION("""COMPUTED_VALUE"""),2.0)</f>
        <v>2</v>
      </c>
      <c r="F1400" s="18" t="str">
        <f>IFERROR(__xludf.DUMMYFUNCTION("""COMPUTED_VALUE"""),"Manju Ajay")</f>
        <v>Manju Ajay</v>
      </c>
      <c r="G1400" s="19">
        <f>IFERROR(__xludf.DUMMYFUNCTION("""COMPUTED_VALUE"""),44964.0)</f>
        <v>44964</v>
      </c>
      <c r="H1400" s="18" t="str">
        <f>IFERROR(__xludf.DUMMYFUNCTION("""COMPUTED_VALUE"""),"COD")</f>
        <v>COD</v>
      </c>
      <c r="I1400" s="18" t="str">
        <f>IFERROR(__xludf.DUMMYFUNCTION("""COMPUTED_VALUE"""),"Delivered")</f>
        <v>Delivered</v>
      </c>
      <c r="J1400" s="18" t="str">
        <f>IFERROR(__xludf.DUMMYFUNCTION("""COMPUTED_VALUE"""),"On-time Delivery")</f>
        <v>On-time Delivery</v>
      </c>
      <c r="K1400" s="18" t="str">
        <f>IFERROR(__xludf.DUMMYFUNCTION("""COMPUTED_VALUE"""),"Delivered on time")</f>
        <v>Delivered on time</v>
      </c>
      <c r="L1400" s="18">
        <f>iferror(VLOOKUP($D1400,Details!$A$2:$C$11,2,false),vlookup($D1400,Details!$E$2:$G$11,2,false))</f>
        <v>80</v>
      </c>
      <c r="M1400" s="18" t="str">
        <f>iferror(VLOOKUP($D1400,Details!$A$2:$C$11,3,false),vlookup($D1400,Details!$E$2:$G$11,3,false))</f>
        <v>Snacks and Drinks</v>
      </c>
      <c r="N1400" s="18">
        <f t="shared" si="1"/>
        <v>160</v>
      </c>
      <c r="O1400" s="17"/>
      <c r="P1400" s="17"/>
      <c r="Q1400" s="17"/>
      <c r="R1400" s="17"/>
      <c r="S1400" s="17"/>
      <c r="T1400" s="17"/>
      <c r="U1400" s="17"/>
      <c r="V1400" s="17"/>
      <c r="W1400" s="17"/>
      <c r="X1400" s="17"/>
      <c r="Y1400" s="17"/>
      <c r="Z1400" s="17"/>
    </row>
    <row r="1401">
      <c r="A1401" s="18" t="str">
        <f>IFERROR(__xludf.DUMMYFUNCTION("""COMPUTED_VALUE"""),"ord_71379")</f>
        <v>ord_71379</v>
      </c>
      <c r="B1401" s="18" t="str">
        <f>IFERROR(__xludf.DUMMYFUNCTION("""COMPUTED_VALUE"""),"Mehul Thakkar")</f>
        <v>Mehul Thakkar</v>
      </c>
      <c r="C1401" s="18" t="str">
        <f>IFERROR(__xludf.DUMMYFUNCTION("""COMPUTED_VALUE"""),"Malad")</f>
        <v>Malad</v>
      </c>
      <c r="D1401" s="18" t="str">
        <f>IFERROR(__xludf.DUMMYFUNCTION("""COMPUTED_VALUE"""),"Chilli Cheese Toast")</f>
        <v>Chilli Cheese Toast</v>
      </c>
      <c r="E1401" s="18">
        <f>IFERROR(__xludf.DUMMYFUNCTION("""COMPUTED_VALUE"""),5.0)</f>
        <v>5</v>
      </c>
      <c r="F1401" s="18" t="str">
        <f>IFERROR(__xludf.DUMMYFUNCTION("""COMPUTED_VALUE"""),"Priya Joshi")</f>
        <v>Priya Joshi</v>
      </c>
      <c r="G1401" s="19">
        <f>IFERROR(__xludf.DUMMYFUNCTION("""COMPUTED_VALUE"""),45274.0)</f>
        <v>45274</v>
      </c>
      <c r="H1401" s="18" t="str">
        <f>IFERROR(__xludf.DUMMYFUNCTION("""COMPUTED_VALUE"""),"Credit Card")</f>
        <v>Credit Card</v>
      </c>
      <c r="I1401" s="18" t="str">
        <f>IFERROR(__xludf.DUMMYFUNCTION("""COMPUTED_VALUE"""),"Cancelled")</f>
        <v>Cancelled</v>
      </c>
      <c r="J1401" s="18" t="str">
        <f>IFERROR(__xludf.DUMMYFUNCTION("""COMPUTED_VALUE"""),"Delayed Delivery")</f>
        <v>Delayed Delivery</v>
      </c>
      <c r="K1401" s="18" t="str">
        <f>IFERROR(__xludf.DUMMYFUNCTION("""COMPUTED_VALUE"""),"Bad Weather Conditions")</f>
        <v>Bad Weather Conditions</v>
      </c>
      <c r="L1401" s="18">
        <f>iferror(VLOOKUP($D1401,Details!$A$2:$C$11,2,false),vlookup($D1401,Details!$E$2:$G$11,2,false))</f>
        <v>80</v>
      </c>
      <c r="M1401" s="18" t="str">
        <f>iferror(VLOOKUP($D1401,Details!$A$2:$C$11,3,false),vlookup($D1401,Details!$E$2:$G$11,3,false))</f>
        <v>Snacks and Drinks</v>
      </c>
      <c r="N1401" s="18">
        <f t="shared" si="1"/>
        <v>400</v>
      </c>
      <c r="O1401" s="17"/>
      <c r="P1401" s="17"/>
      <c r="Q1401" s="17"/>
      <c r="R1401" s="17"/>
      <c r="S1401" s="17"/>
      <c r="T1401" s="17"/>
      <c r="U1401" s="17"/>
      <c r="V1401" s="17"/>
      <c r="W1401" s="17"/>
      <c r="X1401" s="17"/>
      <c r="Y1401" s="17"/>
      <c r="Z1401" s="17"/>
    </row>
    <row r="1402">
      <c r="A1402" s="18" t="str">
        <f>IFERROR(__xludf.DUMMYFUNCTION("""COMPUTED_VALUE"""),"ord_71380")</f>
        <v>ord_71380</v>
      </c>
      <c r="B1402" s="18" t="str">
        <f>IFERROR(__xludf.DUMMYFUNCTION("""COMPUTED_VALUE"""),"Diya Arora")</f>
        <v>Diya Arora</v>
      </c>
      <c r="C1402" s="18" t="str">
        <f>IFERROR(__xludf.DUMMYFUNCTION("""COMPUTED_VALUE"""),"Lower Parel")</f>
        <v>Lower Parel</v>
      </c>
      <c r="D1402" s="18" t="str">
        <f>IFERROR(__xludf.DUMMYFUNCTION("""COMPUTED_VALUE"""),"Veg Puff")</f>
        <v>Veg Puff</v>
      </c>
      <c r="E1402" s="18">
        <f>IFERROR(__xludf.DUMMYFUNCTION("""COMPUTED_VALUE"""),3.0)</f>
        <v>3</v>
      </c>
      <c r="F1402" s="18" t="str">
        <f>IFERROR(__xludf.DUMMYFUNCTION("""COMPUTED_VALUE"""),"Shine Thomas")</f>
        <v>Shine Thomas</v>
      </c>
      <c r="G1402" s="19">
        <f>IFERROR(__xludf.DUMMYFUNCTION("""COMPUTED_VALUE"""),45135.0)</f>
        <v>45135</v>
      </c>
      <c r="H1402" s="18" t="str">
        <f>IFERROR(__xludf.DUMMYFUNCTION("""COMPUTED_VALUE"""),"Credit Card")</f>
        <v>Credit Card</v>
      </c>
      <c r="I1402" s="18" t="str">
        <f>IFERROR(__xludf.DUMMYFUNCTION("""COMPUTED_VALUE"""),"Delivered")</f>
        <v>Delivered</v>
      </c>
      <c r="J1402" s="18" t="str">
        <f>IFERROR(__xludf.DUMMYFUNCTION("""COMPUTED_VALUE"""),"Quality of Items")</f>
        <v>Quality of Items</v>
      </c>
      <c r="K1402" s="18" t="str">
        <f>IFERROR(__xludf.DUMMYFUNCTION("""COMPUTED_VALUE"""),"Perfect condition")</f>
        <v>Perfect condition</v>
      </c>
      <c r="L1402" s="18">
        <f>iferror(VLOOKUP($D1402,Details!$A$2:$C$11,2,false),vlookup($D1402,Details!$E$2:$G$11,2,false))</f>
        <v>80</v>
      </c>
      <c r="M1402" s="18" t="str">
        <f>iferror(VLOOKUP($D1402,Details!$A$2:$C$11,3,false),vlookup($D1402,Details!$E$2:$G$11,3,false))</f>
        <v>Snacks and Drinks</v>
      </c>
      <c r="N1402" s="18">
        <f t="shared" si="1"/>
        <v>240</v>
      </c>
      <c r="O1402" s="17"/>
      <c r="P1402" s="17"/>
      <c r="Q1402" s="17"/>
      <c r="R1402" s="17"/>
      <c r="S1402" s="17"/>
      <c r="T1402" s="17"/>
      <c r="U1402" s="17"/>
      <c r="V1402" s="17"/>
      <c r="W1402" s="17"/>
      <c r="X1402" s="17"/>
      <c r="Y1402" s="17"/>
      <c r="Z1402" s="17"/>
    </row>
    <row r="1403">
      <c r="A1403" s="18" t="str">
        <f>IFERROR(__xludf.DUMMYFUNCTION("""COMPUTED_VALUE"""),"ord_71381")</f>
        <v>ord_71381</v>
      </c>
      <c r="B1403" s="18" t="str">
        <f>IFERROR(__xludf.DUMMYFUNCTION("""COMPUTED_VALUE"""),"Riya Chakraborty")</f>
        <v>Riya Chakraborty</v>
      </c>
      <c r="C1403" s="18" t="str">
        <f>IFERROR(__xludf.DUMMYFUNCTION("""COMPUTED_VALUE"""),"Juhu")</f>
        <v>Juhu</v>
      </c>
      <c r="D1403" s="18" t="str">
        <f>IFERROR(__xludf.DUMMYFUNCTION("""COMPUTED_VALUE"""),"Juice")</f>
        <v>Juice</v>
      </c>
      <c r="E1403" s="18">
        <f>IFERROR(__xludf.DUMMYFUNCTION("""COMPUTED_VALUE"""),6.0)</f>
        <v>6</v>
      </c>
      <c r="F1403" s="18" t="str">
        <f>IFERROR(__xludf.DUMMYFUNCTION("""COMPUTED_VALUE"""),"Ram Gopal")</f>
        <v>Ram Gopal</v>
      </c>
      <c r="G1403" s="19">
        <f>IFERROR(__xludf.DUMMYFUNCTION("""COMPUTED_VALUE"""),45056.0)</f>
        <v>45056</v>
      </c>
      <c r="H1403" s="18" t="str">
        <f>IFERROR(__xludf.DUMMYFUNCTION("""COMPUTED_VALUE"""),"Credit Card")</f>
        <v>Credit Card</v>
      </c>
      <c r="I1403" s="18" t="str">
        <f>IFERROR(__xludf.DUMMYFUNCTION("""COMPUTED_VALUE"""),"Delivered")</f>
        <v>Delivered</v>
      </c>
      <c r="J1403" s="18" t="str">
        <f>IFERROR(__xludf.DUMMYFUNCTION("""COMPUTED_VALUE"""),"Packaging")</f>
        <v>Packaging</v>
      </c>
      <c r="K1403" s="18" t="str">
        <f>IFERROR(__xludf.DUMMYFUNCTION("""COMPUTED_VALUE"""),"Secure and intact")</f>
        <v>Secure and intact</v>
      </c>
      <c r="L1403" s="18">
        <f>iferror(VLOOKUP($D1403,Details!$A$2:$C$11,2,false),vlookup($D1403,Details!$E$2:$G$11,2,false))</f>
        <v>90</v>
      </c>
      <c r="M1403" s="18" t="str">
        <f>iferror(VLOOKUP($D1403,Details!$A$2:$C$11,3,false),vlookup($D1403,Details!$E$2:$G$11,3,false))</f>
        <v>Snacks and Drinks</v>
      </c>
      <c r="N1403" s="18">
        <f t="shared" si="1"/>
        <v>540</v>
      </c>
      <c r="O1403" s="17"/>
      <c r="P1403" s="17"/>
      <c r="Q1403" s="17"/>
      <c r="R1403" s="17"/>
      <c r="S1403" s="17"/>
      <c r="T1403" s="17"/>
      <c r="U1403" s="17"/>
      <c r="V1403" s="17"/>
      <c r="W1403" s="17"/>
      <c r="X1403" s="17"/>
      <c r="Y1403" s="17"/>
      <c r="Z1403" s="17"/>
    </row>
    <row r="1404">
      <c r="A1404" s="18" t="str">
        <f>IFERROR(__xludf.DUMMYFUNCTION("""COMPUTED_VALUE"""),"ord_71382")</f>
        <v>ord_71382</v>
      </c>
      <c r="B1404" s="18" t="str">
        <f>IFERROR(__xludf.DUMMYFUNCTION("""COMPUTED_VALUE"""),"Tanishq Bansal")</f>
        <v>Tanishq Bansal</v>
      </c>
      <c r="C1404" s="18" t="str">
        <f>IFERROR(__xludf.DUMMYFUNCTION("""COMPUTED_VALUE"""),"Bandra")</f>
        <v>Bandra</v>
      </c>
      <c r="D1404" s="18" t="str">
        <f>IFERROR(__xludf.DUMMYFUNCTION("""COMPUTED_VALUE"""),"Orange")</f>
        <v>Orange</v>
      </c>
      <c r="E1404" s="18">
        <f>IFERROR(__xludf.DUMMYFUNCTION("""COMPUTED_VALUE"""),1.0)</f>
        <v>1</v>
      </c>
      <c r="F1404" s="18" t="str">
        <f>IFERROR(__xludf.DUMMYFUNCTION("""COMPUTED_VALUE"""),"Ramesh S")</f>
        <v>Ramesh S</v>
      </c>
      <c r="G1404" s="19">
        <f>IFERROR(__xludf.DUMMYFUNCTION("""COMPUTED_VALUE"""),45124.0)</f>
        <v>45124</v>
      </c>
      <c r="H1404" s="18" t="str">
        <f>IFERROR(__xludf.DUMMYFUNCTION("""COMPUTED_VALUE"""),"Online Payment")</f>
        <v>Online Payment</v>
      </c>
      <c r="I1404" s="18" t="str">
        <f>IFERROR(__xludf.DUMMYFUNCTION("""COMPUTED_VALUE"""),"Delivered")</f>
        <v>Delivered</v>
      </c>
      <c r="J1404" s="18" t="str">
        <f>IFERROR(__xludf.DUMMYFUNCTION("""COMPUTED_VALUE"""),"Satisfied with the Delivery")</f>
        <v>Satisfied with the Delivery</v>
      </c>
      <c r="K1404" s="18" t="str">
        <f>IFERROR(__xludf.DUMMYFUNCTION("""COMPUTED_VALUE"""),"Timely and quality")</f>
        <v>Timely and quality</v>
      </c>
      <c r="L1404" s="18">
        <f>iferror(VLOOKUP($D1404,Details!$A$2:$C$11,2,false),vlookup($D1404,Details!$E$2:$G$11,2,false))</f>
        <v>180</v>
      </c>
      <c r="M1404" s="18" t="str">
        <f>iferror(VLOOKUP($D1404,Details!$A$2:$C$11,3,false),vlookup($D1404,Details!$E$2:$G$11,3,false))</f>
        <v>Fruits and Vegetables</v>
      </c>
      <c r="N1404" s="18">
        <f t="shared" si="1"/>
        <v>180</v>
      </c>
      <c r="O1404" s="17"/>
      <c r="P1404" s="17"/>
      <c r="Q1404" s="17"/>
      <c r="R1404" s="17"/>
      <c r="S1404" s="17"/>
      <c r="T1404" s="17"/>
      <c r="U1404" s="17"/>
      <c r="V1404" s="17"/>
      <c r="W1404" s="17"/>
      <c r="X1404" s="17"/>
      <c r="Y1404" s="17"/>
      <c r="Z1404" s="17"/>
    </row>
    <row r="1405">
      <c r="A1405" s="18" t="str">
        <f>IFERROR(__xludf.DUMMYFUNCTION("""COMPUTED_VALUE"""),"ord_71383")</f>
        <v>ord_71383</v>
      </c>
      <c r="B1405" s="18" t="str">
        <f>IFERROR(__xludf.DUMMYFUNCTION("""COMPUTED_VALUE"""),"Aarav Mehta")</f>
        <v>Aarav Mehta</v>
      </c>
      <c r="C1405" s="18" t="str">
        <f>IFERROR(__xludf.DUMMYFUNCTION("""COMPUTED_VALUE"""),"Andheri")</f>
        <v>Andheri</v>
      </c>
      <c r="D1405" s="18" t="str">
        <f>IFERROR(__xludf.DUMMYFUNCTION("""COMPUTED_VALUE"""),"Onion")</f>
        <v>Onion</v>
      </c>
      <c r="E1405" s="18">
        <f>IFERROR(__xludf.DUMMYFUNCTION("""COMPUTED_VALUE"""),1.0)</f>
        <v>1</v>
      </c>
      <c r="F1405" s="18" t="str">
        <f>IFERROR(__xludf.DUMMYFUNCTION("""COMPUTED_VALUE"""),"Vivek Kumar")</f>
        <v>Vivek Kumar</v>
      </c>
      <c r="G1405" s="19">
        <f>IFERROR(__xludf.DUMMYFUNCTION("""COMPUTED_VALUE"""),45227.0)</f>
        <v>45227</v>
      </c>
      <c r="H1405" s="18" t="str">
        <f>IFERROR(__xludf.DUMMYFUNCTION("""COMPUTED_VALUE"""),"Online Payment")</f>
        <v>Online Payment</v>
      </c>
      <c r="I1405" s="18" t="str">
        <f>IFERROR(__xludf.DUMMYFUNCTION("""COMPUTED_VALUE"""),"Delivered")</f>
        <v>Delivered</v>
      </c>
      <c r="J1405" s="18" t="str">
        <f>IFERROR(__xludf.DUMMYFUNCTION("""COMPUTED_VALUE"""),"Customer Service")</f>
        <v>Customer Service</v>
      </c>
      <c r="K1405" s="18" t="str">
        <f>IFERROR(__xludf.DUMMYFUNCTION("""COMPUTED_VALUE"""),"Seamless and easy")</f>
        <v>Seamless and easy</v>
      </c>
      <c r="L1405" s="18">
        <f>iferror(VLOOKUP($D1405,Details!$A$2:$C$11,2,false),vlookup($D1405,Details!$E$2:$G$11,2,false))</f>
        <v>84</v>
      </c>
      <c r="M1405" s="18" t="str">
        <f>iferror(VLOOKUP($D1405,Details!$A$2:$C$11,3,false),vlookup($D1405,Details!$E$2:$G$11,3,false))</f>
        <v>Fruits and Vegetables</v>
      </c>
      <c r="N1405" s="18">
        <f t="shared" si="1"/>
        <v>84</v>
      </c>
      <c r="O1405" s="17"/>
      <c r="P1405" s="17"/>
      <c r="Q1405" s="17"/>
      <c r="R1405" s="17"/>
      <c r="S1405" s="17"/>
      <c r="T1405" s="17"/>
      <c r="U1405" s="17"/>
      <c r="V1405" s="17"/>
      <c r="W1405" s="17"/>
      <c r="X1405" s="17"/>
      <c r="Y1405" s="17"/>
      <c r="Z1405" s="17"/>
    </row>
    <row r="1406">
      <c r="A1406" s="18" t="str">
        <f>IFERROR(__xludf.DUMMYFUNCTION("""COMPUTED_VALUE"""),"ord_71384")</f>
        <v>ord_71384</v>
      </c>
      <c r="B1406" s="18" t="str">
        <f>IFERROR(__xludf.DUMMYFUNCTION("""COMPUTED_VALUE"""),"Aarohi Kapoor")</f>
        <v>Aarohi Kapoor</v>
      </c>
      <c r="C1406" s="18" t="str">
        <f>IFERROR(__xludf.DUMMYFUNCTION("""COMPUTED_VALUE"""),"Bandra")</f>
        <v>Bandra</v>
      </c>
      <c r="D1406" s="18" t="str">
        <f>IFERROR(__xludf.DUMMYFUNCTION("""COMPUTED_VALUE"""),"Apple")</f>
        <v>Apple</v>
      </c>
      <c r="E1406" s="18">
        <f>IFERROR(__xludf.DUMMYFUNCTION("""COMPUTED_VALUE"""),1.0)</f>
        <v>1</v>
      </c>
      <c r="F1406" s="18" t="str">
        <f>IFERROR(__xludf.DUMMYFUNCTION("""COMPUTED_VALUE"""),"Sita T")</f>
        <v>Sita T</v>
      </c>
      <c r="G1406" s="19">
        <f>IFERROR(__xludf.DUMMYFUNCTION("""COMPUTED_VALUE"""),45205.0)</f>
        <v>45205</v>
      </c>
      <c r="H1406" s="18" t="str">
        <f>IFERROR(__xludf.DUMMYFUNCTION("""COMPUTED_VALUE"""),"Online Payment")</f>
        <v>Online Payment</v>
      </c>
      <c r="I1406" s="18" t="str">
        <f>IFERROR(__xludf.DUMMYFUNCTION("""COMPUTED_VALUE"""),"Delivered")</f>
        <v>Delivered</v>
      </c>
      <c r="J1406" s="18" t="str">
        <f>IFERROR(__xludf.DUMMYFUNCTION("""COMPUTED_VALUE"""),"Delivery Experience")</f>
        <v>Delivery Experience</v>
      </c>
      <c r="K1406" s="18" t="str">
        <f>IFERROR(__xludf.DUMMYFUNCTION("""COMPUTED_VALUE"""),"Quick and professional")</f>
        <v>Quick and professional</v>
      </c>
      <c r="L1406" s="18">
        <f>iferror(VLOOKUP($D1406,Details!$A$2:$C$11,2,false),vlookup($D1406,Details!$E$2:$G$11,2,false))</f>
        <v>230</v>
      </c>
      <c r="M1406" s="18" t="str">
        <f>iferror(VLOOKUP($D1406,Details!$A$2:$C$11,3,false),vlookup($D1406,Details!$E$2:$G$11,3,false))</f>
        <v>Fruits and Vegetables</v>
      </c>
      <c r="N1406" s="18">
        <f t="shared" si="1"/>
        <v>230</v>
      </c>
      <c r="O1406" s="17"/>
      <c r="P1406" s="17"/>
      <c r="Q1406" s="17"/>
      <c r="R1406" s="17"/>
      <c r="S1406" s="17"/>
      <c r="T1406" s="17"/>
      <c r="U1406" s="17"/>
      <c r="V1406" s="17"/>
      <c r="W1406" s="17"/>
      <c r="X1406" s="17"/>
      <c r="Y1406" s="17"/>
      <c r="Z1406" s="17"/>
    </row>
    <row r="1407">
      <c r="A1407" s="18" t="str">
        <f>IFERROR(__xludf.DUMMYFUNCTION("""COMPUTED_VALUE"""),"ord_71385")</f>
        <v>ord_71385</v>
      </c>
      <c r="B1407" s="18" t="str">
        <f>IFERROR(__xludf.DUMMYFUNCTION("""COMPUTED_VALUE"""),"Omkar Mishra")</f>
        <v>Omkar Mishra</v>
      </c>
      <c r="C1407" s="18" t="str">
        <f>IFERROR(__xludf.DUMMYFUNCTION("""COMPUTED_VALUE"""),"Powai")</f>
        <v>Powai</v>
      </c>
      <c r="D1407" s="18" t="str">
        <f>IFERROR(__xludf.DUMMYFUNCTION("""COMPUTED_VALUE"""),"Onion")</f>
        <v>Onion</v>
      </c>
      <c r="E1407" s="18">
        <f>IFERROR(__xludf.DUMMYFUNCTION("""COMPUTED_VALUE"""),1.0)</f>
        <v>1</v>
      </c>
      <c r="F1407" s="18" t="str">
        <f>IFERROR(__xludf.DUMMYFUNCTION("""COMPUTED_VALUE"""),"Vivek Kumar")</f>
        <v>Vivek Kumar</v>
      </c>
      <c r="G1407" s="19">
        <f>IFERROR(__xludf.DUMMYFUNCTION("""COMPUTED_VALUE"""),45228.0)</f>
        <v>45228</v>
      </c>
      <c r="H1407" s="18" t="str">
        <f>IFERROR(__xludf.DUMMYFUNCTION("""COMPUTED_VALUE"""),"Online Payment")</f>
        <v>Online Payment</v>
      </c>
      <c r="I1407" s="18" t="str">
        <f>IFERROR(__xludf.DUMMYFUNCTION("""COMPUTED_VALUE"""),"Delivered")</f>
        <v>Delivered</v>
      </c>
      <c r="J1407" s="18" t="str">
        <f>IFERROR(__xludf.DUMMYFUNCTION("""COMPUTED_VALUE"""),"Convenience")</f>
        <v>Convenience</v>
      </c>
      <c r="K1407" s="18" t="str">
        <f>IFERROR(__xludf.DUMMYFUNCTION("""COMPUTED_VALUE"""),"Easy tracking")</f>
        <v>Easy tracking</v>
      </c>
      <c r="L1407" s="18">
        <f>iferror(VLOOKUP($D1407,Details!$A$2:$C$11,2,false),vlookup($D1407,Details!$E$2:$G$11,2,false))</f>
        <v>84</v>
      </c>
      <c r="M1407" s="18" t="str">
        <f>iferror(VLOOKUP($D1407,Details!$A$2:$C$11,3,false),vlookup($D1407,Details!$E$2:$G$11,3,false))</f>
        <v>Fruits and Vegetables</v>
      </c>
      <c r="N1407" s="18">
        <f t="shared" si="1"/>
        <v>84</v>
      </c>
      <c r="O1407" s="17"/>
      <c r="P1407" s="17"/>
      <c r="Q1407" s="17"/>
      <c r="R1407" s="17"/>
      <c r="S1407" s="17"/>
      <c r="T1407" s="17"/>
      <c r="U1407" s="17"/>
      <c r="V1407" s="17"/>
      <c r="W1407" s="17"/>
      <c r="X1407" s="17"/>
      <c r="Y1407" s="17"/>
      <c r="Z1407" s="17"/>
    </row>
    <row r="1408">
      <c r="A1408" s="18" t="str">
        <f>IFERROR(__xludf.DUMMYFUNCTION("""COMPUTED_VALUE"""),"ord_71386")</f>
        <v>ord_71386</v>
      </c>
      <c r="B1408" s="18" t="str">
        <f>IFERROR(__xludf.DUMMYFUNCTION("""COMPUTED_VALUE"""),"Parth Goel")</f>
        <v>Parth Goel</v>
      </c>
      <c r="C1408" s="18" t="str">
        <f>IFERROR(__xludf.DUMMYFUNCTION("""COMPUTED_VALUE"""),"Juhu")</f>
        <v>Juhu</v>
      </c>
      <c r="D1408" s="18" t="str">
        <f>IFERROR(__xludf.DUMMYFUNCTION("""COMPUTED_VALUE"""),"Banana")</f>
        <v>Banana</v>
      </c>
      <c r="E1408" s="18">
        <f>IFERROR(__xludf.DUMMYFUNCTION("""COMPUTED_VALUE"""),2.0)</f>
        <v>2</v>
      </c>
      <c r="F1408" s="18" t="str">
        <f>IFERROR(__xludf.DUMMYFUNCTION("""COMPUTED_VALUE"""),"Venu R")</f>
        <v>Venu R</v>
      </c>
      <c r="G1408" s="19">
        <f>IFERROR(__xludf.DUMMYFUNCTION("""COMPUTED_VALUE"""),45032.0)</f>
        <v>45032</v>
      </c>
      <c r="H1408" s="18" t="str">
        <f>IFERROR(__xludf.DUMMYFUNCTION("""COMPUTED_VALUE"""),"Credit Card")</f>
        <v>Credit Card</v>
      </c>
      <c r="I1408" s="18" t="str">
        <f>IFERROR(__xludf.DUMMYFUNCTION("""COMPUTED_VALUE"""),"Delivered")</f>
        <v>Delivered</v>
      </c>
      <c r="J1408" s="18" t="str">
        <f>IFERROR(__xludf.DUMMYFUNCTION("""COMPUTED_VALUE"""),"Overall Satisfaction")</f>
        <v>Overall Satisfaction</v>
      </c>
      <c r="K1408" s="18" t="str">
        <f>IFERROR(__xludf.DUMMYFUNCTION("""COMPUTED_VALUE"""),"Great service will order again")</f>
        <v>Great service will order again</v>
      </c>
      <c r="L1408" s="18">
        <f>iferror(VLOOKUP($D1408,Details!$A$2:$C$11,2,false),vlookup($D1408,Details!$E$2:$G$11,2,false))</f>
        <v>80</v>
      </c>
      <c r="M1408" s="18" t="str">
        <f>iferror(VLOOKUP($D1408,Details!$A$2:$C$11,3,false),vlookup($D1408,Details!$E$2:$G$11,3,false))</f>
        <v>Fruits and Vegetables</v>
      </c>
      <c r="N1408" s="18">
        <f t="shared" si="1"/>
        <v>160</v>
      </c>
      <c r="O1408" s="17"/>
      <c r="P1408" s="17"/>
      <c r="Q1408" s="17"/>
      <c r="R1408" s="17"/>
      <c r="S1408" s="17"/>
      <c r="T1408" s="17"/>
      <c r="U1408" s="17"/>
      <c r="V1408" s="17"/>
      <c r="W1408" s="17"/>
      <c r="X1408" s="17"/>
      <c r="Y1408" s="17"/>
      <c r="Z1408" s="17"/>
    </row>
    <row r="1409">
      <c r="A1409" s="18" t="str">
        <f>IFERROR(__xludf.DUMMYFUNCTION("""COMPUTED_VALUE"""),"ord_71387")</f>
        <v>ord_71387</v>
      </c>
      <c r="B1409" s="18" t="str">
        <f>IFERROR(__xludf.DUMMYFUNCTION("""COMPUTED_VALUE"""),"Pranav Joshi")</f>
        <v>Pranav Joshi</v>
      </c>
      <c r="C1409" s="18" t="str">
        <f>IFERROR(__xludf.DUMMYFUNCTION("""COMPUTED_VALUE"""),"Andheri")</f>
        <v>Andheri</v>
      </c>
      <c r="D1409" s="18" t="str">
        <f>IFERROR(__xludf.DUMMYFUNCTION("""COMPUTED_VALUE"""),"Rasmalai")</f>
        <v>Rasmalai</v>
      </c>
      <c r="E1409" s="18">
        <f>IFERROR(__xludf.DUMMYFUNCTION("""COMPUTED_VALUE"""),2.0)</f>
        <v>2</v>
      </c>
      <c r="F1409" s="18" t="str">
        <f>IFERROR(__xludf.DUMMYFUNCTION("""COMPUTED_VALUE"""),"Ramesh S")</f>
        <v>Ramesh S</v>
      </c>
      <c r="G1409" s="19">
        <f>IFERROR(__xludf.DUMMYFUNCTION("""COMPUTED_VALUE"""),45082.0)</f>
        <v>45082</v>
      </c>
      <c r="H1409" s="18" t="str">
        <f>IFERROR(__xludf.DUMMYFUNCTION("""COMPUTED_VALUE"""),"Credit Card")</f>
        <v>Credit Card</v>
      </c>
      <c r="I1409" s="18" t="str">
        <f>IFERROR(__xludf.DUMMYFUNCTION("""COMPUTED_VALUE"""),"Delivered")</f>
        <v>Delivered</v>
      </c>
      <c r="J1409" s="18" t="str">
        <f>IFERROR(__xludf.DUMMYFUNCTION("""COMPUTED_VALUE"""),"On-time Delivery")</f>
        <v>On-time Delivery</v>
      </c>
      <c r="K1409" s="18" t="str">
        <f>IFERROR(__xludf.DUMMYFUNCTION("""COMPUTED_VALUE"""),"Delivered on time")</f>
        <v>Delivered on time</v>
      </c>
      <c r="L1409" s="18">
        <f>iferror(VLOOKUP($D1409,Details!$A$2:$C$11,2,false),vlookup($D1409,Details!$E$2:$G$11,2,false))</f>
        <v>110</v>
      </c>
      <c r="M1409" s="18" t="str">
        <f>iferror(VLOOKUP($D1409,Details!$A$2:$C$11,3,false),vlookup($D1409,Details!$E$2:$G$11,3,false))</f>
        <v>Snacks and Drinks</v>
      </c>
      <c r="N1409" s="18">
        <f t="shared" si="1"/>
        <v>220</v>
      </c>
      <c r="O1409" s="17"/>
      <c r="P1409" s="17"/>
      <c r="Q1409" s="17"/>
      <c r="R1409" s="17"/>
      <c r="S1409" s="17"/>
      <c r="T1409" s="17"/>
      <c r="U1409" s="17"/>
      <c r="V1409" s="17"/>
      <c r="W1409" s="17"/>
      <c r="X1409" s="17"/>
      <c r="Y1409" s="17"/>
      <c r="Z1409" s="17"/>
    </row>
    <row r="1410">
      <c r="A1410" s="18" t="str">
        <f>IFERROR(__xludf.DUMMYFUNCTION("""COMPUTED_VALUE"""),"ord_71388")</f>
        <v>ord_71388</v>
      </c>
      <c r="B1410" s="18" t="str">
        <f>IFERROR(__xludf.DUMMYFUNCTION("""COMPUTED_VALUE"""),"Omkar Mishra")</f>
        <v>Omkar Mishra</v>
      </c>
      <c r="C1410" s="18" t="str">
        <f>IFERROR(__xludf.DUMMYFUNCTION("""COMPUTED_VALUE"""),"Powai")</f>
        <v>Powai</v>
      </c>
      <c r="D1410" s="18" t="str">
        <f>IFERROR(__xludf.DUMMYFUNCTION("""COMPUTED_VALUE"""),"Onion")</f>
        <v>Onion</v>
      </c>
      <c r="E1410" s="18">
        <f>IFERROR(__xludf.DUMMYFUNCTION("""COMPUTED_VALUE"""),1.0)</f>
        <v>1</v>
      </c>
      <c r="F1410" s="18" t="str">
        <f>IFERROR(__xludf.DUMMYFUNCTION("""COMPUTED_VALUE"""),"Sita T")</f>
        <v>Sita T</v>
      </c>
      <c r="G1410" s="19">
        <f>IFERROR(__xludf.DUMMYFUNCTION("""COMPUTED_VALUE"""),45162.0)</f>
        <v>45162</v>
      </c>
      <c r="H1410" s="18" t="str">
        <f>IFERROR(__xludf.DUMMYFUNCTION("""COMPUTED_VALUE"""),"COD")</f>
        <v>COD</v>
      </c>
      <c r="I1410" s="18" t="str">
        <f>IFERROR(__xludf.DUMMYFUNCTION("""COMPUTED_VALUE"""),"Delivered")</f>
        <v>Delivered</v>
      </c>
      <c r="J1410" s="18" t="str">
        <f>IFERROR(__xludf.DUMMYFUNCTION("""COMPUTED_VALUE"""),"Quality of Items")</f>
        <v>Quality of Items</v>
      </c>
      <c r="K1410" s="18" t="str">
        <f>IFERROR(__xludf.DUMMYFUNCTION("""COMPUTED_VALUE"""),"Perfect condition")</f>
        <v>Perfect condition</v>
      </c>
      <c r="L1410" s="18">
        <f>iferror(VLOOKUP($D1410,Details!$A$2:$C$11,2,false),vlookup($D1410,Details!$E$2:$G$11,2,false))</f>
        <v>84</v>
      </c>
      <c r="M1410" s="18" t="str">
        <f>iferror(VLOOKUP($D1410,Details!$A$2:$C$11,3,false),vlookup($D1410,Details!$E$2:$G$11,3,false))</f>
        <v>Fruits and Vegetables</v>
      </c>
      <c r="N1410" s="18">
        <f t="shared" si="1"/>
        <v>84</v>
      </c>
      <c r="O1410" s="17"/>
      <c r="P1410" s="17"/>
      <c r="Q1410" s="17"/>
      <c r="R1410" s="17"/>
      <c r="S1410" s="17"/>
      <c r="T1410" s="17"/>
      <c r="U1410" s="17"/>
      <c r="V1410" s="17"/>
      <c r="W1410" s="17"/>
      <c r="X1410" s="17"/>
      <c r="Y1410" s="17"/>
      <c r="Z1410" s="17"/>
    </row>
    <row r="1411">
      <c r="A1411" s="18" t="str">
        <f>IFERROR(__xludf.DUMMYFUNCTION("""COMPUTED_VALUE"""),"ord_71389")</f>
        <v>ord_71389</v>
      </c>
      <c r="B1411" s="18" t="str">
        <f>IFERROR(__xludf.DUMMYFUNCTION("""COMPUTED_VALUE"""),"Diya Arora")</f>
        <v>Diya Arora</v>
      </c>
      <c r="C1411" s="18" t="str">
        <f>IFERROR(__xludf.DUMMYFUNCTION("""COMPUTED_VALUE"""),"Lower Parel")</f>
        <v>Lower Parel</v>
      </c>
      <c r="D1411" s="18" t="str">
        <f>IFERROR(__xludf.DUMMYFUNCTION("""COMPUTED_VALUE"""),"Banana")</f>
        <v>Banana</v>
      </c>
      <c r="E1411" s="18">
        <f>IFERROR(__xludf.DUMMYFUNCTION("""COMPUTED_VALUE"""),2.0)</f>
        <v>2</v>
      </c>
      <c r="F1411" s="18" t="str">
        <f>IFERROR(__xludf.DUMMYFUNCTION("""COMPUTED_VALUE"""),"Venu R")</f>
        <v>Venu R</v>
      </c>
      <c r="G1411" s="19">
        <f>IFERROR(__xludf.DUMMYFUNCTION("""COMPUTED_VALUE"""),45117.0)</f>
        <v>45117</v>
      </c>
      <c r="H1411" s="18" t="str">
        <f>IFERROR(__xludf.DUMMYFUNCTION("""COMPUTED_VALUE"""),"COD")</f>
        <v>COD</v>
      </c>
      <c r="I1411" s="18" t="str">
        <f>IFERROR(__xludf.DUMMYFUNCTION("""COMPUTED_VALUE"""),"Delivered")</f>
        <v>Delivered</v>
      </c>
      <c r="J1411" s="18" t="str">
        <f>IFERROR(__xludf.DUMMYFUNCTION("""COMPUTED_VALUE"""),"On-time Delivery")</f>
        <v>On-time Delivery</v>
      </c>
      <c r="K1411" s="18" t="str">
        <f>IFERROR(__xludf.DUMMYFUNCTION("""COMPUTED_VALUE"""),"Delivered on time")</f>
        <v>Delivered on time</v>
      </c>
      <c r="L1411" s="18">
        <f>iferror(VLOOKUP($D1411,Details!$A$2:$C$11,2,false),vlookup($D1411,Details!$E$2:$G$11,2,false))</f>
        <v>80</v>
      </c>
      <c r="M1411" s="18" t="str">
        <f>iferror(VLOOKUP($D1411,Details!$A$2:$C$11,3,false),vlookup($D1411,Details!$E$2:$G$11,3,false))</f>
        <v>Fruits and Vegetables</v>
      </c>
      <c r="N1411" s="18">
        <f t="shared" si="1"/>
        <v>160</v>
      </c>
      <c r="O1411" s="17"/>
      <c r="P1411" s="17"/>
      <c r="Q1411" s="17"/>
      <c r="R1411" s="17"/>
      <c r="S1411" s="17"/>
      <c r="T1411" s="17"/>
      <c r="U1411" s="17"/>
      <c r="V1411" s="17"/>
      <c r="W1411" s="17"/>
      <c r="X1411" s="17"/>
      <c r="Y1411" s="17"/>
      <c r="Z1411" s="17"/>
    </row>
    <row r="1412">
      <c r="A1412" s="18" t="str">
        <f>IFERROR(__xludf.DUMMYFUNCTION("""COMPUTED_VALUE"""),"ord_71390")</f>
        <v>ord_71390</v>
      </c>
      <c r="B1412" s="18" t="str">
        <f>IFERROR(__xludf.DUMMYFUNCTION("""COMPUTED_VALUE"""),"Aarav Mehta")</f>
        <v>Aarav Mehta</v>
      </c>
      <c r="C1412" s="18" t="str">
        <f>IFERROR(__xludf.DUMMYFUNCTION("""COMPUTED_VALUE"""),"Andheri")</f>
        <v>Andheri</v>
      </c>
      <c r="D1412" s="18" t="str">
        <f>IFERROR(__xludf.DUMMYFUNCTION("""COMPUTED_VALUE"""),"Chicken Puff")</f>
        <v>Chicken Puff</v>
      </c>
      <c r="E1412" s="18">
        <f>IFERROR(__xludf.DUMMYFUNCTION("""COMPUTED_VALUE"""),3.0)</f>
        <v>3</v>
      </c>
      <c r="F1412" s="18" t="str">
        <f>IFERROR(__xludf.DUMMYFUNCTION("""COMPUTED_VALUE"""),"Ram Gopal")</f>
        <v>Ram Gopal</v>
      </c>
      <c r="G1412" s="19">
        <f>IFERROR(__xludf.DUMMYFUNCTION("""COMPUTED_VALUE"""),45162.0)</f>
        <v>45162</v>
      </c>
      <c r="H1412" s="18" t="str">
        <f>IFERROR(__xludf.DUMMYFUNCTION("""COMPUTED_VALUE"""),"Online Payment")</f>
        <v>Online Payment</v>
      </c>
      <c r="I1412" s="18" t="str">
        <f>IFERROR(__xludf.DUMMYFUNCTION("""COMPUTED_VALUE"""),"Delivered")</f>
        <v>Delivered</v>
      </c>
      <c r="J1412" s="18" t="str">
        <f>IFERROR(__xludf.DUMMYFUNCTION("""COMPUTED_VALUE"""),"Quality of Items")</f>
        <v>Quality of Items</v>
      </c>
      <c r="K1412" s="18" t="str">
        <f>IFERROR(__xludf.DUMMYFUNCTION("""COMPUTED_VALUE"""),"Perfect condition")</f>
        <v>Perfect condition</v>
      </c>
      <c r="L1412" s="18">
        <f>iferror(VLOOKUP($D1412,Details!$A$2:$C$11,2,false),vlookup($D1412,Details!$E$2:$G$11,2,false))</f>
        <v>90</v>
      </c>
      <c r="M1412" s="18" t="str">
        <f>iferror(VLOOKUP($D1412,Details!$A$2:$C$11,3,false),vlookup($D1412,Details!$E$2:$G$11,3,false))</f>
        <v>Snacks and Drinks</v>
      </c>
      <c r="N1412" s="18">
        <f t="shared" si="1"/>
        <v>270</v>
      </c>
      <c r="O1412" s="17"/>
      <c r="P1412" s="17"/>
      <c r="Q1412" s="17"/>
      <c r="R1412" s="17"/>
      <c r="S1412" s="17"/>
      <c r="T1412" s="17"/>
      <c r="U1412" s="17"/>
      <c r="V1412" s="17"/>
      <c r="W1412" s="17"/>
      <c r="X1412" s="17"/>
      <c r="Y1412" s="17"/>
      <c r="Z1412" s="17"/>
    </row>
    <row r="1413">
      <c r="A1413" s="18" t="str">
        <f>IFERROR(__xludf.DUMMYFUNCTION("""COMPUTED_VALUE"""),"ord_71391")</f>
        <v>ord_71391</v>
      </c>
      <c r="B1413" s="18" t="str">
        <f>IFERROR(__xludf.DUMMYFUNCTION("""COMPUTED_VALUE"""),"Tanishq Bansal")</f>
        <v>Tanishq Bansal</v>
      </c>
      <c r="C1413" s="18" t="str">
        <f>IFERROR(__xludf.DUMMYFUNCTION("""COMPUTED_VALUE"""),"Powai")</f>
        <v>Powai</v>
      </c>
      <c r="D1413" s="18" t="str">
        <f>IFERROR(__xludf.DUMMYFUNCTION("""COMPUTED_VALUE"""),"Guava")</f>
        <v>Guava</v>
      </c>
      <c r="E1413" s="18">
        <f>IFERROR(__xludf.DUMMYFUNCTION("""COMPUTED_VALUE"""),2.0)</f>
        <v>2</v>
      </c>
      <c r="F1413" s="18" t="str">
        <f>IFERROR(__xludf.DUMMYFUNCTION("""COMPUTED_VALUE"""),"Sita T")</f>
        <v>Sita T</v>
      </c>
      <c r="G1413" s="19">
        <f>IFERROR(__xludf.DUMMYFUNCTION("""COMPUTED_VALUE"""),44950.0)</f>
        <v>44950</v>
      </c>
      <c r="H1413" s="18" t="str">
        <f>IFERROR(__xludf.DUMMYFUNCTION("""COMPUTED_VALUE"""),"UPI")</f>
        <v>UPI</v>
      </c>
      <c r="I1413" s="18" t="str">
        <f>IFERROR(__xludf.DUMMYFUNCTION("""COMPUTED_VALUE"""),"Delivered")</f>
        <v>Delivered</v>
      </c>
      <c r="J1413" s="18" t="str">
        <f>IFERROR(__xludf.DUMMYFUNCTION("""COMPUTED_VALUE"""),"Packaging")</f>
        <v>Packaging</v>
      </c>
      <c r="K1413" s="18" t="str">
        <f>IFERROR(__xludf.DUMMYFUNCTION("""COMPUTED_VALUE"""),"Secure and intact")</f>
        <v>Secure and intact</v>
      </c>
      <c r="L1413" s="18">
        <f>iferror(VLOOKUP($D1413,Details!$A$2:$C$11,2,false),vlookup($D1413,Details!$E$2:$G$11,2,false))</f>
        <v>70</v>
      </c>
      <c r="M1413" s="18" t="str">
        <f>iferror(VLOOKUP($D1413,Details!$A$2:$C$11,3,false),vlookup($D1413,Details!$E$2:$G$11,3,false))</f>
        <v>Fruits and Vegetables</v>
      </c>
      <c r="N1413" s="18">
        <f t="shared" si="1"/>
        <v>140</v>
      </c>
      <c r="O1413" s="17"/>
      <c r="P1413" s="17"/>
      <c r="Q1413" s="17"/>
      <c r="R1413" s="17"/>
      <c r="S1413" s="17"/>
      <c r="T1413" s="17"/>
      <c r="U1413" s="17"/>
      <c r="V1413" s="17"/>
      <c r="W1413" s="17"/>
      <c r="X1413" s="17"/>
      <c r="Y1413" s="17"/>
      <c r="Z1413" s="17"/>
    </row>
    <row r="1414">
      <c r="A1414" s="18" t="str">
        <f>IFERROR(__xludf.DUMMYFUNCTION("""COMPUTED_VALUE"""),"ord_71392")</f>
        <v>ord_71392</v>
      </c>
      <c r="B1414" s="18" t="str">
        <f>IFERROR(__xludf.DUMMYFUNCTION("""COMPUTED_VALUE"""),"Sakshi Tandon")</f>
        <v>Sakshi Tandon</v>
      </c>
      <c r="C1414" s="18" t="str">
        <f>IFERROR(__xludf.DUMMYFUNCTION("""COMPUTED_VALUE"""),"Colaba")</f>
        <v>Colaba</v>
      </c>
      <c r="D1414" s="18" t="str">
        <f>IFERROR(__xludf.DUMMYFUNCTION("""COMPUTED_VALUE"""),"Orange")</f>
        <v>Orange</v>
      </c>
      <c r="E1414" s="18">
        <f>IFERROR(__xludf.DUMMYFUNCTION("""COMPUTED_VALUE"""),2.0)</f>
        <v>2</v>
      </c>
      <c r="F1414" s="18" t="str">
        <f>IFERROR(__xludf.DUMMYFUNCTION("""COMPUTED_VALUE"""),"Venu R")</f>
        <v>Venu R</v>
      </c>
      <c r="G1414" s="19">
        <f>IFERROR(__xludf.DUMMYFUNCTION("""COMPUTED_VALUE"""),45174.0)</f>
        <v>45174</v>
      </c>
      <c r="H1414" s="18" t="str">
        <f>IFERROR(__xludf.DUMMYFUNCTION("""COMPUTED_VALUE"""),"Online Payment")</f>
        <v>Online Payment</v>
      </c>
      <c r="I1414" s="18" t="str">
        <f>IFERROR(__xludf.DUMMYFUNCTION("""COMPUTED_VALUE"""),"Delivered")</f>
        <v>Delivered</v>
      </c>
      <c r="J1414" s="18" t="str">
        <f>IFERROR(__xludf.DUMMYFUNCTION("""COMPUTED_VALUE"""),"Satisfied with the Delivery")</f>
        <v>Satisfied with the Delivery</v>
      </c>
      <c r="K1414" s="18" t="str">
        <f>IFERROR(__xludf.DUMMYFUNCTION("""COMPUTED_VALUE"""),"Timely and quality")</f>
        <v>Timely and quality</v>
      </c>
      <c r="L1414" s="18">
        <f>iferror(VLOOKUP($D1414,Details!$A$2:$C$11,2,false),vlookup($D1414,Details!$E$2:$G$11,2,false))</f>
        <v>180</v>
      </c>
      <c r="M1414" s="18" t="str">
        <f>iferror(VLOOKUP($D1414,Details!$A$2:$C$11,3,false),vlookup($D1414,Details!$E$2:$G$11,3,false))</f>
        <v>Fruits and Vegetables</v>
      </c>
      <c r="N1414" s="18">
        <f t="shared" si="1"/>
        <v>360</v>
      </c>
      <c r="O1414" s="17"/>
      <c r="P1414" s="17"/>
      <c r="Q1414" s="17"/>
      <c r="R1414" s="17"/>
      <c r="S1414" s="17"/>
      <c r="T1414" s="17"/>
      <c r="U1414" s="17"/>
      <c r="V1414" s="17"/>
      <c r="W1414" s="17"/>
      <c r="X1414" s="17"/>
      <c r="Y1414" s="17"/>
      <c r="Z1414" s="17"/>
    </row>
    <row r="1415">
      <c r="A1415" s="18" t="str">
        <f>IFERROR(__xludf.DUMMYFUNCTION("""COMPUTED_VALUE"""),"ord_71393")</f>
        <v>ord_71393</v>
      </c>
      <c r="B1415" s="18" t="str">
        <f>IFERROR(__xludf.DUMMYFUNCTION("""COMPUTED_VALUE"""),"Riya Chakraborty")</f>
        <v>Riya Chakraborty</v>
      </c>
      <c r="C1415" s="18" t="str">
        <f>IFERROR(__xludf.DUMMYFUNCTION("""COMPUTED_VALUE"""),"Juhu")</f>
        <v>Juhu</v>
      </c>
      <c r="D1415" s="18" t="str">
        <f>IFERROR(__xludf.DUMMYFUNCTION("""COMPUTED_VALUE"""),"Cucumber")</f>
        <v>Cucumber</v>
      </c>
      <c r="E1415" s="18">
        <f>IFERROR(__xludf.DUMMYFUNCTION("""COMPUTED_VALUE"""),2.0)</f>
        <v>2</v>
      </c>
      <c r="F1415" s="18" t="str">
        <f>IFERROR(__xludf.DUMMYFUNCTION("""COMPUTED_VALUE"""),"Nithin Lal")</f>
        <v>Nithin Lal</v>
      </c>
      <c r="G1415" s="19">
        <f>IFERROR(__xludf.DUMMYFUNCTION("""COMPUTED_VALUE"""),44954.0)</f>
        <v>44954</v>
      </c>
      <c r="H1415" s="18" t="str">
        <f>IFERROR(__xludf.DUMMYFUNCTION("""COMPUTED_VALUE"""),"Online Payment")</f>
        <v>Online Payment</v>
      </c>
      <c r="I1415" s="18" t="str">
        <f>IFERROR(__xludf.DUMMYFUNCTION("""COMPUTED_VALUE"""),"Delivered")</f>
        <v>Delivered</v>
      </c>
      <c r="J1415" s="18" t="str">
        <f>IFERROR(__xludf.DUMMYFUNCTION("""COMPUTED_VALUE"""),"Customer Service")</f>
        <v>Customer Service</v>
      </c>
      <c r="K1415" s="18" t="str">
        <f>IFERROR(__xludf.DUMMYFUNCTION("""COMPUTED_VALUE"""),"Seamless and easy")</f>
        <v>Seamless and easy</v>
      </c>
      <c r="L1415" s="18">
        <f>iferror(VLOOKUP($D1415,Details!$A$2:$C$11,2,false),vlookup($D1415,Details!$E$2:$G$11,2,false))</f>
        <v>30</v>
      </c>
      <c r="M1415" s="18" t="str">
        <f>iferror(VLOOKUP($D1415,Details!$A$2:$C$11,3,false),vlookup($D1415,Details!$E$2:$G$11,3,false))</f>
        <v>Fruits and Vegetables</v>
      </c>
      <c r="N1415" s="18">
        <f t="shared" si="1"/>
        <v>60</v>
      </c>
      <c r="O1415" s="17"/>
      <c r="P1415" s="17"/>
      <c r="Q1415" s="17"/>
      <c r="R1415" s="17"/>
      <c r="S1415" s="17"/>
      <c r="T1415" s="17"/>
      <c r="U1415" s="17"/>
      <c r="V1415" s="17"/>
      <c r="W1415" s="17"/>
      <c r="X1415" s="17"/>
      <c r="Y1415" s="17"/>
      <c r="Z1415" s="17"/>
    </row>
    <row r="1416">
      <c r="A1416" s="18" t="str">
        <f>IFERROR(__xludf.DUMMYFUNCTION("""COMPUTED_VALUE"""),"ord_71394")</f>
        <v>ord_71394</v>
      </c>
      <c r="B1416" s="18" t="str">
        <f>IFERROR(__xludf.DUMMYFUNCTION("""COMPUTED_VALUE"""),"Aditi Iyer")</f>
        <v>Aditi Iyer</v>
      </c>
      <c r="C1416" s="18" t="str">
        <f>IFERROR(__xludf.DUMMYFUNCTION("""COMPUTED_VALUE"""),"Dadar")</f>
        <v>Dadar</v>
      </c>
      <c r="D1416" s="18" t="str">
        <f>IFERROR(__xludf.DUMMYFUNCTION("""COMPUTED_VALUE"""),"Popcorn")</f>
        <v>Popcorn</v>
      </c>
      <c r="E1416" s="18">
        <f>IFERROR(__xludf.DUMMYFUNCTION("""COMPUTED_VALUE"""),4.0)</f>
        <v>4</v>
      </c>
      <c r="F1416" s="18" t="str">
        <f>IFERROR(__xludf.DUMMYFUNCTION("""COMPUTED_VALUE"""),"Ramesh S")</f>
        <v>Ramesh S</v>
      </c>
      <c r="G1416" s="19">
        <f>IFERROR(__xludf.DUMMYFUNCTION("""COMPUTED_VALUE"""),45266.0)</f>
        <v>45266</v>
      </c>
      <c r="H1416" s="18" t="str">
        <f>IFERROR(__xludf.DUMMYFUNCTION("""COMPUTED_VALUE"""),"UPI")</f>
        <v>UPI</v>
      </c>
      <c r="I1416" s="18" t="str">
        <f>IFERROR(__xludf.DUMMYFUNCTION("""COMPUTED_VALUE"""),"Delivered")</f>
        <v>Delivered</v>
      </c>
      <c r="J1416" s="18" t="str">
        <f>IFERROR(__xludf.DUMMYFUNCTION("""COMPUTED_VALUE"""),"Delivery Experience")</f>
        <v>Delivery Experience</v>
      </c>
      <c r="K1416" s="18" t="str">
        <f>IFERROR(__xludf.DUMMYFUNCTION("""COMPUTED_VALUE"""),"Quick and professional")</f>
        <v>Quick and professional</v>
      </c>
      <c r="L1416" s="18">
        <f>iferror(VLOOKUP($D1416,Details!$A$2:$C$11,2,false),vlookup($D1416,Details!$E$2:$G$11,2,false))</f>
        <v>150</v>
      </c>
      <c r="M1416" s="18" t="str">
        <f>iferror(VLOOKUP($D1416,Details!$A$2:$C$11,3,false),vlookup($D1416,Details!$E$2:$G$11,3,false))</f>
        <v>Snacks and Drinks</v>
      </c>
      <c r="N1416" s="18">
        <f t="shared" si="1"/>
        <v>600</v>
      </c>
      <c r="O1416" s="17"/>
      <c r="P1416" s="17"/>
      <c r="Q1416" s="17"/>
      <c r="R1416" s="17"/>
      <c r="S1416" s="17"/>
      <c r="T1416" s="17"/>
      <c r="U1416" s="17"/>
      <c r="V1416" s="17"/>
      <c r="W1416" s="17"/>
      <c r="X1416" s="17"/>
      <c r="Y1416" s="17"/>
      <c r="Z1416" s="17"/>
    </row>
    <row r="1417">
      <c r="A1417" s="18" t="str">
        <f>IFERROR(__xludf.DUMMYFUNCTION("""COMPUTED_VALUE"""),"ord_71395")</f>
        <v>ord_71395</v>
      </c>
      <c r="B1417" s="18" t="str">
        <f>IFERROR(__xludf.DUMMYFUNCTION("""COMPUTED_VALUE"""),"Kritika Shetty")</f>
        <v>Kritika Shetty</v>
      </c>
      <c r="C1417" s="18" t="str">
        <f>IFERROR(__xludf.DUMMYFUNCTION("""COMPUTED_VALUE"""),"Malad")</f>
        <v>Malad</v>
      </c>
      <c r="D1417" s="18" t="str">
        <f>IFERROR(__xludf.DUMMYFUNCTION("""COMPUTED_VALUE"""),"Juice")</f>
        <v>Juice</v>
      </c>
      <c r="E1417" s="18">
        <f>IFERROR(__xludf.DUMMYFUNCTION("""COMPUTED_VALUE"""),5.0)</f>
        <v>5</v>
      </c>
      <c r="F1417" s="18" t="str">
        <f>IFERROR(__xludf.DUMMYFUNCTION("""COMPUTED_VALUE"""),"Not Assigned")</f>
        <v>Not Assigned</v>
      </c>
      <c r="G1417" s="19">
        <f>IFERROR(__xludf.DUMMYFUNCTION("""COMPUTED_VALUE"""),44958.0)</f>
        <v>44958</v>
      </c>
      <c r="H1417" s="18" t="str">
        <f>IFERROR(__xludf.DUMMYFUNCTION("""COMPUTED_VALUE"""),"Credit Card")</f>
        <v>Credit Card</v>
      </c>
      <c r="I1417" s="18" t="str">
        <f>IFERROR(__xludf.DUMMYFUNCTION("""COMPUTED_VALUE"""),"Cancelled")</f>
        <v>Cancelled</v>
      </c>
      <c r="J1417" s="18" t="str">
        <f>IFERROR(__xludf.DUMMYFUNCTION("""COMPUTED_VALUE"""),"App Glitches")</f>
        <v>App Glitches</v>
      </c>
      <c r="K1417" s="18" t="str">
        <f>IFERROR(__xludf.DUMMYFUNCTION("""COMPUTED_VALUE"""),"Slow Loading Time")</f>
        <v>Slow Loading Time</v>
      </c>
      <c r="L1417" s="18">
        <f>iferror(VLOOKUP($D1417,Details!$A$2:$C$11,2,false),vlookup($D1417,Details!$E$2:$G$11,2,false))</f>
        <v>90</v>
      </c>
      <c r="M1417" s="18" t="str">
        <f>iferror(VLOOKUP($D1417,Details!$A$2:$C$11,3,false),vlookup($D1417,Details!$E$2:$G$11,3,false))</f>
        <v>Snacks and Drinks</v>
      </c>
      <c r="N1417" s="18">
        <f t="shared" si="1"/>
        <v>450</v>
      </c>
      <c r="O1417" s="17"/>
      <c r="P1417" s="17"/>
      <c r="Q1417" s="17"/>
      <c r="R1417" s="17"/>
      <c r="S1417" s="17"/>
      <c r="T1417" s="17"/>
      <c r="U1417" s="17"/>
      <c r="V1417" s="17"/>
      <c r="W1417" s="17"/>
      <c r="X1417" s="17"/>
      <c r="Y1417" s="17"/>
      <c r="Z1417" s="17"/>
    </row>
    <row r="1418">
      <c r="A1418" s="18" t="str">
        <f>IFERROR(__xludf.DUMMYFUNCTION("""COMPUTED_VALUE"""),"ord_71396")</f>
        <v>ord_71396</v>
      </c>
      <c r="B1418" s="18" t="str">
        <f>IFERROR(__xludf.DUMMYFUNCTION("""COMPUTED_VALUE"""),"Siya Reddy")</f>
        <v>Siya Reddy</v>
      </c>
      <c r="C1418" s="18" t="str">
        <f>IFERROR(__xludf.DUMMYFUNCTION("""COMPUTED_VALUE"""),"Juhu")</f>
        <v>Juhu</v>
      </c>
      <c r="D1418" s="18" t="str">
        <f>IFERROR(__xludf.DUMMYFUNCTION("""COMPUTED_VALUE"""),"Banana")</f>
        <v>Banana</v>
      </c>
      <c r="E1418" s="18">
        <f>IFERROR(__xludf.DUMMYFUNCTION("""COMPUTED_VALUE"""),1.0)</f>
        <v>1</v>
      </c>
      <c r="F1418" s="18" t="str">
        <f>IFERROR(__xludf.DUMMYFUNCTION("""COMPUTED_VALUE"""),"Not Assigned")</f>
        <v>Not Assigned</v>
      </c>
      <c r="G1418" s="19">
        <f>IFERROR(__xludf.DUMMYFUNCTION("""COMPUTED_VALUE"""),45243.0)</f>
        <v>45243</v>
      </c>
      <c r="H1418" s="18" t="str">
        <f>IFERROR(__xludf.DUMMYFUNCTION("""COMPUTED_VALUE"""),"Online Payment")</f>
        <v>Online Payment</v>
      </c>
      <c r="I1418" s="18" t="str">
        <f>IFERROR(__xludf.DUMMYFUNCTION("""COMPUTED_VALUE"""),"Cancelled")</f>
        <v>Cancelled</v>
      </c>
      <c r="J1418" s="18" t="str">
        <f>IFERROR(__xludf.DUMMYFUNCTION("""COMPUTED_VALUE"""),"App Glitches")</f>
        <v>App Glitches</v>
      </c>
      <c r="K1418" s="18" t="str">
        <f>IFERROR(__xludf.DUMMYFUNCTION("""COMPUTED_VALUE"""),"Payment Button Malfunction")</f>
        <v>Payment Button Malfunction</v>
      </c>
      <c r="L1418" s="18">
        <f>iferror(VLOOKUP($D1418,Details!$A$2:$C$11,2,false),vlookup($D1418,Details!$E$2:$G$11,2,false))</f>
        <v>80</v>
      </c>
      <c r="M1418" s="18" t="str">
        <f>iferror(VLOOKUP($D1418,Details!$A$2:$C$11,3,false),vlookup($D1418,Details!$E$2:$G$11,3,false))</f>
        <v>Fruits and Vegetables</v>
      </c>
      <c r="N1418" s="18">
        <f t="shared" si="1"/>
        <v>80</v>
      </c>
      <c r="O1418" s="17"/>
      <c r="P1418" s="17"/>
      <c r="Q1418" s="17"/>
      <c r="R1418" s="17"/>
      <c r="S1418" s="17"/>
      <c r="T1418" s="17"/>
      <c r="U1418" s="17"/>
      <c r="V1418" s="17"/>
      <c r="W1418" s="17"/>
      <c r="X1418" s="17"/>
      <c r="Y1418" s="17"/>
      <c r="Z1418" s="17"/>
    </row>
    <row r="1419">
      <c r="A1419" s="18" t="str">
        <f>IFERROR(__xludf.DUMMYFUNCTION("""COMPUTED_VALUE"""),"ord_71397")</f>
        <v>ord_71397</v>
      </c>
      <c r="B1419" s="18" t="str">
        <f>IFERROR(__xludf.DUMMYFUNCTION("""COMPUTED_VALUE"""),"Dev Chauhan")</f>
        <v>Dev Chauhan</v>
      </c>
      <c r="C1419" s="18" t="str">
        <f>IFERROR(__xludf.DUMMYFUNCTION("""COMPUTED_VALUE"""),"Bandra")</f>
        <v>Bandra</v>
      </c>
      <c r="D1419" s="18" t="str">
        <f>IFERROR(__xludf.DUMMYFUNCTION("""COMPUTED_VALUE"""),"Onion")</f>
        <v>Onion</v>
      </c>
      <c r="E1419" s="18">
        <f>IFERROR(__xludf.DUMMYFUNCTION("""COMPUTED_VALUE"""),1.0)</f>
        <v>1</v>
      </c>
      <c r="F1419" s="18" t="str">
        <f>IFERROR(__xludf.DUMMYFUNCTION("""COMPUTED_VALUE"""),"Ramesh S")</f>
        <v>Ramesh S</v>
      </c>
      <c r="G1419" s="19">
        <f>IFERROR(__xludf.DUMMYFUNCTION("""COMPUTED_VALUE"""),45157.0)</f>
        <v>45157</v>
      </c>
      <c r="H1419" s="18" t="str">
        <f>IFERROR(__xludf.DUMMYFUNCTION("""COMPUTED_VALUE"""),"Online Payment")</f>
        <v>Online Payment</v>
      </c>
      <c r="I1419" s="18" t="str">
        <f>IFERROR(__xludf.DUMMYFUNCTION("""COMPUTED_VALUE"""),"Delivered")</f>
        <v>Delivered</v>
      </c>
      <c r="J1419" s="18" t="str">
        <f>IFERROR(__xludf.DUMMYFUNCTION("""COMPUTED_VALUE"""),"Convenience")</f>
        <v>Convenience</v>
      </c>
      <c r="K1419" s="18" t="str">
        <f>IFERROR(__xludf.DUMMYFUNCTION("""COMPUTED_VALUE"""),"Easy tracking")</f>
        <v>Easy tracking</v>
      </c>
      <c r="L1419" s="18">
        <f>iferror(VLOOKUP($D1419,Details!$A$2:$C$11,2,false),vlookup($D1419,Details!$E$2:$G$11,2,false))</f>
        <v>84</v>
      </c>
      <c r="M1419" s="18" t="str">
        <f>iferror(VLOOKUP($D1419,Details!$A$2:$C$11,3,false),vlookup($D1419,Details!$E$2:$G$11,3,false))</f>
        <v>Fruits and Vegetables</v>
      </c>
      <c r="N1419" s="18">
        <f t="shared" si="1"/>
        <v>84</v>
      </c>
      <c r="O1419" s="17"/>
      <c r="P1419" s="17"/>
      <c r="Q1419" s="17"/>
      <c r="R1419" s="17"/>
      <c r="S1419" s="17"/>
      <c r="T1419" s="17"/>
      <c r="U1419" s="17"/>
      <c r="V1419" s="17"/>
      <c r="W1419" s="17"/>
      <c r="X1419" s="17"/>
      <c r="Y1419" s="17"/>
      <c r="Z1419" s="17"/>
    </row>
    <row r="1420">
      <c r="A1420" s="18" t="str">
        <f>IFERROR(__xludf.DUMMYFUNCTION("""COMPUTED_VALUE"""),"ord_71398")</f>
        <v>ord_71398</v>
      </c>
      <c r="B1420" s="18" t="str">
        <f>IFERROR(__xludf.DUMMYFUNCTION("""COMPUTED_VALUE"""),"Kritika Shetty")</f>
        <v>Kritika Shetty</v>
      </c>
      <c r="C1420" s="18" t="str">
        <f>IFERROR(__xludf.DUMMYFUNCTION("""COMPUTED_VALUE"""),"Malad")</f>
        <v>Malad</v>
      </c>
      <c r="D1420" s="18" t="str">
        <f>IFERROR(__xludf.DUMMYFUNCTION("""COMPUTED_VALUE"""),"Papaya")</f>
        <v>Papaya</v>
      </c>
      <c r="E1420" s="18">
        <f>IFERROR(__xludf.DUMMYFUNCTION("""COMPUTED_VALUE"""),2.0)</f>
        <v>2</v>
      </c>
      <c r="F1420" s="18" t="str">
        <f>IFERROR(__xludf.DUMMYFUNCTION("""COMPUTED_VALUE"""),"Not Assigned")</f>
        <v>Not Assigned</v>
      </c>
      <c r="G1420" s="19">
        <f>IFERROR(__xludf.DUMMYFUNCTION("""COMPUTED_VALUE"""),45093.0)</f>
        <v>45093</v>
      </c>
      <c r="H1420" s="18" t="str">
        <f>IFERROR(__xludf.DUMMYFUNCTION("""COMPUTED_VALUE"""),"Credit Card")</f>
        <v>Credit Card</v>
      </c>
      <c r="I1420" s="18" t="str">
        <f>IFERROR(__xludf.DUMMYFUNCTION("""COMPUTED_VALUE"""),"Cancelled")</f>
        <v>Cancelled</v>
      </c>
      <c r="J1420" s="18" t="str">
        <f>IFERROR(__xludf.DUMMYFUNCTION("""COMPUTED_VALUE"""),"App Glitches")</f>
        <v>App Glitches</v>
      </c>
      <c r="K1420" s="18" t="str">
        <f>IFERROR(__xludf.DUMMYFUNCTION("""COMPUTED_VALUE"""),"Inconsistent Data Display")</f>
        <v>Inconsistent Data Display</v>
      </c>
      <c r="L1420" s="18">
        <f>iferror(VLOOKUP($D1420,Details!$A$2:$C$11,2,false),vlookup($D1420,Details!$E$2:$G$11,2,false))</f>
        <v>75</v>
      </c>
      <c r="M1420" s="18" t="str">
        <f>iferror(VLOOKUP($D1420,Details!$A$2:$C$11,3,false),vlookup($D1420,Details!$E$2:$G$11,3,false))</f>
        <v>Fruits and Vegetables</v>
      </c>
      <c r="N1420" s="18">
        <f t="shared" si="1"/>
        <v>150</v>
      </c>
      <c r="O1420" s="17"/>
      <c r="P1420" s="17"/>
      <c r="Q1420" s="17"/>
      <c r="R1420" s="17"/>
      <c r="S1420" s="17"/>
      <c r="T1420" s="17"/>
      <c r="U1420" s="17"/>
      <c r="V1420" s="17"/>
      <c r="W1420" s="17"/>
      <c r="X1420" s="17"/>
      <c r="Y1420" s="17"/>
      <c r="Z1420" s="17"/>
    </row>
    <row r="1421">
      <c r="A1421" s="18" t="str">
        <f>IFERROR(__xludf.DUMMYFUNCTION("""COMPUTED_VALUE"""),"ord_71399")</f>
        <v>ord_71399</v>
      </c>
      <c r="B1421" s="18" t="str">
        <f>IFERROR(__xludf.DUMMYFUNCTION("""COMPUTED_VALUE"""),"Pranav Joshi")</f>
        <v>Pranav Joshi</v>
      </c>
      <c r="C1421" s="18" t="str">
        <f>IFERROR(__xludf.DUMMYFUNCTION("""COMPUTED_VALUE"""),"Andheri")</f>
        <v>Andheri</v>
      </c>
      <c r="D1421" s="18" t="str">
        <f>IFERROR(__xludf.DUMMYFUNCTION("""COMPUTED_VALUE"""),"Potato")</f>
        <v>Potato</v>
      </c>
      <c r="E1421" s="18">
        <f>IFERROR(__xludf.DUMMYFUNCTION("""COMPUTED_VALUE"""),2.0)</f>
        <v>2</v>
      </c>
      <c r="F1421" s="18" t="str">
        <f>IFERROR(__xludf.DUMMYFUNCTION("""COMPUTED_VALUE"""),"Shine Thomas")</f>
        <v>Shine Thomas</v>
      </c>
      <c r="G1421" s="19">
        <f>IFERROR(__xludf.DUMMYFUNCTION("""COMPUTED_VALUE"""),45146.0)</f>
        <v>45146</v>
      </c>
      <c r="H1421" s="18" t="str">
        <f>IFERROR(__xludf.DUMMYFUNCTION("""COMPUTED_VALUE"""),"UPI")</f>
        <v>UPI</v>
      </c>
      <c r="I1421" s="18" t="str">
        <f>IFERROR(__xludf.DUMMYFUNCTION("""COMPUTED_VALUE"""),"Delivered")</f>
        <v>Delivered</v>
      </c>
      <c r="J1421" s="18" t="str">
        <f>IFERROR(__xludf.DUMMYFUNCTION("""COMPUTED_VALUE"""),"Overall Satisfaction")</f>
        <v>Overall Satisfaction</v>
      </c>
      <c r="K1421" s="18" t="str">
        <f>IFERROR(__xludf.DUMMYFUNCTION("""COMPUTED_VALUE"""),"Great service will order again")</f>
        <v>Great service will order again</v>
      </c>
      <c r="L1421" s="18">
        <f>iferror(VLOOKUP($D1421,Details!$A$2:$C$11,2,false),vlookup($D1421,Details!$E$2:$G$11,2,false))</f>
        <v>55</v>
      </c>
      <c r="M1421" s="18" t="str">
        <f>iferror(VLOOKUP($D1421,Details!$A$2:$C$11,3,false),vlookup($D1421,Details!$E$2:$G$11,3,false))</f>
        <v>Fruits and Vegetables</v>
      </c>
      <c r="N1421" s="18">
        <f t="shared" si="1"/>
        <v>110</v>
      </c>
      <c r="O1421" s="17"/>
      <c r="P1421" s="17"/>
      <c r="Q1421" s="17"/>
      <c r="R1421" s="17"/>
      <c r="S1421" s="17"/>
      <c r="T1421" s="17"/>
      <c r="U1421" s="17"/>
      <c r="V1421" s="17"/>
      <c r="W1421" s="17"/>
      <c r="X1421" s="17"/>
      <c r="Y1421" s="17"/>
      <c r="Z1421" s="17"/>
    </row>
    <row r="1422">
      <c r="A1422" s="18" t="str">
        <f>IFERROR(__xludf.DUMMYFUNCTION("""COMPUTED_VALUE"""),"ord_71400")</f>
        <v>ord_71400</v>
      </c>
      <c r="B1422" s="18" t="str">
        <f>IFERROR(__xludf.DUMMYFUNCTION("""COMPUTED_VALUE"""),"Sanjay Nair")</f>
        <v>Sanjay Nair</v>
      </c>
      <c r="C1422" s="18" t="str">
        <f>IFERROR(__xludf.DUMMYFUNCTION("""COMPUTED_VALUE"""),"Dadar")</f>
        <v>Dadar</v>
      </c>
      <c r="D1422" s="18" t="str">
        <f>IFERROR(__xludf.DUMMYFUNCTION("""COMPUTED_VALUE"""),"Guava")</f>
        <v>Guava</v>
      </c>
      <c r="E1422" s="18">
        <f>IFERROR(__xludf.DUMMYFUNCTION("""COMPUTED_VALUE"""),1.0)</f>
        <v>1</v>
      </c>
      <c r="F1422" s="18" t="str">
        <f>IFERROR(__xludf.DUMMYFUNCTION("""COMPUTED_VALUE"""),"Sita T")</f>
        <v>Sita T</v>
      </c>
      <c r="G1422" s="19">
        <f>IFERROR(__xludf.DUMMYFUNCTION("""COMPUTED_VALUE"""),45067.0)</f>
        <v>45067</v>
      </c>
      <c r="H1422" s="18" t="str">
        <f>IFERROR(__xludf.DUMMYFUNCTION("""COMPUTED_VALUE"""),"Credit Card")</f>
        <v>Credit Card</v>
      </c>
      <c r="I1422" s="18" t="str">
        <f>IFERROR(__xludf.DUMMYFUNCTION("""COMPUTED_VALUE"""),"Delivered")</f>
        <v>Delivered</v>
      </c>
      <c r="J1422" s="18" t="str">
        <f>IFERROR(__xludf.DUMMYFUNCTION("""COMPUTED_VALUE"""),"On-time Delivery")</f>
        <v>On-time Delivery</v>
      </c>
      <c r="K1422" s="18" t="str">
        <f>IFERROR(__xludf.DUMMYFUNCTION("""COMPUTED_VALUE"""),"Delivered on time")</f>
        <v>Delivered on time</v>
      </c>
      <c r="L1422" s="18">
        <f>iferror(VLOOKUP($D1422,Details!$A$2:$C$11,2,false),vlookup($D1422,Details!$E$2:$G$11,2,false))</f>
        <v>70</v>
      </c>
      <c r="M1422" s="18" t="str">
        <f>iferror(VLOOKUP($D1422,Details!$A$2:$C$11,3,false),vlookup($D1422,Details!$E$2:$G$11,3,false))</f>
        <v>Fruits and Vegetables</v>
      </c>
      <c r="N1422" s="18">
        <f t="shared" si="1"/>
        <v>70</v>
      </c>
      <c r="O1422" s="17"/>
      <c r="P1422" s="17"/>
      <c r="Q1422" s="17"/>
      <c r="R1422" s="17"/>
      <c r="S1422" s="17"/>
      <c r="T1422" s="17"/>
      <c r="U1422" s="17"/>
      <c r="V1422" s="17"/>
      <c r="W1422" s="17"/>
      <c r="X1422" s="17"/>
      <c r="Y1422" s="17"/>
      <c r="Z1422" s="17"/>
    </row>
    <row r="1423">
      <c r="A1423" s="18" t="str">
        <f>IFERROR(__xludf.DUMMYFUNCTION("""COMPUTED_VALUE"""),"ord_71401")</f>
        <v>ord_71401</v>
      </c>
      <c r="B1423" s="18" t="str">
        <f>IFERROR(__xludf.DUMMYFUNCTION("""COMPUTED_VALUE"""),"Ishita Banerjee")</f>
        <v>Ishita Banerjee</v>
      </c>
      <c r="C1423" s="18" t="str">
        <f>IFERROR(__xludf.DUMMYFUNCTION("""COMPUTED_VALUE"""),"Juhu")</f>
        <v>Juhu</v>
      </c>
      <c r="D1423" s="18" t="str">
        <f>IFERROR(__xludf.DUMMYFUNCTION("""COMPUTED_VALUE"""),"Potato")</f>
        <v>Potato</v>
      </c>
      <c r="E1423" s="18">
        <f>IFERROR(__xludf.DUMMYFUNCTION("""COMPUTED_VALUE"""),2.0)</f>
        <v>2</v>
      </c>
      <c r="F1423" s="18" t="str">
        <f>IFERROR(__xludf.DUMMYFUNCTION("""COMPUTED_VALUE"""),"Manju Ajay")</f>
        <v>Manju Ajay</v>
      </c>
      <c r="G1423" s="19">
        <f>IFERROR(__xludf.DUMMYFUNCTION("""COMPUTED_VALUE"""),45140.0)</f>
        <v>45140</v>
      </c>
      <c r="H1423" s="18" t="str">
        <f>IFERROR(__xludf.DUMMYFUNCTION("""COMPUTED_VALUE"""),"Credit Card")</f>
        <v>Credit Card</v>
      </c>
      <c r="I1423" s="18" t="str">
        <f>IFERROR(__xludf.DUMMYFUNCTION("""COMPUTED_VALUE"""),"Cancelled")</f>
        <v>Cancelled</v>
      </c>
      <c r="J1423" s="18" t="str">
        <f>IFERROR(__xludf.DUMMYFUNCTION("""COMPUTED_VALUE"""),"Delayed Delivery")</f>
        <v>Delayed Delivery</v>
      </c>
      <c r="K1423" s="18" t="str">
        <f>IFERROR(__xludf.DUMMYFUNCTION("""COMPUTED_VALUE"""),"Incorrect Address or Location")</f>
        <v>Incorrect Address or Location</v>
      </c>
      <c r="L1423" s="18">
        <f>iferror(VLOOKUP($D1423,Details!$A$2:$C$11,2,false),vlookup($D1423,Details!$E$2:$G$11,2,false))</f>
        <v>55</v>
      </c>
      <c r="M1423" s="18" t="str">
        <f>iferror(VLOOKUP($D1423,Details!$A$2:$C$11,3,false),vlookup($D1423,Details!$E$2:$G$11,3,false))</f>
        <v>Fruits and Vegetables</v>
      </c>
      <c r="N1423" s="18">
        <f t="shared" si="1"/>
        <v>110</v>
      </c>
      <c r="O1423" s="17"/>
      <c r="P1423" s="17"/>
      <c r="Q1423" s="17"/>
      <c r="R1423" s="17"/>
      <c r="S1423" s="17"/>
      <c r="T1423" s="17"/>
      <c r="U1423" s="17"/>
      <c r="V1423" s="17"/>
      <c r="W1423" s="17"/>
      <c r="X1423" s="17"/>
      <c r="Y1423" s="17"/>
      <c r="Z1423" s="17"/>
    </row>
    <row r="1424">
      <c r="A1424" s="18" t="str">
        <f>IFERROR(__xludf.DUMMYFUNCTION("""COMPUTED_VALUE"""),"ord_71402")</f>
        <v>ord_71402</v>
      </c>
      <c r="B1424" s="18" t="str">
        <f>IFERROR(__xludf.DUMMYFUNCTION("""COMPUTED_VALUE"""),"Ishita Banerjee")</f>
        <v>Ishita Banerjee</v>
      </c>
      <c r="C1424" s="18" t="str">
        <f>IFERROR(__xludf.DUMMYFUNCTION("""COMPUTED_VALUE"""),"Juhu")</f>
        <v>Juhu</v>
      </c>
      <c r="D1424" s="18" t="str">
        <f>IFERROR(__xludf.DUMMYFUNCTION("""COMPUTED_VALUE"""),"Guava")</f>
        <v>Guava</v>
      </c>
      <c r="E1424" s="18">
        <f>IFERROR(__xludf.DUMMYFUNCTION("""COMPUTED_VALUE"""),2.0)</f>
        <v>2</v>
      </c>
      <c r="F1424" s="18" t="str">
        <f>IFERROR(__xludf.DUMMYFUNCTION("""COMPUTED_VALUE"""),"Not Assigned")</f>
        <v>Not Assigned</v>
      </c>
      <c r="G1424" s="19">
        <f>IFERROR(__xludf.DUMMYFUNCTION("""COMPUTED_VALUE"""),45076.0)</f>
        <v>45076</v>
      </c>
      <c r="H1424" s="18" t="str">
        <f>IFERROR(__xludf.DUMMYFUNCTION("""COMPUTED_VALUE"""),"Online Payment")</f>
        <v>Online Payment</v>
      </c>
      <c r="I1424" s="18" t="str">
        <f>IFERROR(__xludf.DUMMYFUNCTION("""COMPUTED_VALUE"""),"Cancelled")</f>
        <v>Cancelled</v>
      </c>
      <c r="J1424" s="18" t="str">
        <f>IFERROR(__xludf.DUMMYFUNCTION("""COMPUTED_VALUE"""),"App Glitches")</f>
        <v>App Glitches</v>
      </c>
      <c r="K1424" s="18" t="str">
        <f>IFERROR(__xludf.DUMMYFUNCTION("""COMPUTED_VALUE"""),"Slow Loading Time")</f>
        <v>Slow Loading Time</v>
      </c>
      <c r="L1424" s="18">
        <f>iferror(VLOOKUP($D1424,Details!$A$2:$C$11,2,false),vlookup($D1424,Details!$E$2:$G$11,2,false))</f>
        <v>70</v>
      </c>
      <c r="M1424" s="18" t="str">
        <f>iferror(VLOOKUP($D1424,Details!$A$2:$C$11,3,false),vlookup($D1424,Details!$E$2:$G$11,3,false))</f>
        <v>Fruits and Vegetables</v>
      </c>
      <c r="N1424" s="18">
        <f t="shared" si="1"/>
        <v>140</v>
      </c>
      <c r="O1424" s="17"/>
      <c r="P1424" s="17"/>
      <c r="Q1424" s="17"/>
      <c r="R1424" s="17"/>
      <c r="S1424" s="17"/>
      <c r="T1424" s="17"/>
      <c r="U1424" s="17"/>
      <c r="V1424" s="17"/>
      <c r="W1424" s="17"/>
      <c r="X1424" s="17"/>
      <c r="Y1424" s="17"/>
      <c r="Z1424" s="17"/>
    </row>
    <row r="1425">
      <c r="A1425" s="18" t="str">
        <f>IFERROR(__xludf.DUMMYFUNCTION("""COMPUTED_VALUE"""),"ord_71403")</f>
        <v>ord_71403</v>
      </c>
      <c r="B1425" s="18" t="str">
        <f>IFERROR(__xludf.DUMMYFUNCTION("""COMPUTED_VALUE"""),"Ishaan Chaturvedi")</f>
        <v>Ishaan Chaturvedi</v>
      </c>
      <c r="C1425" s="18" t="str">
        <f>IFERROR(__xludf.DUMMYFUNCTION("""COMPUTED_VALUE"""),"Bandra")</f>
        <v>Bandra</v>
      </c>
      <c r="D1425" s="18" t="str">
        <f>IFERROR(__xludf.DUMMYFUNCTION("""COMPUTED_VALUE"""),"Orange")</f>
        <v>Orange</v>
      </c>
      <c r="E1425" s="18">
        <f>IFERROR(__xludf.DUMMYFUNCTION("""COMPUTED_VALUE"""),2.0)</f>
        <v>2</v>
      </c>
      <c r="F1425" s="18" t="str">
        <f>IFERROR(__xludf.DUMMYFUNCTION("""COMPUTED_VALUE"""),"Ramesh S")</f>
        <v>Ramesh S</v>
      </c>
      <c r="G1425" s="19">
        <f>IFERROR(__xludf.DUMMYFUNCTION("""COMPUTED_VALUE"""),45290.0)</f>
        <v>45290</v>
      </c>
      <c r="H1425" s="18" t="str">
        <f>IFERROR(__xludf.DUMMYFUNCTION("""COMPUTED_VALUE"""),"UPI")</f>
        <v>UPI</v>
      </c>
      <c r="I1425" s="18" t="str">
        <f>IFERROR(__xludf.DUMMYFUNCTION("""COMPUTED_VALUE"""),"Delivered")</f>
        <v>Delivered</v>
      </c>
      <c r="J1425" s="18" t="str">
        <f>IFERROR(__xludf.DUMMYFUNCTION("""COMPUTED_VALUE"""),"Quality of Items")</f>
        <v>Quality of Items</v>
      </c>
      <c r="K1425" s="18" t="str">
        <f>IFERROR(__xludf.DUMMYFUNCTION("""COMPUTED_VALUE"""),"Perfect condition")</f>
        <v>Perfect condition</v>
      </c>
      <c r="L1425" s="18">
        <f>iferror(VLOOKUP($D1425,Details!$A$2:$C$11,2,false),vlookup($D1425,Details!$E$2:$G$11,2,false))</f>
        <v>180</v>
      </c>
      <c r="M1425" s="18" t="str">
        <f>iferror(VLOOKUP($D1425,Details!$A$2:$C$11,3,false),vlookup($D1425,Details!$E$2:$G$11,3,false))</f>
        <v>Fruits and Vegetables</v>
      </c>
      <c r="N1425" s="18">
        <f t="shared" si="1"/>
        <v>360</v>
      </c>
      <c r="O1425" s="17"/>
      <c r="P1425" s="17"/>
      <c r="Q1425" s="17"/>
      <c r="R1425" s="17"/>
      <c r="S1425" s="17"/>
      <c r="T1425" s="17"/>
      <c r="U1425" s="17"/>
      <c r="V1425" s="17"/>
      <c r="W1425" s="17"/>
      <c r="X1425" s="17"/>
      <c r="Y1425" s="17"/>
      <c r="Z1425" s="17"/>
    </row>
    <row r="1426">
      <c r="A1426" s="18" t="str">
        <f>IFERROR(__xludf.DUMMYFUNCTION("""COMPUTED_VALUE"""),"ord_71404")</f>
        <v>ord_71404</v>
      </c>
      <c r="B1426" s="18" t="str">
        <f>IFERROR(__xludf.DUMMYFUNCTION("""COMPUTED_VALUE"""),"Ishita Banerjee")</f>
        <v>Ishita Banerjee</v>
      </c>
      <c r="C1426" s="18" t="str">
        <f>IFERROR(__xludf.DUMMYFUNCTION("""COMPUTED_VALUE"""),"Juhu")</f>
        <v>Juhu</v>
      </c>
      <c r="D1426" s="18" t="str">
        <f>IFERROR(__xludf.DUMMYFUNCTION("""COMPUTED_VALUE"""),"Tiramisu")</f>
        <v>Tiramisu</v>
      </c>
      <c r="E1426" s="18">
        <f>IFERROR(__xludf.DUMMYFUNCTION("""COMPUTED_VALUE"""),4.0)</f>
        <v>4</v>
      </c>
      <c r="F1426" s="18" t="str">
        <f>IFERROR(__xludf.DUMMYFUNCTION("""COMPUTED_VALUE"""),"Aman Kumar")</f>
        <v>Aman Kumar</v>
      </c>
      <c r="G1426" s="19">
        <f>IFERROR(__xludf.DUMMYFUNCTION("""COMPUTED_VALUE"""),45122.0)</f>
        <v>45122</v>
      </c>
      <c r="H1426" s="18" t="str">
        <f>IFERROR(__xludf.DUMMYFUNCTION("""COMPUTED_VALUE"""),"Online Payment")</f>
        <v>Online Payment</v>
      </c>
      <c r="I1426" s="18" t="str">
        <f>IFERROR(__xludf.DUMMYFUNCTION("""COMPUTED_VALUE"""),"Cancelled")</f>
        <v>Cancelled</v>
      </c>
      <c r="J1426" s="18" t="str">
        <f>IFERROR(__xludf.DUMMYFUNCTION("""COMPUTED_VALUE"""),"Delayed Delivery")</f>
        <v>Delayed Delivery</v>
      </c>
      <c r="K1426" s="18" t="str">
        <f>IFERROR(__xludf.DUMMYFUNCTION("""COMPUTED_VALUE"""),"Heavy Traffic")</f>
        <v>Heavy Traffic</v>
      </c>
      <c r="L1426" s="18">
        <f>iferror(VLOOKUP($D1426,Details!$A$2:$C$11,2,false),vlookup($D1426,Details!$E$2:$G$11,2,false))</f>
        <v>150</v>
      </c>
      <c r="M1426" s="18" t="str">
        <f>iferror(VLOOKUP($D1426,Details!$A$2:$C$11,3,false),vlookup($D1426,Details!$E$2:$G$11,3,false))</f>
        <v>Snacks and Drinks</v>
      </c>
      <c r="N1426" s="18">
        <f t="shared" si="1"/>
        <v>600</v>
      </c>
      <c r="O1426" s="17"/>
      <c r="P1426" s="17"/>
      <c r="Q1426" s="17"/>
      <c r="R1426" s="17"/>
      <c r="S1426" s="17"/>
      <c r="T1426" s="17"/>
      <c r="U1426" s="17"/>
      <c r="V1426" s="17"/>
      <c r="W1426" s="17"/>
      <c r="X1426" s="17"/>
      <c r="Y1426" s="17"/>
      <c r="Z1426" s="17"/>
    </row>
    <row r="1427">
      <c r="A1427" s="18" t="str">
        <f>IFERROR(__xludf.DUMMYFUNCTION("""COMPUTED_VALUE"""),"ord_71405")</f>
        <v>ord_71405</v>
      </c>
      <c r="B1427" s="18" t="str">
        <f>IFERROR(__xludf.DUMMYFUNCTION("""COMPUTED_VALUE"""),"Tanishq Bansal")</f>
        <v>Tanishq Bansal</v>
      </c>
      <c r="C1427" s="18" t="str">
        <f>IFERROR(__xludf.DUMMYFUNCTION("""COMPUTED_VALUE"""),"Powai")</f>
        <v>Powai</v>
      </c>
      <c r="D1427" s="18" t="str">
        <f>IFERROR(__xludf.DUMMYFUNCTION("""COMPUTED_VALUE"""),"Juice")</f>
        <v>Juice</v>
      </c>
      <c r="E1427" s="18">
        <f>IFERROR(__xludf.DUMMYFUNCTION("""COMPUTED_VALUE"""),1.0)</f>
        <v>1</v>
      </c>
      <c r="F1427" s="18" t="str">
        <f>IFERROR(__xludf.DUMMYFUNCTION("""COMPUTED_VALUE"""),"Ramesh S")</f>
        <v>Ramesh S</v>
      </c>
      <c r="G1427" s="19">
        <f>IFERROR(__xludf.DUMMYFUNCTION("""COMPUTED_VALUE"""),45264.0)</f>
        <v>45264</v>
      </c>
      <c r="H1427" s="18" t="str">
        <f>IFERROR(__xludf.DUMMYFUNCTION("""COMPUTED_VALUE"""),"Credit Card")</f>
        <v>Credit Card</v>
      </c>
      <c r="I1427" s="18" t="str">
        <f>IFERROR(__xludf.DUMMYFUNCTION("""COMPUTED_VALUE"""),"Delivered")</f>
        <v>Delivered</v>
      </c>
      <c r="J1427" s="18" t="str">
        <f>IFERROR(__xludf.DUMMYFUNCTION("""COMPUTED_VALUE"""),"On-time Delivery")</f>
        <v>On-time Delivery</v>
      </c>
      <c r="K1427" s="18" t="str">
        <f>IFERROR(__xludf.DUMMYFUNCTION("""COMPUTED_VALUE"""),"Delivered on time")</f>
        <v>Delivered on time</v>
      </c>
      <c r="L1427" s="18">
        <f>iferror(VLOOKUP($D1427,Details!$A$2:$C$11,2,false),vlookup($D1427,Details!$E$2:$G$11,2,false))</f>
        <v>90</v>
      </c>
      <c r="M1427" s="18" t="str">
        <f>iferror(VLOOKUP($D1427,Details!$A$2:$C$11,3,false),vlookup($D1427,Details!$E$2:$G$11,3,false))</f>
        <v>Snacks and Drinks</v>
      </c>
      <c r="N1427" s="18">
        <f t="shared" si="1"/>
        <v>90</v>
      </c>
      <c r="O1427" s="17"/>
      <c r="P1427" s="17"/>
      <c r="Q1427" s="17"/>
      <c r="R1427" s="17"/>
      <c r="S1427" s="17"/>
      <c r="T1427" s="17"/>
      <c r="U1427" s="17"/>
      <c r="V1427" s="17"/>
      <c r="W1427" s="17"/>
      <c r="X1427" s="17"/>
      <c r="Y1427" s="17"/>
      <c r="Z1427" s="17"/>
    </row>
    <row r="1428">
      <c r="A1428" s="18" t="str">
        <f>IFERROR(__xludf.DUMMYFUNCTION("""COMPUTED_VALUE"""),"ord_71406")</f>
        <v>ord_71406</v>
      </c>
      <c r="B1428" s="18" t="str">
        <f>IFERROR(__xludf.DUMMYFUNCTION("""COMPUTED_VALUE"""),"Kritika Shetty")</f>
        <v>Kritika Shetty</v>
      </c>
      <c r="C1428" s="18" t="str">
        <f>IFERROR(__xludf.DUMMYFUNCTION("""COMPUTED_VALUE"""),"Malad")</f>
        <v>Malad</v>
      </c>
      <c r="D1428" s="18" t="str">
        <f>IFERROR(__xludf.DUMMYFUNCTION("""COMPUTED_VALUE"""),"Cold Coffee")</f>
        <v>Cold Coffee</v>
      </c>
      <c r="E1428" s="18">
        <f>IFERROR(__xludf.DUMMYFUNCTION("""COMPUTED_VALUE"""),4.0)</f>
        <v>4</v>
      </c>
      <c r="F1428" s="18" t="str">
        <f>IFERROR(__xludf.DUMMYFUNCTION("""COMPUTED_VALUE"""),"Not Assigned")</f>
        <v>Not Assigned</v>
      </c>
      <c r="G1428" s="19">
        <f>IFERROR(__xludf.DUMMYFUNCTION("""COMPUTED_VALUE"""),44993.0)</f>
        <v>44993</v>
      </c>
      <c r="H1428" s="18" t="str">
        <f>IFERROR(__xludf.DUMMYFUNCTION("""COMPUTED_VALUE"""),"UPI")</f>
        <v>UPI</v>
      </c>
      <c r="I1428" s="18" t="str">
        <f>IFERROR(__xludf.DUMMYFUNCTION("""COMPUTED_VALUE"""),"Cancelled")</f>
        <v>Cancelled</v>
      </c>
      <c r="J1428" s="18" t="str">
        <f>IFERROR(__xludf.DUMMYFUNCTION("""COMPUTED_VALUE"""),"App Glitches")</f>
        <v>App Glitches</v>
      </c>
      <c r="K1428" s="18" t="str">
        <f>IFERROR(__xludf.DUMMYFUNCTION("""COMPUTED_VALUE"""),"Slow Loading Time")</f>
        <v>Slow Loading Time</v>
      </c>
      <c r="L1428" s="18">
        <f>iferror(VLOOKUP($D1428,Details!$A$2:$C$11,2,false),vlookup($D1428,Details!$E$2:$G$11,2,false))</f>
        <v>270</v>
      </c>
      <c r="M1428" s="18" t="str">
        <f>iferror(VLOOKUP($D1428,Details!$A$2:$C$11,3,false),vlookup($D1428,Details!$E$2:$G$11,3,false))</f>
        <v>Snacks and Drinks</v>
      </c>
      <c r="N1428" s="18">
        <f t="shared" si="1"/>
        <v>1080</v>
      </c>
      <c r="O1428" s="17"/>
      <c r="P1428" s="17"/>
      <c r="Q1428" s="17"/>
      <c r="R1428" s="17"/>
      <c r="S1428" s="17"/>
      <c r="T1428" s="17"/>
      <c r="U1428" s="17"/>
      <c r="V1428" s="17"/>
      <c r="W1428" s="17"/>
      <c r="X1428" s="17"/>
      <c r="Y1428" s="17"/>
      <c r="Z1428" s="17"/>
    </row>
    <row r="1429">
      <c r="A1429" s="18" t="str">
        <f>IFERROR(__xludf.DUMMYFUNCTION("""COMPUTED_VALUE"""),"ord_71407")</f>
        <v>ord_71407</v>
      </c>
      <c r="B1429" s="18" t="str">
        <f>IFERROR(__xludf.DUMMYFUNCTION("""COMPUTED_VALUE"""),"Tanishq Bansal")</f>
        <v>Tanishq Bansal</v>
      </c>
      <c r="C1429" s="18" t="str">
        <f>IFERROR(__xludf.DUMMYFUNCTION("""COMPUTED_VALUE"""),"Powai")</f>
        <v>Powai</v>
      </c>
      <c r="D1429" s="18" t="str">
        <f>IFERROR(__xludf.DUMMYFUNCTION("""COMPUTED_VALUE"""),"Rasmalai")</f>
        <v>Rasmalai</v>
      </c>
      <c r="E1429" s="18">
        <f>IFERROR(__xludf.DUMMYFUNCTION("""COMPUTED_VALUE"""),4.0)</f>
        <v>4</v>
      </c>
      <c r="F1429" s="18" t="str">
        <f>IFERROR(__xludf.DUMMYFUNCTION("""COMPUTED_VALUE"""),"Shine Thomas")</f>
        <v>Shine Thomas</v>
      </c>
      <c r="G1429" s="19">
        <f>IFERROR(__xludf.DUMMYFUNCTION("""COMPUTED_VALUE"""),45246.0)</f>
        <v>45246</v>
      </c>
      <c r="H1429" s="18" t="str">
        <f>IFERROR(__xludf.DUMMYFUNCTION("""COMPUTED_VALUE"""),"COD")</f>
        <v>COD</v>
      </c>
      <c r="I1429" s="18" t="str">
        <f>IFERROR(__xludf.DUMMYFUNCTION("""COMPUTED_VALUE"""),"Delivered")</f>
        <v>Delivered</v>
      </c>
      <c r="J1429" s="18" t="str">
        <f>IFERROR(__xludf.DUMMYFUNCTION("""COMPUTED_VALUE"""),"Quality of Items")</f>
        <v>Quality of Items</v>
      </c>
      <c r="K1429" s="18" t="str">
        <f>IFERROR(__xludf.DUMMYFUNCTION("""COMPUTED_VALUE"""),"Perfect condition")</f>
        <v>Perfect condition</v>
      </c>
      <c r="L1429" s="18">
        <f>iferror(VLOOKUP($D1429,Details!$A$2:$C$11,2,false),vlookup($D1429,Details!$E$2:$G$11,2,false))</f>
        <v>110</v>
      </c>
      <c r="M1429" s="18" t="str">
        <f>iferror(VLOOKUP($D1429,Details!$A$2:$C$11,3,false),vlookup($D1429,Details!$E$2:$G$11,3,false))</f>
        <v>Snacks and Drinks</v>
      </c>
      <c r="N1429" s="18">
        <f t="shared" si="1"/>
        <v>440</v>
      </c>
      <c r="O1429" s="17"/>
      <c r="P1429" s="17"/>
      <c r="Q1429" s="17"/>
      <c r="R1429" s="17"/>
      <c r="S1429" s="17"/>
      <c r="T1429" s="17"/>
      <c r="U1429" s="17"/>
      <c r="V1429" s="17"/>
      <c r="W1429" s="17"/>
      <c r="X1429" s="17"/>
      <c r="Y1429" s="17"/>
      <c r="Z1429" s="17"/>
    </row>
    <row r="1430">
      <c r="A1430" s="18" t="str">
        <f>IFERROR(__xludf.DUMMYFUNCTION("""COMPUTED_VALUE"""),"ord_71408")</f>
        <v>ord_71408</v>
      </c>
      <c r="B1430" s="18" t="str">
        <f>IFERROR(__xludf.DUMMYFUNCTION("""COMPUTED_VALUE"""),"Kritika Shetty")</f>
        <v>Kritika Shetty</v>
      </c>
      <c r="C1430" s="18" t="str">
        <f>IFERROR(__xludf.DUMMYFUNCTION("""COMPUTED_VALUE"""),"Malad")</f>
        <v>Malad</v>
      </c>
      <c r="D1430" s="18" t="str">
        <f>IFERROR(__xludf.DUMMYFUNCTION("""COMPUTED_VALUE"""),"Tiramisu")</f>
        <v>Tiramisu</v>
      </c>
      <c r="E1430" s="18">
        <f>IFERROR(__xludf.DUMMYFUNCTION("""COMPUTED_VALUE"""),5.0)</f>
        <v>5</v>
      </c>
      <c r="F1430" s="18" t="str">
        <f>IFERROR(__xludf.DUMMYFUNCTION("""COMPUTED_VALUE"""),"Not Assigned")</f>
        <v>Not Assigned</v>
      </c>
      <c r="G1430" s="19">
        <f>IFERROR(__xludf.DUMMYFUNCTION("""COMPUTED_VALUE"""),45276.0)</f>
        <v>45276</v>
      </c>
      <c r="H1430" s="18" t="str">
        <f>IFERROR(__xludf.DUMMYFUNCTION("""COMPUTED_VALUE"""),"Online Payment")</f>
        <v>Online Payment</v>
      </c>
      <c r="I1430" s="18" t="str">
        <f>IFERROR(__xludf.DUMMYFUNCTION("""COMPUTED_VALUE"""),"Cancelled")</f>
        <v>Cancelled</v>
      </c>
      <c r="J1430" s="18" t="str">
        <f>IFERROR(__xludf.DUMMYFUNCTION("""COMPUTED_VALUE"""),"App Glitches")</f>
        <v>App Glitches</v>
      </c>
      <c r="K1430" s="18" t="str">
        <f>IFERROR(__xludf.DUMMYFUNCTION("""COMPUTED_VALUE"""),"Payment Button Malfunction")</f>
        <v>Payment Button Malfunction</v>
      </c>
      <c r="L1430" s="18">
        <f>iferror(VLOOKUP($D1430,Details!$A$2:$C$11,2,false),vlookup($D1430,Details!$E$2:$G$11,2,false))</f>
        <v>150</v>
      </c>
      <c r="M1430" s="18" t="str">
        <f>iferror(VLOOKUP($D1430,Details!$A$2:$C$11,3,false),vlookup($D1430,Details!$E$2:$G$11,3,false))</f>
        <v>Snacks and Drinks</v>
      </c>
      <c r="N1430" s="18">
        <f t="shared" si="1"/>
        <v>750</v>
      </c>
      <c r="O1430" s="17"/>
      <c r="P1430" s="17"/>
      <c r="Q1430" s="17"/>
      <c r="R1430" s="17"/>
      <c r="S1430" s="17"/>
      <c r="T1430" s="17"/>
      <c r="U1430" s="17"/>
      <c r="V1430" s="17"/>
      <c r="W1430" s="17"/>
      <c r="X1430" s="17"/>
      <c r="Y1430" s="17"/>
      <c r="Z1430" s="17"/>
    </row>
    <row r="1431">
      <c r="A1431" s="18" t="str">
        <f>IFERROR(__xludf.DUMMYFUNCTION("""COMPUTED_VALUE"""),"ord_71409")</f>
        <v>ord_71409</v>
      </c>
      <c r="B1431" s="18" t="str">
        <f>IFERROR(__xludf.DUMMYFUNCTION("""COMPUTED_VALUE"""),"Sanjay Nair")</f>
        <v>Sanjay Nair</v>
      </c>
      <c r="C1431" s="18" t="str">
        <f>IFERROR(__xludf.DUMMYFUNCTION("""COMPUTED_VALUE"""),"Dadar")</f>
        <v>Dadar</v>
      </c>
      <c r="D1431" s="18" t="str">
        <f>IFERROR(__xludf.DUMMYFUNCTION("""COMPUTED_VALUE"""),"Tiramisu")</f>
        <v>Tiramisu</v>
      </c>
      <c r="E1431" s="18">
        <f>IFERROR(__xludf.DUMMYFUNCTION("""COMPUTED_VALUE"""),1.0)</f>
        <v>1</v>
      </c>
      <c r="F1431" s="18" t="str">
        <f>IFERROR(__xludf.DUMMYFUNCTION("""COMPUTED_VALUE"""),"Shine Thomas")</f>
        <v>Shine Thomas</v>
      </c>
      <c r="G1431" s="19">
        <f>IFERROR(__xludf.DUMMYFUNCTION("""COMPUTED_VALUE"""),44985.0)</f>
        <v>44985</v>
      </c>
      <c r="H1431" s="18" t="str">
        <f>IFERROR(__xludf.DUMMYFUNCTION("""COMPUTED_VALUE"""),"Online Payment")</f>
        <v>Online Payment</v>
      </c>
      <c r="I1431" s="18" t="str">
        <f>IFERROR(__xludf.DUMMYFUNCTION("""COMPUTED_VALUE"""),"Delivered")</f>
        <v>Delivered</v>
      </c>
      <c r="J1431" s="18" t="str">
        <f>IFERROR(__xludf.DUMMYFUNCTION("""COMPUTED_VALUE"""),"Packaging")</f>
        <v>Packaging</v>
      </c>
      <c r="K1431" s="18" t="str">
        <f>IFERROR(__xludf.DUMMYFUNCTION("""COMPUTED_VALUE"""),"Secure and intact")</f>
        <v>Secure and intact</v>
      </c>
      <c r="L1431" s="18">
        <f>iferror(VLOOKUP($D1431,Details!$A$2:$C$11,2,false),vlookup($D1431,Details!$E$2:$G$11,2,false))</f>
        <v>150</v>
      </c>
      <c r="M1431" s="18" t="str">
        <f>iferror(VLOOKUP($D1431,Details!$A$2:$C$11,3,false),vlookup($D1431,Details!$E$2:$G$11,3,false))</f>
        <v>Snacks and Drinks</v>
      </c>
      <c r="N1431" s="18">
        <f t="shared" si="1"/>
        <v>150</v>
      </c>
      <c r="O1431" s="17"/>
      <c r="P1431" s="17"/>
      <c r="Q1431" s="17"/>
      <c r="R1431" s="17"/>
      <c r="S1431" s="17"/>
      <c r="T1431" s="17"/>
      <c r="U1431" s="17"/>
      <c r="V1431" s="17"/>
      <c r="W1431" s="17"/>
      <c r="X1431" s="17"/>
      <c r="Y1431" s="17"/>
      <c r="Z1431" s="17"/>
    </row>
    <row r="1432">
      <c r="A1432" s="18" t="str">
        <f>IFERROR(__xludf.DUMMYFUNCTION("""COMPUTED_VALUE"""),"ord_71410")</f>
        <v>ord_71410</v>
      </c>
      <c r="B1432" s="18" t="str">
        <f>IFERROR(__xludf.DUMMYFUNCTION("""COMPUTED_VALUE"""),"Pranav Joshi")</f>
        <v>Pranav Joshi</v>
      </c>
      <c r="C1432" s="18" t="str">
        <f>IFERROR(__xludf.DUMMYFUNCTION("""COMPUTED_VALUE"""),"Andheri")</f>
        <v>Andheri</v>
      </c>
      <c r="D1432" s="18" t="str">
        <f>IFERROR(__xludf.DUMMYFUNCTION("""COMPUTED_VALUE"""),"Juice")</f>
        <v>Juice</v>
      </c>
      <c r="E1432" s="18">
        <f>IFERROR(__xludf.DUMMYFUNCTION("""COMPUTED_VALUE"""),4.0)</f>
        <v>4</v>
      </c>
      <c r="F1432" s="18" t="str">
        <f>IFERROR(__xludf.DUMMYFUNCTION("""COMPUTED_VALUE"""),"Manju Ajay")</f>
        <v>Manju Ajay</v>
      </c>
      <c r="G1432" s="19">
        <f>IFERROR(__xludf.DUMMYFUNCTION("""COMPUTED_VALUE"""),44968.0)</f>
        <v>44968</v>
      </c>
      <c r="H1432" s="18" t="str">
        <f>IFERROR(__xludf.DUMMYFUNCTION("""COMPUTED_VALUE"""),"Credit Card")</f>
        <v>Credit Card</v>
      </c>
      <c r="I1432" s="18" t="str">
        <f>IFERROR(__xludf.DUMMYFUNCTION("""COMPUTED_VALUE"""),"Delivered")</f>
        <v>Delivered</v>
      </c>
      <c r="J1432" s="18" t="str">
        <f>IFERROR(__xludf.DUMMYFUNCTION("""COMPUTED_VALUE"""),"Satisfied with the Delivery")</f>
        <v>Satisfied with the Delivery</v>
      </c>
      <c r="K1432" s="18" t="str">
        <f>IFERROR(__xludf.DUMMYFUNCTION("""COMPUTED_VALUE"""),"Timely and quality")</f>
        <v>Timely and quality</v>
      </c>
      <c r="L1432" s="18">
        <f>iferror(VLOOKUP($D1432,Details!$A$2:$C$11,2,false),vlookup($D1432,Details!$E$2:$G$11,2,false))</f>
        <v>90</v>
      </c>
      <c r="M1432" s="18" t="str">
        <f>iferror(VLOOKUP($D1432,Details!$A$2:$C$11,3,false),vlookup($D1432,Details!$E$2:$G$11,3,false))</f>
        <v>Snacks and Drinks</v>
      </c>
      <c r="N1432" s="18">
        <f t="shared" si="1"/>
        <v>360</v>
      </c>
      <c r="O1432" s="17"/>
      <c r="P1432" s="17"/>
      <c r="Q1432" s="17"/>
      <c r="R1432" s="17"/>
      <c r="S1432" s="17"/>
      <c r="T1432" s="17"/>
      <c r="U1432" s="17"/>
      <c r="V1432" s="17"/>
      <c r="W1432" s="17"/>
      <c r="X1432" s="17"/>
      <c r="Y1432" s="17"/>
      <c r="Z1432" s="17"/>
    </row>
    <row r="1433">
      <c r="A1433" s="18" t="str">
        <f>IFERROR(__xludf.DUMMYFUNCTION("""COMPUTED_VALUE"""),"ord_71411")</f>
        <v>ord_71411</v>
      </c>
      <c r="B1433" s="18" t="str">
        <f>IFERROR(__xludf.DUMMYFUNCTION("""COMPUTED_VALUE"""),"Ishita Banerjee")</f>
        <v>Ishita Banerjee</v>
      </c>
      <c r="C1433" s="18" t="str">
        <f>IFERROR(__xludf.DUMMYFUNCTION("""COMPUTED_VALUE"""),"Juhu")</f>
        <v>Juhu</v>
      </c>
      <c r="D1433" s="18" t="str">
        <f>IFERROR(__xludf.DUMMYFUNCTION("""COMPUTED_VALUE"""),"Chocolate Mousse")</f>
        <v>Chocolate Mousse</v>
      </c>
      <c r="E1433" s="18">
        <f>IFERROR(__xludf.DUMMYFUNCTION("""COMPUTED_VALUE"""),3.0)</f>
        <v>3</v>
      </c>
      <c r="F1433" s="18" t="str">
        <f>IFERROR(__xludf.DUMMYFUNCTION("""COMPUTED_VALUE"""),"Sita T")</f>
        <v>Sita T</v>
      </c>
      <c r="G1433" s="19">
        <f>IFERROR(__xludf.DUMMYFUNCTION("""COMPUTED_VALUE"""),45144.0)</f>
        <v>45144</v>
      </c>
      <c r="H1433" s="18" t="str">
        <f>IFERROR(__xludf.DUMMYFUNCTION("""COMPUTED_VALUE"""),"Credit Card")</f>
        <v>Credit Card</v>
      </c>
      <c r="I1433" s="18" t="str">
        <f>IFERROR(__xludf.DUMMYFUNCTION("""COMPUTED_VALUE"""),"Cancelled")</f>
        <v>Cancelled</v>
      </c>
      <c r="J1433" s="18" t="str">
        <f>IFERROR(__xludf.DUMMYFUNCTION("""COMPUTED_VALUE"""),"Delayed Delivery")</f>
        <v>Delayed Delivery</v>
      </c>
      <c r="K1433" s="18" t="str">
        <f>IFERROR(__xludf.DUMMYFUNCTION("""COMPUTED_VALUE"""),"High Order Volume")</f>
        <v>High Order Volume</v>
      </c>
      <c r="L1433" s="18">
        <f>iferror(VLOOKUP($D1433,Details!$A$2:$C$11,2,false),vlookup($D1433,Details!$E$2:$G$11,2,false))</f>
        <v>145</v>
      </c>
      <c r="M1433" s="18" t="str">
        <f>iferror(VLOOKUP($D1433,Details!$A$2:$C$11,3,false),vlookup($D1433,Details!$E$2:$G$11,3,false))</f>
        <v>Snacks and Drinks</v>
      </c>
      <c r="N1433" s="18">
        <f t="shared" si="1"/>
        <v>435</v>
      </c>
      <c r="O1433" s="17"/>
      <c r="P1433" s="17"/>
      <c r="Q1433" s="17"/>
      <c r="R1433" s="17"/>
      <c r="S1433" s="17"/>
      <c r="T1433" s="17"/>
      <c r="U1433" s="17"/>
      <c r="V1433" s="17"/>
      <c r="W1433" s="17"/>
      <c r="X1433" s="17"/>
      <c r="Y1433" s="17"/>
      <c r="Z1433" s="17"/>
    </row>
    <row r="1434">
      <c r="A1434" s="18" t="str">
        <f>IFERROR(__xludf.DUMMYFUNCTION("""COMPUTED_VALUE"""),"ord_71412")</f>
        <v>ord_71412</v>
      </c>
      <c r="B1434" s="18" t="str">
        <f>IFERROR(__xludf.DUMMYFUNCTION("""COMPUTED_VALUE"""),"Anaya Rao")</f>
        <v>Anaya Rao</v>
      </c>
      <c r="C1434" s="18" t="str">
        <f>IFERROR(__xludf.DUMMYFUNCTION("""COMPUTED_VALUE"""),"Colaba")</f>
        <v>Colaba</v>
      </c>
      <c r="D1434" s="18" t="str">
        <f>IFERROR(__xludf.DUMMYFUNCTION("""COMPUTED_VALUE"""),"Tomato")</f>
        <v>Tomato</v>
      </c>
      <c r="E1434" s="18">
        <f>IFERROR(__xludf.DUMMYFUNCTION("""COMPUTED_VALUE"""),2.0)</f>
        <v>2</v>
      </c>
      <c r="F1434" s="18" t="str">
        <f>IFERROR(__xludf.DUMMYFUNCTION("""COMPUTED_VALUE"""),"Not Assigned")</f>
        <v>Not Assigned</v>
      </c>
      <c r="G1434" s="19">
        <f>IFERROR(__xludf.DUMMYFUNCTION("""COMPUTED_VALUE"""),45114.0)</f>
        <v>45114</v>
      </c>
      <c r="H1434" s="18" t="str">
        <f>IFERROR(__xludf.DUMMYFUNCTION("""COMPUTED_VALUE"""),"UPI")</f>
        <v>UPI</v>
      </c>
      <c r="I1434" s="18" t="str">
        <f>IFERROR(__xludf.DUMMYFUNCTION("""COMPUTED_VALUE"""),"Cancelled")</f>
        <v>Cancelled</v>
      </c>
      <c r="J1434" s="18" t="str">
        <f>IFERROR(__xludf.DUMMYFUNCTION("""COMPUTED_VALUE"""),"High Delivery Fees")</f>
        <v>High Delivery Fees</v>
      </c>
      <c r="K1434" s="18"/>
      <c r="L1434" s="18">
        <f>iferror(VLOOKUP($D1434,Details!$A$2:$C$11,2,false),vlookup($D1434,Details!$E$2:$G$11,2,false))</f>
        <v>25</v>
      </c>
      <c r="M1434" s="18" t="str">
        <f>iferror(VLOOKUP($D1434,Details!$A$2:$C$11,3,false),vlookup($D1434,Details!$E$2:$G$11,3,false))</f>
        <v>Fruits and Vegetables</v>
      </c>
      <c r="N1434" s="18">
        <f t="shared" si="1"/>
        <v>50</v>
      </c>
      <c r="O1434" s="17"/>
      <c r="P1434" s="17"/>
      <c r="Q1434" s="17"/>
      <c r="R1434" s="17"/>
      <c r="S1434" s="17"/>
      <c r="T1434" s="17"/>
      <c r="U1434" s="17"/>
      <c r="V1434" s="17"/>
      <c r="W1434" s="17"/>
      <c r="X1434" s="17"/>
      <c r="Y1434" s="17"/>
      <c r="Z1434" s="17"/>
    </row>
    <row r="1435">
      <c r="A1435" s="18" t="str">
        <f>IFERROR(__xludf.DUMMYFUNCTION("""COMPUTED_VALUE"""),"ord_71413")</f>
        <v>ord_71413</v>
      </c>
      <c r="B1435" s="18" t="str">
        <f>IFERROR(__xludf.DUMMYFUNCTION("""COMPUTED_VALUE"""),"Kunal Sharma")</f>
        <v>Kunal Sharma</v>
      </c>
      <c r="C1435" s="18" t="str">
        <f>IFERROR(__xludf.DUMMYFUNCTION("""COMPUTED_VALUE"""),"Powai")</f>
        <v>Powai</v>
      </c>
      <c r="D1435" s="18" t="str">
        <f>IFERROR(__xludf.DUMMYFUNCTION("""COMPUTED_VALUE"""),"Chilli Cheese Toast")</f>
        <v>Chilli Cheese Toast</v>
      </c>
      <c r="E1435" s="18">
        <f>IFERROR(__xludf.DUMMYFUNCTION("""COMPUTED_VALUE"""),3.0)</f>
        <v>3</v>
      </c>
      <c r="F1435" s="18" t="str">
        <f>IFERROR(__xludf.DUMMYFUNCTION("""COMPUTED_VALUE"""),"Nithin Lal")</f>
        <v>Nithin Lal</v>
      </c>
      <c r="G1435" s="19">
        <f>IFERROR(__xludf.DUMMYFUNCTION("""COMPUTED_VALUE"""),45099.0)</f>
        <v>45099</v>
      </c>
      <c r="H1435" s="18" t="str">
        <f>IFERROR(__xludf.DUMMYFUNCTION("""COMPUTED_VALUE"""),"UPI")</f>
        <v>UPI</v>
      </c>
      <c r="I1435" s="18" t="str">
        <f>IFERROR(__xludf.DUMMYFUNCTION("""COMPUTED_VALUE"""),"Delivered")</f>
        <v>Delivered</v>
      </c>
      <c r="J1435" s="18" t="str">
        <f>IFERROR(__xludf.DUMMYFUNCTION("""COMPUTED_VALUE"""),"Customer Service")</f>
        <v>Customer Service</v>
      </c>
      <c r="K1435" s="18" t="str">
        <f>IFERROR(__xludf.DUMMYFUNCTION("""COMPUTED_VALUE"""),"Seamless and easy")</f>
        <v>Seamless and easy</v>
      </c>
      <c r="L1435" s="18">
        <f>iferror(VLOOKUP($D1435,Details!$A$2:$C$11,2,false),vlookup($D1435,Details!$E$2:$G$11,2,false))</f>
        <v>80</v>
      </c>
      <c r="M1435" s="18" t="str">
        <f>iferror(VLOOKUP($D1435,Details!$A$2:$C$11,3,false),vlookup($D1435,Details!$E$2:$G$11,3,false))</f>
        <v>Snacks and Drinks</v>
      </c>
      <c r="N1435" s="18">
        <f t="shared" si="1"/>
        <v>240</v>
      </c>
      <c r="O1435" s="17"/>
      <c r="P1435" s="17"/>
      <c r="Q1435" s="17"/>
      <c r="R1435" s="17"/>
      <c r="S1435" s="17"/>
      <c r="T1435" s="17"/>
      <c r="U1435" s="17"/>
      <c r="V1435" s="17"/>
      <c r="W1435" s="17"/>
      <c r="X1435" s="17"/>
      <c r="Y1435" s="17"/>
      <c r="Z1435" s="17"/>
    </row>
    <row r="1436">
      <c r="A1436" s="18" t="str">
        <f>IFERROR(__xludf.DUMMYFUNCTION("""COMPUTED_VALUE"""),"ord_71414")</f>
        <v>ord_71414</v>
      </c>
      <c r="B1436" s="18" t="str">
        <f>IFERROR(__xludf.DUMMYFUNCTION("""COMPUTED_VALUE"""),"Kunal Sharma")</f>
        <v>Kunal Sharma</v>
      </c>
      <c r="C1436" s="18" t="str">
        <f>IFERROR(__xludf.DUMMYFUNCTION("""COMPUTED_VALUE"""),"Powai")</f>
        <v>Powai</v>
      </c>
      <c r="D1436" s="18" t="str">
        <f>IFERROR(__xludf.DUMMYFUNCTION("""COMPUTED_VALUE"""),"Guava")</f>
        <v>Guava</v>
      </c>
      <c r="E1436" s="18">
        <f>IFERROR(__xludf.DUMMYFUNCTION("""COMPUTED_VALUE"""),3.0)</f>
        <v>3</v>
      </c>
      <c r="F1436" s="18" t="str">
        <f>IFERROR(__xludf.DUMMYFUNCTION("""COMPUTED_VALUE"""),"Venu R")</f>
        <v>Venu R</v>
      </c>
      <c r="G1436" s="19">
        <f>IFERROR(__xludf.DUMMYFUNCTION("""COMPUTED_VALUE"""),45046.0)</f>
        <v>45046</v>
      </c>
      <c r="H1436" s="18" t="str">
        <f>IFERROR(__xludf.DUMMYFUNCTION("""COMPUTED_VALUE"""),"UPI")</f>
        <v>UPI</v>
      </c>
      <c r="I1436" s="18" t="str">
        <f>IFERROR(__xludf.DUMMYFUNCTION("""COMPUTED_VALUE"""),"Delivered")</f>
        <v>Delivered</v>
      </c>
      <c r="J1436" s="18" t="str">
        <f>IFERROR(__xludf.DUMMYFUNCTION("""COMPUTED_VALUE"""),"Delivery Experience")</f>
        <v>Delivery Experience</v>
      </c>
      <c r="K1436" s="18" t="str">
        <f>IFERROR(__xludf.DUMMYFUNCTION("""COMPUTED_VALUE"""),"Quick and professional")</f>
        <v>Quick and professional</v>
      </c>
      <c r="L1436" s="18">
        <f>iferror(VLOOKUP($D1436,Details!$A$2:$C$11,2,false),vlookup($D1436,Details!$E$2:$G$11,2,false))</f>
        <v>70</v>
      </c>
      <c r="M1436" s="18" t="str">
        <f>iferror(VLOOKUP($D1436,Details!$A$2:$C$11,3,false),vlookup($D1436,Details!$E$2:$G$11,3,false))</f>
        <v>Fruits and Vegetables</v>
      </c>
      <c r="N1436" s="18">
        <f t="shared" si="1"/>
        <v>210</v>
      </c>
      <c r="O1436" s="17"/>
      <c r="P1436" s="17"/>
      <c r="Q1436" s="17"/>
      <c r="R1436" s="17"/>
      <c r="S1436" s="17"/>
      <c r="T1436" s="17"/>
      <c r="U1436" s="17"/>
      <c r="V1436" s="17"/>
      <c r="W1436" s="17"/>
      <c r="X1436" s="17"/>
      <c r="Y1436" s="17"/>
      <c r="Z1436" s="17"/>
    </row>
    <row r="1437">
      <c r="A1437" s="18" t="str">
        <f>IFERROR(__xludf.DUMMYFUNCTION("""COMPUTED_VALUE"""),"ord_71415")</f>
        <v>ord_71415</v>
      </c>
      <c r="B1437" s="18" t="str">
        <f>IFERROR(__xludf.DUMMYFUNCTION("""COMPUTED_VALUE"""),"Aditya Rao")</f>
        <v>Aditya Rao</v>
      </c>
      <c r="C1437" s="18" t="str">
        <f>IFERROR(__xludf.DUMMYFUNCTION("""COMPUTED_VALUE"""),"Lower Parel")</f>
        <v>Lower Parel</v>
      </c>
      <c r="D1437" s="18" t="str">
        <f>IFERROR(__xludf.DUMMYFUNCTION("""COMPUTED_VALUE"""),"Cold Coffee")</f>
        <v>Cold Coffee</v>
      </c>
      <c r="E1437" s="18">
        <f>IFERROR(__xludf.DUMMYFUNCTION("""COMPUTED_VALUE"""),5.0)</f>
        <v>5</v>
      </c>
      <c r="F1437" s="18" t="str">
        <f>IFERROR(__xludf.DUMMYFUNCTION("""COMPUTED_VALUE"""),"Priya Joshi")</f>
        <v>Priya Joshi</v>
      </c>
      <c r="G1437" s="19">
        <f>IFERROR(__xludf.DUMMYFUNCTION("""COMPUTED_VALUE"""),45153.0)</f>
        <v>45153</v>
      </c>
      <c r="H1437" s="18" t="str">
        <f>IFERROR(__xludf.DUMMYFUNCTION("""COMPUTED_VALUE"""),"Online Payment")</f>
        <v>Online Payment</v>
      </c>
      <c r="I1437" s="18" t="str">
        <f>IFERROR(__xludf.DUMMYFUNCTION("""COMPUTED_VALUE"""),"Cancelled")</f>
        <v>Cancelled</v>
      </c>
      <c r="J1437" s="18" t="str">
        <f>IFERROR(__xludf.DUMMYFUNCTION("""COMPUTED_VALUE"""),"Delayed Delivery")</f>
        <v>Delayed Delivery</v>
      </c>
      <c r="K1437" s="18" t="str">
        <f>IFERROR(__xludf.DUMMYFUNCTION("""COMPUTED_VALUE"""),"Bad Weather Conditions")</f>
        <v>Bad Weather Conditions</v>
      </c>
      <c r="L1437" s="18">
        <f>iferror(VLOOKUP($D1437,Details!$A$2:$C$11,2,false),vlookup($D1437,Details!$E$2:$G$11,2,false))</f>
        <v>270</v>
      </c>
      <c r="M1437" s="18" t="str">
        <f>iferror(VLOOKUP($D1437,Details!$A$2:$C$11,3,false),vlookup($D1437,Details!$E$2:$G$11,3,false))</f>
        <v>Snacks and Drinks</v>
      </c>
      <c r="N1437" s="18">
        <f t="shared" si="1"/>
        <v>1350</v>
      </c>
      <c r="O1437" s="17"/>
      <c r="P1437" s="17"/>
      <c r="Q1437" s="17"/>
      <c r="R1437" s="17"/>
      <c r="S1437" s="17"/>
      <c r="T1437" s="17"/>
      <c r="U1437" s="17"/>
      <c r="V1437" s="17"/>
      <c r="W1437" s="17"/>
      <c r="X1437" s="17"/>
      <c r="Y1437" s="17"/>
      <c r="Z1437" s="17"/>
    </row>
    <row r="1438">
      <c r="A1438" s="18" t="str">
        <f>IFERROR(__xludf.DUMMYFUNCTION("""COMPUTED_VALUE"""),"ord_71416")</f>
        <v>ord_71416</v>
      </c>
      <c r="B1438" s="18" t="str">
        <f>IFERROR(__xludf.DUMMYFUNCTION("""COMPUTED_VALUE"""),"Dev Chauhan")</f>
        <v>Dev Chauhan</v>
      </c>
      <c r="C1438" s="18" t="str">
        <f>IFERROR(__xludf.DUMMYFUNCTION("""COMPUTED_VALUE"""),"Bandra")</f>
        <v>Bandra</v>
      </c>
      <c r="D1438" s="18" t="str">
        <f>IFERROR(__xludf.DUMMYFUNCTION("""COMPUTED_VALUE"""),"Veg Puff")</f>
        <v>Veg Puff</v>
      </c>
      <c r="E1438" s="18">
        <f>IFERROR(__xludf.DUMMYFUNCTION("""COMPUTED_VALUE"""),4.0)</f>
        <v>4</v>
      </c>
      <c r="F1438" s="18" t="str">
        <f>IFERROR(__xludf.DUMMYFUNCTION("""COMPUTED_VALUE"""),"Ram Gopal")</f>
        <v>Ram Gopal</v>
      </c>
      <c r="G1438" s="19">
        <f>IFERROR(__xludf.DUMMYFUNCTION("""COMPUTED_VALUE"""),45078.0)</f>
        <v>45078</v>
      </c>
      <c r="H1438" s="18" t="str">
        <f>IFERROR(__xludf.DUMMYFUNCTION("""COMPUTED_VALUE"""),"Online Payment")</f>
        <v>Online Payment</v>
      </c>
      <c r="I1438" s="18" t="str">
        <f>IFERROR(__xludf.DUMMYFUNCTION("""COMPUTED_VALUE"""),"Delivered")</f>
        <v>Delivered</v>
      </c>
      <c r="J1438" s="18" t="str">
        <f>IFERROR(__xludf.DUMMYFUNCTION("""COMPUTED_VALUE"""),"Convenience")</f>
        <v>Convenience</v>
      </c>
      <c r="K1438" s="18" t="str">
        <f>IFERROR(__xludf.DUMMYFUNCTION("""COMPUTED_VALUE"""),"Easy tracking")</f>
        <v>Easy tracking</v>
      </c>
      <c r="L1438" s="18">
        <f>iferror(VLOOKUP($D1438,Details!$A$2:$C$11,2,false),vlookup($D1438,Details!$E$2:$G$11,2,false))</f>
        <v>80</v>
      </c>
      <c r="M1438" s="18" t="str">
        <f>iferror(VLOOKUP($D1438,Details!$A$2:$C$11,3,false),vlookup($D1438,Details!$E$2:$G$11,3,false))</f>
        <v>Snacks and Drinks</v>
      </c>
      <c r="N1438" s="18">
        <f t="shared" si="1"/>
        <v>320</v>
      </c>
      <c r="O1438" s="17"/>
      <c r="P1438" s="17"/>
      <c r="Q1438" s="17"/>
      <c r="R1438" s="17"/>
      <c r="S1438" s="17"/>
      <c r="T1438" s="17"/>
      <c r="U1438" s="17"/>
      <c r="V1438" s="17"/>
      <c r="W1438" s="17"/>
      <c r="X1438" s="17"/>
      <c r="Y1438" s="17"/>
      <c r="Z1438" s="17"/>
    </row>
    <row r="1439">
      <c r="A1439" s="18" t="str">
        <f>IFERROR(__xludf.DUMMYFUNCTION("""COMPUTED_VALUE"""),"ord_71417")</f>
        <v>ord_71417</v>
      </c>
      <c r="B1439" s="18" t="str">
        <f>IFERROR(__xludf.DUMMYFUNCTION("""COMPUTED_VALUE"""),"Kritika Shetty")</f>
        <v>Kritika Shetty</v>
      </c>
      <c r="C1439" s="18" t="str">
        <f>IFERROR(__xludf.DUMMYFUNCTION("""COMPUTED_VALUE"""),"Malad")</f>
        <v>Malad</v>
      </c>
      <c r="D1439" s="18" t="str">
        <f>IFERROR(__xludf.DUMMYFUNCTION("""COMPUTED_VALUE"""),"Rasmalai")</f>
        <v>Rasmalai</v>
      </c>
      <c r="E1439" s="18">
        <f>IFERROR(__xludf.DUMMYFUNCTION("""COMPUTED_VALUE"""),4.0)</f>
        <v>4</v>
      </c>
      <c r="F1439" s="18" t="str">
        <f>IFERROR(__xludf.DUMMYFUNCTION("""COMPUTED_VALUE"""),"Not Assigned")</f>
        <v>Not Assigned</v>
      </c>
      <c r="G1439" s="19">
        <f>IFERROR(__xludf.DUMMYFUNCTION("""COMPUTED_VALUE"""),45153.0)</f>
        <v>45153</v>
      </c>
      <c r="H1439" s="18" t="str">
        <f>IFERROR(__xludf.DUMMYFUNCTION("""COMPUTED_VALUE"""),"Credit Card")</f>
        <v>Credit Card</v>
      </c>
      <c r="I1439" s="18" t="str">
        <f>IFERROR(__xludf.DUMMYFUNCTION("""COMPUTED_VALUE"""),"Cancelled")</f>
        <v>Cancelled</v>
      </c>
      <c r="J1439" s="18" t="str">
        <f>IFERROR(__xludf.DUMMYFUNCTION("""COMPUTED_VALUE"""),"App Glitches")</f>
        <v>App Glitches</v>
      </c>
      <c r="K1439" s="18" t="str">
        <f>IFERROR(__xludf.DUMMYFUNCTION("""COMPUTED_VALUE"""),"App Freezes")</f>
        <v>App Freezes</v>
      </c>
      <c r="L1439" s="18">
        <f>iferror(VLOOKUP($D1439,Details!$A$2:$C$11,2,false),vlookup($D1439,Details!$E$2:$G$11,2,false))</f>
        <v>110</v>
      </c>
      <c r="M1439" s="18" t="str">
        <f>iferror(VLOOKUP($D1439,Details!$A$2:$C$11,3,false),vlookup($D1439,Details!$E$2:$G$11,3,false))</f>
        <v>Snacks and Drinks</v>
      </c>
      <c r="N1439" s="18">
        <f t="shared" si="1"/>
        <v>440</v>
      </c>
      <c r="O1439" s="17"/>
      <c r="P1439" s="17"/>
      <c r="Q1439" s="17"/>
      <c r="R1439" s="17"/>
      <c r="S1439" s="17"/>
      <c r="T1439" s="17"/>
      <c r="U1439" s="17"/>
      <c r="V1439" s="17"/>
      <c r="W1439" s="17"/>
      <c r="X1439" s="17"/>
      <c r="Y1439" s="17"/>
      <c r="Z1439" s="17"/>
    </row>
    <row r="1440">
      <c r="A1440" s="18" t="str">
        <f>IFERROR(__xludf.DUMMYFUNCTION("""COMPUTED_VALUE"""),"ord_71418")</f>
        <v>ord_71418</v>
      </c>
      <c r="B1440" s="18" t="str">
        <f>IFERROR(__xludf.DUMMYFUNCTION("""COMPUTED_VALUE"""),"Arvind Kulkarni")</f>
        <v>Arvind Kulkarni</v>
      </c>
      <c r="C1440" s="18" t="str">
        <f>IFERROR(__xludf.DUMMYFUNCTION("""COMPUTED_VALUE"""),"Juhu")</f>
        <v>Juhu</v>
      </c>
      <c r="D1440" s="18" t="str">
        <f>IFERROR(__xludf.DUMMYFUNCTION("""COMPUTED_VALUE"""),"Cold Coffee")</f>
        <v>Cold Coffee</v>
      </c>
      <c r="E1440" s="18">
        <f>IFERROR(__xludf.DUMMYFUNCTION("""COMPUTED_VALUE"""),5.0)</f>
        <v>5</v>
      </c>
      <c r="F1440" s="18" t="str">
        <f>IFERROR(__xludf.DUMMYFUNCTION("""COMPUTED_VALUE"""),"Shine Thomas")</f>
        <v>Shine Thomas</v>
      </c>
      <c r="G1440" s="19">
        <f>IFERROR(__xludf.DUMMYFUNCTION("""COMPUTED_VALUE"""),44951.0)</f>
        <v>44951</v>
      </c>
      <c r="H1440" s="18" t="str">
        <f>IFERROR(__xludf.DUMMYFUNCTION("""COMPUTED_VALUE"""),"Credit Card")</f>
        <v>Credit Card</v>
      </c>
      <c r="I1440" s="18" t="str">
        <f>IFERROR(__xludf.DUMMYFUNCTION("""COMPUTED_VALUE"""),"Cancelled")</f>
        <v>Cancelled</v>
      </c>
      <c r="J1440" s="18" t="str">
        <f>IFERROR(__xludf.DUMMYFUNCTION("""COMPUTED_VALUE"""),"Delayed Delivery")</f>
        <v>Delayed Delivery</v>
      </c>
      <c r="K1440" s="18" t="str">
        <f>IFERROR(__xludf.DUMMYFUNCTION("""COMPUTED_VALUE"""),"Heavy Traffic")</f>
        <v>Heavy Traffic</v>
      </c>
      <c r="L1440" s="18">
        <f>iferror(VLOOKUP($D1440,Details!$A$2:$C$11,2,false),vlookup($D1440,Details!$E$2:$G$11,2,false))</f>
        <v>270</v>
      </c>
      <c r="M1440" s="18" t="str">
        <f>iferror(VLOOKUP($D1440,Details!$A$2:$C$11,3,false),vlookup($D1440,Details!$E$2:$G$11,3,false))</f>
        <v>Snacks and Drinks</v>
      </c>
      <c r="N1440" s="18">
        <f t="shared" si="1"/>
        <v>1350</v>
      </c>
      <c r="O1440" s="17"/>
      <c r="P1440" s="17"/>
      <c r="Q1440" s="17"/>
      <c r="R1440" s="17"/>
      <c r="S1440" s="17"/>
      <c r="T1440" s="17"/>
      <c r="U1440" s="17"/>
      <c r="V1440" s="17"/>
      <c r="W1440" s="17"/>
      <c r="X1440" s="17"/>
      <c r="Y1440" s="17"/>
      <c r="Z1440" s="17"/>
    </row>
    <row r="1441">
      <c r="A1441" s="18" t="str">
        <f>IFERROR(__xludf.DUMMYFUNCTION("""COMPUTED_VALUE"""),"ord_71419")</f>
        <v>ord_71419</v>
      </c>
      <c r="B1441" s="18" t="str">
        <f>IFERROR(__xludf.DUMMYFUNCTION("""COMPUTED_VALUE"""),"Kritika Shetty")</f>
        <v>Kritika Shetty</v>
      </c>
      <c r="C1441" s="18" t="str">
        <f>IFERROR(__xludf.DUMMYFUNCTION("""COMPUTED_VALUE"""),"Malad")</f>
        <v>Malad</v>
      </c>
      <c r="D1441" s="18" t="str">
        <f>IFERROR(__xludf.DUMMYFUNCTION("""COMPUTED_VALUE"""),"Tiramisu")</f>
        <v>Tiramisu</v>
      </c>
      <c r="E1441" s="18">
        <f>IFERROR(__xludf.DUMMYFUNCTION("""COMPUTED_VALUE"""),4.0)</f>
        <v>4</v>
      </c>
      <c r="F1441" s="18" t="str">
        <f>IFERROR(__xludf.DUMMYFUNCTION("""COMPUTED_VALUE"""),"Priya Joshi")</f>
        <v>Priya Joshi</v>
      </c>
      <c r="G1441" s="19">
        <f>IFERROR(__xludf.DUMMYFUNCTION("""COMPUTED_VALUE"""),45269.0)</f>
        <v>45269</v>
      </c>
      <c r="H1441" s="18" t="str">
        <f>IFERROR(__xludf.DUMMYFUNCTION("""COMPUTED_VALUE"""),"Credit Card")</f>
        <v>Credit Card</v>
      </c>
      <c r="I1441" s="18" t="str">
        <f>IFERROR(__xludf.DUMMYFUNCTION("""COMPUTED_VALUE"""),"Cancelled")</f>
        <v>Cancelled</v>
      </c>
      <c r="J1441" s="18" t="str">
        <f>IFERROR(__xludf.DUMMYFUNCTION("""COMPUTED_VALUE"""),"Delayed Delivery")</f>
        <v>Delayed Delivery</v>
      </c>
      <c r="K1441" s="18" t="str">
        <f>IFERROR(__xludf.DUMMYFUNCTION("""COMPUTED_VALUE"""),"Bad Weather Conditions")</f>
        <v>Bad Weather Conditions</v>
      </c>
      <c r="L1441" s="18">
        <f>iferror(VLOOKUP($D1441,Details!$A$2:$C$11,2,false),vlookup($D1441,Details!$E$2:$G$11,2,false))</f>
        <v>150</v>
      </c>
      <c r="M1441" s="18" t="str">
        <f>iferror(VLOOKUP($D1441,Details!$A$2:$C$11,3,false),vlookup($D1441,Details!$E$2:$G$11,3,false))</f>
        <v>Snacks and Drinks</v>
      </c>
      <c r="N1441" s="18">
        <f t="shared" si="1"/>
        <v>600</v>
      </c>
      <c r="O1441" s="17"/>
      <c r="P1441" s="17"/>
      <c r="Q1441" s="17"/>
      <c r="R1441" s="17"/>
      <c r="S1441" s="17"/>
      <c r="T1441" s="17"/>
      <c r="U1441" s="17"/>
      <c r="V1441" s="17"/>
      <c r="W1441" s="17"/>
      <c r="X1441" s="17"/>
      <c r="Y1441" s="17"/>
      <c r="Z1441" s="17"/>
    </row>
    <row r="1442">
      <c r="A1442" s="18" t="str">
        <f>IFERROR(__xludf.DUMMYFUNCTION("""COMPUTED_VALUE"""),"ord_71420")</f>
        <v>ord_71420</v>
      </c>
      <c r="B1442" s="18" t="str">
        <f>IFERROR(__xludf.DUMMYFUNCTION("""COMPUTED_VALUE"""),"Dev Chauhan")</f>
        <v>Dev Chauhan</v>
      </c>
      <c r="C1442" s="18" t="str">
        <f>IFERROR(__xludf.DUMMYFUNCTION("""COMPUTED_VALUE"""),"Bandra")</f>
        <v>Bandra</v>
      </c>
      <c r="D1442" s="18" t="str">
        <f>IFERROR(__xludf.DUMMYFUNCTION("""COMPUTED_VALUE"""),"Chilli Cheese Toast")</f>
        <v>Chilli Cheese Toast</v>
      </c>
      <c r="E1442" s="18">
        <f>IFERROR(__xludf.DUMMYFUNCTION("""COMPUTED_VALUE"""),2.0)</f>
        <v>2</v>
      </c>
      <c r="F1442" s="18" t="str">
        <f>IFERROR(__xludf.DUMMYFUNCTION("""COMPUTED_VALUE"""),"Shine Thomas")</f>
        <v>Shine Thomas</v>
      </c>
      <c r="G1442" s="19">
        <f>IFERROR(__xludf.DUMMYFUNCTION("""COMPUTED_VALUE"""),44964.0)</f>
        <v>44964</v>
      </c>
      <c r="H1442" s="18" t="str">
        <f>IFERROR(__xludf.DUMMYFUNCTION("""COMPUTED_VALUE"""),"Credit Card")</f>
        <v>Credit Card</v>
      </c>
      <c r="I1442" s="18" t="str">
        <f>IFERROR(__xludf.DUMMYFUNCTION("""COMPUTED_VALUE"""),"Delivered")</f>
        <v>Delivered</v>
      </c>
      <c r="J1442" s="18" t="str">
        <f>IFERROR(__xludf.DUMMYFUNCTION("""COMPUTED_VALUE"""),"Overall Satisfaction")</f>
        <v>Overall Satisfaction</v>
      </c>
      <c r="K1442" s="18" t="str">
        <f>IFERROR(__xludf.DUMMYFUNCTION("""COMPUTED_VALUE"""),"Great service will order again")</f>
        <v>Great service will order again</v>
      </c>
      <c r="L1442" s="18">
        <f>iferror(VLOOKUP($D1442,Details!$A$2:$C$11,2,false),vlookup($D1442,Details!$E$2:$G$11,2,false))</f>
        <v>80</v>
      </c>
      <c r="M1442" s="18" t="str">
        <f>iferror(VLOOKUP($D1442,Details!$A$2:$C$11,3,false),vlookup($D1442,Details!$E$2:$G$11,3,false))</f>
        <v>Snacks and Drinks</v>
      </c>
      <c r="N1442" s="18">
        <f t="shared" si="1"/>
        <v>160</v>
      </c>
      <c r="O1442" s="17"/>
      <c r="P1442" s="17"/>
      <c r="Q1442" s="17"/>
      <c r="R1442" s="17"/>
      <c r="S1442" s="17"/>
      <c r="T1442" s="17"/>
      <c r="U1442" s="17"/>
      <c r="V1442" s="17"/>
      <c r="W1442" s="17"/>
      <c r="X1442" s="17"/>
      <c r="Y1442" s="17"/>
      <c r="Z1442" s="17"/>
    </row>
    <row r="1443">
      <c r="A1443" s="18" t="str">
        <f>IFERROR(__xludf.DUMMYFUNCTION("""COMPUTED_VALUE"""),"ord_71421")</f>
        <v>ord_71421</v>
      </c>
      <c r="B1443" s="18" t="str">
        <f>IFERROR(__xludf.DUMMYFUNCTION("""COMPUTED_VALUE"""),"Omkar Mishra")</f>
        <v>Omkar Mishra</v>
      </c>
      <c r="C1443" s="18" t="str">
        <f>IFERROR(__xludf.DUMMYFUNCTION("""COMPUTED_VALUE"""),"Powai")</f>
        <v>Powai</v>
      </c>
      <c r="D1443" s="18" t="str">
        <f>IFERROR(__xludf.DUMMYFUNCTION("""COMPUTED_VALUE"""),"Sweet Corn")</f>
        <v>Sweet Corn</v>
      </c>
      <c r="E1443" s="18">
        <f>IFERROR(__xludf.DUMMYFUNCTION("""COMPUTED_VALUE"""),1.0)</f>
        <v>1</v>
      </c>
      <c r="F1443" s="18" t="str">
        <f>IFERROR(__xludf.DUMMYFUNCTION("""COMPUTED_VALUE"""),"Vivek Kumar")</f>
        <v>Vivek Kumar</v>
      </c>
      <c r="G1443" s="19">
        <f>IFERROR(__xludf.DUMMYFUNCTION("""COMPUTED_VALUE"""),45196.0)</f>
        <v>45196</v>
      </c>
      <c r="H1443" s="18" t="str">
        <f>IFERROR(__xludf.DUMMYFUNCTION("""COMPUTED_VALUE"""),"Credit Card")</f>
        <v>Credit Card</v>
      </c>
      <c r="I1443" s="18" t="str">
        <f>IFERROR(__xludf.DUMMYFUNCTION("""COMPUTED_VALUE"""),"Cancelled")</f>
        <v>Cancelled</v>
      </c>
      <c r="J1443" s="18" t="str">
        <f>IFERROR(__xludf.DUMMYFUNCTION("""COMPUTED_VALUE"""),"Delayed Delivery")</f>
        <v>Delayed Delivery</v>
      </c>
      <c r="K1443" s="18" t="str">
        <f>IFERROR(__xludf.DUMMYFUNCTION("""COMPUTED_VALUE"""),"Incorrect Address or Location")</f>
        <v>Incorrect Address or Location</v>
      </c>
      <c r="L1443" s="18">
        <f>iferror(VLOOKUP($D1443,Details!$A$2:$C$11,2,false),vlookup($D1443,Details!$E$2:$G$11,2,false))</f>
        <v>60</v>
      </c>
      <c r="M1443" s="18" t="str">
        <f>iferror(VLOOKUP($D1443,Details!$A$2:$C$11,3,false),vlookup($D1443,Details!$E$2:$G$11,3,false))</f>
        <v>Fruits and Vegetables</v>
      </c>
      <c r="N1443" s="18">
        <f t="shared" si="1"/>
        <v>60</v>
      </c>
      <c r="O1443" s="17"/>
      <c r="P1443" s="17"/>
      <c r="Q1443" s="17"/>
      <c r="R1443" s="17"/>
      <c r="S1443" s="17"/>
      <c r="T1443" s="17"/>
      <c r="U1443" s="17"/>
      <c r="V1443" s="17"/>
      <c r="W1443" s="17"/>
      <c r="X1443" s="17"/>
      <c r="Y1443" s="17"/>
      <c r="Z1443" s="17"/>
    </row>
    <row r="1444">
      <c r="A1444" s="18" t="str">
        <f>IFERROR(__xludf.DUMMYFUNCTION("""COMPUTED_VALUE"""),"ord_71422")</f>
        <v>ord_71422</v>
      </c>
      <c r="B1444" s="18" t="str">
        <f>IFERROR(__xludf.DUMMYFUNCTION("""COMPUTED_VALUE"""),"Anaya Rao")</f>
        <v>Anaya Rao</v>
      </c>
      <c r="C1444" s="18" t="str">
        <f>IFERROR(__xludf.DUMMYFUNCTION("""COMPUTED_VALUE"""),"Colaba")</f>
        <v>Colaba</v>
      </c>
      <c r="D1444" s="18" t="str">
        <f>IFERROR(__xludf.DUMMYFUNCTION("""COMPUTED_VALUE"""),"Chocolate Mousse")</f>
        <v>Chocolate Mousse</v>
      </c>
      <c r="E1444" s="18">
        <f>IFERROR(__xludf.DUMMYFUNCTION("""COMPUTED_VALUE"""),4.0)</f>
        <v>4</v>
      </c>
      <c r="F1444" s="18" t="str">
        <f>IFERROR(__xludf.DUMMYFUNCTION("""COMPUTED_VALUE"""),"Not Assigned")</f>
        <v>Not Assigned</v>
      </c>
      <c r="G1444" s="19">
        <f>IFERROR(__xludf.DUMMYFUNCTION("""COMPUTED_VALUE"""),44996.0)</f>
        <v>44996</v>
      </c>
      <c r="H1444" s="18" t="str">
        <f>IFERROR(__xludf.DUMMYFUNCTION("""COMPUTED_VALUE"""),"Credit Card")</f>
        <v>Credit Card</v>
      </c>
      <c r="I1444" s="18" t="str">
        <f>IFERROR(__xludf.DUMMYFUNCTION("""COMPUTED_VALUE"""),"Cancelled")</f>
        <v>Cancelled</v>
      </c>
      <c r="J1444" s="18" t="str">
        <f>IFERROR(__xludf.DUMMYFUNCTION("""COMPUTED_VALUE"""),"High Delivery Fees")</f>
        <v>High Delivery Fees</v>
      </c>
      <c r="K1444" s="18"/>
      <c r="L1444" s="18">
        <f>iferror(VLOOKUP($D1444,Details!$A$2:$C$11,2,false),vlookup($D1444,Details!$E$2:$G$11,2,false))</f>
        <v>145</v>
      </c>
      <c r="M1444" s="18" t="str">
        <f>iferror(VLOOKUP($D1444,Details!$A$2:$C$11,3,false),vlookup($D1444,Details!$E$2:$G$11,3,false))</f>
        <v>Snacks and Drinks</v>
      </c>
      <c r="N1444" s="18">
        <f t="shared" si="1"/>
        <v>580</v>
      </c>
      <c r="O1444" s="17"/>
      <c r="P1444" s="17"/>
      <c r="Q1444" s="17"/>
      <c r="R1444" s="17"/>
      <c r="S1444" s="17"/>
      <c r="T1444" s="17"/>
      <c r="U1444" s="17"/>
      <c r="V1444" s="17"/>
      <c r="W1444" s="17"/>
      <c r="X1444" s="17"/>
      <c r="Y1444" s="17"/>
      <c r="Z1444" s="17"/>
    </row>
    <row r="1445">
      <c r="A1445" s="18" t="str">
        <f>IFERROR(__xludf.DUMMYFUNCTION("""COMPUTED_VALUE"""),"ord_71423")</f>
        <v>ord_71423</v>
      </c>
      <c r="B1445" s="18" t="str">
        <f>IFERROR(__xludf.DUMMYFUNCTION("""COMPUTED_VALUE"""),"Tanishq Bansal")</f>
        <v>Tanishq Bansal</v>
      </c>
      <c r="C1445" s="18" t="str">
        <f>IFERROR(__xludf.DUMMYFUNCTION("""COMPUTED_VALUE"""),"Powai")</f>
        <v>Powai</v>
      </c>
      <c r="D1445" s="18" t="str">
        <f>IFERROR(__xludf.DUMMYFUNCTION("""COMPUTED_VALUE"""),"Chilli Cheese Toast")</f>
        <v>Chilli Cheese Toast</v>
      </c>
      <c r="E1445" s="18">
        <f>IFERROR(__xludf.DUMMYFUNCTION("""COMPUTED_VALUE"""),4.0)</f>
        <v>4</v>
      </c>
      <c r="F1445" s="18" t="str">
        <f>IFERROR(__xludf.DUMMYFUNCTION("""COMPUTED_VALUE"""),"Not Assigned")</f>
        <v>Not Assigned</v>
      </c>
      <c r="G1445" s="19">
        <f>IFERROR(__xludf.DUMMYFUNCTION("""COMPUTED_VALUE"""),44964.0)</f>
        <v>44964</v>
      </c>
      <c r="H1445" s="18" t="str">
        <f>IFERROR(__xludf.DUMMYFUNCTION("""COMPUTED_VALUE"""),"Credit Card")</f>
        <v>Credit Card</v>
      </c>
      <c r="I1445" s="18" t="str">
        <f>IFERROR(__xludf.DUMMYFUNCTION("""COMPUTED_VALUE"""),"Cancelled")</f>
        <v>Cancelled</v>
      </c>
      <c r="J1445" s="18" t="str">
        <f>IFERROR(__xludf.DUMMYFUNCTION("""COMPUTED_VALUE"""),"App Glitches")</f>
        <v>App Glitches</v>
      </c>
      <c r="K1445" s="18" t="str">
        <f>IFERROR(__xludf.DUMMYFUNCTION("""COMPUTED_VALUE"""),"Error Messages")</f>
        <v>Error Messages</v>
      </c>
      <c r="L1445" s="18">
        <f>iferror(VLOOKUP($D1445,Details!$A$2:$C$11,2,false),vlookup($D1445,Details!$E$2:$G$11,2,false))</f>
        <v>80</v>
      </c>
      <c r="M1445" s="18" t="str">
        <f>iferror(VLOOKUP($D1445,Details!$A$2:$C$11,3,false),vlookup($D1445,Details!$E$2:$G$11,3,false))</f>
        <v>Snacks and Drinks</v>
      </c>
      <c r="N1445" s="18">
        <f t="shared" si="1"/>
        <v>320</v>
      </c>
      <c r="O1445" s="17"/>
      <c r="P1445" s="17"/>
      <c r="Q1445" s="17"/>
      <c r="R1445" s="17"/>
      <c r="S1445" s="17"/>
      <c r="T1445" s="17"/>
      <c r="U1445" s="17"/>
      <c r="V1445" s="17"/>
      <c r="W1445" s="17"/>
      <c r="X1445" s="17"/>
      <c r="Y1445" s="17"/>
      <c r="Z1445" s="17"/>
    </row>
    <row r="1446">
      <c r="A1446" s="18" t="str">
        <f>IFERROR(__xludf.DUMMYFUNCTION("""COMPUTED_VALUE"""),"ord_71424")</f>
        <v>ord_71424</v>
      </c>
      <c r="B1446" s="18" t="str">
        <f>IFERROR(__xludf.DUMMYFUNCTION("""COMPUTED_VALUE"""),"Pallavi Ghosh")</f>
        <v>Pallavi Ghosh</v>
      </c>
      <c r="C1446" s="18" t="str">
        <f>IFERROR(__xludf.DUMMYFUNCTION("""COMPUTED_VALUE"""),"Bandra")</f>
        <v>Bandra</v>
      </c>
      <c r="D1446" s="18" t="str">
        <f>IFERROR(__xludf.DUMMYFUNCTION("""COMPUTED_VALUE"""),"Papaya")</f>
        <v>Papaya</v>
      </c>
      <c r="E1446" s="18">
        <f>IFERROR(__xludf.DUMMYFUNCTION("""COMPUTED_VALUE"""),1.0)</f>
        <v>1</v>
      </c>
      <c r="F1446" s="18" t="str">
        <f>IFERROR(__xludf.DUMMYFUNCTION("""COMPUTED_VALUE"""),"Venu R")</f>
        <v>Venu R</v>
      </c>
      <c r="G1446" s="19">
        <f>IFERROR(__xludf.DUMMYFUNCTION("""COMPUTED_VALUE"""),45055.0)</f>
        <v>45055</v>
      </c>
      <c r="H1446" s="18" t="str">
        <f>IFERROR(__xludf.DUMMYFUNCTION("""COMPUTED_VALUE"""),"Credit Card")</f>
        <v>Credit Card</v>
      </c>
      <c r="I1446" s="18" t="str">
        <f>IFERROR(__xludf.DUMMYFUNCTION("""COMPUTED_VALUE"""),"Delivered")</f>
        <v>Delivered</v>
      </c>
      <c r="J1446" s="18" t="str">
        <f>IFERROR(__xludf.DUMMYFUNCTION("""COMPUTED_VALUE"""),"On-time Delivery")</f>
        <v>On-time Delivery</v>
      </c>
      <c r="K1446" s="18" t="str">
        <f>IFERROR(__xludf.DUMMYFUNCTION("""COMPUTED_VALUE"""),"Delivered on time")</f>
        <v>Delivered on time</v>
      </c>
      <c r="L1446" s="18">
        <f>iferror(VLOOKUP($D1446,Details!$A$2:$C$11,2,false),vlookup($D1446,Details!$E$2:$G$11,2,false))</f>
        <v>75</v>
      </c>
      <c r="M1446" s="18" t="str">
        <f>iferror(VLOOKUP($D1446,Details!$A$2:$C$11,3,false),vlookup($D1446,Details!$E$2:$G$11,3,false))</f>
        <v>Fruits and Vegetables</v>
      </c>
      <c r="N1446" s="18">
        <f t="shared" si="1"/>
        <v>75</v>
      </c>
      <c r="O1446" s="17"/>
      <c r="P1446" s="17"/>
      <c r="Q1446" s="17"/>
      <c r="R1446" s="17"/>
      <c r="S1446" s="17"/>
      <c r="T1446" s="17"/>
      <c r="U1446" s="17"/>
      <c r="V1446" s="17"/>
      <c r="W1446" s="17"/>
      <c r="X1446" s="17"/>
      <c r="Y1446" s="17"/>
      <c r="Z1446" s="17"/>
    </row>
    <row r="1447">
      <c r="A1447" s="18" t="str">
        <f>IFERROR(__xludf.DUMMYFUNCTION("""COMPUTED_VALUE"""),"ord_71425")</f>
        <v>ord_71425</v>
      </c>
      <c r="B1447" s="18" t="str">
        <f>IFERROR(__xludf.DUMMYFUNCTION("""COMPUTED_VALUE"""),"Siya Reddy")</f>
        <v>Siya Reddy</v>
      </c>
      <c r="C1447" s="18" t="str">
        <f>IFERROR(__xludf.DUMMYFUNCTION("""COMPUTED_VALUE"""),"Juhu")</f>
        <v>Juhu</v>
      </c>
      <c r="D1447" s="18" t="str">
        <f>IFERROR(__xludf.DUMMYFUNCTION("""COMPUTED_VALUE"""),"Chilli Cheese Toast")</f>
        <v>Chilli Cheese Toast</v>
      </c>
      <c r="E1447" s="18">
        <f>IFERROR(__xludf.DUMMYFUNCTION("""COMPUTED_VALUE"""),2.0)</f>
        <v>2</v>
      </c>
      <c r="F1447" s="18" t="str">
        <f>IFERROR(__xludf.DUMMYFUNCTION("""COMPUTED_VALUE"""),"Vivek Kumar")</f>
        <v>Vivek Kumar</v>
      </c>
      <c r="G1447" s="19">
        <f>IFERROR(__xludf.DUMMYFUNCTION("""COMPUTED_VALUE"""),45140.0)</f>
        <v>45140</v>
      </c>
      <c r="H1447" s="18" t="str">
        <f>IFERROR(__xludf.DUMMYFUNCTION("""COMPUTED_VALUE"""),"COD")</f>
        <v>COD</v>
      </c>
      <c r="I1447" s="18" t="str">
        <f>IFERROR(__xludf.DUMMYFUNCTION("""COMPUTED_VALUE"""),"Delivered")</f>
        <v>Delivered</v>
      </c>
      <c r="J1447" s="18" t="str">
        <f>IFERROR(__xludf.DUMMYFUNCTION("""COMPUTED_VALUE"""),"Quality of Items")</f>
        <v>Quality of Items</v>
      </c>
      <c r="K1447" s="18" t="str">
        <f>IFERROR(__xludf.DUMMYFUNCTION("""COMPUTED_VALUE"""),"Perfect condition")</f>
        <v>Perfect condition</v>
      </c>
      <c r="L1447" s="18">
        <f>iferror(VLOOKUP($D1447,Details!$A$2:$C$11,2,false),vlookup($D1447,Details!$E$2:$G$11,2,false))</f>
        <v>80</v>
      </c>
      <c r="M1447" s="18" t="str">
        <f>iferror(VLOOKUP($D1447,Details!$A$2:$C$11,3,false),vlookup($D1447,Details!$E$2:$G$11,3,false))</f>
        <v>Snacks and Drinks</v>
      </c>
      <c r="N1447" s="18">
        <f t="shared" si="1"/>
        <v>160</v>
      </c>
      <c r="O1447" s="17"/>
      <c r="P1447" s="17"/>
      <c r="Q1447" s="17"/>
      <c r="R1447" s="17"/>
      <c r="S1447" s="17"/>
      <c r="T1447" s="17"/>
      <c r="U1447" s="17"/>
      <c r="V1447" s="17"/>
      <c r="W1447" s="17"/>
      <c r="X1447" s="17"/>
      <c r="Y1447" s="17"/>
      <c r="Z1447" s="17"/>
    </row>
    <row r="1448">
      <c r="A1448" s="18" t="str">
        <f>IFERROR(__xludf.DUMMYFUNCTION("""COMPUTED_VALUE"""),"ord_71426")</f>
        <v>ord_71426</v>
      </c>
      <c r="B1448" s="18" t="str">
        <f>IFERROR(__xludf.DUMMYFUNCTION("""COMPUTED_VALUE"""),"Tanishq Bansal")</f>
        <v>Tanishq Bansal</v>
      </c>
      <c r="C1448" s="18" t="str">
        <f>IFERROR(__xludf.DUMMYFUNCTION("""COMPUTED_VALUE"""),"Powai")</f>
        <v>Powai</v>
      </c>
      <c r="D1448" s="18" t="str">
        <f>IFERROR(__xludf.DUMMYFUNCTION("""COMPUTED_VALUE"""),"Cucumber")</f>
        <v>Cucumber</v>
      </c>
      <c r="E1448" s="18">
        <f>IFERROR(__xludf.DUMMYFUNCTION("""COMPUTED_VALUE"""),1.0)</f>
        <v>1</v>
      </c>
      <c r="F1448" s="18" t="str">
        <f>IFERROR(__xludf.DUMMYFUNCTION("""COMPUTED_VALUE"""),"Ramesh S")</f>
        <v>Ramesh S</v>
      </c>
      <c r="G1448" s="19">
        <f>IFERROR(__xludf.DUMMYFUNCTION("""COMPUTED_VALUE"""),44952.0)</f>
        <v>44952</v>
      </c>
      <c r="H1448" s="18" t="str">
        <f>IFERROR(__xludf.DUMMYFUNCTION("""COMPUTED_VALUE"""),"COD")</f>
        <v>COD</v>
      </c>
      <c r="I1448" s="18" t="str">
        <f>IFERROR(__xludf.DUMMYFUNCTION("""COMPUTED_VALUE"""),"Delivered")</f>
        <v>Delivered</v>
      </c>
      <c r="J1448" s="18" t="str">
        <f>IFERROR(__xludf.DUMMYFUNCTION("""COMPUTED_VALUE"""),"On-time Delivery")</f>
        <v>On-time Delivery</v>
      </c>
      <c r="K1448" s="18" t="str">
        <f>IFERROR(__xludf.DUMMYFUNCTION("""COMPUTED_VALUE"""),"Delivered on time")</f>
        <v>Delivered on time</v>
      </c>
      <c r="L1448" s="18">
        <f>iferror(VLOOKUP($D1448,Details!$A$2:$C$11,2,false),vlookup($D1448,Details!$E$2:$G$11,2,false))</f>
        <v>30</v>
      </c>
      <c r="M1448" s="18" t="str">
        <f>iferror(VLOOKUP($D1448,Details!$A$2:$C$11,3,false),vlookup($D1448,Details!$E$2:$G$11,3,false))</f>
        <v>Fruits and Vegetables</v>
      </c>
      <c r="N1448" s="18">
        <f t="shared" si="1"/>
        <v>30</v>
      </c>
      <c r="O1448" s="17"/>
      <c r="P1448" s="17"/>
      <c r="Q1448" s="17"/>
      <c r="R1448" s="17"/>
      <c r="S1448" s="17"/>
      <c r="T1448" s="17"/>
      <c r="U1448" s="17"/>
      <c r="V1448" s="17"/>
      <c r="W1448" s="17"/>
      <c r="X1448" s="17"/>
      <c r="Y1448" s="17"/>
      <c r="Z1448" s="17"/>
    </row>
    <row r="1449">
      <c r="A1449" s="18" t="str">
        <f>IFERROR(__xludf.DUMMYFUNCTION("""COMPUTED_VALUE"""),"ord_71427")</f>
        <v>ord_71427</v>
      </c>
      <c r="B1449" s="18" t="str">
        <f>IFERROR(__xludf.DUMMYFUNCTION("""COMPUTED_VALUE"""),"Dev Chauhan")</f>
        <v>Dev Chauhan</v>
      </c>
      <c r="C1449" s="18" t="str">
        <f>IFERROR(__xludf.DUMMYFUNCTION("""COMPUTED_VALUE"""),"Bandra")</f>
        <v>Bandra</v>
      </c>
      <c r="D1449" s="18" t="str">
        <f>IFERROR(__xludf.DUMMYFUNCTION("""COMPUTED_VALUE"""),"Guava")</f>
        <v>Guava</v>
      </c>
      <c r="E1449" s="18">
        <f>IFERROR(__xludf.DUMMYFUNCTION("""COMPUTED_VALUE"""),2.0)</f>
        <v>2</v>
      </c>
      <c r="F1449" s="18" t="str">
        <f>IFERROR(__xludf.DUMMYFUNCTION("""COMPUTED_VALUE"""),"Not Assigned")</f>
        <v>Not Assigned</v>
      </c>
      <c r="G1449" s="19">
        <f>IFERROR(__xludf.DUMMYFUNCTION("""COMPUTED_VALUE"""),44961.0)</f>
        <v>44961</v>
      </c>
      <c r="H1449" s="18" t="str">
        <f>IFERROR(__xludf.DUMMYFUNCTION("""COMPUTED_VALUE"""),"Credit Card")</f>
        <v>Credit Card</v>
      </c>
      <c r="I1449" s="18" t="str">
        <f>IFERROR(__xludf.DUMMYFUNCTION("""COMPUTED_VALUE"""),"Cancelled")</f>
        <v>Cancelled</v>
      </c>
      <c r="J1449" s="18" t="str">
        <f>IFERROR(__xludf.DUMMYFUNCTION("""COMPUTED_VALUE"""),"Payment Issues")</f>
        <v>Payment Issues</v>
      </c>
      <c r="K1449" s="18"/>
      <c r="L1449" s="18">
        <f>iferror(VLOOKUP($D1449,Details!$A$2:$C$11,2,false),vlookup($D1449,Details!$E$2:$G$11,2,false))</f>
        <v>70</v>
      </c>
      <c r="M1449" s="18" t="str">
        <f>iferror(VLOOKUP($D1449,Details!$A$2:$C$11,3,false),vlookup($D1449,Details!$E$2:$G$11,3,false))</f>
        <v>Fruits and Vegetables</v>
      </c>
      <c r="N1449" s="18">
        <f t="shared" si="1"/>
        <v>140</v>
      </c>
      <c r="O1449" s="17"/>
      <c r="P1449" s="17"/>
      <c r="Q1449" s="17"/>
      <c r="R1449" s="17"/>
      <c r="S1449" s="17"/>
      <c r="T1449" s="17"/>
      <c r="U1449" s="17"/>
      <c r="V1449" s="17"/>
      <c r="W1449" s="17"/>
      <c r="X1449" s="17"/>
      <c r="Y1449" s="17"/>
      <c r="Z1449" s="17"/>
    </row>
    <row r="1450">
      <c r="A1450" s="18" t="str">
        <f>IFERROR(__xludf.DUMMYFUNCTION("""COMPUTED_VALUE"""),"ord_71428")</f>
        <v>ord_71428</v>
      </c>
      <c r="B1450" s="18" t="str">
        <f>IFERROR(__xludf.DUMMYFUNCTION("""COMPUTED_VALUE"""),"Tanishq Bansal")</f>
        <v>Tanishq Bansal</v>
      </c>
      <c r="C1450" s="18" t="str">
        <f>IFERROR(__xludf.DUMMYFUNCTION("""COMPUTED_VALUE"""),"Powai")</f>
        <v>Powai</v>
      </c>
      <c r="D1450" s="18" t="str">
        <f>IFERROR(__xludf.DUMMYFUNCTION("""COMPUTED_VALUE"""),"Icecream")</f>
        <v>Icecream</v>
      </c>
      <c r="E1450" s="18">
        <f>IFERROR(__xludf.DUMMYFUNCTION("""COMPUTED_VALUE"""),1.0)</f>
        <v>1</v>
      </c>
      <c r="F1450" s="18" t="str">
        <f>IFERROR(__xludf.DUMMYFUNCTION("""COMPUTED_VALUE"""),"Not Assigned")</f>
        <v>Not Assigned</v>
      </c>
      <c r="G1450" s="19">
        <f>IFERROR(__xludf.DUMMYFUNCTION("""COMPUTED_VALUE"""),45126.0)</f>
        <v>45126</v>
      </c>
      <c r="H1450" s="18" t="str">
        <f>IFERROR(__xludf.DUMMYFUNCTION("""COMPUTED_VALUE"""),"UPI")</f>
        <v>UPI</v>
      </c>
      <c r="I1450" s="18" t="str">
        <f>IFERROR(__xludf.DUMMYFUNCTION("""COMPUTED_VALUE"""),"Cancelled")</f>
        <v>Cancelled</v>
      </c>
      <c r="J1450" s="18" t="str">
        <f>IFERROR(__xludf.DUMMYFUNCTION("""COMPUTED_VALUE"""),"App Glitches")</f>
        <v>App Glitches</v>
      </c>
      <c r="K1450" s="18" t="str">
        <f>IFERROR(__xludf.DUMMYFUNCTION("""COMPUTED_VALUE"""),"Slow Loading Time")</f>
        <v>Slow Loading Time</v>
      </c>
      <c r="L1450" s="18">
        <f>iferror(VLOOKUP($D1450,Details!$A$2:$C$11,2,false),vlookup($D1450,Details!$E$2:$G$11,2,false))</f>
        <v>90</v>
      </c>
      <c r="M1450" s="18" t="str">
        <f>iferror(VLOOKUP($D1450,Details!$A$2:$C$11,3,false),vlookup($D1450,Details!$E$2:$G$11,3,false))</f>
        <v>Snacks and Drinks</v>
      </c>
      <c r="N1450" s="18">
        <f t="shared" si="1"/>
        <v>90</v>
      </c>
      <c r="O1450" s="17"/>
      <c r="P1450" s="17"/>
      <c r="Q1450" s="17"/>
      <c r="R1450" s="17"/>
      <c r="S1450" s="17"/>
      <c r="T1450" s="17"/>
      <c r="U1450" s="17"/>
      <c r="V1450" s="17"/>
      <c r="W1450" s="17"/>
      <c r="X1450" s="17"/>
      <c r="Y1450" s="17"/>
      <c r="Z1450" s="17"/>
    </row>
    <row r="1451">
      <c r="A1451" s="18" t="str">
        <f>IFERROR(__xludf.DUMMYFUNCTION("""COMPUTED_VALUE"""),"ord_71429")</f>
        <v>ord_71429</v>
      </c>
      <c r="B1451" s="18" t="str">
        <f>IFERROR(__xludf.DUMMYFUNCTION("""COMPUTED_VALUE"""),"Pallavi Ghosh")</f>
        <v>Pallavi Ghosh</v>
      </c>
      <c r="C1451" s="18" t="str">
        <f>IFERROR(__xludf.DUMMYFUNCTION("""COMPUTED_VALUE"""),"Bandra")</f>
        <v>Bandra</v>
      </c>
      <c r="D1451" s="18" t="str">
        <f>IFERROR(__xludf.DUMMYFUNCTION("""COMPUTED_VALUE"""),"Onion")</f>
        <v>Onion</v>
      </c>
      <c r="E1451" s="18">
        <f>IFERROR(__xludf.DUMMYFUNCTION("""COMPUTED_VALUE"""),2.0)</f>
        <v>2</v>
      </c>
      <c r="F1451" s="18" t="str">
        <f>IFERROR(__xludf.DUMMYFUNCTION("""COMPUTED_VALUE"""),"Not Assigned")</f>
        <v>Not Assigned</v>
      </c>
      <c r="G1451" s="19">
        <f>IFERROR(__xludf.DUMMYFUNCTION("""COMPUTED_VALUE"""),45066.0)</f>
        <v>45066</v>
      </c>
      <c r="H1451" s="18" t="str">
        <f>IFERROR(__xludf.DUMMYFUNCTION("""COMPUTED_VALUE"""),"Online Payment")</f>
        <v>Online Payment</v>
      </c>
      <c r="I1451" s="18" t="str">
        <f>IFERROR(__xludf.DUMMYFUNCTION("""COMPUTED_VALUE"""),"Cancelled")</f>
        <v>Cancelled</v>
      </c>
      <c r="J1451" s="18" t="str">
        <f>IFERROR(__xludf.DUMMYFUNCTION("""COMPUTED_VALUE"""),"App Glitches")</f>
        <v>App Glitches</v>
      </c>
      <c r="K1451" s="18" t="str">
        <f>IFERROR(__xludf.DUMMYFUNCTION("""COMPUTED_VALUE"""),"Inconsistent Data Display")</f>
        <v>Inconsistent Data Display</v>
      </c>
      <c r="L1451" s="18">
        <f>iferror(VLOOKUP($D1451,Details!$A$2:$C$11,2,false),vlookup($D1451,Details!$E$2:$G$11,2,false))</f>
        <v>84</v>
      </c>
      <c r="M1451" s="18" t="str">
        <f>iferror(VLOOKUP($D1451,Details!$A$2:$C$11,3,false),vlookup($D1451,Details!$E$2:$G$11,3,false))</f>
        <v>Fruits and Vegetables</v>
      </c>
      <c r="N1451" s="18">
        <f t="shared" si="1"/>
        <v>168</v>
      </c>
      <c r="O1451" s="17"/>
      <c r="P1451" s="17"/>
      <c r="Q1451" s="17"/>
      <c r="R1451" s="17"/>
      <c r="S1451" s="17"/>
      <c r="T1451" s="17"/>
      <c r="U1451" s="17"/>
      <c r="V1451" s="17"/>
      <c r="W1451" s="17"/>
      <c r="X1451" s="17"/>
      <c r="Y1451" s="17"/>
      <c r="Z1451" s="17"/>
    </row>
    <row r="1452">
      <c r="A1452" s="18" t="str">
        <f>IFERROR(__xludf.DUMMYFUNCTION("""COMPUTED_VALUE"""),"ord_71430")</f>
        <v>ord_71430</v>
      </c>
      <c r="B1452" s="18" t="str">
        <f>IFERROR(__xludf.DUMMYFUNCTION("""COMPUTED_VALUE"""),"Diya Arora")</f>
        <v>Diya Arora</v>
      </c>
      <c r="C1452" s="18" t="str">
        <f>IFERROR(__xludf.DUMMYFUNCTION("""COMPUTED_VALUE"""),"Lower Parel")</f>
        <v>Lower Parel</v>
      </c>
      <c r="D1452" s="18" t="str">
        <f>IFERROR(__xludf.DUMMYFUNCTION("""COMPUTED_VALUE"""),"Chocolate Mousse")</f>
        <v>Chocolate Mousse</v>
      </c>
      <c r="E1452" s="18">
        <f>IFERROR(__xludf.DUMMYFUNCTION("""COMPUTED_VALUE"""),3.0)</f>
        <v>3</v>
      </c>
      <c r="F1452" s="18" t="str">
        <f>IFERROR(__xludf.DUMMYFUNCTION("""COMPUTED_VALUE"""),"Kiran Mehta")</f>
        <v>Kiran Mehta</v>
      </c>
      <c r="G1452" s="19">
        <f>IFERROR(__xludf.DUMMYFUNCTION("""COMPUTED_VALUE"""),45059.0)</f>
        <v>45059</v>
      </c>
      <c r="H1452" s="18" t="str">
        <f>IFERROR(__xludf.DUMMYFUNCTION("""COMPUTED_VALUE"""),"UPI")</f>
        <v>UPI</v>
      </c>
      <c r="I1452" s="18" t="str">
        <f>IFERROR(__xludf.DUMMYFUNCTION("""COMPUTED_VALUE"""),"Delivered")</f>
        <v>Delivered</v>
      </c>
      <c r="J1452" s="18" t="str">
        <f>IFERROR(__xludf.DUMMYFUNCTION("""COMPUTED_VALUE"""),"Quality of Items")</f>
        <v>Quality of Items</v>
      </c>
      <c r="K1452" s="18" t="str">
        <f>IFERROR(__xludf.DUMMYFUNCTION("""COMPUTED_VALUE"""),"Perfect condition")</f>
        <v>Perfect condition</v>
      </c>
      <c r="L1452" s="18">
        <f>iferror(VLOOKUP($D1452,Details!$A$2:$C$11,2,false),vlookup($D1452,Details!$E$2:$G$11,2,false))</f>
        <v>145</v>
      </c>
      <c r="M1452" s="18" t="str">
        <f>iferror(VLOOKUP($D1452,Details!$A$2:$C$11,3,false),vlookup($D1452,Details!$E$2:$G$11,3,false))</f>
        <v>Snacks and Drinks</v>
      </c>
      <c r="N1452" s="18">
        <f t="shared" si="1"/>
        <v>435</v>
      </c>
      <c r="O1452" s="17"/>
      <c r="P1452" s="17"/>
      <c r="Q1452" s="17"/>
      <c r="R1452" s="17"/>
      <c r="S1452" s="17"/>
      <c r="T1452" s="17"/>
      <c r="U1452" s="17"/>
      <c r="V1452" s="17"/>
      <c r="W1452" s="17"/>
      <c r="X1452" s="17"/>
      <c r="Y1452" s="17"/>
      <c r="Z1452" s="17"/>
    </row>
    <row r="1453">
      <c r="A1453" s="18" t="str">
        <f>IFERROR(__xludf.DUMMYFUNCTION("""COMPUTED_VALUE"""),"ord_71431")</f>
        <v>ord_71431</v>
      </c>
      <c r="B1453" s="18" t="str">
        <f>IFERROR(__xludf.DUMMYFUNCTION("""COMPUTED_VALUE"""),"Kritika Shetty")</f>
        <v>Kritika Shetty</v>
      </c>
      <c r="C1453" s="18" t="str">
        <f>IFERROR(__xludf.DUMMYFUNCTION("""COMPUTED_VALUE"""),"Malad")</f>
        <v>Malad</v>
      </c>
      <c r="D1453" s="18" t="str">
        <f>IFERROR(__xludf.DUMMYFUNCTION("""COMPUTED_VALUE"""),"Papaya")</f>
        <v>Papaya</v>
      </c>
      <c r="E1453" s="18">
        <f>IFERROR(__xludf.DUMMYFUNCTION("""COMPUTED_VALUE"""),1.0)</f>
        <v>1</v>
      </c>
      <c r="F1453" s="18" t="str">
        <f>IFERROR(__xludf.DUMMYFUNCTION("""COMPUTED_VALUE"""),"Neha Shah")</f>
        <v>Neha Shah</v>
      </c>
      <c r="G1453" s="19">
        <f>IFERROR(__xludf.DUMMYFUNCTION("""COMPUTED_VALUE"""),44988.0)</f>
        <v>44988</v>
      </c>
      <c r="H1453" s="18" t="str">
        <f>IFERROR(__xludf.DUMMYFUNCTION("""COMPUTED_VALUE"""),"Credit Card")</f>
        <v>Credit Card</v>
      </c>
      <c r="I1453" s="18" t="str">
        <f>IFERROR(__xludf.DUMMYFUNCTION("""COMPUTED_VALUE"""),"Delivered")</f>
        <v>Delivered</v>
      </c>
      <c r="J1453" s="18" t="str">
        <f>IFERROR(__xludf.DUMMYFUNCTION("""COMPUTED_VALUE"""),"Packaging")</f>
        <v>Packaging</v>
      </c>
      <c r="K1453" s="18" t="str">
        <f>IFERROR(__xludf.DUMMYFUNCTION("""COMPUTED_VALUE"""),"Secure and intact")</f>
        <v>Secure and intact</v>
      </c>
      <c r="L1453" s="18">
        <f>iferror(VLOOKUP($D1453,Details!$A$2:$C$11,2,false),vlookup($D1453,Details!$E$2:$G$11,2,false))</f>
        <v>75</v>
      </c>
      <c r="M1453" s="18" t="str">
        <f>iferror(VLOOKUP($D1453,Details!$A$2:$C$11,3,false),vlookup($D1453,Details!$E$2:$G$11,3,false))</f>
        <v>Fruits and Vegetables</v>
      </c>
      <c r="N1453" s="18">
        <f t="shared" si="1"/>
        <v>75</v>
      </c>
      <c r="O1453" s="17"/>
      <c r="P1453" s="17"/>
      <c r="Q1453" s="17"/>
      <c r="R1453" s="17"/>
      <c r="S1453" s="17"/>
      <c r="T1453" s="17"/>
      <c r="U1453" s="17"/>
      <c r="V1453" s="17"/>
      <c r="W1453" s="17"/>
      <c r="X1453" s="17"/>
      <c r="Y1453" s="17"/>
      <c r="Z1453" s="17"/>
    </row>
    <row r="1454">
      <c r="A1454" s="18" t="str">
        <f>IFERROR(__xludf.DUMMYFUNCTION("""COMPUTED_VALUE"""),"ord_71432")</f>
        <v>ord_71432</v>
      </c>
      <c r="B1454" s="18" t="str">
        <f>IFERROR(__xludf.DUMMYFUNCTION("""COMPUTED_VALUE"""),"Aditi Iyer")</f>
        <v>Aditi Iyer</v>
      </c>
      <c r="C1454" s="18" t="str">
        <f>IFERROR(__xludf.DUMMYFUNCTION("""COMPUTED_VALUE"""),"Dadar")</f>
        <v>Dadar</v>
      </c>
      <c r="D1454" s="18" t="str">
        <f>IFERROR(__xludf.DUMMYFUNCTION("""COMPUTED_VALUE"""),"Potato")</f>
        <v>Potato</v>
      </c>
      <c r="E1454" s="18">
        <f>IFERROR(__xludf.DUMMYFUNCTION("""COMPUTED_VALUE"""),2.0)</f>
        <v>2</v>
      </c>
      <c r="F1454" s="18" t="str">
        <f>IFERROR(__xludf.DUMMYFUNCTION("""COMPUTED_VALUE"""),"Not Assigned")</f>
        <v>Not Assigned</v>
      </c>
      <c r="G1454" s="19">
        <f>IFERROR(__xludf.DUMMYFUNCTION("""COMPUTED_VALUE"""),45065.0)</f>
        <v>45065</v>
      </c>
      <c r="H1454" s="18" t="str">
        <f>IFERROR(__xludf.DUMMYFUNCTION("""COMPUTED_VALUE"""),"UPI")</f>
        <v>UPI</v>
      </c>
      <c r="I1454" s="18" t="str">
        <f>IFERROR(__xludf.DUMMYFUNCTION("""COMPUTED_VALUE"""),"Cancelled")</f>
        <v>Cancelled</v>
      </c>
      <c r="J1454" s="18" t="str">
        <f>IFERROR(__xludf.DUMMYFUNCTION("""COMPUTED_VALUE"""),"High Delivery Fees")</f>
        <v>High Delivery Fees</v>
      </c>
      <c r="K1454" s="18"/>
      <c r="L1454" s="18">
        <f>iferror(VLOOKUP($D1454,Details!$A$2:$C$11,2,false),vlookup($D1454,Details!$E$2:$G$11,2,false))</f>
        <v>55</v>
      </c>
      <c r="M1454" s="18" t="str">
        <f>iferror(VLOOKUP($D1454,Details!$A$2:$C$11,3,false),vlookup($D1454,Details!$E$2:$G$11,3,false))</f>
        <v>Fruits and Vegetables</v>
      </c>
      <c r="N1454" s="18">
        <f t="shared" si="1"/>
        <v>110</v>
      </c>
      <c r="O1454" s="17"/>
      <c r="P1454" s="17"/>
      <c r="Q1454" s="17"/>
      <c r="R1454" s="17"/>
      <c r="S1454" s="17"/>
      <c r="T1454" s="17"/>
      <c r="U1454" s="17"/>
      <c r="V1454" s="17"/>
      <c r="W1454" s="17"/>
      <c r="X1454" s="17"/>
      <c r="Y1454" s="17"/>
      <c r="Z1454" s="17"/>
    </row>
    <row r="1455">
      <c r="A1455" s="18" t="str">
        <f>IFERROR(__xludf.DUMMYFUNCTION("""COMPUTED_VALUE"""),"ord_71433")</f>
        <v>ord_71433</v>
      </c>
      <c r="B1455" s="18" t="str">
        <f>IFERROR(__xludf.DUMMYFUNCTION("""COMPUTED_VALUE"""),"Mohit Malhotra")</f>
        <v>Mohit Malhotra</v>
      </c>
      <c r="C1455" s="18" t="str">
        <f>IFERROR(__xludf.DUMMYFUNCTION("""COMPUTED_VALUE"""),"Lower Parel")</f>
        <v>Lower Parel</v>
      </c>
      <c r="D1455" s="18" t="str">
        <f>IFERROR(__xludf.DUMMYFUNCTION("""COMPUTED_VALUE"""),"Papaya")</f>
        <v>Papaya</v>
      </c>
      <c r="E1455" s="18">
        <f>IFERROR(__xludf.DUMMYFUNCTION("""COMPUTED_VALUE"""),2.0)</f>
        <v>2</v>
      </c>
      <c r="F1455" s="18" t="str">
        <f>IFERROR(__xludf.DUMMYFUNCTION("""COMPUTED_VALUE"""),"Not Assigned")</f>
        <v>Not Assigned</v>
      </c>
      <c r="G1455" s="19">
        <f>IFERROR(__xludf.DUMMYFUNCTION("""COMPUTED_VALUE"""),44960.0)</f>
        <v>44960</v>
      </c>
      <c r="H1455" s="18" t="str">
        <f>IFERROR(__xludf.DUMMYFUNCTION("""COMPUTED_VALUE"""),"Credit Card")</f>
        <v>Credit Card</v>
      </c>
      <c r="I1455" s="18" t="str">
        <f>IFERROR(__xludf.DUMMYFUNCTION("""COMPUTED_VALUE"""),"Cancelled")</f>
        <v>Cancelled</v>
      </c>
      <c r="J1455" s="18" t="str">
        <f>IFERROR(__xludf.DUMMYFUNCTION("""COMPUTED_VALUE"""),"High Delivery Fees")</f>
        <v>High Delivery Fees</v>
      </c>
      <c r="K1455" s="18"/>
      <c r="L1455" s="18">
        <f>iferror(VLOOKUP($D1455,Details!$A$2:$C$11,2,false),vlookup($D1455,Details!$E$2:$G$11,2,false))</f>
        <v>75</v>
      </c>
      <c r="M1455" s="18" t="str">
        <f>iferror(VLOOKUP($D1455,Details!$A$2:$C$11,3,false),vlookup($D1455,Details!$E$2:$G$11,3,false))</f>
        <v>Fruits and Vegetables</v>
      </c>
      <c r="N1455" s="18">
        <f t="shared" si="1"/>
        <v>150</v>
      </c>
      <c r="O1455" s="17"/>
      <c r="P1455" s="17"/>
      <c r="Q1455" s="17"/>
      <c r="R1455" s="17"/>
      <c r="S1455" s="17"/>
      <c r="T1455" s="17"/>
      <c r="U1455" s="17"/>
      <c r="V1455" s="17"/>
      <c r="W1455" s="17"/>
      <c r="X1455" s="17"/>
      <c r="Y1455" s="17"/>
      <c r="Z1455" s="17"/>
    </row>
    <row r="1456">
      <c r="A1456" s="18" t="str">
        <f>IFERROR(__xludf.DUMMYFUNCTION("""COMPUTED_VALUE"""),"ord_71434")</f>
        <v>ord_71434</v>
      </c>
      <c r="B1456" s="18" t="str">
        <f>IFERROR(__xludf.DUMMYFUNCTION("""COMPUTED_VALUE"""),"Aditya Rao")</f>
        <v>Aditya Rao</v>
      </c>
      <c r="C1456" s="18" t="str">
        <f>IFERROR(__xludf.DUMMYFUNCTION("""COMPUTED_VALUE"""),"Lower Parel")</f>
        <v>Lower Parel</v>
      </c>
      <c r="D1456" s="18" t="str">
        <f>IFERROR(__xludf.DUMMYFUNCTION("""COMPUTED_VALUE"""),"Banana")</f>
        <v>Banana</v>
      </c>
      <c r="E1456" s="18">
        <f>IFERROR(__xludf.DUMMYFUNCTION("""COMPUTED_VALUE"""),3.0)</f>
        <v>3</v>
      </c>
      <c r="F1456" s="18" t="str">
        <f>IFERROR(__xludf.DUMMYFUNCTION("""COMPUTED_VALUE"""),"Kiran Mehta")</f>
        <v>Kiran Mehta</v>
      </c>
      <c r="G1456" s="19">
        <f>IFERROR(__xludf.DUMMYFUNCTION("""COMPUTED_VALUE"""),45065.0)</f>
        <v>45065</v>
      </c>
      <c r="H1456" s="18" t="str">
        <f>IFERROR(__xludf.DUMMYFUNCTION("""COMPUTED_VALUE"""),"UPI")</f>
        <v>UPI</v>
      </c>
      <c r="I1456" s="18" t="str">
        <f>IFERROR(__xludf.DUMMYFUNCTION("""COMPUTED_VALUE"""),"Delivered")</f>
        <v>Delivered</v>
      </c>
      <c r="J1456" s="18" t="str">
        <f>IFERROR(__xludf.DUMMYFUNCTION("""COMPUTED_VALUE"""),"Satisfied with the Delivery")</f>
        <v>Satisfied with the Delivery</v>
      </c>
      <c r="K1456" s="18" t="str">
        <f>IFERROR(__xludf.DUMMYFUNCTION("""COMPUTED_VALUE"""),"Timely and quality")</f>
        <v>Timely and quality</v>
      </c>
      <c r="L1456" s="18">
        <f>iferror(VLOOKUP($D1456,Details!$A$2:$C$11,2,false),vlookup($D1456,Details!$E$2:$G$11,2,false))</f>
        <v>80</v>
      </c>
      <c r="M1456" s="18" t="str">
        <f>iferror(VLOOKUP($D1456,Details!$A$2:$C$11,3,false),vlookup($D1456,Details!$E$2:$G$11,3,false))</f>
        <v>Fruits and Vegetables</v>
      </c>
      <c r="N1456" s="18">
        <f t="shared" si="1"/>
        <v>240</v>
      </c>
      <c r="O1456" s="17"/>
      <c r="P1456" s="17"/>
      <c r="Q1456" s="17"/>
      <c r="R1456" s="17"/>
      <c r="S1456" s="17"/>
      <c r="T1456" s="17"/>
      <c r="U1456" s="17"/>
      <c r="V1456" s="17"/>
      <c r="W1456" s="17"/>
      <c r="X1456" s="17"/>
      <c r="Y1456" s="17"/>
      <c r="Z1456" s="17"/>
    </row>
    <row r="1457">
      <c r="A1457" s="18" t="str">
        <f>IFERROR(__xludf.DUMMYFUNCTION("""COMPUTED_VALUE"""),"ord_71435")</f>
        <v>ord_71435</v>
      </c>
      <c r="B1457" s="18" t="str">
        <f>IFERROR(__xludf.DUMMYFUNCTION("""COMPUTED_VALUE"""),"Aditi Iyer")</f>
        <v>Aditi Iyer</v>
      </c>
      <c r="C1457" s="18" t="str">
        <f>IFERROR(__xludf.DUMMYFUNCTION("""COMPUTED_VALUE"""),"Dadar")</f>
        <v>Dadar</v>
      </c>
      <c r="D1457" s="18" t="str">
        <f>IFERROR(__xludf.DUMMYFUNCTION("""COMPUTED_VALUE"""),"Veg Puff")</f>
        <v>Veg Puff</v>
      </c>
      <c r="E1457" s="18">
        <f>IFERROR(__xludf.DUMMYFUNCTION("""COMPUTED_VALUE"""),5.0)</f>
        <v>5</v>
      </c>
      <c r="F1457" s="18" t="str">
        <f>IFERROR(__xludf.DUMMYFUNCTION("""COMPUTED_VALUE"""),"Sandeep Kumar")</f>
        <v>Sandeep Kumar</v>
      </c>
      <c r="G1457" s="19">
        <f>IFERROR(__xludf.DUMMYFUNCTION("""COMPUTED_VALUE"""),45209.0)</f>
        <v>45209</v>
      </c>
      <c r="H1457" s="18" t="str">
        <f>IFERROR(__xludf.DUMMYFUNCTION("""COMPUTED_VALUE"""),"Credit Card")</f>
        <v>Credit Card</v>
      </c>
      <c r="I1457" s="18" t="str">
        <f>IFERROR(__xludf.DUMMYFUNCTION("""COMPUTED_VALUE"""),"Cancelled")</f>
        <v>Cancelled</v>
      </c>
      <c r="J1457" s="18" t="str">
        <f>IFERROR(__xludf.DUMMYFUNCTION("""COMPUTED_VALUE"""),"Delayed Delivery")</f>
        <v>Delayed Delivery</v>
      </c>
      <c r="K1457" s="18" t="str">
        <f>IFERROR(__xludf.DUMMYFUNCTION("""COMPUTED_VALUE"""),"Traffic Accidents or Road Closures")</f>
        <v>Traffic Accidents or Road Closures</v>
      </c>
      <c r="L1457" s="18">
        <f>iferror(VLOOKUP($D1457,Details!$A$2:$C$11,2,false),vlookup($D1457,Details!$E$2:$G$11,2,false))</f>
        <v>80</v>
      </c>
      <c r="M1457" s="18" t="str">
        <f>iferror(VLOOKUP($D1457,Details!$A$2:$C$11,3,false),vlookup($D1457,Details!$E$2:$G$11,3,false))</f>
        <v>Snacks and Drinks</v>
      </c>
      <c r="N1457" s="18">
        <f t="shared" si="1"/>
        <v>400</v>
      </c>
      <c r="O1457" s="17"/>
      <c r="P1457" s="17"/>
      <c r="Q1457" s="17"/>
      <c r="R1457" s="17"/>
      <c r="S1457" s="17"/>
      <c r="T1457" s="17"/>
      <c r="U1457" s="17"/>
      <c r="V1457" s="17"/>
      <c r="W1457" s="17"/>
      <c r="X1457" s="17"/>
      <c r="Y1457" s="17"/>
      <c r="Z1457" s="17"/>
    </row>
    <row r="1458">
      <c r="A1458" s="18" t="str">
        <f>IFERROR(__xludf.DUMMYFUNCTION("""COMPUTED_VALUE"""),"ord_71436")</f>
        <v>ord_71436</v>
      </c>
      <c r="B1458" s="18" t="str">
        <f>IFERROR(__xludf.DUMMYFUNCTION("""COMPUTED_VALUE"""),"Pallavi Ghosh")</f>
        <v>Pallavi Ghosh</v>
      </c>
      <c r="C1458" s="18" t="str">
        <f>IFERROR(__xludf.DUMMYFUNCTION("""COMPUTED_VALUE"""),"Bandra")</f>
        <v>Bandra</v>
      </c>
      <c r="D1458" s="18" t="str">
        <f>IFERROR(__xludf.DUMMYFUNCTION("""COMPUTED_VALUE"""),"Apple")</f>
        <v>Apple</v>
      </c>
      <c r="E1458" s="18">
        <f>IFERROR(__xludf.DUMMYFUNCTION("""COMPUTED_VALUE"""),1.0)</f>
        <v>1</v>
      </c>
      <c r="F1458" s="18" t="str">
        <f>IFERROR(__xludf.DUMMYFUNCTION("""COMPUTED_VALUE"""),"Priya Joshi")</f>
        <v>Priya Joshi</v>
      </c>
      <c r="G1458" s="19">
        <f>IFERROR(__xludf.DUMMYFUNCTION("""COMPUTED_VALUE"""),45133.0)</f>
        <v>45133</v>
      </c>
      <c r="H1458" s="18" t="str">
        <f>IFERROR(__xludf.DUMMYFUNCTION("""COMPUTED_VALUE"""),"Online Payment")</f>
        <v>Online Payment</v>
      </c>
      <c r="I1458" s="18" t="str">
        <f>IFERROR(__xludf.DUMMYFUNCTION("""COMPUTED_VALUE"""),"Delivered")</f>
        <v>Delivered</v>
      </c>
      <c r="J1458" s="18" t="str">
        <f>IFERROR(__xludf.DUMMYFUNCTION("""COMPUTED_VALUE"""),"Customer Service")</f>
        <v>Customer Service</v>
      </c>
      <c r="K1458" s="18" t="str">
        <f>IFERROR(__xludf.DUMMYFUNCTION("""COMPUTED_VALUE"""),"Seamless and easy")</f>
        <v>Seamless and easy</v>
      </c>
      <c r="L1458" s="18">
        <f>iferror(VLOOKUP($D1458,Details!$A$2:$C$11,2,false),vlookup($D1458,Details!$E$2:$G$11,2,false))</f>
        <v>230</v>
      </c>
      <c r="M1458" s="18" t="str">
        <f>iferror(VLOOKUP($D1458,Details!$A$2:$C$11,3,false),vlookup($D1458,Details!$E$2:$G$11,3,false))</f>
        <v>Fruits and Vegetables</v>
      </c>
      <c r="N1458" s="18">
        <f t="shared" si="1"/>
        <v>230</v>
      </c>
      <c r="O1458" s="17"/>
      <c r="P1458" s="17"/>
      <c r="Q1458" s="17"/>
      <c r="R1458" s="17"/>
      <c r="S1458" s="17"/>
      <c r="T1458" s="17"/>
      <c r="U1458" s="17"/>
      <c r="V1458" s="17"/>
      <c r="W1458" s="17"/>
      <c r="X1458" s="17"/>
      <c r="Y1458" s="17"/>
      <c r="Z1458" s="17"/>
    </row>
    <row r="1459">
      <c r="A1459" s="18" t="str">
        <f>IFERROR(__xludf.DUMMYFUNCTION("""COMPUTED_VALUE"""),"ord_71437")</f>
        <v>ord_71437</v>
      </c>
      <c r="B1459" s="18" t="str">
        <f>IFERROR(__xludf.DUMMYFUNCTION("""COMPUTED_VALUE"""),"Arvind Kulkarni")</f>
        <v>Arvind Kulkarni</v>
      </c>
      <c r="C1459" s="18" t="str">
        <f>IFERROR(__xludf.DUMMYFUNCTION("""COMPUTED_VALUE"""),"Juhu")</f>
        <v>Juhu</v>
      </c>
      <c r="D1459" s="18" t="str">
        <f>IFERROR(__xludf.DUMMYFUNCTION("""COMPUTED_VALUE"""),"Orange")</f>
        <v>Orange</v>
      </c>
      <c r="E1459" s="18">
        <f>IFERROR(__xludf.DUMMYFUNCTION("""COMPUTED_VALUE"""),1.0)</f>
        <v>1</v>
      </c>
      <c r="F1459" s="18" t="str">
        <f>IFERROR(__xludf.DUMMYFUNCTION("""COMPUTED_VALUE"""),"Not Assigned")</f>
        <v>Not Assigned</v>
      </c>
      <c r="G1459" s="19">
        <f>IFERROR(__xludf.DUMMYFUNCTION("""COMPUTED_VALUE"""),45065.0)</f>
        <v>45065</v>
      </c>
      <c r="H1459" s="18" t="str">
        <f>IFERROR(__xludf.DUMMYFUNCTION("""COMPUTED_VALUE"""),"Online Payment")</f>
        <v>Online Payment</v>
      </c>
      <c r="I1459" s="18" t="str">
        <f>IFERROR(__xludf.DUMMYFUNCTION("""COMPUTED_VALUE"""),"Cancelled")</f>
        <v>Cancelled</v>
      </c>
      <c r="J1459" s="18" t="str">
        <f>IFERROR(__xludf.DUMMYFUNCTION("""COMPUTED_VALUE"""),"App Glitches")</f>
        <v>App Glitches</v>
      </c>
      <c r="K1459" s="18" t="str">
        <f>IFERROR(__xludf.DUMMYFUNCTION("""COMPUTED_VALUE"""),"Slow Loading Time")</f>
        <v>Slow Loading Time</v>
      </c>
      <c r="L1459" s="18">
        <f>iferror(VLOOKUP($D1459,Details!$A$2:$C$11,2,false),vlookup($D1459,Details!$E$2:$G$11,2,false))</f>
        <v>180</v>
      </c>
      <c r="M1459" s="18" t="str">
        <f>iferror(VLOOKUP($D1459,Details!$A$2:$C$11,3,false),vlookup($D1459,Details!$E$2:$G$11,3,false))</f>
        <v>Fruits and Vegetables</v>
      </c>
      <c r="N1459" s="18">
        <f t="shared" si="1"/>
        <v>180</v>
      </c>
      <c r="O1459" s="17"/>
      <c r="P1459" s="17"/>
      <c r="Q1459" s="17"/>
      <c r="R1459" s="17"/>
      <c r="S1459" s="17"/>
      <c r="T1459" s="17"/>
      <c r="U1459" s="17"/>
      <c r="V1459" s="17"/>
      <c r="W1459" s="17"/>
      <c r="X1459" s="17"/>
      <c r="Y1459" s="17"/>
      <c r="Z1459" s="17"/>
    </row>
    <row r="1460">
      <c r="A1460" s="18" t="str">
        <f>IFERROR(__xludf.DUMMYFUNCTION("""COMPUTED_VALUE"""),"ord_71438")</f>
        <v>ord_71438</v>
      </c>
      <c r="B1460" s="18" t="str">
        <f>IFERROR(__xludf.DUMMYFUNCTION("""COMPUTED_VALUE"""),"Ishaan Chaturvedi")</f>
        <v>Ishaan Chaturvedi</v>
      </c>
      <c r="C1460" s="18" t="str">
        <f>IFERROR(__xludf.DUMMYFUNCTION("""COMPUTED_VALUE"""),"Bandra")</f>
        <v>Bandra</v>
      </c>
      <c r="D1460" s="18" t="str">
        <f>IFERROR(__xludf.DUMMYFUNCTION("""COMPUTED_VALUE"""),"Cold Coffee")</f>
        <v>Cold Coffee</v>
      </c>
      <c r="E1460" s="18">
        <f>IFERROR(__xludf.DUMMYFUNCTION("""COMPUTED_VALUE"""),5.0)</f>
        <v>5</v>
      </c>
      <c r="F1460" s="18" t="str">
        <f>IFERROR(__xludf.DUMMYFUNCTION("""COMPUTED_VALUE"""),"Priya Joshi")</f>
        <v>Priya Joshi</v>
      </c>
      <c r="G1460" s="19">
        <f>IFERROR(__xludf.DUMMYFUNCTION("""COMPUTED_VALUE"""),45014.0)</f>
        <v>45014</v>
      </c>
      <c r="H1460" s="18" t="str">
        <f>IFERROR(__xludf.DUMMYFUNCTION("""COMPUTED_VALUE"""),"COD")</f>
        <v>COD</v>
      </c>
      <c r="I1460" s="18" t="str">
        <f>IFERROR(__xludf.DUMMYFUNCTION("""COMPUTED_VALUE"""),"Delivered")</f>
        <v>Delivered</v>
      </c>
      <c r="J1460" s="18" t="str">
        <f>IFERROR(__xludf.DUMMYFUNCTION("""COMPUTED_VALUE"""),"Delivery Experience")</f>
        <v>Delivery Experience</v>
      </c>
      <c r="K1460" s="18" t="str">
        <f>IFERROR(__xludf.DUMMYFUNCTION("""COMPUTED_VALUE"""),"Quick and professional")</f>
        <v>Quick and professional</v>
      </c>
      <c r="L1460" s="18">
        <f>iferror(VLOOKUP($D1460,Details!$A$2:$C$11,2,false),vlookup($D1460,Details!$E$2:$G$11,2,false))</f>
        <v>270</v>
      </c>
      <c r="M1460" s="18" t="str">
        <f>iferror(VLOOKUP($D1460,Details!$A$2:$C$11,3,false),vlookup($D1460,Details!$E$2:$G$11,3,false))</f>
        <v>Snacks and Drinks</v>
      </c>
      <c r="N1460" s="18">
        <f t="shared" si="1"/>
        <v>1350</v>
      </c>
      <c r="O1460" s="17"/>
      <c r="P1460" s="17"/>
      <c r="Q1460" s="17"/>
      <c r="R1460" s="17"/>
      <c r="S1460" s="17"/>
      <c r="T1460" s="17"/>
      <c r="U1460" s="17"/>
      <c r="V1460" s="17"/>
      <c r="W1460" s="17"/>
      <c r="X1460" s="17"/>
      <c r="Y1460" s="17"/>
      <c r="Z1460" s="17"/>
    </row>
    <row r="1461">
      <c r="A1461" s="18" t="str">
        <f>IFERROR(__xludf.DUMMYFUNCTION("""COMPUTED_VALUE"""),"ord_71439")</f>
        <v>ord_71439</v>
      </c>
      <c r="B1461" s="18" t="str">
        <f>IFERROR(__xludf.DUMMYFUNCTION("""COMPUTED_VALUE"""),"Arvind Kulkarni")</f>
        <v>Arvind Kulkarni</v>
      </c>
      <c r="C1461" s="18" t="str">
        <f>IFERROR(__xludf.DUMMYFUNCTION("""COMPUTED_VALUE"""),"Juhu")</f>
        <v>Juhu</v>
      </c>
      <c r="D1461" s="18" t="str">
        <f>IFERROR(__xludf.DUMMYFUNCTION("""COMPUTED_VALUE"""),"Tomato")</f>
        <v>Tomato</v>
      </c>
      <c r="E1461" s="18">
        <f>IFERROR(__xludf.DUMMYFUNCTION("""COMPUTED_VALUE"""),2.0)</f>
        <v>2</v>
      </c>
      <c r="F1461" s="18" t="str">
        <f>IFERROR(__xludf.DUMMYFUNCTION("""COMPUTED_VALUE"""),"Not Assigned")</f>
        <v>Not Assigned</v>
      </c>
      <c r="G1461" s="19">
        <f>IFERROR(__xludf.DUMMYFUNCTION("""COMPUTED_VALUE"""),45036.0)</f>
        <v>45036</v>
      </c>
      <c r="H1461" s="18" t="str">
        <f>IFERROR(__xludf.DUMMYFUNCTION("""COMPUTED_VALUE"""),"UPI")</f>
        <v>UPI</v>
      </c>
      <c r="I1461" s="18" t="str">
        <f>IFERROR(__xludf.DUMMYFUNCTION("""COMPUTED_VALUE"""),"Cancelled")</f>
        <v>Cancelled</v>
      </c>
      <c r="J1461" s="18" t="str">
        <f>IFERROR(__xludf.DUMMYFUNCTION("""COMPUTED_VALUE"""),"App Glitches")</f>
        <v>App Glitches</v>
      </c>
      <c r="K1461" s="18" t="str">
        <f>IFERROR(__xludf.DUMMYFUNCTION("""COMPUTED_VALUE"""),"Slow Loading Time")</f>
        <v>Slow Loading Time</v>
      </c>
      <c r="L1461" s="18">
        <f>iferror(VLOOKUP($D1461,Details!$A$2:$C$11,2,false),vlookup($D1461,Details!$E$2:$G$11,2,false))</f>
        <v>25</v>
      </c>
      <c r="M1461" s="18" t="str">
        <f>iferror(VLOOKUP($D1461,Details!$A$2:$C$11,3,false),vlookup($D1461,Details!$E$2:$G$11,3,false))</f>
        <v>Fruits and Vegetables</v>
      </c>
      <c r="N1461" s="18">
        <f t="shared" si="1"/>
        <v>50</v>
      </c>
      <c r="O1461" s="17"/>
      <c r="P1461" s="17"/>
      <c r="Q1461" s="17"/>
      <c r="R1461" s="17"/>
      <c r="S1461" s="17"/>
      <c r="T1461" s="17"/>
      <c r="U1461" s="17"/>
      <c r="V1461" s="17"/>
      <c r="W1461" s="17"/>
      <c r="X1461" s="17"/>
      <c r="Y1461" s="17"/>
      <c r="Z1461" s="17"/>
    </row>
    <row r="1462">
      <c r="A1462" s="18" t="str">
        <f>IFERROR(__xludf.DUMMYFUNCTION("""COMPUTED_VALUE"""),"ord_71440")</f>
        <v>ord_71440</v>
      </c>
      <c r="B1462" s="18" t="str">
        <f>IFERROR(__xludf.DUMMYFUNCTION("""COMPUTED_VALUE"""),"Omkar Mishra")</f>
        <v>Omkar Mishra</v>
      </c>
      <c r="C1462" s="18" t="str">
        <f>IFERROR(__xludf.DUMMYFUNCTION("""COMPUTED_VALUE"""),"Powai")</f>
        <v>Powai</v>
      </c>
      <c r="D1462" s="18" t="str">
        <f>IFERROR(__xludf.DUMMYFUNCTION("""COMPUTED_VALUE"""),"Tiramisu")</f>
        <v>Tiramisu</v>
      </c>
      <c r="E1462" s="18">
        <f>IFERROR(__xludf.DUMMYFUNCTION("""COMPUTED_VALUE"""),2.0)</f>
        <v>2</v>
      </c>
      <c r="F1462" s="18" t="str">
        <f>IFERROR(__xludf.DUMMYFUNCTION("""COMPUTED_VALUE"""),"Not Assigned")</f>
        <v>Not Assigned</v>
      </c>
      <c r="G1462" s="19">
        <f>IFERROR(__xludf.DUMMYFUNCTION("""COMPUTED_VALUE"""),45094.0)</f>
        <v>45094</v>
      </c>
      <c r="H1462" s="18" t="str">
        <f>IFERROR(__xludf.DUMMYFUNCTION("""COMPUTED_VALUE"""),"Credit Card")</f>
        <v>Credit Card</v>
      </c>
      <c r="I1462" s="18" t="str">
        <f>IFERROR(__xludf.DUMMYFUNCTION("""COMPUTED_VALUE"""),"Cancelled")</f>
        <v>Cancelled</v>
      </c>
      <c r="J1462" s="18" t="str">
        <f>IFERROR(__xludf.DUMMYFUNCTION("""COMPUTED_VALUE"""),"App Glitches")</f>
        <v>App Glitches</v>
      </c>
      <c r="K1462" s="18" t="str">
        <f>IFERROR(__xludf.DUMMYFUNCTION("""COMPUTED_VALUE"""),"Slow Loading Time")</f>
        <v>Slow Loading Time</v>
      </c>
      <c r="L1462" s="18">
        <f>iferror(VLOOKUP($D1462,Details!$A$2:$C$11,2,false),vlookup($D1462,Details!$E$2:$G$11,2,false))</f>
        <v>150</v>
      </c>
      <c r="M1462" s="18" t="str">
        <f>iferror(VLOOKUP($D1462,Details!$A$2:$C$11,3,false),vlookup($D1462,Details!$E$2:$G$11,3,false))</f>
        <v>Snacks and Drinks</v>
      </c>
      <c r="N1462" s="18">
        <f t="shared" si="1"/>
        <v>300</v>
      </c>
      <c r="O1462" s="17"/>
      <c r="P1462" s="17"/>
      <c r="Q1462" s="17"/>
      <c r="R1462" s="17"/>
      <c r="S1462" s="17"/>
      <c r="T1462" s="17"/>
      <c r="U1462" s="17"/>
      <c r="V1462" s="17"/>
      <c r="W1462" s="17"/>
      <c r="X1462" s="17"/>
      <c r="Y1462" s="17"/>
      <c r="Z1462" s="17"/>
    </row>
    <row r="1463">
      <c r="A1463" s="18" t="str">
        <f>IFERROR(__xludf.DUMMYFUNCTION("""COMPUTED_VALUE"""),"ord_71441")</f>
        <v>ord_71441</v>
      </c>
      <c r="B1463" s="18" t="str">
        <f>IFERROR(__xludf.DUMMYFUNCTION("""COMPUTED_VALUE"""),"Mohit Malhotra")</f>
        <v>Mohit Malhotra</v>
      </c>
      <c r="C1463" s="18" t="str">
        <f>IFERROR(__xludf.DUMMYFUNCTION("""COMPUTED_VALUE"""),"Lower Parel")</f>
        <v>Lower Parel</v>
      </c>
      <c r="D1463" s="18" t="str">
        <f>IFERROR(__xludf.DUMMYFUNCTION("""COMPUTED_VALUE"""),"Juice")</f>
        <v>Juice</v>
      </c>
      <c r="E1463" s="18">
        <f>IFERROR(__xludf.DUMMYFUNCTION("""COMPUTED_VALUE"""),4.0)</f>
        <v>4</v>
      </c>
      <c r="F1463" s="18" t="str">
        <f>IFERROR(__xludf.DUMMYFUNCTION("""COMPUTED_VALUE"""),"Kiran Mehta")</f>
        <v>Kiran Mehta</v>
      </c>
      <c r="G1463" s="19">
        <f>IFERROR(__xludf.DUMMYFUNCTION("""COMPUTED_VALUE"""),45010.0)</f>
        <v>45010</v>
      </c>
      <c r="H1463" s="18" t="str">
        <f>IFERROR(__xludf.DUMMYFUNCTION("""COMPUTED_VALUE"""),"COD")</f>
        <v>COD</v>
      </c>
      <c r="I1463" s="18" t="str">
        <f>IFERROR(__xludf.DUMMYFUNCTION("""COMPUTED_VALUE"""),"Delivered")</f>
        <v>Delivered</v>
      </c>
      <c r="J1463" s="18" t="str">
        <f>IFERROR(__xludf.DUMMYFUNCTION("""COMPUTED_VALUE"""),"Convenience")</f>
        <v>Convenience</v>
      </c>
      <c r="K1463" s="18" t="str">
        <f>IFERROR(__xludf.DUMMYFUNCTION("""COMPUTED_VALUE"""),"Easy tracking")</f>
        <v>Easy tracking</v>
      </c>
      <c r="L1463" s="18">
        <f>iferror(VLOOKUP($D1463,Details!$A$2:$C$11,2,false),vlookup($D1463,Details!$E$2:$G$11,2,false))</f>
        <v>90</v>
      </c>
      <c r="M1463" s="18" t="str">
        <f>iferror(VLOOKUP($D1463,Details!$A$2:$C$11,3,false),vlookup($D1463,Details!$E$2:$G$11,3,false))</f>
        <v>Snacks and Drinks</v>
      </c>
      <c r="N1463" s="18">
        <f t="shared" si="1"/>
        <v>360</v>
      </c>
      <c r="O1463" s="17"/>
      <c r="P1463" s="17"/>
      <c r="Q1463" s="17"/>
      <c r="R1463" s="17"/>
      <c r="S1463" s="17"/>
      <c r="T1463" s="17"/>
      <c r="U1463" s="17"/>
      <c r="V1463" s="17"/>
      <c r="W1463" s="17"/>
      <c r="X1463" s="17"/>
      <c r="Y1463" s="17"/>
      <c r="Z1463" s="17"/>
    </row>
    <row r="1464">
      <c r="A1464" s="18" t="str">
        <f>IFERROR(__xludf.DUMMYFUNCTION("""COMPUTED_VALUE"""),"ord_71442")</f>
        <v>ord_71442</v>
      </c>
      <c r="B1464" s="18" t="str">
        <f>IFERROR(__xludf.DUMMYFUNCTION("""COMPUTED_VALUE"""),"Ishita Banerjee")</f>
        <v>Ishita Banerjee</v>
      </c>
      <c r="C1464" s="18" t="str">
        <f>IFERROR(__xludf.DUMMYFUNCTION("""COMPUTED_VALUE"""),"Juhu")</f>
        <v>Juhu</v>
      </c>
      <c r="D1464" s="18" t="str">
        <f>IFERROR(__xludf.DUMMYFUNCTION("""COMPUTED_VALUE"""),"Veg Puff")</f>
        <v>Veg Puff</v>
      </c>
      <c r="E1464" s="18">
        <f>IFERROR(__xludf.DUMMYFUNCTION("""COMPUTED_VALUE"""),1.0)</f>
        <v>1</v>
      </c>
      <c r="F1464" s="18" t="str">
        <f>IFERROR(__xludf.DUMMYFUNCTION("""COMPUTED_VALUE"""),"Ram Gopal")</f>
        <v>Ram Gopal</v>
      </c>
      <c r="G1464" s="19">
        <f>IFERROR(__xludf.DUMMYFUNCTION("""COMPUTED_VALUE"""),45171.0)</f>
        <v>45171</v>
      </c>
      <c r="H1464" s="18" t="str">
        <f>IFERROR(__xludf.DUMMYFUNCTION("""COMPUTED_VALUE"""),"Online Payment")</f>
        <v>Online Payment</v>
      </c>
      <c r="I1464" s="18" t="str">
        <f>IFERROR(__xludf.DUMMYFUNCTION("""COMPUTED_VALUE"""),"Cancelled")</f>
        <v>Cancelled</v>
      </c>
      <c r="J1464" s="18" t="str">
        <f>IFERROR(__xludf.DUMMYFUNCTION("""COMPUTED_VALUE"""),"Delayed Delivery")</f>
        <v>Delayed Delivery</v>
      </c>
      <c r="K1464" s="18" t="str">
        <f>IFERROR(__xludf.DUMMYFUNCTION("""COMPUTED_VALUE"""),"High Order Volume")</f>
        <v>High Order Volume</v>
      </c>
      <c r="L1464" s="18">
        <f>iferror(VLOOKUP($D1464,Details!$A$2:$C$11,2,false),vlookup($D1464,Details!$E$2:$G$11,2,false))</f>
        <v>80</v>
      </c>
      <c r="M1464" s="18" t="str">
        <f>iferror(VLOOKUP($D1464,Details!$A$2:$C$11,3,false),vlookup($D1464,Details!$E$2:$G$11,3,false))</f>
        <v>Snacks and Drinks</v>
      </c>
      <c r="N1464" s="18">
        <f t="shared" si="1"/>
        <v>80</v>
      </c>
      <c r="O1464" s="17"/>
      <c r="P1464" s="17"/>
      <c r="Q1464" s="17"/>
      <c r="R1464" s="17"/>
      <c r="S1464" s="17"/>
      <c r="T1464" s="17"/>
      <c r="U1464" s="17"/>
      <c r="V1464" s="17"/>
      <c r="W1464" s="17"/>
      <c r="X1464" s="17"/>
      <c r="Y1464" s="17"/>
      <c r="Z1464" s="17"/>
    </row>
    <row r="1465">
      <c r="A1465" s="18" t="str">
        <f>IFERROR(__xludf.DUMMYFUNCTION("""COMPUTED_VALUE"""),"ord_71443")</f>
        <v>ord_71443</v>
      </c>
      <c r="B1465" s="18" t="str">
        <f>IFERROR(__xludf.DUMMYFUNCTION("""COMPUTED_VALUE"""),"Omkar Mishra")</f>
        <v>Omkar Mishra</v>
      </c>
      <c r="C1465" s="18" t="str">
        <f>IFERROR(__xludf.DUMMYFUNCTION("""COMPUTED_VALUE"""),"Powai")</f>
        <v>Powai</v>
      </c>
      <c r="D1465" s="18" t="str">
        <f>IFERROR(__xludf.DUMMYFUNCTION("""COMPUTED_VALUE"""),"Onion")</f>
        <v>Onion</v>
      </c>
      <c r="E1465" s="18">
        <f>IFERROR(__xludf.DUMMYFUNCTION("""COMPUTED_VALUE"""),1.0)</f>
        <v>1</v>
      </c>
      <c r="F1465" s="18" t="str">
        <f>IFERROR(__xludf.DUMMYFUNCTION("""COMPUTED_VALUE"""),"Sandeep Kumar")</f>
        <v>Sandeep Kumar</v>
      </c>
      <c r="G1465" s="19">
        <f>IFERROR(__xludf.DUMMYFUNCTION("""COMPUTED_VALUE"""),45258.0)</f>
        <v>45258</v>
      </c>
      <c r="H1465" s="18" t="str">
        <f>IFERROR(__xludf.DUMMYFUNCTION("""COMPUTED_VALUE"""),"Credit Card")</f>
        <v>Credit Card</v>
      </c>
      <c r="I1465" s="18" t="str">
        <f>IFERROR(__xludf.DUMMYFUNCTION("""COMPUTED_VALUE"""),"Delivered")</f>
        <v>Delivered</v>
      </c>
      <c r="J1465" s="18" t="str">
        <f>IFERROR(__xludf.DUMMYFUNCTION("""COMPUTED_VALUE"""),"Overall Satisfaction")</f>
        <v>Overall Satisfaction</v>
      </c>
      <c r="K1465" s="18" t="str">
        <f>IFERROR(__xludf.DUMMYFUNCTION("""COMPUTED_VALUE"""),"Great service will order again")</f>
        <v>Great service will order again</v>
      </c>
      <c r="L1465" s="18">
        <f>iferror(VLOOKUP($D1465,Details!$A$2:$C$11,2,false),vlookup($D1465,Details!$E$2:$G$11,2,false))</f>
        <v>84</v>
      </c>
      <c r="M1465" s="18" t="str">
        <f>iferror(VLOOKUP($D1465,Details!$A$2:$C$11,3,false),vlookup($D1465,Details!$E$2:$G$11,3,false))</f>
        <v>Fruits and Vegetables</v>
      </c>
      <c r="N1465" s="18">
        <f t="shared" si="1"/>
        <v>84</v>
      </c>
      <c r="O1465" s="17"/>
      <c r="P1465" s="17"/>
      <c r="Q1465" s="17"/>
      <c r="R1465" s="17"/>
      <c r="S1465" s="17"/>
      <c r="T1465" s="17"/>
      <c r="U1465" s="17"/>
      <c r="V1465" s="17"/>
      <c r="W1465" s="17"/>
      <c r="X1465" s="17"/>
      <c r="Y1465" s="17"/>
      <c r="Z1465" s="17"/>
    </row>
    <row r="1466">
      <c r="A1466" s="18" t="str">
        <f>IFERROR(__xludf.DUMMYFUNCTION("""COMPUTED_VALUE"""),"ord_71444")</f>
        <v>ord_71444</v>
      </c>
      <c r="B1466" s="18" t="str">
        <f>IFERROR(__xludf.DUMMYFUNCTION("""COMPUTED_VALUE"""),"Ishaan Chaturvedi")</f>
        <v>Ishaan Chaturvedi</v>
      </c>
      <c r="C1466" s="18" t="str">
        <f>IFERROR(__xludf.DUMMYFUNCTION("""COMPUTED_VALUE"""),"Bandra")</f>
        <v>Bandra</v>
      </c>
      <c r="D1466" s="18" t="str">
        <f>IFERROR(__xludf.DUMMYFUNCTION("""COMPUTED_VALUE"""),"Orange")</f>
        <v>Orange</v>
      </c>
      <c r="E1466" s="18">
        <f>IFERROR(__xludf.DUMMYFUNCTION("""COMPUTED_VALUE"""),1.0)</f>
        <v>1</v>
      </c>
      <c r="F1466" s="18" t="str">
        <f>IFERROR(__xludf.DUMMYFUNCTION("""COMPUTED_VALUE"""),"Priya Joshi")</f>
        <v>Priya Joshi</v>
      </c>
      <c r="G1466" s="19">
        <f>IFERROR(__xludf.DUMMYFUNCTION("""COMPUTED_VALUE"""),45259.0)</f>
        <v>45259</v>
      </c>
      <c r="H1466" s="18" t="str">
        <f>IFERROR(__xludf.DUMMYFUNCTION("""COMPUTED_VALUE"""),"Online Payment")</f>
        <v>Online Payment</v>
      </c>
      <c r="I1466" s="18" t="str">
        <f>IFERROR(__xludf.DUMMYFUNCTION("""COMPUTED_VALUE"""),"Delivered")</f>
        <v>Delivered</v>
      </c>
      <c r="J1466" s="18" t="str">
        <f>IFERROR(__xludf.DUMMYFUNCTION("""COMPUTED_VALUE"""),"On-time Delivery")</f>
        <v>On-time Delivery</v>
      </c>
      <c r="K1466" s="18" t="str">
        <f>IFERROR(__xludf.DUMMYFUNCTION("""COMPUTED_VALUE"""),"Delivered on time")</f>
        <v>Delivered on time</v>
      </c>
      <c r="L1466" s="18">
        <f>iferror(VLOOKUP($D1466,Details!$A$2:$C$11,2,false),vlookup($D1466,Details!$E$2:$G$11,2,false))</f>
        <v>180</v>
      </c>
      <c r="M1466" s="18" t="str">
        <f>iferror(VLOOKUP($D1466,Details!$A$2:$C$11,3,false),vlookup($D1466,Details!$E$2:$G$11,3,false))</f>
        <v>Fruits and Vegetables</v>
      </c>
      <c r="N1466" s="18">
        <f t="shared" si="1"/>
        <v>180</v>
      </c>
      <c r="O1466" s="17"/>
      <c r="P1466" s="17"/>
      <c r="Q1466" s="17"/>
      <c r="R1466" s="17"/>
      <c r="S1466" s="17"/>
      <c r="T1466" s="17"/>
      <c r="U1466" s="17"/>
      <c r="V1466" s="17"/>
      <c r="W1466" s="17"/>
      <c r="X1466" s="17"/>
      <c r="Y1466" s="17"/>
      <c r="Z1466" s="17"/>
    </row>
    <row r="1467">
      <c r="A1467" s="18" t="str">
        <f>IFERROR(__xludf.DUMMYFUNCTION("""COMPUTED_VALUE"""),"ord_71445")</f>
        <v>ord_71445</v>
      </c>
      <c r="B1467" s="18" t="str">
        <f>IFERROR(__xludf.DUMMYFUNCTION("""COMPUTED_VALUE"""),"Sanjay Nair")</f>
        <v>Sanjay Nair</v>
      </c>
      <c r="C1467" s="18" t="str">
        <f>IFERROR(__xludf.DUMMYFUNCTION("""COMPUTED_VALUE"""),"Dadar")</f>
        <v>Dadar</v>
      </c>
      <c r="D1467" s="18" t="str">
        <f>IFERROR(__xludf.DUMMYFUNCTION("""COMPUTED_VALUE"""),"Chocolate Mousse")</f>
        <v>Chocolate Mousse</v>
      </c>
      <c r="E1467" s="18">
        <f>IFERROR(__xludf.DUMMYFUNCTION("""COMPUTED_VALUE"""),3.0)</f>
        <v>3</v>
      </c>
      <c r="F1467" s="18" t="str">
        <f>IFERROR(__xludf.DUMMYFUNCTION("""COMPUTED_VALUE"""),"Aman Kumar")</f>
        <v>Aman Kumar</v>
      </c>
      <c r="G1467" s="19">
        <f>IFERROR(__xludf.DUMMYFUNCTION("""COMPUTED_VALUE"""),45232.0)</f>
        <v>45232</v>
      </c>
      <c r="H1467" s="18" t="str">
        <f>IFERROR(__xludf.DUMMYFUNCTION("""COMPUTED_VALUE"""),"UPI")</f>
        <v>UPI</v>
      </c>
      <c r="I1467" s="18" t="str">
        <f>IFERROR(__xludf.DUMMYFUNCTION("""COMPUTED_VALUE"""),"Delivered")</f>
        <v>Delivered</v>
      </c>
      <c r="J1467" s="18" t="str">
        <f>IFERROR(__xludf.DUMMYFUNCTION("""COMPUTED_VALUE"""),"Quality of Items")</f>
        <v>Quality of Items</v>
      </c>
      <c r="K1467" s="18" t="str">
        <f>IFERROR(__xludf.DUMMYFUNCTION("""COMPUTED_VALUE"""),"Perfect condition")</f>
        <v>Perfect condition</v>
      </c>
      <c r="L1467" s="18">
        <f>iferror(VLOOKUP($D1467,Details!$A$2:$C$11,2,false),vlookup($D1467,Details!$E$2:$G$11,2,false))</f>
        <v>145</v>
      </c>
      <c r="M1467" s="18" t="str">
        <f>iferror(VLOOKUP($D1467,Details!$A$2:$C$11,3,false),vlookup($D1467,Details!$E$2:$G$11,3,false))</f>
        <v>Snacks and Drinks</v>
      </c>
      <c r="N1467" s="18">
        <f t="shared" si="1"/>
        <v>435</v>
      </c>
      <c r="O1467" s="17"/>
      <c r="P1467" s="17"/>
      <c r="Q1467" s="17"/>
      <c r="R1467" s="17"/>
      <c r="S1467" s="17"/>
      <c r="T1467" s="17"/>
      <c r="U1467" s="17"/>
      <c r="V1467" s="17"/>
      <c r="W1467" s="17"/>
      <c r="X1467" s="17"/>
      <c r="Y1467" s="17"/>
      <c r="Z1467" s="17"/>
    </row>
    <row r="1468">
      <c r="A1468" s="18" t="str">
        <f>IFERROR(__xludf.DUMMYFUNCTION("""COMPUTED_VALUE"""),"ord_71446")</f>
        <v>ord_71446</v>
      </c>
      <c r="B1468" s="18" t="str">
        <f>IFERROR(__xludf.DUMMYFUNCTION("""COMPUTED_VALUE"""),"Dev Chauhan")</f>
        <v>Dev Chauhan</v>
      </c>
      <c r="C1468" s="18" t="str">
        <f>IFERROR(__xludf.DUMMYFUNCTION("""COMPUTED_VALUE"""),"Bandra")</f>
        <v>Bandra</v>
      </c>
      <c r="D1468" s="18" t="str">
        <f>IFERROR(__xludf.DUMMYFUNCTION("""COMPUTED_VALUE"""),"Tomato")</f>
        <v>Tomato</v>
      </c>
      <c r="E1468" s="18">
        <f>IFERROR(__xludf.DUMMYFUNCTION("""COMPUTED_VALUE"""),2.0)</f>
        <v>2</v>
      </c>
      <c r="F1468" s="18" t="str">
        <f>IFERROR(__xludf.DUMMYFUNCTION("""COMPUTED_VALUE"""),"Priya Joshi")</f>
        <v>Priya Joshi</v>
      </c>
      <c r="G1468" s="19">
        <f>IFERROR(__xludf.DUMMYFUNCTION("""COMPUTED_VALUE"""),45236.0)</f>
        <v>45236</v>
      </c>
      <c r="H1468" s="18" t="str">
        <f>IFERROR(__xludf.DUMMYFUNCTION("""COMPUTED_VALUE"""),"UPI")</f>
        <v>UPI</v>
      </c>
      <c r="I1468" s="18" t="str">
        <f>IFERROR(__xludf.DUMMYFUNCTION("""COMPUTED_VALUE"""),"Delivered")</f>
        <v>Delivered</v>
      </c>
      <c r="J1468" s="18" t="str">
        <f>IFERROR(__xludf.DUMMYFUNCTION("""COMPUTED_VALUE"""),"On-time Delivery")</f>
        <v>On-time Delivery</v>
      </c>
      <c r="K1468" s="18" t="str">
        <f>IFERROR(__xludf.DUMMYFUNCTION("""COMPUTED_VALUE"""),"Delivered on time")</f>
        <v>Delivered on time</v>
      </c>
      <c r="L1468" s="18">
        <f>iferror(VLOOKUP($D1468,Details!$A$2:$C$11,2,false),vlookup($D1468,Details!$E$2:$G$11,2,false))</f>
        <v>25</v>
      </c>
      <c r="M1468" s="18" t="str">
        <f>iferror(VLOOKUP($D1468,Details!$A$2:$C$11,3,false),vlookup($D1468,Details!$E$2:$G$11,3,false))</f>
        <v>Fruits and Vegetables</v>
      </c>
      <c r="N1468" s="18">
        <f t="shared" si="1"/>
        <v>50</v>
      </c>
      <c r="O1468" s="17"/>
      <c r="P1468" s="17"/>
      <c r="Q1468" s="17"/>
      <c r="R1468" s="17"/>
      <c r="S1468" s="17"/>
      <c r="T1468" s="17"/>
      <c r="U1468" s="17"/>
      <c r="V1468" s="17"/>
      <c r="W1468" s="17"/>
      <c r="X1468" s="17"/>
      <c r="Y1468" s="17"/>
      <c r="Z1468" s="17"/>
    </row>
    <row r="1469">
      <c r="A1469" s="18" t="str">
        <f>IFERROR(__xludf.DUMMYFUNCTION("""COMPUTED_VALUE"""),"ord_71447")</f>
        <v>ord_71447</v>
      </c>
      <c r="B1469" s="18" t="str">
        <f>IFERROR(__xludf.DUMMYFUNCTION("""COMPUTED_VALUE"""),"Kritika Shetty")</f>
        <v>Kritika Shetty</v>
      </c>
      <c r="C1469" s="18" t="str">
        <f>IFERROR(__xludf.DUMMYFUNCTION("""COMPUTED_VALUE"""),"Malad")</f>
        <v>Malad</v>
      </c>
      <c r="D1469" s="18" t="str">
        <f>IFERROR(__xludf.DUMMYFUNCTION("""COMPUTED_VALUE"""),"Popcorn")</f>
        <v>Popcorn</v>
      </c>
      <c r="E1469" s="18">
        <f>IFERROR(__xludf.DUMMYFUNCTION("""COMPUTED_VALUE"""),3.0)</f>
        <v>3</v>
      </c>
      <c r="F1469" s="18" t="str">
        <f>IFERROR(__xludf.DUMMYFUNCTION("""COMPUTED_VALUE"""),"Priya Joshi")</f>
        <v>Priya Joshi</v>
      </c>
      <c r="G1469" s="19">
        <f>IFERROR(__xludf.DUMMYFUNCTION("""COMPUTED_VALUE"""),45081.0)</f>
        <v>45081</v>
      </c>
      <c r="H1469" s="18" t="str">
        <f>IFERROR(__xludf.DUMMYFUNCTION("""COMPUTED_VALUE"""),"Credit Card")</f>
        <v>Credit Card</v>
      </c>
      <c r="I1469" s="18" t="str">
        <f>IFERROR(__xludf.DUMMYFUNCTION("""COMPUTED_VALUE"""),"Cancelled")</f>
        <v>Cancelled</v>
      </c>
      <c r="J1469" s="18" t="str">
        <f>IFERROR(__xludf.DUMMYFUNCTION("""COMPUTED_VALUE"""),"Delayed Delivery")</f>
        <v>Delayed Delivery</v>
      </c>
      <c r="K1469" s="18" t="str">
        <f>IFERROR(__xludf.DUMMYFUNCTION("""COMPUTED_VALUE"""),"Vehicle Breakdown")</f>
        <v>Vehicle Breakdown</v>
      </c>
      <c r="L1469" s="18">
        <f>iferror(VLOOKUP($D1469,Details!$A$2:$C$11,2,false),vlookup($D1469,Details!$E$2:$G$11,2,false))</f>
        <v>150</v>
      </c>
      <c r="M1469" s="18" t="str">
        <f>iferror(VLOOKUP($D1469,Details!$A$2:$C$11,3,false),vlookup($D1469,Details!$E$2:$G$11,3,false))</f>
        <v>Snacks and Drinks</v>
      </c>
      <c r="N1469" s="18">
        <f t="shared" si="1"/>
        <v>450</v>
      </c>
      <c r="O1469" s="17"/>
      <c r="P1469" s="17"/>
      <c r="Q1469" s="17"/>
      <c r="R1469" s="17"/>
      <c r="S1469" s="17"/>
      <c r="T1469" s="17"/>
      <c r="U1469" s="17"/>
      <c r="V1469" s="17"/>
      <c r="W1469" s="17"/>
      <c r="X1469" s="17"/>
      <c r="Y1469" s="17"/>
      <c r="Z1469" s="17"/>
    </row>
    <row r="1470">
      <c r="A1470" s="18" t="str">
        <f>IFERROR(__xludf.DUMMYFUNCTION("""COMPUTED_VALUE"""),"ord_71448")</f>
        <v>ord_71448</v>
      </c>
      <c r="B1470" s="18" t="str">
        <f>IFERROR(__xludf.DUMMYFUNCTION("""COMPUTED_VALUE"""),"Sakshi Tandon")</f>
        <v>Sakshi Tandon</v>
      </c>
      <c r="C1470" s="18" t="str">
        <f>IFERROR(__xludf.DUMMYFUNCTION("""COMPUTED_VALUE"""),"Colaba")</f>
        <v>Colaba</v>
      </c>
      <c r="D1470" s="18" t="str">
        <f>IFERROR(__xludf.DUMMYFUNCTION("""COMPUTED_VALUE"""),"Sweet Corn")</f>
        <v>Sweet Corn</v>
      </c>
      <c r="E1470" s="18">
        <f>IFERROR(__xludf.DUMMYFUNCTION("""COMPUTED_VALUE"""),2.0)</f>
        <v>2</v>
      </c>
      <c r="F1470" s="18" t="str">
        <f>IFERROR(__xludf.DUMMYFUNCTION("""COMPUTED_VALUE"""),"Nikhil Deshmukh")</f>
        <v>Nikhil Deshmukh</v>
      </c>
      <c r="G1470" s="19">
        <f>IFERROR(__xludf.DUMMYFUNCTION("""COMPUTED_VALUE"""),45280.0)</f>
        <v>45280</v>
      </c>
      <c r="H1470" s="18" t="str">
        <f>IFERROR(__xludf.DUMMYFUNCTION("""COMPUTED_VALUE"""),"UPI")</f>
        <v>UPI</v>
      </c>
      <c r="I1470" s="18" t="str">
        <f>IFERROR(__xludf.DUMMYFUNCTION("""COMPUTED_VALUE"""),"Delivered")</f>
        <v>Delivered</v>
      </c>
      <c r="J1470" s="18" t="str">
        <f>IFERROR(__xludf.DUMMYFUNCTION("""COMPUTED_VALUE"""),"Quality of Items")</f>
        <v>Quality of Items</v>
      </c>
      <c r="K1470" s="18" t="str">
        <f>IFERROR(__xludf.DUMMYFUNCTION("""COMPUTED_VALUE"""),"Perfect condition")</f>
        <v>Perfect condition</v>
      </c>
      <c r="L1470" s="18">
        <f>iferror(VLOOKUP($D1470,Details!$A$2:$C$11,2,false),vlookup($D1470,Details!$E$2:$G$11,2,false))</f>
        <v>60</v>
      </c>
      <c r="M1470" s="18" t="str">
        <f>iferror(VLOOKUP($D1470,Details!$A$2:$C$11,3,false),vlookup($D1470,Details!$E$2:$G$11,3,false))</f>
        <v>Fruits and Vegetables</v>
      </c>
      <c r="N1470" s="18">
        <f t="shared" si="1"/>
        <v>120</v>
      </c>
      <c r="O1470" s="17"/>
      <c r="P1470" s="17"/>
      <c r="Q1470" s="17"/>
      <c r="R1470" s="17"/>
      <c r="S1470" s="17"/>
      <c r="T1470" s="17"/>
      <c r="U1470" s="17"/>
      <c r="V1470" s="17"/>
      <c r="W1470" s="17"/>
      <c r="X1470" s="17"/>
      <c r="Y1470" s="17"/>
      <c r="Z1470" s="17"/>
    </row>
    <row r="1471">
      <c r="A1471" s="18" t="str">
        <f>IFERROR(__xludf.DUMMYFUNCTION("""COMPUTED_VALUE"""),"ord_71449")</f>
        <v>ord_71449</v>
      </c>
      <c r="B1471" s="18" t="str">
        <f>IFERROR(__xludf.DUMMYFUNCTION("""COMPUTED_VALUE"""),"Ishaan Chaturvedi")</f>
        <v>Ishaan Chaturvedi</v>
      </c>
      <c r="C1471" s="18" t="str">
        <f>IFERROR(__xludf.DUMMYFUNCTION("""COMPUTED_VALUE"""),"Bandra")</f>
        <v>Bandra</v>
      </c>
      <c r="D1471" s="18" t="str">
        <f>IFERROR(__xludf.DUMMYFUNCTION("""COMPUTED_VALUE"""),"Papaya")</f>
        <v>Papaya</v>
      </c>
      <c r="E1471" s="18">
        <f>IFERROR(__xludf.DUMMYFUNCTION("""COMPUTED_VALUE"""),2.0)</f>
        <v>2</v>
      </c>
      <c r="F1471" s="18" t="str">
        <f>IFERROR(__xludf.DUMMYFUNCTION("""COMPUTED_VALUE"""),"Priya Joshi")</f>
        <v>Priya Joshi</v>
      </c>
      <c r="G1471" s="19">
        <f>IFERROR(__xludf.DUMMYFUNCTION("""COMPUTED_VALUE"""),45178.0)</f>
        <v>45178</v>
      </c>
      <c r="H1471" s="18" t="str">
        <f>IFERROR(__xludf.DUMMYFUNCTION("""COMPUTED_VALUE"""),"Credit Card")</f>
        <v>Credit Card</v>
      </c>
      <c r="I1471" s="18" t="str">
        <f>IFERROR(__xludf.DUMMYFUNCTION("""COMPUTED_VALUE"""),"Delivered")</f>
        <v>Delivered</v>
      </c>
      <c r="J1471" s="18" t="str">
        <f>IFERROR(__xludf.DUMMYFUNCTION("""COMPUTED_VALUE"""),"Packaging")</f>
        <v>Packaging</v>
      </c>
      <c r="K1471" s="18" t="str">
        <f>IFERROR(__xludf.DUMMYFUNCTION("""COMPUTED_VALUE"""),"Secure and intact")</f>
        <v>Secure and intact</v>
      </c>
      <c r="L1471" s="18">
        <f>iferror(VLOOKUP($D1471,Details!$A$2:$C$11,2,false),vlookup($D1471,Details!$E$2:$G$11,2,false))</f>
        <v>75</v>
      </c>
      <c r="M1471" s="18" t="str">
        <f>iferror(VLOOKUP($D1471,Details!$A$2:$C$11,3,false),vlookup($D1471,Details!$E$2:$G$11,3,false))</f>
        <v>Fruits and Vegetables</v>
      </c>
      <c r="N1471" s="18">
        <f t="shared" si="1"/>
        <v>150</v>
      </c>
      <c r="O1471" s="17"/>
      <c r="P1471" s="17"/>
      <c r="Q1471" s="17"/>
      <c r="R1471" s="17"/>
      <c r="S1471" s="17"/>
      <c r="T1471" s="17"/>
      <c r="U1471" s="17"/>
      <c r="V1471" s="17"/>
      <c r="W1471" s="17"/>
      <c r="X1471" s="17"/>
      <c r="Y1471" s="17"/>
      <c r="Z1471" s="17"/>
    </row>
    <row r="1472">
      <c r="A1472" s="18" t="str">
        <f>IFERROR(__xludf.DUMMYFUNCTION("""COMPUTED_VALUE"""),"ord_71450")</f>
        <v>ord_71450</v>
      </c>
      <c r="B1472" s="18" t="str">
        <f>IFERROR(__xludf.DUMMYFUNCTION("""COMPUTED_VALUE"""),"Kritika Shetty")</f>
        <v>Kritika Shetty</v>
      </c>
      <c r="C1472" s="18" t="str">
        <f>IFERROR(__xludf.DUMMYFUNCTION("""COMPUTED_VALUE"""),"Malad")</f>
        <v>Malad</v>
      </c>
      <c r="D1472" s="18" t="str">
        <f>IFERROR(__xludf.DUMMYFUNCTION("""COMPUTED_VALUE"""),"Chicken Puff")</f>
        <v>Chicken Puff</v>
      </c>
      <c r="E1472" s="18">
        <f>IFERROR(__xludf.DUMMYFUNCTION("""COMPUTED_VALUE"""),1.0)</f>
        <v>1</v>
      </c>
      <c r="F1472" s="18" t="str">
        <f>IFERROR(__xludf.DUMMYFUNCTION("""COMPUTED_VALUE"""),"Not Assigned")</f>
        <v>Not Assigned</v>
      </c>
      <c r="G1472" s="19">
        <f>IFERROR(__xludf.DUMMYFUNCTION("""COMPUTED_VALUE"""),45241.0)</f>
        <v>45241</v>
      </c>
      <c r="H1472" s="18" t="str">
        <f>IFERROR(__xludf.DUMMYFUNCTION("""COMPUTED_VALUE"""),"Credit Card")</f>
        <v>Credit Card</v>
      </c>
      <c r="I1472" s="18" t="str">
        <f>IFERROR(__xludf.DUMMYFUNCTION("""COMPUTED_VALUE"""),"Cancelled")</f>
        <v>Cancelled</v>
      </c>
      <c r="J1472" s="18" t="str">
        <f>IFERROR(__xludf.DUMMYFUNCTION("""COMPUTED_VALUE"""),"App Glitches")</f>
        <v>App Glitches</v>
      </c>
      <c r="K1472" s="18" t="str">
        <f>IFERROR(__xludf.DUMMYFUNCTION("""COMPUTED_VALUE"""),"Payment Button Malfunction")</f>
        <v>Payment Button Malfunction</v>
      </c>
      <c r="L1472" s="18">
        <f>iferror(VLOOKUP($D1472,Details!$A$2:$C$11,2,false),vlookup($D1472,Details!$E$2:$G$11,2,false))</f>
        <v>90</v>
      </c>
      <c r="M1472" s="18" t="str">
        <f>iferror(VLOOKUP($D1472,Details!$A$2:$C$11,3,false),vlookup($D1472,Details!$E$2:$G$11,3,false))</f>
        <v>Snacks and Drinks</v>
      </c>
      <c r="N1472" s="18">
        <f t="shared" si="1"/>
        <v>90</v>
      </c>
      <c r="O1472" s="17"/>
      <c r="P1472" s="17"/>
      <c r="Q1472" s="17"/>
      <c r="R1472" s="17"/>
      <c r="S1472" s="17"/>
      <c r="T1472" s="17"/>
      <c r="U1472" s="17"/>
      <c r="V1472" s="17"/>
      <c r="W1472" s="17"/>
      <c r="X1472" s="17"/>
      <c r="Y1472" s="17"/>
      <c r="Z1472" s="17"/>
    </row>
    <row r="1473">
      <c r="A1473" s="18" t="str">
        <f>IFERROR(__xludf.DUMMYFUNCTION("""COMPUTED_VALUE"""),"ord_71451")</f>
        <v>ord_71451</v>
      </c>
      <c r="B1473" s="18" t="str">
        <f>IFERROR(__xludf.DUMMYFUNCTION("""COMPUTED_VALUE"""),"Arvind Kulkarni")</f>
        <v>Arvind Kulkarni</v>
      </c>
      <c r="C1473" s="18" t="str">
        <f>IFERROR(__xludf.DUMMYFUNCTION("""COMPUTED_VALUE"""),"Juhu")</f>
        <v>Juhu</v>
      </c>
      <c r="D1473" s="18" t="str">
        <f>IFERROR(__xludf.DUMMYFUNCTION("""COMPUTED_VALUE"""),"Chicken Puff")</f>
        <v>Chicken Puff</v>
      </c>
      <c r="E1473" s="18">
        <f>IFERROR(__xludf.DUMMYFUNCTION("""COMPUTED_VALUE"""),5.0)</f>
        <v>5</v>
      </c>
      <c r="F1473" s="18" t="str">
        <f>IFERROR(__xludf.DUMMYFUNCTION("""COMPUTED_VALUE"""),"Shine Thomas")</f>
        <v>Shine Thomas</v>
      </c>
      <c r="G1473" s="19">
        <f>IFERROR(__xludf.DUMMYFUNCTION("""COMPUTED_VALUE"""),45024.0)</f>
        <v>45024</v>
      </c>
      <c r="H1473" s="18" t="str">
        <f>IFERROR(__xludf.DUMMYFUNCTION("""COMPUTED_VALUE"""),"Credit Card")</f>
        <v>Credit Card</v>
      </c>
      <c r="I1473" s="18" t="str">
        <f>IFERROR(__xludf.DUMMYFUNCTION("""COMPUTED_VALUE"""),"Cancelled")</f>
        <v>Cancelled</v>
      </c>
      <c r="J1473" s="18" t="str">
        <f>IFERROR(__xludf.DUMMYFUNCTION("""COMPUTED_VALUE"""),"Delayed Delivery")</f>
        <v>Delayed Delivery</v>
      </c>
      <c r="K1473" s="18" t="str">
        <f>IFERROR(__xludf.DUMMYFUNCTION("""COMPUTED_VALUE"""),"Heavy Traffic")</f>
        <v>Heavy Traffic</v>
      </c>
      <c r="L1473" s="18">
        <f>iferror(VLOOKUP($D1473,Details!$A$2:$C$11,2,false),vlookup($D1473,Details!$E$2:$G$11,2,false))</f>
        <v>90</v>
      </c>
      <c r="M1473" s="18" t="str">
        <f>iferror(VLOOKUP($D1473,Details!$A$2:$C$11,3,false),vlookup($D1473,Details!$E$2:$G$11,3,false))</f>
        <v>Snacks and Drinks</v>
      </c>
      <c r="N1473" s="18">
        <f t="shared" si="1"/>
        <v>450</v>
      </c>
      <c r="O1473" s="17"/>
      <c r="P1473" s="17"/>
      <c r="Q1473" s="17"/>
      <c r="R1473" s="17"/>
      <c r="S1473" s="17"/>
      <c r="T1473" s="17"/>
      <c r="U1473" s="17"/>
      <c r="V1473" s="17"/>
      <c r="W1473" s="17"/>
      <c r="X1473" s="17"/>
      <c r="Y1473" s="17"/>
      <c r="Z1473" s="17"/>
    </row>
    <row r="1474">
      <c r="A1474" s="18" t="str">
        <f>IFERROR(__xludf.DUMMYFUNCTION("""COMPUTED_VALUE"""),"ord_71452")</f>
        <v>ord_71452</v>
      </c>
      <c r="B1474" s="18" t="str">
        <f>IFERROR(__xludf.DUMMYFUNCTION("""COMPUTED_VALUE"""),"Pallavi Ghosh")</f>
        <v>Pallavi Ghosh</v>
      </c>
      <c r="C1474" s="18" t="str">
        <f>IFERROR(__xludf.DUMMYFUNCTION("""COMPUTED_VALUE"""),"Bandra")</f>
        <v>Bandra</v>
      </c>
      <c r="D1474" s="18" t="str">
        <f>IFERROR(__xludf.DUMMYFUNCTION("""COMPUTED_VALUE"""),"Cold Coffee")</f>
        <v>Cold Coffee</v>
      </c>
      <c r="E1474" s="18">
        <f>IFERROR(__xludf.DUMMYFUNCTION("""COMPUTED_VALUE"""),3.0)</f>
        <v>3</v>
      </c>
      <c r="F1474" s="18" t="str">
        <f>IFERROR(__xludf.DUMMYFUNCTION("""COMPUTED_VALUE"""),"Aman Kumar")</f>
        <v>Aman Kumar</v>
      </c>
      <c r="G1474" s="19">
        <f>IFERROR(__xludf.DUMMYFUNCTION("""COMPUTED_VALUE"""),45031.0)</f>
        <v>45031</v>
      </c>
      <c r="H1474" s="18" t="str">
        <f>IFERROR(__xludf.DUMMYFUNCTION("""COMPUTED_VALUE"""),"UPI")</f>
        <v>UPI</v>
      </c>
      <c r="I1474" s="18" t="str">
        <f>IFERROR(__xludf.DUMMYFUNCTION("""COMPUTED_VALUE"""),"Cancelled")</f>
        <v>Cancelled</v>
      </c>
      <c r="J1474" s="18" t="str">
        <f>IFERROR(__xludf.DUMMYFUNCTION("""COMPUTED_VALUE"""),"Delayed Delivery")</f>
        <v>Delayed Delivery</v>
      </c>
      <c r="K1474" s="18" t="str">
        <f>IFERROR(__xludf.DUMMYFUNCTION("""COMPUTED_VALUE"""),"Bad Weather Conditions")</f>
        <v>Bad Weather Conditions</v>
      </c>
      <c r="L1474" s="18">
        <f>iferror(VLOOKUP($D1474,Details!$A$2:$C$11,2,false),vlookup($D1474,Details!$E$2:$G$11,2,false))</f>
        <v>270</v>
      </c>
      <c r="M1474" s="18" t="str">
        <f>iferror(VLOOKUP($D1474,Details!$A$2:$C$11,3,false),vlookup($D1474,Details!$E$2:$G$11,3,false))</f>
        <v>Snacks and Drinks</v>
      </c>
      <c r="N1474" s="18">
        <f t="shared" si="1"/>
        <v>810</v>
      </c>
      <c r="O1474" s="17"/>
      <c r="P1474" s="17"/>
      <c r="Q1474" s="17"/>
      <c r="R1474" s="17"/>
      <c r="S1474" s="17"/>
      <c r="T1474" s="17"/>
      <c r="U1474" s="17"/>
      <c r="V1474" s="17"/>
      <c r="W1474" s="17"/>
      <c r="X1474" s="17"/>
      <c r="Y1474" s="17"/>
      <c r="Z1474" s="17"/>
    </row>
    <row r="1475">
      <c r="A1475" s="18" t="str">
        <f>IFERROR(__xludf.DUMMYFUNCTION("""COMPUTED_VALUE"""),"ord_71453")</f>
        <v>ord_71453</v>
      </c>
      <c r="B1475" s="18" t="str">
        <f>IFERROR(__xludf.DUMMYFUNCTION("""COMPUTED_VALUE"""),"Aarav Mehta")</f>
        <v>Aarav Mehta</v>
      </c>
      <c r="C1475" s="18" t="str">
        <f>IFERROR(__xludf.DUMMYFUNCTION("""COMPUTED_VALUE"""),"Andheri")</f>
        <v>Andheri</v>
      </c>
      <c r="D1475" s="18" t="str">
        <f>IFERROR(__xludf.DUMMYFUNCTION("""COMPUTED_VALUE"""),"Tiramisu")</f>
        <v>Tiramisu</v>
      </c>
      <c r="E1475" s="18">
        <f>IFERROR(__xludf.DUMMYFUNCTION("""COMPUTED_VALUE"""),5.0)</f>
        <v>5</v>
      </c>
      <c r="F1475" s="18" t="str">
        <f>IFERROR(__xludf.DUMMYFUNCTION("""COMPUTED_VALUE"""),"Rohan Yadav")</f>
        <v>Rohan Yadav</v>
      </c>
      <c r="G1475" s="19">
        <f>IFERROR(__xludf.DUMMYFUNCTION("""COMPUTED_VALUE"""),45107.0)</f>
        <v>45107</v>
      </c>
      <c r="H1475" s="18" t="str">
        <f>IFERROR(__xludf.DUMMYFUNCTION("""COMPUTED_VALUE"""),"Credit Card")</f>
        <v>Credit Card</v>
      </c>
      <c r="I1475" s="18" t="str">
        <f>IFERROR(__xludf.DUMMYFUNCTION("""COMPUTED_VALUE"""),"Delivered")</f>
        <v>Delivered</v>
      </c>
      <c r="J1475" s="18" t="str">
        <f>IFERROR(__xludf.DUMMYFUNCTION("""COMPUTED_VALUE"""),"Satisfied with the Delivery")</f>
        <v>Satisfied with the Delivery</v>
      </c>
      <c r="K1475" s="18" t="str">
        <f>IFERROR(__xludf.DUMMYFUNCTION("""COMPUTED_VALUE"""),"Timely and quality")</f>
        <v>Timely and quality</v>
      </c>
      <c r="L1475" s="18">
        <f>iferror(VLOOKUP($D1475,Details!$A$2:$C$11,2,false),vlookup($D1475,Details!$E$2:$G$11,2,false))</f>
        <v>150</v>
      </c>
      <c r="M1475" s="18" t="str">
        <f>iferror(VLOOKUP($D1475,Details!$A$2:$C$11,3,false),vlookup($D1475,Details!$E$2:$G$11,3,false))</f>
        <v>Snacks and Drinks</v>
      </c>
      <c r="N1475" s="18">
        <f t="shared" si="1"/>
        <v>750</v>
      </c>
      <c r="O1475" s="17"/>
      <c r="P1475" s="17"/>
      <c r="Q1475" s="17"/>
      <c r="R1475" s="17"/>
      <c r="S1475" s="17"/>
      <c r="T1475" s="17"/>
      <c r="U1475" s="17"/>
      <c r="V1475" s="17"/>
      <c r="W1475" s="17"/>
      <c r="X1475" s="17"/>
      <c r="Y1475" s="17"/>
      <c r="Z1475" s="17"/>
    </row>
    <row r="1476">
      <c r="A1476" s="18" t="str">
        <f>IFERROR(__xludf.DUMMYFUNCTION("""COMPUTED_VALUE"""),"ord_71454")</f>
        <v>ord_71454</v>
      </c>
      <c r="B1476" s="18" t="str">
        <f>IFERROR(__xludf.DUMMYFUNCTION("""COMPUTED_VALUE"""),"Dev Chauhan")</f>
        <v>Dev Chauhan</v>
      </c>
      <c r="C1476" s="18" t="str">
        <f>IFERROR(__xludf.DUMMYFUNCTION("""COMPUTED_VALUE"""),"Bandra")</f>
        <v>Bandra</v>
      </c>
      <c r="D1476" s="18" t="str">
        <f>IFERROR(__xludf.DUMMYFUNCTION("""COMPUTED_VALUE"""),"Potato")</f>
        <v>Potato</v>
      </c>
      <c r="E1476" s="18">
        <f>IFERROR(__xludf.DUMMYFUNCTION("""COMPUTED_VALUE"""),1.0)</f>
        <v>1</v>
      </c>
      <c r="F1476" s="18" t="str">
        <f>IFERROR(__xludf.DUMMYFUNCTION("""COMPUTED_VALUE"""),"Priya Joshi")</f>
        <v>Priya Joshi</v>
      </c>
      <c r="G1476" s="19">
        <f>IFERROR(__xludf.DUMMYFUNCTION("""COMPUTED_VALUE"""),45013.0)</f>
        <v>45013</v>
      </c>
      <c r="H1476" s="18" t="str">
        <f>IFERROR(__xludf.DUMMYFUNCTION("""COMPUTED_VALUE"""),"Online Payment")</f>
        <v>Online Payment</v>
      </c>
      <c r="I1476" s="18" t="str">
        <f>IFERROR(__xludf.DUMMYFUNCTION("""COMPUTED_VALUE"""),"Delivered")</f>
        <v>Delivered</v>
      </c>
      <c r="J1476" s="18" t="str">
        <f>IFERROR(__xludf.DUMMYFUNCTION("""COMPUTED_VALUE"""),"Customer Service")</f>
        <v>Customer Service</v>
      </c>
      <c r="K1476" s="18" t="str">
        <f>IFERROR(__xludf.DUMMYFUNCTION("""COMPUTED_VALUE"""),"Seamless and easy")</f>
        <v>Seamless and easy</v>
      </c>
      <c r="L1476" s="18">
        <f>iferror(VLOOKUP($D1476,Details!$A$2:$C$11,2,false),vlookup($D1476,Details!$E$2:$G$11,2,false))</f>
        <v>55</v>
      </c>
      <c r="M1476" s="18" t="str">
        <f>iferror(VLOOKUP($D1476,Details!$A$2:$C$11,3,false),vlookup($D1476,Details!$E$2:$G$11,3,false))</f>
        <v>Fruits and Vegetables</v>
      </c>
      <c r="N1476" s="18">
        <f t="shared" si="1"/>
        <v>55</v>
      </c>
      <c r="O1476" s="17"/>
      <c r="P1476" s="17"/>
      <c r="Q1476" s="17"/>
      <c r="R1476" s="17"/>
      <c r="S1476" s="17"/>
      <c r="T1476" s="17"/>
      <c r="U1476" s="17"/>
      <c r="V1476" s="17"/>
      <c r="W1476" s="17"/>
      <c r="X1476" s="17"/>
      <c r="Y1476" s="17"/>
      <c r="Z1476" s="17"/>
    </row>
    <row r="1477">
      <c r="A1477" s="18" t="str">
        <f>IFERROR(__xludf.DUMMYFUNCTION("""COMPUTED_VALUE"""),"ord_71455")</f>
        <v>ord_71455</v>
      </c>
      <c r="B1477" s="18" t="str">
        <f>IFERROR(__xludf.DUMMYFUNCTION("""COMPUTED_VALUE"""),"Aarohi Kapoor")</f>
        <v>Aarohi Kapoor</v>
      </c>
      <c r="C1477" s="18" t="str">
        <f>IFERROR(__xludf.DUMMYFUNCTION("""COMPUTED_VALUE"""),"Bandra")</f>
        <v>Bandra</v>
      </c>
      <c r="D1477" s="18" t="str">
        <f>IFERROR(__xludf.DUMMYFUNCTION("""COMPUTED_VALUE"""),"Banana")</f>
        <v>Banana</v>
      </c>
      <c r="E1477" s="18">
        <f>IFERROR(__xludf.DUMMYFUNCTION("""COMPUTED_VALUE"""),1.0)</f>
        <v>1</v>
      </c>
      <c r="F1477" s="18" t="str">
        <f>IFERROR(__xludf.DUMMYFUNCTION("""COMPUTED_VALUE"""),"Priya Joshi")</f>
        <v>Priya Joshi</v>
      </c>
      <c r="G1477" s="19">
        <f>IFERROR(__xludf.DUMMYFUNCTION("""COMPUTED_VALUE"""),45112.0)</f>
        <v>45112</v>
      </c>
      <c r="H1477" s="18" t="str">
        <f>IFERROR(__xludf.DUMMYFUNCTION("""COMPUTED_VALUE"""),"Online Payment")</f>
        <v>Online Payment</v>
      </c>
      <c r="I1477" s="18" t="str">
        <f>IFERROR(__xludf.DUMMYFUNCTION("""COMPUTED_VALUE"""),"Delivered")</f>
        <v>Delivered</v>
      </c>
      <c r="J1477" s="18" t="str">
        <f>IFERROR(__xludf.DUMMYFUNCTION("""COMPUTED_VALUE"""),"Delivery Experience")</f>
        <v>Delivery Experience</v>
      </c>
      <c r="K1477" s="18" t="str">
        <f>IFERROR(__xludf.DUMMYFUNCTION("""COMPUTED_VALUE"""),"Quick and professional")</f>
        <v>Quick and professional</v>
      </c>
      <c r="L1477" s="18">
        <f>iferror(VLOOKUP($D1477,Details!$A$2:$C$11,2,false),vlookup($D1477,Details!$E$2:$G$11,2,false))</f>
        <v>80</v>
      </c>
      <c r="M1477" s="18" t="str">
        <f>iferror(VLOOKUP($D1477,Details!$A$2:$C$11,3,false),vlookup($D1477,Details!$E$2:$G$11,3,false))</f>
        <v>Fruits and Vegetables</v>
      </c>
      <c r="N1477" s="18">
        <f t="shared" si="1"/>
        <v>80</v>
      </c>
      <c r="O1477" s="17"/>
      <c r="P1477" s="17"/>
      <c r="Q1477" s="17"/>
      <c r="R1477" s="17"/>
      <c r="S1477" s="17"/>
      <c r="T1477" s="17"/>
      <c r="U1477" s="17"/>
      <c r="V1477" s="17"/>
      <c r="W1477" s="17"/>
      <c r="X1477" s="17"/>
      <c r="Y1477" s="17"/>
      <c r="Z1477" s="17"/>
    </row>
    <row r="1478">
      <c r="A1478" s="18" t="str">
        <f>IFERROR(__xludf.DUMMYFUNCTION("""COMPUTED_VALUE"""),"ord_71456")</f>
        <v>ord_71456</v>
      </c>
      <c r="B1478" s="18" t="str">
        <f>IFERROR(__xludf.DUMMYFUNCTION("""COMPUTED_VALUE"""),"Aarav Mehta")</f>
        <v>Aarav Mehta</v>
      </c>
      <c r="C1478" s="18" t="str">
        <f>IFERROR(__xludf.DUMMYFUNCTION("""COMPUTED_VALUE"""),"Andheri")</f>
        <v>Andheri</v>
      </c>
      <c r="D1478" s="18" t="str">
        <f>IFERROR(__xludf.DUMMYFUNCTION("""COMPUTED_VALUE"""),"Banana")</f>
        <v>Banana</v>
      </c>
      <c r="E1478" s="18">
        <f>IFERROR(__xludf.DUMMYFUNCTION("""COMPUTED_VALUE"""),2.0)</f>
        <v>2</v>
      </c>
      <c r="F1478" s="18" t="str">
        <f>IFERROR(__xludf.DUMMYFUNCTION("""COMPUTED_VALUE"""),"Rohan Yadav")</f>
        <v>Rohan Yadav</v>
      </c>
      <c r="G1478" s="19">
        <f>IFERROR(__xludf.DUMMYFUNCTION("""COMPUTED_VALUE"""),45015.0)</f>
        <v>45015</v>
      </c>
      <c r="H1478" s="18" t="str">
        <f>IFERROR(__xludf.DUMMYFUNCTION("""COMPUTED_VALUE"""),"Credit Card")</f>
        <v>Credit Card</v>
      </c>
      <c r="I1478" s="18" t="str">
        <f>IFERROR(__xludf.DUMMYFUNCTION("""COMPUTED_VALUE"""),"Delivered")</f>
        <v>Delivered</v>
      </c>
      <c r="J1478" s="18" t="str">
        <f>IFERROR(__xludf.DUMMYFUNCTION("""COMPUTED_VALUE"""),"Convenience")</f>
        <v>Convenience</v>
      </c>
      <c r="K1478" s="18" t="str">
        <f>IFERROR(__xludf.DUMMYFUNCTION("""COMPUTED_VALUE"""),"Easy tracking")</f>
        <v>Easy tracking</v>
      </c>
      <c r="L1478" s="18">
        <f>iferror(VLOOKUP($D1478,Details!$A$2:$C$11,2,false),vlookup($D1478,Details!$E$2:$G$11,2,false))</f>
        <v>80</v>
      </c>
      <c r="M1478" s="18" t="str">
        <f>iferror(VLOOKUP($D1478,Details!$A$2:$C$11,3,false),vlookup($D1478,Details!$E$2:$G$11,3,false))</f>
        <v>Fruits and Vegetables</v>
      </c>
      <c r="N1478" s="18">
        <f t="shared" si="1"/>
        <v>160</v>
      </c>
      <c r="O1478" s="17"/>
      <c r="P1478" s="17"/>
      <c r="Q1478" s="17"/>
      <c r="R1478" s="17"/>
      <c r="S1478" s="17"/>
      <c r="T1478" s="17"/>
      <c r="U1478" s="17"/>
      <c r="V1478" s="17"/>
      <c r="W1478" s="17"/>
      <c r="X1478" s="17"/>
      <c r="Y1478" s="17"/>
      <c r="Z1478" s="17"/>
    </row>
    <row r="1479">
      <c r="A1479" s="18" t="str">
        <f>IFERROR(__xludf.DUMMYFUNCTION("""COMPUTED_VALUE"""),"ord_71457")</f>
        <v>ord_71457</v>
      </c>
      <c r="B1479" s="18" t="str">
        <f>IFERROR(__xludf.DUMMYFUNCTION("""COMPUTED_VALUE"""),"Sanjay Nair")</f>
        <v>Sanjay Nair</v>
      </c>
      <c r="C1479" s="18" t="str">
        <f>IFERROR(__xludf.DUMMYFUNCTION("""COMPUTED_VALUE"""),"Dadar")</f>
        <v>Dadar</v>
      </c>
      <c r="D1479" s="18" t="str">
        <f>IFERROR(__xludf.DUMMYFUNCTION("""COMPUTED_VALUE"""),"Potato")</f>
        <v>Potato</v>
      </c>
      <c r="E1479" s="18">
        <f>IFERROR(__xludf.DUMMYFUNCTION("""COMPUTED_VALUE"""),1.0)</f>
        <v>1</v>
      </c>
      <c r="F1479" s="18" t="str">
        <f>IFERROR(__xludf.DUMMYFUNCTION("""COMPUTED_VALUE"""),"Aman Kumar")</f>
        <v>Aman Kumar</v>
      </c>
      <c r="G1479" s="19">
        <f>IFERROR(__xludf.DUMMYFUNCTION("""COMPUTED_VALUE"""),45244.0)</f>
        <v>45244</v>
      </c>
      <c r="H1479" s="18" t="str">
        <f>IFERROR(__xludf.DUMMYFUNCTION("""COMPUTED_VALUE"""),"Online Payment")</f>
        <v>Online Payment</v>
      </c>
      <c r="I1479" s="18" t="str">
        <f>IFERROR(__xludf.DUMMYFUNCTION("""COMPUTED_VALUE"""),"Delivered")</f>
        <v>Delivered</v>
      </c>
      <c r="J1479" s="18" t="str">
        <f>IFERROR(__xludf.DUMMYFUNCTION("""COMPUTED_VALUE"""),"Overall Satisfaction")</f>
        <v>Overall Satisfaction</v>
      </c>
      <c r="K1479" s="18" t="str">
        <f>IFERROR(__xludf.DUMMYFUNCTION("""COMPUTED_VALUE"""),"Great service will order again")</f>
        <v>Great service will order again</v>
      </c>
      <c r="L1479" s="18">
        <f>iferror(VLOOKUP($D1479,Details!$A$2:$C$11,2,false),vlookup($D1479,Details!$E$2:$G$11,2,false))</f>
        <v>55</v>
      </c>
      <c r="M1479" s="18" t="str">
        <f>iferror(VLOOKUP($D1479,Details!$A$2:$C$11,3,false),vlookup($D1479,Details!$E$2:$G$11,3,false))</f>
        <v>Fruits and Vegetables</v>
      </c>
      <c r="N1479" s="18">
        <f t="shared" si="1"/>
        <v>55</v>
      </c>
      <c r="O1479" s="17"/>
      <c r="P1479" s="17"/>
      <c r="Q1479" s="17"/>
      <c r="R1479" s="17"/>
      <c r="S1479" s="17"/>
      <c r="T1479" s="17"/>
      <c r="U1479" s="17"/>
      <c r="V1479" s="17"/>
      <c r="W1479" s="17"/>
      <c r="X1479" s="17"/>
      <c r="Y1479" s="17"/>
      <c r="Z1479" s="17"/>
    </row>
    <row r="1480">
      <c r="A1480" s="18" t="str">
        <f>IFERROR(__xludf.DUMMYFUNCTION("""COMPUTED_VALUE"""),"ord_71458")</f>
        <v>ord_71458</v>
      </c>
      <c r="B1480" s="18" t="str">
        <f>IFERROR(__xludf.DUMMYFUNCTION("""COMPUTED_VALUE"""),"Omkar Mishra")</f>
        <v>Omkar Mishra</v>
      </c>
      <c r="C1480" s="18" t="str">
        <f>IFERROR(__xludf.DUMMYFUNCTION("""COMPUTED_VALUE"""),"Powai")</f>
        <v>Powai</v>
      </c>
      <c r="D1480" s="18" t="str">
        <f>IFERROR(__xludf.DUMMYFUNCTION("""COMPUTED_VALUE"""),"Popcorn")</f>
        <v>Popcorn</v>
      </c>
      <c r="E1480" s="18">
        <f>IFERROR(__xludf.DUMMYFUNCTION("""COMPUTED_VALUE"""),5.0)</f>
        <v>5</v>
      </c>
      <c r="F1480" s="18" t="str">
        <f>IFERROR(__xludf.DUMMYFUNCTION("""COMPUTED_VALUE"""),"Not Assigned")</f>
        <v>Not Assigned</v>
      </c>
      <c r="G1480" s="19">
        <f>IFERROR(__xludf.DUMMYFUNCTION("""COMPUTED_VALUE"""),45058.0)</f>
        <v>45058</v>
      </c>
      <c r="H1480" s="18" t="str">
        <f>IFERROR(__xludf.DUMMYFUNCTION("""COMPUTED_VALUE"""),"UPI")</f>
        <v>UPI</v>
      </c>
      <c r="I1480" s="18" t="str">
        <f>IFERROR(__xludf.DUMMYFUNCTION("""COMPUTED_VALUE"""),"Cancelled")</f>
        <v>Cancelled</v>
      </c>
      <c r="J1480" s="18" t="str">
        <f>IFERROR(__xludf.DUMMYFUNCTION("""COMPUTED_VALUE"""),"Payment Issues")</f>
        <v>Payment Issues</v>
      </c>
      <c r="K1480" s="18"/>
      <c r="L1480" s="18">
        <f>iferror(VLOOKUP($D1480,Details!$A$2:$C$11,2,false),vlookup($D1480,Details!$E$2:$G$11,2,false))</f>
        <v>150</v>
      </c>
      <c r="M1480" s="18" t="str">
        <f>iferror(VLOOKUP($D1480,Details!$A$2:$C$11,3,false),vlookup($D1480,Details!$E$2:$G$11,3,false))</f>
        <v>Snacks and Drinks</v>
      </c>
      <c r="N1480" s="18">
        <f t="shared" si="1"/>
        <v>750</v>
      </c>
      <c r="O1480" s="17"/>
      <c r="P1480" s="17"/>
      <c r="Q1480" s="17"/>
      <c r="R1480" s="17"/>
      <c r="S1480" s="17"/>
      <c r="T1480" s="17"/>
      <c r="U1480" s="17"/>
      <c r="V1480" s="17"/>
      <c r="W1480" s="17"/>
      <c r="X1480" s="17"/>
      <c r="Y1480" s="17"/>
      <c r="Z1480" s="17"/>
    </row>
    <row r="1481">
      <c r="A1481" s="18" t="str">
        <f>IFERROR(__xludf.DUMMYFUNCTION("""COMPUTED_VALUE"""),"ord_71459")</f>
        <v>ord_71459</v>
      </c>
      <c r="B1481" s="18" t="str">
        <f>IFERROR(__xludf.DUMMYFUNCTION("""COMPUTED_VALUE"""),"Omkar Mishra")</f>
        <v>Omkar Mishra</v>
      </c>
      <c r="C1481" s="18" t="str">
        <f>IFERROR(__xludf.DUMMYFUNCTION("""COMPUTED_VALUE"""),"Powai")</f>
        <v>Powai</v>
      </c>
      <c r="D1481" s="18" t="str">
        <f>IFERROR(__xludf.DUMMYFUNCTION("""COMPUTED_VALUE"""),"Chocolate Mousse")</f>
        <v>Chocolate Mousse</v>
      </c>
      <c r="E1481" s="18">
        <f>IFERROR(__xludf.DUMMYFUNCTION("""COMPUTED_VALUE"""),3.0)</f>
        <v>3</v>
      </c>
      <c r="F1481" s="18" t="str">
        <f>IFERROR(__xludf.DUMMYFUNCTION("""COMPUTED_VALUE"""),"Not Assigned")</f>
        <v>Not Assigned</v>
      </c>
      <c r="G1481" s="19">
        <f>IFERROR(__xludf.DUMMYFUNCTION("""COMPUTED_VALUE"""),45107.0)</f>
        <v>45107</v>
      </c>
      <c r="H1481" s="18" t="str">
        <f>IFERROR(__xludf.DUMMYFUNCTION("""COMPUTED_VALUE"""),"UPI")</f>
        <v>UPI</v>
      </c>
      <c r="I1481" s="18" t="str">
        <f>IFERROR(__xludf.DUMMYFUNCTION("""COMPUTED_VALUE"""),"Cancelled")</f>
        <v>Cancelled</v>
      </c>
      <c r="J1481" s="18" t="str">
        <f>IFERROR(__xludf.DUMMYFUNCTION("""COMPUTED_VALUE"""),"App Glitches")</f>
        <v>App Glitches</v>
      </c>
      <c r="K1481" s="18" t="str">
        <f>IFERROR(__xludf.DUMMYFUNCTION("""COMPUTED_VALUE"""),"Slow Loading Time")</f>
        <v>Slow Loading Time</v>
      </c>
      <c r="L1481" s="18">
        <f>iferror(VLOOKUP($D1481,Details!$A$2:$C$11,2,false),vlookup($D1481,Details!$E$2:$G$11,2,false))</f>
        <v>145</v>
      </c>
      <c r="M1481" s="18" t="str">
        <f>iferror(VLOOKUP($D1481,Details!$A$2:$C$11,3,false),vlookup($D1481,Details!$E$2:$G$11,3,false))</f>
        <v>Snacks and Drinks</v>
      </c>
      <c r="N1481" s="18">
        <f t="shared" si="1"/>
        <v>435</v>
      </c>
      <c r="O1481" s="17"/>
      <c r="P1481" s="17"/>
      <c r="Q1481" s="17"/>
      <c r="R1481" s="17"/>
      <c r="S1481" s="17"/>
      <c r="T1481" s="17"/>
      <c r="U1481" s="17"/>
      <c r="V1481" s="17"/>
      <c r="W1481" s="17"/>
      <c r="X1481" s="17"/>
      <c r="Y1481" s="17"/>
      <c r="Z1481" s="17"/>
    </row>
    <row r="1482">
      <c r="A1482" s="18" t="str">
        <f>IFERROR(__xludf.DUMMYFUNCTION("""COMPUTED_VALUE"""),"ord_71460")</f>
        <v>ord_71460</v>
      </c>
      <c r="B1482" s="18" t="str">
        <f>IFERROR(__xludf.DUMMYFUNCTION("""COMPUTED_VALUE"""),"Aditi Iyer")</f>
        <v>Aditi Iyer</v>
      </c>
      <c r="C1482" s="18" t="str">
        <f>IFERROR(__xludf.DUMMYFUNCTION("""COMPUTED_VALUE"""),"Dadar")</f>
        <v>Dadar</v>
      </c>
      <c r="D1482" s="18" t="str">
        <f>IFERROR(__xludf.DUMMYFUNCTION("""COMPUTED_VALUE"""),"Icecream")</f>
        <v>Icecream</v>
      </c>
      <c r="E1482" s="18">
        <f>IFERROR(__xludf.DUMMYFUNCTION("""COMPUTED_VALUE"""),3.0)</f>
        <v>3</v>
      </c>
      <c r="F1482" s="18" t="str">
        <f>IFERROR(__xludf.DUMMYFUNCTION("""COMPUTED_VALUE"""),"Not Assigned")</f>
        <v>Not Assigned</v>
      </c>
      <c r="G1482" s="19">
        <f>IFERROR(__xludf.DUMMYFUNCTION("""COMPUTED_VALUE"""),45250.0)</f>
        <v>45250</v>
      </c>
      <c r="H1482" s="18" t="str">
        <f>IFERROR(__xludf.DUMMYFUNCTION("""COMPUTED_VALUE"""),"Credit Card")</f>
        <v>Credit Card</v>
      </c>
      <c r="I1482" s="18" t="str">
        <f>IFERROR(__xludf.DUMMYFUNCTION("""COMPUTED_VALUE"""),"Cancelled")</f>
        <v>Cancelled</v>
      </c>
      <c r="J1482" s="18" t="str">
        <f>IFERROR(__xludf.DUMMYFUNCTION("""COMPUTED_VALUE"""),"App Glitches")</f>
        <v>App Glitches</v>
      </c>
      <c r="K1482" s="18" t="str">
        <f>IFERROR(__xludf.DUMMYFUNCTION("""COMPUTED_VALUE"""),"Payment Button Malfunction")</f>
        <v>Payment Button Malfunction</v>
      </c>
      <c r="L1482" s="18">
        <f>iferror(VLOOKUP($D1482,Details!$A$2:$C$11,2,false),vlookup($D1482,Details!$E$2:$G$11,2,false))</f>
        <v>90</v>
      </c>
      <c r="M1482" s="18" t="str">
        <f>iferror(VLOOKUP($D1482,Details!$A$2:$C$11,3,false),vlookup($D1482,Details!$E$2:$G$11,3,false))</f>
        <v>Snacks and Drinks</v>
      </c>
      <c r="N1482" s="18">
        <f t="shared" si="1"/>
        <v>270</v>
      </c>
      <c r="O1482" s="17"/>
      <c r="P1482" s="17"/>
      <c r="Q1482" s="17"/>
      <c r="R1482" s="17"/>
      <c r="S1482" s="17"/>
      <c r="T1482" s="17"/>
      <c r="U1482" s="17"/>
      <c r="V1482" s="17"/>
      <c r="W1482" s="17"/>
      <c r="X1482" s="17"/>
      <c r="Y1482" s="17"/>
      <c r="Z1482" s="17"/>
    </row>
    <row r="1483">
      <c r="A1483" s="18" t="str">
        <f>IFERROR(__xludf.DUMMYFUNCTION("""COMPUTED_VALUE"""),"ord_71461")</f>
        <v>ord_71461</v>
      </c>
      <c r="B1483" s="18" t="str">
        <f>IFERROR(__xludf.DUMMYFUNCTION("""COMPUTED_VALUE"""),"Siya Reddy")</f>
        <v>Siya Reddy</v>
      </c>
      <c r="C1483" s="18" t="str">
        <f>IFERROR(__xludf.DUMMYFUNCTION("""COMPUTED_VALUE"""),"Juhu")</f>
        <v>Juhu</v>
      </c>
      <c r="D1483" s="18" t="str">
        <f>IFERROR(__xludf.DUMMYFUNCTION("""COMPUTED_VALUE"""),"Papaya")</f>
        <v>Papaya</v>
      </c>
      <c r="E1483" s="18">
        <f>IFERROR(__xludf.DUMMYFUNCTION("""COMPUTED_VALUE"""),1.0)</f>
        <v>1</v>
      </c>
      <c r="F1483" s="18" t="str">
        <f>IFERROR(__xludf.DUMMYFUNCTION("""COMPUTED_VALUE"""),"Not Assigned")</f>
        <v>Not Assigned</v>
      </c>
      <c r="G1483" s="19">
        <f>IFERROR(__xludf.DUMMYFUNCTION("""COMPUTED_VALUE"""),45046.0)</f>
        <v>45046</v>
      </c>
      <c r="H1483" s="18" t="str">
        <f>IFERROR(__xludf.DUMMYFUNCTION("""COMPUTED_VALUE"""),"Online Payment")</f>
        <v>Online Payment</v>
      </c>
      <c r="I1483" s="18" t="str">
        <f>IFERROR(__xludf.DUMMYFUNCTION("""COMPUTED_VALUE"""),"Cancelled")</f>
        <v>Cancelled</v>
      </c>
      <c r="J1483" s="18" t="str">
        <f>IFERROR(__xludf.DUMMYFUNCTION("""COMPUTED_VALUE"""),"App Glitches")</f>
        <v>App Glitches</v>
      </c>
      <c r="K1483" s="18" t="str">
        <f>IFERROR(__xludf.DUMMYFUNCTION("""COMPUTED_VALUE"""),"Payment Button Malfunction")</f>
        <v>Payment Button Malfunction</v>
      </c>
      <c r="L1483" s="18">
        <f>iferror(VLOOKUP($D1483,Details!$A$2:$C$11,2,false),vlookup($D1483,Details!$E$2:$G$11,2,false))</f>
        <v>75</v>
      </c>
      <c r="M1483" s="18" t="str">
        <f>iferror(VLOOKUP($D1483,Details!$A$2:$C$11,3,false),vlookup($D1483,Details!$E$2:$G$11,3,false))</f>
        <v>Fruits and Vegetables</v>
      </c>
      <c r="N1483" s="18">
        <f t="shared" si="1"/>
        <v>75</v>
      </c>
      <c r="O1483" s="17"/>
      <c r="P1483" s="17"/>
      <c r="Q1483" s="17"/>
      <c r="R1483" s="17"/>
      <c r="S1483" s="17"/>
      <c r="T1483" s="17"/>
      <c r="U1483" s="17"/>
      <c r="V1483" s="17"/>
      <c r="W1483" s="17"/>
      <c r="X1483" s="17"/>
      <c r="Y1483" s="17"/>
      <c r="Z1483" s="17"/>
    </row>
    <row r="1484">
      <c r="A1484" s="18" t="str">
        <f>IFERROR(__xludf.DUMMYFUNCTION("""COMPUTED_VALUE"""),"ord_71462")</f>
        <v>ord_71462</v>
      </c>
      <c r="B1484" s="18" t="str">
        <f>IFERROR(__xludf.DUMMYFUNCTION("""COMPUTED_VALUE"""),"Dev Chauhan")</f>
        <v>Dev Chauhan</v>
      </c>
      <c r="C1484" s="18" t="str">
        <f>IFERROR(__xludf.DUMMYFUNCTION("""COMPUTED_VALUE"""),"Bandra")</f>
        <v>Bandra</v>
      </c>
      <c r="D1484" s="18" t="str">
        <f>IFERROR(__xludf.DUMMYFUNCTION("""COMPUTED_VALUE"""),"Potato")</f>
        <v>Potato</v>
      </c>
      <c r="E1484" s="18">
        <f>IFERROR(__xludf.DUMMYFUNCTION("""COMPUTED_VALUE"""),2.0)</f>
        <v>2</v>
      </c>
      <c r="F1484" s="18" t="str">
        <f>IFERROR(__xludf.DUMMYFUNCTION("""COMPUTED_VALUE"""),"Priya Joshi")</f>
        <v>Priya Joshi</v>
      </c>
      <c r="G1484" s="19">
        <f>IFERROR(__xludf.DUMMYFUNCTION("""COMPUTED_VALUE"""),45049.0)</f>
        <v>45049</v>
      </c>
      <c r="H1484" s="18" t="str">
        <f>IFERROR(__xludf.DUMMYFUNCTION("""COMPUTED_VALUE"""),"UPI")</f>
        <v>UPI</v>
      </c>
      <c r="I1484" s="18" t="str">
        <f>IFERROR(__xludf.DUMMYFUNCTION("""COMPUTED_VALUE"""),"Delivered")</f>
        <v>Delivered</v>
      </c>
      <c r="J1484" s="18" t="str">
        <f>IFERROR(__xludf.DUMMYFUNCTION("""COMPUTED_VALUE"""),"On-time Delivery")</f>
        <v>On-time Delivery</v>
      </c>
      <c r="K1484" s="18" t="str">
        <f>IFERROR(__xludf.DUMMYFUNCTION("""COMPUTED_VALUE"""),"Delivered on time")</f>
        <v>Delivered on time</v>
      </c>
      <c r="L1484" s="18">
        <f>iferror(VLOOKUP($D1484,Details!$A$2:$C$11,2,false),vlookup($D1484,Details!$E$2:$G$11,2,false))</f>
        <v>55</v>
      </c>
      <c r="M1484" s="18" t="str">
        <f>iferror(VLOOKUP($D1484,Details!$A$2:$C$11,3,false),vlookup($D1484,Details!$E$2:$G$11,3,false))</f>
        <v>Fruits and Vegetables</v>
      </c>
      <c r="N1484" s="18">
        <f t="shared" si="1"/>
        <v>110</v>
      </c>
      <c r="O1484" s="17"/>
      <c r="P1484" s="17"/>
      <c r="Q1484" s="17"/>
      <c r="R1484" s="17"/>
      <c r="S1484" s="17"/>
      <c r="T1484" s="17"/>
      <c r="U1484" s="17"/>
      <c r="V1484" s="17"/>
      <c r="W1484" s="17"/>
      <c r="X1484" s="17"/>
      <c r="Y1484" s="17"/>
      <c r="Z1484" s="17"/>
    </row>
    <row r="1485">
      <c r="A1485" s="18" t="str">
        <f>IFERROR(__xludf.DUMMYFUNCTION("""COMPUTED_VALUE"""),"ord_71463")</f>
        <v>ord_71463</v>
      </c>
      <c r="B1485" s="18" t="str">
        <f>IFERROR(__xludf.DUMMYFUNCTION("""COMPUTED_VALUE"""),"Pallavi Ghosh")</f>
        <v>Pallavi Ghosh</v>
      </c>
      <c r="C1485" s="18" t="str">
        <f>IFERROR(__xludf.DUMMYFUNCTION("""COMPUTED_VALUE"""),"Bandra")</f>
        <v>Bandra</v>
      </c>
      <c r="D1485" s="18" t="str">
        <f>IFERROR(__xludf.DUMMYFUNCTION("""COMPUTED_VALUE"""),"Cucumber")</f>
        <v>Cucumber</v>
      </c>
      <c r="E1485" s="18">
        <f>IFERROR(__xludf.DUMMYFUNCTION("""COMPUTED_VALUE"""),2.0)</f>
        <v>2</v>
      </c>
      <c r="F1485" s="18" t="str">
        <f>IFERROR(__xludf.DUMMYFUNCTION("""COMPUTED_VALUE"""),"Priya Joshi")</f>
        <v>Priya Joshi</v>
      </c>
      <c r="G1485" s="19">
        <f>IFERROR(__xludf.DUMMYFUNCTION("""COMPUTED_VALUE"""),44972.0)</f>
        <v>44972</v>
      </c>
      <c r="H1485" s="18" t="str">
        <f>IFERROR(__xludf.DUMMYFUNCTION("""COMPUTED_VALUE"""),"Credit Card")</f>
        <v>Credit Card</v>
      </c>
      <c r="I1485" s="18" t="str">
        <f>IFERROR(__xludf.DUMMYFUNCTION("""COMPUTED_VALUE"""),"Delivered")</f>
        <v>Delivered</v>
      </c>
      <c r="J1485" s="18" t="str">
        <f>IFERROR(__xludf.DUMMYFUNCTION("""COMPUTED_VALUE"""),"Quality of Items")</f>
        <v>Quality of Items</v>
      </c>
      <c r="K1485" s="18" t="str">
        <f>IFERROR(__xludf.DUMMYFUNCTION("""COMPUTED_VALUE"""),"Perfect condition")</f>
        <v>Perfect condition</v>
      </c>
      <c r="L1485" s="18">
        <f>iferror(VLOOKUP($D1485,Details!$A$2:$C$11,2,false),vlookup($D1485,Details!$E$2:$G$11,2,false))</f>
        <v>30</v>
      </c>
      <c r="M1485" s="18" t="str">
        <f>iferror(VLOOKUP($D1485,Details!$A$2:$C$11,3,false),vlookup($D1485,Details!$E$2:$G$11,3,false))</f>
        <v>Fruits and Vegetables</v>
      </c>
      <c r="N1485" s="18">
        <f t="shared" si="1"/>
        <v>60</v>
      </c>
      <c r="O1485" s="17"/>
      <c r="P1485" s="17"/>
      <c r="Q1485" s="17"/>
      <c r="R1485" s="17"/>
      <c r="S1485" s="17"/>
      <c r="T1485" s="17"/>
      <c r="U1485" s="17"/>
      <c r="V1485" s="17"/>
      <c r="W1485" s="17"/>
      <c r="X1485" s="17"/>
      <c r="Y1485" s="17"/>
      <c r="Z1485" s="17"/>
    </row>
    <row r="1486">
      <c r="A1486" s="18" t="str">
        <f>IFERROR(__xludf.DUMMYFUNCTION("""COMPUTED_VALUE"""),"ord_71464")</f>
        <v>ord_71464</v>
      </c>
      <c r="B1486" s="18" t="str">
        <f>IFERROR(__xludf.DUMMYFUNCTION("""COMPUTED_VALUE"""),"Anaya Rao")</f>
        <v>Anaya Rao</v>
      </c>
      <c r="C1486" s="18" t="str">
        <f>IFERROR(__xludf.DUMMYFUNCTION("""COMPUTED_VALUE"""),"Colaba")</f>
        <v>Colaba</v>
      </c>
      <c r="D1486" s="18" t="str">
        <f>IFERROR(__xludf.DUMMYFUNCTION("""COMPUTED_VALUE"""),"Banana")</f>
        <v>Banana</v>
      </c>
      <c r="E1486" s="18">
        <f>IFERROR(__xludf.DUMMYFUNCTION("""COMPUTED_VALUE"""),2.0)</f>
        <v>2</v>
      </c>
      <c r="F1486" s="18" t="str">
        <f>IFERROR(__xludf.DUMMYFUNCTION("""COMPUTED_VALUE"""),"Nikhil Deshmukh")</f>
        <v>Nikhil Deshmukh</v>
      </c>
      <c r="G1486" s="19">
        <f>IFERROR(__xludf.DUMMYFUNCTION("""COMPUTED_VALUE"""),45089.0)</f>
        <v>45089</v>
      </c>
      <c r="H1486" s="18" t="str">
        <f>IFERROR(__xludf.DUMMYFUNCTION("""COMPUTED_VALUE"""),"Online Payment")</f>
        <v>Online Payment</v>
      </c>
      <c r="I1486" s="18" t="str">
        <f>IFERROR(__xludf.DUMMYFUNCTION("""COMPUTED_VALUE"""),"Delivered")</f>
        <v>Delivered</v>
      </c>
      <c r="J1486" s="18" t="str">
        <f>IFERROR(__xludf.DUMMYFUNCTION("""COMPUTED_VALUE"""),"On-time Delivery")</f>
        <v>On-time Delivery</v>
      </c>
      <c r="K1486" s="18" t="str">
        <f>IFERROR(__xludf.DUMMYFUNCTION("""COMPUTED_VALUE"""),"Delivered on time")</f>
        <v>Delivered on time</v>
      </c>
      <c r="L1486" s="18">
        <f>iferror(VLOOKUP($D1486,Details!$A$2:$C$11,2,false),vlookup($D1486,Details!$E$2:$G$11,2,false))</f>
        <v>80</v>
      </c>
      <c r="M1486" s="18" t="str">
        <f>iferror(VLOOKUP($D1486,Details!$A$2:$C$11,3,false),vlookup($D1486,Details!$E$2:$G$11,3,false))</f>
        <v>Fruits and Vegetables</v>
      </c>
      <c r="N1486" s="18">
        <f t="shared" si="1"/>
        <v>160</v>
      </c>
      <c r="O1486" s="17"/>
      <c r="P1486" s="17"/>
      <c r="Q1486" s="17"/>
      <c r="R1486" s="17"/>
      <c r="S1486" s="17"/>
      <c r="T1486" s="17"/>
      <c r="U1486" s="17"/>
      <c r="V1486" s="17"/>
      <c r="W1486" s="17"/>
      <c r="X1486" s="17"/>
      <c r="Y1486" s="17"/>
      <c r="Z1486" s="17"/>
    </row>
    <row r="1487">
      <c r="A1487" s="18" t="str">
        <f>IFERROR(__xludf.DUMMYFUNCTION("""COMPUTED_VALUE"""),"ord_71465")</f>
        <v>ord_71465</v>
      </c>
      <c r="B1487" s="18" t="str">
        <f>IFERROR(__xludf.DUMMYFUNCTION("""COMPUTED_VALUE"""),"Omkar Mishra")</f>
        <v>Omkar Mishra</v>
      </c>
      <c r="C1487" s="18" t="str">
        <f>IFERROR(__xludf.DUMMYFUNCTION("""COMPUTED_VALUE"""),"Powai")</f>
        <v>Powai</v>
      </c>
      <c r="D1487" s="18" t="str">
        <f>IFERROR(__xludf.DUMMYFUNCTION("""COMPUTED_VALUE"""),"Chocolate Mousse")</f>
        <v>Chocolate Mousse</v>
      </c>
      <c r="E1487" s="18">
        <f>IFERROR(__xludf.DUMMYFUNCTION("""COMPUTED_VALUE"""),3.0)</f>
        <v>3</v>
      </c>
      <c r="F1487" s="18" t="str">
        <f>IFERROR(__xludf.DUMMYFUNCTION("""COMPUTED_VALUE"""),"Not Assigned")</f>
        <v>Not Assigned</v>
      </c>
      <c r="G1487" s="19">
        <f>IFERROR(__xludf.DUMMYFUNCTION("""COMPUTED_VALUE"""),45276.0)</f>
        <v>45276</v>
      </c>
      <c r="H1487" s="18" t="str">
        <f>IFERROR(__xludf.DUMMYFUNCTION("""COMPUTED_VALUE"""),"Credit Card")</f>
        <v>Credit Card</v>
      </c>
      <c r="I1487" s="18" t="str">
        <f>IFERROR(__xludf.DUMMYFUNCTION("""COMPUTED_VALUE"""),"Cancelled")</f>
        <v>Cancelled</v>
      </c>
      <c r="J1487" s="18" t="str">
        <f>IFERROR(__xludf.DUMMYFUNCTION("""COMPUTED_VALUE"""),"App Glitches")</f>
        <v>App Glitches</v>
      </c>
      <c r="K1487" s="18" t="str">
        <f>IFERROR(__xludf.DUMMYFUNCTION("""COMPUTED_VALUE"""),"Inconsistent Data Display")</f>
        <v>Inconsistent Data Display</v>
      </c>
      <c r="L1487" s="18">
        <f>iferror(VLOOKUP($D1487,Details!$A$2:$C$11,2,false),vlookup($D1487,Details!$E$2:$G$11,2,false))</f>
        <v>145</v>
      </c>
      <c r="M1487" s="18" t="str">
        <f>iferror(VLOOKUP($D1487,Details!$A$2:$C$11,3,false),vlookup($D1487,Details!$E$2:$G$11,3,false))</f>
        <v>Snacks and Drinks</v>
      </c>
      <c r="N1487" s="18">
        <f t="shared" si="1"/>
        <v>435</v>
      </c>
      <c r="O1487" s="17"/>
      <c r="P1487" s="17"/>
      <c r="Q1487" s="17"/>
      <c r="R1487" s="17"/>
      <c r="S1487" s="17"/>
      <c r="T1487" s="17"/>
      <c r="U1487" s="17"/>
      <c r="V1487" s="17"/>
      <c r="W1487" s="17"/>
      <c r="X1487" s="17"/>
      <c r="Y1487" s="17"/>
      <c r="Z1487" s="17"/>
    </row>
    <row r="1488">
      <c r="A1488" s="18" t="str">
        <f>IFERROR(__xludf.DUMMYFUNCTION("""COMPUTED_VALUE"""),"ord_71466")</f>
        <v>ord_71466</v>
      </c>
      <c r="B1488" s="18" t="str">
        <f>IFERROR(__xludf.DUMMYFUNCTION("""COMPUTED_VALUE"""),"Kritika Shetty")</f>
        <v>Kritika Shetty</v>
      </c>
      <c r="C1488" s="18" t="str">
        <f>IFERROR(__xludf.DUMMYFUNCTION("""COMPUTED_VALUE"""),"Malad")</f>
        <v>Malad</v>
      </c>
      <c r="D1488" s="18" t="str">
        <f>IFERROR(__xludf.DUMMYFUNCTION("""COMPUTED_VALUE"""),"Sweet Corn")</f>
        <v>Sweet Corn</v>
      </c>
      <c r="E1488" s="18">
        <f>IFERROR(__xludf.DUMMYFUNCTION("""COMPUTED_VALUE"""),1.0)</f>
        <v>1</v>
      </c>
      <c r="F1488" s="18" t="str">
        <f>IFERROR(__xludf.DUMMYFUNCTION("""COMPUTED_VALUE"""),"Not Assigned")</f>
        <v>Not Assigned</v>
      </c>
      <c r="G1488" s="19">
        <f>IFERROR(__xludf.DUMMYFUNCTION("""COMPUTED_VALUE"""),44982.0)</f>
        <v>44982</v>
      </c>
      <c r="H1488" s="18" t="str">
        <f>IFERROR(__xludf.DUMMYFUNCTION("""COMPUTED_VALUE"""),"Credit Card")</f>
        <v>Credit Card</v>
      </c>
      <c r="I1488" s="18" t="str">
        <f>IFERROR(__xludf.DUMMYFUNCTION("""COMPUTED_VALUE"""),"Cancelled")</f>
        <v>Cancelled</v>
      </c>
      <c r="J1488" s="18" t="str">
        <f>IFERROR(__xludf.DUMMYFUNCTION("""COMPUTED_VALUE"""),"App Glitches")</f>
        <v>App Glitches</v>
      </c>
      <c r="K1488" s="18" t="str">
        <f>IFERROR(__xludf.DUMMYFUNCTION("""COMPUTED_VALUE"""),"Slow Loading Time")</f>
        <v>Slow Loading Time</v>
      </c>
      <c r="L1488" s="18">
        <f>iferror(VLOOKUP($D1488,Details!$A$2:$C$11,2,false),vlookup($D1488,Details!$E$2:$G$11,2,false))</f>
        <v>60</v>
      </c>
      <c r="M1488" s="18" t="str">
        <f>iferror(VLOOKUP($D1488,Details!$A$2:$C$11,3,false),vlookup($D1488,Details!$E$2:$G$11,3,false))</f>
        <v>Fruits and Vegetables</v>
      </c>
      <c r="N1488" s="18">
        <f t="shared" si="1"/>
        <v>60</v>
      </c>
      <c r="O1488" s="17"/>
      <c r="P1488" s="17"/>
      <c r="Q1488" s="17"/>
      <c r="R1488" s="17"/>
      <c r="S1488" s="17"/>
      <c r="T1488" s="17"/>
      <c r="U1488" s="17"/>
      <c r="V1488" s="17"/>
      <c r="W1488" s="17"/>
      <c r="X1488" s="17"/>
      <c r="Y1488" s="17"/>
      <c r="Z1488" s="17"/>
    </row>
    <row r="1489">
      <c r="A1489" s="18" t="str">
        <f>IFERROR(__xludf.DUMMYFUNCTION("""COMPUTED_VALUE"""),"ord_71467")</f>
        <v>ord_71467</v>
      </c>
      <c r="B1489" s="18" t="str">
        <f>IFERROR(__xludf.DUMMYFUNCTION("""COMPUTED_VALUE"""),"Aarohi Kapoor")</f>
        <v>Aarohi Kapoor</v>
      </c>
      <c r="C1489" s="18" t="str">
        <f>IFERROR(__xludf.DUMMYFUNCTION("""COMPUTED_VALUE"""),"Bandra")</f>
        <v>Bandra</v>
      </c>
      <c r="D1489" s="18" t="str">
        <f>IFERROR(__xludf.DUMMYFUNCTION("""COMPUTED_VALUE"""),"Popcorn")</f>
        <v>Popcorn</v>
      </c>
      <c r="E1489" s="18">
        <f>IFERROR(__xludf.DUMMYFUNCTION("""COMPUTED_VALUE"""),3.0)</f>
        <v>3</v>
      </c>
      <c r="F1489" s="18" t="str">
        <f>IFERROR(__xludf.DUMMYFUNCTION("""COMPUTED_VALUE"""),"Not Assigned")</f>
        <v>Not Assigned</v>
      </c>
      <c r="G1489" s="19">
        <f>IFERROR(__xludf.DUMMYFUNCTION("""COMPUTED_VALUE"""),45000.0)</f>
        <v>45000</v>
      </c>
      <c r="H1489" s="18" t="str">
        <f>IFERROR(__xludf.DUMMYFUNCTION("""COMPUTED_VALUE"""),"Credit Card")</f>
        <v>Credit Card</v>
      </c>
      <c r="I1489" s="18" t="str">
        <f>IFERROR(__xludf.DUMMYFUNCTION("""COMPUTED_VALUE"""),"Cancelled")</f>
        <v>Cancelled</v>
      </c>
      <c r="J1489" s="18" t="str">
        <f>IFERROR(__xludf.DUMMYFUNCTION("""COMPUTED_VALUE"""),"High Delivery Fees")</f>
        <v>High Delivery Fees</v>
      </c>
      <c r="K1489" s="18"/>
      <c r="L1489" s="18">
        <f>iferror(VLOOKUP($D1489,Details!$A$2:$C$11,2,false),vlookup($D1489,Details!$E$2:$G$11,2,false))</f>
        <v>150</v>
      </c>
      <c r="M1489" s="18" t="str">
        <f>iferror(VLOOKUP($D1489,Details!$A$2:$C$11,3,false),vlookup($D1489,Details!$E$2:$G$11,3,false))</f>
        <v>Snacks and Drinks</v>
      </c>
      <c r="N1489" s="18">
        <f t="shared" si="1"/>
        <v>450</v>
      </c>
      <c r="O1489" s="17"/>
      <c r="P1489" s="17"/>
      <c r="Q1489" s="17"/>
      <c r="R1489" s="17"/>
      <c r="S1489" s="17"/>
      <c r="T1489" s="17"/>
      <c r="U1489" s="17"/>
      <c r="V1489" s="17"/>
      <c r="W1489" s="17"/>
      <c r="X1489" s="17"/>
      <c r="Y1489" s="17"/>
      <c r="Z1489" s="17"/>
    </row>
    <row r="1490">
      <c r="A1490" s="18" t="str">
        <f>IFERROR(__xludf.DUMMYFUNCTION("""COMPUTED_VALUE"""),"ord_71468")</f>
        <v>ord_71468</v>
      </c>
      <c r="B1490" s="18" t="str">
        <f>IFERROR(__xludf.DUMMYFUNCTION("""COMPUTED_VALUE"""),"Aditya Basu")</f>
        <v>Aditya Basu</v>
      </c>
      <c r="C1490" s="18" t="str">
        <f>IFERROR(__xludf.DUMMYFUNCTION("""COMPUTED_VALUE"""),"Juhu")</f>
        <v>Juhu</v>
      </c>
      <c r="D1490" s="18" t="str">
        <f>IFERROR(__xludf.DUMMYFUNCTION("""COMPUTED_VALUE"""),"Cucumber")</f>
        <v>Cucumber</v>
      </c>
      <c r="E1490" s="18">
        <f>IFERROR(__xludf.DUMMYFUNCTION("""COMPUTED_VALUE"""),2.0)</f>
        <v>2</v>
      </c>
      <c r="F1490" s="18" t="str">
        <f>IFERROR(__xludf.DUMMYFUNCTION("""COMPUTED_VALUE"""),"Tanvi Jain")</f>
        <v>Tanvi Jain</v>
      </c>
      <c r="G1490" s="19">
        <f>IFERROR(__xludf.DUMMYFUNCTION("""COMPUTED_VALUE"""),45215.0)</f>
        <v>45215</v>
      </c>
      <c r="H1490" s="18" t="str">
        <f>IFERROR(__xludf.DUMMYFUNCTION("""COMPUTED_VALUE"""),"COD")</f>
        <v>COD</v>
      </c>
      <c r="I1490" s="18" t="str">
        <f>IFERROR(__xludf.DUMMYFUNCTION("""COMPUTED_VALUE"""),"Delivered")</f>
        <v>Delivered</v>
      </c>
      <c r="J1490" s="18" t="str">
        <f>IFERROR(__xludf.DUMMYFUNCTION("""COMPUTED_VALUE"""),"Quality of Items")</f>
        <v>Quality of Items</v>
      </c>
      <c r="K1490" s="18" t="str">
        <f>IFERROR(__xludf.DUMMYFUNCTION("""COMPUTED_VALUE"""),"Perfect condition")</f>
        <v>Perfect condition</v>
      </c>
      <c r="L1490" s="18">
        <f>iferror(VLOOKUP($D1490,Details!$A$2:$C$11,2,false),vlookup($D1490,Details!$E$2:$G$11,2,false))</f>
        <v>30</v>
      </c>
      <c r="M1490" s="18" t="str">
        <f>iferror(VLOOKUP($D1490,Details!$A$2:$C$11,3,false),vlookup($D1490,Details!$E$2:$G$11,3,false))</f>
        <v>Fruits and Vegetables</v>
      </c>
      <c r="N1490" s="18">
        <f t="shared" si="1"/>
        <v>60</v>
      </c>
      <c r="O1490" s="17"/>
      <c r="P1490" s="17"/>
      <c r="Q1490" s="17"/>
      <c r="R1490" s="17"/>
      <c r="S1490" s="17"/>
      <c r="T1490" s="17"/>
      <c r="U1490" s="17"/>
      <c r="V1490" s="17"/>
      <c r="W1490" s="17"/>
      <c r="X1490" s="17"/>
      <c r="Y1490" s="17"/>
      <c r="Z1490" s="17"/>
    </row>
    <row r="1491">
      <c r="A1491" s="18" t="str">
        <f>IFERROR(__xludf.DUMMYFUNCTION("""COMPUTED_VALUE"""),"ord_71469")</f>
        <v>ord_71469</v>
      </c>
      <c r="B1491" s="18" t="str">
        <f>IFERROR(__xludf.DUMMYFUNCTION("""COMPUTED_VALUE"""),"Parth Goel")</f>
        <v>Parth Goel</v>
      </c>
      <c r="C1491" s="18" t="str">
        <f>IFERROR(__xludf.DUMMYFUNCTION("""COMPUTED_VALUE"""),"Juhu")</f>
        <v>Juhu</v>
      </c>
      <c r="D1491" s="18" t="str">
        <f>IFERROR(__xludf.DUMMYFUNCTION("""COMPUTED_VALUE"""),"Chocolate Mousse")</f>
        <v>Chocolate Mousse</v>
      </c>
      <c r="E1491" s="18">
        <f>IFERROR(__xludf.DUMMYFUNCTION("""COMPUTED_VALUE"""),1.0)</f>
        <v>1</v>
      </c>
      <c r="F1491" s="18" t="str">
        <f>IFERROR(__xludf.DUMMYFUNCTION("""COMPUTED_VALUE"""),"Tanvi Jain")</f>
        <v>Tanvi Jain</v>
      </c>
      <c r="G1491" s="19">
        <f>IFERROR(__xludf.DUMMYFUNCTION("""COMPUTED_VALUE"""),45101.0)</f>
        <v>45101</v>
      </c>
      <c r="H1491" s="18" t="str">
        <f>IFERROR(__xludf.DUMMYFUNCTION("""COMPUTED_VALUE"""),"Online Payment")</f>
        <v>Online Payment</v>
      </c>
      <c r="I1491" s="18" t="str">
        <f>IFERROR(__xludf.DUMMYFUNCTION("""COMPUTED_VALUE"""),"Delivered")</f>
        <v>Delivered</v>
      </c>
      <c r="J1491" s="18" t="str">
        <f>IFERROR(__xludf.DUMMYFUNCTION("""COMPUTED_VALUE"""),"Packaging")</f>
        <v>Packaging</v>
      </c>
      <c r="K1491" s="18" t="str">
        <f>IFERROR(__xludf.DUMMYFUNCTION("""COMPUTED_VALUE"""),"Secure and intact")</f>
        <v>Secure and intact</v>
      </c>
      <c r="L1491" s="18">
        <f>iferror(VLOOKUP($D1491,Details!$A$2:$C$11,2,false),vlookup($D1491,Details!$E$2:$G$11,2,false))</f>
        <v>145</v>
      </c>
      <c r="M1491" s="18" t="str">
        <f>iferror(VLOOKUP($D1491,Details!$A$2:$C$11,3,false),vlookup($D1491,Details!$E$2:$G$11,3,false))</f>
        <v>Snacks and Drinks</v>
      </c>
      <c r="N1491" s="18">
        <f t="shared" si="1"/>
        <v>145</v>
      </c>
      <c r="O1491" s="17"/>
      <c r="P1491" s="17"/>
      <c r="Q1491" s="17"/>
      <c r="R1491" s="17"/>
      <c r="S1491" s="17"/>
      <c r="T1491" s="17"/>
      <c r="U1491" s="17"/>
      <c r="V1491" s="17"/>
      <c r="W1491" s="17"/>
      <c r="X1491" s="17"/>
      <c r="Y1491" s="17"/>
      <c r="Z1491" s="17"/>
    </row>
    <row r="1492">
      <c r="A1492" s="18" t="str">
        <f>IFERROR(__xludf.DUMMYFUNCTION("""COMPUTED_VALUE"""),"ord_71470")</f>
        <v>ord_71470</v>
      </c>
      <c r="B1492" s="18" t="str">
        <f>IFERROR(__xludf.DUMMYFUNCTION("""COMPUTED_VALUE"""),"Siya Reddy")</f>
        <v>Siya Reddy</v>
      </c>
      <c r="C1492" s="18" t="str">
        <f>IFERROR(__xludf.DUMMYFUNCTION("""COMPUTED_VALUE"""),"Juhu")</f>
        <v>Juhu</v>
      </c>
      <c r="D1492" s="18" t="str">
        <f>IFERROR(__xludf.DUMMYFUNCTION("""COMPUTED_VALUE"""),"Tiramisu")</f>
        <v>Tiramisu</v>
      </c>
      <c r="E1492" s="18">
        <f>IFERROR(__xludf.DUMMYFUNCTION("""COMPUTED_VALUE"""),1.0)</f>
        <v>1</v>
      </c>
      <c r="F1492" s="18" t="str">
        <f>IFERROR(__xludf.DUMMYFUNCTION("""COMPUTED_VALUE"""),"Not Assigned")</f>
        <v>Not Assigned</v>
      </c>
      <c r="G1492" s="19">
        <f>IFERROR(__xludf.DUMMYFUNCTION("""COMPUTED_VALUE"""),45133.0)</f>
        <v>45133</v>
      </c>
      <c r="H1492" s="18" t="str">
        <f>IFERROR(__xludf.DUMMYFUNCTION("""COMPUTED_VALUE"""),"Online Payment")</f>
        <v>Online Payment</v>
      </c>
      <c r="I1492" s="18" t="str">
        <f>IFERROR(__xludf.DUMMYFUNCTION("""COMPUTED_VALUE"""),"Cancelled")</f>
        <v>Cancelled</v>
      </c>
      <c r="J1492" s="18" t="str">
        <f>IFERROR(__xludf.DUMMYFUNCTION("""COMPUTED_VALUE"""),"App Glitches")</f>
        <v>App Glitches</v>
      </c>
      <c r="K1492" s="18" t="str">
        <f>IFERROR(__xludf.DUMMYFUNCTION("""COMPUTED_VALUE"""),"Missing Content")</f>
        <v>Missing Content</v>
      </c>
      <c r="L1492" s="18">
        <f>iferror(VLOOKUP($D1492,Details!$A$2:$C$11,2,false),vlookup($D1492,Details!$E$2:$G$11,2,false))</f>
        <v>150</v>
      </c>
      <c r="M1492" s="18" t="str">
        <f>iferror(VLOOKUP($D1492,Details!$A$2:$C$11,3,false),vlookup($D1492,Details!$E$2:$G$11,3,false))</f>
        <v>Snacks and Drinks</v>
      </c>
      <c r="N1492" s="18">
        <f t="shared" si="1"/>
        <v>150</v>
      </c>
      <c r="O1492" s="17"/>
      <c r="P1492" s="17"/>
      <c r="Q1492" s="17"/>
      <c r="R1492" s="17"/>
      <c r="S1492" s="17"/>
      <c r="T1492" s="17"/>
      <c r="U1492" s="17"/>
      <c r="V1492" s="17"/>
      <c r="W1492" s="17"/>
      <c r="X1492" s="17"/>
      <c r="Y1492" s="17"/>
      <c r="Z1492" s="17"/>
    </row>
    <row r="1493">
      <c r="A1493" s="18" t="str">
        <f>IFERROR(__xludf.DUMMYFUNCTION("""COMPUTED_VALUE"""),"ord_71471")</f>
        <v>ord_71471</v>
      </c>
      <c r="B1493" s="18" t="str">
        <f>IFERROR(__xludf.DUMMYFUNCTION("""COMPUTED_VALUE"""),"Parth Goel")</f>
        <v>Parth Goel</v>
      </c>
      <c r="C1493" s="18" t="str">
        <f>IFERROR(__xludf.DUMMYFUNCTION("""COMPUTED_VALUE"""),"Juhu")</f>
        <v>Juhu</v>
      </c>
      <c r="D1493" s="18" t="str">
        <f>IFERROR(__xludf.DUMMYFUNCTION("""COMPUTED_VALUE"""),"Veg Puff")</f>
        <v>Veg Puff</v>
      </c>
      <c r="E1493" s="18">
        <f>IFERROR(__xludf.DUMMYFUNCTION("""COMPUTED_VALUE"""),2.0)</f>
        <v>2</v>
      </c>
      <c r="F1493" s="18" t="str">
        <f>IFERROR(__xludf.DUMMYFUNCTION("""COMPUTED_VALUE"""),"Tanvi Jain")</f>
        <v>Tanvi Jain</v>
      </c>
      <c r="G1493" s="19">
        <f>IFERROR(__xludf.DUMMYFUNCTION("""COMPUTED_VALUE"""),45243.0)</f>
        <v>45243</v>
      </c>
      <c r="H1493" s="18" t="str">
        <f>IFERROR(__xludf.DUMMYFUNCTION("""COMPUTED_VALUE"""),"COD")</f>
        <v>COD</v>
      </c>
      <c r="I1493" s="18" t="str">
        <f>IFERROR(__xludf.DUMMYFUNCTION("""COMPUTED_VALUE"""),"Delivered")</f>
        <v>Delivered</v>
      </c>
      <c r="J1493" s="18" t="str">
        <f>IFERROR(__xludf.DUMMYFUNCTION("""COMPUTED_VALUE"""),"Satisfied with the Delivery")</f>
        <v>Satisfied with the Delivery</v>
      </c>
      <c r="K1493" s="18" t="str">
        <f>IFERROR(__xludf.DUMMYFUNCTION("""COMPUTED_VALUE"""),"Timely and quality")</f>
        <v>Timely and quality</v>
      </c>
      <c r="L1493" s="18">
        <f>iferror(VLOOKUP($D1493,Details!$A$2:$C$11,2,false),vlookup($D1493,Details!$E$2:$G$11,2,false))</f>
        <v>80</v>
      </c>
      <c r="M1493" s="18" t="str">
        <f>iferror(VLOOKUP($D1493,Details!$A$2:$C$11,3,false),vlookup($D1493,Details!$E$2:$G$11,3,false))</f>
        <v>Snacks and Drinks</v>
      </c>
      <c r="N1493" s="18">
        <f t="shared" si="1"/>
        <v>160</v>
      </c>
      <c r="O1493" s="17"/>
      <c r="P1493" s="17"/>
      <c r="Q1493" s="17"/>
      <c r="R1493" s="17"/>
      <c r="S1493" s="17"/>
      <c r="T1493" s="17"/>
      <c r="U1493" s="17"/>
      <c r="V1493" s="17"/>
      <c r="W1493" s="17"/>
      <c r="X1493" s="17"/>
      <c r="Y1493" s="17"/>
      <c r="Z1493" s="17"/>
    </row>
    <row r="1494">
      <c r="A1494" s="18" t="str">
        <f>IFERROR(__xludf.DUMMYFUNCTION("""COMPUTED_VALUE"""),"ord_71472")</f>
        <v>ord_71472</v>
      </c>
      <c r="B1494" s="18" t="str">
        <f>IFERROR(__xludf.DUMMYFUNCTION("""COMPUTED_VALUE"""),"Arvind Kulkarni")</f>
        <v>Arvind Kulkarni</v>
      </c>
      <c r="C1494" s="18" t="str">
        <f>IFERROR(__xludf.DUMMYFUNCTION("""COMPUTED_VALUE"""),"Juhu")</f>
        <v>Juhu</v>
      </c>
      <c r="D1494" s="18" t="str">
        <f>IFERROR(__xludf.DUMMYFUNCTION("""COMPUTED_VALUE"""),"Popcorn")</f>
        <v>Popcorn</v>
      </c>
      <c r="E1494" s="18">
        <f>IFERROR(__xludf.DUMMYFUNCTION("""COMPUTED_VALUE"""),1.0)</f>
        <v>1</v>
      </c>
      <c r="F1494" s="18" t="str">
        <f>IFERROR(__xludf.DUMMYFUNCTION("""COMPUTED_VALUE"""),"Ramesh S")</f>
        <v>Ramesh S</v>
      </c>
      <c r="G1494" s="19">
        <f>IFERROR(__xludf.DUMMYFUNCTION("""COMPUTED_VALUE"""),45113.0)</f>
        <v>45113</v>
      </c>
      <c r="H1494" s="18" t="str">
        <f>IFERROR(__xludf.DUMMYFUNCTION("""COMPUTED_VALUE"""),"Online Payment")</f>
        <v>Online Payment</v>
      </c>
      <c r="I1494" s="18" t="str">
        <f>IFERROR(__xludf.DUMMYFUNCTION("""COMPUTED_VALUE"""),"Cancelled")</f>
        <v>Cancelled</v>
      </c>
      <c r="J1494" s="18" t="str">
        <f>IFERROR(__xludf.DUMMYFUNCTION("""COMPUTED_VALUE"""),"Delayed Delivery")</f>
        <v>Delayed Delivery</v>
      </c>
      <c r="K1494" s="18" t="str">
        <f>IFERROR(__xludf.DUMMYFUNCTION("""COMPUTED_VALUE"""),"Heavy Traffic")</f>
        <v>Heavy Traffic</v>
      </c>
      <c r="L1494" s="18">
        <f>iferror(VLOOKUP($D1494,Details!$A$2:$C$11,2,false),vlookup($D1494,Details!$E$2:$G$11,2,false))</f>
        <v>150</v>
      </c>
      <c r="M1494" s="18" t="str">
        <f>iferror(VLOOKUP($D1494,Details!$A$2:$C$11,3,false),vlookup($D1494,Details!$E$2:$G$11,3,false))</f>
        <v>Snacks and Drinks</v>
      </c>
      <c r="N1494" s="18">
        <f t="shared" si="1"/>
        <v>150</v>
      </c>
      <c r="O1494" s="17"/>
      <c r="P1494" s="17"/>
      <c r="Q1494" s="17"/>
      <c r="R1494" s="17"/>
      <c r="S1494" s="17"/>
      <c r="T1494" s="17"/>
      <c r="U1494" s="17"/>
      <c r="V1494" s="17"/>
      <c r="W1494" s="17"/>
      <c r="X1494" s="17"/>
      <c r="Y1494" s="17"/>
      <c r="Z1494" s="17"/>
    </row>
    <row r="1495">
      <c r="A1495" s="18" t="str">
        <f>IFERROR(__xludf.DUMMYFUNCTION("""COMPUTED_VALUE"""),"ord_71473")</f>
        <v>ord_71473</v>
      </c>
      <c r="B1495" s="18" t="str">
        <f>IFERROR(__xludf.DUMMYFUNCTION("""COMPUTED_VALUE"""),"Sakshi Tandon")</f>
        <v>Sakshi Tandon</v>
      </c>
      <c r="C1495" s="18" t="str">
        <f>IFERROR(__xludf.DUMMYFUNCTION("""COMPUTED_VALUE"""),"Colaba")</f>
        <v>Colaba</v>
      </c>
      <c r="D1495" s="18" t="str">
        <f>IFERROR(__xludf.DUMMYFUNCTION("""COMPUTED_VALUE"""),"Tiramisu")</f>
        <v>Tiramisu</v>
      </c>
      <c r="E1495" s="18">
        <f>IFERROR(__xludf.DUMMYFUNCTION("""COMPUTED_VALUE"""),1.0)</f>
        <v>1</v>
      </c>
      <c r="F1495" s="18" t="str">
        <f>IFERROR(__xludf.DUMMYFUNCTION("""COMPUTED_VALUE"""),"Nikhil Deshmukh")</f>
        <v>Nikhil Deshmukh</v>
      </c>
      <c r="G1495" s="19">
        <f>IFERROR(__xludf.DUMMYFUNCTION("""COMPUTED_VALUE"""),45095.0)</f>
        <v>45095</v>
      </c>
      <c r="H1495" s="18" t="str">
        <f>IFERROR(__xludf.DUMMYFUNCTION("""COMPUTED_VALUE"""),"Online Payment")</f>
        <v>Online Payment</v>
      </c>
      <c r="I1495" s="18" t="str">
        <f>IFERROR(__xludf.DUMMYFUNCTION("""COMPUTED_VALUE"""),"Delivered")</f>
        <v>Delivered</v>
      </c>
      <c r="J1495" s="18" t="str">
        <f>IFERROR(__xludf.DUMMYFUNCTION("""COMPUTED_VALUE"""),"Customer Service")</f>
        <v>Customer Service</v>
      </c>
      <c r="K1495" s="18" t="str">
        <f>IFERROR(__xludf.DUMMYFUNCTION("""COMPUTED_VALUE"""),"Seamless and easy")</f>
        <v>Seamless and easy</v>
      </c>
      <c r="L1495" s="18">
        <f>iferror(VLOOKUP($D1495,Details!$A$2:$C$11,2,false),vlookup($D1495,Details!$E$2:$G$11,2,false))</f>
        <v>150</v>
      </c>
      <c r="M1495" s="18" t="str">
        <f>iferror(VLOOKUP($D1495,Details!$A$2:$C$11,3,false),vlookup($D1495,Details!$E$2:$G$11,3,false))</f>
        <v>Snacks and Drinks</v>
      </c>
      <c r="N1495" s="18">
        <f t="shared" si="1"/>
        <v>150</v>
      </c>
      <c r="O1495" s="17"/>
      <c r="P1495" s="17"/>
      <c r="Q1495" s="17"/>
      <c r="R1495" s="17"/>
      <c r="S1495" s="17"/>
      <c r="T1495" s="17"/>
      <c r="U1495" s="17"/>
      <c r="V1495" s="17"/>
      <c r="W1495" s="17"/>
      <c r="X1495" s="17"/>
      <c r="Y1495" s="17"/>
      <c r="Z1495" s="17"/>
    </row>
    <row r="1496">
      <c r="A1496" s="18" t="str">
        <f>IFERROR(__xludf.DUMMYFUNCTION("""COMPUTED_VALUE"""),"ord_71474")</f>
        <v>ord_71474</v>
      </c>
      <c r="B1496" s="18" t="str">
        <f>IFERROR(__xludf.DUMMYFUNCTION("""COMPUTED_VALUE"""),"Arvind Kulkarni")</f>
        <v>Arvind Kulkarni</v>
      </c>
      <c r="C1496" s="18" t="str">
        <f>IFERROR(__xludf.DUMMYFUNCTION("""COMPUTED_VALUE"""),"Juhu")</f>
        <v>Juhu</v>
      </c>
      <c r="D1496" s="18" t="str">
        <f>IFERROR(__xludf.DUMMYFUNCTION("""COMPUTED_VALUE"""),"Banana")</f>
        <v>Banana</v>
      </c>
      <c r="E1496" s="18">
        <f>IFERROR(__xludf.DUMMYFUNCTION("""COMPUTED_VALUE"""),2.0)</f>
        <v>2</v>
      </c>
      <c r="F1496" s="18" t="str">
        <f>IFERROR(__xludf.DUMMYFUNCTION("""COMPUTED_VALUE"""),"Not Assigned")</f>
        <v>Not Assigned</v>
      </c>
      <c r="G1496" s="19">
        <f>IFERROR(__xludf.DUMMYFUNCTION("""COMPUTED_VALUE"""),45232.0)</f>
        <v>45232</v>
      </c>
      <c r="H1496" s="18" t="str">
        <f>IFERROR(__xludf.DUMMYFUNCTION("""COMPUTED_VALUE"""),"Credit Card")</f>
        <v>Credit Card</v>
      </c>
      <c r="I1496" s="18" t="str">
        <f>IFERROR(__xludf.DUMMYFUNCTION("""COMPUTED_VALUE"""),"Cancelled")</f>
        <v>Cancelled</v>
      </c>
      <c r="J1496" s="18" t="str">
        <f>IFERROR(__xludf.DUMMYFUNCTION("""COMPUTED_VALUE"""),"App Glitches")</f>
        <v>App Glitches</v>
      </c>
      <c r="K1496" s="18" t="str">
        <f>IFERROR(__xludf.DUMMYFUNCTION("""COMPUTED_VALUE"""),"Payment Button Malfunction")</f>
        <v>Payment Button Malfunction</v>
      </c>
      <c r="L1496" s="18">
        <f>iferror(VLOOKUP($D1496,Details!$A$2:$C$11,2,false),vlookup($D1496,Details!$E$2:$G$11,2,false))</f>
        <v>80</v>
      </c>
      <c r="M1496" s="18" t="str">
        <f>iferror(VLOOKUP($D1496,Details!$A$2:$C$11,3,false),vlookup($D1496,Details!$E$2:$G$11,3,false))</f>
        <v>Fruits and Vegetables</v>
      </c>
      <c r="N1496" s="18">
        <f t="shared" si="1"/>
        <v>160</v>
      </c>
      <c r="O1496" s="17"/>
      <c r="P1496" s="17"/>
      <c r="Q1496" s="17"/>
      <c r="R1496" s="17"/>
      <c r="S1496" s="17"/>
      <c r="T1496" s="17"/>
      <c r="U1496" s="17"/>
      <c r="V1496" s="17"/>
      <c r="W1496" s="17"/>
      <c r="X1496" s="17"/>
      <c r="Y1496" s="17"/>
      <c r="Z1496" s="17"/>
    </row>
    <row r="1497">
      <c r="A1497" s="18" t="str">
        <f>IFERROR(__xludf.DUMMYFUNCTION("""COMPUTED_VALUE"""),"ord_71475")</f>
        <v>ord_71475</v>
      </c>
      <c r="B1497" s="18" t="str">
        <f>IFERROR(__xludf.DUMMYFUNCTION("""COMPUTED_VALUE"""),"Anaya Rao")</f>
        <v>Anaya Rao</v>
      </c>
      <c r="C1497" s="18" t="str">
        <f>IFERROR(__xludf.DUMMYFUNCTION("""COMPUTED_VALUE"""),"Colaba")</f>
        <v>Colaba</v>
      </c>
      <c r="D1497" s="18" t="str">
        <f>IFERROR(__xludf.DUMMYFUNCTION("""COMPUTED_VALUE"""),"Chocolate Mousse")</f>
        <v>Chocolate Mousse</v>
      </c>
      <c r="E1497" s="18">
        <f>IFERROR(__xludf.DUMMYFUNCTION("""COMPUTED_VALUE"""),2.0)</f>
        <v>2</v>
      </c>
      <c r="F1497" s="18" t="str">
        <f>IFERROR(__xludf.DUMMYFUNCTION("""COMPUTED_VALUE"""),"Nikhil Deshmukh")</f>
        <v>Nikhil Deshmukh</v>
      </c>
      <c r="G1497" s="19">
        <f>IFERROR(__xludf.DUMMYFUNCTION("""COMPUTED_VALUE"""),45204.0)</f>
        <v>45204</v>
      </c>
      <c r="H1497" s="18" t="str">
        <f>IFERROR(__xludf.DUMMYFUNCTION("""COMPUTED_VALUE"""),"COD")</f>
        <v>COD</v>
      </c>
      <c r="I1497" s="18" t="str">
        <f>IFERROR(__xludf.DUMMYFUNCTION("""COMPUTED_VALUE"""),"Delivered")</f>
        <v>Delivered</v>
      </c>
      <c r="J1497" s="18" t="str">
        <f>IFERROR(__xludf.DUMMYFUNCTION("""COMPUTED_VALUE"""),"Delivery Experience")</f>
        <v>Delivery Experience</v>
      </c>
      <c r="K1497" s="18" t="str">
        <f>IFERROR(__xludf.DUMMYFUNCTION("""COMPUTED_VALUE"""),"Quick and professional")</f>
        <v>Quick and professional</v>
      </c>
      <c r="L1497" s="18">
        <f>iferror(VLOOKUP($D1497,Details!$A$2:$C$11,2,false),vlookup($D1497,Details!$E$2:$G$11,2,false))</f>
        <v>145</v>
      </c>
      <c r="M1497" s="18" t="str">
        <f>iferror(VLOOKUP($D1497,Details!$A$2:$C$11,3,false),vlookup($D1497,Details!$E$2:$G$11,3,false))</f>
        <v>Snacks and Drinks</v>
      </c>
      <c r="N1497" s="18">
        <f t="shared" si="1"/>
        <v>290</v>
      </c>
      <c r="O1497" s="17"/>
      <c r="P1497" s="17"/>
      <c r="Q1497" s="17"/>
      <c r="R1497" s="17"/>
      <c r="S1497" s="17"/>
      <c r="T1497" s="17"/>
      <c r="U1497" s="17"/>
      <c r="V1497" s="17"/>
      <c r="W1497" s="17"/>
      <c r="X1497" s="17"/>
      <c r="Y1497" s="17"/>
      <c r="Z1497" s="17"/>
    </row>
    <row r="1498">
      <c r="A1498" s="18" t="str">
        <f>IFERROR(__xludf.DUMMYFUNCTION("""COMPUTED_VALUE"""),"ord_71476")</f>
        <v>ord_71476</v>
      </c>
      <c r="B1498" s="18" t="str">
        <f>IFERROR(__xludf.DUMMYFUNCTION("""COMPUTED_VALUE"""),"Arvind Kulkarni")</f>
        <v>Arvind Kulkarni</v>
      </c>
      <c r="C1498" s="18" t="str">
        <f>IFERROR(__xludf.DUMMYFUNCTION("""COMPUTED_VALUE"""),"Juhu")</f>
        <v>Juhu</v>
      </c>
      <c r="D1498" s="18" t="str">
        <f>IFERROR(__xludf.DUMMYFUNCTION("""COMPUTED_VALUE"""),"Juice")</f>
        <v>Juice</v>
      </c>
      <c r="E1498" s="18">
        <f>IFERROR(__xludf.DUMMYFUNCTION("""COMPUTED_VALUE"""),1.0)</f>
        <v>1</v>
      </c>
      <c r="F1498" s="18" t="str">
        <f>IFERROR(__xludf.DUMMYFUNCTION("""COMPUTED_VALUE"""),"Not Assigned")</f>
        <v>Not Assigned</v>
      </c>
      <c r="G1498" s="19">
        <f>IFERROR(__xludf.DUMMYFUNCTION("""COMPUTED_VALUE"""),44987.0)</f>
        <v>44987</v>
      </c>
      <c r="H1498" s="18" t="str">
        <f>IFERROR(__xludf.DUMMYFUNCTION("""COMPUTED_VALUE"""),"UPI")</f>
        <v>UPI</v>
      </c>
      <c r="I1498" s="18" t="str">
        <f>IFERROR(__xludf.DUMMYFUNCTION("""COMPUTED_VALUE"""),"Cancelled")</f>
        <v>Cancelled</v>
      </c>
      <c r="J1498" s="18" t="str">
        <f>IFERROR(__xludf.DUMMYFUNCTION("""COMPUTED_VALUE"""),"App Glitches")</f>
        <v>App Glitches</v>
      </c>
      <c r="K1498" s="18" t="str">
        <f>IFERROR(__xludf.DUMMYFUNCTION("""COMPUTED_VALUE"""),"App Freezes")</f>
        <v>App Freezes</v>
      </c>
      <c r="L1498" s="18">
        <f>iferror(VLOOKUP($D1498,Details!$A$2:$C$11,2,false),vlookup($D1498,Details!$E$2:$G$11,2,false))</f>
        <v>90</v>
      </c>
      <c r="M1498" s="18" t="str">
        <f>iferror(VLOOKUP($D1498,Details!$A$2:$C$11,3,false),vlookup($D1498,Details!$E$2:$G$11,3,false))</f>
        <v>Snacks and Drinks</v>
      </c>
      <c r="N1498" s="18">
        <f t="shared" si="1"/>
        <v>90</v>
      </c>
      <c r="O1498" s="17"/>
      <c r="P1498" s="17"/>
      <c r="Q1498" s="17"/>
      <c r="R1498" s="17"/>
      <c r="S1498" s="17"/>
      <c r="T1498" s="17"/>
      <c r="U1498" s="17"/>
      <c r="V1498" s="17"/>
      <c r="W1498" s="17"/>
      <c r="X1498" s="17"/>
      <c r="Y1498" s="17"/>
      <c r="Z1498" s="17"/>
    </row>
    <row r="1499">
      <c r="A1499" s="18" t="str">
        <f>IFERROR(__xludf.DUMMYFUNCTION("""COMPUTED_VALUE"""),"ord_71477")</f>
        <v>ord_71477</v>
      </c>
      <c r="B1499" s="18" t="str">
        <f>IFERROR(__xludf.DUMMYFUNCTION("""COMPUTED_VALUE"""),"Mohit Malhotra")</f>
        <v>Mohit Malhotra</v>
      </c>
      <c r="C1499" s="18" t="str">
        <f>IFERROR(__xludf.DUMMYFUNCTION("""COMPUTED_VALUE"""),"Lower Parel")</f>
        <v>Lower Parel</v>
      </c>
      <c r="D1499" s="18" t="str">
        <f>IFERROR(__xludf.DUMMYFUNCTION("""COMPUTED_VALUE"""),"Veg Puff")</f>
        <v>Veg Puff</v>
      </c>
      <c r="E1499" s="18">
        <f>IFERROR(__xludf.DUMMYFUNCTION("""COMPUTED_VALUE"""),2.0)</f>
        <v>2</v>
      </c>
      <c r="F1499" s="18" t="str">
        <f>IFERROR(__xludf.DUMMYFUNCTION("""COMPUTED_VALUE"""),"Kiran Mehta")</f>
        <v>Kiran Mehta</v>
      </c>
      <c r="G1499" s="19">
        <f>IFERROR(__xludf.DUMMYFUNCTION("""COMPUTED_VALUE"""),45289.0)</f>
        <v>45289</v>
      </c>
      <c r="H1499" s="18" t="str">
        <f>IFERROR(__xludf.DUMMYFUNCTION("""COMPUTED_VALUE"""),"Credit Card")</f>
        <v>Credit Card</v>
      </c>
      <c r="I1499" s="18" t="str">
        <f>IFERROR(__xludf.DUMMYFUNCTION("""COMPUTED_VALUE"""),"Delivered")</f>
        <v>Delivered</v>
      </c>
      <c r="J1499" s="18" t="str">
        <f>IFERROR(__xludf.DUMMYFUNCTION("""COMPUTED_VALUE"""),"Convenience")</f>
        <v>Convenience</v>
      </c>
      <c r="K1499" s="18" t="str">
        <f>IFERROR(__xludf.DUMMYFUNCTION("""COMPUTED_VALUE"""),"Easy tracking")</f>
        <v>Easy tracking</v>
      </c>
      <c r="L1499" s="18">
        <f>iferror(VLOOKUP($D1499,Details!$A$2:$C$11,2,false),vlookup($D1499,Details!$E$2:$G$11,2,false))</f>
        <v>80</v>
      </c>
      <c r="M1499" s="18" t="str">
        <f>iferror(VLOOKUP($D1499,Details!$A$2:$C$11,3,false),vlookup($D1499,Details!$E$2:$G$11,3,false))</f>
        <v>Snacks and Drinks</v>
      </c>
      <c r="N1499" s="18">
        <f t="shared" si="1"/>
        <v>160</v>
      </c>
      <c r="O1499" s="17"/>
      <c r="P1499" s="17"/>
      <c r="Q1499" s="17"/>
      <c r="R1499" s="17"/>
      <c r="S1499" s="17"/>
      <c r="T1499" s="17"/>
      <c r="U1499" s="17"/>
      <c r="V1499" s="17"/>
      <c r="W1499" s="17"/>
      <c r="X1499" s="17"/>
      <c r="Y1499" s="17"/>
      <c r="Z1499" s="17"/>
    </row>
    <row r="1500">
      <c r="A1500" s="18" t="str">
        <f>IFERROR(__xludf.DUMMYFUNCTION("""COMPUTED_VALUE"""),"ord_71478")</f>
        <v>ord_71478</v>
      </c>
      <c r="B1500" s="18" t="str">
        <f>IFERROR(__xludf.DUMMYFUNCTION("""COMPUTED_VALUE"""),"Dev Chauhan")</f>
        <v>Dev Chauhan</v>
      </c>
      <c r="C1500" s="18" t="str">
        <f>IFERROR(__xludf.DUMMYFUNCTION("""COMPUTED_VALUE"""),"Bandra")</f>
        <v>Bandra</v>
      </c>
      <c r="D1500" s="18" t="str">
        <f>IFERROR(__xludf.DUMMYFUNCTION("""COMPUTED_VALUE"""),"Veg Puff")</f>
        <v>Veg Puff</v>
      </c>
      <c r="E1500" s="18">
        <f>IFERROR(__xludf.DUMMYFUNCTION("""COMPUTED_VALUE"""),5.0)</f>
        <v>5</v>
      </c>
      <c r="F1500" s="18" t="str">
        <f>IFERROR(__xludf.DUMMYFUNCTION("""COMPUTED_VALUE"""),"Priya Joshi")</f>
        <v>Priya Joshi</v>
      </c>
      <c r="G1500" s="19">
        <f>IFERROR(__xludf.DUMMYFUNCTION("""COMPUTED_VALUE"""),45218.0)</f>
        <v>45218</v>
      </c>
      <c r="H1500" s="18" t="str">
        <f>IFERROR(__xludf.DUMMYFUNCTION("""COMPUTED_VALUE"""),"UPI")</f>
        <v>UPI</v>
      </c>
      <c r="I1500" s="18" t="str">
        <f>IFERROR(__xludf.DUMMYFUNCTION("""COMPUTED_VALUE"""),"Delivered")</f>
        <v>Delivered</v>
      </c>
      <c r="J1500" s="18" t="str">
        <f>IFERROR(__xludf.DUMMYFUNCTION("""COMPUTED_VALUE"""),"Overall Satisfaction")</f>
        <v>Overall Satisfaction</v>
      </c>
      <c r="K1500" s="18" t="str">
        <f>IFERROR(__xludf.DUMMYFUNCTION("""COMPUTED_VALUE"""),"Great service will order again")</f>
        <v>Great service will order again</v>
      </c>
      <c r="L1500" s="18">
        <f>iferror(VLOOKUP($D1500,Details!$A$2:$C$11,2,false),vlookup($D1500,Details!$E$2:$G$11,2,false))</f>
        <v>80</v>
      </c>
      <c r="M1500" s="18" t="str">
        <f>iferror(VLOOKUP($D1500,Details!$A$2:$C$11,3,false),vlookup($D1500,Details!$E$2:$G$11,3,false))</f>
        <v>Snacks and Drinks</v>
      </c>
      <c r="N1500" s="18">
        <f t="shared" si="1"/>
        <v>400</v>
      </c>
      <c r="O1500" s="17"/>
      <c r="P1500" s="17"/>
      <c r="Q1500" s="17"/>
      <c r="R1500" s="17"/>
      <c r="S1500" s="17"/>
      <c r="T1500" s="17"/>
      <c r="U1500" s="17"/>
      <c r="V1500" s="17"/>
      <c r="W1500" s="17"/>
      <c r="X1500" s="17"/>
      <c r="Y1500" s="17"/>
      <c r="Z1500" s="17"/>
    </row>
    <row r="1501">
      <c r="A1501" s="18" t="str">
        <f>IFERROR(__xludf.DUMMYFUNCTION("""COMPUTED_VALUE"""),"ord_71479")</f>
        <v>ord_71479</v>
      </c>
      <c r="B1501" s="18" t="str">
        <f>IFERROR(__xludf.DUMMYFUNCTION("""COMPUTED_VALUE"""),"Sakshi Tandon")</f>
        <v>Sakshi Tandon</v>
      </c>
      <c r="C1501" s="18" t="str">
        <f>IFERROR(__xludf.DUMMYFUNCTION("""COMPUTED_VALUE"""),"Colaba")</f>
        <v>Colaba</v>
      </c>
      <c r="D1501" s="18" t="str">
        <f>IFERROR(__xludf.DUMMYFUNCTION("""COMPUTED_VALUE"""),"Popcorn")</f>
        <v>Popcorn</v>
      </c>
      <c r="E1501" s="18">
        <f>IFERROR(__xludf.DUMMYFUNCTION("""COMPUTED_VALUE"""),3.0)</f>
        <v>3</v>
      </c>
      <c r="F1501" s="18" t="str">
        <f>IFERROR(__xludf.DUMMYFUNCTION("""COMPUTED_VALUE"""),"Nikhil Deshmukh")</f>
        <v>Nikhil Deshmukh</v>
      </c>
      <c r="G1501" s="19">
        <f>IFERROR(__xludf.DUMMYFUNCTION("""COMPUTED_VALUE"""),45266.0)</f>
        <v>45266</v>
      </c>
      <c r="H1501" s="18" t="str">
        <f>IFERROR(__xludf.DUMMYFUNCTION("""COMPUTED_VALUE"""),"Online Payment")</f>
        <v>Online Payment</v>
      </c>
      <c r="I1501" s="18" t="str">
        <f>IFERROR(__xludf.DUMMYFUNCTION("""COMPUTED_VALUE"""),"Delivered")</f>
        <v>Delivered</v>
      </c>
      <c r="J1501" s="18" t="str">
        <f>IFERROR(__xludf.DUMMYFUNCTION("""COMPUTED_VALUE"""),"On-time Delivery")</f>
        <v>On-time Delivery</v>
      </c>
      <c r="K1501" s="18" t="str">
        <f>IFERROR(__xludf.DUMMYFUNCTION("""COMPUTED_VALUE"""),"Delivered on time")</f>
        <v>Delivered on time</v>
      </c>
      <c r="L1501" s="18">
        <f>iferror(VLOOKUP($D1501,Details!$A$2:$C$11,2,false),vlookup($D1501,Details!$E$2:$G$11,2,false))</f>
        <v>150</v>
      </c>
      <c r="M1501" s="18" t="str">
        <f>iferror(VLOOKUP($D1501,Details!$A$2:$C$11,3,false),vlookup($D1501,Details!$E$2:$G$11,3,false))</f>
        <v>Snacks and Drinks</v>
      </c>
      <c r="N1501" s="18">
        <f t="shared" si="1"/>
        <v>450</v>
      </c>
      <c r="O1501" s="17"/>
      <c r="P1501" s="17"/>
      <c r="Q1501" s="17"/>
      <c r="R1501" s="17"/>
      <c r="S1501" s="17"/>
      <c r="T1501" s="17"/>
      <c r="U1501" s="17"/>
      <c r="V1501" s="17"/>
      <c r="W1501" s="17"/>
      <c r="X1501" s="17"/>
      <c r="Y1501" s="17"/>
      <c r="Z1501" s="17"/>
    </row>
    <row r="1502">
      <c r="A1502" s="18" t="str">
        <f>IFERROR(__xludf.DUMMYFUNCTION("""COMPUTED_VALUE"""),"ord_71480")</f>
        <v>ord_71480</v>
      </c>
      <c r="B1502" s="18" t="str">
        <f>IFERROR(__xludf.DUMMYFUNCTION("""COMPUTED_VALUE"""),"Pranav Joshi")</f>
        <v>Pranav Joshi</v>
      </c>
      <c r="C1502" s="18" t="str">
        <f>IFERROR(__xludf.DUMMYFUNCTION("""COMPUTED_VALUE"""),"Andheri")</f>
        <v>Andheri</v>
      </c>
      <c r="D1502" s="18" t="str">
        <f>IFERROR(__xludf.DUMMYFUNCTION("""COMPUTED_VALUE"""),"Chocolate Mousse")</f>
        <v>Chocolate Mousse</v>
      </c>
      <c r="E1502" s="18">
        <f>IFERROR(__xludf.DUMMYFUNCTION("""COMPUTED_VALUE"""),5.0)</f>
        <v>5</v>
      </c>
      <c r="F1502" s="18" t="str">
        <f>IFERROR(__xludf.DUMMYFUNCTION("""COMPUTED_VALUE"""),"Rohan Yadav")</f>
        <v>Rohan Yadav</v>
      </c>
      <c r="G1502" s="19">
        <f>IFERROR(__xludf.DUMMYFUNCTION("""COMPUTED_VALUE"""),45286.0)</f>
        <v>45286</v>
      </c>
      <c r="H1502" s="18" t="str">
        <f>IFERROR(__xludf.DUMMYFUNCTION("""COMPUTED_VALUE"""),"COD")</f>
        <v>COD</v>
      </c>
      <c r="I1502" s="18" t="str">
        <f>IFERROR(__xludf.DUMMYFUNCTION("""COMPUTED_VALUE"""),"Delivered")</f>
        <v>Delivered</v>
      </c>
      <c r="J1502" s="18" t="str">
        <f>IFERROR(__xludf.DUMMYFUNCTION("""COMPUTED_VALUE"""),"Quality of Items")</f>
        <v>Quality of Items</v>
      </c>
      <c r="K1502" s="18" t="str">
        <f>IFERROR(__xludf.DUMMYFUNCTION("""COMPUTED_VALUE"""),"Perfect condition")</f>
        <v>Perfect condition</v>
      </c>
      <c r="L1502" s="18">
        <f>iferror(VLOOKUP($D1502,Details!$A$2:$C$11,2,false),vlookup($D1502,Details!$E$2:$G$11,2,false))</f>
        <v>145</v>
      </c>
      <c r="M1502" s="18" t="str">
        <f>iferror(VLOOKUP($D1502,Details!$A$2:$C$11,3,false),vlookup($D1502,Details!$E$2:$G$11,3,false))</f>
        <v>Snacks and Drinks</v>
      </c>
      <c r="N1502" s="18">
        <f t="shared" si="1"/>
        <v>725</v>
      </c>
      <c r="O1502" s="17"/>
      <c r="P1502" s="17"/>
      <c r="Q1502" s="17"/>
      <c r="R1502" s="17"/>
      <c r="S1502" s="17"/>
      <c r="T1502" s="17"/>
      <c r="U1502" s="17"/>
      <c r="V1502" s="17"/>
      <c r="W1502" s="17"/>
      <c r="X1502" s="17"/>
      <c r="Y1502" s="17"/>
      <c r="Z1502" s="17"/>
    </row>
    <row r="1503">
      <c r="A1503" s="18" t="str">
        <f>IFERROR(__xludf.DUMMYFUNCTION("""COMPUTED_VALUE"""),"ord_71481")</f>
        <v>ord_71481</v>
      </c>
      <c r="B1503" s="18" t="str">
        <f>IFERROR(__xludf.DUMMYFUNCTION("""COMPUTED_VALUE"""),"Dev Chauhan")</f>
        <v>Dev Chauhan</v>
      </c>
      <c r="C1503" s="18" t="str">
        <f>IFERROR(__xludf.DUMMYFUNCTION("""COMPUTED_VALUE"""),"Bandra")</f>
        <v>Bandra</v>
      </c>
      <c r="D1503" s="18" t="str">
        <f>IFERROR(__xludf.DUMMYFUNCTION("""COMPUTED_VALUE"""),"Guava")</f>
        <v>Guava</v>
      </c>
      <c r="E1503" s="18">
        <f>IFERROR(__xludf.DUMMYFUNCTION("""COMPUTED_VALUE"""),2.0)</f>
        <v>2</v>
      </c>
      <c r="F1503" s="18" t="str">
        <f>IFERROR(__xludf.DUMMYFUNCTION("""COMPUTED_VALUE"""),"Priya Joshi")</f>
        <v>Priya Joshi</v>
      </c>
      <c r="G1503" s="19">
        <f>IFERROR(__xludf.DUMMYFUNCTION("""COMPUTED_VALUE"""),45108.0)</f>
        <v>45108</v>
      </c>
      <c r="H1503" s="18" t="str">
        <f>IFERROR(__xludf.DUMMYFUNCTION("""COMPUTED_VALUE"""),"Credit Card")</f>
        <v>Credit Card</v>
      </c>
      <c r="I1503" s="18" t="str">
        <f>IFERROR(__xludf.DUMMYFUNCTION("""COMPUTED_VALUE"""),"Delivered")</f>
        <v>Delivered</v>
      </c>
      <c r="J1503" s="18" t="str">
        <f>IFERROR(__xludf.DUMMYFUNCTION("""COMPUTED_VALUE"""),"On-time Delivery")</f>
        <v>On-time Delivery</v>
      </c>
      <c r="K1503" s="18" t="str">
        <f>IFERROR(__xludf.DUMMYFUNCTION("""COMPUTED_VALUE"""),"Delivered on time")</f>
        <v>Delivered on time</v>
      </c>
      <c r="L1503" s="18">
        <f>iferror(VLOOKUP($D1503,Details!$A$2:$C$11,2,false),vlookup($D1503,Details!$E$2:$G$11,2,false))</f>
        <v>70</v>
      </c>
      <c r="M1503" s="18" t="str">
        <f>iferror(VLOOKUP($D1503,Details!$A$2:$C$11,3,false),vlookup($D1503,Details!$E$2:$G$11,3,false))</f>
        <v>Fruits and Vegetables</v>
      </c>
      <c r="N1503" s="18">
        <f t="shared" si="1"/>
        <v>140</v>
      </c>
      <c r="O1503" s="17"/>
      <c r="P1503" s="17"/>
      <c r="Q1503" s="17"/>
      <c r="R1503" s="17"/>
      <c r="S1503" s="17"/>
      <c r="T1503" s="17"/>
      <c r="U1503" s="17"/>
      <c r="V1503" s="17"/>
      <c r="W1503" s="17"/>
      <c r="X1503" s="17"/>
      <c r="Y1503" s="17"/>
      <c r="Z1503" s="17"/>
    </row>
    <row r="1504">
      <c r="A1504" s="18" t="str">
        <f>IFERROR(__xludf.DUMMYFUNCTION("""COMPUTED_VALUE"""),"ord_71482")</f>
        <v>ord_71482</v>
      </c>
      <c r="B1504" s="18" t="str">
        <f>IFERROR(__xludf.DUMMYFUNCTION("""COMPUTED_VALUE"""),"Siya Reddy")</f>
        <v>Siya Reddy</v>
      </c>
      <c r="C1504" s="18" t="str">
        <f>IFERROR(__xludf.DUMMYFUNCTION("""COMPUTED_VALUE"""),"Juhu")</f>
        <v>Juhu</v>
      </c>
      <c r="D1504" s="18" t="str">
        <f>IFERROR(__xludf.DUMMYFUNCTION("""COMPUTED_VALUE"""),"Potato")</f>
        <v>Potato</v>
      </c>
      <c r="E1504" s="18">
        <f>IFERROR(__xludf.DUMMYFUNCTION("""COMPUTED_VALUE"""),1.0)</f>
        <v>1</v>
      </c>
      <c r="F1504" s="18" t="str">
        <f>IFERROR(__xludf.DUMMYFUNCTION("""COMPUTED_VALUE"""),"Not Assigned")</f>
        <v>Not Assigned</v>
      </c>
      <c r="G1504" s="19">
        <f>IFERROR(__xludf.DUMMYFUNCTION("""COMPUTED_VALUE"""),45079.0)</f>
        <v>45079</v>
      </c>
      <c r="H1504" s="18" t="str">
        <f>IFERROR(__xludf.DUMMYFUNCTION("""COMPUTED_VALUE"""),"Credit Card")</f>
        <v>Credit Card</v>
      </c>
      <c r="I1504" s="18" t="str">
        <f>IFERROR(__xludf.DUMMYFUNCTION("""COMPUTED_VALUE"""),"Cancelled")</f>
        <v>Cancelled</v>
      </c>
      <c r="J1504" s="18" t="str">
        <f>IFERROR(__xludf.DUMMYFUNCTION("""COMPUTED_VALUE"""),"Out of Stock")</f>
        <v>Out of Stock</v>
      </c>
      <c r="K1504" s="18"/>
      <c r="L1504" s="18">
        <f>iferror(VLOOKUP($D1504,Details!$A$2:$C$11,2,false),vlookup($D1504,Details!$E$2:$G$11,2,false))</f>
        <v>55</v>
      </c>
      <c r="M1504" s="18" t="str">
        <f>iferror(VLOOKUP($D1504,Details!$A$2:$C$11,3,false),vlookup($D1504,Details!$E$2:$G$11,3,false))</f>
        <v>Fruits and Vegetables</v>
      </c>
      <c r="N1504" s="18">
        <f t="shared" si="1"/>
        <v>55</v>
      </c>
      <c r="O1504" s="17"/>
      <c r="P1504" s="17"/>
      <c r="Q1504" s="17"/>
      <c r="R1504" s="17"/>
      <c r="S1504" s="17"/>
      <c r="T1504" s="17"/>
      <c r="U1504" s="17"/>
      <c r="V1504" s="17"/>
      <c r="W1504" s="17"/>
      <c r="X1504" s="17"/>
      <c r="Y1504" s="17"/>
      <c r="Z1504" s="17"/>
    </row>
    <row r="1505">
      <c r="A1505" s="18" t="str">
        <f>IFERROR(__xludf.DUMMYFUNCTION("""COMPUTED_VALUE"""),"ord_71483")</f>
        <v>ord_71483</v>
      </c>
      <c r="B1505" s="18" t="str">
        <f>IFERROR(__xludf.DUMMYFUNCTION("""COMPUTED_VALUE"""),"Mehul Thakkar")</f>
        <v>Mehul Thakkar</v>
      </c>
      <c r="C1505" s="18" t="str">
        <f>IFERROR(__xludf.DUMMYFUNCTION("""COMPUTED_VALUE"""),"Malad")</f>
        <v>Malad</v>
      </c>
      <c r="D1505" s="18" t="str">
        <f>IFERROR(__xludf.DUMMYFUNCTION("""COMPUTED_VALUE"""),"Guava")</f>
        <v>Guava</v>
      </c>
      <c r="E1505" s="18">
        <f>IFERROR(__xludf.DUMMYFUNCTION("""COMPUTED_VALUE"""),1.0)</f>
        <v>1</v>
      </c>
      <c r="F1505" s="18" t="str">
        <f>IFERROR(__xludf.DUMMYFUNCTION("""COMPUTED_VALUE"""),"Neha Shah")</f>
        <v>Neha Shah</v>
      </c>
      <c r="G1505" s="19">
        <f>IFERROR(__xludf.DUMMYFUNCTION("""COMPUTED_VALUE"""),45281.0)</f>
        <v>45281</v>
      </c>
      <c r="H1505" s="18" t="str">
        <f>IFERROR(__xludf.DUMMYFUNCTION("""COMPUTED_VALUE"""),"Online Payment")</f>
        <v>Online Payment</v>
      </c>
      <c r="I1505" s="18" t="str">
        <f>IFERROR(__xludf.DUMMYFUNCTION("""COMPUTED_VALUE"""),"Delivered")</f>
        <v>Delivered</v>
      </c>
      <c r="J1505" s="18" t="str">
        <f>IFERROR(__xludf.DUMMYFUNCTION("""COMPUTED_VALUE"""),"Customer Service")</f>
        <v>Customer Service</v>
      </c>
      <c r="K1505" s="18" t="str">
        <f>IFERROR(__xludf.DUMMYFUNCTION("""COMPUTED_VALUE"""),"Seamless and easy")</f>
        <v>Seamless and easy</v>
      </c>
      <c r="L1505" s="18">
        <f>iferror(VLOOKUP($D1505,Details!$A$2:$C$11,2,false),vlookup($D1505,Details!$E$2:$G$11,2,false))</f>
        <v>70</v>
      </c>
      <c r="M1505" s="18" t="str">
        <f>iferror(VLOOKUP($D1505,Details!$A$2:$C$11,3,false),vlookup($D1505,Details!$E$2:$G$11,3,false))</f>
        <v>Fruits and Vegetables</v>
      </c>
      <c r="N1505" s="18">
        <f t="shared" si="1"/>
        <v>70</v>
      </c>
      <c r="O1505" s="17"/>
      <c r="P1505" s="17"/>
      <c r="Q1505" s="17"/>
      <c r="R1505" s="17"/>
      <c r="S1505" s="17"/>
      <c r="T1505" s="17"/>
      <c r="U1505" s="17"/>
      <c r="V1505" s="17"/>
      <c r="W1505" s="17"/>
      <c r="X1505" s="17"/>
      <c r="Y1505" s="17"/>
      <c r="Z1505" s="17"/>
    </row>
    <row r="1506">
      <c r="A1506" s="18" t="str">
        <f>IFERROR(__xludf.DUMMYFUNCTION("""COMPUTED_VALUE"""),"ord_71484")</f>
        <v>ord_71484</v>
      </c>
      <c r="B1506" s="18" t="str">
        <f>IFERROR(__xludf.DUMMYFUNCTION("""COMPUTED_VALUE"""),"Pranav Joshi")</f>
        <v>Pranav Joshi</v>
      </c>
      <c r="C1506" s="18" t="str">
        <f>IFERROR(__xludf.DUMMYFUNCTION("""COMPUTED_VALUE"""),"Andheri")</f>
        <v>Andheri</v>
      </c>
      <c r="D1506" s="18" t="str">
        <f>IFERROR(__xludf.DUMMYFUNCTION("""COMPUTED_VALUE"""),"Tiramisu")</f>
        <v>Tiramisu</v>
      </c>
      <c r="E1506" s="18">
        <f>IFERROR(__xludf.DUMMYFUNCTION("""COMPUTED_VALUE"""),5.0)</f>
        <v>5</v>
      </c>
      <c r="F1506" s="18" t="str">
        <f>IFERROR(__xludf.DUMMYFUNCTION("""COMPUTED_VALUE"""),"Rohan Yadav")</f>
        <v>Rohan Yadav</v>
      </c>
      <c r="G1506" s="19">
        <f>IFERROR(__xludf.DUMMYFUNCTION("""COMPUTED_VALUE"""),44937.0)</f>
        <v>44937</v>
      </c>
      <c r="H1506" s="18" t="str">
        <f>IFERROR(__xludf.DUMMYFUNCTION("""COMPUTED_VALUE"""),"Credit Card")</f>
        <v>Credit Card</v>
      </c>
      <c r="I1506" s="18" t="str">
        <f>IFERROR(__xludf.DUMMYFUNCTION("""COMPUTED_VALUE"""),"Delivered")</f>
        <v>Delivered</v>
      </c>
      <c r="J1506" s="18" t="str">
        <f>IFERROR(__xludf.DUMMYFUNCTION("""COMPUTED_VALUE"""),"Quality of Items")</f>
        <v>Quality of Items</v>
      </c>
      <c r="K1506" s="18" t="str">
        <f>IFERROR(__xludf.DUMMYFUNCTION("""COMPUTED_VALUE"""),"Perfect condition")</f>
        <v>Perfect condition</v>
      </c>
      <c r="L1506" s="18">
        <f>iferror(VLOOKUP($D1506,Details!$A$2:$C$11,2,false),vlookup($D1506,Details!$E$2:$G$11,2,false))</f>
        <v>150</v>
      </c>
      <c r="M1506" s="18" t="str">
        <f>iferror(VLOOKUP($D1506,Details!$A$2:$C$11,3,false),vlookup($D1506,Details!$E$2:$G$11,3,false))</f>
        <v>Snacks and Drinks</v>
      </c>
      <c r="N1506" s="18">
        <f t="shared" si="1"/>
        <v>750</v>
      </c>
      <c r="O1506" s="17"/>
      <c r="P1506" s="17"/>
      <c r="Q1506" s="17"/>
      <c r="R1506" s="17"/>
      <c r="S1506" s="17"/>
      <c r="T1506" s="17"/>
      <c r="U1506" s="17"/>
      <c r="V1506" s="17"/>
      <c r="W1506" s="17"/>
      <c r="X1506" s="17"/>
      <c r="Y1506" s="17"/>
      <c r="Z1506" s="17"/>
    </row>
    <row r="1507">
      <c r="A1507" s="18" t="str">
        <f>IFERROR(__xludf.DUMMYFUNCTION("""COMPUTED_VALUE"""),"ord_71485")</f>
        <v>ord_71485</v>
      </c>
      <c r="B1507" s="18" t="str">
        <f>IFERROR(__xludf.DUMMYFUNCTION("""COMPUTED_VALUE"""),"Sanjay Nair")</f>
        <v>Sanjay Nair</v>
      </c>
      <c r="C1507" s="18" t="str">
        <f>IFERROR(__xludf.DUMMYFUNCTION("""COMPUTED_VALUE"""),"Dadar")</f>
        <v>Dadar</v>
      </c>
      <c r="D1507" s="18" t="str">
        <f>IFERROR(__xludf.DUMMYFUNCTION("""COMPUTED_VALUE"""),"Chilli Cheese Toast")</f>
        <v>Chilli Cheese Toast</v>
      </c>
      <c r="E1507" s="18">
        <f>IFERROR(__xludf.DUMMYFUNCTION("""COMPUTED_VALUE"""),1.0)</f>
        <v>1</v>
      </c>
      <c r="F1507" s="18" t="str">
        <f>IFERROR(__xludf.DUMMYFUNCTION("""COMPUTED_VALUE"""),"Aman Kumar")</f>
        <v>Aman Kumar</v>
      </c>
      <c r="G1507" s="19">
        <f>IFERROR(__xludf.DUMMYFUNCTION("""COMPUTED_VALUE"""),44977.0)</f>
        <v>44977</v>
      </c>
      <c r="H1507" s="18" t="str">
        <f>IFERROR(__xludf.DUMMYFUNCTION("""COMPUTED_VALUE"""),"COD")</f>
        <v>COD</v>
      </c>
      <c r="I1507" s="18" t="str">
        <f>IFERROR(__xludf.DUMMYFUNCTION("""COMPUTED_VALUE"""),"Delivered")</f>
        <v>Delivered</v>
      </c>
      <c r="J1507" s="18" t="str">
        <f>IFERROR(__xludf.DUMMYFUNCTION("""COMPUTED_VALUE"""),"Packaging")</f>
        <v>Packaging</v>
      </c>
      <c r="K1507" s="18" t="str">
        <f>IFERROR(__xludf.DUMMYFUNCTION("""COMPUTED_VALUE"""),"Secure and intact")</f>
        <v>Secure and intact</v>
      </c>
      <c r="L1507" s="18">
        <f>iferror(VLOOKUP($D1507,Details!$A$2:$C$11,2,false),vlookup($D1507,Details!$E$2:$G$11,2,false))</f>
        <v>80</v>
      </c>
      <c r="M1507" s="18" t="str">
        <f>iferror(VLOOKUP($D1507,Details!$A$2:$C$11,3,false),vlookup($D1507,Details!$E$2:$G$11,3,false))</f>
        <v>Snacks and Drinks</v>
      </c>
      <c r="N1507" s="18">
        <f t="shared" si="1"/>
        <v>80</v>
      </c>
      <c r="O1507" s="17"/>
      <c r="P1507" s="17"/>
      <c r="Q1507" s="17"/>
      <c r="R1507" s="17"/>
      <c r="S1507" s="17"/>
      <c r="T1507" s="17"/>
      <c r="U1507" s="17"/>
      <c r="V1507" s="17"/>
      <c r="W1507" s="17"/>
      <c r="X1507" s="17"/>
      <c r="Y1507" s="17"/>
      <c r="Z1507" s="17"/>
    </row>
    <row r="1508">
      <c r="A1508" s="18" t="str">
        <f>IFERROR(__xludf.DUMMYFUNCTION("""COMPUTED_VALUE"""),"ord_71486")</f>
        <v>ord_71486</v>
      </c>
      <c r="B1508" s="18" t="str">
        <f>IFERROR(__xludf.DUMMYFUNCTION("""COMPUTED_VALUE"""),"Anaya Rao")</f>
        <v>Anaya Rao</v>
      </c>
      <c r="C1508" s="18" t="str">
        <f>IFERROR(__xludf.DUMMYFUNCTION("""COMPUTED_VALUE"""),"Colaba")</f>
        <v>Colaba</v>
      </c>
      <c r="D1508" s="18" t="str">
        <f>IFERROR(__xludf.DUMMYFUNCTION("""COMPUTED_VALUE"""),"Potato")</f>
        <v>Potato</v>
      </c>
      <c r="E1508" s="18">
        <f>IFERROR(__xludf.DUMMYFUNCTION("""COMPUTED_VALUE"""),1.0)</f>
        <v>1</v>
      </c>
      <c r="F1508" s="18" t="str">
        <f>IFERROR(__xludf.DUMMYFUNCTION("""COMPUTED_VALUE"""),"Nikhil Deshmukh")</f>
        <v>Nikhil Deshmukh</v>
      </c>
      <c r="G1508" s="19">
        <f>IFERROR(__xludf.DUMMYFUNCTION("""COMPUTED_VALUE"""),45075.0)</f>
        <v>45075</v>
      </c>
      <c r="H1508" s="18" t="str">
        <f>IFERROR(__xludf.DUMMYFUNCTION("""COMPUTED_VALUE"""),"Credit Card")</f>
        <v>Credit Card</v>
      </c>
      <c r="I1508" s="18" t="str">
        <f>IFERROR(__xludf.DUMMYFUNCTION("""COMPUTED_VALUE"""),"Delivered")</f>
        <v>Delivered</v>
      </c>
      <c r="J1508" s="18" t="str">
        <f>IFERROR(__xludf.DUMMYFUNCTION("""COMPUTED_VALUE"""),"Satisfied with the Delivery")</f>
        <v>Satisfied with the Delivery</v>
      </c>
      <c r="K1508" s="18" t="str">
        <f>IFERROR(__xludf.DUMMYFUNCTION("""COMPUTED_VALUE"""),"Timely and quality")</f>
        <v>Timely and quality</v>
      </c>
      <c r="L1508" s="18">
        <f>iferror(VLOOKUP($D1508,Details!$A$2:$C$11,2,false),vlookup($D1508,Details!$E$2:$G$11,2,false))</f>
        <v>55</v>
      </c>
      <c r="M1508" s="18" t="str">
        <f>iferror(VLOOKUP($D1508,Details!$A$2:$C$11,3,false),vlookup($D1508,Details!$E$2:$G$11,3,false))</f>
        <v>Fruits and Vegetables</v>
      </c>
      <c r="N1508" s="18">
        <f t="shared" si="1"/>
        <v>55</v>
      </c>
      <c r="O1508" s="17"/>
      <c r="P1508" s="17"/>
      <c r="Q1508" s="17"/>
      <c r="R1508" s="17"/>
      <c r="S1508" s="17"/>
      <c r="T1508" s="17"/>
      <c r="U1508" s="17"/>
      <c r="V1508" s="17"/>
      <c r="W1508" s="17"/>
      <c r="X1508" s="17"/>
      <c r="Y1508" s="17"/>
      <c r="Z1508" s="17"/>
    </row>
    <row r="1509">
      <c r="A1509" s="18" t="str">
        <f>IFERROR(__xludf.DUMMYFUNCTION("""COMPUTED_VALUE"""),"ord_71487")</f>
        <v>ord_71487</v>
      </c>
      <c r="B1509" s="18" t="str">
        <f>IFERROR(__xludf.DUMMYFUNCTION("""COMPUTED_VALUE"""),"Sahil Desai")</f>
        <v>Sahil Desai</v>
      </c>
      <c r="C1509" s="18" t="str">
        <f>IFERROR(__xludf.DUMMYFUNCTION("""COMPUTED_VALUE"""),"Lower Parel")</f>
        <v>Lower Parel</v>
      </c>
      <c r="D1509" s="18" t="str">
        <f>IFERROR(__xludf.DUMMYFUNCTION("""COMPUTED_VALUE"""),"Tomato")</f>
        <v>Tomato</v>
      </c>
      <c r="E1509" s="18">
        <f>IFERROR(__xludf.DUMMYFUNCTION("""COMPUTED_VALUE"""),2.0)</f>
        <v>2</v>
      </c>
      <c r="F1509" s="18" t="str">
        <f>IFERROR(__xludf.DUMMYFUNCTION("""COMPUTED_VALUE"""),"Kiran Mehta")</f>
        <v>Kiran Mehta</v>
      </c>
      <c r="G1509" s="19">
        <f>IFERROR(__xludf.DUMMYFUNCTION("""COMPUTED_VALUE"""),45162.0)</f>
        <v>45162</v>
      </c>
      <c r="H1509" s="18" t="str">
        <f>IFERROR(__xludf.DUMMYFUNCTION("""COMPUTED_VALUE"""),"COD")</f>
        <v>COD</v>
      </c>
      <c r="I1509" s="18" t="str">
        <f>IFERROR(__xludf.DUMMYFUNCTION("""COMPUTED_VALUE"""),"Delivered")</f>
        <v>Delivered</v>
      </c>
      <c r="J1509" s="18" t="str">
        <f>IFERROR(__xludf.DUMMYFUNCTION("""COMPUTED_VALUE"""),"Customer Service")</f>
        <v>Customer Service</v>
      </c>
      <c r="K1509" s="18" t="str">
        <f>IFERROR(__xludf.DUMMYFUNCTION("""COMPUTED_VALUE"""),"Seamless and easy")</f>
        <v>Seamless and easy</v>
      </c>
      <c r="L1509" s="18">
        <f>iferror(VLOOKUP($D1509,Details!$A$2:$C$11,2,false),vlookup($D1509,Details!$E$2:$G$11,2,false))</f>
        <v>25</v>
      </c>
      <c r="M1509" s="18" t="str">
        <f>iferror(VLOOKUP($D1509,Details!$A$2:$C$11,3,false),vlookup($D1509,Details!$E$2:$G$11,3,false))</f>
        <v>Fruits and Vegetables</v>
      </c>
      <c r="N1509" s="18">
        <f t="shared" si="1"/>
        <v>50</v>
      </c>
      <c r="O1509" s="17"/>
      <c r="P1509" s="17"/>
      <c r="Q1509" s="17"/>
      <c r="R1509" s="17"/>
      <c r="S1509" s="17"/>
      <c r="T1509" s="17"/>
      <c r="U1509" s="17"/>
      <c r="V1509" s="17"/>
      <c r="W1509" s="17"/>
      <c r="X1509" s="17"/>
      <c r="Y1509" s="17"/>
      <c r="Z1509" s="17"/>
    </row>
    <row r="1510">
      <c r="A1510" s="18" t="str">
        <f>IFERROR(__xludf.DUMMYFUNCTION("""COMPUTED_VALUE"""),"ord_71488")</f>
        <v>ord_71488</v>
      </c>
      <c r="B1510" s="18" t="str">
        <f>IFERROR(__xludf.DUMMYFUNCTION("""COMPUTED_VALUE"""),"Ishaan Chaturvedi")</f>
        <v>Ishaan Chaturvedi</v>
      </c>
      <c r="C1510" s="18" t="str">
        <f>IFERROR(__xludf.DUMMYFUNCTION("""COMPUTED_VALUE"""),"Bandra")</f>
        <v>Bandra</v>
      </c>
      <c r="D1510" s="18" t="str">
        <f>IFERROR(__xludf.DUMMYFUNCTION("""COMPUTED_VALUE"""),"Onion")</f>
        <v>Onion</v>
      </c>
      <c r="E1510" s="18">
        <f>IFERROR(__xludf.DUMMYFUNCTION("""COMPUTED_VALUE"""),1.0)</f>
        <v>1</v>
      </c>
      <c r="F1510" s="18" t="str">
        <f>IFERROR(__xludf.DUMMYFUNCTION("""COMPUTED_VALUE"""),"Priya Joshi")</f>
        <v>Priya Joshi</v>
      </c>
      <c r="G1510" s="19">
        <f>IFERROR(__xludf.DUMMYFUNCTION("""COMPUTED_VALUE"""),45005.0)</f>
        <v>45005</v>
      </c>
      <c r="H1510" s="18" t="str">
        <f>IFERROR(__xludf.DUMMYFUNCTION("""COMPUTED_VALUE"""),"Online Payment")</f>
        <v>Online Payment</v>
      </c>
      <c r="I1510" s="18" t="str">
        <f>IFERROR(__xludf.DUMMYFUNCTION("""COMPUTED_VALUE"""),"Delivered")</f>
        <v>Delivered</v>
      </c>
      <c r="J1510" s="18" t="str">
        <f>IFERROR(__xludf.DUMMYFUNCTION("""COMPUTED_VALUE"""),"Delivery Experience")</f>
        <v>Delivery Experience</v>
      </c>
      <c r="K1510" s="18" t="str">
        <f>IFERROR(__xludf.DUMMYFUNCTION("""COMPUTED_VALUE"""),"Quick and professional")</f>
        <v>Quick and professional</v>
      </c>
      <c r="L1510" s="18">
        <f>iferror(VLOOKUP($D1510,Details!$A$2:$C$11,2,false),vlookup($D1510,Details!$E$2:$G$11,2,false))</f>
        <v>84</v>
      </c>
      <c r="M1510" s="18" t="str">
        <f>iferror(VLOOKUP($D1510,Details!$A$2:$C$11,3,false),vlookup($D1510,Details!$E$2:$G$11,3,false))</f>
        <v>Fruits and Vegetables</v>
      </c>
      <c r="N1510" s="18">
        <f t="shared" si="1"/>
        <v>84</v>
      </c>
      <c r="O1510" s="17"/>
      <c r="P1510" s="17"/>
      <c r="Q1510" s="17"/>
      <c r="R1510" s="17"/>
      <c r="S1510" s="17"/>
      <c r="T1510" s="17"/>
      <c r="U1510" s="17"/>
      <c r="V1510" s="17"/>
      <c r="W1510" s="17"/>
      <c r="X1510" s="17"/>
      <c r="Y1510" s="17"/>
      <c r="Z1510" s="17"/>
    </row>
    <row r="1511">
      <c r="A1511" s="18" t="str">
        <f>IFERROR(__xludf.DUMMYFUNCTION("""COMPUTED_VALUE"""),"ord_71489")</f>
        <v>ord_71489</v>
      </c>
      <c r="B1511" s="18" t="str">
        <f>IFERROR(__xludf.DUMMYFUNCTION("""COMPUTED_VALUE"""),"Dev Chauhan")</f>
        <v>Dev Chauhan</v>
      </c>
      <c r="C1511" s="18" t="str">
        <f>IFERROR(__xludf.DUMMYFUNCTION("""COMPUTED_VALUE"""),"Bandra")</f>
        <v>Bandra</v>
      </c>
      <c r="D1511" s="18" t="str">
        <f>IFERROR(__xludf.DUMMYFUNCTION("""COMPUTED_VALUE"""),"Sweet Corn")</f>
        <v>Sweet Corn</v>
      </c>
      <c r="E1511" s="18">
        <f>IFERROR(__xludf.DUMMYFUNCTION("""COMPUTED_VALUE"""),1.0)</f>
        <v>1</v>
      </c>
      <c r="F1511" s="18" t="str">
        <f>IFERROR(__xludf.DUMMYFUNCTION("""COMPUTED_VALUE"""),"Priya Joshi")</f>
        <v>Priya Joshi</v>
      </c>
      <c r="G1511" s="19">
        <f>IFERROR(__xludf.DUMMYFUNCTION("""COMPUTED_VALUE"""),45007.0)</f>
        <v>45007</v>
      </c>
      <c r="H1511" s="18" t="str">
        <f>IFERROR(__xludf.DUMMYFUNCTION("""COMPUTED_VALUE"""),"UPI")</f>
        <v>UPI</v>
      </c>
      <c r="I1511" s="18" t="str">
        <f>IFERROR(__xludf.DUMMYFUNCTION("""COMPUTED_VALUE"""),"Delivered")</f>
        <v>Delivered</v>
      </c>
      <c r="J1511" s="18" t="str">
        <f>IFERROR(__xludf.DUMMYFUNCTION("""COMPUTED_VALUE"""),"Convenience")</f>
        <v>Convenience</v>
      </c>
      <c r="K1511" s="18" t="str">
        <f>IFERROR(__xludf.DUMMYFUNCTION("""COMPUTED_VALUE"""),"Easy tracking")</f>
        <v>Easy tracking</v>
      </c>
      <c r="L1511" s="18">
        <f>iferror(VLOOKUP($D1511,Details!$A$2:$C$11,2,false),vlookup($D1511,Details!$E$2:$G$11,2,false))</f>
        <v>60</v>
      </c>
      <c r="M1511" s="18" t="str">
        <f>iferror(VLOOKUP($D1511,Details!$A$2:$C$11,3,false),vlookup($D1511,Details!$E$2:$G$11,3,false))</f>
        <v>Fruits and Vegetables</v>
      </c>
      <c r="N1511" s="18">
        <f t="shared" si="1"/>
        <v>60</v>
      </c>
      <c r="O1511" s="17"/>
      <c r="P1511" s="17"/>
      <c r="Q1511" s="17"/>
      <c r="R1511" s="17"/>
      <c r="S1511" s="17"/>
      <c r="T1511" s="17"/>
      <c r="U1511" s="17"/>
      <c r="V1511" s="17"/>
      <c r="W1511" s="17"/>
      <c r="X1511" s="17"/>
      <c r="Y1511" s="17"/>
      <c r="Z1511" s="17"/>
    </row>
    <row r="1512">
      <c r="A1512" s="18" t="str">
        <f>IFERROR(__xludf.DUMMYFUNCTION("""COMPUTED_VALUE"""),"ord_71490")</f>
        <v>ord_71490</v>
      </c>
      <c r="B1512" s="18" t="str">
        <f>IFERROR(__xludf.DUMMYFUNCTION("""COMPUTED_VALUE"""),"Ishita Banerjee")</f>
        <v>Ishita Banerjee</v>
      </c>
      <c r="C1512" s="18" t="str">
        <f>IFERROR(__xludf.DUMMYFUNCTION("""COMPUTED_VALUE"""),"Juhu")</f>
        <v>Juhu</v>
      </c>
      <c r="D1512" s="18" t="str">
        <f>IFERROR(__xludf.DUMMYFUNCTION("""COMPUTED_VALUE"""),"Banana")</f>
        <v>Banana</v>
      </c>
      <c r="E1512" s="18">
        <f>IFERROR(__xludf.DUMMYFUNCTION("""COMPUTED_VALUE"""),1.0)</f>
        <v>1</v>
      </c>
      <c r="F1512" s="18" t="str">
        <f>IFERROR(__xludf.DUMMYFUNCTION("""COMPUTED_VALUE"""),"Not Assigned")</f>
        <v>Not Assigned</v>
      </c>
      <c r="G1512" s="19">
        <f>IFERROR(__xludf.DUMMYFUNCTION("""COMPUTED_VALUE"""),45072.0)</f>
        <v>45072</v>
      </c>
      <c r="H1512" s="18" t="str">
        <f>IFERROR(__xludf.DUMMYFUNCTION("""COMPUTED_VALUE"""),"Credit Card")</f>
        <v>Credit Card</v>
      </c>
      <c r="I1512" s="18" t="str">
        <f>IFERROR(__xludf.DUMMYFUNCTION("""COMPUTED_VALUE"""),"Cancelled")</f>
        <v>Cancelled</v>
      </c>
      <c r="J1512" s="18" t="str">
        <f>IFERROR(__xludf.DUMMYFUNCTION("""COMPUTED_VALUE"""),"App Glitches")</f>
        <v>App Glitches</v>
      </c>
      <c r="K1512" s="18" t="str">
        <f>IFERROR(__xludf.DUMMYFUNCTION("""COMPUTED_VALUE"""),"Error Messages")</f>
        <v>Error Messages</v>
      </c>
      <c r="L1512" s="18">
        <f>iferror(VLOOKUP($D1512,Details!$A$2:$C$11,2,false),vlookup($D1512,Details!$E$2:$G$11,2,false))</f>
        <v>80</v>
      </c>
      <c r="M1512" s="18" t="str">
        <f>iferror(VLOOKUP($D1512,Details!$A$2:$C$11,3,false),vlookup($D1512,Details!$E$2:$G$11,3,false))</f>
        <v>Fruits and Vegetables</v>
      </c>
      <c r="N1512" s="18">
        <f t="shared" si="1"/>
        <v>80</v>
      </c>
      <c r="O1512" s="17"/>
      <c r="P1512" s="17"/>
      <c r="Q1512" s="17"/>
      <c r="R1512" s="17"/>
      <c r="S1512" s="17"/>
      <c r="T1512" s="17"/>
      <c r="U1512" s="17"/>
      <c r="V1512" s="17"/>
      <c r="W1512" s="17"/>
      <c r="X1512" s="17"/>
      <c r="Y1512" s="17"/>
      <c r="Z1512" s="17"/>
    </row>
    <row r="1513">
      <c r="A1513" s="18" t="str">
        <f>IFERROR(__xludf.DUMMYFUNCTION("""COMPUTED_VALUE"""),"ord_71491")</f>
        <v>ord_71491</v>
      </c>
      <c r="B1513" s="18" t="str">
        <f>IFERROR(__xludf.DUMMYFUNCTION("""COMPUTED_VALUE"""),"Ishaan Chaturvedi")</f>
        <v>Ishaan Chaturvedi</v>
      </c>
      <c r="C1513" s="18" t="str">
        <f>IFERROR(__xludf.DUMMYFUNCTION("""COMPUTED_VALUE"""),"Bandra")</f>
        <v>Bandra</v>
      </c>
      <c r="D1513" s="18" t="str">
        <f>IFERROR(__xludf.DUMMYFUNCTION("""COMPUTED_VALUE"""),"Tomato")</f>
        <v>Tomato</v>
      </c>
      <c r="E1513" s="18">
        <f>IFERROR(__xludf.DUMMYFUNCTION("""COMPUTED_VALUE"""),1.0)</f>
        <v>1</v>
      </c>
      <c r="F1513" s="18" t="str">
        <f>IFERROR(__xludf.DUMMYFUNCTION("""COMPUTED_VALUE"""),"Priya Joshi")</f>
        <v>Priya Joshi</v>
      </c>
      <c r="G1513" s="19">
        <f>IFERROR(__xludf.DUMMYFUNCTION("""COMPUTED_VALUE"""),45052.0)</f>
        <v>45052</v>
      </c>
      <c r="H1513" s="18" t="str">
        <f>IFERROR(__xludf.DUMMYFUNCTION("""COMPUTED_VALUE"""),"UPI")</f>
        <v>UPI</v>
      </c>
      <c r="I1513" s="18" t="str">
        <f>IFERROR(__xludf.DUMMYFUNCTION("""COMPUTED_VALUE"""),"Delivered")</f>
        <v>Delivered</v>
      </c>
      <c r="J1513" s="18" t="str">
        <f>IFERROR(__xludf.DUMMYFUNCTION("""COMPUTED_VALUE"""),"Overall Satisfaction")</f>
        <v>Overall Satisfaction</v>
      </c>
      <c r="K1513" s="18" t="str">
        <f>IFERROR(__xludf.DUMMYFUNCTION("""COMPUTED_VALUE"""),"Great service will order again")</f>
        <v>Great service will order again</v>
      </c>
      <c r="L1513" s="18">
        <f>iferror(VLOOKUP($D1513,Details!$A$2:$C$11,2,false),vlookup($D1513,Details!$E$2:$G$11,2,false))</f>
        <v>25</v>
      </c>
      <c r="M1513" s="18" t="str">
        <f>iferror(VLOOKUP($D1513,Details!$A$2:$C$11,3,false),vlookup($D1513,Details!$E$2:$G$11,3,false))</f>
        <v>Fruits and Vegetables</v>
      </c>
      <c r="N1513" s="18">
        <f t="shared" si="1"/>
        <v>25</v>
      </c>
      <c r="O1513" s="17"/>
      <c r="P1513" s="17"/>
      <c r="Q1513" s="17"/>
      <c r="R1513" s="17"/>
      <c r="S1513" s="17"/>
      <c r="T1513" s="17"/>
      <c r="U1513" s="17"/>
      <c r="V1513" s="17"/>
      <c r="W1513" s="17"/>
      <c r="X1513" s="17"/>
      <c r="Y1513" s="17"/>
      <c r="Z1513" s="17"/>
    </row>
    <row r="1514">
      <c r="A1514" s="18" t="str">
        <f>IFERROR(__xludf.DUMMYFUNCTION("""COMPUTED_VALUE"""),"ord_71492")</f>
        <v>ord_71492</v>
      </c>
      <c r="B1514" s="18" t="str">
        <f>IFERROR(__xludf.DUMMYFUNCTION("""COMPUTED_VALUE"""),"Mohit Malhotra")</f>
        <v>Mohit Malhotra</v>
      </c>
      <c r="C1514" s="18" t="str">
        <f>IFERROR(__xludf.DUMMYFUNCTION("""COMPUTED_VALUE"""),"Lower Parel")</f>
        <v>Lower Parel</v>
      </c>
      <c r="D1514" s="18" t="str">
        <f>IFERROR(__xludf.DUMMYFUNCTION("""COMPUTED_VALUE"""),"Tiramisu")</f>
        <v>Tiramisu</v>
      </c>
      <c r="E1514" s="18">
        <f>IFERROR(__xludf.DUMMYFUNCTION("""COMPUTED_VALUE"""),1.0)</f>
        <v>1</v>
      </c>
      <c r="F1514" s="18" t="str">
        <f>IFERROR(__xludf.DUMMYFUNCTION("""COMPUTED_VALUE"""),"Vivek Kumar")</f>
        <v>Vivek Kumar</v>
      </c>
      <c r="G1514" s="19">
        <f>IFERROR(__xludf.DUMMYFUNCTION("""COMPUTED_VALUE"""),45131.0)</f>
        <v>45131</v>
      </c>
      <c r="H1514" s="18" t="str">
        <f>IFERROR(__xludf.DUMMYFUNCTION("""COMPUTED_VALUE"""),"Online Payment")</f>
        <v>Online Payment</v>
      </c>
      <c r="I1514" s="18" t="str">
        <f>IFERROR(__xludf.DUMMYFUNCTION("""COMPUTED_VALUE"""),"Delivered")</f>
        <v>Delivered</v>
      </c>
      <c r="J1514" s="18" t="str">
        <f>IFERROR(__xludf.DUMMYFUNCTION("""COMPUTED_VALUE"""),"On-time Delivery")</f>
        <v>On-time Delivery</v>
      </c>
      <c r="K1514" s="18" t="str">
        <f>IFERROR(__xludf.DUMMYFUNCTION("""COMPUTED_VALUE"""),"Delivered on time")</f>
        <v>Delivered on time</v>
      </c>
      <c r="L1514" s="18">
        <f>iferror(VLOOKUP($D1514,Details!$A$2:$C$11,2,false),vlookup($D1514,Details!$E$2:$G$11,2,false))</f>
        <v>150</v>
      </c>
      <c r="M1514" s="18" t="str">
        <f>iferror(VLOOKUP($D1514,Details!$A$2:$C$11,3,false),vlookup($D1514,Details!$E$2:$G$11,3,false))</f>
        <v>Snacks and Drinks</v>
      </c>
      <c r="N1514" s="18">
        <f t="shared" si="1"/>
        <v>150</v>
      </c>
      <c r="O1514" s="17"/>
      <c r="P1514" s="17"/>
      <c r="Q1514" s="17"/>
      <c r="R1514" s="17"/>
      <c r="S1514" s="17"/>
      <c r="T1514" s="17"/>
      <c r="U1514" s="17"/>
      <c r="V1514" s="17"/>
      <c r="W1514" s="17"/>
      <c r="X1514" s="17"/>
      <c r="Y1514" s="17"/>
      <c r="Z1514" s="17"/>
    </row>
    <row r="1515">
      <c r="A1515" s="18" t="str">
        <f>IFERROR(__xludf.DUMMYFUNCTION("""COMPUTED_VALUE"""),"ord_71493")</f>
        <v>ord_71493</v>
      </c>
      <c r="B1515" s="18" t="str">
        <f>IFERROR(__xludf.DUMMYFUNCTION("""COMPUTED_VALUE"""),"Ishaan Chaturvedi")</f>
        <v>Ishaan Chaturvedi</v>
      </c>
      <c r="C1515" s="18" t="str">
        <f>IFERROR(__xludf.DUMMYFUNCTION("""COMPUTED_VALUE"""),"Bandra")</f>
        <v>Bandra</v>
      </c>
      <c r="D1515" s="18" t="str">
        <f>IFERROR(__xludf.DUMMYFUNCTION("""COMPUTED_VALUE"""),"Apple")</f>
        <v>Apple</v>
      </c>
      <c r="E1515" s="18">
        <f>IFERROR(__xludf.DUMMYFUNCTION("""COMPUTED_VALUE"""),2.0)</f>
        <v>2</v>
      </c>
      <c r="F1515" s="18" t="str">
        <f>IFERROR(__xludf.DUMMYFUNCTION("""COMPUTED_VALUE"""),"Ram Gopal")</f>
        <v>Ram Gopal</v>
      </c>
      <c r="G1515" s="19">
        <f>IFERROR(__xludf.DUMMYFUNCTION("""COMPUTED_VALUE"""),45010.0)</f>
        <v>45010</v>
      </c>
      <c r="H1515" s="18" t="str">
        <f>IFERROR(__xludf.DUMMYFUNCTION("""COMPUTED_VALUE"""),"COD")</f>
        <v>COD</v>
      </c>
      <c r="I1515" s="18" t="str">
        <f>IFERROR(__xludf.DUMMYFUNCTION("""COMPUTED_VALUE"""),"Delivered")</f>
        <v>Delivered</v>
      </c>
      <c r="J1515" s="18" t="str">
        <f>IFERROR(__xludf.DUMMYFUNCTION("""COMPUTED_VALUE"""),"Quality of Items")</f>
        <v>Quality of Items</v>
      </c>
      <c r="K1515" s="18" t="str">
        <f>IFERROR(__xludf.DUMMYFUNCTION("""COMPUTED_VALUE"""),"Perfect condition")</f>
        <v>Perfect condition</v>
      </c>
      <c r="L1515" s="18">
        <f>iferror(VLOOKUP($D1515,Details!$A$2:$C$11,2,false),vlookup($D1515,Details!$E$2:$G$11,2,false))</f>
        <v>230</v>
      </c>
      <c r="M1515" s="18" t="str">
        <f>iferror(VLOOKUP($D1515,Details!$A$2:$C$11,3,false),vlookup($D1515,Details!$E$2:$G$11,3,false))</f>
        <v>Fruits and Vegetables</v>
      </c>
      <c r="N1515" s="18">
        <f t="shared" si="1"/>
        <v>460</v>
      </c>
      <c r="O1515" s="17"/>
      <c r="P1515" s="17"/>
      <c r="Q1515" s="17"/>
      <c r="R1515" s="17"/>
      <c r="S1515" s="17"/>
      <c r="T1515" s="17"/>
      <c r="U1515" s="17"/>
      <c r="V1515" s="17"/>
      <c r="W1515" s="17"/>
      <c r="X1515" s="17"/>
      <c r="Y1515" s="17"/>
      <c r="Z1515" s="17"/>
    </row>
    <row r="1516">
      <c r="A1516" s="18" t="str">
        <f>IFERROR(__xludf.DUMMYFUNCTION("""COMPUTED_VALUE"""),"ord_71494")</f>
        <v>ord_71494</v>
      </c>
      <c r="B1516" s="18" t="str">
        <f>IFERROR(__xludf.DUMMYFUNCTION("""COMPUTED_VALUE"""),"Kritika Shetty")</f>
        <v>Kritika Shetty</v>
      </c>
      <c r="C1516" s="18" t="str">
        <f>IFERROR(__xludf.DUMMYFUNCTION("""COMPUTED_VALUE"""),"Malad")</f>
        <v>Malad</v>
      </c>
      <c r="D1516" s="18" t="str">
        <f>IFERROR(__xludf.DUMMYFUNCTION("""COMPUTED_VALUE"""),"Chocolate Mousse")</f>
        <v>Chocolate Mousse</v>
      </c>
      <c r="E1516" s="18">
        <f>IFERROR(__xludf.DUMMYFUNCTION("""COMPUTED_VALUE"""),5.0)</f>
        <v>5</v>
      </c>
      <c r="F1516" s="18" t="str">
        <f>IFERROR(__xludf.DUMMYFUNCTION("""COMPUTED_VALUE"""),"Not Assigned")</f>
        <v>Not Assigned</v>
      </c>
      <c r="G1516" s="19">
        <f>IFERROR(__xludf.DUMMYFUNCTION("""COMPUTED_VALUE"""),45243.0)</f>
        <v>45243</v>
      </c>
      <c r="H1516" s="18" t="str">
        <f>IFERROR(__xludf.DUMMYFUNCTION("""COMPUTED_VALUE"""),"Credit Card")</f>
        <v>Credit Card</v>
      </c>
      <c r="I1516" s="18" t="str">
        <f>IFERROR(__xludf.DUMMYFUNCTION("""COMPUTED_VALUE"""),"Cancelled")</f>
        <v>Cancelled</v>
      </c>
      <c r="J1516" s="18" t="str">
        <f>IFERROR(__xludf.DUMMYFUNCTION("""COMPUTED_VALUE"""),"App Glitches")</f>
        <v>App Glitches</v>
      </c>
      <c r="K1516" s="18" t="str">
        <f>IFERROR(__xludf.DUMMYFUNCTION("""COMPUTED_VALUE"""),"Slow Loading Time")</f>
        <v>Slow Loading Time</v>
      </c>
      <c r="L1516" s="18">
        <f>iferror(VLOOKUP($D1516,Details!$A$2:$C$11,2,false),vlookup($D1516,Details!$E$2:$G$11,2,false))</f>
        <v>145</v>
      </c>
      <c r="M1516" s="18" t="str">
        <f>iferror(VLOOKUP($D1516,Details!$A$2:$C$11,3,false),vlookup($D1516,Details!$E$2:$G$11,3,false))</f>
        <v>Snacks and Drinks</v>
      </c>
      <c r="N1516" s="18">
        <f t="shared" si="1"/>
        <v>725</v>
      </c>
      <c r="O1516" s="17"/>
      <c r="P1516" s="17"/>
      <c r="Q1516" s="17"/>
      <c r="R1516" s="17"/>
      <c r="S1516" s="17"/>
      <c r="T1516" s="17"/>
      <c r="U1516" s="17"/>
      <c r="V1516" s="17"/>
      <c r="W1516" s="17"/>
      <c r="X1516" s="17"/>
      <c r="Y1516" s="17"/>
      <c r="Z1516" s="17"/>
    </row>
    <row r="1517">
      <c r="A1517" s="18" t="str">
        <f>IFERROR(__xludf.DUMMYFUNCTION("""COMPUTED_VALUE"""),"ord_71495")</f>
        <v>ord_71495</v>
      </c>
      <c r="B1517" s="18" t="str">
        <f>IFERROR(__xludf.DUMMYFUNCTION("""COMPUTED_VALUE"""),"Sanjay Nair")</f>
        <v>Sanjay Nair</v>
      </c>
      <c r="C1517" s="18" t="str">
        <f>IFERROR(__xludf.DUMMYFUNCTION("""COMPUTED_VALUE"""),"Dadar")</f>
        <v>Dadar</v>
      </c>
      <c r="D1517" s="18" t="str">
        <f>IFERROR(__xludf.DUMMYFUNCTION("""COMPUTED_VALUE"""),"Veg Puff")</f>
        <v>Veg Puff</v>
      </c>
      <c r="E1517" s="18">
        <f>IFERROR(__xludf.DUMMYFUNCTION("""COMPUTED_VALUE"""),1.0)</f>
        <v>1</v>
      </c>
      <c r="F1517" s="18" t="str">
        <f>IFERROR(__xludf.DUMMYFUNCTION("""COMPUTED_VALUE"""),"Shine Thomas")</f>
        <v>Shine Thomas</v>
      </c>
      <c r="G1517" s="19">
        <f>IFERROR(__xludf.DUMMYFUNCTION("""COMPUTED_VALUE"""),45199.0)</f>
        <v>45199</v>
      </c>
      <c r="H1517" s="18" t="str">
        <f>IFERROR(__xludf.DUMMYFUNCTION("""COMPUTED_VALUE"""),"Online Payment")</f>
        <v>Online Payment</v>
      </c>
      <c r="I1517" s="18" t="str">
        <f>IFERROR(__xludf.DUMMYFUNCTION("""COMPUTED_VALUE"""),"Delivered")</f>
        <v>Delivered</v>
      </c>
      <c r="J1517" s="18" t="str">
        <f>IFERROR(__xludf.DUMMYFUNCTION("""COMPUTED_VALUE"""),"On-time Delivery")</f>
        <v>On-time Delivery</v>
      </c>
      <c r="K1517" s="18" t="str">
        <f>IFERROR(__xludf.DUMMYFUNCTION("""COMPUTED_VALUE"""),"Delivered on time")</f>
        <v>Delivered on time</v>
      </c>
      <c r="L1517" s="18">
        <f>iferror(VLOOKUP($D1517,Details!$A$2:$C$11,2,false),vlookup($D1517,Details!$E$2:$G$11,2,false))</f>
        <v>80</v>
      </c>
      <c r="M1517" s="18" t="str">
        <f>iferror(VLOOKUP($D1517,Details!$A$2:$C$11,3,false),vlookup($D1517,Details!$E$2:$G$11,3,false))</f>
        <v>Snacks and Drinks</v>
      </c>
      <c r="N1517" s="18">
        <f t="shared" si="1"/>
        <v>80</v>
      </c>
      <c r="O1517" s="17"/>
      <c r="P1517" s="17"/>
      <c r="Q1517" s="17"/>
      <c r="R1517" s="17"/>
      <c r="S1517" s="17"/>
      <c r="T1517" s="17"/>
      <c r="U1517" s="17"/>
      <c r="V1517" s="17"/>
      <c r="W1517" s="17"/>
      <c r="X1517" s="17"/>
      <c r="Y1517" s="17"/>
      <c r="Z1517" s="17"/>
    </row>
    <row r="1518">
      <c r="A1518" s="18" t="str">
        <f>IFERROR(__xludf.DUMMYFUNCTION("""COMPUTED_VALUE"""),"ord_71496")</f>
        <v>ord_71496</v>
      </c>
      <c r="B1518" s="18" t="str">
        <f>IFERROR(__xludf.DUMMYFUNCTION("""COMPUTED_VALUE"""),"Aarav Mehta")</f>
        <v>Aarav Mehta</v>
      </c>
      <c r="C1518" s="18" t="str">
        <f>IFERROR(__xludf.DUMMYFUNCTION("""COMPUTED_VALUE"""),"Andheri")</f>
        <v>Andheri</v>
      </c>
      <c r="D1518" s="18" t="str">
        <f>IFERROR(__xludf.DUMMYFUNCTION("""COMPUTED_VALUE"""),"Rasmalai")</f>
        <v>Rasmalai</v>
      </c>
      <c r="E1518" s="18">
        <f>IFERROR(__xludf.DUMMYFUNCTION("""COMPUTED_VALUE"""),2.0)</f>
        <v>2</v>
      </c>
      <c r="F1518" s="18" t="str">
        <f>IFERROR(__xludf.DUMMYFUNCTION("""COMPUTED_VALUE"""),"Manju Ajay")</f>
        <v>Manju Ajay</v>
      </c>
      <c r="G1518" s="19">
        <f>IFERROR(__xludf.DUMMYFUNCTION("""COMPUTED_VALUE"""),44940.0)</f>
        <v>44940</v>
      </c>
      <c r="H1518" s="18" t="str">
        <f>IFERROR(__xludf.DUMMYFUNCTION("""COMPUTED_VALUE"""),"Credit Card")</f>
        <v>Credit Card</v>
      </c>
      <c r="I1518" s="18" t="str">
        <f>IFERROR(__xludf.DUMMYFUNCTION("""COMPUTED_VALUE"""),"Delivered")</f>
        <v>Delivered</v>
      </c>
      <c r="J1518" s="18" t="str">
        <f>IFERROR(__xludf.DUMMYFUNCTION("""COMPUTED_VALUE"""),"Quality of Items")</f>
        <v>Quality of Items</v>
      </c>
      <c r="K1518" s="18" t="str">
        <f>IFERROR(__xludf.DUMMYFUNCTION("""COMPUTED_VALUE"""),"Perfect condition")</f>
        <v>Perfect condition</v>
      </c>
      <c r="L1518" s="18">
        <f>iferror(VLOOKUP($D1518,Details!$A$2:$C$11,2,false),vlookup($D1518,Details!$E$2:$G$11,2,false))</f>
        <v>110</v>
      </c>
      <c r="M1518" s="18" t="str">
        <f>iferror(VLOOKUP($D1518,Details!$A$2:$C$11,3,false),vlookup($D1518,Details!$E$2:$G$11,3,false))</f>
        <v>Snacks and Drinks</v>
      </c>
      <c r="N1518" s="18">
        <f t="shared" si="1"/>
        <v>220</v>
      </c>
      <c r="O1518" s="17"/>
      <c r="P1518" s="17"/>
      <c r="Q1518" s="17"/>
      <c r="R1518" s="17"/>
      <c r="S1518" s="17"/>
      <c r="T1518" s="17"/>
      <c r="U1518" s="17"/>
      <c r="V1518" s="17"/>
      <c r="W1518" s="17"/>
      <c r="X1518" s="17"/>
      <c r="Y1518" s="17"/>
      <c r="Z1518" s="17"/>
    </row>
    <row r="1519">
      <c r="A1519" s="18" t="str">
        <f>IFERROR(__xludf.DUMMYFUNCTION("""COMPUTED_VALUE"""),"ord_71497")</f>
        <v>ord_71497</v>
      </c>
      <c r="B1519" s="18" t="str">
        <f>IFERROR(__xludf.DUMMYFUNCTION("""COMPUTED_VALUE"""),"Mohit Malhotra")</f>
        <v>Mohit Malhotra</v>
      </c>
      <c r="C1519" s="18" t="str">
        <f>IFERROR(__xludf.DUMMYFUNCTION("""COMPUTED_VALUE"""),"Lower Parel")</f>
        <v>Lower Parel</v>
      </c>
      <c r="D1519" s="18" t="str">
        <f>IFERROR(__xludf.DUMMYFUNCTION("""COMPUTED_VALUE"""),"Papaya")</f>
        <v>Papaya</v>
      </c>
      <c r="E1519" s="18">
        <f>IFERROR(__xludf.DUMMYFUNCTION("""COMPUTED_VALUE"""),1.0)</f>
        <v>1</v>
      </c>
      <c r="F1519" s="18" t="str">
        <f>IFERROR(__xludf.DUMMYFUNCTION("""COMPUTED_VALUE"""),"Sita T")</f>
        <v>Sita T</v>
      </c>
      <c r="G1519" s="19">
        <f>IFERROR(__xludf.DUMMYFUNCTION("""COMPUTED_VALUE"""),45274.0)</f>
        <v>45274</v>
      </c>
      <c r="H1519" s="18" t="str">
        <f>IFERROR(__xludf.DUMMYFUNCTION("""COMPUTED_VALUE"""),"Credit Card")</f>
        <v>Credit Card</v>
      </c>
      <c r="I1519" s="18" t="str">
        <f>IFERROR(__xludf.DUMMYFUNCTION("""COMPUTED_VALUE"""),"Delivered")</f>
        <v>Delivered</v>
      </c>
      <c r="J1519" s="18" t="str">
        <f>IFERROR(__xludf.DUMMYFUNCTION("""COMPUTED_VALUE"""),"Packaging")</f>
        <v>Packaging</v>
      </c>
      <c r="K1519" s="18" t="str">
        <f>IFERROR(__xludf.DUMMYFUNCTION("""COMPUTED_VALUE"""),"Secure and intact")</f>
        <v>Secure and intact</v>
      </c>
      <c r="L1519" s="18">
        <f>iferror(VLOOKUP($D1519,Details!$A$2:$C$11,2,false),vlookup($D1519,Details!$E$2:$G$11,2,false))</f>
        <v>75</v>
      </c>
      <c r="M1519" s="18" t="str">
        <f>iferror(VLOOKUP($D1519,Details!$A$2:$C$11,3,false),vlookup($D1519,Details!$E$2:$G$11,3,false))</f>
        <v>Fruits and Vegetables</v>
      </c>
      <c r="N1519" s="18">
        <f t="shared" si="1"/>
        <v>75</v>
      </c>
      <c r="O1519" s="17"/>
      <c r="P1519" s="17"/>
      <c r="Q1519" s="17"/>
      <c r="R1519" s="17"/>
      <c r="S1519" s="17"/>
      <c r="T1519" s="17"/>
      <c r="U1519" s="17"/>
      <c r="V1519" s="17"/>
      <c r="W1519" s="17"/>
      <c r="X1519" s="17"/>
      <c r="Y1519" s="17"/>
      <c r="Z1519" s="17"/>
    </row>
    <row r="1520">
      <c r="A1520" s="18" t="str">
        <f>IFERROR(__xludf.DUMMYFUNCTION("""COMPUTED_VALUE"""),"ord_71498")</f>
        <v>ord_71498</v>
      </c>
      <c r="B1520" s="18" t="str">
        <f>IFERROR(__xludf.DUMMYFUNCTION("""COMPUTED_VALUE"""),"Parth Goel")</f>
        <v>Parth Goel</v>
      </c>
      <c r="C1520" s="18" t="str">
        <f>IFERROR(__xludf.DUMMYFUNCTION("""COMPUTED_VALUE"""),"Juhu")</f>
        <v>Juhu</v>
      </c>
      <c r="D1520" s="18" t="str">
        <f>IFERROR(__xludf.DUMMYFUNCTION("""COMPUTED_VALUE"""),"Potato")</f>
        <v>Potato</v>
      </c>
      <c r="E1520" s="18">
        <f>IFERROR(__xludf.DUMMYFUNCTION("""COMPUTED_VALUE"""),2.0)</f>
        <v>2</v>
      </c>
      <c r="F1520" s="18" t="str">
        <f>IFERROR(__xludf.DUMMYFUNCTION("""COMPUTED_VALUE"""),"Ram Gopal")</f>
        <v>Ram Gopal</v>
      </c>
      <c r="G1520" s="19">
        <f>IFERROR(__xludf.DUMMYFUNCTION("""COMPUTED_VALUE"""),45114.0)</f>
        <v>45114</v>
      </c>
      <c r="H1520" s="18" t="str">
        <f>IFERROR(__xludf.DUMMYFUNCTION("""COMPUTED_VALUE"""),"Credit Card")</f>
        <v>Credit Card</v>
      </c>
      <c r="I1520" s="18" t="str">
        <f>IFERROR(__xludf.DUMMYFUNCTION("""COMPUTED_VALUE"""),"Delivered")</f>
        <v>Delivered</v>
      </c>
      <c r="J1520" s="18" t="str">
        <f>IFERROR(__xludf.DUMMYFUNCTION("""COMPUTED_VALUE"""),"Satisfied with the Delivery")</f>
        <v>Satisfied with the Delivery</v>
      </c>
      <c r="K1520" s="18" t="str">
        <f>IFERROR(__xludf.DUMMYFUNCTION("""COMPUTED_VALUE"""),"Timely and quality")</f>
        <v>Timely and quality</v>
      </c>
      <c r="L1520" s="18">
        <f>iferror(VLOOKUP($D1520,Details!$A$2:$C$11,2,false),vlookup($D1520,Details!$E$2:$G$11,2,false))</f>
        <v>55</v>
      </c>
      <c r="M1520" s="18" t="str">
        <f>iferror(VLOOKUP($D1520,Details!$A$2:$C$11,3,false),vlookup($D1520,Details!$E$2:$G$11,3,false))</f>
        <v>Fruits and Vegetables</v>
      </c>
      <c r="N1520" s="18">
        <f t="shared" si="1"/>
        <v>110</v>
      </c>
      <c r="O1520" s="17"/>
      <c r="P1520" s="17"/>
      <c r="Q1520" s="17"/>
      <c r="R1520" s="17"/>
      <c r="S1520" s="17"/>
      <c r="T1520" s="17"/>
      <c r="U1520" s="17"/>
      <c r="V1520" s="17"/>
      <c r="W1520" s="17"/>
      <c r="X1520" s="17"/>
      <c r="Y1520" s="17"/>
      <c r="Z1520" s="17"/>
    </row>
    <row r="1521">
      <c r="A1521" s="18" t="str">
        <f>IFERROR(__xludf.DUMMYFUNCTION("""COMPUTED_VALUE"""),"ord_71499")</f>
        <v>ord_71499</v>
      </c>
      <c r="B1521" s="18" t="str">
        <f>IFERROR(__xludf.DUMMYFUNCTION("""COMPUTED_VALUE"""),"Ishita Banerjee")</f>
        <v>Ishita Banerjee</v>
      </c>
      <c r="C1521" s="18" t="str">
        <f>IFERROR(__xludf.DUMMYFUNCTION("""COMPUTED_VALUE"""),"Juhu")</f>
        <v>Juhu</v>
      </c>
      <c r="D1521" s="18" t="str">
        <f>IFERROR(__xludf.DUMMYFUNCTION("""COMPUTED_VALUE"""),"Papaya")</f>
        <v>Papaya</v>
      </c>
      <c r="E1521" s="18">
        <f>IFERROR(__xludf.DUMMYFUNCTION("""COMPUTED_VALUE"""),2.0)</f>
        <v>2</v>
      </c>
      <c r="F1521" s="18" t="str">
        <f>IFERROR(__xludf.DUMMYFUNCTION("""COMPUTED_VALUE"""),"Ramesh S")</f>
        <v>Ramesh S</v>
      </c>
      <c r="G1521" s="19">
        <f>IFERROR(__xludf.DUMMYFUNCTION("""COMPUTED_VALUE"""),45261.0)</f>
        <v>45261</v>
      </c>
      <c r="H1521" s="18" t="str">
        <f>IFERROR(__xludf.DUMMYFUNCTION("""COMPUTED_VALUE"""),"COD")</f>
        <v>COD</v>
      </c>
      <c r="I1521" s="18" t="str">
        <f>IFERROR(__xludf.DUMMYFUNCTION("""COMPUTED_VALUE"""),"Delivered")</f>
        <v>Delivered</v>
      </c>
      <c r="J1521" s="18" t="str">
        <f>IFERROR(__xludf.DUMMYFUNCTION("""COMPUTED_VALUE"""),"Customer Service")</f>
        <v>Customer Service</v>
      </c>
      <c r="K1521" s="18" t="str">
        <f>IFERROR(__xludf.DUMMYFUNCTION("""COMPUTED_VALUE"""),"Seamless and easy")</f>
        <v>Seamless and easy</v>
      </c>
      <c r="L1521" s="18">
        <f>iferror(VLOOKUP($D1521,Details!$A$2:$C$11,2,false),vlookup($D1521,Details!$E$2:$G$11,2,false))</f>
        <v>75</v>
      </c>
      <c r="M1521" s="18" t="str">
        <f>iferror(VLOOKUP($D1521,Details!$A$2:$C$11,3,false),vlookup($D1521,Details!$E$2:$G$11,3,false))</f>
        <v>Fruits and Vegetables</v>
      </c>
      <c r="N1521" s="18">
        <f t="shared" si="1"/>
        <v>150</v>
      </c>
      <c r="O1521" s="17"/>
      <c r="P1521" s="17"/>
      <c r="Q1521" s="17"/>
      <c r="R1521" s="17"/>
      <c r="S1521" s="17"/>
      <c r="T1521" s="17"/>
      <c r="U1521" s="17"/>
      <c r="V1521" s="17"/>
      <c r="W1521" s="17"/>
      <c r="X1521" s="17"/>
      <c r="Y1521" s="17"/>
      <c r="Z1521" s="17"/>
    </row>
    <row r="1522">
      <c r="A1522" s="18" t="str">
        <f>IFERROR(__xludf.DUMMYFUNCTION("""COMPUTED_VALUE"""),"ord_71500")</f>
        <v>ord_71500</v>
      </c>
      <c r="B1522" s="18" t="str">
        <f>IFERROR(__xludf.DUMMYFUNCTION("""COMPUTED_VALUE"""),"Aditi Iyer")</f>
        <v>Aditi Iyer</v>
      </c>
      <c r="C1522" s="18" t="str">
        <f>IFERROR(__xludf.DUMMYFUNCTION("""COMPUTED_VALUE"""),"Dadar")</f>
        <v>Dadar</v>
      </c>
      <c r="D1522" s="18" t="str">
        <f>IFERROR(__xludf.DUMMYFUNCTION("""COMPUTED_VALUE"""),"Onion")</f>
        <v>Onion</v>
      </c>
      <c r="E1522" s="18">
        <f>IFERROR(__xludf.DUMMYFUNCTION("""COMPUTED_VALUE"""),1.0)</f>
        <v>1</v>
      </c>
      <c r="F1522" s="18" t="str">
        <f>IFERROR(__xludf.DUMMYFUNCTION("""COMPUTED_VALUE"""),"Ramesh S")</f>
        <v>Ramesh S</v>
      </c>
      <c r="G1522" s="19">
        <f>IFERROR(__xludf.DUMMYFUNCTION("""COMPUTED_VALUE"""),44971.0)</f>
        <v>44971</v>
      </c>
      <c r="H1522" s="18" t="str">
        <f>IFERROR(__xludf.DUMMYFUNCTION("""COMPUTED_VALUE"""),"UPI")</f>
        <v>UPI</v>
      </c>
      <c r="I1522" s="18" t="str">
        <f>IFERROR(__xludf.DUMMYFUNCTION("""COMPUTED_VALUE"""),"Delivered")</f>
        <v>Delivered</v>
      </c>
      <c r="J1522" s="18" t="str">
        <f>IFERROR(__xludf.DUMMYFUNCTION("""COMPUTED_VALUE"""),"Delivery Experience")</f>
        <v>Delivery Experience</v>
      </c>
      <c r="K1522" s="18" t="str">
        <f>IFERROR(__xludf.DUMMYFUNCTION("""COMPUTED_VALUE"""),"Quick and professional")</f>
        <v>Quick and professional</v>
      </c>
      <c r="L1522" s="18">
        <f>iferror(VLOOKUP($D1522,Details!$A$2:$C$11,2,false),vlookup($D1522,Details!$E$2:$G$11,2,false))</f>
        <v>84</v>
      </c>
      <c r="M1522" s="18" t="str">
        <f>iferror(VLOOKUP($D1522,Details!$A$2:$C$11,3,false),vlookup($D1522,Details!$E$2:$G$11,3,false))</f>
        <v>Fruits and Vegetables</v>
      </c>
      <c r="N1522" s="18">
        <f t="shared" si="1"/>
        <v>84</v>
      </c>
      <c r="O1522" s="17"/>
      <c r="P1522" s="17"/>
      <c r="Q1522" s="17"/>
      <c r="R1522" s="17"/>
      <c r="S1522" s="17"/>
      <c r="T1522" s="17"/>
      <c r="U1522" s="17"/>
      <c r="V1522" s="17"/>
      <c r="W1522" s="17"/>
      <c r="X1522" s="17"/>
      <c r="Y1522" s="17"/>
      <c r="Z1522" s="17"/>
    </row>
    <row r="1523">
      <c r="A1523" s="18" t="str">
        <f>IFERROR(__xludf.DUMMYFUNCTION("""COMPUTED_VALUE"""),"ord_71501")</f>
        <v>ord_71501</v>
      </c>
      <c r="B1523" s="18" t="str">
        <f>IFERROR(__xludf.DUMMYFUNCTION("""COMPUTED_VALUE"""),"Sanjay Nair")</f>
        <v>Sanjay Nair</v>
      </c>
      <c r="C1523" s="18" t="str">
        <f>IFERROR(__xludf.DUMMYFUNCTION("""COMPUTED_VALUE"""),"Dadar")</f>
        <v>Dadar</v>
      </c>
      <c r="D1523" s="18" t="str">
        <f>IFERROR(__xludf.DUMMYFUNCTION("""COMPUTED_VALUE"""),"Icecream")</f>
        <v>Icecream</v>
      </c>
      <c r="E1523" s="18">
        <f>IFERROR(__xludf.DUMMYFUNCTION("""COMPUTED_VALUE"""),3.0)</f>
        <v>3</v>
      </c>
      <c r="F1523" s="18" t="str">
        <f>IFERROR(__xludf.DUMMYFUNCTION("""COMPUTED_VALUE"""),"Manju Ajay")</f>
        <v>Manju Ajay</v>
      </c>
      <c r="G1523" s="19">
        <f>IFERROR(__xludf.DUMMYFUNCTION("""COMPUTED_VALUE"""),44991.0)</f>
        <v>44991</v>
      </c>
      <c r="H1523" s="18" t="str">
        <f>IFERROR(__xludf.DUMMYFUNCTION("""COMPUTED_VALUE"""),"Credit Card")</f>
        <v>Credit Card</v>
      </c>
      <c r="I1523" s="18" t="str">
        <f>IFERROR(__xludf.DUMMYFUNCTION("""COMPUTED_VALUE"""),"Delivered")</f>
        <v>Delivered</v>
      </c>
      <c r="J1523" s="18" t="str">
        <f>IFERROR(__xludf.DUMMYFUNCTION("""COMPUTED_VALUE"""),"Convenience")</f>
        <v>Convenience</v>
      </c>
      <c r="K1523" s="18" t="str">
        <f>IFERROR(__xludf.DUMMYFUNCTION("""COMPUTED_VALUE"""),"Easy tracking")</f>
        <v>Easy tracking</v>
      </c>
      <c r="L1523" s="18">
        <f>iferror(VLOOKUP($D1523,Details!$A$2:$C$11,2,false),vlookup($D1523,Details!$E$2:$G$11,2,false))</f>
        <v>90</v>
      </c>
      <c r="M1523" s="18" t="str">
        <f>iferror(VLOOKUP($D1523,Details!$A$2:$C$11,3,false),vlookup($D1523,Details!$E$2:$G$11,3,false))</f>
        <v>Snacks and Drinks</v>
      </c>
      <c r="N1523" s="18">
        <f t="shared" si="1"/>
        <v>270</v>
      </c>
      <c r="O1523" s="17"/>
      <c r="P1523" s="17"/>
      <c r="Q1523" s="17"/>
      <c r="R1523" s="17"/>
      <c r="S1523" s="17"/>
      <c r="T1523" s="17"/>
      <c r="U1523" s="17"/>
      <c r="V1523" s="17"/>
      <c r="W1523" s="17"/>
      <c r="X1523" s="17"/>
      <c r="Y1523" s="17"/>
      <c r="Z1523" s="17"/>
    </row>
    <row r="1524">
      <c r="A1524" s="18" t="str">
        <f>IFERROR(__xludf.DUMMYFUNCTION("""COMPUTED_VALUE"""),"ord_71502")</f>
        <v>ord_71502</v>
      </c>
      <c r="B1524" s="18" t="str">
        <f>IFERROR(__xludf.DUMMYFUNCTION("""COMPUTED_VALUE"""),"Parth Goel")</f>
        <v>Parth Goel</v>
      </c>
      <c r="C1524" s="18" t="str">
        <f>IFERROR(__xludf.DUMMYFUNCTION("""COMPUTED_VALUE"""),"Juhu")</f>
        <v>Juhu</v>
      </c>
      <c r="D1524" s="18" t="str">
        <f>IFERROR(__xludf.DUMMYFUNCTION("""COMPUTED_VALUE"""),"Potato")</f>
        <v>Potato</v>
      </c>
      <c r="E1524" s="18">
        <f>IFERROR(__xludf.DUMMYFUNCTION("""COMPUTED_VALUE"""),2.0)</f>
        <v>2</v>
      </c>
      <c r="F1524" s="18" t="str">
        <f>IFERROR(__xludf.DUMMYFUNCTION("""COMPUTED_VALUE"""),"Manju Ajay")</f>
        <v>Manju Ajay</v>
      </c>
      <c r="G1524" s="19">
        <f>IFERROR(__xludf.DUMMYFUNCTION("""COMPUTED_VALUE"""),44959.0)</f>
        <v>44959</v>
      </c>
      <c r="H1524" s="18" t="str">
        <f>IFERROR(__xludf.DUMMYFUNCTION("""COMPUTED_VALUE"""),"UPI")</f>
        <v>UPI</v>
      </c>
      <c r="I1524" s="18" t="str">
        <f>IFERROR(__xludf.DUMMYFUNCTION("""COMPUTED_VALUE"""),"Delivered")</f>
        <v>Delivered</v>
      </c>
      <c r="J1524" s="18" t="str">
        <f>IFERROR(__xludf.DUMMYFUNCTION("""COMPUTED_VALUE"""),"Overall Satisfaction")</f>
        <v>Overall Satisfaction</v>
      </c>
      <c r="K1524" s="18" t="str">
        <f>IFERROR(__xludf.DUMMYFUNCTION("""COMPUTED_VALUE"""),"Great service will order again")</f>
        <v>Great service will order again</v>
      </c>
      <c r="L1524" s="18">
        <f>iferror(VLOOKUP($D1524,Details!$A$2:$C$11,2,false),vlookup($D1524,Details!$E$2:$G$11,2,false))</f>
        <v>55</v>
      </c>
      <c r="M1524" s="18" t="str">
        <f>iferror(VLOOKUP($D1524,Details!$A$2:$C$11,3,false),vlookup($D1524,Details!$E$2:$G$11,3,false))</f>
        <v>Fruits and Vegetables</v>
      </c>
      <c r="N1524" s="18">
        <f t="shared" si="1"/>
        <v>110</v>
      </c>
      <c r="O1524" s="17"/>
      <c r="P1524" s="17"/>
      <c r="Q1524" s="17"/>
      <c r="R1524" s="17"/>
      <c r="S1524" s="17"/>
      <c r="T1524" s="17"/>
      <c r="U1524" s="17"/>
      <c r="V1524" s="17"/>
      <c r="W1524" s="17"/>
      <c r="X1524" s="17"/>
      <c r="Y1524" s="17"/>
      <c r="Z1524" s="17"/>
    </row>
    <row r="1525">
      <c r="A1525" s="18" t="str">
        <f>IFERROR(__xludf.DUMMYFUNCTION("""COMPUTED_VALUE"""),"ord_71503")</f>
        <v>ord_71503</v>
      </c>
      <c r="B1525" s="18" t="str">
        <f>IFERROR(__xludf.DUMMYFUNCTION("""COMPUTED_VALUE"""),"Pranav Joshi")</f>
        <v>Pranav Joshi</v>
      </c>
      <c r="C1525" s="18" t="str">
        <f>IFERROR(__xludf.DUMMYFUNCTION("""COMPUTED_VALUE"""),"Andheri")</f>
        <v>Andheri</v>
      </c>
      <c r="D1525" s="18" t="str">
        <f>IFERROR(__xludf.DUMMYFUNCTION("""COMPUTED_VALUE"""),"Onion")</f>
        <v>Onion</v>
      </c>
      <c r="E1525" s="18">
        <f>IFERROR(__xludf.DUMMYFUNCTION("""COMPUTED_VALUE"""),1.0)</f>
        <v>1</v>
      </c>
      <c r="F1525" s="18" t="str">
        <f>IFERROR(__xludf.DUMMYFUNCTION("""COMPUTED_VALUE"""),"Ramesh S")</f>
        <v>Ramesh S</v>
      </c>
      <c r="G1525" s="19">
        <f>IFERROR(__xludf.DUMMYFUNCTION("""COMPUTED_VALUE"""),45143.0)</f>
        <v>45143</v>
      </c>
      <c r="H1525" s="18" t="str">
        <f>IFERROR(__xludf.DUMMYFUNCTION("""COMPUTED_VALUE"""),"Credit Card")</f>
        <v>Credit Card</v>
      </c>
      <c r="I1525" s="18" t="str">
        <f>IFERROR(__xludf.DUMMYFUNCTION("""COMPUTED_VALUE"""),"Delivered")</f>
        <v>Delivered</v>
      </c>
      <c r="J1525" s="18" t="str">
        <f>IFERROR(__xludf.DUMMYFUNCTION("""COMPUTED_VALUE"""),"On-time Delivery")</f>
        <v>On-time Delivery</v>
      </c>
      <c r="K1525" s="18" t="str">
        <f>IFERROR(__xludf.DUMMYFUNCTION("""COMPUTED_VALUE"""),"Delivered on time")</f>
        <v>Delivered on time</v>
      </c>
      <c r="L1525" s="18">
        <f>iferror(VLOOKUP($D1525,Details!$A$2:$C$11,2,false),vlookup($D1525,Details!$E$2:$G$11,2,false))</f>
        <v>84</v>
      </c>
      <c r="M1525" s="18" t="str">
        <f>iferror(VLOOKUP($D1525,Details!$A$2:$C$11,3,false),vlookup($D1525,Details!$E$2:$G$11,3,false))</f>
        <v>Fruits and Vegetables</v>
      </c>
      <c r="N1525" s="18">
        <f t="shared" si="1"/>
        <v>84</v>
      </c>
      <c r="O1525" s="17"/>
      <c r="P1525" s="17"/>
      <c r="Q1525" s="17"/>
      <c r="R1525" s="17"/>
      <c r="S1525" s="17"/>
      <c r="T1525" s="17"/>
      <c r="U1525" s="17"/>
      <c r="V1525" s="17"/>
      <c r="W1525" s="17"/>
      <c r="X1525" s="17"/>
      <c r="Y1525" s="17"/>
      <c r="Z1525" s="17"/>
    </row>
    <row r="1526">
      <c r="A1526" s="18" t="str">
        <f>IFERROR(__xludf.DUMMYFUNCTION("""COMPUTED_VALUE"""),"ord_71504")</f>
        <v>ord_71504</v>
      </c>
      <c r="B1526" s="18" t="str">
        <f>IFERROR(__xludf.DUMMYFUNCTION("""COMPUTED_VALUE"""),"Sakshi Tandon")</f>
        <v>Sakshi Tandon</v>
      </c>
      <c r="C1526" s="18" t="str">
        <f>IFERROR(__xludf.DUMMYFUNCTION("""COMPUTED_VALUE"""),"Colaba")</f>
        <v>Colaba</v>
      </c>
      <c r="D1526" s="18" t="str">
        <f>IFERROR(__xludf.DUMMYFUNCTION("""COMPUTED_VALUE"""),"Chilli Cheese Toast")</f>
        <v>Chilli Cheese Toast</v>
      </c>
      <c r="E1526" s="18">
        <f>IFERROR(__xludf.DUMMYFUNCTION("""COMPUTED_VALUE"""),5.0)</f>
        <v>5</v>
      </c>
      <c r="F1526" s="18" t="str">
        <f>IFERROR(__xludf.DUMMYFUNCTION("""COMPUTED_VALUE"""),"Sita T")</f>
        <v>Sita T</v>
      </c>
      <c r="G1526" s="19">
        <f>IFERROR(__xludf.DUMMYFUNCTION("""COMPUTED_VALUE"""),45178.0)</f>
        <v>45178</v>
      </c>
      <c r="H1526" s="18" t="str">
        <f>IFERROR(__xludf.DUMMYFUNCTION("""COMPUTED_VALUE"""),"Credit Card")</f>
        <v>Credit Card</v>
      </c>
      <c r="I1526" s="18" t="str">
        <f>IFERROR(__xludf.DUMMYFUNCTION("""COMPUTED_VALUE"""),"Delivered")</f>
        <v>Delivered</v>
      </c>
      <c r="J1526" s="18" t="str">
        <f>IFERROR(__xludf.DUMMYFUNCTION("""COMPUTED_VALUE"""),"Quality of Items")</f>
        <v>Quality of Items</v>
      </c>
      <c r="K1526" s="18" t="str">
        <f>IFERROR(__xludf.DUMMYFUNCTION("""COMPUTED_VALUE"""),"Perfect condition")</f>
        <v>Perfect condition</v>
      </c>
      <c r="L1526" s="18">
        <f>iferror(VLOOKUP($D1526,Details!$A$2:$C$11,2,false),vlookup($D1526,Details!$E$2:$G$11,2,false))</f>
        <v>80</v>
      </c>
      <c r="M1526" s="18" t="str">
        <f>iferror(VLOOKUP($D1526,Details!$A$2:$C$11,3,false),vlookup($D1526,Details!$E$2:$G$11,3,false))</f>
        <v>Snacks and Drinks</v>
      </c>
      <c r="N1526" s="18">
        <f t="shared" si="1"/>
        <v>400</v>
      </c>
      <c r="O1526" s="17"/>
      <c r="P1526" s="17"/>
      <c r="Q1526" s="17"/>
      <c r="R1526" s="17"/>
      <c r="S1526" s="17"/>
      <c r="T1526" s="17"/>
      <c r="U1526" s="17"/>
      <c r="V1526" s="17"/>
      <c r="W1526" s="17"/>
      <c r="X1526" s="17"/>
      <c r="Y1526" s="17"/>
      <c r="Z1526" s="17"/>
    </row>
    <row r="1527">
      <c r="A1527" s="18" t="str">
        <f>IFERROR(__xludf.DUMMYFUNCTION("""COMPUTED_VALUE"""),"ord_71505")</f>
        <v>ord_71505</v>
      </c>
      <c r="B1527" s="18" t="str">
        <f>IFERROR(__xludf.DUMMYFUNCTION("""COMPUTED_VALUE"""),"Sanjay Nair")</f>
        <v>Sanjay Nair</v>
      </c>
      <c r="C1527" s="18" t="str">
        <f>IFERROR(__xludf.DUMMYFUNCTION("""COMPUTED_VALUE"""),"Dadar")</f>
        <v>Dadar</v>
      </c>
      <c r="D1527" s="18" t="str">
        <f>IFERROR(__xludf.DUMMYFUNCTION("""COMPUTED_VALUE"""),"Chocolate Mousse")</f>
        <v>Chocolate Mousse</v>
      </c>
      <c r="E1527" s="18">
        <f>IFERROR(__xludf.DUMMYFUNCTION("""COMPUTED_VALUE"""),5.0)</f>
        <v>5</v>
      </c>
      <c r="F1527" s="18" t="str">
        <f>IFERROR(__xludf.DUMMYFUNCTION("""COMPUTED_VALUE"""),"Nithin Lal")</f>
        <v>Nithin Lal</v>
      </c>
      <c r="G1527" s="19">
        <f>IFERROR(__xludf.DUMMYFUNCTION("""COMPUTED_VALUE"""),45094.0)</f>
        <v>45094</v>
      </c>
      <c r="H1527" s="18" t="str">
        <f>IFERROR(__xludf.DUMMYFUNCTION("""COMPUTED_VALUE"""),"UPI")</f>
        <v>UPI</v>
      </c>
      <c r="I1527" s="18" t="str">
        <f>IFERROR(__xludf.DUMMYFUNCTION("""COMPUTED_VALUE"""),"Delivered")</f>
        <v>Delivered</v>
      </c>
      <c r="J1527" s="18" t="str">
        <f>IFERROR(__xludf.DUMMYFUNCTION("""COMPUTED_VALUE"""),"On-time Delivery")</f>
        <v>On-time Delivery</v>
      </c>
      <c r="K1527" s="18" t="str">
        <f>IFERROR(__xludf.DUMMYFUNCTION("""COMPUTED_VALUE"""),"Delivered on time")</f>
        <v>Delivered on time</v>
      </c>
      <c r="L1527" s="18">
        <f>iferror(VLOOKUP($D1527,Details!$A$2:$C$11,2,false),vlookup($D1527,Details!$E$2:$G$11,2,false))</f>
        <v>145</v>
      </c>
      <c r="M1527" s="18" t="str">
        <f>iferror(VLOOKUP($D1527,Details!$A$2:$C$11,3,false),vlookup($D1527,Details!$E$2:$G$11,3,false))</f>
        <v>Snacks and Drinks</v>
      </c>
      <c r="N1527" s="18">
        <f t="shared" si="1"/>
        <v>725</v>
      </c>
      <c r="O1527" s="17"/>
      <c r="P1527" s="17"/>
      <c r="Q1527" s="17"/>
      <c r="R1527" s="17"/>
      <c r="S1527" s="17"/>
      <c r="T1527" s="17"/>
      <c r="U1527" s="17"/>
      <c r="V1527" s="17"/>
      <c r="W1527" s="17"/>
      <c r="X1527" s="17"/>
      <c r="Y1527" s="17"/>
      <c r="Z1527" s="17"/>
    </row>
    <row r="1528">
      <c r="A1528" s="18" t="str">
        <f>IFERROR(__xludf.DUMMYFUNCTION("""COMPUTED_VALUE"""),"ord_71506")</f>
        <v>ord_71506</v>
      </c>
      <c r="B1528" s="18" t="str">
        <f>IFERROR(__xludf.DUMMYFUNCTION("""COMPUTED_VALUE"""),"Sakshi Tandon")</f>
        <v>Sakshi Tandon</v>
      </c>
      <c r="C1528" s="18" t="str">
        <f>IFERROR(__xludf.DUMMYFUNCTION("""COMPUTED_VALUE"""),"Colaba")</f>
        <v>Colaba</v>
      </c>
      <c r="D1528" s="18" t="str">
        <f>IFERROR(__xludf.DUMMYFUNCTION("""COMPUTED_VALUE"""),"Cold Coffee")</f>
        <v>Cold Coffee</v>
      </c>
      <c r="E1528" s="18">
        <f>IFERROR(__xludf.DUMMYFUNCTION("""COMPUTED_VALUE"""),2.0)</f>
        <v>2</v>
      </c>
      <c r="F1528" s="18" t="str">
        <f>IFERROR(__xludf.DUMMYFUNCTION("""COMPUTED_VALUE"""),"Manju Ajay")</f>
        <v>Manju Ajay</v>
      </c>
      <c r="G1528" s="19">
        <f>IFERROR(__xludf.DUMMYFUNCTION("""COMPUTED_VALUE"""),45098.0)</f>
        <v>45098</v>
      </c>
      <c r="H1528" s="18" t="str">
        <f>IFERROR(__xludf.DUMMYFUNCTION("""COMPUTED_VALUE"""),"COD")</f>
        <v>COD</v>
      </c>
      <c r="I1528" s="18" t="str">
        <f>IFERROR(__xludf.DUMMYFUNCTION("""COMPUTED_VALUE"""),"Delivered")</f>
        <v>Delivered</v>
      </c>
      <c r="J1528" s="18" t="str">
        <f>IFERROR(__xludf.DUMMYFUNCTION("""COMPUTED_VALUE"""),"Quality of Items")</f>
        <v>Quality of Items</v>
      </c>
      <c r="K1528" s="18" t="str">
        <f>IFERROR(__xludf.DUMMYFUNCTION("""COMPUTED_VALUE"""),"Perfect condition")</f>
        <v>Perfect condition</v>
      </c>
      <c r="L1528" s="18">
        <f>iferror(VLOOKUP($D1528,Details!$A$2:$C$11,2,false),vlookup($D1528,Details!$E$2:$G$11,2,false))</f>
        <v>270</v>
      </c>
      <c r="M1528" s="18" t="str">
        <f>iferror(VLOOKUP($D1528,Details!$A$2:$C$11,3,false),vlookup($D1528,Details!$E$2:$G$11,3,false))</f>
        <v>Snacks and Drinks</v>
      </c>
      <c r="N1528" s="18">
        <f t="shared" si="1"/>
        <v>540</v>
      </c>
      <c r="O1528" s="17"/>
      <c r="P1528" s="17"/>
      <c r="Q1528" s="17"/>
      <c r="R1528" s="17"/>
      <c r="S1528" s="17"/>
      <c r="T1528" s="17"/>
      <c r="U1528" s="17"/>
      <c r="V1528" s="17"/>
      <c r="W1528" s="17"/>
      <c r="X1528" s="17"/>
      <c r="Y1528" s="17"/>
      <c r="Z1528" s="17"/>
    </row>
    <row r="1529">
      <c r="A1529" s="18" t="str">
        <f>IFERROR(__xludf.DUMMYFUNCTION("""COMPUTED_VALUE"""),"ord_71507")</f>
        <v>ord_71507</v>
      </c>
      <c r="B1529" s="18" t="str">
        <f>IFERROR(__xludf.DUMMYFUNCTION("""COMPUTED_VALUE"""),"Anaya Rao")</f>
        <v>Anaya Rao</v>
      </c>
      <c r="C1529" s="18" t="str">
        <f>IFERROR(__xludf.DUMMYFUNCTION("""COMPUTED_VALUE"""),"Colaba")</f>
        <v>Colaba</v>
      </c>
      <c r="D1529" s="18" t="str">
        <f>IFERROR(__xludf.DUMMYFUNCTION("""COMPUTED_VALUE"""),"Icecream")</f>
        <v>Icecream</v>
      </c>
      <c r="E1529" s="18">
        <f>IFERROR(__xludf.DUMMYFUNCTION("""COMPUTED_VALUE"""),1.0)</f>
        <v>1</v>
      </c>
      <c r="F1529" s="18" t="str">
        <f>IFERROR(__xludf.DUMMYFUNCTION("""COMPUTED_VALUE"""),"Nithin Lal")</f>
        <v>Nithin Lal</v>
      </c>
      <c r="G1529" s="19">
        <f>IFERROR(__xludf.DUMMYFUNCTION("""COMPUTED_VALUE"""),45171.0)</f>
        <v>45171</v>
      </c>
      <c r="H1529" s="18" t="str">
        <f>IFERROR(__xludf.DUMMYFUNCTION("""COMPUTED_VALUE"""),"Online Payment")</f>
        <v>Online Payment</v>
      </c>
      <c r="I1529" s="18" t="str">
        <f>IFERROR(__xludf.DUMMYFUNCTION("""COMPUTED_VALUE"""),"Delivered")</f>
        <v>Delivered</v>
      </c>
      <c r="J1529" s="18" t="str">
        <f>IFERROR(__xludf.DUMMYFUNCTION("""COMPUTED_VALUE"""),"Packaging")</f>
        <v>Packaging</v>
      </c>
      <c r="K1529" s="18" t="str">
        <f>IFERROR(__xludf.DUMMYFUNCTION("""COMPUTED_VALUE"""),"Secure and intact")</f>
        <v>Secure and intact</v>
      </c>
      <c r="L1529" s="18">
        <f>iferror(VLOOKUP($D1529,Details!$A$2:$C$11,2,false),vlookup($D1529,Details!$E$2:$G$11,2,false))</f>
        <v>90</v>
      </c>
      <c r="M1529" s="18" t="str">
        <f>iferror(VLOOKUP($D1529,Details!$A$2:$C$11,3,false),vlookup($D1529,Details!$E$2:$G$11,3,false))</f>
        <v>Snacks and Drinks</v>
      </c>
      <c r="N1529" s="18">
        <f t="shared" si="1"/>
        <v>90</v>
      </c>
      <c r="O1529" s="17"/>
      <c r="P1529" s="17"/>
      <c r="Q1529" s="17"/>
      <c r="R1529" s="17"/>
      <c r="S1529" s="17"/>
      <c r="T1529" s="17"/>
      <c r="U1529" s="17"/>
      <c r="V1529" s="17"/>
      <c r="W1529" s="17"/>
      <c r="X1529" s="17"/>
      <c r="Y1529" s="17"/>
      <c r="Z1529" s="17"/>
    </row>
    <row r="1530">
      <c r="A1530" s="18" t="str">
        <f>IFERROR(__xludf.DUMMYFUNCTION("""COMPUTED_VALUE"""),"ord_71508")</f>
        <v>ord_71508</v>
      </c>
      <c r="B1530" s="18" t="str">
        <f>IFERROR(__xludf.DUMMYFUNCTION("""COMPUTED_VALUE"""),"Pallavi Ghosh")</f>
        <v>Pallavi Ghosh</v>
      </c>
      <c r="C1530" s="18" t="str">
        <f>IFERROR(__xludf.DUMMYFUNCTION("""COMPUTED_VALUE"""),"Bandra")</f>
        <v>Bandra</v>
      </c>
      <c r="D1530" s="18" t="str">
        <f>IFERROR(__xludf.DUMMYFUNCTION("""COMPUTED_VALUE"""),"Chocolate Mousse")</f>
        <v>Chocolate Mousse</v>
      </c>
      <c r="E1530" s="18">
        <f>IFERROR(__xludf.DUMMYFUNCTION("""COMPUTED_VALUE"""),3.0)</f>
        <v>3</v>
      </c>
      <c r="F1530" s="18" t="str">
        <f>IFERROR(__xludf.DUMMYFUNCTION("""COMPUTED_VALUE"""),"Nithin Lal")</f>
        <v>Nithin Lal</v>
      </c>
      <c r="G1530" s="19">
        <f>IFERROR(__xludf.DUMMYFUNCTION("""COMPUTED_VALUE"""),45256.0)</f>
        <v>45256</v>
      </c>
      <c r="H1530" s="18" t="str">
        <f>IFERROR(__xludf.DUMMYFUNCTION("""COMPUTED_VALUE"""),"COD")</f>
        <v>COD</v>
      </c>
      <c r="I1530" s="18" t="str">
        <f>IFERROR(__xludf.DUMMYFUNCTION("""COMPUTED_VALUE"""),"Delivered")</f>
        <v>Delivered</v>
      </c>
      <c r="J1530" s="18" t="str">
        <f>IFERROR(__xludf.DUMMYFUNCTION("""COMPUTED_VALUE"""),"Satisfied with the Delivery")</f>
        <v>Satisfied with the Delivery</v>
      </c>
      <c r="K1530" s="18" t="str">
        <f>IFERROR(__xludf.DUMMYFUNCTION("""COMPUTED_VALUE"""),"Timely and quality")</f>
        <v>Timely and quality</v>
      </c>
      <c r="L1530" s="18">
        <f>iferror(VLOOKUP($D1530,Details!$A$2:$C$11,2,false),vlookup($D1530,Details!$E$2:$G$11,2,false))</f>
        <v>145</v>
      </c>
      <c r="M1530" s="18" t="str">
        <f>iferror(VLOOKUP($D1530,Details!$A$2:$C$11,3,false),vlookup($D1530,Details!$E$2:$G$11,3,false))</f>
        <v>Snacks and Drinks</v>
      </c>
      <c r="N1530" s="18">
        <f t="shared" si="1"/>
        <v>435</v>
      </c>
      <c r="O1530" s="17"/>
      <c r="P1530" s="17"/>
      <c r="Q1530" s="17"/>
      <c r="R1530" s="17"/>
      <c r="S1530" s="17"/>
      <c r="T1530" s="17"/>
      <c r="U1530" s="17"/>
      <c r="V1530" s="17"/>
      <c r="W1530" s="17"/>
      <c r="X1530" s="17"/>
      <c r="Y1530" s="17"/>
      <c r="Z1530" s="17"/>
    </row>
    <row r="1531">
      <c r="A1531" s="18" t="str">
        <f>IFERROR(__xludf.DUMMYFUNCTION("""COMPUTED_VALUE"""),"ord_71509")</f>
        <v>ord_71509</v>
      </c>
      <c r="B1531" s="18" t="str">
        <f>IFERROR(__xludf.DUMMYFUNCTION("""COMPUTED_VALUE"""),"Tanishq Bansal")</f>
        <v>Tanishq Bansal</v>
      </c>
      <c r="C1531" s="18" t="str">
        <f>IFERROR(__xludf.DUMMYFUNCTION("""COMPUTED_VALUE"""),"Bandra")</f>
        <v>Bandra</v>
      </c>
      <c r="D1531" s="18" t="str">
        <f>IFERROR(__xludf.DUMMYFUNCTION("""COMPUTED_VALUE"""),"Juice")</f>
        <v>Juice</v>
      </c>
      <c r="E1531" s="18">
        <f>IFERROR(__xludf.DUMMYFUNCTION("""COMPUTED_VALUE"""),2.0)</f>
        <v>2</v>
      </c>
      <c r="F1531" s="18" t="str">
        <f>IFERROR(__xludf.DUMMYFUNCTION("""COMPUTED_VALUE"""),"Vivek Kumar")</f>
        <v>Vivek Kumar</v>
      </c>
      <c r="G1531" s="19">
        <f>IFERROR(__xludf.DUMMYFUNCTION("""COMPUTED_VALUE"""),45155.0)</f>
        <v>45155</v>
      </c>
      <c r="H1531" s="18" t="str">
        <f>IFERROR(__xludf.DUMMYFUNCTION("""COMPUTED_VALUE"""),"Online Payment")</f>
        <v>Online Payment</v>
      </c>
      <c r="I1531" s="18" t="str">
        <f>IFERROR(__xludf.DUMMYFUNCTION("""COMPUTED_VALUE"""),"Delivered")</f>
        <v>Delivered</v>
      </c>
      <c r="J1531" s="18" t="str">
        <f>IFERROR(__xludf.DUMMYFUNCTION("""COMPUTED_VALUE"""),"Customer Service")</f>
        <v>Customer Service</v>
      </c>
      <c r="K1531" s="18" t="str">
        <f>IFERROR(__xludf.DUMMYFUNCTION("""COMPUTED_VALUE"""),"Seamless and easy")</f>
        <v>Seamless and easy</v>
      </c>
      <c r="L1531" s="18">
        <f>iferror(VLOOKUP($D1531,Details!$A$2:$C$11,2,false),vlookup($D1531,Details!$E$2:$G$11,2,false))</f>
        <v>90</v>
      </c>
      <c r="M1531" s="18" t="str">
        <f>iferror(VLOOKUP($D1531,Details!$A$2:$C$11,3,false),vlookup($D1531,Details!$E$2:$G$11,3,false))</f>
        <v>Snacks and Drinks</v>
      </c>
      <c r="N1531" s="18">
        <f t="shared" si="1"/>
        <v>180</v>
      </c>
      <c r="O1531" s="17"/>
      <c r="P1531" s="17"/>
      <c r="Q1531" s="17"/>
      <c r="R1531" s="17"/>
      <c r="S1531" s="17"/>
      <c r="T1531" s="17"/>
      <c r="U1531" s="17"/>
      <c r="V1531" s="17"/>
      <c r="W1531" s="17"/>
      <c r="X1531" s="17"/>
      <c r="Y1531" s="17"/>
      <c r="Z1531" s="17"/>
    </row>
    <row r="1532">
      <c r="A1532" s="18" t="str">
        <f>IFERROR(__xludf.DUMMYFUNCTION("""COMPUTED_VALUE"""),"ord_71510")</f>
        <v>ord_71510</v>
      </c>
      <c r="B1532" s="18" t="str">
        <f>IFERROR(__xludf.DUMMYFUNCTION("""COMPUTED_VALUE"""),"Kritika Shetty")</f>
        <v>Kritika Shetty</v>
      </c>
      <c r="C1532" s="18" t="str">
        <f>IFERROR(__xludf.DUMMYFUNCTION("""COMPUTED_VALUE"""),"Malad")</f>
        <v>Malad</v>
      </c>
      <c r="D1532" s="18" t="str">
        <f>IFERROR(__xludf.DUMMYFUNCTION("""COMPUTED_VALUE"""),"Cucumber")</f>
        <v>Cucumber</v>
      </c>
      <c r="E1532" s="18">
        <f>IFERROR(__xludf.DUMMYFUNCTION("""COMPUTED_VALUE"""),1.0)</f>
        <v>1</v>
      </c>
      <c r="F1532" s="18" t="str">
        <f>IFERROR(__xludf.DUMMYFUNCTION("""COMPUTED_VALUE"""),"Not Assigned")</f>
        <v>Not Assigned</v>
      </c>
      <c r="G1532" s="19">
        <f>IFERROR(__xludf.DUMMYFUNCTION("""COMPUTED_VALUE"""),45182.0)</f>
        <v>45182</v>
      </c>
      <c r="H1532" s="18" t="str">
        <f>IFERROR(__xludf.DUMMYFUNCTION("""COMPUTED_VALUE"""),"Online Payment")</f>
        <v>Online Payment</v>
      </c>
      <c r="I1532" s="18" t="str">
        <f>IFERROR(__xludf.DUMMYFUNCTION("""COMPUTED_VALUE"""),"Cancelled")</f>
        <v>Cancelled</v>
      </c>
      <c r="J1532" s="18" t="str">
        <f>IFERROR(__xludf.DUMMYFUNCTION("""COMPUTED_VALUE"""),"App Glitches")</f>
        <v>App Glitches</v>
      </c>
      <c r="K1532" s="18" t="str">
        <f>IFERROR(__xludf.DUMMYFUNCTION("""COMPUTED_VALUE"""),"Slow Loading Time")</f>
        <v>Slow Loading Time</v>
      </c>
      <c r="L1532" s="18">
        <f>iferror(VLOOKUP($D1532,Details!$A$2:$C$11,2,false),vlookup($D1532,Details!$E$2:$G$11,2,false))</f>
        <v>30</v>
      </c>
      <c r="M1532" s="18" t="str">
        <f>iferror(VLOOKUP($D1532,Details!$A$2:$C$11,3,false),vlookup($D1532,Details!$E$2:$G$11,3,false))</f>
        <v>Fruits and Vegetables</v>
      </c>
      <c r="N1532" s="18">
        <f t="shared" si="1"/>
        <v>30</v>
      </c>
      <c r="O1532" s="17"/>
      <c r="P1532" s="17"/>
      <c r="Q1532" s="17"/>
      <c r="R1532" s="17"/>
      <c r="S1532" s="17"/>
      <c r="T1532" s="17"/>
      <c r="U1532" s="17"/>
      <c r="V1532" s="17"/>
      <c r="W1532" s="17"/>
      <c r="X1532" s="17"/>
      <c r="Y1532" s="17"/>
      <c r="Z1532" s="17"/>
    </row>
    <row r="1533">
      <c r="A1533" s="18" t="str">
        <f>IFERROR(__xludf.DUMMYFUNCTION("""COMPUTED_VALUE"""),"ord_71511")</f>
        <v>ord_71511</v>
      </c>
      <c r="B1533" s="18" t="str">
        <f>IFERROR(__xludf.DUMMYFUNCTION("""COMPUTED_VALUE"""),"Aarohi Kapoor")</f>
        <v>Aarohi Kapoor</v>
      </c>
      <c r="C1533" s="18" t="str">
        <f>IFERROR(__xludf.DUMMYFUNCTION("""COMPUTED_VALUE"""),"Bandra")</f>
        <v>Bandra</v>
      </c>
      <c r="D1533" s="18" t="str">
        <f>IFERROR(__xludf.DUMMYFUNCTION("""COMPUTED_VALUE"""),"Rasmalai")</f>
        <v>Rasmalai</v>
      </c>
      <c r="E1533" s="18">
        <f>IFERROR(__xludf.DUMMYFUNCTION("""COMPUTED_VALUE"""),4.0)</f>
        <v>4</v>
      </c>
      <c r="F1533" s="18" t="str">
        <f>IFERROR(__xludf.DUMMYFUNCTION("""COMPUTED_VALUE"""),"Shine Thomas")</f>
        <v>Shine Thomas</v>
      </c>
      <c r="G1533" s="19">
        <f>IFERROR(__xludf.DUMMYFUNCTION("""COMPUTED_VALUE"""),45209.0)</f>
        <v>45209</v>
      </c>
      <c r="H1533" s="18" t="str">
        <f>IFERROR(__xludf.DUMMYFUNCTION("""COMPUTED_VALUE"""),"COD")</f>
        <v>COD</v>
      </c>
      <c r="I1533" s="18" t="str">
        <f>IFERROR(__xludf.DUMMYFUNCTION("""COMPUTED_VALUE"""),"Delivered")</f>
        <v>Delivered</v>
      </c>
      <c r="J1533" s="18" t="str">
        <f>IFERROR(__xludf.DUMMYFUNCTION("""COMPUTED_VALUE"""),"Delivery Experience")</f>
        <v>Delivery Experience</v>
      </c>
      <c r="K1533" s="18" t="str">
        <f>IFERROR(__xludf.DUMMYFUNCTION("""COMPUTED_VALUE"""),"Quick and professional")</f>
        <v>Quick and professional</v>
      </c>
      <c r="L1533" s="18">
        <f>iferror(VLOOKUP($D1533,Details!$A$2:$C$11,2,false),vlookup($D1533,Details!$E$2:$G$11,2,false))</f>
        <v>110</v>
      </c>
      <c r="M1533" s="18" t="str">
        <f>iferror(VLOOKUP($D1533,Details!$A$2:$C$11,3,false),vlookup($D1533,Details!$E$2:$G$11,3,false))</f>
        <v>Snacks and Drinks</v>
      </c>
      <c r="N1533" s="18">
        <f t="shared" si="1"/>
        <v>440</v>
      </c>
      <c r="O1533" s="17"/>
      <c r="P1533" s="17"/>
      <c r="Q1533" s="17"/>
      <c r="R1533" s="17"/>
      <c r="S1533" s="17"/>
      <c r="T1533" s="17"/>
      <c r="U1533" s="17"/>
      <c r="V1533" s="17"/>
      <c r="W1533" s="17"/>
      <c r="X1533" s="17"/>
      <c r="Y1533" s="17"/>
      <c r="Z1533" s="17"/>
    </row>
    <row r="1534">
      <c r="A1534" s="18" t="str">
        <f>IFERROR(__xludf.DUMMYFUNCTION("""COMPUTED_VALUE"""),"ord_71512")</f>
        <v>ord_71512</v>
      </c>
      <c r="B1534" s="18" t="str">
        <f>IFERROR(__xludf.DUMMYFUNCTION("""COMPUTED_VALUE"""),"Aarav Mehta")</f>
        <v>Aarav Mehta</v>
      </c>
      <c r="C1534" s="18" t="str">
        <f>IFERROR(__xludf.DUMMYFUNCTION("""COMPUTED_VALUE"""),"Andheri")</f>
        <v>Andheri</v>
      </c>
      <c r="D1534" s="18" t="str">
        <f>IFERROR(__xludf.DUMMYFUNCTION("""COMPUTED_VALUE"""),"Cucumber")</f>
        <v>Cucumber</v>
      </c>
      <c r="E1534" s="18">
        <f>IFERROR(__xludf.DUMMYFUNCTION("""COMPUTED_VALUE"""),1.0)</f>
        <v>1</v>
      </c>
      <c r="F1534" s="18" t="str">
        <f>IFERROR(__xludf.DUMMYFUNCTION("""COMPUTED_VALUE"""),"Vivek Kumar")</f>
        <v>Vivek Kumar</v>
      </c>
      <c r="G1534" s="19">
        <f>IFERROR(__xludf.DUMMYFUNCTION("""COMPUTED_VALUE"""),44942.0)</f>
        <v>44942</v>
      </c>
      <c r="H1534" s="18" t="str">
        <f>IFERROR(__xludf.DUMMYFUNCTION("""COMPUTED_VALUE"""),"Credit Card")</f>
        <v>Credit Card</v>
      </c>
      <c r="I1534" s="18" t="str">
        <f>IFERROR(__xludf.DUMMYFUNCTION("""COMPUTED_VALUE"""),"Delivered")</f>
        <v>Delivered</v>
      </c>
      <c r="J1534" s="18" t="str">
        <f>IFERROR(__xludf.DUMMYFUNCTION("""COMPUTED_VALUE"""),"Convenience")</f>
        <v>Convenience</v>
      </c>
      <c r="K1534" s="18" t="str">
        <f>IFERROR(__xludf.DUMMYFUNCTION("""COMPUTED_VALUE"""),"Easy tracking")</f>
        <v>Easy tracking</v>
      </c>
      <c r="L1534" s="18">
        <f>iferror(VLOOKUP($D1534,Details!$A$2:$C$11,2,false),vlookup($D1534,Details!$E$2:$G$11,2,false))</f>
        <v>30</v>
      </c>
      <c r="M1534" s="18" t="str">
        <f>iferror(VLOOKUP($D1534,Details!$A$2:$C$11,3,false),vlookup($D1534,Details!$E$2:$G$11,3,false))</f>
        <v>Fruits and Vegetables</v>
      </c>
      <c r="N1534" s="18">
        <f t="shared" si="1"/>
        <v>30</v>
      </c>
      <c r="O1534" s="17"/>
      <c r="P1534" s="17"/>
      <c r="Q1534" s="17"/>
      <c r="R1534" s="17"/>
      <c r="S1534" s="17"/>
      <c r="T1534" s="17"/>
      <c r="U1534" s="17"/>
      <c r="V1534" s="17"/>
      <c r="W1534" s="17"/>
      <c r="X1534" s="17"/>
      <c r="Y1534" s="17"/>
      <c r="Z1534" s="17"/>
    </row>
    <row r="1535">
      <c r="A1535" s="18" t="str">
        <f>IFERROR(__xludf.DUMMYFUNCTION("""COMPUTED_VALUE"""),"ord_71513")</f>
        <v>ord_71513</v>
      </c>
      <c r="B1535" s="18" t="str">
        <f>IFERROR(__xludf.DUMMYFUNCTION("""COMPUTED_VALUE"""),"Sanjay Nair")</f>
        <v>Sanjay Nair</v>
      </c>
      <c r="C1535" s="18" t="str">
        <f>IFERROR(__xludf.DUMMYFUNCTION("""COMPUTED_VALUE"""),"Dadar")</f>
        <v>Dadar</v>
      </c>
      <c r="D1535" s="18" t="str">
        <f>IFERROR(__xludf.DUMMYFUNCTION("""COMPUTED_VALUE"""),"Chicken Puff")</f>
        <v>Chicken Puff</v>
      </c>
      <c r="E1535" s="18">
        <f>IFERROR(__xludf.DUMMYFUNCTION("""COMPUTED_VALUE"""),1.0)</f>
        <v>1</v>
      </c>
      <c r="F1535" s="18" t="str">
        <f>IFERROR(__xludf.DUMMYFUNCTION("""COMPUTED_VALUE"""),"Sita T")</f>
        <v>Sita T</v>
      </c>
      <c r="G1535" s="19">
        <f>IFERROR(__xludf.DUMMYFUNCTION("""COMPUTED_VALUE"""),45004.0)</f>
        <v>45004</v>
      </c>
      <c r="H1535" s="18" t="str">
        <f>IFERROR(__xludf.DUMMYFUNCTION("""COMPUTED_VALUE"""),"Online Payment")</f>
        <v>Online Payment</v>
      </c>
      <c r="I1535" s="18" t="str">
        <f>IFERROR(__xludf.DUMMYFUNCTION("""COMPUTED_VALUE"""),"Delivered")</f>
        <v>Delivered</v>
      </c>
      <c r="J1535" s="18" t="str">
        <f>IFERROR(__xludf.DUMMYFUNCTION("""COMPUTED_VALUE"""),"Overall Satisfaction")</f>
        <v>Overall Satisfaction</v>
      </c>
      <c r="K1535" s="18" t="str">
        <f>IFERROR(__xludf.DUMMYFUNCTION("""COMPUTED_VALUE"""),"Great service will order again")</f>
        <v>Great service will order again</v>
      </c>
      <c r="L1535" s="18">
        <f>iferror(VLOOKUP($D1535,Details!$A$2:$C$11,2,false),vlookup($D1535,Details!$E$2:$G$11,2,false))</f>
        <v>90</v>
      </c>
      <c r="M1535" s="18" t="str">
        <f>iferror(VLOOKUP($D1535,Details!$A$2:$C$11,3,false),vlookup($D1535,Details!$E$2:$G$11,3,false))</f>
        <v>Snacks and Drinks</v>
      </c>
      <c r="N1535" s="18">
        <f t="shared" si="1"/>
        <v>90</v>
      </c>
      <c r="O1535" s="17"/>
      <c r="P1535" s="17"/>
      <c r="Q1535" s="17"/>
      <c r="R1535" s="17"/>
      <c r="S1535" s="17"/>
      <c r="T1535" s="17"/>
      <c r="U1535" s="17"/>
      <c r="V1535" s="17"/>
      <c r="W1535" s="17"/>
      <c r="X1535" s="17"/>
      <c r="Y1535" s="17"/>
      <c r="Z1535" s="17"/>
    </row>
    <row r="1536">
      <c r="A1536" s="18" t="str">
        <f>IFERROR(__xludf.DUMMYFUNCTION("""COMPUTED_VALUE"""),"ord_71514")</f>
        <v>ord_71514</v>
      </c>
      <c r="B1536" s="18" t="str">
        <f>IFERROR(__xludf.DUMMYFUNCTION("""COMPUTED_VALUE"""),"Aarav Mehta")</f>
        <v>Aarav Mehta</v>
      </c>
      <c r="C1536" s="18" t="str">
        <f>IFERROR(__xludf.DUMMYFUNCTION("""COMPUTED_VALUE"""),"Andheri")</f>
        <v>Andheri</v>
      </c>
      <c r="D1536" s="18" t="str">
        <f>IFERROR(__xludf.DUMMYFUNCTION("""COMPUTED_VALUE"""),"Potato")</f>
        <v>Potato</v>
      </c>
      <c r="E1536" s="18">
        <f>IFERROR(__xludf.DUMMYFUNCTION("""COMPUTED_VALUE"""),2.0)</f>
        <v>2</v>
      </c>
      <c r="F1536" s="18" t="str">
        <f>IFERROR(__xludf.DUMMYFUNCTION("""COMPUTED_VALUE"""),"Manju Ajay")</f>
        <v>Manju Ajay</v>
      </c>
      <c r="G1536" s="19">
        <f>IFERROR(__xludf.DUMMYFUNCTION("""COMPUTED_VALUE"""),45052.0)</f>
        <v>45052</v>
      </c>
      <c r="H1536" s="18" t="str">
        <f>IFERROR(__xludf.DUMMYFUNCTION("""COMPUTED_VALUE"""),"Credit Card")</f>
        <v>Credit Card</v>
      </c>
      <c r="I1536" s="18" t="str">
        <f>IFERROR(__xludf.DUMMYFUNCTION("""COMPUTED_VALUE"""),"Delivered")</f>
        <v>Delivered</v>
      </c>
      <c r="J1536" s="18" t="str">
        <f>IFERROR(__xludf.DUMMYFUNCTION("""COMPUTED_VALUE"""),"On-time Delivery")</f>
        <v>On-time Delivery</v>
      </c>
      <c r="K1536" s="18" t="str">
        <f>IFERROR(__xludf.DUMMYFUNCTION("""COMPUTED_VALUE"""),"Delivered on time")</f>
        <v>Delivered on time</v>
      </c>
      <c r="L1536" s="18">
        <f>iferror(VLOOKUP($D1536,Details!$A$2:$C$11,2,false),vlookup($D1536,Details!$E$2:$G$11,2,false))</f>
        <v>55</v>
      </c>
      <c r="M1536" s="18" t="str">
        <f>iferror(VLOOKUP($D1536,Details!$A$2:$C$11,3,false),vlookup($D1536,Details!$E$2:$G$11,3,false))</f>
        <v>Fruits and Vegetables</v>
      </c>
      <c r="N1536" s="18">
        <f t="shared" si="1"/>
        <v>110</v>
      </c>
      <c r="O1536" s="17"/>
      <c r="P1536" s="17"/>
      <c r="Q1536" s="17"/>
      <c r="R1536" s="17"/>
      <c r="S1536" s="17"/>
      <c r="T1536" s="17"/>
      <c r="U1536" s="17"/>
      <c r="V1536" s="17"/>
      <c r="W1536" s="17"/>
      <c r="X1536" s="17"/>
      <c r="Y1536" s="17"/>
      <c r="Z1536" s="17"/>
    </row>
    <row r="1537">
      <c r="A1537" s="18" t="str">
        <f>IFERROR(__xludf.DUMMYFUNCTION("""COMPUTED_VALUE"""),"ord_71515")</f>
        <v>ord_71515</v>
      </c>
      <c r="B1537" s="18" t="str">
        <f>IFERROR(__xludf.DUMMYFUNCTION("""COMPUTED_VALUE"""),"Pallavi Ghosh")</f>
        <v>Pallavi Ghosh</v>
      </c>
      <c r="C1537" s="18" t="str">
        <f>IFERROR(__xludf.DUMMYFUNCTION("""COMPUTED_VALUE"""),"Bandra")</f>
        <v>Bandra</v>
      </c>
      <c r="D1537" s="18" t="str">
        <f>IFERROR(__xludf.DUMMYFUNCTION("""COMPUTED_VALUE"""),"Chicken Puff")</f>
        <v>Chicken Puff</v>
      </c>
      <c r="E1537" s="18">
        <f>IFERROR(__xludf.DUMMYFUNCTION("""COMPUTED_VALUE"""),2.0)</f>
        <v>2</v>
      </c>
      <c r="F1537" s="18" t="str">
        <f>IFERROR(__xludf.DUMMYFUNCTION("""COMPUTED_VALUE"""),"Sita T")</f>
        <v>Sita T</v>
      </c>
      <c r="G1537" s="19">
        <f>IFERROR(__xludf.DUMMYFUNCTION("""COMPUTED_VALUE"""),45191.0)</f>
        <v>45191</v>
      </c>
      <c r="H1537" s="18" t="str">
        <f>IFERROR(__xludf.DUMMYFUNCTION("""COMPUTED_VALUE"""),"Online Payment")</f>
        <v>Online Payment</v>
      </c>
      <c r="I1537" s="18" t="str">
        <f>IFERROR(__xludf.DUMMYFUNCTION("""COMPUTED_VALUE"""),"Delivered")</f>
        <v>Delivered</v>
      </c>
      <c r="J1537" s="18" t="str">
        <f>IFERROR(__xludf.DUMMYFUNCTION("""COMPUTED_VALUE"""),"Quality of Items")</f>
        <v>Quality of Items</v>
      </c>
      <c r="K1537" s="18" t="str">
        <f>IFERROR(__xludf.DUMMYFUNCTION("""COMPUTED_VALUE"""),"Perfect condition")</f>
        <v>Perfect condition</v>
      </c>
      <c r="L1537" s="18">
        <f>iferror(VLOOKUP($D1537,Details!$A$2:$C$11,2,false),vlookup($D1537,Details!$E$2:$G$11,2,false))</f>
        <v>90</v>
      </c>
      <c r="M1537" s="18" t="str">
        <f>iferror(VLOOKUP($D1537,Details!$A$2:$C$11,3,false),vlookup($D1537,Details!$E$2:$G$11,3,false))</f>
        <v>Snacks and Drinks</v>
      </c>
      <c r="N1537" s="18">
        <f t="shared" si="1"/>
        <v>180</v>
      </c>
      <c r="O1537" s="17"/>
      <c r="P1537" s="17"/>
      <c r="Q1537" s="17"/>
      <c r="R1537" s="17"/>
      <c r="S1537" s="17"/>
      <c r="T1537" s="17"/>
      <c r="U1537" s="17"/>
      <c r="V1537" s="17"/>
      <c r="W1537" s="17"/>
      <c r="X1537" s="17"/>
      <c r="Y1537" s="17"/>
      <c r="Z1537" s="17"/>
    </row>
    <row r="1538">
      <c r="A1538" s="18" t="str">
        <f>IFERROR(__xludf.DUMMYFUNCTION("""COMPUTED_VALUE"""),"ord_71516")</f>
        <v>ord_71516</v>
      </c>
      <c r="B1538" s="18" t="str">
        <f>IFERROR(__xludf.DUMMYFUNCTION("""COMPUTED_VALUE"""),"Siya Reddy")</f>
        <v>Siya Reddy</v>
      </c>
      <c r="C1538" s="18" t="str">
        <f>IFERROR(__xludf.DUMMYFUNCTION("""COMPUTED_VALUE"""),"Juhu")</f>
        <v>Juhu</v>
      </c>
      <c r="D1538" s="18" t="str">
        <f>IFERROR(__xludf.DUMMYFUNCTION("""COMPUTED_VALUE"""),"Icecream")</f>
        <v>Icecream</v>
      </c>
      <c r="E1538" s="18">
        <f>IFERROR(__xludf.DUMMYFUNCTION("""COMPUTED_VALUE"""),3.0)</f>
        <v>3</v>
      </c>
      <c r="F1538" s="18" t="str">
        <f>IFERROR(__xludf.DUMMYFUNCTION("""COMPUTED_VALUE"""),"Not Assigned")</f>
        <v>Not Assigned</v>
      </c>
      <c r="G1538" s="19">
        <f>IFERROR(__xludf.DUMMYFUNCTION("""COMPUTED_VALUE"""),45257.0)</f>
        <v>45257</v>
      </c>
      <c r="H1538" s="18" t="str">
        <f>IFERROR(__xludf.DUMMYFUNCTION("""COMPUTED_VALUE"""),"Credit Card")</f>
        <v>Credit Card</v>
      </c>
      <c r="I1538" s="18" t="str">
        <f>IFERROR(__xludf.DUMMYFUNCTION("""COMPUTED_VALUE"""),"Cancelled")</f>
        <v>Cancelled</v>
      </c>
      <c r="J1538" s="18" t="str">
        <f>IFERROR(__xludf.DUMMYFUNCTION("""COMPUTED_VALUE"""),"Payment Issues")</f>
        <v>Payment Issues</v>
      </c>
      <c r="K1538" s="18"/>
      <c r="L1538" s="18">
        <f>iferror(VLOOKUP($D1538,Details!$A$2:$C$11,2,false),vlookup($D1538,Details!$E$2:$G$11,2,false))</f>
        <v>90</v>
      </c>
      <c r="M1538" s="18" t="str">
        <f>iferror(VLOOKUP($D1538,Details!$A$2:$C$11,3,false),vlookup($D1538,Details!$E$2:$G$11,3,false))</f>
        <v>Snacks and Drinks</v>
      </c>
      <c r="N1538" s="18">
        <f t="shared" si="1"/>
        <v>270</v>
      </c>
      <c r="O1538" s="17"/>
      <c r="P1538" s="17"/>
      <c r="Q1538" s="17"/>
      <c r="R1538" s="17"/>
      <c r="S1538" s="17"/>
      <c r="T1538" s="17"/>
      <c r="U1538" s="17"/>
      <c r="V1538" s="17"/>
      <c r="W1538" s="17"/>
      <c r="X1538" s="17"/>
      <c r="Y1538" s="17"/>
      <c r="Z1538" s="17"/>
    </row>
    <row r="1539">
      <c r="A1539" s="18" t="str">
        <f>IFERROR(__xludf.DUMMYFUNCTION("""COMPUTED_VALUE"""),"ord_71517")</f>
        <v>ord_71517</v>
      </c>
      <c r="B1539" s="18" t="str">
        <f>IFERROR(__xludf.DUMMYFUNCTION("""COMPUTED_VALUE"""),"Sakshi Tandon")</f>
        <v>Sakshi Tandon</v>
      </c>
      <c r="C1539" s="18" t="str">
        <f>IFERROR(__xludf.DUMMYFUNCTION("""COMPUTED_VALUE"""),"Colaba")</f>
        <v>Colaba</v>
      </c>
      <c r="D1539" s="18" t="str">
        <f>IFERROR(__xludf.DUMMYFUNCTION("""COMPUTED_VALUE"""),"Chilli Cheese Toast")</f>
        <v>Chilli Cheese Toast</v>
      </c>
      <c r="E1539" s="18">
        <f>IFERROR(__xludf.DUMMYFUNCTION("""COMPUTED_VALUE"""),1.0)</f>
        <v>1</v>
      </c>
      <c r="F1539" s="18" t="str">
        <f>IFERROR(__xludf.DUMMYFUNCTION("""COMPUTED_VALUE"""),"Ramesh S")</f>
        <v>Ramesh S</v>
      </c>
      <c r="G1539" s="19">
        <f>IFERROR(__xludf.DUMMYFUNCTION("""COMPUTED_VALUE"""),45222.0)</f>
        <v>45222</v>
      </c>
      <c r="H1539" s="18" t="str">
        <f>IFERROR(__xludf.DUMMYFUNCTION("""COMPUTED_VALUE"""),"UPI")</f>
        <v>UPI</v>
      </c>
      <c r="I1539" s="18" t="str">
        <f>IFERROR(__xludf.DUMMYFUNCTION("""COMPUTED_VALUE"""),"Delivered")</f>
        <v>Delivered</v>
      </c>
      <c r="J1539" s="18" t="str">
        <f>IFERROR(__xludf.DUMMYFUNCTION("""COMPUTED_VALUE"""),"On-time Delivery")</f>
        <v>On-time Delivery</v>
      </c>
      <c r="K1539" s="18" t="str">
        <f>IFERROR(__xludf.DUMMYFUNCTION("""COMPUTED_VALUE"""),"Delivered on time")</f>
        <v>Delivered on time</v>
      </c>
      <c r="L1539" s="18">
        <f>iferror(VLOOKUP($D1539,Details!$A$2:$C$11,2,false),vlookup($D1539,Details!$E$2:$G$11,2,false))</f>
        <v>80</v>
      </c>
      <c r="M1539" s="18" t="str">
        <f>iferror(VLOOKUP($D1539,Details!$A$2:$C$11,3,false),vlookup($D1539,Details!$E$2:$G$11,3,false))</f>
        <v>Snacks and Drinks</v>
      </c>
      <c r="N1539" s="18">
        <f t="shared" si="1"/>
        <v>80</v>
      </c>
      <c r="O1539" s="17"/>
      <c r="P1539" s="17"/>
      <c r="Q1539" s="17"/>
      <c r="R1539" s="17"/>
      <c r="S1539" s="17"/>
      <c r="T1539" s="17"/>
      <c r="U1539" s="17"/>
      <c r="V1539" s="17"/>
      <c r="W1539" s="17"/>
      <c r="X1539" s="17"/>
      <c r="Y1539" s="17"/>
      <c r="Z1539" s="17"/>
    </row>
    <row r="1540">
      <c r="A1540" s="18" t="str">
        <f>IFERROR(__xludf.DUMMYFUNCTION("""COMPUTED_VALUE"""),"ord_71518")</f>
        <v>ord_71518</v>
      </c>
      <c r="B1540" s="18" t="str">
        <f>IFERROR(__xludf.DUMMYFUNCTION("""COMPUTED_VALUE"""),"Sakshi Tandon")</f>
        <v>Sakshi Tandon</v>
      </c>
      <c r="C1540" s="18" t="str">
        <f>IFERROR(__xludf.DUMMYFUNCTION("""COMPUTED_VALUE"""),"Colaba")</f>
        <v>Colaba</v>
      </c>
      <c r="D1540" s="18" t="str">
        <f>IFERROR(__xludf.DUMMYFUNCTION("""COMPUTED_VALUE"""),"Sweet Corn")</f>
        <v>Sweet Corn</v>
      </c>
      <c r="E1540" s="18">
        <f>IFERROR(__xludf.DUMMYFUNCTION("""COMPUTED_VALUE"""),1.0)</f>
        <v>1</v>
      </c>
      <c r="F1540" s="18" t="str">
        <f>IFERROR(__xludf.DUMMYFUNCTION("""COMPUTED_VALUE"""),"Nithin Lal")</f>
        <v>Nithin Lal</v>
      </c>
      <c r="G1540" s="19">
        <f>IFERROR(__xludf.DUMMYFUNCTION("""COMPUTED_VALUE"""),45207.0)</f>
        <v>45207</v>
      </c>
      <c r="H1540" s="18" t="str">
        <f>IFERROR(__xludf.DUMMYFUNCTION("""COMPUTED_VALUE"""),"Online Payment")</f>
        <v>Online Payment</v>
      </c>
      <c r="I1540" s="18" t="str">
        <f>IFERROR(__xludf.DUMMYFUNCTION("""COMPUTED_VALUE"""),"Delivered")</f>
        <v>Delivered</v>
      </c>
      <c r="J1540" s="18" t="str">
        <f>IFERROR(__xludf.DUMMYFUNCTION("""COMPUTED_VALUE"""),"Quality of Items")</f>
        <v>Quality of Items</v>
      </c>
      <c r="K1540" s="18" t="str">
        <f>IFERROR(__xludf.DUMMYFUNCTION("""COMPUTED_VALUE"""),"Perfect condition")</f>
        <v>Perfect condition</v>
      </c>
      <c r="L1540" s="18">
        <f>iferror(VLOOKUP($D1540,Details!$A$2:$C$11,2,false),vlookup($D1540,Details!$E$2:$G$11,2,false))</f>
        <v>60</v>
      </c>
      <c r="M1540" s="18" t="str">
        <f>iferror(VLOOKUP($D1540,Details!$A$2:$C$11,3,false),vlookup($D1540,Details!$E$2:$G$11,3,false))</f>
        <v>Fruits and Vegetables</v>
      </c>
      <c r="N1540" s="18">
        <f t="shared" si="1"/>
        <v>60</v>
      </c>
      <c r="O1540" s="17"/>
      <c r="P1540" s="17"/>
      <c r="Q1540" s="17"/>
      <c r="R1540" s="17"/>
      <c r="S1540" s="17"/>
      <c r="T1540" s="17"/>
      <c r="U1540" s="17"/>
      <c r="V1540" s="17"/>
      <c r="W1540" s="17"/>
      <c r="X1540" s="17"/>
      <c r="Y1540" s="17"/>
      <c r="Z1540" s="17"/>
    </row>
    <row r="1541">
      <c r="A1541" s="18" t="str">
        <f>IFERROR(__xludf.DUMMYFUNCTION("""COMPUTED_VALUE"""),"ord_71519")</f>
        <v>ord_71519</v>
      </c>
      <c r="B1541" s="18" t="str">
        <f>IFERROR(__xludf.DUMMYFUNCTION("""COMPUTED_VALUE"""),"Mohit Malhotra")</f>
        <v>Mohit Malhotra</v>
      </c>
      <c r="C1541" s="18" t="str">
        <f>IFERROR(__xludf.DUMMYFUNCTION("""COMPUTED_VALUE"""),"Lower Parel")</f>
        <v>Lower Parel</v>
      </c>
      <c r="D1541" s="18" t="str">
        <f>IFERROR(__xludf.DUMMYFUNCTION("""COMPUTED_VALUE"""),"Sweet Corn")</f>
        <v>Sweet Corn</v>
      </c>
      <c r="E1541" s="18">
        <f>IFERROR(__xludf.DUMMYFUNCTION("""COMPUTED_VALUE"""),2.0)</f>
        <v>2</v>
      </c>
      <c r="F1541" s="18" t="str">
        <f>IFERROR(__xludf.DUMMYFUNCTION("""COMPUTED_VALUE"""),"Nithin Lal")</f>
        <v>Nithin Lal</v>
      </c>
      <c r="G1541" s="19">
        <f>IFERROR(__xludf.DUMMYFUNCTION("""COMPUTED_VALUE"""),45172.0)</f>
        <v>45172</v>
      </c>
      <c r="H1541" s="18" t="str">
        <f>IFERROR(__xludf.DUMMYFUNCTION("""COMPUTED_VALUE"""),"Online Payment")</f>
        <v>Online Payment</v>
      </c>
      <c r="I1541" s="18" t="str">
        <f>IFERROR(__xludf.DUMMYFUNCTION("""COMPUTED_VALUE"""),"Delivered")</f>
        <v>Delivered</v>
      </c>
      <c r="J1541" s="18" t="str">
        <f>IFERROR(__xludf.DUMMYFUNCTION("""COMPUTED_VALUE"""),"Packaging")</f>
        <v>Packaging</v>
      </c>
      <c r="K1541" s="18" t="str">
        <f>IFERROR(__xludf.DUMMYFUNCTION("""COMPUTED_VALUE"""),"Secure and intact")</f>
        <v>Secure and intact</v>
      </c>
      <c r="L1541" s="18">
        <f>iferror(VLOOKUP($D1541,Details!$A$2:$C$11,2,false),vlookup($D1541,Details!$E$2:$G$11,2,false))</f>
        <v>60</v>
      </c>
      <c r="M1541" s="18" t="str">
        <f>iferror(VLOOKUP($D1541,Details!$A$2:$C$11,3,false),vlookup($D1541,Details!$E$2:$G$11,3,false))</f>
        <v>Fruits and Vegetables</v>
      </c>
      <c r="N1541" s="18">
        <f t="shared" si="1"/>
        <v>120</v>
      </c>
      <c r="O1541" s="17"/>
      <c r="P1541" s="17"/>
      <c r="Q1541" s="17"/>
      <c r="R1541" s="17"/>
      <c r="S1541" s="17"/>
      <c r="T1541" s="17"/>
      <c r="U1541" s="17"/>
      <c r="V1541" s="17"/>
      <c r="W1541" s="17"/>
      <c r="X1541" s="17"/>
      <c r="Y1541" s="17"/>
      <c r="Z1541" s="17"/>
    </row>
    <row r="1542">
      <c r="A1542" s="18" t="str">
        <f>IFERROR(__xludf.DUMMYFUNCTION("""COMPUTED_VALUE"""),"ord_71520")</f>
        <v>ord_71520</v>
      </c>
      <c r="B1542" s="18" t="str">
        <f>IFERROR(__xludf.DUMMYFUNCTION("""COMPUTED_VALUE"""),"Aarav Mehta")</f>
        <v>Aarav Mehta</v>
      </c>
      <c r="C1542" s="18" t="str">
        <f>IFERROR(__xludf.DUMMYFUNCTION("""COMPUTED_VALUE"""),"Andheri")</f>
        <v>Andheri</v>
      </c>
      <c r="D1542" s="18" t="str">
        <f>IFERROR(__xludf.DUMMYFUNCTION("""COMPUTED_VALUE"""),"Tomato")</f>
        <v>Tomato</v>
      </c>
      <c r="E1542" s="18">
        <f>IFERROR(__xludf.DUMMYFUNCTION("""COMPUTED_VALUE"""),2.0)</f>
        <v>2</v>
      </c>
      <c r="F1542" s="18" t="str">
        <f>IFERROR(__xludf.DUMMYFUNCTION("""COMPUTED_VALUE"""),"Ram Gopal")</f>
        <v>Ram Gopal</v>
      </c>
      <c r="G1542" s="19">
        <f>IFERROR(__xludf.DUMMYFUNCTION("""COMPUTED_VALUE"""),45000.0)</f>
        <v>45000</v>
      </c>
      <c r="H1542" s="18" t="str">
        <f>IFERROR(__xludf.DUMMYFUNCTION("""COMPUTED_VALUE"""),"Credit Card")</f>
        <v>Credit Card</v>
      </c>
      <c r="I1542" s="18" t="str">
        <f>IFERROR(__xludf.DUMMYFUNCTION("""COMPUTED_VALUE"""),"Delivered")</f>
        <v>Delivered</v>
      </c>
      <c r="J1542" s="18" t="str">
        <f>IFERROR(__xludf.DUMMYFUNCTION("""COMPUTED_VALUE"""),"Satisfied with the Delivery")</f>
        <v>Satisfied with the Delivery</v>
      </c>
      <c r="K1542" s="18" t="str">
        <f>IFERROR(__xludf.DUMMYFUNCTION("""COMPUTED_VALUE"""),"Timely and quality")</f>
        <v>Timely and quality</v>
      </c>
      <c r="L1542" s="18">
        <f>iferror(VLOOKUP($D1542,Details!$A$2:$C$11,2,false),vlookup($D1542,Details!$E$2:$G$11,2,false))</f>
        <v>25</v>
      </c>
      <c r="M1542" s="18" t="str">
        <f>iferror(VLOOKUP($D1542,Details!$A$2:$C$11,3,false),vlookup($D1542,Details!$E$2:$G$11,3,false))</f>
        <v>Fruits and Vegetables</v>
      </c>
      <c r="N1542" s="18">
        <f t="shared" si="1"/>
        <v>50</v>
      </c>
      <c r="O1542" s="17"/>
      <c r="P1542" s="17"/>
      <c r="Q1542" s="17"/>
      <c r="R1542" s="17"/>
      <c r="S1542" s="17"/>
      <c r="T1542" s="17"/>
      <c r="U1542" s="17"/>
      <c r="V1542" s="17"/>
      <c r="W1542" s="17"/>
      <c r="X1542" s="17"/>
      <c r="Y1542" s="17"/>
      <c r="Z1542" s="17"/>
    </row>
    <row r="1543">
      <c r="A1543" s="18" t="str">
        <f>IFERROR(__xludf.DUMMYFUNCTION("""COMPUTED_VALUE"""),"ord_71521")</f>
        <v>ord_71521</v>
      </c>
      <c r="B1543" s="18" t="str">
        <f>IFERROR(__xludf.DUMMYFUNCTION("""COMPUTED_VALUE"""),"Aarav Mehta")</f>
        <v>Aarav Mehta</v>
      </c>
      <c r="C1543" s="18" t="str">
        <f>IFERROR(__xludf.DUMMYFUNCTION("""COMPUTED_VALUE"""),"Andheri")</f>
        <v>Andheri</v>
      </c>
      <c r="D1543" s="18" t="str">
        <f>IFERROR(__xludf.DUMMYFUNCTION("""COMPUTED_VALUE"""),"Chilli Cheese Toast")</f>
        <v>Chilli Cheese Toast</v>
      </c>
      <c r="E1543" s="18">
        <f>IFERROR(__xludf.DUMMYFUNCTION("""COMPUTED_VALUE"""),1.0)</f>
        <v>1</v>
      </c>
      <c r="F1543" s="18" t="str">
        <f>IFERROR(__xludf.DUMMYFUNCTION("""COMPUTED_VALUE"""),"Sita T")</f>
        <v>Sita T</v>
      </c>
      <c r="G1543" s="19">
        <f>IFERROR(__xludf.DUMMYFUNCTION("""COMPUTED_VALUE"""),45266.0)</f>
        <v>45266</v>
      </c>
      <c r="H1543" s="18" t="str">
        <f>IFERROR(__xludf.DUMMYFUNCTION("""COMPUTED_VALUE"""),"Online Payment")</f>
        <v>Online Payment</v>
      </c>
      <c r="I1543" s="18" t="str">
        <f>IFERROR(__xludf.DUMMYFUNCTION("""COMPUTED_VALUE"""),"Delivered")</f>
        <v>Delivered</v>
      </c>
      <c r="J1543" s="18" t="str">
        <f>IFERROR(__xludf.DUMMYFUNCTION("""COMPUTED_VALUE"""),"Customer Service")</f>
        <v>Customer Service</v>
      </c>
      <c r="K1543" s="18" t="str">
        <f>IFERROR(__xludf.DUMMYFUNCTION("""COMPUTED_VALUE"""),"Seamless and easy")</f>
        <v>Seamless and easy</v>
      </c>
      <c r="L1543" s="18">
        <f>iferror(VLOOKUP($D1543,Details!$A$2:$C$11,2,false),vlookup($D1543,Details!$E$2:$G$11,2,false))</f>
        <v>80</v>
      </c>
      <c r="M1543" s="18" t="str">
        <f>iferror(VLOOKUP($D1543,Details!$A$2:$C$11,3,false),vlookup($D1543,Details!$E$2:$G$11,3,false))</f>
        <v>Snacks and Drinks</v>
      </c>
      <c r="N1543" s="18">
        <f t="shared" si="1"/>
        <v>80</v>
      </c>
      <c r="O1543" s="17"/>
      <c r="P1543" s="17"/>
      <c r="Q1543" s="17"/>
      <c r="R1543" s="17"/>
      <c r="S1543" s="17"/>
      <c r="T1543" s="17"/>
      <c r="U1543" s="17"/>
      <c r="V1543" s="17"/>
      <c r="W1543" s="17"/>
      <c r="X1543" s="17"/>
      <c r="Y1543" s="17"/>
      <c r="Z1543" s="17"/>
    </row>
    <row r="1544">
      <c r="A1544" s="18" t="str">
        <f>IFERROR(__xludf.DUMMYFUNCTION("""COMPUTED_VALUE"""),"ord_71522")</f>
        <v>ord_71522</v>
      </c>
      <c r="B1544" s="18" t="str">
        <f>IFERROR(__xludf.DUMMYFUNCTION("""COMPUTED_VALUE"""),"Anaya Rao")</f>
        <v>Anaya Rao</v>
      </c>
      <c r="C1544" s="18" t="str">
        <f>IFERROR(__xludf.DUMMYFUNCTION("""COMPUTED_VALUE"""),"Colaba")</f>
        <v>Colaba</v>
      </c>
      <c r="D1544" s="18" t="str">
        <f>IFERROR(__xludf.DUMMYFUNCTION("""COMPUTED_VALUE"""),"Potato")</f>
        <v>Potato</v>
      </c>
      <c r="E1544" s="18">
        <f>IFERROR(__xludf.DUMMYFUNCTION("""COMPUTED_VALUE"""),2.0)</f>
        <v>2</v>
      </c>
      <c r="F1544" s="18" t="str">
        <f>IFERROR(__xludf.DUMMYFUNCTION("""COMPUTED_VALUE"""),"Sita T")</f>
        <v>Sita T</v>
      </c>
      <c r="G1544" s="19">
        <f>IFERROR(__xludf.DUMMYFUNCTION("""COMPUTED_VALUE"""),45285.0)</f>
        <v>45285</v>
      </c>
      <c r="H1544" s="18" t="str">
        <f>IFERROR(__xludf.DUMMYFUNCTION("""COMPUTED_VALUE"""),"Online Payment")</f>
        <v>Online Payment</v>
      </c>
      <c r="I1544" s="18" t="str">
        <f>IFERROR(__xludf.DUMMYFUNCTION("""COMPUTED_VALUE"""),"Delivered")</f>
        <v>Delivered</v>
      </c>
      <c r="J1544" s="18" t="str">
        <f>IFERROR(__xludf.DUMMYFUNCTION("""COMPUTED_VALUE"""),"Delivery Experience")</f>
        <v>Delivery Experience</v>
      </c>
      <c r="K1544" s="18" t="str">
        <f>IFERROR(__xludf.DUMMYFUNCTION("""COMPUTED_VALUE"""),"Quick and professional")</f>
        <v>Quick and professional</v>
      </c>
      <c r="L1544" s="18">
        <f>iferror(VLOOKUP($D1544,Details!$A$2:$C$11,2,false),vlookup($D1544,Details!$E$2:$G$11,2,false))</f>
        <v>55</v>
      </c>
      <c r="M1544" s="18" t="str">
        <f>iferror(VLOOKUP($D1544,Details!$A$2:$C$11,3,false),vlookup($D1544,Details!$E$2:$G$11,3,false))</f>
        <v>Fruits and Vegetables</v>
      </c>
      <c r="N1544" s="18">
        <f t="shared" si="1"/>
        <v>110</v>
      </c>
      <c r="O1544" s="17"/>
      <c r="P1544" s="17"/>
      <c r="Q1544" s="17"/>
      <c r="R1544" s="17"/>
      <c r="S1544" s="17"/>
      <c r="T1544" s="17"/>
      <c r="U1544" s="17"/>
      <c r="V1544" s="17"/>
      <c r="W1544" s="17"/>
      <c r="X1544" s="17"/>
      <c r="Y1544" s="17"/>
      <c r="Z1544" s="17"/>
    </row>
    <row r="1545">
      <c r="A1545" s="18" t="str">
        <f>IFERROR(__xludf.DUMMYFUNCTION("""COMPUTED_VALUE"""),"ord_71523")</f>
        <v>ord_71523</v>
      </c>
      <c r="B1545" s="18" t="str">
        <f>IFERROR(__xludf.DUMMYFUNCTION("""COMPUTED_VALUE"""),"Sanjay Nair")</f>
        <v>Sanjay Nair</v>
      </c>
      <c r="C1545" s="18" t="str">
        <f>IFERROR(__xludf.DUMMYFUNCTION("""COMPUTED_VALUE"""),"Dadar")</f>
        <v>Dadar</v>
      </c>
      <c r="D1545" s="18" t="str">
        <f>IFERROR(__xludf.DUMMYFUNCTION("""COMPUTED_VALUE"""),"Chicken Puff")</f>
        <v>Chicken Puff</v>
      </c>
      <c r="E1545" s="18">
        <f>IFERROR(__xludf.DUMMYFUNCTION("""COMPUTED_VALUE"""),3.0)</f>
        <v>3</v>
      </c>
      <c r="F1545" s="18" t="str">
        <f>IFERROR(__xludf.DUMMYFUNCTION("""COMPUTED_VALUE"""),"Nithin Lal")</f>
        <v>Nithin Lal</v>
      </c>
      <c r="G1545" s="19">
        <f>IFERROR(__xludf.DUMMYFUNCTION("""COMPUTED_VALUE"""),45232.0)</f>
        <v>45232</v>
      </c>
      <c r="H1545" s="18" t="str">
        <f>IFERROR(__xludf.DUMMYFUNCTION("""COMPUTED_VALUE"""),"Online Payment")</f>
        <v>Online Payment</v>
      </c>
      <c r="I1545" s="18" t="str">
        <f>IFERROR(__xludf.DUMMYFUNCTION("""COMPUTED_VALUE"""),"Delivered")</f>
        <v>Delivered</v>
      </c>
      <c r="J1545" s="18" t="str">
        <f>IFERROR(__xludf.DUMMYFUNCTION("""COMPUTED_VALUE"""),"Convenience")</f>
        <v>Convenience</v>
      </c>
      <c r="K1545" s="18" t="str">
        <f>IFERROR(__xludf.DUMMYFUNCTION("""COMPUTED_VALUE"""),"Easy tracking")</f>
        <v>Easy tracking</v>
      </c>
      <c r="L1545" s="18">
        <f>iferror(VLOOKUP($D1545,Details!$A$2:$C$11,2,false),vlookup($D1545,Details!$E$2:$G$11,2,false))</f>
        <v>90</v>
      </c>
      <c r="M1545" s="18" t="str">
        <f>iferror(VLOOKUP($D1545,Details!$A$2:$C$11,3,false),vlookup($D1545,Details!$E$2:$G$11,3,false))</f>
        <v>Snacks and Drinks</v>
      </c>
      <c r="N1545" s="18">
        <f t="shared" si="1"/>
        <v>270</v>
      </c>
      <c r="O1545" s="17"/>
      <c r="P1545" s="17"/>
      <c r="Q1545" s="17"/>
      <c r="R1545" s="17"/>
      <c r="S1545" s="17"/>
      <c r="T1545" s="17"/>
      <c r="U1545" s="17"/>
      <c r="V1545" s="17"/>
      <c r="W1545" s="17"/>
      <c r="X1545" s="17"/>
      <c r="Y1545" s="17"/>
      <c r="Z1545" s="17"/>
    </row>
    <row r="1546">
      <c r="A1546" s="18" t="str">
        <f>IFERROR(__xludf.DUMMYFUNCTION("""COMPUTED_VALUE"""),"ord_71524")</f>
        <v>ord_71524</v>
      </c>
      <c r="B1546" s="18" t="str">
        <f>IFERROR(__xludf.DUMMYFUNCTION("""COMPUTED_VALUE"""),"Ishita Banerjee")</f>
        <v>Ishita Banerjee</v>
      </c>
      <c r="C1546" s="18" t="str">
        <f>IFERROR(__xludf.DUMMYFUNCTION("""COMPUTED_VALUE"""),"Juhu")</f>
        <v>Juhu</v>
      </c>
      <c r="D1546" s="18" t="str">
        <f>IFERROR(__xludf.DUMMYFUNCTION("""COMPUTED_VALUE"""),"Rasmalai")</f>
        <v>Rasmalai</v>
      </c>
      <c r="E1546" s="18">
        <f>IFERROR(__xludf.DUMMYFUNCTION("""COMPUTED_VALUE"""),5.0)</f>
        <v>5</v>
      </c>
      <c r="F1546" s="18" t="str">
        <f>IFERROR(__xludf.DUMMYFUNCTION("""COMPUTED_VALUE"""),"Priya Joshi")</f>
        <v>Priya Joshi</v>
      </c>
      <c r="G1546" s="19">
        <f>IFERROR(__xludf.DUMMYFUNCTION("""COMPUTED_VALUE"""),45060.0)</f>
        <v>45060</v>
      </c>
      <c r="H1546" s="18" t="str">
        <f>IFERROR(__xludf.DUMMYFUNCTION("""COMPUTED_VALUE"""),"Credit Card")</f>
        <v>Credit Card</v>
      </c>
      <c r="I1546" s="18" t="str">
        <f>IFERROR(__xludf.DUMMYFUNCTION("""COMPUTED_VALUE"""),"Cancelled")</f>
        <v>Cancelled</v>
      </c>
      <c r="J1546" s="18" t="str">
        <f>IFERROR(__xludf.DUMMYFUNCTION("""COMPUTED_VALUE"""),"Delayed Delivery")</f>
        <v>Delayed Delivery</v>
      </c>
      <c r="K1546" s="18" t="str">
        <f>IFERROR(__xludf.DUMMYFUNCTION("""COMPUTED_VALUE"""),"Bad Weather Conditions")</f>
        <v>Bad Weather Conditions</v>
      </c>
      <c r="L1546" s="18">
        <f>iferror(VLOOKUP($D1546,Details!$A$2:$C$11,2,false),vlookup($D1546,Details!$E$2:$G$11,2,false))</f>
        <v>110</v>
      </c>
      <c r="M1546" s="18" t="str">
        <f>iferror(VLOOKUP($D1546,Details!$A$2:$C$11,3,false),vlookup($D1546,Details!$E$2:$G$11,3,false))</f>
        <v>Snacks and Drinks</v>
      </c>
      <c r="N1546" s="18">
        <f t="shared" si="1"/>
        <v>550</v>
      </c>
      <c r="O1546" s="17"/>
      <c r="P1546" s="17"/>
      <c r="Q1546" s="17"/>
      <c r="R1546" s="17"/>
      <c r="S1546" s="17"/>
      <c r="T1546" s="17"/>
      <c r="U1546" s="17"/>
      <c r="V1546" s="17"/>
      <c r="W1546" s="17"/>
      <c r="X1546" s="17"/>
      <c r="Y1546" s="17"/>
      <c r="Z1546" s="17"/>
    </row>
    <row r="1547">
      <c r="A1547" s="18" t="str">
        <f>IFERROR(__xludf.DUMMYFUNCTION("""COMPUTED_VALUE"""),"ord_71525")</f>
        <v>ord_71525</v>
      </c>
      <c r="B1547" s="18" t="str">
        <f>IFERROR(__xludf.DUMMYFUNCTION("""COMPUTED_VALUE"""),"Parth Goel")</f>
        <v>Parth Goel</v>
      </c>
      <c r="C1547" s="18" t="str">
        <f>IFERROR(__xludf.DUMMYFUNCTION("""COMPUTED_VALUE"""),"Juhu")</f>
        <v>Juhu</v>
      </c>
      <c r="D1547" s="18" t="str">
        <f>IFERROR(__xludf.DUMMYFUNCTION("""COMPUTED_VALUE"""),"Sweet Corn")</f>
        <v>Sweet Corn</v>
      </c>
      <c r="E1547" s="18">
        <f>IFERROR(__xludf.DUMMYFUNCTION("""COMPUTED_VALUE"""),1.0)</f>
        <v>1</v>
      </c>
      <c r="F1547" s="18" t="str">
        <f>IFERROR(__xludf.DUMMYFUNCTION("""COMPUTED_VALUE"""),"Ramesh S")</f>
        <v>Ramesh S</v>
      </c>
      <c r="G1547" s="19">
        <f>IFERROR(__xludf.DUMMYFUNCTION("""COMPUTED_VALUE"""),44932.0)</f>
        <v>44932</v>
      </c>
      <c r="H1547" s="18" t="str">
        <f>IFERROR(__xludf.DUMMYFUNCTION("""COMPUTED_VALUE"""),"UPI")</f>
        <v>UPI</v>
      </c>
      <c r="I1547" s="18" t="str">
        <f>IFERROR(__xludf.DUMMYFUNCTION("""COMPUTED_VALUE"""),"Delivered")</f>
        <v>Delivered</v>
      </c>
      <c r="J1547" s="18" t="str">
        <f>IFERROR(__xludf.DUMMYFUNCTION("""COMPUTED_VALUE"""),"Overall Satisfaction")</f>
        <v>Overall Satisfaction</v>
      </c>
      <c r="K1547" s="18" t="str">
        <f>IFERROR(__xludf.DUMMYFUNCTION("""COMPUTED_VALUE"""),"Great service will order again")</f>
        <v>Great service will order again</v>
      </c>
      <c r="L1547" s="18">
        <f>iferror(VLOOKUP($D1547,Details!$A$2:$C$11,2,false),vlookup($D1547,Details!$E$2:$G$11,2,false))</f>
        <v>60</v>
      </c>
      <c r="M1547" s="18" t="str">
        <f>iferror(VLOOKUP($D1547,Details!$A$2:$C$11,3,false),vlookup($D1547,Details!$E$2:$G$11,3,false))</f>
        <v>Fruits and Vegetables</v>
      </c>
      <c r="N1547" s="18">
        <f t="shared" si="1"/>
        <v>60</v>
      </c>
      <c r="O1547" s="17"/>
      <c r="P1547" s="17"/>
      <c r="Q1547" s="17"/>
      <c r="R1547" s="17"/>
      <c r="S1547" s="17"/>
      <c r="T1547" s="17"/>
      <c r="U1547" s="17"/>
      <c r="V1547" s="17"/>
      <c r="W1547" s="17"/>
      <c r="X1547" s="17"/>
      <c r="Y1547" s="17"/>
      <c r="Z1547" s="17"/>
    </row>
    <row r="1548">
      <c r="A1548" s="18" t="str">
        <f>IFERROR(__xludf.DUMMYFUNCTION("""COMPUTED_VALUE"""),"ord_71526")</f>
        <v>ord_71526</v>
      </c>
      <c r="B1548" s="18" t="str">
        <f>IFERROR(__xludf.DUMMYFUNCTION("""COMPUTED_VALUE"""),"Sanjay Nair")</f>
        <v>Sanjay Nair</v>
      </c>
      <c r="C1548" s="18" t="str">
        <f>IFERROR(__xludf.DUMMYFUNCTION("""COMPUTED_VALUE"""),"Dadar")</f>
        <v>Dadar</v>
      </c>
      <c r="D1548" s="18" t="str">
        <f>IFERROR(__xludf.DUMMYFUNCTION("""COMPUTED_VALUE"""),"Chocolate Mousse")</f>
        <v>Chocolate Mousse</v>
      </c>
      <c r="E1548" s="18">
        <f>IFERROR(__xludf.DUMMYFUNCTION("""COMPUTED_VALUE"""),1.0)</f>
        <v>1</v>
      </c>
      <c r="F1548" s="18" t="str">
        <f>IFERROR(__xludf.DUMMYFUNCTION("""COMPUTED_VALUE"""),"Ramesh S")</f>
        <v>Ramesh S</v>
      </c>
      <c r="G1548" s="19">
        <f>IFERROR(__xludf.DUMMYFUNCTION("""COMPUTED_VALUE"""),44999.0)</f>
        <v>44999</v>
      </c>
      <c r="H1548" s="18" t="str">
        <f>IFERROR(__xludf.DUMMYFUNCTION("""COMPUTED_VALUE"""),"COD")</f>
        <v>COD</v>
      </c>
      <c r="I1548" s="18" t="str">
        <f>IFERROR(__xludf.DUMMYFUNCTION("""COMPUTED_VALUE"""),"Delivered")</f>
        <v>Delivered</v>
      </c>
      <c r="J1548" s="18" t="str">
        <f>IFERROR(__xludf.DUMMYFUNCTION("""COMPUTED_VALUE"""),"On-time Delivery")</f>
        <v>On-time Delivery</v>
      </c>
      <c r="K1548" s="18" t="str">
        <f>IFERROR(__xludf.DUMMYFUNCTION("""COMPUTED_VALUE"""),"Delivered on time")</f>
        <v>Delivered on time</v>
      </c>
      <c r="L1548" s="18">
        <f>iferror(VLOOKUP($D1548,Details!$A$2:$C$11,2,false),vlookup($D1548,Details!$E$2:$G$11,2,false))</f>
        <v>145</v>
      </c>
      <c r="M1548" s="18" t="str">
        <f>iferror(VLOOKUP($D1548,Details!$A$2:$C$11,3,false),vlookup($D1548,Details!$E$2:$G$11,3,false))</f>
        <v>Snacks and Drinks</v>
      </c>
      <c r="N1548" s="18">
        <f t="shared" si="1"/>
        <v>145</v>
      </c>
      <c r="O1548" s="17"/>
      <c r="P1548" s="17"/>
      <c r="Q1548" s="17"/>
      <c r="R1548" s="17"/>
      <c r="S1548" s="17"/>
      <c r="T1548" s="17"/>
      <c r="U1548" s="17"/>
      <c r="V1548" s="17"/>
      <c r="W1548" s="17"/>
      <c r="X1548" s="17"/>
      <c r="Y1548" s="17"/>
      <c r="Z1548" s="17"/>
    </row>
    <row r="1549">
      <c r="A1549" s="18" t="str">
        <f>IFERROR(__xludf.DUMMYFUNCTION("""COMPUTED_VALUE"""),"ord_71527")</f>
        <v>ord_71527</v>
      </c>
      <c r="B1549" s="18" t="str">
        <f>IFERROR(__xludf.DUMMYFUNCTION("""COMPUTED_VALUE"""),"Mohit Malhotra")</f>
        <v>Mohit Malhotra</v>
      </c>
      <c r="C1549" s="18" t="str">
        <f>IFERROR(__xludf.DUMMYFUNCTION("""COMPUTED_VALUE"""),"Lower Parel")</f>
        <v>Lower Parel</v>
      </c>
      <c r="D1549" s="18" t="str">
        <f>IFERROR(__xludf.DUMMYFUNCTION("""COMPUTED_VALUE"""),"Cold Coffee")</f>
        <v>Cold Coffee</v>
      </c>
      <c r="E1549" s="18">
        <f>IFERROR(__xludf.DUMMYFUNCTION("""COMPUTED_VALUE"""),4.0)</f>
        <v>4</v>
      </c>
      <c r="F1549" s="18" t="str">
        <f>IFERROR(__xludf.DUMMYFUNCTION("""COMPUTED_VALUE"""),"Manju Ajay")</f>
        <v>Manju Ajay</v>
      </c>
      <c r="G1549" s="19">
        <f>IFERROR(__xludf.DUMMYFUNCTION("""COMPUTED_VALUE"""),44939.0)</f>
        <v>44939</v>
      </c>
      <c r="H1549" s="18" t="str">
        <f>IFERROR(__xludf.DUMMYFUNCTION("""COMPUTED_VALUE"""),"UPI")</f>
        <v>UPI</v>
      </c>
      <c r="I1549" s="18" t="str">
        <f>IFERROR(__xludf.DUMMYFUNCTION("""COMPUTED_VALUE"""),"Delivered")</f>
        <v>Delivered</v>
      </c>
      <c r="J1549" s="18" t="str">
        <f>IFERROR(__xludf.DUMMYFUNCTION("""COMPUTED_VALUE"""),"Quality of Items")</f>
        <v>Quality of Items</v>
      </c>
      <c r="K1549" s="18" t="str">
        <f>IFERROR(__xludf.DUMMYFUNCTION("""COMPUTED_VALUE"""),"Perfect condition")</f>
        <v>Perfect condition</v>
      </c>
      <c r="L1549" s="18">
        <f>iferror(VLOOKUP($D1549,Details!$A$2:$C$11,2,false),vlookup($D1549,Details!$E$2:$G$11,2,false))</f>
        <v>270</v>
      </c>
      <c r="M1549" s="18" t="str">
        <f>iferror(VLOOKUP($D1549,Details!$A$2:$C$11,3,false),vlookup($D1549,Details!$E$2:$G$11,3,false))</f>
        <v>Snacks and Drinks</v>
      </c>
      <c r="N1549" s="18">
        <f t="shared" si="1"/>
        <v>1080</v>
      </c>
      <c r="O1549" s="17"/>
      <c r="P1549" s="17"/>
      <c r="Q1549" s="17"/>
      <c r="R1549" s="17"/>
      <c r="S1549" s="17"/>
      <c r="T1549" s="17"/>
      <c r="U1549" s="17"/>
      <c r="V1549" s="17"/>
      <c r="W1549" s="17"/>
      <c r="X1549" s="17"/>
      <c r="Y1549" s="17"/>
      <c r="Z1549" s="17"/>
    </row>
    <row r="1550">
      <c r="A1550" s="18" t="str">
        <f>IFERROR(__xludf.DUMMYFUNCTION("""COMPUTED_VALUE"""),"ord_71528")</f>
        <v>ord_71528</v>
      </c>
      <c r="B1550" s="18" t="str">
        <f>IFERROR(__xludf.DUMMYFUNCTION("""COMPUTED_VALUE"""),"Sanjay Nair")</f>
        <v>Sanjay Nair</v>
      </c>
      <c r="C1550" s="18" t="str">
        <f>IFERROR(__xludf.DUMMYFUNCTION("""COMPUTED_VALUE"""),"Dadar")</f>
        <v>Dadar</v>
      </c>
      <c r="D1550" s="18" t="str">
        <f>IFERROR(__xludf.DUMMYFUNCTION("""COMPUTED_VALUE"""),"Onion")</f>
        <v>Onion</v>
      </c>
      <c r="E1550" s="18">
        <f>IFERROR(__xludf.DUMMYFUNCTION("""COMPUTED_VALUE"""),1.0)</f>
        <v>1</v>
      </c>
      <c r="F1550" s="18" t="str">
        <f>IFERROR(__xludf.DUMMYFUNCTION("""COMPUTED_VALUE"""),"Ram Gopal")</f>
        <v>Ram Gopal</v>
      </c>
      <c r="G1550" s="19">
        <f>IFERROR(__xludf.DUMMYFUNCTION("""COMPUTED_VALUE"""),45265.0)</f>
        <v>45265</v>
      </c>
      <c r="H1550" s="18" t="str">
        <f>IFERROR(__xludf.DUMMYFUNCTION("""COMPUTED_VALUE"""),"Credit Card")</f>
        <v>Credit Card</v>
      </c>
      <c r="I1550" s="18" t="str">
        <f>IFERROR(__xludf.DUMMYFUNCTION("""COMPUTED_VALUE"""),"Delivered")</f>
        <v>Delivered</v>
      </c>
      <c r="J1550" s="18" t="str">
        <f>IFERROR(__xludf.DUMMYFUNCTION("""COMPUTED_VALUE"""),"On-time Delivery")</f>
        <v>On-time Delivery</v>
      </c>
      <c r="K1550" s="18" t="str">
        <f>IFERROR(__xludf.DUMMYFUNCTION("""COMPUTED_VALUE"""),"Delivered on time")</f>
        <v>Delivered on time</v>
      </c>
      <c r="L1550" s="18">
        <f>iferror(VLOOKUP($D1550,Details!$A$2:$C$11,2,false),vlookup($D1550,Details!$E$2:$G$11,2,false))</f>
        <v>84</v>
      </c>
      <c r="M1550" s="18" t="str">
        <f>iferror(VLOOKUP($D1550,Details!$A$2:$C$11,3,false),vlookup($D1550,Details!$E$2:$G$11,3,false))</f>
        <v>Fruits and Vegetables</v>
      </c>
      <c r="N1550" s="18">
        <f t="shared" si="1"/>
        <v>84</v>
      </c>
      <c r="O1550" s="17"/>
      <c r="P1550" s="17"/>
      <c r="Q1550" s="17"/>
      <c r="R1550" s="17"/>
      <c r="S1550" s="17"/>
      <c r="T1550" s="17"/>
      <c r="U1550" s="17"/>
      <c r="V1550" s="17"/>
      <c r="W1550" s="17"/>
      <c r="X1550" s="17"/>
      <c r="Y1550" s="17"/>
      <c r="Z1550" s="17"/>
    </row>
    <row r="1551">
      <c r="A1551" s="18" t="str">
        <f>IFERROR(__xludf.DUMMYFUNCTION("""COMPUTED_VALUE"""),"ord_71529")</f>
        <v>ord_71529</v>
      </c>
      <c r="B1551" s="18" t="str">
        <f>IFERROR(__xludf.DUMMYFUNCTION("""COMPUTED_VALUE"""),"Pallavi Ghosh")</f>
        <v>Pallavi Ghosh</v>
      </c>
      <c r="C1551" s="18" t="str">
        <f>IFERROR(__xludf.DUMMYFUNCTION("""COMPUTED_VALUE"""),"Bandra")</f>
        <v>Bandra</v>
      </c>
      <c r="D1551" s="18" t="str">
        <f>IFERROR(__xludf.DUMMYFUNCTION("""COMPUTED_VALUE"""),"Cucumber")</f>
        <v>Cucumber</v>
      </c>
      <c r="E1551" s="18">
        <f>IFERROR(__xludf.DUMMYFUNCTION("""COMPUTED_VALUE"""),1.0)</f>
        <v>1</v>
      </c>
      <c r="F1551" s="18" t="str">
        <f>IFERROR(__xludf.DUMMYFUNCTION("""COMPUTED_VALUE"""),"Manju Ajay")</f>
        <v>Manju Ajay</v>
      </c>
      <c r="G1551" s="19">
        <f>IFERROR(__xludf.DUMMYFUNCTION("""COMPUTED_VALUE"""),44975.0)</f>
        <v>44975</v>
      </c>
      <c r="H1551" s="18" t="str">
        <f>IFERROR(__xludf.DUMMYFUNCTION("""COMPUTED_VALUE"""),"UPI")</f>
        <v>UPI</v>
      </c>
      <c r="I1551" s="18" t="str">
        <f>IFERROR(__xludf.DUMMYFUNCTION("""COMPUTED_VALUE"""),"Delivered")</f>
        <v>Delivered</v>
      </c>
      <c r="J1551" s="18" t="str">
        <f>IFERROR(__xludf.DUMMYFUNCTION("""COMPUTED_VALUE"""),"Quality of Items")</f>
        <v>Quality of Items</v>
      </c>
      <c r="K1551" s="18" t="str">
        <f>IFERROR(__xludf.DUMMYFUNCTION("""COMPUTED_VALUE"""),"Perfect condition")</f>
        <v>Perfect condition</v>
      </c>
      <c r="L1551" s="18">
        <f>iferror(VLOOKUP($D1551,Details!$A$2:$C$11,2,false),vlookup($D1551,Details!$E$2:$G$11,2,false))</f>
        <v>30</v>
      </c>
      <c r="M1551" s="18" t="str">
        <f>iferror(VLOOKUP($D1551,Details!$A$2:$C$11,3,false),vlookup($D1551,Details!$E$2:$G$11,3,false))</f>
        <v>Fruits and Vegetables</v>
      </c>
      <c r="N1551" s="18">
        <f t="shared" si="1"/>
        <v>30</v>
      </c>
      <c r="O1551" s="17"/>
      <c r="P1551" s="17"/>
      <c r="Q1551" s="17"/>
      <c r="R1551" s="17"/>
      <c r="S1551" s="17"/>
      <c r="T1551" s="17"/>
      <c r="U1551" s="17"/>
      <c r="V1551" s="17"/>
      <c r="W1551" s="17"/>
      <c r="X1551" s="17"/>
      <c r="Y1551" s="17"/>
      <c r="Z1551" s="17"/>
    </row>
    <row r="1552">
      <c r="A1552" s="18" t="str">
        <f>IFERROR(__xludf.DUMMYFUNCTION("""COMPUTED_VALUE"""),"ord_71530")</f>
        <v>ord_71530</v>
      </c>
      <c r="B1552" s="18" t="str">
        <f>IFERROR(__xludf.DUMMYFUNCTION("""COMPUTED_VALUE"""),"Dev Chauhan")</f>
        <v>Dev Chauhan</v>
      </c>
      <c r="C1552" s="18" t="str">
        <f>IFERROR(__xludf.DUMMYFUNCTION("""COMPUTED_VALUE"""),"Bandra")</f>
        <v>Bandra</v>
      </c>
      <c r="D1552" s="18" t="str">
        <f>IFERROR(__xludf.DUMMYFUNCTION("""COMPUTED_VALUE"""),"Veg Puff")</f>
        <v>Veg Puff</v>
      </c>
      <c r="E1552" s="18">
        <f>IFERROR(__xludf.DUMMYFUNCTION("""COMPUTED_VALUE"""),2.0)</f>
        <v>2</v>
      </c>
      <c r="F1552" s="18" t="str">
        <f>IFERROR(__xludf.DUMMYFUNCTION("""COMPUTED_VALUE"""),"Vivek Kumar")</f>
        <v>Vivek Kumar</v>
      </c>
      <c r="G1552" s="19">
        <f>IFERROR(__xludf.DUMMYFUNCTION("""COMPUTED_VALUE"""),45153.0)</f>
        <v>45153</v>
      </c>
      <c r="H1552" s="18" t="str">
        <f>IFERROR(__xludf.DUMMYFUNCTION("""COMPUTED_VALUE"""),"Credit Card")</f>
        <v>Credit Card</v>
      </c>
      <c r="I1552" s="18" t="str">
        <f>IFERROR(__xludf.DUMMYFUNCTION("""COMPUTED_VALUE"""),"Delivered")</f>
        <v>Delivered</v>
      </c>
      <c r="J1552" s="18" t="str">
        <f>IFERROR(__xludf.DUMMYFUNCTION("""COMPUTED_VALUE"""),"Packaging")</f>
        <v>Packaging</v>
      </c>
      <c r="K1552" s="18" t="str">
        <f>IFERROR(__xludf.DUMMYFUNCTION("""COMPUTED_VALUE"""),"Secure and intact")</f>
        <v>Secure and intact</v>
      </c>
      <c r="L1552" s="18">
        <f>iferror(VLOOKUP($D1552,Details!$A$2:$C$11,2,false),vlookup($D1552,Details!$E$2:$G$11,2,false))</f>
        <v>80</v>
      </c>
      <c r="M1552" s="18" t="str">
        <f>iferror(VLOOKUP($D1552,Details!$A$2:$C$11,3,false),vlookup($D1552,Details!$E$2:$G$11,3,false))</f>
        <v>Snacks and Drinks</v>
      </c>
      <c r="N1552" s="18">
        <f t="shared" si="1"/>
        <v>160</v>
      </c>
      <c r="O1552" s="17"/>
      <c r="P1552" s="17"/>
      <c r="Q1552" s="17"/>
      <c r="R1552" s="17"/>
      <c r="S1552" s="17"/>
      <c r="T1552" s="17"/>
      <c r="U1552" s="17"/>
      <c r="V1552" s="17"/>
      <c r="W1552" s="17"/>
      <c r="X1552" s="17"/>
      <c r="Y1552" s="17"/>
      <c r="Z1552" s="17"/>
    </row>
    <row r="1553">
      <c r="A1553" s="18" t="str">
        <f>IFERROR(__xludf.DUMMYFUNCTION("""COMPUTED_VALUE"""),"ord_71531")</f>
        <v>ord_71531</v>
      </c>
      <c r="B1553" s="18" t="str">
        <f>IFERROR(__xludf.DUMMYFUNCTION("""COMPUTED_VALUE"""),"Mohit Malhotra")</f>
        <v>Mohit Malhotra</v>
      </c>
      <c r="C1553" s="18" t="str">
        <f>IFERROR(__xludf.DUMMYFUNCTION("""COMPUTED_VALUE"""),"Lower Parel")</f>
        <v>Lower Parel</v>
      </c>
      <c r="D1553" s="18" t="str">
        <f>IFERROR(__xludf.DUMMYFUNCTION("""COMPUTED_VALUE"""),"Potato")</f>
        <v>Potato</v>
      </c>
      <c r="E1553" s="18">
        <f>IFERROR(__xludf.DUMMYFUNCTION("""COMPUTED_VALUE"""),1.0)</f>
        <v>1</v>
      </c>
      <c r="F1553" s="18" t="str">
        <f>IFERROR(__xludf.DUMMYFUNCTION("""COMPUTED_VALUE"""),"Vivek Kumar")</f>
        <v>Vivek Kumar</v>
      </c>
      <c r="G1553" s="19">
        <f>IFERROR(__xludf.DUMMYFUNCTION("""COMPUTED_VALUE"""),45147.0)</f>
        <v>45147</v>
      </c>
      <c r="H1553" s="18" t="str">
        <f>IFERROR(__xludf.DUMMYFUNCTION("""COMPUTED_VALUE"""),"UPI")</f>
        <v>UPI</v>
      </c>
      <c r="I1553" s="18" t="str">
        <f>IFERROR(__xludf.DUMMYFUNCTION("""COMPUTED_VALUE"""),"Delivered")</f>
        <v>Delivered</v>
      </c>
      <c r="J1553" s="18" t="str">
        <f>IFERROR(__xludf.DUMMYFUNCTION("""COMPUTED_VALUE"""),"Satisfied with the Delivery")</f>
        <v>Satisfied with the Delivery</v>
      </c>
      <c r="K1553" s="18" t="str">
        <f>IFERROR(__xludf.DUMMYFUNCTION("""COMPUTED_VALUE"""),"Timely and quality")</f>
        <v>Timely and quality</v>
      </c>
      <c r="L1553" s="18">
        <f>iferror(VLOOKUP($D1553,Details!$A$2:$C$11,2,false),vlookup($D1553,Details!$E$2:$G$11,2,false))</f>
        <v>55</v>
      </c>
      <c r="M1553" s="18" t="str">
        <f>iferror(VLOOKUP($D1553,Details!$A$2:$C$11,3,false),vlookup($D1553,Details!$E$2:$G$11,3,false))</f>
        <v>Fruits and Vegetables</v>
      </c>
      <c r="N1553" s="18">
        <f t="shared" si="1"/>
        <v>55</v>
      </c>
      <c r="O1553" s="17"/>
      <c r="P1553" s="17"/>
      <c r="Q1553" s="17"/>
      <c r="R1553" s="17"/>
      <c r="S1553" s="17"/>
      <c r="T1553" s="17"/>
      <c r="U1553" s="17"/>
      <c r="V1553" s="17"/>
      <c r="W1553" s="17"/>
      <c r="X1553" s="17"/>
      <c r="Y1553" s="17"/>
      <c r="Z1553" s="17"/>
    </row>
    <row r="1554">
      <c r="A1554" s="18" t="str">
        <f>IFERROR(__xludf.DUMMYFUNCTION("""COMPUTED_VALUE"""),"ord_71532")</f>
        <v>ord_71532</v>
      </c>
      <c r="B1554" s="18" t="str">
        <f>IFERROR(__xludf.DUMMYFUNCTION("""COMPUTED_VALUE"""),"Omkar Mishra")</f>
        <v>Omkar Mishra</v>
      </c>
      <c r="C1554" s="18" t="str">
        <f>IFERROR(__xludf.DUMMYFUNCTION("""COMPUTED_VALUE"""),"Powai")</f>
        <v>Powai</v>
      </c>
      <c r="D1554" s="18" t="str">
        <f>IFERROR(__xludf.DUMMYFUNCTION("""COMPUTED_VALUE"""),"Cold Coffee")</f>
        <v>Cold Coffee</v>
      </c>
      <c r="E1554" s="18">
        <f>IFERROR(__xludf.DUMMYFUNCTION("""COMPUTED_VALUE"""),1.0)</f>
        <v>1</v>
      </c>
      <c r="F1554" s="18" t="str">
        <f>IFERROR(__xludf.DUMMYFUNCTION("""COMPUTED_VALUE"""),"Ram Gopal")</f>
        <v>Ram Gopal</v>
      </c>
      <c r="G1554" s="19">
        <f>IFERROR(__xludf.DUMMYFUNCTION("""COMPUTED_VALUE"""),45204.0)</f>
        <v>45204</v>
      </c>
      <c r="H1554" s="18" t="str">
        <f>IFERROR(__xludf.DUMMYFUNCTION("""COMPUTED_VALUE"""),"UPI")</f>
        <v>UPI</v>
      </c>
      <c r="I1554" s="18" t="str">
        <f>IFERROR(__xludf.DUMMYFUNCTION("""COMPUTED_VALUE"""),"Delivered")</f>
        <v>Delivered</v>
      </c>
      <c r="J1554" s="18" t="str">
        <f>IFERROR(__xludf.DUMMYFUNCTION("""COMPUTED_VALUE"""),"Customer Service")</f>
        <v>Customer Service</v>
      </c>
      <c r="K1554" s="18" t="str">
        <f>IFERROR(__xludf.DUMMYFUNCTION("""COMPUTED_VALUE"""),"Seamless and easy")</f>
        <v>Seamless and easy</v>
      </c>
      <c r="L1554" s="18">
        <f>iferror(VLOOKUP($D1554,Details!$A$2:$C$11,2,false),vlookup($D1554,Details!$E$2:$G$11,2,false))</f>
        <v>270</v>
      </c>
      <c r="M1554" s="18" t="str">
        <f>iferror(VLOOKUP($D1554,Details!$A$2:$C$11,3,false),vlookup($D1554,Details!$E$2:$G$11,3,false))</f>
        <v>Snacks and Drinks</v>
      </c>
      <c r="N1554" s="18">
        <f t="shared" si="1"/>
        <v>270</v>
      </c>
      <c r="O1554" s="17"/>
      <c r="P1554" s="17"/>
      <c r="Q1554" s="17"/>
      <c r="R1554" s="17"/>
      <c r="S1554" s="17"/>
      <c r="T1554" s="17"/>
      <c r="U1554" s="17"/>
      <c r="V1554" s="17"/>
      <c r="W1554" s="17"/>
      <c r="X1554" s="17"/>
      <c r="Y1554" s="17"/>
      <c r="Z1554" s="17"/>
    </row>
    <row r="1555">
      <c r="A1555" s="18" t="str">
        <f>IFERROR(__xludf.DUMMYFUNCTION("""COMPUTED_VALUE"""),"ord_71533")</f>
        <v>ord_71533</v>
      </c>
      <c r="B1555" s="18" t="str">
        <f>IFERROR(__xludf.DUMMYFUNCTION("""COMPUTED_VALUE"""),"Tanishq Bansal")</f>
        <v>Tanishq Bansal</v>
      </c>
      <c r="C1555" s="18" t="str">
        <f>IFERROR(__xludf.DUMMYFUNCTION("""COMPUTED_VALUE"""),"Powai")</f>
        <v>Powai</v>
      </c>
      <c r="D1555" s="18" t="str">
        <f>IFERROR(__xludf.DUMMYFUNCTION("""COMPUTED_VALUE"""),"Apple")</f>
        <v>Apple</v>
      </c>
      <c r="E1555" s="18">
        <f>IFERROR(__xludf.DUMMYFUNCTION("""COMPUTED_VALUE"""),2.0)</f>
        <v>2</v>
      </c>
      <c r="F1555" s="18" t="str">
        <f>IFERROR(__xludf.DUMMYFUNCTION("""COMPUTED_VALUE"""),"Venu R")</f>
        <v>Venu R</v>
      </c>
      <c r="G1555" s="19">
        <f>IFERROR(__xludf.DUMMYFUNCTION("""COMPUTED_VALUE"""),44963.0)</f>
        <v>44963</v>
      </c>
      <c r="H1555" s="18" t="str">
        <f>IFERROR(__xludf.DUMMYFUNCTION("""COMPUTED_VALUE"""),"Credit Card")</f>
        <v>Credit Card</v>
      </c>
      <c r="I1555" s="18" t="str">
        <f>IFERROR(__xludf.DUMMYFUNCTION("""COMPUTED_VALUE"""),"Delivered")</f>
        <v>Delivered</v>
      </c>
      <c r="J1555" s="18" t="str">
        <f>IFERROR(__xludf.DUMMYFUNCTION("""COMPUTED_VALUE"""),"Delivery Experience")</f>
        <v>Delivery Experience</v>
      </c>
      <c r="K1555" s="18" t="str">
        <f>IFERROR(__xludf.DUMMYFUNCTION("""COMPUTED_VALUE"""),"Quick and professional")</f>
        <v>Quick and professional</v>
      </c>
      <c r="L1555" s="18">
        <f>iferror(VLOOKUP($D1555,Details!$A$2:$C$11,2,false),vlookup($D1555,Details!$E$2:$G$11,2,false))</f>
        <v>230</v>
      </c>
      <c r="M1555" s="18" t="str">
        <f>iferror(VLOOKUP($D1555,Details!$A$2:$C$11,3,false),vlookup($D1555,Details!$E$2:$G$11,3,false))</f>
        <v>Fruits and Vegetables</v>
      </c>
      <c r="N1555" s="18">
        <f t="shared" si="1"/>
        <v>460</v>
      </c>
      <c r="O1555" s="17"/>
      <c r="P1555" s="17"/>
      <c r="Q1555" s="17"/>
      <c r="R1555" s="17"/>
      <c r="S1555" s="17"/>
      <c r="T1555" s="17"/>
      <c r="U1555" s="17"/>
      <c r="V1555" s="17"/>
      <c r="W1555" s="17"/>
      <c r="X1555" s="17"/>
      <c r="Y1555" s="17"/>
      <c r="Z1555" s="17"/>
    </row>
    <row r="1556">
      <c r="A1556" s="18" t="str">
        <f>IFERROR(__xludf.DUMMYFUNCTION("""COMPUTED_VALUE"""),"ord_71534")</f>
        <v>ord_71534</v>
      </c>
      <c r="B1556" s="18" t="str">
        <f>IFERROR(__xludf.DUMMYFUNCTION("""COMPUTED_VALUE"""),"Omkar Mishra")</f>
        <v>Omkar Mishra</v>
      </c>
      <c r="C1556" s="18" t="str">
        <f>IFERROR(__xludf.DUMMYFUNCTION("""COMPUTED_VALUE"""),"Powai")</f>
        <v>Powai</v>
      </c>
      <c r="D1556" s="18" t="str">
        <f>IFERROR(__xludf.DUMMYFUNCTION("""COMPUTED_VALUE"""),"Potato")</f>
        <v>Potato</v>
      </c>
      <c r="E1556" s="18">
        <f>IFERROR(__xludf.DUMMYFUNCTION("""COMPUTED_VALUE"""),2.0)</f>
        <v>2</v>
      </c>
      <c r="F1556" s="18" t="str">
        <f>IFERROR(__xludf.DUMMYFUNCTION("""COMPUTED_VALUE"""),"Venu R")</f>
        <v>Venu R</v>
      </c>
      <c r="G1556" s="19">
        <f>IFERROR(__xludf.DUMMYFUNCTION("""COMPUTED_VALUE"""),45239.0)</f>
        <v>45239</v>
      </c>
      <c r="H1556" s="18" t="str">
        <f>IFERROR(__xludf.DUMMYFUNCTION("""COMPUTED_VALUE"""),"Credit Card")</f>
        <v>Credit Card</v>
      </c>
      <c r="I1556" s="18" t="str">
        <f>IFERROR(__xludf.DUMMYFUNCTION("""COMPUTED_VALUE"""),"Delivered")</f>
        <v>Delivered</v>
      </c>
      <c r="J1556" s="18" t="str">
        <f>IFERROR(__xludf.DUMMYFUNCTION("""COMPUTED_VALUE"""),"Convenience")</f>
        <v>Convenience</v>
      </c>
      <c r="K1556" s="18" t="str">
        <f>IFERROR(__xludf.DUMMYFUNCTION("""COMPUTED_VALUE"""),"Easy tracking")</f>
        <v>Easy tracking</v>
      </c>
      <c r="L1556" s="18">
        <f>iferror(VLOOKUP($D1556,Details!$A$2:$C$11,2,false),vlookup($D1556,Details!$E$2:$G$11,2,false))</f>
        <v>55</v>
      </c>
      <c r="M1556" s="18" t="str">
        <f>iferror(VLOOKUP($D1556,Details!$A$2:$C$11,3,false),vlookup($D1556,Details!$E$2:$G$11,3,false))</f>
        <v>Fruits and Vegetables</v>
      </c>
      <c r="N1556" s="18">
        <f t="shared" si="1"/>
        <v>110</v>
      </c>
      <c r="O1556" s="17"/>
      <c r="P1556" s="17"/>
      <c r="Q1556" s="17"/>
      <c r="R1556" s="17"/>
      <c r="S1556" s="17"/>
      <c r="T1556" s="17"/>
      <c r="U1556" s="17"/>
      <c r="V1556" s="17"/>
      <c r="W1556" s="17"/>
      <c r="X1556" s="17"/>
      <c r="Y1556" s="17"/>
      <c r="Z1556" s="17"/>
    </row>
    <row r="1557">
      <c r="A1557" s="18" t="str">
        <f>IFERROR(__xludf.DUMMYFUNCTION("""COMPUTED_VALUE"""),"ord_71535")</f>
        <v>ord_71535</v>
      </c>
      <c r="B1557" s="18" t="str">
        <f>IFERROR(__xludf.DUMMYFUNCTION("""COMPUTED_VALUE"""),"Pranav Joshi")</f>
        <v>Pranav Joshi</v>
      </c>
      <c r="C1557" s="18" t="str">
        <f>IFERROR(__xludf.DUMMYFUNCTION("""COMPUTED_VALUE"""),"Andheri")</f>
        <v>Andheri</v>
      </c>
      <c r="D1557" s="18" t="str">
        <f>IFERROR(__xludf.DUMMYFUNCTION("""COMPUTED_VALUE"""),"Tiramisu")</f>
        <v>Tiramisu</v>
      </c>
      <c r="E1557" s="18">
        <f>IFERROR(__xludf.DUMMYFUNCTION("""COMPUTED_VALUE"""),5.0)</f>
        <v>5</v>
      </c>
      <c r="F1557" s="18" t="str">
        <f>IFERROR(__xludf.DUMMYFUNCTION("""COMPUTED_VALUE"""),"Venu R")</f>
        <v>Venu R</v>
      </c>
      <c r="G1557" s="19">
        <f>IFERROR(__xludf.DUMMYFUNCTION("""COMPUTED_VALUE"""),45139.0)</f>
        <v>45139</v>
      </c>
      <c r="H1557" s="18" t="str">
        <f>IFERROR(__xludf.DUMMYFUNCTION("""COMPUTED_VALUE"""),"COD")</f>
        <v>COD</v>
      </c>
      <c r="I1557" s="18" t="str">
        <f>IFERROR(__xludf.DUMMYFUNCTION("""COMPUTED_VALUE"""),"Delivered")</f>
        <v>Delivered</v>
      </c>
      <c r="J1557" s="18" t="str">
        <f>IFERROR(__xludf.DUMMYFUNCTION("""COMPUTED_VALUE"""),"Overall Satisfaction")</f>
        <v>Overall Satisfaction</v>
      </c>
      <c r="K1557" s="18" t="str">
        <f>IFERROR(__xludf.DUMMYFUNCTION("""COMPUTED_VALUE"""),"Great service will order again")</f>
        <v>Great service will order again</v>
      </c>
      <c r="L1557" s="18">
        <f>iferror(VLOOKUP($D1557,Details!$A$2:$C$11,2,false),vlookup($D1557,Details!$E$2:$G$11,2,false))</f>
        <v>150</v>
      </c>
      <c r="M1557" s="18" t="str">
        <f>iferror(VLOOKUP($D1557,Details!$A$2:$C$11,3,false),vlookup($D1557,Details!$E$2:$G$11,3,false))</f>
        <v>Snacks and Drinks</v>
      </c>
      <c r="N1557" s="18">
        <f t="shared" si="1"/>
        <v>750</v>
      </c>
      <c r="O1557" s="17"/>
      <c r="P1557" s="17"/>
      <c r="Q1557" s="17"/>
      <c r="R1557" s="17"/>
      <c r="S1557" s="17"/>
      <c r="T1557" s="17"/>
      <c r="U1557" s="17"/>
      <c r="V1557" s="17"/>
      <c r="W1557" s="17"/>
      <c r="X1557" s="17"/>
      <c r="Y1557" s="17"/>
      <c r="Z1557" s="17"/>
    </row>
    <row r="1558">
      <c r="A1558" s="18" t="str">
        <f>IFERROR(__xludf.DUMMYFUNCTION("""COMPUTED_VALUE"""),"ord_71536")</f>
        <v>ord_71536</v>
      </c>
      <c r="B1558" s="18" t="str">
        <f>IFERROR(__xludf.DUMMYFUNCTION("""COMPUTED_VALUE"""),"Ishaan Chaturvedi")</f>
        <v>Ishaan Chaturvedi</v>
      </c>
      <c r="C1558" s="18" t="str">
        <f>IFERROR(__xludf.DUMMYFUNCTION("""COMPUTED_VALUE"""),"Bandra")</f>
        <v>Bandra</v>
      </c>
      <c r="D1558" s="18" t="str">
        <f>IFERROR(__xludf.DUMMYFUNCTION("""COMPUTED_VALUE"""),"Chicken Puff")</f>
        <v>Chicken Puff</v>
      </c>
      <c r="E1558" s="18">
        <f>IFERROR(__xludf.DUMMYFUNCTION("""COMPUTED_VALUE"""),3.0)</f>
        <v>3</v>
      </c>
      <c r="F1558" s="18" t="str">
        <f>IFERROR(__xludf.DUMMYFUNCTION("""COMPUTED_VALUE"""),"Sita T")</f>
        <v>Sita T</v>
      </c>
      <c r="G1558" s="19">
        <f>IFERROR(__xludf.DUMMYFUNCTION("""COMPUTED_VALUE"""),45159.0)</f>
        <v>45159</v>
      </c>
      <c r="H1558" s="18" t="str">
        <f>IFERROR(__xludf.DUMMYFUNCTION("""COMPUTED_VALUE"""),"COD")</f>
        <v>COD</v>
      </c>
      <c r="I1558" s="18" t="str">
        <f>IFERROR(__xludf.DUMMYFUNCTION("""COMPUTED_VALUE"""),"Delivered")</f>
        <v>Delivered</v>
      </c>
      <c r="J1558" s="18" t="str">
        <f>IFERROR(__xludf.DUMMYFUNCTION("""COMPUTED_VALUE"""),"On-time Delivery")</f>
        <v>On-time Delivery</v>
      </c>
      <c r="K1558" s="18" t="str">
        <f>IFERROR(__xludf.DUMMYFUNCTION("""COMPUTED_VALUE"""),"Delivered on time")</f>
        <v>Delivered on time</v>
      </c>
      <c r="L1558" s="18">
        <f>iferror(VLOOKUP($D1558,Details!$A$2:$C$11,2,false),vlookup($D1558,Details!$E$2:$G$11,2,false))</f>
        <v>90</v>
      </c>
      <c r="M1558" s="18" t="str">
        <f>iferror(VLOOKUP($D1558,Details!$A$2:$C$11,3,false),vlookup($D1558,Details!$E$2:$G$11,3,false))</f>
        <v>Snacks and Drinks</v>
      </c>
      <c r="N1558" s="18">
        <f t="shared" si="1"/>
        <v>270</v>
      </c>
      <c r="O1558" s="17"/>
      <c r="P1558" s="17"/>
      <c r="Q1558" s="17"/>
      <c r="R1558" s="17"/>
      <c r="S1558" s="17"/>
      <c r="T1558" s="17"/>
      <c r="U1558" s="17"/>
      <c r="V1558" s="17"/>
      <c r="W1558" s="17"/>
      <c r="X1558" s="17"/>
      <c r="Y1558" s="17"/>
      <c r="Z1558" s="17"/>
    </row>
    <row r="1559">
      <c r="A1559" s="18" t="str">
        <f>IFERROR(__xludf.DUMMYFUNCTION("""COMPUTED_VALUE"""),"ord_71537")</f>
        <v>ord_71537</v>
      </c>
      <c r="B1559" s="18" t="str">
        <f>IFERROR(__xludf.DUMMYFUNCTION("""COMPUTED_VALUE"""),"Ishaan Chaturvedi")</f>
        <v>Ishaan Chaturvedi</v>
      </c>
      <c r="C1559" s="18" t="str">
        <f>IFERROR(__xludf.DUMMYFUNCTION("""COMPUTED_VALUE"""),"Bandra")</f>
        <v>Bandra</v>
      </c>
      <c r="D1559" s="18" t="str">
        <f>IFERROR(__xludf.DUMMYFUNCTION("""COMPUTED_VALUE"""),"Banana")</f>
        <v>Banana</v>
      </c>
      <c r="E1559" s="18">
        <f>IFERROR(__xludf.DUMMYFUNCTION("""COMPUTED_VALUE"""),1.0)</f>
        <v>1</v>
      </c>
      <c r="F1559" s="18" t="str">
        <f>IFERROR(__xludf.DUMMYFUNCTION("""COMPUTED_VALUE"""),"Vivek Kumar")</f>
        <v>Vivek Kumar</v>
      </c>
      <c r="G1559" s="19">
        <f>IFERROR(__xludf.DUMMYFUNCTION("""COMPUTED_VALUE"""),45200.0)</f>
        <v>45200</v>
      </c>
      <c r="H1559" s="18" t="str">
        <f>IFERROR(__xludf.DUMMYFUNCTION("""COMPUTED_VALUE"""),"Online Payment")</f>
        <v>Online Payment</v>
      </c>
      <c r="I1559" s="18" t="str">
        <f>IFERROR(__xludf.DUMMYFUNCTION("""COMPUTED_VALUE"""),"Delivered")</f>
        <v>Delivered</v>
      </c>
      <c r="J1559" s="18" t="str">
        <f>IFERROR(__xludf.DUMMYFUNCTION("""COMPUTED_VALUE"""),"Quality of Items")</f>
        <v>Quality of Items</v>
      </c>
      <c r="K1559" s="18" t="str">
        <f>IFERROR(__xludf.DUMMYFUNCTION("""COMPUTED_VALUE"""),"Perfect condition")</f>
        <v>Perfect condition</v>
      </c>
      <c r="L1559" s="18">
        <f>iferror(VLOOKUP($D1559,Details!$A$2:$C$11,2,false),vlookup($D1559,Details!$E$2:$G$11,2,false))</f>
        <v>80</v>
      </c>
      <c r="M1559" s="18" t="str">
        <f>iferror(VLOOKUP($D1559,Details!$A$2:$C$11,3,false),vlookup($D1559,Details!$E$2:$G$11,3,false))</f>
        <v>Fruits and Vegetables</v>
      </c>
      <c r="N1559" s="18">
        <f t="shared" si="1"/>
        <v>80</v>
      </c>
      <c r="O1559" s="17"/>
      <c r="P1559" s="17"/>
      <c r="Q1559" s="17"/>
      <c r="R1559" s="17"/>
      <c r="S1559" s="17"/>
      <c r="T1559" s="17"/>
      <c r="U1559" s="17"/>
      <c r="V1559" s="17"/>
      <c r="W1559" s="17"/>
      <c r="X1559" s="17"/>
      <c r="Y1559" s="17"/>
      <c r="Z1559" s="17"/>
    </row>
    <row r="1560">
      <c r="A1560" s="18" t="str">
        <f>IFERROR(__xludf.DUMMYFUNCTION("""COMPUTED_VALUE"""),"ord_71538")</f>
        <v>ord_71538</v>
      </c>
      <c r="B1560" s="18" t="str">
        <f>IFERROR(__xludf.DUMMYFUNCTION("""COMPUTED_VALUE"""),"Kritika Shetty")</f>
        <v>Kritika Shetty</v>
      </c>
      <c r="C1560" s="18" t="str">
        <f>IFERROR(__xludf.DUMMYFUNCTION("""COMPUTED_VALUE"""),"Malad")</f>
        <v>Malad</v>
      </c>
      <c r="D1560" s="18" t="str">
        <f>IFERROR(__xludf.DUMMYFUNCTION("""COMPUTED_VALUE"""),"Popcorn")</f>
        <v>Popcorn</v>
      </c>
      <c r="E1560" s="18">
        <f>IFERROR(__xludf.DUMMYFUNCTION("""COMPUTED_VALUE"""),3.0)</f>
        <v>3</v>
      </c>
      <c r="F1560" s="18" t="str">
        <f>IFERROR(__xludf.DUMMYFUNCTION("""COMPUTED_VALUE"""),"Vivek Kumar")</f>
        <v>Vivek Kumar</v>
      </c>
      <c r="G1560" s="19">
        <f>IFERROR(__xludf.DUMMYFUNCTION("""COMPUTED_VALUE"""),45240.0)</f>
        <v>45240</v>
      </c>
      <c r="H1560" s="18" t="str">
        <f>IFERROR(__xludf.DUMMYFUNCTION("""COMPUTED_VALUE"""),"Credit Card")</f>
        <v>Credit Card</v>
      </c>
      <c r="I1560" s="18" t="str">
        <f>IFERROR(__xludf.DUMMYFUNCTION("""COMPUTED_VALUE"""),"Cancelled")</f>
        <v>Cancelled</v>
      </c>
      <c r="J1560" s="18" t="str">
        <f>IFERROR(__xludf.DUMMYFUNCTION("""COMPUTED_VALUE"""),"Delayed Delivery")</f>
        <v>Delayed Delivery</v>
      </c>
      <c r="K1560" s="18" t="str">
        <f>IFERROR(__xludf.DUMMYFUNCTION("""COMPUTED_VALUE"""),"Heavy Traffic")</f>
        <v>Heavy Traffic</v>
      </c>
      <c r="L1560" s="18">
        <f>iferror(VLOOKUP($D1560,Details!$A$2:$C$11,2,false),vlookup($D1560,Details!$E$2:$G$11,2,false))</f>
        <v>150</v>
      </c>
      <c r="M1560" s="18" t="str">
        <f>iferror(VLOOKUP($D1560,Details!$A$2:$C$11,3,false),vlookup($D1560,Details!$E$2:$G$11,3,false))</f>
        <v>Snacks and Drinks</v>
      </c>
      <c r="N1560" s="18">
        <f t="shared" si="1"/>
        <v>450</v>
      </c>
      <c r="O1560" s="17"/>
      <c r="P1560" s="17"/>
      <c r="Q1560" s="17"/>
      <c r="R1560" s="17"/>
      <c r="S1560" s="17"/>
      <c r="T1560" s="17"/>
      <c r="U1560" s="17"/>
      <c r="V1560" s="17"/>
      <c r="W1560" s="17"/>
      <c r="X1560" s="17"/>
      <c r="Y1560" s="17"/>
      <c r="Z1560" s="17"/>
    </row>
    <row r="1561">
      <c r="A1561" s="18" t="str">
        <f>IFERROR(__xludf.DUMMYFUNCTION("""COMPUTED_VALUE"""),"ord_71539")</f>
        <v>ord_71539</v>
      </c>
      <c r="B1561" s="18" t="str">
        <f>IFERROR(__xludf.DUMMYFUNCTION("""COMPUTED_VALUE"""),"Pranav Joshi")</f>
        <v>Pranav Joshi</v>
      </c>
      <c r="C1561" s="18" t="str">
        <f>IFERROR(__xludf.DUMMYFUNCTION("""COMPUTED_VALUE"""),"Andheri")</f>
        <v>Andheri</v>
      </c>
      <c r="D1561" s="18" t="str">
        <f>IFERROR(__xludf.DUMMYFUNCTION("""COMPUTED_VALUE"""),"Banana")</f>
        <v>Banana</v>
      </c>
      <c r="E1561" s="18">
        <f>IFERROR(__xludf.DUMMYFUNCTION("""COMPUTED_VALUE"""),2.0)</f>
        <v>2</v>
      </c>
      <c r="F1561" s="18" t="str">
        <f>IFERROR(__xludf.DUMMYFUNCTION("""COMPUTED_VALUE"""),"Shine Thomas")</f>
        <v>Shine Thomas</v>
      </c>
      <c r="G1561" s="19">
        <f>IFERROR(__xludf.DUMMYFUNCTION("""COMPUTED_VALUE"""),45263.0)</f>
        <v>45263</v>
      </c>
      <c r="H1561" s="18" t="str">
        <f>IFERROR(__xludf.DUMMYFUNCTION("""COMPUTED_VALUE"""),"Online Payment")</f>
        <v>Online Payment</v>
      </c>
      <c r="I1561" s="18" t="str">
        <f>IFERROR(__xludf.DUMMYFUNCTION("""COMPUTED_VALUE"""),"Delivered")</f>
        <v>Delivered</v>
      </c>
      <c r="J1561" s="18" t="str">
        <f>IFERROR(__xludf.DUMMYFUNCTION("""COMPUTED_VALUE"""),"On-time Delivery")</f>
        <v>On-time Delivery</v>
      </c>
      <c r="K1561" s="18" t="str">
        <f>IFERROR(__xludf.DUMMYFUNCTION("""COMPUTED_VALUE"""),"Delivered on time")</f>
        <v>Delivered on time</v>
      </c>
      <c r="L1561" s="18">
        <f>iferror(VLOOKUP($D1561,Details!$A$2:$C$11,2,false),vlookup($D1561,Details!$E$2:$G$11,2,false))</f>
        <v>80</v>
      </c>
      <c r="M1561" s="18" t="str">
        <f>iferror(VLOOKUP($D1561,Details!$A$2:$C$11,3,false),vlookup($D1561,Details!$E$2:$G$11,3,false))</f>
        <v>Fruits and Vegetables</v>
      </c>
      <c r="N1561" s="18">
        <f t="shared" si="1"/>
        <v>160</v>
      </c>
      <c r="O1561" s="17"/>
      <c r="P1561" s="17"/>
      <c r="Q1561" s="17"/>
      <c r="R1561" s="17"/>
      <c r="S1561" s="17"/>
      <c r="T1561" s="17"/>
      <c r="U1561" s="17"/>
      <c r="V1561" s="17"/>
      <c r="W1561" s="17"/>
      <c r="X1561" s="17"/>
      <c r="Y1561" s="17"/>
      <c r="Z1561" s="17"/>
    </row>
    <row r="1562">
      <c r="A1562" s="18" t="str">
        <f>IFERROR(__xludf.DUMMYFUNCTION("""COMPUTED_VALUE"""),"ord_71540")</f>
        <v>ord_71540</v>
      </c>
      <c r="B1562" s="18" t="str">
        <f>IFERROR(__xludf.DUMMYFUNCTION("""COMPUTED_VALUE"""),"Dev Chauhan")</f>
        <v>Dev Chauhan</v>
      </c>
      <c r="C1562" s="18" t="str">
        <f>IFERROR(__xludf.DUMMYFUNCTION("""COMPUTED_VALUE"""),"Bandra")</f>
        <v>Bandra</v>
      </c>
      <c r="D1562" s="18" t="str">
        <f>IFERROR(__xludf.DUMMYFUNCTION("""COMPUTED_VALUE"""),"Icecream")</f>
        <v>Icecream</v>
      </c>
      <c r="E1562" s="18">
        <f>IFERROR(__xludf.DUMMYFUNCTION("""COMPUTED_VALUE"""),4.0)</f>
        <v>4</v>
      </c>
      <c r="F1562" s="18" t="str">
        <f>IFERROR(__xludf.DUMMYFUNCTION("""COMPUTED_VALUE"""),"Sita T")</f>
        <v>Sita T</v>
      </c>
      <c r="G1562" s="19">
        <f>IFERROR(__xludf.DUMMYFUNCTION("""COMPUTED_VALUE"""),44936.0)</f>
        <v>44936</v>
      </c>
      <c r="H1562" s="18" t="str">
        <f>IFERROR(__xludf.DUMMYFUNCTION("""COMPUTED_VALUE"""),"UPI")</f>
        <v>UPI</v>
      </c>
      <c r="I1562" s="18" t="str">
        <f>IFERROR(__xludf.DUMMYFUNCTION("""COMPUTED_VALUE"""),"Delivered")</f>
        <v>Delivered</v>
      </c>
      <c r="J1562" s="18" t="str">
        <f>IFERROR(__xludf.DUMMYFUNCTION("""COMPUTED_VALUE"""),"Quality of Items")</f>
        <v>Quality of Items</v>
      </c>
      <c r="K1562" s="18" t="str">
        <f>IFERROR(__xludf.DUMMYFUNCTION("""COMPUTED_VALUE"""),"Perfect condition")</f>
        <v>Perfect condition</v>
      </c>
      <c r="L1562" s="18">
        <f>iferror(VLOOKUP($D1562,Details!$A$2:$C$11,2,false),vlookup($D1562,Details!$E$2:$G$11,2,false))</f>
        <v>90</v>
      </c>
      <c r="M1562" s="18" t="str">
        <f>iferror(VLOOKUP($D1562,Details!$A$2:$C$11,3,false),vlookup($D1562,Details!$E$2:$G$11,3,false))</f>
        <v>Snacks and Drinks</v>
      </c>
      <c r="N1562" s="18">
        <f t="shared" si="1"/>
        <v>360</v>
      </c>
      <c r="O1562" s="17"/>
      <c r="P1562" s="17"/>
      <c r="Q1562" s="17"/>
      <c r="R1562" s="17"/>
      <c r="S1562" s="17"/>
      <c r="T1562" s="17"/>
      <c r="U1562" s="17"/>
      <c r="V1562" s="17"/>
      <c r="W1562" s="17"/>
      <c r="X1562" s="17"/>
      <c r="Y1562" s="17"/>
      <c r="Z1562" s="17"/>
    </row>
    <row r="1563">
      <c r="A1563" s="18" t="str">
        <f>IFERROR(__xludf.DUMMYFUNCTION("""COMPUTED_VALUE"""),"ord_71541")</f>
        <v>ord_71541</v>
      </c>
      <c r="B1563" s="18" t="str">
        <f>IFERROR(__xludf.DUMMYFUNCTION("""COMPUTED_VALUE"""),"Siya Reddy")</f>
        <v>Siya Reddy</v>
      </c>
      <c r="C1563" s="18" t="str">
        <f>IFERROR(__xludf.DUMMYFUNCTION("""COMPUTED_VALUE"""),"Juhu")</f>
        <v>Juhu</v>
      </c>
      <c r="D1563" s="18" t="str">
        <f>IFERROR(__xludf.DUMMYFUNCTION("""COMPUTED_VALUE"""),"Sweet Corn")</f>
        <v>Sweet Corn</v>
      </c>
      <c r="E1563" s="18">
        <f>IFERROR(__xludf.DUMMYFUNCTION("""COMPUTED_VALUE"""),1.0)</f>
        <v>1</v>
      </c>
      <c r="F1563" s="18" t="str">
        <f>IFERROR(__xludf.DUMMYFUNCTION("""COMPUTED_VALUE"""),"Tanvi Jain")</f>
        <v>Tanvi Jain</v>
      </c>
      <c r="G1563" s="19">
        <f>IFERROR(__xludf.DUMMYFUNCTION("""COMPUTED_VALUE"""),45274.0)</f>
        <v>45274</v>
      </c>
      <c r="H1563" s="18" t="str">
        <f>IFERROR(__xludf.DUMMYFUNCTION("""COMPUTED_VALUE"""),"Online Payment")</f>
        <v>Online Payment</v>
      </c>
      <c r="I1563" s="18" t="str">
        <f>IFERROR(__xludf.DUMMYFUNCTION("""COMPUTED_VALUE"""),"Delivered")</f>
        <v>Delivered</v>
      </c>
      <c r="J1563" s="18" t="str">
        <f>IFERROR(__xludf.DUMMYFUNCTION("""COMPUTED_VALUE"""),"Packaging")</f>
        <v>Packaging</v>
      </c>
      <c r="K1563" s="18" t="str">
        <f>IFERROR(__xludf.DUMMYFUNCTION("""COMPUTED_VALUE"""),"Secure and intact")</f>
        <v>Secure and intact</v>
      </c>
      <c r="L1563" s="18">
        <f>iferror(VLOOKUP($D1563,Details!$A$2:$C$11,2,false),vlookup($D1563,Details!$E$2:$G$11,2,false))</f>
        <v>60</v>
      </c>
      <c r="M1563" s="18" t="str">
        <f>iferror(VLOOKUP($D1563,Details!$A$2:$C$11,3,false),vlookup($D1563,Details!$E$2:$G$11,3,false))</f>
        <v>Fruits and Vegetables</v>
      </c>
      <c r="N1563" s="18">
        <f t="shared" si="1"/>
        <v>60</v>
      </c>
      <c r="O1563" s="17"/>
      <c r="P1563" s="17"/>
      <c r="Q1563" s="17"/>
      <c r="R1563" s="17"/>
      <c r="S1563" s="17"/>
      <c r="T1563" s="17"/>
      <c r="U1563" s="17"/>
      <c r="V1563" s="17"/>
      <c r="W1563" s="17"/>
      <c r="X1563" s="17"/>
      <c r="Y1563" s="17"/>
      <c r="Z1563" s="17"/>
    </row>
    <row r="1564">
      <c r="A1564" s="18" t="str">
        <f>IFERROR(__xludf.DUMMYFUNCTION("""COMPUTED_VALUE"""),"ord_71542")</f>
        <v>ord_71542</v>
      </c>
      <c r="B1564" s="18" t="str">
        <f>IFERROR(__xludf.DUMMYFUNCTION("""COMPUTED_VALUE"""),"Sakshi Tandon")</f>
        <v>Sakshi Tandon</v>
      </c>
      <c r="C1564" s="18" t="str">
        <f>IFERROR(__xludf.DUMMYFUNCTION("""COMPUTED_VALUE"""),"Colaba")</f>
        <v>Colaba</v>
      </c>
      <c r="D1564" s="18" t="str">
        <f>IFERROR(__xludf.DUMMYFUNCTION("""COMPUTED_VALUE"""),"Juice")</f>
        <v>Juice</v>
      </c>
      <c r="E1564" s="18">
        <f>IFERROR(__xludf.DUMMYFUNCTION("""COMPUTED_VALUE"""),1.0)</f>
        <v>1</v>
      </c>
      <c r="F1564" s="18" t="str">
        <f>IFERROR(__xludf.DUMMYFUNCTION("""COMPUTED_VALUE"""),"Nikhil Deshmukh")</f>
        <v>Nikhil Deshmukh</v>
      </c>
      <c r="G1564" s="19">
        <f>IFERROR(__xludf.DUMMYFUNCTION("""COMPUTED_VALUE"""),45233.0)</f>
        <v>45233</v>
      </c>
      <c r="H1564" s="18" t="str">
        <f>IFERROR(__xludf.DUMMYFUNCTION("""COMPUTED_VALUE"""),"Online Payment")</f>
        <v>Online Payment</v>
      </c>
      <c r="I1564" s="18" t="str">
        <f>IFERROR(__xludf.DUMMYFUNCTION("""COMPUTED_VALUE"""),"Delivered")</f>
        <v>Delivered</v>
      </c>
      <c r="J1564" s="18" t="str">
        <f>IFERROR(__xludf.DUMMYFUNCTION("""COMPUTED_VALUE"""),"Satisfied with the Delivery")</f>
        <v>Satisfied with the Delivery</v>
      </c>
      <c r="K1564" s="18" t="str">
        <f>IFERROR(__xludf.DUMMYFUNCTION("""COMPUTED_VALUE"""),"Timely and quality")</f>
        <v>Timely and quality</v>
      </c>
      <c r="L1564" s="18">
        <f>iferror(VLOOKUP($D1564,Details!$A$2:$C$11,2,false),vlookup($D1564,Details!$E$2:$G$11,2,false))</f>
        <v>90</v>
      </c>
      <c r="M1564" s="18" t="str">
        <f>iferror(VLOOKUP($D1564,Details!$A$2:$C$11,3,false),vlookup($D1564,Details!$E$2:$G$11,3,false))</f>
        <v>Snacks and Drinks</v>
      </c>
      <c r="N1564" s="18">
        <f t="shared" si="1"/>
        <v>90</v>
      </c>
      <c r="O1564" s="17"/>
      <c r="P1564" s="17"/>
      <c r="Q1564" s="17"/>
      <c r="R1564" s="17"/>
      <c r="S1564" s="17"/>
      <c r="T1564" s="17"/>
      <c r="U1564" s="17"/>
      <c r="V1564" s="17"/>
      <c r="W1564" s="17"/>
      <c r="X1564" s="17"/>
      <c r="Y1564" s="17"/>
      <c r="Z1564" s="17"/>
    </row>
    <row r="1565">
      <c r="A1565" s="18" t="str">
        <f>IFERROR(__xludf.DUMMYFUNCTION("""COMPUTED_VALUE"""),"ord_71543")</f>
        <v>ord_71543</v>
      </c>
      <c r="B1565" s="18" t="str">
        <f>IFERROR(__xludf.DUMMYFUNCTION("""COMPUTED_VALUE"""),"Aditi Iyer")</f>
        <v>Aditi Iyer</v>
      </c>
      <c r="C1565" s="18" t="str">
        <f>IFERROR(__xludf.DUMMYFUNCTION("""COMPUTED_VALUE"""),"Dadar")</f>
        <v>Dadar</v>
      </c>
      <c r="D1565" s="18" t="str">
        <f>IFERROR(__xludf.DUMMYFUNCTION("""COMPUTED_VALUE"""),"Apple")</f>
        <v>Apple</v>
      </c>
      <c r="E1565" s="18">
        <f>IFERROR(__xludf.DUMMYFUNCTION("""COMPUTED_VALUE"""),1.0)</f>
        <v>1</v>
      </c>
      <c r="F1565" s="18" t="str">
        <f>IFERROR(__xludf.DUMMYFUNCTION("""COMPUTED_VALUE"""),"Aman Kumar")</f>
        <v>Aman Kumar</v>
      </c>
      <c r="G1565" s="19">
        <f>IFERROR(__xludf.DUMMYFUNCTION("""COMPUTED_VALUE"""),45255.0)</f>
        <v>45255</v>
      </c>
      <c r="H1565" s="18" t="str">
        <f>IFERROR(__xludf.DUMMYFUNCTION("""COMPUTED_VALUE"""),"UPI")</f>
        <v>UPI</v>
      </c>
      <c r="I1565" s="18" t="str">
        <f>IFERROR(__xludf.DUMMYFUNCTION("""COMPUTED_VALUE"""),"Delivered")</f>
        <v>Delivered</v>
      </c>
      <c r="J1565" s="18" t="str">
        <f>IFERROR(__xludf.DUMMYFUNCTION("""COMPUTED_VALUE"""),"Customer Service")</f>
        <v>Customer Service</v>
      </c>
      <c r="K1565" s="18" t="str">
        <f>IFERROR(__xludf.DUMMYFUNCTION("""COMPUTED_VALUE"""),"Seamless and easy")</f>
        <v>Seamless and easy</v>
      </c>
      <c r="L1565" s="18">
        <f>iferror(VLOOKUP($D1565,Details!$A$2:$C$11,2,false),vlookup($D1565,Details!$E$2:$G$11,2,false))</f>
        <v>230</v>
      </c>
      <c r="M1565" s="18" t="str">
        <f>iferror(VLOOKUP($D1565,Details!$A$2:$C$11,3,false),vlookup($D1565,Details!$E$2:$G$11,3,false))</f>
        <v>Fruits and Vegetables</v>
      </c>
      <c r="N1565" s="18">
        <f t="shared" si="1"/>
        <v>230</v>
      </c>
      <c r="O1565" s="17"/>
      <c r="P1565" s="17"/>
      <c r="Q1565" s="17"/>
      <c r="R1565" s="17"/>
      <c r="S1565" s="17"/>
      <c r="T1565" s="17"/>
      <c r="U1565" s="17"/>
      <c r="V1565" s="17"/>
      <c r="W1565" s="17"/>
      <c r="X1565" s="17"/>
      <c r="Y1565" s="17"/>
      <c r="Z1565" s="17"/>
    </row>
    <row r="1566">
      <c r="A1566" s="18" t="str">
        <f>IFERROR(__xludf.DUMMYFUNCTION("""COMPUTED_VALUE"""),"ord_71544")</f>
        <v>ord_71544</v>
      </c>
      <c r="B1566" s="18" t="str">
        <f>IFERROR(__xludf.DUMMYFUNCTION("""COMPUTED_VALUE"""),"Arvind Kulkarni")</f>
        <v>Arvind Kulkarni</v>
      </c>
      <c r="C1566" s="18" t="str">
        <f>IFERROR(__xludf.DUMMYFUNCTION("""COMPUTED_VALUE"""),"Juhu")</f>
        <v>Juhu</v>
      </c>
      <c r="D1566" s="18" t="str">
        <f>IFERROR(__xludf.DUMMYFUNCTION("""COMPUTED_VALUE"""),"Popcorn")</f>
        <v>Popcorn</v>
      </c>
      <c r="E1566" s="18">
        <f>IFERROR(__xludf.DUMMYFUNCTION("""COMPUTED_VALUE"""),2.0)</f>
        <v>2</v>
      </c>
      <c r="F1566" s="18" t="str">
        <f>IFERROR(__xludf.DUMMYFUNCTION("""COMPUTED_VALUE"""),"Not Assigned")</f>
        <v>Not Assigned</v>
      </c>
      <c r="G1566" s="19">
        <f>IFERROR(__xludf.DUMMYFUNCTION("""COMPUTED_VALUE"""),45087.0)</f>
        <v>45087</v>
      </c>
      <c r="H1566" s="18" t="str">
        <f>IFERROR(__xludf.DUMMYFUNCTION("""COMPUTED_VALUE"""),"Credit Card")</f>
        <v>Credit Card</v>
      </c>
      <c r="I1566" s="18" t="str">
        <f>IFERROR(__xludf.DUMMYFUNCTION("""COMPUTED_VALUE"""),"Cancelled")</f>
        <v>Cancelled</v>
      </c>
      <c r="J1566" s="18" t="str">
        <f>IFERROR(__xludf.DUMMYFUNCTION("""COMPUTED_VALUE"""),"High Delivery Fees")</f>
        <v>High Delivery Fees</v>
      </c>
      <c r="K1566" s="18"/>
      <c r="L1566" s="18">
        <f>iferror(VLOOKUP($D1566,Details!$A$2:$C$11,2,false),vlookup($D1566,Details!$E$2:$G$11,2,false))</f>
        <v>150</v>
      </c>
      <c r="M1566" s="18" t="str">
        <f>iferror(VLOOKUP($D1566,Details!$A$2:$C$11,3,false),vlookup($D1566,Details!$E$2:$G$11,3,false))</f>
        <v>Snacks and Drinks</v>
      </c>
      <c r="N1566" s="18">
        <f t="shared" si="1"/>
        <v>300</v>
      </c>
      <c r="O1566" s="17"/>
      <c r="P1566" s="17"/>
      <c r="Q1566" s="17"/>
      <c r="R1566" s="17"/>
      <c r="S1566" s="17"/>
      <c r="T1566" s="17"/>
      <c r="U1566" s="17"/>
      <c r="V1566" s="17"/>
      <c r="W1566" s="17"/>
      <c r="X1566" s="17"/>
      <c r="Y1566" s="17"/>
      <c r="Z1566" s="17"/>
    </row>
    <row r="1567">
      <c r="A1567" s="18" t="str">
        <f>IFERROR(__xludf.DUMMYFUNCTION("""COMPUTED_VALUE"""),"ord_71545")</f>
        <v>ord_71545</v>
      </c>
      <c r="B1567" s="18" t="str">
        <f>IFERROR(__xludf.DUMMYFUNCTION("""COMPUTED_VALUE"""),"Sakshi Tandon")</f>
        <v>Sakshi Tandon</v>
      </c>
      <c r="C1567" s="18" t="str">
        <f>IFERROR(__xludf.DUMMYFUNCTION("""COMPUTED_VALUE"""),"Colaba")</f>
        <v>Colaba</v>
      </c>
      <c r="D1567" s="18" t="str">
        <f>IFERROR(__xludf.DUMMYFUNCTION("""COMPUTED_VALUE"""),"Rasmalai")</f>
        <v>Rasmalai</v>
      </c>
      <c r="E1567" s="18">
        <f>IFERROR(__xludf.DUMMYFUNCTION("""COMPUTED_VALUE"""),3.0)</f>
        <v>3</v>
      </c>
      <c r="F1567" s="18" t="str">
        <f>IFERROR(__xludf.DUMMYFUNCTION("""COMPUTED_VALUE"""),"Nikhil Deshmukh")</f>
        <v>Nikhil Deshmukh</v>
      </c>
      <c r="G1567" s="19">
        <f>IFERROR(__xludf.DUMMYFUNCTION("""COMPUTED_VALUE"""),45272.0)</f>
        <v>45272</v>
      </c>
      <c r="H1567" s="18" t="str">
        <f>IFERROR(__xludf.DUMMYFUNCTION("""COMPUTED_VALUE"""),"Online Payment")</f>
        <v>Online Payment</v>
      </c>
      <c r="I1567" s="18" t="str">
        <f>IFERROR(__xludf.DUMMYFUNCTION("""COMPUTED_VALUE"""),"Delivered")</f>
        <v>Delivered</v>
      </c>
      <c r="J1567" s="18" t="str">
        <f>IFERROR(__xludf.DUMMYFUNCTION("""COMPUTED_VALUE"""),"Delivery Experience")</f>
        <v>Delivery Experience</v>
      </c>
      <c r="K1567" s="18" t="str">
        <f>IFERROR(__xludf.DUMMYFUNCTION("""COMPUTED_VALUE"""),"Quick and professional")</f>
        <v>Quick and professional</v>
      </c>
      <c r="L1567" s="18">
        <f>iferror(VLOOKUP($D1567,Details!$A$2:$C$11,2,false),vlookup($D1567,Details!$E$2:$G$11,2,false))</f>
        <v>110</v>
      </c>
      <c r="M1567" s="18" t="str">
        <f>iferror(VLOOKUP($D1567,Details!$A$2:$C$11,3,false),vlookup($D1567,Details!$E$2:$G$11,3,false))</f>
        <v>Snacks and Drinks</v>
      </c>
      <c r="N1567" s="18">
        <f t="shared" si="1"/>
        <v>330</v>
      </c>
      <c r="O1567" s="17"/>
      <c r="P1567" s="17"/>
      <c r="Q1567" s="17"/>
      <c r="R1567" s="17"/>
      <c r="S1567" s="17"/>
      <c r="T1567" s="17"/>
      <c r="U1567" s="17"/>
      <c r="V1567" s="17"/>
      <c r="W1567" s="17"/>
      <c r="X1567" s="17"/>
      <c r="Y1567" s="17"/>
      <c r="Z1567" s="17"/>
    </row>
    <row r="1568">
      <c r="A1568" s="18" t="str">
        <f>IFERROR(__xludf.DUMMYFUNCTION("""COMPUTED_VALUE"""),"ord_71546")</f>
        <v>ord_71546</v>
      </c>
      <c r="B1568" s="18" t="str">
        <f>IFERROR(__xludf.DUMMYFUNCTION("""COMPUTED_VALUE"""),"Aarav Mehta")</f>
        <v>Aarav Mehta</v>
      </c>
      <c r="C1568" s="18" t="str">
        <f>IFERROR(__xludf.DUMMYFUNCTION("""COMPUTED_VALUE"""),"Andheri")</f>
        <v>Andheri</v>
      </c>
      <c r="D1568" s="18" t="str">
        <f>IFERROR(__xludf.DUMMYFUNCTION("""COMPUTED_VALUE"""),"Guava")</f>
        <v>Guava</v>
      </c>
      <c r="E1568" s="18">
        <f>IFERROR(__xludf.DUMMYFUNCTION("""COMPUTED_VALUE"""),1.0)</f>
        <v>1</v>
      </c>
      <c r="F1568" s="18" t="str">
        <f>IFERROR(__xludf.DUMMYFUNCTION("""COMPUTED_VALUE"""),"Rohan Yadav")</f>
        <v>Rohan Yadav</v>
      </c>
      <c r="G1568" s="19">
        <f>IFERROR(__xludf.DUMMYFUNCTION("""COMPUTED_VALUE"""),45271.0)</f>
        <v>45271</v>
      </c>
      <c r="H1568" s="18" t="str">
        <f>IFERROR(__xludf.DUMMYFUNCTION("""COMPUTED_VALUE"""),"UPI")</f>
        <v>UPI</v>
      </c>
      <c r="I1568" s="18" t="str">
        <f>IFERROR(__xludf.DUMMYFUNCTION("""COMPUTED_VALUE"""),"Delivered")</f>
        <v>Delivered</v>
      </c>
      <c r="J1568" s="18" t="str">
        <f>IFERROR(__xludf.DUMMYFUNCTION("""COMPUTED_VALUE"""),"Convenience")</f>
        <v>Convenience</v>
      </c>
      <c r="K1568" s="18" t="str">
        <f>IFERROR(__xludf.DUMMYFUNCTION("""COMPUTED_VALUE"""),"Easy tracking")</f>
        <v>Easy tracking</v>
      </c>
      <c r="L1568" s="18">
        <f>iferror(VLOOKUP($D1568,Details!$A$2:$C$11,2,false),vlookup($D1568,Details!$E$2:$G$11,2,false))</f>
        <v>70</v>
      </c>
      <c r="M1568" s="18" t="str">
        <f>iferror(VLOOKUP($D1568,Details!$A$2:$C$11,3,false),vlookup($D1568,Details!$E$2:$G$11,3,false))</f>
        <v>Fruits and Vegetables</v>
      </c>
      <c r="N1568" s="18">
        <f t="shared" si="1"/>
        <v>70</v>
      </c>
      <c r="O1568" s="17"/>
      <c r="P1568" s="17"/>
      <c r="Q1568" s="17"/>
      <c r="R1568" s="17"/>
      <c r="S1568" s="17"/>
      <c r="T1568" s="17"/>
      <c r="U1568" s="17"/>
      <c r="V1568" s="17"/>
      <c r="W1568" s="17"/>
      <c r="X1568" s="17"/>
      <c r="Y1568" s="17"/>
      <c r="Z1568" s="17"/>
    </row>
    <row r="1569">
      <c r="A1569" s="18" t="str">
        <f>IFERROR(__xludf.DUMMYFUNCTION("""COMPUTED_VALUE"""),"ord_71547")</f>
        <v>ord_71547</v>
      </c>
      <c r="B1569" s="18" t="str">
        <f>IFERROR(__xludf.DUMMYFUNCTION("""COMPUTED_VALUE"""),"Sanjay Nair")</f>
        <v>Sanjay Nair</v>
      </c>
      <c r="C1569" s="18" t="str">
        <f>IFERROR(__xludf.DUMMYFUNCTION("""COMPUTED_VALUE"""),"Dadar")</f>
        <v>Dadar</v>
      </c>
      <c r="D1569" s="18" t="str">
        <f>IFERROR(__xludf.DUMMYFUNCTION("""COMPUTED_VALUE"""),"Sweet Corn")</f>
        <v>Sweet Corn</v>
      </c>
      <c r="E1569" s="18">
        <f>IFERROR(__xludf.DUMMYFUNCTION("""COMPUTED_VALUE"""),2.0)</f>
        <v>2</v>
      </c>
      <c r="F1569" s="18" t="str">
        <f>IFERROR(__xludf.DUMMYFUNCTION("""COMPUTED_VALUE"""),"Aman Kumar")</f>
        <v>Aman Kumar</v>
      </c>
      <c r="G1569" s="19">
        <f>IFERROR(__xludf.DUMMYFUNCTION("""COMPUTED_VALUE"""),45286.0)</f>
        <v>45286</v>
      </c>
      <c r="H1569" s="18" t="str">
        <f>IFERROR(__xludf.DUMMYFUNCTION("""COMPUTED_VALUE"""),"Online Payment")</f>
        <v>Online Payment</v>
      </c>
      <c r="I1569" s="18" t="str">
        <f>IFERROR(__xludf.DUMMYFUNCTION("""COMPUTED_VALUE"""),"Delivered")</f>
        <v>Delivered</v>
      </c>
      <c r="J1569" s="18" t="str">
        <f>IFERROR(__xludf.DUMMYFUNCTION("""COMPUTED_VALUE"""),"Overall Satisfaction")</f>
        <v>Overall Satisfaction</v>
      </c>
      <c r="K1569" s="18" t="str">
        <f>IFERROR(__xludf.DUMMYFUNCTION("""COMPUTED_VALUE"""),"Great service will order again")</f>
        <v>Great service will order again</v>
      </c>
      <c r="L1569" s="18">
        <f>iferror(VLOOKUP($D1569,Details!$A$2:$C$11,2,false),vlookup($D1569,Details!$E$2:$G$11,2,false))</f>
        <v>60</v>
      </c>
      <c r="M1569" s="18" t="str">
        <f>iferror(VLOOKUP($D1569,Details!$A$2:$C$11,3,false),vlookup($D1569,Details!$E$2:$G$11,3,false))</f>
        <v>Fruits and Vegetables</v>
      </c>
      <c r="N1569" s="18">
        <f t="shared" si="1"/>
        <v>120</v>
      </c>
      <c r="O1569" s="17"/>
      <c r="P1569" s="17"/>
      <c r="Q1569" s="17"/>
      <c r="R1569" s="17"/>
      <c r="S1569" s="17"/>
      <c r="T1569" s="17"/>
      <c r="U1569" s="17"/>
      <c r="V1569" s="17"/>
      <c r="W1569" s="17"/>
      <c r="X1569" s="17"/>
      <c r="Y1569" s="17"/>
      <c r="Z1569" s="17"/>
    </row>
    <row r="1570">
      <c r="A1570" s="18" t="str">
        <f>IFERROR(__xludf.DUMMYFUNCTION("""COMPUTED_VALUE"""),"ord_71548")</f>
        <v>ord_71548</v>
      </c>
      <c r="B1570" s="18" t="str">
        <f>IFERROR(__xludf.DUMMYFUNCTION("""COMPUTED_VALUE"""),"Ishaan Chaturvedi")</f>
        <v>Ishaan Chaturvedi</v>
      </c>
      <c r="C1570" s="18" t="str">
        <f>IFERROR(__xludf.DUMMYFUNCTION("""COMPUTED_VALUE"""),"Bandra")</f>
        <v>Bandra</v>
      </c>
      <c r="D1570" s="18" t="str">
        <f>IFERROR(__xludf.DUMMYFUNCTION("""COMPUTED_VALUE"""),"Cucumber")</f>
        <v>Cucumber</v>
      </c>
      <c r="E1570" s="18">
        <f>IFERROR(__xludf.DUMMYFUNCTION("""COMPUTED_VALUE"""),1.0)</f>
        <v>1</v>
      </c>
      <c r="F1570" s="18" t="str">
        <f>IFERROR(__xludf.DUMMYFUNCTION("""COMPUTED_VALUE"""),"Priya Joshi")</f>
        <v>Priya Joshi</v>
      </c>
      <c r="G1570" s="19">
        <f>IFERROR(__xludf.DUMMYFUNCTION("""COMPUTED_VALUE"""),45066.0)</f>
        <v>45066</v>
      </c>
      <c r="H1570" s="18" t="str">
        <f>IFERROR(__xludf.DUMMYFUNCTION("""COMPUTED_VALUE"""),"Credit Card")</f>
        <v>Credit Card</v>
      </c>
      <c r="I1570" s="18" t="str">
        <f>IFERROR(__xludf.DUMMYFUNCTION("""COMPUTED_VALUE"""),"Delivered")</f>
        <v>Delivered</v>
      </c>
      <c r="J1570" s="18" t="str">
        <f>IFERROR(__xludf.DUMMYFUNCTION("""COMPUTED_VALUE"""),"On-time Delivery")</f>
        <v>On-time Delivery</v>
      </c>
      <c r="K1570" s="18" t="str">
        <f>IFERROR(__xludf.DUMMYFUNCTION("""COMPUTED_VALUE"""),"Delivered on time")</f>
        <v>Delivered on time</v>
      </c>
      <c r="L1570" s="18">
        <f>iferror(VLOOKUP($D1570,Details!$A$2:$C$11,2,false),vlookup($D1570,Details!$E$2:$G$11,2,false))</f>
        <v>30</v>
      </c>
      <c r="M1570" s="18" t="str">
        <f>iferror(VLOOKUP($D1570,Details!$A$2:$C$11,3,false),vlookup($D1570,Details!$E$2:$G$11,3,false))</f>
        <v>Fruits and Vegetables</v>
      </c>
      <c r="N1570" s="18">
        <f t="shared" si="1"/>
        <v>30</v>
      </c>
      <c r="O1570" s="17"/>
      <c r="P1570" s="17"/>
      <c r="Q1570" s="17"/>
      <c r="R1570" s="17"/>
      <c r="S1570" s="17"/>
      <c r="T1570" s="17"/>
      <c r="U1570" s="17"/>
      <c r="V1570" s="17"/>
      <c r="W1570" s="17"/>
      <c r="X1570" s="17"/>
      <c r="Y1570" s="17"/>
      <c r="Z1570" s="17"/>
    </row>
    <row r="1571">
      <c r="A1571" s="18" t="str">
        <f>IFERROR(__xludf.DUMMYFUNCTION("""COMPUTED_VALUE"""),"ord_71549")</f>
        <v>ord_71549</v>
      </c>
      <c r="B1571" s="18" t="str">
        <f>IFERROR(__xludf.DUMMYFUNCTION("""COMPUTED_VALUE"""),"Aditi Iyer")</f>
        <v>Aditi Iyer</v>
      </c>
      <c r="C1571" s="18" t="str">
        <f>IFERROR(__xludf.DUMMYFUNCTION("""COMPUTED_VALUE"""),"Dadar")</f>
        <v>Dadar</v>
      </c>
      <c r="D1571" s="18" t="str">
        <f>IFERROR(__xludf.DUMMYFUNCTION("""COMPUTED_VALUE"""),"Sweet Corn")</f>
        <v>Sweet Corn</v>
      </c>
      <c r="E1571" s="18">
        <f>IFERROR(__xludf.DUMMYFUNCTION("""COMPUTED_VALUE"""),1.0)</f>
        <v>1</v>
      </c>
      <c r="F1571" s="18" t="str">
        <f>IFERROR(__xludf.DUMMYFUNCTION("""COMPUTED_VALUE"""),"Aman Kumar")</f>
        <v>Aman Kumar</v>
      </c>
      <c r="G1571" s="19">
        <f>IFERROR(__xludf.DUMMYFUNCTION("""COMPUTED_VALUE"""),44990.0)</f>
        <v>44990</v>
      </c>
      <c r="H1571" s="18" t="str">
        <f>IFERROR(__xludf.DUMMYFUNCTION("""COMPUTED_VALUE"""),"Online Payment")</f>
        <v>Online Payment</v>
      </c>
      <c r="I1571" s="18" t="str">
        <f>IFERROR(__xludf.DUMMYFUNCTION("""COMPUTED_VALUE"""),"Delivered")</f>
        <v>Delivered</v>
      </c>
      <c r="J1571" s="18" t="str">
        <f>IFERROR(__xludf.DUMMYFUNCTION("""COMPUTED_VALUE"""),"Quality of Items")</f>
        <v>Quality of Items</v>
      </c>
      <c r="K1571" s="18" t="str">
        <f>IFERROR(__xludf.DUMMYFUNCTION("""COMPUTED_VALUE"""),"Perfect condition")</f>
        <v>Perfect condition</v>
      </c>
      <c r="L1571" s="18">
        <f>iferror(VLOOKUP($D1571,Details!$A$2:$C$11,2,false),vlookup($D1571,Details!$E$2:$G$11,2,false))</f>
        <v>60</v>
      </c>
      <c r="M1571" s="18" t="str">
        <f>iferror(VLOOKUP($D1571,Details!$A$2:$C$11,3,false),vlookup($D1571,Details!$E$2:$G$11,3,false))</f>
        <v>Fruits and Vegetables</v>
      </c>
      <c r="N1571" s="18">
        <f t="shared" si="1"/>
        <v>60</v>
      </c>
      <c r="O1571" s="17"/>
      <c r="P1571" s="17"/>
      <c r="Q1571" s="17"/>
      <c r="R1571" s="17"/>
      <c r="S1571" s="17"/>
      <c r="T1571" s="17"/>
      <c r="U1571" s="17"/>
      <c r="V1571" s="17"/>
      <c r="W1571" s="17"/>
      <c r="X1571" s="17"/>
      <c r="Y1571" s="17"/>
      <c r="Z1571" s="17"/>
    </row>
    <row r="1572">
      <c r="A1572" s="18" t="str">
        <f>IFERROR(__xludf.DUMMYFUNCTION("""COMPUTED_VALUE"""),"ord_71550")</f>
        <v>ord_71550</v>
      </c>
      <c r="B1572" s="18" t="str">
        <f>IFERROR(__xludf.DUMMYFUNCTION("""COMPUTED_VALUE"""),"Anaya Rao")</f>
        <v>Anaya Rao</v>
      </c>
      <c r="C1572" s="18" t="str">
        <f>IFERROR(__xludf.DUMMYFUNCTION("""COMPUTED_VALUE"""),"Colaba")</f>
        <v>Colaba</v>
      </c>
      <c r="D1572" s="18" t="str">
        <f>IFERROR(__xludf.DUMMYFUNCTION("""COMPUTED_VALUE"""),"Juice")</f>
        <v>Juice</v>
      </c>
      <c r="E1572" s="18">
        <f>IFERROR(__xludf.DUMMYFUNCTION("""COMPUTED_VALUE"""),3.0)</f>
        <v>3</v>
      </c>
      <c r="F1572" s="18" t="str">
        <f>IFERROR(__xludf.DUMMYFUNCTION("""COMPUTED_VALUE"""),"Nikhil Deshmukh")</f>
        <v>Nikhil Deshmukh</v>
      </c>
      <c r="G1572" s="19">
        <f>IFERROR(__xludf.DUMMYFUNCTION("""COMPUTED_VALUE"""),45061.0)</f>
        <v>45061</v>
      </c>
      <c r="H1572" s="18" t="str">
        <f>IFERROR(__xludf.DUMMYFUNCTION("""COMPUTED_VALUE"""),"UPI")</f>
        <v>UPI</v>
      </c>
      <c r="I1572" s="18" t="str">
        <f>IFERROR(__xludf.DUMMYFUNCTION("""COMPUTED_VALUE"""),"Delivered")</f>
        <v>Delivered</v>
      </c>
      <c r="J1572" s="18" t="str">
        <f>IFERROR(__xludf.DUMMYFUNCTION("""COMPUTED_VALUE"""),"On-time Delivery")</f>
        <v>On-time Delivery</v>
      </c>
      <c r="K1572" s="18" t="str">
        <f>IFERROR(__xludf.DUMMYFUNCTION("""COMPUTED_VALUE"""),"Delivered on time")</f>
        <v>Delivered on time</v>
      </c>
      <c r="L1572" s="18">
        <f>iferror(VLOOKUP($D1572,Details!$A$2:$C$11,2,false),vlookup($D1572,Details!$E$2:$G$11,2,false))</f>
        <v>90</v>
      </c>
      <c r="M1572" s="18" t="str">
        <f>iferror(VLOOKUP($D1572,Details!$A$2:$C$11,3,false),vlookup($D1572,Details!$E$2:$G$11,3,false))</f>
        <v>Snacks and Drinks</v>
      </c>
      <c r="N1572" s="18">
        <f t="shared" si="1"/>
        <v>270</v>
      </c>
      <c r="O1572" s="17"/>
      <c r="P1572" s="17"/>
      <c r="Q1572" s="17"/>
      <c r="R1572" s="17"/>
      <c r="S1572" s="17"/>
      <c r="T1572" s="17"/>
      <c r="U1572" s="17"/>
      <c r="V1572" s="17"/>
      <c r="W1572" s="17"/>
      <c r="X1572" s="17"/>
      <c r="Y1572" s="17"/>
      <c r="Z1572" s="17"/>
    </row>
    <row r="1573">
      <c r="A1573" s="18" t="str">
        <f>IFERROR(__xludf.DUMMYFUNCTION("""COMPUTED_VALUE"""),"ord_71551")</f>
        <v>ord_71551</v>
      </c>
      <c r="B1573" s="18" t="str">
        <f>IFERROR(__xludf.DUMMYFUNCTION("""COMPUTED_VALUE"""),"Ishaan Chaturvedi")</f>
        <v>Ishaan Chaturvedi</v>
      </c>
      <c r="C1573" s="18" t="str">
        <f>IFERROR(__xludf.DUMMYFUNCTION("""COMPUTED_VALUE"""),"Bandra")</f>
        <v>Bandra</v>
      </c>
      <c r="D1573" s="18" t="str">
        <f>IFERROR(__xludf.DUMMYFUNCTION("""COMPUTED_VALUE"""),"Papaya")</f>
        <v>Papaya</v>
      </c>
      <c r="E1573" s="18">
        <f>IFERROR(__xludf.DUMMYFUNCTION("""COMPUTED_VALUE"""),2.0)</f>
        <v>2</v>
      </c>
      <c r="F1573" s="18" t="str">
        <f>IFERROR(__xludf.DUMMYFUNCTION("""COMPUTED_VALUE"""),"Priya Joshi")</f>
        <v>Priya Joshi</v>
      </c>
      <c r="G1573" s="19">
        <f>IFERROR(__xludf.DUMMYFUNCTION("""COMPUTED_VALUE"""),45150.0)</f>
        <v>45150</v>
      </c>
      <c r="H1573" s="18" t="str">
        <f>IFERROR(__xludf.DUMMYFUNCTION("""COMPUTED_VALUE"""),"UPI")</f>
        <v>UPI</v>
      </c>
      <c r="I1573" s="18" t="str">
        <f>IFERROR(__xludf.DUMMYFUNCTION("""COMPUTED_VALUE"""),"Delivered")</f>
        <v>Delivered</v>
      </c>
      <c r="J1573" s="18" t="str">
        <f>IFERROR(__xludf.DUMMYFUNCTION("""COMPUTED_VALUE"""),"Quality of Items")</f>
        <v>Quality of Items</v>
      </c>
      <c r="K1573" s="18" t="str">
        <f>IFERROR(__xludf.DUMMYFUNCTION("""COMPUTED_VALUE"""),"Perfect condition")</f>
        <v>Perfect condition</v>
      </c>
      <c r="L1573" s="18">
        <f>iferror(VLOOKUP($D1573,Details!$A$2:$C$11,2,false),vlookup($D1573,Details!$E$2:$G$11,2,false))</f>
        <v>75</v>
      </c>
      <c r="M1573" s="18" t="str">
        <f>iferror(VLOOKUP($D1573,Details!$A$2:$C$11,3,false),vlookup($D1573,Details!$E$2:$G$11,3,false))</f>
        <v>Fruits and Vegetables</v>
      </c>
      <c r="N1573" s="18">
        <f t="shared" si="1"/>
        <v>150</v>
      </c>
      <c r="O1573" s="17"/>
      <c r="P1573" s="17"/>
      <c r="Q1573" s="17"/>
      <c r="R1573" s="17"/>
      <c r="S1573" s="17"/>
      <c r="T1573" s="17"/>
      <c r="U1573" s="17"/>
      <c r="V1573" s="17"/>
      <c r="W1573" s="17"/>
      <c r="X1573" s="17"/>
      <c r="Y1573" s="17"/>
      <c r="Z1573" s="17"/>
    </row>
    <row r="1574">
      <c r="A1574" s="18" t="str">
        <f>IFERROR(__xludf.DUMMYFUNCTION("""COMPUTED_VALUE"""),"ord_71552")</f>
        <v>ord_71552</v>
      </c>
      <c r="B1574" s="18" t="str">
        <f>IFERROR(__xludf.DUMMYFUNCTION("""COMPUTED_VALUE"""),"Diya Arora")</f>
        <v>Diya Arora</v>
      </c>
      <c r="C1574" s="18" t="str">
        <f>IFERROR(__xludf.DUMMYFUNCTION("""COMPUTED_VALUE"""),"Lower Parel")</f>
        <v>Lower Parel</v>
      </c>
      <c r="D1574" s="18" t="str">
        <f>IFERROR(__xludf.DUMMYFUNCTION("""COMPUTED_VALUE"""),"Sweet Corn")</f>
        <v>Sweet Corn</v>
      </c>
      <c r="E1574" s="18">
        <f>IFERROR(__xludf.DUMMYFUNCTION("""COMPUTED_VALUE"""),1.0)</f>
        <v>1</v>
      </c>
      <c r="F1574" s="18" t="str">
        <f>IFERROR(__xludf.DUMMYFUNCTION("""COMPUTED_VALUE"""),"Kiran Mehta")</f>
        <v>Kiran Mehta</v>
      </c>
      <c r="G1574" s="19">
        <f>IFERROR(__xludf.DUMMYFUNCTION("""COMPUTED_VALUE"""),45002.0)</f>
        <v>45002</v>
      </c>
      <c r="H1574" s="18" t="str">
        <f>IFERROR(__xludf.DUMMYFUNCTION("""COMPUTED_VALUE"""),"UPI")</f>
        <v>UPI</v>
      </c>
      <c r="I1574" s="18" t="str">
        <f>IFERROR(__xludf.DUMMYFUNCTION("""COMPUTED_VALUE"""),"Delivered")</f>
        <v>Delivered</v>
      </c>
      <c r="J1574" s="18" t="str">
        <f>IFERROR(__xludf.DUMMYFUNCTION("""COMPUTED_VALUE"""),"Packaging")</f>
        <v>Packaging</v>
      </c>
      <c r="K1574" s="18" t="str">
        <f>IFERROR(__xludf.DUMMYFUNCTION("""COMPUTED_VALUE"""),"Secure and intact")</f>
        <v>Secure and intact</v>
      </c>
      <c r="L1574" s="18">
        <f>iferror(VLOOKUP($D1574,Details!$A$2:$C$11,2,false),vlookup($D1574,Details!$E$2:$G$11,2,false))</f>
        <v>60</v>
      </c>
      <c r="M1574" s="18" t="str">
        <f>iferror(VLOOKUP($D1574,Details!$A$2:$C$11,3,false),vlookup($D1574,Details!$E$2:$G$11,3,false))</f>
        <v>Fruits and Vegetables</v>
      </c>
      <c r="N1574" s="18">
        <f t="shared" si="1"/>
        <v>60</v>
      </c>
      <c r="O1574" s="17"/>
      <c r="P1574" s="17"/>
      <c r="Q1574" s="17"/>
      <c r="R1574" s="17"/>
      <c r="S1574" s="17"/>
      <c r="T1574" s="17"/>
      <c r="U1574" s="17"/>
      <c r="V1574" s="17"/>
      <c r="W1574" s="17"/>
      <c r="X1574" s="17"/>
      <c r="Y1574" s="17"/>
      <c r="Z1574" s="17"/>
    </row>
    <row r="1575">
      <c r="A1575" s="18" t="str">
        <f>IFERROR(__xludf.DUMMYFUNCTION("""COMPUTED_VALUE"""),"ord_71553")</f>
        <v>ord_71553</v>
      </c>
      <c r="B1575" s="18" t="str">
        <f>IFERROR(__xludf.DUMMYFUNCTION("""COMPUTED_VALUE"""),"Arvind Kulkarni")</f>
        <v>Arvind Kulkarni</v>
      </c>
      <c r="C1575" s="18" t="str">
        <f>IFERROR(__xludf.DUMMYFUNCTION("""COMPUTED_VALUE"""),"Juhu")</f>
        <v>Juhu</v>
      </c>
      <c r="D1575" s="18" t="str">
        <f>IFERROR(__xludf.DUMMYFUNCTION("""COMPUTED_VALUE"""),"Onion")</f>
        <v>Onion</v>
      </c>
      <c r="E1575" s="18">
        <f>IFERROR(__xludf.DUMMYFUNCTION("""COMPUTED_VALUE"""),2.0)</f>
        <v>2</v>
      </c>
      <c r="F1575" s="18" t="str">
        <f>IFERROR(__xludf.DUMMYFUNCTION("""COMPUTED_VALUE"""),"Not Assigned")</f>
        <v>Not Assigned</v>
      </c>
      <c r="G1575" s="19">
        <f>IFERROR(__xludf.DUMMYFUNCTION("""COMPUTED_VALUE"""),45155.0)</f>
        <v>45155</v>
      </c>
      <c r="H1575" s="18" t="str">
        <f>IFERROR(__xludf.DUMMYFUNCTION("""COMPUTED_VALUE"""),"Credit Card")</f>
        <v>Credit Card</v>
      </c>
      <c r="I1575" s="18" t="str">
        <f>IFERROR(__xludf.DUMMYFUNCTION("""COMPUTED_VALUE"""),"Cancelled")</f>
        <v>Cancelled</v>
      </c>
      <c r="J1575" s="18" t="str">
        <f>IFERROR(__xludf.DUMMYFUNCTION("""COMPUTED_VALUE"""),"App Glitches")</f>
        <v>App Glitches</v>
      </c>
      <c r="K1575" s="18" t="str">
        <f>IFERROR(__xludf.DUMMYFUNCTION("""COMPUTED_VALUE"""),"Missing Content")</f>
        <v>Missing Content</v>
      </c>
      <c r="L1575" s="18">
        <f>iferror(VLOOKUP($D1575,Details!$A$2:$C$11,2,false),vlookup($D1575,Details!$E$2:$G$11,2,false))</f>
        <v>84</v>
      </c>
      <c r="M1575" s="18" t="str">
        <f>iferror(VLOOKUP($D1575,Details!$A$2:$C$11,3,false),vlookup($D1575,Details!$E$2:$G$11,3,false))</f>
        <v>Fruits and Vegetables</v>
      </c>
      <c r="N1575" s="18">
        <f t="shared" si="1"/>
        <v>168</v>
      </c>
      <c r="O1575" s="17"/>
      <c r="P1575" s="17"/>
      <c r="Q1575" s="17"/>
      <c r="R1575" s="17"/>
      <c r="S1575" s="17"/>
      <c r="T1575" s="17"/>
      <c r="U1575" s="17"/>
      <c r="V1575" s="17"/>
      <c r="W1575" s="17"/>
      <c r="X1575" s="17"/>
      <c r="Y1575" s="17"/>
      <c r="Z1575" s="17"/>
    </row>
    <row r="1576">
      <c r="A1576" s="18" t="str">
        <f>IFERROR(__xludf.DUMMYFUNCTION("""COMPUTED_VALUE"""),"ord_71554")</f>
        <v>ord_71554</v>
      </c>
      <c r="B1576" s="18" t="str">
        <f>IFERROR(__xludf.DUMMYFUNCTION("""COMPUTED_VALUE"""),"Pallavi Ghosh")</f>
        <v>Pallavi Ghosh</v>
      </c>
      <c r="C1576" s="18" t="str">
        <f>IFERROR(__xludf.DUMMYFUNCTION("""COMPUTED_VALUE"""),"Bandra")</f>
        <v>Bandra</v>
      </c>
      <c r="D1576" s="18" t="str">
        <f>IFERROR(__xludf.DUMMYFUNCTION("""COMPUTED_VALUE"""),"Cucumber")</f>
        <v>Cucumber</v>
      </c>
      <c r="E1576" s="18">
        <f>IFERROR(__xludf.DUMMYFUNCTION("""COMPUTED_VALUE"""),2.0)</f>
        <v>2</v>
      </c>
      <c r="F1576" s="18" t="str">
        <f>IFERROR(__xludf.DUMMYFUNCTION("""COMPUTED_VALUE"""),"Priya Joshi")</f>
        <v>Priya Joshi</v>
      </c>
      <c r="G1576" s="19">
        <f>IFERROR(__xludf.DUMMYFUNCTION("""COMPUTED_VALUE"""),44958.0)</f>
        <v>44958</v>
      </c>
      <c r="H1576" s="18" t="str">
        <f>IFERROR(__xludf.DUMMYFUNCTION("""COMPUTED_VALUE"""),"UPI")</f>
        <v>UPI</v>
      </c>
      <c r="I1576" s="18" t="str">
        <f>IFERROR(__xludf.DUMMYFUNCTION("""COMPUTED_VALUE"""),"Delivered")</f>
        <v>Delivered</v>
      </c>
      <c r="J1576" s="18" t="str">
        <f>IFERROR(__xludf.DUMMYFUNCTION("""COMPUTED_VALUE"""),"Satisfied with the Delivery")</f>
        <v>Satisfied with the Delivery</v>
      </c>
      <c r="K1576" s="18" t="str">
        <f>IFERROR(__xludf.DUMMYFUNCTION("""COMPUTED_VALUE"""),"Timely and quality")</f>
        <v>Timely and quality</v>
      </c>
      <c r="L1576" s="18">
        <f>iferror(VLOOKUP($D1576,Details!$A$2:$C$11,2,false),vlookup($D1576,Details!$E$2:$G$11,2,false))</f>
        <v>30</v>
      </c>
      <c r="M1576" s="18" t="str">
        <f>iferror(VLOOKUP($D1576,Details!$A$2:$C$11,3,false),vlookup($D1576,Details!$E$2:$G$11,3,false))</f>
        <v>Fruits and Vegetables</v>
      </c>
      <c r="N1576" s="18">
        <f t="shared" si="1"/>
        <v>60</v>
      </c>
      <c r="O1576" s="17"/>
      <c r="P1576" s="17"/>
      <c r="Q1576" s="17"/>
      <c r="R1576" s="17"/>
      <c r="S1576" s="17"/>
      <c r="T1576" s="17"/>
      <c r="U1576" s="17"/>
      <c r="V1576" s="17"/>
      <c r="W1576" s="17"/>
      <c r="X1576" s="17"/>
      <c r="Y1576" s="17"/>
      <c r="Z1576" s="17"/>
    </row>
    <row r="1577">
      <c r="A1577" s="18" t="str">
        <f>IFERROR(__xludf.DUMMYFUNCTION("""COMPUTED_VALUE"""),"ord_71555")</f>
        <v>ord_71555</v>
      </c>
      <c r="B1577" s="18" t="str">
        <f>IFERROR(__xludf.DUMMYFUNCTION("""COMPUTED_VALUE"""),"Diya Arora")</f>
        <v>Diya Arora</v>
      </c>
      <c r="C1577" s="18" t="str">
        <f>IFERROR(__xludf.DUMMYFUNCTION("""COMPUTED_VALUE"""),"Lower Parel")</f>
        <v>Lower Parel</v>
      </c>
      <c r="D1577" s="18" t="str">
        <f>IFERROR(__xludf.DUMMYFUNCTION("""COMPUTED_VALUE"""),"Chicken Puff")</f>
        <v>Chicken Puff</v>
      </c>
      <c r="E1577" s="18">
        <f>IFERROR(__xludf.DUMMYFUNCTION("""COMPUTED_VALUE"""),2.0)</f>
        <v>2</v>
      </c>
      <c r="F1577" s="18" t="str">
        <f>IFERROR(__xludf.DUMMYFUNCTION("""COMPUTED_VALUE"""),"Kiran Mehta")</f>
        <v>Kiran Mehta</v>
      </c>
      <c r="G1577" s="19">
        <f>IFERROR(__xludf.DUMMYFUNCTION("""COMPUTED_VALUE"""),45205.0)</f>
        <v>45205</v>
      </c>
      <c r="H1577" s="18" t="str">
        <f>IFERROR(__xludf.DUMMYFUNCTION("""COMPUTED_VALUE"""),"UPI")</f>
        <v>UPI</v>
      </c>
      <c r="I1577" s="18" t="str">
        <f>IFERROR(__xludf.DUMMYFUNCTION("""COMPUTED_VALUE"""),"Delivered")</f>
        <v>Delivered</v>
      </c>
      <c r="J1577" s="18" t="str">
        <f>IFERROR(__xludf.DUMMYFUNCTION("""COMPUTED_VALUE"""),"Customer Service")</f>
        <v>Customer Service</v>
      </c>
      <c r="K1577" s="18" t="str">
        <f>IFERROR(__xludf.DUMMYFUNCTION("""COMPUTED_VALUE"""),"Seamless and easy")</f>
        <v>Seamless and easy</v>
      </c>
      <c r="L1577" s="18">
        <f>iferror(VLOOKUP($D1577,Details!$A$2:$C$11,2,false),vlookup($D1577,Details!$E$2:$G$11,2,false))</f>
        <v>90</v>
      </c>
      <c r="M1577" s="18" t="str">
        <f>iferror(VLOOKUP($D1577,Details!$A$2:$C$11,3,false),vlookup($D1577,Details!$E$2:$G$11,3,false))</f>
        <v>Snacks and Drinks</v>
      </c>
      <c r="N1577" s="18">
        <f t="shared" si="1"/>
        <v>180</v>
      </c>
      <c r="O1577" s="17"/>
      <c r="P1577" s="17"/>
      <c r="Q1577" s="17"/>
      <c r="R1577" s="17"/>
      <c r="S1577" s="17"/>
      <c r="T1577" s="17"/>
      <c r="U1577" s="17"/>
      <c r="V1577" s="17"/>
      <c r="W1577" s="17"/>
      <c r="X1577" s="17"/>
      <c r="Y1577" s="17"/>
      <c r="Z1577" s="17"/>
    </row>
    <row r="1578">
      <c r="A1578" s="18" t="str">
        <f>IFERROR(__xludf.DUMMYFUNCTION("""COMPUTED_VALUE"""),"ord_71556")</f>
        <v>ord_71556</v>
      </c>
      <c r="B1578" s="18" t="str">
        <f>IFERROR(__xludf.DUMMYFUNCTION("""COMPUTED_VALUE"""),"Mehul Thakkar")</f>
        <v>Mehul Thakkar</v>
      </c>
      <c r="C1578" s="18" t="str">
        <f>IFERROR(__xludf.DUMMYFUNCTION("""COMPUTED_VALUE"""),"Malad")</f>
        <v>Malad</v>
      </c>
      <c r="D1578" s="18" t="str">
        <f>IFERROR(__xludf.DUMMYFUNCTION("""COMPUTED_VALUE"""),"Papaya")</f>
        <v>Papaya</v>
      </c>
      <c r="E1578" s="18">
        <f>IFERROR(__xludf.DUMMYFUNCTION("""COMPUTED_VALUE"""),2.0)</f>
        <v>2</v>
      </c>
      <c r="F1578" s="18" t="str">
        <f>IFERROR(__xludf.DUMMYFUNCTION("""COMPUTED_VALUE"""),"Neha Shah")</f>
        <v>Neha Shah</v>
      </c>
      <c r="G1578" s="19">
        <f>IFERROR(__xludf.DUMMYFUNCTION("""COMPUTED_VALUE"""),45106.0)</f>
        <v>45106</v>
      </c>
      <c r="H1578" s="18" t="str">
        <f>IFERROR(__xludf.DUMMYFUNCTION("""COMPUTED_VALUE"""),"UPI")</f>
        <v>UPI</v>
      </c>
      <c r="I1578" s="18" t="str">
        <f>IFERROR(__xludf.DUMMYFUNCTION("""COMPUTED_VALUE"""),"Delivered")</f>
        <v>Delivered</v>
      </c>
      <c r="J1578" s="18" t="str">
        <f>IFERROR(__xludf.DUMMYFUNCTION("""COMPUTED_VALUE"""),"Delivery Experience")</f>
        <v>Delivery Experience</v>
      </c>
      <c r="K1578" s="18" t="str">
        <f>IFERROR(__xludf.DUMMYFUNCTION("""COMPUTED_VALUE"""),"Quick and professional")</f>
        <v>Quick and professional</v>
      </c>
      <c r="L1578" s="18">
        <f>iferror(VLOOKUP($D1578,Details!$A$2:$C$11,2,false),vlookup($D1578,Details!$E$2:$G$11,2,false))</f>
        <v>75</v>
      </c>
      <c r="M1578" s="18" t="str">
        <f>iferror(VLOOKUP($D1578,Details!$A$2:$C$11,3,false),vlookup($D1578,Details!$E$2:$G$11,3,false))</f>
        <v>Fruits and Vegetables</v>
      </c>
      <c r="N1578" s="18">
        <f t="shared" si="1"/>
        <v>150</v>
      </c>
      <c r="O1578" s="17"/>
      <c r="P1578" s="17"/>
      <c r="Q1578" s="17"/>
      <c r="R1578" s="17"/>
      <c r="S1578" s="17"/>
      <c r="T1578" s="17"/>
      <c r="U1578" s="17"/>
      <c r="V1578" s="17"/>
      <c r="W1578" s="17"/>
      <c r="X1578" s="17"/>
      <c r="Y1578" s="17"/>
      <c r="Z1578" s="17"/>
    </row>
    <row r="1579">
      <c r="A1579" s="18" t="str">
        <f>IFERROR(__xludf.DUMMYFUNCTION("""COMPUTED_VALUE"""),"ord_71557")</f>
        <v>ord_71557</v>
      </c>
      <c r="B1579" s="18" t="str">
        <f>IFERROR(__xludf.DUMMYFUNCTION("""COMPUTED_VALUE"""),"Ishaan Chaturvedi")</f>
        <v>Ishaan Chaturvedi</v>
      </c>
      <c r="C1579" s="18" t="str">
        <f>IFERROR(__xludf.DUMMYFUNCTION("""COMPUTED_VALUE"""),"Bandra")</f>
        <v>Bandra</v>
      </c>
      <c r="D1579" s="18" t="str">
        <f>IFERROR(__xludf.DUMMYFUNCTION("""COMPUTED_VALUE"""),"Veg Puff")</f>
        <v>Veg Puff</v>
      </c>
      <c r="E1579" s="18">
        <f>IFERROR(__xludf.DUMMYFUNCTION("""COMPUTED_VALUE"""),2.0)</f>
        <v>2</v>
      </c>
      <c r="F1579" s="18" t="str">
        <f>IFERROR(__xludf.DUMMYFUNCTION("""COMPUTED_VALUE"""),"Priya Joshi")</f>
        <v>Priya Joshi</v>
      </c>
      <c r="G1579" s="19">
        <f>IFERROR(__xludf.DUMMYFUNCTION("""COMPUTED_VALUE"""),45279.0)</f>
        <v>45279</v>
      </c>
      <c r="H1579" s="18" t="str">
        <f>IFERROR(__xludf.DUMMYFUNCTION("""COMPUTED_VALUE"""),"UPI")</f>
        <v>UPI</v>
      </c>
      <c r="I1579" s="18" t="str">
        <f>IFERROR(__xludf.DUMMYFUNCTION("""COMPUTED_VALUE"""),"Delivered")</f>
        <v>Delivered</v>
      </c>
      <c r="J1579" s="18" t="str">
        <f>IFERROR(__xludf.DUMMYFUNCTION("""COMPUTED_VALUE"""),"Convenience")</f>
        <v>Convenience</v>
      </c>
      <c r="K1579" s="18" t="str">
        <f>IFERROR(__xludf.DUMMYFUNCTION("""COMPUTED_VALUE"""),"Easy tracking")</f>
        <v>Easy tracking</v>
      </c>
      <c r="L1579" s="18">
        <f>iferror(VLOOKUP($D1579,Details!$A$2:$C$11,2,false),vlookup($D1579,Details!$E$2:$G$11,2,false))</f>
        <v>80</v>
      </c>
      <c r="M1579" s="18" t="str">
        <f>iferror(VLOOKUP($D1579,Details!$A$2:$C$11,3,false),vlookup($D1579,Details!$E$2:$G$11,3,false))</f>
        <v>Snacks and Drinks</v>
      </c>
      <c r="N1579" s="18">
        <f t="shared" si="1"/>
        <v>160</v>
      </c>
      <c r="O1579" s="17"/>
      <c r="P1579" s="17"/>
      <c r="Q1579" s="17"/>
      <c r="R1579" s="17"/>
      <c r="S1579" s="17"/>
      <c r="T1579" s="17"/>
      <c r="U1579" s="17"/>
      <c r="V1579" s="17"/>
      <c r="W1579" s="17"/>
      <c r="X1579" s="17"/>
      <c r="Y1579" s="17"/>
      <c r="Z1579" s="17"/>
    </row>
    <row r="1580">
      <c r="A1580" s="18" t="str">
        <f>IFERROR(__xludf.DUMMYFUNCTION("""COMPUTED_VALUE"""),"ord_71558")</f>
        <v>ord_71558</v>
      </c>
      <c r="B1580" s="18" t="str">
        <f>IFERROR(__xludf.DUMMYFUNCTION("""COMPUTED_VALUE"""),"Omkar Mishra")</f>
        <v>Omkar Mishra</v>
      </c>
      <c r="C1580" s="18" t="str">
        <f>IFERROR(__xludf.DUMMYFUNCTION("""COMPUTED_VALUE"""),"Powai")</f>
        <v>Powai</v>
      </c>
      <c r="D1580" s="18" t="str">
        <f>IFERROR(__xludf.DUMMYFUNCTION("""COMPUTED_VALUE"""),"Tomato")</f>
        <v>Tomato</v>
      </c>
      <c r="E1580" s="18">
        <f>IFERROR(__xludf.DUMMYFUNCTION("""COMPUTED_VALUE"""),1.0)</f>
        <v>1</v>
      </c>
      <c r="F1580" s="18" t="str">
        <f>IFERROR(__xludf.DUMMYFUNCTION("""COMPUTED_VALUE"""),"Sandeep Kumar")</f>
        <v>Sandeep Kumar</v>
      </c>
      <c r="G1580" s="19">
        <f>IFERROR(__xludf.DUMMYFUNCTION("""COMPUTED_VALUE"""),45120.0)</f>
        <v>45120</v>
      </c>
      <c r="H1580" s="18" t="str">
        <f>IFERROR(__xludf.DUMMYFUNCTION("""COMPUTED_VALUE"""),"Online Payment")</f>
        <v>Online Payment</v>
      </c>
      <c r="I1580" s="18" t="str">
        <f>IFERROR(__xludf.DUMMYFUNCTION("""COMPUTED_VALUE"""),"Delivered")</f>
        <v>Delivered</v>
      </c>
      <c r="J1580" s="18" t="str">
        <f>IFERROR(__xludf.DUMMYFUNCTION("""COMPUTED_VALUE"""),"Overall Satisfaction")</f>
        <v>Overall Satisfaction</v>
      </c>
      <c r="K1580" s="18" t="str">
        <f>IFERROR(__xludf.DUMMYFUNCTION("""COMPUTED_VALUE"""),"Great service will order again")</f>
        <v>Great service will order again</v>
      </c>
      <c r="L1580" s="18">
        <f>iferror(VLOOKUP($D1580,Details!$A$2:$C$11,2,false),vlookup($D1580,Details!$E$2:$G$11,2,false))</f>
        <v>25</v>
      </c>
      <c r="M1580" s="18" t="str">
        <f>iferror(VLOOKUP($D1580,Details!$A$2:$C$11,3,false),vlookup($D1580,Details!$E$2:$G$11,3,false))</f>
        <v>Fruits and Vegetables</v>
      </c>
      <c r="N1580" s="18">
        <f t="shared" si="1"/>
        <v>25</v>
      </c>
      <c r="O1580" s="17"/>
      <c r="P1580" s="17"/>
      <c r="Q1580" s="17"/>
      <c r="R1580" s="17"/>
      <c r="S1580" s="17"/>
      <c r="T1580" s="17"/>
      <c r="U1580" s="17"/>
      <c r="V1580" s="17"/>
      <c r="W1580" s="17"/>
      <c r="X1580" s="17"/>
      <c r="Y1580" s="17"/>
      <c r="Z1580" s="17"/>
    </row>
    <row r="1581">
      <c r="A1581" s="18" t="str">
        <f>IFERROR(__xludf.DUMMYFUNCTION("""COMPUTED_VALUE"""),"ord_71559")</f>
        <v>ord_71559</v>
      </c>
      <c r="B1581" s="18" t="str">
        <f>IFERROR(__xludf.DUMMYFUNCTION("""COMPUTED_VALUE"""),"Omkar Mishra")</f>
        <v>Omkar Mishra</v>
      </c>
      <c r="C1581" s="18" t="str">
        <f>IFERROR(__xludf.DUMMYFUNCTION("""COMPUTED_VALUE"""),"Powai")</f>
        <v>Powai</v>
      </c>
      <c r="D1581" s="18" t="str">
        <f>IFERROR(__xludf.DUMMYFUNCTION("""COMPUTED_VALUE"""),"Icecream")</f>
        <v>Icecream</v>
      </c>
      <c r="E1581" s="18">
        <f>IFERROR(__xludf.DUMMYFUNCTION("""COMPUTED_VALUE"""),1.0)</f>
        <v>1</v>
      </c>
      <c r="F1581" s="18" t="str">
        <f>IFERROR(__xludf.DUMMYFUNCTION("""COMPUTED_VALUE"""),"Sandeep Kumar")</f>
        <v>Sandeep Kumar</v>
      </c>
      <c r="G1581" s="19">
        <f>IFERROR(__xludf.DUMMYFUNCTION("""COMPUTED_VALUE"""),45228.0)</f>
        <v>45228</v>
      </c>
      <c r="H1581" s="18" t="str">
        <f>IFERROR(__xludf.DUMMYFUNCTION("""COMPUTED_VALUE"""),"UPI")</f>
        <v>UPI</v>
      </c>
      <c r="I1581" s="18" t="str">
        <f>IFERROR(__xludf.DUMMYFUNCTION("""COMPUTED_VALUE"""),"Delivered")</f>
        <v>Delivered</v>
      </c>
      <c r="J1581" s="18" t="str">
        <f>IFERROR(__xludf.DUMMYFUNCTION("""COMPUTED_VALUE"""),"On-time Delivery")</f>
        <v>On-time Delivery</v>
      </c>
      <c r="K1581" s="18" t="str">
        <f>IFERROR(__xludf.DUMMYFUNCTION("""COMPUTED_VALUE"""),"Delivered on time")</f>
        <v>Delivered on time</v>
      </c>
      <c r="L1581" s="18">
        <f>iferror(VLOOKUP($D1581,Details!$A$2:$C$11,2,false),vlookup($D1581,Details!$E$2:$G$11,2,false))</f>
        <v>90</v>
      </c>
      <c r="M1581" s="18" t="str">
        <f>iferror(VLOOKUP($D1581,Details!$A$2:$C$11,3,false),vlookup($D1581,Details!$E$2:$G$11,3,false))</f>
        <v>Snacks and Drinks</v>
      </c>
      <c r="N1581" s="18">
        <f t="shared" si="1"/>
        <v>90</v>
      </c>
      <c r="O1581" s="17"/>
      <c r="P1581" s="17"/>
      <c r="Q1581" s="17"/>
      <c r="R1581" s="17"/>
      <c r="S1581" s="17"/>
      <c r="T1581" s="17"/>
      <c r="U1581" s="17"/>
      <c r="V1581" s="17"/>
      <c r="W1581" s="17"/>
      <c r="X1581" s="17"/>
      <c r="Y1581" s="17"/>
      <c r="Z1581" s="17"/>
    </row>
    <row r="1582">
      <c r="A1582" s="18" t="str">
        <f>IFERROR(__xludf.DUMMYFUNCTION("""COMPUTED_VALUE"""),"ord_71560")</f>
        <v>ord_71560</v>
      </c>
      <c r="B1582" s="18" t="str">
        <f>IFERROR(__xludf.DUMMYFUNCTION("""COMPUTED_VALUE"""),"Diya Arora")</f>
        <v>Diya Arora</v>
      </c>
      <c r="C1582" s="18" t="str">
        <f>IFERROR(__xludf.DUMMYFUNCTION("""COMPUTED_VALUE"""),"Lower Parel")</f>
        <v>Lower Parel</v>
      </c>
      <c r="D1582" s="18" t="str">
        <f>IFERROR(__xludf.DUMMYFUNCTION("""COMPUTED_VALUE"""),"Banana")</f>
        <v>Banana</v>
      </c>
      <c r="E1582" s="18">
        <f>IFERROR(__xludf.DUMMYFUNCTION("""COMPUTED_VALUE"""),1.0)</f>
        <v>1</v>
      </c>
      <c r="F1582" s="18" t="str">
        <f>IFERROR(__xludf.DUMMYFUNCTION("""COMPUTED_VALUE"""),"Kiran Mehta")</f>
        <v>Kiran Mehta</v>
      </c>
      <c r="G1582" s="19">
        <f>IFERROR(__xludf.DUMMYFUNCTION("""COMPUTED_VALUE"""),45150.0)</f>
        <v>45150</v>
      </c>
      <c r="H1582" s="18" t="str">
        <f>IFERROR(__xludf.DUMMYFUNCTION("""COMPUTED_VALUE"""),"Online Payment")</f>
        <v>Online Payment</v>
      </c>
      <c r="I1582" s="18" t="str">
        <f>IFERROR(__xludf.DUMMYFUNCTION("""COMPUTED_VALUE"""),"Delivered")</f>
        <v>Delivered</v>
      </c>
      <c r="J1582" s="18" t="str">
        <f>IFERROR(__xludf.DUMMYFUNCTION("""COMPUTED_VALUE"""),"Quality of Items")</f>
        <v>Quality of Items</v>
      </c>
      <c r="K1582" s="18" t="str">
        <f>IFERROR(__xludf.DUMMYFUNCTION("""COMPUTED_VALUE"""),"Perfect condition")</f>
        <v>Perfect condition</v>
      </c>
      <c r="L1582" s="18">
        <f>iferror(VLOOKUP($D1582,Details!$A$2:$C$11,2,false),vlookup($D1582,Details!$E$2:$G$11,2,false))</f>
        <v>80</v>
      </c>
      <c r="M1582" s="18" t="str">
        <f>iferror(VLOOKUP($D1582,Details!$A$2:$C$11,3,false),vlookup($D1582,Details!$E$2:$G$11,3,false))</f>
        <v>Fruits and Vegetables</v>
      </c>
      <c r="N1582" s="18">
        <f t="shared" si="1"/>
        <v>80</v>
      </c>
      <c r="O1582" s="17"/>
      <c r="P1582" s="17"/>
      <c r="Q1582" s="17"/>
      <c r="R1582" s="17"/>
      <c r="S1582" s="17"/>
      <c r="T1582" s="17"/>
      <c r="U1582" s="17"/>
      <c r="V1582" s="17"/>
      <c r="W1582" s="17"/>
      <c r="X1582" s="17"/>
      <c r="Y1582" s="17"/>
      <c r="Z1582" s="17"/>
    </row>
    <row r="1583">
      <c r="A1583" s="18" t="str">
        <f>IFERROR(__xludf.DUMMYFUNCTION("""COMPUTED_VALUE"""),"ord_71561")</f>
        <v>ord_71561</v>
      </c>
      <c r="B1583" s="18" t="str">
        <f>IFERROR(__xludf.DUMMYFUNCTION("""COMPUTED_VALUE"""),"Dev Chauhan")</f>
        <v>Dev Chauhan</v>
      </c>
      <c r="C1583" s="18" t="str">
        <f>IFERROR(__xludf.DUMMYFUNCTION("""COMPUTED_VALUE"""),"Bandra")</f>
        <v>Bandra</v>
      </c>
      <c r="D1583" s="18" t="str">
        <f>IFERROR(__xludf.DUMMYFUNCTION("""COMPUTED_VALUE"""),"Cold Coffee")</f>
        <v>Cold Coffee</v>
      </c>
      <c r="E1583" s="18">
        <f>IFERROR(__xludf.DUMMYFUNCTION("""COMPUTED_VALUE"""),5.0)</f>
        <v>5</v>
      </c>
      <c r="F1583" s="18" t="str">
        <f>IFERROR(__xludf.DUMMYFUNCTION("""COMPUTED_VALUE"""),"Priya Joshi")</f>
        <v>Priya Joshi</v>
      </c>
      <c r="G1583" s="19">
        <f>IFERROR(__xludf.DUMMYFUNCTION("""COMPUTED_VALUE"""),45112.0)</f>
        <v>45112</v>
      </c>
      <c r="H1583" s="18" t="str">
        <f>IFERROR(__xludf.DUMMYFUNCTION("""COMPUTED_VALUE"""),"UPI")</f>
        <v>UPI</v>
      </c>
      <c r="I1583" s="18" t="str">
        <f>IFERROR(__xludf.DUMMYFUNCTION("""COMPUTED_VALUE"""),"Delivered")</f>
        <v>Delivered</v>
      </c>
      <c r="J1583" s="18" t="str">
        <f>IFERROR(__xludf.DUMMYFUNCTION("""COMPUTED_VALUE"""),"On-time Delivery")</f>
        <v>On-time Delivery</v>
      </c>
      <c r="K1583" s="18" t="str">
        <f>IFERROR(__xludf.DUMMYFUNCTION("""COMPUTED_VALUE"""),"Delivered on time")</f>
        <v>Delivered on time</v>
      </c>
      <c r="L1583" s="18">
        <f>iferror(VLOOKUP($D1583,Details!$A$2:$C$11,2,false),vlookup($D1583,Details!$E$2:$G$11,2,false))</f>
        <v>270</v>
      </c>
      <c r="M1583" s="18" t="str">
        <f>iferror(VLOOKUP($D1583,Details!$A$2:$C$11,3,false),vlookup($D1583,Details!$E$2:$G$11,3,false))</f>
        <v>Snacks and Drinks</v>
      </c>
      <c r="N1583" s="18">
        <f t="shared" si="1"/>
        <v>1350</v>
      </c>
      <c r="O1583" s="17"/>
      <c r="P1583" s="17"/>
      <c r="Q1583" s="17"/>
      <c r="R1583" s="17"/>
      <c r="S1583" s="17"/>
      <c r="T1583" s="17"/>
      <c r="U1583" s="17"/>
      <c r="V1583" s="17"/>
      <c r="W1583" s="17"/>
      <c r="X1583" s="17"/>
      <c r="Y1583" s="17"/>
      <c r="Z1583" s="17"/>
    </row>
    <row r="1584">
      <c r="A1584" s="18" t="str">
        <f>IFERROR(__xludf.DUMMYFUNCTION("""COMPUTED_VALUE"""),"ord_71562")</f>
        <v>ord_71562</v>
      </c>
      <c r="B1584" s="18" t="str">
        <f>IFERROR(__xludf.DUMMYFUNCTION("""COMPUTED_VALUE"""),"Dev Chauhan")</f>
        <v>Dev Chauhan</v>
      </c>
      <c r="C1584" s="18" t="str">
        <f>IFERROR(__xludf.DUMMYFUNCTION("""COMPUTED_VALUE"""),"Bandra")</f>
        <v>Bandra</v>
      </c>
      <c r="D1584" s="18" t="str">
        <f>IFERROR(__xludf.DUMMYFUNCTION("""COMPUTED_VALUE"""),"Veg Puff")</f>
        <v>Veg Puff</v>
      </c>
      <c r="E1584" s="18">
        <f>IFERROR(__xludf.DUMMYFUNCTION("""COMPUTED_VALUE"""),2.0)</f>
        <v>2</v>
      </c>
      <c r="F1584" s="18" t="str">
        <f>IFERROR(__xludf.DUMMYFUNCTION("""COMPUTED_VALUE"""),"Priya Joshi")</f>
        <v>Priya Joshi</v>
      </c>
      <c r="G1584" s="19">
        <f>IFERROR(__xludf.DUMMYFUNCTION("""COMPUTED_VALUE"""),45254.0)</f>
        <v>45254</v>
      </c>
      <c r="H1584" s="18" t="str">
        <f>IFERROR(__xludf.DUMMYFUNCTION("""COMPUTED_VALUE"""),"Online Payment")</f>
        <v>Online Payment</v>
      </c>
      <c r="I1584" s="18" t="str">
        <f>IFERROR(__xludf.DUMMYFUNCTION("""COMPUTED_VALUE"""),"Delivered")</f>
        <v>Delivered</v>
      </c>
      <c r="J1584" s="18" t="str">
        <f>IFERROR(__xludf.DUMMYFUNCTION("""COMPUTED_VALUE"""),"Quality of Items")</f>
        <v>Quality of Items</v>
      </c>
      <c r="K1584" s="18" t="str">
        <f>IFERROR(__xludf.DUMMYFUNCTION("""COMPUTED_VALUE"""),"Perfect condition")</f>
        <v>Perfect condition</v>
      </c>
      <c r="L1584" s="18">
        <f>iferror(VLOOKUP($D1584,Details!$A$2:$C$11,2,false),vlookup($D1584,Details!$E$2:$G$11,2,false))</f>
        <v>80</v>
      </c>
      <c r="M1584" s="18" t="str">
        <f>iferror(VLOOKUP($D1584,Details!$A$2:$C$11,3,false),vlookup($D1584,Details!$E$2:$G$11,3,false))</f>
        <v>Snacks and Drinks</v>
      </c>
      <c r="N1584" s="18">
        <f t="shared" si="1"/>
        <v>160</v>
      </c>
      <c r="O1584" s="17"/>
      <c r="P1584" s="17"/>
      <c r="Q1584" s="17"/>
      <c r="R1584" s="17"/>
      <c r="S1584" s="17"/>
      <c r="T1584" s="17"/>
      <c r="U1584" s="17"/>
      <c r="V1584" s="17"/>
      <c r="W1584" s="17"/>
      <c r="X1584" s="17"/>
      <c r="Y1584" s="17"/>
      <c r="Z1584" s="17"/>
    </row>
    <row r="1585">
      <c r="A1585" s="18" t="str">
        <f>IFERROR(__xludf.DUMMYFUNCTION("""COMPUTED_VALUE"""),"ord_71563")</f>
        <v>ord_71563</v>
      </c>
      <c r="B1585" s="18" t="str">
        <f>IFERROR(__xludf.DUMMYFUNCTION("""COMPUTED_VALUE"""),"Aditi Iyer")</f>
        <v>Aditi Iyer</v>
      </c>
      <c r="C1585" s="18" t="str">
        <f>IFERROR(__xludf.DUMMYFUNCTION("""COMPUTED_VALUE"""),"Dadar")</f>
        <v>Dadar</v>
      </c>
      <c r="D1585" s="18" t="str">
        <f>IFERROR(__xludf.DUMMYFUNCTION("""COMPUTED_VALUE"""),"Rasmalai")</f>
        <v>Rasmalai</v>
      </c>
      <c r="E1585" s="18">
        <f>IFERROR(__xludf.DUMMYFUNCTION("""COMPUTED_VALUE"""),2.0)</f>
        <v>2</v>
      </c>
      <c r="F1585" s="18" t="str">
        <f>IFERROR(__xludf.DUMMYFUNCTION("""COMPUTED_VALUE"""),"Aman Kumar")</f>
        <v>Aman Kumar</v>
      </c>
      <c r="G1585" s="19">
        <f>IFERROR(__xludf.DUMMYFUNCTION("""COMPUTED_VALUE"""),45172.0)</f>
        <v>45172</v>
      </c>
      <c r="H1585" s="18" t="str">
        <f>IFERROR(__xludf.DUMMYFUNCTION("""COMPUTED_VALUE"""),"UPI")</f>
        <v>UPI</v>
      </c>
      <c r="I1585" s="18" t="str">
        <f>IFERROR(__xludf.DUMMYFUNCTION("""COMPUTED_VALUE"""),"Delivered")</f>
        <v>Delivered</v>
      </c>
      <c r="J1585" s="18" t="str">
        <f>IFERROR(__xludf.DUMMYFUNCTION("""COMPUTED_VALUE"""),"Packaging")</f>
        <v>Packaging</v>
      </c>
      <c r="K1585" s="18" t="str">
        <f>IFERROR(__xludf.DUMMYFUNCTION("""COMPUTED_VALUE"""),"Secure and intact")</f>
        <v>Secure and intact</v>
      </c>
      <c r="L1585" s="18">
        <f>iferror(VLOOKUP($D1585,Details!$A$2:$C$11,2,false),vlookup($D1585,Details!$E$2:$G$11,2,false))</f>
        <v>110</v>
      </c>
      <c r="M1585" s="18" t="str">
        <f>iferror(VLOOKUP($D1585,Details!$A$2:$C$11,3,false),vlookup($D1585,Details!$E$2:$G$11,3,false))</f>
        <v>Snacks and Drinks</v>
      </c>
      <c r="N1585" s="18">
        <f t="shared" si="1"/>
        <v>220</v>
      </c>
      <c r="O1585" s="17"/>
      <c r="P1585" s="17"/>
      <c r="Q1585" s="17"/>
      <c r="R1585" s="17"/>
      <c r="S1585" s="17"/>
      <c r="T1585" s="17"/>
      <c r="U1585" s="17"/>
      <c r="V1585" s="17"/>
      <c r="W1585" s="17"/>
      <c r="X1585" s="17"/>
      <c r="Y1585" s="17"/>
      <c r="Z1585" s="17"/>
    </row>
    <row r="1586">
      <c r="A1586" s="18" t="str">
        <f>IFERROR(__xludf.DUMMYFUNCTION("""COMPUTED_VALUE"""),"ord_71564")</f>
        <v>ord_71564</v>
      </c>
      <c r="B1586" s="18" t="str">
        <f>IFERROR(__xludf.DUMMYFUNCTION("""COMPUTED_VALUE"""),"Tanishq Bansal")</f>
        <v>Tanishq Bansal</v>
      </c>
      <c r="C1586" s="18" t="str">
        <f>IFERROR(__xludf.DUMMYFUNCTION("""COMPUTED_VALUE"""),"Powai")</f>
        <v>Powai</v>
      </c>
      <c r="D1586" s="18" t="str">
        <f>IFERROR(__xludf.DUMMYFUNCTION("""COMPUTED_VALUE"""),"Veg Puff")</f>
        <v>Veg Puff</v>
      </c>
      <c r="E1586" s="18">
        <f>IFERROR(__xludf.DUMMYFUNCTION("""COMPUTED_VALUE"""),5.0)</f>
        <v>5</v>
      </c>
      <c r="F1586" s="18" t="str">
        <f>IFERROR(__xludf.DUMMYFUNCTION("""COMPUTED_VALUE"""),"Sandeep Kumar")</f>
        <v>Sandeep Kumar</v>
      </c>
      <c r="G1586" s="19">
        <f>IFERROR(__xludf.DUMMYFUNCTION("""COMPUTED_VALUE"""),44935.0)</f>
        <v>44935</v>
      </c>
      <c r="H1586" s="18" t="str">
        <f>IFERROR(__xludf.DUMMYFUNCTION("""COMPUTED_VALUE"""),"Online Payment")</f>
        <v>Online Payment</v>
      </c>
      <c r="I1586" s="18" t="str">
        <f>IFERROR(__xludf.DUMMYFUNCTION("""COMPUTED_VALUE"""),"Delivered")</f>
        <v>Delivered</v>
      </c>
      <c r="J1586" s="18" t="str">
        <f>IFERROR(__xludf.DUMMYFUNCTION("""COMPUTED_VALUE"""),"Satisfied with the Delivery")</f>
        <v>Satisfied with the Delivery</v>
      </c>
      <c r="K1586" s="18" t="str">
        <f>IFERROR(__xludf.DUMMYFUNCTION("""COMPUTED_VALUE"""),"Timely and quality")</f>
        <v>Timely and quality</v>
      </c>
      <c r="L1586" s="18">
        <f>iferror(VLOOKUP($D1586,Details!$A$2:$C$11,2,false),vlookup($D1586,Details!$E$2:$G$11,2,false))</f>
        <v>80</v>
      </c>
      <c r="M1586" s="18" t="str">
        <f>iferror(VLOOKUP($D1586,Details!$A$2:$C$11,3,false),vlookup($D1586,Details!$E$2:$G$11,3,false))</f>
        <v>Snacks and Drinks</v>
      </c>
      <c r="N1586" s="18">
        <f t="shared" si="1"/>
        <v>400</v>
      </c>
      <c r="O1586" s="17"/>
      <c r="P1586" s="17"/>
      <c r="Q1586" s="17"/>
      <c r="R1586" s="17"/>
      <c r="S1586" s="17"/>
      <c r="T1586" s="17"/>
      <c r="U1586" s="17"/>
      <c r="V1586" s="17"/>
      <c r="W1586" s="17"/>
      <c r="X1586" s="17"/>
      <c r="Y1586" s="17"/>
      <c r="Z1586" s="17"/>
    </row>
    <row r="1587">
      <c r="A1587" s="18" t="str">
        <f>IFERROR(__xludf.DUMMYFUNCTION("""COMPUTED_VALUE"""),"ord_71565")</f>
        <v>ord_71565</v>
      </c>
      <c r="B1587" s="18" t="str">
        <f>IFERROR(__xludf.DUMMYFUNCTION("""COMPUTED_VALUE"""),"Tanishq Bansal")</f>
        <v>Tanishq Bansal</v>
      </c>
      <c r="C1587" s="18" t="str">
        <f>IFERROR(__xludf.DUMMYFUNCTION("""COMPUTED_VALUE"""),"Powai")</f>
        <v>Powai</v>
      </c>
      <c r="D1587" s="18" t="str">
        <f>IFERROR(__xludf.DUMMYFUNCTION("""COMPUTED_VALUE"""),"Orange")</f>
        <v>Orange</v>
      </c>
      <c r="E1587" s="18">
        <f>IFERROR(__xludf.DUMMYFUNCTION("""COMPUTED_VALUE"""),2.0)</f>
        <v>2</v>
      </c>
      <c r="F1587" s="18" t="str">
        <f>IFERROR(__xludf.DUMMYFUNCTION("""COMPUTED_VALUE"""),"Venu R")</f>
        <v>Venu R</v>
      </c>
      <c r="G1587" s="19">
        <f>IFERROR(__xludf.DUMMYFUNCTION("""COMPUTED_VALUE"""),45135.0)</f>
        <v>45135</v>
      </c>
      <c r="H1587" s="18" t="str">
        <f>IFERROR(__xludf.DUMMYFUNCTION("""COMPUTED_VALUE"""),"UPI")</f>
        <v>UPI</v>
      </c>
      <c r="I1587" s="18" t="str">
        <f>IFERROR(__xludf.DUMMYFUNCTION("""COMPUTED_VALUE"""),"Delivered")</f>
        <v>Delivered</v>
      </c>
      <c r="J1587" s="18" t="str">
        <f>IFERROR(__xludf.DUMMYFUNCTION("""COMPUTED_VALUE"""),"Customer Service")</f>
        <v>Customer Service</v>
      </c>
      <c r="K1587" s="18" t="str">
        <f>IFERROR(__xludf.DUMMYFUNCTION("""COMPUTED_VALUE"""),"Seamless and easy")</f>
        <v>Seamless and easy</v>
      </c>
      <c r="L1587" s="18">
        <f>iferror(VLOOKUP($D1587,Details!$A$2:$C$11,2,false),vlookup($D1587,Details!$E$2:$G$11,2,false))</f>
        <v>180</v>
      </c>
      <c r="M1587" s="18" t="str">
        <f>iferror(VLOOKUP($D1587,Details!$A$2:$C$11,3,false),vlookup($D1587,Details!$E$2:$G$11,3,false))</f>
        <v>Fruits and Vegetables</v>
      </c>
      <c r="N1587" s="18">
        <f t="shared" si="1"/>
        <v>360</v>
      </c>
      <c r="O1587" s="17"/>
      <c r="P1587" s="17"/>
      <c r="Q1587" s="17"/>
      <c r="R1587" s="17"/>
      <c r="S1587" s="17"/>
      <c r="T1587" s="17"/>
      <c r="U1587" s="17"/>
      <c r="V1587" s="17"/>
      <c r="W1587" s="17"/>
      <c r="X1587" s="17"/>
      <c r="Y1587" s="17"/>
      <c r="Z1587" s="17"/>
    </row>
    <row r="1588">
      <c r="A1588" s="18" t="str">
        <f>IFERROR(__xludf.DUMMYFUNCTION("""COMPUTED_VALUE"""),"ord_71566")</f>
        <v>ord_71566</v>
      </c>
      <c r="B1588" s="18" t="str">
        <f>IFERROR(__xludf.DUMMYFUNCTION("""COMPUTED_VALUE"""),"Dev Chauhan")</f>
        <v>Dev Chauhan</v>
      </c>
      <c r="C1588" s="18" t="str">
        <f>IFERROR(__xludf.DUMMYFUNCTION("""COMPUTED_VALUE"""),"Bandra")</f>
        <v>Bandra</v>
      </c>
      <c r="D1588" s="18" t="str">
        <f>IFERROR(__xludf.DUMMYFUNCTION("""COMPUTED_VALUE"""),"Icecream")</f>
        <v>Icecream</v>
      </c>
      <c r="E1588" s="18">
        <f>IFERROR(__xludf.DUMMYFUNCTION("""COMPUTED_VALUE"""),1.0)</f>
        <v>1</v>
      </c>
      <c r="F1588" s="18" t="str">
        <f>IFERROR(__xludf.DUMMYFUNCTION("""COMPUTED_VALUE"""),"Venu R")</f>
        <v>Venu R</v>
      </c>
      <c r="G1588" s="19">
        <f>IFERROR(__xludf.DUMMYFUNCTION("""COMPUTED_VALUE"""),45197.0)</f>
        <v>45197</v>
      </c>
      <c r="H1588" s="18" t="str">
        <f>IFERROR(__xludf.DUMMYFUNCTION("""COMPUTED_VALUE"""),"Online Payment")</f>
        <v>Online Payment</v>
      </c>
      <c r="I1588" s="18" t="str">
        <f>IFERROR(__xludf.DUMMYFUNCTION("""COMPUTED_VALUE"""),"Delivered")</f>
        <v>Delivered</v>
      </c>
      <c r="J1588" s="18" t="str">
        <f>IFERROR(__xludf.DUMMYFUNCTION("""COMPUTED_VALUE"""),"Delivery Experience")</f>
        <v>Delivery Experience</v>
      </c>
      <c r="K1588" s="18" t="str">
        <f>IFERROR(__xludf.DUMMYFUNCTION("""COMPUTED_VALUE"""),"Quick and professional")</f>
        <v>Quick and professional</v>
      </c>
      <c r="L1588" s="18">
        <f>iferror(VLOOKUP($D1588,Details!$A$2:$C$11,2,false),vlookup($D1588,Details!$E$2:$G$11,2,false))</f>
        <v>90</v>
      </c>
      <c r="M1588" s="18" t="str">
        <f>iferror(VLOOKUP($D1588,Details!$A$2:$C$11,3,false),vlookup($D1588,Details!$E$2:$G$11,3,false))</f>
        <v>Snacks and Drinks</v>
      </c>
      <c r="N1588" s="18">
        <f t="shared" si="1"/>
        <v>90</v>
      </c>
      <c r="O1588" s="17"/>
      <c r="P1588" s="17"/>
      <c r="Q1588" s="17"/>
      <c r="R1588" s="17"/>
      <c r="S1588" s="17"/>
      <c r="T1588" s="17"/>
      <c r="U1588" s="17"/>
      <c r="V1588" s="17"/>
      <c r="W1588" s="17"/>
      <c r="X1588" s="17"/>
      <c r="Y1588" s="17"/>
      <c r="Z1588" s="17"/>
    </row>
    <row r="1589">
      <c r="A1589" s="18" t="str">
        <f>IFERROR(__xludf.DUMMYFUNCTION("""COMPUTED_VALUE"""),"ord_71567")</f>
        <v>ord_71567</v>
      </c>
      <c r="B1589" s="18" t="str">
        <f>IFERROR(__xludf.DUMMYFUNCTION("""COMPUTED_VALUE"""),"Pranav Joshi")</f>
        <v>Pranav Joshi</v>
      </c>
      <c r="C1589" s="18" t="str">
        <f>IFERROR(__xludf.DUMMYFUNCTION("""COMPUTED_VALUE"""),"Andheri")</f>
        <v>Andheri</v>
      </c>
      <c r="D1589" s="18" t="str">
        <f>IFERROR(__xludf.DUMMYFUNCTION("""COMPUTED_VALUE"""),"Tomato")</f>
        <v>Tomato</v>
      </c>
      <c r="E1589" s="18">
        <f>IFERROR(__xludf.DUMMYFUNCTION("""COMPUTED_VALUE"""),1.0)</f>
        <v>1</v>
      </c>
      <c r="F1589" s="18" t="str">
        <f>IFERROR(__xludf.DUMMYFUNCTION("""COMPUTED_VALUE"""),"Vivek Kumar")</f>
        <v>Vivek Kumar</v>
      </c>
      <c r="G1589" s="19">
        <f>IFERROR(__xludf.DUMMYFUNCTION("""COMPUTED_VALUE"""),45066.0)</f>
        <v>45066</v>
      </c>
      <c r="H1589" s="18" t="str">
        <f>IFERROR(__xludf.DUMMYFUNCTION("""COMPUTED_VALUE"""),"Credit Card")</f>
        <v>Credit Card</v>
      </c>
      <c r="I1589" s="18" t="str">
        <f>IFERROR(__xludf.DUMMYFUNCTION("""COMPUTED_VALUE"""),"Delivered")</f>
        <v>Delivered</v>
      </c>
      <c r="J1589" s="18" t="str">
        <f>IFERROR(__xludf.DUMMYFUNCTION("""COMPUTED_VALUE"""),"Convenience")</f>
        <v>Convenience</v>
      </c>
      <c r="K1589" s="18" t="str">
        <f>IFERROR(__xludf.DUMMYFUNCTION("""COMPUTED_VALUE"""),"Easy tracking")</f>
        <v>Easy tracking</v>
      </c>
      <c r="L1589" s="18">
        <f>iferror(VLOOKUP($D1589,Details!$A$2:$C$11,2,false),vlookup($D1589,Details!$E$2:$G$11,2,false))</f>
        <v>25</v>
      </c>
      <c r="M1589" s="18" t="str">
        <f>iferror(VLOOKUP($D1589,Details!$A$2:$C$11,3,false),vlookup($D1589,Details!$E$2:$G$11,3,false))</f>
        <v>Fruits and Vegetables</v>
      </c>
      <c r="N1589" s="18">
        <f t="shared" si="1"/>
        <v>25</v>
      </c>
      <c r="O1589" s="17"/>
      <c r="P1589" s="17"/>
      <c r="Q1589" s="17"/>
      <c r="R1589" s="17"/>
      <c r="S1589" s="17"/>
      <c r="T1589" s="17"/>
      <c r="U1589" s="17"/>
      <c r="V1589" s="17"/>
      <c r="W1589" s="17"/>
      <c r="X1589" s="17"/>
      <c r="Y1589" s="17"/>
      <c r="Z1589" s="17"/>
    </row>
    <row r="1590">
      <c r="A1590" s="18" t="str">
        <f>IFERROR(__xludf.DUMMYFUNCTION("""COMPUTED_VALUE"""),"ord_71568")</f>
        <v>ord_71568</v>
      </c>
      <c r="B1590" s="18" t="str">
        <f>IFERROR(__xludf.DUMMYFUNCTION("""COMPUTED_VALUE"""),"Ishaan Chaturvedi")</f>
        <v>Ishaan Chaturvedi</v>
      </c>
      <c r="C1590" s="18" t="str">
        <f>IFERROR(__xludf.DUMMYFUNCTION("""COMPUTED_VALUE"""),"Bandra")</f>
        <v>Bandra</v>
      </c>
      <c r="D1590" s="18" t="str">
        <f>IFERROR(__xludf.DUMMYFUNCTION("""COMPUTED_VALUE"""),"Banana")</f>
        <v>Banana</v>
      </c>
      <c r="E1590" s="18">
        <f>IFERROR(__xludf.DUMMYFUNCTION("""COMPUTED_VALUE"""),2.0)</f>
        <v>2</v>
      </c>
      <c r="F1590" s="18" t="str">
        <f>IFERROR(__xludf.DUMMYFUNCTION("""COMPUTED_VALUE"""),"Sita T")</f>
        <v>Sita T</v>
      </c>
      <c r="G1590" s="19">
        <f>IFERROR(__xludf.DUMMYFUNCTION("""COMPUTED_VALUE"""),45220.0)</f>
        <v>45220</v>
      </c>
      <c r="H1590" s="18" t="str">
        <f>IFERROR(__xludf.DUMMYFUNCTION("""COMPUTED_VALUE"""),"UPI")</f>
        <v>UPI</v>
      </c>
      <c r="I1590" s="18" t="str">
        <f>IFERROR(__xludf.DUMMYFUNCTION("""COMPUTED_VALUE"""),"Delivered")</f>
        <v>Delivered</v>
      </c>
      <c r="J1590" s="18" t="str">
        <f>IFERROR(__xludf.DUMMYFUNCTION("""COMPUTED_VALUE"""),"Overall Satisfaction")</f>
        <v>Overall Satisfaction</v>
      </c>
      <c r="K1590" s="18" t="str">
        <f>IFERROR(__xludf.DUMMYFUNCTION("""COMPUTED_VALUE"""),"Great service will order again")</f>
        <v>Great service will order again</v>
      </c>
      <c r="L1590" s="18">
        <f>iferror(VLOOKUP($D1590,Details!$A$2:$C$11,2,false),vlookup($D1590,Details!$E$2:$G$11,2,false))</f>
        <v>80</v>
      </c>
      <c r="M1590" s="18" t="str">
        <f>iferror(VLOOKUP($D1590,Details!$A$2:$C$11,3,false),vlookup($D1590,Details!$E$2:$G$11,3,false))</f>
        <v>Fruits and Vegetables</v>
      </c>
      <c r="N1590" s="18">
        <f t="shared" si="1"/>
        <v>160</v>
      </c>
      <c r="O1590" s="17"/>
      <c r="P1590" s="17"/>
      <c r="Q1590" s="17"/>
      <c r="R1590" s="17"/>
      <c r="S1590" s="17"/>
      <c r="T1590" s="17"/>
      <c r="U1590" s="17"/>
      <c r="V1590" s="17"/>
      <c r="W1590" s="17"/>
      <c r="X1590" s="17"/>
      <c r="Y1590" s="17"/>
      <c r="Z1590" s="17"/>
    </row>
    <row r="1591">
      <c r="A1591" s="18" t="str">
        <f>IFERROR(__xludf.DUMMYFUNCTION("""COMPUTED_VALUE"""),"ord_71569")</f>
        <v>ord_71569</v>
      </c>
      <c r="B1591" s="18" t="str">
        <f>IFERROR(__xludf.DUMMYFUNCTION("""COMPUTED_VALUE"""),"Ishita Banerjee")</f>
        <v>Ishita Banerjee</v>
      </c>
      <c r="C1591" s="18" t="str">
        <f>IFERROR(__xludf.DUMMYFUNCTION("""COMPUTED_VALUE"""),"Juhu")</f>
        <v>Juhu</v>
      </c>
      <c r="D1591" s="18" t="str">
        <f>IFERROR(__xludf.DUMMYFUNCTION("""COMPUTED_VALUE"""),"Tomato")</f>
        <v>Tomato</v>
      </c>
      <c r="E1591" s="18">
        <f>IFERROR(__xludf.DUMMYFUNCTION("""COMPUTED_VALUE"""),2.0)</f>
        <v>2</v>
      </c>
      <c r="F1591" s="18" t="str">
        <f>IFERROR(__xludf.DUMMYFUNCTION("""COMPUTED_VALUE"""),"Not Assigned")</f>
        <v>Not Assigned</v>
      </c>
      <c r="G1591" s="19">
        <f>IFERROR(__xludf.DUMMYFUNCTION("""COMPUTED_VALUE"""),45264.0)</f>
        <v>45264</v>
      </c>
      <c r="H1591" s="18" t="str">
        <f>IFERROR(__xludf.DUMMYFUNCTION("""COMPUTED_VALUE"""),"Credit Card")</f>
        <v>Credit Card</v>
      </c>
      <c r="I1591" s="18" t="str">
        <f>IFERROR(__xludf.DUMMYFUNCTION("""COMPUTED_VALUE"""),"Cancelled")</f>
        <v>Cancelled</v>
      </c>
      <c r="J1591" s="18" t="str">
        <f>IFERROR(__xludf.DUMMYFUNCTION("""COMPUTED_VALUE"""),"App Glitches")</f>
        <v>App Glitches</v>
      </c>
      <c r="K1591" s="18" t="str">
        <f>IFERROR(__xludf.DUMMYFUNCTION("""COMPUTED_VALUE"""),"Payment Button Malfunction")</f>
        <v>Payment Button Malfunction</v>
      </c>
      <c r="L1591" s="18">
        <f>iferror(VLOOKUP($D1591,Details!$A$2:$C$11,2,false),vlookup($D1591,Details!$E$2:$G$11,2,false))</f>
        <v>25</v>
      </c>
      <c r="M1591" s="18" t="str">
        <f>iferror(VLOOKUP($D1591,Details!$A$2:$C$11,3,false),vlookup($D1591,Details!$E$2:$G$11,3,false))</f>
        <v>Fruits and Vegetables</v>
      </c>
      <c r="N1591" s="18">
        <f t="shared" si="1"/>
        <v>50</v>
      </c>
      <c r="O1591" s="17"/>
      <c r="P1591" s="17"/>
      <c r="Q1591" s="17"/>
      <c r="R1591" s="17"/>
      <c r="S1591" s="17"/>
      <c r="T1591" s="17"/>
      <c r="U1591" s="17"/>
      <c r="V1591" s="17"/>
      <c r="W1591" s="17"/>
      <c r="X1591" s="17"/>
      <c r="Y1591" s="17"/>
      <c r="Z1591" s="17"/>
    </row>
    <row r="1592">
      <c r="A1592" s="18" t="str">
        <f>IFERROR(__xludf.DUMMYFUNCTION("""COMPUTED_VALUE"""),"ord_71570")</f>
        <v>ord_71570</v>
      </c>
      <c r="B1592" s="18" t="str">
        <f>IFERROR(__xludf.DUMMYFUNCTION("""COMPUTED_VALUE"""),"Aarav Mehta")</f>
        <v>Aarav Mehta</v>
      </c>
      <c r="C1592" s="18" t="str">
        <f>IFERROR(__xludf.DUMMYFUNCTION("""COMPUTED_VALUE"""),"Andheri")</f>
        <v>Andheri</v>
      </c>
      <c r="D1592" s="18" t="str">
        <f>IFERROR(__xludf.DUMMYFUNCTION("""COMPUTED_VALUE"""),"Chicken Puff")</f>
        <v>Chicken Puff</v>
      </c>
      <c r="E1592" s="18">
        <f>IFERROR(__xludf.DUMMYFUNCTION("""COMPUTED_VALUE"""),1.0)</f>
        <v>1</v>
      </c>
      <c r="F1592" s="18" t="str">
        <f>IFERROR(__xludf.DUMMYFUNCTION("""COMPUTED_VALUE"""),"Ramesh S")</f>
        <v>Ramesh S</v>
      </c>
      <c r="G1592" s="19">
        <f>IFERROR(__xludf.DUMMYFUNCTION("""COMPUTED_VALUE"""),45248.0)</f>
        <v>45248</v>
      </c>
      <c r="H1592" s="18" t="str">
        <f>IFERROR(__xludf.DUMMYFUNCTION("""COMPUTED_VALUE"""),"UPI")</f>
        <v>UPI</v>
      </c>
      <c r="I1592" s="18" t="str">
        <f>IFERROR(__xludf.DUMMYFUNCTION("""COMPUTED_VALUE"""),"Delivered")</f>
        <v>Delivered</v>
      </c>
      <c r="J1592" s="18" t="str">
        <f>IFERROR(__xludf.DUMMYFUNCTION("""COMPUTED_VALUE"""),"On-time Delivery")</f>
        <v>On-time Delivery</v>
      </c>
      <c r="K1592" s="18" t="str">
        <f>IFERROR(__xludf.DUMMYFUNCTION("""COMPUTED_VALUE"""),"Delivered on time")</f>
        <v>Delivered on time</v>
      </c>
      <c r="L1592" s="18">
        <f>iferror(VLOOKUP($D1592,Details!$A$2:$C$11,2,false),vlookup($D1592,Details!$E$2:$G$11,2,false))</f>
        <v>90</v>
      </c>
      <c r="M1592" s="18" t="str">
        <f>iferror(VLOOKUP($D1592,Details!$A$2:$C$11,3,false),vlookup($D1592,Details!$E$2:$G$11,3,false))</f>
        <v>Snacks and Drinks</v>
      </c>
      <c r="N1592" s="18">
        <f t="shared" si="1"/>
        <v>90</v>
      </c>
      <c r="O1592" s="17"/>
      <c r="P1592" s="17"/>
      <c r="Q1592" s="17"/>
      <c r="R1592" s="17"/>
      <c r="S1592" s="17"/>
      <c r="T1592" s="17"/>
      <c r="U1592" s="17"/>
      <c r="V1592" s="17"/>
      <c r="W1592" s="17"/>
      <c r="X1592" s="17"/>
      <c r="Y1592" s="17"/>
      <c r="Z1592" s="17"/>
    </row>
    <row r="1593">
      <c r="A1593" s="18" t="str">
        <f>IFERROR(__xludf.DUMMYFUNCTION("""COMPUTED_VALUE"""),"ord_71571")</f>
        <v>ord_71571</v>
      </c>
      <c r="B1593" s="18" t="str">
        <f>IFERROR(__xludf.DUMMYFUNCTION("""COMPUTED_VALUE"""),"Arvind Kulkarni")</f>
        <v>Arvind Kulkarni</v>
      </c>
      <c r="C1593" s="18" t="str">
        <f>IFERROR(__xludf.DUMMYFUNCTION("""COMPUTED_VALUE"""),"Juhu")</f>
        <v>Juhu</v>
      </c>
      <c r="D1593" s="18" t="str">
        <f>IFERROR(__xludf.DUMMYFUNCTION("""COMPUTED_VALUE"""),"Chilli Cheese Toast")</f>
        <v>Chilli Cheese Toast</v>
      </c>
      <c r="E1593" s="18">
        <f>IFERROR(__xludf.DUMMYFUNCTION("""COMPUTED_VALUE"""),5.0)</f>
        <v>5</v>
      </c>
      <c r="F1593" s="18" t="str">
        <f>IFERROR(__xludf.DUMMYFUNCTION("""COMPUTED_VALUE"""),"Sita T")</f>
        <v>Sita T</v>
      </c>
      <c r="G1593" s="19">
        <f>IFERROR(__xludf.DUMMYFUNCTION("""COMPUTED_VALUE"""),45142.0)</f>
        <v>45142</v>
      </c>
      <c r="H1593" s="18" t="str">
        <f>IFERROR(__xludf.DUMMYFUNCTION("""COMPUTED_VALUE"""),"UPI")</f>
        <v>UPI</v>
      </c>
      <c r="I1593" s="18" t="str">
        <f>IFERROR(__xludf.DUMMYFUNCTION("""COMPUTED_VALUE"""),"Delivered")</f>
        <v>Delivered</v>
      </c>
      <c r="J1593" s="18" t="str">
        <f>IFERROR(__xludf.DUMMYFUNCTION("""COMPUTED_VALUE"""),"Quality of Items")</f>
        <v>Quality of Items</v>
      </c>
      <c r="K1593" s="18" t="str">
        <f>IFERROR(__xludf.DUMMYFUNCTION("""COMPUTED_VALUE"""),"Perfect condition")</f>
        <v>Perfect condition</v>
      </c>
      <c r="L1593" s="18">
        <f>iferror(VLOOKUP($D1593,Details!$A$2:$C$11,2,false),vlookup($D1593,Details!$E$2:$G$11,2,false))</f>
        <v>80</v>
      </c>
      <c r="M1593" s="18" t="str">
        <f>iferror(VLOOKUP($D1593,Details!$A$2:$C$11,3,false),vlookup($D1593,Details!$E$2:$G$11,3,false))</f>
        <v>Snacks and Drinks</v>
      </c>
      <c r="N1593" s="18">
        <f t="shared" si="1"/>
        <v>400</v>
      </c>
      <c r="O1593" s="17"/>
      <c r="P1593" s="17"/>
      <c r="Q1593" s="17"/>
      <c r="R1593" s="17"/>
      <c r="S1593" s="17"/>
      <c r="T1593" s="17"/>
      <c r="U1593" s="17"/>
      <c r="V1593" s="17"/>
      <c r="W1593" s="17"/>
      <c r="X1593" s="17"/>
      <c r="Y1593" s="17"/>
      <c r="Z1593" s="17"/>
    </row>
    <row r="1594">
      <c r="A1594" s="18" t="str">
        <f>IFERROR(__xludf.DUMMYFUNCTION("""COMPUTED_VALUE"""),"ord_71572")</f>
        <v>ord_71572</v>
      </c>
      <c r="B1594" s="18" t="str">
        <f>IFERROR(__xludf.DUMMYFUNCTION("""COMPUTED_VALUE"""),"Aarav Mehta")</f>
        <v>Aarav Mehta</v>
      </c>
      <c r="C1594" s="18" t="str">
        <f>IFERROR(__xludf.DUMMYFUNCTION("""COMPUTED_VALUE"""),"Andheri")</f>
        <v>Andheri</v>
      </c>
      <c r="D1594" s="18" t="str">
        <f>IFERROR(__xludf.DUMMYFUNCTION("""COMPUTED_VALUE"""),"Chicken Puff")</f>
        <v>Chicken Puff</v>
      </c>
      <c r="E1594" s="18">
        <f>IFERROR(__xludf.DUMMYFUNCTION("""COMPUTED_VALUE"""),3.0)</f>
        <v>3</v>
      </c>
      <c r="F1594" s="18" t="str">
        <f>IFERROR(__xludf.DUMMYFUNCTION("""COMPUTED_VALUE"""),"Ramesh S")</f>
        <v>Ramesh S</v>
      </c>
      <c r="G1594" s="19">
        <f>IFERROR(__xludf.DUMMYFUNCTION("""COMPUTED_VALUE"""),45273.0)</f>
        <v>45273</v>
      </c>
      <c r="H1594" s="18" t="str">
        <f>IFERROR(__xludf.DUMMYFUNCTION("""COMPUTED_VALUE"""),"Online Payment")</f>
        <v>Online Payment</v>
      </c>
      <c r="I1594" s="18" t="str">
        <f>IFERROR(__xludf.DUMMYFUNCTION("""COMPUTED_VALUE"""),"Delivered")</f>
        <v>Delivered</v>
      </c>
      <c r="J1594" s="18" t="str">
        <f>IFERROR(__xludf.DUMMYFUNCTION("""COMPUTED_VALUE"""),"On-time Delivery")</f>
        <v>On-time Delivery</v>
      </c>
      <c r="K1594" s="18" t="str">
        <f>IFERROR(__xludf.DUMMYFUNCTION("""COMPUTED_VALUE"""),"Delivered on time")</f>
        <v>Delivered on time</v>
      </c>
      <c r="L1594" s="18">
        <f>iferror(VLOOKUP($D1594,Details!$A$2:$C$11,2,false),vlookup($D1594,Details!$E$2:$G$11,2,false))</f>
        <v>90</v>
      </c>
      <c r="M1594" s="18" t="str">
        <f>iferror(VLOOKUP($D1594,Details!$A$2:$C$11,3,false),vlookup($D1594,Details!$E$2:$G$11,3,false))</f>
        <v>Snacks and Drinks</v>
      </c>
      <c r="N1594" s="18">
        <f t="shared" si="1"/>
        <v>270</v>
      </c>
      <c r="O1594" s="17"/>
      <c r="P1594" s="17"/>
      <c r="Q1594" s="17"/>
      <c r="R1594" s="17"/>
      <c r="S1594" s="17"/>
      <c r="T1594" s="17"/>
      <c r="U1594" s="17"/>
      <c r="V1594" s="17"/>
      <c r="W1594" s="17"/>
      <c r="X1594" s="17"/>
      <c r="Y1594" s="17"/>
      <c r="Z1594" s="17"/>
    </row>
    <row r="1595">
      <c r="A1595" s="18" t="str">
        <f>IFERROR(__xludf.DUMMYFUNCTION("""COMPUTED_VALUE"""),"ord_71573")</f>
        <v>ord_71573</v>
      </c>
      <c r="B1595" s="18" t="str">
        <f>IFERROR(__xludf.DUMMYFUNCTION("""COMPUTED_VALUE"""),"Sakshi Tandon")</f>
        <v>Sakshi Tandon</v>
      </c>
      <c r="C1595" s="18" t="str">
        <f>IFERROR(__xludf.DUMMYFUNCTION("""COMPUTED_VALUE"""),"Colaba")</f>
        <v>Colaba</v>
      </c>
      <c r="D1595" s="18" t="str">
        <f>IFERROR(__xludf.DUMMYFUNCTION("""COMPUTED_VALUE"""),"Guava")</f>
        <v>Guava</v>
      </c>
      <c r="E1595" s="18">
        <f>IFERROR(__xludf.DUMMYFUNCTION("""COMPUTED_VALUE"""),2.0)</f>
        <v>2</v>
      </c>
      <c r="F1595" s="18" t="str">
        <f>IFERROR(__xludf.DUMMYFUNCTION("""COMPUTED_VALUE"""),"Sita T")</f>
        <v>Sita T</v>
      </c>
      <c r="G1595" s="19">
        <f>IFERROR(__xludf.DUMMYFUNCTION("""COMPUTED_VALUE"""),44959.0)</f>
        <v>44959</v>
      </c>
      <c r="H1595" s="18" t="str">
        <f>IFERROR(__xludf.DUMMYFUNCTION("""COMPUTED_VALUE"""),"UPI")</f>
        <v>UPI</v>
      </c>
      <c r="I1595" s="18" t="str">
        <f>IFERROR(__xludf.DUMMYFUNCTION("""COMPUTED_VALUE"""),"Delivered")</f>
        <v>Delivered</v>
      </c>
      <c r="J1595" s="18" t="str">
        <f>IFERROR(__xludf.DUMMYFUNCTION("""COMPUTED_VALUE"""),"Quality of Items")</f>
        <v>Quality of Items</v>
      </c>
      <c r="K1595" s="18" t="str">
        <f>IFERROR(__xludf.DUMMYFUNCTION("""COMPUTED_VALUE"""),"Perfect condition")</f>
        <v>Perfect condition</v>
      </c>
      <c r="L1595" s="18">
        <f>iferror(VLOOKUP($D1595,Details!$A$2:$C$11,2,false),vlookup($D1595,Details!$E$2:$G$11,2,false))</f>
        <v>70</v>
      </c>
      <c r="M1595" s="18" t="str">
        <f>iferror(VLOOKUP($D1595,Details!$A$2:$C$11,3,false),vlookup($D1595,Details!$E$2:$G$11,3,false))</f>
        <v>Fruits and Vegetables</v>
      </c>
      <c r="N1595" s="18">
        <f t="shared" si="1"/>
        <v>140</v>
      </c>
      <c r="O1595" s="17"/>
      <c r="P1595" s="17"/>
      <c r="Q1595" s="17"/>
      <c r="R1595" s="17"/>
      <c r="S1595" s="17"/>
      <c r="T1595" s="17"/>
      <c r="U1595" s="17"/>
      <c r="V1595" s="17"/>
      <c r="W1595" s="17"/>
      <c r="X1595" s="17"/>
      <c r="Y1595" s="17"/>
      <c r="Z1595" s="17"/>
    </row>
    <row r="1596">
      <c r="A1596" s="18" t="str">
        <f>IFERROR(__xludf.DUMMYFUNCTION("""COMPUTED_VALUE"""),"ord_71574")</f>
        <v>ord_71574</v>
      </c>
      <c r="B1596" s="18" t="str">
        <f>IFERROR(__xludf.DUMMYFUNCTION("""COMPUTED_VALUE"""),"Aditi Iyer")</f>
        <v>Aditi Iyer</v>
      </c>
      <c r="C1596" s="18" t="str">
        <f>IFERROR(__xludf.DUMMYFUNCTION("""COMPUTED_VALUE"""),"Dadar")</f>
        <v>Dadar</v>
      </c>
      <c r="D1596" s="18" t="str">
        <f>IFERROR(__xludf.DUMMYFUNCTION("""COMPUTED_VALUE"""),"Popcorn")</f>
        <v>Popcorn</v>
      </c>
      <c r="E1596" s="18">
        <f>IFERROR(__xludf.DUMMYFUNCTION("""COMPUTED_VALUE"""),2.0)</f>
        <v>2</v>
      </c>
      <c r="F1596" s="18" t="str">
        <f>IFERROR(__xludf.DUMMYFUNCTION("""COMPUTED_VALUE"""),"Nithin Lal")</f>
        <v>Nithin Lal</v>
      </c>
      <c r="G1596" s="19">
        <f>IFERROR(__xludf.DUMMYFUNCTION("""COMPUTED_VALUE"""),45015.0)</f>
        <v>45015</v>
      </c>
      <c r="H1596" s="18" t="str">
        <f>IFERROR(__xludf.DUMMYFUNCTION("""COMPUTED_VALUE"""),"Credit Card")</f>
        <v>Credit Card</v>
      </c>
      <c r="I1596" s="18" t="str">
        <f>IFERROR(__xludf.DUMMYFUNCTION("""COMPUTED_VALUE"""),"Delivered")</f>
        <v>Delivered</v>
      </c>
      <c r="J1596" s="18" t="str">
        <f>IFERROR(__xludf.DUMMYFUNCTION("""COMPUTED_VALUE"""),"Packaging")</f>
        <v>Packaging</v>
      </c>
      <c r="K1596" s="18" t="str">
        <f>IFERROR(__xludf.DUMMYFUNCTION("""COMPUTED_VALUE"""),"Secure and intact")</f>
        <v>Secure and intact</v>
      </c>
      <c r="L1596" s="18">
        <f>iferror(VLOOKUP($D1596,Details!$A$2:$C$11,2,false),vlookup($D1596,Details!$E$2:$G$11,2,false))</f>
        <v>150</v>
      </c>
      <c r="M1596" s="18" t="str">
        <f>iferror(VLOOKUP($D1596,Details!$A$2:$C$11,3,false),vlookup($D1596,Details!$E$2:$G$11,3,false))</f>
        <v>Snacks and Drinks</v>
      </c>
      <c r="N1596" s="18">
        <f t="shared" si="1"/>
        <v>300</v>
      </c>
      <c r="O1596" s="17"/>
      <c r="P1596" s="17"/>
      <c r="Q1596" s="17"/>
      <c r="R1596" s="17"/>
      <c r="S1596" s="17"/>
      <c r="T1596" s="17"/>
      <c r="U1596" s="17"/>
      <c r="V1596" s="17"/>
      <c r="W1596" s="17"/>
      <c r="X1596" s="17"/>
      <c r="Y1596" s="17"/>
      <c r="Z1596" s="17"/>
    </row>
    <row r="1597">
      <c r="A1597" s="18" t="str">
        <f>IFERROR(__xludf.DUMMYFUNCTION("""COMPUTED_VALUE"""),"ord_71575")</f>
        <v>ord_71575</v>
      </c>
      <c r="B1597" s="18" t="str">
        <f>IFERROR(__xludf.DUMMYFUNCTION("""COMPUTED_VALUE"""),"Arvind Kulkarni")</f>
        <v>Arvind Kulkarni</v>
      </c>
      <c r="C1597" s="18" t="str">
        <f>IFERROR(__xludf.DUMMYFUNCTION("""COMPUTED_VALUE"""),"Juhu")</f>
        <v>Juhu</v>
      </c>
      <c r="D1597" s="18" t="str">
        <f>IFERROR(__xludf.DUMMYFUNCTION("""COMPUTED_VALUE"""),"Chicken Puff")</f>
        <v>Chicken Puff</v>
      </c>
      <c r="E1597" s="18">
        <f>IFERROR(__xludf.DUMMYFUNCTION("""COMPUTED_VALUE"""),1.0)</f>
        <v>1</v>
      </c>
      <c r="F1597" s="18" t="str">
        <f>IFERROR(__xludf.DUMMYFUNCTION("""COMPUTED_VALUE"""),"Not Assigned")</f>
        <v>Not Assigned</v>
      </c>
      <c r="G1597" s="19">
        <f>IFERROR(__xludf.DUMMYFUNCTION("""COMPUTED_VALUE"""),45178.0)</f>
        <v>45178</v>
      </c>
      <c r="H1597" s="18" t="str">
        <f>IFERROR(__xludf.DUMMYFUNCTION("""COMPUTED_VALUE"""),"UPI")</f>
        <v>UPI</v>
      </c>
      <c r="I1597" s="18" t="str">
        <f>IFERROR(__xludf.DUMMYFUNCTION("""COMPUTED_VALUE"""),"Cancelled")</f>
        <v>Cancelled</v>
      </c>
      <c r="J1597" s="18" t="str">
        <f>IFERROR(__xludf.DUMMYFUNCTION("""COMPUTED_VALUE"""),"App Glitches")</f>
        <v>App Glitches</v>
      </c>
      <c r="K1597" s="18" t="str">
        <f>IFERROR(__xludf.DUMMYFUNCTION("""COMPUTED_VALUE"""),"App Freezes")</f>
        <v>App Freezes</v>
      </c>
      <c r="L1597" s="18">
        <f>iferror(VLOOKUP($D1597,Details!$A$2:$C$11,2,false),vlookup($D1597,Details!$E$2:$G$11,2,false))</f>
        <v>90</v>
      </c>
      <c r="M1597" s="18" t="str">
        <f>iferror(VLOOKUP($D1597,Details!$A$2:$C$11,3,false),vlookup($D1597,Details!$E$2:$G$11,3,false))</f>
        <v>Snacks and Drinks</v>
      </c>
      <c r="N1597" s="18">
        <f t="shared" si="1"/>
        <v>90</v>
      </c>
      <c r="O1597" s="17"/>
      <c r="P1597" s="17"/>
      <c r="Q1597" s="17"/>
      <c r="R1597" s="17"/>
      <c r="S1597" s="17"/>
      <c r="T1597" s="17"/>
      <c r="U1597" s="17"/>
      <c r="V1597" s="17"/>
      <c r="W1597" s="17"/>
      <c r="X1597" s="17"/>
      <c r="Y1597" s="17"/>
      <c r="Z1597" s="17"/>
    </row>
    <row r="1598">
      <c r="A1598" s="18" t="str">
        <f>IFERROR(__xludf.DUMMYFUNCTION("""COMPUTED_VALUE"""),"ord_71576")</f>
        <v>ord_71576</v>
      </c>
      <c r="B1598" s="18" t="str">
        <f>IFERROR(__xludf.DUMMYFUNCTION("""COMPUTED_VALUE"""),"Parth Goel")</f>
        <v>Parth Goel</v>
      </c>
      <c r="C1598" s="18" t="str">
        <f>IFERROR(__xludf.DUMMYFUNCTION("""COMPUTED_VALUE"""),"Juhu")</f>
        <v>Juhu</v>
      </c>
      <c r="D1598" s="18" t="str">
        <f>IFERROR(__xludf.DUMMYFUNCTION("""COMPUTED_VALUE"""),"Chocolate Mousse")</f>
        <v>Chocolate Mousse</v>
      </c>
      <c r="E1598" s="18">
        <f>IFERROR(__xludf.DUMMYFUNCTION("""COMPUTED_VALUE"""),2.0)</f>
        <v>2</v>
      </c>
      <c r="F1598" s="18" t="str">
        <f>IFERROR(__xludf.DUMMYFUNCTION("""COMPUTED_VALUE"""),"Ramesh S")</f>
        <v>Ramesh S</v>
      </c>
      <c r="G1598" s="19">
        <f>IFERROR(__xludf.DUMMYFUNCTION("""COMPUTED_VALUE"""),45124.0)</f>
        <v>45124</v>
      </c>
      <c r="H1598" s="18" t="str">
        <f>IFERROR(__xludf.DUMMYFUNCTION("""COMPUTED_VALUE"""),"UPI")</f>
        <v>UPI</v>
      </c>
      <c r="I1598" s="18" t="str">
        <f>IFERROR(__xludf.DUMMYFUNCTION("""COMPUTED_VALUE"""),"Delivered")</f>
        <v>Delivered</v>
      </c>
      <c r="J1598" s="18" t="str">
        <f>IFERROR(__xludf.DUMMYFUNCTION("""COMPUTED_VALUE"""),"Satisfied with the Delivery")</f>
        <v>Satisfied with the Delivery</v>
      </c>
      <c r="K1598" s="18" t="str">
        <f>IFERROR(__xludf.DUMMYFUNCTION("""COMPUTED_VALUE"""),"Timely and quality")</f>
        <v>Timely and quality</v>
      </c>
      <c r="L1598" s="18">
        <f>iferror(VLOOKUP($D1598,Details!$A$2:$C$11,2,false),vlookup($D1598,Details!$E$2:$G$11,2,false))</f>
        <v>145</v>
      </c>
      <c r="M1598" s="18" t="str">
        <f>iferror(VLOOKUP($D1598,Details!$A$2:$C$11,3,false),vlookup($D1598,Details!$E$2:$G$11,3,false))</f>
        <v>Snacks and Drinks</v>
      </c>
      <c r="N1598" s="18">
        <f t="shared" si="1"/>
        <v>290</v>
      </c>
      <c r="O1598" s="17"/>
      <c r="P1598" s="17"/>
      <c r="Q1598" s="17"/>
      <c r="R1598" s="17"/>
      <c r="S1598" s="17"/>
      <c r="T1598" s="17"/>
      <c r="U1598" s="17"/>
      <c r="V1598" s="17"/>
      <c r="W1598" s="17"/>
      <c r="X1598" s="17"/>
      <c r="Y1598" s="17"/>
      <c r="Z1598" s="17"/>
    </row>
    <row r="1599">
      <c r="A1599" s="18" t="str">
        <f>IFERROR(__xludf.DUMMYFUNCTION("""COMPUTED_VALUE"""),"ord_71577")</f>
        <v>ord_71577</v>
      </c>
      <c r="B1599" s="18" t="str">
        <f>IFERROR(__xludf.DUMMYFUNCTION("""COMPUTED_VALUE"""),"Dev Chauhan")</f>
        <v>Dev Chauhan</v>
      </c>
      <c r="C1599" s="18" t="str">
        <f>IFERROR(__xludf.DUMMYFUNCTION("""COMPUTED_VALUE"""),"Bandra")</f>
        <v>Bandra</v>
      </c>
      <c r="D1599" s="18" t="str">
        <f>IFERROR(__xludf.DUMMYFUNCTION("""COMPUTED_VALUE"""),"Cucumber")</f>
        <v>Cucumber</v>
      </c>
      <c r="E1599" s="18">
        <f>IFERROR(__xludf.DUMMYFUNCTION("""COMPUTED_VALUE"""),1.0)</f>
        <v>1</v>
      </c>
      <c r="F1599" s="18" t="str">
        <f>IFERROR(__xludf.DUMMYFUNCTION("""COMPUTED_VALUE"""),"Ramesh S")</f>
        <v>Ramesh S</v>
      </c>
      <c r="G1599" s="19">
        <f>IFERROR(__xludf.DUMMYFUNCTION("""COMPUTED_VALUE"""),45240.0)</f>
        <v>45240</v>
      </c>
      <c r="H1599" s="18" t="str">
        <f>IFERROR(__xludf.DUMMYFUNCTION("""COMPUTED_VALUE"""),"Credit Card")</f>
        <v>Credit Card</v>
      </c>
      <c r="I1599" s="18" t="str">
        <f>IFERROR(__xludf.DUMMYFUNCTION("""COMPUTED_VALUE"""),"Delivered")</f>
        <v>Delivered</v>
      </c>
      <c r="J1599" s="18" t="str">
        <f>IFERROR(__xludf.DUMMYFUNCTION("""COMPUTED_VALUE"""),"Customer Service")</f>
        <v>Customer Service</v>
      </c>
      <c r="K1599" s="18" t="str">
        <f>IFERROR(__xludf.DUMMYFUNCTION("""COMPUTED_VALUE"""),"Seamless and easy")</f>
        <v>Seamless and easy</v>
      </c>
      <c r="L1599" s="18">
        <f>iferror(VLOOKUP($D1599,Details!$A$2:$C$11,2,false),vlookup($D1599,Details!$E$2:$G$11,2,false))</f>
        <v>30</v>
      </c>
      <c r="M1599" s="18" t="str">
        <f>iferror(VLOOKUP($D1599,Details!$A$2:$C$11,3,false),vlookup($D1599,Details!$E$2:$G$11,3,false))</f>
        <v>Fruits and Vegetables</v>
      </c>
      <c r="N1599" s="18">
        <f t="shared" si="1"/>
        <v>30</v>
      </c>
      <c r="O1599" s="17"/>
      <c r="P1599" s="17"/>
      <c r="Q1599" s="17"/>
      <c r="R1599" s="17"/>
      <c r="S1599" s="17"/>
      <c r="T1599" s="17"/>
      <c r="U1599" s="17"/>
      <c r="V1599" s="17"/>
      <c r="W1599" s="17"/>
      <c r="X1599" s="17"/>
      <c r="Y1599" s="17"/>
      <c r="Z1599" s="17"/>
    </row>
    <row r="1600">
      <c r="A1600" s="18" t="str">
        <f>IFERROR(__xludf.DUMMYFUNCTION("""COMPUTED_VALUE"""),"ord_71578")</f>
        <v>ord_71578</v>
      </c>
      <c r="B1600" s="18" t="str">
        <f>IFERROR(__xludf.DUMMYFUNCTION("""COMPUTED_VALUE"""),"Tanishq Bansal")</f>
        <v>Tanishq Bansal</v>
      </c>
      <c r="C1600" s="18" t="str">
        <f>IFERROR(__xludf.DUMMYFUNCTION("""COMPUTED_VALUE"""),"Powai")</f>
        <v>Powai</v>
      </c>
      <c r="D1600" s="18" t="str">
        <f>IFERROR(__xludf.DUMMYFUNCTION("""COMPUTED_VALUE"""),"Popcorn")</f>
        <v>Popcorn</v>
      </c>
      <c r="E1600" s="18">
        <f>IFERROR(__xludf.DUMMYFUNCTION("""COMPUTED_VALUE"""),4.0)</f>
        <v>4</v>
      </c>
      <c r="F1600" s="18" t="str">
        <f>IFERROR(__xludf.DUMMYFUNCTION("""COMPUTED_VALUE"""),"Vivek Kumar")</f>
        <v>Vivek Kumar</v>
      </c>
      <c r="G1600" s="19">
        <f>IFERROR(__xludf.DUMMYFUNCTION("""COMPUTED_VALUE"""),44980.0)</f>
        <v>44980</v>
      </c>
      <c r="H1600" s="18" t="str">
        <f>IFERROR(__xludf.DUMMYFUNCTION("""COMPUTED_VALUE"""),"Credit Card")</f>
        <v>Credit Card</v>
      </c>
      <c r="I1600" s="18" t="str">
        <f>IFERROR(__xludf.DUMMYFUNCTION("""COMPUTED_VALUE"""),"Delivered")</f>
        <v>Delivered</v>
      </c>
      <c r="J1600" s="18" t="str">
        <f>IFERROR(__xludf.DUMMYFUNCTION("""COMPUTED_VALUE"""),"Delivery Experience")</f>
        <v>Delivery Experience</v>
      </c>
      <c r="K1600" s="18" t="str">
        <f>IFERROR(__xludf.DUMMYFUNCTION("""COMPUTED_VALUE"""),"Quick and professional")</f>
        <v>Quick and professional</v>
      </c>
      <c r="L1600" s="18">
        <f>iferror(VLOOKUP($D1600,Details!$A$2:$C$11,2,false),vlookup($D1600,Details!$E$2:$G$11,2,false))</f>
        <v>150</v>
      </c>
      <c r="M1600" s="18" t="str">
        <f>iferror(VLOOKUP($D1600,Details!$A$2:$C$11,3,false),vlookup($D1600,Details!$E$2:$G$11,3,false))</f>
        <v>Snacks and Drinks</v>
      </c>
      <c r="N1600" s="18">
        <f t="shared" si="1"/>
        <v>600</v>
      </c>
      <c r="O1600" s="17"/>
      <c r="P1600" s="17"/>
      <c r="Q1600" s="17"/>
      <c r="R1600" s="17"/>
      <c r="S1600" s="17"/>
      <c r="T1600" s="17"/>
      <c r="U1600" s="17"/>
      <c r="V1600" s="17"/>
      <c r="W1600" s="17"/>
      <c r="X1600" s="17"/>
      <c r="Y1600" s="17"/>
      <c r="Z1600" s="17"/>
    </row>
    <row r="1601">
      <c r="A1601" s="18" t="str">
        <f>IFERROR(__xludf.DUMMYFUNCTION("""COMPUTED_VALUE"""),"ord_71579")</f>
        <v>ord_71579</v>
      </c>
      <c r="B1601" s="18" t="str">
        <f>IFERROR(__xludf.DUMMYFUNCTION("""COMPUTED_VALUE"""),"Aditi Iyer")</f>
        <v>Aditi Iyer</v>
      </c>
      <c r="C1601" s="18" t="str">
        <f>IFERROR(__xludf.DUMMYFUNCTION("""COMPUTED_VALUE"""),"Dadar")</f>
        <v>Dadar</v>
      </c>
      <c r="D1601" s="18" t="str">
        <f>IFERROR(__xludf.DUMMYFUNCTION("""COMPUTED_VALUE"""),"Tomato")</f>
        <v>Tomato</v>
      </c>
      <c r="E1601" s="18">
        <f>IFERROR(__xludf.DUMMYFUNCTION("""COMPUTED_VALUE"""),2.0)</f>
        <v>2</v>
      </c>
      <c r="F1601" s="18" t="str">
        <f>IFERROR(__xludf.DUMMYFUNCTION("""COMPUTED_VALUE"""),"Rohan Yadav")</f>
        <v>Rohan Yadav</v>
      </c>
      <c r="G1601" s="19">
        <f>IFERROR(__xludf.DUMMYFUNCTION("""COMPUTED_VALUE"""),45244.0)</f>
        <v>45244</v>
      </c>
      <c r="H1601" s="18" t="str">
        <f>IFERROR(__xludf.DUMMYFUNCTION("""COMPUTED_VALUE"""),"UPI")</f>
        <v>UPI</v>
      </c>
      <c r="I1601" s="18" t="str">
        <f>IFERROR(__xludf.DUMMYFUNCTION("""COMPUTED_VALUE"""),"Cancelled")</f>
        <v>Cancelled</v>
      </c>
      <c r="J1601" s="18" t="str">
        <f>IFERROR(__xludf.DUMMYFUNCTION("""COMPUTED_VALUE"""),"Delayed Delivery")</f>
        <v>Delayed Delivery</v>
      </c>
      <c r="K1601" s="18" t="str">
        <f>IFERROR(__xludf.DUMMYFUNCTION("""COMPUTED_VALUE"""),"Vehicle Breakdown")</f>
        <v>Vehicle Breakdown</v>
      </c>
      <c r="L1601" s="18">
        <f>iferror(VLOOKUP($D1601,Details!$A$2:$C$11,2,false),vlookup($D1601,Details!$E$2:$G$11,2,false))</f>
        <v>25</v>
      </c>
      <c r="M1601" s="18" t="str">
        <f>iferror(VLOOKUP($D1601,Details!$A$2:$C$11,3,false),vlookup($D1601,Details!$E$2:$G$11,3,false))</f>
        <v>Fruits and Vegetables</v>
      </c>
      <c r="N1601" s="18">
        <f t="shared" si="1"/>
        <v>50</v>
      </c>
      <c r="O1601" s="17"/>
      <c r="P1601" s="17"/>
      <c r="Q1601" s="17"/>
      <c r="R1601" s="17"/>
      <c r="S1601" s="17"/>
      <c r="T1601" s="17"/>
      <c r="U1601" s="17"/>
      <c r="V1601" s="17"/>
      <c r="W1601" s="17"/>
      <c r="X1601" s="17"/>
      <c r="Y1601" s="17"/>
      <c r="Z1601" s="17"/>
    </row>
    <row r="1602">
      <c r="A1602" s="18" t="str">
        <f>IFERROR(__xludf.DUMMYFUNCTION("""COMPUTED_VALUE"""),"ord_71580")</f>
        <v>ord_71580</v>
      </c>
      <c r="B1602" s="18" t="str">
        <f>IFERROR(__xludf.DUMMYFUNCTION("""COMPUTED_VALUE"""),"Kritika Shetty")</f>
        <v>Kritika Shetty</v>
      </c>
      <c r="C1602" s="18" t="str">
        <f>IFERROR(__xludf.DUMMYFUNCTION("""COMPUTED_VALUE"""),"Malad")</f>
        <v>Malad</v>
      </c>
      <c r="D1602" s="18" t="str">
        <f>IFERROR(__xludf.DUMMYFUNCTION("""COMPUTED_VALUE"""),"Potato")</f>
        <v>Potato</v>
      </c>
      <c r="E1602" s="18">
        <f>IFERROR(__xludf.DUMMYFUNCTION("""COMPUTED_VALUE"""),2.0)</f>
        <v>2</v>
      </c>
      <c r="F1602" s="18" t="str">
        <f>IFERROR(__xludf.DUMMYFUNCTION("""COMPUTED_VALUE"""),"Manju Ajay")</f>
        <v>Manju Ajay</v>
      </c>
      <c r="G1602" s="19">
        <f>IFERROR(__xludf.DUMMYFUNCTION("""COMPUTED_VALUE"""),45258.0)</f>
        <v>45258</v>
      </c>
      <c r="H1602" s="18" t="str">
        <f>IFERROR(__xludf.DUMMYFUNCTION("""COMPUTED_VALUE"""),"Credit Card")</f>
        <v>Credit Card</v>
      </c>
      <c r="I1602" s="18" t="str">
        <f>IFERROR(__xludf.DUMMYFUNCTION("""COMPUTED_VALUE"""),"Cancelled")</f>
        <v>Cancelled</v>
      </c>
      <c r="J1602" s="18" t="str">
        <f>IFERROR(__xludf.DUMMYFUNCTION("""COMPUTED_VALUE"""),"Delayed Delivery")</f>
        <v>Delayed Delivery</v>
      </c>
      <c r="K1602" s="18" t="str">
        <f>IFERROR(__xludf.DUMMYFUNCTION("""COMPUTED_VALUE"""),"Heavy Traffic")</f>
        <v>Heavy Traffic</v>
      </c>
      <c r="L1602" s="18">
        <f>iferror(VLOOKUP($D1602,Details!$A$2:$C$11,2,false),vlookup($D1602,Details!$E$2:$G$11,2,false))</f>
        <v>55</v>
      </c>
      <c r="M1602" s="18" t="str">
        <f>iferror(VLOOKUP($D1602,Details!$A$2:$C$11,3,false),vlookup($D1602,Details!$E$2:$G$11,3,false))</f>
        <v>Fruits and Vegetables</v>
      </c>
      <c r="N1602" s="18">
        <f t="shared" si="1"/>
        <v>110</v>
      </c>
      <c r="O1602" s="17"/>
      <c r="P1602" s="17"/>
      <c r="Q1602" s="17"/>
      <c r="R1602" s="17"/>
      <c r="S1602" s="17"/>
      <c r="T1602" s="17"/>
      <c r="U1602" s="17"/>
      <c r="V1602" s="17"/>
      <c r="W1602" s="17"/>
      <c r="X1602" s="17"/>
      <c r="Y1602" s="17"/>
      <c r="Z1602" s="17"/>
    </row>
    <row r="1603">
      <c r="A1603" s="18" t="str">
        <f>IFERROR(__xludf.DUMMYFUNCTION("""COMPUTED_VALUE"""),"ord_71581")</f>
        <v>ord_71581</v>
      </c>
      <c r="B1603" s="18" t="str">
        <f>IFERROR(__xludf.DUMMYFUNCTION("""COMPUTED_VALUE"""),"Dev Chauhan")</f>
        <v>Dev Chauhan</v>
      </c>
      <c r="C1603" s="18" t="str">
        <f>IFERROR(__xludf.DUMMYFUNCTION("""COMPUTED_VALUE"""),"Bandra")</f>
        <v>Bandra</v>
      </c>
      <c r="D1603" s="18" t="str">
        <f>IFERROR(__xludf.DUMMYFUNCTION("""COMPUTED_VALUE"""),"Rasmalai")</f>
        <v>Rasmalai</v>
      </c>
      <c r="E1603" s="18">
        <f>IFERROR(__xludf.DUMMYFUNCTION("""COMPUTED_VALUE"""),2.0)</f>
        <v>2</v>
      </c>
      <c r="F1603" s="18" t="str">
        <f>IFERROR(__xludf.DUMMYFUNCTION("""COMPUTED_VALUE"""),"Shine Thomas")</f>
        <v>Shine Thomas</v>
      </c>
      <c r="G1603" s="19">
        <f>IFERROR(__xludf.DUMMYFUNCTION("""COMPUTED_VALUE"""),45058.0)</f>
        <v>45058</v>
      </c>
      <c r="H1603" s="18" t="str">
        <f>IFERROR(__xludf.DUMMYFUNCTION("""COMPUTED_VALUE"""),"UPI")</f>
        <v>UPI</v>
      </c>
      <c r="I1603" s="18" t="str">
        <f>IFERROR(__xludf.DUMMYFUNCTION("""COMPUTED_VALUE"""),"Delivered")</f>
        <v>Delivered</v>
      </c>
      <c r="J1603" s="18" t="str">
        <f>IFERROR(__xludf.DUMMYFUNCTION("""COMPUTED_VALUE"""),"Convenience")</f>
        <v>Convenience</v>
      </c>
      <c r="K1603" s="18" t="str">
        <f>IFERROR(__xludf.DUMMYFUNCTION("""COMPUTED_VALUE"""),"Easy tracking")</f>
        <v>Easy tracking</v>
      </c>
      <c r="L1603" s="18">
        <f>iferror(VLOOKUP($D1603,Details!$A$2:$C$11,2,false),vlookup($D1603,Details!$E$2:$G$11,2,false))</f>
        <v>110</v>
      </c>
      <c r="M1603" s="18" t="str">
        <f>iferror(VLOOKUP($D1603,Details!$A$2:$C$11,3,false),vlookup($D1603,Details!$E$2:$G$11,3,false))</f>
        <v>Snacks and Drinks</v>
      </c>
      <c r="N1603" s="18">
        <f t="shared" si="1"/>
        <v>220</v>
      </c>
      <c r="O1603" s="17"/>
      <c r="P1603" s="17"/>
      <c r="Q1603" s="17"/>
      <c r="R1603" s="17"/>
      <c r="S1603" s="17"/>
      <c r="T1603" s="17"/>
      <c r="U1603" s="17"/>
      <c r="V1603" s="17"/>
      <c r="W1603" s="17"/>
      <c r="X1603" s="17"/>
      <c r="Y1603" s="17"/>
      <c r="Z1603" s="17"/>
    </row>
    <row r="1604">
      <c r="A1604" s="18" t="str">
        <f>IFERROR(__xludf.DUMMYFUNCTION("""COMPUTED_VALUE"""),"ord_71582")</f>
        <v>ord_71582</v>
      </c>
      <c r="B1604" s="18" t="str">
        <f>IFERROR(__xludf.DUMMYFUNCTION("""COMPUTED_VALUE"""),"Mohit Malhotra")</f>
        <v>Mohit Malhotra</v>
      </c>
      <c r="C1604" s="18" t="str">
        <f>IFERROR(__xludf.DUMMYFUNCTION("""COMPUTED_VALUE"""),"Lower Parel")</f>
        <v>Lower Parel</v>
      </c>
      <c r="D1604" s="18" t="str">
        <f>IFERROR(__xludf.DUMMYFUNCTION("""COMPUTED_VALUE"""),"Cold Coffee")</f>
        <v>Cold Coffee</v>
      </c>
      <c r="E1604" s="18">
        <f>IFERROR(__xludf.DUMMYFUNCTION("""COMPUTED_VALUE"""),3.0)</f>
        <v>3</v>
      </c>
      <c r="F1604" s="18" t="str">
        <f>IFERROR(__xludf.DUMMYFUNCTION("""COMPUTED_VALUE"""),"Vivek Kumar")</f>
        <v>Vivek Kumar</v>
      </c>
      <c r="G1604" s="19">
        <f>IFERROR(__xludf.DUMMYFUNCTION("""COMPUTED_VALUE"""),45067.0)</f>
        <v>45067</v>
      </c>
      <c r="H1604" s="18" t="str">
        <f>IFERROR(__xludf.DUMMYFUNCTION("""COMPUTED_VALUE"""),"Online Payment")</f>
        <v>Online Payment</v>
      </c>
      <c r="I1604" s="18" t="str">
        <f>IFERROR(__xludf.DUMMYFUNCTION("""COMPUTED_VALUE"""),"Delivered")</f>
        <v>Delivered</v>
      </c>
      <c r="J1604" s="18" t="str">
        <f>IFERROR(__xludf.DUMMYFUNCTION("""COMPUTED_VALUE"""),"Overall Satisfaction")</f>
        <v>Overall Satisfaction</v>
      </c>
      <c r="K1604" s="18" t="str">
        <f>IFERROR(__xludf.DUMMYFUNCTION("""COMPUTED_VALUE"""),"Great service will order again")</f>
        <v>Great service will order again</v>
      </c>
      <c r="L1604" s="18">
        <f>iferror(VLOOKUP($D1604,Details!$A$2:$C$11,2,false),vlookup($D1604,Details!$E$2:$G$11,2,false))</f>
        <v>270</v>
      </c>
      <c r="M1604" s="18" t="str">
        <f>iferror(VLOOKUP($D1604,Details!$A$2:$C$11,3,false),vlookup($D1604,Details!$E$2:$G$11,3,false))</f>
        <v>Snacks and Drinks</v>
      </c>
      <c r="N1604" s="18">
        <f t="shared" si="1"/>
        <v>810</v>
      </c>
      <c r="O1604" s="17"/>
      <c r="P1604" s="17"/>
      <c r="Q1604" s="17"/>
      <c r="R1604" s="17"/>
      <c r="S1604" s="17"/>
      <c r="T1604" s="17"/>
      <c r="U1604" s="17"/>
      <c r="V1604" s="17"/>
      <c r="W1604" s="17"/>
      <c r="X1604" s="17"/>
      <c r="Y1604" s="17"/>
      <c r="Z1604" s="17"/>
    </row>
    <row r="1605">
      <c r="A1605" s="18" t="str">
        <f>IFERROR(__xludf.DUMMYFUNCTION("""COMPUTED_VALUE"""),"ord_71583")</f>
        <v>ord_71583</v>
      </c>
      <c r="B1605" s="18" t="str">
        <f>IFERROR(__xludf.DUMMYFUNCTION("""COMPUTED_VALUE"""),"Diya Arora")</f>
        <v>Diya Arora</v>
      </c>
      <c r="C1605" s="18" t="str">
        <f>IFERROR(__xludf.DUMMYFUNCTION("""COMPUTED_VALUE"""),"Lower Parel")</f>
        <v>Lower Parel</v>
      </c>
      <c r="D1605" s="18" t="str">
        <f>IFERROR(__xludf.DUMMYFUNCTION("""COMPUTED_VALUE"""),"Apple")</f>
        <v>Apple</v>
      </c>
      <c r="E1605" s="18">
        <f>IFERROR(__xludf.DUMMYFUNCTION("""COMPUTED_VALUE"""),1.0)</f>
        <v>1</v>
      </c>
      <c r="F1605" s="18" t="str">
        <f>IFERROR(__xludf.DUMMYFUNCTION("""COMPUTED_VALUE"""),"Ram Gopal")</f>
        <v>Ram Gopal</v>
      </c>
      <c r="G1605" s="19">
        <f>IFERROR(__xludf.DUMMYFUNCTION("""COMPUTED_VALUE"""),45002.0)</f>
        <v>45002</v>
      </c>
      <c r="H1605" s="18" t="str">
        <f>IFERROR(__xludf.DUMMYFUNCTION("""COMPUTED_VALUE"""),"UPI")</f>
        <v>UPI</v>
      </c>
      <c r="I1605" s="18" t="str">
        <f>IFERROR(__xludf.DUMMYFUNCTION("""COMPUTED_VALUE"""),"Delivered")</f>
        <v>Delivered</v>
      </c>
      <c r="J1605" s="18" t="str">
        <f>IFERROR(__xludf.DUMMYFUNCTION("""COMPUTED_VALUE"""),"On-time Delivery")</f>
        <v>On-time Delivery</v>
      </c>
      <c r="K1605" s="18" t="str">
        <f>IFERROR(__xludf.DUMMYFUNCTION("""COMPUTED_VALUE"""),"Delivered on time")</f>
        <v>Delivered on time</v>
      </c>
      <c r="L1605" s="18">
        <f>iferror(VLOOKUP($D1605,Details!$A$2:$C$11,2,false),vlookup($D1605,Details!$E$2:$G$11,2,false))</f>
        <v>230</v>
      </c>
      <c r="M1605" s="18" t="str">
        <f>iferror(VLOOKUP($D1605,Details!$A$2:$C$11,3,false),vlookup($D1605,Details!$E$2:$G$11,3,false))</f>
        <v>Fruits and Vegetables</v>
      </c>
      <c r="N1605" s="18">
        <f t="shared" si="1"/>
        <v>230</v>
      </c>
      <c r="O1605" s="17"/>
      <c r="P1605" s="17"/>
      <c r="Q1605" s="17"/>
      <c r="R1605" s="17"/>
      <c r="S1605" s="17"/>
      <c r="T1605" s="17"/>
      <c r="U1605" s="17"/>
      <c r="V1605" s="17"/>
      <c r="W1605" s="17"/>
      <c r="X1605" s="17"/>
      <c r="Y1605" s="17"/>
      <c r="Z1605" s="17"/>
    </row>
    <row r="1606">
      <c r="A1606" s="18" t="str">
        <f>IFERROR(__xludf.DUMMYFUNCTION("""COMPUTED_VALUE"""),"ord_71584")</f>
        <v>ord_71584</v>
      </c>
      <c r="B1606" s="18" t="str">
        <f>IFERROR(__xludf.DUMMYFUNCTION("""COMPUTED_VALUE"""),"Pranav Joshi")</f>
        <v>Pranav Joshi</v>
      </c>
      <c r="C1606" s="18" t="str">
        <f>IFERROR(__xludf.DUMMYFUNCTION("""COMPUTED_VALUE"""),"Andheri")</f>
        <v>Andheri</v>
      </c>
      <c r="D1606" s="18" t="str">
        <f>IFERROR(__xludf.DUMMYFUNCTION("""COMPUTED_VALUE"""),"Chocolate Mousse")</f>
        <v>Chocolate Mousse</v>
      </c>
      <c r="E1606" s="18">
        <f>IFERROR(__xludf.DUMMYFUNCTION("""COMPUTED_VALUE"""),3.0)</f>
        <v>3</v>
      </c>
      <c r="F1606" s="18" t="str">
        <f>IFERROR(__xludf.DUMMYFUNCTION("""COMPUTED_VALUE"""),"Not Assigned")</f>
        <v>Not Assigned</v>
      </c>
      <c r="G1606" s="19">
        <f>IFERROR(__xludf.DUMMYFUNCTION("""COMPUTED_VALUE"""),45133.0)</f>
        <v>45133</v>
      </c>
      <c r="H1606" s="18" t="str">
        <f>IFERROR(__xludf.DUMMYFUNCTION("""COMPUTED_VALUE"""),"Credit Card")</f>
        <v>Credit Card</v>
      </c>
      <c r="I1606" s="18" t="str">
        <f>IFERROR(__xludf.DUMMYFUNCTION("""COMPUTED_VALUE"""),"Cancelled")</f>
        <v>Cancelled</v>
      </c>
      <c r="J1606" s="18" t="str">
        <f>IFERROR(__xludf.DUMMYFUNCTION("""COMPUTED_VALUE"""),"App Glitches")</f>
        <v>App Glitches</v>
      </c>
      <c r="K1606" s="18" t="str">
        <f>IFERROR(__xludf.DUMMYFUNCTION("""COMPUTED_VALUE"""),"Payment Button Malfunction")</f>
        <v>Payment Button Malfunction</v>
      </c>
      <c r="L1606" s="18">
        <f>iferror(VLOOKUP($D1606,Details!$A$2:$C$11,2,false),vlookup($D1606,Details!$E$2:$G$11,2,false))</f>
        <v>145</v>
      </c>
      <c r="M1606" s="18" t="str">
        <f>iferror(VLOOKUP($D1606,Details!$A$2:$C$11,3,false),vlookup($D1606,Details!$E$2:$G$11,3,false))</f>
        <v>Snacks and Drinks</v>
      </c>
      <c r="N1606" s="18">
        <f t="shared" si="1"/>
        <v>435</v>
      </c>
      <c r="O1606" s="17"/>
      <c r="P1606" s="17"/>
      <c r="Q1606" s="17"/>
      <c r="R1606" s="17"/>
      <c r="S1606" s="17"/>
      <c r="T1606" s="17"/>
      <c r="U1606" s="17"/>
      <c r="V1606" s="17"/>
      <c r="W1606" s="17"/>
      <c r="X1606" s="17"/>
      <c r="Y1606" s="17"/>
      <c r="Z1606" s="17"/>
    </row>
    <row r="1607">
      <c r="A1607" s="18" t="str">
        <f>IFERROR(__xludf.DUMMYFUNCTION("""COMPUTED_VALUE"""),"ord_71585")</f>
        <v>ord_71585</v>
      </c>
      <c r="B1607" s="18" t="str">
        <f>IFERROR(__xludf.DUMMYFUNCTION("""COMPUTED_VALUE"""),"Parth Goel")</f>
        <v>Parth Goel</v>
      </c>
      <c r="C1607" s="18" t="str">
        <f>IFERROR(__xludf.DUMMYFUNCTION("""COMPUTED_VALUE"""),"Juhu")</f>
        <v>Juhu</v>
      </c>
      <c r="D1607" s="18" t="str">
        <f>IFERROR(__xludf.DUMMYFUNCTION("""COMPUTED_VALUE"""),"Icecream")</f>
        <v>Icecream</v>
      </c>
      <c r="E1607" s="18">
        <f>IFERROR(__xludf.DUMMYFUNCTION("""COMPUTED_VALUE"""),2.0)</f>
        <v>2</v>
      </c>
      <c r="F1607" s="18" t="str">
        <f>IFERROR(__xludf.DUMMYFUNCTION("""COMPUTED_VALUE"""),"Sita T")</f>
        <v>Sita T</v>
      </c>
      <c r="G1607" s="19">
        <f>IFERROR(__xludf.DUMMYFUNCTION("""COMPUTED_VALUE"""),45055.0)</f>
        <v>45055</v>
      </c>
      <c r="H1607" s="18" t="str">
        <f>IFERROR(__xludf.DUMMYFUNCTION("""COMPUTED_VALUE"""),"UPI")</f>
        <v>UPI</v>
      </c>
      <c r="I1607" s="18" t="str">
        <f>IFERROR(__xludf.DUMMYFUNCTION("""COMPUTED_VALUE"""),"Delivered")</f>
        <v>Delivered</v>
      </c>
      <c r="J1607" s="18" t="str">
        <f>IFERROR(__xludf.DUMMYFUNCTION("""COMPUTED_VALUE"""),"Quality of Items")</f>
        <v>Quality of Items</v>
      </c>
      <c r="K1607" s="18" t="str">
        <f>IFERROR(__xludf.DUMMYFUNCTION("""COMPUTED_VALUE"""),"Perfect condition")</f>
        <v>Perfect condition</v>
      </c>
      <c r="L1607" s="18">
        <f>iferror(VLOOKUP($D1607,Details!$A$2:$C$11,2,false),vlookup($D1607,Details!$E$2:$G$11,2,false))</f>
        <v>90</v>
      </c>
      <c r="M1607" s="18" t="str">
        <f>iferror(VLOOKUP($D1607,Details!$A$2:$C$11,3,false),vlookup($D1607,Details!$E$2:$G$11,3,false))</f>
        <v>Snacks and Drinks</v>
      </c>
      <c r="N1607" s="18">
        <f t="shared" si="1"/>
        <v>180</v>
      </c>
      <c r="O1607" s="17"/>
      <c r="P1607" s="17"/>
      <c r="Q1607" s="17"/>
      <c r="R1607" s="17"/>
      <c r="S1607" s="17"/>
      <c r="T1607" s="17"/>
      <c r="U1607" s="17"/>
      <c r="V1607" s="17"/>
      <c r="W1607" s="17"/>
      <c r="X1607" s="17"/>
      <c r="Y1607" s="17"/>
      <c r="Z1607" s="17"/>
    </row>
    <row r="1608">
      <c r="A1608" s="18" t="str">
        <f>IFERROR(__xludf.DUMMYFUNCTION("""COMPUTED_VALUE"""),"ord_71586")</f>
        <v>ord_71586</v>
      </c>
      <c r="B1608" s="18" t="str">
        <f>IFERROR(__xludf.DUMMYFUNCTION("""COMPUTED_VALUE"""),"Dev Chauhan")</f>
        <v>Dev Chauhan</v>
      </c>
      <c r="C1608" s="18" t="str">
        <f>IFERROR(__xludf.DUMMYFUNCTION("""COMPUTED_VALUE"""),"Bandra")</f>
        <v>Bandra</v>
      </c>
      <c r="D1608" s="18" t="str">
        <f>IFERROR(__xludf.DUMMYFUNCTION("""COMPUTED_VALUE"""),"Papaya")</f>
        <v>Papaya</v>
      </c>
      <c r="E1608" s="18">
        <f>IFERROR(__xludf.DUMMYFUNCTION("""COMPUTED_VALUE"""),1.0)</f>
        <v>1</v>
      </c>
      <c r="F1608" s="18" t="str">
        <f>IFERROR(__xludf.DUMMYFUNCTION("""COMPUTED_VALUE"""),"Sandeep Kumar")</f>
        <v>Sandeep Kumar</v>
      </c>
      <c r="G1608" s="19">
        <f>IFERROR(__xludf.DUMMYFUNCTION("""COMPUTED_VALUE"""),44996.0)</f>
        <v>44996</v>
      </c>
      <c r="H1608" s="18" t="str">
        <f>IFERROR(__xludf.DUMMYFUNCTION("""COMPUTED_VALUE"""),"UPI")</f>
        <v>UPI</v>
      </c>
      <c r="I1608" s="18" t="str">
        <f>IFERROR(__xludf.DUMMYFUNCTION("""COMPUTED_VALUE"""),"Cancelled")</f>
        <v>Cancelled</v>
      </c>
      <c r="J1608" s="18" t="str">
        <f>IFERROR(__xludf.DUMMYFUNCTION("""COMPUTED_VALUE"""),"Delayed Delivery")</f>
        <v>Delayed Delivery</v>
      </c>
      <c r="K1608" s="18" t="str">
        <f>IFERROR(__xludf.DUMMYFUNCTION("""COMPUTED_VALUE"""),"Bad Weather Conditions")</f>
        <v>Bad Weather Conditions</v>
      </c>
      <c r="L1608" s="18">
        <f>iferror(VLOOKUP($D1608,Details!$A$2:$C$11,2,false),vlookup($D1608,Details!$E$2:$G$11,2,false))</f>
        <v>75</v>
      </c>
      <c r="M1608" s="18" t="str">
        <f>iferror(VLOOKUP($D1608,Details!$A$2:$C$11,3,false),vlookup($D1608,Details!$E$2:$G$11,3,false))</f>
        <v>Fruits and Vegetables</v>
      </c>
      <c r="N1608" s="18">
        <f t="shared" si="1"/>
        <v>75</v>
      </c>
      <c r="O1608" s="17"/>
      <c r="P1608" s="17"/>
      <c r="Q1608" s="17"/>
      <c r="R1608" s="17"/>
      <c r="S1608" s="17"/>
      <c r="T1608" s="17"/>
      <c r="U1608" s="17"/>
      <c r="V1608" s="17"/>
      <c r="W1608" s="17"/>
      <c r="X1608" s="17"/>
      <c r="Y1608" s="17"/>
      <c r="Z1608" s="17"/>
    </row>
    <row r="1609">
      <c r="A1609" s="18" t="str">
        <f>IFERROR(__xludf.DUMMYFUNCTION("""COMPUTED_VALUE"""),"ord_71587")</f>
        <v>ord_71587</v>
      </c>
      <c r="B1609" s="18" t="str">
        <f>IFERROR(__xludf.DUMMYFUNCTION("""COMPUTED_VALUE"""),"Tanishq Bansal")</f>
        <v>Tanishq Bansal</v>
      </c>
      <c r="C1609" s="18" t="str">
        <f>IFERROR(__xludf.DUMMYFUNCTION("""COMPUTED_VALUE"""),"Powai")</f>
        <v>Powai</v>
      </c>
      <c r="D1609" s="18" t="str">
        <f>IFERROR(__xludf.DUMMYFUNCTION("""COMPUTED_VALUE"""),"Chilli Cheese Toast")</f>
        <v>Chilli Cheese Toast</v>
      </c>
      <c r="E1609" s="18">
        <f>IFERROR(__xludf.DUMMYFUNCTION("""COMPUTED_VALUE"""),3.0)</f>
        <v>3</v>
      </c>
      <c r="F1609" s="18" t="str">
        <f>IFERROR(__xludf.DUMMYFUNCTION("""COMPUTED_VALUE"""),"Vivek Kumar")</f>
        <v>Vivek Kumar</v>
      </c>
      <c r="G1609" s="19">
        <f>IFERROR(__xludf.DUMMYFUNCTION("""COMPUTED_VALUE"""),45201.0)</f>
        <v>45201</v>
      </c>
      <c r="H1609" s="18" t="str">
        <f>IFERROR(__xludf.DUMMYFUNCTION("""COMPUTED_VALUE"""),"UPI")</f>
        <v>UPI</v>
      </c>
      <c r="I1609" s="18" t="str">
        <f>IFERROR(__xludf.DUMMYFUNCTION("""COMPUTED_VALUE"""),"Cancelled")</f>
        <v>Cancelled</v>
      </c>
      <c r="J1609" s="18" t="str">
        <f>IFERROR(__xludf.DUMMYFUNCTION("""COMPUTED_VALUE"""),"Delayed Delivery")</f>
        <v>Delayed Delivery</v>
      </c>
      <c r="K1609" s="18" t="str">
        <f>IFERROR(__xludf.DUMMYFUNCTION("""COMPUTED_VALUE"""),"Incorrect Address or Location")</f>
        <v>Incorrect Address or Location</v>
      </c>
      <c r="L1609" s="18">
        <f>iferror(VLOOKUP($D1609,Details!$A$2:$C$11,2,false),vlookup($D1609,Details!$E$2:$G$11,2,false))</f>
        <v>80</v>
      </c>
      <c r="M1609" s="18" t="str">
        <f>iferror(VLOOKUP($D1609,Details!$A$2:$C$11,3,false),vlookup($D1609,Details!$E$2:$G$11,3,false))</f>
        <v>Snacks and Drinks</v>
      </c>
      <c r="N1609" s="18">
        <f t="shared" si="1"/>
        <v>240</v>
      </c>
      <c r="O1609" s="17"/>
      <c r="P1609" s="17"/>
      <c r="Q1609" s="17"/>
      <c r="R1609" s="17"/>
      <c r="S1609" s="17"/>
      <c r="T1609" s="17"/>
      <c r="U1609" s="17"/>
      <c r="V1609" s="17"/>
      <c r="W1609" s="17"/>
      <c r="X1609" s="17"/>
      <c r="Y1609" s="17"/>
      <c r="Z1609" s="17"/>
    </row>
    <row r="1610">
      <c r="A1610" s="18" t="str">
        <f>IFERROR(__xludf.DUMMYFUNCTION("""COMPUTED_VALUE"""),"ord_71588")</f>
        <v>ord_71588</v>
      </c>
      <c r="B1610" s="18" t="str">
        <f>IFERROR(__xludf.DUMMYFUNCTION("""COMPUTED_VALUE"""),"Sakshi Tandon")</f>
        <v>Sakshi Tandon</v>
      </c>
      <c r="C1610" s="18" t="str">
        <f>IFERROR(__xludf.DUMMYFUNCTION("""COMPUTED_VALUE"""),"Colaba")</f>
        <v>Colaba</v>
      </c>
      <c r="D1610" s="18" t="str">
        <f>IFERROR(__xludf.DUMMYFUNCTION("""COMPUTED_VALUE"""),"Onion")</f>
        <v>Onion</v>
      </c>
      <c r="E1610" s="18">
        <f>IFERROR(__xludf.DUMMYFUNCTION("""COMPUTED_VALUE"""),2.0)</f>
        <v>2</v>
      </c>
      <c r="F1610" s="18" t="str">
        <f>IFERROR(__xludf.DUMMYFUNCTION("""COMPUTED_VALUE"""),"Venu R")</f>
        <v>Venu R</v>
      </c>
      <c r="G1610" s="19">
        <f>IFERROR(__xludf.DUMMYFUNCTION("""COMPUTED_VALUE"""),45222.0)</f>
        <v>45222</v>
      </c>
      <c r="H1610" s="18" t="str">
        <f>IFERROR(__xludf.DUMMYFUNCTION("""COMPUTED_VALUE"""),"Credit Card")</f>
        <v>Credit Card</v>
      </c>
      <c r="I1610" s="18" t="str">
        <f>IFERROR(__xludf.DUMMYFUNCTION("""COMPUTED_VALUE"""),"Delivered")</f>
        <v>Delivered</v>
      </c>
      <c r="J1610" s="18" t="str">
        <f>IFERROR(__xludf.DUMMYFUNCTION("""COMPUTED_VALUE"""),"On-time Delivery")</f>
        <v>On-time Delivery</v>
      </c>
      <c r="K1610" s="18" t="str">
        <f>IFERROR(__xludf.DUMMYFUNCTION("""COMPUTED_VALUE"""),"Delivered on time")</f>
        <v>Delivered on time</v>
      </c>
      <c r="L1610" s="18">
        <f>iferror(VLOOKUP($D1610,Details!$A$2:$C$11,2,false),vlookup($D1610,Details!$E$2:$G$11,2,false))</f>
        <v>84</v>
      </c>
      <c r="M1610" s="18" t="str">
        <f>iferror(VLOOKUP($D1610,Details!$A$2:$C$11,3,false),vlookup($D1610,Details!$E$2:$G$11,3,false))</f>
        <v>Fruits and Vegetables</v>
      </c>
      <c r="N1610" s="18">
        <f t="shared" si="1"/>
        <v>168</v>
      </c>
      <c r="O1610" s="17"/>
      <c r="P1610" s="17"/>
      <c r="Q1610" s="17"/>
      <c r="R1610" s="17"/>
      <c r="S1610" s="17"/>
      <c r="T1610" s="17"/>
      <c r="U1610" s="17"/>
      <c r="V1610" s="17"/>
      <c r="W1610" s="17"/>
      <c r="X1610" s="17"/>
      <c r="Y1610" s="17"/>
      <c r="Z1610" s="17"/>
    </row>
    <row r="1611">
      <c r="A1611" s="18" t="str">
        <f>IFERROR(__xludf.DUMMYFUNCTION("""COMPUTED_VALUE"""),"ord_71589")</f>
        <v>ord_71589</v>
      </c>
      <c r="B1611" s="18" t="str">
        <f>IFERROR(__xludf.DUMMYFUNCTION("""COMPUTED_VALUE"""),"Ishita Banerjee")</f>
        <v>Ishita Banerjee</v>
      </c>
      <c r="C1611" s="18" t="str">
        <f>IFERROR(__xludf.DUMMYFUNCTION("""COMPUTED_VALUE"""),"Juhu")</f>
        <v>Juhu</v>
      </c>
      <c r="D1611" s="18" t="str">
        <f>IFERROR(__xludf.DUMMYFUNCTION("""COMPUTED_VALUE"""),"Icecream")</f>
        <v>Icecream</v>
      </c>
      <c r="E1611" s="18">
        <f>IFERROR(__xludf.DUMMYFUNCTION("""COMPUTED_VALUE"""),1.0)</f>
        <v>1</v>
      </c>
      <c r="F1611" s="18" t="str">
        <f>IFERROR(__xludf.DUMMYFUNCTION("""COMPUTED_VALUE"""),"Nithin Lal")</f>
        <v>Nithin Lal</v>
      </c>
      <c r="G1611" s="19">
        <f>IFERROR(__xludf.DUMMYFUNCTION("""COMPUTED_VALUE"""),44959.0)</f>
        <v>44959</v>
      </c>
      <c r="H1611" s="18" t="str">
        <f>IFERROR(__xludf.DUMMYFUNCTION("""COMPUTED_VALUE"""),"Online Payment")</f>
        <v>Online Payment</v>
      </c>
      <c r="I1611" s="18" t="str">
        <f>IFERROR(__xludf.DUMMYFUNCTION("""COMPUTED_VALUE"""),"Delivered")</f>
        <v>Delivered</v>
      </c>
      <c r="J1611" s="18" t="str">
        <f>IFERROR(__xludf.DUMMYFUNCTION("""COMPUTED_VALUE"""),"Quality of Items")</f>
        <v>Quality of Items</v>
      </c>
      <c r="K1611" s="18" t="str">
        <f>IFERROR(__xludf.DUMMYFUNCTION("""COMPUTED_VALUE"""),"Perfect condition")</f>
        <v>Perfect condition</v>
      </c>
      <c r="L1611" s="18">
        <f>iferror(VLOOKUP($D1611,Details!$A$2:$C$11,2,false),vlookup($D1611,Details!$E$2:$G$11,2,false))</f>
        <v>90</v>
      </c>
      <c r="M1611" s="18" t="str">
        <f>iferror(VLOOKUP($D1611,Details!$A$2:$C$11,3,false),vlookup($D1611,Details!$E$2:$G$11,3,false))</f>
        <v>Snacks and Drinks</v>
      </c>
      <c r="N1611" s="18">
        <f t="shared" si="1"/>
        <v>90</v>
      </c>
      <c r="O1611" s="17"/>
      <c r="P1611" s="17"/>
      <c r="Q1611" s="17"/>
      <c r="R1611" s="17"/>
      <c r="S1611" s="17"/>
      <c r="T1611" s="17"/>
      <c r="U1611" s="17"/>
      <c r="V1611" s="17"/>
      <c r="W1611" s="17"/>
      <c r="X1611" s="17"/>
      <c r="Y1611" s="17"/>
      <c r="Z1611" s="17"/>
    </row>
    <row r="1612">
      <c r="A1612" s="18" t="str">
        <f>IFERROR(__xludf.DUMMYFUNCTION("""COMPUTED_VALUE"""),"ord_71590")</f>
        <v>ord_71590</v>
      </c>
      <c r="B1612" s="18" t="str">
        <f>IFERROR(__xludf.DUMMYFUNCTION("""COMPUTED_VALUE"""),"Omkar Mishra")</f>
        <v>Omkar Mishra</v>
      </c>
      <c r="C1612" s="18" t="str">
        <f>IFERROR(__xludf.DUMMYFUNCTION("""COMPUTED_VALUE"""),"Powai")</f>
        <v>Powai</v>
      </c>
      <c r="D1612" s="18" t="str">
        <f>IFERROR(__xludf.DUMMYFUNCTION("""COMPUTED_VALUE"""),"Sweet Corn")</f>
        <v>Sweet Corn</v>
      </c>
      <c r="E1612" s="18">
        <f>IFERROR(__xludf.DUMMYFUNCTION("""COMPUTED_VALUE"""),1.0)</f>
        <v>1</v>
      </c>
      <c r="F1612" s="18" t="str">
        <f>IFERROR(__xludf.DUMMYFUNCTION("""COMPUTED_VALUE"""),"Tanvi Jain")</f>
        <v>Tanvi Jain</v>
      </c>
      <c r="G1612" s="19">
        <f>IFERROR(__xludf.DUMMYFUNCTION("""COMPUTED_VALUE"""),45269.0)</f>
        <v>45269</v>
      </c>
      <c r="H1612" s="18" t="str">
        <f>IFERROR(__xludf.DUMMYFUNCTION("""COMPUTED_VALUE"""),"Credit Card")</f>
        <v>Credit Card</v>
      </c>
      <c r="I1612" s="18" t="str">
        <f>IFERROR(__xludf.DUMMYFUNCTION("""COMPUTED_VALUE"""),"Cancelled")</f>
        <v>Cancelled</v>
      </c>
      <c r="J1612" s="18" t="str">
        <f>IFERROR(__xludf.DUMMYFUNCTION("""COMPUTED_VALUE"""),"Delayed Delivery")</f>
        <v>Delayed Delivery</v>
      </c>
      <c r="K1612" s="18" t="str">
        <f>IFERROR(__xludf.DUMMYFUNCTION("""COMPUTED_VALUE"""),"Heavy Traffic")</f>
        <v>Heavy Traffic</v>
      </c>
      <c r="L1612" s="18">
        <f>iferror(VLOOKUP($D1612,Details!$A$2:$C$11,2,false),vlookup($D1612,Details!$E$2:$G$11,2,false))</f>
        <v>60</v>
      </c>
      <c r="M1612" s="18" t="str">
        <f>iferror(VLOOKUP($D1612,Details!$A$2:$C$11,3,false),vlookup($D1612,Details!$E$2:$G$11,3,false))</f>
        <v>Fruits and Vegetables</v>
      </c>
      <c r="N1612" s="18">
        <f t="shared" si="1"/>
        <v>60</v>
      </c>
      <c r="O1612" s="17"/>
      <c r="P1612" s="17"/>
      <c r="Q1612" s="17"/>
      <c r="R1612" s="17"/>
      <c r="S1612" s="17"/>
      <c r="T1612" s="17"/>
      <c r="U1612" s="17"/>
      <c r="V1612" s="17"/>
      <c r="W1612" s="17"/>
      <c r="X1612" s="17"/>
      <c r="Y1612" s="17"/>
      <c r="Z1612" s="17"/>
    </row>
    <row r="1613">
      <c r="A1613" s="18" t="str">
        <f>IFERROR(__xludf.DUMMYFUNCTION("""COMPUTED_VALUE"""),"ord_71591")</f>
        <v>ord_71591</v>
      </c>
      <c r="B1613" s="18" t="str">
        <f>IFERROR(__xludf.DUMMYFUNCTION("""COMPUTED_VALUE"""),"Tanishq Bansal")</f>
        <v>Tanishq Bansal</v>
      </c>
      <c r="C1613" s="18" t="str">
        <f>IFERROR(__xludf.DUMMYFUNCTION("""COMPUTED_VALUE"""),"Powai")</f>
        <v>Powai</v>
      </c>
      <c r="D1613" s="18" t="str">
        <f>IFERROR(__xludf.DUMMYFUNCTION("""COMPUTED_VALUE"""),"Cucumber")</f>
        <v>Cucumber</v>
      </c>
      <c r="E1613" s="18">
        <f>IFERROR(__xludf.DUMMYFUNCTION("""COMPUTED_VALUE"""),1.0)</f>
        <v>1</v>
      </c>
      <c r="F1613" s="18" t="str">
        <f>IFERROR(__xludf.DUMMYFUNCTION("""COMPUTED_VALUE"""),"Venu R")</f>
        <v>Venu R</v>
      </c>
      <c r="G1613" s="19">
        <f>IFERROR(__xludf.DUMMYFUNCTION("""COMPUTED_VALUE"""),45120.0)</f>
        <v>45120</v>
      </c>
      <c r="H1613" s="18" t="str">
        <f>IFERROR(__xludf.DUMMYFUNCTION("""COMPUTED_VALUE"""),"Online Payment")</f>
        <v>Online Payment</v>
      </c>
      <c r="I1613" s="18" t="str">
        <f>IFERROR(__xludf.DUMMYFUNCTION("""COMPUTED_VALUE"""),"Delivered")</f>
        <v>Delivered</v>
      </c>
      <c r="J1613" s="18" t="str">
        <f>IFERROR(__xludf.DUMMYFUNCTION("""COMPUTED_VALUE"""),"Packaging")</f>
        <v>Packaging</v>
      </c>
      <c r="K1613" s="18" t="str">
        <f>IFERROR(__xludf.DUMMYFUNCTION("""COMPUTED_VALUE"""),"Secure and intact")</f>
        <v>Secure and intact</v>
      </c>
      <c r="L1613" s="18">
        <f>iferror(VLOOKUP($D1613,Details!$A$2:$C$11,2,false),vlookup($D1613,Details!$E$2:$G$11,2,false))</f>
        <v>30</v>
      </c>
      <c r="M1613" s="18" t="str">
        <f>iferror(VLOOKUP($D1613,Details!$A$2:$C$11,3,false),vlookup($D1613,Details!$E$2:$G$11,3,false))</f>
        <v>Fruits and Vegetables</v>
      </c>
      <c r="N1613" s="18">
        <f t="shared" si="1"/>
        <v>30</v>
      </c>
      <c r="O1613" s="17"/>
      <c r="P1613" s="17"/>
      <c r="Q1613" s="17"/>
      <c r="R1613" s="17"/>
      <c r="S1613" s="17"/>
      <c r="T1613" s="17"/>
      <c r="U1613" s="17"/>
      <c r="V1613" s="17"/>
      <c r="W1613" s="17"/>
      <c r="X1613" s="17"/>
      <c r="Y1613" s="17"/>
      <c r="Z1613" s="17"/>
    </row>
    <row r="1614">
      <c r="A1614" s="18" t="str">
        <f>IFERROR(__xludf.DUMMYFUNCTION("""COMPUTED_VALUE"""),"ord_71592")</f>
        <v>ord_71592</v>
      </c>
      <c r="B1614" s="18" t="str">
        <f>IFERROR(__xludf.DUMMYFUNCTION("""COMPUTED_VALUE"""),"Kritika Shetty")</f>
        <v>Kritika Shetty</v>
      </c>
      <c r="C1614" s="18" t="str">
        <f>IFERROR(__xludf.DUMMYFUNCTION("""COMPUTED_VALUE"""),"Malad")</f>
        <v>Malad</v>
      </c>
      <c r="D1614" s="18" t="str">
        <f>IFERROR(__xludf.DUMMYFUNCTION("""COMPUTED_VALUE"""),"Chilli Cheese Toast")</f>
        <v>Chilli Cheese Toast</v>
      </c>
      <c r="E1614" s="18">
        <f>IFERROR(__xludf.DUMMYFUNCTION("""COMPUTED_VALUE"""),4.0)</f>
        <v>4</v>
      </c>
      <c r="F1614" s="18" t="str">
        <f>IFERROR(__xludf.DUMMYFUNCTION("""COMPUTED_VALUE"""),"Venu R")</f>
        <v>Venu R</v>
      </c>
      <c r="G1614" s="19">
        <f>IFERROR(__xludf.DUMMYFUNCTION("""COMPUTED_VALUE"""),45274.0)</f>
        <v>45274</v>
      </c>
      <c r="H1614" s="18" t="str">
        <f>IFERROR(__xludf.DUMMYFUNCTION("""COMPUTED_VALUE"""),"Credit Card")</f>
        <v>Credit Card</v>
      </c>
      <c r="I1614" s="18" t="str">
        <f>IFERROR(__xludf.DUMMYFUNCTION("""COMPUTED_VALUE"""),"Cancelled")</f>
        <v>Cancelled</v>
      </c>
      <c r="J1614" s="18" t="str">
        <f>IFERROR(__xludf.DUMMYFUNCTION("""COMPUTED_VALUE"""),"Delayed Delivery")</f>
        <v>Delayed Delivery</v>
      </c>
      <c r="K1614" s="18" t="str">
        <f>IFERROR(__xludf.DUMMYFUNCTION("""COMPUTED_VALUE"""),"Bad Weather Conditions")</f>
        <v>Bad Weather Conditions</v>
      </c>
      <c r="L1614" s="18">
        <f>iferror(VLOOKUP($D1614,Details!$A$2:$C$11,2,false),vlookup($D1614,Details!$E$2:$G$11,2,false))</f>
        <v>80</v>
      </c>
      <c r="M1614" s="18" t="str">
        <f>iferror(VLOOKUP($D1614,Details!$A$2:$C$11,3,false),vlookup($D1614,Details!$E$2:$G$11,3,false))</f>
        <v>Snacks and Drinks</v>
      </c>
      <c r="N1614" s="18">
        <f t="shared" si="1"/>
        <v>320</v>
      </c>
      <c r="O1614" s="17"/>
      <c r="P1614" s="17"/>
      <c r="Q1614" s="17"/>
      <c r="R1614" s="17"/>
      <c r="S1614" s="17"/>
      <c r="T1614" s="17"/>
      <c r="U1614" s="17"/>
      <c r="V1614" s="17"/>
      <c r="W1614" s="17"/>
      <c r="X1614" s="17"/>
      <c r="Y1614" s="17"/>
      <c r="Z1614" s="17"/>
    </row>
    <row r="1615">
      <c r="A1615" s="18" t="str">
        <f>IFERROR(__xludf.DUMMYFUNCTION("""COMPUTED_VALUE"""),"ord_71593")</f>
        <v>ord_71593</v>
      </c>
      <c r="B1615" s="18" t="str">
        <f>IFERROR(__xludf.DUMMYFUNCTION("""COMPUTED_VALUE"""),"Diya Arora")</f>
        <v>Diya Arora</v>
      </c>
      <c r="C1615" s="18" t="str">
        <f>IFERROR(__xludf.DUMMYFUNCTION("""COMPUTED_VALUE"""),"Lower Parel")</f>
        <v>Lower Parel</v>
      </c>
      <c r="D1615" s="18" t="str">
        <f>IFERROR(__xludf.DUMMYFUNCTION("""COMPUTED_VALUE"""),"Veg Puff")</f>
        <v>Veg Puff</v>
      </c>
      <c r="E1615" s="18">
        <f>IFERROR(__xludf.DUMMYFUNCTION("""COMPUTED_VALUE"""),4.0)</f>
        <v>4</v>
      </c>
      <c r="F1615" s="18" t="str">
        <f>IFERROR(__xludf.DUMMYFUNCTION("""COMPUTED_VALUE"""),"Shine Thomas")</f>
        <v>Shine Thomas</v>
      </c>
      <c r="G1615" s="19">
        <f>IFERROR(__xludf.DUMMYFUNCTION("""COMPUTED_VALUE"""),45160.0)</f>
        <v>45160</v>
      </c>
      <c r="H1615" s="18" t="str">
        <f>IFERROR(__xludf.DUMMYFUNCTION("""COMPUTED_VALUE"""),"Credit Card")</f>
        <v>Credit Card</v>
      </c>
      <c r="I1615" s="18" t="str">
        <f>IFERROR(__xludf.DUMMYFUNCTION("""COMPUTED_VALUE"""),"Delivered")</f>
        <v>Delivered</v>
      </c>
      <c r="J1615" s="18" t="str">
        <f>IFERROR(__xludf.DUMMYFUNCTION("""COMPUTED_VALUE"""),"Satisfied with the Delivery")</f>
        <v>Satisfied with the Delivery</v>
      </c>
      <c r="K1615" s="18" t="str">
        <f>IFERROR(__xludf.DUMMYFUNCTION("""COMPUTED_VALUE"""),"Timely and quality")</f>
        <v>Timely and quality</v>
      </c>
      <c r="L1615" s="18">
        <f>iferror(VLOOKUP($D1615,Details!$A$2:$C$11,2,false),vlookup($D1615,Details!$E$2:$G$11,2,false))</f>
        <v>80</v>
      </c>
      <c r="M1615" s="18" t="str">
        <f>iferror(VLOOKUP($D1615,Details!$A$2:$C$11,3,false),vlookup($D1615,Details!$E$2:$G$11,3,false))</f>
        <v>Snacks and Drinks</v>
      </c>
      <c r="N1615" s="18">
        <f t="shared" si="1"/>
        <v>320</v>
      </c>
      <c r="O1615" s="17"/>
      <c r="P1615" s="17"/>
      <c r="Q1615" s="17"/>
      <c r="R1615" s="17"/>
      <c r="S1615" s="17"/>
      <c r="T1615" s="17"/>
      <c r="U1615" s="17"/>
      <c r="V1615" s="17"/>
      <c r="W1615" s="17"/>
      <c r="X1615" s="17"/>
      <c r="Y1615" s="17"/>
      <c r="Z1615" s="17"/>
    </row>
    <row r="1616">
      <c r="A1616" s="18" t="str">
        <f>IFERROR(__xludf.DUMMYFUNCTION("""COMPUTED_VALUE"""),"ord_71594")</f>
        <v>ord_71594</v>
      </c>
      <c r="B1616" s="18" t="str">
        <f>IFERROR(__xludf.DUMMYFUNCTION("""COMPUTED_VALUE"""),"Aarohi Kapoor")</f>
        <v>Aarohi Kapoor</v>
      </c>
      <c r="C1616" s="18" t="str">
        <f>IFERROR(__xludf.DUMMYFUNCTION("""COMPUTED_VALUE"""),"Bandra")</f>
        <v>Bandra</v>
      </c>
      <c r="D1616" s="18" t="str">
        <f>IFERROR(__xludf.DUMMYFUNCTION("""COMPUTED_VALUE"""),"Icecream")</f>
        <v>Icecream</v>
      </c>
      <c r="E1616" s="18">
        <f>IFERROR(__xludf.DUMMYFUNCTION("""COMPUTED_VALUE"""),3.0)</f>
        <v>3</v>
      </c>
      <c r="F1616" s="18" t="str">
        <f>IFERROR(__xludf.DUMMYFUNCTION("""COMPUTED_VALUE"""),"Ram Gopal")</f>
        <v>Ram Gopal</v>
      </c>
      <c r="G1616" s="19">
        <f>IFERROR(__xludf.DUMMYFUNCTION("""COMPUTED_VALUE"""),45064.0)</f>
        <v>45064</v>
      </c>
      <c r="H1616" s="18" t="str">
        <f>IFERROR(__xludf.DUMMYFUNCTION("""COMPUTED_VALUE"""),"Credit Card")</f>
        <v>Credit Card</v>
      </c>
      <c r="I1616" s="18" t="str">
        <f>IFERROR(__xludf.DUMMYFUNCTION("""COMPUTED_VALUE"""),"Delivered")</f>
        <v>Delivered</v>
      </c>
      <c r="J1616" s="18" t="str">
        <f>IFERROR(__xludf.DUMMYFUNCTION("""COMPUTED_VALUE"""),"Customer Service")</f>
        <v>Customer Service</v>
      </c>
      <c r="K1616" s="18" t="str">
        <f>IFERROR(__xludf.DUMMYFUNCTION("""COMPUTED_VALUE"""),"Seamless and easy")</f>
        <v>Seamless and easy</v>
      </c>
      <c r="L1616" s="18">
        <f>iferror(VLOOKUP($D1616,Details!$A$2:$C$11,2,false),vlookup($D1616,Details!$E$2:$G$11,2,false))</f>
        <v>90</v>
      </c>
      <c r="M1616" s="18" t="str">
        <f>iferror(VLOOKUP($D1616,Details!$A$2:$C$11,3,false),vlookup($D1616,Details!$E$2:$G$11,3,false))</f>
        <v>Snacks and Drinks</v>
      </c>
      <c r="N1616" s="18">
        <f t="shared" si="1"/>
        <v>270</v>
      </c>
      <c r="O1616" s="17"/>
      <c r="P1616" s="17"/>
      <c r="Q1616" s="17"/>
      <c r="R1616" s="17"/>
      <c r="S1616" s="17"/>
      <c r="T1616" s="17"/>
      <c r="U1616" s="17"/>
      <c r="V1616" s="17"/>
      <c r="W1616" s="17"/>
      <c r="X1616" s="17"/>
      <c r="Y1616" s="17"/>
      <c r="Z1616" s="17"/>
    </row>
    <row r="1617">
      <c r="A1617" s="18" t="str">
        <f>IFERROR(__xludf.DUMMYFUNCTION("""COMPUTED_VALUE"""),"ord_71595")</f>
        <v>ord_71595</v>
      </c>
      <c r="B1617" s="18" t="str">
        <f>IFERROR(__xludf.DUMMYFUNCTION("""COMPUTED_VALUE"""),"Parth Goel")</f>
        <v>Parth Goel</v>
      </c>
      <c r="C1617" s="18" t="str">
        <f>IFERROR(__xludf.DUMMYFUNCTION("""COMPUTED_VALUE"""),"Juhu")</f>
        <v>Juhu</v>
      </c>
      <c r="D1617" s="18" t="str">
        <f>IFERROR(__xludf.DUMMYFUNCTION("""COMPUTED_VALUE"""),"Banana")</f>
        <v>Banana</v>
      </c>
      <c r="E1617" s="18">
        <f>IFERROR(__xludf.DUMMYFUNCTION("""COMPUTED_VALUE"""),1.0)</f>
        <v>1</v>
      </c>
      <c r="F1617" s="18" t="str">
        <f>IFERROR(__xludf.DUMMYFUNCTION("""COMPUTED_VALUE"""),"Not Assigned")</f>
        <v>Not Assigned</v>
      </c>
      <c r="G1617" s="19">
        <f>IFERROR(__xludf.DUMMYFUNCTION("""COMPUTED_VALUE"""),45100.0)</f>
        <v>45100</v>
      </c>
      <c r="H1617" s="18" t="str">
        <f>IFERROR(__xludf.DUMMYFUNCTION("""COMPUTED_VALUE"""),"Credit Card")</f>
        <v>Credit Card</v>
      </c>
      <c r="I1617" s="18" t="str">
        <f>IFERROR(__xludf.DUMMYFUNCTION("""COMPUTED_VALUE"""),"Cancelled")</f>
        <v>Cancelled</v>
      </c>
      <c r="J1617" s="18" t="str">
        <f>IFERROR(__xludf.DUMMYFUNCTION("""COMPUTED_VALUE"""),"App Glitches")</f>
        <v>App Glitches</v>
      </c>
      <c r="K1617" s="18" t="str">
        <f>IFERROR(__xludf.DUMMYFUNCTION("""COMPUTED_VALUE"""),"Slow Loading Time")</f>
        <v>Slow Loading Time</v>
      </c>
      <c r="L1617" s="18">
        <f>iferror(VLOOKUP($D1617,Details!$A$2:$C$11,2,false),vlookup($D1617,Details!$E$2:$G$11,2,false))</f>
        <v>80</v>
      </c>
      <c r="M1617" s="18" t="str">
        <f>iferror(VLOOKUP($D1617,Details!$A$2:$C$11,3,false),vlookup($D1617,Details!$E$2:$G$11,3,false))</f>
        <v>Fruits and Vegetables</v>
      </c>
      <c r="N1617" s="18">
        <f t="shared" si="1"/>
        <v>80</v>
      </c>
      <c r="O1617" s="17"/>
      <c r="P1617" s="17"/>
      <c r="Q1617" s="17"/>
      <c r="R1617" s="17"/>
      <c r="S1617" s="17"/>
      <c r="T1617" s="17"/>
      <c r="U1617" s="17"/>
      <c r="V1617" s="17"/>
      <c r="W1617" s="17"/>
      <c r="X1617" s="17"/>
      <c r="Y1617" s="17"/>
      <c r="Z1617" s="17"/>
    </row>
    <row r="1618">
      <c r="A1618" s="18" t="str">
        <f>IFERROR(__xludf.DUMMYFUNCTION("""COMPUTED_VALUE"""),"ord_71596")</f>
        <v>ord_71596</v>
      </c>
      <c r="B1618" s="18" t="str">
        <f>IFERROR(__xludf.DUMMYFUNCTION("""COMPUTED_VALUE"""),"Parth Goel")</f>
        <v>Parth Goel</v>
      </c>
      <c r="C1618" s="18" t="str">
        <f>IFERROR(__xludf.DUMMYFUNCTION("""COMPUTED_VALUE"""),"Juhu")</f>
        <v>Juhu</v>
      </c>
      <c r="D1618" s="18" t="str">
        <f>IFERROR(__xludf.DUMMYFUNCTION("""COMPUTED_VALUE"""),"Chocolate Mousse")</f>
        <v>Chocolate Mousse</v>
      </c>
      <c r="E1618" s="18">
        <f>IFERROR(__xludf.DUMMYFUNCTION("""COMPUTED_VALUE"""),3.0)</f>
        <v>3</v>
      </c>
      <c r="F1618" s="18" t="str">
        <f>IFERROR(__xludf.DUMMYFUNCTION("""COMPUTED_VALUE"""),"Not Assigned")</f>
        <v>Not Assigned</v>
      </c>
      <c r="G1618" s="19">
        <f>IFERROR(__xludf.DUMMYFUNCTION("""COMPUTED_VALUE"""),45126.0)</f>
        <v>45126</v>
      </c>
      <c r="H1618" s="18" t="str">
        <f>IFERROR(__xludf.DUMMYFUNCTION("""COMPUTED_VALUE"""),"Credit Card")</f>
        <v>Credit Card</v>
      </c>
      <c r="I1618" s="18" t="str">
        <f>IFERROR(__xludf.DUMMYFUNCTION("""COMPUTED_VALUE"""),"Cancelled")</f>
        <v>Cancelled</v>
      </c>
      <c r="J1618" s="18" t="str">
        <f>IFERROR(__xludf.DUMMYFUNCTION("""COMPUTED_VALUE"""),"Payment Issues")</f>
        <v>Payment Issues</v>
      </c>
      <c r="K1618" s="18"/>
      <c r="L1618" s="18">
        <f>iferror(VLOOKUP($D1618,Details!$A$2:$C$11,2,false),vlookup($D1618,Details!$E$2:$G$11,2,false))</f>
        <v>145</v>
      </c>
      <c r="M1618" s="18" t="str">
        <f>iferror(VLOOKUP($D1618,Details!$A$2:$C$11,3,false),vlookup($D1618,Details!$E$2:$G$11,3,false))</f>
        <v>Snacks and Drinks</v>
      </c>
      <c r="N1618" s="18">
        <f t="shared" si="1"/>
        <v>435</v>
      </c>
      <c r="O1618" s="17"/>
      <c r="P1618" s="17"/>
      <c r="Q1618" s="17"/>
      <c r="R1618" s="17"/>
      <c r="S1618" s="17"/>
      <c r="T1618" s="17"/>
      <c r="U1618" s="17"/>
      <c r="V1618" s="17"/>
      <c r="W1618" s="17"/>
      <c r="X1618" s="17"/>
      <c r="Y1618" s="17"/>
      <c r="Z1618" s="17"/>
    </row>
    <row r="1619">
      <c r="A1619" s="18" t="str">
        <f>IFERROR(__xludf.DUMMYFUNCTION("""COMPUTED_VALUE"""),"ord_71597")</f>
        <v>ord_71597</v>
      </c>
      <c r="B1619" s="18" t="str">
        <f>IFERROR(__xludf.DUMMYFUNCTION("""COMPUTED_VALUE"""),"Arvind Kulkarni")</f>
        <v>Arvind Kulkarni</v>
      </c>
      <c r="C1619" s="18" t="str">
        <f>IFERROR(__xludf.DUMMYFUNCTION("""COMPUTED_VALUE"""),"Juhu")</f>
        <v>Juhu</v>
      </c>
      <c r="D1619" s="18" t="str">
        <f>IFERROR(__xludf.DUMMYFUNCTION("""COMPUTED_VALUE"""),"Sweet Corn")</f>
        <v>Sweet Corn</v>
      </c>
      <c r="E1619" s="18">
        <f>IFERROR(__xludf.DUMMYFUNCTION("""COMPUTED_VALUE"""),2.0)</f>
        <v>2</v>
      </c>
      <c r="F1619" s="18" t="str">
        <f>IFERROR(__xludf.DUMMYFUNCTION("""COMPUTED_VALUE"""),"Ramesh S")</f>
        <v>Ramesh S</v>
      </c>
      <c r="G1619" s="19">
        <f>IFERROR(__xludf.DUMMYFUNCTION("""COMPUTED_VALUE"""),45207.0)</f>
        <v>45207</v>
      </c>
      <c r="H1619" s="18" t="str">
        <f>IFERROR(__xludf.DUMMYFUNCTION("""COMPUTED_VALUE"""),"UPI")</f>
        <v>UPI</v>
      </c>
      <c r="I1619" s="18" t="str">
        <f>IFERROR(__xludf.DUMMYFUNCTION("""COMPUTED_VALUE"""),"Delivered")</f>
        <v>Delivered</v>
      </c>
      <c r="J1619" s="18" t="str">
        <f>IFERROR(__xludf.DUMMYFUNCTION("""COMPUTED_VALUE"""),"Delivery Experience")</f>
        <v>Delivery Experience</v>
      </c>
      <c r="K1619" s="18" t="str">
        <f>IFERROR(__xludf.DUMMYFUNCTION("""COMPUTED_VALUE"""),"Quick and professional")</f>
        <v>Quick and professional</v>
      </c>
      <c r="L1619" s="18">
        <f>iferror(VLOOKUP($D1619,Details!$A$2:$C$11,2,false),vlookup($D1619,Details!$E$2:$G$11,2,false))</f>
        <v>60</v>
      </c>
      <c r="M1619" s="18" t="str">
        <f>iferror(VLOOKUP($D1619,Details!$A$2:$C$11,3,false),vlookup($D1619,Details!$E$2:$G$11,3,false))</f>
        <v>Fruits and Vegetables</v>
      </c>
      <c r="N1619" s="18">
        <f t="shared" si="1"/>
        <v>120</v>
      </c>
      <c r="O1619" s="17"/>
      <c r="P1619" s="17"/>
      <c r="Q1619" s="17"/>
      <c r="R1619" s="17"/>
      <c r="S1619" s="17"/>
      <c r="T1619" s="17"/>
      <c r="U1619" s="17"/>
      <c r="V1619" s="17"/>
      <c r="W1619" s="17"/>
      <c r="X1619" s="17"/>
      <c r="Y1619" s="17"/>
      <c r="Z1619" s="17"/>
    </row>
    <row r="1620">
      <c r="A1620" s="18" t="str">
        <f>IFERROR(__xludf.DUMMYFUNCTION("""COMPUTED_VALUE"""),"ord_71598")</f>
        <v>ord_71598</v>
      </c>
      <c r="B1620" s="18" t="str">
        <f>IFERROR(__xludf.DUMMYFUNCTION("""COMPUTED_VALUE"""),"Anaya Rao")</f>
        <v>Anaya Rao</v>
      </c>
      <c r="C1620" s="18" t="str">
        <f>IFERROR(__xludf.DUMMYFUNCTION("""COMPUTED_VALUE"""),"Colaba")</f>
        <v>Colaba</v>
      </c>
      <c r="D1620" s="18" t="str">
        <f>IFERROR(__xludf.DUMMYFUNCTION("""COMPUTED_VALUE"""),"Cold Coffee")</f>
        <v>Cold Coffee</v>
      </c>
      <c r="E1620" s="18">
        <f>IFERROR(__xludf.DUMMYFUNCTION("""COMPUTED_VALUE"""),3.0)</f>
        <v>3</v>
      </c>
      <c r="F1620" s="18" t="str">
        <f>IFERROR(__xludf.DUMMYFUNCTION("""COMPUTED_VALUE"""),"Not Assigned")</f>
        <v>Not Assigned</v>
      </c>
      <c r="G1620" s="19">
        <f>IFERROR(__xludf.DUMMYFUNCTION("""COMPUTED_VALUE"""),45241.0)</f>
        <v>45241</v>
      </c>
      <c r="H1620" s="18" t="str">
        <f>IFERROR(__xludf.DUMMYFUNCTION("""COMPUTED_VALUE"""),"Credit Card")</f>
        <v>Credit Card</v>
      </c>
      <c r="I1620" s="18" t="str">
        <f>IFERROR(__xludf.DUMMYFUNCTION("""COMPUTED_VALUE"""),"Cancelled")</f>
        <v>Cancelled</v>
      </c>
      <c r="J1620" s="18" t="str">
        <f>IFERROR(__xludf.DUMMYFUNCTION("""COMPUTED_VALUE"""),"High Delivery Fees")</f>
        <v>High Delivery Fees</v>
      </c>
      <c r="K1620" s="18"/>
      <c r="L1620" s="18">
        <f>iferror(VLOOKUP($D1620,Details!$A$2:$C$11,2,false),vlookup($D1620,Details!$E$2:$G$11,2,false))</f>
        <v>270</v>
      </c>
      <c r="M1620" s="18" t="str">
        <f>iferror(VLOOKUP($D1620,Details!$A$2:$C$11,3,false),vlookup($D1620,Details!$E$2:$G$11,3,false))</f>
        <v>Snacks and Drinks</v>
      </c>
      <c r="N1620" s="18">
        <f t="shared" si="1"/>
        <v>810</v>
      </c>
      <c r="O1620" s="17"/>
      <c r="P1620" s="17"/>
      <c r="Q1620" s="17"/>
      <c r="R1620" s="17"/>
      <c r="S1620" s="17"/>
      <c r="T1620" s="17"/>
      <c r="U1620" s="17"/>
      <c r="V1620" s="17"/>
      <c r="W1620" s="17"/>
      <c r="X1620" s="17"/>
      <c r="Y1620" s="17"/>
      <c r="Z1620" s="17"/>
    </row>
    <row r="1621">
      <c r="A1621" s="18" t="str">
        <f>IFERROR(__xludf.DUMMYFUNCTION("""COMPUTED_VALUE"""),"ord_71599")</f>
        <v>ord_71599</v>
      </c>
      <c r="B1621" s="18" t="str">
        <f>IFERROR(__xludf.DUMMYFUNCTION("""COMPUTED_VALUE"""),"Siya Reddy")</f>
        <v>Siya Reddy</v>
      </c>
      <c r="C1621" s="18" t="str">
        <f>IFERROR(__xludf.DUMMYFUNCTION("""COMPUTED_VALUE"""),"Juhu")</f>
        <v>Juhu</v>
      </c>
      <c r="D1621" s="18" t="str">
        <f>IFERROR(__xludf.DUMMYFUNCTION("""COMPUTED_VALUE"""),"Popcorn")</f>
        <v>Popcorn</v>
      </c>
      <c r="E1621" s="18">
        <f>IFERROR(__xludf.DUMMYFUNCTION("""COMPUTED_VALUE"""),5.0)</f>
        <v>5</v>
      </c>
      <c r="F1621" s="18" t="str">
        <f>IFERROR(__xludf.DUMMYFUNCTION("""COMPUTED_VALUE"""),"Not Assigned")</f>
        <v>Not Assigned</v>
      </c>
      <c r="G1621" s="19">
        <f>IFERROR(__xludf.DUMMYFUNCTION("""COMPUTED_VALUE"""),45182.0)</f>
        <v>45182</v>
      </c>
      <c r="H1621" s="18" t="str">
        <f>IFERROR(__xludf.DUMMYFUNCTION("""COMPUTED_VALUE"""),"UPI")</f>
        <v>UPI</v>
      </c>
      <c r="I1621" s="18" t="str">
        <f>IFERROR(__xludf.DUMMYFUNCTION("""COMPUTED_VALUE"""),"Cancelled")</f>
        <v>Cancelled</v>
      </c>
      <c r="J1621" s="18" t="str">
        <f>IFERROR(__xludf.DUMMYFUNCTION("""COMPUTED_VALUE"""),"App Glitches")</f>
        <v>App Glitches</v>
      </c>
      <c r="K1621" s="18" t="str">
        <f>IFERROR(__xludf.DUMMYFUNCTION("""COMPUTED_VALUE"""),"Slow Loading Time")</f>
        <v>Slow Loading Time</v>
      </c>
      <c r="L1621" s="18">
        <f>iferror(VLOOKUP($D1621,Details!$A$2:$C$11,2,false),vlookup($D1621,Details!$E$2:$G$11,2,false))</f>
        <v>150</v>
      </c>
      <c r="M1621" s="18" t="str">
        <f>iferror(VLOOKUP($D1621,Details!$A$2:$C$11,3,false),vlookup($D1621,Details!$E$2:$G$11,3,false))</f>
        <v>Snacks and Drinks</v>
      </c>
      <c r="N1621" s="18">
        <f t="shared" si="1"/>
        <v>750</v>
      </c>
      <c r="O1621" s="17"/>
      <c r="P1621" s="17"/>
      <c r="Q1621" s="17"/>
      <c r="R1621" s="17"/>
      <c r="S1621" s="17"/>
      <c r="T1621" s="17"/>
      <c r="U1621" s="17"/>
      <c r="V1621" s="17"/>
      <c r="W1621" s="17"/>
      <c r="X1621" s="17"/>
      <c r="Y1621" s="17"/>
      <c r="Z1621" s="17"/>
    </row>
    <row r="1622">
      <c r="A1622" s="18" t="str">
        <f>IFERROR(__xludf.DUMMYFUNCTION("""COMPUTED_VALUE"""),"ord_71600")</f>
        <v>ord_71600</v>
      </c>
      <c r="B1622" s="18" t="str">
        <f>IFERROR(__xludf.DUMMYFUNCTION("""COMPUTED_VALUE"""),"Pallavi Ghosh")</f>
        <v>Pallavi Ghosh</v>
      </c>
      <c r="C1622" s="18" t="str">
        <f>IFERROR(__xludf.DUMMYFUNCTION("""COMPUTED_VALUE"""),"Bandra")</f>
        <v>Bandra</v>
      </c>
      <c r="D1622" s="18" t="str">
        <f>IFERROR(__xludf.DUMMYFUNCTION("""COMPUTED_VALUE"""),"Papaya")</f>
        <v>Papaya</v>
      </c>
      <c r="E1622" s="18">
        <f>IFERROR(__xludf.DUMMYFUNCTION("""COMPUTED_VALUE"""),1.0)</f>
        <v>1</v>
      </c>
      <c r="F1622" s="18" t="str">
        <f>IFERROR(__xludf.DUMMYFUNCTION("""COMPUTED_VALUE"""),"Not Assigned")</f>
        <v>Not Assigned</v>
      </c>
      <c r="G1622" s="19">
        <f>IFERROR(__xludf.DUMMYFUNCTION("""COMPUTED_VALUE"""),45286.0)</f>
        <v>45286</v>
      </c>
      <c r="H1622" s="18" t="str">
        <f>IFERROR(__xludf.DUMMYFUNCTION("""COMPUTED_VALUE"""),"Online Payment")</f>
        <v>Online Payment</v>
      </c>
      <c r="I1622" s="18" t="str">
        <f>IFERROR(__xludf.DUMMYFUNCTION("""COMPUTED_VALUE"""),"Cancelled")</f>
        <v>Cancelled</v>
      </c>
      <c r="J1622" s="18" t="str">
        <f>IFERROR(__xludf.DUMMYFUNCTION("""COMPUTED_VALUE"""),"Out of Stock")</f>
        <v>Out of Stock</v>
      </c>
      <c r="K1622" s="18"/>
      <c r="L1622" s="18">
        <f>iferror(VLOOKUP($D1622,Details!$A$2:$C$11,2,false),vlookup($D1622,Details!$E$2:$G$11,2,false))</f>
        <v>75</v>
      </c>
      <c r="M1622" s="18" t="str">
        <f>iferror(VLOOKUP($D1622,Details!$A$2:$C$11,3,false),vlookup($D1622,Details!$E$2:$G$11,3,false))</f>
        <v>Fruits and Vegetables</v>
      </c>
      <c r="N1622" s="18">
        <f t="shared" si="1"/>
        <v>75</v>
      </c>
      <c r="O1622" s="17"/>
      <c r="P1622" s="17"/>
      <c r="Q1622" s="17"/>
      <c r="R1622" s="17"/>
      <c r="S1622" s="17"/>
      <c r="T1622" s="17"/>
      <c r="U1622" s="17"/>
      <c r="V1622" s="17"/>
      <c r="W1622" s="17"/>
      <c r="X1622" s="17"/>
      <c r="Y1622" s="17"/>
      <c r="Z1622" s="17"/>
    </row>
    <row r="1623">
      <c r="A1623" s="18" t="str">
        <f>IFERROR(__xludf.DUMMYFUNCTION("""COMPUTED_VALUE"""),"ord_71601")</f>
        <v>ord_71601</v>
      </c>
      <c r="B1623" s="18" t="str">
        <f>IFERROR(__xludf.DUMMYFUNCTION("""COMPUTED_VALUE"""),"Aarav Mehta")</f>
        <v>Aarav Mehta</v>
      </c>
      <c r="C1623" s="18" t="str">
        <f>IFERROR(__xludf.DUMMYFUNCTION("""COMPUTED_VALUE"""),"Andheri")</f>
        <v>Andheri</v>
      </c>
      <c r="D1623" s="18" t="str">
        <f>IFERROR(__xludf.DUMMYFUNCTION("""COMPUTED_VALUE"""),"Sweet Corn")</f>
        <v>Sweet Corn</v>
      </c>
      <c r="E1623" s="18">
        <f>IFERROR(__xludf.DUMMYFUNCTION("""COMPUTED_VALUE"""),1.0)</f>
        <v>1</v>
      </c>
      <c r="F1623" s="18" t="str">
        <f>IFERROR(__xludf.DUMMYFUNCTION("""COMPUTED_VALUE"""),"Not Assigned")</f>
        <v>Not Assigned</v>
      </c>
      <c r="G1623" s="19">
        <f>IFERROR(__xludf.DUMMYFUNCTION("""COMPUTED_VALUE"""),44934.0)</f>
        <v>44934</v>
      </c>
      <c r="H1623" s="18" t="str">
        <f>IFERROR(__xludf.DUMMYFUNCTION("""COMPUTED_VALUE"""),"Credit Card")</f>
        <v>Credit Card</v>
      </c>
      <c r="I1623" s="18" t="str">
        <f>IFERROR(__xludf.DUMMYFUNCTION("""COMPUTED_VALUE"""),"Cancelled")</f>
        <v>Cancelled</v>
      </c>
      <c r="J1623" s="18" t="str">
        <f>IFERROR(__xludf.DUMMYFUNCTION("""COMPUTED_VALUE"""),"Payment Issues")</f>
        <v>Payment Issues</v>
      </c>
      <c r="K1623" s="18"/>
      <c r="L1623" s="18">
        <f>iferror(VLOOKUP($D1623,Details!$A$2:$C$11,2,false),vlookup($D1623,Details!$E$2:$G$11,2,false))</f>
        <v>60</v>
      </c>
      <c r="M1623" s="18" t="str">
        <f>iferror(VLOOKUP($D1623,Details!$A$2:$C$11,3,false),vlookup($D1623,Details!$E$2:$G$11,3,false))</f>
        <v>Fruits and Vegetables</v>
      </c>
      <c r="N1623" s="18">
        <f t="shared" si="1"/>
        <v>60</v>
      </c>
      <c r="O1623" s="17"/>
      <c r="P1623" s="17"/>
      <c r="Q1623" s="17"/>
      <c r="R1623" s="17"/>
      <c r="S1623" s="17"/>
      <c r="T1623" s="17"/>
      <c r="U1623" s="17"/>
      <c r="V1623" s="17"/>
      <c r="W1623" s="17"/>
      <c r="X1623" s="17"/>
      <c r="Y1623" s="17"/>
      <c r="Z1623" s="17"/>
    </row>
    <row r="1624">
      <c r="A1624" s="18" t="str">
        <f>IFERROR(__xludf.DUMMYFUNCTION("""COMPUTED_VALUE"""),"ord_71602")</f>
        <v>ord_71602</v>
      </c>
      <c r="B1624" s="18" t="str">
        <f>IFERROR(__xludf.DUMMYFUNCTION("""COMPUTED_VALUE"""),"Ishita Banerjee")</f>
        <v>Ishita Banerjee</v>
      </c>
      <c r="C1624" s="18" t="str">
        <f>IFERROR(__xludf.DUMMYFUNCTION("""COMPUTED_VALUE"""),"Juhu")</f>
        <v>Juhu</v>
      </c>
      <c r="D1624" s="18" t="str">
        <f>IFERROR(__xludf.DUMMYFUNCTION("""COMPUTED_VALUE"""),"Banana")</f>
        <v>Banana</v>
      </c>
      <c r="E1624" s="18">
        <f>IFERROR(__xludf.DUMMYFUNCTION("""COMPUTED_VALUE"""),2.0)</f>
        <v>2</v>
      </c>
      <c r="F1624" s="18" t="str">
        <f>IFERROR(__xludf.DUMMYFUNCTION("""COMPUTED_VALUE"""),"Sita T")</f>
        <v>Sita T</v>
      </c>
      <c r="G1624" s="19">
        <f>IFERROR(__xludf.DUMMYFUNCTION("""COMPUTED_VALUE"""),45048.0)</f>
        <v>45048</v>
      </c>
      <c r="H1624" s="18" t="str">
        <f>IFERROR(__xludf.DUMMYFUNCTION("""COMPUTED_VALUE"""),"Credit Card")</f>
        <v>Credit Card</v>
      </c>
      <c r="I1624" s="18" t="str">
        <f>IFERROR(__xludf.DUMMYFUNCTION("""COMPUTED_VALUE"""),"Delivered")</f>
        <v>Delivered</v>
      </c>
      <c r="J1624" s="18" t="str">
        <f>IFERROR(__xludf.DUMMYFUNCTION("""COMPUTED_VALUE"""),"Convenience")</f>
        <v>Convenience</v>
      </c>
      <c r="K1624" s="18" t="str">
        <f>IFERROR(__xludf.DUMMYFUNCTION("""COMPUTED_VALUE"""),"Easy tracking")</f>
        <v>Easy tracking</v>
      </c>
      <c r="L1624" s="18">
        <f>iferror(VLOOKUP($D1624,Details!$A$2:$C$11,2,false),vlookup($D1624,Details!$E$2:$G$11,2,false))</f>
        <v>80</v>
      </c>
      <c r="M1624" s="18" t="str">
        <f>iferror(VLOOKUP($D1624,Details!$A$2:$C$11,3,false),vlookup($D1624,Details!$E$2:$G$11,3,false))</f>
        <v>Fruits and Vegetables</v>
      </c>
      <c r="N1624" s="18">
        <f t="shared" si="1"/>
        <v>160</v>
      </c>
      <c r="O1624" s="17"/>
      <c r="P1624" s="17"/>
      <c r="Q1624" s="17"/>
      <c r="R1624" s="17"/>
      <c r="S1624" s="17"/>
      <c r="T1624" s="17"/>
      <c r="U1624" s="17"/>
      <c r="V1624" s="17"/>
      <c r="W1624" s="17"/>
      <c r="X1624" s="17"/>
      <c r="Y1624" s="17"/>
      <c r="Z1624" s="17"/>
    </row>
    <row r="1625">
      <c r="A1625" s="18" t="str">
        <f>IFERROR(__xludf.DUMMYFUNCTION("""COMPUTED_VALUE"""),"ord_71603")</f>
        <v>ord_71603</v>
      </c>
      <c r="B1625" s="18" t="str">
        <f>IFERROR(__xludf.DUMMYFUNCTION("""COMPUTED_VALUE"""),"Omkar Mishra")</f>
        <v>Omkar Mishra</v>
      </c>
      <c r="C1625" s="18" t="str">
        <f>IFERROR(__xludf.DUMMYFUNCTION("""COMPUTED_VALUE"""),"Powai")</f>
        <v>Powai</v>
      </c>
      <c r="D1625" s="18" t="str">
        <f>IFERROR(__xludf.DUMMYFUNCTION("""COMPUTED_VALUE"""),"Chilli Cheese Toast")</f>
        <v>Chilli Cheese Toast</v>
      </c>
      <c r="E1625" s="18">
        <f>IFERROR(__xludf.DUMMYFUNCTION("""COMPUTED_VALUE"""),1.0)</f>
        <v>1</v>
      </c>
      <c r="F1625" s="18" t="str">
        <f>IFERROR(__xludf.DUMMYFUNCTION("""COMPUTED_VALUE"""),"Not Assigned")</f>
        <v>Not Assigned</v>
      </c>
      <c r="G1625" s="19">
        <f>IFERROR(__xludf.DUMMYFUNCTION("""COMPUTED_VALUE"""),44945.0)</f>
        <v>44945</v>
      </c>
      <c r="H1625" s="18" t="str">
        <f>IFERROR(__xludf.DUMMYFUNCTION("""COMPUTED_VALUE"""),"Credit Card")</f>
        <v>Credit Card</v>
      </c>
      <c r="I1625" s="18" t="str">
        <f>IFERROR(__xludf.DUMMYFUNCTION("""COMPUTED_VALUE"""),"Cancelled")</f>
        <v>Cancelled</v>
      </c>
      <c r="J1625" s="18" t="str">
        <f>IFERROR(__xludf.DUMMYFUNCTION("""COMPUTED_VALUE"""),"Out of Stock")</f>
        <v>Out of Stock</v>
      </c>
      <c r="K1625" s="18"/>
      <c r="L1625" s="18">
        <f>iferror(VLOOKUP($D1625,Details!$A$2:$C$11,2,false),vlookup($D1625,Details!$E$2:$G$11,2,false))</f>
        <v>80</v>
      </c>
      <c r="M1625" s="18" t="str">
        <f>iferror(VLOOKUP($D1625,Details!$A$2:$C$11,3,false),vlookup($D1625,Details!$E$2:$G$11,3,false))</f>
        <v>Snacks and Drinks</v>
      </c>
      <c r="N1625" s="18">
        <f t="shared" si="1"/>
        <v>80</v>
      </c>
      <c r="O1625" s="17"/>
      <c r="P1625" s="17"/>
      <c r="Q1625" s="17"/>
      <c r="R1625" s="17"/>
      <c r="S1625" s="17"/>
      <c r="T1625" s="17"/>
      <c r="U1625" s="17"/>
      <c r="V1625" s="17"/>
      <c r="W1625" s="17"/>
      <c r="X1625" s="17"/>
      <c r="Y1625" s="17"/>
      <c r="Z1625" s="17"/>
    </row>
    <row r="1626">
      <c r="A1626" s="18" t="str">
        <f>IFERROR(__xludf.DUMMYFUNCTION("""COMPUTED_VALUE"""),"ord_71604")</f>
        <v>ord_71604</v>
      </c>
      <c r="B1626" s="18" t="str">
        <f>IFERROR(__xludf.DUMMYFUNCTION("""COMPUTED_VALUE"""),"Aditi Iyer")</f>
        <v>Aditi Iyer</v>
      </c>
      <c r="C1626" s="18" t="str">
        <f>IFERROR(__xludf.DUMMYFUNCTION("""COMPUTED_VALUE"""),"Dadar")</f>
        <v>Dadar</v>
      </c>
      <c r="D1626" s="18" t="str">
        <f>IFERROR(__xludf.DUMMYFUNCTION("""COMPUTED_VALUE"""),"Tomato")</f>
        <v>Tomato</v>
      </c>
      <c r="E1626" s="18">
        <f>IFERROR(__xludf.DUMMYFUNCTION("""COMPUTED_VALUE"""),2.0)</f>
        <v>2</v>
      </c>
      <c r="F1626" s="18" t="str">
        <f>IFERROR(__xludf.DUMMYFUNCTION("""COMPUTED_VALUE"""),"Venu R")</f>
        <v>Venu R</v>
      </c>
      <c r="G1626" s="19">
        <f>IFERROR(__xludf.DUMMYFUNCTION("""COMPUTED_VALUE"""),45233.0)</f>
        <v>45233</v>
      </c>
      <c r="H1626" s="18" t="str">
        <f>IFERROR(__xludf.DUMMYFUNCTION("""COMPUTED_VALUE"""),"Online Payment")</f>
        <v>Online Payment</v>
      </c>
      <c r="I1626" s="18" t="str">
        <f>IFERROR(__xludf.DUMMYFUNCTION("""COMPUTED_VALUE"""),"Delivered")</f>
        <v>Delivered</v>
      </c>
      <c r="J1626" s="18" t="str">
        <f>IFERROR(__xludf.DUMMYFUNCTION("""COMPUTED_VALUE"""),"Overall Satisfaction")</f>
        <v>Overall Satisfaction</v>
      </c>
      <c r="K1626" s="18" t="str">
        <f>IFERROR(__xludf.DUMMYFUNCTION("""COMPUTED_VALUE"""),"Great service will order again")</f>
        <v>Great service will order again</v>
      </c>
      <c r="L1626" s="18">
        <f>iferror(VLOOKUP($D1626,Details!$A$2:$C$11,2,false),vlookup($D1626,Details!$E$2:$G$11,2,false))</f>
        <v>25</v>
      </c>
      <c r="M1626" s="18" t="str">
        <f>iferror(VLOOKUP($D1626,Details!$A$2:$C$11,3,false),vlookup($D1626,Details!$E$2:$G$11,3,false))</f>
        <v>Fruits and Vegetables</v>
      </c>
      <c r="N1626" s="18">
        <f t="shared" si="1"/>
        <v>50</v>
      </c>
      <c r="O1626" s="17"/>
      <c r="P1626" s="17"/>
      <c r="Q1626" s="17"/>
      <c r="R1626" s="17"/>
      <c r="S1626" s="17"/>
      <c r="T1626" s="17"/>
      <c r="U1626" s="17"/>
      <c r="V1626" s="17"/>
      <c r="W1626" s="17"/>
      <c r="X1626" s="17"/>
      <c r="Y1626" s="17"/>
      <c r="Z1626" s="17"/>
    </row>
    <row r="1627">
      <c r="A1627" s="18" t="str">
        <f>IFERROR(__xludf.DUMMYFUNCTION("""COMPUTED_VALUE"""),"ord_71605")</f>
        <v>ord_71605</v>
      </c>
      <c r="B1627" s="18" t="str">
        <f>IFERROR(__xludf.DUMMYFUNCTION("""COMPUTED_VALUE"""),"Kavya Menon")</f>
        <v>Kavya Menon</v>
      </c>
      <c r="C1627" s="18" t="str">
        <f>IFERROR(__xludf.DUMMYFUNCTION("""COMPUTED_VALUE"""),"Andheri")</f>
        <v>Andheri</v>
      </c>
      <c r="D1627" s="18" t="str">
        <f>IFERROR(__xludf.DUMMYFUNCTION("""COMPUTED_VALUE"""),"Icecream")</f>
        <v>Icecream</v>
      </c>
      <c r="E1627" s="18">
        <f>IFERROR(__xludf.DUMMYFUNCTION("""COMPUTED_VALUE"""),6.0)</f>
        <v>6</v>
      </c>
      <c r="F1627" s="18" t="str">
        <f>IFERROR(__xludf.DUMMYFUNCTION("""COMPUTED_VALUE"""),"Manju Ajay")</f>
        <v>Manju Ajay</v>
      </c>
      <c r="G1627" s="19">
        <f>IFERROR(__xludf.DUMMYFUNCTION("""COMPUTED_VALUE"""),45075.0)</f>
        <v>45075</v>
      </c>
      <c r="H1627" s="18" t="str">
        <f>IFERROR(__xludf.DUMMYFUNCTION("""COMPUTED_VALUE"""),"UPI")</f>
        <v>UPI</v>
      </c>
      <c r="I1627" s="18" t="str">
        <f>IFERROR(__xludf.DUMMYFUNCTION("""COMPUTED_VALUE"""),"Delivered")</f>
        <v>Delivered</v>
      </c>
      <c r="J1627" s="18" t="str">
        <f>IFERROR(__xludf.DUMMYFUNCTION("""COMPUTED_VALUE"""),"On-time Delivery")</f>
        <v>On-time Delivery</v>
      </c>
      <c r="K1627" s="18" t="str">
        <f>IFERROR(__xludf.DUMMYFUNCTION("""COMPUTED_VALUE"""),"Delivered on time")</f>
        <v>Delivered on time</v>
      </c>
      <c r="L1627" s="18">
        <f>iferror(VLOOKUP($D1627,Details!$A$2:$C$11,2,false),vlookup($D1627,Details!$E$2:$G$11,2,false))</f>
        <v>90</v>
      </c>
      <c r="M1627" s="18" t="str">
        <f>iferror(VLOOKUP($D1627,Details!$A$2:$C$11,3,false),vlookup($D1627,Details!$E$2:$G$11,3,false))</f>
        <v>Snacks and Drinks</v>
      </c>
      <c r="N1627" s="18">
        <f t="shared" si="1"/>
        <v>540</v>
      </c>
      <c r="O1627" s="17"/>
      <c r="P1627" s="17"/>
      <c r="Q1627" s="17"/>
      <c r="R1627" s="17"/>
      <c r="S1627" s="17"/>
      <c r="T1627" s="17"/>
      <c r="U1627" s="17"/>
      <c r="V1627" s="17"/>
      <c r="W1627" s="17"/>
      <c r="X1627" s="17"/>
      <c r="Y1627" s="17"/>
      <c r="Z1627" s="17"/>
    </row>
    <row r="1628">
      <c r="A1628" s="18" t="str">
        <f>IFERROR(__xludf.DUMMYFUNCTION("""COMPUTED_VALUE"""),"ord_71606")</f>
        <v>ord_71606</v>
      </c>
      <c r="B1628" s="18" t="str">
        <f>IFERROR(__xludf.DUMMYFUNCTION("""COMPUTED_VALUE"""),"Kavya Menon")</f>
        <v>Kavya Menon</v>
      </c>
      <c r="C1628" s="18" t="str">
        <f>IFERROR(__xludf.DUMMYFUNCTION("""COMPUTED_VALUE"""),"Andheri")</f>
        <v>Andheri</v>
      </c>
      <c r="D1628" s="18" t="str">
        <f>IFERROR(__xludf.DUMMYFUNCTION("""COMPUTED_VALUE"""),"Onion")</f>
        <v>Onion</v>
      </c>
      <c r="E1628" s="18">
        <f>IFERROR(__xludf.DUMMYFUNCTION("""COMPUTED_VALUE"""),3.0)</f>
        <v>3</v>
      </c>
      <c r="F1628" s="18" t="str">
        <f>IFERROR(__xludf.DUMMYFUNCTION("""COMPUTED_VALUE"""),"Sita T")</f>
        <v>Sita T</v>
      </c>
      <c r="G1628" s="19">
        <f>IFERROR(__xludf.DUMMYFUNCTION("""COMPUTED_VALUE"""),45252.0)</f>
        <v>45252</v>
      </c>
      <c r="H1628" s="18" t="str">
        <f>IFERROR(__xludf.DUMMYFUNCTION("""COMPUTED_VALUE"""),"Credit Card")</f>
        <v>Credit Card</v>
      </c>
      <c r="I1628" s="18" t="str">
        <f>IFERROR(__xludf.DUMMYFUNCTION("""COMPUTED_VALUE"""),"Delivered")</f>
        <v>Delivered</v>
      </c>
      <c r="J1628" s="18" t="str">
        <f>IFERROR(__xludf.DUMMYFUNCTION("""COMPUTED_VALUE"""),"Quality of Items")</f>
        <v>Quality of Items</v>
      </c>
      <c r="K1628" s="18" t="str">
        <f>IFERROR(__xludf.DUMMYFUNCTION("""COMPUTED_VALUE"""),"Perfect condition")</f>
        <v>Perfect condition</v>
      </c>
      <c r="L1628" s="18">
        <f>iferror(VLOOKUP($D1628,Details!$A$2:$C$11,2,false),vlookup($D1628,Details!$E$2:$G$11,2,false))</f>
        <v>84</v>
      </c>
      <c r="M1628" s="18" t="str">
        <f>iferror(VLOOKUP($D1628,Details!$A$2:$C$11,3,false),vlookup($D1628,Details!$E$2:$G$11,3,false))</f>
        <v>Fruits and Vegetables</v>
      </c>
      <c r="N1628" s="18">
        <f t="shared" si="1"/>
        <v>252</v>
      </c>
      <c r="O1628" s="17"/>
      <c r="P1628" s="17"/>
      <c r="Q1628" s="17"/>
      <c r="R1628" s="17"/>
      <c r="S1628" s="17"/>
      <c r="T1628" s="17"/>
      <c r="U1628" s="17"/>
      <c r="V1628" s="17"/>
      <c r="W1628" s="17"/>
      <c r="X1628" s="17"/>
      <c r="Y1628" s="17"/>
      <c r="Z1628" s="17"/>
    </row>
    <row r="1629">
      <c r="A1629" s="18" t="str">
        <f>IFERROR(__xludf.DUMMYFUNCTION("""COMPUTED_VALUE"""),"ord_71607")</f>
        <v>ord_71607</v>
      </c>
      <c r="B1629" s="18" t="str">
        <f>IFERROR(__xludf.DUMMYFUNCTION("""COMPUTED_VALUE"""),"Anaya Rao")</f>
        <v>Anaya Rao</v>
      </c>
      <c r="C1629" s="18" t="str">
        <f>IFERROR(__xludf.DUMMYFUNCTION("""COMPUTED_VALUE"""),"Colaba")</f>
        <v>Colaba</v>
      </c>
      <c r="D1629" s="18" t="str">
        <f>IFERROR(__xludf.DUMMYFUNCTION("""COMPUTED_VALUE"""),"Papaya")</f>
        <v>Papaya</v>
      </c>
      <c r="E1629" s="18">
        <f>IFERROR(__xludf.DUMMYFUNCTION("""COMPUTED_VALUE"""),1.0)</f>
        <v>1</v>
      </c>
      <c r="F1629" s="18" t="str">
        <f>IFERROR(__xludf.DUMMYFUNCTION("""COMPUTED_VALUE"""),"Sita T")</f>
        <v>Sita T</v>
      </c>
      <c r="G1629" s="19">
        <f>IFERROR(__xludf.DUMMYFUNCTION("""COMPUTED_VALUE"""),45158.0)</f>
        <v>45158</v>
      </c>
      <c r="H1629" s="18" t="str">
        <f>IFERROR(__xludf.DUMMYFUNCTION("""COMPUTED_VALUE"""),"Credit Card")</f>
        <v>Credit Card</v>
      </c>
      <c r="I1629" s="18" t="str">
        <f>IFERROR(__xludf.DUMMYFUNCTION("""COMPUTED_VALUE"""),"Delivered")</f>
        <v>Delivered</v>
      </c>
      <c r="J1629" s="18" t="str">
        <f>IFERROR(__xludf.DUMMYFUNCTION("""COMPUTED_VALUE"""),"On-time Delivery")</f>
        <v>On-time Delivery</v>
      </c>
      <c r="K1629" s="18" t="str">
        <f>IFERROR(__xludf.DUMMYFUNCTION("""COMPUTED_VALUE"""),"Delivered on time")</f>
        <v>Delivered on time</v>
      </c>
      <c r="L1629" s="18">
        <f>iferror(VLOOKUP($D1629,Details!$A$2:$C$11,2,false),vlookup($D1629,Details!$E$2:$G$11,2,false))</f>
        <v>75</v>
      </c>
      <c r="M1629" s="18" t="str">
        <f>iferror(VLOOKUP($D1629,Details!$A$2:$C$11,3,false),vlookup($D1629,Details!$E$2:$G$11,3,false))</f>
        <v>Fruits and Vegetables</v>
      </c>
      <c r="N1629" s="18">
        <f t="shared" si="1"/>
        <v>75</v>
      </c>
      <c r="O1629" s="17"/>
      <c r="P1629" s="17"/>
      <c r="Q1629" s="17"/>
      <c r="R1629" s="17"/>
      <c r="S1629" s="17"/>
      <c r="T1629" s="17"/>
      <c r="U1629" s="17"/>
      <c r="V1629" s="17"/>
      <c r="W1629" s="17"/>
      <c r="X1629" s="17"/>
      <c r="Y1629" s="17"/>
      <c r="Z1629" s="17"/>
    </row>
    <row r="1630">
      <c r="A1630" s="18" t="str">
        <f>IFERROR(__xludf.DUMMYFUNCTION("""COMPUTED_VALUE"""),"ord_71608")</f>
        <v>ord_71608</v>
      </c>
      <c r="B1630" s="18" t="str">
        <f>IFERROR(__xludf.DUMMYFUNCTION("""COMPUTED_VALUE"""),"Aditya Rao")</f>
        <v>Aditya Rao</v>
      </c>
      <c r="C1630" s="18" t="str">
        <f>IFERROR(__xludf.DUMMYFUNCTION("""COMPUTED_VALUE"""),"Lower Parel")</f>
        <v>Lower Parel</v>
      </c>
      <c r="D1630" s="18" t="str">
        <f>IFERROR(__xludf.DUMMYFUNCTION("""COMPUTED_VALUE"""),"Tiramisu")</f>
        <v>Tiramisu</v>
      </c>
      <c r="E1630" s="18">
        <f>IFERROR(__xludf.DUMMYFUNCTION("""COMPUTED_VALUE"""),5.0)</f>
        <v>5</v>
      </c>
      <c r="F1630" s="18" t="str">
        <f>IFERROR(__xludf.DUMMYFUNCTION("""COMPUTED_VALUE"""),"Nithin Lal")</f>
        <v>Nithin Lal</v>
      </c>
      <c r="G1630" s="19">
        <f>IFERROR(__xludf.DUMMYFUNCTION("""COMPUTED_VALUE"""),44960.0)</f>
        <v>44960</v>
      </c>
      <c r="H1630" s="18" t="str">
        <f>IFERROR(__xludf.DUMMYFUNCTION("""COMPUTED_VALUE"""),"Online Payment")</f>
        <v>Online Payment</v>
      </c>
      <c r="I1630" s="18" t="str">
        <f>IFERROR(__xludf.DUMMYFUNCTION("""COMPUTED_VALUE"""),"Delivered")</f>
        <v>Delivered</v>
      </c>
      <c r="J1630" s="18" t="str">
        <f>IFERROR(__xludf.DUMMYFUNCTION("""COMPUTED_VALUE"""),"Quality of Items")</f>
        <v>Quality of Items</v>
      </c>
      <c r="K1630" s="18" t="str">
        <f>IFERROR(__xludf.DUMMYFUNCTION("""COMPUTED_VALUE"""),"Perfect condition")</f>
        <v>Perfect condition</v>
      </c>
      <c r="L1630" s="18">
        <f>iferror(VLOOKUP($D1630,Details!$A$2:$C$11,2,false),vlookup($D1630,Details!$E$2:$G$11,2,false))</f>
        <v>150</v>
      </c>
      <c r="M1630" s="18" t="str">
        <f>iferror(VLOOKUP($D1630,Details!$A$2:$C$11,3,false),vlookup($D1630,Details!$E$2:$G$11,3,false))</f>
        <v>Snacks and Drinks</v>
      </c>
      <c r="N1630" s="18">
        <f t="shared" si="1"/>
        <v>750</v>
      </c>
      <c r="O1630" s="17"/>
      <c r="P1630" s="17"/>
      <c r="Q1630" s="17"/>
      <c r="R1630" s="17"/>
      <c r="S1630" s="17"/>
      <c r="T1630" s="17"/>
      <c r="U1630" s="17"/>
      <c r="V1630" s="17"/>
      <c r="W1630" s="17"/>
      <c r="X1630" s="17"/>
      <c r="Y1630" s="17"/>
      <c r="Z1630" s="17"/>
    </row>
    <row r="1631">
      <c r="A1631" s="18" t="str">
        <f>IFERROR(__xludf.DUMMYFUNCTION("""COMPUTED_VALUE"""),"ord_71609")</f>
        <v>ord_71609</v>
      </c>
      <c r="B1631" s="18" t="str">
        <f>IFERROR(__xludf.DUMMYFUNCTION("""COMPUTED_VALUE"""),"Aditya Rao")</f>
        <v>Aditya Rao</v>
      </c>
      <c r="C1631" s="18" t="str">
        <f>IFERROR(__xludf.DUMMYFUNCTION("""COMPUTED_VALUE"""),"Lower Parel")</f>
        <v>Lower Parel</v>
      </c>
      <c r="D1631" s="18" t="str">
        <f>IFERROR(__xludf.DUMMYFUNCTION("""COMPUTED_VALUE"""),"Orange")</f>
        <v>Orange</v>
      </c>
      <c r="E1631" s="18">
        <f>IFERROR(__xludf.DUMMYFUNCTION("""COMPUTED_VALUE"""),2.0)</f>
        <v>2</v>
      </c>
      <c r="F1631" s="18" t="str">
        <f>IFERROR(__xludf.DUMMYFUNCTION("""COMPUTED_VALUE"""),"Ram Gopal")</f>
        <v>Ram Gopal</v>
      </c>
      <c r="G1631" s="19">
        <f>IFERROR(__xludf.DUMMYFUNCTION("""COMPUTED_VALUE"""),45166.0)</f>
        <v>45166</v>
      </c>
      <c r="H1631" s="18" t="str">
        <f>IFERROR(__xludf.DUMMYFUNCTION("""COMPUTED_VALUE"""),"Online Payment")</f>
        <v>Online Payment</v>
      </c>
      <c r="I1631" s="18" t="str">
        <f>IFERROR(__xludf.DUMMYFUNCTION("""COMPUTED_VALUE"""),"Delivered")</f>
        <v>Delivered</v>
      </c>
      <c r="J1631" s="18" t="str">
        <f>IFERROR(__xludf.DUMMYFUNCTION("""COMPUTED_VALUE"""),"Packaging")</f>
        <v>Packaging</v>
      </c>
      <c r="K1631" s="18" t="str">
        <f>IFERROR(__xludf.DUMMYFUNCTION("""COMPUTED_VALUE"""),"Secure and intact")</f>
        <v>Secure and intact</v>
      </c>
      <c r="L1631" s="18">
        <f>iferror(VLOOKUP($D1631,Details!$A$2:$C$11,2,false),vlookup($D1631,Details!$E$2:$G$11,2,false))</f>
        <v>180</v>
      </c>
      <c r="M1631" s="18" t="str">
        <f>iferror(VLOOKUP($D1631,Details!$A$2:$C$11,3,false),vlookup($D1631,Details!$E$2:$G$11,3,false))</f>
        <v>Fruits and Vegetables</v>
      </c>
      <c r="N1631" s="18">
        <f t="shared" si="1"/>
        <v>360</v>
      </c>
      <c r="O1631" s="17"/>
      <c r="P1631" s="17"/>
      <c r="Q1631" s="17"/>
      <c r="R1631" s="17"/>
      <c r="S1631" s="17"/>
      <c r="T1631" s="17"/>
      <c r="U1631" s="17"/>
      <c r="V1631" s="17"/>
      <c r="W1631" s="17"/>
      <c r="X1631" s="17"/>
      <c r="Y1631" s="17"/>
      <c r="Z1631" s="17"/>
    </row>
    <row r="1632">
      <c r="A1632" s="18" t="str">
        <f>IFERROR(__xludf.DUMMYFUNCTION("""COMPUTED_VALUE"""),"ord_71610")</f>
        <v>ord_71610</v>
      </c>
      <c r="B1632" s="18" t="str">
        <f>IFERROR(__xludf.DUMMYFUNCTION("""COMPUTED_VALUE"""),"Arvind Kulkarni")</f>
        <v>Arvind Kulkarni</v>
      </c>
      <c r="C1632" s="18" t="str">
        <f>IFERROR(__xludf.DUMMYFUNCTION("""COMPUTED_VALUE"""),"Juhu")</f>
        <v>Juhu</v>
      </c>
      <c r="D1632" s="18" t="str">
        <f>IFERROR(__xludf.DUMMYFUNCTION("""COMPUTED_VALUE"""),"Chocolate Mousse")</f>
        <v>Chocolate Mousse</v>
      </c>
      <c r="E1632" s="18">
        <f>IFERROR(__xludf.DUMMYFUNCTION("""COMPUTED_VALUE"""),2.0)</f>
        <v>2</v>
      </c>
      <c r="F1632" s="18" t="str">
        <f>IFERROR(__xludf.DUMMYFUNCTION("""COMPUTED_VALUE"""),"Not Assigned")</f>
        <v>Not Assigned</v>
      </c>
      <c r="G1632" s="19">
        <f>IFERROR(__xludf.DUMMYFUNCTION("""COMPUTED_VALUE"""),44940.0)</f>
        <v>44940</v>
      </c>
      <c r="H1632" s="18" t="str">
        <f>IFERROR(__xludf.DUMMYFUNCTION("""COMPUTED_VALUE"""),"UPI")</f>
        <v>UPI</v>
      </c>
      <c r="I1632" s="18" t="str">
        <f>IFERROR(__xludf.DUMMYFUNCTION("""COMPUTED_VALUE"""),"Cancelled")</f>
        <v>Cancelled</v>
      </c>
      <c r="J1632" s="18" t="str">
        <f>IFERROR(__xludf.DUMMYFUNCTION("""COMPUTED_VALUE"""),"App Glitches")</f>
        <v>App Glitches</v>
      </c>
      <c r="K1632" s="18" t="str">
        <f>IFERROR(__xludf.DUMMYFUNCTION("""COMPUTED_VALUE"""),"Payment Button Malfunction")</f>
        <v>Payment Button Malfunction</v>
      </c>
      <c r="L1632" s="18">
        <f>iferror(VLOOKUP($D1632,Details!$A$2:$C$11,2,false),vlookup($D1632,Details!$E$2:$G$11,2,false))</f>
        <v>145</v>
      </c>
      <c r="M1632" s="18" t="str">
        <f>iferror(VLOOKUP($D1632,Details!$A$2:$C$11,3,false),vlookup($D1632,Details!$E$2:$G$11,3,false))</f>
        <v>Snacks and Drinks</v>
      </c>
      <c r="N1632" s="18">
        <f t="shared" si="1"/>
        <v>290</v>
      </c>
      <c r="O1632" s="17"/>
      <c r="P1632" s="17"/>
      <c r="Q1632" s="17"/>
      <c r="R1632" s="17"/>
      <c r="S1632" s="17"/>
      <c r="T1632" s="17"/>
      <c r="U1632" s="17"/>
      <c r="V1632" s="17"/>
      <c r="W1632" s="17"/>
      <c r="X1632" s="17"/>
      <c r="Y1632" s="17"/>
      <c r="Z1632" s="17"/>
    </row>
    <row r="1633">
      <c r="A1633" s="18" t="str">
        <f>IFERROR(__xludf.DUMMYFUNCTION("""COMPUTED_VALUE"""),"ord_71611")</f>
        <v>ord_71611</v>
      </c>
      <c r="B1633" s="18" t="str">
        <f>IFERROR(__xludf.DUMMYFUNCTION("""COMPUTED_VALUE"""),"Mohit Malhotra")</f>
        <v>Mohit Malhotra</v>
      </c>
      <c r="C1633" s="18" t="str">
        <f>IFERROR(__xludf.DUMMYFUNCTION("""COMPUTED_VALUE"""),"Lower Parel")</f>
        <v>Lower Parel</v>
      </c>
      <c r="D1633" s="18" t="str">
        <f>IFERROR(__xludf.DUMMYFUNCTION("""COMPUTED_VALUE"""),"Apple")</f>
        <v>Apple</v>
      </c>
      <c r="E1633" s="18">
        <f>IFERROR(__xludf.DUMMYFUNCTION("""COMPUTED_VALUE"""),2.0)</f>
        <v>2</v>
      </c>
      <c r="F1633" s="18" t="str">
        <f>IFERROR(__xludf.DUMMYFUNCTION("""COMPUTED_VALUE"""),"Not Assigned")</f>
        <v>Not Assigned</v>
      </c>
      <c r="G1633" s="19">
        <f>IFERROR(__xludf.DUMMYFUNCTION("""COMPUTED_VALUE"""),45088.0)</f>
        <v>45088</v>
      </c>
      <c r="H1633" s="18" t="str">
        <f>IFERROR(__xludf.DUMMYFUNCTION("""COMPUTED_VALUE"""),"Credit Card")</f>
        <v>Credit Card</v>
      </c>
      <c r="I1633" s="18" t="str">
        <f>IFERROR(__xludf.DUMMYFUNCTION("""COMPUTED_VALUE"""),"Cancelled")</f>
        <v>Cancelled</v>
      </c>
      <c r="J1633" s="18" t="str">
        <f>IFERROR(__xludf.DUMMYFUNCTION("""COMPUTED_VALUE"""),"High Delivery Fees")</f>
        <v>High Delivery Fees</v>
      </c>
      <c r="K1633" s="18"/>
      <c r="L1633" s="18">
        <f>iferror(VLOOKUP($D1633,Details!$A$2:$C$11,2,false),vlookup($D1633,Details!$E$2:$G$11,2,false))</f>
        <v>230</v>
      </c>
      <c r="M1633" s="18" t="str">
        <f>iferror(VLOOKUP($D1633,Details!$A$2:$C$11,3,false),vlookup($D1633,Details!$E$2:$G$11,3,false))</f>
        <v>Fruits and Vegetables</v>
      </c>
      <c r="N1633" s="18">
        <f t="shared" si="1"/>
        <v>460</v>
      </c>
      <c r="O1633" s="17"/>
      <c r="P1633" s="17"/>
      <c r="Q1633" s="17"/>
      <c r="R1633" s="17"/>
      <c r="S1633" s="17"/>
      <c r="T1633" s="17"/>
      <c r="U1633" s="17"/>
      <c r="V1633" s="17"/>
      <c r="W1633" s="17"/>
      <c r="X1633" s="17"/>
      <c r="Y1633" s="17"/>
      <c r="Z1633" s="17"/>
    </row>
    <row r="1634">
      <c r="A1634" s="18" t="str">
        <f>IFERROR(__xludf.DUMMYFUNCTION("""COMPUTED_VALUE"""),"ord_71612")</f>
        <v>ord_71612</v>
      </c>
      <c r="B1634" s="18" t="str">
        <f>IFERROR(__xludf.DUMMYFUNCTION("""COMPUTED_VALUE"""),"Mehul Thakkar")</f>
        <v>Mehul Thakkar</v>
      </c>
      <c r="C1634" s="18" t="str">
        <f>IFERROR(__xludf.DUMMYFUNCTION("""COMPUTED_VALUE"""),"Malad")</f>
        <v>Malad</v>
      </c>
      <c r="D1634" s="18" t="str">
        <f>IFERROR(__xludf.DUMMYFUNCTION("""COMPUTED_VALUE"""),"Papaya")</f>
        <v>Papaya</v>
      </c>
      <c r="E1634" s="18">
        <f>IFERROR(__xludf.DUMMYFUNCTION("""COMPUTED_VALUE"""),2.0)</f>
        <v>2</v>
      </c>
      <c r="F1634" s="18" t="str">
        <f>IFERROR(__xludf.DUMMYFUNCTION("""COMPUTED_VALUE"""),"Ram Gopal")</f>
        <v>Ram Gopal</v>
      </c>
      <c r="G1634" s="19">
        <f>IFERROR(__xludf.DUMMYFUNCTION("""COMPUTED_VALUE"""),45236.0)</f>
        <v>45236</v>
      </c>
      <c r="H1634" s="18" t="str">
        <f>IFERROR(__xludf.DUMMYFUNCTION("""COMPUTED_VALUE"""),"Online Payment")</f>
        <v>Online Payment</v>
      </c>
      <c r="I1634" s="18" t="str">
        <f>IFERROR(__xludf.DUMMYFUNCTION("""COMPUTED_VALUE"""),"Delivered")</f>
        <v>Delivered</v>
      </c>
      <c r="J1634" s="18" t="str">
        <f>IFERROR(__xludf.DUMMYFUNCTION("""COMPUTED_VALUE"""),"Satisfied with the Delivery")</f>
        <v>Satisfied with the Delivery</v>
      </c>
      <c r="K1634" s="18" t="str">
        <f>IFERROR(__xludf.DUMMYFUNCTION("""COMPUTED_VALUE"""),"Timely and quality")</f>
        <v>Timely and quality</v>
      </c>
      <c r="L1634" s="18">
        <f>iferror(VLOOKUP($D1634,Details!$A$2:$C$11,2,false),vlookup($D1634,Details!$E$2:$G$11,2,false))</f>
        <v>75</v>
      </c>
      <c r="M1634" s="18" t="str">
        <f>iferror(VLOOKUP($D1634,Details!$A$2:$C$11,3,false),vlookup($D1634,Details!$E$2:$G$11,3,false))</f>
        <v>Fruits and Vegetables</v>
      </c>
      <c r="N1634" s="18">
        <f t="shared" si="1"/>
        <v>150</v>
      </c>
      <c r="O1634" s="17"/>
      <c r="P1634" s="17"/>
      <c r="Q1634" s="17"/>
      <c r="R1634" s="17"/>
      <c r="S1634" s="17"/>
      <c r="T1634" s="17"/>
      <c r="U1634" s="17"/>
      <c r="V1634" s="17"/>
      <c r="W1634" s="17"/>
      <c r="X1634" s="17"/>
      <c r="Y1634" s="17"/>
      <c r="Z1634" s="17"/>
    </row>
    <row r="1635">
      <c r="A1635" s="18" t="str">
        <f>IFERROR(__xludf.DUMMYFUNCTION("""COMPUTED_VALUE"""),"ord_71613")</f>
        <v>ord_71613</v>
      </c>
      <c r="B1635" s="18" t="str">
        <f>IFERROR(__xludf.DUMMYFUNCTION("""COMPUTED_VALUE"""),"Aditi Iyer")</f>
        <v>Aditi Iyer</v>
      </c>
      <c r="C1635" s="18" t="str">
        <f>IFERROR(__xludf.DUMMYFUNCTION("""COMPUTED_VALUE"""),"Dadar")</f>
        <v>Dadar</v>
      </c>
      <c r="D1635" s="18" t="str">
        <f>IFERROR(__xludf.DUMMYFUNCTION("""COMPUTED_VALUE"""),"Icecream")</f>
        <v>Icecream</v>
      </c>
      <c r="E1635" s="18">
        <f>IFERROR(__xludf.DUMMYFUNCTION("""COMPUTED_VALUE"""),4.0)</f>
        <v>4</v>
      </c>
      <c r="F1635" s="18" t="str">
        <f>IFERROR(__xludf.DUMMYFUNCTION("""COMPUTED_VALUE"""),"Not Assigned")</f>
        <v>Not Assigned</v>
      </c>
      <c r="G1635" s="19">
        <f>IFERROR(__xludf.DUMMYFUNCTION("""COMPUTED_VALUE"""),45150.0)</f>
        <v>45150</v>
      </c>
      <c r="H1635" s="18" t="str">
        <f>IFERROR(__xludf.DUMMYFUNCTION("""COMPUTED_VALUE"""),"Online Payment")</f>
        <v>Online Payment</v>
      </c>
      <c r="I1635" s="18" t="str">
        <f>IFERROR(__xludf.DUMMYFUNCTION("""COMPUTED_VALUE"""),"Cancelled")</f>
        <v>Cancelled</v>
      </c>
      <c r="J1635" s="18" t="str">
        <f>IFERROR(__xludf.DUMMYFUNCTION("""COMPUTED_VALUE"""),"App Glitches")</f>
        <v>App Glitches</v>
      </c>
      <c r="K1635" s="18" t="str">
        <f>IFERROR(__xludf.DUMMYFUNCTION("""COMPUTED_VALUE"""),"Payment Button Malfunction")</f>
        <v>Payment Button Malfunction</v>
      </c>
      <c r="L1635" s="18">
        <f>iferror(VLOOKUP($D1635,Details!$A$2:$C$11,2,false),vlookup($D1635,Details!$E$2:$G$11,2,false))</f>
        <v>90</v>
      </c>
      <c r="M1635" s="18" t="str">
        <f>iferror(VLOOKUP($D1635,Details!$A$2:$C$11,3,false),vlookup($D1635,Details!$E$2:$G$11,3,false))</f>
        <v>Snacks and Drinks</v>
      </c>
      <c r="N1635" s="18">
        <f t="shared" si="1"/>
        <v>360</v>
      </c>
      <c r="O1635" s="17"/>
      <c r="P1635" s="17"/>
      <c r="Q1635" s="17"/>
      <c r="R1635" s="17"/>
      <c r="S1635" s="17"/>
      <c r="T1635" s="17"/>
      <c r="U1635" s="17"/>
      <c r="V1635" s="17"/>
      <c r="W1635" s="17"/>
      <c r="X1635" s="17"/>
      <c r="Y1635" s="17"/>
      <c r="Z1635" s="17"/>
    </row>
    <row r="1636">
      <c r="A1636" s="18" t="str">
        <f>IFERROR(__xludf.DUMMYFUNCTION("""COMPUTED_VALUE"""),"ord_71614")</f>
        <v>ord_71614</v>
      </c>
      <c r="B1636" s="18" t="str">
        <f>IFERROR(__xludf.DUMMYFUNCTION("""COMPUTED_VALUE"""),"Mohit Malhotra")</f>
        <v>Mohit Malhotra</v>
      </c>
      <c r="C1636" s="18" t="str">
        <f>IFERROR(__xludf.DUMMYFUNCTION("""COMPUTED_VALUE"""),"Lower Parel")</f>
        <v>Lower Parel</v>
      </c>
      <c r="D1636" s="18" t="str">
        <f>IFERROR(__xludf.DUMMYFUNCTION("""COMPUTED_VALUE"""),"Chicken Puff")</f>
        <v>Chicken Puff</v>
      </c>
      <c r="E1636" s="18">
        <f>IFERROR(__xludf.DUMMYFUNCTION("""COMPUTED_VALUE"""),5.0)</f>
        <v>5</v>
      </c>
      <c r="F1636" s="18" t="str">
        <f>IFERROR(__xludf.DUMMYFUNCTION("""COMPUTED_VALUE"""),"Manju Ajay")</f>
        <v>Manju Ajay</v>
      </c>
      <c r="G1636" s="19">
        <f>IFERROR(__xludf.DUMMYFUNCTION("""COMPUTED_VALUE"""),45232.0)</f>
        <v>45232</v>
      </c>
      <c r="H1636" s="18" t="str">
        <f>IFERROR(__xludf.DUMMYFUNCTION("""COMPUTED_VALUE"""),"UPI")</f>
        <v>UPI</v>
      </c>
      <c r="I1636" s="18" t="str">
        <f>IFERROR(__xludf.DUMMYFUNCTION("""COMPUTED_VALUE"""),"Delivered")</f>
        <v>Delivered</v>
      </c>
      <c r="J1636" s="18" t="str">
        <f>IFERROR(__xludf.DUMMYFUNCTION("""COMPUTED_VALUE"""),"Customer Service")</f>
        <v>Customer Service</v>
      </c>
      <c r="K1636" s="18" t="str">
        <f>IFERROR(__xludf.DUMMYFUNCTION("""COMPUTED_VALUE"""),"Seamless and easy")</f>
        <v>Seamless and easy</v>
      </c>
      <c r="L1636" s="18">
        <f>iferror(VLOOKUP($D1636,Details!$A$2:$C$11,2,false),vlookup($D1636,Details!$E$2:$G$11,2,false))</f>
        <v>90</v>
      </c>
      <c r="M1636" s="18" t="str">
        <f>iferror(VLOOKUP($D1636,Details!$A$2:$C$11,3,false),vlookup($D1636,Details!$E$2:$G$11,3,false))</f>
        <v>Snacks and Drinks</v>
      </c>
      <c r="N1636" s="18">
        <f t="shared" si="1"/>
        <v>450</v>
      </c>
      <c r="O1636" s="17"/>
      <c r="P1636" s="17"/>
      <c r="Q1636" s="17"/>
      <c r="R1636" s="17"/>
      <c r="S1636" s="17"/>
      <c r="T1636" s="17"/>
      <c r="U1636" s="17"/>
      <c r="V1636" s="17"/>
      <c r="W1636" s="17"/>
      <c r="X1636" s="17"/>
      <c r="Y1636" s="17"/>
      <c r="Z1636" s="17"/>
    </row>
    <row r="1637">
      <c r="A1637" s="18" t="str">
        <f>IFERROR(__xludf.DUMMYFUNCTION("""COMPUTED_VALUE"""),"ord_71615")</f>
        <v>ord_71615</v>
      </c>
      <c r="B1637" s="18" t="str">
        <f>IFERROR(__xludf.DUMMYFUNCTION("""COMPUTED_VALUE"""),"Tanishq Bansal")</f>
        <v>Tanishq Bansal</v>
      </c>
      <c r="C1637" s="18" t="str">
        <f>IFERROR(__xludf.DUMMYFUNCTION("""COMPUTED_VALUE"""),"Powai")</f>
        <v>Powai</v>
      </c>
      <c r="D1637" s="18" t="str">
        <f>IFERROR(__xludf.DUMMYFUNCTION("""COMPUTED_VALUE"""),"Guava")</f>
        <v>Guava</v>
      </c>
      <c r="E1637" s="18">
        <f>IFERROR(__xludf.DUMMYFUNCTION("""COMPUTED_VALUE"""),2.0)</f>
        <v>2</v>
      </c>
      <c r="F1637" s="18" t="str">
        <f>IFERROR(__xludf.DUMMYFUNCTION("""COMPUTED_VALUE"""),"Not Assigned")</f>
        <v>Not Assigned</v>
      </c>
      <c r="G1637" s="19">
        <f>IFERROR(__xludf.DUMMYFUNCTION("""COMPUTED_VALUE"""),45174.0)</f>
        <v>45174</v>
      </c>
      <c r="H1637" s="18" t="str">
        <f>IFERROR(__xludf.DUMMYFUNCTION("""COMPUTED_VALUE"""),"UPI")</f>
        <v>UPI</v>
      </c>
      <c r="I1637" s="18" t="str">
        <f>IFERROR(__xludf.DUMMYFUNCTION("""COMPUTED_VALUE"""),"Cancelled")</f>
        <v>Cancelled</v>
      </c>
      <c r="J1637" s="18" t="str">
        <f>IFERROR(__xludf.DUMMYFUNCTION("""COMPUTED_VALUE"""),"Out of Stock")</f>
        <v>Out of Stock</v>
      </c>
      <c r="K1637" s="18"/>
      <c r="L1637" s="18">
        <f>iferror(VLOOKUP($D1637,Details!$A$2:$C$11,2,false),vlookup($D1637,Details!$E$2:$G$11,2,false))</f>
        <v>70</v>
      </c>
      <c r="M1637" s="18" t="str">
        <f>iferror(VLOOKUP($D1637,Details!$A$2:$C$11,3,false),vlookup($D1637,Details!$E$2:$G$11,3,false))</f>
        <v>Fruits and Vegetables</v>
      </c>
      <c r="N1637" s="18">
        <f t="shared" si="1"/>
        <v>140</v>
      </c>
      <c r="O1637" s="17"/>
      <c r="P1637" s="17"/>
      <c r="Q1637" s="17"/>
      <c r="R1637" s="17"/>
      <c r="S1637" s="17"/>
      <c r="T1637" s="17"/>
      <c r="U1637" s="17"/>
      <c r="V1637" s="17"/>
      <c r="W1637" s="17"/>
      <c r="X1637" s="17"/>
      <c r="Y1637" s="17"/>
      <c r="Z1637" s="17"/>
    </row>
    <row r="1638">
      <c r="A1638" s="18" t="str">
        <f>IFERROR(__xludf.DUMMYFUNCTION("""COMPUTED_VALUE"""),"ord_71616")</f>
        <v>ord_71616</v>
      </c>
      <c r="B1638" s="18" t="str">
        <f>IFERROR(__xludf.DUMMYFUNCTION("""COMPUTED_VALUE"""),"Aditi Iyer")</f>
        <v>Aditi Iyer</v>
      </c>
      <c r="C1638" s="18" t="str">
        <f>IFERROR(__xludf.DUMMYFUNCTION("""COMPUTED_VALUE"""),"Dadar")</f>
        <v>Dadar</v>
      </c>
      <c r="D1638" s="18" t="str">
        <f>IFERROR(__xludf.DUMMYFUNCTION("""COMPUTED_VALUE"""),"Orange")</f>
        <v>Orange</v>
      </c>
      <c r="E1638" s="18">
        <f>IFERROR(__xludf.DUMMYFUNCTION("""COMPUTED_VALUE"""),1.0)</f>
        <v>1</v>
      </c>
      <c r="F1638" s="18" t="str">
        <f>IFERROR(__xludf.DUMMYFUNCTION("""COMPUTED_VALUE"""),"Venu R")</f>
        <v>Venu R</v>
      </c>
      <c r="G1638" s="19">
        <f>IFERROR(__xludf.DUMMYFUNCTION("""COMPUTED_VALUE"""),45285.0)</f>
        <v>45285</v>
      </c>
      <c r="H1638" s="18" t="str">
        <f>IFERROR(__xludf.DUMMYFUNCTION("""COMPUTED_VALUE"""),"Online Payment")</f>
        <v>Online Payment</v>
      </c>
      <c r="I1638" s="18" t="str">
        <f>IFERROR(__xludf.DUMMYFUNCTION("""COMPUTED_VALUE"""),"Delivered")</f>
        <v>Delivered</v>
      </c>
      <c r="J1638" s="18" t="str">
        <f>IFERROR(__xludf.DUMMYFUNCTION("""COMPUTED_VALUE"""),"Delivery Experience")</f>
        <v>Delivery Experience</v>
      </c>
      <c r="K1638" s="18" t="str">
        <f>IFERROR(__xludf.DUMMYFUNCTION("""COMPUTED_VALUE"""),"Quick and professional")</f>
        <v>Quick and professional</v>
      </c>
      <c r="L1638" s="18">
        <f>iferror(VLOOKUP($D1638,Details!$A$2:$C$11,2,false),vlookup($D1638,Details!$E$2:$G$11,2,false))</f>
        <v>180</v>
      </c>
      <c r="M1638" s="18" t="str">
        <f>iferror(VLOOKUP($D1638,Details!$A$2:$C$11,3,false),vlookup($D1638,Details!$E$2:$G$11,3,false))</f>
        <v>Fruits and Vegetables</v>
      </c>
      <c r="N1638" s="18">
        <f t="shared" si="1"/>
        <v>180</v>
      </c>
      <c r="O1638" s="17"/>
      <c r="P1638" s="17"/>
      <c r="Q1638" s="17"/>
      <c r="R1638" s="17"/>
      <c r="S1638" s="17"/>
      <c r="T1638" s="17"/>
      <c r="U1638" s="17"/>
      <c r="V1638" s="17"/>
      <c r="W1638" s="17"/>
      <c r="X1638" s="17"/>
      <c r="Y1638" s="17"/>
      <c r="Z1638" s="17"/>
    </row>
    <row r="1639">
      <c r="A1639" s="18" t="str">
        <f>IFERROR(__xludf.DUMMYFUNCTION("""COMPUTED_VALUE"""),"ord_71617")</f>
        <v>ord_71617</v>
      </c>
      <c r="B1639" s="18" t="str">
        <f>IFERROR(__xludf.DUMMYFUNCTION("""COMPUTED_VALUE"""),"Aarohi Kapoor")</f>
        <v>Aarohi Kapoor</v>
      </c>
      <c r="C1639" s="18" t="str">
        <f>IFERROR(__xludf.DUMMYFUNCTION("""COMPUTED_VALUE"""),"Bandra")</f>
        <v>Bandra</v>
      </c>
      <c r="D1639" s="18" t="str">
        <f>IFERROR(__xludf.DUMMYFUNCTION("""COMPUTED_VALUE"""),"Apple")</f>
        <v>Apple</v>
      </c>
      <c r="E1639" s="18">
        <f>IFERROR(__xludf.DUMMYFUNCTION("""COMPUTED_VALUE"""),2.0)</f>
        <v>2</v>
      </c>
      <c r="F1639" s="18" t="str">
        <f>IFERROR(__xludf.DUMMYFUNCTION("""COMPUTED_VALUE"""),"Manju Ajay")</f>
        <v>Manju Ajay</v>
      </c>
      <c r="G1639" s="19">
        <f>IFERROR(__xludf.DUMMYFUNCTION("""COMPUTED_VALUE"""),45196.0)</f>
        <v>45196</v>
      </c>
      <c r="H1639" s="18" t="str">
        <f>IFERROR(__xludf.DUMMYFUNCTION("""COMPUTED_VALUE"""),"Online Payment")</f>
        <v>Online Payment</v>
      </c>
      <c r="I1639" s="18" t="str">
        <f>IFERROR(__xludf.DUMMYFUNCTION("""COMPUTED_VALUE"""),"Delivered")</f>
        <v>Delivered</v>
      </c>
      <c r="J1639" s="18" t="str">
        <f>IFERROR(__xludf.DUMMYFUNCTION("""COMPUTED_VALUE"""),"Convenience")</f>
        <v>Convenience</v>
      </c>
      <c r="K1639" s="18" t="str">
        <f>IFERROR(__xludf.DUMMYFUNCTION("""COMPUTED_VALUE"""),"Easy tracking")</f>
        <v>Easy tracking</v>
      </c>
      <c r="L1639" s="18">
        <f>iferror(VLOOKUP($D1639,Details!$A$2:$C$11,2,false),vlookup($D1639,Details!$E$2:$G$11,2,false))</f>
        <v>230</v>
      </c>
      <c r="M1639" s="18" t="str">
        <f>iferror(VLOOKUP($D1639,Details!$A$2:$C$11,3,false),vlookup($D1639,Details!$E$2:$G$11,3,false))</f>
        <v>Fruits and Vegetables</v>
      </c>
      <c r="N1639" s="18">
        <f t="shared" si="1"/>
        <v>460</v>
      </c>
      <c r="O1639" s="17"/>
      <c r="P1639" s="17"/>
      <c r="Q1639" s="17"/>
      <c r="R1639" s="17"/>
      <c r="S1639" s="17"/>
      <c r="T1639" s="17"/>
      <c r="U1639" s="17"/>
      <c r="V1639" s="17"/>
      <c r="W1639" s="17"/>
      <c r="X1639" s="17"/>
      <c r="Y1639" s="17"/>
      <c r="Z1639" s="17"/>
    </row>
    <row r="1640">
      <c r="A1640" s="18" t="str">
        <f>IFERROR(__xludf.DUMMYFUNCTION("""COMPUTED_VALUE"""),"ord_71618")</f>
        <v>ord_71618</v>
      </c>
      <c r="B1640" s="18" t="str">
        <f>IFERROR(__xludf.DUMMYFUNCTION("""COMPUTED_VALUE"""),"Kritika Shetty")</f>
        <v>Kritika Shetty</v>
      </c>
      <c r="C1640" s="18" t="str">
        <f>IFERROR(__xludf.DUMMYFUNCTION("""COMPUTED_VALUE"""),"Malad")</f>
        <v>Malad</v>
      </c>
      <c r="D1640" s="18" t="str">
        <f>IFERROR(__xludf.DUMMYFUNCTION("""COMPUTED_VALUE"""),"Rasmalai")</f>
        <v>Rasmalai</v>
      </c>
      <c r="E1640" s="18">
        <f>IFERROR(__xludf.DUMMYFUNCTION("""COMPUTED_VALUE"""),3.0)</f>
        <v>3</v>
      </c>
      <c r="F1640" s="18" t="str">
        <f>IFERROR(__xludf.DUMMYFUNCTION("""COMPUTED_VALUE"""),"Not Assigned")</f>
        <v>Not Assigned</v>
      </c>
      <c r="G1640" s="19">
        <f>IFERROR(__xludf.DUMMYFUNCTION("""COMPUTED_VALUE"""),44967.0)</f>
        <v>44967</v>
      </c>
      <c r="H1640" s="18" t="str">
        <f>IFERROR(__xludf.DUMMYFUNCTION("""COMPUTED_VALUE"""),"UPI")</f>
        <v>UPI</v>
      </c>
      <c r="I1640" s="18" t="str">
        <f>IFERROR(__xludf.DUMMYFUNCTION("""COMPUTED_VALUE"""),"Cancelled")</f>
        <v>Cancelled</v>
      </c>
      <c r="J1640" s="18" t="str">
        <f>IFERROR(__xludf.DUMMYFUNCTION("""COMPUTED_VALUE"""),"App Glitches")</f>
        <v>App Glitches</v>
      </c>
      <c r="K1640" s="18" t="str">
        <f>IFERROR(__xludf.DUMMYFUNCTION("""COMPUTED_VALUE"""),"App Freezes")</f>
        <v>App Freezes</v>
      </c>
      <c r="L1640" s="18">
        <f>iferror(VLOOKUP($D1640,Details!$A$2:$C$11,2,false),vlookup($D1640,Details!$E$2:$G$11,2,false))</f>
        <v>110</v>
      </c>
      <c r="M1640" s="18" t="str">
        <f>iferror(VLOOKUP($D1640,Details!$A$2:$C$11,3,false),vlookup($D1640,Details!$E$2:$G$11,3,false))</f>
        <v>Snacks and Drinks</v>
      </c>
      <c r="N1640" s="18">
        <f t="shared" si="1"/>
        <v>330</v>
      </c>
      <c r="O1640" s="17"/>
      <c r="P1640" s="17"/>
      <c r="Q1640" s="17"/>
      <c r="R1640" s="17"/>
      <c r="S1640" s="17"/>
      <c r="T1640" s="17"/>
      <c r="U1640" s="17"/>
      <c r="V1640" s="17"/>
      <c r="W1640" s="17"/>
      <c r="X1640" s="17"/>
      <c r="Y1640" s="17"/>
      <c r="Z1640" s="17"/>
    </row>
    <row r="1641">
      <c r="A1641" s="18" t="str">
        <f>IFERROR(__xludf.DUMMYFUNCTION("""COMPUTED_VALUE"""),"ord_71619")</f>
        <v>ord_71619</v>
      </c>
      <c r="B1641" s="18" t="str">
        <f>IFERROR(__xludf.DUMMYFUNCTION("""COMPUTED_VALUE"""),"Pallavi Ghosh")</f>
        <v>Pallavi Ghosh</v>
      </c>
      <c r="C1641" s="18" t="str">
        <f>IFERROR(__xludf.DUMMYFUNCTION("""COMPUTED_VALUE"""),"Bandra")</f>
        <v>Bandra</v>
      </c>
      <c r="D1641" s="18" t="str">
        <f>IFERROR(__xludf.DUMMYFUNCTION("""COMPUTED_VALUE"""),"Banana")</f>
        <v>Banana</v>
      </c>
      <c r="E1641" s="18">
        <f>IFERROR(__xludf.DUMMYFUNCTION("""COMPUTED_VALUE"""),2.0)</f>
        <v>2</v>
      </c>
      <c r="F1641" s="18" t="str">
        <f>IFERROR(__xludf.DUMMYFUNCTION("""COMPUTED_VALUE"""),"Shine Thomas")</f>
        <v>Shine Thomas</v>
      </c>
      <c r="G1641" s="19">
        <f>IFERROR(__xludf.DUMMYFUNCTION("""COMPUTED_VALUE"""),45255.0)</f>
        <v>45255</v>
      </c>
      <c r="H1641" s="18" t="str">
        <f>IFERROR(__xludf.DUMMYFUNCTION("""COMPUTED_VALUE"""),"UPI")</f>
        <v>UPI</v>
      </c>
      <c r="I1641" s="18" t="str">
        <f>IFERROR(__xludf.DUMMYFUNCTION("""COMPUTED_VALUE"""),"Delivered")</f>
        <v>Delivered</v>
      </c>
      <c r="J1641" s="18" t="str">
        <f>IFERROR(__xludf.DUMMYFUNCTION("""COMPUTED_VALUE"""),"Overall Satisfaction")</f>
        <v>Overall Satisfaction</v>
      </c>
      <c r="K1641" s="18" t="str">
        <f>IFERROR(__xludf.DUMMYFUNCTION("""COMPUTED_VALUE"""),"Great service will order again")</f>
        <v>Great service will order again</v>
      </c>
      <c r="L1641" s="18">
        <f>iferror(VLOOKUP($D1641,Details!$A$2:$C$11,2,false),vlookup($D1641,Details!$E$2:$G$11,2,false))</f>
        <v>80</v>
      </c>
      <c r="M1641" s="18" t="str">
        <f>iferror(VLOOKUP($D1641,Details!$A$2:$C$11,3,false),vlookup($D1641,Details!$E$2:$G$11,3,false))</f>
        <v>Fruits and Vegetables</v>
      </c>
      <c r="N1641" s="18">
        <f t="shared" si="1"/>
        <v>160</v>
      </c>
      <c r="O1641" s="17"/>
      <c r="P1641" s="17"/>
      <c r="Q1641" s="17"/>
      <c r="R1641" s="17"/>
      <c r="S1641" s="17"/>
      <c r="T1641" s="17"/>
      <c r="U1641" s="17"/>
      <c r="V1641" s="17"/>
      <c r="W1641" s="17"/>
      <c r="X1641" s="17"/>
      <c r="Y1641" s="17"/>
      <c r="Z1641" s="17"/>
    </row>
    <row r="1642">
      <c r="A1642" s="18" t="str">
        <f>IFERROR(__xludf.DUMMYFUNCTION("""COMPUTED_VALUE"""),"ord_71620")</f>
        <v>ord_71620</v>
      </c>
      <c r="B1642" s="18" t="str">
        <f>IFERROR(__xludf.DUMMYFUNCTION("""COMPUTED_VALUE"""),"Pallavi Ghosh")</f>
        <v>Pallavi Ghosh</v>
      </c>
      <c r="C1642" s="18" t="str">
        <f>IFERROR(__xludf.DUMMYFUNCTION("""COMPUTED_VALUE"""),"Bandra")</f>
        <v>Bandra</v>
      </c>
      <c r="D1642" s="18" t="str">
        <f>IFERROR(__xludf.DUMMYFUNCTION("""COMPUTED_VALUE"""),"Guava")</f>
        <v>Guava</v>
      </c>
      <c r="E1642" s="18">
        <f>IFERROR(__xludf.DUMMYFUNCTION("""COMPUTED_VALUE"""),2.0)</f>
        <v>2</v>
      </c>
      <c r="F1642" s="18" t="str">
        <f>IFERROR(__xludf.DUMMYFUNCTION("""COMPUTED_VALUE"""),"Not Assigned")</f>
        <v>Not Assigned</v>
      </c>
      <c r="G1642" s="19">
        <f>IFERROR(__xludf.DUMMYFUNCTION("""COMPUTED_VALUE"""),45218.0)</f>
        <v>45218</v>
      </c>
      <c r="H1642" s="18" t="str">
        <f>IFERROR(__xludf.DUMMYFUNCTION("""COMPUTED_VALUE"""),"Online Payment")</f>
        <v>Online Payment</v>
      </c>
      <c r="I1642" s="18" t="str">
        <f>IFERROR(__xludf.DUMMYFUNCTION("""COMPUTED_VALUE"""),"Cancelled")</f>
        <v>Cancelled</v>
      </c>
      <c r="J1642" s="18" t="str">
        <f>IFERROR(__xludf.DUMMYFUNCTION("""COMPUTED_VALUE"""),"Payment Issues")</f>
        <v>Payment Issues</v>
      </c>
      <c r="K1642" s="18"/>
      <c r="L1642" s="18">
        <f>iferror(VLOOKUP($D1642,Details!$A$2:$C$11,2,false),vlookup($D1642,Details!$E$2:$G$11,2,false))</f>
        <v>70</v>
      </c>
      <c r="M1642" s="18" t="str">
        <f>iferror(VLOOKUP($D1642,Details!$A$2:$C$11,3,false),vlookup($D1642,Details!$E$2:$G$11,3,false))</f>
        <v>Fruits and Vegetables</v>
      </c>
      <c r="N1642" s="18">
        <f t="shared" si="1"/>
        <v>140</v>
      </c>
      <c r="O1642" s="17"/>
      <c r="P1642" s="17"/>
      <c r="Q1642" s="17"/>
      <c r="R1642" s="17"/>
      <c r="S1642" s="17"/>
      <c r="T1642" s="17"/>
      <c r="U1642" s="17"/>
      <c r="V1642" s="17"/>
      <c r="W1642" s="17"/>
      <c r="X1642" s="17"/>
      <c r="Y1642" s="17"/>
      <c r="Z1642" s="17"/>
    </row>
    <row r="1643">
      <c r="A1643" s="18" t="str">
        <f>IFERROR(__xludf.DUMMYFUNCTION("""COMPUTED_VALUE"""),"ord_71621")</f>
        <v>ord_71621</v>
      </c>
      <c r="B1643" s="18" t="str">
        <f>IFERROR(__xludf.DUMMYFUNCTION("""COMPUTED_VALUE"""),"Pallavi Ghosh")</f>
        <v>Pallavi Ghosh</v>
      </c>
      <c r="C1643" s="18" t="str">
        <f>IFERROR(__xludf.DUMMYFUNCTION("""COMPUTED_VALUE"""),"Bandra")</f>
        <v>Bandra</v>
      </c>
      <c r="D1643" s="18" t="str">
        <f>IFERROR(__xludf.DUMMYFUNCTION("""COMPUTED_VALUE"""),"Tomato")</f>
        <v>Tomato</v>
      </c>
      <c r="E1643" s="18">
        <f>IFERROR(__xludf.DUMMYFUNCTION("""COMPUTED_VALUE"""),2.0)</f>
        <v>2</v>
      </c>
      <c r="F1643" s="18" t="str">
        <f>IFERROR(__xludf.DUMMYFUNCTION("""COMPUTED_VALUE"""),"Vivek Kumar")</f>
        <v>Vivek Kumar</v>
      </c>
      <c r="G1643" s="19">
        <f>IFERROR(__xludf.DUMMYFUNCTION("""COMPUTED_VALUE"""),45063.0)</f>
        <v>45063</v>
      </c>
      <c r="H1643" s="18" t="str">
        <f>IFERROR(__xludf.DUMMYFUNCTION("""COMPUTED_VALUE"""),"UPI")</f>
        <v>UPI</v>
      </c>
      <c r="I1643" s="18" t="str">
        <f>IFERROR(__xludf.DUMMYFUNCTION("""COMPUTED_VALUE"""),"Delivered")</f>
        <v>Delivered</v>
      </c>
      <c r="J1643" s="18" t="str">
        <f>IFERROR(__xludf.DUMMYFUNCTION("""COMPUTED_VALUE"""),"On-time Delivery")</f>
        <v>On-time Delivery</v>
      </c>
      <c r="K1643" s="18" t="str">
        <f>IFERROR(__xludf.DUMMYFUNCTION("""COMPUTED_VALUE"""),"Delivered on time")</f>
        <v>Delivered on time</v>
      </c>
      <c r="L1643" s="18">
        <f>iferror(VLOOKUP($D1643,Details!$A$2:$C$11,2,false),vlookup($D1643,Details!$E$2:$G$11,2,false))</f>
        <v>25</v>
      </c>
      <c r="M1643" s="18" t="str">
        <f>iferror(VLOOKUP($D1643,Details!$A$2:$C$11,3,false),vlookup($D1643,Details!$E$2:$G$11,3,false))</f>
        <v>Fruits and Vegetables</v>
      </c>
      <c r="N1643" s="18">
        <f t="shared" si="1"/>
        <v>50</v>
      </c>
      <c r="O1643" s="17"/>
      <c r="P1643" s="17"/>
      <c r="Q1643" s="17"/>
      <c r="R1643" s="17"/>
      <c r="S1643" s="17"/>
      <c r="T1643" s="17"/>
      <c r="U1643" s="17"/>
      <c r="V1643" s="17"/>
      <c r="W1643" s="17"/>
      <c r="X1643" s="17"/>
      <c r="Y1643" s="17"/>
      <c r="Z1643" s="17"/>
    </row>
    <row r="1644">
      <c r="A1644" s="18" t="str">
        <f>IFERROR(__xludf.DUMMYFUNCTION("""COMPUTED_VALUE"""),"ord_71622")</f>
        <v>ord_71622</v>
      </c>
      <c r="B1644" s="18" t="str">
        <f>IFERROR(__xludf.DUMMYFUNCTION("""COMPUTED_VALUE"""),"Ishita Banerjee")</f>
        <v>Ishita Banerjee</v>
      </c>
      <c r="C1644" s="18" t="str">
        <f>IFERROR(__xludf.DUMMYFUNCTION("""COMPUTED_VALUE"""),"Juhu")</f>
        <v>Juhu</v>
      </c>
      <c r="D1644" s="18" t="str">
        <f>IFERROR(__xludf.DUMMYFUNCTION("""COMPUTED_VALUE"""),"Juice")</f>
        <v>Juice</v>
      </c>
      <c r="E1644" s="18">
        <f>IFERROR(__xludf.DUMMYFUNCTION("""COMPUTED_VALUE"""),5.0)</f>
        <v>5</v>
      </c>
      <c r="F1644" s="18" t="str">
        <f>IFERROR(__xludf.DUMMYFUNCTION("""COMPUTED_VALUE"""),"Not Assigned")</f>
        <v>Not Assigned</v>
      </c>
      <c r="G1644" s="19">
        <f>IFERROR(__xludf.DUMMYFUNCTION("""COMPUTED_VALUE"""),45116.0)</f>
        <v>45116</v>
      </c>
      <c r="H1644" s="18" t="str">
        <f>IFERROR(__xludf.DUMMYFUNCTION("""COMPUTED_VALUE"""),"UPI")</f>
        <v>UPI</v>
      </c>
      <c r="I1644" s="18" t="str">
        <f>IFERROR(__xludf.DUMMYFUNCTION("""COMPUTED_VALUE"""),"Cancelled")</f>
        <v>Cancelled</v>
      </c>
      <c r="J1644" s="18" t="str">
        <f>IFERROR(__xludf.DUMMYFUNCTION("""COMPUTED_VALUE"""),"App Glitches")</f>
        <v>App Glitches</v>
      </c>
      <c r="K1644" s="18" t="str">
        <f>IFERROR(__xludf.DUMMYFUNCTION("""COMPUTED_VALUE"""),"Slow Loading Time")</f>
        <v>Slow Loading Time</v>
      </c>
      <c r="L1644" s="18">
        <f>iferror(VLOOKUP($D1644,Details!$A$2:$C$11,2,false),vlookup($D1644,Details!$E$2:$G$11,2,false))</f>
        <v>90</v>
      </c>
      <c r="M1644" s="18" t="str">
        <f>iferror(VLOOKUP($D1644,Details!$A$2:$C$11,3,false),vlookup($D1644,Details!$E$2:$G$11,3,false))</f>
        <v>Snacks and Drinks</v>
      </c>
      <c r="N1644" s="18">
        <f t="shared" si="1"/>
        <v>450</v>
      </c>
      <c r="O1644" s="17"/>
      <c r="P1644" s="17"/>
      <c r="Q1644" s="17"/>
      <c r="R1644" s="17"/>
      <c r="S1644" s="17"/>
      <c r="T1644" s="17"/>
      <c r="U1644" s="17"/>
      <c r="V1644" s="17"/>
      <c r="W1644" s="17"/>
      <c r="X1644" s="17"/>
      <c r="Y1644" s="17"/>
      <c r="Z1644" s="17"/>
    </row>
    <row r="1645">
      <c r="A1645" s="18" t="str">
        <f>IFERROR(__xludf.DUMMYFUNCTION("""COMPUTED_VALUE"""),"ord_71623")</f>
        <v>ord_71623</v>
      </c>
      <c r="B1645" s="18" t="str">
        <f>IFERROR(__xludf.DUMMYFUNCTION("""COMPUTED_VALUE"""),"Omkar Mishra")</f>
        <v>Omkar Mishra</v>
      </c>
      <c r="C1645" s="18" t="str">
        <f>IFERROR(__xludf.DUMMYFUNCTION("""COMPUTED_VALUE"""),"Powai")</f>
        <v>Powai</v>
      </c>
      <c r="D1645" s="18" t="str">
        <f>IFERROR(__xludf.DUMMYFUNCTION("""COMPUTED_VALUE"""),"Juice")</f>
        <v>Juice</v>
      </c>
      <c r="E1645" s="18">
        <f>IFERROR(__xludf.DUMMYFUNCTION("""COMPUTED_VALUE"""),4.0)</f>
        <v>4</v>
      </c>
      <c r="F1645" s="18" t="str">
        <f>IFERROR(__xludf.DUMMYFUNCTION("""COMPUTED_VALUE"""),"Ramesh S")</f>
        <v>Ramesh S</v>
      </c>
      <c r="G1645" s="19">
        <f>IFERROR(__xludf.DUMMYFUNCTION("""COMPUTED_VALUE"""),45102.0)</f>
        <v>45102</v>
      </c>
      <c r="H1645" s="18" t="str">
        <f>IFERROR(__xludf.DUMMYFUNCTION("""COMPUTED_VALUE"""),"Credit Card")</f>
        <v>Credit Card</v>
      </c>
      <c r="I1645" s="18" t="str">
        <f>IFERROR(__xludf.DUMMYFUNCTION("""COMPUTED_VALUE"""),"Delivered")</f>
        <v>Delivered</v>
      </c>
      <c r="J1645" s="18" t="str">
        <f>IFERROR(__xludf.DUMMYFUNCTION("""COMPUTED_VALUE"""),"Quality of Items")</f>
        <v>Quality of Items</v>
      </c>
      <c r="K1645" s="18" t="str">
        <f>IFERROR(__xludf.DUMMYFUNCTION("""COMPUTED_VALUE"""),"Perfect condition")</f>
        <v>Perfect condition</v>
      </c>
      <c r="L1645" s="18">
        <f>iferror(VLOOKUP($D1645,Details!$A$2:$C$11,2,false),vlookup($D1645,Details!$E$2:$G$11,2,false))</f>
        <v>90</v>
      </c>
      <c r="M1645" s="18" t="str">
        <f>iferror(VLOOKUP($D1645,Details!$A$2:$C$11,3,false),vlookup($D1645,Details!$E$2:$G$11,3,false))</f>
        <v>Snacks and Drinks</v>
      </c>
      <c r="N1645" s="18">
        <f t="shared" si="1"/>
        <v>360</v>
      </c>
      <c r="O1645" s="17"/>
      <c r="P1645" s="17"/>
      <c r="Q1645" s="17"/>
      <c r="R1645" s="17"/>
      <c r="S1645" s="17"/>
      <c r="T1645" s="17"/>
      <c r="U1645" s="17"/>
      <c r="V1645" s="17"/>
      <c r="W1645" s="17"/>
      <c r="X1645" s="17"/>
      <c r="Y1645" s="17"/>
      <c r="Z1645" s="17"/>
    </row>
    <row r="1646">
      <c r="A1646" s="18" t="str">
        <f>IFERROR(__xludf.DUMMYFUNCTION("""COMPUTED_VALUE"""),"ord_71624")</f>
        <v>ord_71624</v>
      </c>
      <c r="B1646" s="18" t="str">
        <f>IFERROR(__xludf.DUMMYFUNCTION("""COMPUTED_VALUE"""),"Sakshi Tandon")</f>
        <v>Sakshi Tandon</v>
      </c>
      <c r="C1646" s="18" t="str">
        <f>IFERROR(__xludf.DUMMYFUNCTION("""COMPUTED_VALUE"""),"Colaba")</f>
        <v>Colaba</v>
      </c>
      <c r="D1646" s="18" t="str">
        <f>IFERROR(__xludf.DUMMYFUNCTION("""COMPUTED_VALUE"""),"Onion")</f>
        <v>Onion</v>
      </c>
      <c r="E1646" s="18">
        <f>IFERROR(__xludf.DUMMYFUNCTION("""COMPUTED_VALUE"""),2.0)</f>
        <v>2</v>
      </c>
      <c r="F1646" s="18" t="str">
        <f>IFERROR(__xludf.DUMMYFUNCTION("""COMPUTED_VALUE"""),"Venu R")</f>
        <v>Venu R</v>
      </c>
      <c r="G1646" s="19">
        <f>IFERROR(__xludf.DUMMYFUNCTION("""COMPUTED_VALUE"""),45217.0)</f>
        <v>45217</v>
      </c>
      <c r="H1646" s="18" t="str">
        <f>IFERROR(__xludf.DUMMYFUNCTION("""COMPUTED_VALUE"""),"Credit Card")</f>
        <v>Credit Card</v>
      </c>
      <c r="I1646" s="18" t="str">
        <f>IFERROR(__xludf.DUMMYFUNCTION("""COMPUTED_VALUE"""),"Delivered")</f>
        <v>Delivered</v>
      </c>
      <c r="J1646" s="18" t="str">
        <f>IFERROR(__xludf.DUMMYFUNCTION("""COMPUTED_VALUE"""),"On-time Delivery")</f>
        <v>On-time Delivery</v>
      </c>
      <c r="K1646" s="18" t="str">
        <f>IFERROR(__xludf.DUMMYFUNCTION("""COMPUTED_VALUE"""),"Delivered on time")</f>
        <v>Delivered on time</v>
      </c>
      <c r="L1646" s="18">
        <f>iferror(VLOOKUP($D1646,Details!$A$2:$C$11,2,false),vlookup($D1646,Details!$E$2:$G$11,2,false))</f>
        <v>84</v>
      </c>
      <c r="M1646" s="18" t="str">
        <f>iferror(VLOOKUP($D1646,Details!$A$2:$C$11,3,false),vlookup($D1646,Details!$E$2:$G$11,3,false))</f>
        <v>Fruits and Vegetables</v>
      </c>
      <c r="N1646" s="18">
        <f t="shared" si="1"/>
        <v>168</v>
      </c>
      <c r="O1646" s="17"/>
      <c r="P1646" s="17"/>
      <c r="Q1646" s="17"/>
      <c r="R1646" s="17"/>
      <c r="S1646" s="17"/>
      <c r="T1646" s="17"/>
      <c r="U1646" s="17"/>
      <c r="V1646" s="17"/>
      <c r="W1646" s="17"/>
      <c r="X1646" s="17"/>
      <c r="Y1646" s="17"/>
      <c r="Z1646" s="17"/>
    </row>
    <row r="1647">
      <c r="A1647" s="18" t="str">
        <f>IFERROR(__xludf.DUMMYFUNCTION("""COMPUTED_VALUE"""),"ord_71625")</f>
        <v>ord_71625</v>
      </c>
      <c r="B1647" s="18" t="str">
        <f>IFERROR(__xludf.DUMMYFUNCTION("""COMPUTED_VALUE"""),"Sakshi Tandon")</f>
        <v>Sakshi Tandon</v>
      </c>
      <c r="C1647" s="18" t="str">
        <f>IFERROR(__xludf.DUMMYFUNCTION("""COMPUTED_VALUE"""),"Colaba")</f>
        <v>Colaba</v>
      </c>
      <c r="D1647" s="18" t="str">
        <f>IFERROR(__xludf.DUMMYFUNCTION("""COMPUTED_VALUE"""),"Rasmalai")</f>
        <v>Rasmalai</v>
      </c>
      <c r="E1647" s="18">
        <f>IFERROR(__xludf.DUMMYFUNCTION("""COMPUTED_VALUE"""),3.0)</f>
        <v>3</v>
      </c>
      <c r="F1647" s="18" t="str">
        <f>IFERROR(__xludf.DUMMYFUNCTION("""COMPUTED_VALUE"""),"Nithin Lal")</f>
        <v>Nithin Lal</v>
      </c>
      <c r="G1647" s="19">
        <f>IFERROR(__xludf.DUMMYFUNCTION("""COMPUTED_VALUE"""),45064.0)</f>
        <v>45064</v>
      </c>
      <c r="H1647" s="18" t="str">
        <f>IFERROR(__xludf.DUMMYFUNCTION("""COMPUTED_VALUE"""),"UPI")</f>
        <v>UPI</v>
      </c>
      <c r="I1647" s="18" t="str">
        <f>IFERROR(__xludf.DUMMYFUNCTION("""COMPUTED_VALUE"""),"Delivered")</f>
        <v>Delivered</v>
      </c>
      <c r="J1647" s="18" t="str">
        <f>IFERROR(__xludf.DUMMYFUNCTION("""COMPUTED_VALUE"""),"Quality of Items")</f>
        <v>Quality of Items</v>
      </c>
      <c r="K1647" s="18" t="str">
        <f>IFERROR(__xludf.DUMMYFUNCTION("""COMPUTED_VALUE"""),"Perfect condition")</f>
        <v>Perfect condition</v>
      </c>
      <c r="L1647" s="18">
        <f>iferror(VLOOKUP($D1647,Details!$A$2:$C$11,2,false),vlookup($D1647,Details!$E$2:$G$11,2,false))</f>
        <v>110</v>
      </c>
      <c r="M1647" s="18" t="str">
        <f>iferror(VLOOKUP($D1647,Details!$A$2:$C$11,3,false),vlookup($D1647,Details!$E$2:$G$11,3,false))</f>
        <v>Snacks and Drinks</v>
      </c>
      <c r="N1647" s="18">
        <f t="shared" si="1"/>
        <v>330</v>
      </c>
      <c r="O1647" s="17"/>
      <c r="P1647" s="17"/>
      <c r="Q1647" s="17"/>
      <c r="R1647" s="17"/>
      <c r="S1647" s="17"/>
      <c r="T1647" s="17"/>
      <c r="U1647" s="17"/>
      <c r="V1647" s="17"/>
      <c r="W1647" s="17"/>
      <c r="X1647" s="17"/>
      <c r="Y1647" s="17"/>
      <c r="Z1647" s="17"/>
    </row>
    <row r="1648">
      <c r="A1648" s="18" t="str">
        <f>IFERROR(__xludf.DUMMYFUNCTION("""COMPUTED_VALUE"""),"ord_71626")</f>
        <v>ord_71626</v>
      </c>
      <c r="B1648" s="18" t="str">
        <f>IFERROR(__xludf.DUMMYFUNCTION("""COMPUTED_VALUE"""),"Mehul Thakkar")</f>
        <v>Mehul Thakkar</v>
      </c>
      <c r="C1648" s="18" t="str">
        <f>IFERROR(__xludf.DUMMYFUNCTION("""COMPUTED_VALUE"""),"Malad")</f>
        <v>Malad</v>
      </c>
      <c r="D1648" s="18" t="str">
        <f>IFERROR(__xludf.DUMMYFUNCTION("""COMPUTED_VALUE"""),"Popcorn")</f>
        <v>Popcorn</v>
      </c>
      <c r="E1648" s="18">
        <f>IFERROR(__xludf.DUMMYFUNCTION("""COMPUTED_VALUE"""),3.0)</f>
        <v>3</v>
      </c>
      <c r="F1648" s="18" t="str">
        <f>IFERROR(__xludf.DUMMYFUNCTION("""COMPUTED_VALUE"""),"Nithin Lal")</f>
        <v>Nithin Lal</v>
      </c>
      <c r="G1648" s="19">
        <f>IFERROR(__xludf.DUMMYFUNCTION("""COMPUTED_VALUE"""),45012.0)</f>
        <v>45012</v>
      </c>
      <c r="H1648" s="18" t="str">
        <f>IFERROR(__xludf.DUMMYFUNCTION("""COMPUTED_VALUE"""),"Online Payment")</f>
        <v>Online Payment</v>
      </c>
      <c r="I1648" s="18" t="str">
        <f>IFERROR(__xludf.DUMMYFUNCTION("""COMPUTED_VALUE"""),"Delivered")</f>
        <v>Delivered</v>
      </c>
      <c r="J1648" s="18" t="str">
        <f>IFERROR(__xludf.DUMMYFUNCTION("""COMPUTED_VALUE"""),"Packaging")</f>
        <v>Packaging</v>
      </c>
      <c r="K1648" s="18" t="str">
        <f>IFERROR(__xludf.DUMMYFUNCTION("""COMPUTED_VALUE"""),"Secure and intact")</f>
        <v>Secure and intact</v>
      </c>
      <c r="L1648" s="18">
        <f>iferror(VLOOKUP($D1648,Details!$A$2:$C$11,2,false),vlookup($D1648,Details!$E$2:$G$11,2,false))</f>
        <v>150</v>
      </c>
      <c r="M1648" s="18" t="str">
        <f>iferror(VLOOKUP($D1648,Details!$A$2:$C$11,3,false),vlookup($D1648,Details!$E$2:$G$11,3,false))</f>
        <v>Snacks and Drinks</v>
      </c>
      <c r="N1648" s="18">
        <f t="shared" si="1"/>
        <v>450</v>
      </c>
      <c r="O1648" s="17"/>
      <c r="P1648" s="17"/>
      <c r="Q1648" s="17"/>
      <c r="R1648" s="17"/>
      <c r="S1648" s="17"/>
      <c r="T1648" s="17"/>
      <c r="U1648" s="17"/>
      <c r="V1648" s="17"/>
      <c r="W1648" s="17"/>
      <c r="X1648" s="17"/>
      <c r="Y1648" s="17"/>
      <c r="Z1648" s="17"/>
    </row>
    <row r="1649">
      <c r="A1649" s="18" t="str">
        <f>IFERROR(__xludf.DUMMYFUNCTION("""COMPUTED_VALUE"""),"ord_71627")</f>
        <v>ord_71627</v>
      </c>
      <c r="B1649" s="18" t="str">
        <f>IFERROR(__xludf.DUMMYFUNCTION("""COMPUTED_VALUE"""),"Sakshi Tandon")</f>
        <v>Sakshi Tandon</v>
      </c>
      <c r="C1649" s="18" t="str">
        <f>IFERROR(__xludf.DUMMYFUNCTION("""COMPUTED_VALUE"""),"Colaba")</f>
        <v>Colaba</v>
      </c>
      <c r="D1649" s="18" t="str">
        <f>IFERROR(__xludf.DUMMYFUNCTION("""COMPUTED_VALUE"""),"Guava")</f>
        <v>Guava</v>
      </c>
      <c r="E1649" s="18">
        <f>IFERROR(__xludf.DUMMYFUNCTION("""COMPUTED_VALUE"""),1.0)</f>
        <v>1</v>
      </c>
      <c r="F1649" s="18" t="str">
        <f>IFERROR(__xludf.DUMMYFUNCTION("""COMPUTED_VALUE"""),"Not Assigned")</f>
        <v>Not Assigned</v>
      </c>
      <c r="G1649" s="19">
        <f>IFERROR(__xludf.DUMMYFUNCTION("""COMPUTED_VALUE"""),44967.0)</f>
        <v>44967</v>
      </c>
      <c r="H1649" s="18" t="str">
        <f>IFERROR(__xludf.DUMMYFUNCTION("""COMPUTED_VALUE"""),"Credit Card")</f>
        <v>Credit Card</v>
      </c>
      <c r="I1649" s="18" t="str">
        <f>IFERROR(__xludf.DUMMYFUNCTION("""COMPUTED_VALUE"""),"Cancelled")</f>
        <v>Cancelled</v>
      </c>
      <c r="J1649" s="18" t="str">
        <f>IFERROR(__xludf.DUMMYFUNCTION("""COMPUTED_VALUE"""),"Payment Issues")</f>
        <v>Payment Issues</v>
      </c>
      <c r="K1649" s="18"/>
      <c r="L1649" s="18">
        <f>iferror(VLOOKUP($D1649,Details!$A$2:$C$11,2,false),vlookup($D1649,Details!$E$2:$G$11,2,false))</f>
        <v>70</v>
      </c>
      <c r="M1649" s="18" t="str">
        <f>iferror(VLOOKUP($D1649,Details!$A$2:$C$11,3,false),vlookup($D1649,Details!$E$2:$G$11,3,false))</f>
        <v>Fruits and Vegetables</v>
      </c>
      <c r="N1649" s="18">
        <f t="shared" si="1"/>
        <v>70</v>
      </c>
      <c r="O1649" s="17"/>
      <c r="P1649" s="17"/>
      <c r="Q1649" s="17"/>
      <c r="R1649" s="17"/>
      <c r="S1649" s="17"/>
      <c r="T1649" s="17"/>
      <c r="U1649" s="17"/>
      <c r="V1649" s="17"/>
      <c r="W1649" s="17"/>
      <c r="X1649" s="17"/>
      <c r="Y1649" s="17"/>
      <c r="Z1649" s="17"/>
    </row>
    <row r="1650">
      <c r="A1650" s="18" t="str">
        <f>IFERROR(__xludf.DUMMYFUNCTION("""COMPUTED_VALUE"""),"ord_71628")</f>
        <v>ord_71628</v>
      </c>
      <c r="B1650" s="18" t="str">
        <f>IFERROR(__xludf.DUMMYFUNCTION("""COMPUTED_VALUE"""),"Anaya Rao")</f>
        <v>Anaya Rao</v>
      </c>
      <c r="C1650" s="18" t="str">
        <f>IFERROR(__xludf.DUMMYFUNCTION("""COMPUTED_VALUE"""),"Colaba")</f>
        <v>Colaba</v>
      </c>
      <c r="D1650" s="18" t="str">
        <f>IFERROR(__xludf.DUMMYFUNCTION("""COMPUTED_VALUE"""),"Guava")</f>
        <v>Guava</v>
      </c>
      <c r="E1650" s="18">
        <f>IFERROR(__xludf.DUMMYFUNCTION("""COMPUTED_VALUE"""),1.0)</f>
        <v>1</v>
      </c>
      <c r="F1650" s="18" t="str">
        <f>IFERROR(__xludf.DUMMYFUNCTION("""COMPUTED_VALUE"""),"Not Assigned")</f>
        <v>Not Assigned</v>
      </c>
      <c r="G1650" s="19">
        <f>IFERROR(__xludf.DUMMYFUNCTION("""COMPUTED_VALUE"""),45265.0)</f>
        <v>45265</v>
      </c>
      <c r="H1650" s="18" t="str">
        <f>IFERROR(__xludf.DUMMYFUNCTION("""COMPUTED_VALUE"""),"Credit Card")</f>
        <v>Credit Card</v>
      </c>
      <c r="I1650" s="18" t="str">
        <f>IFERROR(__xludf.DUMMYFUNCTION("""COMPUTED_VALUE"""),"Cancelled")</f>
        <v>Cancelled</v>
      </c>
      <c r="J1650" s="18" t="str">
        <f>IFERROR(__xludf.DUMMYFUNCTION("""COMPUTED_VALUE"""),"App Glitches")</f>
        <v>App Glitches</v>
      </c>
      <c r="K1650" s="18" t="str">
        <f>IFERROR(__xludf.DUMMYFUNCTION("""COMPUTED_VALUE"""),"Inconsistent Data Display")</f>
        <v>Inconsistent Data Display</v>
      </c>
      <c r="L1650" s="18">
        <f>iferror(VLOOKUP($D1650,Details!$A$2:$C$11,2,false),vlookup($D1650,Details!$E$2:$G$11,2,false))</f>
        <v>70</v>
      </c>
      <c r="M1650" s="18" t="str">
        <f>iferror(VLOOKUP($D1650,Details!$A$2:$C$11,3,false),vlookup($D1650,Details!$E$2:$G$11,3,false))</f>
        <v>Fruits and Vegetables</v>
      </c>
      <c r="N1650" s="18">
        <f t="shared" si="1"/>
        <v>70</v>
      </c>
      <c r="O1650" s="17"/>
      <c r="P1650" s="17"/>
      <c r="Q1650" s="17"/>
      <c r="R1650" s="17"/>
      <c r="S1650" s="17"/>
      <c r="T1650" s="17"/>
      <c r="U1650" s="17"/>
      <c r="V1650" s="17"/>
      <c r="W1650" s="17"/>
      <c r="X1650" s="17"/>
      <c r="Y1650" s="17"/>
      <c r="Z1650" s="17"/>
    </row>
    <row r="1651">
      <c r="A1651" s="18" t="str">
        <f>IFERROR(__xludf.DUMMYFUNCTION("""COMPUTED_VALUE"""),"ord_71629")</f>
        <v>ord_71629</v>
      </c>
      <c r="B1651" s="18" t="str">
        <f>IFERROR(__xludf.DUMMYFUNCTION("""COMPUTED_VALUE"""),"Parth Goel")</f>
        <v>Parth Goel</v>
      </c>
      <c r="C1651" s="18" t="str">
        <f>IFERROR(__xludf.DUMMYFUNCTION("""COMPUTED_VALUE"""),"Juhu")</f>
        <v>Juhu</v>
      </c>
      <c r="D1651" s="18" t="str">
        <f>IFERROR(__xludf.DUMMYFUNCTION("""COMPUTED_VALUE"""),"Chocolate Mousse")</f>
        <v>Chocolate Mousse</v>
      </c>
      <c r="E1651" s="18">
        <f>IFERROR(__xludf.DUMMYFUNCTION("""COMPUTED_VALUE"""),4.0)</f>
        <v>4</v>
      </c>
      <c r="F1651" s="18" t="str">
        <f>IFERROR(__xludf.DUMMYFUNCTION("""COMPUTED_VALUE"""),"Nithin Lal")</f>
        <v>Nithin Lal</v>
      </c>
      <c r="G1651" s="19">
        <f>IFERROR(__xludf.DUMMYFUNCTION("""COMPUTED_VALUE"""),45059.0)</f>
        <v>45059</v>
      </c>
      <c r="H1651" s="18" t="str">
        <f>IFERROR(__xludf.DUMMYFUNCTION("""COMPUTED_VALUE"""),"Credit Card")</f>
        <v>Credit Card</v>
      </c>
      <c r="I1651" s="18" t="str">
        <f>IFERROR(__xludf.DUMMYFUNCTION("""COMPUTED_VALUE"""),"Delivered")</f>
        <v>Delivered</v>
      </c>
      <c r="J1651" s="18" t="str">
        <f>IFERROR(__xludf.DUMMYFUNCTION("""COMPUTED_VALUE"""),"Satisfied with the Delivery")</f>
        <v>Satisfied with the Delivery</v>
      </c>
      <c r="K1651" s="18" t="str">
        <f>IFERROR(__xludf.DUMMYFUNCTION("""COMPUTED_VALUE"""),"Timely and quality")</f>
        <v>Timely and quality</v>
      </c>
      <c r="L1651" s="18">
        <f>iferror(VLOOKUP($D1651,Details!$A$2:$C$11,2,false),vlookup($D1651,Details!$E$2:$G$11,2,false))</f>
        <v>145</v>
      </c>
      <c r="M1651" s="18" t="str">
        <f>iferror(VLOOKUP($D1651,Details!$A$2:$C$11,3,false),vlookup($D1651,Details!$E$2:$G$11,3,false))</f>
        <v>Snacks and Drinks</v>
      </c>
      <c r="N1651" s="18">
        <f t="shared" si="1"/>
        <v>580</v>
      </c>
      <c r="O1651" s="17"/>
      <c r="P1651" s="17"/>
      <c r="Q1651" s="17"/>
      <c r="R1651" s="17"/>
      <c r="S1651" s="17"/>
      <c r="T1651" s="17"/>
      <c r="U1651" s="17"/>
      <c r="V1651" s="17"/>
      <c r="W1651" s="17"/>
      <c r="X1651" s="17"/>
      <c r="Y1651" s="17"/>
      <c r="Z1651" s="17"/>
    </row>
    <row r="1652">
      <c r="A1652" s="18" t="str">
        <f>IFERROR(__xludf.DUMMYFUNCTION("""COMPUTED_VALUE"""),"ord_71630")</f>
        <v>ord_71630</v>
      </c>
      <c r="B1652" s="18" t="str">
        <f>IFERROR(__xludf.DUMMYFUNCTION("""COMPUTED_VALUE"""),"Sakshi Tandon")</f>
        <v>Sakshi Tandon</v>
      </c>
      <c r="C1652" s="18" t="str">
        <f>IFERROR(__xludf.DUMMYFUNCTION("""COMPUTED_VALUE"""),"Colaba")</f>
        <v>Colaba</v>
      </c>
      <c r="D1652" s="18" t="str">
        <f>IFERROR(__xludf.DUMMYFUNCTION("""COMPUTED_VALUE"""),"Juice")</f>
        <v>Juice</v>
      </c>
      <c r="E1652" s="18">
        <f>IFERROR(__xludf.DUMMYFUNCTION("""COMPUTED_VALUE"""),3.0)</f>
        <v>3</v>
      </c>
      <c r="F1652" s="18" t="str">
        <f>IFERROR(__xludf.DUMMYFUNCTION("""COMPUTED_VALUE"""),"Not Assigned")</f>
        <v>Not Assigned</v>
      </c>
      <c r="G1652" s="19">
        <f>IFERROR(__xludf.DUMMYFUNCTION("""COMPUTED_VALUE"""),45178.0)</f>
        <v>45178</v>
      </c>
      <c r="H1652" s="18" t="str">
        <f>IFERROR(__xludf.DUMMYFUNCTION("""COMPUTED_VALUE"""),"Online Payment")</f>
        <v>Online Payment</v>
      </c>
      <c r="I1652" s="18" t="str">
        <f>IFERROR(__xludf.DUMMYFUNCTION("""COMPUTED_VALUE"""),"Cancelled")</f>
        <v>Cancelled</v>
      </c>
      <c r="J1652" s="18" t="str">
        <f>IFERROR(__xludf.DUMMYFUNCTION("""COMPUTED_VALUE"""),"Payment Issues")</f>
        <v>Payment Issues</v>
      </c>
      <c r="K1652" s="18"/>
      <c r="L1652" s="18">
        <f>iferror(VLOOKUP($D1652,Details!$A$2:$C$11,2,false),vlookup($D1652,Details!$E$2:$G$11,2,false))</f>
        <v>90</v>
      </c>
      <c r="M1652" s="18" t="str">
        <f>iferror(VLOOKUP($D1652,Details!$A$2:$C$11,3,false),vlookup($D1652,Details!$E$2:$G$11,3,false))</f>
        <v>Snacks and Drinks</v>
      </c>
      <c r="N1652" s="18">
        <f t="shared" si="1"/>
        <v>270</v>
      </c>
      <c r="O1652" s="17"/>
      <c r="P1652" s="17"/>
      <c r="Q1652" s="17"/>
      <c r="R1652" s="17"/>
      <c r="S1652" s="17"/>
      <c r="T1652" s="17"/>
      <c r="U1652" s="17"/>
      <c r="V1652" s="17"/>
      <c r="W1652" s="17"/>
      <c r="X1652" s="17"/>
      <c r="Y1652" s="17"/>
      <c r="Z1652" s="17"/>
    </row>
    <row r="1653">
      <c r="A1653" s="18" t="str">
        <f>IFERROR(__xludf.DUMMYFUNCTION("""COMPUTED_VALUE"""),"ord_71631")</f>
        <v>ord_71631</v>
      </c>
      <c r="B1653" s="18" t="str">
        <f>IFERROR(__xludf.DUMMYFUNCTION("""COMPUTED_VALUE"""),"Kritika Shetty")</f>
        <v>Kritika Shetty</v>
      </c>
      <c r="C1653" s="18" t="str">
        <f>IFERROR(__xludf.DUMMYFUNCTION("""COMPUTED_VALUE"""),"Malad")</f>
        <v>Malad</v>
      </c>
      <c r="D1653" s="18" t="str">
        <f>IFERROR(__xludf.DUMMYFUNCTION("""COMPUTED_VALUE"""),"Icecream")</f>
        <v>Icecream</v>
      </c>
      <c r="E1653" s="18">
        <f>IFERROR(__xludf.DUMMYFUNCTION("""COMPUTED_VALUE"""),3.0)</f>
        <v>3</v>
      </c>
      <c r="F1653" s="18" t="str">
        <f>IFERROR(__xludf.DUMMYFUNCTION("""COMPUTED_VALUE"""),"Aman Kumar")</f>
        <v>Aman Kumar</v>
      </c>
      <c r="G1653" s="19">
        <f>IFERROR(__xludf.DUMMYFUNCTION("""COMPUTED_VALUE"""),45003.0)</f>
        <v>45003</v>
      </c>
      <c r="H1653" s="18" t="str">
        <f>IFERROR(__xludf.DUMMYFUNCTION("""COMPUTED_VALUE"""),"Credit Card")</f>
        <v>Credit Card</v>
      </c>
      <c r="I1653" s="18" t="str">
        <f>IFERROR(__xludf.DUMMYFUNCTION("""COMPUTED_VALUE"""),"Cancelled")</f>
        <v>Cancelled</v>
      </c>
      <c r="J1653" s="18" t="str">
        <f>IFERROR(__xludf.DUMMYFUNCTION("""COMPUTED_VALUE"""),"Delayed Delivery")</f>
        <v>Delayed Delivery</v>
      </c>
      <c r="K1653" s="18" t="str">
        <f>IFERROR(__xludf.DUMMYFUNCTION("""COMPUTED_VALUE"""),"Traffic Accidents or Road Closures")</f>
        <v>Traffic Accidents or Road Closures</v>
      </c>
      <c r="L1653" s="18">
        <f>iferror(VLOOKUP($D1653,Details!$A$2:$C$11,2,false),vlookup($D1653,Details!$E$2:$G$11,2,false))</f>
        <v>90</v>
      </c>
      <c r="M1653" s="18" t="str">
        <f>iferror(VLOOKUP($D1653,Details!$A$2:$C$11,3,false),vlookup($D1653,Details!$E$2:$G$11,3,false))</f>
        <v>Snacks and Drinks</v>
      </c>
      <c r="N1653" s="18">
        <f t="shared" si="1"/>
        <v>270</v>
      </c>
      <c r="O1653" s="17"/>
      <c r="P1653" s="17"/>
      <c r="Q1653" s="17"/>
      <c r="R1653" s="17"/>
      <c r="S1653" s="17"/>
      <c r="T1653" s="17"/>
      <c r="U1653" s="17"/>
      <c r="V1653" s="17"/>
      <c r="W1653" s="17"/>
      <c r="X1653" s="17"/>
      <c r="Y1653" s="17"/>
      <c r="Z1653" s="17"/>
    </row>
    <row r="1654">
      <c r="A1654" s="18" t="str">
        <f>IFERROR(__xludf.DUMMYFUNCTION("""COMPUTED_VALUE"""),"ord_71632")</f>
        <v>ord_71632</v>
      </c>
      <c r="B1654" s="18" t="str">
        <f>IFERROR(__xludf.DUMMYFUNCTION("""COMPUTED_VALUE"""),"Siya Reddy")</f>
        <v>Siya Reddy</v>
      </c>
      <c r="C1654" s="18" t="str">
        <f>IFERROR(__xludf.DUMMYFUNCTION("""COMPUTED_VALUE"""),"Juhu")</f>
        <v>Juhu</v>
      </c>
      <c r="D1654" s="18" t="str">
        <f>IFERROR(__xludf.DUMMYFUNCTION("""COMPUTED_VALUE"""),"Tomato")</f>
        <v>Tomato</v>
      </c>
      <c r="E1654" s="18">
        <f>IFERROR(__xludf.DUMMYFUNCTION("""COMPUTED_VALUE"""),1.0)</f>
        <v>1</v>
      </c>
      <c r="F1654" s="18" t="str">
        <f>IFERROR(__xludf.DUMMYFUNCTION("""COMPUTED_VALUE"""),"Tanvi Jain")</f>
        <v>Tanvi Jain</v>
      </c>
      <c r="G1654" s="19">
        <f>IFERROR(__xludf.DUMMYFUNCTION("""COMPUTED_VALUE"""),44963.0)</f>
        <v>44963</v>
      </c>
      <c r="H1654" s="18" t="str">
        <f>IFERROR(__xludf.DUMMYFUNCTION("""COMPUTED_VALUE"""),"UPI")</f>
        <v>UPI</v>
      </c>
      <c r="I1654" s="18" t="str">
        <f>IFERROR(__xludf.DUMMYFUNCTION("""COMPUTED_VALUE"""),"Delivered")</f>
        <v>Delivered</v>
      </c>
      <c r="J1654" s="18" t="str">
        <f>IFERROR(__xludf.DUMMYFUNCTION("""COMPUTED_VALUE"""),"Customer Service")</f>
        <v>Customer Service</v>
      </c>
      <c r="K1654" s="18" t="str">
        <f>IFERROR(__xludf.DUMMYFUNCTION("""COMPUTED_VALUE"""),"Seamless and easy")</f>
        <v>Seamless and easy</v>
      </c>
      <c r="L1654" s="18">
        <f>iferror(VLOOKUP($D1654,Details!$A$2:$C$11,2,false),vlookup($D1654,Details!$E$2:$G$11,2,false))</f>
        <v>25</v>
      </c>
      <c r="M1654" s="18" t="str">
        <f>iferror(VLOOKUP($D1654,Details!$A$2:$C$11,3,false),vlookup($D1654,Details!$E$2:$G$11,3,false))</f>
        <v>Fruits and Vegetables</v>
      </c>
      <c r="N1654" s="18">
        <f t="shared" si="1"/>
        <v>25</v>
      </c>
      <c r="O1654" s="17"/>
      <c r="P1654" s="17"/>
      <c r="Q1654" s="17"/>
      <c r="R1654" s="17"/>
      <c r="S1654" s="17"/>
      <c r="T1654" s="17"/>
      <c r="U1654" s="17"/>
      <c r="V1654" s="17"/>
      <c r="W1654" s="17"/>
      <c r="X1654" s="17"/>
      <c r="Y1654" s="17"/>
      <c r="Z1654" s="17"/>
    </row>
    <row r="1655">
      <c r="A1655" s="18" t="str">
        <f>IFERROR(__xludf.DUMMYFUNCTION("""COMPUTED_VALUE"""),"ord_71633")</f>
        <v>ord_71633</v>
      </c>
      <c r="B1655" s="18" t="str">
        <f>IFERROR(__xludf.DUMMYFUNCTION("""COMPUTED_VALUE"""),"Aarohi Kapoor")</f>
        <v>Aarohi Kapoor</v>
      </c>
      <c r="C1655" s="18" t="str">
        <f>IFERROR(__xludf.DUMMYFUNCTION("""COMPUTED_VALUE"""),"Bandra")</f>
        <v>Bandra</v>
      </c>
      <c r="D1655" s="18" t="str">
        <f>IFERROR(__xludf.DUMMYFUNCTION("""COMPUTED_VALUE"""),"Potato")</f>
        <v>Potato</v>
      </c>
      <c r="E1655" s="18">
        <f>IFERROR(__xludf.DUMMYFUNCTION("""COMPUTED_VALUE"""),1.0)</f>
        <v>1</v>
      </c>
      <c r="F1655" s="18" t="str">
        <f>IFERROR(__xludf.DUMMYFUNCTION("""COMPUTED_VALUE"""),"Not Assigned")</f>
        <v>Not Assigned</v>
      </c>
      <c r="G1655" s="19">
        <f>IFERROR(__xludf.DUMMYFUNCTION("""COMPUTED_VALUE"""),45068.0)</f>
        <v>45068</v>
      </c>
      <c r="H1655" s="18" t="str">
        <f>IFERROR(__xludf.DUMMYFUNCTION("""COMPUTED_VALUE"""),"Online Payment")</f>
        <v>Online Payment</v>
      </c>
      <c r="I1655" s="18" t="str">
        <f>IFERROR(__xludf.DUMMYFUNCTION("""COMPUTED_VALUE"""),"Cancelled")</f>
        <v>Cancelled</v>
      </c>
      <c r="J1655" s="18" t="str">
        <f>IFERROR(__xludf.DUMMYFUNCTION("""COMPUTED_VALUE"""),"App Glitches")</f>
        <v>App Glitches</v>
      </c>
      <c r="K1655" s="18" t="str">
        <f>IFERROR(__xludf.DUMMYFUNCTION("""COMPUTED_VALUE"""),"Payment Button Malfunction")</f>
        <v>Payment Button Malfunction</v>
      </c>
      <c r="L1655" s="18">
        <f>iferror(VLOOKUP($D1655,Details!$A$2:$C$11,2,false),vlookup($D1655,Details!$E$2:$G$11,2,false))</f>
        <v>55</v>
      </c>
      <c r="M1655" s="18" t="str">
        <f>iferror(VLOOKUP($D1655,Details!$A$2:$C$11,3,false),vlookup($D1655,Details!$E$2:$G$11,3,false))</f>
        <v>Fruits and Vegetables</v>
      </c>
      <c r="N1655" s="18">
        <f t="shared" si="1"/>
        <v>55</v>
      </c>
      <c r="O1655" s="17"/>
      <c r="P1655" s="17"/>
      <c r="Q1655" s="17"/>
      <c r="R1655" s="17"/>
      <c r="S1655" s="17"/>
      <c r="T1655" s="17"/>
      <c r="U1655" s="17"/>
      <c r="V1655" s="17"/>
      <c r="W1655" s="17"/>
      <c r="X1655" s="17"/>
      <c r="Y1655" s="17"/>
      <c r="Z1655" s="17"/>
    </row>
    <row r="1656">
      <c r="A1656" s="18" t="str">
        <f>IFERROR(__xludf.DUMMYFUNCTION("""COMPUTED_VALUE"""),"ord_71634")</f>
        <v>ord_71634</v>
      </c>
      <c r="B1656" s="18" t="str">
        <f>IFERROR(__xludf.DUMMYFUNCTION("""COMPUTED_VALUE"""),"Pranav Joshi")</f>
        <v>Pranav Joshi</v>
      </c>
      <c r="C1656" s="18" t="str">
        <f>IFERROR(__xludf.DUMMYFUNCTION("""COMPUTED_VALUE"""),"Andheri")</f>
        <v>Andheri</v>
      </c>
      <c r="D1656" s="18" t="str">
        <f>IFERROR(__xludf.DUMMYFUNCTION("""COMPUTED_VALUE"""),"Guava")</f>
        <v>Guava</v>
      </c>
      <c r="E1656" s="18">
        <f>IFERROR(__xludf.DUMMYFUNCTION("""COMPUTED_VALUE"""),1.0)</f>
        <v>1</v>
      </c>
      <c r="F1656" s="18" t="str">
        <f>IFERROR(__xludf.DUMMYFUNCTION("""COMPUTED_VALUE"""),"Vivek Kumar")</f>
        <v>Vivek Kumar</v>
      </c>
      <c r="G1656" s="19">
        <f>IFERROR(__xludf.DUMMYFUNCTION("""COMPUTED_VALUE"""),45051.0)</f>
        <v>45051</v>
      </c>
      <c r="H1656" s="18" t="str">
        <f>IFERROR(__xludf.DUMMYFUNCTION("""COMPUTED_VALUE"""),"UPI")</f>
        <v>UPI</v>
      </c>
      <c r="I1656" s="18" t="str">
        <f>IFERROR(__xludf.DUMMYFUNCTION("""COMPUTED_VALUE"""),"Cancelled")</f>
        <v>Cancelled</v>
      </c>
      <c r="J1656" s="18" t="str">
        <f>IFERROR(__xludf.DUMMYFUNCTION("""COMPUTED_VALUE"""),"Delayed Delivery")</f>
        <v>Delayed Delivery</v>
      </c>
      <c r="K1656" s="18" t="str">
        <f>IFERROR(__xludf.DUMMYFUNCTION("""COMPUTED_VALUE"""),"High Order Volume")</f>
        <v>High Order Volume</v>
      </c>
      <c r="L1656" s="18">
        <f>iferror(VLOOKUP($D1656,Details!$A$2:$C$11,2,false),vlookup($D1656,Details!$E$2:$G$11,2,false))</f>
        <v>70</v>
      </c>
      <c r="M1656" s="18" t="str">
        <f>iferror(VLOOKUP($D1656,Details!$A$2:$C$11,3,false),vlookup($D1656,Details!$E$2:$G$11,3,false))</f>
        <v>Fruits and Vegetables</v>
      </c>
      <c r="N1656" s="18">
        <f t="shared" si="1"/>
        <v>70</v>
      </c>
      <c r="O1656" s="17"/>
      <c r="P1656" s="17"/>
      <c r="Q1656" s="17"/>
      <c r="R1656" s="17"/>
      <c r="S1656" s="17"/>
      <c r="T1656" s="17"/>
      <c r="U1656" s="17"/>
      <c r="V1656" s="17"/>
      <c r="W1656" s="17"/>
      <c r="X1656" s="17"/>
      <c r="Y1656" s="17"/>
      <c r="Z1656" s="17"/>
    </row>
    <row r="1657">
      <c r="A1657" s="18" t="str">
        <f>IFERROR(__xludf.DUMMYFUNCTION("""COMPUTED_VALUE"""),"ord_71635")</f>
        <v>ord_71635</v>
      </c>
      <c r="B1657" s="18" t="str">
        <f>IFERROR(__xludf.DUMMYFUNCTION("""COMPUTED_VALUE"""),"Aditi Iyer")</f>
        <v>Aditi Iyer</v>
      </c>
      <c r="C1657" s="18" t="str">
        <f>IFERROR(__xludf.DUMMYFUNCTION("""COMPUTED_VALUE"""),"Dadar")</f>
        <v>Dadar</v>
      </c>
      <c r="D1657" s="18" t="str">
        <f>IFERROR(__xludf.DUMMYFUNCTION("""COMPUTED_VALUE"""),"Cucumber")</f>
        <v>Cucumber</v>
      </c>
      <c r="E1657" s="18">
        <f>IFERROR(__xludf.DUMMYFUNCTION("""COMPUTED_VALUE"""),2.0)</f>
        <v>2</v>
      </c>
      <c r="F1657" s="18" t="str">
        <f>IFERROR(__xludf.DUMMYFUNCTION("""COMPUTED_VALUE"""),"Aman Kumar")</f>
        <v>Aman Kumar</v>
      </c>
      <c r="G1657" s="19">
        <f>IFERROR(__xludf.DUMMYFUNCTION("""COMPUTED_VALUE"""),44967.0)</f>
        <v>44967</v>
      </c>
      <c r="H1657" s="18" t="str">
        <f>IFERROR(__xludf.DUMMYFUNCTION("""COMPUTED_VALUE"""),"UPI")</f>
        <v>UPI</v>
      </c>
      <c r="I1657" s="18" t="str">
        <f>IFERROR(__xludf.DUMMYFUNCTION("""COMPUTED_VALUE"""),"Delivered")</f>
        <v>Delivered</v>
      </c>
      <c r="J1657" s="18" t="str">
        <f>IFERROR(__xludf.DUMMYFUNCTION("""COMPUTED_VALUE"""),"Delivery Experience")</f>
        <v>Delivery Experience</v>
      </c>
      <c r="K1657" s="18" t="str">
        <f>IFERROR(__xludf.DUMMYFUNCTION("""COMPUTED_VALUE"""),"Quick and professional")</f>
        <v>Quick and professional</v>
      </c>
      <c r="L1657" s="18">
        <f>iferror(VLOOKUP($D1657,Details!$A$2:$C$11,2,false),vlookup($D1657,Details!$E$2:$G$11,2,false))</f>
        <v>30</v>
      </c>
      <c r="M1657" s="18" t="str">
        <f>iferror(VLOOKUP($D1657,Details!$A$2:$C$11,3,false),vlookup($D1657,Details!$E$2:$G$11,3,false))</f>
        <v>Fruits and Vegetables</v>
      </c>
      <c r="N1657" s="18">
        <f t="shared" si="1"/>
        <v>60</v>
      </c>
      <c r="O1657" s="17"/>
      <c r="P1657" s="17"/>
      <c r="Q1657" s="17"/>
      <c r="R1657" s="17"/>
      <c r="S1657" s="17"/>
      <c r="T1657" s="17"/>
      <c r="U1657" s="17"/>
      <c r="V1657" s="17"/>
      <c r="W1657" s="17"/>
      <c r="X1657" s="17"/>
      <c r="Y1657" s="17"/>
      <c r="Z1657" s="17"/>
    </row>
    <row r="1658">
      <c r="A1658" s="18" t="str">
        <f>IFERROR(__xludf.DUMMYFUNCTION("""COMPUTED_VALUE"""),"ord_71636")</f>
        <v>ord_71636</v>
      </c>
      <c r="B1658" s="18" t="str">
        <f>IFERROR(__xludf.DUMMYFUNCTION("""COMPUTED_VALUE"""),"Sanjay Nair")</f>
        <v>Sanjay Nair</v>
      </c>
      <c r="C1658" s="18" t="str">
        <f>IFERROR(__xludf.DUMMYFUNCTION("""COMPUTED_VALUE"""),"Dadar")</f>
        <v>Dadar</v>
      </c>
      <c r="D1658" s="18" t="str">
        <f>IFERROR(__xludf.DUMMYFUNCTION("""COMPUTED_VALUE"""),"Sweet Corn")</f>
        <v>Sweet Corn</v>
      </c>
      <c r="E1658" s="18">
        <f>IFERROR(__xludf.DUMMYFUNCTION("""COMPUTED_VALUE"""),1.0)</f>
        <v>1</v>
      </c>
      <c r="F1658" s="18" t="str">
        <f>IFERROR(__xludf.DUMMYFUNCTION("""COMPUTED_VALUE"""),"Aman Kumar")</f>
        <v>Aman Kumar</v>
      </c>
      <c r="G1658" s="19">
        <f>IFERROR(__xludf.DUMMYFUNCTION("""COMPUTED_VALUE"""),45105.0)</f>
        <v>45105</v>
      </c>
      <c r="H1658" s="18" t="str">
        <f>IFERROR(__xludf.DUMMYFUNCTION("""COMPUTED_VALUE"""),"UPI")</f>
        <v>UPI</v>
      </c>
      <c r="I1658" s="18" t="str">
        <f>IFERROR(__xludf.DUMMYFUNCTION("""COMPUTED_VALUE"""),"Delivered")</f>
        <v>Delivered</v>
      </c>
      <c r="J1658" s="18" t="str">
        <f>IFERROR(__xludf.DUMMYFUNCTION("""COMPUTED_VALUE"""),"Convenience")</f>
        <v>Convenience</v>
      </c>
      <c r="K1658" s="18" t="str">
        <f>IFERROR(__xludf.DUMMYFUNCTION("""COMPUTED_VALUE"""),"Easy tracking")</f>
        <v>Easy tracking</v>
      </c>
      <c r="L1658" s="18">
        <f>iferror(VLOOKUP($D1658,Details!$A$2:$C$11,2,false),vlookup($D1658,Details!$E$2:$G$11,2,false))</f>
        <v>60</v>
      </c>
      <c r="M1658" s="18" t="str">
        <f>iferror(VLOOKUP($D1658,Details!$A$2:$C$11,3,false),vlookup($D1658,Details!$E$2:$G$11,3,false))</f>
        <v>Fruits and Vegetables</v>
      </c>
      <c r="N1658" s="18">
        <f t="shared" si="1"/>
        <v>60</v>
      </c>
      <c r="O1658" s="17"/>
      <c r="P1658" s="17"/>
      <c r="Q1658" s="17"/>
      <c r="R1658" s="17"/>
      <c r="S1658" s="17"/>
      <c r="T1658" s="17"/>
      <c r="U1658" s="17"/>
      <c r="V1658" s="17"/>
      <c r="W1658" s="17"/>
      <c r="X1658" s="17"/>
      <c r="Y1658" s="17"/>
      <c r="Z1658" s="17"/>
    </row>
    <row r="1659">
      <c r="A1659" s="18" t="str">
        <f>IFERROR(__xludf.DUMMYFUNCTION("""COMPUTED_VALUE"""),"ord_71637")</f>
        <v>ord_71637</v>
      </c>
      <c r="B1659" s="18" t="str">
        <f>IFERROR(__xludf.DUMMYFUNCTION("""COMPUTED_VALUE"""),"Sana Malik")</f>
        <v>Sana Malik</v>
      </c>
      <c r="C1659" s="18" t="str">
        <f>IFERROR(__xludf.DUMMYFUNCTION("""COMPUTED_VALUE"""),"Powai")</f>
        <v>Powai</v>
      </c>
      <c r="D1659" s="18" t="str">
        <f>IFERROR(__xludf.DUMMYFUNCTION("""COMPUTED_VALUE"""),"Banana")</f>
        <v>Banana</v>
      </c>
      <c r="E1659" s="18">
        <f>IFERROR(__xludf.DUMMYFUNCTION("""COMPUTED_VALUE"""),3.0)</f>
        <v>3</v>
      </c>
      <c r="F1659" s="18" t="str">
        <f>IFERROR(__xludf.DUMMYFUNCTION("""COMPUTED_VALUE"""),"Sandeep Kumar")</f>
        <v>Sandeep Kumar</v>
      </c>
      <c r="G1659" s="19">
        <f>IFERROR(__xludf.DUMMYFUNCTION("""COMPUTED_VALUE"""),45160.0)</f>
        <v>45160</v>
      </c>
      <c r="H1659" s="18" t="str">
        <f>IFERROR(__xludf.DUMMYFUNCTION("""COMPUTED_VALUE"""),"UPI")</f>
        <v>UPI</v>
      </c>
      <c r="I1659" s="18" t="str">
        <f>IFERROR(__xludf.DUMMYFUNCTION("""COMPUTED_VALUE"""),"Delivered")</f>
        <v>Delivered</v>
      </c>
      <c r="J1659" s="18" t="str">
        <f>IFERROR(__xludf.DUMMYFUNCTION("""COMPUTED_VALUE"""),"Overall Satisfaction")</f>
        <v>Overall Satisfaction</v>
      </c>
      <c r="K1659" s="18" t="str">
        <f>IFERROR(__xludf.DUMMYFUNCTION("""COMPUTED_VALUE"""),"Great service will order again")</f>
        <v>Great service will order again</v>
      </c>
      <c r="L1659" s="18">
        <f>iferror(VLOOKUP($D1659,Details!$A$2:$C$11,2,false),vlookup($D1659,Details!$E$2:$G$11,2,false))</f>
        <v>80</v>
      </c>
      <c r="M1659" s="18" t="str">
        <f>iferror(VLOOKUP($D1659,Details!$A$2:$C$11,3,false),vlookup($D1659,Details!$E$2:$G$11,3,false))</f>
        <v>Fruits and Vegetables</v>
      </c>
      <c r="N1659" s="18">
        <f t="shared" si="1"/>
        <v>240</v>
      </c>
      <c r="O1659" s="17"/>
      <c r="P1659" s="17"/>
      <c r="Q1659" s="17"/>
      <c r="R1659" s="17"/>
      <c r="S1659" s="17"/>
      <c r="T1659" s="17"/>
      <c r="U1659" s="17"/>
      <c r="V1659" s="17"/>
      <c r="W1659" s="17"/>
      <c r="X1659" s="17"/>
      <c r="Y1659" s="17"/>
      <c r="Z1659" s="17"/>
    </row>
    <row r="1660">
      <c r="A1660" s="18" t="str">
        <f>IFERROR(__xludf.DUMMYFUNCTION("""COMPUTED_VALUE"""),"ord_71638")</f>
        <v>ord_71638</v>
      </c>
      <c r="B1660" s="18" t="str">
        <f>IFERROR(__xludf.DUMMYFUNCTION("""COMPUTED_VALUE"""),"Yash Verma")</f>
        <v>Yash Verma</v>
      </c>
      <c r="C1660" s="18" t="str">
        <f>IFERROR(__xludf.DUMMYFUNCTION("""COMPUTED_VALUE"""),"Lower Parel")</f>
        <v>Lower Parel</v>
      </c>
      <c r="D1660" s="18" t="str">
        <f>IFERROR(__xludf.DUMMYFUNCTION("""COMPUTED_VALUE"""),"Cucumber")</f>
        <v>Cucumber</v>
      </c>
      <c r="E1660" s="18">
        <f>IFERROR(__xludf.DUMMYFUNCTION("""COMPUTED_VALUE"""),3.0)</f>
        <v>3</v>
      </c>
      <c r="F1660" s="18" t="str">
        <f>IFERROR(__xludf.DUMMYFUNCTION("""COMPUTED_VALUE"""),"Kiran Mehta")</f>
        <v>Kiran Mehta</v>
      </c>
      <c r="G1660" s="19">
        <f>IFERROR(__xludf.DUMMYFUNCTION("""COMPUTED_VALUE"""),45148.0)</f>
        <v>45148</v>
      </c>
      <c r="H1660" s="18" t="str">
        <f>IFERROR(__xludf.DUMMYFUNCTION("""COMPUTED_VALUE"""),"UPI")</f>
        <v>UPI</v>
      </c>
      <c r="I1660" s="18" t="str">
        <f>IFERROR(__xludf.DUMMYFUNCTION("""COMPUTED_VALUE"""),"Delivered")</f>
        <v>Delivered</v>
      </c>
      <c r="J1660" s="18" t="str">
        <f>IFERROR(__xludf.DUMMYFUNCTION("""COMPUTED_VALUE"""),"On-time Delivery")</f>
        <v>On-time Delivery</v>
      </c>
      <c r="K1660" s="18" t="str">
        <f>IFERROR(__xludf.DUMMYFUNCTION("""COMPUTED_VALUE"""),"Delivered on time")</f>
        <v>Delivered on time</v>
      </c>
      <c r="L1660" s="18">
        <f>iferror(VLOOKUP($D1660,Details!$A$2:$C$11,2,false),vlookup($D1660,Details!$E$2:$G$11,2,false))</f>
        <v>30</v>
      </c>
      <c r="M1660" s="18" t="str">
        <f>iferror(VLOOKUP($D1660,Details!$A$2:$C$11,3,false),vlookup($D1660,Details!$E$2:$G$11,3,false))</f>
        <v>Fruits and Vegetables</v>
      </c>
      <c r="N1660" s="18">
        <f t="shared" si="1"/>
        <v>90</v>
      </c>
      <c r="O1660" s="17"/>
      <c r="P1660" s="17"/>
      <c r="Q1660" s="17"/>
      <c r="R1660" s="17"/>
      <c r="S1660" s="17"/>
      <c r="T1660" s="17"/>
      <c r="U1660" s="17"/>
      <c r="V1660" s="17"/>
      <c r="W1660" s="17"/>
      <c r="X1660" s="17"/>
      <c r="Y1660" s="17"/>
      <c r="Z1660" s="17"/>
    </row>
    <row r="1661">
      <c r="A1661" s="18" t="str">
        <f>IFERROR(__xludf.DUMMYFUNCTION("""COMPUTED_VALUE"""),"ord_71639")</f>
        <v>ord_71639</v>
      </c>
      <c r="B1661" s="18" t="str">
        <f>IFERROR(__xludf.DUMMYFUNCTION("""COMPUTED_VALUE"""),"Sana Malik")</f>
        <v>Sana Malik</v>
      </c>
      <c r="C1661" s="18" t="str">
        <f>IFERROR(__xludf.DUMMYFUNCTION("""COMPUTED_VALUE"""),"Juhu")</f>
        <v>Juhu</v>
      </c>
      <c r="D1661" s="18" t="str">
        <f>IFERROR(__xludf.DUMMYFUNCTION("""COMPUTED_VALUE"""),"Tiramisu")</f>
        <v>Tiramisu</v>
      </c>
      <c r="E1661" s="18">
        <f>IFERROR(__xludf.DUMMYFUNCTION("""COMPUTED_VALUE"""),6.0)</f>
        <v>6</v>
      </c>
      <c r="F1661" s="18" t="str">
        <f>IFERROR(__xludf.DUMMYFUNCTION("""COMPUTED_VALUE"""),"Tanvi Jain")</f>
        <v>Tanvi Jain</v>
      </c>
      <c r="G1661" s="19">
        <f>IFERROR(__xludf.DUMMYFUNCTION("""COMPUTED_VALUE"""),44965.0)</f>
        <v>44965</v>
      </c>
      <c r="H1661" s="18" t="str">
        <f>IFERROR(__xludf.DUMMYFUNCTION("""COMPUTED_VALUE"""),"Credit Card")</f>
        <v>Credit Card</v>
      </c>
      <c r="I1661" s="18" t="str">
        <f>IFERROR(__xludf.DUMMYFUNCTION("""COMPUTED_VALUE"""),"Delivered")</f>
        <v>Delivered</v>
      </c>
      <c r="J1661" s="18" t="str">
        <f>IFERROR(__xludf.DUMMYFUNCTION("""COMPUTED_VALUE"""),"Quality of Items")</f>
        <v>Quality of Items</v>
      </c>
      <c r="K1661" s="18" t="str">
        <f>IFERROR(__xludf.DUMMYFUNCTION("""COMPUTED_VALUE"""),"Perfect condition")</f>
        <v>Perfect condition</v>
      </c>
      <c r="L1661" s="18">
        <f>iferror(VLOOKUP($D1661,Details!$A$2:$C$11,2,false),vlookup($D1661,Details!$E$2:$G$11,2,false))</f>
        <v>150</v>
      </c>
      <c r="M1661" s="18" t="str">
        <f>iferror(VLOOKUP($D1661,Details!$A$2:$C$11,3,false),vlookup($D1661,Details!$E$2:$G$11,3,false))</f>
        <v>Snacks and Drinks</v>
      </c>
      <c r="N1661" s="18">
        <f t="shared" si="1"/>
        <v>900</v>
      </c>
      <c r="O1661" s="17"/>
      <c r="P1661" s="17"/>
      <c r="Q1661" s="17"/>
      <c r="R1661" s="17"/>
      <c r="S1661" s="17"/>
      <c r="T1661" s="17"/>
      <c r="U1661" s="17"/>
      <c r="V1661" s="17"/>
      <c r="W1661" s="17"/>
      <c r="X1661" s="17"/>
      <c r="Y1661" s="17"/>
      <c r="Z1661" s="17"/>
    </row>
    <row r="1662">
      <c r="A1662" s="18" t="str">
        <f>IFERROR(__xludf.DUMMYFUNCTION("""COMPUTED_VALUE"""),"ord_71640")</f>
        <v>ord_71640</v>
      </c>
      <c r="B1662" s="18" t="str">
        <f>IFERROR(__xludf.DUMMYFUNCTION("""COMPUTED_VALUE"""),"Yash Verma")</f>
        <v>Yash Verma</v>
      </c>
      <c r="C1662" s="18" t="str">
        <f>IFERROR(__xludf.DUMMYFUNCTION("""COMPUTED_VALUE"""),"Colaba")</f>
        <v>Colaba</v>
      </c>
      <c r="D1662" s="18" t="str">
        <f>IFERROR(__xludf.DUMMYFUNCTION("""COMPUTED_VALUE"""),"Orange")</f>
        <v>Orange</v>
      </c>
      <c r="E1662" s="18">
        <f>IFERROR(__xludf.DUMMYFUNCTION("""COMPUTED_VALUE"""),2.0)</f>
        <v>2</v>
      </c>
      <c r="F1662" s="18" t="str">
        <f>IFERROR(__xludf.DUMMYFUNCTION("""COMPUTED_VALUE"""),"Nikhil Deshmukh")</f>
        <v>Nikhil Deshmukh</v>
      </c>
      <c r="G1662" s="19">
        <f>IFERROR(__xludf.DUMMYFUNCTION("""COMPUTED_VALUE"""),45096.0)</f>
        <v>45096</v>
      </c>
      <c r="H1662" s="18" t="str">
        <f>IFERROR(__xludf.DUMMYFUNCTION("""COMPUTED_VALUE"""),"Credit Card")</f>
        <v>Credit Card</v>
      </c>
      <c r="I1662" s="18" t="str">
        <f>IFERROR(__xludf.DUMMYFUNCTION("""COMPUTED_VALUE"""),"Delivered")</f>
        <v>Delivered</v>
      </c>
      <c r="J1662" s="18" t="str">
        <f>IFERROR(__xludf.DUMMYFUNCTION("""COMPUTED_VALUE"""),"On-time Delivery")</f>
        <v>On-time Delivery</v>
      </c>
      <c r="K1662" s="18" t="str">
        <f>IFERROR(__xludf.DUMMYFUNCTION("""COMPUTED_VALUE"""),"Delivered on time")</f>
        <v>Delivered on time</v>
      </c>
      <c r="L1662" s="18">
        <f>iferror(VLOOKUP($D1662,Details!$A$2:$C$11,2,false),vlookup($D1662,Details!$E$2:$G$11,2,false))</f>
        <v>180</v>
      </c>
      <c r="M1662" s="18" t="str">
        <f>iferror(VLOOKUP($D1662,Details!$A$2:$C$11,3,false),vlookup($D1662,Details!$E$2:$G$11,3,false))</f>
        <v>Fruits and Vegetables</v>
      </c>
      <c r="N1662" s="18">
        <f t="shared" si="1"/>
        <v>360</v>
      </c>
      <c r="O1662" s="17"/>
      <c r="P1662" s="17"/>
      <c r="Q1662" s="17"/>
      <c r="R1662" s="17"/>
      <c r="S1662" s="17"/>
      <c r="T1662" s="17"/>
      <c r="U1662" s="17"/>
      <c r="V1662" s="17"/>
      <c r="W1662" s="17"/>
      <c r="X1662" s="17"/>
      <c r="Y1662" s="17"/>
      <c r="Z1662" s="17"/>
    </row>
    <row r="1663">
      <c r="A1663" s="18" t="str">
        <f>IFERROR(__xludf.DUMMYFUNCTION("""COMPUTED_VALUE"""),"ord_71641")</f>
        <v>ord_71641</v>
      </c>
      <c r="B1663" s="18" t="str">
        <f>IFERROR(__xludf.DUMMYFUNCTION("""COMPUTED_VALUE"""),"Omkar Mishra")</f>
        <v>Omkar Mishra</v>
      </c>
      <c r="C1663" s="18" t="str">
        <f>IFERROR(__xludf.DUMMYFUNCTION("""COMPUTED_VALUE"""),"Powai")</f>
        <v>Powai</v>
      </c>
      <c r="D1663" s="18" t="str">
        <f>IFERROR(__xludf.DUMMYFUNCTION("""COMPUTED_VALUE"""),"Cold Coffee")</f>
        <v>Cold Coffee</v>
      </c>
      <c r="E1663" s="18">
        <f>IFERROR(__xludf.DUMMYFUNCTION("""COMPUTED_VALUE"""),3.0)</f>
        <v>3</v>
      </c>
      <c r="F1663" s="18" t="str">
        <f>IFERROR(__xludf.DUMMYFUNCTION("""COMPUTED_VALUE"""),"Sandeep Kumar")</f>
        <v>Sandeep Kumar</v>
      </c>
      <c r="G1663" s="19">
        <f>IFERROR(__xludf.DUMMYFUNCTION("""COMPUTED_VALUE"""),45136.0)</f>
        <v>45136</v>
      </c>
      <c r="H1663" s="18" t="str">
        <f>IFERROR(__xludf.DUMMYFUNCTION("""COMPUTED_VALUE"""),"UPI")</f>
        <v>UPI</v>
      </c>
      <c r="I1663" s="18" t="str">
        <f>IFERROR(__xludf.DUMMYFUNCTION("""COMPUTED_VALUE"""),"Delivered")</f>
        <v>Delivered</v>
      </c>
      <c r="J1663" s="18" t="str">
        <f>IFERROR(__xludf.DUMMYFUNCTION("""COMPUTED_VALUE"""),"Quality of Items")</f>
        <v>Quality of Items</v>
      </c>
      <c r="K1663" s="18" t="str">
        <f>IFERROR(__xludf.DUMMYFUNCTION("""COMPUTED_VALUE"""),"Perfect condition")</f>
        <v>Perfect condition</v>
      </c>
      <c r="L1663" s="18">
        <f>iferror(VLOOKUP($D1663,Details!$A$2:$C$11,2,false),vlookup($D1663,Details!$E$2:$G$11,2,false))</f>
        <v>270</v>
      </c>
      <c r="M1663" s="18" t="str">
        <f>iferror(VLOOKUP($D1663,Details!$A$2:$C$11,3,false),vlookup($D1663,Details!$E$2:$G$11,3,false))</f>
        <v>Snacks and Drinks</v>
      </c>
      <c r="N1663" s="18">
        <f t="shared" si="1"/>
        <v>810</v>
      </c>
      <c r="O1663" s="17"/>
      <c r="P1663" s="17"/>
      <c r="Q1663" s="17"/>
      <c r="R1663" s="17"/>
      <c r="S1663" s="17"/>
      <c r="T1663" s="17"/>
      <c r="U1663" s="17"/>
      <c r="V1663" s="17"/>
      <c r="W1663" s="17"/>
      <c r="X1663" s="17"/>
      <c r="Y1663" s="17"/>
      <c r="Z1663" s="17"/>
    </row>
    <row r="1664">
      <c r="A1664" s="18" t="str">
        <f>IFERROR(__xludf.DUMMYFUNCTION("""COMPUTED_VALUE"""),"ord_71642")</f>
        <v>ord_71642</v>
      </c>
      <c r="B1664" s="18" t="str">
        <f>IFERROR(__xludf.DUMMYFUNCTION("""COMPUTED_VALUE"""),"Omkar Mishra")</f>
        <v>Omkar Mishra</v>
      </c>
      <c r="C1664" s="18" t="str">
        <f>IFERROR(__xludf.DUMMYFUNCTION("""COMPUTED_VALUE"""),"Powai")</f>
        <v>Powai</v>
      </c>
      <c r="D1664" s="18" t="str">
        <f>IFERROR(__xludf.DUMMYFUNCTION("""COMPUTED_VALUE"""),"Rasmalai")</f>
        <v>Rasmalai</v>
      </c>
      <c r="E1664" s="18">
        <f>IFERROR(__xludf.DUMMYFUNCTION("""COMPUTED_VALUE"""),2.0)</f>
        <v>2</v>
      </c>
      <c r="F1664" s="18" t="str">
        <f>IFERROR(__xludf.DUMMYFUNCTION("""COMPUTED_VALUE"""),"Sandeep Kumar")</f>
        <v>Sandeep Kumar</v>
      </c>
      <c r="G1664" s="19">
        <f>IFERROR(__xludf.DUMMYFUNCTION("""COMPUTED_VALUE"""),45242.0)</f>
        <v>45242</v>
      </c>
      <c r="H1664" s="18" t="str">
        <f>IFERROR(__xludf.DUMMYFUNCTION("""COMPUTED_VALUE"""),"UPI")</f>
        <v>UPI</v>
      </c>
      <c r="I1664" s="18" t="str">
        <f>IFERROR(__xludf.DUMMYFUNCTION("""COMPUTED_VALUE"""),"Delivered")</f>
        <v>Delivered</v>
      </c>
      <c r="J1664" s="18" t="str">
        <f>IFERROR(__xludf.DUMMYFUNCTION("""COMPUTED_VALUE"""),"Packaging")</f>
        <v>Packaging</v>
      </c>
      <c r="K1664" s="18" t="str">
        <f>IFERROR(__xludf.DUMMYFUNCTION("""COMPUTED_VALUE"""),"Secure and intact")</f>
        <v>Secure and intact</v>
      </c>
      <c r="L1664" s="18">
        <f>iferror(VLOOKUP($D1664,Details!$A$2:$C$11,2,false),vlookup($D1664,Details!$E$2:$G$11,2,false))</f>
        <v>110</v>
      </c>
      <c r="M1664" s="18" t="str">
        <f>iferror(VLOOKUP($D1664,Details!$A$2:$C$11,3,false),vlookup($D1664,Details!$E$2:$G$11,3,false))</f>
        <v>Snacks and Drinks</v>
      </c>
      <c r="N1664" s="18">
        <f t="shared" si="1"/>
        <v>220</v>
      </c>
      <c r="O1664" s="17"/>
      <c r="P1664" s="17"/>
      <c r="Q1664" s="17"/>
      <c r="R1664" s="17"/>
      <c r="S1664" s="17"/>
      <c r="T1664" s="17"/>
      <c r="U1664" s="17"/>
      <c r="V1664" s="17"/>
      <c r="W1664" s="17"/>
      <c r="X1664" s="17"/>
      <c r="Y1664" s="17"/>
      <c r="Z1664" s="17"/>
    </row>
    <row r="1665">
      <c r="A1665" s="18" t="str">
        <f>IFERROR(__xludf.DUMMYFUNCTION("""COMPUTED_VALUE"""),"ord_71643")</f>
        <v>ord_71643</v>
      </c>
      <c r="B1665" s="18" t="str">
        <f>IFERROR(__xludf.DUMMYFUNCTION("""COMPUTED_VALUE"""),"Ishita Banerjee")</f>
        <v>Ishita Banerjee</v>
      </c>
      <c r="C1665" s="18" t="str">
        <f>IFERROR(__xludf.DUMMYFUNCTION("""COMPUTED_VALUE"""),"Juhu")</f>
        <v>Juhu</v>
      </c>
      <c r="D1665" s="18" t="str">
        <f>IFERROR(__xludf.DUMMYFUNCTION("""COMPUTED_VALUE"""),"Potato")</f>
        <v>Potato</v>
      </c>
      <c r="E1665" s="18">
        <f>IFERROR(__xludf.DUMMYFUNCTION("""COMPUTED_VALUE"""),2.0)</f>
        <v>2</v>
      </c>
      <c r="F1665" s="18" t="str">
        <f>IFERROR(__xludf.DUMMYFUNCTION("""COMPUTED_VALUE"""),"Tanvi Jain")</f>
        <v>Tanvi Jain</v>
      </c>
      <c r="G1665" s="19">
        <f>IFERROR(__xludf.DUMMYFUNCTION("""COMPUTED_VALUE"""),45217.0)</f>
        <v>45217</v>
      </c>
      <c r="H1665" s="18" t="str">
        <f>IFERROR(__xludf.DUMMYFUNCTION("""COMPUTED_VALUE"""),"Credit Card")</f>
        <v>Credit Card</v>
      </c>
      <c r="I1665" s="18" t="str">
        <f>IFERROR(__xludf.DUMMYFUNCTION("""COMPUTED_VALUE"""),"Delivered")</f>
        <v>Delivered</v>
      </c>
      <c r="J1665" s="18" t="str">
        <f>IFERROR(__xludf.DUMMYFUNCTION("""COMPUTED_VALUE"""),"Satisfied with the Delivery")</f>
        <v>Satisfied with the Delivery</v>
      </c>
      <c r="K1665" s="18" t="str">
        <f>IFERROR(__xludf.DUMMYFUNCTION("""COMPUTED_VALUE"""),"Timely and quality")</f>
        <v>Timely and quality</v>
      </c>
      <c r="L1665" s="18">
        <f>iferror(VLOOKUP($D1665,Details!$A$2:$C$11,2,false),vlookup($D1665,Details!$E$2:$G$11,2,false))</f>
        <v>55</v>
      </c>
      <c r="M1665" s="18" t="str">
        <f>iferror(VLOOKUP($D1665,Details!$A$2:$C$11,3,false),vlookup($D1665,Details!$E$2:$G$11,3,false))</f>
        <v>Fruits and Vegetables</v>
      </c>
      <c r="N1665" s="18">
        <f t="shared" si="1"/>
        <v>110</v>
      </c>
      <c r="O1665" s="17"/>
      <c r="P1665" s="17"/>
      <c r="Q1665" s="17"/>
      <c r="R1665" s="17"/>
      <c r="S1665" s="17"/>
      <c r="T1665" s="17"/>
      <c r="U1665" s="17"/>
      <c r="V1665" s="17"/>
      <c r="W1665" s="17"/>
      <c r="X1665" s="17"/>
      <c r="Y1665" s="17"/>
      <c r="Z1665" s="17"/>
    </row>
    <row r="1666">
      <c r="A1666" s="18" t="str">
        <f>IFERROR(__xludf.DUMMYFUNCTION("""COMPUTED_VALUE"""),"ord_71644")</f>
        <v>ord_71644</v>
      </c>
      <c r="B1666" s="18" t="str">
        <f>IFERROR(__xludf.DUMMYFUNCTION("""COMPUTED_VALUE"""),"Tanishq Bansal")</f>
        <v>Tanishq Bansal</v>
      </c>
      <c r="C1666" s="18" t="str">
        <f>IFERROR(__xludf.DUMMYFUNCTION("""COMPUTED_VALUE"""),"Powai")</f>
        <v>Powai</v>
      </c>
      <c r="D1666" s="18" t="str">
        <f>IFERROR(__xludf.DUMMYFUNCTION("""COMPUTED_VALUE"""),"Guava")</f>
        <v>Guava</v>
      </c>
      <c r="E1666" s="18">
        <f>IFERROR(__xludf.DUMMYFUNCTION("""COMPUTED_VALUE"""),1.0)</f>
        <v>1</v>
      </c>
      <c r="F1666" s="18" t="str">
        <f>IFERROR(__xludf.DUMMYFUNCTION("""COMPUTED_VALUE"""),"Sandeep Kumar")</f>
        <v>Sandeep Kumar</v>
      </c>
      <c r="G1666" s="19">
        <f>IFERROR(__xludf.DUMMYFUNCTION("""COMPUTED_VALUE"""),45261.0)</f>
        <v>45261</v>
      </c>
      <c r="H1666" s="18" t="str">
        <f>IFERROR(__xludf.DUMMYFUNCTION("""COMPUTED_VALUE"""),"UPI")</f>
        <v>UPI</v>
      </c>
      <c r="I1666" s="18" t="str">
        <f>IFERROR(__xludf.DUMMYFUNCTION("""COMPUTED_VALUE"""),"Delivered")</f>
        <v>Delivered</v>
      </c>
      <c r="J1666" s="18" t="str">
        <f>IFERROR(__xludf.DUMMYFUNCTION("""COMPUTED_VALUE"""),"Customer Service")</f>
        <v>Customer Service</v>
      </c>
      <c r="K1666" s="18" t="str">
        <f>IFERROR(__xludf.DUMMYFUNCTION("""COMPUTED_VALUE"""),"Seamless and easy")</f>
        <v>Seamless and easy</v>
      </c>
      <c r="L1666" s="18">
        <f>iferror(VLOOKUP($D1666,Details!$A$2:$C$11,2,false),vlookup($D1666,Details!$E$2:$G$11,2,false))</f>
        <v>70</v>
      </c>
      <c r="M1666" s="18" t="str">
        <f>iferror(VLOOKUP($D1666,Details!$A$2:$C$11,3,false),vlookup($D1666,Details!$E$2:$G$11,3,false))</f>
        <v>Fruits and Vegetables</v>
      </c>
      <c r="N1666" s="18">
        <f t="shared" si="1"/>
        <v>70</v>
      </c>
      <c r="O1666" s="17"/>
      <c r="P1666" s="17"/>
      <c r="Q1666" s="17"/>
      <c r="R1666" s="17"/>
      <c r="S1666" s="17"/>
      <c r="T1666" s="17"/>
      <c r="U1666" s="17"/>
      <c r="V1666" s="17"/>
      <c r="W1666" s="17"/>
      <c r="X1666" s="17"/>
      <c r="Y1666" s="17"/>
      <c r="Z1666" s="17"/>
    </row>
    <row r="1667">
      <c r="A1667" s="18" t="str">
        <f>IFERROR(__xludf.DUMMYFUNCTION("""COMPUTED_VALUE"""),"ord_71645")</f>
        <v>ord_71645</v>
      </c>
      <c r="B1667" s="18" t="str">
        <f>IFERROR(__xludf.DUMMYFUNCTION("""COMPUTED_VALUE"""),"Mohit Malhotra")</f>
        <v>Mohit Malhotra</v>
      </c>
      <c r="C1667" s="18" t="str">
        <f>IFERROR(__xludf.DUMMYFUNCTION("""COMPUTED_VALUE"""),"Lower Parel")</f>
        <v>Lower Parel</v>
      </c>
      <c r="D1667" s="18" t="str">
        <f>IFERROR(__xludf.DUMMYFUNCTION("""COMPUTED_VALUE"""),"Chocolate Mousse")</f>
        <v>Chocolate Mousse</v>
      </c>
      <c r="E1667" s="18">
        <f>IFERROR(__xludf.DUMMYFUNCTION("""COMPUTED_VALUE"""),1.0)</f>
        <v>1</v>
      </c>
      <c r="F1667" s="18" t="str">
        <f>IFERROR(__xludf.DUMMYFUNCTION("""COMPUTED_VALUE"""),"Kiran Mehta")</f>
        <v>Kiran Mehta</v>
      </c>
      <c r="G1667" s="19">
        <f>IFERROR(__xludf.DUMMYFUNCTION("""COMPUTED_VALUE"""),45216.0)</f>
        <v>45216</v>
      </c>
      <c r="H1667" s="18" t="str">
        <f>IFERROR(__xludf.DUMMYFUNCTION("""COMPUTED_VALUE"""),"Online Payment")</f>
        <v>Online Payment</v>
      </c>
      <c r="I1667" s="18" t="str">
        <f>IFERROR(__xludf.DUMMYFUNCTION("""COMPUTED_VALUE"""),"Delivered")</f>
        <v>Delivered</v>
      </c>
      <c r="J1667" s="18" t="str">
        <f>IFERROR(__xludf.DUMMYFUNCTION("""COMPUTED_VALUE"""),"Delivery Experience")</f>
        <v>Delivery Experience</v>
      </c>
      <c r="K1667" s="18" t="str">
        <f>IFERROR(__xludf.DUMMYFUNCTION("""COMPUTED_VALUE"""),"Quick and professional")</f>
        <v>Quick and professional</v>
      </c>
      <c r="L1667" s="18">
        <f>iferror(VLOOKUP($D1667,Details!$A$2:$C$11,2,false),vlookup($D1667,Details!$E$2:$G$11,2,false))</f>
        <v>145</v>
      </c>
      <c r="M1667" s="18" t="str">
        <f>iferror(VLOOKUP($D1667,Details!$A$2:$C$11,3,false),vlookup($D1667,Details!$E$2:$G$11,3,false))</f>
        <v>Snacks and Drinks</v>
      </c>
      <c r="N1667" s="18">
        <f t="shared" si="1"/>
        <v>145</v>
      </c>
      <c r="O1667" s="17"/>
      <c r="P1667" s="17"/>
      <c r="Q1667" s="17"/>
      <c r="R1667" s="17"/>
      <c r="S1667" s="17"/>
      <c r="T1667" s="17"/>
      <c r="U1667" s="17"/>
      <c r="V1667" s="17"/>
      <c r="W1667" s="17"/>
      <c r="X1667" s="17"/>
      <c r="Y1667" s="17"/>
      <c r="Z1667" s="17"/>
    </row>
    <row r="1668">
      <c r="A1668" s="18" t="str">
        <f>IFERROR(__xludf.DUMMYFUNCTION("""COMPUTED_VALUE"""),"ord_71646")</f>
        <v>ord_71646</v>
      </c>
      <c r="B1668" s="18" t="str">
        <f>IFERROR(__xludf.DUMMYFUNCTION("""COMPUTED_VALUE"""),"Kunal Sharma")</f>
        <v>Kunal Sharma</v>
      </c>
      <c r="C1668" s="18" t="str">
        <f>IFERROR(__xludf.DUMMYFUNCTION("""COMPUTED_VALUE"""),"Powai")</f>
        <v>Powai</v>
      </c>
      <c r="D1668" s="18" t="str">
        <f>IFERROR(__xludf.DUMMYFUNCTION("""COMPUTED_VALUE"""),"Rasmalai")</f>
        <v>Rasmalai</v>
      </c>
      <c r="E1668" s="18">
        <f>IFERROR(__xludf.DUMMYFUNCTION("""COMPUTED_VALUE"""),8.0)</f>
        <v>8</v>
      </c>
      <c r="F1668" s="18" t="str">
        <f>IFERROR(__xludf.DUMMYFUNCTION("""COMPUTED_VALUE"""),"Sandeep Kumar")</f>
        <v>Sandeep Kumar</v>
      </c>
      <c r="G1668" s="19">
        <f>IFERROR(__xludf.DUMMYFUNCTION("""COMPUTED_VALUE"""),45116.0)</f>
        <v>45116</v>
      </c>
      <c r="H1668" s="18" t="str">
        <f>IFERROR(__xludf.DUMMYFUNCTION("""COMPUTED_VALUE"""),"UPI")</f>
        <v>UPI</v>
      </c>
      <c r="I1668" s="18" t="str">
        <f>IFERROR(__xludf.DUMMYFUNCTION("""COMPUTED_VALUE"""),"Delivered")</f>
        <v>Delivered</v>
      </c>
      <c r="J1668" s="18" t="str">
        <f>IFERROR(__xludf.DUMMYFUNCTION("""COMPUTED_VALUE"""),"Convenience")</f>
        <v>Convenience</v>
      </c>
      <c r="K1668" s="18" t="str">
        <f>IFERROR(__xludf.DUMMYFUNCTION("""COMPUTED_VALUE"""),"Easy tracking")</f>
        <v>Easy tracking</v>
      </c>
      <c r="L1668" s="18">
        <f>iferror(VLOOKUP($D1668,Details!$A$2:$C$11,2,false),vlookup($D1668,Details!$E$2:$G$11,2,false))</f>
        <v>110</v>
      </c>
      <c r="M1668" s="18" t="str">
        <f>iferror(VLOOKUP($D1668,Details!$A$2:$C$11,3,false),vlookup($D1668,Details!$E$2:$G$11,3,false))</f>
        <v>Snacks and Drinks</v>
      </c>
      <c r="N1668" s="18">
        <f t="shared" si="1"/>
        <v>880</v>
      </c>
      <c r="O1668" s="17"/>
      <c r="P1668" s="17"/>
      <c r="Q1668" s="17"/>
      <c r="R1668" s="17"/>
      <c r="S1668" s="17"/>
      <c r="T1668" s="17"/>
      <c r="U1668" s="17"/>
      <c r="V1668" s="17"/>
      <c r="W1668" s="17"/>
      <c r="X1668" s="17"/>
      <c r="Y1668" s="17"/>
      <c r="Z1668" s="17"/>
    </row>
    <row r="1669">
      <c r="A1669" s="18" t="str">
        <f>IFERROR(__xludf.DUMMYFUNCTION("""COMPUTED_VALUE"""),"ord_71647")</f>
        <v>ord_71647</v>
      </c>
      <c r="B1669" s="18" t="str">
        <f>IFERROR(__xludf.DUMMYFUNCTION("""COMPUTED_VALUE"""),"Kunal Sharma")</f>
        <v>Kunal Sharma</v>
      </c>
      <c r="C1669" s="18" t="str">
        <f>IFERROR(__xludf.DUMMYFUNCTION("""COMPUTED_VALUE"""),"Powai")</f>
        <v>Powai</v>
      </c>
      <c r="D1669" s="18" t="str">
        <f>IFERROR(__xludf.DUMMYFUNCTION("""COMPUTED_VALUE"""),"Potato")</f>
        <v>Potato</v>
      </c>
      <c r="E1669" s="18">
        <f>IFERROR(__xludf.DUMMYFUNCTION("""COMPUTED_VALUE"""),5.0)</f>
        <v>5</v>
      </c>
      <c r="F1669" s="18" t="str">
        <f>IFERROR(__xludf.DUMMYFUNCTION("""COMPUTED_VALUE"""),"Sandeep Kumar")</f>
        <v>Sandeep Kumar</v>
      </c>
      <c r="G1669" s="19">
        <f>IFERROR(__xludf.DUMMYFUNCTION("""COMPUTED_VALUE"""),44984.0)</f>
        <v>44984</v>
      </c>
      <c r="H1669" s="18" t="str">
        <f>IFERROR(__xludf.DUMMYFUNCTION("""COMPUTED_VALUE"""),"Credit Card")</f>
        <v>Credit Card</v>
      </c>
      <c r="I1669" s="18" t="str">
        <f>IFERROR(__xludf.DUMMYFUNCTION("""COMPUTED_VALUE"""),"Delivered")</f>
        <v>Delivered</v>
      </c>
      <c r="J1669" s="18" t="str">
        <f>IFERROR(__xludf.DUMMYFUNCTION("""COMPUTED_VALUE"""),"Overall Satisfaction")</f>
        <v>Overall Satisfaction</v>
      </c>
      <c r="K1669" s="18" t="str">
        <f>IFERROR(__xludf.DUMMYFUNCTION("""COMPUTED_VALUE"""),"Great service will order again")</f>
        <v>Great service will order again</v>
      </c>
      <c r="L1669" s="18">
        <f>iferror(VLOOKUP($D1669,Details!$A$2:$C$11,2,false),vlookup($D1669,Details!$E$2:$G$11,2,false))</f>
        <v>55</v>
      </c>
      <c r="M1669" s="18" t="str">
        <f>iferror(VLOOKUP($D1669,Details!$A$2:$C$11,3,false),vlookup($D1669,Details!$E$2:$G$11,3,false))</f>
        <v>Fruits and Vegetables</v>
      </c>
      <c r="N1669" s="18">
        <f t="shared" si="1"/>
        <v>275</v>
      </c>
      <c r="O1669" s="17"/>
      <c r="P1669" s="17"/>
      <c r="Q1669" s="17"/>
      <c r="R1669" s="17"/>
      <c r="S1669" s="17"/>
      <c r="T1669" s="17"/>
      <c r="U1669" s="17"/>
      <c r="V1669" s="17"/>
      <c r="W1669" s="17"/>
      <c r="X1669" s="17"/>
      <c r="Y1669" s="17"/>
      <c r="Z1669" s="17"/>
    </row>
    <row r="1670">
      <c r="A1670" s="18" t="str">
        <f>IFERROR(__xludf.DUMMYFUNCTION("""COMPUTED_VALUE"""),"ord_71648")</f>
        <v>ord_71648</v>
      </c>
      <c r="B1670" s="18" t="str">
        <f>IFERROR(__xludf.DUMMYFUNCTION("""COMPUTED_VALUE"""),"Sanjay Nair")</f>
        <v>Sanjay Nair</v>
      </c>
      <c r="C1670" s="18" t="str">
        <f>IFERROR(__xludf.DUMMYFUNCTION("""COMPUTED_VALUE"""),"Dadar")</f>
        <v>Dadar</v>
      </c>
      <c r="D1670" s="18" t="str">
        <f>IFERROR(__xludf.DUMMYFUNCTION("""COMPUTED_VALUE"""),"Chicken Puff")</f>
        <v>Chicken Puff</v>
      </c>
      <c r="E1670" s="18">
        <f>IFERROR(__xludf.DUMMYFUNCTION("""COMPUTED_VALUE"""),3.0)</f>
        <v>3</v>
      </c>
      <c r="F1670" s="18" t="str">
        <f>IFERROR(__xludf.DUMMYFUNCTION("""COMPUTED_VALUE"""),"Aman Kumar")</f>
        <v>Aman Kumar</v>
      </c>
      <c r="G1670" s="19">
        <f>IFERROR(__xludf.DUMMYFUNCTION("""COMPUTED_VALUE"""),45140.0)</f>
        <v>45140</v>
      </c>
      <c r="H1670" s="18" t="str">
        <f>IFERROR(__xludf.DUMMYFUNCTION("""COMPUTED_VALUE"""),"Credit Card")</f>
        <v>Credit Card</v>
      </c>
      <c r="I1670" s="18" t="str">
        <f>IFERROR(__xludf.DUMMYFUNCTION("""COMPUTED_VALUE"""),"Delivered")</f>
        <v>Delivered</v>
      </c>
      <c r="J1670" s="18" t="str">
        <f>IFERROR(__xludf.DUMMYFUNCTION("""COMPUTED_VALUE"""),"On-time Delivery")</f>
        <v>On-time Delivery</v>
      </c>
      <c r="K1670" s="18" t="str">
        <f>IFERROR(__xludf.DUMMYFUNCTION("""COMPUTED_VALUE"""),"Delivered on time")</f>
        <v>Delivered on time</v>
      </c>
      <c r="L1670" s="18">
        <f>iferror(VLOOKUP($D1670,Details!$A$2:$C$11,2,false),vlookup($D1670,Details!$E$2:$G$11,2,false))</f>
        <v>90</v>
      </c>
      <c r="M1670" s="18" t="str">
        <f>iferror(VLOOKUP($D1670,Details!$A$2:$C$11,3,false),vlookup($D1670,Details!$E$2:$G$11,3,false))</f>
        <v>Snacks and Drinks</v>
      </c>
      <c r="N1670" s="18">
        <f t="shared" si="1"/>
        <v>270</v>
      </c>
      <c r="O1670" s="17"/>
      <c r="P1670" s="17"/>
      <c r="Q1670" s="17"/>
      <c r="R1670" s="17"/>
      <c r="S1670" s="17"/>
      <c r="T1670" s="17"/>
      <c r="U1670" s="17"/>
      <c r="V1670" s="17"/>
      <c r="W1670" s="17"/>
      <c r="X1670" s="17"/>
      <c r="Y1670" s="17"/>
      <c r="Z1670" s="17"/>
    </row>
    <row r="1671">
      <c r="A1671" s="18" t="str">
        <f>IFERROR(__xludf.DUMMYFUNCTION("""COMPUTED_VALUE"""),"ord_71649")</f>
        <v>ord_71649</v>
      </c>
      <c r="B1671" s="18" t="str">
        <f>IFERROR(__xludf.DUMMYFUNCTION("""COMPUTED_VALUE"""),"Siya Reddy")</f>
        <v>Siya Reddy</v>
      </c>
      <c r="C1671" s="18" t="str">
        <f>IFERROR(__xludf.DUMMYFUNCTION("""COMPUTED_VALUE"""),"Juhu")</f>
        <v>Juhu</v>
      </c>
      <c r="D1671" s="18" t="str">
        <f>IFERROR(__xludf.DUMMYFUNCTION("""COMPUTED_VALUE"""),"Tiramisu")</f>
        <v>Tiramisu</v>
      </c>
      <c r="E1671" s="18">
        <f>IFERROR(__xludf.DUMMYFUNCTION("""COMPUTED_VALUE"""),1.0)</f>
        <v>1</v>
      </c>
      <c r="F1671" s="18" t="str">
        <f>IFERROR(__xludf.DUMMYFUNCTION("""COMPUTED_VALUE"""),"Tanvi Jain")</f>
        <v>Tanvi Jain</v>
      </c>
      <c r="G1671" s="19">
        <f>IFERROR(__xludf.DUMMYFUNCTION("""COMPUTED_VALUE"""),44950.0)</f>
        <v>44950</v>
      </c>
      <c r="H1671" s="18" t="str">
        <f>IFERROR(__xludf.DUMMYFUNCTION("""COMPUTED_VALUE"""),"Credit Card")</f>
        <v>Credit Card</v>
      </c>
      <c r="I1671" s="18" t="str">
        <f>IFERROR(__xludf.DUMMYFUNCTION("""COMPUTED_VALUE"""),"Delivered")</f>
        <v>Delivered</v>
      </c>
      <c r="J1671" s="18" t="str">
        <f>IFERROR(__xludf.DUMMYFUNCTION("""COMPUTED_VALUE"""),"Quality of Items")</f>
        <v>Quality of Items</v>
      </c>
      <c r="K1671" s="18" t="str">
        <f>IFERROR(__xludf.DUMMYFUNCTION("""COMPUTED_VALUE"""),"Perfect condition")</f>
        <v>Perfect condition</v>
      </c>
      <c r="L1671" s="18">
        <f>iferror(VLOOKUP($D1671,Details!$A$2:$C$11,2,false),vlookup($D1671,Details!$E$2:$G$11,2,false))</f>
        <v>150</v>
      </c>
      <c r="M1671" s="18" t="str">
        <f>iferror(VLOOKUP($D1671,Details!$A$2:$C$11,3,false),vlookup($D1671,Details!$E$2:$G$11,3,false))</f>
        <v>Snacks and Drinks</v>
      </c>
      <c r="N1671" s="18">
        <f t="shared" si="1"/>
        <v>150</v>
      </c>
      <c r="O1671" s="17"/>
      <c r="P1671" s="17"/>
      <c r="Q1671" s="17"/>
      <c r="R1671" s="17"/>
      <c r="S1671" s="17"/>
      <c r="T1671" s="17"/>
      <c r="U1671" s="17"/>
      <c r="V1671" s="17"/>
      <c r="W1671" s="17"/>
      <c r="X1671" s="17"/>
      <c r="Y1671" s="17"/>
      <c r="Z1671" s="17"/>
    </row>
    <row r="1672">
      <c r="A1672" s="18" t="str">
        <f>IFERROR(__xludf.DUMMYFUNCTION("""COMPUTED_VALUE"""),"ord_71650")</f>
        <v>ord_71650</v>
      </c>
      <c r="B1672" s="18" t="str">
        <f>IFERROR(__xludf.DUMMYFUNCTION("""COMPUTED_VALUE"""),"Kritika Shetty")</f>
        <v>Kritika Shetty</v>
      </c>
      <c r="C1672" s="18" t="str">
        <f>IFERROR(__xludf.DUMMYFUNCTION("""COMPUTED_VALUE"""),"Malad")</f>
        <v>Malad</v>
      </c>
      <c r="D1672" s="18" t="str">
        <f>IFERROR(__xludf.DUMMYFUNCTION("""COMPUTED_VALUE"""),"Rasmalai")</f>
        <v>Rasmalai</v>
      </c>
      <c r="E1672" s="18">
        <f>IFERROR(__xludf.DUMMYFUNCTION("""COMPUTED_VALUE"""),4.0)</f>
        <v>4</v>
      </c>
      <c r="F1672" s="18" t="str">
        <f>IFERROR(__xludf.DUMMYFUNCTION("""COMPUTED_VALUE"""),"Priya Joshi")</f>
        <v>Priya Joshi</v>
      </c>
      <c r="G1672" s="19">
        <f>IFERROR(__xludf.DUMMYFUNCTION("""COMPUTED_VALUE"""),44995.0)</f>
        <v>44995</v>
      </c>
      <c r="H1672" s="18" t="str">
        <f>IFERROR(__xludf.DUMMYFUNCTION("""COMPUTED_VALUE"""),"UPI")</f>
        <v>UPI</v>
      </c>
      <c r="I1672" s="18" t="str">
        <f>IFERROR(__xludf.DUMMYFUNCTION("""COMPUTED_VALUE"""),"Cancelled")</f>
        <v>Cancelled</v>
      </c>
      <c r="J1672" s="18" t="str">
        <f>IFERROR(__xludf.DUMMYFUNCTION("""COMPUTED_VALUE"""),"Delayed Delivery")</f>
        <v>Delayed Delivery</v>
      </c>
      <c r="K1672" s="18" t="str">
        <f>IFERROR(__xludf.DUMMYFUNCTION("""COMPUTED_VALUE"""),"Vehicle Breakdown")</f>
        <v>Vehicle Breakdown</v>
      </c>
      <c r="L1672" s="18">
        <f>iferror(VLOOKUP($D1672,Details!$A$2:$C$11,2,false),vlookup($D1672,Details!$E$2:$G$11,2,false))</f>
        <v>110</v>
      </c>
      <c r="M1672" s="18" t="str">
        <f>iferror(VLOOKUP($D1672,Details!$A$2:$C$11,3,false),vlookup($D1672,Details!$E$2:$G$11,3,false))</f>
        <v>Snacks and Drinks</v>
      </c>
      <c r="N1672" s="18">
        <f t="shared" si="1"/>
        <v>440</v>
      </c>
      <c r="O1672" s="17"/>
      <c r="P1672" s="17"/>
      <c r="Q1672" s="17"/>
      <c r="R1672" s="17"/>
      <c r="S1672" s="17"/>
      <c r="T1672" s="17"/>
      <c r="U1672" s="17"/>
      <c r="V1672" s="17"/>
      <c r="W1672" s="17"/>
      <c r="X1672" s="17"/>
      <c r="Y1672" s="17"/>
      <c r="Z1672" s="17"/>
    </row>
    <row r="1673">
      <c r="A1673" s="18" t="str">
        <f>IFERROR(__xludf.DUMMYFUNCTION("""COMPUTED_VALUE"""),"ord_71651")</f>
        <v>ord_71651</v>
      </c>
      <c r="B1673" s="18" t="str">
        <f>IFERROR(__xludf.DUMMYFUNCTION("""COMPUTED_VALUE"""),"Siya Reddy")</f>
        <v>Siya Reddy</v>
      </c>
      <c r="C1673" s="18" t="str">
        <f>IFERROR(__xludf.DUMMYFUNCTION("""COMPUTED_VALUE"""),"Juhu")</f>
        <v>Juhu</v>
      </c>
      <c r="D1673" s="18" t="str">
        <f>IFERROR(__xludf.DUMMYFUNCTION("""COMPUTED_VALUE"""),"Cucumber")</f>
        <v>Cucumber</v>
      </c>
      <c r="E1673" s="18">
        <f>IFERROR(__xludf.DUMMYFUNCTION("""COMPUTED_VALUE"""),2.0)</f>
        <v>2</v>
      </c>
      <c r="F1673" s="18" t="str">
        <f>IFERROR(__xludf.DUMMYFUNCTION("""COMPUTED_VALUE"""),"Shine Thomas")</f>
        <v>Shine Thomas</v>
      </c>
      <c r="G1673" s="19">
        <f>IFERROR(__xludf.DUMMYFUNCTION("""COMPUTED_VALUE"""),45219.0)</f>
        <v>45219</v>
      </c>
      <c r="H1673" s="18" t="str">
        <f>IFERROR(__xludf.DUMMYFUNCTION("""COMPUTED_VALUE"""),"Credit Card")</f>
        <v>Credit Card</v>
      </c>
      <c r="I1673" s="18" t="str">
        <f>IFERROR(__xludf.DUMMYFUNCTION("""COMPUTED_VALUE"""),"Cancelled")</f>
        <v>Cancelled</v>
      </c>
      <c r="J1673" s="18" t="str">
        <f>IFERROR(__xludf.DUMMYFUNCTION("""COMPUTED_VALUE"""),"Delayed Delivery")</f>
        <v>Delayed Delivery</v>
      </c>
      <c r="K1673" s="18" t="str">
        <f>IFERROR(__xludf.DUMMYFUNCTION("""COMPUTED_VALUE"""),"Heavy Traffic")</f>
        <v>Heavy Traffic</v>
      </c>
      <c r="L1673" s="18">
        <f>iferror(VLOOKUP($D1673,Details!$A$2:$C$11,2,false),vlookup($D1673,Details!$E$2:$G$11,2,false))</f>
        <v>30</v>
      </c>
      <c r="M1673" s="18" t="str">
        <f>iferror(VLOOKUP($D1673,Details!$A$2:$C$11,3,false),vlookup($D1673,Details!$E$2:$G$11,3,false))</f>
        <v>Fruits and Vegetables</v>
      </c>
      <c r="N1673" s="18">
        <f t="shared" si="1"/>
        <v>60</v>
      </c>
      <c r="O1673" s="17"/>
      <c r="P1673" s="17"/>
      <c r="Q1673" s="17"/>
      <c r="R1673" s="17"/>
      <c r="S1673" s="17"/>
      <c r="T1673" s="17"/>
      <c r="U1673" s="17"/>
      <c r="V1673" s="17"/>
      <c r="W1673" s="17"/>
      <c r="X1673" s="17"/>
      <c r="Y1673" s="17"/>
      <c r="Z1673" s="17"/>
    </row>
    <row r="1674">
      <c r="A1674" s="18" t="str">
        <f>IFERROR(__xludf.DUMMYFUNCTION("""COMPUTED_VALUE"""),"ord_71652")</f>
        <v>ord_71652</v>
      </c>
      <c r="B1674" s="18" t="str">
        <f>IFERROR(__xludf.DUMMYFUNCTION("""COMPUTED_VALUE"""),"Anaya Rao")</f>
        <v>Anaya Rao</v>
      </c>
      <c r="C1674" s="18" t="str">
        <f>IFERROR(__xludf.DUMMYFUNCTION("""COMPUTED_VALUE"""),"Colaba")</f>
        <v>Colaba</v>
      </c>
      <c r="D1674" s="18" t="str">
        <f>IFERROR(__xludf.DUMMYFUNCTION("""COMPUTED_VALUE"""),"Tiramisu")</f>
        <v>Tiramisu</v>
      </c>
      <c r="E1674" s="18">
        <f>IFERROR(__xludf.DUMMYFUNCTION("""COMPUTED_VALUE"""),4.0)</f>
        <v>4</v>
      </c>
      <c r="F1674" s="18" t="str">
        <f>IFERROR(__xludf.DUMMYFUNCTION("""COMPUTED_VALUE"""),"Nikhil Deshmukh")</f>
        <v>Nikhil Deshmukh</v>
      </c>
      <c r="G1674" s="19">
        <f>IFERROR(__xludf.DUMMYFUNCTION("""COMPUTED_VALUE"""),45087.0)</f>
        <v>45087</v>
      </c>
      <c r="H1674" s="18" t="str">
        <f>IFERROR(__xludf.DUMMYFUNCTION("""COMPUTED_VALUE"""),"Credit Card")</f>
        <v>Credit Card</v>
      </c>
      <c r="I1674" s="18" t="str">
        <f>IFERROR(__xludf.DUMMYFUNCTION("""COMPUTED_VALUE"""),"Delivered")</f>
        <v>Delivered</v>
      </c>
      <c r="J1674" s="18" t="str">
        <f>IFERROR(__xludf.DUMMYFUNCTION("""COMPUTED_VALUE"""),"On-time Delivery")</f>
        <v>On-time Delivery</v>
      </c>
      <c r="K1674" s="18" t="str">
        <f>IFERROR(__xludf.DUMMYFUNCTION("""COMPUTED_VALUE"""),"Delivered on time")</f>
        <v>Delivered on time</v>
      </c>
      <c r="L1674" s="18">
        <f>iferror(VLOOKUP($D1674,Details!$A$2:$C$11,2,false),vlookup($D1674,Details!$E$2:$G$11,2,false))</f>
        <v>150</v>
      </c>
      <c r="M1674" s="18" t="str">
        <f>iferror(VLOOKUP($D1674,Details!$A$2:$C$11,3,false),vlookup($D1674,Details!$E$2:$G$11,3,false))</f>
        <v>Snacks and Drinks</v>
      </c>
      <c r="N1674" s="18">
        <f t="shared" si="1"/>
        <v>600</v>
      </c>
      <c r="O1674" s="17"/>
      <c r="P1674" s="17"/>
      <c r="Q1674" s="17"/>
      <c r="R1674" s="17"/>
      <c r="S1674" s="17"/>
      <c r="T1674" s="17"/>
      <c r="U1674" s="17"/>
      <c r="V1674" s="17"/>
      <c r="W1674" s="17"/>
      <c r="X1674" s="17"/>
      <c r="Y1674" s="17"/>
      <c r="Z1674" s="17"/>
    </row>
    <row r="1675">
      <c r="A1675" s="18" t="str">
        <f>IFERROR(__xludf.DUMMYFUNCTION("""COMPUTED_VALUE"""),"ord_71653")</f>
        <v>ord_71653</v>
      </c>
      <c r="B1675" s="18" t="str">
        <f>IFERROR(__xludf.DUMMYFUNCTION("""COMPUTED_VALUE"""),"Aditi Iyer")</f>
        <v>Aditi Iyer</v>
      </c>
      <c r="C1675" s="18" t="str">
        <f>IFERROR(__xludf.DUMMYFUNCTION("""COMPUTED_VALUE"""),"Dadar")</f>
        <v>Dadar</v>
      </c>
      <c r="D1675" s="18" t="str">
        <f>IFERROR(__xludf.DUMMYFUNCTION("""COMPUTED_VALUE"""),"Veg Puff")</f>
        <v>Veg Puff</v>
      </c>
      <c r="E1675" s="18">
        <f>IFERROR(__xludf.DUMMYFUNCTION("""COMPUTED_VALUE"""),1.0)</f>
        <v>1</v>
      </c>
      <c r="F1675" s="18" t="str">
        <f>IFERROR(__xludf.DUMMYFUNCTION("""COMPUTED_VALUE"""),"Aman Kumar")</f>
        <v>Aman Kumar</v>
      </c>
      <c r="G1675" s="19">
        <f>IFERROR(__xludf.DUMMYFUNCTION("""COMPUTED_VALUE"""),45181.0)</f>
        <v>45181</v>
      </c>
      <c r="H1675" s="18" t="str">
        <f>IFERROR(__xludf.DUMMYFUNCTION("""COMPUTED_VALUE"""),"UPI")</f>
        <v>UPI</v>
      </c>
      <c r="I1675" s="18" t="str">
        <f>IFERROR(__xludf.DUMMYFUNCTION("""COMPUTED_VALUE"""),"Delivered")</f>
        <v>Delivered</v>
      </c>
      <c r="J1675" s="18" t="str">
        <f>IFERROR(__xludf.DUMMYFUNCTION("""COMPUTED_VALUE"""),"Quality of Items")</f>
        <v>Quality of Items</v>
      </c>
      <c r="K1675" s="18" t="str">
        <f>IFERROR(__xludf.DUMMYFUNCTION("""COMPUTED_VALUE"""),"Perfect condition")</f>
        <v>Perfect condition</v>
      </c>
      <c r="L1675" s="18">
        <f>iferror(VLOOKUP($D1675,Details!$A$2:$C$11,2,false),vlookup($D1675,Details!$E$2:$G$11,2,false))</f>
        <v>80</v>
      </c>
      <c r="M1675" s="18" t="str">
        <f>iferror(VLOOKUP($D1675,Details!$A$2:$C$11,3,false),vlookup($D1675,Details!$E$2:$G$11,3,false))</f>
        <v>Snacks and Drinks</v>
      </c>
      <c r="N1675" s="18">
        <f t="shared" si="1"/>
        <v>80</v>
      </c>
      <c r="O1675" s="17"/>
      <c r="P1675" s="17"/>
      <c r="Q1675" s="17"/>
      <c r="R1675" s="17"/>
      <c r="S1675" s="17"/>
      <c r="T1675" s="17"/>
      <c r="U1675" s="17"/>
      <c r="V1675" s="17"/>
      <c r="W1675" s="17"/>
      <c r="X1675" s="17"/>
      <c r="Y1675" s="17"/>
      <c r="Z1675" s="17"/>
    </row>
    <row r="1676">
      <c r="A1676" s="18" t="str">
        <f>IFERROR(__xludf.DUMMYFUNCTION("""COMPUTED_VALUE"""),"ord_71654")</f>
        <v>ord_71654</v>
      </c>
      <c r="B1676" s="18" t="str">
        <f>IFERROR(__xludf.DUMMYFUNCTION("""COMPUTED_VALUE"""),"Ritika Dutta")</f>
        <v>Ritika Dutta</v>
      </c>
      <c r="C1676" s="18" t="str">
        <f>IFERROR(__xludf.DUMMYFUNCTION("""COMPUTED_VALUE"""),"Lower Parel")</f>
        <v>Lower Parel</v>
      </c>
      <c r="D1676" s="18" t="str">
        <f>IFERROR(__xludf.DUMMYFUNCTION("""COMPUTED_VALUE"""),"Tomato")</f>
        <v>Tomato</v>
      </c>
      <c r="E1676" s="18">
        <f>IFERROR(__xludf.DUMMYFUNCTION("""COMPUTED_VALUE"""),3.0)</f>
        <v>3</v>
      </c>
      <c r="F1676" s="18" t="str">
        <f>IFERROR(__xludf.DUMMYFUNCTION("""COMPUTED_VALUE"""),"Kiran Mehta")</f>
        <v>Kiran Mehta</v>
      </c>
      <c r="G1676" s="19">
        <f>IFERROR(__xludf.DUMMYFUNCTION("""COMPUTED_VALUE"""),44959.0)</f>
        <v>44959</v>
      </c>
      <c r="H1676" s="18" t="str">
        <f>IFERROR(__xludf.DUMMYFUNCTION("""COMPUTED_VALUE"""),"Credit Card")</f>
        <v>Credit Card</v>
      </c>
      <c r="I1676" s="18" t="str">
        <f>IFERROR(__xludf.DUMMYFUNCTION("""COMPUTED_VALUE"""),"Delivered")</f>
        <v>Delivered</v>
      </c>
      <c r="J1676" s="18" t="str">
        <f>IFERROR(__xludf.DUMMYFUNCTION("""COMPUTED_VALUE"""),"Packaging")</f>
        <v>Packaging</v>
      </c>
      <c r="K1676" s="18" t="str">
        <f>IFERROR(__xludf.DUMMYFUNCTION("""COMPUTED_VALUE"""),"Secure and intact")</f>
        <v>Secure and intact</v>
      </c>
      <c r="L1676" s="18">
        <f>iferror(VLOOKUP($D1676,Details!$A$2:$C$11,2,false),vlookup($D1676,Details!$E$2:$G$11,2,false))</f>
        <v>25</v>
      </c>
      <c r="M1676" s="18" t="str">
        <f>iferror(VLOOKUP($D1676,Details!$A$2:$C$11,3,false),vlookup($D1676,Details!$E$2:$G$11,3,false))</f>
        <v>Fruits and Vegetables</v>
      </c>
      <c r="N1676" s="18">
        <f t="shared" si="1"/>
        <v>75</v>
      </c>
      <c r="O1676" s="17"/>
      <c r="P1676" s="17"/>
      <c r="Q1676" s="17"/>
      <c r="R1676" s="17"/>
      <c r="S1676" s="17"/>
      <c r="T1676" s="17"/>
      <c r="U1676" s="17"/>
      <c r="V1676" s="17"/>
      <c r="W1676" s="17"/>
      <c r="X1676" s="17"/>
      <c r="Y1676" s="17"/>
      <c r="Z1676" s="17"/>
    </row>
    <row r="1677">
      <c r="A1677" s="18" t="str">
        <f>IFERROR(__xludf.DUMMYFUNCTION("""COMPUTED_VALUE"""),"ord_71655")</f>
        <v>ord_71655</v>
      </c>
      <c r="B1677" s="18" t="str">
        <f>IFERROR(__xludf.DUMMYFUNCTION("""COMPUTED_VALUE"""),"Ishaan Chaturvedi")</f>
        <v>Ishaan Chaturvedi</v>
      </c>
      <c r="C1677" s="18" t="str">
        <f>IFERROR(__xludf.DUMMYFUNCTION("""COMPUTED_VALUE"""),"Bandra")</f>
        <v>Bandra</v>
      </c>
      <c r="D1677" s="18" t="str">
        <f>IFERROR(__xludf.DUMMYFUNCTION("""COMPUTED_VALUE"""),"Veg Puff")</f>
        <v>Veg Puff</v>
      </c>
      <c r="E1677" s="18">
        <f>IFERROR(__xludf.DUMMYFUNCTION("""COMPUTED_VALUE"""),1.0)</f>
        <v>1</v>
      </c>
      <c r="F1677" s="18" t="str">
        <f>IFERROR(__xludf.DUMMYFUNCTION("""COMPUTED_VALUE"""),"Priya Joshi")</f>
        <v>Priya Joshi</v>
      </c>
      <c r="G1677" s="19">
        <f>IFERROR(__xludf.DUMMYFUNCTION("""COMPUTED_VALUE"""),45267.0)</f>
        <v>45267</v>
      </c>
      <c r="H1677" s="18" t="str">
        <f>IFERROR(__xludf.DUMMYFUNCTION("""COMPUTED_VALUE"""),"UPI")</f>
        <v>UPI</v>
      </c>
      <c r="I1677" s="18" t="str">
        <f>IFERROR(__xludf.DUMMYFUNCTION("""COMPUTED_VALUE"""),"Delivered")</f>
        <v>Delivered</v>
      </c>
      <c r="J1677" s="18" t="str">
        <f>IFERROR(__xludf.DUMMYFUNCTION("""COMPUTED_VALUE"""),"Satisfied with the Delivery")</f>
        <v>Satisfied with the Delivery</v>
      </c>
      <c r="K1677" s="18" t="str">
        <f>IFERROR(__xludf.DUMMYFUNCTION("""COMPUTED_VALUE"""),"Timely and quality")</f>
        <v>Timely and quality</v>
      </c>
      <c r="L1677" s="18">
        <f>iferror(VLOOKUP($D1677,Details!$A$2:$C$11,2,false),vlookup($D1677,Details!$E$2:$G$11,2,false))</f>
        <v>80</v>
      </c>
      <c r="M1677" s="18" t="str">
        <f>iferror(VLOOKUP($D1677,Details!$A$2:$C$11,3,false),vlookup($D1677,Details!$E$2:$G$11,3,false))</f>
        <v>Snacks and Drinks</v>
      </c>
      <c r="N1677" s="18">
        <f t="shared" si="1"/>
        <v>80</v>
      </c>
      <c r="O1677" s="17"/>
      <c r="P1677" s="17"/>
      <c r="Q1677" s="17"/>
      <c r="R1677" s="17"/>
      <c r="S1677" s="17"/>
      <c r="T1677" s="17"/>
      <c r="U1677" s="17"/>
      <c r="V1677" s="17"/>
      <c r="W1677" s="17"/>
      <c r="X1677" s="17"/>
      <c r="Y1677" s="17"/>
      <c r="Z1677" s="17"/>
    </row>
    <row r="1678">
      <c r="A1678" s="18" t="str">
        <f>IFERROR(__xludf.DUMMYFUNCTION("""COMPUTED_VALUE"""),"ord_71656")</f>
        <v>ord_71656</v>
      </c>
      <c r="B1678" s="18" t="str">
        <f>IFERROR(__xludf.DUMMYFUNCTION("""COMPUTED_VALUE"""),"Arvind Kulkarni")</f>
        <v>Arvind Kulkarni</v>
      </c>
      <c r="C1678" s="18" t="str">
        <f>IFERROR(__xludf.DUMMYFUNCTION("""COMPUTED_VALUE"""),"Juhu")</f>
        <v>Juhu</v>
      </c>
      <c r="D1678" s="18" t="str">
        <f>IFERROR(__xludf.DUMMYFUNCTION("""COMPUTED_VALUE"""),"Guava")</f>
        <v>Guava</v>
      </c>
      <c r="E1678" s="18">
        <f>IFERROR(__xludf.DUMMYFUNCTION("""COMPUTED_VALUE"""),1.0)</f>
        <v>1</v>
      </c>
      <c r="F1678" s="18" t="str">
        <f>IFERROR(__xludf.DUMMYFUNCTION("""COMPUTED_VALUE"""),"Tanvi Jain")</f>
        <v>Tanvi Jain</v>
      </c>
      <c r="G1678" s="19">
        <f>IFERROR(__xludf.DUMMYFUNCTION("""COMPUTED_VALUE"""),44994.0)</f>
        <v>44994</v>
      </c>
      <c r="H1678" s="18" t="str">
        <f>IFERROR(__xludf.DUMMYFUNCTION("""COMPUTED_VALUE"""),"Online Payment")</f>
        <v>Online Payment</v>
      </c>
      <c r="I1678" s="18" t="str">
        <f>IFERROR(__xludf.DUMMYFUNCTION("""COMPUTED_VALUE"""),"Delivered")</f>
        <v>Delivered</v>
      </c>
      <c r="J1678" s="18" t="str">
        <f>IFERROR(__xludf.DUMMYFUNCTION("""COMPUTED_VALUE"""),"Customer Service")</f>
        <v>Customer Service</v>
      </c>
      <c r="K1678" s="18" t="str">
        <f>IFERROR(__xludf.DUMMYFUNCTION("""COMPUTED_VALUE"""),"Seamless and easy")</f>
        <v>Seamless and easy</v>
      </c>
      <c r="L1678" s="18">
        <f>iferror(VLOOKUP($D1678,Details!$A$2:$C$11,2,false),vlookup($D1678,Details!$E$2:$G$11,2,false))</f>
        <v>70</v>
      </c>
      <c r="M1678" s="18" t="str">
        <f>iferror(VLOOKUP($D1678,Details!$A$2:$C$11,3,false),vlookup($D1678,Details!$E$2:$G$11,3,false))</f>
        <v>Fruits and Vegetables</v>
      </c>
      <c r="N1678" s="18">
        <f t="shared" si="1"/>
        <v>70</v>
      </c>
      <c r="O1678" s="17"/>
      <c r="P1678" s="17"/>
      <c r="Q1678" s="17"/>
      <c r="R1678" s="17"/>
      <c r="S1678" s="17"/>
      <c r="T1678" s="17"/>
      <c r="U1678" s="17"/>
      <c r="V1678" s="17"/>
      <c r="W1678" s="17"/>
      <c r="X1678" s="17"/>
      <c r="Y1678" s="17"/>
      <c r="Z1678" s="17"/>
    </row>
    <row r="1679">
      <c r="A1679" s="18" t="str">
        <f>IFERROR(__xludf.DUMMYFUNCTION("""COMPUTED_VALUE"""),"ord_71657")</f>
        <v>ord_71657</v>
      </c>
      <c r="B1679" s="18" t="str">
        <f>IFERROR(__xludf.DUMMYFUNCTION("""COMPUTED_VALUE"""),"Pranav Joshi")</f>
        <v>Pranav Joshi</v>
      </c>
      <c r="C1679" s="18" t="str">
        <f>IFERROR(__xludf.DUMMYFUNCTION("""COMPUTED_VALUE"""),"Andheri")</f>
        <v>Andheri</v>
      </c>
      <c r="D1679" s="18" t="str">
        <f>IFERROR(__xludf.DUMMYFUNCTION("""COMPUTED_VALUE"""),"Potato")</f>
        <v>Potato</v>
      </c>
      <c r="E1679" s="18">
        <f>IFERROR(__xludf.DUMMYFUNCTION("""COMPUTED_VALUE"""),2.0)</f>
        <v>2</v>
      </c>
      <c r="F1679" s="18" t="str">
        <f>IFERROR(__xludf.DUMMYFUNCTION("""COMPUTED_VALUE"""),"Rohan Yadav")</f>
        <v>Rohan Yadav</v>
      </c>
      <c r="G1679" s="19">
        <f>IFERROR(__xludf.DUMMYFUNCTION("""COMPUTED_VALUE"""),45115.0)</f>
        <v>45115</v>
      </c>
      <c r="H1679" s="18" t="str">
        <f>IFERROR(__xludf.DUMMYFUNCTION("""COMPUTED_VALUE"""),"UPI")</f>
        <v>UPI</v>
      </c>
      <c r="I1679" s="18" t="str">
        <f>IFERROR(__xludf.DUMMYFUNCTION("""COMPUTED_VALUE"""),"Delivered")</f>
        <v>Delivered</v>
      </c>
      <c r="J1679" s="18" t="str">
        <f>IFERROR(__xludf.DUMMYFUNCTION("""COMPUTED_VALUE"""),"Delivery Experience")</f>
        <v>Delivery Experience</v>
      </c>
      <c r="K1679" s="18" t="str">
        <f>IFERROR(__xludf.DUMMYFUNCTION("""COMPUTED_VALUE"""),"Quick and professional")</f>
        <v>Quick and professional</v>
      </c>
      <c r="L1679" s="18">
        <f>iferror(VLOOKUP($D1679,Details!$A$2:$C$11,2,false),vlookup($D1679,Details!$E$2:$G$11,2,false))</f>
        <v>55</v>
      </c>
      <c r="M1679" s="18" t="str">
        <f>iferror(VLOOKUP($D1679,Details!$A$2:$C$11,3,false),vlookup($D1679,Details!$E$2:$G$11,3,false))</f>
        <v>Fruits and Vegetables</v>
      </c>
      <c r="N1679" s="18">
        <f t="shared" si="1"/>
        <v>110</v>
      </c>
      <c r="O1679" s="17"/>
      <c r="P1679" s="17"/>
      <c r="Q1679" s="17"/>
      <c r="R1679" s="17"/>
      <c r="S1679" s="17"/>
      <c r="T1679" s="17"/>
      <c r="U1679" s="17"/>
      <c r="V1679" s="17"/>
      <c r="W1679" s="17"/>
      <c r="X1679" s="17"/>
      <c r="Y1679" s="17"/>
      <c r="Z1679" s="17"/>
    </row>
    <row r="1680">
      <c r="A1680" s="18" t="str">
        <f>IFERROR(__xludf.DUMMYFUNCTION("""COMPUTED_VALUE"""),"ord_71658")</f>
        <v>ord_71658</v>
      </c>
      <c r="B1680" s="18" t="str">
        <f>IFERROR(__xludf.DUMMYFUNCTION("""COMPUTED_VALUE"""),"Dev Chauhan")</f>
        <v>Dev Chauhan</v>
      </c>
      <c r="C1680" s="18" t="str">
        <f>IFERROR(__xludf.DUMMYFUNCTION("""COMPUTED_VALUE"""),"Bandra")</f>
        <v>Bandra</v>
      </c>
      <c r="D1680" s="18" t="str">
        <f>IFERROR(__xludf.DUMMYFUNCTION("""COMPUTED_VALUE"""),"Chocolate Mousse")</f>
        <v>Chocolate Mousse</v>
      </c>
      <c r="E1680" s="18">
        <f>IFERROR(__xludf.DUMMYFUNCTION("""COMPUTED_VALUE"""),3.0)</f>
        <v>3</v>
      </c>
      <c r="F1680" s="18" t="str">
        <f>IFERROR(__xludf.DUMMYFUNCTION("""COMPUTED_VALUE"""),"Priya Joshi")</f>
        <v>Priya Joshi</v>
      </c>
      <c r="G1680" s="19">
        <f>IFERROR(__xludf.DUMMYFUNCTION("""COMPUTED_VALUE"""),45090.0)</f>
        <v>45090</v>
      </c>
      <c r="H1680" s="18" t="str">
        <f>IFERROR(__xludf.DUMMYFUNCTION("""COMPUTED_VALUE"""),"Online Payment")</f>
        <v>Online Payment</v>
      </c>
      <c r="I1680" s="18" t="str">
        <f>IFERROR(__xludf.DUMMYFUNCTION("""COMPUTED_VALUE"""),"Delivered")</f>
        <v>Delivered</v>
      </c>
      <c r="J1680" s="18" t="str">
        <f>IFERROR(__xludf.DUMMYFUNCTION("""COMPUTED_VALUE"""),"Convenience")</f>
        <v>Convenience</v>
      </c>
      <c r="K1680" s="18" t="str">
        <f>IFERROR(__xludf.DUMMYFUNCTION("""COMPUTED_VALUE"""),"Easy tracking")</f>
        <v>Easy tracking</v>
      </c>
      <c r="L1680" s="18">
        <f>iferror(VLOOKUP($D1680,Details!$A$2:$C$11,2,false),vlookup($D1680,Details!$E$2:$G$11,2,false))</f>
        <v>145</v>
      </c>
      <c r="M1680" s="18" t="str">
        <f>iferror(VLOOKUP($D1680,Details!$A$2:$C$11,3,false),vlookup($D1680,Details!$E$2:$G$11,3,false))</f>
        <v>Snacks and Drinks</v>
      </c>
      <c r="N1680" s="18">
        <f t="shared" si="1"/>
        <v>435</v>
      </c>
      <c r="O1680" s="17"/>
      <c r="P1680" s="17"/>
      <c r="Q1680" s="17"/>
      <c r="R1680" s="17"/>
      <c r="S1680" s="17"/>
      <c r="T1680" s="17"/>
      <c r="U1680" s="17"/>
      <c r="V1680" s="17"/>
      <c r="W1680" s="17"/>
      <c r="X1680" s="17"/>
      <c r="Y1680" s="17"/>
      <c r="Z1680" s="17"/>
    </row>
    <row r="1681">
      <c r="A1681" s="18" t="str">
        <f>IFERROR(__xludf.DUMMYFUNCTION("""COMPUTED_VALUE"""),"ord_71659")</f>
        <v>ord_71659</v>
      </c>
      <c r="B1681" s="18" t="str">
        <f>IFERROR(__xludf.DUMMYFUNCTION("""COMPUTED_VALUE"""),"Mehul Thakkar")</f>
        <v>Mehul Thakkar</v>
      </c>
      <c r="C1681" s="18" t="str">
        <f>IFERROR(__xludf.DUMMYFUNCTION("""COMPUTED_VALUE"""),"Malad")</f>
        <v>Malad</v>
      </c>
      <c r="D1681" s="18" t="str">
        <f>IFERROR(__xludf.DUMMYFUNCTION("""COMPUTED_VALUE"""),"Apple")</f>
        <v>Apple</v>
      </c>
      <c r="E1681" s="18">
        <f>IFERROR(__xludf.DUMMYFUNCTION("""COMPUTED_VALUE"""),2.0)</f>
        <v>2</v>
      </c>
      <c r="F1681" s="18" t="str">
        <f>IFERROR(__xludf.DUMMYFUNCTION("""COMPUTED_VALUE"""),"Not Assigned")</f>
        <v>Not Assigned</v>
      </c>
      <c r="G1681" s="19">
        <f>IFERROR(__xludf.DUMMYFUNCTION("""COMPUTED_VALUE"""),44984.0)</f>
        <v>44984</v>
      </c>
      <c r="H1681" s="18" t="str">
        <f>IFERROR(__xludf.DUMMYFUNCTION("""COMPUTED_VALUE"""),"Credit Card")</f>
        <v>Credit Card</v>
      </c>
      <c r="I1681" s="18" t="str">
        <f>IFERROR(__xludf.DUMMYFUNCTION("""COMPUTED_VALUE"""),"Cancelled")</f>
        <v>Cancelled</v>
      </c>
      <c r="J1681" s="18" t="str">
        <f>IFERROR(__xludf.DUMMYFUNCTION("""COMPUTED_VALUE"""),"App Glitches")</f>
        <v>App Glitches</v>
      </c>
      <c r="K1681" s="18" t="str">
        <f>IFERROR(__xludf.DUMMYFUNCTION("""COMPUTED_VALUE"""),"Slow Loading Time")</f>
        <v>Slow Loading Time</v>
      </c>
      <c r="L1681" s="18">
        <f>iferror(VLOOKUP($D1681,Details!$A$2:$C$11,2,false),vlookup($D1681,Details!$E$2:$G$11,2,false))</f>
        <v>230</v>
      </c>
      <c r="M1681" s="18" t="str">
        <f>iferror(VLOOKUP($D1681,Details!$A$2:$C$11,3,false),vlookup($D1681,Details!$E$2:$G$11,3,false))</f>
        <v>Fruits and Vegetables</v>
      </c>
      <c r="N1681" s="18">
        <f t="shared" si="1"/>
        <v>460</v>
      </c>
      <c r="O1681" s="17"/>
      <c r="P1681" s="17"/>
      <c r="Q1681" s="17"/>
      <c r="R1681" s="17"/>
      <c r="S1681" s="17"/>
      <c r="T1681" s="17"/>
      <c r="U1681" s="17"/>
      <c r="V1681" s="17"/>
      <c r="W1681" s="17"/>
      <c r="X1681" s="17"/>
      <c r="Y1681" s="17"/>
      <c r="Z1681" s="17"/>
    </row>
    <row r="1682">
      <c r="A1682" s="18" t="str">
        <f>IFERROR(__xludf.DUMMYFUNCTION("""COMPUTED_VALUE"""),"ord_71660")</f>
        <v>ord_71660</v>
      </c>
      <c r="B1682" s="18" t="str">
        <f>IFERROR(__xludf.DUMMYFUNCTION("""COMPUTED_VALUE"""),"Kritika Shetty")</f>
        <v>Kritika Shetty</v>
      </c>
      <c r="C1682" s="18" t="str">
        <f>IFERROR(__xludf.DUMMYFUNCTION("""COMPUTED_VALUE"""),"Malad")</f>
        <v>Malad</v>
      </c>
      <c r="D1682" s="18" t="str">
        <f>IFERROR(__xludf.DUMMYFUNCTION("""COMPUTED_VALUE"""),"Chilli Cheese Toast")</f>
        <v>Chilli Cheese Toast</v>
      </c>
      <c r="E1682" s="18">
        <f>IFERROR(__xludf.DUMMYFUNCTION("""COMPUTED_VALUE"""),3.0)</f>
        <v>3</v>
      </c>
      <c r="F1682" s="18" t="str">
        <f>IFERROR(__xludf.DUMMYFUNCTION("""COMPUTED_VALUE"""),"Neha Shah")</f>
        <v>Neha Shah</v>
      </c>
      <c r="G1682" s="19">
        <f>IFERROR(__xludf.DUMMYFUNCTION("""COMPUTED_VALUE"""),45214.0)</f>
        <v>45214</v>
      </c>
      <c r="H1682" s="18" t="str">
        <f>IFERROR(__xludf.DUMMYFUNCTION("""COMPUTED_VALUE"""),"Online Payment")</f>
        <v>Online Payment</v>
      </c>
      <c r="I1682" s="18" t="str">
        <f>IFERROR(__xludf.DUMMYFUNCTION("""COMPUTED_VALUE"""),"Delivered")</f>
        <v>Delivered</v>
      </c>
      <c r="J1682" s="18" t="str">
        <f>IFERROR(__xludf.DUMMYFUNCTION("""COMPUTED_VALUE"""),"Overall Satisfaction")</f>
        <v>Overall Satisfaction</v>
      </c>
      <c r="K1682" s="18" t="str">
        <f>IFERROR(__xludf.DUMMYFUNCTION("""COMPUTED_VALUE"""),"Great service will order again")</f>
        <v>Great service will order again</v>
      </c>
      <c r="L1682" s="18">
        <f>iferror(VLOOKUP($D1682,Details!$A$2:$C$11,2,false),vlookup($D1682,Details!$E$2:$G$11,2,false))</f>
        <v>80</v>
      </c>
      <c r="M1682" s="18" t="str">
        <f>iferror(VLOOKUP($D1682,Details!$A$2:$C$11,3,false),vlookup($D1682,Details!$E$2:$G$11,3,false))</f>
        <v>Snacks and Drinks</v>
      </c>
      <c r="N1682" s="18">
        <f t="shared" si="1"/>
        <v>240</v>
      </c>
      <c r="O1682" s="17"/>
      <c r="P1682" s="17"/>
      <c r="Q1682" s="17"/>
      <c r="R1682" s="17"/>
      <c r="S1682" s="17"/>
      <c r="T1682" s="17"/>
      <c r="U1682" s="17"/>
      <c r="V1682" s="17"/>
      <c r="W1682" s="17"/>
      <c r="X1682" s="17"/>
      <c r="Y1682" s="17"/>
      <c r="Z1682" s="17"/>
    </row>
    <row r="1683">
      <c r="A1683" s="18" t="str">
        <f>IFERROR(__xludf.DUMMYFUNCTION("""COMPUTED_VALUE"""),"ord_71661")</f>
        <v>ord_71661</v>
      </c>
      <c r="B1683" s="18" t="str">
        <f>IFERROR(__xludf.DUMMYFUNCTION("""COMPUTED_VALUE"""),"Siya Reddy")</f>
        <v>Siya Reddy</v>
      </c>
      <c r="C1683" s="18" t="str">
        <f>IFERROR(__xludf.DUMMYFUNCTION("""COMPUTED_VALUE"""),"Juhu")</f>
        <v>Juhu</v>
      </c>
      <c r="D1683" s="18" t="str">
        <f>IFERROR(__xludf.DUMMYFUNCTION("""COMPUTED_VALUE"""),"Onion")</f>
        <v>Onion</v>
      </c>
      <c r="E1683" s="18">
        <f>IFERROR(__xludf.DUMMYFUNCTION("""COMPUTED_VALUE"""),1.0)</f>
        <v>1</v>
      </c>
      <c r="F1683" s="18" t="str">
        <f>IFERROR(__xludf.DUMMYFUNCTION("""COMPUTED_VALUE"""),"Tanvi Jain")</f>
        <v>Tanvi Jain</v>
      </c>
      <c r="G1683" s="19">
        <f>IFERROR(__xludf.DUMMYFUNCTION("""COMPUTED_VALUE"""),45278.0)</f>
        <v>45278</v>
      </c>
      <c r="H1683" s="18" t="str">
        <f>IFERROR(__xludf.DUMMYFUNCTION("""COMPUTED_VALUE"""),"UPI")</f>
        <v>UPI</v>
      </c>
      <c r="I1683" s="18" t="str">
        <f>IFERROR(__xludf.DUMMYFUNCTION("""COMPUTED_VALUE"""),"Delivered")</f>
        <v>Delivered</v>
      </c>
      <c r="J1683" s="18" t="str">
        <f>IFERROR(__xludf.DUMMYFUNCTION("""COMPUTED_VALUE"""),"On-time Delivery")</f>
        <v>On-time Delivery</v>
      </c>
      <c r="K1683" s="18" t="str">
        <f>IFERROR(__xludf.DUMMYFUNCTION("""COMPUTED_VALUE"""),"Delivered on time")</f>
        <v>Delivered on time</v>
      </c>
      <c r="L1683" s="18">
        <f>iferror(VLOOKUP($D1683,Details!$A$2:$C$11,2,false),vlookup($D1683,Details!$E$2:$G$11,2,false))</f>
        <v>84</v>
      </c>
      <c r="M1683" s="18" t="str">
        <f>iferror(VLOOKUP($D1683,Details!$A$2:$C$11,3,false),vlookup($D1683,Details!$E$2:$G$11,3,false))</f>
        <v>Fruits and Vegetables</v>
      </c>
      <c r="N1683" s="18">
        <f t="shared" si="1"/>
        <v>84</v>
      </c>
      <c r="O1683" s="17"/>
      <c r="P1683" s="17"/>
      <c r="Q1683" s="17"/>
      <c r="R1683" s="17"/>
      <c r="S1683" s="17"/>
      <c r="T1683" s="17"/>
      <c r="U1683" s="17"/>
      <c r="V1683" s="17"/>
      <c r="W1683" s="17"/>
      <c r="X1683" s="17"/>
      <c r="Y1683" s="17"/>
      <c r="Z1683" s="17"/>
    </row>
    <row r="1684">
      <c r="A1684" s="18" t="str">
        <f>IFERROR(__xludf.DUMMYFUNCTION("""COMPUTED_VALUE"""),"ord_71662")</f>
        <v>ord_71662</v>
      </c>
      <c r="B1684" s="18" t="str">
        <f>IFERROR(__xludf.DUMMYFUNCTION("""COMPUTED_VALUE"""),"Anaya Rao")</f>
        <v>Anaya Rao</v>
      </c>
      <c r="C1684" s="18" t="str">
        <f>IFERROR(__xludf.DUMMYFUNCTION("""COMPUTED_VALUE"""),"Colaba")</f>
        <v>Colaba</v>
      </c>
      <c r="D1684" s="18" t="str">
        <f>IFERROR(__xludf.DUMMYFUNCTION("""COMPUTED_VALUE"""),"Cucumber")</f>
        <v>Cucumber</v>
      </c>
      <c r="E1684" s="18">
        <f>IFERROR(__xludf.DUMMYFUNCTION("""COMPUTED_VALUE"""),2.0)</f>
        <v>2</v>
      </c>
      <c r="F1684" s="18" t="str">
        <f>IFERROR(__xludf.DUMMYFUNCTION("""COMPUTED_VALUE"""),"Nikhil Deshmukh")</f>
        <v>Nikhil Deshmukh</v>
      </c>
      <c r="G1684" s="19">
        <f>IFERROR(__xludf.DUMMYFUNCTION("""COMPUTED_VALUE"""),45003.0)</f>
        <v>45003</v>
      </c>
      <c r="H1684" s="18" t="str">
        <f>IFERROR(__xludf.DUMMYFUNCTION("""COMPUTED_VALUE"""),"UPI")</f>
        <v>UPI</v>
      </c>
      <c r="I1684" s="18" t="str">
        <f>IFERROR(__xludf.DUMMYFUNCTION("""COMPUTED_VALUE"""),"Delivered")</f>
        <v>Delivered</v>
      </c>
      <c r="J1684" s="18" t="str">
        <f>IFERROR(__xludf.DUMMYFUNCTION("""COMPUTED_VALUE"""),"Quality of Items")</f>
        <v>Quality of Items</v>
      </c>
      <c r="K1684" s="18" t="str">
        <f>IFERROR(__xludf.DUMMYFUNCTION("""COMPUTED_VALUE"""),"Perfect condition")</f>
        <v>Perfect condition</v>
      </c>
      <c r="L1684" s="18">
        <f>iferror(VLOOKUP($D1684,Details!$A$2:$C$11,2,false),vlookup($D1684,Details!$E$2:$G$11,2,false))</f>
        <v>30</v>
      </c>
      <c r="M1684" s="18" t="str">
        <f>iferror(VLOOKUP($D1684,Details!$A$2:$C$11,3,false),vlookup($D1684,Details!$E$2:$G$11,3,false))</f>
        <v>Fruits and Vegetables</v>
      </c>
      <c r="N1684" s="18">
        <f t="shared" si="1"/>
        <v>60</v>
      </c>
      <c r="O1684" s="17"/>
      <c r="P1684" s="17"/>
      <c r="Q1684" s="17"/>
      <c r="R1684" s="17"/>
      <c r="S1684" s="17"/>
      <c r="T1684" s="17"/>
      <c r="U1684" s="17"/>
      <c r="V1684" s="17"/>
      <c r="W1684" s="17"/>
      <c r="X1684" s="17"/>
      <c r="Y1684" s="17"/>
      <c r="Z1684" s="17"/>
    </row>
    <row r="1685">
      <c r="A1685" s="18" t="str">
        <f>IFERROR(__xludf.DUMMYFUNCTION("""COMPUTED_VALUE"""),"ord_71663")</f>
        <v>ord_71663</v>
      </c>
      <c r="B1685" s="18" t="str">
        <f>IFERROR(__xludf.DUMMYFUNCTION("""COMPUTED_VALUE"""),"Aditya Basu")</f>
        <v>Aditya Basu</v>
      </c>
      <c r="C1685" s="18" t="str">
        <f>IFERROR(__xludf.DUMMYFUNCTION("""COMPUTED_VALUE"""),"Juhu")</f>
        <v>Juhu</v>
      </c>
      <c r="D1685" s="18" t="str">
        <f>IFERROR(__xludf.DUMMYFUNCTION("""COMPUTED_VALUE"""),"Popcorn")</f>
        <v>Popcorn</v>
      </c>
      <c r="E1685" s="18">
        <f>IFERROR(__xludf.DUMMYFUNCTION("""COMPUTED_VALUE"""),6.0)</f>
        <v>6</v>
      </c>
      <c r="F1685" s="18" t="str">
        <f>IFERROR(__xludf.DUMMYFUNCTION("""COMPUTED_VALUE"""),"Nithin Lal")</f>
        <v>Nithin Lal</v>
      </c>
      <c r="G1685" s="19">
        <f>IFERROR(__xludf.DUMMYFUNCTION("""COMPUTED_VALUE"""),45151.0)</f>
        <v>45151</v>
      </c>
      <c r="H1685" s="18" t="str">
        <f>IFERROR(__xludf.DUMMYFUNCTION("""COMPUTED_VALUE"""),"UPI")</f>
        <v>UPI</v>
      </c>
      <c r="I1685" s="18" t="str">
        <f>IFERROR(__xludf.DUMMYFUNCTION("""COMPUTED_VALUE"""),"Delivered")</f>
        <v>Delivered</v>
      </c>
      <c r="J1685" s="18" t="str">
        <f>IFERROR(__xludf.DUMMYFUNCTION("""COMPUTED_VALUE"""),"On-time Delivery")</f>
        <v>On-time Delivery</v>
      </c>
      <c r="K1685" s="18" t="str">
        <f>IFERROR(__xludf.DUMMYFUNCTION("""COMPUTED_VALUE"""),"Delivered on time")</f>
        <v>Delivered on time</v>
      </c>
      <c r="L1685" s="18">
        <f>iferror(VLOOKUP($D1685,Details!$A$2:$C$11,2,false),vlookup($D1685,Details!$E$2:$G$11,2,false))</f>
        <v>150</v>
      </c>
      <c r="M1685" s="18" t="str">
        <f>iferror(VLOOKUP($D1685,Details!$A$2:$C$11,3,false),vlookup($D1685,Details!$E$2:$G$11,3,false))</f>
        <v>Snacks and Drinks</v>
      </c>
      <c r="N1685" s="18">
        <f t="shared" si="1"/>
        <v>900</v>
      </c>
      <c r="O1685" s="17"/>
      <c r="P1685" s="17"/>
      <c r="Q1685" s="17"/>
      <c r="R1685" s="17"/>
      <c r="S1685" s="17"/>
      <c r="T1685" s="17"/>
      <c r="U1685" s="17"/>
      <c r="V1685" s="17"/>
      <c r="W1685" s="17"/>
      <c r="X1685" s="17"/>
      <c r="Y1685" s="17"/>
      <c r="Z1685" s="17"/>
    </row>
    <row r="1686">
      <c r="A1686" s="18" t="str">
        <f>IFERROR(__xludf.DUMMYFUNCTION("""COMPUTED_VALUE"""),"ord_71664")</f>
        <v>ord_71664</v>
      </c>
      <c r="B1686" s="18" t="str">
        <f>IFERROR(__xludf.DUMMYFUNCTION("""COMPUTED_VALUE"""),"Pranav Joshi")</f>
        <v>Pranav Joshi</v>
      </c>
      <c r="C1686" s="18" t="str">
        <f>IFERROR(__xludf.DUMMYFUNCTION("""COMPUTED_VALUE"""),"Andheri")</f>
        <v>Andheri</v>
      </c>
      <c r="D1686" s="18" t="str">
        <f>IFERROR(__xludf.DUMMYFUNCTION("""COMPUTED_VALUE"""),"Chocolate Mousse")</f>
        <v>Chocolate Mousse</v>
      </c>
      <c r="E1686" s="18">
        <f>IFERROR(__xludf.DUMMYFUNCTION("""COMPUTED_VALUE"""),1.0)</f>
        <v>1</v>
      </c>
      <c r="F1686" s="18" t="str">
        <f>IFERROR(__xludf.DUMMYFUNCTION("""COMPUTED_VALUE"""),"Ramesh S")</f>
        <v>Ramesh S</v>
      </c>
      <c r="G1686" s="19">
        <f>IFERROR(__xludf.DUMMYFUNCTION("""COMPUTED_VALUE"""),45208.0)</f>
        <v>45208</v>
      </c>
      <c r="H1686" s="18" t="str">
        <f>IFERROR(__xludf.DUMMYFUNCTION("""COMPUTED_VALUE"""),"Online Payment")</f>
        <v>Online Payment</v>
      </c>
      <c r="I1686" s="18" t="str">
        <f>IFERROR(__xludf.DUMMYFUNCTION("""COMPUTED_VALUE"""),"Delivered")</f>
        <v>Delivered</v>
      </c>
      <c r="J1686" s="18" t="str">
        <f>IFERROR(__xludf.DUMMYFUNCTION("""COMPUTED_VALUE"""),"Quality of Items")</f>
        <v>Quality of Items</v>
      </c>
      <c r="K1686" s="18" t="str">
        <f>IFERROR(__xludf.DUMMYFUNCTION("""COMPUTED_VALUE"""),"Perfect condition")</f>
        <v>Perfect condition</v>
      </c>
      <c r="L1686" s="18">
        <f>iferror(VLOOKUP($D1686,Details!$A$2:$C$11,2,false),vlookup($D1686,Details!$E$2:$G$11,2,false))</f>
        <v>145</v>
      </c>
      <c r="M1686" s="18" t="str">
        <f>iferror(VLOOKUP($D1686,Details!$A$2:$C$11,3,false),vlookup($D1686,Details!$E$2:$G$11,3,false))</f>
        <v>Snacks and Drinks</v>
      </c>
      <c r="N1686" s="18">
        <f t="shared" si="1"/>
        <v>145</v>
      </c>
      <c r="O1686" s="17"/>
      <c r="P1686" s="17"/>
      <c r="Q1686" s="17"/>
      <c r="R1686" s="17"/>
      <c r="S1686" s="17"/>
      <c r="T1686" s="17"/>
      <c r="U1686" s="17"/>
      <c r="V1686" s="17"/>
      <c r="W1686" s="17"/>
      <c r="X1686" s="17"/>
      <c r="Y1686" s="17"/>
      <c r="Z1686" s="17"/>
    </row>
    <row r="1687">
      <c r="A1687" s="18" t="str">
        <f>IFERROR(__xludf.DUMMYFUNCTION("""COMPUTED_VALUE"""),"ord_71665")</f>
        <v>ord_71665</v>
      </c>
      <c r="B1687" s="18" t="str">
        <f>IFERROR(__xludf.DUMMYFUNCTION("""COMPUTED_VALUE"""),"Tanishq Bansal")</f>
        <v>Tanishq Bansal</v>
      </c>
      <c r="C1687" s="18" t="str">
        <f>IFERROR(__xludf.DUMMYFUNCTION("""COMPUTED_VALUE"""),"Powai")</f>
        <v>Powai</v>
      </c>
      <c r="D1687" s="18" t="str">
        <f>IFERROR(__xludf.DUMMYFUNCTION("""COMPUTED_VALUE"""),"Chilli Cheese Toast")</f>
        <v>Chilli Cheese Toast</v>
      </c>
      <c r="E1687" s="18">
        <f>IFERROR(__xludf.DUMMYFUNCTION("""COMPUTED_VALUE"""),3.0)</f>
        <v>3</v>
      </c>
      <c r="F1687" s="18" t="str">
        <f>IFERROR(__xludf.DUMMYFUNCTION("""COMPUTED_VALUE"""),"Sita T")</f>
        <v>Sita T</v>
      </c>
      <c r="G1687" s="19">
        <f>IFERROR(__xludf.DUMMYFUNCTION("""COMPUTED_VALUE"""),45241.0)</f>
        <v>45241</v>
      </c>
      <c r="H1687" s="18" t="str">
        <f>IFERROR(__xludf.DUMMYFUNCTION("""COMPUTED_VALUE"""),"UPI")</f>
        <v>UPI</v>
      </c>
      <c r="I1687" s="18" t="str">
        <f>IFERROR(__xludf.DUMMYFUNCTION("""COMPUTED_VALUE"""),"Delivered")</f>
        <v>Delivered</v>
      </c>
      <c r="J1687" s="18" t="str">
        <f>IFERROR(__xludf.DUMMYFUNCTION("""COMPUTED_VALUE"""),"Packaging")</f>
        <v>Packaging</v>
      </c>
      <c r="K1687" s="18" t="str">
        <f>IFERROR(__xludf.DUMMYFUNCTION("""COMPUTED_VALUE"""),"Secure and intact")</f>
        <v>Secure and intact</v>
      </c>
      <c r="L1687" s="18">
        <f>iferror(VLOOKUP($D1687,Details!$A$2:$C$11,2,false),vlookup($D1687,Details!$E$2:$G$11,2,false))</f>
        <v>80</v>
      </c>
      <c r="M1687" s="18" t="str">
        <f>iferror(VLOOKUP($D1687,Details!$A$2:$C$11,3,false),vlookup($D1687,Details!$E$2:$G$11,3,false))</f>
        <v>Snacks and Drinks</v>
      </c>
      <c r="N1687" s="18">
        <f t="shared" si="1"/>
        <v>240</v>
      </c>
      <c r="O1687" s="17"/>
      <c r="P1687" s="17"/>
      <c r="Q1687" s="17"/>
      <c r="R1687" s="17"/>
      <c r="S1687" s="17"/>
      <c r="T1687" s="17"/>
      <c r="U1687" s="17"/>
      <c r="V1687" s="17"/>
      <c r="W1687" s="17"/>
      <c r="X1687" s="17"/>
      <c r="Y1687" s="17"/>
      <c r="Z1687" s="17"/>
    </row>
    <row r="1688">
      <c r="A1688" s="18" t="str">
        <f>IFERROR(__xludf.DUMMYFUNCTION("""COMPUTED_VALUE"""),"ord_71666")</f>
        <v>ord_71666</v>
      </c>
      <c r="B1688" s="18" t="str">
        <f>IFERROR(__xludf.DUMMYFUNCTION("""COMPUTED_VALUE"""),"Pranav Joshi")</f>
        <v>Pranav Joshi</v>
      </c>
      <c r="C1688" s="18" t="str">
        <f>IFERROR(__xludf.DUMMYFUNCTION("""COMPUTED_VALUE"""),"Andheri")</f>
        <v>Andheri</v>
      </c>
      <c r="D1688" s="18" t="str">
        <f>IFERROR(__xludf.DUMMYFUNCTION("""COMPUTED_VALUE"""),"Rasmalai")</f>
        <v>Rasmalai</v>
      </c>
      <c r="E1688" s="18">
        <f>IFERROR(__xludf.DUMMYFUNCTION("""COMPUTED_VALUE"""),3.0)</f>
        <v>3</v>
      </c>
      <c r="F1688" s="18" t="str">
        <f>IFERROR(__xludf.DUMMYFUNCTION("""COMPUTED_VALUE"""),"Venu R")</f>
        <v>Venu R</v>
      </c>
      <c r="G1688" s="19">
        <f>IFERROR(__xludf.DUMMYFUNCTION("""COMPUTED_VALUE"""),44968.0)</f>
        <v>44968</v>
      </c>
      <c r="H1688" s="18" t="str">
        <f>IFERROR(__xludf.DUMMYFUNCTION("""COMPUTED_VALUE"""),"Credit Card")</f>
        <v>Credit Card</v>
      </c>
      <c r="I1688" s="18" t="str">
        <f>IFERROR(__xludf.DUMMYFUNCTION("""COMPUTED_VALUE"""),"Delivered")</f>
        <v>Delivered</v>
      </c>
      <c r="J1688" s="18" t="str">
        <f>IFERROR(__xludf.DUMMYFUNCTION("""COMPUTED_VALUE"""),"Satisfied with the Delivery")</f>
        <v>Satisfied with the Delivery</v>
      </c>
      <c r="K1688" s="18" t="str">
        <f>IFERROR(__xludf.DUMMYFUNCTION("""COMPUTED_VALUE"""),"Timely and quality")</f>
        <v>Timely and quality</v>
      </c>
      <c r="L1688" s="18">
        <f>iferror(VLOOKUP($D1688,Details!$A$2:$C$11,2,false),vlookup($D1688,Details!$E$2:$G$11,2,false))</f>
        <v>110</v>
      </c>
      <c r="M1688" s="18" t="str">
        <f>iferror(VLOOKUP($D1688,Details!$A$2:$C$11,3,false),vlookup($D1688,Details!$E$2:$G$11,3,false))</f>
        <v>Snacks and Drinks</v>
      </c>
      <c r="N1688" s="18">
        <f t="shared" si="1"/>
        <v>330</v>
      </c>
      <c r="O1688" s="17"/>
      <c r="P1688" s="17"/>
      <c r="Q1688" s="17"/>
      <c r="R1688" s="17"/>
      <c r="S1688" s="17"/>
      <c r="T1688" s="17"/>
      <c r="U1688" s="17"/>
      <c r="V1688" s="17"/>
      <c r="W1688" s="17"/>
      <c r="X1688" s="17"/>
      <c r="Y1688" s="17"/>
      <c r="Z1688" s="17"/>
    </row>
    <row r="1689">
      <c r="A1689" s="18" t="str">
        <f>IFERROR(__xludf.DUMMYFUNCTION("""COMPUTED_VALUE"""),"ord_71667")</f>
        <v>ord_71667</v>
      </c>
      <c r="B1689" s="18" t="str">
        <f>IFERROR(__xludf.DUMMYFUNCTION("""COMPUTED_VALUE"""),"Aarohi Kapoor")</f>
        <v>Aarohi Kapoor</v>
      </c>
      <c r="C1689" s="18" t="str">
        <f>IFERROR(__xludf.DUMMYFUNCTION("""COMPUTED_VALUE"""),"Bandra")</f>
        <v>Bandra</v>
      </c>
      <c r="D1689" s="18" t="str">
        <f>IFERROR(__xludf.DUMMYFUNCTION("""COMPUTED_VALUE"""),"Chicken Puff")</f>
        <v>Chicken Puff</v>
      </c>
      <c r="E1689" s="18">
        <f>IFERROR(__xludf.DUMMYFUNCTION("""COMPUTED_VALUE"""),4.0)</f>
        <v>4</v>
      </c>
      <c r="F1689" s="18" t="str">
        <f>IFERROR(__xludf.DUMMYFUNCTION("""COMPUTED_VALUE"""),"Sita T")</f>
        <v>Sita T</v>
      </c>
      <c r="G1689" s="19">
        <f>IFERROR(__xludf.DUMMYFUNCTION("""COMPUTED_VALUE"""),45103.0)</f>
        <v>45103</v>
      </c>
      <c r="H1689" s="18" t="str">
        <f>IFERROR(__xludf.DUMMYFUNCTION("""COMPUTED_VALUE"""),"Online Payment")</f>
        <v>Online Payment</v>
      </c>
      <c r="I1689" s="18" t="str">
        <f>IFERROR(__xludf.DUMMYFUNCTION("""COMPUTED_VALUE"""),"Delivered")</f>
        <v>Delivered</v>
      </c>
      <c r="J1689" s="18" t="str">
        <f>IFERROR(__xludf.DUMMYFUNCTION("""COMPUTED_VALUE"""),"Customer Service")</f>
        <v>Customer Service</v>
      </c>
      <c r="K1689" s="18" t="str">
        <f>IFERROR(__xludf.DUMMYFUNCTION("""COMPUTED_VALUE"""),"Seamless and easy")</f>
        <v>Seamless and easy</v>
      </c>
      <c r="L1689" s="18">
        <f>iferror(VLOOKUP($D1689,Details!$A$2:$C$11,2,false),vlookup($D1689,Details!$E$2:$G$11,2,false))</f>
        <v>90</v>
      </c>
      <c r="M1689" s="18" t="str">
        <f>iferror(VLOOKUP($D1689,Details!$A$2:$C$11,3,false),vlookup($D1689,Details!$E$2:$G$11,3,false))</f>
        <v>Snacks and Drinks</v>
      </c>
      <c r="N1689" s="18">
        <f t="shared" si="1"/>
        <v>360</v>
      </c>
      <c r="O1689" s="17"/>
      <c r="P1689" s="17"/>
      <c r="Q1689" s="17"/>
      <c r="R1689" s="17"/>
      <c r="S1689" s="17"/>
      <c r="T1689" s="17"/>
      <c r="U1689" s="17"/>
      <c r="V1689" s="17"/>
      <c r="W1689" s="17"/>
      <c r="X1689" s="17"/>
      <c r="Y1689" s="17"/>
      <c r="Z1689" s="17"/>
    </row>
    <row r="1690">
      <c r="A1690" s="18" t="str">
        <f>IFERROR(__xludf.DUMMYFUNCTION("""COMPUTED_VALUE"""),"ord_71668")</f>
        <v>ord_71668</v>
      </c>
      <c r="B1690" s="18" t="str">
        <f>IFERROR(__xludf.DUMMYFUNCTION("""COMPUTED_VALUE"""),"Pallavi Ghosh")</f>
        <v>Pallavi Ghosh</v>
      </c>
      <c r="C1690" s="18" t="str">
        <f>IFERROR(__xludf.DUMMYFUNCTION("""COMPUTED_VALUE"""),"Bandra")</f>
        <v>Bandra</v>
      </c>
      <c r="D1690" s="18" t="str">
        <f>IFERROR(__xludf.DUMMYFUNCTION("""COMPUTED_VALUE"""),"Tomato")</f>
        <v>Tomato</v>
      </c>
      <c r="E1690" s="18">
        <f>IFERROR(__xludf.DUMMYFUNCTION("""COMPUTED_VALUE"""),2.0)</f>
        <v>2</v>
      </c>
      <c r="F1690" s="18" t="str">
        <f>IFERROR(__xludf.DUMMYFUNCTION("""COMPUTED_VALUE"""),"Vivek Kumar")</f>
        <v>Vivek Kumar</v>
      </c>
      <c r="G1690" s="19">
        <f>IFERROR(__xludf.DUMMYFUNCTION("""COMPUTED_VALUE"""),44945.0)</f>
        <v>44945</v>
      </c>
      <c r="H1690" s="18" t="str">
        <f>IFERROR(__xludf.DUMMYFUNCTION("""COMPUTED_VALUE"""),"Online Payment")</f>
        <v>Online Payment</v>
      </c>
      <c r="I1690" s="18" t="str">
        <f>IFERROR(__xludf.DUMMYFUNCTION("""COMPUTED_VALUE"""),"Delivered")</f>
        <v>Delivered</v>
      </c>
      <c r="J1690" s="18" t="str">
        <f>IFERROR(__xludf.DUMMYFUNCTION("""COMPUTED_VALUE"""),"Delivery Experience")</f>
        <v>Delivery Experience</v>
      </c>
      <c r="K1690" s="18" t="str">
        <f>IFERROR(__xludf.DUMMYFUNCTION("""COMPUTED_VALUE"""),"Quick and professional")</f>
        <v>Quick and professional</v>
      </c>
      <c r="L1690" s="18">
        <f>iferror(VLOOKUP($D1690,Details!$A$2:$C$11,2,false),vlookup($D1690,Details!$E$2:$G$11,2,false))</f>
        <v>25</v>
      </c>
      <c r="M1690" s="18" t="str">
        <f>iferror(VLOOKUP($D1690,Details!$A$2:$C$11,3,false),vlookup($D1690,Details!$E$2:$G$11,3,false))</f>
        <v>Fruits and Vegetables</v>
      </c>
      <c r="N1690" s="18">
        <f t="shared" si="1"/>
        <v>50</v>
      </c>
      <c r="O1690" s="17"/>
      <c r="P1690" s="17"/>
      <c r="Q1690" s="17"/>
      <c r="R1690" s="17"/>
      <c r="S1690" s="17"/>
      <c r="T1690" s="17"/>
      <c r="U1690" s="17"/>
      <c r="V1690" s="17"/>
      <c r="W1690" s="17"/>
      <c r="X1690" s="17"/>
      <c r="Y1690" s="17"/>
      <c r="Z1690" s="17"/>
    </row>
    <row r="1691">
      <c r="A1691" s="18" t="str">
        <f>IFERROR(__xludf.DUMMYFUNCTION("""COMPUTED_VALUE"""),"ord_71669")</f>
        <v>ord_71669</v>
      </c>
      <c r="B1691" s="18" t="str">
        <f>IFERROR(__xludf.DUMMYFUNCTION("""COMPUTED_VALUE"""),"Ishaan Chaturvedi")</f>
        <v>Ishaan Chaturvedi</v>
      </c>
      <c r="C1691" s="18" t="str">
        <f>IFERROR(__xludf.DUMMYFUNCTION("""COMPUTED_VALUE"""),"Bandra")</f>
        <v>Bandra</v>
      </c>
      <c r="D1691" s="18" t="str">
        <f>IFERROR(__xludf.DUMMYFUNCTION("""COMPUTED_VALUE"""),"Banana")</f>
        <v>Banana</v>
      </c>
      <c r="E1691" s="18">
        <f>IFERROR(__xludf.DUMMYFUNCTION("""COMPUTED_VALUE"""),2.0)</f>
        <v>2</v>
      </c>
      <c r="F1691" s="18" t="str">
        <f>IFERROR(__xludf.DUMMYFUNCTION("""COMPUTED_VALUE"""),"Vivek Kumar")</f>
        <v>Vivek Kumar</v>
      </c>
      <c r="G1691" s="19">
        <f>IFERROR(__xludf.DUMMYFUNCTION("""COMPUTED_VALUE"""),45101.0)</f>
        <v>45101</v>
      </c>
      <c r="H1691" s="18" t="str">
        <f>IFERROR(__xludf.DUMMYFUNCTION("""COMPUTED_VALUE"""),"UPI")</f>
        <v>UPI</v>
      </c>
      <c r="I1691" s="18" t="str">
        <f>IFERROR(__xludf.DUMMYFUNCTION("""COMPUTED_VALUE"""),"Delivered")</f>
        <v>Delivered</v>
      </c>
      <c r="J1691" s="18" t="str">
        <f>IFERROR(__xludf.DUMMYFUNCTION("""COMPUTED_VALUE"""),"Convenience")</f>
        <v>Convenience</v>
      </c>
      <c r="K1691" s="18" t="str">
        <f>IFERROR(__xludf.DUMMYFUNCTION("""COMPUTED_VALUE"""),"Easy tracking")</f>
        <v>Easy tracking</v>
      </c>
      <c r="L1691" s="18">
        <f>iferror(VLOOKUP($D1691,Details!$A$2:$C$11,2,false),vlookup($D1691,Details!$E$2:$G$11,2,false))</f>
        <v>80</v>
      </c>
      <c r="M1691" s="18" t="str">
        <f>iferror(VLOOKUP($D1691,Details!$A$2:$C$11,3,false),vlookup($D1691,Details!$E$2:$G$11,3,false))</f>
        <v>Fruits and Vegetables</v>
      </c>
      <c r="N1691" s="18">
        <f t="shared" si="1"/>
        <v>160</v>
      </c>
      <c r="O1691" s="17"/>
      <c r="P1691" s="17"/>
      <c r="Q1691" s="17"/>
      <c r="R1691" s="17"/>
      <c r="S1691" s="17"/>
      <c r="T1691" s="17"/>
      <c r="U1691" s="17"/>
      <c r="V1691" s="17"/>
      <c r="W1691" s="17"/>
      <c r="X1691" s="17"/>
      <c r="Y1691" s="17"/>
      <c r="Z1691" s="17"/>
    </row>
    <row r="1692">
      <c r="A1692" s="18" t="str">
        <f>IFERROR(__xludf.DUMMYFUNCTION("""COMPUTED_VALUE"""),"ord_71670")</f>
        <v>ord_71670</v>
      </c>
      <c r="B1692" s="18" t="str">
        <f>IFERROR(__xludf.DUMMYFUNCTION("""COMPUTED_VALUE"""),"Parth Goel")</f>
        <v>Parth Goel</v>
      </c>
      <c r="C1692" s="18" t="str">
        <f>IFERROR(__xludf.DUMMYFUNCTION("""COMPUTED_VALUE"""),"Juhu")</f>
        <v>Juhu</v>
      </c>
      <c r="D1692" s="18" t="str">
        <f>IFERROR(__xludf.DUMMYFUNCTION("""COMPUTED_VALUE"""),"Cucumber")</f>
        <v>Cucumber</v>
      </c>
      <c r="E1692" s="18">
        <f>IFERROR(__xludf.DUMMYFUNCTION("""COMPUTED_VALUE"""),2.0)</f>
        <v>2</v>
      </c>
      <c r="F1692" s="18" t="str">
        <f>IFERROR(__xludf.DUMMYFUNCTION("""COMPUTED_VALUE"""),"Vivek Kumar")</f>
        <v>Vivek Kumar</v>
      </c>
      <c r="G1692" s="19">
        <f>IFERROR(__xludf.DUMMYFUNCTION("""COMPUTED_VALUE"""),45218.0)</f>
        <v>45218</v>
      </c>
      <c r="H1692" s="18" t="str">
        <f>IFERROR(__xludf.DUMMYFUNCTION("""COMPUTED_VALUE"""),"UPI")</f>
        <v>UPI</v>
      </c>
      <c r="I1692" s="18" t="str">
        <f>IFERROR(__xludf.DUMMYFUNCTION("""COMPUTED_VALUE"""),"Delivered")</f>
        <v>Delivered</v>
      </c>
      <c r="J1692" s="18" t="str">
        <f>IFERROR(__xludf.DUMMYFUNCTION("""COMPUTED_VALUE"""),"Overall Satisfaction")</f>
        <v>Overall Satisfaction</v>
      </c>
      <c r="K1692" s="18" t="str">
        <f>IFERROR(__xludf.DUMMYFUNCTION("""COMPUTED_VALUE"""),"Great service will order again")</f>
        <v>Great service will order again</v>
      </c>
      <c r="L1692" s="18">
        <f>iferror(VLOOKUP($D1692,Details!$A$2:$C$11,2,false),vlookup($D1692,Details!$E$2:$G$11,2,false))</f>
        <v>30</v>
      </c>
      <c r="M1692" s="18" t="str">
        <f>iferror(VLOOKUP($D1692,Details!$A$2:$C$11,3,false),vlookup($D1692,Details!$E$2:$G$11,3,false))</f>
        <v>Fruits and Vegetables</v>
      </c>
      <c r="N1692" s="18">
        <f t="shared" si="1"/>
        <v>60</v>
      </c>
      <c r="O1692" s="17"/>
      <c r="P1692" s="17"/>
      <c r="Q1692" s="17"/>
      <c r="R1692" s="17"/>
      <c r="S1692" s="17"/>
      <c r="T1692" s="17"/>
      <c r="U1692" s="17"/>
      <c r="V1692" s="17"/>
      <c r="W1692" s="17"/>
      <c r="X1692" s="17"/>
      <c r="Y1692" s="17"/>
      <c r="Z1692" s="17"/>
    </row>
    <row r="1693">
      <c r="A1693" s="18" t="str">
        <f>IFERROR(__xludf.DUMMYFUNCTION("""COMPUTED_VALUE"""),"ord_71671")</f>
        <v>ord_71671</v>
      </c>
      <c r="B1693" s="18" t="str">
        <f>IFERROR(__xludf.DUMMYFUNCTION("""COMPUTED_VALUE"""),"Sanjay Nair")</f>
        <v>Sanjay Nair</v>
      </c>
      <c r="C1693" s="18" t="str">
        <f>IFERROR(__xludf.DUMMYFUNCTION("""COMPUTED_VALUE"""),"Dadar")</f>
        <v>Dadar</v>
      </c>
      <c r="D1693" s="18" t="str">
        <f>IFERROR(__xludf.DUMMYFUNCTION("""COMPUTED_VALUE"""),"Guava")</f>
        <v>Guava</v>
      </c>
      <c r="E1693" s="18">
        <f>IFERROR(__xludf.DUMMYFUNCTION("""COMPUTED_VALUE"""),1.0)</f>
        <v>1</v>
      </c>
      <c r="F1693" s="18" t="str">
        <f>IFERROR(__xludf.DUMMYFUNCTION("""COMPUTED_VALUE"""),"Ramesh S")</f>
        <v>Ramesh S</v>
      </c>
      <c r="G1693" s="19">
        <f>IFERROR(__xludf.DUMMYFUNCTION("""COMPUTED_VALUE"""),45119.0)</f>
        <v>45119</v>
      </c>
      <c r="H1693" s="18" t="str">
        <f>IFERROR(__xludf.DUMMYFUNCTION("""COMPUTED_VALUE"""),"Credit Card")</f>
        <v>Credit Card</v>
      </c>
      <c r="I1693" s="18" t="str">
        <f>IFERROR(__xludf.DUMMYFUNCTION("""COMPUTED_VALUE"""),"Delivered")</f>
        <v>Delivered</v>
      </c>
      <c r="J1693" s="18" t="str">
        <f>IFERROR(__xludf.DUMMYFUNCTION("""COMPUTED_VALUE"""),"On-time Delivery")</f>
        <v>On-time Delivery</v>
      </c>
      <c r="K1693" s="18" t="str">
        <f>IFERROR(__xludf.DUMMYFUNCTION("""COMPUTED_VALUE"""),"Delivered on time")</f>
        <v>Delivered on time</v>
      </c>
      <c r="L1693" s="18">
        <f>iferror(VLOOKUP($D1693,Details!$A$2:$C$11,2,false),vlookup($D1693,Details!$E$2:$G$11,2,false))</f>
        <v>70</v>
      </c>
      <c r="M1693" s="18" t="str">
        <f>iferror(VLOOKUP($D1693,Details!$A$2:$C$11,3,false),vlookup($D1693,Details!$E$2:$G$11,3,false))</f>
        <v>Fruits and Vegetables</v>
      </c>
      <c r="N1693" s="18">
        <f t="shared" si="1"/>
        <v>70</v>
      </c>
      <c r="O1693" s="17"/>
      <c r="P1693" s="17"/>
      <c r="Q1693" s="17"/>
      <c r="R1693" s="17"/>
      <c r="S1693" s="17"/>
      <c r="T1693" s="17"/>
      <c r="U1693" s="17"/>
      <c r="V1693" s="17"/>
      <c r="W1693" s="17"/>
      <c r="X1693" s="17"/>
      <c r="Y1693" s="17"/>
      <c r="Z1693" s="17"/>
    </row>
    <row r="1694">
      <c r="A1694" s="18" t="str">
        <f>IFERROR(__xludf.DUMMYFUNCTION("""COMPUTED_VALUE"""),"ord_71672")</f>
        <v>ord_71672</v>
      </c>
      <c r="B1694" s="18" t="str">
        <f>IFERROR(__xludf.DUMMYFUNCTION("""COMPUTED_VALUE"""),"Mehul Thakkar")</f>
        <v>Mehul Thakkar</v>
      </c>
      <c r="C1694" s="18" t="str">
        <f>IFERROR(__xludf.DUMMYFUNCTION("""COMPUTED_VALUE"""),"Malad")</f>
        <v>Malad</v>
      </c>
      <c r="D1694" s="18" t="str">
        <f>IFERROR(__xludf.DUMMYFUNCTION("""COMPUTED_VALUE"""),"Apple")</f>
        <v>Apple</v>
      </c>
      <c r="E1694" s="18">
        <f>IFERROR(__xludf.DUMMYFUNCTION("""COMPUTED_VALUE"""),1.0)</f>
        <v>1</v>
      </c>
      <c r="F1694" s="18" t="str">
        <f>IFERROR(__xludf.DUMMYFUNCTION("""COMPUTED_VALUE"""),"Manju Ajay")</f>
        <v>Manju Ajay</v>
      </c>
      <c r="G1694" s="19">
        <f>IFERROR(__xludf.DUMMYFUNCTION("""COMPUTED_VALUE"""),45189.0)</f>
        <v>45189</v>
      </c>
      <c r="H1694" s="18" t="str">
        <f>IFERROR(__xludf.DUMMYFUNCTION("""COMPUTED_VALUE"""),"Credit Card")</f>
        <v>Credit Card</v>
      </c>
      <c r="I1694" s="18" t="str">
        <f>IFERROR(__xludf.DUMMYFUNCTION("""COMPUTED_VALUE"""),"Delivered")</f>
        <v>Delivered</v>
      </c>
      <c r="J1694" s="18" t="str">
        <f>IFERROR(__xludf.DUMMYFUNCTION("""COMPUTED_VALUE"""),"Quality of Items")</f>
        <v>Quality of Items</v>
      </c>
      <c r="K1694" s="18" t="str">
        <f>IFERROR(__xludf.DUMMYFUNCTION("""COMPUTED_VALUE"""),"Perfect condition")</f>
        <v>Perfect condition</v>
      </c>
      <c r="L1694" s="18">
        <f>iferror(VLOOKUP($D1694,Details!$A$2:$C$11,2,false),vlookup($D1694,Details!$E$2:$G$11,2,false))</f>
        <v>230</v>
      </c>
      <c r="M1694" s="18" t="str">
        <f>iferror(VLOOKUP($D1694,Details!$A$2:$C$11,3,false),vlookup($D1694,Details!$E$2:$G$11,3,false))</f>
        <v>Fruits and Vegetables</v>
      </c>
      <c r="N1694" s="18">
        <f t="shared" si="1"/>
        <v>230</v>
      </c>
      <c r="O1694" s="17"/>
      <c r="P1694" s="17"/>
      <c r="Q1694" s="17"/>
      <c r="R1694" s="17"/>
      <c r="S1694" s="17"/>
      <c r="T1694" s="17"/>
      <c r="U1694" s="17"/>
      <c r="V1694" s="17"/>
      <c r="W1694" s="17"/>
      <c r="X1694" s="17"/>
      <c r="Y1694" s="17"/>
      <c r="Z1694" s="17"/>
    </row>
    <row r="1695">
      <c r="A1695" s="18" t="str">
        <f>IFERROR(__xludf.DUMMYFUNCTION("""COMPUTED_VALUE"""),"ord_71673")</f>
        <v>ord_71673</v>
      </c>
      <c r="B1695" s="18" t="str">
        <f>IFERROR(__xludf.DUMMYFUNCTION("""COMPUTED_VALUE"""),"Ishita Banerjee")</f>
        <v>Ishita Banerjee</v>
      </c>
      <c r="C1695" s="18" t="str">
        <f>IFERROR(__xludf.DUMMYFUNCTION("""COMPUTED_VALUE"""),"Juhu")</f>
        <v>Juhu</v>
      </c>
      <c r="D1695" s="18" t="str">
        <f>IFERROR(__xludf.DUMMYFUNCTION("""COMPUTED_VALUE"""),"Veg Puff")</f>
        <v>Veg Puff</v>
      </c>
      <c r="E1695" s="18">
        <f>IFERROR(__xludf.DUMMYFUNCTION("""COMPUTED_VALUE"""),4.0)</f>
        <v>4</v>
      </c>
      <c r="F1695" s="18" t="str">
        <f>IFERROR(__xludf.DUMMYFUNCTION("""COMPUTED_VALUE"""),"Shine Thomas")</f>
        <v>Shine Thomas</v>
      </c>
      <c r="G1695" s="19">
        <f>IFERROR(__xludf.DUMMYFUNCTION("""COMPUTED_VALUE"""),45001.0)</f>
        <v>45001</v>
      </c>
      <c r="H1695" s="18" t="str">
        <f>IFERROR(__xludf.DUMMYFUNCTION("""COMPUTED_VALUE"""),"Credit Card")</f>
        <v>Credit Card</v>
      </c>
      <c r="I1695" s="18" t="str">
        <f>IFERROR(__xludf.DUMMYFUNCTION("""COMPUTED_VALUE"""),"Delivered")</f>
        <v>Delivered</v>
      </c>
      <c r="J1695" s="18" t="str">
        <f>IFERROR(__xludf.DUMMYFUNCTION("""COMPUTED_VALUE"""),"On-time Delivery")</f>
        <v>On-time Delivery</v>
      </c>
      <c r="K1695" s="18" t="str">
        <f>IFERROR(__xludf.DUMMYFUNCTION("""COMPUTED_VALUE"""),"Delivered on time")</f>
        <v>Delivered on time</v>
      </c>
      <c r="L1695" s="18">
        <f>iferror(VLOOKUP($D1695,Details!$A$2:$C$11,2,false),vlookup($D1695,Details!$E$2:$G$11,2,false))</f>
        <v>80</v>
      </c>
      <c r="M1695" s="18" t="str">
        <f>iferror(VLOOKUP($D1695,Details!$A$2:$C$11,3,false),vlookup($D1695,Details!$E$2:$G$11,3,false))</f>
        <v>Snacks and Drinks</v>
      </c>
      <c r="N1695" s="18">
        <f t="shared" si="1"/>
        <v>320</v>
      </c>
      <c r="O1695" s="17"/>
      <c r="P1695" s="17"/>
      <c r="Q1695" s="17"/>
      <c r="R1695" s="17"/>
      <c r="S1695" s="17"/>
      <c r="T1695" s="17"/>
      <c r="U1695" s="17"/>
      <c r="V1695" s="17"/>
      <c r="W1695" s="17"/>
      <c r="X1695" s="17"/>
      <c r="Y1695" s="17"/>
      <c r="Z1695" s="17"/>
    </row>
    <row r="1696">
      <c r="A1696" s="18" t="str">
        <f>IFERROR(__xludf.DUMMYFUNCTION("""COMPUTED_VALUE"""),"ord_71674")</f>
        <v>ord_71674</v>
      </c>
      <c r="B1696" s="18" t="str">
        <f>IFERROR(__xludf.DUMMYFUNCTION("""COMPUTED_VALUE"""),"Kritika Shetty")</f>
        <v>Kritika Shetty</v>
      </c>
      <c r="C1696" s="18" t="str">
        <f>IFERROR(__xludf.DUMMYFUNCTION("""COMPUTED_VALUE"""),"Malad")</f>
        <v>Malad</v>
      </c>
      <c r="D1696" s="18" t="str">
        <f>IFERROR(__xludf.DUMMYFUNCTION("""COMPUTED_VALUE"""),"Guava")</f>
        <v>Guava</v>
      </c>
      <c r="E1696" s="18">
        <f>IFERROR(__xludf.DUMMYFUNCTION("""COMPUTED_VALUE"""),2.0)</f>
        <v>2</v>
      </c>
      <c r="F1696" s="18" t="str">
        <f>IFERROR(__xludf.DUMMYFUNCTION("""COMPUTED_VALUE"""),"Ramesh S")</f>
        <v>Ramesh S</v>
      </c>
      <c r="G1696" s="19">
        <f>IFERROR(__xludf.DUMMYFUNCTION("""COMPUTED_VALUE"""),45048.0)</f>
        <v>45048</v>
      </c>
      <c r="H1696" s="18" t="str">
        <f>IFERROR(__xludf.DUMMYFUNCTION("""COMPUTED_VALUE"""),"Online Payment")</f>
        <v>Online Payment</v>
      </c>
      <c r="I1696" s="18" t="str">
        <f>IFERROR(__xludf.DUMMYFUNCTION("""COMPUTED_VALUE"""),"Delivered")</f>
        <v>Delivered</v>
      </c>
      <c r="J1696" s="18" t="str">
        <f>IFERROR(__xludf.DUMMYFUNCTION("""COMPUTED_VALUE"""),"Quality of Items")</f>
        <v>Quality of Items</v>
      </c>
      <c r="K1696" s="18" t="str">
        <f>IFERROR(__xludf.DUMMYFUNCTION("""COMPUTED_VALUE"""),"Perfect condition")</f>
        <v>Perfect condition</v>
      </c>
      <c r="L1696" s="18">
        <f>iferror(VLOOKUP($D1696,Details!$A$2:$C$11,2,false),vlookup($D1696,Details!$E$2:$G$11,2,false))</f>
        <v>70</v>
      </c>
      <c r="M1696" s="18" t="str">
        <f>iferror(VLOOKUP($D1696,Details!$A$2:$C$11,3,false),vlookup($D1696,Details!$E$2:$G$11,3,false))</f>
        <v>Fruits and Vegetables</v>
      </c>
      <c r="N1696" s="18">
        <f t="shared" si="1"/>
        <v>140</v>
      </c>
      <c r="O1696" s="17"/>
      <c r="P1696" s="17"/>
      <c r="Q1696" s="17"/>
      <c r="R1696" s="17"/>
      <c r="S1696" s="17"/>
      <c r="T1696" s="17"/>
      <c r="U1696" s="17"/>
      <c r="V1696" s="17"/>
      <c r="W1696" s="17"/>
      <c r="X1696" s="17"/>
      <c r="Y1696" s="17"/>
      <c r="Z1696" s="17"/>
    </row>
    <row r="1697">
      <c r="A1697" s="18" t="str">
        <f>IFERROR(__xludf.DUMMYFUNCTION("""COMPUTED_VALUE"""),"ord_71675")</f>
        <v>ord_71675</v>
      </c>
      <c r="B1697" s="18" t="str">
        <f>IFERROR(__xludf.DUMMYFUNCTION("""COMPUTED_VALUE"""),"Pranav Joshi")</f>
        <v>Pranav Joshi</v>
      </c>
      <c r="C1697" s="18" t="str">
        <f>IFERROR(__xludf.DUMMYFUNCTION("""COMPUTED_VALUE"""),"Andheri")</f>
        <v>Andheri</v>
      </c>
      <c r="D1697" s="18" t="str">
        <f>IFERROR(__xludf.DUMMYFUNCTION("""COMPUTED_VALUE"""),"Banana")</f>
        <v>Banana</v>
      </c>
      <c r="E1697" s="18">
        <f>IFERROR(__xludf.DUMMYFUNCTION("""COMPUTED_VALUE"""),2.0)</f>
        <v>2</v>
      </c>
      <c r="F1697" s="18" t="str">
        <f>IFERROR(__xludf.DUMMYFUNCTION("""COMPUTED_VALUE"""),"Shine Thomas")</f>
        <v>Shine Thomas</v>
      </c>
      <c r="G1697" s="19">
        <f>IFERROR(__xludf.DUMMYFUNCTION("""COMPUTED_VALUE"""),45095.0)</f>
        <v>45095</v>
      </c>
      <c r="H1697" s="18" t="str">
        <f>IFERROR(__xludf.DUMMYFUNCTION("""COMPUTED_VALUE"""),"Credit Card")</f>
        <v>Credit Card</v>
      </c>
      <c r="I1697" s="18" t="str">
        <f>IFERROR(__xludf.DUMMYFUNCTION("""COMPUTED_VALUE"""),"Delivered")</f>
        <v>Delivered</v>
      </c>
      <c r="J1697" s="18" t="str">
        <f>IFERROR(__xludf.DUMMYFUNCTION("""COMPUTED_VALUE"""),"Packaging")</f>
        <v>Packaging</v>
      </c>
      <c r="K1697" s="18" t="str">
        <f>IFERROR(__xludf.DUMMYFUNCTION("""COMPUTED_VALUE"""),"Secure and intact")</f>
        <v>Secure and intact</v>
      </c>
      <c r="L1697" s="18">
        <f>iferror(VLOOKUP($D1697,Details!$A$2:$C$11,2,false),vlookup($D1697,Details!$E$2:$G$11,2,false))</f>
        <v>80</v>
      </c>
      <c r="M1697" s="18" t="str">
        <f>iferror(VLOOKUP($D1697,Details!$A$2:$C$11,3,false),vlookup($D1697,Details!$E$2:$G$11,3,false))</f>
        <v>Fruits and Vegetables</v>
      </c>
      <c r="N1697" s="18">
        <f t="shared" si="1"/>
        <v>160</v>
      </c>
      <c r="O1697" s="17"/>
      <c r="P1697" s="17"/>
      <c r="Q1697" s="17"/>
      <c r="R1697" s="17"/>
      <c r="S1697" s="17"/>
      <c r="T1697" s="17"/>
      <c r="U1697" s="17"/>
      <c r="V1697" s="17"/>
      <c r="W1697" s="17"/>
      <c r="X1697" s="17"/>
      <c r="Y1697" s="17"/>
      <c r="Z1697" s="17"/>
    </row>
    <row r="1698">
      <c r="A1698" s="18" t="str">
        <f>IFERROR(__xludf.DUMMYFUNCTION("""COMPUTED_VALUE"""),"ord_71676")</f>
        <v>ord_71676</v>
      </c>
      <c r="B1698" s="18" t="str">
        <f>IFERROR(__xludf.DUMMYFUNCTION("""COMPUTED_VALUE"""),"Siya Reddy")</f>
        <v>Siya Reddy</v>
      </c>
      <c r="C1698" s="18" t="str">
        <f>IFERROR(__xludf.DUMMYFUNCTION("""COMPUTED_VALUE"""),"Juhu")</f>
        <v>Juhu</v>
      </c>
      <c r="D1698" s="18" t="str">
        <f>IFERROR(__xludf.DUMMYFUNCTION("""COMPUTED_VALUE"""),"Tomato")</f>
        <v>Tomato</v>
      </c>
      <c r="E1698" s="18">
        <f>IFERROR(__xludf.DUMMYFUNCTION("""COMPUTED_VALUE"""),1.0)</f>
        <v>1</v>
      </c>
      <c r="F1698" s="18" t="str">
        <f>IFERROR(__xludf.DUMMYFUNCTION("""COMPUTED_VALUE"""),"Not Assigned")</f>
        <v>Not Assigned</v>
      </c>
      <c r="G1698" s="19">
        <f>IFERROR(__xludf.DUMMYFUNCTION("""COMPUTED_VALUE"""),45111.0)</f>
        <v>45111</v>
      </c>
      <c r="H1698" s="18" t="str">
        <f>IFERROR(__xludf.DUMMYFUNCTION("""COMPUTED_VALUE"""),"Credit Card")</f>
        <v>Credit Card</v>
      </c>
      <c r="I1698" s="18" t="str">
        <f>IFERROR(__xludf.DUMMYFUNCTION("""COMPUTED_VALUE"""),"Cancelled")</f>
        <v>Cancelled</v>
      </c>
      <c r="J1698" s="18" t="str">
        <f>IFERROR(__xludf.DUMMYFUNCTION("""COMPUTED_VALUE"""),"App Glitches")</f>
        <v>App Glitches</v>
      </c>
      <c r="K1698" s="18" t="str">
        <f>IFERROR(__xludf.DUMMYFUNCTION("""COMPUTED_VALUE"""),"Missing Content")</f>
        <v>Missing Content</v>
      </c>
      <c r="L1698" s="18">
        <f>iferror(VLOOKUP($D1698,Details!$A$2:$C$11,2,false),vlookup($D1698,Details!$E$2:$G$11,2,false))</f>
        <v>25</v>
      </c>
      <c r="M1698" s="18" t="str">
        <f>iferror(VLOOKUP($D1698,Details!$A$2:$C$11,3,false),vlookup($D1698,Details!$E$2:$G$11,3,false))</f>
        <v>Fruits and Vegetables</v>
      </c>
      <c r="N1698" s="18">
        <f t="shared" si="1"/>
        <v>25</v>
      </c>
      <c r="O1698" s="17"/>
      <c r="P1698" s="17"/>
      <c r="Q1698" s="17"/>
      <c r="R1698" s="17"/>
      <c r="S1698" s="17"/>
      <c r="T1698" s="17"/>
      <c r="U1698" s="17"/>
      <c r="V1698" s="17"/>
      <c r="W1698" s="17"/>
      <c r="X1698" s="17"/>
      <c r="Y1698" s="17"/>
      <c r="Z1698" s="17"/>
    </row>
    <row r="1699">
      <c r="A1699" s="18" t="str">
        <f>IFERROR(__xludf.DUMMYFUNCTION("""COMPUTED_VALUE"""),"ord_71677")</f>
        <v>ord_71677</v>
      </c>
      <c r="B1699" s="18" t="str">
        <f>IFERROR(__xludf.DUMMYFUNCTION("""COMPUTED_VALUE"""),"Aditya Rao")</f>
        <v>Aditya Rao</v>
      </c>
      <c r="C1699" s="18" t="str">
        <f>IFERROR(__xludf.DUMMYFUNCTION("""COMPUTED_VALUE"""),"Lower Parel")</f>
        <v>Lower Parel</v>
      </c>
      <c r="D1699" s="18" t="str">
        <f>IFERROR(__xludf.DUMMYFUNCTION("""COMPUTED_VALUE"""),"Chilli Cheese Toast")</f>
        <v>Chilli Cheese Toast</v>
      </c>
      <c r="E1699" s="18">
        <f>IFERROR(__xludf.DUMMYFUNCTION("""COMPUTED_VALUE"""),6.0)</f>
        <v>6</v>
      </c>
      <c r="F1699" s="18" t="str">
        <f>IFERROR(__xludf.DUMMYFUNCTION("""COMPUTED_VALUE"""),"Ramesh S")</f>
        <v>Ramesh S</v>
      </c>
      <c r="G1699" s="19">
        <f>IFERROR(__xludf.DUMMYFUNCTION("""COMPUTED_VALUE"""),45261.0)</f>
        <v>45261</v>
      </c>
      <c r="H1699" s="18" t="str">
        <f>IFERROR(__xludf.DUMMYFUNCTION("""COMPUTED_VALUE"""),"Online Payment")</f>
        <v>Online Payment</v>
      </c>
      <c r="I1699" s="18" t="str">
        <f>IFERROR(__xludf.DUMMYFUNCTION("""COMPUTED_VALUE"""),"Delivered")</f>
        <v>Delivered</v>
      </c>
      <c r="J1699" s="18" t="str">
        <f>IFERROR(__xludf.DUMMYFUNCTION("""COMPUTED_VALUE"""),"Satisfied with the Delivery")</f>
        <v>Satisfied with the Delivery</v>
      </c>
      <c r="K1699" s="18" t="str">
        <f>IFERROR(__xludf.DUMMYFUNCTION("""COMPUTED_VALUE"""),"Timely and quality")</f>
        <v>Timely and quality</v>
      </c>
      <c r="L1699" s="18">
        <f>iferror(VLOOKUP($D1699,Details!$A$2:$C$11,2,false),vlookup($D1699,Details!$E$2:$G$11,2,false))</f>
        <v>80</v>
      </c>
      <c r="M1699" s="18" t="str">
        <f>iferror(VLOOKUP($D1699,Details!$A$2:$C$11,3,false),vlookup($D1699,Details!$E$2:$G$11,3,false))</f>
        <v>Snacks and Drinks</v>
      </c>
      <c r="N1699" s="18">
        <f t="shared" si="1"/>
        <v>480</v>
      </c>
      <c r="O1699" s="17"/>
      <c r="P1699" s="17"/>
      <c r="Q1699" s="17"/>
      <c r="R1699" s="17"/>
      <c r="S1699" s="17"/>
      <c r="T1699" s="17"/>
      <c r="U1699" s="17"/>
      <c r="V1699" s="17"/>
      <c r="W1699" s="17"/>
      <c r="X1699" s="17"/>
      <c r="Y1699" s="17"/>
      <c r="Z1699" s="17"/>
    </row>
    <row r="1700">
      <c r="A1700" s="18" t="str">
        <f>IFERROR(__xludf.DUMMYFUNCTION("""COMPUTED_VALUE"""),"ord_71678")</f>
        <v>ord_71678</v>
      </c>
      <c r="B1700" s="18" t="str">
        <f>IFERROR(__xludf.DUMMYFUNCTION("""COMPUTED_VALUE"""),"Shruti Aggarwal")</f>
        <v>Shruti Aggarwal</v>
      </c>
      <c r="C1700" s="18" t="str">
        <f>IFERROR(__xludf.DUMMYFUNCTION("""COMPUTED_VALUE"""),"Colaba")</f>
        <v>Colaba</v>
      </c>
      <c r="D1700" s="18" t="str">
        <f>IFERROR(__xludf.DUMMYFUNCTION("""COMPUTED_VALUE"""),"Onion")</f>
        <v>Onion</v>
      </c>
      <c r="E1700" s="18">
        <f>IFERROR(__xludf.DUMMYFUNCTION("""COMPUTED_VALUE"""),4.0)</f>
        <v>4</v>
      </c>
      <c r="F1700" s="18" t="str">
        <f>IFERROR(__xludf.DUMMYFUNCTION("""COMPUTED_VALUE"""),"Ram Gopal")</f>
        <v>Ram Gopal</v>
      </c>
      <c r="G1700" s="19">
        <f>IFERROR(__xludf.DUMMYFUNCTION("""COMPUTED_VALUE"""),45007.0)</f>
        <v>45007</v>
      </c>
      <c r="H1700" s="18" t="str">
        <f>IFERROR(__xludf.DUMMYFUNCTION("""COMPUTED_VALUE"""),"UPI")</f>
        <v>UPI</v>
      </c>
      <c r="I1700" s="18" t="str">
        <f>IFERROR(__xludf.DUMMYFUNCTION("""COMPUTED_VALUE"""),"Delivered")</f>
        <v>Delivered</v>
      </c>
      <c r="J1700" s="18" t="str">
        <f>IFERROR(__xludf.DUMMYFUNCTION("""COMPUTED_VALUE"""),"Customer Service")</f>
        <v>Customer Service</v>
      </c>
      <c r="K1700" s="18" t="str">
        <f>IFERROR(__xludf.DUMMYFUNCTION("""COMPUTED_VALUE"""),"Seamless and easy")</f>
        <v>Seamless and easy</v>
      </c>
      <c r="L1700" s="18">
        <f>iferror(VLOOKUP($D1700,Details!$A$2:$C$11,2,false),vlookup($D1700,Details!$E$2:$G$11,2,false))</f>
        <v>84</v>
      </c>
      <c r="M1700" s="18" t="str">
        <f>iferror(VLOOKUP($D1700,Details!$A$2:$C$11,3,false),vlookup($D1700,Details!$E$2:$G$11,3,false))</f>
        <v>Fruits and Vegetables</v>
      </c>
      <c r="N1700" s="18">
        <f t="shared" si="1"/>
        <v>336</v>
      </c>
      <c r="O1700" s="17"/>
      <c r="P1700" s="17"/>
      <c r="Q1700" s="17"/>
      <c r="R1700" s="17"/>
      <c r="S1700" s="17"/>
      <c r="T1700" s="17"/>
      <c r="U1700" s="17"/>
      <c r="V1700" s="17"/>
      <c r="W1700" s="17"/>
      <c r="X1700" s="17"/>
      <c r="Y1700" s="17"/>
      <c r="Z1700" s="17"/>
    </row>
    <row r="1701">
      <c r="A1701" s="18" t="str">
        <f>IFERROR(__xludf.DUMMYFUNCTION("""COMPUTED_VALUE"""),"ord_71679")</f>
        <v>ord_71679</v>
      </c>
      <c r="B1701" s="18" t="str">
        <f>IFERROR(__xludf.DUMMYFUNCTION("""COMPUTED_VALUE"""),"Sahil Desai")</f>
        <v>Sahil Desai</v>
      </c>
      <c r="C1701" s="18" t="str">
        <f>IFERROR(__xludf.DUMMYFUNCTION("""COMPUTED_VALUE"""),"Colaba")</f>
        <v>Colaba</v>
      </c>
      <c r="D1701" s="18" t="str">
        <f>IFERROR(__xludf.DUMMYFUNCTION("""COMPUTED_VALUE"""),"Guava")</f>
        <v>Guava</v>
      </c>
      <c r="E1701" s="18">
        <f>IFERROR(__xludf.DUMMYFUNCTION("""COMPUTED_VALUE"""),3.0)</f>
        <v>3</v>
      </c>
      <c r="F1701" s="18" t="str">
        <f>IFERROR(__xludf.DUMMYFUNCTION("""COMPUTED_VALUE"""),"Nithin Lal")</f>
        <v>Nithin Lal</v>
      </c>
      <c r="G1701" s="19">
        <f>IFERROR(__xludf.DUMMYFUNCTION("""COMPUTED_VALUE"""),45060.0)</f>
        <v>45060</v>
      </c>
      <c r="H1701" s="18" t="str">
        <f>IFERROR(__xludf.DUMMYFUNCTION("""COMPUTED_VALUE"""),"UPI")</f>
        <v>UPI</v>
      </c>
      <c r="I1701" s="18" t="str">
        <f>IFERROR(__xludf.DUMMYFUNCTION("""COMPUTED_VALUE"""),"Delivered")</f>
        <v>Delivered</v>
      </c>
      <c r="J1701" s="18" t="str">
        <f>IFERROR(__xludf.DUMMYFUNCTION("""COMPUTED_VALUE"""),"Delivery Experience")</f>
        <v>Delivery Experience</v>
      </c>
      <c r="K1701" s="18" t="str">
        <f>IFERROR(__xludf.DUMMYFUNCTION("""COMPUTED_VALUE"""),"Quick and professional")</f>
        <v>Quick and professional</v>
      </c>
      <c r="L1701" s="18">
        <f>iferror(VLOOKUP($D1701,Details!$A$2:$C$11,2,false),vlookup($D1701,Details!$E$2:$G$11,2,false))</f>
        <v>70</v>
      </c>
      <c r="M1701" s="18" t="str">
        <f>iferror(VLOOKUP($D1701,Details!$A$2:$C$11,3,false),vlookup($D1701,Details!$E$2:$G$11,3,false))</f>
        <v>Fruits and Vegetables</v>
      </c>
      <c r="N1701" s="18">
        <f t="shared" si="1"/>
        <v>210</v>
      </c>
      <c r="O1701" s="17"/>
      <c r="P1701" s="17"/>
      <c r="Q1701" s="17"/>
      <c r="R1701" s="17"/>
      <c r="S1701" s="17"/>
      <c r="T1701" s="17"/>
      <c r="U1701" s="17"/>
      <c r="V1701" s="17"/>
      <c r="W1701" s="17"/>
      <c r="X1701" s="17"/>
      <c r="Y1701" s="17"/>
      <c r="Z1701" s="17"/>
    </row>
    <row r="1702">
      <c r="A1702" s="18" t="str">
        <f>IFERROR(__xludf.DUMMYFUNCTION("""COMPUTED_VALUE"""),"ord_71680")</f>
        <v>ord_71680</v>
      </c>
      <c r="B1702" s="18" t="str">
        <f>IFERROR(__xludf.DUMMYFUNCTION("""COMPUTED_VALUE"""),"Harsh Vardhan")</f>
        <v>Harsh Vardhan</v>
      </c>
      <c r="C1702" s="18" t="str">
        <f>IFERROR(__xludf.DUMMYFUNCTION("""COMPUTED_VALUE"""),"Bandra")</f>
        <v>Bandra</v>
      </c>
      <c r="D1702" s="18" t="str">
        <f>IFERROR(__xludf.DUMMYFUNCTION("""COMPUTED_VALUE"""),"Chocolate Mousse")</f>
        <v>Chocolate Mousse</v>
      </c>
      <c r="E1702" s="18">
        <f>IFERROR(__xludf.DUMMYFUNCTION("""COMPUTED_VALUE"""),4.0)</f>
        <v>4</v>
      </c>
      <c r="F1702" s="18" t="str">
        <f>IFERROR(__xludf.DUMMYFUNCTION("""COMPUTED_VALUE"""),"Nithin Lal")</f>
        <v>Nithin Lal</v>
      </c>
      <c r="G1702" s="19">
        <f>IFERROR(__xludf.DUMMYFUNCTION("""COMPUTED_VALUE"""),45234.0)</f>
        <v>45234</v>
      </c>
      <c r="H1702" s="18" t="str">
        <f>IFERROR(__xludf.DUMMYFUNCTION("""COMPUTED_VALUE"""),"UPI")</f>
        <v>UPI</v>
      </c>
      <c r="I1702" s="18" t="str">
        <f>IFERROR(__xludf.DUMMYFUNCTION("""COMPUTED_VALUE"""),"Delivered")</f>
        <v>Delivered</v>
      </c>
      <c r="J1702" s="18" t="str">
        <f>IFERROR(__xludf.DUMMYFUNCTION("""COMPUTED_VALUE"""),"Convenience")</f>
        <v>Convenience</v>
      </c>
      <c r="K1702" s="18" t="str">
        <f>IFERROR(__xludf.DUMMYFUNCTION("""COMPUTED_VALUE"""),"Easy tracking")</f>
        <v>Easy tracking</v>
      </c>
      <c r="L1702" s="18">
        <f>iferror(VLOOKUP($D1702,Details!$A$2:$C$11,2,false),vlookup($D1702,Details!$E$2:$G$11,2,false))</f>
        <v>145</v>
      </c>
      <c r="M1702" s="18" t="str">
        <f>iferror(VLOOKUP($D1702,Details!$A$2:$C$11,3,false),vlookup($D1702,Details!$E$2:$G$11,3,false))</f>
        <v>Snacks and Drinks</v>
      </c>
      <c r="N1702" s="18">
        <f t="shared" si="1"/>
        <v>580</v>
      </c>
      <c r="O1702" s="17"/>
      <c r="P1702" s="17"/>
      <c r="Q1702" s="17"/>
      <c r="R1702" s="17"/>
      <c r="S1702" s="17"/>
      <c r="T1702" s="17"/>
      <c r="U1702" s="17"/>
      <c r="V1702" s="17"/>
      <c r="W1702" s="17"/>
      <c r="X1702" s="17"/>
      <c r="Y1702" s="17"/>
      <c r="Z1702" s="17"/>
    </row>
    <row r="1703">
      <c r="A1703" s="18" t="str">
        <f>IFERROR(__xludf.DUMMYFUNCTION("""COMPUTED_VALUE"""),"ord_71681")</f>
        <v>ord_71681</v>
      </c>
      <c r="B1703" s="18" t="str">
        <f>IFERROR(__xludf.DUMMYFUNCTION("""COMPUTED_VALUE"""),"Leena Das")</f>
        <v>Leena Das</v>
      </c>
      <c r="C1703" s="18" t="str">
        <f>IFERROR(__xludf.DUMMYFUNCTION("""COMPUTED_VALUE"""),"Andheri")</f>
        <v>Andheri</v>
      </c>
      <c r="D1703" s="18" t="str">
        <f>IFERROR(__xludf.DUMMYFUNCTION("""COMPUTED_VALUE"""),"Orange")</f>
        <v>Orange</v>
      </c>
      <c r="E1703" s="18">
        <f>IFERROR(__xludf.DUMMYFUNCTION("""COMPUTED_VALUE"""),2.0)</f>
        <v>2</v>
      </c>
      <c r="F1703" s="18" t="str">
        <f>IFERROR(__xludf.DUMMYFUNCTION("""COMPUTED_VALUE"""),"Vivek Kumar")</f>
        <v>Vivek Kumar</v>
      </c>
      <c r="G1703" s="19">
        <f>IFERROR(__xludf.DUMMYFUNCTION("""COMPUTED_VALUE"""),45203.0)</f>
        <v>45203</v>
      </c>
      <c r="H1703" s="18" t="str">
        <f>IFERROR(__xludf.DUMMYFUNCTION("""COMPUTED_VALUE"""),"UPI")</f>
        <v>UPI</v>
      </c>
      <c r="I1703" s="18" t="str">
        <f>IFERROR(__xludf.DUMMYFUNCTION("""COMPUTED_VALUE"""),"Delivered")</f>
        <v>Delivered</v>
      </c>
      <c r="J1703" s="18" t="str">
        <f>IFERROR(__xludf.DUMMYFUNCTION("""COMPUTED_VALUE"""),"Overall Satisfaction")</f>
        <v>Overall Satisfaction</v>
      </c>
      <c r="K1703" s="18" t="str">
        <f>IFERROR(__xludf.DUMMYFUNCTION("""COMPUTED_VALUE"""),"Great service will order again")</f>
        <v>Great service will order again</v>
      </c>
      <c r="L1703" s="18">
        <f>iferror(VLOOKUP($D1703,Details!$A$2:$C$11,2,false),vlookup($D1703,Details!$E$2:$G$11,2,false))</f>
        <v>180</v>
      </c>
      <c r="M1703" s="18" t="str">
        <f>iferror(VLOOKUP($D1703,Details!$A$2:$C$11,3,false),vlookup($D1703,Details!$E$2:$G$11,3,false))</f>
        <v>Fruits and Vegetables</v>
      </c>
      <c r="N1703" s="18">
        <f t="shared" si="1"/>
        <v>360</v>
      </c>
      <c r="O1703" s="17"/>
      <c r="P1703" s="17"/>
      <c r="Q1703" s="17"/>
      <c r="R1703" s="17"/>
      <c r="S1703" s="17"/>
      <c r="T1703" s="17"/>
      <c r="U1703" s="17"/>
      <c r="V1703" s="17"/>
      <c r="W1703" s="17"/>
      <c r="X1703" s="17"/>
      <c r="Y1703" s="17"/>
      <c r="Z1703" s="17"/>
    </row>
    <row r="1704">
      <c r="A1704" s="18" t="str">
        <f>IFERROR(__xludf.DUMMYFUNCTION("""COMPUTED_VALUE"""),"ord_71682")</f>
        <v>ord_71682</v>
      </c>
      <c r="B1704" s="18" t="str">
        <f>IFERROR(__xludf.DUMMYFUNCTION("""COMPUTED_VALUE"""),"Mehul Thakkar")</f>
        <v>Mehul Thakkar</v>
      </c>
      <c r="C1704" s="18" t="str">
        <f>IFERROR(__xludf.DUMMYFUNCTION("""COMPUTED_VALUE"""),"Dadar")</f>
        <v>Dadar</v>
      </c>
      <c r="D1704" s="18" t="str">
        <f>IFERROR(__xludf.DUMMYFUNCTION("""COMPUTED_VALUE"""),"Sweet Corn")</f>
        <v>Sweet Corn</v>
      </c>
      <c r="E1704" s="18">
        <f>IFERROR(__xludf.DUMMYFUNCTION("""COMPUTED_VALUE"""),1.0)</f>
        <v>1</v>
      </c>
      <c r="F1704" s="18" t="str">
        <f>IFERROR(__xludf.DUMMYFUNCTION("""COMPUTED_VALUE"""),"Sita T")</f>
        <v>Sita T</v>
      </c>
      <c r="G1704" s="19">
        <f>IFERROR(__xludf.DUMMYFUNCTION("""COMPUTED_VALUE"""),45250.0)</f>
        <v>45250</v>
      </c>
      <c r="H1704" s="18" t="str">
        <f>IFERROR(__xludf.DUMMYFUNCTION("""COMPUTED_VALUE"""),"Credit Card")</f>
        <v>Credit Card</v>
      </c>
      <c r="I1704" s="18" t="str">
        <f>IFERROR(__xludf.DUMMYFUNCTION("""COMPUTED_VALUE"""),"Delivered")</f>
        <v>Delivered</v>
      </c>
      <c r="J1704" s="18" t="str">
        <f>IFERROR(__xludf.DUMMYFUNCTION("""COMPUTED_VALUE"""),"On-time Delivery")</f>
        <v>On-time Delivery</v>
      </c>
      <c r="K1704" s="18" t="str">
        <f>IFERROR(__xludf.DUMMYFUNCTION("""COMPUTED_VALUE"""),"Delivered on time")</f>
        <v>Delivered on time</v>
      </c>
      <c r="L1704" s="18">
        <f>iferror(VLOOKUP($D1704,Details!$A$2:$C$11,2,false),vlookup($D1704,Details!$E$2:$G$11,2,false))</f>
        <v>60</v>
      </c>
      <c r="M1704" s="18" t="str">
        <f>iferror(VLOOKUP($D1704,Details!$A$2:$C$11,3,false),vlookup($D1704,Details!$E$2:$G$11,3,false))</f>
        <v>Fruits and Vegetables</v>
      </c>
      <c r="N1704" s="18">
        <f t="shared" si="1"/>
        <v>60</v>
      </c>
      <c r="O1704" s="17"/>
      <c r="P1704" s="17"/>
      <c r="Q1704" s="17"/>
      <c r="R1704" s="17"/>
      <c r="S1704" s="17"/>
      <c r="T1704" s="17"/>
      <c r="U1704" s="17"/>
      <c r="V1704" s="17"/>
      <c r="W1704" s="17"/>
      <c r="X1704" s="17"/>
      <c r="Y1704" s="17"/>
      <c r="Z1704" s="17"/>
    </row>
    <row r="1705">
      <c r="A1705" s="18" t="str">
        <f>IFERROR(__xludf.DUMMYFUNCTION("""COMPUTED_VALUE"""),"ord_71683")</f>
        <v>ord_71683</v>
      </c>
      <c r="B1705" s="18" t="str">
        <f>IFERROR(__xludf.DUMMYFUNCTION("""COMPUTED_VALUE"""),"Sana Malik")</f>
        <v>Sana Malik</v>
      </c>
      <c r="C1705" s="18" t="str">
        <f>IFERROR(__xludf.DUMMYFUNCTION("""COMPUTED_VALUE"""),"Juhu")</f>
        <v>Juhu</v>
      </c>
      <c r="D1705" s="18" t="str">
        <f>IFERROR(__xludf.DUMMYFUNCTION("""COMPUTED_VALUE"""),"Potato")</f>
        <v>Potato</v>
      </c>
      <c r="E1705" s="18">
        <f>IFERROR(__xludf.DUMMYFUNCTION("""COMPUTED_VALUE"""),3.0)</f>
        <v>3</v>
      </c>
      <c r="F1705" s="18" t="str">
        <f>IFERROR(__xludf.DUMMYFUNCTION("""COMPUTED_VALUE"""),"Manju Ajay")</f>
        <v>Manju Ajay</v>
      </c>
      <c r="G1705" s="19">
        <f>IFERROR(__xludf.DUMMYFUNCTION("""COMPUTED_VALUE"""),45075.0)</f>
        <v>45075</v>
      </c>
      <c r="H1705" s="18" t="str">
        <f>IFERROR(__xludf.DUMMYFUNCTION("""COMPUTED_VALUE"""),"Credit Card")</f>
        <v>Credit Card</v>
      </c>
      <c r="I1705" s="18" t="str">
        <f>IFERROR(__xludf.DUMMYFUNCTION("""COMPUTED_VALUE"""),"Delivered")</f>
        <v>Delivered</v>
      </c>
      <c r="J1705" s="18" t="str">
        <f>IFERROR(__xludf.DUMMYFUNCTION("""COMPUTED_VALUE"""),"Quality of Items")</f>
        <v>Quality of Items</v>
      </c>
      <c r="K1705" s="18" t="str">
        <f>IFERROR(__xludf.DUMMYFUNCTION("""COMPUTED_VALUE"""),"Perfect condition")</f>
        <v>Perfect condition</v>
      </c>
      <c r="L1705" s="18">
        <f>iferror(VLOOKUP($D1705,Details!$A$2:$C$11,2,false),vlookup($D1705,Details!$E$2:$G$11,2,false))</f>
        <v>55</v>
      </c>
      <c r="M1705" s="18" t="str">
        <f>iferror(VLOOKUP($D1705,Details!$A$2:$C$11,3,false),vlookup($D1705,Details!$E$2:$G$11,3,false))</f>
        <v>Fruits and Vegetables</v>
      </c>
      <c r="N1705" s="18">
        <f t="shared" si="1"/>
        <v>165</v>
      </c>
      <c r="O1705" s="17"/>
      <c r="P1705" s="17"/>
      <c r="Q1705" s="17"/>
      <c r="R1705" s="17"/>
      <c r="S1705" s="17"/>
      <c r="T1705" s="17"/>
      <c r="U1705" s="17"/>
      <c r="V1705" s="17"/>
      <c r="W1705" s="17"/>
      <c r="X1705" s="17"/>
      <c r="Y1705" s="17"/>
      <c r="Z1705" s="17"/>
    </row>
    <row r="1706">
      <c r="A1706" s="18" t="str">
        <f>IFERROR(__xludf.DUMMYFUNCTION("""COMPUTED_VALUE"""),"ord_71684")</f>
        <v>ord_71684</v>
      </c>
      <c r="B1706" s="18" t="str">
        <f>IFERROR(__xludf.DUMMYFUNCTION("""COMPUTED_VALUE"""),"Yash Verma")</f>
        <v>Yash Verma</v>
      </c>
      <c r="C1706" s="18" t="str">
        <f>IFERROR(__xludf.DUMMYFUNCTION("""COMPUTED_VALUE"""),"Colaba")</f>
        <v>Colaba</v>
      </c>
      <c r="D1706" s="18" t="str">
        <f>IFERROR(__xludf.DUMMYFUNCTION("""COMPUTED_VALUE"""),"Sweet Corn")</f>
        <v>Sweet Corn</v>
      </c>
      <c r="E1706" s="18">
        <f>IFERROR(__xludf.DUMMYFUNCTION("""COMPUTED_VALUE"""),3.0)</f>
        <v>3</v>
      </c>
      <c r="F1706" s="18" t="str">
        <f>IFERROR(__xludf.DUMMYFUNCTION("""COMPUTED_VALUE"""),"Ramesh S")</f>
        <v>Ramesh S</v>
      </c>
      <c r="G1706" s="19">
        <f>IFERROR(__xludf.DUMMYFUNCTION("""COMPUTED_VALUE"""),45064.0)</f>
        <v>45064</v>
      </c>
      <c r="H1706" s="18" t="str">
        <f>IFERROR(__xludf.DUMMYFUNCTION("""COMPUTED_VALUE"""),"Credit Card")</f>
        <v>Credit Card</v>
      </c>
      <c r="I1706" s="18" t="str">
        <f>IFERROR(__xludf.DUMMYFUNCTION("""COMPUTED_VALUE"""),"Delivered")</f>
        <v>Delivered</v>
      </c>
      <c r="J1706" s="18" t="str">
        <f>IFERROR(__xludf.DUMMYFUNCTION("""COMPUTED_VALUE"""),"On-time Delivery")</f>
        <v>On-time Delivery</v>
      </c>
      <c r="K1706" s="18" t="str">
        <f>IFERROR(__xludf.DUMMYFUNCTION("""COMPUTED_VALUE"""),"Delivered on time")</f>
        <v>Delivered on time</v>
      </c>
      <c r="L1706" s="18">
        <f>iferror(VLOOKUP($D1706,Details!$A$2:$C$11,2,false),vlookup($D1706,Details!$E$2:$G$11,2,false))</f>
        <v>60</v>
      </c>
      <c r="M1706" s="18" t="str">
        <f>iferror(VLOOKUP($D1706,Details!$A$2:$C$11,3,false),vlookup($D1706,Details!$E$2:$G$11,3,false))</f>
        <v>Fruits and Vegetables</v>
      </c>
      <c r="N1706" s="18">
        <f t="shared" si="1"/>
        <v>180</v>
      </c>
      <c r="O1706" s="17"/>
      <c r="P1706" s="17"/>
      <c r="Q1706" s="17"/>
      <c r="R1706" s="17"/>
      <c r="S1706" s="17"/>
      <c r="T1706" s="17"/>
      <c r="U1706" s="17"/>
      <c r="V1706" s="17"/>
      <c r="W1706" s="17"/>
      <c r="X1706" s="17"/>
      <c r="Y1706" s="17"/>
      <c r="Z1706" s="17"/>
    </row>
    <row r="1707">
      <c r="A1707" s="18" t="str">
        <f>IFERROR(__xludf.DUMMYFUNCTION("""COMPUTED_VALUE"""),"ord_71685")</f>
        <v>ord_71685</v>
      </c>
      <c r="B1707" s="18" t="str">
        <f>IFERROR(__xludf.DUMMYFUNCTION("""COMPUTED_VALUE"""),"Harsh Vardhan")</f>
        <v>Harsh Vardhan</v>
      </c>
      <c r="C1707" s="18" t="str">
        <f>IFERROR(__xludf.DUMMYFUNCTION("""COMPUTED_VALUE"""),"Bandra")</f>
        <v>Bandra</v>
      </c>
      <c r="D1707" s="18" t="str">
        <f>IFERROR(__xludf.DUMMYFUNCTION("""COMPUTED_VALUE"""),"Cold Coffee")</f>
        <v>Cold Coffee</v>
      </c>
      <c r="E1707" s="18">
        <f>IFERROR(__xludf.DUMMYFUNCTION("""COMPUTED_VALUE"""),5.0)</f>
        <v>5</v>
      </c>
      <c r="F1707" s="18" t="str">
        <f>IFERROR(__xludf.DUMMYFUNCTION("""COMPUTED_VALUE"""),"Nithin Lal")</f>
        <v>Nithin Lal</v>
      </c>
      <c r="G1707" s="19">
        <f>IFERROR(__xludf.DUMMYFUNCTION("""COMPUTED_VALUE"""),45259.0)</f>
        <v>45259</v>
      </c>
      <c r="H1707" s="18" t="str">
        <f>IFERROR(__xludf.DUMMYFUNCTION("""COMPUTED_VALUE"""),"Credit Card")</f>
        <v>Credit Card</v>
      </c>
      <c r="I1707" s="18" t="str">
        <f>IFERROR(__xludf.DUMMYFUNCTION("""COMPUTED_VALUE"""),"Delivered")</f>
        <v>Delivered</v>
      </c>
      <c r="J1707" s="18" t="str">
        <f>IFERROR(__xludf.DUMMYFUNCTION("""COMPUTED_VALUE"""),"Quality of Items")</f>
        <v>Quality of Items</v>
      </c>
      <c r="K1707" s="18" t="str">
        <f>IFERROR(__xludf.DUMMYFUNCTION("""COMPUTED_VALUE"""),"Perfect condition")</f>
        <v>Perfect condition</v>
      </c>
      <c r="L1707" s="18">
        <f>iferror(VLOOKUP($D1707,Details!$A$2:$C$11,2,false),vlookup($D1707,Details!$E$2:$G$11,2,false))</f>
        <v>270</v>
      </c>
      <c r="M1707" s="18" t="str">
        <f>iferror(VLOOKUP($D1707,Details!$A$2:$C$11,3,false),vlookup($D1707,Details!$E$2:$G$11,3,false))</f>
        <v>Snacks and Drinks</v>
      </c>
      <c r="N1707" s="18">
        <f t="shared" si="1"/>
        <v>1350</v>
      </c>
      <c r="O1707" s="17"/>
      <c r="P1707" s="17"/>
      <c r="Q1707" s="17"/>
      <c r="R1707" s="17"/>
      <c r="S1707" s="17"/>
      <c r="T1707" s="17"/>
      <c r="U1707" s="17"/>
      <c r="V1707" s="17"/>
      <c r="W1707" s="17"/>
      <c r="X1707" s="17"/>
      <c r="Y1707" s="17"/>
      <c r="Z1707" s="17"/>
    </row>
    <row r="1708">
      <c r="A1708" s="18" t="str">
        <f>IFERROR(__xludf.DUMMYFUNCTION("""COMPUTED_VALUE"""),"ord_71686")</f>
        <v>ord_71686</v>
      </c>
      <c r="B1708" s="18" t="str">
        <f>IFERROR(__xludf.DUMMYFUNCTION("""COMPUTED_VALUE"""),"Sana Malik")</f>
        <v>Sana Malik</v>
      </c>
      <c r="C1708" s="18" t="str">
        <f>IFERROR(__xludf.DUMMYFUNCTION("""COMPUTED_VALUE"""),"Powai")</f>
        <v>Powai</v>
      </c>
      <c r="D1708" s="18" t="str">
        <f>IFERROR(__xludf.DUMMYFUNCTION("""COMPUTED_VALUE"""),"Popcorn")</f>
        <v>Popcorn</v>
      </c>
      <c r="E1708" s="18">
        <f>IFERROR(__xludf.DUMMYFUNCTION("""COMPUTED_VALUE"""),4.0)</f>
        <v>4</v>
      </c>
      <c r="F1708" s="18" t="str">
        <f>IFERROR(__xludf.DUMMYFUNCTION("""COMPUTED_VALUE"""),"Vivek Kumar")</f>
        <v>Vivek Kumar</v>
      </c>
      <c r="G1708" s="19">
        <f>IFERROR(__xludf.DUMMYFUNCTION("""COMPUTED_VALUE"""),44973.0)</f>
        <v>44973</v>
      </c>
      <c r="H1708" s="18" t="str">
        <f>IFERROR(__xludf.DUMMYFUNCTION("""COMPUTED_VALUE"""),"Credit Card")</f>
        <v>Credit Card</v>
      </c>
      <c r="I1708" s="18" t="str">
        <f>IFERROR(__xludf.DUMMYFUNCTION("""COMPUTED_VALUE"""),"Delivered")</f>
        <v>Delivered</v>
      </c>
      <c r="J1708" s="18" t="str">
        <f>IFERROR(__xludf.DUMMYFUNCTION("""COMPUTED_VALUE"""),"Packaging")</f>
        <v>Packaging</v>
      </c>
      <c r="K1708" s="18" t="str">
        <f>IFERROR(__xludf.DUMMYFUNCTION("""COMPUTED_VALUE"""),"Secure and intact")</f>
        <v>Secure and intact</v>
      </c>
      <c r="L1708" s="18">
        <f>iferror(VLOOKUP($D1708,Details!$A$2:$C$11,2,false),vlookup($D1708,Details!$E$2:$G$11,2,false))</f>
        <v>150</v>
      </c>
      <c r="M1708" s="18" t="str">
        <f>iferror(VLOOKUP($D1708,Details!$A$2:$C$11,3,false),vlookup($D1708,Details!$E$2:$G$11,3,false))</f>
        <v>Snacks and Drinks</v>
      </c>
      <c r="N1708" s="18">
        <f t="shared" si="1"/>
        <v>600</v>
      </c>
      <c r="O1708" s="17"/>
      <c r="P1708" s="17"/>
      <c r="Q1708" s="17"/>
      <c r="R1708" s="17"/>
      <c r="S1708" s="17"/>
      <c r="T1708" s="17"/>
      <c r="U1708" s="17"/>
      <c r="V1708" s="17"/>
      <c r="W1708" s="17"/>
      <c r="X1708" s="17"/>
      <c r="Y1708" s="17"/>
      <c r="Z1708" s="17"/>
    </row>
    <row r="1709">
      <c r="A1709" s="18" t="str">
        <f>IFERROR(__xludf.DUMMYFUNCTION("""COMPUTED_VALUE"""),"ord_71687")</f>
        <v>ord_71687</v>
      </c>
      <c r="B1709" s="18" t="str">
        <f>IFERROR(__xludf.DUMMYFUNCTION("""COMPUTED_VALUE"""),"Yash Verma")</f>
        <v>Yash Verma</v>
      </c>
      <c r="C1709" s="18" t="str">
        <f>IFERROR(__xludf.DUMMYFUNCTION("""COMPUTED_VALUE"""),"Lower Parel")</f>
        <v>Lower Parel</v>
      </c>
      <c r="D1709" s="18" t="str">
        <f>IFERROR(__xludf.DUMMYFUNCTION("""COMPUTED_VALUE"""),"Chilli Cheese Toast")</f>
        <v>Chilli Cheese Toast</v>
      </c>
      <c r="E1709" s="18">
        <f>IFERROR(__xludf.DUMMYFUNCTION("""COMPUTED_VALUE"""),3.0)</f>
        <v>3</v>
      </c>
      <c r="F1709" s="18" t="str">
        <f>IFERROR(__xludf.DUMMYFUNCTION("""COMPUTED_VALUE"""),"Venu R")</f>
        <v>Venu R</v>
      </c>
      <c r="G1709" s="19">
        <f>IFERROR(__xludf.DUMMYFUNCTION("""COMPUTED_VALUE"""),45254.0)</f>
        <v>45254</v>
      </c>
      <c r="H1709" s="18" t="str">
        <f>IFERROR(__xludf.DUMMYFUNCTION("""COMPUTED_VALUE"""),"Online Payment")</f>
        <v>Online Payment</v>
      </c>
      <c r="I1709" s="18" t="str">
        <f>IFERROR(__xludf.DUMMYFUNCTION("""COMPUTED_VALUE"""),"Delivered")</f>
        <v>Delivered</v>
      </c>
      <c r="J1709" s="18" t="str">
        <f>IFERROR(__xludf.DUMMYFUNCTION("""COMPUTED_VALUE"""),"Satisfied with the Delivery")</f>
        <v>Satisfied with the Delivery</v>
      </c>
      <c r="K1709" s="18" t="str">
        <f>IFERROR(__xludf.DUMMYFUNCTION("""COMPUTED_VALUE"""),"Timely and quality")</f>
        <v>Timely and quality</v>
      </c>
      <c r="L1709" s="18">
        <f>iferror(VLOOKUP($D1709,Details!$A$2:$C$11,2,false),vlookup($D1709,Details!$E$2:$G$11,2,false))</f>
        <v>80</v>
      </c>
      <c r="M1709" s="18" t="str">
        <f>iferror(VLOOKUP($D1709,Details!$A$2:$C$11,3,false),vlookup($D1709,Details!$E$2:$G$11,3,false))</f>
        <v>Snacks and Drinks</v>
      </c>
      <c r="N1709" s="18">
        <f t="shared" si="1"/>
        <v>240</v>
      </c>
      <c r="O1709" s="17"/>
      <c r="P1709" s="17"/>
      <c r="Q1709" s="17"/>
      <c r="R1709" s="17"/>
      <c r="S1709" s="17"/>
      <c r="T1709" s="17"/>
      <c r="U1709" s="17"/>
      <c r="V1709" s="17"/>
      <c r="W1709" s="17"/>
      <c r="X1709" s="17"/>
      <c r="Y1709" s="17"/>
      <c r="Z1709" s="17"/>
    </row>
    <row r="1710">
      <c r="A1710" s="18" t="str">
        <f>IFERROR(__xludf.DUMMYFUNCTION("""COMPUTED_VALUE"""),"ord_71688")</f>
        <v>ord_71688</v>
      </c>
      <c r="B1710" s="18" t="str">
        <f>IFERROR(__xludf.DUMMYFUNCTION("""COMPUTED_VALUE"""),"Leena Das")</f>
        <v>Leena Das</v>
      </c>
      <c r="C1710" s="18" t="str">
        <f>IFERROR(__xludf.DUMMYFUNCTION("""COMPUTED_VALUE"""),"Andheri")</f>
        <v>Andheri</v>
      </c>
      <c r="D1710" s="18" t="str">
        <f>IFERROR(__xludf.DUMMYFUNCTION("""COMPUTED_VALUE"""),"Banana")</f>
        <v>Banana</v>
      </c>
      <c r="E1710" s="18">
        <f>IFERROR(__xludf.DUMMYFUNCTION("""COMPUTED_VALUE"""),2.0)</f>
        <v>2</v>
      </c>
      <c r="F1710" s="18" t="str">
        <f>IFERROR(__xludf.DUMMYFUNCTION("""COMPUTED_VALUE"""),"Ram Gopal")</f>
        <v>Ram Gopal</v>
      </c>
      <c r="G1710" s="19">
        <f>IFERROR(__xludf.DUMMYFUNCTION("""COMPUTED_VALUE"""),44929.0)</f>
        <v>44929</v>
      </c>
      <c r="H1710" s="18" t="str">
        <f>IFERROR(__xludf.DUMMYFUNCTION("""COMPUTED_VALUE"""),"UPI")</f>
        <v>UPI</v>
      </c>
      <c r="I1710" s="18" t="str">
        <f>IFERROR(__xludf.DUMMYFUNCTION("""COMPUTED_VALUE"""),"Delivered")</f>
        <v>Delivered</v>
      </c>
      <c r="J1710" s="18" t="str">
        <f>IFERROR(__xludf.DUMMYFUNCTION("""COMPUTED_VALUE"""),"Customer Service")</f>
        <v>Customer Service</v>
      </c>
      <c r="K1710" s="18" t="str">
        <f>IFERROR(__xludf.DUMMYFUNCTION("""COMPUTED_VALUE"""),"Seamless and easy")</f>
        <v>Seamless and easy</v>
      </c>
      <c r="L1710" s="18">
        <f>iferror(VLOOKUP($D1710,Details!$A$2:$C$11,2,false),vlookup($D1710,Details!$E$2:$G$11,2,false))</f>
        <v>80</v>
      </c>
      <c r="M1710" s="18" t="str">
        <f>iferror(VLOOKUP($D1710,Details!$A$2:$C$11,3,false),vlookup($D1710,Details!$E$2:$G$11,3,false))</f>
        <v>Fruits and Vegetables</v>
      </c>
      <c r="N1710" s="18">
        <f t="shared" si="1"/>
        <v>160</v>
      </c>
      <c r="O1710" s="17"/>
      <c r="P1710" s="17"/>
      <c r="Q1710" s="17"/>
      <c r="R1710" s="17"/>
      <c r="S1710" s="17"/>
      <c r="T1710" s="17"/>
      <c r="U1710" s="17"/>
      <c r="V1710" s="17"/>
      <c r="W1710" s="17"/>
      <c r="X1710" s="17"/>
      <c r="Y1710" s="17"/>
      <c r="Z1710" s="17"/>
    </row>
    <row r="1711">
      <c r="A1711" s="18" t="str">
        <f>IFERROR(__xludf.DUMMYFUNCTION("""COMPUTED_VALUE"""),"ord_71689")</f>
        <v>ord_71689</v>
      </c>
      <c r="B1711" s="18" t="str">
        <f>IFERROR(__xludf.DUMMYFUNCTION("""COMPUTED_VALUE"""),"Aditya Rao")</f>
        <v>Aditya Rao</v>
      </c>
      <c r="C1711" s="18" t="str">
        <f>IFERROR(__xludf.DUMMYFUNCTION("""COMPUTED_VALUE"""),"Lower Parel")</f>
        <v>Lower Parel</v>
      </c>
      <c r="D1711" s="18" t="str">
        <f>IFERROR(__xludf.DUMMYFUNCTION("""COMPUTED_VALUE"""),"Icecream")</f>
        <v>Icecream</v>
      </c>
      <c r="E1711" s="18">
        <f>IFERROR(__xludf.DUMMYFUNCTION("""COMPUTED_VALUE"""),4.0)</f>
        <v>4</v>
      </c>
      <c r="F1711" s="18" t="str">
        <f>IFERROR(__xludf.DUMMYFUNCTION("""COMPUTED_VALUE"""),"Sita T")</f>
        <v>Sita T</v>
      </c>
      <c r="G1711" s="19">
        <f>IFERROR(__xludf.DUMMYFUNCTION("""COMPUTED_VALUE"""),44990.0)</f>
        <v>44990</v>
      </c>
      <c r="H1711" s="18" t="str">
        <f>IFERROR(__xludf.DUMMYFUNCTION("""COMPUTED_VALUE"""),"Credit Card")</f>
        <v>Credit Card</v>
      </c>
      <c r="I1711" s="18" t="str">
        <f>IFERROR(__xludf.DUMMYFUNCTION("""COMPUTED_VALUE"""),"Delivered")</f>
        <v>Delivered</v>
      </c>
      <c r="J1711" s="18" t="str">
        <f>IFERROR(__xludf.DUMMYFUNCTION("""COMPUTED_VALUE"""),"Delivery Experience")</f>
        <v>Delivery Experience</v>
      </c>
      <c r="K1711" s="18" t="str">
        <f>IFERROR(__xludf.DUMMYFUNCTION("""COMPUTED_VALUE"""),"Quick and professional")</f>
        <v>Quick and professional</v>
      </c>
      <c r="L1711" s="18">
        <f>iferror(VLOOKUP($D1711,Details!$A$2:$C$11,2,false),vlookup($D1711,Details!$E$2:$G$11,2,false))</f>
        <v>90</v>
      </c>
      <c r="M1711" s="18" t="str">
        <f>iferror(VLOOKUP($D1711,Details!$A$2:$C$11,3,false),vlookup($D1711,Details!$E$2:$G$11,3,false))</f>
        <v>Snacks and Drinks</v>
      </c>
      <c r="N1711" s="18">
        <f t="shared" si="1"/>
        <v>360</v>
      </c>
      <c r="O1711" s="17"/>
      <c r="P1711" s="17"/>
      <c r="Q1711" s="17"/>
      <c r="R1711" s="17"/>
      <c r="S1711" s="17"/>
      <c r="T1711" s="17"/>
      <c r="U1711" s="17"/>
      <c r="V1711" s="17"/>
      <c r="W1711" s="17"/>
      <c r="X1711" s="17"/>
      <c r="Y1711" s="17"/>
      <c r="Z1711" s="17"/>
    </row>
    <row r="1712">
      <c r="A1712" s="18" t="str">
        <f>IFERROR(__xludf.DUMMYFUNCTION("""COMPUTED_VALUE"""),"ord_71690")</f>
        <v>ord_71690</v>
      </c>
      <c r="B1712" s="18" t="str">
        <f>IFERROR(__xludf.DUMMYFUNCTION("""COMPUTED_VALUE"""),"Sahil Desai")</f>
        <v>Sahil Desai</v>
      </c>
      <c r="C1712" s="18" t="str">
        <f>IFERROR(__xludf.DUMMYFUNCTION("""COMPUTED_VALUE"""),"Colaba")</f>
        <v>Colaba</v>
      </c>
      <c r="D1712" s="18" t="str">
        <f>IFERROR(__xludf.DUMMYFUNCTION("""COMPUTED_VALUE"""),"Chicken Puff")</f>
        <v>Chicken Puff</v>
      </c>
      <c r="E1712" s="18">
        <f>IFERROR(__xludf.DUMMYFUNCTION("""COMPUTED_VALUE"""),5.0)</f>
        <v>5</v>
      </c>
      <c r="F1712" s="18" t="str">
        <f>IFERROR(__xludf.DUMMYFUNCTION("""COMPUTED_VALUE"""),"Ram Gopal")</f>
        <v>Ram Gopal</v>
      </c>
      <c r="G1712" s="19">
        <f>IFERROR(__xludf.DUMMYFUNCTION("""COMPUTED_VALUE"""),44965.0)</f>
        <v>44965</v>
      </c>
      <c r="H1712" s="18" t="str">
        <f>IFERROR(__xludf.DUMMYFUNCTION("""COMPUTED_VALUE"""),"UPI")</f>
        <v>UPI</v>
      </c>
      <c r="I1712" s="18" t="str">
        <f>IFERROR(__xludf.DUMMYFUNCTION("""COMPUTED_VALUE"""),"Delivered")</f>
        <v>Delivered</v>
      </c>
      <c r="J1712" s="18" t="str">
        <f>IFERROR(__xludf.DUMMYFUNCTION("""COMPUTED_VALUE"""),"Convenience")</f>
        <v>Convenience</v>
      </c>
      <c r="K1712" s="18" t="str">
        <f>IFERROR(__xludf.DUMMYFUNCTION("""COMPUTED_VALUE"""),"Easy tracking")</f>
        <v>Easy tracking</v>
      </c>
      <c r="L1712" s="18">
        <f>iferror(VLOOKUP($D1712,Details!$A$2:$C$11,2,false),vlookup($D1712,Details!$E$2:$G$11,2,false))</f>
        <v>90</v>
      </c>
      <c r="M1712" s="18" t="str">
        <f>iferror(VLOOKUP($D1712,Details!$A$2:$C$11,3,false),vlookup($D1712,Details!$E$2:$G$11,3,false))</f>
        <v>Snacks and Drinks</v>
      </c>
      <c r="N1712" s="18">
        <f t="shared" si="1"/>
        <v>450</v>
      </c>
      <c r="O1712" s="17"/>
      <c r="P1712" s="17"/>
      <c r="Q1712" s="17"/>
      <c r="R1712" s="17"/>
      <c r="S1712" s="17"/>
      <c r="T1712" s="17"/>
      <c r="U1712" s="17"/>
      <c r="V1712" s="17"/>
      <c r="W1712" s="17"/>
      <c r="X1712" s="17"/>
      <c r="Y1712" s="17"/>
      <c r="Z1712" s="17"/>
    </row>
    <row r="1713">
      <c r="A1713" s="18" t="str">
        <f>IFERROR(__xludf.DUMMYFUNCTION("""COMPUTED_VALUE"""),"ord_71691")</f>
        <v>ord_71691</v>
      </c>
      <c r="B1713" s="18" t="str">
        <f>IFERROR(__xludf.DUMMYFUNCTION("""COMPUTED_VALUE"""),"Shruti Aggarwal")</f>
        <v>Shruti Aggarwal</v>
      </c>
      <c r="C1713" s="18" t="str">
        <f>IFERROR(__xludf.DUMMYFUNCTION("""COMPUTED_VALUE"""),"Colaba")</f>
        <v>Colaba</v>
      </c>
      <c r="D1713" s="18" t="str">
        <f>IFERROR(__xludf.DUMMYFUNCTION("""COMPUTED_VALUE"""),"Apple")</f>
        <v>Apple</v>
      </c>
      <c r="E1713" s="18">
        <f>IFERROR(__xludf.DUMMYFUNCTION("""COMPUTED_VALUE"""),4.0)</f>
        <v>4</v>
      </c>
      <c r="F1713" s="18" t="str">
        <f>IFERROR(__xludf.DUMMYFUNCTION("""COMPUTED_VALUE"""),"Nithin Lal")</f>
        <v>Nithin Lal</v>
      </c>
      <c r="G1713" s="19">
        <f>IFERROR(__xludf.DUMMYFUNCTION("""COMPUTED_VALUE"""),45000.0)</f>
        <v>45000</v>
      </c>
      <c r="H1713" s="18" t="str">
        <f>IFERROR(__xludf.DUMMYFUNCTION("""COMPUTED_VALUE"""),"UPI")</f>
        <v>UPI</v>
      </c>
      <c r="I1713" s="18" t="str">
        <f>IFERROR(__xludf.DUMMYFUNCTION("""COMPUTED_VALUE"""),"Delivered")</f>
        <v>Delivered</v>
      </c>
      <c r="J1713" s="18" t="str">
        <f>IFERROR(__xludf.DUMMYFUNCTION("""COMPUTED_VALUE"""),"Overall Satisfaction")</f>
        <v>Overall Satisfaction</v>
      </c>
      <c r="K1713" s="18" t="str">
        <f>IFERROR(__xludf.DUMMYFUNCTION("""COMPUTED_VALUE"""),"Great service will order again")</f>
        <v>Great service will order again</v>
      </c>
      <c r="L1713" s="18">
        <f>iferror(VLOOKUP($D1713,Details!$A$2:$C$11,2,false),vlookup($D1713,Details!$E$2:$G$11,2,false))</f>
        <v>230</v>
      </c>
      <c r="M1713" s="18" t="str">
        <f>iferror(VLOOKUP($D1713,Details!$A$2:$C$11,3,false),vlookup($D1713,Details!$E$2:$G$11,3,false))</f>
        <v>Fruits and Vegetables</v>
      </c>
      <c r="N1713" s="18">
        <f t="shared" si="1"/>
        <v>920</v>
      </c>
      <c r="O1713" s="17"/>
      <c r="P1713" s="17"/>
      <c r="Q1713" s="17"/>
      <c r="R1713" s="17"/>
      <c r="S1713" s="17"/>
      <c r="T1713" s="17"/>
      <c r="U1713" s="17"/>
      <c r="V1713" s="17"/>
      <c r="W1713" s="17"/>
      <c r="X1713" s="17"/>
      <c r="Y1713" s="17"/>
      <c r="Z1713" s="17"/>
    </row>
    <row r="1714">
      <c r="A1714" s="18" t="str">
        <f>IFERROR(__xludf.DUMMYFUNCTION("""COMPUTED_VALUE"""),"ord_71692")</f>
        <v>ord_71692</v>
      </c>
      <c r="B1714" s="18" t="str">
        <f>IFERROR(__xludf.DUMMYFUNCTION("""COMPUTED_VALUE"""),"Tanishq Bansal")</f>
        <v>Tanishq Bansal</v>
      </c>
      <c r="C1714" s="18" t="str">
        <f>IFERROR(__xludf.DUMMYFUNCTION("""COMPUTED_VALUE"""),"Bandra")</f>
        <v>Bandra</v>
      </c>
      <c r="D1714" s="18" t="str">
        <f>IFERROR(__xludf.DUMMYFUNCTION("""COMPUTED_VALUE"""),"Potato")</f>
        <v>Potato</v>
      </c>
      <c r="E1714" s="18">
        <f>IFERROR(__xludf.DUMMYFUNCTION("""COMPUTED_VALUE"""),1.0)</f>
        <v>1</v>
      </c>
      <c r="F1714" s="18" t="str">
        <f>IFERROR(__xludf.DUMMYFUNCTION("""COMPUTED_VALUE"""),"Nithin Lal")</f>
        <v>Nithin Lal</v>
      </c>
      <c r="G1714" s="19">
        <f>IFERROR(__xludf.DUMMYFUNCTION("""COMPUTED_VALUE"""),44945.0)</f>
        <v>44945</v>
      </c>
      <c r="H1714" s="18" t="str">
        <f>IFERROR(__xludf.DUMMYFUNCTION("""COMPUTED_VALUE"""),"Credit Card")</f>
        <v>Credit Card</v>
      </c>
      <c r="I1714" s="18" t="str">
        <f>IFERROR(__xludf.DUMMYFUNCTION("""COMPUTED_VALUE"""),"Delivered")</f>
        <v>Delivered</v>
      </c>
      <c r="J1714" s="18" t="str">
        <f>IFERROR(__xludf.DUMMYFUNCTION("""COMPUTED_VALUE"""),"On-time Delivery")</f>
        <v>On-time Delivery</v>
      </c>
      <c r="K1714" s="18" t="str">
        <f>IFERROR(__xludf.DUMMYFUNCTION("""COMPUTED_VALUE"""),"Delivered on time")</f>
        <v>Delivered on time</v>
      </c>
      <c r="L1714" s="18">
        <f>iferror(VLOOKUP($D1714,Details!$A$2:$C$11,2,false),vlookup($D1714,Details!$E$2:$G$11,2,false))</f>
        <v>55</v>
      </c>
      <c r="M1714" s="18" t="str">
        <f>iferror(VLOOKUP($D1714,Details!$A$2:$C$11,3,false),vlookup($D1714,Details!$E$2:$G$11,3,false))</f>
        <v>Fruits and Vegetables</v>
      </c>
      <c r="N1714" s="18">
        <f t="shared" si="1"/>
        <v>55</v>
      </c>
      <c r="O1714" s="17"/>
      <c r="P1714" s="17"/>
      <c r="Q1714" s="17"/>
      <c r="R1714" s="17"/>
      <c r="S1714" s="17"/>
      <c r="T1714" s="17"/>
      <c r="U1714" s="17"/>
      <c r="V1714" s="17"/>
      <c r="W1714" s="17"/>
      <c r="X1714" s="17"/>
      <c r="Y1714" s="17"/>
      <c r="Z1714" s="17"/>
    </row>
    <row r="1715">
      <c r="A1715" s="18" t="str">
        <f>IFERROR(__xludf.DUMMYFUNCTION("""COMPUTED_VALUE"""),"ord_71693")</f>
        <v>ord_71693</v>
      </c>
      <c r="B1715" s="18" t="str">
        <f>IFERROR(__xludf.DUMMYFUNCTION("""COMPUTED_VALUE"""),"Aditya Basu")</f>
        <v>Aditya Basu</v>
      </c>
      <c r="C1715" s="18" t="str">
        <f>IFERROR(__xludf.DUMMYFUNCTION("""COMPUTED_VALUE"""),"Juhu")</f>
        <v>Juhu</v>
      </c>
      <c r="D1715" s="18" t="str">
        <f>IFERROR(__xludf.DUMMYFUNCTION("""COMPUTED_VALUE"""),"Juice")</f>
        <v>Juice</v>
      </c>
      <c r="E1715" s="18">
        <f>IFERROR(__xludf.DUMMYFUNCTION("""COMPUTED_VALUE"""),8.0)</f>
        <v>8</v>
      </c>
      <c r="F1715" s="18" t="str">
        <f>IFERROR(__xludf.DUMMYFUNCTION("""COMPUTED_VALUE"""),"Vivek Kumar")</f>
        <v>Vivek Kumar</v>
      </c>
      <c r="G1715" s="19">
        <f>IFERROR(__xludf.DUMMYFUNCTION("""COMPUTED_VALUE"""),45160.0)</f>
        <v>45160</v>
      </c>
      <c r="H1715" s="18" t="str">
        <f>IFERROR(__xludf.DUMMYFUNCTION("""COMPUTED_VALUE"""),"Credit Card")</f>
        <v>Credit Card</v>
      </c>
      <c r="I1715" s="18" t="str">
        <f>IFERROR(__xludf.DUMMYFUNCTION("""COMPUTED_VALUE"""),"Delivered")</f>
        <v>Delivered</v>
      </c>
      <c r="J1715" s="18" t="str">
        <f>IFERROR(__xludf.DUMMYFUNCTION("""COMPUTED_VALUE"""),"Quality of Items")</f>
        <v>Quality of Items</v>
      </c>
      <c r="K1715" s="18" t="str">
        <f>IFERROR(__xludf.DUMMYFUNCTION("""COMPUTED_VALUE"""),"Perfect condition")</f>
        <v>Perfect condition</v>
      </c>
      <c r="L1715" s="18">
        <f>iferror(VLOOKUP($D1715,Details!$A$2:$C$11,2,false),vlookup($D1715,Details!$E$2:$G$11,2,false))</f>
        <v>90</v>
      </c>
      <c r="M1715" s="18" t="str">
        <f>iferror(VLOOKUP($D1715,Details!$A$2:$C$11,3,false),vlookup($D1715,Details!$E$2:$G$11,3,false))</f>
        <v>Snacks and Drinks</v>
      </c>
      <c r="N1715" s="18">
        <f t="shared" si="1"/>
        <v>720</v>
      </c>
      <c r="O1715" s="17"/>
      <c r="P1715" s="17"/>
      <c r="Q1715" s="17"/>
      <c r="R1715" s="17"/>
      <c r="S1715" s="17"/>
      <c r="T1715" s="17"/>
      <c r="U1715" s="17"/>
      <c r="V1715" s="17"/>
      <c r="W1715" s="17"/>
      <c r="X1715" s="17"/>
      <c r="Y1715" s="17"/>
      <c r="Z1715" s="17"/>
    </row>
    <row r="1716">
      <c r="A1716" s="18" t="str">
        <f>IFERROR(__xludf.DUMMYFUNCTION("""COMPUTED_VALUE"""),"ord_71694")</f>
        <v>ord_71694</v>
      </c>
      <c r="B1716" s="18" t="str">
        <f>IFERROR(__xludf.DUMMYFUNCTION("""COMPUTED_VALUE"""),"Omkar Mishra")</f>
        <v>Omkar Mishra</v>
      </c>
      <c r="C1716" s="18" t="str">
        <f>IFERROR(__xludf.DUMMYFUNCTION("""COMPUTED_VALUE"""),"Powai")</f>
        <v>Powai</v>
      </c>
      <c r="D1716" s="18" t="str">
        <f>IFERROR(__xludf.DUMMYFUNCTION("""COMPUTED_VALUE"""),"Tomato")</f>
        <v>Tomato</v>
      </c>
      <c r="E1716" s="18">
        <f>IFERROR(__xludf.DUMMYFUNCTION("""COMPUTED_VALUE"""),2.0)</f>
        <v>2</v>
      </c>
      <c r="F1716" s="18" t="str">
        <f>IFERROR(__xludf.DUMMYFUNCTION("""COMPUTED_VALUE"""),"Ramesh S")</f>
        <v>Ramesh S</v>
      </c>
      <c r="G1716" s="19">
        <f>IFERROR(__xludf.DUMMYFUNCTION("""COMPUTED_VALUE"""),45085.0)</f>
        <v>45085</v>
      </c>
      <c r="H1716" s="18" t="str">
        <f>IFERROR(__xludf.DUMMYFUNCTION("""COMPUTED_VALUE"""),"Credit Card")</f>
        <v>Credit Card</v>
      </c>
      <c r="I1716" s="18" t="str">
        <f>IFERROR(__xludf.DUMMYFUNCTION("""COMPUTED_VALUE"""),"Delivered")</f>
        <v>Delivered</v>
      </c>
      <c r="J1716" s="18" t="str">
        <f>IFERROR(__xludf.DUMMYFUNCTION("""COMPUTED_VALUE"""),"On-time Delivery")</f>
        <v>On-time Delivery</v>
      </c>
      <c r="K1716" s="18" t="str">
        <f>IFERROR(__xludf.DUMMYFUNCTION("""COMPUTED_VALUE"""),"Delivered on time")</f>
        <v>Delivered on time</v>
      </c>
      <c r="L1716" s="18">
        <f>iferror(VLOOKUP($D1716,Details!$A$2:$C$11,2,false),vlookup($D1716,Details!$E$2:$G$11,2,false))</f>
        <v>25</v>
      </c>
      <c r="M1716" s="18" t="str">
        <f>iferror(VLOOKUP($D1716,Details!$A$2:$C$11,3,false),vlookup($D1716,Details!$E$2:$G$11,3,false))</f>
        <v>Fruits and Vegetables</v>
      </c>
      <c r="N1716" s="18">
        <f t="shared" si="1"/>
        <v>50</v>
      </c>
      <c r="O1716" s="17"/>
      <c r="P1716" s="17"/>
      <c r="Q1716" s="17"/>
      <c r="R1716" s="17"/>
      <c r="S1716" s="17"/>
      <c r="T1716" s="17"/>
      <c r="U1716" s="17"/>
      <c r="V1716" s="17"/>
      <c r="W1716" s="17"/>
      <c r="X1716" s="17"/>
      <c r="Y1716" s="17"/>
      <c r="Z1716" s="17"/>
    </row>
    <row r="1717">
      <c r="A1717" s="18" t="str">
        <f>IFERROR(__xludf.DUMMYFUNCTION("""COMPUTED_VALUE"""),"ord_71695")</f>
        <v>ord_71695</v>
      </c>
      <c r="B1717" s="18" t="str">
        <f>IFERROR(__xludf.DUMMYFUNCTION("""COMPUTED_VALUE"""),"Aarav Mehta")</f>
        <v>Aarav Mehta</v>
      </c>
      <c r="C1717" s="18" t="str">
        <f>IFERROR(__xludf.DUMMYFUNCTION("""COMPUTED_VALUE"""),"Andheri")</f>
        <v>Andheri</v>
      </c>
      <c r="D1717" s="18" t="str">
        <f>IFERROR(__xludf.DUMMYFUNCTION("""COMPUTED_VALUE"""),"Tiramisu")</f>
        <v>Tiramisu</v>
      </c>
      <c r="E1717" s="18">
        <f>IFERROR(__xludf.DUMMYFUNCTION("""COMPUTED_VALUE"""),5.0)</f>
        <v>5</v>
      </c>
      <c r="F1717" s="18" t="str">
        <f>IFERROR(__xludf.DUMMYFUNCTION("""COMPUTED_VALUE"""),"Venu R")</f>
        <v>Venu R</v>
      </c>
      <c r="G1717" s="19">
        <f>IFERROR(__xludf.DUMMYFUNCTION("""COMPUTED_VALUE"""),44935.0)</f>
        <v>44935</v>
      </c>
      <c r="H1717" s="18" t="str">
        <f>IFERROR(__xludf.DUMMYFUNCTION("""COMPUTED_VALUE"""),"UPI")</f>
        <v>UPI</v>
      </c>
      <c r="I1717" s="18" t="str">
        <f>IFERROR(__xludf.DUMMYFUNCTION("""COMPUTED_VALUE"""),"Delivered")</f>
        <v>Delivered</v>
      </c>
      <c r="J1717" s="18" t="str">
        <f>IFERROR(__xludf.DUMMYFUNCTION("""COMPUTED_VALUE"""),"Quality of Items")</f>
        <v>Quality of Items</v>
      </c>
      <c r="K1717" s="18" t="str">
        <f>IFERROR(__xludf.DUMMYFUNCTION("""COMPUTED_VALUE"""),"Perfect condition")</f>
        <v>Perfect condition</v>
      </c>
      <c r="L1717" s="18">
        <f>iferror(VLOOKUP($D1717,Details!$A$2:$C$11,2,false),vlookup($D1717,Details!$E$2:$G$11,2,false))</f>
        <v>150</v>
      </c>
      <c r="M1717" s="18" t="str">
        <f>iferror(VLOOKUP($D1717,Details!$A$2:$C$11,3,false),vlookup($D1717,Details!$E$2:$G$11,3,false))</f>
        <v>Snacks and Drinks</v>
      </c>
      <c r="N1717" s="18">
        <f t="shared" si="1"/>
        <v>750</v>
      </c>
      <c r="O1717" s="17"/>
      <c r="P1717" s="17"/>
      <c r="Q1717" s="17"/>
      <c r="R1717" s="17"/>
      <c r="S1717" s="17"/>
      <c r="T1717" s="17"/>
      <c r="U1717" s="17"/>
      <c r="V1717" s="17"/>
      <c r="W1717" s="17"/>
      <c r="X1717" s="17"/>
      <c r="Y1717" s="17"/>
      <c r="Z1717" s="17"/>
    </row>
    <row r="1718">
      <c r="A1718" s="18" t="str">
        <f>IFERROR(__xludf.DUMMYFUNCTION("""COMPUTED_VALUE"""),"ord_71696")</f>
        <v>ord_71696</v>
      </c>
      <c r="B1718" s="18" t="str">
        <f>IFERROR(__xludf.DUMMYFUNCTION("""COMPUTED_VALUE"""),"Aarav Mehta")</f>
        <v>Aarav Mehta</v>
      </c>
      <c r="C1718" s="18" t="str">
        <f>IFERROR(__xludf.DUMMYFUNCTION("""COMPUTED_VALUE"""),"Andheri")</f>
        <v>Andheri</v>
      </c>
      <c r="D1718" s="18" t="str">
        <f>IFERROR(__xludf.DUMMYFUNCTION("""COMPUTED_VALUE"""),"Apple")</f>
        <v>Apple</v>
      </c>
      <c r="E1718" s="18">
        <f>IFERROR(__xludf.DUMMYFUNCTION("""COMPUTED_VALUE"""),1.0)</f>
        <v>1</v>
      </c>
      <c r="F1718" s="18" t="str">
        <f>IFERROR(__xludf.DUMMYFUNCTION("""COMPUTED_VALUE"""),"Sita T")</f>
        <v>Sita T</v>
      </c>
      <c r="G1718" s="19">
        <f>IFERROR(__xludf.DUMMYFUNCTION("""COMPUTED_VALUE"""),45081.0)</f>
        <v>45081</v>
      </c>
      <c r="H1718" s="18" t="str">
        <f>IFERROR(__xludf.DUMMYFUNCTION("""COMPUTED_VALUE"""),"Online Payment")</f>
        <v>Online Payment</v>
      </c>
      <c r="I1718" s="18" t="str">
        <f>IFERROR(__xludf.DUMMYFUNCTION("""COMPUTED_VALUE"""),"Delivered")</f>
        <v>Delivered</v>
      </c>
      <c r="J1718" s="18" t="str">
        <f>IFERROR(__xludf.DUMMYFUNCTION("""COMPUTED_VALUE"""),"Packaging")</f>
        <v>Packaging</v>
      </c>
      <c r="K1718" s="18" t="str">
        <f>IFERROR(__xludf.DUMMYFUNCTION("""COMPUTED_VALUE"""),"Secure and intact")</f>
        <v>Secure and intact</v>
      </c>
      <c r="L1718" s="18">
        <f>iferror(VLOOKUP($D1718,Details!$A$2:$C$11,2,false),vlookup($D1718,Details!$E$2:$G$11,2,false))</f>
        <v>230</v>
      </c>
      <c r="M1718" s="18" t="str">
        <f>iferror(VLOOKUP($D1718,Details!$A$2:$C$11,3,false),vlookup($D1718,Details!$E$2:$G$11,3,false))</f>
        <v>Fruits and Vegetables</v>
      </c>
      <c r="N1718" s="18">
        <f t="shared" si="1"/>
        <v>230</v>
      </c>
      <c r="O1718" s="17"/>
      <c r="P1718" s="17"/>
      <c r="Q1718" s="17"/>
      <c r="R1718" s="17"/>
      <c r="S1718" s="17"/>
      <c r="T1718" s="17"/>
      <c r="U1718" s="17"/>
      <c r="V1718" s="17"/>
      <c r="W1718" s="17"/>
      <c r="X1718" s="17"/>
      <c r="Y1718" s="17"/>
      <c r="Z1718" s="17"/>
    </row>
    <row r="1719">
      <c r="A1719" s="18" t="str">
        <f>IFERROR(__xludf.DUMMYFUNCTION("""COMPUTED_VALUE"""),"ord_71697")</f>
        <v>ord_71697</v>
      </c>
      <c r="B1719" s="18" t="str">
        <f>IFERROR(__xludf.DUMMYFUNCTION("""COMPUTED_VALUE"""),"Sahil Desai")</f>
        <v>Sahil Desai</v>
      </c>
      <c r="C1719" s="18" t="str">
        <f>IFERROR(__xludf.DUMMYFUNCTION("""COMPUTED_VALUE"""),"Lower Parel")</f>
        <v>Lower Parel</v>
      </c>
      <c r="D1719" s="18" t="str">
        <f>IFERROR(__xludf.DUMMYFUNCTION("""COMPUTED_VALUE"""),"Sweet Corn")</f>
        <v>Sweet Corn</v>
      </c>
      <c r="E1719" s="18">
        <f>IFERROR(__xludf.DUMMYFUNCTION("""COMPUTED_VALUE"""),3.0)</f>
        <v>3</v>
      </c>
      <c r="F1719" s="18" t="str">
        <f>IFERROR(__xludf.DUMMYFUNCTION("""COMPUTED_VALUE"""),"Sita T")</f>
        <v>Sita T</v>
      </c>
      <c r="G1719" s="19">
        <f>IFERROR(__xludf.DUMMYFUNCTION("""COMPUTED_VALUE"""),45284.0)</f>
        <v>45284</v>
      </c>
      <c r="H1719" s="18" t="str">
        <f>IFERROR(__xludf.DUMMYFUNCTION("""COMPUTED_VALUE"""),"UPI")</f>
        <v>UPI</v>
      </c>
      <c r="I1719" s="18" t="str">
        <f>IFERROR(__xludf.DUMMYFUNCTION("""COMPUTED_VALUE"""),"Delivered")</f>
        <v>Delivered</v>
      </c>
      <c r="J1719" s="18" t="str">
        <f>IFERROR(__xludf.DUMMYFUNCTION("""COMPUTED_VALUE"""),"Satisfied with the Delivery")</f>
        <v>Satisfied with the Delivery</v>
      </c>
      <c r="K1719" s="18" t="str">
        <f>IFERROR(__xludf.DUMMYFUNCTION("""COMPUTED_VALUE"""),"Timely and quality")</f>
        <v>Timely and quality</v>
      </c>
      <c r="L1719" s="18">
        <f>iferror(VLOOKUP($D1719,Details!$A$2:$C$11,2,false),vlookup($D1719,Details!$E$2:$G$11,2,false))</f>
        <v>60</v>
      </c>
      <c r="M1719" s="18" t="str">
        <f>iferror(VLOOKUP($D1719,Details!$A$2:$C$11,3,false),vlookup($D1719,Details!$E$2:$G$11,3,false))</f>
        <v>Fruits and Vegetables</v>
      </c>
      <c r="N1719" s="18">
        <f t="shared" si="1"/>
        <v>180</v>
      </c>
      <c r="O1719" s="17"/>
      <c r="P1719" s="17"/>
      <c r="Q1719" s="17"/>
      <c r="R1719" s="17"/>
      <c r="S1719" s="17"/>
      <c r="T1719" s="17"/>
      <c r="U1719" s="17"/>
      <c r="V1719" s="17"/>
      <c r="W1719" s="17"/>
      <c r="X1719" s="17"/>
      <c r="Y1719" s="17"/>
      <c r="Z1719" s="17"/>
    </row>
    <row r="1720">
      <c r="A1720" s="18" t="str">
        <f>IFERROR(__xludf.DUMMYFUNCTION("""COMPUTED_VALUE"""),"ord_71698")</f>
        <v>ord_71698</v>
      </c>
      <c r="B1720" s="18" t="str">
        <f>IFERROR(__xludf.DUMMYFUNCTION("""COMPUTED_VALUE"""),"Mehul Thakkar")</f>
        <v>Mehul Thakkar</v>
      </c>
      <c r="C1720" s="18" t="str">
        <f>IFERROR(__xludf.DUMMYFUNCTION("""COMPUTED_VALUE"""),"Malad")</f>
        <v>Malad</v>
      </c>
      <c r="D1720" s="18" t="str">
        <f>IFERROR(__xludf.DUMMYFUNCTION("""COMPUTED_VALUE"""),"Guava")</f>
        <v>Guava</v>
      </c>
      <c r="E1720" s="18">
        <f>IFERROR(__xludf.DUMMYFUNCTION("""COMPUTED_VALUE"""),1.0)</f>
        <v>1</v>
      </c>
      <c r="F1720" s="18" t="str">
        <f>IFERROR(__xludf.DUMMYFUNCTION("""COMPUTED_VALUE"""),"Neha Shah")</f>
        <v>Neha Shah</v>
      </c>
      <c r="G1720" s="19">
        <f>IFERROR(__xludf.DUMMYFUNCTION("""COMPUTED_VALUE"""),45242.0)</f>
        <v>45242</v>
      </c>
      <c r="H1720" s="18" t="str">
        <f>IFERROR(__xludf.DUMMYFUNCTION("""COMPUTED_VALUE"""),"Credit Card")</f>
        <v>Credit Card</v>
      </c>
      <c r="I1720" s="18" t="str">
        <f>IFERROR(__xludf.DUMMYFUNCTION("""COMPUTED_VALUE"""),"Cancelled")</f>
        <v>Cancelled</v>
      </c>
      <c r="J1720" s="18" t="str">
        <f>IFERROR(__xludf.DUMMYFUNCTION("""COMPUTED_VALUE"""),"Delayed Delivery")</f>
        <v>Delayed Delivery</v>
      </c>
      <c r="K1720" s="18" t="str">
        <f>IFERROR(__xludf.DUMMYFUNCTION("""COMPUTED_VALUE"""),"Bad Weather Conditions")</f>
        <v>Bad Weather Conditions</v>
      </c>
      <c r="L1720" s="18">
        <f>iferror(VLOOKUP($D1720,Details!$A$2:$C$11,2,false),vlookup($D1720,Details!$E$2:$G$11,2,false))</f>
        <v>70</v>
      </c>
      <c r="M1720" s="18" t="str">
        <f>iferror(VLOOKUP($D1720,Details!$A$2:$C$11,3,false),vlookup($D1720,Details!$E$2:$G$11,3,false))</f>
        <v>Fruits and Vegetables</v>
      </c>
      <c r="N1720" s="18">
        <f t="shared" si="1"/>
        <v>70</v>
      </c>
      <c r="O1720" s="17"/>
      <c r="P1720" s="17"/>
      <c r="Q1720" s="17"/>
      <c r="R1720" s="17"/>
      <c r="S1720" s="17"/>
      <c r="T1720" s="17"/>
      <c r="U1720" s="17"/>
      <c r="V1720" s="17"/>
      <c r="W1720" s="17"/>
      <c r="X1720" s="17"/>
      <c r="Y1720" s="17"/>
      <c r="Z1720" s="17"/>
    </row>
    <row r="1721">
      <c r="A1721" s="18" t="str">
        <f>IFERROR(__xludf.DUMMYFUNCTION("""COMPUTED_VALUE"""),"ord_71699")</f>
        <v>ord_71699</v>
      </c>
      <c r="B1721" s="18" t="str">
        <f>IFERROR(__xludf.DUMMYFUNCTION("""COMPUTED_VALUE"""),"Arvind Kulkarni")</f>
        <v>Arvind Kulkarni</v>
      </c>
      <c r="C1721" s="18" t="str">
        <f>IFERROR(__xludf.DUMMYFUNCTION("""COMPUTED_VALUE"""),"Juhu")</f>
        <v>Juhu</v>
      </c>
      <c r="D1721" s="18" t="str">
        <f>IFERROR(__xludf.DUMMYFUNCTION("""COMPUTED_VALUE"""),"Tiramisu")</f>
        <v>Tiramisu</v>
      </c>
      <c r="E1721" s="18">
        <f>IFERROR(__xludf.DUMMYFUNCTION("""COMPUTED_VALUE"""),5.0)</f>
        <v>5</v>
      </c>
      <c r="F1721" s="18" t="str">
        <f>IFERROR(__xludf.DUMMYFUNCTION("""COMPUTED_VALUE"""),"Shine Thomas")</f>
        <v>Shine Thomas</v>
      </c>
      <c r="G1721" s="19">
        <f>IFERROR(__xludf.DUMMYFUNCTION("""COMPUTED_VALUE"""),45257.0)</f>
        <v>45257</v>
      </c>
      <c r="H1721" s="18" t="str">
        <f>IFERROR(__xludf.DUMMYFUNCTION("""COMPUTED_VALUE"""),"UPI")</f>
        <v>UPI</v>
      </c>
      <c r="I1721" s="18" t="str">
        <f>IFERROR(__xludf.DUMMYFUNCTION("""COMPUTED_VALUE"""),"Delivered")</f>
        <v>Delivered</v>
      </c>
      <c r="J1721" s="18" t="str">
        <f>IFERROR(__xludf.DUMMYFUNCTION("""COMPUTED_VALUE"""),"Customer Service")</f>
        <v>Customer Service</v>
      </c>
      <c r="K1721" s="18" t="str">
        <f>IFERROR(__xludf.DUMMYFUNCTION("""COMPUTED_VALUE"""),"Seamless and easy")</f>
        <v>Seamless and easy</v>
      </c>
      <c r="L1721" s="18">
        <f>iferror(VLOOKUP($D1721,Details!$A$2:$C$11,2,false),vlookup($D1721,Details!$E$2:$G$11,2,false))</f>
        <v>150</v>
      </c>
      <c r="M1721" s="18" t="str">
        <f>iferror(VLOOKUP($D1721,Details!$A$2:$C$11,3,false),vlookup($D1721,Details!$E$2:$G$11,3,false))</f>
        <v>Snacks and Drinks</v>
      </c>
      <c r="N1721" s="18">
        <f t="shared" si="1"/>
        <v>750</v>
      </c>
      <c r="O1721" s="17"/>
      <c r="P1721" s="17"/>
      <c r="Q1721" s="17"/>
      <c r="R1721" s="17"/>
      <c r="S1721" s="17"/>
      <c r="T1721" s="17"/>
      <c r="U1721" s="17"/>
      <c r="V1721" s="17"/>
      <c r="W1721" s="17"/>
      <c r="X1721" s="17"/>
      <c r="Y1721" s="17"/>
      <c r="Z1721" s="17"/>
    </row>
    <row r="1722">
      <c r="A1722" s="18" t="str">
        <f>IFERROR(__xludf.DUMMYFUNCTION("""COMPUTED_VALUE"""),"ord_71700")</f>
        <v>ord_71700</v>
      </c>
      <c r="B1722" s="18" t="str">
        <f>IFERROR(__xludf.DUMMYFUNCTION("""COMPUTED_VALUE"""),"Sakshi Tandon")</f>
        <v>Sakshi Tandon</v>
      </c>
      <c r="C1722" s="18" t="str">
        <f>IFERROR(__xludf.DUMMYFUNCTION("""COMPUTED_VALUE"""),"Colaba")</f>
        <v>Colaba</v>
      </c>
      <c r="D1722" s="18" t="str">
        <f>IFERROR(__xludf.DUMMYFUNCTION("""COMPUTED_VALUE"""),"Chocolate Mousse")</f>
        <v>Chocolate Mousse</v>
      </c>
      <c r="E1722" s="18">
        <f>IFERROR(__xludf.DUMMYFUNCTION("""COMPUTED_VALUE"""),3.0)</f>
        <v>3</v>
      </c>
      <c r="F1722" s="18" t="str">
        <f>IFERROR(__xludf.DUMMYFUNCTION("""COMPUTED_VALUE"""),"Ramesh S")</f>
        <v>Ramesh S</v>
      </c>
      <c r="G1722" s="19">
        <f>IFERROR(__xludf.DUMMYFUNCTION("""COMPUTED_VALUE"""),44935.0)</f>
        <v>44935</v>
      </c>
      <c r="H1722" s="18" t="str">
        <f>IFERROR(__xludf.DUMMYFUNCTION("""COMPUTED_VALUE"""),"UPI")</f>
        <v>UPI</v>
      </c>
      <c r="I1722" s="18" t="str">
        <f>IFERROR(__xludf.DUMMYFUNCTION("""COMPUTED_VALUE"""),"Delivered")</f>
        <v>Delivered</v>
      </c>
      <c r="J1722" s="18" t="str">
        <f>IFERROR(__xludf.DUMMYFUNCTION("""COMPUTED_VALUE"""),"Delivery Experience")</f>
        <v>Delivery Experience</v>
      </c>
      <c r="K1722" s="18" t="str">
        <f>IFERROR(__xludf.DUMMYFUNCTION("""COMPUTED_VALUE"""),"Quick and professional")</f>
        <v>Quick and professional</v>
      </c>
      <c r="L1722" s="18">
        <f>iferror(VLOOKUP($D1722,Details!$A$2:$C$11,2,false),vlookup($D1722,Details!$E$2:$G$11,2,false))</f>
        <v>145</v>
      </c>
      <c r="M1722" s="18" t="str">
        <f>iferror(VLOOKUP($D1722,Details!$A$2:$C$11,3,false),vlookup($D1722,Details!$E$2:$G$11,3,false))</f>
        <v>Snacks and Drinks</v>
      </c>
      <c r="N1722" s="18">
        <f t="shared" si="1"/>
        <v>435</v>
      </c>
      <c r="O1722" s="17"/>
      <c r="P1722" s="17"/>
      <c r="Q1722" s="17"/>
      <c r="R1722" s="17"/>
      <c r="S1722" s="17"/>
      <c r="T1722" s="17"/>
      <c r="U1722" s="17"/>
      <c r="V1722" s="17"/>
      <c r="W1722" s="17"/>
      <c r="X1722" s="17"/>
      <c r="Y1722" s="17"/>
      <c r="Z1722" s="17"/>
    </row>
    <row r="1723">
      <c r="A1723" s="18" t="str">
        <f>IFERROR(__xludf.DUMMYFUNCTION("""COMPUTED_VALUE"""),"ord_71701")</f>
        <v>ord_71701</v>
      </c>
      <c r="B1723" s="18" t="str">
        <f>IFERROR(__xludf.DUMMYFUNCTION("""COMPUTED_VALUE"""),"Ishaan Chaturvedi")</f>
        <v>Ishaan Chaturvedi</v>
      </c>
      <c r="C1723" s="18" t="str">
        <f>IFERROR(__xludf.DUMMYFUNCTION("""COMPUTED_VALUE"""),"Bandra")</f>
        <v>Bandra</v>
      </c>
      <c r="D1723" s="18" t="str">
        <f>IFERROR(__xludf.DUMMYFUNCTION("""COMPUTED_VALUE"""),"Chicken Puff")</f>
        <v>Chicken Puff</v>
      </c>
      <c r="E1723" s="18">
        <f>IFERROR(__xludf.DUMMYFUNCTION("""COMPUTED_VALUE"""),2.0)</f>
        <v>2</v>
      </c>
      <c r="F1723" s="18" t="str">
        <f>IFERROR(__xludf.DUMMYFUNCTION("""COMPUTED_VALUE"""),"Nithin Lal")</f>
        <v>Nithin Lal</v>
      </c>
      <c r="G1723" s="19">
        <f>IFERROR(__xludf.DUMMYFUNCTION("""COMPUTED_VALUE"""),45256.0)</f>
        <v>45256</v>
      </c>
      <c r="H1723" s="18" t="str">
        <f>IFERROR(__xludf.DUMMYFUNCTION("""COMPUTED_VALUE"""),"UPI")</f>
        <v>UPI</v>
      </c>
      <c r="I1723" s="18" t="str">
        <f>IFERROR(__xludf.DUMMYFUNCTION("""COMPUTED_VALUE"""),"Delivered")</f>
        <v>Delivered</v>
      </c>
      <c r="J1723" s="18" t="str">
        <f>IFERROR(__xludf.DUMMYFUNCTION("""COMPUTED_VALUE"""),"Convenience")</f>
        <v>Convenience</v>
      </c>
      <c r="K1723" s="18" t="str">
        <f>IFERROR(__xludf.DUMMYFUNCTION("""COMPUTED_VALUE"""),"Easy tracking")</f>
        <v>Easy tracking</v>
      </c>
      <c r="L1723" s="18">
        <f>iferror(VLOOKUP($D1723,Details!$A$2:$C$11,2,false),vlookup($D1723,Details!$E$2:$G$11,2,false))</f>
        <v>90</v>
      </c>
      <c r="M1723" s="18" t="str">
        <f>iferror(VLOOKUP($D1723,Details!$A$2:$C$11,3,false),vlookup($D1723,Details!$E$2:$G$11,3,false))</f>
        <v>Snacks and Drinks</v>
      </c>
      <c r="N1723" s="18">
        <f t="shared" si="1"/>
        <v>180</v>
      </c>
      <c r="O1723" s="17"/>
      <c r="P1723" s="17"/>
      <c r="Q1723" s="17"/>
      <c r="R1723" s="17"/>
      <c r="S1723" s="17"/>
      <c r="T1723" s="17"/>
      <c r="U1723" s="17"/>
      <c r="V1723" s="17"/>
      <c r="W1723" s="17"/>
      <c r="X1723" s="17"/>
      <c r="Y1723" s="17"/>
      <c r="Z1723" s="17"/>
    </row>
    <row r="1724">
      <c r="A1724" s="18" t="str">
        <f>IFERROR(__xludf.DUMMYFUNCTION("""COMPUTED_VALUE"""),"ord_71702")</f>
        <v>ord_71702</v>
      </c>
      <c r="B1724" s="18" t="str">
        <f>IFERROR(__xludf.DUMMYFUNCTION("""COMPUTED_VALUE"""),"Anaya Rao")</f>
        <v>Anaya Rao</v>
      </c>
      <c r="C1724" s="18" t="str">
        <f>IFERROR(__xludf.DUMMYFUNCTION("""COMPUTED_VALUE"""),"Colaba")</f>
        <v>Colaba</v>
      </c>
      <c r="D1724" s="18" t="str">
        <f>IFERROR(__xludf.DUMMYFUNCTION("""COMPUTED_VALUE"""),"Orange")</f>
        <v>Orange</v>
      </c>
      <c r="E1724" s="18">
        <f>IFERROR(__xludf.DUMMYFUNCTION("""COMPUTED_VALUE"""),2.0)</f>
        <v>2</v>
      </c>
      <c r="F1724" s="18" t="str">
        <f>IFERROR(__xludf.DUMMYFUNCTION("""COMPUTED_VALUE"""),"Vivek Kumar")</f>
        <v>Vivek Kumar</v>
      </c>
      <c r="G1724" s="19">
        <f>IFERROR(__xludf.DUMMYFUNCTION("""COMPUTED_VALUE"""),45272.0)</f>
        <v>45272</v>
      </c>
      <c r="H1724" s="18" t="str">
        <f>IFERROR(__xludf.DUMMYFUNCTION("""COMPUTED_VALUE"""),"UPI")</f>
        <v>UPI</v>
      </c>
      <c r="I1724" s="18" t="str">
        <f>IFERROR(__xludf.DUMMYFUNCTION("""COMPUTED_VALUE"""),"Delivered")</f>
        <v>Delivered</v>
      </c>
      <c r="J1724" s="18" t="str">
        <f>IFERROR(__xludf.DUMMYFUNCTION("""COMPUTED_VALUE"""),"Overall Satisfaction")</f>
        <v>Overall Satisfaction</v>
      </c>
      <c r="K1724" s="18" t="str">
        <f>IFERROR(__xludf.DUMMYFUNCTION("""COMPUTED_VALUE"""),"Great service will order again")</f>
        <v>Great service will order again</v>
      </c>
      <c r="L1724" s="18">
        <f>iferror(VLOOKUP($D1724,Details!$A$2:$C$11,2,false),vlookup($D1724,Details!$E$2:$G$11,2,false))</f>
        <v>180</v>
      </c>
      <c r="M1724" s="18" t="str">
        <f>iferror(VLOOKUP($D1724,Details!$A$2:$C$11,3,false),vlookup($D1724,Details!$E$2:$G$11,3,false))</f>
        <v>Fruits and Vegetables</v>
      </c>
      <c r="N1724" s="18">
        <f t="shared" si="1"/>
        <v>360</v>
      </c>
      <c r="O1724" s="17"/>
      <c r="P1724" s="17"/>
      <c r="Q1724" s="17"/>
      <c r="R1724" s="17"/>
      <c r="S1724" s="17"/>
      <c r="T1724" s="17"/>
      <c r="U1724" s="17"/>
      <c r="V1724" s="17"/>
      <c r="W1724" s="17"/>
      <c r="X1724" s="17"/>
      <c r="Y1724" s="17"/>
      <c r="Z1724" s="17"/>
    </row>
    <row r="1725">
      <c r="A1725" s="18" t="str">
        <f>IFERROR(__xludf.DUMMYFUNCTION("""COMPUTED_VALUE"""),"ord_71703")</f>
        <v>ord_71703</v>
      </c>
      <c r="B1725" s="18" t="str">
        <f>IFERROR(__xludf.DUMMYFUNCTION("""COMPUTED_VALUE"""),"Anaya Rao")</f>
        <v>Anaya Rao</v>
      </c>
      <c r="C1725" s="18" t="str">
        <f>IFERROR(__xludf.DUMMYFUNCTION("""COMPUTED_VALUE"""),"Malad")</f>
        <v>Malad</v>
      </c>
      <c r="D1725" s="18" t="str">
        <f>IFERROR(__xludf.DUMMYFUNCTION("""COMPUTED_VALUE"""),"Juice")</f>
        <v>Juice</v>
      </c>
      <c r="E1725" s="18">
        <f>IFERROR(__xludf.DUMMYFUNCTION("""COMPUTED_VALUE"""),5.0)</f>
        <v>5</v>
      </c>
      <c r="F1725" s="18" t="str">
        <f>IFERROR(__xludf.DUMMYFUNCTION("""COMPUTED_VALUE"""),"Nithin Lal")</f>
        <v>Nithin Lal</v>
      </c>
      <c r="G1725" s="19">
        <f>IFERROR(__xludf.DUMMYFUNCTION("""COMPUTED_VALUE"""),45104.0)</f>
        <v>45104</v>
      </c>
      <c r="H1725" s="18" t="str">
        <f>IFERROR(__xludf.DUMMYFUNCTION("""COMPUTED_VALUE"""),"Online Payment")</f>
        <v>Online Payment</v>
      </c>
      <c r="I1725" s="18" t="str">
        <f>IFERROR(__xludf.DUMMYFUNCTION("""COMPUTED_VALUE"""),"Delivered")</f>
        <v>Delivered</v>
      </c>
      <c r="J1725" s="18" t="str">
        <f>IFERROR(__xludf.DUMMYFUNCTION("""COMPUTED_VALUE"""),"On-time Delivery")</f>
        <v>On-time Delivery</v>
      </c>
      <c r="K1725" s="18" t="str">
        <f>IFERROR(__xludf.DUMMYFUNCTION("""COMPUTED_VALUE"""),"Delivered on time")</f>
        <v>Delivered on time</v>
      </c>
      <c r="L1725" s="18">
        <f>iferror(VLOOKUP($D1725,Details!$A$2:$C$11,2,false),vlookup($D1725,Details!$E$2:$G$11,2,false))</f>
        <v>90</v>
      </c>
      <c r="M1725" s="18" t="str">
        <f>iferror(VLOOKUP($D1725,Details!$A$2:$C$11,3,false),vlookup($D1725,Details!$E$2:$G$11,3,false))</f>
        <v>Snacks and Drinks</v>
      </c>
      <c r="N1725" s="18">
        <f t="shared" si="1"/>
        <v>450</v>
      </c>
      <c r="O1725" s="17"/>
      <c r="P1725" s="17"/>
      <c r="Q1725" s="17"/>
      <c r="R1725" s="17"/>
      <c r="S1725" s="17"/>
      <c r="T1725" s="17"/>
      <c r="U1725" s="17"/>
      <c r="V1725" s="17"/>
      <c r="W1725" s="17"/>
      <c r="X1725" s="17"/>
      <c r="Y1725" s="17"/>
      <c r="Z1725" s="17"/>
    </row>
    <row r="1726">
      <c r="A1726" s="18" t="str">
        <f>IFERROR(__xludf.DUMMYFUNCTION("""COMPUTED_VALUE"""),"ord_71704")</f>
        <v>ord_71704</v>
      </c>
      <c r="B1726" s="18" t="str">
        <f>IFERROR(__xludf.DUMMYFUNCTION("""COMPUTED_VALUE"""),"Anaya Rao")</f>
        <v>Anaya Rao</v>
      </c>
      <c r="C1726" s="18" t="str">
        <f>IFERROR(__xludf.DUMMYFUNCTION("""COMPUTED_VALUE"""),"Malad")</f>
        <v>Malad</v>
      </c>
      <c r="D1726" s="18" t="str">
        <f>IFERROR(__xludf.DUMMYFUNCTION("""COMPUTED_VALUE"""),"Cold Coffee")</f>
        <v>Cold Coffee</v>
      </c>
      <c r="E1726" s="18">
        <f>IFERROR(__xludf.DUMMYFUNCTION("""COMPUTED_VALUE"""),5.0)</f>
        <v>5</v>
      </c>
      <c r="F1726" s="18" t="str">
        <f>IFERROR(__xludf.DUMMYFUNCTION("""COMPUTED_VALUE"""),"Shine Thomas")</f>
        <v>Shine Thomas</v>
      </c>
      <c r="G1726" s="19">
        <f>IFERROR(__xludf.DUMMYFUNCTION("""COMPUTED_VALUE"""),45289.0)</f>
        <v>45289</v>
      </c>
      <c r="H1726" s="18" t="str">
        <f>IFERROR(__xludf.DUMMYFUNCTION("""COMPUTED_VALUE"""),"UPI")</f>
        <v>UPI</v>
      </c>
      <c r="I1726" s="18" t="str">
        <f>IFERROR(__xludf.DUMMYFUNCTION("""COMPUTED_VALUE"""),"Delivered")</f>
        <v>Delivered</v>
      </c>
      <c r="J1726" s="18" t="str">
        <f>IFERROR(__xludf.DUMMYFUNCTION("""COMPUTED_VALUE"""),"Quality of Items")</f>
        <v>Quality of Items</v>
      </c>
      <c r="K1726" s="18" t="str">
        <f>IFERROR(__xludf.DUMMYFUNCTION("""COMPUTED_VALUE"""),"Perfect condition")</f>
        <v>Perfect condition</v>
      </c>
      <c r="L1726" s="18">
        <f>iferror(VLOOKUP($D1726,Details!$A$2:$C$11,2,false),vlookup($D1726,Details!$E$2:$G$11,2,false))</f>
        <v>270</v>
      </c>
      <c r="M1726" s="18" t="str">
        <f>iferror(VLOOKUP($D1726,Details!$A$2:$C$11,3,false),vlookup($D1726,Details!$E$2:$G$11,3,false))</f>
        <v>Snacks and Drinks</v>
      </c>
      <c r="N1726" s="18">
        <f t="shared" si="1"/>
        <v>1350</v>
      </c>
      <c r="O1726" s="17"/>
      <c r="P1726" s="17"/>
      <c r="Q1726" s="17"/>
      <c r="R1726" s="17"/>
      <c r="S1726" s="17"/>
      <c r="T1726" s="17"/>
      <c r="U1726" s="17"/>
      <c r="V1726" s="17"/>
      <c r="W1726" s="17"/>
      <c r="X1726" s="17"/>
      <c r="Y1726" s="17"/>
      <c r="Z1726" s="17"/>
    </row>
    <row r="1727">
      <c r="A1727" s="18" t="str">
        <f>IFERROR(__xludf.DUMMYFUNCTION("""COMPUTED_VALUE"""),"ord_71705")</f>
        <v>ord_71705</v>
      </c>
      <c r="B1727" s="18" t="str">
        <f>IFERROR(__xludf.DUMMYFUNCTION("""COMPUTED_VALUE"""),"Tanishq Bansal")</f>
        <v>Tanishq Bansal</v>
      </c>
      <c r="C1727" s="18" t="str">
        <f>IFERROR(__xludf.DUMMYFUNCTION("""COMPUTED_VALUE"""),"Powai")</f>
        <v>Powai</v>
      </c>
      <c r="D1727" s="18" t="str">
        <f>IFERROR(__xludf.DUMMYFUNCTION("""COMPUTED_VALUE"""),"Onion")</f>
        <v>Onion</v>
      </c>
      <c r="E1727" s="18">
        <f>IFERROR(__xludf.DUMMYFUNCTION("""COMPUTED_VALUE"""),1.0)</f>
        <v>1</v>
      </c>
      <c r="F1727" s="18" t="str">
        <f>IFERROR(__xludf.DUMMYFUNCTION("""COMPUTED_VALUE"""),"Not Assigned")</f>
        <v>Not Assigned</v>
      </c>
      <c r="G1727" s="19">
        <f>IFERROR(__xludf.DUMMYFUNCTION("""COMPUTED_VALUE"""),45220.0)</f>
        <v>45220</v>
      </c>
      <c r="H1727" s="18" t="str">
        <f>IFERROR(__xludf.DUMMYFUNCTION("""COMPUTED_VALUE"""),"Credit Card")</f>
        <v>Credit Card</v>
      </c>
      <c r="I1727" s="18" t="str">
        <f>IFERROR(__xludf.DUMMYFUNCTION("""COMPUTED_VALUE"""),"Cancelled")</f>
        <v>Cancelled</v>
      </c>
      <c r="J1727" s="18" t="str">
        <f>IFERROR(__xludf.DUMMYFUNCTION("""COMPUTED_VALUE"""),"Payment Issues")</f>
        <v>Payment Issues</v>
      </c>
      <c r="K1727" s="18"/>
      <c r="L1727" s="18">
        <f>iferror(VLOOKUP($D1727,Details!$A$2:$C$11,2,false),vlookup($D1727,Details!$E$2:$G$11,2,false))</f>
        <v>84</v>
      </c>
      <c r="M1727" s="18" t="str">
        <f>iferror(VLOOKUP($D1727,Details!$A$2:$C$11,3,false),vlookup($D1727,Details!$E$2:$G$11,3,false))</f>
        <v>Fruits and Vegetables</v>
      </c>
      <c r="N1727" s="18">
        <f t="shared" si="1"/>
        <v>84</v>
      </c>
      <c r="O1727" s="17"/>
      <c r="P1727" s="17"/>
      <c r="Q1727" s="17"/>
      <c r="R1727" s="17"/>
      <c r="S1727" s="17"/>
      <c r="T1727" s="17"/>
      <c r="U1727" s="17"/>
      <c r="V1727" s="17"/>
      <c r="W1727" s="17"/>
      <c r="X1727" s="17"/>
      <c r="Y1727" s="17"/>
      <c r="Z1727" s="17"/>
    </row>
    <row r="1728">
      <c r="A1728" s="18" t="str">
        <f>IFERROR(__xludf.DUMMYFUNCTION("""COMPUTED_VALUE"""),"ord_71706")</f>
        <v>ord_71706</v>
      </c>
      <c r="B1728" s="18" t="str">
        <f>IFERROR(__xludf.DUMMYFUNCTION("""COMPUTED_VALUE"""),"Pallavi Ghosh")</f>
        <v>Pallavi Ghosh</v>
      </c>
      <c r="C1728" s="18" t="str">
        <f>IFERROR(__xludf.DUMMYFUNCTION("""COMPUTED_VALUE"""),"Bandra")</f>
        <v>Bandra</v>
      </c>
      <c r="D1728" s="18" t="str">
        <f>IFERROR(__xludf.DUMMYFUNCTION("""COMPUTED_VALUE"""),"Guava")</f>
        <v>Guava</v>
      </c>
      <c r="E1728" s="18">
        <f>IFERROR(__xludf.DUMMYFUNCTION("""COMPUTED_VALUE"""),2.0)</f>
        <v>2</v>
      </c>
      <c r="F1728" s="18" t="str">
        <f>IFERROR(__xludf.DUMMYFUNCTION("""COMPUTED_VALUE"""),"Not Assigned")</f>
        <v>Not Assigned</v>
      </c>
      <c r="G1728" s="19">
        <f>IFERROR(__xludf.DUMMYFUNCTION("""COMPUTED_VALUE"""),44950.0)</f>
        <v>44950</v>
      </c>
      <c r="H1728" s="18" t="str">
        <f>IFERROR(__xludf.DUMMYFUNCTION("""COMPUTED_VALUE"""),"Credit Card")</f>
        <v>Credit Card</v>
      </c>
      <c r="I1728" s="18" t="str">
        <f>IFERROR(__xludf.DUMMYFUNCTION("""COMPUTED_VALUE"""),"Cancelled")</f>
        <v>Cancelled</v>
      </c>
      <c r="J1728" s="18" t="str">
        <f>IFERROR(__xludf.DUMMYFUNCTION("""COMPUTED_VALUE"""),"Out of Stock")</f>
        <v>Out of Stock</v>
      </c>
      <c r="K1728" s="18"/>
      <c r="L1728" s="18">
        <f>iferror(VLOOKUP($D1728,Details!$A$2:$C$11,2,false),vlookup($D1728,Details!$E$2:$G$11,2,false))</f>
        <v>70</v>
      </c>
      <c r="M1728" s="18" t="str">
        <f>iferror(VLOOKUP($D1728,Details!$A$2:$C$11,3,false),vlookup($D1728,Details!$E$2:$G$11,3,false))</f>
        <v>Fruits and Vegetables</v>
      </c>
      <c r="N1728" s="18">
        <f t="shared" si="1"/>
        <v>140</v>
      </c>
      <c r="O1728" s="17"/>
      <c r="P1728" s="17"/>
      <c r="Q1728" s="17"/>
      <c r="R1728" s="17"/>
      <c r="S1728" s="17"/>
      <c r="T1728" s="17"/>
      <c r="U1728" s="17"/>
      <c r="V1728" s="17"/>
      <c r="W1728" s="17"/>
      <c r="X1728" s="17"/>
      <c r="Y1728" s="17"/>
      <c r="Z1728" s="17"/>
    </row>
    <row r="1729">
      <c r="A1729" s="18" t="str">
        <f>IFERROR(__xludf.DUMMYFUNCTION("""COMPUTED_VALUE"""),"ord_71707")</f>
        <v>ord_71707</v>
      </c>
      <c r="B1729" s="18" t="str">
        <f>IFERROR(__xludf.DUMMYFUNCTION("""COMPUTED_VALUE"""),"Kavya Menon")</f>
        <v>Kavya Menon</v>
      </c>
      <c r="C1729" s="18" t="str">
        <f>IFERROR(__xludf.DUMMYFUNCTION("""COMPUTED_VALUE"""),"Andheri")</f>
        <v>Andheri</v>
      </c>
      <c r="D1729" s="18" t="str">
        <f>IFERROR(__xludf.DUMMYFUNCTION("""COMPUTED_VALUE"""),"Chocolate Mousse")</f>
        <v>Chocolate Mousse</v>
      </c>
      <c r="E1729" s="18">
        <f>IFERROR(__xludf.DUMMYFUNCTION("""COMPUTED_VALUE"""),6.0)</f>
        <v>6</v>
      </c>
      <c r="F1729" s="18" t="str">
        <f>IFERROR(__xludf.DUMMYFUNCTION("""COMPUTED_VALUE"""),"Vivek Kumar")</f>
        <v>Vivek Kumar</v>
      </c>
      <c r="G1729" s="19">
        <f>IFERROR(__xludf.DUMMYFUNCTION("""COMPUTED_VALUE"""),45059.0)</f>
        <v>45059</v>
      </c>
      <c r="H1729" s="18" t="str">
        <f>IFERROR(__xludf.DUMMYFUNCTION("""COMPUTED_VALUE"""),"Online Payment")</f>
        <v>Online Payment</v>
      </c>
      <c r="I1729" s="18" t="str">
        <f>IFERROR(__xludf.DUMMYFUNCTION("""COMPUTED_VALUE"""),"Delivered")</f>
        <v>Delivered</v>
      </c>
      <c r="J1729" s="18" t="str">
        <f>IFERROR(__xludf.DUMMYFUNCTION("""COMPUTED_VALUE"""),"On-time Delivery")</f>
        <v>On-time Delivery</v>
      </c>
      <c r="K1729" s="18" t="str">
        <f>IFERROR(__xludf.DUMMYFUNCTION("""COMPUTED_VALUE"""),"Delivered on time")</f>
        <v>Delivered on time</v>
      </c>
      <c r="L1729" s="18">
        <f>iferror(VLOOKUP($D1729,Details!$A$2:$C$11,2,false),vlookup($D1729,Details!$E$2:$G$11,2,false))</f>
        <v>145</v>
      </c>
      <c r="M1729" s="18" t="str">
        <f>iferror(VLOOKUP($D1729,Details!$A$2:$C$11,3,false),vlookup($D1729,Details!$E$2:$G$11,3,false))</f>
        <v>Snacks and Drinks</v>
      </c>
      <c r="N1729" s="18">
        <f t="shared" si="1"/>
        <v>870</v>
      </c>
      <c r="O1729" s="17"/>
      <c r="P1729" s="17"/>
      <c r="Q1729" s="17"/>
      <c r="R1729" s="17"/>
      <c r="S1729" s="17"/>
      <c r="T1729" s="17"/>
      <c r="U1729" s="17"/>
      <c r="V1729" s="17"/>
      <c r="W1729" s="17"/>
      <c r="X1729" s="17"/>
      <c r="Y1729" s="17"/>
      <c r="Z1729" s="17"/>
    </row>
    <row r="1730">
      <c r="A1730" s="18" t="str">
        <f>IFERROR(__xludf.DUMMYFUNCTION("""COMPUTED_VALUE"""),"ord_71708")</f>
        <v>ord_71708</v>
      </c>
      <c r="B1730" s="18" t="str">
        <f>IFERROR(__xludf.DUMMYFUNCTION("""COMPUTED_VALUE"""),"Kavya Menon")</f>
        <v>Kavya Menon</v>
      </c>
      <c r="C1730" s="18" t="str">
        <f>IFERROR(__xludf.DUMMYFUNCTION("""COMPUTED_VALUE"""),"Andheri")</f>
        <v>Andheri</v>
      </c>
      <c r="D1730" s="18" t="str">
        <f>IFERROR(__xludf.DUMMYFUNCTION("""COMPUTED_VALUE"""),"Guava")</f>
        <v>Guava</v>
      </c>
      <c r="E1730" s="18">
        <f>IFERROR(__xludf.DUMMYFUNCTION("""COMPUTED_VALUE"""),3.0)</f>
        <v>3</v>
      </c>
      <c r="F1730" s="18" t="str">
        <f>IFERROR(__xludf.DUMMYFUNCTION("""COMPUTED_VALUE"""),"Sita T")</f>
        <v>Sita T</v>
      </c>
      <c r="G1730" s="19">
        <f>IFERROR(__xludf.DUMMYFUNCTION("""COMPUTED_VALUE"""),45274.0)</f>
        <v>45274</v>
      </c>
      <c r="H1730" s="18" t="str">
        <f>IFERROR(__xludf.DUMMYFUNCTION("""COMPUTED_VALUE"""),"Online Payment")</f>
        <v>Online Payment</v>
      </c>
      <c r="I1730" s="18" t="str">
        <f>IFERROR(__xludf.DUMMYFUNCTION("""COMPUTED_VALUE"""),"Delivered")</f>
        <v>Delivered</v>
      </c>
      <c r="J1730" s="18" t="str">
        <f>IFERROR(__xludf.DUMMYFUNCTION("""COMPUTED_VALUE"""),"Quality of Items")</f>
        <v>Quality of Items</v>
      </c>
      <c r="K1730" s="18" t="str">
        <f>IFERROR(__xludf.DUMMYFUNCTION("""COMPUTED_VALUE"""),"Perfect condition")</f>
        <v>Perfect condition</v>
      </c>
      <c r="L1730" s="18">
        <f>iferror(VLOOKUP($D1730,Details!$A$2:$C$11,2,false),vlookup($D1730,Details!$E$2:$G$11,2,false))</f>
        <v>70</v>
      </c>
      <c r="M1730" s="18" t="str">
        <f>iferror(VLOOKUP($D1730,Details!$A$2:$C$11,3,false),vlookup($D1730,Details!$E$2:$G$11,3,false))</f>
        <v>Fruits and Vegetables</v>
      </c>
      <c r="N1730" s="18">
        <f t="shared" si="1"/>
        <v>210</v>
      </c>
      <c r="O1730" s="17"/>
      <c r="P1730" s="17"/>
      <c r="Q1730" s="17"/>
      <c r="R1730" s="17"/>
      <c r="S1730" s="17"/>
      <c r="T1730" s="17"/>
      <c r="U1730" s="17"/>
      <c r="V1730" s="17"/>
      <c r="W1730" s="17"/>
      <c r="X1730" s="17"/>
      <c r="Y1730" s="17"/>
      <c r="Z1730" s="17"/>
    </row>
    <row r="1731">
      <c r="A1731" s="18" t="str">
        <f>IFERROR(__xludf.DUMMYFUNCTION("""COMPUTED_VALUE"""),"ord_71709")</f>
        <v>ord_71709</v>
      </c>
      <c r="B1731" s="18" t="str">
        <f>IFERROR(__xludf.DUMMYFUNCTION("""COMPUTED_VALUE"""),"Siya Reddy")</f>
        <v>Siya Reddy</v>
      </c>
      <c r="C1731" s="18" t="str">
        <f>IFERROR(__xludf.DUMMYFUNCTION("""COMPUTED_VALUE"""),"Juhu")</f>
        <v>Juhu</v>
      </c>
      <c r="D1731" s="18" t="str">
        <f>IFERROR(__xludf.DUMMYFUNCTION("""COMPUTED_VALUE"""),"Guava")</f>
        <v>Guava</v>
      </c>
      <c r="E1731" s="18">
        <f>IFERROR(__xludf.DUMMYFUNCTION("""COMPUTED_VALUE"""),1.0)</f>
        <v>1</v>
      </c>
      <c r="F1731" s="18" t="str">
        <f>IFERROR(__xludf.DUMMYFUNCTION("""COMPUTED_VALUE"""),"Sita T")</f>
        <v>Sita T</v>
      </c>
      <c r="G1731" s="19">
        <f>IFERROR(__xludf.DUMMYFUNCTION("""COMPUTED_VALUE"""),44993.0)</f>
        <v>44993</v>
      </c>
      <c r="H1731" s="18" t="str">
        <f>IFERROR(__xludf.DUMMYFUNCTION("""COMPUTED_VALUE"""),"UPI")</f>
        <v>UPI</v>
      </c>
      <c r="I1731" s="18" t="str">
        <f>IFERROR(__xludf.DUMMYFUNCTION("""COMPUTED_VALUE"""),"Delivered")</f>
        <v>Delivered</v>
      </c>
      <c r="J1731" s="18" t="str">
        <f>IFERROR(__xludf.DUMMYFUNCTION("""COMPUTED_VALUE"""),"Packaging")</f>
        <v>Packaging</v>
      </c>
      <c r="K1731" s="18" t="str">
        <f>IFERROR(__xludf.DUMMYFUNCTION("""COMPUTED_VALUE"""),"Secure and intact")</f>
        <v>Secure and intact</v>
      </c>
      <c r="L1731" s="18">
        <f>iferror(VLOOKUP($D1731,Details!$A$2:$C$11,2,false),vlookup($D1731,Details!$E$2:$G$11,2,false))</f>
        <v>70</v>
      </c>
      <c r="M1731" s="18" t="str">
        <f>iferror(VLOOKUP($D1731,Details!$A$2:$C$11,3,false),vlookup($D1731,Details!$E$2:$G$11,3,false))</f>
        <v>Fruits and Vegetables</v>
      </c>
      <c r="N1731" s="18">
        <f t="shared" si="1"/>
        <v>70</v>
      </c>
      <c r="O1731" s="17"/>
      <c r="P1731" s="17"/>
      <c r="Q1731" s="17"/>
      <c r="R1731" s="17"/>
      <c r="S1731" s="17"/>
      <c r="T1731" s="17"/>
      <c r="U1731" s="17"/>
      <c r="V1731" s="17"/>
      <c r="W1731" s="17"/>
      <c r="X1731" s="17"/>
      <c r="Y1731" s="17"/>
      <c r="Z1731" s="17"/>
    </row>
    <row r="1732">
      <c r="A1732" s="18" t="str">
        <f>IFERROR(__xludf.DUMMYFUNCTION("""COMPUTED_VALUE"""),"ord_71710")</f>
        <v>ord_71710</v>
      </c>
      <c r="B1732" s="18" t="str">
        <f>IFERROR(__xludf.DUMMYFUNCTION("""COMPUTED_VALUE"""),"Dev Chauhan")</f>
        <v>Dev Chauhan</v>
      </c>
      <c r="C1732" s="18" t="str">
        <f>IFERROR(__xludf.DUMMYFUNCTION("""COMPUTED_VALUE"""),"Bandra")</f>
        <v>Bandra</v>
      </c>
      <c r="D1732" s="18" t="str">
        <f>IFERROR(__xludf.DUMMYFUNCTION("""COMPUTED_VALUE"""),"Tiramisu")</f>
        <v>Tiramisu</v>
      </c>
      <c r="E1732" s="18">
        <f>IFERROR(__xludf.DUMMYFUNCTION("""COMPUTED_VALUE"""),4.0)</f>
        <v>4</v>
      </c>
      <c r="F1732" s="18" t="str">
        <f>IFERROR(__xludf.DUMMYFUNCTION("""COMPUTED_VALUE"""),"Not Assigned")</f>
        <v>Not Assigned</v>
      </c>
      <c r="G1732" s="19">
        <f>IFERROR(__xludf.DUMMYFUNCTION("""COMPUTED_VALUE"""),45109.0)</f>
        <v>45109</v>
      </c>
      <c r="H1732" s="18" t="str">
        <f>IFERROR(__xludf.DUMMYFUNCTION("""COMPUTED_VALUE"""),"Credit Card")</f>
        <v>Credit Card</v>
      </c>
      <c r="I1732" s="18" t="str">
        <f>IFERROR(__xludf.DUMMYFUNCTION("""COMPUTED_VALUE"""),"Cancelled")</f>
        <v>Cancelled</v>
      </c>
      <c r="J1732" s="18" t="str">
        <f>IFERROR(__xludf.DUMMYFUNCTION("""COMPUTED_VALUE"""),"App Glitches")</f>
        <v>App Glitches</v>
      </c>
      <c r="K1732" s="18" t="str">
        <f>IFERROR(__xludf.DUMMYFUNCTION("""COMPUTED_VALUE"""),"Payment Button Malfunction")</f>
        <v>Payment Button Malfunction</v>
      </c>
      <c r="L1732" s="18">
        <f>iferror(VLOOKUP($D1732,Details!$A$2:$C$11,2,false),vlookup($D1732,Details!$E$2:$G$11,2,false))</f>
        <v>150</v>
      </c>
      <c r="M1732" s="18" t="str">
        <f>iferror(VLOOKUP($D1732,Details!$A$2:$C$11,3,false),vlookup($D1732,Details!$E$2:$G$11,3,false))</f>
        <v>Snacks and Drinks</v>
      </c>
      <c r="N1732" s="18">
        <f t="shared" si="1"/>
        <v>600</v>
      </c>
      <c r="O1732" s="17"/>
      <c r="P1732" s="17"/>
      <c r="Q1732" s="17"/>
      <c r="R1732" s="17"/>
      <c r="S1732" s="17"/>
      <c r="T1732" s="17"/>
      <c r="U1732" s="17"/>
      <c r="V1732" s="17"/>
      <c r="W1732" s="17"/>
      <c r="X1732" s="17"/>
      <c r="Y1732" s="17"/>
      <c r="Z1732" s="17"/>
    </row>
    <row r="1733">
      <c r="A1733" s="18" t="str">
        <f>IFERROR(__xludf.DUMMYFUNCTION("""COMPUTED_VALUE"""),"ord_71711")</f>
        <v>ord_71711</v>
      </c>
      <c r="B1733" s="18" t="str">
        <f>IFERROR(__xludf.DUMMYFUNCTION("""COMPUTED_VALUE"""),"Diya Arora")</f>
        <v>Diya Arora</v>
      </c>
      <c r="C1733" s="18" t="str">
        <f>IFERROR(__xludf.DUMMYFUNCTION("""COMPUTED_VALUE"""),"Lower Parel")</f>
        <v>Lower Parel</v>
      </c>
      <c r="D1733" s="18" t="str">
        <f>IFERROR(__xludf.DUMMYFUNCTION("""COMPUTED_VALUE"""),"Cold Coffee")</f>
        <v>Cold Coffee</v>
      </c>
      <c r="E1733" s="18">
        <f>IFERROR(__xludf.DUMMYFUNCTION("""COMPUTED_VALUE"""),5.0)</f>
        <v>5</v>
      </c>
      <c r="F1733" s="18" t="str">
        <f>IFERROR(__xludf.DUMMYFUNCTION("""COMPUTED_VALUE"""),"Not Assigned")</f>
        <v>Not Assigned</v>
      </c>
      <c r="G1733" s="19">
        <f>IFERROR(__xludf.DUMMYFUNCTION("""COMPUTED_VALUE"""),45064.0)</f>
        <v>45064</v>
      </c>
      <c r="H1733" s="18" t="str">
        <f>IFERROR(__xludf.DUMMYFUNCTION("""COMPUTED_VALUE"""),"Credit Card")</f>
        <v>Credit Card</v>
      </c>
      <c r="I1733" s="18" t="str">
        <f>IFERROR(__xludf.DUMMYFUNCTION("""COMPUTED_VALUE"""),"Cancelled")</f>
        <v>Cancelled</v>
      </c>
      <c r="J1733" s="18" t="str">
        <f>IFERROR(__xludf.DUMMYFUNCTION("""COMPUTED_VALUE"""),"App Glitches")</f>
        <v>App Glitches</v>
      </c>
      <c r="K1733" s="18" t="str">
        <f>IFERROR(__xludf.DUMMYFUNCTION("""COMPUTED_VALUE"""),"App Freezes")</f>
        <v>App Freezes</v>
      </c>
      <c r="L1733" s="18">
        <f>iferror(VLOOKUP($D1733,Details!$A$2:$C$11,2,false),vlookup($D1733,Details!$E$2:$G$11,2,false))</f>
        <v>270</v>
      </c>
      <c r="M1733" s="18" t="str">
        <f>iferror(VLOOKUP($D1733,Details!$A$2:$C$11,3,false),vlookup($D1733,Details!$E$2:$G$11,3,false))</f>
        <v>Snacks and Drinks</v>
      </c>
      <c r="N1733" s="18">
        <f t="shared" si="1"/>
        <v>1350</v>
      </c>
      <c r="O1733" s="17"/>
      <c r="P1733" s="17"/>
      <c r="Q1733" s="17"/>
      <c r="R1733" s="17"/>
      <c r="S1733" s="17"/>
      <c r="T1733" s="17"/>
      <c r="U1733" s="17"/>
      <c r="V1733" s="17"/>
      <c r="W1733" s="17"/>
      <c r="X1733" s="17"/>
      <c r="Y1733" s="17"/>
      <c r="Z1733" s="17"/>
    </row>
    <row r="1734">
      <c r="A1734" s="18" t="str">
        <f>IFERROR(__xludf.DUMMYFUNCTION("""COMPUTED_VALUE"""),"ord_71712")</f>
        <v>ord_71712</v>
      </c>
      <c r="B1734" s="18" t="str">
        <f>IFERROR(__xludf.DUMMYFUNCTION("""COMPUTED_VALUE"""),"Diya Arora")</f>
        <v>Diya Arora</v>
      </c>
      <c r="C1734" s="18" t="str">
        <f>IFERROR(__xludf.DUMMYFUNCTION("""COMPUTED_VALUE"""),"Lower Parel")</f>
        <v>Lower Parel</v>
      </c>
      <c r="D1734" s="18" t="str">
        <f>IFERROR(__xludf.DUMMYFUNCTION("""COMPUTED_VALUE"""),"Cold Coffee")</f>
        <v>Cold Coffee</v>
      </c>
      <c r="E1734" s="18">
        <f>IFERROR(__xludf.DUMMYFUNCTION("""COMPUTED_VALUE"""),5.0)</f>
        <v>5</v>
      </c>
      <c r="F1734" s="18" t="str">
        <f>IFERROR(__xludf.DUMMYFUNCTION("""COMPUTED_VALUE"""),"Kiran Mehta")</f>
        <v>Kiran Mehta</v>
      </c>
      <c r="G1734" s="19">
        <f>IFERROR(__xludf.DUMMYFUNCTION("""COMPUTED_VALUE"""),45288.0)</f>
        <v>45288</v>
      </c>
      <c r="H1734" s="18" t="str">
        <f>IFERROR(__xludf.DUMMYFUNCTION("""COMPUTED_VALUE"""),"UPI")</f>
        <v>UPI</v>
      </c>
      <c r="I1734" s="18" t="str">
        <f>IFERROR(__xludf.DUMMYFUNCTION("""COMPUTED_VALUE"""),"Delivered")</f>
        <v>Delivered</v>
      </c>
      <c r="J1734" s="18" t="str">
        <f>IFERROR(__xludf.DUMMYFUNCTION("""COMPUTED_VALUE"""),"Satisfied with the Delivery")</f>
        <v>Satisfied with the Delivery</v>
      </c>
      <c r="K1734" s="18" t="str">
        <f>IFERROR(__xludf.DUMMYFUNCTION("""COMPUTED_VALUE"""),"Timely and quality")</f>
        <v>Timely and quality</v>
      </c>
      <c r="L1734" s="18">
        <f>iferror(VLOOKUP($D1734,Details!$A$2:$C$11,2,false),vlookup($D1734,Details!$E$2:$G$11,2,false))</f>
        <v>270</v>
      </c>
      <c r="M1734" s="18" t="str">
        <f>iferror(VLOOKUP($D1734,Details!$A$2:$C$11,3,false),vlookup($D1734,Details!$E$2:$G$11,3,false))</f>
        <v>Snacks and Drinks</v>
      </c>
      <c r="N1734" s="18">
        <f t="shared" si="1"/>
        <v>1350</v>
      </c>
      <c r="O1734" s="17"/>
      <c r="P1734" s="17"/>
      <c r="Q1734" s="17"/>
      <c r="R1734" s="17"/>
      <c r="S1734" s="17"/>
      <c r="T1734" s="17"/>
      <c r="U1734" s="17"/>
      <c r="V1734" s="17"/>
      <c r="W1734" s="17"/>
      <c r="X1734" s="17"/>
      <c r="Y1734" s="17"/>
      <c r="Z1734" s="17"/>
    </row>
    <row r="1735">
      <c r="A1735" s="18" t="str">
        <f>IFERROR(__xludf.DUMMYFUNCTION("""COMPUTED_VALUE"""),"ord_71713")</f>
        <v>ord_71713</v>
      </c>
      <c r="B1735" s="18" t="str">
        <f>IFERROR(__xludf.DUMMYFUNCTION("""COMPUTED_VALUE"""),"Diya Arora")</f>
        <v>Diya Arora</v>
      </c>
      <c r="C1735" s="18" t="str">
        <f>IFERROR(__xludf.DUMMYFUNCTION("""COMPUTED_VALUE"""),"Lower Parel")</f>
        <v>Lower Parel</v>
      </c>
      <c r="D1735" s="18" t="str">
        <f>IFERROR(__xludf.DUMMYFUNCTION("""COMPUTED_VALUE"""),"Icecream")</f>
        <v>Icecream</v>
      </c>
      <c r="E1735" s="18">
        <f>IFERROR(__xludf.DUMMYFUNCTION("""COMPUTED_VALUE"""),3.0)</f>
        <v>3</v>
      </c>
      <c r="F1735" s="18" t="str">
        <f>IFERROR(__xludf.DUMMYFUNCTION("""COMPUTED_VALUE"""),"Kiran Mehta")</f>
        <v>Kiran Mehta</v>
      </c>
      <c r="G1735" s="19">
        <f>IFERROR(__xludf.DUMMYFUNCTION("""COMPUTED_VALUE"""),45141.0)</f>
        <v>45141</v>
      </c>
      <c r="H1735" s="18" t="str">
        <f>IFERROR(__xludf.DUMMYFUNCTION("""COMPUTED_VALUE"""),"UPI")</f>
        <v>UPI</v>
      </c>
      <c r="I1735" s="18" t="str">
        <f>IFERROR(__xludf.DUMMYFUNCTION("""COMPUTED_VALUE"""),"Delivered")</f>
        <v>Delivered</v>
      </c>
      <c r="J1735" s="18" t="str">
        <f>IFERROR(__xludf.DUMMYFUNCTION("""COMPUTED_VALUE"""),"Customer Service")</f>
        <v>Customer Service</v>
      </c>
      <c r="K1735" s="18" t="str">
        <f>IFERROR(__xludf.DUMMYFUNCTION("""COMPUTED_VALUE"""),"Seamless and easy")</f>
        <v>Seamless and easy</v>
      </c>
      <c r="L1735" s="18">
        <f>iferror(VLOOKUP($D1735,Details!$A$2:$C$11,2,false),vlookup($D1735,Details!$E$2:$G$11,2,false))</f>
        <v>90</v>
      </c>
      <c r="M1735" s="18" t="str">
        <f>iferror(VLOOKUP($D1735,Details!$A$2:$C$11,3,false),vlookup($D1735,Details!$E$2:$G$11,3,false))</f>
        <v>Snacks and Drinks</v>
      </c>
      <c r="N1735" s="18">
        <f t="shared" si="1"/>
        <v>270</v>
      </c>
      <c r="O1735" s="17"/>
      <c r="P1735" s="17"/>
      <c r="Q1735" s="17"/>
      <c r="R1735" s="17"/>
      <c r="S1735" s="17"/>
      <c r="T1735" s="17"/>
      <c r="U1735" s="17"/>
      <c r="V1735" s="17"/>
      <c r="W1735" s="17"/>
      <c r="X1735" s="17"/>
      <c r="Y1735" s="17"/>
      <c r="Z1735" s="17"/>
    </row>
    <row r="1736">
      <c r="A1736" s="18" t="str">
        <f>IFERROR(__xludf.DUMMYFUNCTION("""COMPUTED_VALUE"""),"ord_71714")</f>
        <v>ord_71714</v>
      </c>
      <c r="B1736" s="18" t="str">
        <f>IFERROR(__xludf.DUMMYFUNCTION("""COMPUTED_VALUE"""),"Parth Goel")</f>
        <v>Parth Goel</v>
      </c>
      <c r="C1736" s="18" t="str">
        <f>IFERROR(__xludf.DUMMYFUNCTION("""COMPUTED_VALUE"""),"Juhu")</f>
        <v>Juhu</v>
      </c>
      <c r="D1736" s="18" t="str">
        <f>IFERROR(__xludf.DUMMYFUNCTION("""COMPUTED_VALUE"""),"Chocolate Mousse")</f>
        <v>Chocolate Mousse</v>
      </c>
      <c r="E1736" s="18">
        <f>IFERROR(__xludf.DUMMYFUNCTION("""COMPUTED_VALUE"""),4.0)</f>
        <v>4</v>
      </c>
      <c r="F1736" s="18" t="str">
        <f>IFERROR(__xludf.DUMMYFUNCTION("""COMPUTED_VALUE"""),"Not Assigned")</f>
        <v>Not Assigned</v>
      </c>
      <c r="G1736" s="19">
        <f>IFERROR(__xludf.DUMMYFUNCTION("""COMPUTED_VALUE"""),45270.0)</f>
        <v>45270</v>
      </c>
      <c r="H1736" s="18" t="str">
        <f>IFERROR(__xludf.DUMMYFUNCTION("""COMPUTED_VALUE"""),"UPI")</f>
        <v>UPI</v>
      </c>
      <c r="I1736" s="18" t="str">
        <f>IFERROR(__xludf.DUMMYFUNCTION("""COMPUTED_VALUE"""),"Cancelled")</f>
        <v>Cancelled</v>
      </c>
      <c r="J1736" s="18" t="str">
        <f>IFERROR(__xludf.DUMMYFUNCTION("""COMPUTED_VALUE"""),"App Glitches")</f>
        <v>App Glitches</v>
      </c>
      <c r="K1736" s="18" t="str">
        <f>IFERROR(__xludf.DUMMYFUNCTION("""COMPUTED_VALUE"""),"Slow Loading Time")</f>
        <v>Slow Loading Time</v>
      </c>
      <c r="L1736" s="18">
        <f>iferror(VLOOKUP($D1736,Details!$A$2:$C$11,2,false),vlookup($D1736,Details!$E$2:$G$11,2,false))</f>
        <v>145</v>
      </c>
      <c r="M1736" s="18" t="str">
        <f>iferror(VLOOKUP($D1736,Details!$A$2:$C$11,3,false),vlookup($D1736,Details!$E$2:$G$11,3,false))</f>
        <v>Snacks and Drinks</v>
      </c>
      <c r="N1736" s="18">
        <f t="shared" si="1"/>
        <v>580</v>
      </c>
      <c r="O1736" s="17"/>
      <c r="P1736" s="17"/>
      <c r="Q1736" s="17"/>
      <c r="R1736" s="17"/>
      <c r="S1736" s="17"/>
      <c r="T1736" s="17"/>
      <c r="U1736" s="17"/>
      <c r="V1736" s="17"/>
      <c r="W1736" s="17"/>
      <c r="X1736" s="17"/>
      <c r="Y1736" s="17"/>
      <c r="Z1736" s="17"/>
    </row>
    <row r="1737">
      <c r="A1737" s="18" t="str">
        <f>IFERROR(__xludf.DUMMYFUNCTION("""COMPUTED_VALUE"""),"ord_71715")</f>
        <v>ord_71715</v>
      </c>
      <c r="B1737" s="18" t="str">
        <f>IFERROR(__xludf.DUMMYFUNCTION("""COMPUTED_VALUE"""),"Pallavi Ghosh")</f>
        <v>Pallavi Ghosh</v>
      </c>
      <c r="C1737" s="18" t="str">
        <f>IFERROR(__xludf.DUMMYFUNCTION("""COMPUTED_VALUE"""),"Bandra")</f>
        <v>Bandra</v>
      </c>
      <c r="D1737" s="18" t="str">
        <f>IFERROR(__xludf.DUMMYFUNCTION("""COMPUTED_VALUE"""),"Guava")</f>
        <v>Guava</v>
      </c>
      <c r="E1737" s="18">
        <f>IFERROR(__xludf.DUMMYFUNCTION("""COMPUTED_VALUE"""),2.0)</f>
        <v>2</v>
      </c>
      <c r="F1737" s="18" t="str">
        <f>IFERROR(__xludf.DUMMYFUNCTION("""COMPUTED_VALUE"""),"Priya Joshi")</f>
        <v>Priya Joshi</v>
      </c>
      <c r="G1737" s="19">
        <f>IFERROR(__xludf.DUMMYFUNCTION("""COMPUTED_VALUE"""),44932.0)</f>
        <v>44932</v>
      </c>
      <c r="H1737" s="18" t="str">
        <f>IFERROR(__xludf.DUMMYFUNCTION("""COMPUTED_VALUE"""),"Credit Card")</f>
        <v>Credit Card</v>
      </c>
      <c r="I1737" s="18" t="str">
        <f>IFERROR(__xludf.DUMMYFUNCTION("""COMPUTED_VALUE"""),"Delivered")</f>
        <v>Delivered</v>
      </c>
      <c r="J1737" s="18" t="str">
        <f>IFERROR(__xludf.DUMMYFUNCTION("""COMPUTED_VALUE"""),"Delivery Experience")</f>
        <v>Delivery Experience</v>
      </c>
      <c r="K1737" s="18" t="str">
        <f>IFERROR(__xludf.DUMMYFUNCTION("""COMPUTED_VALUE"""),"Quick and professional")</f>
        <v>Quick and professional</v>
      </c>
      <c r="L1737" s="18">
        <f>iferror(VLOOKUP($D1737,Details!$A$2:$C$11,2,false),vlookup($D1737,Details!$E$2:$G$11,2,false))</f>
        <v>70</v>
      </c>
      <c r="M1737" s="18" t="str">
        <f>iferror(VLOOKUP($D1737,Details!$A$2:$C$11,3,false),vlookup($D1737,Details!$E$2:$G$11,3,false))</f>
        <v>Fruits and Vegetables</v>
      </c>
      <c r="N1737" s="18">
        <f t="shared" si="1"/>
        <v>140</v>
      </c>
      <c r="O1737" s="17"/>
      <c r="P1737" s="17"/>
      <c r="Q1737" s="17"/>
      <c r="R1737" s="17"/>
      <c r="S1737" s="17"/>
      <c r="T1737" s="17"/>
      <c r="U1737" s="17"/>
      <c r="V1737" s="17"/>
      <c r="W1737" s="17"/>
      <c r="X1737" s="17"/>
      <c r="Y1737" s="17"/>
      <c r="Z1737" s="17"/>
    </row>
    <row r="1738">
      <c r="A1738" s="18" t="str">
        <f>IFERROR(__xludf.DUMMYFUNCTION("""COMPUTED_VALUE"""),"ord_71716")</f>
        <v>ord_71716</v>
      </c>
      <c r="B1738" s="18" t="str">
        <f>IFERROR(__xludf.DUMMYFUNCTION("""COMPUTED_VALUE"""),"Parth Goel")</f>
        <v>Parth Goel</v>
      </c>
      <c r="C1738" s="18" t="str">
        <f>IFERROR(__xludf.DUMMYFUNCTION("""COMPUTED_VALUE"""),"Juhu")</f>
        <v>Juhu</v>
      </c>
      <c r="D1738" s="18" t="str">
        <f>IFERROR(__xludf.DUMMYFUNCTION("""COMPUTED_VALUE"""),"Papaya")</f>
        <v>Papaya</v>
      </c>
      <c r="E1738" s="18">
        <f>IFERROR(__xludf.DUMMYFUNCTION("""COMPUTED_VALUE"""),1.0)</f>
        <v>1</v>
      </c>
      <c r="F1738" s="18" t="str">
        <f>IFERROR(__xludf.DUMMYFUNCTION("""COMPUTED_VALUE"""),"Tanvi Jain")</f>
        <v>Tanvi Jain</v>
      </c>
      <c r="G1738" s="19">
        <f>IFERROR(__xludf.DUMMYFUNCTION("""COMPUTED_VALUE"""),45075.0)</f>
        <v>45075</v>
      </c>
      <c r="H1738" s="18" t="str">
        <f>IFERROR(__xludf.DUMMYFUNCTION("""COMPUTED_VALUE"""),"Online Payment")</f>
        <v>Online Payment</v>
      </c>
      <c r="I1738" s="18" t="str">
        <f>IFERROR(__xludf.DUMMYFUNCTION("""COMPUTED_VALUE"""),"Delivered")</f>
        <v>Delivered</v>
      </c>
      <c r="J1738" s="18" t="str">
        <f>IFERROR(__xludf.DUMMYFUNCTION("""COMPUTED_VALUE"""),"Convenience")</f>
        <v>Convenience</v>
      </c>
      <c r="K1738" s="18" t="str">
        <f>IFERROR(__xludf.DUMMYFUNCTION("""COMPUTED_VALUE"""),"Easy tracking")</f>
        <v>Easy tracking</v>
      </c>
      <c r="L1738" s="18">
        <f>iferror(VLOOKUP($D1738,Details!$A$2:$C$11,2,false),vlookup($D1738,Details!$E$2:$G$11,2,false))</f>
        <v>75</v>
      </c>
      <c r="M1738" s="18" t="str">
        <f>iferror(VLOOKUP($D1738,Details!$A$2:$C$11,3,false),vlookup($D1738,Details!$E$2:$G$11,3,false))</f>
        <v>Fruits and Vegetables</v>
      </c>
      <c r="N1738" s="18">
        <f t="shared" si="1"/>
        <v>75</v>
      </c>
      <c r="O1738" s="17"/>
      <c r="P1738" s="17"/>
      <c r="Q1738" s="17"/>
      <c r="R1738" s="17"/>
      <c r="S1738" s="17"/>
      <c r="T1738" s="17"/>
      <c r="U1738" s="17"/>
      <c r="V1738" s="17"/>
      <c r="W1738" s="17"/>
      <c r="X1738" s="17"/>
      <c r="Y1738" s="17"/>
      <c r="Z1738" s="17"/>
    </row>
    <row r="1739">
      <c r="A1739" s="18" t="str">
        <f>IFERROR(__xludf.DUMMYFUNCTION("""COMPUTED_VALUE"""),"ord_71717")</f>
        <v>ord_71717</v>
      </c>
      <c r="B1739" s="18" t="str">
        <f>IFERROR(__xludf.DUMMYFUNCTION("""COMPUTED_VALUE"""),"Sakshi Tandon")</f>
        <v>Sakshi Tandon</v>
      </c>
      <c r="C1739" s="18" t="str">
        <f>IFERROR(__xludf.DUMMYFUNCTION("""COMPUTED_VALUE"""),"Colaba")</f>
        <v>Colaba</v>
      </c>
      <c r="D1739" s="18" t="str">
        <f>IFERROR(__xludf.DUMMYFUNCTION("""COMPUTED_VALUE"""),"Rasmalai")</f>
        <v>Rasmalai</v>
      </c>
      <c r="E1739" s="18">
        <f>IFERROR(__xludf.DUMMYFUNCTION("""COMPUTED_VALUE"""),1.0)</f>
        <v>1</v>
      </c>
      <c r="F1739" s="18" t="str">
        <f>IFERROR(__xludf.DUMMYFUNCTION("""COMPUTED_VALUE"""),"Not Assigned")</f>
        <v>Not Assigned</v>
      </c>
      <c r="G1739" s="19">
        <f>IFERROR(__xludf.DUMMYFUNCTION("""COMPUTED_VALUE"""),45289.0)</f>
        <v>45289</v>
      </c>
      <c r="H1739" s="18" t="str">
        <f>IFERROR(__xludf.DUMMYFUNCTION("""COMPUTED_VALUE"""),"UPI")</f>
        <v>UPI</v>
      </c>
      <c r="I1739" s="18" t="str">
        <f>IFERROR(__xludf.DUMMYFUNCTION("""COMPUTED_VALUE"""),"Cancelled")</f>
        <v>Cancelled</v>
      </c>
      <c r="J1739" s="18" t="str">
        <f>IFERROR(__xludf.DUMMYFUNCTION("""COMPUTED_VALUE"""),"App Glitches")</f>
        <v>App Glitches</v>
      </c>
      <c r="K1739" s="18" t="str">
        <f>IFERROR(__xludf.DUMMYFUNCTION("""COMPUTED_VALUE"""),"Slow Loading Time")</f>
        <v>Slow Loading Time</v>
      </c>
      <c r="L1739" s="18">
        <f>iferror(VLOOKUP($D1739,Details!$A$2:$C$11,2,false),vlookup($D1739,Details!$E$2:$G$11,2,false))</f>
        <v>110</v>
      </c>
      <c r="M1739" s="18" t="str">
        <f>iferror(VLOOKUP($D1739,Details!$A$2:$C$11,3,false),vlookup($D1739,Details!$E$2:$G$11,3,false))</f>
        <v>Snacks and Drinks</v>
      </c>
      <c r="N1739" s="18">
        <f t="shared" si="1"/>
        <v>110</v>
      </c>
      <c r="O1739" s="17"/>
      <c r="P1739" s="17"/>
      <c r="Q1739" s="17"/>
      <c r="R1739" s="17"/>
      <c r="S1739" s="17"/>
      <c r="T1739" s="17"/>
      <c r="U1739" s="17"/>
      <c r="V1739" s="17"/>
      <c r="W1739" s="17"/>
      <c r="X1739" s="17"/>
      <c r="Y1739" s="17"/>
      <c r="Z1739" s="17"/>
    </row>
    <row r="1740">
      <c r="A1740" s="18" t="str">
        <f>IFERROR(__xludf.DUMMYFUNCTION("""COMPUTED_VALUE"""),"ord_71718")</f>
        <v>ord_71718</v>
      </c>
      <c r="B1740" s="18" t="str">
        <f>IFERROR(__xludf.DUMMYFUNCTION("""COMPUTED_VALUE"""),"Omkar Mishra")</f>
        <v>Omkar Mishra</v>
      </c>
      <c r="C1740" s="18" t="str">
        <f>IFERROR(__xludf.DUMMYFUNCTION("""COMPUTED_VALUE"""),"Powai")</f>
        <v>Powai</v>
      </c>
      <c r="D1740" s="18" t="str">
        <f>IFERROR(__xludf.DUMMYFUNCTION("""COMPUTED_VALUE"""),"Banana")</f>
        <v>Banana</v>
      </c>
      <c r="E1740" s="18">
        <f>IFERROR(__xludf.DUMMYFUNCTION("""COMPUTED_VALUE"""),1.0)</f>
        <v>1</v>
      </c>
      <c r="F1740" s="18" t="str">
        <f>IFERROR(__xludf.DUMMYFUNCTION("""COMPUTED_VALUE"""),"Not Assigned")</f>
        <v>Not Assigned</v>
      </c>
      <c r="G1740" s="19">
        <f>IFERROR(__xludf.DUMMYFUNCTION("""COMPUTED_VALUE"""),45004.0)</f>
        <v>45004</v>
      </c>
      <c r="H1740" s="18" t="str">
        <f>IFERROR(__xludf.DUMMYFUNCTION("""COMPUTED_VALUE"""),"Credit Card")</f>
        <v>Credit Card</v>
      </c>
      <c r="I1740" s="18" t="str">
        <f>IFERROR(__xludf.DUMMYFUNCTION("""COMPUTED_VALUE"""),"Cancelled")</f>
        <v>Cancelled</v>
      </c>
      <c r="J1740" s="18" t="str">
        <f>IFERROR(__xludf.DUMMYFUNCTION("""COMPUTED_VALUE"""),"Payment Issues")</f>
        <v>Payment Issues</v>
      </c>
      <c r="K1740" s="18"/>
      <c r="L1740" s="18">
        <f>iferror(VLOOKUP($D1740,Details!$A$2:$C$11,2,false),vlookup($D1740,Details!$E$2:$G$11,2,false))</f>
        <v>80</v>
      </c>
      <c r="M1740" s="18" t="str">
        <f>iferror(VLOOKUP($D1740,Details!$A$2:$C$11,3,false),vlookup($D1740,Details!$E$2:$G$11,3,false))</f>
        <v>Fruits and Vegetables</v>
      </c>
      <c r="N1740" s="18">
        <f t="shared" si="1"/>
        <v>80</v>
      </c>
      <c r="O1740" s="17"/>
      <c r="P1740" s="17"/>
      <c r="Q1740" s="17"/>
      <c r="R1740" s="17"/>
      <c r="S1740" s="17"/>
      <c r="T1740" s="17"/>
      <c r="U1740" s="17"/>
      <c r="V1740" s="17"/>
      <c r="W1740" s="17"/>
      <c r="X1740" s="17"/>
      <c r="Y1740" s="17"/>
      <c r="Z1740" s="17"/>
    </row>
    <row r="1741">
      <c r="A1741" s="18" t="str">
        <f>IFERROR(__xludf.DUMMYFUNCTION("""COMPUTED_VALUE"""),"ord_71719")</f>
        <v>ord_71719</v>
      </c>
      <c r="B1741" s="18" t="str">
        <f>IFERROR(__xludf.DUMMYFUNCTION("""COMPUTED_VALUE"""),"Sakshi Tandon")</f>
        <v>Sakshi Tandon</v>
      </c>
      <c r="C1741" s="18" t="str">
        <f>IFERROR(__xludf.DUMMYFUNCTION("""COMPUTED_VALUE"""),"Colaba")</f>
        <v>Colaba</v>
      </c>
      <c r="D1741" s="18" t="str">
        <f>IFERROR(__xludf.DUMMYFUNCTION("""COMPUTED_VALUE"""),"Apple")</f>
        <v>Apple</v>
      </c>
      <c r="E1741" s="18">
        <f>IFERROR(__xludf.DUMMYFUNCTION("""COMPUTED_VALUE"""),2.0)</f>
        <v>2</v>
      </c>
      <c r="F1741" s="18" t="str">
        <f>IFERROR(__xludf.DUMMYFUNCTION("""COMPUTED_VALUE"""),"Nikhil Deshmukh")</f>
        <v>Nikhil Deshmukh</v>
      </c>
      <c r="G1741" s="19">
        <f>IFERROR(__xludf.DUMMYFUNCTION("""COMPUTED_VALUE"""),45108.0)</f>
        <v>45108</v>
      </c>
      <c r="H1741" s="18" t="str">
        <f>IFERROR(__xludf.DUMMYFUNCTION("""COMPUTED_VALUE"""),"Credit Card")</f>
        <v>Credit Card</v>
      </c>
      <c r="I1741" s="18" t="str">
        <f>IFERROR(__xludf.DUMMYFUNCTION("""COMPUTED_VALUE"""),"Delivered")</f>
        <v>Delivered</v>
      </c>
      <c r="J1741" s="18" t="str">
        <f>IFERROR(__xludf.DUMMYFUNCTION("""COMPUTED_VALUE"""),"Overall Satisfaction")</f>
        <v>Overall Satisfaction</v>
      </c>
      <c r="K1741" s="18" t="str">
        <f>IFERROR(__xludf.DUMMYFUNCTION("""COMPUTED_VALUE"""),"Great service will order again")</f>
        <v>Great service will order again</v>
      </c>
      <c r="L1741" s="18">
        <f>iferror(VLOOKUP($D1741,Details!$A$2:$C$11,2,false),vlookup($D1741,Details!$E$2:$G$11,2,false))</f>
        <v>230</v>
      </c>
      <c r="M1741" s="18" t="str">
        <f>iferror(VLOOKUP($D1741,Details!$A$2:$C$11,3,false),vlookup($D1741,Details!$E$2:$G$11,3,false))</f>
        <v>Fruits and Vegetables</v>
      </c>
      <c r="N1741" s="18">
        <f t="shared" si="1"/>
        <v>460</v>
      </c>
      <c r="O1741" s="17"/>
      <c r="P1741" s="17"/>
      <c r="Q1741" s="17"/>
      <c r="R1741" s="17"/>
      <c r="S1741" s="17"/>
      <c r="T1741" s="17"/>
      <c r="U1741" s="17"/>
      <c r="V1741" s="17"/>
      <c r="W1741" s="17"/>
      <c r="X1741" s="17"/>
      <c r="Y1741" s="17"/>
      <c r="Z1741" s="17"/>
    </row>
    <row r="1742">
      <c r="A1742" s="18" t="str">
        <f>IFERROR(__xludf.DUMMYFUNCTION("""COMPUTED_VALUE"""),"ord_71720")</f>
        <v>ord_71720</v>
      </c>
      <c r="B1742" s="18" t="str">
        <f>IFERROR(__xludf.DUMMYFUNCTION("""COMPUTED_VALUE"""),"Tanishq Bansal")</f>
        <v>Tanishq Bansal</v>
      </c>
      <c r="C1742" s="18" t="str">
        <f>IFERROR(__xludf.DUMMYFUNCTION("""COMPUTED_VALUE"""),"Powai")</f>
        <v>Powai</v>
      </c>
      <c r="D1742" s="18" t="str">
        <f>IFERROR(__xludf.DUMMYFUNCTION("""COMPUTED_VALUE"""),"Orange")</f>
        <v>Orange</v>
      </c>
      <c r="E1742" s="18">
        <f>IFERROR(__xludf.DUMMYFUNCTION("""COMPUTED_VALUE"""),1.0)</f>
        <v>1</v>
      </c>
      <c r="F1742" s="18" t="str">
        <f>IFERROR(__xludf.DUMMYFUNCTION("""COMPUTED_VALUE"""),"Not Assigned")</f>
        <v>Not Assigned</v>
      </c>
      <c r="G1742" s="19">
        <f>IFERROR(__xludf.DUMMYFUNCTION("""COMPUTED_VALUE"""),45248.0)</f>
        <v>45248</v>
      </c>
      <c r="H1742" s="18" t="str">
        <f>IFERROR(__xludf.DUMMYFUNCTION("""COMPUTED_VALUE"""),"Credit Card")</f>
        <v>Credit Card</v>
      </c>
      <c r="I1742" s="18" t="str">
        <f>IFERROR(__xludf.DUMMYFUNCTION("""COMPUTED_VALUE"""),"Cancelled")</f>
        <v>Cancelled</v>
      </c>
      <c r="J1742" s="18" t="str">
        <f>IFERROR(__xludf.DUMMYFUNCTION("""COMPUTED_VALUE"""),"App Glitches")</f>
        <v>App Glitches</v>
      </c>
      <c r="K1742" s="18" t="str">
        <f>IFERROR(__xludf.DUMMYFUNCTION("""COMPUTED_VALUE"""),"Slow Loading Time")</f>
        <v>Slow Loading Time</v>
      </c>
      <c r="L1742" s="18">
        <f>iferror(VLOOKUP($D1742,Details!$A$2:$C$11,2,false),vlookup($D1742,Details!$E$2:$G$11,2,false))</f>
        <v>180</v>
      </c>
      <c r="M1742" s="18" t="str">
        <f>iferror(VLOOKUP($D1742,Details!$A$2:$C$11,3,false),vlookup($D1742,Details!$E$2:$G$11,3,false))</f>
        <v>Fruits and Vegetables</v>
      </c>
      <c r="N1742" s="18">
        <f t="shared" si="1"/>
        <v>180</v>
      </c>
      <c r="O1742" s="17"/>
      <c r="P1742" s="17"/>
      <c r="Q1742" s="17"/>
      <c r="R1742" s="17"/>
      <c r="S1742" s="17"/>
      <c r="T1742" s="17"/>
      <c r="U1742" s="17"/>
      <c r="V1742" s="17"/>
      <c r="W1742" s="17"/>
      <c r="X1742" s="17"/>
      <c r="Y1742" s="17"/>
      <c r="Z1742" s="17"/>
    </row>
    <row r="1743">
      <c r="A1743" s="18" t="str">
        <f>IFERROR(__xludf.DUMMYFUNCTION("""COMPUTED_VALUE"""),"ord_71721")</f>
        <v>ord_71721</v>
      </c>
      <c r="B1743" s="18" t="str">
        <f>IFERROR(__xludf.DUMMYFUNCTION("""COMPUTED_VALUE"""),"Ishaan Chaturvedi")</f>
        <v>Ishaan Chaturvedi</v>
      </c>
      <c r="C1743" s="18" t="str">
        <f>IFERROR(__xludf.DUMMYFUNCTION("""COMPUTED_VALUE"""),"Bandra")</f>
        <v>Bandra</v>
      </c>
      <c r="D1743" s="18" t="str">
        <f>IFERROR(__xludf.DUMMYFUNCTION("""COMPUTED_VALUE"""),"Rasmalai")</f>
        <v>Rasmalai</v>
      </c>
      <c r="E1743" s="18">
        <f>IFERROR(__xludf.DUMMYFUNCTION("""COMPUTED_VALUE"""),3.0)</f>
        <v>3</v>
      </c>
      <c r="F1743" s="18" t="str">
        <f>IFERROR(__xludf.DUMMYFUNCTION("""COMPUTED_VALUE"""),"Priya Joshi")</f>
        <v>Priya Joshi</v>
      </c>
      <c r="G1743" s="19">
        <f>IFERROR(__xludf.DUMMYFUNCTION("""COMPUTED_VALUE"""),45099.0)</f>
        <v>45099</v>
      </c>
      <c r="H1743" s="18" t="str">
        <f>IFERROR(__xludf.DUMMYFUNCTION("""COMPUTED_VALUE"""),"Online Payment")</f>
        <v>Online Payment</v>
      </c>
      <c r="I1743" s="18" t="str">
        <f>IFERROR(__xludf.DUMMYFUNCTION("""COMPUTED_VALUE"""),"Delivered")</f>
        <v>Delivered</v>
      </c>
      <c r="J1743" s="18" t="str">
        <f>IFERROR(__xludf.DUMMYFUNCTION("""COMPUTED_VALUE"""),"On-time Delivery")</f>
        <v>On-time Delivery</v>
      </c>
      <c r="K1743" s="18" t="str">
        <f>IFERROR(__xludf.DUMMYFUNCTION("""COMPUTED_VALUE"""),"Delivered on time")</f>
        <v>Delivered on time</v>
      </c>
      <c r="L1743" s="18">
        <f>iferror(VLOOKUP($D1743,Details!$A$2:$C$11,2,false),vlookup($D1743,Details!$E$2:$G$11,2,false))</f>
        <v>110</v>
      </c>
      <c r="M1743" s="18" t="str">
        <f>iferror(VLOOKUP($D1743,Details!$A$2:$C$11,3,false),vlookup($D1743,Details!$E$2:$G$11,3,false))</f>
        <v>Snacks and Drinks</v>
      </c>
      <c r="N1743" s="18">
        <f t="shared" si="1"/>
        <v>330</v>
      </c>
      <c r="O1743" s="17"/>
      <c r="P1743" s="17"/>
      <c r="Q1743" s="17"/>
      <c r="R1743" s="17"/>
      <c r="S1743" s="17"/>
      <c r="T1743" s="17"/>
      <c r="U1743" s="17"/>
      <c r="V1743" s="17"/>
      <c r="W1743" s="17"/>
      <c r="X1743" s="17"/>
      <c r="Y1743" s="17"/>
      <c r="Z1743" s="17"/>
    </row>
    <row r="1744">
      <c r="A1744" s="18" t="str">
        <f>IFERROR(__xludf.DUMMYFUNCTION("""COMPUTED_VALUE"""),"ord_71722")</f>
        <v>ord_71722</v>
      </c>
      <c r="B1744" s="18" t="str">
        <f>IFERROR(__xludf.DUMMYFUNCTION("""COMPUTED_VALUE"""),"Mehul Thakkar")</f>
        <v>Mehul Thakkar</v>
      </c>
      <c r="C1744" s="18" t="str">
        <f>IFERROR(__xludf.DUMMYFUNCTION("""COMPUTED_VALUE"""),"Malad")</f>
        <v>Malad</v>
      </c>
      <c r="D1744" s="18" t="str">
        <f>IFERROR(__xludf.DUMMYFUNCTION("""COMPUTED_VALUE"""),"Veg Puff")</f>
        <v>Veg Puff</v>
      </c>
      <c r="E1744" s="18">
        <f>IFERROR(__xludf.DUMMYFUNCTION("""COMPUTED_VALUE"""),5.0)</f>
        <v>5</v>
      </c>
      <c r="F1744" s="18" t="str">
        <f>IFERROR(__xludf.DUMMYFUNCTION("""COMPUTED_VALUE"""),"Neha Shah")</f>
        <v>Neha Shah</v>
      </c>
      <c r="G1744" s="19">
        <f>IFERROR(__xludf.DUMMYFUNCTION("""COMPUTED_VALUE"""),45005.0)</f>
        <v>45005</v>
      </c>
      <c r="H1744" s="18" t="str">
        <f>IFERROR(__xludf.DUMMYFUNCTION("""COMPUTED_VALUE"""),"Credit Card")</f>
        <v>Credit Card</v>
      </c>
      <c r="I1744" s="18" t="str">
        <f>IFERROR(__xludf.DUMMYFUNCTION("""COMPUTED_VALUE"""),"Delivered")</f>
        <v>Delivered</v>
      </c>
      <c r="J1744" s="18" t="str">
        <f>IFERROR(__xludf.DUMMYFUNCTION("""COMPUTED_VALUE"""),"Quality of Items")</f>
        <v>Quality of Items</v>
      </c>
      <c r="K1744" s="18" t="str">
        <f>IFERROR(__xludf.DUMMYFUNCTION("""COMPUTED_VALUE"""),"Perfect condition")</f>
        <v>Perfect condition</v>
      </c>
      <c r="L1744" s="18">
        <f>iferror(VLOOKUP($D1744,Details!$A$2:$C$11,2,false),vlookup($D1744,Details!$E$2:$G$11,2,false))</f>
        <v>80</v>
      </c>
      <c r="M1744" s="18" t="str">
        <f>iferror(VLOOKUP($D1744,Details!$A$2:$C$11,3,false),vlookup($D1744,Details!$E$2:$G$11,3,false))</f>
        <v>Snacks and Drinks</v>
      </c>
      <c r="N1744" s="18">
        <f t="shared" si="1"/>
        <v>400</v>
      </c>
      <c r="O1744" s="17"/>
      <c r="P1744" s="17"/>
      <c r="Q1744" s="17"/>
      <c r="R1744" s="17"/>
      <c r="S1744" s="17"/>
      <c r="T1744" s="17"/>
      <c r="U1744" s="17"/>
      <c r="V1744" s="17"/>
      <c r="W1744" s="17"/>
      <c r="X1744" s="17"/>
      <c r="Y1744" s="17"/>
      <c r="Z1744" s="17"/>
    </row>
    <row r="1745">
      <c r="A1745" s="18" t="str">
        <f>IFERROR(__xludf.DUMMYFUNCTION("""COMPUTED_VALUE"""),"ord_71723")</f>
        <v>ord_71723</v>
      </c>
      <c r="B1745" s="18" t="str">
        <f>IFERROR(__xludf.DUMMYFUNCTION("""COMPUTED_VALUE"""),"Arvind Kulkarni")</f>
        <v>Arvind Kulkarni</v>
      </c>
      <c r="C1745" s="18" t="str">
        <f>IFERROR(__xludf.DUMMYFUNCTION("""COMPUTED_VALUE"""),"Juhu")</f>
        <v>Juhu</v>
      </c>
      <c r="D1745" s="18" t="str">
        <f>IFERROR(__xludf.DUMMYFUNCTION("""COMPUTED_VALUE"""),"Cold Coffee")</f>
        <v>Cold Coffee</v>
      </c>
      <c r="E1745" s="18">
        <f>IFERROR(__xludf.DUMMYFUNCTION("""COMPUTED_VALUE"""),1.0)</f>
        <v>1</v>
      </c>
      <c r="F1745" s="18" t="str">
        <f>IFERROR(__xludf.DUMMYFUNCTION("""COMPUTED_VALUE"""),"Not Assigned")</f>
        <v>Not Assigned</v>
      </c>
      <c r="G1745" s="19">
        <f>IFERROR(__xludf.DUMMYFUNCTION("""COMPUTED_VALUE"""),45289.0)</f>
        <v>45289</v>
      </c>
      <c r="H1745" s="18" t="str">
        <f>IFERROR(__xludf.DUMMYFUNCTION("""COMPUTED_VALUE"""),"UPI")</f>
        <v>UPI</v>
      </c>
      <c r="I1745" s="18" t="str">
        <f>IFERROR(__xludf.DUMMYFUNCTION("""COMPUTED_VALUE"""),"Cancelled")</f>
        <v>Cancelled</v>
      </c>
      <c r="J1745" s="18" t="str">
        <f>IFERROR(__xludf.DUMMYFUNCTION("""COMPUTED_VALUE"""),"High Delivery Fees")</f>
        <v>High Delivery Fees</v>
      </c>
      <c r="K1745" s="18"/>
      <c r="L1745" s="18">
        <f>iferror(VLOOKUP($D1745,Details!$A$2:$C$11,2,false),vlookup($D1745,Details!$E$2:$G$11,2,false))</f>
        <v>270</v>
      </c>
      <c r="M1745" s="18" t="str">
        <f>iferror(VLOOKUP($D1745,Details!$A$2:$C$11,3,false),vlookup($D1745,Details!$E$2:$G$11,3,false))</f>
        <v>Snacks and Drinks</v>
      </c>
      <c r="N1745" s="18">
        <f t="shared" si="1"/>
        <v>270</v>
      </c>
      <c r="O1745" s="17"/>
      <c r="P1745" s="17"/>
      <c r="Q1745" s="17"/>
      <c r="R1745" s="17"/>
      <c r="S1745" s="17"/>
      <c r="T1745" s="17"/>
      <c r="U1745" s="17"/>
      <c r="V1745" s="17"/>
      <c r="W1745" s="17"/>
      <c r="X1745" s="17"/>
      <c r="Y1745" s="17"/>
      <c r="Z1745" s="17"/>
    </row>
    <row r="1746">
      <c r="A1746" s="18" t="str">
        <f>IFERROR(__xludf.DUMMYFUNCTION("""COMPUTED_VALUE"""),"ord_71724")</f>
        <v>ord_71724</v>
      </c>
      <c r="B1746" s="18" t="str">
        <f>IFERROR(__xludf.DUMMYFUNCTION("""COMPUTED_VALUE"""),"Shruti Aggarwal")</f>
        <v>Shruti Aggarwal</v>
      </c>
      <c r="C1746" s="18" t="str">
        <f>IFERROR(__xludf.DUMMYFUNCTION("""COMPUTED_VALUE"""),"Colaba")</f>
        <v>Colaba</v>
      </c>
      <c r="D1746" s="18" t="str">
        <f>IFERROR(__xludf.DUMMYFUNCTION("""COMPUTED_VALUE"""),"Chilli Cheese Toast")</f>
        <v>Chilli Cheese Toast</v>
      </c>
      <c r="E1746" s="18">
        <f>IFERROR(__xludf.DUMMYFUNCTION("""COMPUTED_VALUE"""),8.0)</f>
        <v>8</v>
      </c>
      <c r="F1746" s="18" t="str">
        <f>IFERROR(__xludf.DUMMYFUNCTION("""COMPUTED_VALUE"""),"Nikhil Deshmukh")</f>
        <v>Nikhil Deshmukh</v>
      </c>
      <c r="G1746" s="19">
        <f>IFERROR(__xludf.DUMMYFUNCTION("""COMPUTED_VALUE"""),44949.0)</f>
        <v>44949</v>
      </c>
      <c r="H1746" s="18" t="str">
        <f>IFERROR(__xludf.DUMMYFUNCTION("""COMPUTED_VALUE"""),"Online Payment")</f>
        <v>Online Payment</v>
      </c>
      <c r="I1746" s="18" t="str">
        <f>IFERROR(__xludf.DUMMYFUNCTION("""COMPUTED_VALUE"""),"Delivered")</f>
        <v>Delivered</v>
      </c>
      <c r="J1746" s="18" t="str">
        <f>IFERROR(__xludf.DUMMYFUNCTION("""COMPUTED_VALUE"""),"On-time Delivery")</f>
        <v>On-time Delivery</v>
      </c>
      <c r="K1746" s="18" t="str">
        <f>IFERROR(__xludf.DUMMYFUNCTION("""COMPUTED_VALUE"""),"Delivered on time")</f>
        <v>Delivered on time</v>
      </c>
      <c r="L1746" s="18">
        <f>iferror(VLOOKUP($D1746,Details!$A$2:$C$11,2,false),vlookup($D1746,Details!$E$2:$G$11,2,false))</f>
        <v>80</v>
      </c>
      <c r="M1746" s="18" t="str">
        <f>iferror(VLOOKUP($D1746,Details!$A$2:$C$11,3,false),vlookup($D1746,Details!$E$2:$G$11,3,false))</f>
        <v>Snacks and Drinks</v>
      </c>
      <c r="N1746" s="18">
        <f t="shared" si="1"/>
        <v>640</v>
      </c>
      <c r="O1746" s="17"/>
      <c r="P1746" s="17"/>
      <c r="Q1746" s="17"/>
      <c r="R1746" s="17"/>
      <c r="S1746" s="17"/>
      <c r="T1746" s="17"/>
      <c r="U1746" s="17"/>
      <c r="V1746" s="17"/>
      <c r="W1746" s="17"/>
      <c r="X1746" s="17"/>
      <c r="Y1746" s="17"/>
      <c r="Z1746" s="17"/>
    </row>
    <row r="1747">
      <c r="A1747" s="18" t="str">
        <f>IFERROR(__xludf.DUMMYFUNCTION("""COMPUTED_VALUE"""),"ord_71725")</f>
        <v>ord_71725</v>
      </c>
      <c r="B1747" s="18" t="str">
        <f>IFERROR(__xludf.DUMMYFUNCTION("""COMPUTED_VALUE"""),"Sahil Desai")</f>
        <v>Sahil Desai</v>
      </c>
      <c r="C1747" s="18" t="str">
        <f>IFERROR(__xludf.DUMMYFUNCTION("""COMPUTED_VALUE"""),"Colaba")</f>
        <v>Colaba</v>
      </c>
      <c r="D1747" s="18" t="str">
        <f>IFERROR(__xludf.DUMMYFUNCTION("""COMPUTED_VALUE"""),"Tiramisu")</f>
        <v>Tiramisu</v>
      </c>
      <c r="E1747" s="18">
        <f>IFERROR(__xludf.DUMMYFUNCTION("""COMPUTED_VALUE"""),3.0)</f>
        <v>3</v>
      </c>
      <c r="F1747" s="18" t="str">
        <f>IFERROR(__xludf.DUMMYFUNCTION("""COMPUTED_VALUE"""),"Nikhil Deshmukh")</f>
        <v>Nikhil Deshmukh</v>
      </c>
      <c r="G1747" s="19">
        <f>IFERROR(__xludf.DUMMYFUNCTION("""COMPUTED_VALUE"""),45075.0)</f>
        <v>45075</v>
      </c>
      <c r="H1747" s="18" t="str">
        <f>IFERROR(__xludf.DUMMYFUNCTION("""COMPUTED_VALUE"""),"UPI")</f>
        <v>UPI</v>
      </c>
      <c r="I1747" s="18" t="str">
        <f>IFERROR(__xludf.DUMMYFUNCTION("""COMPUTED_VALUE"""),"Delivered")</f>
        <v>Delivered</v>
      </c>
      <c r="J1747" s="18" t="str">
        <f>IFERROR(__xludf.DUMMYFUNCTION("""COMPUTED_VALUE"""),"Quality of Items")</f>
        <v>Quality of Items</v>
      </c>
      <c r="K1747" s="18" t="str">
        <f>IFERROR(__xludf.DUMMYFUNCTION("""COMPUTED_VALUE"""),"Perfect condition")</f>
        <v>Perfect condition</v>
      </c>
      <c r="L1747" s="18">
        <f>iferror(VLOOKUP($D1747,Details!$A$2:$C$11,2,false),vlookup($D1747,Details!$E$2:$G$11,2,false))</f>
        <v>150</v>
      </c>
      <c r="M1747" s="18" t="str">
        <f>iferror(VLOOKUP($D1747,Details!$A$2:$C$11,3,false),vlookup($D1747,Details!$E$2:$G$11,3,false))</f>
        <v>Snacks and Drinks</v>
      </c>
      <c r="N1747" s="18">
        <f t="shared" si="1"/>
        <v>450</v>
      </c>
      <c r="O1747" s="17"/>
      <c r="P1747" s="17"/>
      <c r="Q1747" s="17"/>
      <c r="R1747" s="17"/>
      <c r="S1747" s="17"/>
      <c r="T1747" s="17"/>
      <c r="U1747" s="17"/>
      <c r="V1747" s="17"/>
      <c r="W1747" s="17"/>
      <c r="X1747" s="17"/>
      <c r="Y1747" s="17"/>
      <c r="Z1747" s="17"/>
    </row>
    <row r="1748">
      <c r="A1748" s="18" t="str">
        <f>IFERROR(__xludf.DUMMYFUNCTION("""COMPUTED_VALUE"""),"ord_71726")</f>
        <v>ord_71726</v>
      </c>
      <c r="B1748" s="18" t="str">
        <f>IFERROR(__xludf.DUMMYFUNCTION("""COMPUTED_VALUE"""),"Sana Malik")</f>
        <v>Sana Malik</v>
      </c>
      <c r="C1748" s="18" t="str">
        <f>IFERROR(__xludf.DUMMYFUNCTION("""COMPUTED_VALUE"""),"Powai")</f>
        <v>Powai</v>
      </c>
      <c r="D1748" s="18" t="str">
        <f>IFERROR(__xludf.DUMMYFUNCTION("""COMPUTED_VALUE"""),"Guava")</f>
        <v>Guava</v>
      </c>
      <c r="E1748" s="18">
        <f>IFERROR(__xludf.DUMMYFUNCTION("""COMPUTED_VALUE"""),3.0)</f>
        <v>3</v>
      </c>
      <c r="F1748" s="18" t="str">
        <f>IFERROR(__xludf.DUMMYFUNCTION("""COMPUTED_VALUE"""),"Sandeep Kumar")</f>
        <v>Sandeep Kumar</v>
      </c>
      <c r="G1748" s="19">
        <f>IFERROR(__xludf.DUMMYFUNCTION("""COMPUTED_VALUE"""),45127.0)</f>
        <v>45127</v>
      </c>
      <c r="H1748" s="18" t="str">
        <f>IFERROR(__xludf.DUMMYFUNCTION("""COMPUTED_VALUE"""),"UPI")</f>
        <v>UPI</v>
      </c>
      <c r="I1748" s="18" t="str">
        <f>IFERROR(__xludf.DUMMYFUNCTION("""COMPUTED_VALUE"""),"Delivered")</f>
        <v>Delivered</v>
      </c>
      <c r="J1748" s="18" t="str">
        <f>IFERROR(__xludf.DUMMYFUNCTION("""COMPUTED_VALUE"""),"Packaging")</f>
        <v>Packaging</v>
      </c>
      <c r="K1748" s="18" t="str">
        <f>IFERROR(__xludf.DUMMYFUNCTION("""COMPUTED_VALUE"""),"Secure and intact")</f>
        <v>Secure and intact</v>
      </c>
      <c r="L1748" s="18">
        <f>iferror(VLOOKUP($D1748,Details!$A$2:$C$11,2,false),vlookup($D1748,Details!$E$2:$G$11,2,false))</f>
        <v>70</v>
      </c>
      <c r="M1748" s="18" t="str">
        <f>iferror(VLOOKUP($D1748,Details!$A$2:$C$11,3,false),vlookup($D1748,Details!$E$2:$G$11,3,false))</f>
        <v>Fruits and Vegetables</v>
      </c>
      <c r="N1748" s="18">
        <f t="shared" si="1"/>
        <v>210</v>
      </c>
      <c r="O1748" s="17"/>
      <c r="P1748" s="17"/>
      <c r="Q1748" s="17"/>
      <c r="R1748" s="17"/>
      <c r="S1748" s="17"/>
      <c r="T1748" s="17"/>
      <c r="U1748" s="17"/>
      <c r="V1748" s="17"/>
      <c r="W1748" s="17"/>
      <c r="X1748" s="17"/>
      <c r="Y1748" s="17"/>
      <c r="Z1748" s="17"/>
    </row>
    <row r="1749">
      <c r="A1749" s="18" t="str">
        <f>IFERROR(__xludf.DUMMYFUNCTION("""COMPUTED_VALUE"""),"ord_71727")</f>
        <v>ord_71727</v>
      </c>
      <c r="B1749" s="18" t="str">
        <f>IFERROR(__xludf.DUMMYFUNCTION("""COMPUTED_VALUE"""),"Yash Verma")</f>
        <v>Yash Verma</v>
      </c>
      <c r="C1749" s="18" t="str">
        <f>IFERROR(__xludf.DUMMYFUNCTION("""COMPUTED_VALUE"""),"Lower Parel")</f>
        <v>Lower Parel</v>
      </c>
      <c r="D1749" s="18" t="str">
        <f>IFERROR(__xludf.DUMMYFUNCTION("""COMPUTED_VALUE"""),"Rasmalai")</f>
        <v>Rasmalai</v>
      </c>
      <c r="E1749" s="18">
        <f>IFERROR(__xludf.DUMMYFUNCTION("""COMPUTED_VALUE"""),6.0)</f>
        <v>6</v>
      </c>
      <c r="F1749" s="18" t="str">
        <f>IFERROR(__xludf.DUMMYFUNCTION("""COMPUTED_VALUE"""),"Kiran Mehta")</f>
        <v>Kiran Mehta</v>
      </c>
      <c r="G1749" s="19">
        <f>IFERROR(__xludf.DUMMYFUNCTION("""COMPUTED_VALUE"""),45158.0)</f>
        <v>45158</v>
      </c>
      <c r="H1749" s="18" t="str">
        <f>IFERROR(__xludf.DUMMYFUNCTION("""COMPUTED_VALUE"""),"Online Payment")</f>
        <v>Online Payment</v>
      </c>
      <c r="I1749" s="18" t="str">
        <f>IFERROR(__xludf.DUMMYFUNCTION("""COMPUTED_VALUE"""),"Delivered")</f>
        <v>Delivered</v>
      </c>
      <c r="J1749" s="18" t="str">
        <f>IFERROR(__xludf.DUMMYFUNCTION("""COMPUTED_VALUE"""),"Satisfied with the Delivery")</f>
        <v>Satisfied with the Delivery</v>
      </c>
      <c r="K1749" s="18" t="str">
        <f>IFERROR(__xludf.DUMMYFUNCTION("""COMPUTED_VALUE"""),"Timely and quality")</f>
        <v>Timely and quality</v>
      </c>
      <c r="L1749" s="18">
        <f>iferror(VLOOKUP($D1749,Details!$A$2:$C$11,2,false),vlookup($D1749,Details!$E$2:$G$11,2,false))</f>
        <v>110</v>
      </c>
      <c r="M1749" s="18" t="str">
        <f>iferror(VLOOKUP($D1749,Details!$A$2:$C$11,3,false),vlookup($D1749,Details!$E$2:$G$11,3,false))</f>
        <v>Snacks and Drinks</v>
      </c>
      <c r="N1749" s="18">
        <f t="shared" si="1"/>
        <v>660</v>
      </c>
      <c r="O1749" s="17"/>
      <c r="P1749" s="17"/>
      <c r="Q1749" s="17"/>
      <c r="R1749" s="17"/>
      <c r="S1749" s="17"/>
      <c r="T1749" s="17"/>
      <c r="U1749" s="17"/>
      <c r="V1749" s="17"/>
      <c r="W1749" s="17"/>
      <c r="X1749" s="17"/>
      <c r="Y1749" s="17"/>
      <c r="Z1749" s="17"/>
    </row>
    <row r="1750">
      <c r="A1750" s="18" t="str">
        <f>IFERROR(__xludf.DUMMYFUNCTION("""COMPUTED_VALUE"""),"ord_71728")</f>
        <v>ord_71728</v>
      </c>
      <c r="B1750" s="18" t="str">
        <f>IFERROR(__xludf.DUMMYFUNCTION("""COMPUTED_VALUE"""),"Harsh Vardhan")</f>
        <v>Harsh Vardhan</v>
      </c>
      <c r="C1750" s="18" t="str">
        <f>IFERROR(__xludf.DUMMYFUNCTION("""COMPUTED_VALUE"""),"Bandra")</f>
        <v>Bandra</v>
      </c>
      <c r="D1750" s="18" t="str">
        <f>IFERROR(__xludf.DUMMYFUNCTION("""COMPUTED_VALUE"""),"Tomato")</f>
        <v>Tomato</v>
      </c>
      <c r="E1750" s="18">
        <f>IFERROR(__xludf.DUMMYFUNCTION("""COMPUTED_VALUE"""),2.0)</f>
        <v>2</v>
      </c>
      <c r="F1750" s="18" t="str">
        <f>IFERROR(__xludf.DUMMYFUNCTION("""COMPUTED_VALUE"""),"Priya Joshi")</f>
        <v>Priya Joshi</v>
      </c>
      <c r="G1750" s="19">
        <f>IFERROR(__xludf.DUMMYFUNCTION("""COMPUTED_VALUE"""),45283.0)</f>
        <v>45283</v>
      </c>
      <c r="H1750" s="18" t="str">
        <f>IFERROR(__xludf.DUMMYFUNCTION("""COMPUTED_VALUE"""),"Online Payment")</f>
        <v>Online Payment</v>
      </c>
      <c r="I1750" s="18" t="str">
        <f>IFERROR(__xludf.DUMMYFUNCTION("""COMPUTED_VALUE"""),"Delivered")</f>
        <v>Delivered</v>
      </c>
      <c r="J1750" s="18" t="str">
        <f>IFERROR(__xludf.DUMMYFUNCTION("""COMPUTED_VALUE"""),"Customer Service")</f>
        <v>Customer Service</v>
      </c>
      <c r="K1750" s="18" t="str">
        <f>IFERROR(__xludf.DUMMYFUNCTION("""COMPUTED_VALUE"""),"Seamless and easy")</f>
        <v>Seamless and easy</v>
      </c>
      <c r="L1750" s="18">
        <f>iferror(VLOOKUP($D1750,Details!$A$2:$C$11,2,false),vlookup($D1750,Details!$E$2:$G$11,2,false))</f>
        <v>25</v>
      </c>
      <c r="M1750" s="18" t="str">
        <f>iferror(VLOOKUP($D1750,Details!$A$2:$C$11,3,false),vlookup($D1750,Details!$E$2:$G$11,3,false))</f>
        <v>Fruits and Vegetables</v>
      </c>
      <c r="N1750" s="18">
        <f t="shared" si="1"/>
        <v>50</v>
      </c>
      <c r="O1750" s="17"/>
      <c r="P1750" s="17"/>
      <c r="Q1750" s="17"/>
      <c r="R1750" s="17"/>
      <c r="S1750" s="17"/>
      <c r="T1750" s="17"/>
      <c r="U1750" s="17"/>
      <c r="V1750" s="17"/>
      <c r="W1750" s="17"/>
      <c r="X1750" s="17"/>
      <c r="Y1750" s="17"/>
      <c r="Z1750" s="17"/>
    </row>
    <row r="1751">
      <c r="A1751" s="18" t="str">
        <f>IFERROR(__xludf.DUMMYFUNCTION("""COMPUTED_VALUE"""),"ord_71729")</f>
        <v>ord_71729</v>
      </c>
      <c r="B1751" s="18" t="str">
        <f>IFERROR(__xludf.DUMMYFUNCTION("""COMPUTED_VALUE"""),"Leena Das")</f>
        <v>Leena Das</v>
      </c>
      <c r="C1751" s="18" t="str">
        <f>IFERROR(__xludf.DUMMYFUNCTION("""COMPUTED_VALUE"""),"Andheri")</f>
        <v>Andheri</v>
      </c>
      <c r="D1751" s="18" t="str">
        <f>IFERROR(__xludf.DUMMYFUNCTION("""COMPUTED_VALUE"""),"Onion")</f>
        <v>Onion</v>
      </c>
      <c r="E1751" s="18">
        <f>IFERROR(__xludf.DUMMYFUNCTION("""COMPUTED_VALUE"""),4.0)</f>
        <v>4</v>
      </c>
      <c r="F1751" s="18" t="str">
        <f>IFERROR(__xludf.DUMMYFUNCTION("""COMPUTED_VALUE"""),"Rohan Yadav")</f>
        <v>Rohan Yadav</v>
      </c>
      <c r="G1751" s="19">
        <f>IFERROR(__xludf.DUMMYFUNCTION("""COMPUTED_VALUE"""),45191.0)</f>
        <v>45191</v>
      </c>
      <c r="H1751" s="18" t="str">
        <f>IFERROR(__xludf.DUMMYFUNCTION("""COMPUTED_VALUE"""),"UPI")</f>
        <v>UPI</v>
      </c>
      <c r="I1751" s="18" t="str">
        <f>IFERROR(__xludf.DUMMYFUNCTION("""COMPUTED_VALUE"""),"Delivered")</f>
        <v>Delivered</v>
      </c>
      <c r="J1751" s="18" t="str">
        <f>IFERROR(__xludf.DUMMYFUNCTION("""COMPUTED_VALUE"""),"Delivery Experience")</f>
        <v>Delivery Experience</v>
      </c>
      <c r="K1751" s="18" t="str">
        <f>IFERROR(__xludf.DUMMYFUNCTION("""COMPUTED_VALUE"""),"Quick and professional")</f>
        <v>Quick and professional</v>
      </c>
      <c r="L1751" s="18">
        <f>iferror(VLOOKUP($D1751,Details!$A$2:$C$11,2,false),vlookup($D1751,Details!$E$2:$G$11,2,false))</f>
        <v>84</v>
      </c>
      <c r="M1751" s="18" t="str">
        <f>iferror(VLOOKUP($D1751,Details!$A$2:$C$11,3,false),vlookup($D1751,Details!$E$2:$G$11,3,false))</f>
        <v>Fruits and Vegetables</v>
      </c>
      <c r="N1751" s="18">
        <f t="shared" si="1"/>
        <v>336</v>
      </c>
      <c r="O1751" s="17"/>
      <c r="P1751" s="17"/>
      <c r="Q1751" s="17"/>
      <c r="R1751" s="17"/>
      <c r="S1751" s="17"/>
      <c r="T1751" s="17"/>
      <c r="U1751" s="17"/>
      <c r="V1751" s="17"/>
      <c r="W1751" s="17"/>
      <c r="X1751" s="17"/>
      <c r="Y1751" s="17"/>
      <c r="Z1751" s="17"/>
    </row>
    <row r="1752">
      <c r="A1752" s="18" t="str">
        <f>IFERROR(__xludf.DUMMYFUNCTION("""COMPUTED_VALUE"""),"ord_71730")</f>
        <v>ord_71730</v>
      </c>
      <c r="B1752" s="18" t="str">
        <f>IFERROR(__xludf.DUMMYFUNCTION("""COMPUTED_VALUE"""),"Mehul Thakkar")</f>
        <v>Mehul Thakkar</v>
      </c>
      <c r="C1752" s="18" t="str">
        <f>IFERROR(__xludf.DUMMYFUNCTION("""COMPUTED_VALUE"""),"Dadar")</f>
        <v>Dadar</v>
      </c>
      <c r="D1752" s="18" t="str">
        <f>IFERROR(__xludf.DUMMYFUNCTION("""COMPUTED_VALUE"""),"Guava")</f>
        <v>Guava</v>
      </c>
      <c r="E1752" s="18">
        <f>IFERROR(__xludf.DUMMYFUNCTION("""COMPUTED_VALUE"""),1.0)</f>
        <v>1</v>
      </c>
      <c r="F1752" s="18" t="str">
        <f>IFERROR(__xludf.DUMMYFUNCTION("""COMPUTED_VALUE"""),"Aman Kumar")</f>
        <v>Aman Kumar</v>
      </c>
      <c r="G1752" s="19">
        <f>IFERROR(__xludf.DUMMYFUNCTION("""COMPUTED_VALUE"""),45266.0)</f>
        <v>45266</v>
      </c>
      <c r="H1752" s="18" t="str">
        <f>IFERROR(__xludf.DUMMYFUNCTION("""COMPUTED_VALUE"""),"Online Payment")</f>
        <v>Online Payment</v>
      </c>
      <c r="I1752" s="18" t="str">
        <f>IFERROR(__xludf.DUMMYFUNCTION("""COMPUTED_VALUE"""),"Delivered")</f>
        <v>Delivered</v>
      </c>
      <c r="J1752" s="18" t="str">
        <f>IFERROR(__xludf.DUMMYFUNCTION("""COMPUTED_VALUE"""),"Convenience")</f>
        <v>Convenience</v>
      </c>
      <c r="K1752" s="18" t="str">
        <f>IFERROR(__xludf.DUMMYFUNCTION("""COMPUTED_VALUE"""),"Easy tracking")</f>
        <v>Easy tracking</v>
      </c>
      <c r="L1752" s="18">
        <f>iferror(VLOOKUP($D1752,Details!$A$2:$C$11,2,false),vlookup($D1752,Details!$E$2:$G$11,2,false))</f>
        <v>70</v>
      </c>
      <c r="M1752" s="18" t="str">
        <f>iferror(VLOOKUP($D1752,Details!$A$2:$C$11,3,false),vlookup($D1752,Details!$E$2:$G$11,3,false))</f>
        <v>Fruits and Vegetables</v>
      </c>
      <c r="N1752" s="18">
        <f t="shared" si="1"/>
        <v>70</v>
      </c>
      <c r="O1752" s="17"/>
      <c r="P1752" s="17"/>
      <c r="Q1752" s="17"/>
      <c r="R1752" s="17"/>
      <c r="S1752" s="17"/>
      <c r="T1752" s="17"/>
      <c r="U1752" s="17"/>
      <c r="V1752" s="17"/>
      <c r="W1752" s="17"/>
      <c r="X1752" s="17"/>
      <c r="Y1752" s="17"/>
      <c r="Z1752" s="17"/>
    </row>
    <row r="1753">
      <c r="A1753" s="18" t="str">
        <f>IFERROR(__xludf.DUMMYFUNCTION("""COMPUTED_VALUE"""),"ord_71731")</f>
        <v>ord_71731</v>
      </c>
      <c r="B1753" s="18" t="str">
        <f>IFERROR(__xludf.DUMMYFUNCTION("""COMPUTED_VALUE"""),"Sana Malik")</f>
        <v>Sana Malik</v>
      </c>
      <c r="C1753" s="18" t="str">
        <f>IFERROR(__xludf.DUMMYFUNCTION("""COMPUTED_VALUE"""),"Juhu")</f>
        <v>Juhu</v>
      </c>
      <c r="D1753" s="18" t="str">
        <f>IFERROR(__xludf.DUMMYFUNCTION("""COMPUTED_VALUE"""),"Rasmalai")</f>
        <v>Rasmalai</v>
      </c>
      <c r="E1753" s="18">
        <f>IFERROR(__xludf.DUMMYFUNCTION("""COMPUTED_VALUE"""),6.0)</f>
        <v>6</v>
      </c>
      <c r="F1753" s="18" t="str">
        <f>IFERROR(__xludf.DUMMYFUNCTION("""COMPUTED_VALUE"""),"Tanvi Jain")</f>
        <v>Tanvi Jain</v>
      </c>
      <c r="G1753" s="19">
        <f>IFERROR(__xludf.DUMMYFUNCTION("""COMPUTED_VALUE"""),44966.0)</f>
        <v>44966</v>
      </c>
      <c r="H1753" s="18" t="str">
        <f>IFERROR(__xludf.DUMMYFUNCTION("""COMPUTED_VALUE"""),"Credit Card")</f>
        <v>Credit Card</v>
      </c>
      <c r="I1753" s="18" t="str">
        <f>IFERROR(__xludf.DUMMYFUNCTION("""COMPUTED_VALUE"""),"Delivered")</f>
        <v>Delivered</v>
      </c>
      <c r="J1753" s="18" t="str">
        <f>IFERROR(__xludf.DUMMYFUNCTION("""COMPUTED_VALUE"""),"Overall Satisfaction")</f>
        <v>Overall Satisfaction</v>
      </c>
      <c r="K1753" s="18" t="str">
        <f>IFERROR(__xludf.DUMMYFUNCTION("""COMPUTED_VALUE"""),"Great service will order again")</f>
        <v>Great service will order again</v>
      </c>
      <c r="L1753" s="18">
        <f>iferror(VLOOKUP($D1753,Details!$A$2:$C$11,2,false),vlookup($D1753,Details!$E$2:$G$11,2,false))</f>
        <v>110</v>
      </c>
      <c r="M1753" s="18" t="str">
        <f>iferror(VLOOKUP($D1753,Details!$A$2:$C$11,3,false),vlookup($D1753,Details!$E$2:$G$11,3,false))</f>
        <v>Snacks and Drinks</v>
      </c>
      <c r="N1753" s="18">
        <f t="shared" si="1"/>
        <v>660</v>
      </c>
      <c r="O1753" s="17"/>
      <c r="P1753" s="17"/>
      <c r="Q1753" s="17"/>
      <c r="R1753" s="17"/>
      <c r="S1753" s="17"/>
      <c r="T1753" s="17"/>
      <c r="U1753" s="17"/>
      <c r="V1753" s="17"/>
      <c r="W1753" s="17"/>
      <c r="X1753" s="17"/>
      <c r="Y1753" s="17"/>
      <c r="Z1753" s="17"/>
    </row>
    <row r="1754">
      <c r="A1754" s="18" t="str">
        <f>IFERROR(__xludf.DUMMYFUNCTION("""COMPUTED_VALUE"""),"ord_71732")</f>
        <v>ord_71732</v>
      </c>
      <c r="B1754" s="18" t="str">
        <f>IFERROR(__xludf.DUMMYFUNCTION("""COMPUTED_VALUE"""),"Harsh Vardhan")</f>
        <v>Harsh Vardhan</v>
      </c>
      <c r="C1754" s="18" t="str">
        <f>IFERROR(__xludf.DUMMYFUNCTION("""COMPUTED_VALUE"""),"Bandra")</f>
        <v>Bandra</v>
      </c>
      <c r="D1754" s="18" t="str">
        <f>IFERROR(__xludf.DUMMYFUNCTION("""COMPUTED_VALUE"""),"Veg Puff")</f>
        <v>Veg Puff</v>
      </c>
      <c r="E1754" s="18">
        <f>IFERROR(__xludf.DUMMYFUNCTION("""COMPUTED_VALUE"""),6.0)</f>
        <v>6</v>
      </c>
      <c r="F1754" s="18" t="str">
        <f>IFERROR(__xludf.DUMMYFUNCTION("""COMPUTED_VALUE"""),"Priya Joshi")</f>
        <v>Priya Joshi</v>
      </c>
      <c r="G1754" s="19">
        <f>IFERROR(__xludf.DUMMYFUNCTION("""COMPUTED_VALUE"""),45180.0)</f>
        <v>45180</v>
      </c>
      <c r="H1754" s="18" t="str">
        <f>IFERROR(__xludf.DUMMYFUNCTION("""COMPUTED_VALUE"""),"UPI")</f>
        <v>UPI</v>
      </c>
      <c r="I1754" s="18" t="str">
        <f>IFERROR(__xludf.DUMMYFUNCTION("""COMPUTED_VALUE"""),"Delivered")</f>
        <v>Delivered</v>
      </c>
      <c r="J1754" s="18" t="str">
        <f>IFERROR(__xludf.DUMMYFUNCTION("""COMPUTED_VALUE"""),"On-time Delivery")</f>
        <v>On-time Delivery</v>
      </c>
      <c r="K1754" s="18" t="str">
        <f>IFERROR(__xludf.DUMMYFUNCTION("""COMPUTED_VALUE"""),"Delivered on time")</f>
        <v>Delivered on time</v>
      </c>
      <c r="L1754" s="18">
        <f>iferror(VLOOKUP($D1754,Details!$A$2:$C$11,2,false),vlookup($D1754,Details!$E$2:$G$11,2,false))</f>
        <v>80</v>
      </c>
      <c r="M1754" s="18" t="str">
        <f>iferror(VLOOKUP($D1754,Details!$A$2:$C$11,3,false),vlookup($D1754,Details!$E$2:$G$11,3,false))</f>
        <v>Snacks and Drinks</v>
      </c>
      <c r="N1754" s="18">
        <f t="shared" si="1"/>
        <v>480</v>
      </c>
      <c r="O1754" s="17"/>
      <c r="P1754" s="17"/>
      <c r="Q1754" s="17"/>
      <c r="R1754" s="17"/>
      <c r="S1754" s="17"/>
      <c r="T1754" s="17"/>
      <c r="U1754" s="17"/>
      <c r="V1754" s="17"/>
      <c r="W1754" s="17"/>
      <c r="X1754" s="17"/>
      <c r="Y1754" s="17"/>
      <c r="Z1754" s="17"/>
    </row>
    <row r="1755">
      <c r="A1755" s="18" t="str">
        <f>IFERROR(__xludf.DUMMYFUNCTION("""COMPUTED_VALUE"""),"ord_71733")</f>
        <v>ord_71733</v>
      </c>
      <c r="B1755" s="18" t="str">
        <f>IFERROR(__xludf.DUMMYFUNCTION("""COMPUTED_VALUE"""),"Leena Das")</f>
        <v>Leena Das</v>
      </c>
      <c r="C1755" s="18" t="str">
        <f>IFERROR(__xludf.DUMMYFUNCTION("""COMPUTED_VALUE"""),"Andheri")</f>
        <v>Andheri</v>
      </c>
      <c r="D1755" s="18" t="str">
        <f>IFERROR(__xludf.DUMMYFUNCTION("""COMPUTED_VALUE"""),"Potato")</f>
        <v>Potato</v>
      </c>
      <c r="E1755" s="18">
        <f>IFERROR(__xludf.DUMMYFUNCTION("""COMPUTED_VALUE"""),3.0)</f>
        <v>3</v>
      </c>
      <c r="F1755" s="18" t="str">
        <f>IFERROR(__xludf.DUMMYFUNCTION("""COMPUTED_VALUE"""),"Rohan Yadav")</f>
        <v>Rohan Yadav</v>
      </c>
      <c r="G1755" s="19">
        <f>IFERROR(__xludf.DUMMYFUNCTION("""COMPUTED_VALUE"""),45285.0)</f>
        <v>45285</v>
      </c>
      <c r="H1755" s="18" t="str">
        <f>IFERROR(__xludf.DUMMYFUNCTION("""COMPUTED_VALUE"""),"UPI")</f>
        <v>UPI</v>
      </c>
      <c r="I1755" s="18" t="str">
        <f>IFERROR(__xludf.DUMMYFUNCTION("""COMPUTED_VALUE"""),"Delivered")</f>
        <v>Delivered</v>
      </c>
      <c r="J1755" s="18" t="str">
        <f>IFERROR(__xludf.DUMMYFUNCTION("""COMPUTED_VALUE"""),"Quality of Items")</f>
        <v>Quality of Items</v>
      </c>
      <c r="K1755" s="18" t="str">
        <f>IFERROR(__xludf.DUMMYFUNCTION("""COMPUTED_VALUE"""),"Perfect condition")</f>
        <v>Perfect condition</v>
      </c>
      <c r="L1755" s="18">
        <f>iferror(VLOOKUP($D1755,Details!$A$2:$C$11,2,false),vlookup($D1755,Details!$E$2:$G$11,2,false))</f>
        <v>55</v>
      </c>
      <c r="M1755" s="18" t="str">
        <f>iferror(VLOOKUP($D1755,Details!$A$2:$C$11,3,false),vlookup($D1755,Details!$E$2:$G$11,3,false))</f>
        <v>Fruits and Vegetables</v>
      </c>
      <c r="N1755" s="18">
        <f t="shared" si="1"/>
        <v>165</v>
      </c>
      <c r="O1755" s="17"/>
      <c r="P1755" s="17"/>
      <c r="Q1755" s="17"/>
      <c r="R1755" s="17"/>
      <c r="S1755" s="17"/>
      <c r="T1755" s="17"/>
      <c r="U1755" s="17"/>
      <c r="V1755" s="17"/>
      <c r="W1755" s="17"/>
      <c r="X1755" s="17"/>
      <c r="Y1755" s="17"/>
      <c r="Z1755" s="17"/>
    </row>
    <row r="1756">
      <c r="A1756" s="18" t="str">
        <f>IFERROR(__xludf.DUMMYFUNCTION("""COMPUTED_VALUE"""),"ord_71734")</f>
        <v>ord_71734</v>
      </c>
      <c r="B1756" s="18" t="str">
        <f>IFERROR(__xludf.DUMMYFUNCTION("""COMPUTED_VALUE"""),"Yash Verma")</f>
        <v>Yash Verma</v>
      </c>
      <c r="C1756" s="18" t="str">
        <f>IFERROR(__xludf.DUMMYFUNCTION("""COMPUTED_VALUE"""),"Colaba")</f>
        <v>Colaba</v>
      </c>
      <c r="D1756" s="18" t="str">
        <f>IFERROR(__xludf.DUMMYFUNCTION("""COMPUTED_VALUE"""),"Tomato")</f>
        <v>Tomato</v>
      </c>
      <c r="E1756" s="18">
        <f>IFERROR(__xludf.DUMMYFUNCTION("""COMPUTED_VALUE"""),3.0)</f>
        <v>3</v>
      </c>
      <c r="F1756" s="18" t="str">
        <f>IFERROR(__xludf.DUMMYFUNCTION("""COMPUTED_VALUE"""),"Nikhil Deshmukh")</f>
        <v>Nikhil Deshmukh</v>
      </c>
      <c r="G1756" s="19">
        <f>IFERROR(__xludf.DUMMYFUNCTION("""COMPUTED_VALUE"""),44960.0)</f>
        <v>44960</v>
      </c>
      <c r="H1756" s="18" t="str">
        <f>IFERROR(__xludf.DUMMYFUNCTION("""COMPUTED_VALUE"""),"Credit Card")</f>
        <v>Credit Card</v>
      </c>
      <c r="I1756" s="18" t="str">
        <f>IFERROR(__xludf.DUMMYFUNCTION("""COMPUTED_VALUE"""),"Delivered")</f>
        <v>Delivered</v>
      </c>
      <c r="J1756" s="18" t="str">
        <f>IFERROR(__xludf.DUMMYFUNCTION("""COMPUTED_VALUE"""),"On-time Delivery")</f>
        <v>On-time Delivery</v>
      </c>
      <c r="K1756" s="18" t="str">
        <f>IFERROR(__xludf.DUMMYFUNCTION("""COMPUTED_VALUE"""),"Delivered on time")</f>
        <v>Delivered on time</v>
      </c>
      <c r="L1756" s="18">
        <f>iferror(VLOOKUP($D1756,Details!$A$2:$C$11,2,false),vlookup($D1756,Details!$E$2:$G$11,2,false))</f>
        <v>25</v>
      </c>
      <c r="M1756" s="18" t="str">
        <f>iferror(VLOOKUP($D1756,Details!$A$2:$C$11,3,false),vlookup($D1756,Details!$E$2:$G$11,3,false))</f>
        <v>Fruits and Vegetables</v>
      </c>
      <c r="N1756" s="18">
        <f t="shared" si="1"/>
        <v>75</v>
      </c>
      <c r="O1756" s="17"/>
      <c r="P1756" s="17"/>
      <c r="Q1756" s="17"/>
      <c r="R1756" s="17"/>
      <c r="S1756" s="17"/>
      <c r="T1756" s="17"/>
      <c r="U1756" s="17"/>
      <c r="V1756" s="17"/>
      <c r="W1756" s="17"/>
      <c r="X1756" s="17"/>
      <c r="Y1756" s="17"/>
      <c r="Z1756" s="17"/>
    </row>
    <row r="1757">
      <c r="A1757" s="18" t="str">
        <f>IFERROR(__xludf.DUMMYFUNCTION("""COMPUTED_VALUE"""),"ord_71735")</f>
        <v>ord_71735</v>
      </c>
      <c r="B1757" s="18" t="str">
        <f>IFERROR(__xludf.DUMMYFUNCTION("""COMPUTED_VALUE"""),"Aditi Iyer")</f>
        <v>Aditi Iyer</v>
      </c>
      <c r="C1757" s="18" t="str">
        <f>IFERROR(__xludf.DUMMYFUNCTION("""COMPUTED_VALUE"""),"Bandra")</f>
        <v>Bandra</v>
      </c>
      <c r="D1757" s="18" t="str">
        <f>IFERROR(__xludf.DUMMYFUNCTION("""COMPUTED_VALUE"""),"Tomato")</f>
        <v>Tomato</v>
      </c>
      <c r="E1757" s="18">
        <f>IFERROR(__xludf.DUMMYFUNCTION("""COMPUTED_VALUE"""),1.0)</f>
        <v>1</v>
      </c>
      <c r="F1757" s="18" t="str">
        <f>IFERROR(__xludf.DUMMYFUNCTION("""COMPUTED_VALUE"""),"Priya Joshi")</f>
        <v>Priya Joshi</v>
      </c>
      <c r="G1757" s="19">
        <f>IFERROR(__xludf.DUMMYFUNCTION("""COMPUTED_VALUE"""),45233.0)</f>
        <v>45233</v>
      </c>
      <c r="H1757" s="18" t="str">
        <f>IFERROR(__xludf.DUMMYFUNCTION("""COMPUTED_VALUE"""),"Credit Card")</f>
        <v>Credit Card</v>
      </c>
      <c r="I1757" s="18" t="str">
        <f>IFERROR(__xludf.DUMMYFUNCTION("""COMPUTED_VALUE"""),"Delivered")</f>
        <v>Delivered</v>
      </c>
      <c r="J1757" s="18" t="str">
        <f>IFERROR(__xludf.DUMMYFUNCTION("""COMPUTED_VALUE"""),"Quality of Items")</f>
        <v>Quality of Items</v>
      </c>
      <c r="K1757" s="18" t="str">
        <f>IFERROR(__xludf.DUMMYFUNCTION("""COMPUTED_VALUE"""),"Perfect condition")</f>
        <v>Perfect condition</v>
      </c>
      <c r="L1757" s="18">
        <f>iferror(VLOOKUP($D1757,Details!$A$2:$C$11,2,false),vlookup($D1757,Details!$E$2:$G$11,2,false))</f>
        <v>25</v>
      </c>
      <c r="M1757" s="18" t="str">
        <f>iferror(VLOOKUP($D1757,Details!$A$2:$C$11,3,false),vlookup($D1757,Details!$E$2:$G$11,3,false))</f>
        <v>Fruits and Vegetables</v>
      </c>
      <c r="N1757" s="18">
        <f t="shared" si="1"/>
        <v>25</v>
      </c>
      <c r="O1757" s="17"/>
      <c r="P1757" s="17"/>
      <c r="Q1757" s="17"/>
      <c r="R1757" s="17"/>
      <c r="S1757" s="17"/>
      <c r="T1757" s="17"/>
      <c r="U1757" s="17"/>
      <c r="V1757" s="17"/>
      <c r="W1757" s="17"/>
      <c r="X1757" s="17"/>
      <c r="Y1757" s="17"/>
      <c r="Z1757" s="17"/>
    </row>
    <row r="1758">
      <c r="A1758" s="18" t="str">
        <f>IFERROR(__xludf.DUMMYFUNCTION("""COMPUTED_VALUE"""),"ord_71736")</f>
        <v>ord_71736</v>
      </c>
      <c r="B1758" s="18" t="str">
        <f>IFERROR(__xludf.DUMMYFUNCTION("""COMPUTED_VALUE"""),"Sahil Desai")</f>
        <v>Sahil Desai</v>
      </c>
      <c r="C1758" s="18" t="str">
        <f>IFERROR(__xludf.DUMMYFUNCTION("""COMPUTED_VALUE"""),"Colaba")</f>
        <v>Colaba</v>
      </c>
      <c r="D1758" s="18" t="str">
        <f>IFERROR(__xludf.DUMMYFUNCTION("""COMPUTED_VALUE"""),"Rasmalai")</f>
        <v>Rasmalai</v>
      </c>
      <c r="E1758" s="18">
        <f>IFERROR(__xludf.DUMMYFUNCTION("""COMPUTED_VALUE"""),3.0)</f>
        <v>3</v>
      </c>
      <c r="F1758" s="18" t="str">
        <f>IFERROR(__xludf.DUMMYFUNCTION("""COMPUTED_VALUE"""),"Nikhil Deshmukh")</f>
        <v>Nikhil Deshmukh</v>
      </c>
      <c r="G1758" s="19">
        <f>IFERROR(__xludf.DUMMYFUNCTION("""COMPUTED_VALUE"""),45250.0)</f>
        <v>45250</v>
      </c>
      <c r="H1758" s="18" t="str">
        <f>IFERROR(__xludf.DUMMYFUNCTION("""COMPUTED_VALUE"""),"Credit Card")</f>
        <v>Credit Card</v>
      </c>
      <c r="I1758" s="18" t="str">
        <f>IFERROR(__xludf.DUMMYFUNCTION("""COMPUTED_VALUE"""),"Delivered")</f>
        <v>Delivered</v>
      </c>
      <c r="J1758" s="18" t="str">
        <f>IFERROR(__xludf.DUMMYFUNCTION("""COMPUTED_VALUE"""),"Packaging")</f>
        <v>Packaging</v>
      </c>
      <c r="K1758" s="18" t="str">
        <f>IFERROR(__xludf.DUMMYFUNCTION("""COMPUTED_VALUE"""),"Secure and intact")</f>
        <v>Secure and intact</v>
      </c>
      <c r="L1758" s="18">
        <f>iferror(VLOOKUP($D1758,Details!$A$2:$C$11,2,false),vlookup($D1758,Details!$E$2:$G$11,2,false))</f>
        <v>110</v>
      </c>
      <c r="M1758" s="18" t="str">
        <f>iferror(VLOOKUP($D1758,Details!$A$2:$C$11,3,false),vlookup($D1758,Details!$E$2:$G$11,3,false))</f>
        <v>Snacks and Drinks</v>
      </c>
      <c r="N1758" s="18">
        <f t="shared" si="1"/>
        <v>330</v>
      </c>
      <c r="O1758" s="17"/>
      <c r="P1758" s="17"/>
      <c r="Q1758" s="17"/>
      <c r="R1758" s="17"/>
      <c r="S1758" s="17"/>
      <c r="T1758" s="17"/>
      <c r="U1758" s="17"/>
      <c r="V1758" s="17"/>
      <c r="W1758" s="17"/>
      <c r="X1758" s="17"/>
      <c r="Y1758" s="17"/>
      <c r="Z1758" s="17"/>
    </row>
    <row r="1759">
      <c r="A1759" s="18" t="str">
        <f>IFERROR(__xludf.DUMMYFUNCTION("""COMPUTED_VALUE"""),"ord_71737")</f>
        <v>ord_71737</v>
      </c>
      <c r="B1759" s="18" t="str">
        <f>IFERROR(__xludf.DUMMYFUNCTION("""COMPUTED_VALUE"""),"Shruti Aggarwal")</f>
        <v>Shruti Aggarwal</v>
      </c>
      <c r="C1759" s="18" t="str">
        <f>IFERROR(__xludf.DUMMYFUNCTION("""COMPUTED_VALUE"""),"Colaba")</f>
        <v>Colaba</v>
      </c>
      <c r="D1759" s="18" t="str">
        <f>IFERROR(__xludf.DUMMYFUNCTION("""COMPUTED_VALUE"""),"Cold Coffee")</f>
        <v>Cold Coffee</v>
      </c>
      <c r="E1759" s="18">
        <f>IFERROR(__xludf.DUMMYFUNCTION("""COMPUTED_VALUE"""),8.0)</f>
        <v>8</v>
      </c>
      <c r="F1759" s="18" t="str">
        <f>IFERROR(__xludf.DUMMYFUNCTION("""COMPUTED_VALUE"""),"Nikhil Deshmukh")</f>
        <v>Nikhil Deshmukh</v>
      </c>
      <c r="G1759" s="19">
        <f>IFERROR(__xludf.DUMMYFUNCTION("""COMPUTED_VALUE"""),45103.0)</f>
        <v>45103</v>
      </c>
      <c r="H1759" s="18" t="str">
        <f>IFERROR(__xludf.DUMMYFUNCTION("""COMPUTED_VALUE"""),"COD")</f>
        <v>COD</v>
      </c>
      <c r="I1759" s="18" t="str">
        <f>IFERROR(__xludf.DUMMYFUNCTION("""COMPUTED_VALUE"""),"Delivered")</f>
        <v>Delivered</v>
      </c>
      <c r="J1759" s="18" t="str">
        <f>IFERROR(__xludf.DUMMYFUNCTION("""COMPUTED_VALUE"""),"Satisfied with the Delivery")</f>
        <v>Satisfied with the Delivery</v>
      </c>
      <c r="K1759" s="18" t="str">
        <f>IFERROR(__xludf.DUMMYFUNCTION("""COMPUTED_VALUE"""),"Timely and quality")</f>
        <v>Timely and quality</v>
      </c>
      <c r="L1759" s="18">
        <f>iferror(VLOOKUP($D1759,Details!$A$2:$C$11,2,false),vlookup($D1759,Details!$E$2:$G$11,2,false))</f>
        <v>270</v>
      </c>
      <c r="M1759" s="18" t="str">
        <f>iferror(VLOOKUP($D1759,Details!$A$2:$C$11,3,false),vlookup($D1759,Details!$E$2:$G$11,3,false))</f>
        <v>Snacks and Drinks</v>
      </c>
      <c r="N1759" s="18">
        <f t="shared" si="1"/>
        <v>2160</v>
      </c>
      <c r="O1759" s="17"/>
      <c r="P1759" s="17"/>
      <c r="Q1759" s="17"/>
      <c r="R1759" s="17"/>
      <c r="S1759" s="17"/>
      <c r="T1759" s="17"/>
      <c r="U1759" s="17"/>
      <c r="V1759" s="17"/>
      <c r="W1759" s="17"/>
      <c r="X1759" s="17"/>
      <c r="Y1759" s="17"/>
      <c r="Z1759" s="17"/>
    </row>
    <row r="1760">
      <c r="A1760" s="18" t="str">
        <f>IFERROR(__xludf.DUMMYFUNCTION("""COMPUTED_VALUE"""),"ord_71738")</f>
        <v>ord_71738</v>
      </c>
      <c r="B1760" s="18" t="str">
        <f>IFERROR(__xludf.DUMMYFUNCTION("""COMPUTED_VALUE"""),"Omkar Mishra")</f>
        <v>Omkar Mishra</v>
      </c>
      <c r="C1760" s="18" t="str">
        <f>IFERROR(__xludf.DUMMYFUNCTION("""COMPUTED_VALUE"""),"Powai")</f>
        <v>Powai</v>
      </c>
      <c r="D1760" s="18" t="str">
        <f>IFERROR(__xludf.DUMMYFUNCTION("""COMPUTED_VALUE"""),"Cold Coffee")</f>
        <v>Cold Coffee</v>
      </c>
      <c r="E1760" s="18">
        <f>IFERROR(__xludf.DUMMYFUNCTION("""COMPUTED_VALUE"""),1.0)</f>
        <v>1</v>
      </c>
      <c r="F1760" s="18" t="str">
        <f>IFERROR(__xludf.DUMMYFUNCTION("""COMPUTED_VALUE"""),"Nithin Lal")</f>
        <v>Nithin Lal</v>
      </c>
      <c r="G1760" s="19">
        <f>IFERROR(__xludf.DUMMYFUNCTION("""COMPUTED_VALUE"""),45291.0)</f>
        <v>45291</v>
      </c>
      <c r="H1760" s="18" t="str">
        <f>IFERROR(__xludf.DUMMYFUNCTION("""COMPUTED_VALUE"""),"Credit Card")</f>
        <v>Credit Card</v>
      </c>
      <c r="I1760" s="18" t="str">
        <f>IFERROR(__xludf.DUMMYFUNCTION("""COMPUTED_VALUE"""),"Cancelled")</f>
        <v>Cancelled</v>
      </c>
      <c r="J1760" s="18" t="str">
        <f>IFERROR(__xludf.DUMMYFUNCTION("""COMPUTED_VALUE"""),"Delayed Delivery")</f>
        <v>Delayed Delivery</v>
      </c>
      <c r="K1760" s="18" t="str">
        <f>IFERROR(__xludf.DUMMYFUNCTION("""COMPUTED_VALUE"""),"Heavy Traffic")</f>
        <v>Heavy Traffic</v>
      </c>
      <c r="L1760" s="18">
        <f>iferror(VLOOKUP($D1760,Details!$A$2:$C$11,2,false),vlookup($D1760,Details!$E$2:$G$11,2,false))</f>
        <v>270</v>
      </c>
      <c r="M1760" s="18" t="str">
        <f>iferror(VLOOKUP($D1760,Details!$A$2:$C$11,3,false),vlookup($D1760,Details!$E$2:$G$11,3,false))</f>
        <v>Snacks and Drinks</v>
      </c>
      <c r="N1760" s="18">
        <f t="shared" si="1"/>
        <v>270</v>
      </c>
      <c r="O1760" s="17"/>
      <c r="P1760" s="17"/>
      <c r="Q1760" s="17"/>
      <c r="R1760" s="17"/>
      <c r="S1760" s="17"/>
      <c r="T1760" s="17"/>
      <c r="U1760" s="17"/>
      <c r="V1760" s="17"/>
      <c r="W1760" s="17"/>
      <c r="X1760" s="17"/>
      <c r="Y1760" s="17"/>
      <c r="Z1760" s="17"/>
    </row>
    <row r="1761">
      <c r="A1761" s="18" t="str">
        <f>IFERROR(__xludf.DUMMYFUNCTION("""COMPUTED_VALUE"""),"ord_71739")</f>
        <v>ord_71739</v>
      </c>
      <c r="B1761" s="18" t="str">
        <f>IFERROR(__xludf.DUMMYFUNCTION("""COMPUTED_VALUE"""),"Arvind Kulkarni")</f>
        <v>Arvind Kulkarni</v>
      </c>
      <c r="C1761" s="18" t="str">
        <f>IFERROR(__xludf.DUMMYFUNCTION("""COMPUTED_VALUE"""),"Juhu")</f>
        <v>Juhu</v>
      </c>
      <c r="D1761" s="18" t="str">
        <f>IFERROR(__xludf.DUMMYFUNCTION("""COMPUTED_VALUE"""),"Papaya")</f>
        <v>Papaya</v>
      </c>
      <c r="E1761" s="18">
        <f>IFERROR(__xludf.DUMMYFUNCTION("""COMPUTED_VALUE"""),2.0)</f>
        <v>2</v>
      </c>
      <c r="F1761" s="18" t="str">
        <f>IFERROR(__xludf.DUMMYFUNCTION("""COMPUTED_VALUE"""),"Not Assigned")</f>
        <v>Not Assigned</v>
      </c>
      <c r="G1761" s="19">
        <f>IFERROR(__xludf.DUMMYFUNCTION("""COMPUTED_VALUE"""),44943.0)</f>
        <v>44943</v>
      </c>
      <c r="H1761" s="18" t="str">
        <f>IFERROR(__xludf.DUMMYFUNCTION("""COMPUTED_VALUE"""),"Credit Card")</f>
        <v>Credit Card</v>
      </c>
      <c r="I1761" s="18" t="str">
        <f>IFERROR(__xludf.DUMMYFUNCTION("""COMPUTED_VALUE"""),"Cancelled")</f>
        <v>Cancelled</v>
      </c>
      <c r="J1761" s="18" t="str">
        <f>IFERROR(__xludf.DUMMYFUNCTION("""COMPUTED_VALUE"""),"App Glitches")</f>
        <v>App Glitches</v>
      </c>
      <c r="K1761" s="18" t="str">
        <f>IFERROR(__xludf.DUMMYFUNCTION("""COMPUTED_VALUE"""),"Payment Button Malfunction")</f>
        <v>Payment Button Malfunction</v>
      </c>
      <c r="L1761" s="18">
        <f>iferror(VLOOKUP($D1761,Details!$A$2:$C$11,2,false),vlookup($D1761,Details!$E$2:$G$11,2,false))</f>
        <v>75</v>
      </c>
      <c r="M1761" s="18" t="str">
        <f>iferror(VLOOKUP($D1761,Details!$A$2:$C$11,3,false),vlookup($D1761,Details!$E$2:$G$11,3,false))</f>
        <v>Fruits and Vegetables</v>
      </c>
      <c r="N1761" s="18">
        <f t="shared" si="1"/>
        <v>150</v>
      </c>
      <c r="O1761" s="17"/>
      <c r="P1761" s="17"/>
      <c r="Q1761" s="17"/>
      <c r="R1761" s="17"/>
      <c r="S1761" s="17"/>
      <c r="T1761" s="17"/>
      <c r="U1761" s="17"/>
      <c r="V1761" s="17"/>
      <c r="W1761" s="17"/>
      <c r="X1761" s="17"/>
      <c r="Y1761" s="17"/>
      <c r="Z1761" s="17"/>
    </row>
    <row r="1762">
      <c r="A1762" s="18" t="str">
        <f>IFERROR(__xludf.DUMMYFUNCTION("""COMPUTED_VALUE"""),"ord_71740")</f>
        <v>ord_71740</v>
      </c>
      <c r="B1762" s="18" t="str">
        <f>IFERROR(__xludf.DUMMYFUNCTION("""COMPUTED_VALUE"""),"Mohit Malhotra")</f>
        <v>Mohit Malhotra</v>
      </c>
      <c r="C1762" s="18" t="str">
        <f>IFERROR(__xludf.DUMMYFUNCTION("""COMPUTED_VALUE"""),"Lower Parel")</f>
        <v>Lower Parel</v>
      </c>
      <c r="D1762" s="18" t="str">
        <f>IFERROR(__xludf.DUMMYFUNCTION("""COMPUTED_VALUE"""),"Apple")</f>
        <v>Apple</v>
      </c>
      <c r="E1762" s="18">
        <f>IFERROR(__xludf.DUMMYFUNCTION("""COMPUTED_VALUE"""),2.0)</f>
        <v>2</v>
      </c>
      <c r="F1762" s="18" t="str">
        <f>IFERROR(__xludf.DUMMYFUNCTION("""COMPUTED_VALUE"""),"Kiran Mehta")</f>
        <v>Kiran Mehta</v>
      </c>
      <c r="G1762" s="19">
        <f>IFERROR(__xludf.DUMMYFUNCTION("""COMPUTED_VALUE"""),45259.0)</f>
        <v>45259</v>
      </c>
      <c r="H1762" s="18" t="str">
        <f>IFERROR(__xludf.DUMMYFUNCTION("""COMPUTED_VALUE"""),"Credit Card")</f>
        <v>Credit Card</v>
      </c>
      <c r="I1762" s="18" t="str">
        <f>IFERROR(__xludf.DUMMYFUNCTION("""COMPUTED_VALUE"""),"Delivered")</f>
        <v>Delivered</v>
      </c>
      <c r="J1762" s="18" t="str">
        <f>IFERROR(__xludf.DUMMYFUNCTION("""COMPUTED_VALUE"""),"Customer Service")</f>
        <v>Customer Service</v>
      </c>
      <c r="K1762" s="18" t="str">
        <f>IFERROR(__xludf.DUMMYFUNCTION("""COMPUTED_VALUE"""),"Seamless and easy")</f>
        <v>Seamless and easy</v>
      </c>
      <c r="L1762" s="18">
        <f>iferror(VLOOKUP($D1762,Details!$A$2:$C$11,2,false),vlookup($D1762,Details!$E$2:$G$11,2,false))</f>
        <v>230</v>
      </c>
      <c r="M1762" s="18" t="str">
        <f>iferror(VLOOKUP($D1762,Details!$A$2:$C$11,3,false),vlookup($D1762,Details!$E$2:$G$11,3,false))</f>
        <v>Fruits and Vegetables</v>
      </c>
      <c r="N1762" s="18">
        <f t="shared" si="1"/>
        <v>460</v>
      </c>
      <c r="O1762" s="17"/>
      <c r="P1762" s="17"/>
      <c r="Q1762" s="17"/>
      <c r="R1762" s="17"/>
      <c r="S1762" s="17"/>
      <c r="T1762" s="17"/>
      <c r="U1762" s="17"/>
      <c r="V1762" s="17"/>
      <c r="W1762" s="17"/>
      <c r="X1762" s="17"/>
      <c r="Y1762" s="17"/>
      <c r="Z1762" s="17"/>
    </row>
    <row r="1763">
      <c r="A1763" s="18" t="str">
        <f>IFERROR(__xludf.DUMMYFUNCTION("""COMPUTED_VALUE"""),"ord_71741")</f>
        <v>ord_71741</v>
      </c>
      <c r="B1763" s="18" t="str">
        <f>IFERROR(__xludf.DUMMYFUNCTION("""COMPUTED_VALUE"""),"Omkar Mishra")</f>
        <v>Omkar Mishra</v>
      </c>
      <c r="C1763" s="18" t="str">
        <f>IFERROR(__xludf.DUMMYFUNCTION("""COMPUTED_VALUE"""),"Powai")</f>
        <v>Powai</v>
      </c>
      <c r="D1763" s="18" t="str">
        <f>IFERROR(__xludf.DUMMYFUNCTION("""COMPUTED_VALUE"""),"Cucumber")</f>
        <v>Cucumber</v>
      </c>
      <c r="E1763" s="18">
        <f>IFERROR(__xludf.DUMMYFUNCTION("""COMPUTED_VALUE"""),1.0)</f>
        <v>1</v>
      </c>
      <c r="F1763" s="18" t="str">
        <f>IFERROR(__xludf.DUMMYFUNCTION("""COMPUTED_VALUE"""),"Not Assigned")</f>
        <v>Not Assigned</v>
      </c>
      <c r="G1763" s="19">
        <f>IFERROR(__xludf.DUMMYFUNCTION("""COMPUTED_VALUE"""),45070.0)</f>
        <v>45070</v>
      </c>
      <c r="H1763" s="18" t="str">
        <f>IFERROR(__xludf.DUMMYFUNCTION("""COMPUTED_VALUE"""),"Online Payment")</f>
        <v>Online Payment</v>
      </c>
      <c r="I1763" s="18" t="str">
        <f>IFERROR(__xludf.DUMMYFUNCTION("""COMPUTED_VALUE"""),"Cancelled")</f>
        <v>Cancelled</v>
      </c>
      <c r="J1763" s="18" t="str">
        <f>IFERROR(__xludf.DUMMYFUNCTION("""COMPUTED_VALUE"""),"App Glitches")</f>
        <v>App Glitches</v>
      </c>
      <c r="K1763" s="18" t="str">
        <f>IFERROR(__xludf.DUMMYFUNCTION("""COMPUTED_VALUE"""),"Slow Loading Time")</f>
        <v>Slow Loading Time</v>
      </c>
      <c r="L1763" s="18">
        <f>iferror(VLOOKUP($D1763,Details!$A$2:$C$11,2,false),vlookup($D1763,Details!$E$2:$G$11,2,false))</f>
        <v>30</v>
      </c>
      <c r="M1763" s="18" t="str">
        <f>iferror(VLOOKUP($D1763,Details!$A$2:$C$11,3,false),vlookup($D1763,Details!$E$2:$G$11,3,false))</f>
        <v>Fruits and Vegetables</v>
      </c>
      <c r="N1763" s="18">
        <f t="shared" si="1"/>
        <v>30</v>
      </c>
      <c r="O1763" s="17"/>
      <c r="P1763" s="17"/>
      <c r="Q1763" s="17"/>
      <c r="R1763" s="17"/>
      <c r="S1763" s="17"/>
      <c r="T1763" s="17"/>
      <c r="U1763" s="17"/>
      <c r="V1763" s="17"/>
      <c r="W1763" s="17"/>
      <c r="X1763" s="17"/>
      <c r="Y1763" s="17"/>
      <c r="Z1763" s="17"/>
    </row>
    <row r="1764">
      <c r="A1764" s="18" t="str">
        <f>IFERROR(__xludf.DUMMYFUNCTION("""COMPUTED_VALUE"""),"ord_71742")</f>
        <v>ord_71742</v>
      </c>
      <c r="B1764" s="18" t="str">
        <f>IFERROR(__xludf.DUMMYFUNCTION("""COMPUTED_VALUE"""),"Arvind Kulkarni")</f>
        <v>Arvind Kulkarni</v>
      </c>
      <c r="C1764" s="18" t="str">
        <f>IFERROR(__xludf.DUMMYFUNCTION("""COMPUTED_VALUE"""),"Juhu")</f>
        <v>Juhu</v>
      </c>
      <c r="D1764" s="18" t="str">
        <f>IFERROR(__xludf.DUMMYFUNCTION("""COMPUTED_VALUE"""),"Guava")</f>
        <v>Guava</v>
      </c>
      <c r="E1764" s="18">
        <f>IFERROR(__xludf.DUMMYFUNCTION("""COMPUTED_VALUE"""),2.0)</f>
        <v>2</v>
      </c>
      <c r="F1764" s="18" t="str">
        <f>IFERROR(__xludf.DUMMYFUNCTION("""COMPUTED_VALUE"""),"Kiran Mehta")</f>
        <v>Kiran Mehta</v>
      </c>
      <c r="G1764" s="19">
        <f>IFERROR(__xludf.DUMMYFUNCTION("""COMPUTED_VALUE"""),45144.0)</f>
        <v>45144</v>
      </c>
      <c r="H1764" s="18" t="str">
        <f>IFERROR(__xludf.DUMMYFUNCTION("""COMPUTED_VALUE"""),"UPI")</f>
        <v>UPI</v>
      </c>
      <c r="I1764" s="18" t="str">
        <f>IFERROR(__xludf.DUMMYFUNCTION("""COMPUTED_VALUE"""),"Cancelled")</f>
        <v>Cancelled</v>
      </c>
      <c r="J1764" s="18" t="str">
        <f>IFERROR(__xludf.DUMMYFUNCTION("""COMPUTED_VALUE"""),"Delayed Delivery")</f>
        <v>Delayed Delivery</v>
      </c>
      <c r="K1764" s="18" t="str">
        <f>IFERROR(__xludf.DUMMYFUNCTION("""COMPUTED_VALUE"""),"Bad Weather Conditions")</f>
        <v>Bad Weather Conditions</v>
      </c>
      <c r="L1764" s="18">
        <f>iferror(VLOOKUP($D1764,Details!$A$2:$C$11,2,false),vlookup($D1764,Details!$E$2:$G$11,2,false))</f>
        <v>70</v>
      </c>
      <c r="M1764" s="18" t="str">
        <f>iferror(VLOOKUP($D1764,Details!$A$2:$C$11,3,false),vlookup($D1764,Details!$E$2:$G$11,3,false))</f>
        <v>Fruits and Vegetables</v>
      </c>
      <c r="N1764" s="18">
        <f t="shared" si="1"/>
        <v>140</v>
      </c>
      <c r="O1764" s="17"/>
      <c r="P1764" s="17"/>
      <c r="Q1764" s="17"/>
      <c r="R1764" s="17"/>
      <c r="S1764" s="17"/>
      <c r="T1764" s="17"/>
      <c r="U1764" s="17"/>
      <c r="V1764" s="17"/>
      <c r="W1764" s="17"/>
      <c r="X1764" s="17"/>
      <c r="Y1764" s="17"/>
      <c r="Z1764" s="17"/>
    </row>
    <row r="1765">
      <c r="A1765" s="18" t="str">
        <f>IFERROR(__xludf.DUMMYFUNCTION("""COMPUTED_VALUE"""),"ord_71743")</f>
        <v>ord_71743</v>
      </c>
      <c r="B1765" s="18" t="str">
        <f>IFERROR(__xludf.DUMMYFUNCTION("""COMPUTED_VALUE"""),"Anaya Rao")</f>
        <v>Anaya Rao</v>
      </c>
      <c r="C1765" s="18" t="str">
        <f>IFERROR(__xludf.DUMMYFUNCTION("""COMPUTED_VALUE"""),"Colaba")</f>
        <v>Colaba</v>
      </c>
      <c r="D1765" s="18" t="str">
        <f>IFERROR(__xludf.DUMMYFUNCTION("""COMPUTED_VALUE"""),"Apple")</f>
        <v>Apple</v>
      </c>
      <c r="E1765" s="18">
        <f>IFERROR(__xludf.DUMMYFUNCTION("""COMPUTED_VALUE"""),1.0)</f>
        <v>1</v>
      </c>
      <c r="F1765" s="18" t="str">
        <f>IFERROR(__xludf.DUMMYFUNCTION("""COMPUTED_VALUE"""),"Nikhil Deshmukh")</f>
        <v>Nikhil Deshmukh</v>
      </c>
      <c r="G1765" s="19">
        <f>IFERROR(__xludf.DUMMYFUNCTION("""COMPUTED_VALUE"""),45109.0)</f>
        <v>45109</v>
      </c>
      <c r="H1765" s="18" t="str">
        <f>IFERROR(__xludf.DUMMYFUNCTION("""COMPUTED_VALUE"""),"Online Payment")</f>
        <v>Online Payment</v>
      </c>
      <c r="I1765" s="18" t="str">
        <f>IFERROR(__xludf.DUMMYFUNCTION("""COMPUTED_VALUE"""),"Delivered")</f>
        <v>Delivered</v>
      </c>
      <c r="J1765" s="18" t="str">
        <f>IFERROR(__xludf.DUMMYFUNCTION("""COMPUTED_VALUE"""),"Delivery Experience")</f>
        <v>Delivery Experience</v>
      </c>
      <c r="K1765" s="18" t="str">
        <f>IFERROR(__xludf.DUMMYFUNCTION("""COMPUTED_VALUE"""),"Quick and professional")</f>
        <v>Quick and professional</v>
      </c>
      <c r="L1765" s="18">
        <f>iferror(VLOOKUP($D1765,Details!$A$2:$C$11,2,false),vlookup($D1765,Details!$E$2:$G$11,2,false))</f>
        <v>230</v>
      </c>
      <c r="M1765" s="18" t="str">
        <f>iferror(VLOOKUP($D1765,Details!$A$2:$C$11,3,false),vlookup($D1765,Details!$E$2:$G$11,3,false))</f>
        <v>Fruits and Vegetables</v>
      </c>
      <c r="N1765" s="18">
        <f t="shared" si="1"/>
        <v>230</v>
      </c>
      <c r="O1765" s="17"/>
      <c r="P1765" s="17"/>
      <c r="Q1765" s="17"/>
      <c r="R1765" s="17"/>
      <c r="S1765" s="17"/>
      <c r="T1765" s="17"/>
      <c r="U1765" s="17"/>
      <c r="V1765" s="17"/>
      <c r="W1765" s="17"/>
      <c r="X1765" s="17"/>
      <c r="Y1765" s="17"/>
      <c r="Z1765" s="17"/>
    </row>
    <row r="1766">
      <c r="A1766" s="18" t="str">
        <f>IFERROR(__xludf.DUMMYFUNCTION("""COMPUTED_VALUE"""),"ord_71744")</f>
        <v>ord_71744</v>
      </c>
      <c r="B1766" s="18" t="str">
        <f>IFERROR(__xludf.DUMMYFUNCTION("""COMPUTED_VALUE"""),"Ishita Banerjee")</f>
        <v>Ishita Banerjee</v>
      </c>
      <c r="C1766" s="18" t="str">
        <f>IFERROR(__xludf.DUMMYFUNCTION("""COMPUTED_VALUE"""),"Juhu")</f>
        <v>Juhu</v>
      </c>
      <c r="D1766" s="18" t="str">
        <f>IFERROR(__xludf.DUMMYFUNCTION("""COMPUTED_VALUE"""),"Papaya")</f>
        <v>Papaya</v>
      </c>
      <c r="E1766" s="18">
        <f>IFERROR(__xludf.DUMMYFUNCTION("""COMPUTED_VALUE"""),1.0)</f>
        <v>1</v>
      </c>
      <c r="F1766" s="18" t="str">
        <f>IFERROR(__xludf.DUMMYFUNCTION("""COMPUTED_VALUE"""),"Tanvi Jain")</f>
        <v>Tanvi Jain</v>
      </c>
      <c r="G1766" s="19">
        <f>IFERROR(__xludf.DUMMYFUNCTION("""COMPUTED_VALUE"""),45109.0)</f>
        <v>45109</v>
      </c>
      <c r="H1766" s="18" t="str">
        <f>IFERROR(__xludf.DUMMYFUNCTION("""COMPUTED_VALUE"""),"UPI")</f>
        <v>UPI</v>
      </c>
      <c r="I1766" s="18" t="str">
        <f>IFERROR(__xludf.DUMMYFUNCTION("""COMPUTED_VALUE"""),"Delivered")</f>
        <v>Delivered</v>
      </c>
      <c r="J1766" s="18" t="str">
        <f>IFERROR(__xludf.DUMMYFUNCTION("""COMPUTED_VALUE"""),"Convenience")</f>
        <v>Convenience</v>
      </c>
      <c r="K1766" s="18" t="str">
        <f>IFERROR(__xludf.DUMMYFUNCTION("""COMPUTED_VALUE"""),"Easy tracking")</f>
        <v>Easy tracking</v>
      </c>
      <c r="L1766" s="18">
        <f>iferror(VLOOKUP($D1766,Details!$A$2:$C$11,2,false),vlookup($D1766,Details!$E$2:$G$11,2,false))</f>
        <v>75</v>
      </c>
      <c r="M1766" s="18" t="str">
        <f>iferror(VLOOKUP($D1766,Details!$A$2:$C$11,3,false),vlookup($D1766,Details!$E$2:$G$11,3,false))</f>
        <v>Fruits and Vegetables</v>
      </c>
      <c r="N1766" s="18">
        <f t="shared" si="1"/>
        <v>75</v>
      </c>
      <c r="O1766" s="17"/>
      <c r="P1766" s="17"/>
      <c r="Q1766" s="17"/>
      <c r="R1766" s="17"/>
      <c r="S1766" s="17"/>
      <c r="T1766" s="17"/>
      <c r="U1766" s="17"/>
      <c r="V1766" s="17"/>
      <c r="W1766" s="17"/>
      <c r="X1766" s="17"/>
      <c r="Y1766" s="17"/>
      <c r="Z1766" s="17"/>
    </row>
    <row r="1767">
      <c r="A1767" s="18" t="str">
        <f>IFERROR(__xludf.DUMMYFUNCTION("""COMPUTED_VALUE"""),"ord_71745")</f>
        <v>ord_71745</v>
      </c>
      <c r="B1767" s="18" t="str">
        <f>IFERROR(__xludf.DUMMYFUNCTION("""COMPUTED_VALUE"""),"Sakshi Tandon")</f>
        <v>Sakshi Tandon</v>
      </c>
      <c r="C1767" s="18" t="str">
        <f>IFERROR(__xludf.DUMMYFUNCTION("""COMPUTED_VALUE"""),"Colaba")</f>
        <v>Colaba</v>
      </c>
      <c r="D1767" s="18" t="str">
        <f>IFERROR(__xludf.DUMMYFUNCTION("""COMPUTED_VALUE"""),"Chicken Puff")</f>
        <v>Chicken Puff</v>
      </c>
      <c r="E1767" s="18">
        <f>IFERROR(__xludf.DUMMYFUNCTION("""COMPUTED_VALUE"""),1.0)</f>
        <v>1</v>
      </c>
      <c r="F1767" s="18" t="str">
        <f>IFERROR(__xludf.DUMMYFUNCTION("""COMPUTED_VALUE"""),"Nikhil Deshmukh")</f>
        <v>Nikhil Deshmukh</v>
      </c>
      <c r="G1767" s="19">
        <f>IFERROR(__xludf.DUMMYFUNCTION("""COMPUTED_VALUE"""),45265.0)</f>
        <v>45265</v>
      </c>
      <c r="H1767" s="18" t="str">
        <f>IFERROR(__xludf.DUMMYFUNCTION("""COMPUTED_VALUE"""),"UPI")</f>
        <v>UPI</v>
      </c>
      <c r="I1767" s="18" t="str">
        <f>IFERROR(__xludf.DUMMYFUNCTION("""COMPUTED_VALUE"""),"Delivered")</f>
        <v>Delivered</v>
      </c>
      <c r="J1767" s="18" t="str">
        <f>IFERROR(__xludf.DUMMYFUNCTION("""COMPUTED_VALUE"""),"Overall Satisfaction")</f>
        <v>Overall Satisfaction</v>
      </c>
      <c r="K1767" s="18" t="str">
        <f>IFERROR(__xludf.DUMMYFUNCTION("""COMPUTED_VALUE"""),"Great service will order again")</f>
        <v>Great service will order again</v>
      </c>
      <c r="L1767" s="18">
        <f>iferror(VLOOKUP($D1767,Details!$A$2:$C$11,2,false),vlookup($D1767,Details!$E$2:$G$11,2,false))</f>
        <v>90</v>
      </c>
      <c r="M1767" s="18" t="str">
        <f>iferror(VLOOKUP($D1767,Details!$A$2:$C$11,3,false),vlookup($D1767,Details!$E$2:$G$11,3,false))</f>
        <v>Snacks and Drinks</v>
      </c>
      <c r="N1767" s="18">
        <f t="shared" si="1"/>
        <v>90</v>
      </c>
      <c r="O1767" s="17"/>
      <c r="P1767" s="17"/>
      <c r="Q1767" s="17"/>
      <c r="R1767" s="17"/>
      <c r="S1767" s="17"/>
      <c r="T1767" s="17"/>
      <c r="U1767" s="17"/>
      <c r="V1767" s="17"/>
      <c r="W1767" s="17"/>
      <c r="X1767" s="17"/>
      <c r="Y1767" s="17"/>
      <c r="Z1767" s="17"/>
    </row>
    <row r="1768">
      <c r="A1768" s="18" t="str">
        <f>IFERROR(__xludf.DUMMYFUNCTION("""COMPUTED_VALUE"""),"ord_71746")</f>
        <v>ord_71746</v>
      </c>
      <c r="B1768" s="18" t="str">
        <f>IFERROR(__xludf.DUMMYFUNCTION("""COMPUTED_VALUE"""),"Siya Reddy")</f>
        <v>Siya Reddy</v>
      </c>
      <c r="C1768" s="18" t="str">
        <f>IFERROR(__xludf.DUMMYFUNCTION("""COMPUTED_VALUE"""),"Juhu")</f>
        <v>Juhu</v>
      </c>
      <c r="D1768" s="18" t="str">
        <f>IFERROR(__xludf.DUMMYFUNCTION("""COMPUTED_VALUE"""),"Onion")</f>
        <v>Onion</v>
      </c>
      <c r="E1768" s="18">
        <f>IFERROR(__xludf.DUMMYFUNCTION("""COMPUTED_VALUE"""),1.0)</f>
        <v>1</v>
      </c>
      <c r="F1768" s="18" t="str">
        <f>IFERROR(__xludf.DUMMYFUNCTION("""COMPUTED_VALUE"""),"Nithin Lal")</f>
        <v>Nithin Lal</v>
      </c>
      <c r="G1768" s="19">
        <f>IFERROR(__xludf.DUMMYFUNCTION("""COMPUTED_VALUE"""),45244.0)</f>
        <v>45244</v>
      </c>
      <c r="H1768" s="18" t="str">
        <f>IFERROR(__xludf.DUMMYFUNCTION("""COMPUTED_VALUE"""),"Credit Card")</f>
        <v>Credit Card</v>
      </c>
      <c r="I1768" s="18" t="str">
        <f>IFERROR(__xludf.DUMMYFUNCTION("""COMPUTED_VALUE"""),"Cancelled")</f>
        <v>Cancelled</v>
      </c>
      <c r="J1768" s="18" t="str">
        <f>IFERROR(__xludf.DUMMYFUNCTION("""COMPUTED_VALUE"""),"Delayed Delivery")</f>
        <v>Delayed Delivery</v>
      </c>
      <c r="K1768" s="18" t="str">
        <f>IFERROR(__xludf.DUMMYFUNCTION("""COMPUTED_VALUE"""),"Heavy Traffic")</f>
        <v>Heavy Traffic</v>
      </c>
      <c r="L1768" s="18">
        <f>iferror(VLOOKUP($D1768,Details!$A$2:$C$11,2,false),vlookup($D1768,Details!$E$2:$G$11,2,false))</f>
        <v>84</v>
      </c>
      <c r="M1768" s="18" t="str">
        <f>iferror(VLOOKUP($D1768,Details!$A$2:$C$11,3,false),vlookup($D1768,Details!$E$2:$G$11,3,false))</f>
        <v>Fruits and Vegetables</v>
      </c>
      <c r="N1768" s="18">
        <f t="shared" si="1"/>
        <v>84</v>
      </c>
      <c r="O1768" s="17"/>
      <c r="P1768" s="17"/>
      <c r="Q1768" s="17"/>
      <c r="R1768" s="17"/>
      <c r="S1768" s="17"/>
      <c r="T1768" s="17"/>
      <c r="U1768" s="17"/>
      <c r="V1768" s="17"/>
      <c r="W1768" s="17"/>
      <c r="X1768" s="17"/>
      <c r="Y1768" s="17"/>
      <c r="Z1768" s="17"/>
    </row>
    <row r="1769">
      <c r="A1769" s="18" t="str">
        <f>IFERROR(__xludf.DUMMYFUNCTION("""COMPUTED_VALUE"""),"ord_71747")</f>
        <v>ord_71747</v>
      </c>
      <c r="B1769" s="18" t="str">
        <f>IFERROR(__xludf.DUMMYFUNCTION("""COMPUTED_VALUE"""),"Diya Arora")</f>
        <v>Diya Arora</v>
      </c>
      <c r="C1769" s="18" t="str">
        <f>IFERROR(__xludf.DUMMYFUNCTION("""COMPUTED_VALUE"""),"Lower Parel")</f>
        <v>Lower Parel</v>
      </c>
      <c r="D1769" s="18" t="str">
        <f>IFERROR(__xludf.DUMMYFUNCTION("""COMPUTED_VALUE"""),"Orange")</f>
        <v>Orange</v>
      </c>
      <c r="E1769" s="18">
        <f>IFERROR(__xludf.DUMMYFUNCTION("""COMPUTED_VALUE"""),1.0)</f>
        <v>1</v>
      </c>
      <c r="F1769" s="18" t="str">
        <f>IFERROR(__xludf.DUMMYFUNCTION("""COMPUTED_VALUE"""),"Ramesh S")</f>
        <v>Ramesh S</v>
      </c>
      <c r="G1769" s="19">
        <f>IFERROR(__xludf.DUMMYFUNCTION("""COMPUTED_VALUE"""),45278.0)</f>
        <v>45278</v>
      </c>
      <c r="H1769" s="18" t="str">
        <f>IFERROR(__xludf.DUMMYFUNCTION("""COMPUTED_VALUE"""),"Online Payment")</f>
        <v>Online Payment</v>
      </c>
      <c r="I1769" s="18" t="str">
        <f>IFERROR(__xludf.DUMMYFUNCTION("""COMPUTED_VALUE"""),"Delivered")</f>
        <v>Delivered</v>
      </c>
      <c r="J1769" s="18" t="str">
        <f>IFERROR(__xludf.DUMMYFUNCTION("""COMPUTED_VALUE"""),"On-time Delivery")</f>
        <v>On-time Delivery</v>
      </c>
      <c r="K1769" s="18" t="str">
        <f>IFERROR(__xludf.DUMMYFUNCTION("""COMPUTED_VALUE"""),"Delivered on time")</f>
        <v>Delivered on time</v>
      </c>
      <c r="L1769" s="18">
        <f>iferror(VLOOKUP($D1769,Details!$A$2:$C$11,2,false),vlookup($D1769,Details!$E$2:$G$11,2,false))</f>
        <v>180</v>
      </c>
      <c r="M1769" s="18" t="str">
        <f>iferror(VLOOKUP($D1769,Details!$A$2:$C$11,3,false),vlookup($D1769,Details!$E$2:$G$11,3,false))</f>
        <v>Fruits and Vegetables</v>
      </c>
      <c r="N1769" s="18">
        <f t="shared" si="1"/>
        <v>180</v>
      </c>
      <c r="O1769" s="17"/>
      <c r="P1769" s="17"/>
      <c r="Q1769" s="17"/>
      <c r="R1769" s="17"/>
      <c r="S1769" s="17"/>
      <c r="T1769" s="17"/>
      <c r="U1769" s="17"/>
      <c r="V1769" s="17"/>
      <c r="W1769" s="17"/>
      <c r="X1769" s="17"/>
      <c r="Y1769" s="17"/>
      <c r="Z1769" s="17"/>
    </row>
    <row r="1770">
      <c r="A1770" s="18" t="str">
        <f>IFERROR(__xludf.DUMMYFUNCTION("""COMPUTED_VALUE"""),"ord_71748")</f>
        <v>ord_71748</v>
      </c>
      <c r="B1770" s="18" t="str">
        <f>IFERROR(__xludf.DUMMYFUNCTION("""COMPUTED_VALUE"""),"Ishita Banerjee")</f>
        <v>Ishita Banerjee</v>
      </c>
      <c r="C1770" s="18" t="str">
        <f>IFERROR(__xludf.DUMMYFUNCTION("""COMPUTED_VALUE"""),"Juhu")</f>
        <v>Juhu</v>
      </c>
      <c r="D1770" s="18" t="str">
        <f>IFERROR(__xludf.DUMMYFUNCTION("""COMPUTED_VALUE"""),"Icecream")</f>
        <v>Icecream</v>
      </c>
      <c r="E1770" s="18">
        <f>IFERROR(__xludf.DUMMYFUNCTION("""COMPUTED_VALUE"""),4.0)</f>
        <v>4</v>
      </c>
      <c r="F1770" s="18" t="str">
        <f>IFERROR(__xludf.DUMMYFUNCTION("""COMPUTED_VALUE"""),"Ram Gopal")</f>
        <v>Ram Gopal</v>
      </c>
      <c r="G1770" s="19">
        <f>IFERROR(__xludf.DUMMYFUNCTION("""COMPUTED_VALUE"""),45270.0)</f>
        <v>45270</v>
      </c>
      <c r="H1770" s="18" t="str">
        <f>IFERROR(__xludf.DUMMYFUNCTION("""COMPUTED_VALUE"""),"COD")</f>
        <v>COD</v>
      </c>
      <c r="I1770" s="18" t="str">
        <f>IFERROR(__xludf.DUMMYFUNCTION("""COMPUTED_VALUE"""),"Delivered")</f>
        <v>Delivered</v>
      </c>
      <c r="J1770" s="18" t="str">
        <f>IFERROR(__xludf.DUMMYFUNCTION("""COMPUTED_VALUE"""),"Quality of Items")</f>
        <v>Quality of Items</v>
      </c>
      <c r="K1770" s="18" t="str">
        <f>IFERROR(__xludf.DUMMYFUNCTION("""COMPUTED_VALUE"""),"Perfect condition")</f>
        <v>Perfect condition</v>
      </c>
      <c r="L1770" s="18">
        <f>iferror(VLOOKUP($D1770,Details!$A$2:$C$11,2,false),vlookup($D1770,Details!$E$2:$G$11,2,false))</f>
        <v>90</v>
      </c>
      <c r="M1770" s="18" t="str">
        <f>iferror(VLOOKUP($D1770,Details!$A$2:$C$11,3,false),vlookup($D1770,Details!$E$2:$G$11,3,false))</f>
        <v>Snacks and Drinks</v>
      </c>
      <c r="N1770" s="18">
        <f t="shared" si="1"/>
        <v>360</v>
      </c>
      <c r="O1770" s="17"/>
      <c r="P1770" s="17"/>
      <c r="Q1770" s="17"/>
      <c r="R1770" s="17"/>
      <c r="S1770" s="17"/>
      <c r="T1770" s="17"/>
      <c r="U1770" s="17"/>
      <c r="V1770" s="17"/>
      <c r="W1770" s="17"/>
      <c r="X1770" s="17"/>
      <c r="Y1770" s="17"/>
      <c r="Z1770" s="17"/>
    </row>
    <row r="1771">
      <c r="A1771" s="18" t="str">
        <f>IFERROR(__xludf.DUMMYFUNCTION("""COMPUTED_VALUE"""),"ord_71749")</f>
        <v>ord_71749</v>
      </c>
      <c r="B1771" s="18" t="str">
        <f>IFERROR(__xludf.DUMMYFUNCTION("""COMPUTED_VALUE"""),"Omkar Mishra")</f>
        <v>Omkar Mishra</v>
      </c>
      <c r="C1771" s="18" t="str">
        <f>IFERROR(__xludf.DUMMYFUNCTION("""COMPUTED_VALUE"""),"Powai")</f>
        <v>Powai</v>
      </c>
      <c r="D1771" s="18" t="str">
        <f>IFERROR(__xludf.DUMMYFUNCTION("""COMPUTED_VALUE"""),"Icecream")</f>
        <v>Icecream</v>
      </c>
      <c r="E1771" s="18">
        <f>IFERROR(__xludf.DUMMYFUNCTION("""COMPUTED_VALUE"""),5.0)</f>
        <v>5</v>
      </c>
      <c r="F1771" s="18" t="str">
        <f>IFERROR(__xludf.DUMMYFUNCTION("""COMPUTED_VALUE"""),"Kiran Mehta")</f>
        <v>Kiran Mehta</v>
      </c>
      <c r="G1771" s="19">
        <f>IFERROR(__xludf.DUMMYFUNCTION("""COMPUTED_VALUE"""),44999.0)</f>
        <v>44999</v>
      </c>
      <c r="H1771" s="18" t="str">
        <f>IFERROR(__xludf.DUMMYFUNCTION("""COMPUTED_VALUE"""),"Credit Card")</f>
        <v>Credit Card</v>
      </c>
      <c r="I1771" s="18" t="str">
        <f>IFERROR(__xludf.DUMMYFUNCTION("""COMPUTED_VALUE"""),"Cancelled")</f>
        <v>Cancelled</v>
      </c>
      <c r="J1771" s="18" t="str">
        <f>IFERROR(__xludf.DUMMYFUNCTION("""COMPUTED_VALUE"""),"Delayed Delivery")</f>
        <v>Delayed Delivery</v>
      </c>
      <c r="K1771" s="18" t="str">
        <f>IFERROR(__xludf.DUMMYFUNCTION("""COMPUTED_VALUE"""),"Heavy Traffic")</f>
        <v>Heavy Traffic</v>
      </c>
      <c r="L1771" s="18">
        <f>iferror(VLOOKUP($D1771,Details!$A$2:$C$11,2,false),vlookup($D1771,Details!$E$2:$G$11,2,false))</f>
        <v>90</v>
      </c>
      <c r="M1771" s="18" t="str">
        <f>iferror(VLOOKUP($D1771,Details!$A$2:$C$11,3,false),vlookup($D1771,Details!$E$2:$G$11,3,false))</f>
        <v>Snacks and Drinks</v>
      </c>
      <c r="N1771" s="18">
        <f t="shared" si="1"/>
        <v>450</v>
      </c>
      <c r="O1771" s="17"/>
      <c r="P1771" s="17"/>
      <c r="Q1771" s="17"/>
      <c r="R1771" s="17"/>
      <c r="S1771" s="17"/>
      <c r="T1771" s="17"/>
      <c r="U1771" s="17"/>
      <c r="V1771" s="17"/>
      <c r="W1771" s="17"/>
      <c r="X1771" s="17"/>
      <c r="Y1771" s="17"/>
      <c r="Z1771" s="17"/>
    </row>
    <row r="1772">
      <c r="A1772" s="18" t="str">
        <f>IFERROR(__xludf.DUMMYFUNCTION("""COMPUTED_VALUE"""),"ord_71750")</f>
        <v>ord_71750</v>
      </c>
      <c r="B1772" s="18" t="str">
        <f>IFERROR(__xludf.DUMMYFUNCTION("""COMPUTED_VALUE"""),"Parth Goel")</f>
        <v>Parth Goel</v>
      </c>
      <c r="C1772" s="18" t="str">
        <f>IFERROR(__xludf.DUMMYFUNCTION("""COMPUTED_VALUE"""),"Juhu")</f>
        <v>Juhu</v>
      </c>
      <c r="D1772" s="18" t="str">
        <f>IFERROR(__xludf.DUMMYFUNCTION("""COMPUTED_VALUE"""),"Chicken Puff")</f>
        <v>Chicken Puff</v>
      </c>
      <c r="E1772" s="18">
        <f>IFERROR(__xludf.DUMMYFUNCTION("""COMPUTED_VALUE"""),5.0)</f>
        <v>5</v>
      </c>
      <c r="F1772" s="18" t="str">
        <f>IFERROR(__xludf.DUMMYFUNCTION("""COMPUTED_VALUE"""),"Not Assigned")</f>
        <v>Not Assigned</v>
      </c>
      <c r="G1772" s="19">
        <f>IFERROR(__xludf.DUMMYFUNCTION("""COMPUTED_VALUE"""),44981.0)</f>
        <v>44981</v>
      </c>
      <c r="H1772" s="18" t="str">
        <f>IFERROR(__xludf.DUMMYFUNCTION("""COMPUTED_VALUE"""),"Credit Card")</f>
        <v>Credit Card</v>
      </c>
      <c r="I1772" s="18" t="str">
        <f>IFERROR(__xludf.DUMMYFUNCTION("""COMPUTED_VALUE"""),"Cancelled")</f>
        <v>Cancelled</v>
      </c>
      <c r="J1772" s="18" t="str">
        <f>IFERROR(__xludf.DUMMYFUNCTION("""COMPUTED_VALUE"""),"App Glitches")</f>
        <v>App Glitches</v>
      </c>
      <c r="K1772" s="18" t="str">
        <f>IFERROR(__xludf.DUMMYFUNCTION("""COMPUTED_VALUE"""),"Payment Button Malfunction")</f>
        <v>Payment Button Malfunction</v>
      </c>
      <c r="L1772" s="18">
        <f>iferror(VLOOKUP($D1772,Details!$A$2:$C$11,2,false),vlookup($D1772,Details!$E$2:$G$11,2,false))</f>
        <v>90</v>
      </c>
      <c r="M1772" s="18" t="str">
        <f>iferror(VLOOKUP($D1772,Details!$A$2:$C$11,3,false),vlookup($D1772,Details!$E$2:$G$11,3,false))</f>
        <v>Snacks and Drinks</v>
      </c>
      <c r="N1772" s="18">
        <f t="shared" si="1"/>
        <v>450</v>
      </c>
      <c r="O1772" s="17"/>
      <c r="P1772" s="17"/>
      <c r="Q1772" s="17"/>
      <c r="R1772" s="17"/>
      <c r="S1772" s="17"/>
      <c r="T1772" s="17"/>
      <c r="U1772" s="17"/>
      <c r="V1772" s="17"/>
      <c r="W1772" s="17"/>
      <c r="X1772" s="17"/>
      <c r="Y1772" s="17"/>
      <c r="Z1772" s="17"/>
    </row>
    <row r="1773">
      <c r="A1773" s="18" t="str">
        <f>IFERROR(__xludf.DUMMYFUNCTION("""COMPUTED_VALUE"""),"ord_71751")</f>
        <v>ord_71751</v>
      </c>
      <c r="B1773" s="18" t="str">
        <f>IFERROR(__xludf.DUMMYFUNCTION("""COMPUTED_VALUE"""),"Sakshi Tandon")</f>
        <v>Sakshi Tandon</v>
      </c>
      <c r="C1773" s="18" t="str">
        <f>IFERROR(__xludf.DUMMYFUNCTION("""COMPUTED_VALUE"""),"Colaba")</f>
        <v>Colaba</v>
      </c>
      <c r="D1773" s="18" t="str">
        <f>IFERROR(__xludf.DUMMYFUNCTION("""COMPUTED_VALUE"""),"Sweet Corn")</f>
        <v>Sweet Corn</v>
      </c>
      <c r="E1773" s="18">
        <f>IFERROR(__xludf.DUMMYFUNCTION("""COMPUTED_VALUE"""),2.0)</f>
        <v>2</v>
      </c>
      <c r="F1773" s="18" t="str">
        <f>IFERROR(__xludf.DUMMYFUNCTION("""COMPUTED_VALUE"""),"Ramesh S")</f>
        <v>Ramesh S</v>
      </c>
      <c r="G1773" s="19">
        <f>IFERROR(__xludf.DUMMYFUNCTION("""COMPUTED_VALUE"""),45152.0)</f>
        <v>45152</v>
      </c>
      <c r="H1773" s="18" t="str">
        <f>IFERROR(__xludf.DUMMYFUNCTION("""COMPUTED_VALUE"""),"Online Payment")</f>
        <v>Online Payment</v>
      </c>
      <c r="I1773" s="18" t="str">
        <f>IFERROR(__xludf.DUMMYFUNCTION("""COMPUTED_VALUE"""),"Delivered")</f>
        <v>Delivered</v>
      </c>
      <c r="J1773" s="18" t="str">
        <f>IFERROR(__xludf.DUMMYFUNCTION("""COMPUTED_VALUE"""),"On-time Delivery")</f>
        <v>On-time Delivery</v>
      </c>
      <c r="K1773" s="18" t="str">
        <f>IFERROR(__xludf.DUMMYFUNCTION("""COMPUTED_VALUE"""),"Delivered on time")</f>
        <v>Delivered on time</v>
      </c>
      <c r="L1773" s="18">
        <f>iferror(VLOOKUP($D1773,Details!$A$2:$C$11,2,false),vlookup($D1773,Details!$E$2:$G$11,2,false))</f>
        <v>60</v>
      </c>
      <c r="M1773" s="18" t="str">
        <f>iferror(VLOOKUP($D1773,Details!$A$2:$C$11,3,false),vlookup($D1773,Details!$E$2:$G$11,3,false))</f>
        <v>Fruits and Vegetables</v>
      </c>
      <c r="N1773" s="18">
        <f t="shared" si="1"/>
        <v>120</v>
      </c>
      <c r="O1773" s="17"/>
      <c r="P1773" s="17"/>
      <c r="Q1773" s="17"/>
      <c r="R1773" s="17"/>
      <c r="S1773" s="17"/>
      <c r="T1773" s="17"/>
      <c r="U1773" s="17"/>
      <c r="V1773" s="17"/>
      <c r="W1773" s="17"/>
      <c r="X1773" s="17"/>
      <c r="Y1773" s="17"/>
      <c r="Z1773" s="17"/>
    </row>
    <row r="1774">
      <c r="A1774" s="18" t="str">
        <f>IFERROR(__xludf.DUMMYFUNCTION("""COMPUTED_VALUE"""),"ord_71752")</f>
        <v>ord_71752</v>
      </c>
      <c r="B1774" s="18" t="str">
        <f>IFERROR(__xludf.DUMMYFUNCTION("""COMPUTED_VALUE"""),"Mohit Malhotra")</f>
        <v>Mohit Malhotra</v>
      </c>
      <c r="C1774" s="18" t="str">
        <f>IFERROR(__xludf.DUMMYFUNCTION("""COMPUTED_VALUE"""),"Lower Parel")</f>
        <v>Lower Parel</v>
      </c>
      <c r="D1774" s="18" t="str">
        <f>IFERROR(__xludf.DUMMYFUNCTION("""COMPUTED_VALUE"""),"Banana")</f>
        <v>Banana</v>
      </c>
      <c r="E1774" s="18">
        <f>IFERROR(__xludf.DUMMYFUNCTION("""COMPUTED_VALUE"""),1.0)</f>
        <v>1</v>
      </c>
      <c r="F1774" s="18" t="str">
        <f>IFERROR(__xludf.DUMMYFUNCTION("""COMPUTED_VALUE"""),"Nithin Lal")</f>
        <v>Nithin Lal</v>
      </c>
      <c r="G1774" s="19">
        <f>IFERROR(__xludf.DUMMYFUNCTION("""COMPUTED_VALUE"""),45098.0)</f>
        <v>45098</v>
      </c>
      <c r="H1774" s="18" t="str">
        <f>IFERROR(__xludf.DUMMYFUNCTION("""COMPUTED_VALUE"""),"Online Payment")</f>
        <v>Online Payment</v>
      </c>
      <c r="I1774" s="18" t="str">
        <f>IFERROR(__xludf.DUMMYFUNCTION("""COMPUTED_VALUE"""),"Delivered")</f>
        <v>Delivered</v>
      </c>
      <c r="J1774" s="18" t="str">
        <f>IFERROR(__xludf.DUMMYFUNCTION("""COMPUTED_VALUE"""),"Quality of Items")</f>
        <v>Quality of Items</v>
      </c>
      <c r="K1774" s="18" t="str">
        <f>IFERROR(__xludf.DUMMYFUNCTION("""COMPUTED_VALUE"""),"Perfect condition")</f>
        <v>Perfect condition</v>
      </c>
      <c r="L1774" s="18">
        <f>iferror(VLOOKUP($D1774,Details!$A$2:$C$11,2,false),vlookup($D1774,Details!$E$2:$G$11,2,false))</f>
        <v>80</v>
      </c>
      <c r="M1774" s="18" t="str">
        <f>iferror(VLOOKUP($D1774,Details!$A$2:$C$11,3,false),vlookup($D1774,Details!$E$2:$G$11,3,false))</f>
        <v>Fruits and Vegetables</v>
      </c>
      <c r="N1774" s="18">
        <f t="shared" si="1"/>
        <v>80</v>
      </c>
      <c r="O1774" s="17"/>
      <c r="P1774" s="17"/>
      <c r="Q1774" s="17"/>
      <c r="R1774" s="17"/>
      <c r="S1774" s="17"/>
      <c r="T1774" s="17"/>
      <c r="U1774" s="17"/>
      <c r="V1774" s="17"/>
      <c r="W1774" s="17"/>
      <c r="X1774" s="17"/>
      <c r="Y1774" s="17"/>
      <c r="Z1774" s="17"/>
    </row>
    <row r="1775">
      <c r="A1775" s="18" t="str">
        <f>IFERROR(__xludf.DUMMYFUNCTION("""COMPUTED_VALUE"""),"ord_71753")</f>
        <v>ord_71753</v>
      </c>
      <c r="B1775" s="18" t="str">
        <f>IFERROR(__xludf.DUMMYFUNCTION("""COMPUTED_VALUE"""),"Ishaan Chaturvedi")</f>
        <v>Ishaan Chaturvedi</v>
      </c>
      <c r="C1775" s="18" t="str">
        <f>IFERROR(__xludf.DUMMYFUNCTION("""COMPUTED_VALUE"""),"Bandra")</f>
        <v>Bandra</v>
      </c>
      <c r="D1775" s="18" t="str">
        <f>IFERROR(__xludf.DUMMYFUNCTION("""COMPUTED_VALUE"""),"Potato")</f>
        <v>Potato</v>
      </c>
      <c r="E1775" s="18">
        <f>IFERROR(__xludf.DUMMYFUNCTION("""COMPUTED_VALUE"""),1.0)</f>
        <v>1</v>
      </c>
      <c r="F1775" s="18" t="str">
        <f>IFERROR(__xludf.DUMMYFUNCTION("""COMPUTED_VALUE"""),"Not Assigned")</f>
        <v>Not Assigned</v>
      </c>
      <c r="G1775" s="19">
        <f>IFERROR(__xludf.DUMMYFUNCTION("""COMPUTED_VALUE"""),45097.0)</f>
        <v>45097</v>
      </c>
      <c r="H1775" s="18" t="str">
        <f>IFERROR(__xludf.DUMMYFUNCTION("""COMPUTED_VALUE"""),"Online Payment")</f>
        <v>Online Payment</v>
      </c>
      <c r="I1775" s="18" t="str">
        <f>IFERROR(__xludf.DUMMYFUNCTION("""COMPUTED_VALUE"""),"Cancelled")</f>
        <v>Cancelled</v>
      </c>
      <c r="J1775" s="18" t="str">
        <f>IFERROR(__xludf.DUMMYFUNCTION("""COMPUTED_VALUE"""),"Payment Issues")</f>
        <v>Payment Issues</v>
      </c>
      <c r="K1775" s="18"/>
      <c r="L1775" s="18">
        <f>iferror(VLOOKUP($D1775,Details!$A$2:$C$11,2,false),vlookup($D1775,Details!$E$2:$G$11,2,false))</f>
        <v>55</v>
      </c>
      <c r="M1775" s="18" t="str">
        <f>iferror(VLOOKUP($D1775,Details!$A$2:$C$11,3,false),vlookup($D1775,Details!$E$2:$G$11,3,false))</f>
        <v>Fruits and Vegetables</v>
      </c>
      <c r="N1775" s="18">
        <f t="shared" si="1"/>
        <v>55</v>
      </c>
      <c r="O1775" s="17"/>
      <c r="P1775" s="17"/>
      <c r="Q1775" s="17"/>
      <c r="R1775" s="17"/>
      <c r="S1775" s="17"/>
      <c r="T1775" s="17"/>
      <c r="U1775" s="17"/>
      <c r="V1775" s="17"/>
      <c r="W1775" s="17"/>
      <c r="X1775" s="17"/>
      <c r="Y1775" s="17"/>
      <c r="Z1775" s="17"/>
    </row>
    <row r="1776">
      <c r="A1776" s="18" t="str">
        <f>IFERROR(__xludf.DUMMYFUNCTION("""COMPUTED_VALUE"""),"ord_71754")</f>
        <v>ord_71754</v>
      </c>
      <c r="B1776" s="18" t="str">
        <f>IFERROR(__xludf.DUMMYFUNCTION("""COMPUTED_VALUE"""),"Diya Arora")</f>
        <v>Diya Arora</v>
      </c>
      <c r="C1776" s="18" t="str">
        <f>IFERROR(__xludf.DUMMYFUNCTION("""COMPUTED_VALUE"""),"Lower Parel")</f>
        <v>Lower Parel</v>
      </c>
      <c r="D1776" s="18" t="str">
        <f>IFERROR(__xludf.DUMMYFUNCTION("""COMPUTED_VALUE"""),"Chocolate Mousse")</f>
        <v>Chocolate Mousse</v>
      </c>
      <c r="E1776" s="18">
        <f>IFERROR(__xludf.DUMMYFUNCTION("""COMPUTED_VALUE"""),5.0)</f>
        <v>5</v>
      </c>
      <c r="F1776" s="18" t="str">
        <f>IFERROR(__xludf.DUMMYFUNCTION("""COMPUTED_VALUE"""),"Vivek Kumar")</f>
        <v>Vivek Kumar</v>
      </c>
      <c r="G1776" s="19">
        <f>IFERROR(__xludf.DUMMYFUNCTION("""COMPUTED_VALUE"""),45146.0)</f>
        <v>45146</v>
      </c>
      <c r="H1776" s="18" t="str">
        <f>IFERROR(__xludf.DUMMYFUNCTION("""COMPUTED_VALUE"""),"Online Payment")</f>
        <v>Online Payment</v>
      </c>
      <c r="I1776" s="18" t="str">
        <f>IFERROR(__xludf.DUMMYFUNCTION("""COMPUTED_VALUE"""),"Cancelled")</f>
        <v>Cancelled</v>
      </c>
      <c r="J1776" s="18" t="str">
        <f>IFERROR(__xludf.DUMMYFUNCTION("""COMPUTED_VALUE"""),"Delayed Delivery")</f>
        <v>Delayed Delivery</v>
      </c>
      <c r="K1776" s="18" t="str">
        <f>IFERROR(__xludf.DUMMYFUNCTION("""COMPUTED_VALUE"""),"Bad Weather Conditions")</f>
        <v>Bad Weather Conditions</v>
      </c>
      <c r="L1776" s="18">
        <f>iferror(VLOOKUP($D1776,Details!$A$2:$C$11,2,false),vlookup($D1776,Details!$E$2:$G$11,2,false))</f>
        <v>145</v>
      </c>
      <c r="M1776" s="18" t="str">
        <f>iferror(VLOOKUP($D1776,Details!$A$2:$C$11,3,false),vlookup($D1776,Details!$E$2:$G$11,3,false))</f>
        <v>Snacks and Drinks</v>
      </c>
      <c r="N1776" s="18">
        <f t="shared" si="1"/>
        <v>725</v>
      </c>
      <c r="O1776" s="17"/>
      <c r="P1776" s="17"/>
      <c r="Q1776" s="17"/>
      <c r="R1776" s="17"/>
      <c r="S1776" s="17"/>
      <c r="T1776" s="17"/>
      <c r="U1776" s="17"/>
      <c r="V1776" s="17"/>
      <c r="W1776" s="17"/>
      <c r="X1776" s="17"/>
      <c r="Y1776" s="17"/>
      <c r="Z1776" s="17"/>
    </row>
    <row r="1777">
      <c r="A1777" s="18" t="str">
        <f>IFERROR(__xludf.DUMMYFUNCTION("""COMPUTED_VALUE"""),"ord_71755")</f>
        <v>ord_71755</v>
      </c>
      <c r="B1777" s="18" t="str">
        <f>IFERROR(__xludf.DUMMYFUNCTION("""COMPUTED_VALUE"""),"Mehul Thakkar")</f>
        <v>Mehul Thakkar</v>
      </c>
      <c r="C1777" s="18" t="str">
        <f>IFERROR(__xludf.DUMMYFUNCTION("""COMPUTED_VALUE"""),"Malad")</f>
        <v>Malad</v>
      </c>
      <c r="D1777" s="18" t="str">
        <f>IFERROR(__xludf.DUMMYFUNCTION("""COMPUTED_VALUE"""),"Chicken Puff")</f>
        <v>Chicken Puff</v>
      </c>
      <c r="E1777" s="18">
        <f>IFERROR(__xludf.DUMMYFUNCTION("""COMPUTED_VALUE"""),1.0)</f>
        <v>1</v>
      </c>
      <c r="F1777" s="18" t="str">
        <f>IFERROR(__xludf.DUMMYFUNCTION("""COMPUTED_VALUE"""),"Not Assigned")</f>
        <v>Not Assigned</v>
      </c>
      <c r="G1777" s="19">
        <f>IFERROR(__xludf.DUMMYFUNCTION("""COMPUTED_VALUE"""),45113.0)</f>
        <v>45113</v>
      </c>
      <c r="H1777" s="18" t="str">
        <f>IFERROR(__xludf.DUMMYFUNCTION("""COMPUTED_VALUE"""),"Credit Card")</f>
        <v>Credit Card</v>
      </c>
      <c r="I1777" s="18" t="str">
        <f>IFERROR(__xludf.DUMMYFUNCTION("""COMPUTED_VALUE"""),"Cancelled")</f>
        <v>Cancelled</v>
      </c>
      <c r="J1777" s="18" t="str">
        <f>IFERROR(__xludf.DUMMYFUNCTION("""COMPUTED_VALUE"""),"App Glitches")</f>
        <v>App Glitches</v>
      </c>
      <c r="K1777" s="18" t="str">
        <f>IFERROR(__xludf.DUMMYFUNCTION("""COMPUTED_VALUE"""),"Payment Button Malfunction")</f>
        <v>Payment Button Malfunction</v>
      </c>
      <c r="L1777" s="18">
        <f>iferror(VLOOKUP($D1777,Details!$A$2:$C$11,2,false),vlookup($D1777,Details!$E$2:$G$11,2,false))</f>
        <v>90</v>
      </c>
      <c r="M1777" s="18" t="str">
        <f>iferror(VLOOKUP($D1777,Details!$A$2:$C$11,3,false),vlookup($D1777,Details!$E$2:$G$11,3,false))</f>
        <v>Snacks and Drinks</v>
      </c>
      <c r="N1777" s="18">
        <f t="shared" si="1"/>
        <v>90</v>
      </c>
      <c r="O1777" s="17"/>
      <c r="P1777" s="17"/>
      <c r="Q1777" s="17"/>
      <c r="R1777" s="17"/>
      <c r="S1777" s="17"/>
      <c r="T1777" s="17"/>
      <c r="U1777" s="17"/>
      <c r="V1777" s="17"/>
      <c r="W1777" s="17"/>
      <c r="X1777" s="17"/>
      <c r="Y1777" s="17"/>
      <c r="Z1777" s="17"/>
    </row>
    <row r="1778">
      <c r="A1778" s="18" t="str">
        <f>IFERROR(__xludf.DUMMYFUNCTION("""COMPUTED_VALUE"""),"ord_71756")</f>
        <v>ord_71756</v>
      </c>
      <c r="B1778" s="18" t="str">
        <f>IFERROR(__xludf.DUMMYFUNCTION("""COMPUTED_VALUE"""),"Parth Goel")</f>
        <v>Parth Goel</v>
      </c>
      <c r="C1778" s="18" t="str">
        <f>IFERROR(__xludf.DUMMYFUNCTION("""COMPUTED_VALUE"""),"Juhu")</f>
        <v>Juhu</v>
      </c>
      <c r="D1778" s="18" t="str">
        <f>IFERROR(__xludf.DUMMYFUNCTION("""COMPUTED_VALUE"""),"Popcorn")</f>
        <v>Popcorn</v>
      </c>
      <c r="E1778" s="18">
        <f>IFERROR(__xludf.DUMMYFUNCTION("""COMPUTED_VALUE"""),4.0)</f>
        <v>4</v>
      </c>
      <c r="F1778" s="18" t="str">
        <f>IFERROR(__xludf.DUMMYFUNCTION("""COMPUTED_VALUE"""),"Not Assigned")</f>
        <v>Not Assigned</v>
      </c>
      <c r="G1778" s="19">
        <f>IFERROR(__xludf.DUMMYFUNCTION("""COMPUTED_VALUE"""),44999.0)</f>
        <v>44999</v>
      </c>
      <c r="H1778" s="18" t="str">
        <f>IFERROR(__xludf.DUMMYFUNCTION("""COMPUTED_VALUE"""),"UPI")</f>
        <v>UPI</v>
      </c>
      <c r="I1778" s="18" t="str">
        <f>IFERROR(__xludf.DUMMYFUNCTION("""COMPUTED_VALUE"""),"Cancelled")</f>
        <v>Cancelled</v>
      </c>
      <c r="J1778" s="18" t="str">
        <f>IFERROR(__xludf.DUMMYFUNCTION("""COMPUTED_VALUE"""),"Payment Issues")</f>
        <v>Payment Issues</v>
      </c>
      <c r="K1778" s="18"/>
      <c r="L1778" s="18">
        <f>iferror(VLOOKUP($D1778,Details!$A$2:$C$11,2,false),vlookup($D1778,Details!$E$2:$G$11,2,false))</f>
        <v>150</v>
      </c>
      <c r="M1778" s="18" t="str">
        <f>iferror(VLOOKUP($D1778,Details!$A$2:$C$11,3,false),vlookup($D1778,Details!$E$2:$G$11,3,false))</f>
        <v>Snacks and Drinks</v>
      </c>
      <c r="N1778" s="18">
        <f t="shared" si="1"/>
        <v>600</v>
      </c>
      <c r="O1778" s="17"/>
      <c r="P1778" s="17"/>
      <c r="Q1778" s="17"/>
      <c r="R1778" s="17"/>
      <c r="S1778" s="17"/>
      <c r="T1778" s="17"/>
      <c r="U1778" s="17"/>
      <c r="V1778" s="17"/>
      <c r="W1778" s="17"/>
      <c r="X1778" s="17"/>
      <c r="Y1778" s="17"/>
      <c r="Z1778" s="17"/>
    </row>
    <row r="1779">
      <c r="A1779" s="18" t="str">
        <f>IFERROR(__xludf.DUMMYFUNCTION("""COMPUTED_VALUE"""),"ord_71757")</f>
        <v>ord_71757</v>
      </c>
      <c r="B1779" s="18" t="str">
        <f>IFERROR(__xludf.DUMMYFUNCTION("""COMPUTED_VALUE"""),"Arvind Kulkarni")</f>
        <v>Arvind Kulkarni</v>
      </c>
      <c r="C1779" s="18" t="str">
        <f>IFERROR(__xludf.DUMMYFUNCTION("""COMPUTED_VALUE"""),"Juhu")</f>
        <v>Juhu</v>
      </c>
      <c r="D1779" s="18" t="str">
        <f>IFERROR(__xludf.DUMMYFUNCTION("""COMPUTED_VALUE"""),"Papaya")</f>
        <v>Papaya</v>
      </c>
      <c r="E1779" s="18">
        <f>IFERROR(__xludf.DUMMYFUNCTION("""COMPUTED_VALUE"""),2.0)</f>
        <v>2</v>
      </c>
      <c r="F1779" s="18" t="str">
        <f>IFERROR(__xludf.DUMMYFUNCTION("""COMPUTED_VALUE"""),"Not Assigned")</f>
        <v>Not Assigned</v>
      </c>
      <c r="G1779" s="19">
        <f>IFERROR(__xludf.DUMMYFUNCTION("""COMPUTED_VALUE"""),45283.0)</f>
        <v>45283</v>
      </c>
      <c r="H1779" s="18" t="str">
        <f>IFERROR(__xludf.DUMMYFUNCTION("""COMPUTED_VALUE"""),"Online Payment")</f>
        <v>Online Payment</v>
      </c>
      <c r="I1779" s="18" t="str">
        <f>IFERROR(__xludf.DUMMYFUNCTION("""COMPUTED_VALUE"""),"Cancelled")</f>
        <v>Cancelled</v>
      </c>
      <c r="J1779" s="18" t="str">
        <f>IFERROR(__xludf.DUMMYFUNCTION("""COMPUTED_VALUE"""),"App Glitches")</f>
        <v>App Glitches</v>
      </c>
      <c r="K1779" s="18" t="str">
        <f>IFERROR(__xludf.DUMMYFUNCTION("""COMPUTED_VALUE"""),"Payment Button Malfunction")</f>
        <v>Payment Button Malfunction</v>
      </c>
      <c r="L1779" s="18">
        <f>iferror(VLOOKUP($D1779,Details!$A$2:$C$11,2,false),vlookup($D1779,Details!$E$2:$G$11,2,false))</f>
        <v>75</v>
      </c>
      <c r="M1779" s="18" t="str">
        <f>iferror(VLOOKUP($D1779,Details!$A$2:$C$11,3,false),vlookup($D1779,Details!$E$2:$G$11,3,false))</f>
        <v>Fruits and Vegetables</v>
      </c>
      <c r="N1779" s="18">
        <f t="shared" si="1"/>
        <v>150</v>
      </c>
      <c r="O1779" s="17"/>
      <c r="P1779" s="17"/>
      <c r="Q1779" s="17"/>
      <c r="R1779" s="17"/>
      <c r="S1779" s="17"/>
      <c r="T1779" s="17"/>
      <c r="U1779" s="17"/>
      <c r="V1779" s="17"/>
      <c r="W1779" s="17"/>
      <c r="X1779" s="17"/>
      <c r="Y1779" s="17"/>
      <c r="Z1779" s="17"/>
    </row>
    <row r="1780">
      <c r="A1780" s="18" t="str">
        <f>IFERROR(__xludf.DUMMYFUNCTION("""COMPUTED_VALUE"""),"ord_71758")</f>
        <v>ord_71758</v>
      </c>
      <c r="B1780" s="18" t="str">
        <f>IFERROR(__xludf.DUMMYFUNCTION("""COMPUTED_VALUE"""),"Pallavi Ghosh")</f>
        <v>Pallavi Ghosh</v>
      </c>
      <c r="C1780" s="18" t="str">
        <f>IFERROR(__xludf.DUMMYFUNCTION("""COMPUTED_VALUE"""),"Bandra")</f>
        <v>Bandra</v>
      </c>
      <c r="D1780" s="18" t="str">
        <f>IFERROR(__xludf.DUMMYFUNCTION("""COMPUTED_VALUE"""),"Popcorn")</f>
        <v>Popcorn</v>
      </c>
      <c r="E1780" s="18">
        <f>IFERROR(__xludf.DUMMYFUNCTION("""COMPUTED_VALUE"""),3.0)</f>
        <v>3</v>
      </c>
      <c r="F1780" s="18" t="str">
        <f>IFERROR(__xludf.DUMMYFUNCTION("""COMPUTED_VALUE"""),"Not Assigned")</f>
        <v>Not Assigned</v>
      </c>
      <c r="G1780" s="19">
        <f>IFERROR(__xludf.DUMMYFUNCTION("""COMPUTED_VALUE"""),45171.0)</f>
        <v>45171</v>
      </c>
      <c r="H1780" s="18" t="str">
        <f>IFERROR(__xludf.DUMMYFUNCTION("""COMPUTED_VALUE"""),"Online Payment")</f>
        <v>Online Payment</v>
      </c>
      <c r="I1780" s="18" t="str">
        <f>IFERROR(__xludf.DUMMYFUNCTION("""COMPUTED_VALUE"""),"Cancelled")</f>
        <v>Cancelled</v>
      </c>
      <c r="J1780" s="18" t="str">
        <f>IFERROR(__xludf.DUMMYFUNCTION("""COMPUTED_VALUE"""),"App Glitches")</f>
        <v>App Glitches</v>
      </c>
      <c r="K1780" s="18" t="str">
        <f>IFERROR(__xludf.DUMMYFUNCTION("""COMPUTED_VALUE"""),"Slow Loading Time")</f>
        <v>Slow Loading Time</v>
      </c>
      <c r="L1780" s="18">
        <f>iferror(VLOOKUP($D1780,Details!$A$2:$C$11,2,false),vlookup($D1780,Details!$E$2:$G$11,2,false))</f>
        <v>150</v>
      </c>
      <c r="M1780" s="18" t="str">
        <f>iferror(VLOOKUP($D1780,Details!$A$2:$C$11,3,false),vlookup($D1780,Details!$E$2:$G$11,3,false))</f>
        <v>Snacks and Drinks</v>
      </c>
      <c r="N1780" s="18">
        <f t="shared" si="1"/>
        <v>450</v>
      </c>
      <c r="O1780" s="17"/>
      <c r="P1780" s="17"/>
      <c r="Q1780" s="17"/>
      <c r="R1780" s="17"/>
      <c r="S1780" s="17"/>
      <c r="T1780" s="17"/>
      <c r="U1780" s="17"/>
      <c r="V1780" s="17"/>
      <c r="W1780" s="17"/>
      <c r="X1780" s="17"/>
      <c r="Y1780" s="17"/>
      <c r="Z1780" s="17"/>
    </row>
    <row r="1781">
      <c r="A1781" s="18" t="str">
        <f>IFERROR(__xludf.DUMMYFUNCTION("""COMPUTED_VALUE"""),"ord_71759")</f>
        <v>ord_71759</v>
      </c>
      <c r="B1781" s="18" t="str">
        <f>IFERROR(__xludf.DUMMYFUNCTION("""COMPUTED_VALUE"""),"Arvind Kulkarni")</f>
        <v>Arvind Kulkarni</v>
      </c>
      <c r="C1781" s="18" t="str">
        <f>IFERROR(__xludf.DUMMYFUNCTION("""COMPUTED_VALUE"""),"Juhu")</f>
        <v>Juhu</v>
      </c>
      <c r="D1781" s="18" t="str">
        <f>IFERROR(__xludf.DUMMYFUNCTION("""COMPUTED_VALUE"""),"Apple")</f>
        <v>Apple</v>
      </c>
      <c r="E1781" s="18">
        <f>IFERROR(__xludf.DUMMYFUNCTION("""COMPUTED_VALUE"""),2.0)</f>
        <v>2</v>
      </c>
      <c r="F1781" s="18" t="str">
        <f>IFERROR(__xludf.DUMMYFUNCTION("""COMPUTED_VALUE"""),"Not Assigned")</f>
        <v>Not Assigned</v>
      </c>
      <c r="G1781" s="19">
        <f>IFERROR(__xludf.DUMMYFUNCTION("""COMPUTED_VALUE"""),45127.0)</f>
        <v>45127</v>
      </c>
      <c r="H1781" s="18" t="str">
        <f>IFERROR(__xludf.DUMMYFUNCTION("""COMPUTED_VALUE"""),"Credit Card")</f>
        <v>Credit Card</v>
      </c>
      <c r="I1781" s="18" t="str">
        <f>IFERROR(__xludf.DUMMYFUNCTION("""COMPUTED_VALUE"""),"Cancelled")</f>
        <v>Cancelled</v>
      </c>
      <c r="J1781" s="18" t="str">
        <f>IFERROR(__xludf.DUMMYFUNCTION("""COMPUTED_VALUE"""),"App Glitches")</f>
        <v>App Glitches</v>
      </c>
      <c r="K1781" s="18" t="str">
        <f>IFERROR(__xludf.DUMMYFUNCTION("""COMPUTED_VALUE"""),"Error Messages")</f>
        <v>Error Messages</v>
      </c>
      <c r="L1781" s="18">
        <f>iferror(VLOOKUP($D1781,Details!$A$2:$C$11,2,false),vlookup($D1781,Details!$E$2:$G$11,2,false))</f>
        <v>230</v>
      </c>
      <c r="M1781" s="18" t="str">
        <f>iferror(VLOOKUP($D1781,Details!$A$2:$C$11,3,false),vlookup($D1781,Details!$E$2:$G$11,3,false))</f>
        <v>Fruits and Vegetables</v>
      </c>
      <c r="N1781" s="18">
        <f t="shared" si="1"/>
        <v>460</v>
      </c>
      <c r="O1781" s="17"/>
      <c r="P1781" s="17"/>
      <c r="Q1781" s="17"/>
      <c r="R1781" s="17"/>
      <c r="S1781" s="17"/>
      <c r="T1781" s="17"/>
      <c r="U1781" s="17"/>
      <c r="V1781" s="17"/>
      <c r="W1781" s="17"/>
      <c r="X1781" s="17"/>
      <c r="Y1781" s="17"/>
      <c r="Z1781" s="17"/>
    </row>
    <row r="1782">
      <c r="A1782" s="18" t="str">
        <f>IFERROR(__xludf.DUMMYFUNCTION("""COMPUTED_VALUE"""),"ord_71760")</f>
        <v>ord_71760</v>
      </c>
      <c r="B1782" s="18" t="str">
        <f>IFERROR(__xludf.DUMMYFUNCTION("""COMPUTED_VALUE"""),"Sakshi Tandon")</f>
        <v>Sakshi Tandon</v>
      </c>
      <c r="C1782" s="18" t="str">
        <f>IFERROR(__xludf.DUMMYFUNCTION("""COMPUTED_VALUE"""),"Colaba")</f>
        <v>Colaba</v>
      </c>
      <c r="D1782" s="18" t="str">
        <f>IFERROR(__xludf.DUMMYFUNCTION("""COMPUTED_VALUE"""),"Chocolate Mousse")</f>
        <v>Chocolate Mousse</v>
      </c>
      <c r="E1782" s="18">
        <f>IFERROR(__xludf.DUMMYFUNCTION("""COMPUTED_VALUE"""),5.0)</f>
        <v>5</v>
      </c>
      <c r="F1782" s="18" t="str">
        <f>IFERROR(__xludf.DUMMYFUNCTION("""COMPUTED_VALUE"""),"Ramesh S")</f>
        <v>Ramesh S</v>
      </c>
      <c r="G1782" s="19">
        <f>IFERROR(__xludf.DUMMYFUNCTION("""COMPUTED_VALUE"""),45194.0)</f>
        <v>45194</v>
      </c>
      <c r="H1782" s="18" t="str">
        <f>IFERROR(__xludf.DUMMYFUNCTION("""COMPUTED_VALUE"""),"COD")</f>
        <v>COD</v>
      </c>
      <c r="I1782" s="18" t="str">
        <f>IFERROR(__xludf.DUMMYFUNCTION("""COMPUTED_VALUE"""),"Delivered")</f>
        <v>Delivered</v>
      </c>
      <c r="J1782" s="18" t="str">
        <f>IFERROR(__xludf.DUMMYFUNCTION("""COMPUTED_VALUE"""),"Packaging")</f>
        <v>Packaging</v>
      </c>
      <c r="K1782" s="18" t="str">
        <f>IFERROR(__xludf.DUMMYFUNCTION("""COMPUTED_VALUE"""),"Secure and intact")</f>
        <v>Secure and intact</v>
      </c>
      <c r="L1782" s="18">
        <f>iferror(VLOOKUP($D1782,Details!$A$2:$C$11,2,false),vlookup($D1782,Details!$E$2:$G$11,2,false))</f>
        <v>145</v>
      </c>
      <c r="M1782" s="18" t="str">
        <f>iferror(VLOOKUP($D1782,Details!$A$2:$C$11,3,false),vlookup($D1782,Details!$E$2:$G$11,3,false))</f>
        <v>Snacks and Drinks</v>
      </c>
      <c r="N1782" s="18">
        <f t="shared" si="1"/>
        <v>725</v>
      </c>
      <c r="O1782" s="17"/>
      <c r="P1782" s="17"/>
      <c r="Q1782" s="17"/>
      <c r="R1782" s="17"/>
      <c r="S1782" s="17"/>
      <c r="T1782" s="17"/>
      <c r="U1782" s="17"/>
      <c r="V1782" s="17"/>
      <c r="W1782" s="17"/>
      <c r="X1782" s="17"/>
      <c r="Y1782" s="17"/>
      <c r="Z1782" s="17"/>
    </row>
    <row r="1783">
      <c r="A1783" s="18" t="str">
        <f>IFERROR(__xludf.DUMMYFUNCTION("""COMPUTED_VALUE"""),"ord_71761")</f>
        <v>ord_71761</v>
      </c>
      <c r="B1783" s="18" t="str">
        <f>IFERROR(__xludf.DUMMYFUNCTION("""COMPUTED_VALUE"""),"Aarohi Kapoor")</f>
        <v>Aarohi Kapoor</v>
      </c>
      <c r="C1783" s="18" t="str">
        <f>IFERROR(__xludf.DUMMYFUNCTION("""COMPUTED_VALUE"""),"Bandra")</f>
        <v>Bandra</v>
      </c>
      <c r="D1783" s="18" t="str">
        <f>IFERROR(__xludf.DUMMYFUNCTION("""COMPUTED_VALUE"""),"Veg Puff")</f>
        <v>Veg Puff</v>
      </c>
      <c r="E1783" s="18">
        <f>IFERROR(__xludf.DUMMYFUNCTION("""COMPUTED_VALUE"""),5.0)</f>
        <v>5</v>
      </c>
      <c r="F1783" s="18" t="str">
        <f>IFERROR(__xludf.DUMMYFUNCTION("""COMPUTED_VALUE"""),"Nithin Lal")</f>
        <v>Nithin Lal</v>
      </c>
      <c r="G1783" s="19">
        <f>IFERROR(__xludf.DUMMYFUNCTION("""COMPUTED_VALUE"""),45212.0)</f>
        <v>45212</v>
      </c>
      <c r="H1783" s="18" t="str">
        <f>IFERROR(__xludf.DUMMYFUNCTION("""COMPUTED_VALUE"""),"Online Payment")</f>
        <v>Online Payment</v>
      </c>
      <c r="I1783" s="18" t="str">
        <f>IFERROR(__xludf.DUMMYFUNCTION("""COMPUTED_VALUE"""),"Delivered")</f>
        <v>Delivered</v>
      </c>
      <c r="J1783" s="18" t="str">
        <f>IFERROR(__xludf.DUMMYFUNCTION("""COMPUTED_VALUE"""),"Satisfied with the Delivery")</f>
        <v>Satisfied with the Delivery</v>
      </c>
      <c r="K1783" s="18" t="str">
        <f>IFERROR(__xludf.DUMMYFUNCTION("""COMPUTED_VALUE"""),"Timely and quality")</f>
        <v>Timely and quality</v>
      </c>
      <c r="L1783" s="18">
        <f>iferror(VLOOKUP($D1783,Details!$A$2:$C$11,2,false),vlookup($D1783,Details!$E$2:$G$11,2,false))</f>
        <v>80</v>
      </c>
      <c r="M1783" s="18" t="str">
        <f>iferror(VLOOKUP($D1783,Details!$A$2:$C$11,3,false),vlookup($D1783,Details!$E$2:$G$11,3,false))</f>
        <v>Snacks and Drinks</v>
      </c>
      <c r="N1783" s="18">
        <f t="shared" si="1"/>
        <v>400</v>
      </c>
      <c r="O1783" s="17"/>
      <c r="P1783" s="17"/>
      <c r="Q1783" s="17"/>
      <c r="R1783" s="17"/>
      <c r="S1783" s="17"/>
      <c r="T1783" s="17"/>
      <c r="U1783" s="17"/>
      <c r="V1783" s="17"/>
      <c r="W1783" s="17"/>
      <c r="X1783" s="17"/>
      <c r="Y1783" s="17"/>
      <c r="Z1783" s="17"/>
    </row>
    <row r="1784">
      <c r="A1784" s="18" t="str">
        <f>IFERROR(__xludf.DUMMYFUNCTION("""COMPUTED_VALUE"""),"ord_71762")</f>
        <v>ord_71762</v>
      </c>
      <c r="B1784" s="18" t="str">
        <f>IFERROR(__xludf.DUMMYFUNCTION("""COMPUTED_VALUE"""),"Nitin Sehgal")</f>
        <v>Nitin Sehgal</v>
      </c>
      <c r="C1784" s="18" t="str">
        <f>IFERROR(__xludf.DUMMYFUNCTION("""COMPUTED_VALUE"""),"Bandra")</f>
        <v>Bandra</v>
      </c>
      <c r="D1784" s="18" t="str">
        <f>IFERROR(__xludf.DUMMYFUNCTION("""COMPUTED_VALUE"""),"Banana")</f>
        <v>Banana</v>
      </c>
      <c r="E1784" s="18">
        <f>IFERROR(__xludf.DUMMYFUNCTION("""COMPUTED_VALUE"""),1.0)</f>
        <v>1</v>
      </c>
      <c r="F1784" s="18" t="str">
        <f>IFERROR(__xludf.DUMMYFUNCTION("""COMPUTED_VALUE"""),"Vivek Kumar")</f>
        <v>Vivek Kumar</v>
      </c>
      <c r="G1784" s="19">
        <f>IFERROR(__xludf.DUMMYFUNCTION("""COMPUTED_VALUE"""),45213.0)</f>
        <v>45213</v>
      </c>
      <c r="H1784" s="18" t="str">
        <f>IFERROR(__xludf.DUMMYFUNCTION("""COMPUTED_VALUE"""),"UPI")</f>
        <v>UPI</v>
      </c>
      <c r="I1784" s="18" t="str">
        <f>IFERROR(__xludf.DUMMYFUNCTION("""COMPUTED_VALUE"""),"Delivered")</f>
        <v>Delivered</v>
      </c>
      <c r="J1784" s="18" t="str">
        <f>IFERROR(__xludf.DUMMYFUNCTION("""COMPUTED_VALUE"""),"Customer Service")</f>
        <v>Customer Service</v>
      </c>
      <c r="K1784" s="18" t="str">
        <f>IFERROR(__xludf.DUMMYFUNCTION("""COMPUTED_VALUE"""),"Seamless and easy")</f>
        <v>Seamless and easy</v>
      </c>
      <c r="L1784" s="18">
        <f>iferror(VLOOKUP($D1784,Details!$A$2:$C$11,2,false),vlookup($D1784,Details!$E$2:$G$11,2,false))</f>
        <v>80</v>
      </c>
      <c r="M1784" s="18" t="str">
        <f>iferror(VLOOKUP($D1784,Details!$A$2:$C$11,3,false),vlookup($D1784,Details!$E$2:$G$11,3,false))</f>
        <v>Fruits and Vegetables</v>
      </c>
      <c r="N1784" s="18">
        <f t="shared" si="1"/>
        <v>80</v>
      </c>
      <c r="O1784" s="17"/>
      <c r="P1784" s="17"/>
      <c r="Q1784" s="17"/>
      <c r="R1784" s="17"/>
      <c r="S1784" s="17"/>
      <c r="T1784" s="17"/>
      <c r="U1784" s="17"/>
      <c r="V1784" s="17"/>
      <c r="W1784" s="17"/>
      <c r="X1784" s="17"/>
      <c r="Y1784" s="17"/>
      <c r="Z1784" s="17"/>
    </row>
    <row r="1785">
      <c r="A1785" s="18" t="str">
        <f>IFERROR(__xludf.DUMMYFUNCTION("""COMPUTED_VALUE"""),"ord_71763")</f>
        <v>ord_71763</v>
      </c>
      <c r="B1785" s="18" t="str">
        <f>IFERROR(__xludf.DUMMYFUNCTION("""COMPUTED_VALUE"""),"Diya Arora")</f>
        <v>Diya Arora</v>
      </c>
      <c r="C1785" s="18" t="str">
        <f>IFERROR(__xludf.DUMMYFUNCTION("""COMPUTED_VALUE"""),"Lower Parel")</f>
        <v>Lower Parel</v>
      </c>
      <c r="D1785" s="18" t="str">
        <f>IFERROR(__xludf.DUMMYFUNCTION("""COMPUTED_VALUE"""),"Tiramisu")</f>
        <v>Tiramisu</v>
      </c>
      <c r="E1785" s="18">
        <f>IFERROR(__xludf.DUMMYFUNCTION("""COMPUTED_VALUE"""),3.0)</f>
        <v>3</v>
      </c>
      <c r="F1785" s="18" t="str">
        <f>IFERROR(__xludf.DUMMYFUNCTION("""COMPUTED_VALUE"""),"Vivek Kumar")</f>
        <v>Vivek Kumar</v>
      </c>
      <c r="G1785" s="19">
        <f>IFERROR(__xludf.DUMMYFUNCTION("""COMPUTED_VALUE"""),45290.0)</f>
        <v>45290</v>
      </c>
      <c r="H1785" s="18" t="str">
        <f>IFERROR(__xludf.DUMMYFUNCTION("""COMPUTED_VALUE"""),"Online Payment")</f>
        <v>Online Payment</v>
      </c>
      <c r="I1785" s="18" t="str">
        <f>IFERROR(__xludf.DUMMYFUNCTION("""COMPUTED_VALUE"""),"Delivered")</f>
        <v>Delivered</v>
      </c>
      <c r="J1785" s="18" t="str">
        <f>IFERROR(__xludf.DUMMYFUNCTION("""COMPUTED_VALUE"""),"Delivery Experience")</f>
        <v>Delivery Experience</v>
      </c>
      <c r="K1785" s="18" t="str">
        <f>IFERROR(__xludf.DUMMYFUNCTION("""COMPUTED_VALUE"""),"Quick and professional")</f>
        <v>Quick and professional</v>
      </c>
      <c r="L1785" s="18">
        <f>iferror(VLOOKUP($D1785,Details!$A$2:$C$11,2,false),vlookup($D1785,Details!$E$2:$G$11,2,false))</f>
        <v>150</v>
      </c>
      <c r="M1785" s="18" t="str">
        <f>iferror(VLOOKUP($D1785,Details!$A$2:$C$11,3,false),vlookup($D1785,Details!$E$2:$G$11,3,false))</f>
        <v>Snacks and Drinks</v>
      </c>
      <c r="N1785" s="18">
        <f t="shared" si="1"/>
        <v>450</v>
      </c>
      <c r="O1785" s="17"/>
      <c r="P1785" s="17"/>
      <c r="Q1785" s="17"/>
      <c r="R1785" s="17"/>
      <c r="S1785" s="17"/>
      <c r="T1785" s="17"/>
      <c r="U1785" s="17"/>
      <c r="V1785" s="17"/>
      <c r="W1785" s="17"/>
      <c r="X1785" s="17"/>
      <c r="Y1785" s="17"/>
      <c r="Z1785" s="17"/>
    </row>
    <row r="1786">
      <c r="A1786" s="18" t="str">
        <f>IFERROR(__xludf.DUMMYFUNCTION("""COMPUTED_VALUE"""),"ord_71764")</f>
        <v>ord_71764</v>
      </c>
      <c r="B1786" s="18" t="str">
        <f>IFERROR(__xludf.DUMMYFUNCTION("""COMPUTED_VALUE"""),"Anaya Rao")</f>
        <v>Anaya Rao</v>
      </c>
      <c r="C1786" s="18" t="str">
        <f>IFERROR(__xludf.DUMMYFUNCTION("""COMPUTED_VALUE"""),"Colaba")</f>
        <v>Colaba</v>
      </c>
      <c r="D1786" s="18" t="str">
        <f>IFERROR(__xludf.DUMMYFUNCTION("""COMPUTED_VALUE"""),"Popcorn")</f>
        <v>Popcorn</v>
      </c>
      <c r="E1786" s="18">
        <f>IFERROR(__xludf.DUMMYFUNCTION("""COMPUTED_VALUE"""),5.0)</f>
        <v>5</v>
      </c>
      <c r="F1786" s="18" t="str">
        <f>IFERROR(__xludf.DUMMYFUNCTION("""COMPUTED_VALUE"""),"Ram Gopal")</f>
        <v>Ram Gopal</v>
      </c>
      <c r="G1786" s="19">
        <f>IFERROR(__xludf.DUMMYFUNCTION("""COMPUTED_VALUE"""),45088.0)</f>
        <v>45088</v>
      </c>
      <c r="H1786" s="18" t="str">
        <f>IFERROR(__xludf.DUMMYFUNCTION("""COMPUTED_VALUE"""),"Credit Card")</f>
        <v>Credit Card</v>
      </c>
      <c r="I1786" s="18" t="str">
        <f>IFERROR(__xludf.DUMMYFUNCTION("""COMPUTED_VALUE"""),"Delivered")</f>
        <v>Delivered</v>
      </c>
      <c r="J1786" s="18" t="str">
        <f>IFERROR(__xludf.DUMMYFUNCTION("""COMPUTED_VALUE"""),"Convenience")</f>
        <v>Convenience</v>
      </c>
      <c r="K1786" s="18" t="str">
        <f>IFERROR(__xludf.DUMMYFUNCTION("""COMPUTED_VALUE"""),"Easy tracking")</f>
        <v>Easy tracking</v>
      </c>
      <c r="L1786" s="18">
        <f>iferror(VLOOKUP($D1786,Details!$A$2:$C$11,2,false),vlookup($D1786,Details!$E$2:$G$11,2,false))</f>
        <v>150</v>
      </c>
      <c r="M1786" s="18" t="str">
        <f>iferror(VLOOKUP($D1786,Details!$A$2:$C$11,3,false),vlookup($D1786,Details!$E$2:$G$11,3,false))</f>
        <v>Snacks and Drinks</v>
      </c>
      <c r="N1786" s="18">
        <f t="shared" si="1"/>
        <v>750</v>
      </c>
      <c r="O1786" s="17"/>
      <c r="P1786" s="17"/>
      <c r="Q1786" s="17"/>
      <c r="R1786" s="17"/>
      <c r="S1786" s="17"/>
      <c r="T1786" s="17"/>
      <c r="U1786" s="17"/>
      <c r="V1786" s="17"/>
      <c r="W1786" s="17"/>
      <c r="X1786" s="17"/>
      <c r="Y1786" s="17"/>
      <c r="Z1786" s="17"/>
    </row>
    <row r="1787">
      <c r="A1787" s="18" t="str">
        <f>IFERROR(__xludf.DUMMYFUNCTION("""COMPUTED_VALUE"""),"ord_71765")</f>
        <v>ord_71765</v>
      </c>
      <c r="B1787" s="18" t="str">
        <f>IFERROR(__xludf.DUMMYFUNCTION("""COMPUTED_VALUE"""),"Sanjay Nair")</f>
        <v>Sanjay Nair</v>
      </c>
      <c r="C1787" s="18" t="str">
        <f>IFERROR(__xludf.DUMMYFUNCTION("""COMPUTED_VALUE"""),"Dadar")</f>
        <v>Dadar</v>
      </c>
      <c r="D1787" s="18" t="str">
        <f>IFERROR(__xludf.DUMMYFUNCTION("""COMPUTED_VALUE"""),"Tiramisu")</f>
        <v>Tiramisu</v>
      </c>
      <c r="E1787" s="18">
        <f>IFERROR(__xludf.DUMMYFUNCTION("""COMPUTED_VALUE"""),4.0)</f>
        <v>4</v>
      </c>
      <c r="F1787" s="18" t="str">
        <f>IFERROR(__xludf.DUMMYFUNCTION("""COMPUTED_VALUE"""),"Not Assigned")</f>
        <v>Not Assigned</v>
      </c>
      <c r="G1787" s="19">
        <f>IFERROR(__xludf.DUMMYFUNCTION("""COMPUTED_VALUE"""),45123.0)</f>
        <v>45123</v>
      </c>
      <c r="H1787" s="18" t="str">
        <f>IFERROR(__xludf.DUMMYFUNCTION("""COMPUTED_VALUE"""),"Credit Card")</f>
        <v>Credit Card</v>
      </c>
      <c r="I1787" s="18" t="str">
        <f>IFERROR(__xludf.DUMMYFUNCTION("""COMPUTED_VALUE"""),"Cancelled")</f>
        <v>Cancelled</v>
      </c>
      <c r="J1787" s="18" t="str">
        <f>IFERROR(__xludf.DUMMYFUNCTION("""COMPUTED_VALUE"""),"App Glitches")</f>
        <v>App Glitches</v>
      </c>
      <c r="K1787" s="18" t="str">
        <f>IFERROR(__xludf.DUMMYFUNCTION("""COMPUTED_VALUE"""),"Slow Loading Time")</f>
        <v>Slow Loading Time</v>
      </c>
      <c r="L1787" s="18">
        <f>iferror(VLOOKUP($D1787,Details!$A$2:$C$11,2,false),vlookup($D1787,Details!$E$2:$G$11,2,false))</f>
        <v>150</v>
      </c>
      <c r="M1787" s="18" t="str">
        <f>iferror(VLOOKUP($D1787,Details!$A$2:$C$11,3,false),vlookup($D1787,Details!$E$2:$G$11,3,false))</f>
        <v>Snacks and Drinks</v>
      </c>
      <c r="N1787" s="18">
        <f t="shared" si="1"/>
        <v>600</v>
      </c>
      <c r="O1787" s="17"/>
      <c r="P1787" s="17"/>
      <c r="Q1787" s="17"/>
      <c r="R1787" s="17"/>
      <c r="S1787" s="17"/>
      <c r="T1787" s="17"/>
      <c r="U1787" s="17"/>
      <c r="V1787" s="17"/>
      <c r="W1787" s="17"/>
      <c r="X1787" s="17"/>
      <c r="Y1787" s="17"/>
      <c r="Z1787" s="17"/>
    </row>
    <row r="1788">
      <c r="A1788" s="18" t="str">
        <f>IFERROR(__xludf.DUMMYFUNCTION("""COMPUTED_VALUE"""),"ord_71766")</f>
        <v>ord_71766</v>
      </c>
      <c r="B1788" s="18" t="str">
        <f>IFERROR(__xludf.DUMMYFUNCTION("""COMPUTED_VALUE"""),"Dev Chauhan")</f>
        <v>Dev Chauhan</v>
      </c>
      <c r="C1788" s="18" t="str">
        <f>IFERROR(__xludf.DUMMYFUNCTION("""COMPUTED_VALUE"""),"Bandra")</f>
        <v>Bandra</v>
      </c>
      <c r="D1788" s="18" t="str">
        <f>IFERROR(__xludf.DUMMYFUNCTION("""COMPUTED_VALUE"""),"Tiramisu")</f>
        <v>Tiramisu</v>
      </c>
      <c r="E1788" s="18">
        <f>IFERROR(__xludf.DUMMYFUNCTION("""COMPUTED_VALUE"""),4.0)</f>
        <v>4</v>
      </c>
      <c r="F1788" s="18" t="str">
        <f>IFERROR(__xludf.DUMMYFUNCTION("""COMPUTED_VALUE"""),"Not Assigned")</f>
        <v>Not Assigned</v>
      </c>
      <c r="G1788" s="19">
        <f>IFERROR(__xludf.DUMMYFUNCTION("""COMPUTED_VALUE"""),45089.0)</f>
        <v>45089</v>
      </c>
      <c r="H1788" s="18" t="str">
        <f>IFERROR(__xludf.DUMMYFUNCTION("""COMPUTED_VALUE"""),"Credit Card")</f>
        <v>Credit Card</v>
      </c>
      <c r="I1788" s="18" t="str">
        <f>IFERROR(__xludf.DUMMYFUNCTION("""COMPUTED_VALUE"""),"Cancelled")</f>
        <v>Cancelled</v>
      </c>
      <c r="J1788" s="18" t="str">
        <f>IFERROR(__xludf.DUMMYFUNCTION("""COMPUTED_VALUE"""),"App Glitches")</f>
        <v>App Glitches</v>
      </c>
      <c r="K1788" s="18" t="str">
        <f>IFERROR(__xludf.DUMMYFUNCTION("""COMPUTED_VALUE"""),"Payment Button Malfunction")</f>
        <v>Payment Button Malfunction</v>
      </c>
      <c r="L1788" s="18">
        <f>iferror(VLOOKUP($D1788,Details!$A$2:$C$11,2,false),vlookup($D1788,Details!$E$2:$G$11,2,false))</f>
        <v>150</v>
      </c>
      <c r="M1788" s="18" t="str">
        <f>iferror(VLOOKUP($D1788,Details!$A$2:$C$11,3,false),vlookup($D1788,Details!$E$2:$G$11,3,false))</f>
        <v>Snacks and Drinks</v>
      </c>
      <c r="N1788" s="18">
        <f t="shared" si="1"/>
        <v>600</v>
      </c>
      <c r="O1788" s="17"/>
      <c r="P1788" s="17"/>
      <c r="Q1788" s="17"/>
      <c r="R1788" s="17"/>
      <c r="S1788" s="17"/>
      <c r="T1788" s="17"/>
      <c r="U1788" s="17"/>
      <c r="V1788" s="17"/>
      <c r="W1788" s="17"/>
      <c r="X1788" s="17"/>
      <c r="Y1788" s="17"/>
      <c r="Z1788" s="17"/>
    </row>
    <row r="1789">
      <c r="A1789" s="18" t="str">
        <f>IFERROR(__xludf.DUMMYFUNCTION("""COMPUTED_VALUE"""),"ord_71767")</f>
        <v>ord_71767</v>
      </c>
      <c r="B1789" s="18" t="str">
        <f>IFERROR(__xludf.DUMMYFUNCTION("""COMPUTED_VALUE"""),"Sakshi Tandon")</f>
        <v>Sakshi Tandon</v>
      </c>
      <c r="C1789" s="18" t="str">
        <f>IFERROR(__xludf.DUMMYFUNCTION("""COMPUTED_VALUE"""),"Colaba")</f>
        <v>Colaba</v>
      </c>
      <c r="D1789" s="18" t="str">
        <f>IFERROR(__xludf.DUMMYFUNCTION("""COMPUTED_VALUE"""),"Icecream")</f>
        <v>Icecream</v>
      </c>
      <c r="E1789" s="18">
        <f>IFERROR(__xludf.DUMMYFUNCTION("""COMPUTED_VALUE"""),3.0)</f>
        <v>3</v>
      </c>
      <c r="F1789" s="18" t="str">
        <f>IFERROR(__xludf.DUMMYFUNCTION("""COMPUTED_VALUE"""),"Vivek Kumar")</f>
        <v>Vivek Kumar</v>
      </c>
      <c r="G1789" s="19">
        <f>IFERROR(__xludf.DUMMYFUNCTION("""COMPUTED_VALUE"""),45233.0)</f>
        <v>45233</v>
      </c>
      <c r="H1789" s="18" t="str">
        <f>IFERROR(__xludf.DUMMYFUNCTION("""COMPUTED_VALUE"""),"Online Payment")</f>
        <v>Online Payment</v>
      </c>
      <c r="I1789" s="18" t="str">
        <f>IFERROR(__xludf.DUMMYFUNCTION("""COMPUTED_VALUE"""),"Delivered")</f>
        <v>Delivered</v>
      </c>
      <c r="J1789" s="18" t="str">
        <f>IFERROR(__xludf.DUMMYFUNCTION("""COMPUTED_VALUE"""),"Overall Satisfaction")</f>
        <v>Overall Satisfaction</v>
      </c>
      <c r="K1789" s="18" t="str">
        <f>IFERROR(__xludf.DUMMYFUNCTION("""COMPUTED_VALUE"""),"Great service will order again")</f>
        <v>Great service will order again</v>
      </c>
      <c r="L1789" s="18">
        <f>iferror(VLOOKUP($D1789,Details!$A$2:$C$11,2,false),vlookup($D1789,Details!$E$2:$G$11,2,false))</f>
        <v>90</v>
      </c>
      <c r="M1789" s="18" t="str">
        <f>iferror(VLOOKUP($D1789,Details!$A$2:$C$11,3,false),vlookup($D1789,Details!$E$2:$G$11,3,false))</f>
        <v>Snacks and Drinks</v>
      </c>
      <c r="N1789" s="18">
        <f t="shared" si="1"/>
        <v>270</v>
      </c>
      <c r="O1789" s="17"/>
      <c r="P1789" s="17"/>
      <c r="Q1789" s="17"/>
      <c r="R1789" s="17"/>
      <c r="S1789" s="17"/>
      <c r="T1789" s="17"/>
      <c r="U1789" s="17"/>
      <c r="V1789" s="17"/>
      <c r="W1789" s="17"/>
      <c r="X1789" s="17"/>
      <c r="Y1789" s="17"/>
      <c r="Z1789" s="17"/>
    </row>
    <row r="1790">
      <c r="A1790" s="18" t="str">
        <f>IFERROR(__xludf.DUMMYFUNCTION("""COMPUTED_VALUE"""),"ord_71768")</f>
        <v>ord_71768</v>
      </c>
      <c r="B1790" s="18" t="str">
        <f>IFERROR(__xludf.DUMMYFUNCTION("""COMPUTED_VALUE"""),"Kritika Shetty")</f>
        <v>Kritika Shetty</v>
      </c>
      <c r="C1790" s="18" t="str">
        <f>IFERROR(__xludf.DUMMYFUNCTION("""COMPUTED_VALUE"""),"Malad")</f>
        <v>Malad</v>
      </c>
      <c r="D1790" s="18" t="str">
        <f>IFERROR(__xludf.DUMMYFUNCTION("""COMPUTED_VALUE"""),"Papaya")</f>
        <v>Papaya</v>
      </c>
      <c r="E1790" s="18">
        <f>IFERROR(__xludf.DUMMYFUNCTION("""COMPUTED_VALUE"""),2.0)</f>
        <v>2</v>
      </c>
      <c r="F1790" s="18" t="str">
        <f>IFERROR(__xludf.DUMMYFUNCTION("""COMPUTED_VALUE"""),"Nithin Lal")</f>
        <v>Nithin Lal</v>
      </c>
      <c r="G1790" s="19">
        <f>IFERROR(__xludf.DUMMYFUNCTION("""COMPUTED_VALUE"""),45019.0)</f>
        <v>45019</v>
      </c>
      <c r="H1790" s="18" t="str">
        <f>IFERROR(__xludf.DUMMYFUNCTION("""COMPUTED_VALUE"""),"COD")</f>
        <v>COD</v>
      </c>
      <c r="I1790" s="18" t="str">
        <f>IFERROR(__xludf.DUMMYFUNCTION("""COMPUTED_VALUE"""),"Delivered")</f>
        <v>Delivered</v>
      </c>
      <c r="J1790" s="18" t="str">
        <f>IFERROR(__xludf.DUMMYFUNCTION("""COMPUTED_VALUE"""),"On-time Delivery")</f>
        <v>On-time Delivery</v>
      </c>
      <c r="K1790" s="18" t="str">
        <f>IFERROR(__xludf.DUMMYFUNCTION("""COMPUTED_VALUE"""),"Delivered on time")</f>
        <v>Delivered on time</v>
      </c>
      <c r="L1790" s="18">
        <f>iferror(VLOOKUP($D1790,Details!$A$2:$C$11,2,false),vlookup($D1790,Details!$E$2:$G$11,2,false))</f>
        <v>75</v>
      </c>
      <c r="M1790" s="18" t="str">
        <f>iferror(VLOOKUP($D1790,Details!$A$2:$C$11,3,false),vlookup($D1790,Details!$E$2:$G$11,3,false))</f>
        <v>Fruits and Vegetables</v>
      </c>
      <c r="N1790" s="18">
        <f t="shared" si="1"/>
        <v>150</v>
      </c>
      <c r="O1790" s="17"/>
      <c r="P1790" s="17"/>
      <c r="Q1790" s="17"/>
      <c r="R1790" s="17"/>
      <c r="S1790" s="17"/>
      <c r="T1790" s="17"/>
      <c r="U1790" s="17"/>
      <c r="V1790" s="17"/>
      <c r="W1790" s="17"/>
      <c r="X1790" s="17"/>
      <c r="Y1790" s="17"/>
      <c r="Z1790" s="17"/>
    </row>
    <row r="1791">
      <c r="A1791" s="18" t="str">
        <f>IFERROR(__xludf.DUMMYFUNCTION("""COMPUTED_VALUE"""),"ord_71769")</f>
        <v>ord_71769</v>
      </c>
      <c r="B1791" s="18" t="str">
        <f>IFERROR(__xludf.DUMMYFUNCTION("""COMPUTED_VALUE"""),"Tanishq Bansal")</f>
        <v>Tanishq Bansal</v>
      </c>
      <c r="C1791" s="18" t="str">
        <f>IFERROR(__xludf.DUMMYFUNCTION("""COMPUTED_VALUE"""),"Powai")</f>
        <v>Powai</v>
      </c>
      <c r="D1791" s="18" t="str">
        <f>IFERROR(__xludf.DUMMYFUNCTION("""COMPUTED_VALUE"""),"Sweet Corn")</f>
        <v>Sweet Corn</v>
      </c>
      <c r="E1791" s="18">
        <f>IFERROR(__xludf.DUMMYFUNCTION("""COMPUTED_VALUE"""),1.0)</f>
        <v>1</v>
      </c>
      <c r="F1791" s="18" t="str">
        <f>IFERROR(__xludf.DUMMYFUNCTION("""COMPUTED_VALUE"""),"Shine Thomas")</f>
        <v>Shine Thomas</v>
      </c>
      <c r="G1791" s="19">
        <f>IFERROR(__xludf.DUMMYFUNCTION("""COMPUTED_VALUE"""),45102.0)</f>
        <v>45102</v>
      </c>
      <c r="H1791" s="18" t="str">
        <f>IFERROR(__xludf.DUMMYFUNCTION("""COMPUTED_VALUE"""),"COD")</f>
        <v>COD</v>
      </c>
      <c r="I1791" s="18" t="str">
        <f>IFERROR(__xludf.DUMMYFUNCTION("""COMPUTED_VALUE"""),"Delivered")</f>
        <v>Delivered</v>
      </c>
      <c r="J1791" s="18" t="str">
        <f>IFERROR(__xludf.DUMMYFUNCTION("""COMPUTED_VALUE"""),"Quality of Items")</f>
        <v>Quality of Items</v>
      </c>
      <c r="K1791" s="18" t="str">
        <f>IFERROR(__xludf.DUMMYFUNCTION("""COMPUTED_VALUE"""),"Perfect condition")</f>
        <v>Perfect condition</v>
      </c>
      <c r="L1791" s="18">
        <f>iferror(VLOOKUP($D1791,Details!$A$2:$C$11,2,false),vlookup($D1791,Details!$E$2:$G$11,2,false))</f>
        <v>60</v>
      </c>
      <c r="M1791" s="18" t="str">
        <f>iferror(VLOOKUP($D1791,Details!$A$2:$C$11,3,false),vlookup($D1791,Details!$E$2:$G$11,3,false))</f>
        <v>Fruits and Vegetables</v>
      </c>
      <c r="N1791" s="18">
        <f t="shared" si="1"/>
        <v>60</v>
      </c>
      <c r="O1791" s="17"/>
      <c r="P1791" s="17"/>
      <c r="Q1791" s="17"/>
      <c r="R1791" s="17"/>
      <c r="S1791" s="17"/>
      <c r="T1791" s="17"/>
      <c r="U1791" s="17"/>
      <c r="V1791" s="17"/>
      <c r="W1791" s="17"/>
      <c r="X1791" s="17"/>
      <c r="Y1791" s="17"/>
      <c r="Z1791" s="17"/>
    </row>
    <row r="1792">
      <c r="A1792" s="18" t="str">
        <f>IFERROR(__xludf.DUMMYFUNCTION("""COMPUTED_VALUE"""),"ord_71770")</f>
        <v>ord_71770</v>
      </c>
      <c r="B1792" s="18" t="str">
        <f>IFERROR(__xludf.DUMMYFUNCTION("""COMPUTED_VALUE"""),"Dev Chauhan")</f>
        <v>Dev Chauhan</v>
      </c>
      <c r="C1792" s="18" t="str">
        <f>IFERROR(__xludf.DUMMYFUNCTION("""COMPUTED_VALUE"""),"Bandra")</f>
        <v>Bandra</v>
      </c>
      <c r="D1792" s="18" t="str">
        <f>IFERROR(__xludf.DUMMYFUNCTION("""COMPUTED_VALUE"""),"Papaya")</f>
        <v>Papaya</v>
      </c>
      <c r="E1792" s="18">
        <f>IFERROR(__xludf.DUMMYFUNCTION("""COMPUTED_VALUE"""),1.0)</f>
        <v>1</v>
      </c>
      <c r="F1792" s="18" t="str">
        <f>IFERROR(__xludf.DUMMYFUNCTION("""COMPUTED_VALUE"""),"Not Assigned")</f>
        <v>Not Assigned</v>
      </c>
      <c r="G1792" s="19">
        <f>IFERROR(__xludf.DUMMYFUNCTION("""COMPUTED_VALUE"""),45091.0)</f>
        <v>45091</v>
      </c>
      <c r="H1792" s="18" t="str">
        <f>IFERROR(__xludf.DUMMYFUNCTION("""COMPUTED_VALUE"""),"Credit Card")</f>
        <v>Credit Card</v>
      </c>
      <c r="I1792" s="18" t="str">
        <f>IFERROR(__xludf.DUMMYFUNCTION("""COMPUTED_VALUE"""),"Cancelled")</f>
        <v>Cancelled</v>
      </c>
      <c r="J1792" s="18" t="str">
        <f>IFERROR(__xludf.DUMMYFUNCTION("""COMPUTED_VALUE"""),"App Glitches")</f>
        <v>App Glitches</v>
      </c>
      <c r="K1792" s="18" t="str">
        <f>IFERROR(__xludf.DUMMYFUNCTION("""COMPUTED_VALUE"""),"Slow Loading Time")</f>
        <v>Slow Loading Time</v>
      </c>
      <c r="L1792" s="18">
        <f>iferror(VLOOKUP($D1792,Details!$A$2:$C$11,2,false),vlookup($D1792,Details!$E$2:$G$11,2,false))</f>
        <v>75</v>
      </c>
      <c r="M1792" s="18" t="str">
        <f>iferror(VLOOKUP($D1792,Details!$A$2:$C$11,3,false),vlookup($D1792,Details!$E$2:$G$11,3,false))</f>
        <v>Fruits and Vegetables</v>
      </c>
      <c r="N1792" s="18">
        <f t="shared" si="1"/>
        <v>75</v>
      </c>
      <c r="O1792" s="17"/>
      <c r="P1792" s="17"/>
      <c r="Q1792" s="17"/>
      <c r="R1792" s="17"/>
      <c r="S1792" s="17"/>
      <c r="T1792" s="17"/>
      <c r="U1792" s="17"/>
      <c r="V1792" s="17"/>
      <c r="W1792" s="17"/>
      <c r="X1792" s="17"/>
      <c r="Y1792" s="17"/>
      <c r="Z1792" s="17"/>
    </row>
    <row r="1793">
      <c r="A1793" s="18" t="str">
        <f>IFERROR(__xludf.DUMMYFUNCTION("""COMPUTED_VALUE"""),"ord_71771")</f>
        <v>ord_71771</v>
      </c>
      <c r="B1793" s="18" t="str">
        <f>IFERROR(__xludf.DUMMYFUNCTION("""COMPUTED_VALUE"""),"Sana Malik")</f>
        <v>Sana Malik</v>
      </c>
      <c r="C1793" s="18" t="str">
        <f>IFERROR(__xludf.DUMMYFUNCTION("""COMPUTED_VALUE"""),"Powai")</f>
        <v>Powai</v>
      </c>
      <c r="D1793" s="18" t="str">
        <f>IFERROR(__xludf.DUMMYFUNCTION("""COMPUTED_VALUE"""),"Papaya")</f>
        <v>Papaya</v>
      </c>
      <c r="E1793" s="18">
        <f>IFERROR(__xludf.DUMMYFUNCTION("""COMPUTED_VALUE"""),3.0)</f>
        <v>3</v>
      </c>
      <c r="F1793" s="18" t="str">
        <f>IFERROR(__xludf.DUMMYFUNCTION("""COMPUTED_VALUE"""),"Vivek Kumar")</f>
        <v>Vivek Kumar</v>
      </c>
      <c r="G1793" s="19">
        <f>IFERROR(__xludf.DUMMYFUNCTION("""COMPUTED_VALUE"""),45120.0)</f>
        <v>45120</v>
      </c>
      <c r="H1793" s="18" t="str">
        <f>IFERROR(__xludf.DUMMYFUNCTION("""COMPUTED_VALUE"""),"COD")</f>
        <v>COD</v>
      </c>
      <c r="I1793" s="18" t="str">
        <f>IFERROR(__xludf.DUMMYFUNCTION("""COMPUTED_VALUE"""),"Delivered")</f>
        <v>Delivered</v>
      </c>
      <c r="J1793" s="18" t="str">
        <f>IFERROR(__xludf.DUMMYFUNCTION("""COMPUTED_VALUE"""),"On-time Delivery")</f>
        <v>On-time Delivery</v>
      </c>
      <c r="K1793" s="18" t="str">
        <f>IFERROR(__xludf.DUMMYFUNCTION("""COMPUTED_VALUE"""),"Delivered on time")</f>
        <v>Delivered on time</v>
      </c>
      <c r="L1793" s="18">
        <f>iferror(VLOOKUP($D1793,Details!$A$2:$C$11,2,false),vlookup($D1793,Details!$E$2:$G$11,2,false))</f>
        <v>75</v>
      </c>
      <c r="M1793" s="18" t="str">
        <f>iferror(VLOOKUP($D1793,Details!$A$2:$C$11,3,false),vlookup($D1793,Details!$E$2:$G$11,3,false))</f>
        <v>Fruits and Vegetables</v>
      </c>
      <c r="N1793" s="18">
        <f t="shared" si="1"/>
        <v>225</v>
      </c>
      <c r="O1793" s="17"/>
      <c r="P1793" s="17"/>
      <c r="Q1793" s="17"/>
      <c r="R1793" s="17"/>
      <c r="S1793" s="17"/>
      <c r="T1793" s="17"/>
      <c r="U1793" s="17"/>
      <c r="V1793" s="17"/>
      <c r="W1793" s="17"/>
      <c r="X1793" s="17"/>
      <c r="Y1793" s="17"/>
      <c r="Z1793" s="17"/>
    </row>
    <row r="1794">
      <c r="A1794" s="18" t="str">
        <f>IFERROR(__xludf.DUMMYFUNCTION("""COMPUTED_VALUE"""),"ord_71772")</f>
        <v>ord_71772</v>
      </c>
      <c r="B1794" s="18" t="str">
        <f>IFERROR(__xludf.DUMMYFUNCTION("""COMPUTED_VALUE"""),"Yash Verma")</f>
        <v>Yash Verma</v>
      </c>
      <c r="C1794" s="18" t="str">
        <f>IFERROR(__xludf.DUMMYFUNCTION("""COMPUTED_VALUE"""),"Lower Parel")</f>
        <v>Lower Parel</v>
      </c>
      <c r="D1794" s="18" t="str">
        <f>IFERROR(__xludf.DUMMYFUNCTION("""COMPUTED_VALUE"""),"Tomato")</f>
        <v>Tomato</v>
      </c>
      <c r="E1794" s="18">
        <f>IFERROR(__xludf.DUMMYFUNCTION("""COMPUTED_VALUE"""),3.0)</f>
        <v>3</v>
      </c>
      <c r="F1794" s="18" t="str">
        <f>IFERROR(__xludf.DUMMYFUNCTION("""COMPUTED_VALUE"""),"Venu R")</f>
        <v>Venu R</v>
      </c>
      <c r="G1794" s="19">
        <f>IFERROR(__xludf.DUMMYFUNCTION("""COMPUTED_VALUE"""),44933.0)</f>
        <v>44933</v>
      </c>
      <c r="H1794" s="18" t="str">
        <f>IFERROR(__xludf.DUMMYFUNCTION("""COMPUTED_VALUE"""),"Credit Card")</f>
        <v>Credit Card</v>
      </c>
      <c r="I1794" s="18" t="str">
        <f>IFERROR(__xludf.DUMMYFUNCTION("""COMPUTED_VALUE"""),"Delivered")</f>
        <v>Delivered</v>
      </c>
      <c r="J1794" s="18" t="str">
        <f>IFERROR(__xludf.DUMMYFUNCTION("""COMPUTED_VALUE"""),"Quality of Items")</f>
        <v>Quality of Items</v>
      </c>
      <c r="K1794" s="18" t="str">
        <f>IFERROR(__xludf.DUMMYFUNCTION("""COMPUTED_VALUE"""),"Perfect condition")</f>
        <v>Perfect condition</v>
      </c>
      <c r="L1794" s="18">
        <f>iferror(VLOOKUP($D1794,Details!$A$2:$C$11,2,false),vlookup($D1794,Details!$E$2:$G$11,2,false))</f>
        <v>25</v>
      </c>
      <c r="M1794" s="18" t="str">
        <f>iferror(VLOOKUP($D1794,Details!$A$2:$C$11,3,false),vlookup($D1794,Details!$E$2:$G$11,3,false))</f>
        <v>Fruits and Vegetables</v>
      </c>
      <c r="N1794" s="18">
        <f t="shared" si="1"/>
        <v>75</v>
      </c>
      <c r="O1794" s="17"/>
      <c r="P1794" s="17"/>
      <c r="Q1794" s="17"/>
      <c r="R1794" s="17"/>
      <c r="S1794" s="17"/>
      <c r="T1794" s="17"/>
      <c r="U1794" s="17"/>
      <c r="V1794" s="17"/>
      <c r="W1794" s="17"/>
      <c r="X1794" s="17"/>
      <c r="Y1794" s="17"/>
      <c r="Z1794" s="17"/>
    </row>
    <row r="1795">
      <c r="A1795" s="18" t="str">
        <f>IFERROR(__xludf.DUMMYFUNCTION("""COMPUTED_VALUE"""),"ord_71773")</f>
        <v>ord_71773</v>
      </c>
      <c r="B1795" s="18" t="str">
        <f>IFERROR(__xludf.DUMMYFUNCTION("""COMPUTED_VALUE"""),"Sanjay Nair")</f>
        <v>Sanjay Nair</v>
      </c>
      <c r="C1795" s="18" t="str">
        <f>IFERROR(__xludf.DUMMYFUNCTION("""COMPUTED_VALUE"""),"Dadar")</f>
        <v>Dadar</v>
      </c>
      <c r="D1795" s="18" t="str">
        <f>IFERROR(__xludf.DUMMYFUNCTION("""COMPUTED_VALUE"""),"Rasmalai")</f>
        <v>Rasmalai</v>
      </c>
      <c r="E1795" s="18">
        <f>IFERROR(__xludf.DUMMYFUNCTION("""COMPUTED_VALUE"""),2.0)</f>
        <v>2</v>
      </c>
      <c r="F1795" s="18" t="str">
        <f>IFERROR(__xludf.DUMMYFUNCTION("""COMPUTED_VALUE"""),"Ram Gopal")</f>
        <v>Ram Gopal</v>
      </c>
      <c r="G1795" s="19">
        <f>IFERROR(__xludf.DUMMYFUNCTION("""COMPUTED_VALUE"""),45115.0)</f>
        <v>45115</v>
      </c>
      <c r="H1795" s="18" t="str">
        <f>IFERROR(__xludf.DUMMYFUNCTION("""COMPUTED_VALUE"""),"COD")</f>
        <v>COD</v>
      </c>
      <c r="I1795" s="18" t="str">
        <f>IFERROR(__xludf.DUMMYFUNCTION("""COMPUTED_VALUE"""),"Delivered")</f>
        <v>Delivered</v>
      </c>
      <c r="J1795" s="18" t="str">
        <f>IFERROR(__xludf.DUMMYFUNCTION("""COMPUTED_VALUE"""),"Packaging")</f>
        <v>Packaging</v>
      </c>
      <c r="K1795" s="18" t="str">
        <f>IFERROR(__xludf.DUMMYFUNCTION("""COMPUTED_VALUE"""),"Secure and intact")</f>
        <v>Secure and intact</v>
      </c>
      <c r="L1795" s="18">
        <f>iferror(VLOOKUP($D1795,Details!$A$2:$C$11,2,false),vlookup($D1795,Details!$E$2:$G$11,2,false))</f>
        <v>110</v>
      </c>
      <c r="M1795" s="18" t="str">
        <f>iferror(VLOOKUP($D1795,Details!$A$2:$C$11,3,false),vlookup($D1795,Details!$E$2:$G$11,3,false))</f>
        <v>Snacks and Drinks</v>
      </c>
      <c r="N1795" s="18">
        <f t="shared" si="1"/>
        <v>220</v>
      </c>
      <c r="O1795" s="17"/>
      <c r="P1795" s="17"/>
      <c r="Q1795" s="17"/>
      <c r="R1795" s="17"/>
      <c r="S1795" s="17"/>
      <c r="T1795" s="17"/>
      <c r="U1795" s="17"/>
      <c r="V1795" s="17"/>
      <c r="W1795" s="17"/>
      <c r="X1795" s="17"/>
      <c r="Y1795" s="17"/>
      <c r="Z1795" s="17"/>
    </row>
    <row r="1796">
      <c r="A1796" s="18" t="str">
        <f>IFERROR(__xludf.DUMMYFUNCTION("""COMPUTED_VALUE"""),"ord_71774")</f>
        <v>ord_71774</v>
      </c>
      <c r="B1796" s="18" t="str">
        <f>IFERROR(__xludf.DUMMYFUNCTION("""COMPUTED_VALUE"""),"Mehul Thakkar")</f>
        <v>Mehul Thakkar</v>
      </c>
      <c r="C1796" s="18" t="str">
        <f>IFERROR(__xludf.DUMMYFUNCTION("""COMPUTED_VALUE"""),"Malad")</f>
        <v>Malad</v>
      </c>
      <c r="D1796" s="18" t="str">
        <f>IFERROR(__xludf.DUMMYFUNCTION("""COMPUTED_VALUE"""),"Cucumber")</f>
        <v>Cucumber</v>
      </c>
      <c r="E1796" s="18">
        <f>IFERROR(__xludf.DUMMYFUNCTION("""COMPUTED_VALUE"""),2.0)</f>
        <v>2</v>
      </c>
      <c r="F1796" s="18" t="str">
        <f>IFERROR(__xludf.DUMMYFUNCTION("""COMPUTED_VALUE"""),"Sandeep Kumar")</f>
        <v>Sandeep Kumar</v>
      </c>
      <c r="G1796" s="19">
        <f>IFERROR(__xludf.DUMMYFUNCTION("""COMPUTED_VALUE"""),45241.0)</f>
        <v>45241</v>
      </c>
      <c r="H1796" s="18" t="str">
        <f>IFERROR(__xludf.DUMMYFUNCTION("""COMPUTED_VALUE"""),"UPI")</f>
        <v>UPI</v>
      </c>
      <c r="I1796" s="18" t="str">
        <f>IFERROR(__xludf.DUMMYFUNCTION("""COMPUTED_VALUE"""),"Cancelled")</f>
        <v>Cancelled</v>
      </c>
      <c r="J1796" s="18" t="str">
        <f>IFERROR(__xludf.DUMMYFUNCTION("""COMPUTED_VALUE"""),"Delayed Delivery")</f>
        <v>Delayed Delivery</v>
      </c>
      <c r="K1796" s="18" t="str">
        <f>IFERROR(__xludf.DUMMYFUNCTION("""COMPUTED_VALUE"""),"Heavy Traffic")</f>
        <v>Heavy Traffic</v>
      </c>
      <c r="L1796" s="18">
        <f>iferror(VLOOKUP($D1796,Details!$A$2:$C$11,2,false),vlookup($D1796,Details!$E$2:$G$11,2,false))</f>
        <v>30</v>
      </c>
      <c r="M1796" s="18" t="str">
        <f>iferror(VLOOKUP($D1796,Details!$A$2:$C$11,3,false),vlookup($D1796,Details!$E$2:$G$11,3,false))</f>
        <v>Fruits and Vegetables</v>
      </c>
      <c r="N1796" s="18">
        <f t="shared" si="1"/>
        <v>60</v>
      </c>
      <c r="O1796" s="17"/>
      <c r="P1796" s="17"/>
      <c r="Q1796" s="17"/>
      <c r="R1796" s="17"/>
      <c r="S1796" s="17"/>
      <c r="T1796" s="17"/>
      <c r="U1796" s="17"/>
      <c r="V1796" s="17"/>
      <c r="W1796" s="17"/>
      <c r="X1796" s="17"/>
      <c r="Y1796" s="17"/>
      <c r="Z1796" s="17"/>
    </row>
    <row r="1797">
      <c r="A1797" s="18" t="str">
        <f>IFERROR(__xludf.DUMMYFUNCTION("""COMPUTED_VALUE"""),"ord_71775")</f>
        <v>ord_71775</v>
      </c>
      <c r="B1797" s="18" t="str">
        <f>IFERROR(__xludf.DUMMYFUNCTION("""COMPUTED_VALUE"""),"Mohit Malhotra")</f>
        <v>Mohit Malhotra</v>
      </c>
      <c r="C1797" s="18" t="str">
        <f>IFERROR(__xludf.DUMMYFUNCTION("""COMPUTED_VALUE"""),"Lower Parel")</f>
        <v>Lower Parel</v>
      </c>
      <c r="D1797" s="18" t="str">
        <f>IFERROR(__xludf.DUMMYFUNCTION("""COMPUTED_VALUE"""),"Orange")</f>
        <v>Orange</v>
      </c>
      <c r="E1797" s="18">
        <f>IFERROR(__xludf.DUMMYFUNCTION("""COMPUTED_VALUE"""),2.0)</f>
        <v>2</v>
      </c>
      <c r="F1797" s="18" t="str">
        <f>IFERROR(__xludf.DUMMYFUNCTION("""COMPUTED_VALUE"""),"Shine Thomas")</f>
        <v>Shine Thomas</v>
      </c>
      <c r="G1797" s="19">
        <f>IFERROR(__xludf.DUMMYFUNCTION("""COMPUTED_VALUE"""),45273.0)</f>
        <v>45273</v>
      </c>
      <c r="H1797" s="18" t="str">
        <f>IFERROR(__xludf.DUMMYFUNCTION("""COMPUTED_VALUE"""),"Online Payment")</f>
        <v>Online Payment</v>
      </c>
      <c r="I1797" s="18" t="str">
        <f>IFERROR(__xludf.DUMMYFUNCTION("""COMPUTED_VALUE"""),"Cancelled")</f>
        <v>Cancelled</v>
      </c>
      <c r="J1797" s="18" t="str">
        <f>IFERROR(__xludf.DUMMYFUNCTION("""COMPUTED_VALUE"""),"Delayed Delivery")</f>
        <v>Delayed Delivery</v>
      </c>
      <c r="K1797" s="18" t="str">
        <f>IFERROR(__xludf.DUMMYFUNCTION("""COMPUTED_VALUE"""),"Bad Weather Conditions")</f>
        <v>Bad Weather Conditions</v>
      </c>
      <c r="L1797" s="18">
        <f>iferror(VLOOKUP($D1797,Details!$A$2:$C$11,2,false),vlookup($D1797,Details!$E$2:$G$11,2,false))</f>
        <v>180</v>
      </c>
      <c r="M1797" s="18" t="str">
        <f>iferror(VLOOKUP($D1797,Details!$A$2:$C$11,3,false),vlookup($D1797,Details!$E$2:$G$11,3,false))</f>
        <v>Fruits and Vegetables</v>
      </c>
      <c r="N1797" s="18">
        <f t="shared" si="1"/>
        <v>360</v>
      </c>
      <c r="O1797" s="17"/>
      <c r="P1797" s="17"/>
      <c r="Q1797" s="17"/>
      <c r="R1797" s="17"/>
      <c r="S1797" s="17"/>
      <c r="T1797" s="17"/>
      <c r="U1797" s="17"/>
      <c r="V1797" s="17"/>
      <c r="W1797" s="17"/>
      <c r="X1797" s="17"/>
      <c r="Y1797" s="17"/>
      <c r="Z1797" s="17"/>
    </row>
    <row r="1798">
      <c r="A1798" s="18" t="str">
        <f>IFERROR(__xludf.DUMMYFUNCTION("""COMPUTED_VALUE"""),"ord_71776")</f>
        <v>ord_71776</v>
      </c>
      <c r="B1798" s="18" t="str">
        <f>IFERROR(__xludf.DUMMYFUNCTION("""COMPUTED_VALUE"""),"Ishaan Chaturvedi")</f>
        <v>Ishaan Chaturvedi</v>
      </c>
      <c r="C1798" s="18" t="str">
        <f>IFERROR(__xludf.DUMMYFUNCTION("""COMPUTED_VALUE"""),"Bandra")</f>
        <v>Bandra</v>
      </c>
      <c r="D1798" s="18" t="str">
        <f>IFERROR(__xludf.DUMMYFUNCTION("""COMPUTED_VALUE"""),"Icecream")</f>
        <v>Icecream</v>
      </c>
      <c r="E1798" s="18">
        <f>IFERROR(__xludf.DUMMYFUNCTION("""COMPUTED_VALUE"""),1.0)</f>
        <v>1</v>
      </c>
      <c r="F1798" s="18" t="str">
        <f>IFERROR(__xludf.DUMMYFUNCTION("""COMPUTED_VALUE"""),"Kiran Mehta")</f>
        <v>Kiran Mehta</v>
      </c>
      <c r="G1798" s="19">
        <f>IFERROR(__xludf.DUMMYFUNCTION("""COMPUTED_VALUE"""),45030.0)</f>
        <v>45030</v>
      </c>
      <c r="H1798" s="18" t="str">
        <f>IFERROR(__xludf.DUMMYFUNCTION("""COMPUTED_VALUE"""),"UPI")</f>
        <v>UPI</v>
      </c>
      <c r="I1798" s="18" t="str">
        <f>IFERROR(__xludf.DUMMYFUNCTION("""COMPUTED_VALUE"""),"Cancelled")</f>
        <v>Cancelled</v>
      </c>
      <c r="J1798" s="18" t="str">
        <f>IFERROR(__xludf.DUMMYFUNCTION("""COMPUTED_VALUE"""),"Delayed Delivery")</f>
        <v>Delayed Delivery</v>
      </c>
      <c r="K1798" s="18" t="str">
        <f>IFERROR(__xludf.DUMMYFUNCTION("""COMPUTED_VALUE"""),"Heavy Traffic")</f>
        <v>Heavy Traffic</v>
      </c>
      <c r="L1798" s="18">
        <f>iferror(VLOOKUP($D1798,Details!$A$2:$C$11,2,false),vlookup($D1798,Details!$E$2:$G$11,2,false))</f>
        <v>90</v>
      </c>
      <c r="M1798" s="18" t="str">
        <f>iferror(VLOOKUP($D1798,Details!$A$2:$C$11,3,false),vlookup($D1798,Details!$E$2:$G$11,3,false))</f>
        <v>Snacks and Drinks</v>
      </c>
      <c r="N1798" s="18">
        <f t="shared" si="1"/>
        <v>90</v>
      </c>
      <c r="O1798" s="17"/>
      <c r="P1798" s="17"/>
      <c r="Q1798" s="17"/>
      <c r="R1798" s="17"/>
      <c r="S1798" s="17"/>
      <c r="T1798" s="17"/>
      <c r="U1798" s="17"/>
      <c r="V1798" s="17"/>
      <c r="W1798" s="17"/>
      <c r="X1798" s="17"/>
      <c r="Y1798" s="17"/>
      <c r="Z1798" s="17"/>
    </row>
    <row r="1799">
      <c r="A1799" s="18" t="str">
        <f>IFERROR(__xludf.DUMMYFUNCTION("""COMPUTED_VALUE"""),"ord_71777")</f>
        <v>ord_71777</v>
      </c>
      <c r="B1799" s="18" t="str">
        <f>IFERROR(__xludf.DUMMYFUNCTION("""COMPUTED_VALUE"""),"Ritika Dutta")</f>
        <v>Ritika Dutta</v>
      </c>
      <c r="C1799" s="18" t="str">
        <f>IFERROR(__xludf.DUMMYFUNCTION("""COMPUTED_VALUE"""),"Lower Parel")</f>
        <v>Lower Parel</v>
      </c>
      <c r="D1799" s="18" t="str">
        <f>IFERROR(__xludf.DUMMYFUNCTION("""COMPUTED_VALUE"""),"Banana")</f>
        <v>Banana</v>
      </c>
      <c r="E1799" s="18">
        <f>IFERROR(__xludf.DUMMYFUNCTION("""COMPUTED_VALUE"""),2.0)</f>
        <v>2</v>
      </c>
      <c r="F1799" s="18" t="str">
        <f>IFERROR(__xludf.DUMMYFUNCTION("""COMPUTED_VALUE"""),"Vivek Kumar")</f>
        <v>Vivek Kumar</v>
      </c>
      <c r="G1799" s="19">
        <f>IFERROR(__xludf.DUMMYFUNCTION("""COMPUTED_VALUE"""),44992.0)</f>
        <v>44992</v>
      </c>
      <c r="H1799" s="18" t="str">
        <f>IFERROR(__xludf.DUMMYFUNCTION("""COMPUTED_VALUE"""),"UPI")</f>
        <v>UPI</v>
      </c>
      <c r="I1799" s="18" t="str">
        <f>IFERROR(__xludf.DUMMYFUNCTION("""COMPUTED_VALUE"""),"Delivered")</f>
        <v>Delivered</v>
      </c>
      <c r="J1799" s="18" t="str">
        <f>IFERROR(__xludf.DUMMYFUNCTION("""COMPUTED_VALUE"""),"Satisfied with the Delivery")</f>
        <v>Satisfied with the Delivery</v>
      </c>
      <c r="K1799" s="18" t="str">
        <f>IFERROR(__xludf.DUMMYFUNCTION("""COMPUTED_VALUE"""),"Timely and quality")</f>
        <v>Timely and quality</v>
      </c>
      <c r="L1799" s="18">
        <f>iferror(VLOOKUP($D1799,Details!$A$2:$C$11,2,false),vlookup($D1799,Details!$E$2:$G$11,2,false))</f>
        <v>80</v>
      </c>
      <c r="M1799" s="18" t="str">
        <f>iferror(VLOOKUP($D1799,Details!$A$2:$C$11,3,false),vlookup($D1799,Details!$E$2:$G$11,3,false))</f>
        <v>Fruits and Vegetables</v>
      </c>
      <c r="N1799" s="18">
        <f t="shared" si="1"/>
        <v>160</v>
      </c>
      <c r="O1799" s="17"/>
      <c r="P1799" s="17"/>
      <c r="Q1799" s="17"/>
      <c r="R1799" s="17"/>
      <c r="S1799" s="17"/>
      <c r="T1799" s="17"/>
      <c r="U1799" s="17"/>
      <c r="V1799" s="17"/>
      <c r="W1799" s="17"/>
      <c r="X1799" s="17"/>
      <c r="Y1799" s="17"/>
      <c r="Z1799" s="17"/>
    </row>
    <row r="1800">
      <c r="A1800" s="18" t="str">
        <f>IFERROR(__xludf.DUMMYFUNCTION("""COMPUTED_VALUE"""),"ord_71778")</f>
        <v>ord_71778</v>
      </c>
      <c r="B1800" s="18" t="str">
        <f>IFERROR(__xludf.DUMMYFUNCTION("""COMPUTED_VALUE"""),"Kunal Sharma")</f>
        <v>Kunal Sharma</v>
      </c>
      <c r="C1800" s="18" t="str">
        <f>IFERROR(__xludf.DUMMYFUNCTION("""COMPUTED_VALUE"""),"Powai")</f>
        <v>Powai</v>
      </c>
      <c r="D1800" s="18" t="str">
        <f>IFERROR(__xludf.DUMMYFUNCTION("""COMPUTED_VALUE"""),"Cold Coffee")</f>
        <v>Cold Coffee</v>
      </c>
      <c r="E1800" s="18">
        <f>IFERROR(__xludf.DUMMYFUNCTION("""COMPUTED_VALUE"""),5.0)</f>
        <v>5</v>
      </c>
      <c r="F1800" s="18" t="str">
        <f>IFERROR(__xludf.DUMMYFUNCTION("""COMPUTED_VALUE"""),"Ram Gopal")</f>
        <v>Ram Gopal</v>
      </c>
      <c r="G1800" s="19">
        <f>IFERROR(__xludf.DUMMYFUNCTION("""COMPUTED_VALUE"""),45100.0)</f>
        <v>45100</v>
      </c>
      <c r="H1800" s="18" t="str">
        <f>IFERROR(__xludf.DUMMYFUNCTION("""COMPUTED_VALUE"""),"COD")</f>
        <v>COD</v>
      </c>
      <c r="I1800" s="18" t="str">
        <f>IFERROR(__xludf.DUMMYFUNCTION("""COMPUTED_VALUE"""),"Delivered")</f>
        <v>Delivered</v>
      </c>
      <c r="J1800" s="18" t="str">
        <f>IFERROR(__xludf.DUMMYFUNCTION("""COMPUTED_VALUE"""),"Customer Service")</f>
        <v>Customer Service</v>
      </c>
      <c r="K1800" s="18" t="str">
        <f>IFERROR(__xludf.DUMMYFUNCTION("""COMPUTED_VALUE"""),"Seamless and easy")</f>
        <v>Seamless and easy</v>
      </c>
      <c r="L1800" s="18">
        <f>iferror(VLOOKUP($D1800,Details!$A$2:$C$11,2,false),vlookup($D1800,Details!$E$2:$G$11,2,false))</f>
        <v>270</v>
      </c>
      <c r="M1800" s="18" t="str">
        <f>iferror(VLOOKUP($D1800,Details!$A$2:$C$11,3,false),vlookup($D1800,Details!$E$2:$G$11,3,false))</f>
        <v>Snacks and Drinks</v>
      </c>
      <c r="N1800" s="18">
        <f t="shared" si="1"/>
        <v>1350</v>
      </c>
      <c r="O1800" s="17"/>
      <c r="P1800" s="17"/>
      <c r="Q1800" s="17"/>
      <c r="R1800" s="17"/>
      <c r="S1800" s="17"/>
      <c r="T1800" s="17"/>
      <c r="U1800" s="17"/>
      <c r="V1800" s="17"/>
      <c r="W1800" s="17"/>
      <c r="X1800" s="17"/>
      <c r="Y1800" s="17"/>
      <c r="Z1800" s="17"/>
    </row>
    <row r="1801">
      <c r="A1801" s="18" t="str">
        <f>IFERROR(__xludf.DUMMYFUNCTION("""COMPUTED_VALUE"""),"ord_71779")</f>
        <v>ord_71779</v>
      </c>
      <c r="B1801" s="18" t="str">
        <f>IFERROR(__xludf.DUMMYFUNCTION("""COMPUTED_VALUE"""),"Kunal Sharma")</f>
        <v>Kunal Sharma</v>
      </c>
      <c r="C1801" s="18" t="str">
        <f>IFERROR(__xludf.DUMMYFUNCTION("""COMPUTED_VALUE"""),"Powai")</f>
        <v>Powai</v>
      </c>
      <c r="D1801" s="18" t="str">
        <f>IFERROR(__xludf.DUMMYFUNCTION("""COMPUTED_VALUE"""),"Icecream")</f>
        <v>Icecream</v>
      </c>
      <c r="E1801" s="18">
        <f>IFERROR(__xludf.DUMMYFUNCTION("""COMPUTED_VALUE"""),9.0)</f>
        <v>9</v>
      </c>
      <c r="F1801" s="18" t="str">
        <f>IFERROR(__xludf.DUMMYFUNCTION("""COMPUTED_VALUE"""),"Venu R")</f>
        <v>Venu R</v>
      </c>
      <c r="G1801" s="19">
        <f>IFERROR(__xludf.DUMMYFUNCTION("""COMPUTED_VALUE"""),45215.0)</f>
        <v>45215</v>
      </c>
      <c r="H1801" s="18" t="str">
        <f>IFERROR(__xludf.DUMMYFUNCTION("""COMPUTED_VALUE"""),"Online Payment")</f>
        <v>Online Payment</v>
      </c>
      <c r="I1801" s="18" t="str">
        <f>IFERROR(__xludf.DUMMYFUNCTION("""COMPUTED_VALUE"""),"Delivered")</f>
        <v>Delivered</v>
      </c>
      <c r="J1801" s="18" t="str">
        <f>IFERROR(__xludf.DUMMYFUNCTION("""COMPUTED_VALUE"""),"Delivery Experience")</f>
        <v>Delivery Experience</v>
      </c>
      <c r="K1801" s="18" t="str">
        <f>IFERROR(__xludf.DUMMYFUNCTION("""COMPUTED_VALUE"""),"Quick and professional")</f>
        <v>Quick and professional</v>
      </c>
      <c r="L1801" s="18">
        <f>iferror(VLOOKUP($D1801,Details!$A$2:$C$11,2,false),vlookup($D1801,Details!$E$2:$G$11,2,false))</f>
        <v>90</v>
      </c>
      <c r="M1801" s="18" t="str">
        <f>iferror(VLOOKUP($D1801,Details!$A$2:$C$11,3,false),vlookup($D1801,Details!$E$2:$G$11,3,false))</f>
        <v>Snacks and Drinks</v>
      </c>
      <c r="N1801" s="18">
        <f t="shared" si="1"/>
        <v>810</v>
      </c>
      <c r="O1801" s="17"/>
      <c r="P1801" s="17"/>
      <c r="Q1801" s="17"/>
      <c r="R1801" s="17"/>
      <c r="S1801" s="17"/>
      <c r="T1801" s="17"/>
      <c r="U1801" s="17"/>
      <c r="V1801" s="17"/>
      <c r="W1801" s="17"/>
      <c r="X1801" s="17"/>
      <c r="Y1801" s="17"/>
      <c r="Z1801" s="17"/>
    </row>
    <row r="1802">
      <c r="A1802" s="18" t="str">
        <f>IFERROR(__xludf.DUMMYFUNCTION("""COMPUTED_VALUE"""),"ord_71780")</f>
        <v>ord_71780</v>
      </c>
      <c r="B1802" s="18" t="str">
        <f>IFERROR(__xludf.DUMMYFUNCTION("""COMPUTED_VALUE"""),"Simran Bhatt")</f>
        <v>Simran Bhatt</v>
      </c>
      <c r="C1802" s="18" t="str">
        <f>IFERROR(__xludf.DUMMYFUNCTION("""COMPUTED_VALUE"""),"Juhu")</f>
        <v>Juhu</v>
      </c>
      <c r="D1802" s="18" t="str">
        <f>IFERROR(__xludf.DUMMYFUNCTION("""COMPUTED_VALUE"""),"Onion")</f>
        <v>Onion</v>
      </c>
      <c r="E1802" s="18">
        <f>IFERROR(__xludf.DUMMYFUNCTION("""COMPUTED_VALUE"""),1.0)</f>
        <v>1</v>
      </c>
      <c r="F1802" s="18" t="str">
        <f>IFERROR(__xludf.DUMMYFUNCTION("""COMPUTED_VALUE"""),"Venu R")</f>
        <v>Venu R</v>
      </c>
      <c r="G1802" s="19">
        <f>IFERROR(__xludf.DUMMYFUNCTION("""COMPUTED_VALUE"""),45213.0)</f>
        <v>45213</v>
      </c>
      <c r="H1802" s="18" t="str">
        <f>IFERROR(__xludf.DUMMYFUNCTION("""COMPUTED_VALUE"""),"UPI")</f>
        <v>UPI</v>
      </c>
      <c r="I1802" s="18" t="str">
        <f>IFERROR(__xludf.DUMMYFUNCTION("""COMPUTED_VALUE"""),"Delivered")</f>
        <v>Delivered</v>
      </c>
      <c r="J1802" s="18" t="str">
        <f>IFERROR(__xludf.DUMMYFUNCTION("""COMPUTED_VALUE"""),"Convenience")</f>
        <v>Convenience</v>
      </c>
      <c r="K1802" s="18" t="str">
        <f>IFERROR(__xludf.DUMMYFUNCTION("""COMPUTED_VALUE"""),"Easy tracking")</f>
        <v>Easy tracking</v>
      </c>
      <c r="L1802" s="18">
        <f>iferror(VLOOKUP($D1802,Details!$A$2:$C$11,2,false),vlookup($D1802,Details!$E$2:$G$11,2,false))</f>
        <v>84</v>
      </c>
      <c r="M1802" s="18" t="str">
        <f>iferror(VLOOKUP($D1802,Details!$A$2:$C$11,3,false),vlookup($D1802,Details!$E$2:$G$11,3,false))</f>
        <v>Fruits and Vegetables</v>
      </c>
      <c r="N1802" s="18">
        <f t="shared" si="1"/>
        <v>84</v>
      </c>
      <c r="O1802" s="17"/>
      <c r="P1802" s="17"/>
      <c r="Q1802" s="17"/>
      <c r="R1802" s="17"/>
      <c r="S1802" s="17"/>
      <c r="T1802" s="17"/>
      <c r="U1802" s="17"/>
      <c r="V1802" s="17"/>
      <c r="W1802" s="17"/>
      <c r="X1802" s="17"/>
      <c r="Y1802" s="17"/>
      <c r="Z1802" s="17"/>
    </row>
    <row r="1803">
      <c r="A1803" s="18" t="str">
        <f>IFERROR(__xludf.DUMMYFUNCTION("""COMPUTED_VALUE"""),"ord_71781")</f>
        <v>ord_71781</v>
      </c>
      <c r="B1803" s="18" t="str">
        <f>IFERROR(__xludf.DUMMYFUNCTION("""COMPUTED_VALUE"""),"Diya Arora")</f>
        <v>Diya Arora</v>
      </c>
      <c r="C1803" s="18" t="str">
        <f>IFERROR(__xludf.DUMMYFUNCTION("""COMPUTED_VALUE"""),"Lower Parel")</f>
        <v>Lower Parel</v>
      </c>
      <c r="D1803" s="18" t="str">
        <f>IFERROR(__xludf.DUMMYFUNCTION("""COMPUTED_VALUE"""),"Chilli Cheese Toast")</f>
        <v>Chilli Cheese Toast</v>
      </c>
      <c r="E1803" s="18">
        <f>IFERROR(__xludf.DUMMYFUNCTION("""COMPUTED_VALUE"""),2.0)</f>
        <v>2</v>
      </c>
      <c r="F1803" s="18" t="str">
        <f>IFERROR(__xludf.DUMMYFUNCTION("""COMPUTED_VALUE"""),"Not Assigned")</f>
        <v>Not Assigned</v>
      </c>
      <c r="G1803" s="19">
        <f>IFERROR(__xludf.DUMMYFUNCTION("""COMPUTED_VALUE"""),45269.0)</f>
        <v>45269</v>
      </c>
      <c r="H1803" s="18" t="str">
        <f>IFERROR(__xludf.DUMMYFUNCTION("""COMPUTED_VALUE"""),"Credit Card")</f>
        <v>Credit Card</v>
      </c>
      <c r="I1803" s="18" t="str">
        <f>IFERROR(__xludf.DUMMYFUNCTION("""COMPUTED_VALUE"""),"Cancelled")</f>
        <v>Cancelled</v>
      </c>
      <c r="J1803" s="18" t="str">
        <f>IFERROR(__xludf.DUMMYFUNCTION("""COMPUTED_VALUE"""),"Out of Stock")</f>
        <v>Out of Stock</v>
      </c>
      <c r="K1803" s="18"/>
      <c r="L1803" s="18">
        <f>iferror(VLOOKUP($D1803,Details!$A$2:$C$11,2,false),vlookup($D1803,Details!$E$2:$G$11,2,false))</f>
        <v>80</v>
      </c>
      <c r="M1803" s="18" t="str">
        <f>iferror(VLOOKUP($D1803,Details!$A$2:$C$11,3,false),vlookup($D1803,Details!$E$2:$G$11,3,false))</f>
        <v>Snacks and Drinks</v>
      </c>
      <c r="N1803" s="18">
        <f t="shared" si="1"/>
        <v>160</v>
      </c>
      <c r="O1803" s="17"/>
      <c r="P1803" s="17"/>
      <c r="Q1803" s="17"/>
      <c r="R1803" s="17"/>
      <c r="S1803" s="17"/>
      <c r="T1803" s="17"/>
      <c r="U1803" s="17"/>
      <c r="V1803" s="17"/>
      <c r="W1803" s="17"/>
      <c r="X1803" s="17"/>
      <c r="Y1803" s="17"/>
      <c r="Z1803" s="17"/>
    </row>
    <row r="1804">
      <c r="A1804" s="18" t="str">
        <f>IFERROR(__xludf.DUMMYFUNCTION("""COMPUTED_VALUE"""),"ord_71782")</f>
        <v>ord_71782</v>
      </c>
      <c r="B1804" s="18" t="str">
        <f>IFERROR(__xludf.DUMMYFUNCTION("""COMPUTED_VALUE"""),"Pranav Joshi")</f>
        <v>Pranav Joshi</v>
      </c>
      <c r="C1804" s="18" t="str">
        <f>IFERROR(__xludf.DUMMYFUNCTION("""COMPUTED_VALUE"""),"Andheri")</f>
        <v>Andheri</v>
      </c>
      <c r="D1804" s="18" t="str">
        <f>IFERROR(__xludf.DUMMYFUNCTION("""COMPUTED_VALUE"""),"Rasmalai")</f>
        <v>Rasmalai</v>
      </c>
      <c r="E1804" s="18">
        <f>IFERROR(__xludf.DUMMYFUNCTION("""COMPUTED_VALUE"""),3.0)</f>
        <v>3</v>
      </c>
      <c r="F1804" s="18" t="str">
        <f>IFERROR(__xludf.DUMMYFUNCTION("""COMPUTED_VALUE"""),"Not Assigned")</f>
        <v>Not Assigned</v>
      </c>
      <c r="G1804" s="19">
        <f>IFERROR(__xludf.DUMMYFUNCTION("""COMPUTED_VALUE"""),45166.0)</f>
        <v>45166</v>
      </c>
      <c r="H1804" s="18" t="str">
        <f>IFERROR(__xludf.DUMMYFUNCTION("""COMPUTED_VALUE"""),"Credit Card")</f>
        <v>Credit Card</v>
      </c>
      <c r="I1804" s="18" t="str">
        <f>IFERROR(__xludf.DUMMYFUNCTION("""COMPUTED_VALUE"""),"Cancelled")</f>
        <v>Cancelled</v>
      </c>
      <c r="J1804" s="18" t="str">
        <f>IFERROR(__xludf.DUMMYFUNCTION("""COMPUTED_VALUE"""),"High Delivery Fees")</f>
        <v>High Delivery Fees</v>
      </c>
      <c r="K1804" s="18"/>
      <c r="L1804" s="18">
        <f>iferror(VLOOKUP($D1804,Details!$A$2:$C$11,2,false),vlookup($D1804,Details!$E$2:$G$11,2,false))</f>
        <v>110</v>
      </c>
      <c r="M1804" s="18" t="str">
        <f>iferror(VLOOKUP($D1804,Details!$A$2:$C$11,3,false),vlookup($D1804,Details!$E$2:$G$11,3,false))</f>
        <v>Snacks and Drinks</v>
      </c>
      <c r="N1804" s="18">
        <f t="shared" si="1"/>
        <v>330</v>
      </c>
      <c r="O1804" s="17"/>
      <c r="P1804" s="17"/>
      <c r="Q1804" s="17"/>
      <c r="R1804" s="17"/>
      <c r="S1804" s="17"/>
      <c r="T1804" s="17"/>
      <c r="U1804" s="17"/>
      <c r="V1804" s="17"/>
      <c r="W1804" s="17"/>
      <c r="X1804" s="17"/>
      <c r="Y1804" s="17"/>
      <c r="Z1804" s="17"/>
    </row>
    <row r="1805">
      <c r="A1805" s="18" t="str">
        <f>IFERROR(__xludf.DUMMYFUNCTION("""COMPUTED_VALUE"""),"ord_71783")</f>
        <v>ord_71783</v>
      </c>
      <c r="B1805" s="18" t="str">
        <f>IFERROR(__xludf.DUMMYFUNCTION("""COMPUTED_VALUE"""),"Diya Arora")</f>
        <v>Diya Arora</v>
      </c>
      <c r="C1805" s="18" t="str">
        <f>IFERROR(__xludf.DUMMYFUNCTION("""COMPUTED_VALUE"""),"Lower Parel")</f>
        <v>Lower Parel</v>
      </c>
      <c r="D1805" s="18" t="str">
        <f>IFERROR(__xludf.DUMMYFUNCTION("""COMPUTED_VALUE"""),"Rasmalai")</f>
        <v>Rasmalai</v>
      </c>
      <c r="E1805" s="18">
        <f>IFERROR(__xludf.DUMMYFUNCTION("""COMPUTED_VALUE"""),4.0)</f>
        <v>4</v>
      </c>
      <c r="F1805" s="18" t="str">
        <f>IFERROR(__xludf.DUMMYFUNCTION("""COMPUTED_VALUE"""),"Not Assigned")</f>
        <v>Not Assigned</v>
      </c>
      <c r="G1805" s="19">
        <f>IFERROR(__xludf.DUMMYFUNCTION("""COMPUTED_VALUE"""),45178.0)</f>
        <v>45178</v>
      </c>
      <c r="H1805" s="18" t="str">
        <f>IFERROR(__xludf.DUMMYFUNCTION("""COMPUTED_VALUE"""),"Credit Card")</f>
        <v>Credit Card</v>
      </c>
      <c r="I1805" s="18" t="str">
        <f>IFERROR(__xludf.DUMMYFUNCTION("""COMPUTED_VALUE"""),"Cancelled")</f>
        <v>Cancelled</v>
      </c>
      <c r="J1805" s="18" t="str">
        <f>IFERROR(__xludf.DUMMYFUNCTION("""COMPUTED_VALUE"""),"App Glitches")</f>
        <v>App Glitches</v>
      </c>
      <c r="K1805" s="18" t="str">
        <f>IFERROR(__xludf.DUMMYFUNCTION("""COMPUTED_VALUE"""),"Missing Content")</f>
        <v>Missing Content</v>
      </c>
      <c r="L1805" s="18">
        <f>iferror(VLOOKUP($D1805,Details!$A$2:$C$11,2,false),vlookup($D1805,Details!$E$2:$G$11,2,false))</f>
        <v>110</v>
      </c>
      <c r="M1805" s="18" t="str">
        <f>iferror(VLOOKUP($D1805,Details!$A$2:$C$11,3,false),vlookup($D1805,Details!$E$2:$G$11,3,false))</f>
        <v>Snacks and Drinks</v>
      </c>
      <c r="N1805" s="18">
        <f t="shared" si="1"/>
        <v>440</v>
      </c>
      <c r="O1805" s="17"/>
      <c r="P1805" s="17"/>
      <c r="Q1805" s="17"/>
      <c r="R1805" s="17"/>
      <c r="S1805" s="17"/>
      <c r="T1805" s="17"/>
      <c r="U1805" s="17"/>
      <c r="V1805" s="17"/>
      <c r="W1805" s="17"/>
      <c r="X1805" s="17"/>
      <c r="Y1805" s="17"/>
      <c r="Z1805" s="17"/>
    </row>
    <row r="1806">
      <c r="A1806" s="18" t="str">
        <f>IFERROR(__xludf.DUMMYFUNCTION("""COMPUTED_VALUE"""),"ord_71784")</f>
        <v>ord_71784</v>
      </c>
      <c r="B1806" s="18" t="str">
        <f>IFERROR(__xludf.DUMMYFUNCTION("""COMPUTED_VALUE"""),"Tanishq Bansal")</f>
        <v>Tanishq Bansal</v>
      </c>
      <c r="C1806" s="18" t="str">
        <f>IFERROR(__xludf.DUMMYFUNCTION("""COMPUTED_VALUE"""),"Bandra")</f>
        <v>Bandra</v>
      </c>
      <c r="D1806" s="18" t="str">
        <f>IFERROR(__xludf.DUMMYFUNCTION("""COMPUTED_VALUE"""),"Chocolate Mousse")</f>
        <v>Chocolate Mousse</v>
      </c>
      <c r="E1806" s="18">
        <f>IFERROR(__xludf.DUMMYFUNCTION("""COMPUTED_VALUE"""),3.0)</f>
        <v>3</v>
      </c>
      <c r="F1806" s="18" t="str">
        <f>IFERROR(__xludf.DUMMYFUNCTION("""COMPUTED_VALUE"""),"Ram Gopal")</f>
        <v>Ram Gopal</v>
      </c>
      <c r="G1806" s="19">
        <f>IFERROR(__xludf.DUMMYFUNCTION("""COMPUTED_VALUE"""),44931.0)</f>
        <v>44931</v>
      </c>
      <c r="H1806" s="18" t="str">
        <f>IFERROR(__xludf.DUMMYFUNCTION("""COMPUTED_VALUE"""),"Online Payment")</f>
        <v>Online Payment</v>
      </c>
      <c r="I1806" s="18" t="str">
        <f>IFERROR(__xludf.DUMMYFUNCTION("""COMPUTED_VALUE"""),"Delivered")</f>
        <v>Delivered</v>
      </c>
      <c r="J1806" s="18" t="str">
        <f>IFERROR(__xludf.DUMMYFUNCTION("""COMPUTED_VALUE"""),"Overall Satisfaction")</f>
        <v>Overall Satisfaction</v>
      </c>
      <c r="K1806" s="18" t="str">
        <f>IFERROR(__xludf.DUMMYFUNCTION("""COMPUTED_VALUE"""),"Great service will order again")</f>
        <v>Great service will order again</v>
      </c>
      <c r="L1806" s="18">
        <f>iferror(VLOOKUP($D1806,Details!$A$2:$C$11,2,false),vlookup($D1806,Details!$E$2:$G$11,2,false))</f>
        <v>145</v>
      </c>
      <c r="M1806" s="18" t="str">
        <f>iferror(VLOOKUP($D1806,Details!$A$2:$C$11,3,false),vlookup($D1806,Details!$E$2:$G$11,3,false))</f>
        <v>Snacks and Drinks</v>
      </c>
      <c r="N1806" s="18">
        <f t="shared" si="1"/>
        <v>435</v>
      </c>
      <c r="O1806" s="17"/>
      <c r="P1806" s="17"/>
      <c r="Q1806" s="17"/>
      <c r="R1806" s="17"/>
      <c r="S1806" s="17"/>
      <c r="T1806" s="17"/>
      <c r="U1806" s="17"/>
      <c r="V1806" s="17"/>
      <c r="W1806" s="17"/>
      <c r="X1806" s="17"/>
      <c r="Y1806" s="17"/>
      <c r="Z1806" s="17"/>
    </row>
    <row r="1807">
      <c r="A1807" s="18" t="str">
        <f>IFERROR(__xludf.DUMMYFUNCTION("""COMPUTED_VALUE"""),"ord_71785")</f>
        <v>ord_71785</v>
      </c>
      <c r="B1807" s="18" t="str">
        <f>IFERROR(__xludf.DUMMYFUNCTION("""COMPUTED_VALUE"""),"Tanishq Bansal")</f>
        <v>Tanishq Bansal</v>
      </c>
      <c r="C1807" s="18" t="str">
        <f>IFERROR(__xludf.DUMMYFUNCTION("""COMPUTED_VALUE"""),"Bandra")</f>
        <v>Bandra</v>
      </c>
      <c r="D1807" s="18" t="str">
        <f>IFERROR(__xludf.DUMMYFUNCTION("""COMPUTED_VALUE"""),"Orange")</f>
        <v>Orange</v>
      </c>
      <c r="E1807" s="18">
        <f>IFERROR(__xludf.DUMMYFUNCTION("""COMPUTED_VALUE"""),1.0)</f>
        <v>1</v>
      </c>
      <c r="F1807" s="18" t="str">
        <f>IFERROR(__xludf.DUMMYFUNCTION("""COMPUTED_VALUE"""),"Vivek Kumar")</f>
        <v>Vivek Kumar</v>
      </c>
      <c r="G1807" s="19">
        <f>IFERROR(__xludf.DUMMYFUNCTION("""COMPUTED_VALUE"""),45088.0)</f>
        <v>45088</v>
      </c>
      <c r="H1807" s="18" t="str">
        <f>IFERROR(__xludf.DUMMYFUNCTION("""COMPUTED_VALUE"""),"Online Payment")</f>
        <v>Online Payment</v>
      </c>
      <c r="I1807" s="18" t="str">
        <f>IFERROR(__xludf.DUMMYFUNCTION("""COMPUTED_VALUE"""),"Delivered")</f>
        <v>Delivered</v>
      </c>
      <c r="J1807" s="18" t="str">
        <f>IFERROR(__xludf.DUMMYFUNCTION("""COMPUTED_VALUE"""),"On-time Delivery")</f>
        <v>On-time Delivery</v>
      </c>
      <c r="K1807" s="18" t="str">
        <f>IFERROR(__xludf.DUMMYFUNCTION("""COMPUTED_VALUE"""),"Delivered on time")</f>
        <v>Delivered on time</v>
      </c>
      <c r="L1807" s="18">
        <f>iferror(VLOOKUP($D1807,Details!$A$2:$C$11,2,false),vlookup($D1807,Details!$E$2:$G$11,2,false))</f>
        <v>180</v>
      </c>
      <c r="M1807" s="18" t="str">
        <f>iferror(VLOOKUP($D1807,Details!$A$2:$C$11,3,false),vlookup($D1807,Details!$E$2:$G$11,3,false))</f>
        <v>Fruits and Vegetables</v>
      </c>
      <c r="N1807" s="18">
        <f t="shared" si="1"/>
        <v>180</v>
      </c>
      <c r="O1807" s="17"/>
      <c r="P1807" s="17"/>
      <c r="Q1807" s="17"/>
      <c r="R1807" s="17"/>
      <c r="S1807" s="17"/>
      <c r="T1807" s="17"/>
      <c r="U1807" s="17"/>
      <c r="V1807" s="17"/>
      <c r="W1807" s="17"/>
      <c r="X1807" s="17"/>
      <c r="Y1807" s="17"/>
      <c r="Z1807" s="17"/>
    </row>
    <row r="1808">
      <c r="A1808" s="18" t="str">
        <f>IFERROR(__xludf.DUMMYFUNCTION("""COMPUTED_VALUE"""),"ord_71786")</f>
        <v>ord_71786</v>
      </c>
      <c r="B1808" s="18" t="str">
        <f>IFERROR(__xludf.DUMMYFUNCTION("""COMPUTED_VALUE"""),"Arvind Kulkarni")</f>
        <v>Arvind Kulkarni</v>
      </c>
      <c r="C1808" s="18" t="str">
        <f>IFERROR(__xludf.DUMMYFUNCTION("""COMPUTED_VALUE"""),"Juhu")</f>
        <v>Juhu</v>
      </c>
      <c r="D1808" s="18" t="str">
        <f>IFERROR(__xludf.DUMMYFUNCTION("""COMPUTED_VALUE"""),"Tomato")</f>
        <v>Tomato</v>
      </c>
      <c r="E1808" s="18">
        <f>IFERROR(__xludf.DUMMYFUNCTION("""COMPUTED_VALUE"""),1.0)</f>
        <v>1</v>
      </c>
      <c r="F1808" s="18" t="str">
        <f>IFERROR(__xludf.DUMMYFUNCTION("""COMPUTED_VALUE"""),"Not Assigned")</f>
        <v>Not Assigned</v>
      </c>
      <c r="G1808" s="19">
        <f>IFERROR(__xludf.DUMMYFUNCTION("""COMPUTED_VALUE"""),45236.0)</f>
        <v>45236</v>
      </c>
      <c r="H1808" s="18" t="str">
        <f>IFERROR(__xludf.DUMMYFUNCTION("""COMPUTED_VALUE"""),"Credit Card")</f>
        <v>Credit Card</v>
      </c>
      <c r="I1808" s="18" t="str">
        <f>IFERROR(__xludf.DUMMYFUNCTION("""COMPUTED_VALUE"""),"Cancelled")</f>
        <v>Cancelled</v>
      </c>
      <c r="J1808" s="18" t="str">
        <f>IFERROR(__xludf.DUMMYFUNCTION("""COMPUTED_VALUE"""),"App Glitches")</f>
        <v>App Glitches</v>
      </c>
      <c r="K1808" s="18" t="str">
        <f>IFERROR(__xludf.DUMMYFUNCTION("""COMPUTED_VALUE"""),"Payment Button Malfunction")</f>
        <v>Payment Button Malfunction</v>
      </c>
      <c r="L1808" s="18">
        <f>iferror(VLOOKUP($D1808,Details!$A$2:$C$11,2,false),vlookup($D1808,Details!$E$2:$G$11,2,false))</f>
        <v>25</v>
      </c>
      <c r="M1808" s="18" t="str">
        <f>iferror(VLOOKUP($D1808,Details!$A$2:$C$11,3,false),vlookup($D1808,Details!$E$2:$G$11,3,false))</f>
        <v>Fruits and Vegetables</v>
      </c>
      <c r="N1808" s="18">
        <f t="shared" si="1"/>
        <v>25</v>
      </c>
      <c r="O1808" s="17"/>
      <c r="P1808" s="17"/>
      <c r="Q1808" s="17"/>
      <c r="R1808" s="17"/>
      <c r="S1808" s="17"/>
      <c r="T1808" s="17"/>
      <c r="U1808" s="17"/>
      <c r="V1808" s="17"/>
      <c r="W1808" s="17"/>
      <c r="X1808" s="17"/>
      <c r="Y1808" s="17"/>
      <c r="Z1808" s="17"/>
    </row>
    <row r="1809">
      <c r="A1809" s="18" t="str">
        <f>IFERROR(__xludf.DUMMYFUNCTION("""COMPUTED_VALUE"""),"ord_71787")</f>
        <v>ord_71787</v>
      </c>
      <c r="B1809" s="18" t="str">
        <f>IFERROR(__xludf.DUMMYFUNCTION("""COMPUTED_VALUE"""),"Ishaan Chaturvedi")</f>
        <v>Ishaan Chaturvedi</v>
      </c>
      <c r="C1809" s="18" t="str">
        <f>IFERROR(__xludf.DUMMYFUNCTION("""COMPUTED_VALUE"""),"Bandra")</f>
        <v>Bandra</v>
      </c>
      <c r="D1809" s="18" t="str">
        <f>IFERROR(__xludf.DUMMYFUNCTION("""COMPUTED_VALUE"""),"Icecream")</f>
        <v>Icecream</v>
      </c>
      <c r="E1809" s="18">
        <f>IFERROR(__xludf.DUMMYFUNCTION("""COMPUTED_VALUE"""),5.0)</f>
        <v>5</v>
      </c>
      <c r="F1809" s="18" t="str">
        <f>IFERROR(__xludf.DUMMYFUNCTION("""COMPUTED_VALUE"""),"Ramesh S")</f>
        <v>Ramesh S</v>
      </c>
      <c r="G1809" s="19">
        <f>IFERROR(__xludf.DUMMYFUNCTION("""COMPUTED_VALUE"""),45065.0)</f>
        <v>45065</v>
      </c>
      <c r="H1809" s="18" t="str">
        <f>IFERROR(__xludf.DUMMYFUNCTION("""COMPUTED_VALUE"""),"COD")</f>
        <v>COD</v>
      </c>
      <c r="I1809" s="18" t="str">
        <f>IFERROR(__xludf.DUMMYFUNCTION("""COMPUTED_VALUE"""),"Delivered")</f>
        <v>Delivered</v>
      </c>
      <c r="J1809" s="18" t="str">
        <f>IFERROR(__xludf.DUMMYFUNCTION("""COMPUTED_VALUE"""),"Quality of Items")</f>
        <v>Quality of Items</v>
      </c>
      <c r="K1809" s="18" t="str">
        <f>IFERROR(__xludf.DUMMYFUNCTION("""COMPUTED_VALUE"""),"Perfect condition")</f>
        <v>Perfect condition</v>
      </c>
      <c r="L1809" s="18">
        <f>iferror(VLOOKUP($D1809,Details!$A$2:$C$11,2,false),vlookup($D1809,Details!$E$2:$G$11,2,false))</f>
        <v>90</v>
      </c>
      <c r="M1809" s="18" t="str">
        <f>iferror(VLOOKUP($D1809,Details!$A$2:$C$11,3,false),vlookup($D1809,Details!$E$2:$G$11,3,false))</f>
        <v>Snacks and Drinks</v>
      </c>
      <c r="N1809" s="18">
        <f t="shared" si="1"/>
        <v>450</v>
      </c>
      <c r="O1809" s="17"/>
      <c r="P1809" s="17"/>
      <c r="Q1809" s="17"/>
      <c r="R1809" s="17"/>
      <c r="S1809" s="17"/>
      <c r="T1809" s="17"/>
      <c r="U1809" s="17"/>
      <c r="V1809" s="17"/>
      <c r="W1809" s="17"/>
      <c r="X1809" s="17"/>
      <c r="Y1809" s="17"/>
      <c r="Z1809" s="17"/>
    </row>
    <row r="1810">
      <c r="A1810" s="18" t="str">
        <f>IFERROR(__xludf.DUMMYFUNCTION("""COMPUTED_VALUE"""),"ord_71788")</f>
        <v>ord_71788</v>
      </c>
      <c r="B1810" s="18" t="str">
        <f>IFERROR(__xludf.DUMMYFUNCTION("""COMPUTED_VALUE"""),"Tanishq Bansal")</f>
        <v>Tanishq Bansal</v>
      </c>
      <c r="C1810" s="18" t="str">
        <f>IFERROR(__xludf.DUMMYFUNCTION("""COMPUTED_VALUE"""),"Powai")</f>
        <v>Powai</v>
      </c>
      <c r="D1810" s="18" t="str">
        <f>IFERROR(__xludf.DUMMYFUNCTION("""COMPUTED_VALUE"""),"Juice")</f>
        <v>Juice</v>
      </c>
      <c r="E1810" s="18">
        <f>IFERROR(__xludf.DUMMYFUNCTION("""COMPUTED_VALUE"""),2.0)</f>
        <v>2</v>
      </c>
      <c r="F1810" s="18" t="str">
        <f>IFERROR(__xludf.DUMMYFUNCTION("""COMPUTED_VALUE"""),"Not Assigned")</f>
        <v>Not Assigned</v>
      </c>
      <c r="G1810" s="19">
        <f>IFERROR(__xludf.DUMMYFUNCTION("""COMPUTED_VALUE"""),45203.0)</f>
        <v>45203</v>
      </c>
      <c r="H1810" s="18" t="str">
        <f>IFERROR(__xludf.DUMMYFUNCTION("""COMPUTED_VALUE"""),"Online Payment")</f>
        <v>Online Payment</v>
      </c>
      <c r="I1810" s="18" t="str">
        <f>IFERROR(__xludf.DUMMYFUNCTION("""COMPUTED_VALUE"""),"Cancelled")</f>
        <v>Cancelled</v>
      </c>
      <c r="J1810" s="18" t="str">
        <f>IFERROR(__xludf.DUMMYFUNCTION("""COMPUTED_VALUE"""),"Payment Issues")</f>
        <v>Payment Issues</v>
      </c>
      <c r="K1810" s="18"/>
      <c r="L1810" s="18">
        <f>iferror(VLOOKUP($D1810,Details!$A$2:$C$11,2,false),vlookup($D1810,Details!$E$2:$G$11,2,false))</f>
        <v>90</v>
      </c>
      <c r="M1810" s="18" t="str">
        <f>iferror(VLOOKUP($D1810,Details!$A$2:$C$11,3,false),vlookup($D1810,Details!$E$2:$G$11,3,false))</f>
        <v>Snacks and Drinks</v>
      </c>
      <c r="N1810" s="18">
        <f t="shared" si="1"/>
        <v>180</v>
      </c>
      <c r="O1810" s="17"/>
      <c r="P1810" s="17"/>
      <c r="Q1810" s="17"/>
      <c r="R1810" s="17"/>
      <c r="S1810" s="17"/>
      <c r="T1810" s="17"/>
      <c r="U1810" s="17"/>
      <c r="V1810" s="17"/>
      <c r="W1810" s="17"/>
      <c r="X1810" s="17"/>
      <c r="Y1810" s="17"/>
      <c r="Z1810" s="17"/>
    </row>
    <row r="1811">
      <c r="A1811" s="18" t="str">
        <f>IFERROR(__xludf.DUMMYFUNCTION("""COMPUTED_VALUE"""),"ord_71789")</f>
        <v>ord_71789</v>
      </c>
      <c r="B1811" s="18" t="str">
        <f>IFERROR(__xludf.DUMMYFUNCTION("""COMPUTED_VALUE"""),"Tanishq Bansal")</f>
        <v>Tanishq Bansal</v>
      </c>
      <c r="C1811" s="18" t="str">
        <f>IFERROR(__xludf.DUMMYFUNCTION("""COMPUTED_VALUE"""),"Powai")</f>
        <v>Powai</v>
      </c>
      <c r="D1811" s="18" t="str">
        <f>IFERROR(__xludf.DUMMYFUNCTION("""COMPUTED_VALUE"""),"Chicken Puff")</f>
        <v>Chicken Puff</v>
      </c>
      <c r="E1811" s="18">
        <f>IFERROR(__xludf.DUMMYFUNCTION("""COMPUTED_VALUE"""),3.0)</f>
        <v>3</v>
      </c>
      <c r="F1811" s="18" t="str">
        <f>IFERROR(__xludf.DUMMYFUNCTION("""COMPUTED_VALUE"""),"Venu R")</f>
        <v>Venu R</v>
      </c>
      <c r="G1811" s="19">
        <f>IFERROR(__xludf.DUMMYFUNCTION("""COMPUTED_VALUE"""),44980.0)</f>
        <v>44980</v>
      </c>
      <c r="H1811" s="18" t="str">
        <f>IFERROR(__xludf.DUMMYFUNCTION("""COMPUTED_VALUE"""),"Credit Card")</f>
        <v>Credit Card</v>
      </c>
      <c r="I1811" s="18" t="str">
        <f>IFERROR(__xludf.DUMMYFUNCTION("""COMPUTED_VALUE"""),"Delivered")</f>
        <v>Delivered</v>
      </c>
      <c r="J1811" s="18" t="str">
        <f>IFERROR(__xludf.DUMMYFUNCTION("""COMPUTED_VALUE"""),"On-time Delivery")</f>
        <v>On-time Delivery</v>
      </c>
      <c r="K1811" s="18" t="str">
        <f>IFERROR(__xludf.DUMMYFUNCTION("""COMPUTED_VALUE"""),"Delivered on time")</f>
        <v>Delivered on time</v>
      </c>
      <c r="L1811" s="18">
        <f>iferror(VLOOKUP($D1811,Details!$A$2:$C$11,2,false),vlookup($D1811,Details!$E$2:$G$11,2,false))</f>
        <v>90</v>
      </c>
      <c r="M1811" s="18" t="str">
        <f>iferror(VLOOKUP($D1811,Details!$A$2:$C$11,3,false),vlookup($D1811,Details!$E$2:$G$11,3,false))</f>
        <v>Snacks and Drinks</v>
      </c>
      <c r="N1811" s="18">
        <f t="shared" si="1"/>
        <v>270</v>
      </c>
      <c r="O1811" s="17"/>
      <c r="P1811" s="17"/>
      <c r="Q1811" s="17"/>
      <c r="R1811" s="17"/>
      <c r="S1811" s="17"/>
      <c r="T1811" s="17"/>
      <c r="U1811" s="17"/>
      <c r="V1811" s="17"/>
      <c r="W1811" s="17"/>
      <c r="X1811" s="17"/>
      <c r="Y1811" s="17"/>
      <c r="Z1811" s="17"/>
    </row>
    <row r="1812">
      <c r="A1812" s="18" t="str">
        <f>IFERROR(__xludf.DUMMYFUNCTION("""COMPUTED_VALUE"""),"ord_71790")</f>
        <v>ord_71790</v>
      </c>
      <c r="B1812" s="18" t="str">
        <f>IFERROR(__xludf.DUMMYFUNCTION("""COMPUTED_VALUE"""),"Mohit Malhotra")</f>
        <v>Mohit Malhotra</v>
      </c>
      <c r="C1812" s="18" t="str">
        <f>IFERROR(__xludf.DUMMYFUNCTION("""COMPUTED_VALUE"""),"Lower Parel")</f>
        <v>Lower Parel</v>
      </c>
      <c r="D1812" s="18" t="str">
        <f>IFERROR(__xludf.DUMMYFUNCTION("""COMPUTED_VALUE"""),"Veg Puff")</f>
        <v>Veg Puff</v>
      </c>
      <c r="E1812" s="18">
        <f>IFERROR(__xludf.DUMMYFUNCTION("""COMPUTED_VALUE"""),1.0)</f>
        <v>1</v>
      </c>
      <c r="F1812" s="18" t="str">
        <f>IFERROR(__xludf.DUMMYFUNCTION("""COMPUTED_VALUE"""),"Venu R")</f>
        <v>Venu R</v>
      </c>
      <c r="G1812" s="19">
        <f>IFERROR(__xludf.DUMMYFUNCTION("""COMPUTED_VALUE"""),45176.0)</f>
        <v>45176</v>
      </c>
      <c r="H1812" s="18" t="str">
        <f>IFERROR(__xludf.DUMMYFUNCTION("""COMPUTED_VALUE"""),"COD")</f>
        <v>COD</v>
      </c>
      <c r="I1812" s="18" t="str">
        <f>IFERROR(__xludf.DUMMYFUNCTION("""COMPUTED_VALUE"""),"Delivered")</f>
        <v>Delivered</v>
      </c>
      <c r="J1812" s="18" t="str">
        <f>IFERROR(__xludf.DUMMYFUNCTION("""COMPUTED_VALUE"""),"Quality of Items")</f>
        <v>Quality of Items</v>
      </c>
      <c r="K1812" s="18" t="str">
        <f>IFERROR(__xludf.DUMMYFUNCTION("""COMPUTED_VALUE"""),"Perfect condition")</f>
        <v>Perfect condition</v>
      </c>
      <c r="L1812" s="18">
        <f>iferror(VLOOKUP($D1812,Details!$A$2:$C$11,2,false),vlookup($D1812,Details!$E$2:$G$11,2,false))</f>
        <v>80</v>
      </c>
      <c r="M1812" s="18" t="str">
        <f>iferror(VLOOKUP($D1812,Details!$A$2:$C$11,3,false),vlookup($D1812,Details!$E$2:$G$11,3,false))</f>
        <v>Snacks and Drinks</v>
      </c>
      <c r="N1812" s="18">
        <f t="shared" si="1"/>
        <v>80</v>
      </c>
      <c r="O1812" s="17"/>
      <c r="P1812" s="17"/>
      <c r="Q1812" s="17"/>
      <c r="R1812" s="17"/>
      <c r="S1812" s="17"/>
      <c r="T1812" s="17"/>
      <c r="U1812" s="17"/>
      <c r="V1812" s="17"/>
      <c r="W1812" s="17"/>
      <c r="X1812" s="17"/>
      <c r="Y1812" s="17"/>
      <c r="Z1812" s="17"/>
    </row>
    <row r="1813">
      <c r="A1813" s="18" t="str">
        <f>IFERROR(__xludf.DUMMYFUNCTION("""COMPUTED_VALUE"""),"ord_71791")</f>
        <v>ord_71791</v>
      </c>
      <c r="B1813" s="18" t="str">
        <f>IFERROR(__xludf.DUMMYFUNCTION("""COMPUTED_VALUE"""),"Aarav Mehta")</f>
        <v>Aarav Mehta</v>
      </c>
      <c r="C1813" s="18" t="str">
        <f>IFERROR(__xludf.DUMMYFUNCTION("""COMPUTED_VALUE"""),"Andheri")</f>
        <v>Andheri</v>
      </c>
      <c r="D1813" s="18" t="str">
        <f>IFERROR(__xludf.DUMMYFUNCTION("""COMPUTED_VALUE"""),"Veg Puff")</f>
        <v>Veg Puff</v>
      </c>
      <c r="E1813" s="18">
        <f>IFERROR(__xludf.DUMMYFUNCTION("""COMPUTED_VALUE"""),3.0)</f>
        <v>3</v>
      </c>
      <c r="F1813" s="18" t="str">
        <f>IFERROR(__xludf.DUMMYFUNCTION("""COMPUTED_VALUE"""),"Ram Gopal")</f>
        <v>Ram Gopal</v>
      </c>
      <c r="G1813" s="19">
        <f>IFERROR(__xludf.DUMMYFUNCTION("""COMPUTED_VALUE"""),45212.0)</f>
        <v>45212</v>
      </c>
      <c r="H1813" s="18" t="str">
        <f>IFERROR(__xludf.DUMMYFUNCTION("""COMPUTED_VALUE"""),"COD")</f>
        <v>COD</v>
      </c>
      <c r="I1813" s="18" t="str">
        <f>IFERROR(__xludf.DUMMYFUNCTION("""COMPUTED_VALUE"""),"Delivered")</f>
        <v>Delivered</v>
      </c>
      <c r="J1813" s="18" t="str">
        <f>IFERROR(__xludf.DUMMYFUNCTION("""COMPUTED_VALUE"""),"Packaging")</f>
        <v>Packaging</v>
      </c>
      <c r="K1813" s="18" t="str">
        <f>IFERROR(__xludf.DUMMYFUNCTION("""COMPUTED_VALUE"""),"Secure and intact")</f>
        <v>Secure and intact</v>
      </c>
      <c r="L1813" s="18">
        <f>iferror(VLOOKUP($D1813,Details!$A$2:$C$11,2,false),vlookup($D1813,Details!$E$2:$G$11,2,false))</f>
        <v>80</v>
      </c>
      <c r="M1813" s="18" t="str">
        <f>iferror(VLOOKUP($D1813,Details!$A$2:$C$11,3,false),vlookup($D1813,Details!$E$2:$G$11,3,false))</f>
        <v>Snacks and Drinks</v>
      </c>
      <c r="N1813" s="18">
        <f t="shared" si="1"/>
        <v>240</v>
      </c>
      <c r="O1813" s="17"/>
      <c r="P1813" s="17"/>
      <c r="Q1813" s="17"/>
      <c r="R1813" s="17"/>
      <c r="S1813" s="17"/>
      <c r="T1813" s="17"/>
      <c r="U1813" s="17"/>
      <c r="V1813" s="17"/>
      <c r="W1813" s="17"/>
      <c r="X1813" s="17"/>
      <c r="Y1813" s="17"/>
      <c r="Z1813" s="17"/>
    </row>
    <row r="1814">
      <c r="A1814" s="18" t="str">
        <f>IFERROR(__xludf.DUMMYFUNCTION("""COMPUTED_VALUE"""),"ord_71792")</f>
        <v>ord_71792</v>
      </c>
      <c r="B1814" s="18" t="str">
        <f>IFERROR(__xludf.DUMMYFUNCTION("""COMPUTED_VALUE"""),"Tanishq Bansal")</f>
        <v>Tanishq Bansal</v>
      </c>
      <c r="C1814" s="18" t="str">
        <f>IFERROR(__xludf.DUMMYFUNCTION("""COMPUTED_VALUE"""),"Bandra")</f>
        <v>Bandra</v>
      </c>
      <c r="D1814" s="18" t="str">
        <f>IFERROR(__xludf.DUMMYFUNCTION("""COMPUTED_VALUE"""),"Cucumber")</f>
        <v>Cucumber</v>
      </c>
      <c r="E1814" s="18">
        <f>IFERROR(__xludf.DUMMYFUNCTION("""COMPUTED_VALUE"""),1.0)</f>
        <v>1</v>
      </c>
      <c r="F1814" s="18" t="str">
        <f>IFERROR(__xludf.DUMMYFUNCTION("""COMPUTED_VALUE"""),"Sita T")</f>
        <v>Sita T</v>
      </c>
      <c r="G1814" s="19">
        <f>IFERROR(__xludf.DUMMYFUNCTION("""COMPUTED_VALUE"""),45242.0)</f>
        <v>45242</v>
      </c>
      <c r="H1814" s="18" t="str">
        <f>IFERROR(__xludf.DUMMYFUNCTION("""COMPUTED_VALUE"""),"Credit Card")</f>
        <v>Credit Card</v>
      </c>
      <c r="I1814" s="18" t="str">
        <f>IFERROR(__xludf.DUMMYFUNCTION("""COMPUTED_VALUE"""),"Delivered")</f>
        <v>Delivered</v>
      </c>
      <c r="J1814" s="18" t="str">
        <f>IFERROR(__xludf.DUMMYFUNCTION("""COMPUTED_VALUE"""),"Satisfied with the Delivery")</f>
        <v>Satisfied with the Delivery</v>
      </c>
      <c r="K1814" s="18" t="str">
        <f>IFERROR(__xludf.DUMMYFUNCTION("""COMPUTED_VALUE"""),"Timely and quality")</f>
        <v>Timely and quality</v>
      </c>
      <c r="L1814" s="18">
        <f>iferror(VLOOKUP($D1814,Details!$A$2:$C$11,2,false),vlookup($D1814,Details!$E$2:$G$11,2,false))</f>
        <v>30</v>
      </c>
      <c r="M1814" s="18" t="str">
        <f>iferror(VLOOKUP($D1814,Details!$A$2:$C$11,3,false),vlookup($D1814,Details!$E$2:$G$11,3,false))</f>
        <v>Fruits and Vegetables</v>
      </c>
      <c r="N1814" s="18">
        <f t="shared" si="1"/>
        <v>30</v>
      </c>
      <c r="O1814" s="17"/>
      <c r="P1814" s="17"/>
      <c r="Q1814" s="17"/>
      <c r="R1814" s="17"/>
      <c r="S1814" s="17"/>
      <c r="T1814" s="17"/>
      <c r="U1814" s="17"/>
      <c r="V1814" s="17"/>
      <c r="W1814" s="17"/>
      <c r="X1814" s="17"/>
      <c r="Y1814" s="17"/>
      <c r="Z1814" s="17"/>
    </row>
    <row r="1815">
      <c r="A1815" s="18" t="str">
        <f>IFERROR(__xludf.DUMMYFUNCTION("""COMPUTED_VALUE"""),"ord_71793")</f>
        <v>ord_71793</v>
      </c>
      <c r="B1815" s="18" t="str">
        <f>IFERROR(__xludf.DUMMYFUNCTION("""COMPUTED_VALUE"""),"Pranav Joshi")</f>
        <v>Pranav Joshi</v>
      </c>
      <c r="C1815" s="18" t="str">
        <f>IFERROR(__xludf.DUMMYFUNCTION("""COMPUTED_VALUE"""),"Andheri")</f>
        <v>Andheri</v>
      </c>
      <c r="D1815" s="18" t="str">
        <f>IFERROR(__xludf.DUMMYFUNCTION("""COMPUTED_VALUE"""),"Sweet Corn")</f>
        <v>Sweet Corn</v>
      </c>
      <c r="E1815" s="18">
        <f>IFERROR(__xludf.DUMMYFUNCTION("""COMPUTED_VALUE"""),2.0)</f>
        <v>2</v>
      </c>
      <c r="F1815" s="18" t="str">
        <f>IFERROR(__xludf.DUMMYFUNCTION("""COMPUTED_VALUE"""),"Vivek Kumar")</f>
        <v>Vivek Kumar</v>
      </c>
      <c r="G1815" s="19">
        <f>IFERROR(__xludf.DUMMYFUNCTION("""COMPUTED_VALUE"""),45065.0)</f>
        <v>45065</v>
      </c>
      <c r="H1815" s="18" t="str">
        <f>IFERROR(__xludf.DUMMYFUNCTION("""COMPUTED_VALUE"""),"Online Payment")</f>
        <v>Online Payment</v>
      </c>
      <c r="I1815" s="18" t="str">
        <f>IFERROR(__xludf.DUMMYFUNCTION("""COMPUTED_VALUE"""),"Delivered")</f>
        <v>Delivered</v>
      </c>
      <c r="J1815" s="18" t="str">
        <f>IFERROR(__xludf.DUMMYFUNCTION("""COMPUTED_VALUE"""),"Customer Service")</f>
        <v>Customer Service</v>
      </c>
      <c r="K1815" s="18" t="str">
        <f>IFERROR(__xludf.DUMMYFUNCTION("""COMPUTED_VALUE"""),"Seamless and easy")</f>
        <v>Seamless and easy</v>
      </c>
      <c r="L1815" s="18">
        <f>iferror(VLOOKUP($D1815,Details!$A$2:$C$11,2,false),vlookup($D1815,Details!$E$2:$G$11,2,false))</f>
        <v>60</v>
      </c>
      <c r="M1815" s="18" t="str">
        <f>iferror(VLOOKUP($D1815,Details!$A$2:$C$11,3,false),vlookup($D1815,Details!$E$2:$G$11,3,false))</f>
        <v>Fruits and Vegetables</v>
      </c>
      <c r="N1815" s="18">
        <f t="shared" si="1"/>
        <v>120</v>
      </c>
      <c r="O1815" s="17"/>
      <c r="P1815" s="17"/>
      <c r="Q1815" s="17"/>
      <c r="R1815" s="17"/>
      <c r="S1815" s="17"/>
      <c r="T1815" s="17"/>
      <c r="U1815" s="17"/>
      <c r="V1815" s="17"/>
      <c r="W1815" s="17"/>
      <c r="X1815" s="17"/>
      <c r="Y1815" s="17"/>
      <c r="Z1815" s="17"/>
    </row>
    <row r="1816">
      <c r="A1816" s="18" t="str">
        <f>IFERROR(__xludf.DUMMYFUNCTION("""COMPUTED_VALUE"""),"ord_71794")</f>
        <v>ord_71794</v>
      </c>
      <c r="B1816" s="18" t="str">
        <f>IFERROR(__xludf.DUMMYFUNCTION("""COMPUTED_VALUE"""),"Aditi Iyer")</f>
        <v>Aditi Iyer</v>
      </c>
      <c r="C1816" s="18" t="str">
        <f>IFERROR(__xludf.DUMMYFUNCTION("""COMPUTED_VALUE"""),"Dadar")</f>
        <v>Dadar</v>
      </c>
      <c r="D1816" s="18" t="str">
        <f>IFERROR(__xludf.DUMMYFUNCTION("""COMPUTED_VALUE"""),"Chilli Cheese Toast")</f>
        <v>Chilli Cheese Toast</v>
      </c>
      <c r="E1816" s="18">
        <f>IFERROR(__xludf.DUMMYFUNCTION("""COMPUTED_VALUE"""),5.0)</f>
        <v>5</v>
      </c>
      <c r="F1816" s="18" t="str">
        <f>IFERROR(__xludf.DUMMYFUNCTION("""COMPUTED_VALUE"""),"Sita T")</f>
        <v>Sita T</v>
      </c>
      <c r="G1816" s="19">
        <f>IFERROR(__xludf.DUMMYFUNCTION("""COMPUTED_VALUE"""),45110.0)</f>
        <v>45110</v>
      </c>
      <c r="H1816" s="18" t="str">
        <f>IFERROR(__xludf.DUMMYFUNCTION("""COMPUTED_VALUE"""),"UPI")</f>
        <v>UPI</v>
      </c>
      <c r="I1816" s="18" t="str">
        <f>IFERROR(__xludf.DUMMYFUNCTION("""COMPUTED_VALUE"""),"Delivered")</f>
        <v>Delivered</v>
      </c>
      <c r="J1816" s="18" t="str">
        <f>IFERROR(__xludf.DUMMYFUNCTION("""COMPUTED_VALUE"""),"Delivery Experience")</f>
        <v>Delivery Experience</v>
      </c>
      <c r="K1816" s="18" t="str">
        <f>IFERROR(__xludf.DUMMYFUNCTION("""COMPUTED_VALUE"""),"Quick and professional")</f>
        <v>Quick and professional</v>
      </c>
      <c r="L1816" s="18">
        <f>iferror(VLOOKUP($D1816,Details!$A$2:$C$11,2,false),vlookup($D1816,Details!$E$2:$G$11,2,false))</f>
        <v>80</v>
      </c>
      <c r="M1816" s="18" t="str">
        <f>iferror(VLOOKUP($D1816,Details!$A$2:$C$11,3,false),vlookup($D1816,Details!$E$2:$G$11,3,false))</f>
        <v>Snacks and Drinks</v>
      </c>
      <c r="N1816" s="18">
        <f t="shared" si="1"/>
        <v>400</v>
      </c>
      <c r="O1816" s="17"/>
      <c r="P1816" s="17"/>
      <c r="Q1816" s="17"/>
      <c r="R1816" s="17"/>
      <c r="S1816" s="17"/>
      <c r="T1816" s="17"/>
      <c r="U1816" s="17"/>
      <c r="V1816" s="17"/>
      <c r="W1816" s="17"/>
      <c r="X1816" s="17"/>
      <c r="Y1816" s="17"/>
      <c r="Z1816" s="17"/>
    </row>
    <row r="1817">
      <c r="A1817" s="18" t="str">
        <f>IFERROR(__xludf.DUMMYFUNCTION("""COMPUTED_VALUE"""),"ord_71795")</f>
        <v>ord_71795</v>
      </c>
      <c r="B1817" s="18" t="str">
        <f>IFERROR(__xludf.DUMMYFUNCTION("""COMPUTED_VALUE"""),"Ishaan Chaturvedi")</f>
        <v>Ishaan Chaturvedi</v>
      </c>
      <c r="C1817" s="18" t="str">
        <f>IFERROR(__xludf.DUMMYFUNCTION("""COMPUTED_VALUE"""),"Bandra")</f>
        <v>Bandra</v>
      </c>
      <c r="D1817" s="18" t="str">
        <f>IFERROR(__xludf.DUMMYFUNCTION("""COMPUTED_VALUE"""),"Sweet Corn")</f>
        <v>Sweet Corn</v>
      </c>
      <c r="E1817" s="18">
        <f>IFERROR(__xludf.DUMMYFUNCTION("""COMPUTED_VALUE"""),1.0)</f>
        <v>1</v>
      </c>
      <c r="F1817" s="18" t="str">
        <f>IFERROR(__xludf.DUMMYFUNCTION("""COMPUTED_VALUE"""),"Manju Ajay")</f>
        <v>Manju Ajay</v>
      </c>
      <c r="G1817" s="19">
        <f>IFERROR(__xludf.DUMMYFUNCTION("""COMPUTED_VALUE"""),45069.0)</f>
        <v>45069</v>
      </c>
      <c r="H1817" s="18" t="str">
        <f>IFERROR(__xludf.DUMMYFUNCTION("""COMPUTED_VALUE"""),"UPI")</f>
        <v>UPI</v>
      </c>
      <c r="I1817" s="18" t="str">
        <f>IFERROR(__xludf.DUMMYFUNCTION("""COMPUTED_VALUE"""),"Delivered")</f>
        <v>Delivered</v>
      </c>
      <c r="J1817" s="18" t="str">
        <f>IFERROR(__xludf.DUMMYFUNCTION("""COMPUTED_VALUE"""),"Convenience")</f>
        <v>Convenience</v>
      </c>
      <c r="K1817" s="18" t="str">
        <f>IFERROR(__xludf.DUMMYFUNCTION("""COMPUTED_VALUE"""),"Easy tracking")</f>
        <v>Easy tracking</v>
      </c>
      <c r="L1817" s="18">
        <f>iferror(VLOOKUP($D1817,Details!$A$2:$C$11,2,false),vlookup($D1817,Details!$E$2:$G$11,2,false))</f>
        <v>60</v>
      </c>
      <c r="M1817" s="18" t="str">
        <f>iferror(VLOOKUP($D1817,Details!$A$2:$C$11,3,false),vlookup($D1817,Details!$E$2:$G$11,3,false))</f>
        <v>Fruits and Vegetables</v>
      </c>
      <c r="N1817" s="18">
        <f t="shared" si="1"/>
        <v>60</v>
      </c>
      <c r="O1817" s="17"/>
      <c r="P1817" s="17"/>
      <c r="Q1817" s="17"/>
      <c r="R1817" s="17"/>
      <c r="S1817" s="17"/>
      <c r="T1817" s="17"/>
      <c r="U1817" s="17"/>
      <c r="V1817" s="17"/>
      <c r="W1817" s="17"/>
      <c r="X1817" s="17"/>
      <c r="Y1817" s="17"/>
      <c r="Z1817" s="17"/>
    </row>
    <row r="1818">
      <c r="A1818" s="18" t="str">
        <f>IFERROR(__xludf.DUMMYFUNCTION("""COMPUTED_VALUE"""),"ord_71796")</f>
        <v>ord_71796</v>
      </c>
      <c r="B1818" s="18" t="str">
        <f>IFERROR(__xludf.DUMMYFUNCTION("""COMPUTED_VALUE"""),"Aarav Mehta")</f>
        <v>Aarav Mehta</v>
      </c>
      <c r="C1818" s="18" t="str">
        <f>IFERROR(__xludf.DUMMYFUNCTION("""COMPUTED_VALUE"""),"Andheri")</f>
        <v>Andheri</v>
      </c>
      <c r="D1818" s="18" t="str">
        <f>IFERROR(__xludf.DUMMYFUNCTION("""COMPUTED_VALUE"""),"Tiramisu")</f>
        <v>Tiramisu</v>
      </c>
      <c r="E1818" s="18">
        <f>IFERROR(__xludf.DUMMYFUNCTION("""COMPUTED_VALUE"""),1.0)</f>
        <v>1</v>
      </c>
      <c r="F1818" s="18" t="str">
        <f>IFERROR(__xludf.DUMMYFUNCTION("""COMPUTED_VALUE"""),"Vivek Kumar")</f>
        <v>Vivek Kumar</v>
      </c>
      <c r="G1818" s="19">
        <f>IFERROR(__xludf.DUMMYFUNCTION("""COMPUTED_VALUE"""),44992.0)</f>
        <v>44992</v>
      </c>
      <c r="H1818" s="18" t="str">
        <f>IFERROR(__xludf.DUMMYFUNCTION("""COMPUTED_VALUE"""),"Online Payment")</f>
        <v>Online Payment</v>
      </c>
      <c r="I1818" s="18" t="str">
        <f>IFERROR(__xludf.DUMMYFUNCTION("""COMPUTED_VALUE"""),"Delivered")</f>
        <v>Delivered</v>
      </c>
      <c r="J1818" s="18" t="str">
        <f>IFERROR(__xludf.DUMMYFUNCTION("""COMPUTED_VALUE"""),"Overall Satisfaction")</f>
        <v>Overall Satisfaction</v>
      </c>
      <c r="K1818" s="18" t="str">
        <f>IFERROR(__xludf.DUMMYFUNCTION("""COMPUTED_VALUE"""),"Great service will order again")</f>
        <v>Great service will order again</v>
      </c>
      <c r="L1818" s="18">
        <f>iferror(VLOOKUP($D1818,Details!$A$2:$C$11,2,false),vlookup($D1818,Details!$E$2:$G$11,2,false))</f>
        <v>150</v>
      </c>
      <c r="M1818" s="18" t="str">
        <f>iferror(VLOOKUP($D1818,Details!$A$2:$C$11,3,false),vlookup($D1818,Details!$E$2:$G$11,3,false))</f>
        <v>Snacks and Drinks</v>
      </c>
      <c r="N1818" s="18">
        <f t="shared" si="1"/>
        <v>150</v>
      </c>
      <c r="O1818" s="17"/>
      <c r="P1818" s="17"/>
      <c r="Q1818" s="17"/>
      <c r="R1818" s="17"/>
      <c r="S1818" s="17"/>
      <c r="T1818" s="17"/>
      <c r="U1818" s="17"/>
      <c r="V1818" s="17"/>
      <c r="W1818" s="17"/>
      <c r="X1818" s="17"/>
      <c r="Y1818" s="17"/>
      <c r="Z1818" s="17"/>
    </row>
    <row r="1819">
      <c r="A1819" s="18" t="str">
        <f>IFERROR(__xludf.DUMMYFUNCTION("""COMPUTED_VALUE"""),"ord_71797")</f>
        <v>ord_71797</v>
      </c>
      <c r="B1819" s="18" t="str">
        <f>IFERROR(__xludf.DUMMYFUNCTION("""COMPUTED_VALUE"""),"Ishaan Chaturvedi")</f>
        <v>Ishaan Chaturvedi</v>
      </c>
      <c r="C1819" s="18" t="str">
        <f>IFERROR(__xludf.DUMMYFUNCTION("""COMPUTED_VALUE"""),"Bandra")</f>
        <v>Bandra</v>
      </c>
      <c r="D1819" s="18" t="str">
        <f>IFERROR(__xludf.DUMMYFUNCTION("""COMPUTED_VALUE"""),"Chocolate Mousse")</f>
        <v>Chocolate Mousse</v>
      </c>
      <c r="E1819" s="18">
        <f>IFERROR(__xludf.DUMMYFUNCTION("""COMPUTED_VALUE"""),4.0)</f>
        <v>4</v>
      </c>
      <c r="F1819" s="18" t="str">
        <f>IFERROR(__xludf.DUMMYFUNCTION("""COMPUTED_VALUE"""),"Sita T")</f>
        <v>Sita T</v>
      </c>
      <c r="G1819" s="19">
        <f>IFERROR(__xludf.DUMMYFUNCTION("""COMPUTED_VALUE"""),44952.0)</f>
        <v>44952</v>
      </c>
      <c r="H1819" s="18" t="str">
        <f>IFERROR(__xludf.DUMMYFUNCTION("""COMPUTED_VALUE"""),"UPI")</f>
        <v>UPI</v>
      </c>
      <c r="I1819" s="18" t="str">
        <f>IFERROR(__xludf.DUMMYFUNCTION("""COMPUTED_VALUE"""),"Delivered")</f>
        <v>Delivered</v>
      </c>
      <c r="J1819" s="18" t="str">
        <f>IFERROR(__xludf.DUMMYFUNCTION("""COMPUTED_VALUE"""),"On-time Delivery")</f>
        <v>On-time Delivery</v>
      </c>
      <c r="K1819" s="18" t="str">
        <f>IFERROR(__xludf.DUMMYFUNCTION("""COMPUTED_VALUE"""),"Delivered on time")</f>
        <v>Delivered on time</v>
      </c>
      <c r="L1819" s="18">
        <f>iferror(VLOOKUP($D1819,Details!$A$2:$C$11,2,false),vlookup($D1819,Details!$E$2:$G$11,2,false))</f>
        <v>145</v>
      </c>
      <c r="M1819" s="18" t="str">
        <f>iferror(VLOOKUP($D1819,Details!$A$2:$C$11,3,false),vlookup($D1819,Details!$E$2:$G$11,3,false))</f>
        <v>Snacks and Drinks</v>
      </c>
      <c r="N1819" s="18">
        <f t="shared" si="1"/>
        <v>580</v>
      </c>
      <c r="O1819" s="17"/>
      <c r="P1819" s="17"/>
      <c r="Q1819" s="17"/>
      <c r="R1819" s="17"/>
      <c r="S1819" s="17"/>
      <c r="T1819" s="17"/>
      <c r="U1819" s="17"/>
      <c r="V1819" s="17"/>
      <c r="W1819" s="17"/>
      <c r="X1819" s="17"/>
      <c r="Y1819" s="17"/>
      <c r="Z1819" s="17"/>
    </row>
    <row r="1820">
      <c r="A1820" s="18" t="str">
        <f>IFERROR(__xludf.DUMMYFUNCTION("""COMPUTED_VALUE"""),"ord_71798")</f>
        <v>ord_71798</v>
      </c>
      <c r="B1820" s="18" t="str">
        <f>IFERROR(__xludf.DUMMYFUNCTION("""COMPUTED_VALUE"""),"Pranav Joshi")</f>
        <v>Pranav Joshi</v>
      </c>
      <c r="C1820" s="18" t="str">
        <f>IFERROR(__xludf.DUMMYFUNCTION("""COMPUTED_VALUE"""),"Andheri")</f>
        <v>Andheri</v>
      </c>
      <c r="D1820" s="18" t="str">
        <f>IFERROR(__xludf.DUMMYFUNCTION("""COMPUTED_VALUE"""),"Banana")</f>
        <v>Banana</v>
      </c>
      <c r="E1820" s="18">
        <f>IFERROR(__xludf.DUMMYFUNCTION("""COMPUTED_VALUE"""),1.0)</f>
        <v>1</v>
      </c>
      <c r="F1820" s="18" t="str">
        <f>IFERROR(__xludf.DUMMYFUNCTION("""COMPUTED_VALUE"""),"Vivek Kumar")</f>
        <v>Vivek Kumar</v>
      </c>
      <c r="G1820" s="19">
        <f>IFERROR(__xludf.DUMMYFUNCTION("""COMPUTED_VALUE"""),45062.0)</f>
        <v>45062</v>
      </c>
      <c r="H1820" s="18" t="str">
        <f>IFERROR(__xludf.DUMMYFUNCTION("""COMPUTED_VALUE"""),"Credit Card")</f>
        <v>Credit Card</v>
      </c>
      <c r="I1820" s="18" t="str">
        <f>IFERROR(__xludf.DUMMYFUNCTION("""COMPUTED_VALUE"""),"Delivered")</f>
        <v>Delivered</v>
      </c>
      <c r="J1820" s="18" t="str">
        <f>IFERROR(__xludf.DUMMYFUNCTION("""COMPUTED_VALUE"""),"Quality of Items")</f>
        <v>Quality of Items</v>
      </c>
      <c r="K1820" s="18" t="str">
        <f>IFERROR(__xludf.DUMMYFUNCTION("""COMPUTED_VALUE"""),"Perfect condition")</f>
        <v>Perfect condition</v>
      </c>
      <c r="L1820" s="18">
        <f>iferror(VLOOKUP($D1820,Details!$A$2:$C$11,2,false),vlookup($D1820,Details!$E$2:$G$11,2,false))</f>
        <v>80</v>
      </c>
      <c r="M1820" s="18" t="str">
        <f>iferror(VLOOKUP($D1820,Details!$A$2:$C$11,3,false),vlookup($D1820,Details!$E$2:$G$11,3,false))</f>
        <v>Fruits and Vegetables</v>
      </c>
      <c r="N1820" s="18">
        <f t="shared" si="1"/>
        <v>80</v>
      </c>
      <c r="O1820" s="17"/>
      <c r="P1820" s="17"/>
      <c r="Q1820" s="17"/>
      <c r="R1820" s="17"/>
      <c r="S1820" s="17"/>
      <c r="T1820" s="17"/>
      <c r="U1820" s="17"/>
      <c r="V1820" s="17"/>
      <c r="W1820" s="17"/>
      <c r="X1820" s="17"/>
      <c r="Y1820" s="17"/>
      <c r="Z1820" s="17"/>
    </row>
    <row r="1821">
      <c r="A1821" s="18" t="str">
        <f>IFERROR(__xludf.DUMMYFUNCTION("""COMPUTED_VALUE"""),"ord_71799")</f>
        <v>ord_71799</v>
      </c>
      <c r="B1821" s="18" t="str">
        <f>IFERROR(__xludf.DUMMYFUNCTION("""COMPUTED_VALUE"""),"Tanishq Bansal")</f>
        <v>Tanishq Bansal</v>
      </c>
      <c r="C1821" s="18" t="str">
        <f>IFERROR(__xludf.DUMMYFUNCTION("""COMPUTED_VALUE"""),"Powai")</f>
        <v>Powai</v>
      </c>
      <c r="D1821" s="18" t="str">
        <f>IFERROR(__xludf.DUMMYFUNCTION("""COMPUTED_VALUE"""),"Guava")</f>
        <v>Guava</v>
      </c>
      <c r="E1821" s="18">
        <f>IFERROR(__xludf.DUMMYFUNCTION("""COMPUTED_VALUE"""),1.0)</f>
        <v>1</v>
      </c>
      <c r="F1821" s="18" t="str">
        <f>IFERROR(__xludf.DUMMYFUNCTION("""COMPUTED_VALUE"""),"Sita T")</f>
        <v>Sita T</v>
      </c>
      <c r="G1821" s="19">
        <f>IFERROR(__xludf.DUMMYFUNCTION("""COMPUTED_VALUE"""),45203.0)</f>
        <v>45203</v>
      </c>
      <c r="H1821" s="18" t="str">
        <f>IFERROR(__xludf.DUMMYFUNCTION("""COMPUTED_VALUE"""),"Online Payment")</f>
        <v>Online Payment</v>
      </c>
      <c r="I1821" s="18" t="str">
        <f>IFERROR(__xludf.DUMMYFUNCTION("""COMPUTED_VALUE"""),"Delivered")</f>
        <v>Delivered</v>
      </c>
      <c r="J1821" s="18" t="str">
        <f>IFERROR(__xludf.DUMMYFUNCTION("""COMPUTED_VALUE"""),"On-time Delivery")</f>
        <v>On-time Delivery</v>
      </c>
      <c r="K1821" s="18" t="str">
        <f>IFERROR(__xludf.DUMMYFUNCTION("""COMPUTED_VALUE"""),"Delivered on time")</f>
        <v>Delivered on time</v>
      </c>
      <c r="L1821" s="18">
        <f>iferror(VLOOKUP($D1821,Details!$A$2:$C$11,2,false),vlookup($D1821,Details!$E$2:$G$11,2,false))</f>
        <v>70</v>
      </c>
      <c r="M1821" s="18" t="str">
        <f>iferror(VLOOKUP($D1821,Details!$A$2:$C$11,3,false),vlookup($D1821,Details!$E$2:$G$11,3,false))</f>
        <v>Fruits and Vegetables</v>
      </c>
      <c r="N1821" s="18">
        <f t="shared" si="1"/>
        <v>70</v>
      </c>
      <c r="O1821" s="17"/>
      <c r="P1821" s="17"/>
      <c r="Q1821" s="17"/>
      <c r="R1821" s="17"/>
      <c r="S1821" s="17"/>
      <c r="T1821" s="17"/>
      <c r="U1821" s="17"/>
      <c r="V1821" s="17"/>
      <c r="W1821" s="17"/>
      <c r="X1821" s="17"/>
      <c r="Y1821" s="17"/>
      <c r="Z1821" s="17"/>
    </row>
    <row r="1822">
      <c r="A1822" s="18" t="str">
        <f>IFERROR(__xludf.DUMMYFUNCTION("""COMPUTED_VALUE"""),"ord_71800")</f>
        <v>ord_71800</v>
      </c>
      <c r="B1822" s="18" t="str">
        <f>IFERROR(__xludf.DUMMYFUNCTION("""COMPUTED_VALUE"""),"Diya Arora")</f>
        <v>Diya Arora</v>
      </c>
      <c r="C1822" s="18" t="str">
        <f>IFERROR(__xludf.DUMMYFUNCTION("""COMPUTED_VALUE"""),"Lower Parel")</f>
        <v>Lower Parel</v>
      </c>
      <c r="D1822" s="18" t="str">
        <f>IFERROR(__xludf.DUMMYFUNCTION("""COMPUTED_VALUE"""),"Banana")</f>
        <v>Banana</v>
      </c>
      <c r="E1822" s="18">
        <f>IFERROR(__xludf.DUMMYFUNCTION("""COMPUTED_VALUE"""),2.0)</f>
        <v>2</v>
      </c>
      <c r="F1822" s="18" t="str">
        <f>IFERROR(__xludf.DUMMYFUNCTION("""COMPUTED_VALUE"""),"Venu R")</f>
        <v>Venu R</v>
      </c>
      <c r="G1822" s="19">
        <f>IFERROR(__xludf.DUMMYFUNCTION("""COMPUTED_VALUE"""),45041.0)</f>
        <v>45041</v>
      </c>
      <c r="H1822" s="18" t="str">
        <f>IFERROR(__xludf.DUMMYFUNCTION("""COMPUTED_VALUE"""),"Credit Card")</f>
        <v>Credit Card</v>
      </c>
      <c r="I1822" s="18" t="str">
        <f>IFERROR(__xludf.DUMMYFUNCTION("""COMPUTED_VALUE"""),"Delivered")</f>
        <v>Delivered</v>
      </c>
      <c r="J1822" s="18" t="str">
        <f>IFERROR(__xludf.DUMMYFUNCTION("""COMPUTED_VALUE"""),"Quality of Items")</f>
        <v>Quality of Items</v>
      </c>
      <c r="K1822" s="18" t="str">
        <f>IFERROR(__xludf.DUMMYFUNCTION("""COMPUTED_VALUE"""),"Perfect condition")</f>
        <v>Perfect condition</v>
      </c>
      <c r="L1822" s="18">
        <f>iferror(VLOOKUP($D1822,Details!$A$2:$C$11,2,false),vlookup($D1822,Details!$E$2:$G$11,2,false))</f>
        <v>80</v>
      </c>
      <c r="M1822" s="18" t="str">
        <f>iferror(VLOOKUP($D1822,Details!$A$2:$C$11,3,false),vlookup($D1822,Details!$E$2:$G$11,3,false))</f>
        <v>Fruits and Vegetables</v>
      </c>
      <c r="N1822" s="18">
        <f t="shared" si="1"/>
        <v>160</v>
      </c>
      <c r="O1822" s="17"/>
      <c r="P1822" s="17"/>
      <c r="Q1822" s="17"/>
      <c r="R1822" s="17"/>
      <c r="S1822" s="17"/>
      <c r="T1822" s="17"/>
      <c r="U1822" s="17"/>
      <c r="V1822" s="17"/>
      <c r="W1822" s="17"/>
      <c r="X1822" s="17"/>
      <c r="Y1822" s="17"/>
      <c r="Z1822" s="17"/>
    </row>
    <row r="1823">
      <c r="A1823" s="18" t="str">
        <f>IFERROR(__xludf.DUMMYFUNCTION("""COMPUTED_VALUE"""),"ord_71801")</f>
        <v>ord_71801</v>
      </c>
      <c r="B1823" s="18" t="str">
        <f>IFERROR(__xludf.DUMMYFUNCTION("""COMPUTED_VALUE"""),"Pallavi Ghosh")</f>
        <v>Pallavi Ghosh</v>
      </c>
      <c r="C1823" s="18" t="str">
        <f>IFERROR(__xludf.DUMMYFUNCTION("""COMPUTED_VALUE"""),"Bandra")</f>
        <v>Bandra</v>
      </c>
      <c r="D1823" s="18" t="str">
        <f>IFERROR(__xludf.DUMMYFUNCTION("""COMPUTED_VALUE"""),"Potato")</f>
        <v>Potato</v>
      </c>
      <c r="E1823" s="18">
        <f>IFERROR(__xludf.DUMMYFUNCTION("""COMPUTED_VALUE"""),1.0)</f>
        <v>1</v>
      </c>
      <c r="F1823" s="18" t="str">
        <f>IFERROR(__xludf.DUMMYFUNCTION("""COMPUTED_VALUE"""),"Priya Joshi")</f>
        <v>Priya Joshi</v>
      </c>
      <c r="G1823" s="19">
        <f>IFERROR(__xludf.DUMMYFUNCTION("""COMPUTED_VALUE"""),45285.0)</f>
        <v>45285</v>
      </c>
      <c r="H1823" s="18" t="str">
        <f>IFERROR(__xludf.DUMMYFUNCTION("""COMPUTED_VALUE"""),"Credit Card")</f>
        <v>Credit Card</v>
      </c>
      <c r="I1823" s="18" t="str">
        <f>IFERROR(__xludf.DUMMYFUNCTION("""COMPUTED_VALUE"""),"Delivered")</f>
        <v>Delivered</v>
      </c>
      <c r="J1823" s="18" t="str">
        <f>IFERROR(__xludf.DUMMYFUNCTION("""COMPUTED_VALUE"""),"Packaging")</f>
        <v>Packaging</v>
      </c>
      <c r="K1823" s="18" t="str">
        <f>IFERROR(__xludf.DUMMYFUNCTION("""COMPUTED_VALUE"""),"Secure and intact")</f>
        <v>Secure and intact</v>
      </c>
      <c r="L1823" s="18">
        <f>iferror(VLOOKUP($D1823,Details!$A$2:$C$11,2,false),vlookup($D1823,Details!$E$2:$G$11,2,false))</f>
        <v>55</v>
      </c>
      <c r="M1823" s="18" t="str">
        <f>iferror(VLOOKUP($D1823,Details!$A$2:$C$11,3,false),vlookup($D1823,Details!$E$2:$G$11,3,false))</f>
        <v>Fruits and Vegetables</v>
      </c>
      <c r="N1823" s="18">
        <f t="shared" si="1"/>
        <v>55</v>
      </c>
      <c r="O1823" s="17"/>
      <c r="P1823" s="17"/>
      <c r="Q1823" s="17"/>
      <c r="R1823" s="17"/>
      <c r="S1823" s="17"/>
      <c r="T1823" s="17"/>
      <c r="U1823" s="17"/>
      <c r="V1823" s="17"/>
      <c r="W1823" s="17"/>
      <c r="X1823" s="17"/>
      <c r="Y1823" s="17"/>
      <c r="Z1823" s="17"/>
    </row>
    <row r="1824">
      <c r="A1824" s="18" t="str">
        <f>IFERROR(__xludf.DUMMYFUNCTION("""COMPUTED_VALUE"""),"ord_71802")</f>
        <v>ord_71802</v>
      </c>
      <c r="B1824" s="18" t="str">
        <f>IFERROR(__xludf.DUMMYFUNCTION("""COMPUTED_VALUE"""),"Parth Goel")</f>
        <v>Parth Goel</v>
      </c>
      <c r="C1824" s="18" t="str">
        <f>IFERROR(__xludf.DUMMYFUNCTION("""COMPUTED_VALUE"""),"Juhu")</f>
        <v>Juhu</v>
      </c>
      <c r="D1824" s="18" t="str">
        <f>IFERROR(__xludf.DUMMYFUNCTION("""COMPUTED_VALUE"""),"Juice")</f>
        <v>Juice</v>
      </c>
      <c r="E1824" s="18">
        <f>IFERROR(__xludf.DUMMYFUNCTION("""COMPUTED_VALUE"""),5.0)</f>
        <v>5</v>
      </c>
      <c r="F1824" s="18" t="str">
        <f>IFERROR(__xludf.DUMMYFUNCTION("""COMPUTED_VALUE"""),"Tanvi Jain")</f>
        <v>Tanvi Jain</v>
      </c>
      <c r="G1824" s="19">
        <f>IFERROR(__xludf.DUMMYFUNCTION("""COMPUTED_VALUE"""),45224.0)</f>
        <v>45224</v>
      </c>
      <c r="H1824" s="18" t="str">
        <f>IFERROR(__xludf.DUMMYFUNCTION("""COMPUTED_VALUE"""),"UPI")</f>
        <v>UPI</v>
      </c>
      <c r="I1824" s="18" t="str">
        <f>IFERROR(__xludf.DUMMYFUNCTION("""COMPUTED_VALUE"""),"Delivered")</f>
        <v>Delivered</v>
      </c>
      <c r="J1824" s="18" t="str">
        <f>IFERROR(__xludf.DUMMYFUNCTION("""COMPUTED_VALUE"""),"Satisfied with the Delivery")</f>
        <v>Satisfied with the Delivery</v>
      </c>
      <c r="K1824" s="18" t="str">
        <f>IFERROR(__xludf.DUMMYFUNCTION("""COMPUTED_VALUE"""),"Timely and quality")</f>
        <v>Timely and quality</v>
      </c>
      <c r="L1824" s="18">
        <f>iferror(VLOOKUP($D1824,Details!$A$2:$C$11,2,false),vlookup($D1824,Details!$E$2:$G$11,2,false))</f>
        <v>90</v>
      </c>
      <c r="M1824" s="18" t="str">
        <f>iferror(VLOOKUP($D1824,Details!$A$2:$C$11,3,false),vlookup($D1824,Details!$E$2:$G$11,3,false))</f>
        <v>Snacks and Drinks</v>
      </c>
      <c r="N1824" s="18">
        <f t="shared" si="1"/>
        <v>450</v>
      </c>
      <c r="O1824" s="17"/>
      <c r="P1824" s="17"/>
      <c r="Q1824" s="17"/>
      <c r="R1824" s="17"/>
      <c r="S1824" s="17"/>
      <c r="T1824" s="17"/>
      <c r="U1824" s="17"/>
      <c r="V1824" s="17"/>
      <c r="W1824" s="17"/>
      <c r="X1824" s="17"/>
      <c r="Y1824" s="17"/>
      <c r="Z1824" s="17"/>
    </row>
    <row r="1825">
      <c r="A1825" s="18" t="str">
        <f>IFERROR(__xludf.DUMMYFUNCTION("""COMPUTED_VALUE"""),"ord_71803")</f>
        <v>ord_71803</v>
      </c>
      <c r="B1825" s="18" t="str">
        <f>IFERROR(__xludf.DUMMYFUNCTION("""COMPUTED_VALUE"""),"Dev Chauhan")</f>
        <v>Dev Chauhan</v>
      </c>
      <c r="C1825" s="18" t="str">
        <f>IFERROR(__xludf.DUMMYFUNCTION("""COMPUTED_VALUE"""),"Bandra")</f>
        <v>Bandra</v>
      </c>
      <c r="D1825" s="18" t="str">
        <f>IFERROR(__xludf.DUMMYFUNCTION("""COMPUTED_VALUE"""),"Popcorn")</f>
        <v>Popcorn</v>
      </c>
      <c r="E1825" s="18">
        <f>IFERROR(__xludf.DUMMYFUNCTION("""COMPUTED_VALUE"""),1.0)</f>
        <v>1</v>
      </c>
      <c r="F1825" s="18" t="str">
        <f>IFERROR(__xludf.DUMMYFUNCTION("""COMPUTED_VALUE"""),"Priya Joshi")</f>
        <v>Priya Joshi</v>
      </c>
      <c r="G1825" s="19">
        <f>IFERROR(__xludf.DUMMYFUNCTION("""COMPUTED_VALUE"""),45132.0)</f>
        <v>45132</v>
      </c>
      <c r="H1825" s="18" t="str">
        <f>IFERROR(__xludf.DUMMYFUNCTION("""COMPUTED_VALUE"""),"COD")</f>
        <v>COD</v>
      </c>
      <c r="I1825" s="18" t="str">
        <f>IFERROR(__xludf.DUMMYFUNCTION("""COMPUTED_VALUE"""),"Delivered")</f>
        <v>Delivered</v>
      </c>
      <c r="J1825" s="18" t="str">
        <f>IFERROR(__xludf.DUMMYFUNCTION("""COMPUTED_VALUE"""),"Customer Service")</f>
        <v>Customer Service</v>
      </c>
      <c r="K1825" s="18" t="str">
        <f>IFERROR(__xludf.DUMMYFUNCTION("""COMPUTED_VALUE"""),"Seamless and easy")</f>
        <v>Seamless and easy</v>
      </c>
      <c r="L1825" s="18">
        <f>iferror(VLOOKUP($D1825,Details!$A$2:$C$11,2,false),vlookup($D1825,Details!$E$2:$G$11,2,false))</f>
        <v>150</v>
      </c>
      <c r="M1825" s="18" t="str">
        <f>iferror(VLOOKUP($D1825,Details!$A$2:$C$11,3,false),vlookup($D1825,Details!$E$2:$G$11,3,false))</f>
        <v>Snacks and Drinks</v>
      </c>
      <c r="N1825" s="18">
        <f t="shared" si="1"/>
        <v>150</v>
      </c>
      <c r="O1825" s="17"/>
      <c r="P1825" s="17"/>
      <c r="Q1825" s="17"/>
      <c r="R1825" s="17"/>
      <c r="S1825" s="17"/>
      <c r="T1825" s="17"/>
      <c r="U1825" s="17"/>
      <c r="V1825" s="17"/>
      <c r="W1825" s="17"/>
      <c r="X1825" s="17"/>
      <c r="Y1825" s="17"/>
      <c r="Z1825" s="17"/>
    </row>
    <row r="1826">
      <c r="A1826" s="18" t="str">
        <f>IFERROR(__xludf.DUMMYFUNCTION("""COMPUTED_VALUE"""),"ord_71804")</f>
        <v>ord_71804</v>
      </c>
      <c r="B1826" s="18" t="str">
        <f>IFERROR(__xludf.DUMMYFUNCTION("""COMPUTED_VALUE"""),"Siya Reddy")</f>
        <v>Siya Reddy</v>
      </c>
      <c r="C1826" s="18" t="str">
        <f>IFERROR(__xludf.DUMMYFUNCTION("""COMPUTED_VALUE"""),"Juhu")</f>
        <v>Juhu</v>
      </c>
      <c r="D1826" s="18" t="str">
        <f>IFERROR(__xludf.DUMMYFUNCTION("""COMPUTED_VALUE"""),"Chocolate Mousse")</f>
        <v>Chocolate Mousse</v>
      </c>
      <c r="E1826" s="18">
        <f>IFERROR(__xludf.DUMMYFUNCTION("""COMPUTED_VALUE"""),2.0)</f>
        <v>2</v>
      </c>
      <c r="F1826" s="18" t="str">
        <f>IFERROR(__xludf.DUMMYFUNCTION("""COMPUTED_VALUE"""),"Tanvi Jain")</f>
        <v>Tanvi Jain</v>
      </c>
      <c r="G1826" s="19">
        <f>IFERROR(__xludf.DUMMYFUNCTION("""COMPUTED_VALUE"""),45002.0)</f>
        <v>45002</v>
      </c>
      <c r="H1826" s="18" t="str">
        <f>IFERROR(__xludf.DUMMYFUNCTION("""COMPUTED_VALUE"""),"UPI")</f>
        <v>UPI</v>
      </c>
      <c r="I1826" s="18" t="str">
        <f>IFERROR(__xludf.DUMMYFUNCTION("""COMPUTED_VALUE"""),"Delivered")</f>
        <v>Delivered</v>
      </c>
      <c r="J1826" s="18" t="str">
        <f>IFERROR(__xludf.DUMMYFUNCTION("""COMPUTED_VALUE"""),"Delivery Experience")</f>
        <v>Delivery Experience</v>
      </c>
      <c r="K1826" s="18" t="str">
        <f>IFERROR(__xludf.DUMMYFUNCTION("""COMPUTED_VALUE"""),"Quick and professional")</f>
        <v>Quick and professional</v>
      </c>
      <c r="L1826" s="18">
        <f>iferror(VLOOKUP($D1826,Details!$A$2:$C$11,2,false),vlookup($D1826,Details!$E$2:$G$11,2,false))</f>
        <v>145</v>
      </c>
      <c r="M1826" s="18" t="str">
        <f>iferror(VLOOKUP($D1826,Details!$A$2:$C$11,3,false),vlookup($D1826,Details!$E$2:$G$11,3,false))</f>
        <v>Snacks and Drinks</v>
      </c>
      <c r="N1826" s="18">
        <f t="shared" si="1"/>
        <v>290</v>
      </c>
      <c r="O1826" s="17"/>
      <c r="P1826" s="17"/>
      <c r="Q1826" s="17"/>
      <c r="R1826" s="17"/>
      <c r="S1826" s="17"/>
      <c r="T1826" s="17"/>
      <c r="U1826" s="17"/>
      <c r="V1826" s="17"/>
      <c r="W1826" s="17"/>
      <c r="X1826" s="17"/>
      <c r="Y1826" s="17"/>
      <c r="Z1826" s="17"/>
    </row>
    <row r="1827">
      <c r="A1827" s="18" t="str">
        <f>IFERROR(__xludf.DUMMYFUNCTION("""COMPUTED_VALUE"""),"ord_71805")</f>
        <v>ord_71805</v>
      </c>
      <c r="B1827" s="18" t="str">
        <f>IFERROR(__xludf.DUMMYFUNCTION("""COMPUTED_VALUE"""),"Mehul Thakkar")</f>
        <v>Mehul Thakkar</v>
      </c>
      <c r="C1827" s="18" t="str">
        <f>IFERROR(__xludf.DUMMYFUNCTION("""COMPUTED_VALUE"""),"Malad")</f>
        <v>Malad</v>
      </c>
      <c r="D1827" s="18" t="str">
        <f>IFERROR(__xludf.DUMMYFUNCTION("""COMPUTED_VALUE"""),"Cold Coffee")</f>
        <v>Cold Coffee</v>
      </c>
      <c r="E1827" s="18">
        <f>IFERROR(__xludf.DUMMYFUNCTION("""COMPUTED_VALUE"""),4.0)</f>
        <v>4</v>
      </c>
      <c r="F1827" s="18" t="str">
        <f>IFERROR(__xludf.DUMMYFUNCTION("""COMPUTED_VALUE"""),"Ramesh S")</f>
        <v>Ramesh S</v>
      </c>
      <c r="G1827" s="19">
        <f>IFERROR(__xludf.DUMMYFUNCTION("""COMPUTED_VALUE"""),45160.0)</f>
        <v>45160</v>
      </c>
      <c r="H1827" s="18" t="str">
        <f>IFERROR(__xludf.DUMMYFUNCTION("""COMPUTED_VALUE"""),"Online Payment")</f>
        <v>Online Payment</v>
      </c>
      <c r="I1827" s="18" t="str">
        <f>IFERROR(__xludf.DUMMYFUNCTION("""COMPUTED_VALUE"""),"Cancelled")</f>
        <v>Cancelled</v>
      </c>
      <c r="J1827" s="18" t="str">
        <f>IFERROR(__xludf.DUMMYFUNCTION("""COMPUTED_VALUE"""),"Delayed Delivery")</f>
        <v>Delayed Delivery</v>
      </c>
      <c r="K1827" s="18" t="str">
        <f>IFERROR(__xludf.DUMMYFUNCTION("""COMPUTED_VALUE"""),"Bad Weather Conditions")</f>
        <v>Bad Weather Conditions</v>
      </c>
      <c r="L1827" s="18">
        <f>iferror(VLOOKUP($D1827,Details!$A$2:$C$11,2,false),vlookup($D1827,Details!$E$2:$G$11,2,false))</f>
        <v>270</v>
      </c>
      <c r="M1827" s="18" t="str">
        <f>iferror(VLOOKUP($D1827,Details!$A$2:$C$11,3,false),vlookup($D1827,Details!$E$2:$G$11,3,false))</f>
        <v>Snacks and Drinks</v>
      </c>
      <c r="N1827" s="18">
        <f t="shared" si="1"/>
        <v>1080</v>
      </c>
      <c r="O1827" s="17"/>
      <c r="P1827" s="17"/>
      <c r="Q1827" s="17"/>
      <c r="R1827" s="17"/>
      <c r="S1827" s="17"/>
      <c r="T1827" s="17"/>
      <c r="U1827" s="17"/>
      <c r="V1827" s="17"/>
      <c r="W1827" s="17"/>
      <c r="X1827" s="17"/>
      <c r="Y1827" s="17"/>
      <c r="Z1827" s="17"/>
    </row>
    <row r="1828">
      <c r="A1828" s="18" t="str">
        <f>IFERROR(__xludf.DUMMYFUNCTION("""COMPUTED_VALUE"""),"ord_71806")</f>
        <v>ord_71806</v>
      </c>
      <c r="B1828" s="18" t="str">
        <f>IFERROR(__xludf.DUMMYFUNCTION("""COMPUTED_VALUE"""),"Parth Goel")</f>
        <v>Parth Goel</v>
      </c>
      <c r="C1828" s="18" t="str">
        <f>IFERROR(__xludf.DUMMYFUNCTION("""COMPUTED_VALUE"""),"Juhu")</f>
        <v>Juhu</v>
      </c>
      <c r="D1828" s="18" t="str">
        <f>IFERROR(__xludf.DUMMYFUNCTION("""COMPUTED_VALUE"""),"Tiramisu")</f>
        <v>Tiramisu</v>
      </c>
      <c r="E1828" s="18">
        <f>IFERROR(__xludf.DUMMYFUNCTION("""COMPUTED_VALUE"""),3.0)</f>
        <v>3</v>
      </c>
      <c r="F1828" s="18" t="str">
        <f>IFERROR(__xludf.DUMMYFUNCTION("""COMPUTED_VALUE"""),"Tanvi Jain")</f>
        <v>Tanvi Jain</v>
      </c>
      <c r="G1828" s="19">
        <f>IFERROR(__xludf.DUMMYFUNCTION("""COMPUTED_VALUE"""),44972.0)</f>
        <v>44972</v>
      </c>
      <c r="H1828" s="18" t="str">
        <f>IFERROR(__xludf.DUMMYFUNCTION("""COMPUTED_VALUE"""),"COD")</f>
        <v>COD</v>
      </c>
      <c r="I1828" s="18" t="str">
        <f>IFERROR(__xludf.DUMMYFUNCTION("""COMPUTED_VALUE"""),"Delivered")</f>
        <v>Delivered</v>
      </c>
      <c r="J1828" s="18" t="str">
        <f>IFERROR(__xludf.DUMMYFUNCTION("""COMPUTED_VALUE"""),"Convenience")</f>
        <v>Convenience</v>
      </c>
      <c r="K1828" s="18" t="str">
        <f>IFERROR(__xludf.DUMMYFUNCTION("""COMPUTED_VALUE"""),"Easy tracking")</f>
        <v>Easy tracking</v>
      </c>
      <c r="L1828" s="18">
        <f>iferror(VLOOKUP($D1828,Details!$A$2:$C$11,2,false),vlookup($D1828,Details!$E$2:$G$11,2,false))</f>
        <v>150</v>
      </c>
      <c r="M1828" s="18" t="str">
        <f>iferror(VLOOKUP($D1828,Details!$A$2:$C$11,3,false),vlookup($D1828,Details!$E$2:$G$11,3,false))</f>
        <v>Snacks and Drinks</v>
      </c>
      <c r="N1828" s="18">
        <f t="shared" si="1"/>
        <v>450</v>
      </c>
      <c r="O1828" s="17"/>
      <c r="P1828" s="17"/>
      <c r="Q1828" s="17"/>
      <c r="R1828" s="17"/>
      <c r="S1828" s="17"/>
      <c r="T1828" s="17"/>
      <c r="U1828" s="17"/>
      <c r="V1828" s="17"/>
      <c r="W1828" s="17"/>
      <c r="X1828" s="17"/>
      <c r="Y1828" s="17"/>
      <c r="Z1828" s="17"/>
    </row>
    <row r="1829">
      <c r="A1829" s="18" t="str">
        <f>IFERROR(__xludf.DUMMYFUNCTION("""COMPUTED_VALUE"""),"ord_71807")</f>
        <v>ord_71807</v>
      </c>
      <c r="B1829" s="18" t="str">
        <f>IFERROR(__xludf.DUMMYFUNCTION("""COMPUTED_VALUE"""),"Aarav Mehta")</f>
        <v>Aarav Mehta</v>
      </c>
      <c r="C1829" s="18" t="str">
        <f>IFERROR(__xludf.DUMMYFUNCTION("""COMPUTED_VALUE"""),"Andheri")</f>
        <v>Andheri</v>
      </c>
      <c r="D1829" s="18" t="str">
        <f>IFERROR(__xludf.DUMMYFUNCTION("""COMPUTED_VALUE"""),"Popcorn")</f>
        <v>Popcorn</v>
      </c>
      <c r="E1829" s="18">
        <f>IFERROR(__xludf.DUMMYFUNCTION("""COMPUTED_VALUE"""),5.0)</f>
        <v>5</v>
      </c>
      <c r="F1829" s="18" t="str">
        <f>IFERROR(__xludf.DUMMYFUNCTION("""COMPUTED_VALUE"""),"Rohan Yadav")</f>
        <v>Rohan Yadav</v>
      </c>
      <c r="G1829" s="19">
        <f>IFERROR(__xludf.DUMMYFUNCTION("""COMPUTED_VALUE"""),45005.0)</f>
        <v>45005</v>
      </c>
      <c r="H1829" s="18" t="str">
        <f>IFERROR(__xludf.DUMMYFUNCTION("""COMPUTED_VALUE"""),"Online Payment")</f>
        <v>Online Payment</v>
      </c>
      <c r="I1829" s="18" t="str">
        <f>IFERROR(__xludf.DUMMYFUNCTION("""COMPUTED_VALUE"""),"Delivered")</f>
        <v>Delivered</v>
      </c>
      <c r="J1829" s="18" t="str">
        <f>IFERROR(__xludf.DUMMYFUNCTION("""COMPUTED_VALUE"""),"Overall Satisfaction")</f>
        <v>Overall Satisfaction</v>
      </c>
      <c r="K1829" s="18" t="str">
        <f>IFERROR(__xludf.DUMMYFUNCTION("""COMPUTED_VALUE"""),"Great service will order again")</f>
        <v>Great service will order again</v>
      </c>
      <c r="L1829" s="18">
        <f>iferror(VLOOKUP($D1829,Details!$A$2:$C$11,2,false),vlookup($D1829,Details!$E$2:$G$11,2,false))</f>
        <v>150</v>
      </c>
      <c r="M1829" s="18" t="str">
        <f>iferror(VLOOKUP($D1829,Details!$A$2:$C$11,3,false),vlookup($D1829,Details!$E$2:$G$11,3,false))</f>
        <v>Snacks and Drinks</v>
      </c>
      <c r="N1829" s="18">
        <f t="shared" si="1"/>
        <v>750</v>
      </c>
      <c r="O1829" s="17"/>
      <c r="P1829" s="17"/>
      <c r="Q1829" s="17"/>
      <c r="R1829" s="17"/>
      <c r="S1829" s="17"/>
      <c r="T1829" s="17"/>
      <c r="U1829" s="17"/>
      <c r="V1829" s="17"/>
      <c r="W1829" s="17"/>
      <c r="X1829" s="17"/>
      <c r="Y1829" s="17"/>
      <c r="Z1829" s="17"/>
    </row>
    <row r="1830">
      <c r="A1830" s="18" t="str">
        <f>IFERROR(__xludf.DUMMYFUNCTION("""COMPUTED_VALUE"""),"ord_71808")</f>
        <v>ord_71808</v>
      </c>
      <c r="B1830" s="18" t="str">
        <f>IFERROR(__xludf.DUMMYFUNCTION("""COMPUTED_VALUE"""),"Kritika Shetty")</f>
        <v>Kritika Shetty</v>
      </c>
      <c r="C1830" s="18" t="str">
        <f>IFERROR(__xludf.DUMMYFUNCTION("""COMPUTED_VALUE"""),"Malad")</f>
        <v>Malad</v>
      </c>
      <c r="D1830" s="18" t="str">
        <f>IFERROR(__xludf.DUMMYFUNCTION("""COMPUTED_VALUE"""),"Tiramisu")</f>
        <v>Tiramisu</v>
      </c>
      <c r="E1830" s="18">
        <f>IFERROR(__xludf.DUMMYFUNCTION("""COMPUTED_VALUE"""),2.0)</f>
        <v>2</v>
      </c>
      <c r="F1830" s="18" t="str">
        <f>IFERROR(__xludf.DUMMYFUNCTION("""COMPUTED_VALUE"""),"Neha Shah")</f>
        <v>Neha Shah</v>
      </c>
      <c r="G1830" s="19">
        <f>IFERROR(__xludf.DUMMYFUNCTION("""COMPUTED_VALUE"""),45183.0)</f>
        <v>45183</v>
      </c>
      <c r="H1830" s="18" t="str">
        <f>IFERROR(__xludf.DUMMYFUNCTION("""COMPUTED_VALUE"""),"COD")</f>
        <v>COD</v>
      </c>
      <c r="I1830" s="18" t="str">
        <f>IFERROR(__xludf.DUMMYFUNCTION("""COMPUTED_VALUE"""),"Delivered")</f>
        <v>Delivered</v>
      </c>
      <c r="J1830" s="18" t="str">
        <f>IFERROR(__xludf.DUMMYFUNCTION("""COMPUTED_VALUE"""),"On-time Delivery")</f>
        <v>On-time Delivery</v>
      </c>
      <c r="K1830" s="18" t="str">
        <f>IFERROR(__xludf.DUMMYFUNCTION("""COMPUTED_VALUE"""),"Delivered on time")</f>
        <v>Delivered on time</v>
      </c>
      <c r="L1830" s="18">
        <f>iferror(VLOOKUP($D1830,Details!$A$2:$C$11,2,false),vlookup($D1830,Details!$E$2:$G$11,2,false))</f>
        <v>150</v>
      </c>
      <c r="M1830" s="18" t="str">
        <f>iferror(VLOOKUP($D1830,Details!$A$2:$C$11,3,false),vlookup($D1830,Details!$E$2:$G$11,3,false))</f>
        <v>Snacks and Drinks</v>
      </c>
      <c r="N1830" s="18">
        <f t="shared" si="1"/>
        <v>300</v>
      </c>
      <c r="O1830" s="17"/>
      <c r="P1830" s="17"/>
      <c r="Q1830" s="17"/>
      <c r="R1830" s="17"/>
      <c r="S1830" s="17"/>
      <c r="T1830" s="17"/>
      <c r="U1830" s="17"/>
      <c r="V1830" s="17"/>
      <c r="W1830" s="17"/>
      <c r="X1830" s="17"/>
      <c r="Y1830" s="17"/>
      <c r="Z1830" s="17"/>
    </row>
    <row r="1831">
      <c r="A1831" s="18" t="str">
        <f>IFERROR(__xludf.DUMMYFUNCTION("""COMPUTED_VALUE"""),"ord_71809")</f>
        <v>ord_71809</v>
      </c>
      <c r="B1831" s="18" t="str">
        <f>IFERROR(__xludf.DUMMYFUNCTION("""COMPUTED_VALUE"""),"Aarohi Kapoor")</f>
        <v>Aarohi Kapoor</v>
      </c>
      <c r="C1831" s="18" t="str">
        <f>IFERROR(__xludf.DUMMYFUNCTION("""COMPUTED_VALUE"""),"Bandra")</f>
        <v>Bandra</v>
      </c>
      <c r="D1831" s="18" t="str">
        <f>IFERROR(__xludf.DUMMYFUNCTION("""COMPUTED_VALUE"""),"Tiramisu")</f>
        <v>Tiramisu</v>
      </c>
      <c r="E1831" s="18">
        <f>IFERROR(__xludf.DUMMYFUNCTION("""COMPUTED_VALUE"""),2.0)</f>
        <v>2</v>
      </c>
      <c r="F1831" s="18" t="str">
        <f>IFERROR(__xludf.DUMMYFUNCTION("""COMPUTED_VALUE"""),"Priya Joshi")</f>
        <v>Priya Joshi</v>
      </c>
      <c r="G1831" s="19">
        <f>IFERROR(__xludf.DUMMYFUNCTION("""COMPUTED_VALUE"""),45226.0)</f>
        <v>45226</v>
      </c>
      <c r="H1831" s="18" t="str">
        <f>IFERROR(__xludf.DUMMYFUNCTION("""COMPUTED_VALUE"""),"COD")</f>
        <v>COD</v>
      </c>
      <c r="I1831" s="18" t="str">
        <f>IFERROR(__xludf.DUMMYFUNCTION("""COMPUTED_VALUE"""),"Delivered")</f>
        <v>Delivered</v>
      </c>
      <c r="J1831" s="18" t="str">
        <f>IFERROR(__xludf.DUMMYFUNCTION("""COMPUTED_VALUE"""),"Quality of Items")</f>
        <v>Quality of Items</v>
      </c>
      <c r="K1831" s="18" t="str">
        <f>IFERROR(__xludf.DUMMYFUNCTION("""COMPUTED_VALUE"""),"Perfect condition")</f>
        <v>Perfect condition</v>
      </c>
      <c r="L1831" s="18">
        <f>iferror(VLOOKUP($D1831,Details!$A$2:$C$11,2,false),vlookup($D1831,Details!$E$2:$G$11,2,false))</f>
        <v>150</v>
      </c>
      <c r="M1831" s="18" t="str">
        <f>iferror(VLOOKUP($D1831,Details!$A$2:$C$11,3,false),vlookup($D1831,Details!$E$2:$G$11,3,false))</f>
        <v>Snacks and Drinks</v>
      </c>
      <c r="N1831" s="18">
        <f t="shared" si="1"/>
        <v>300</v>
      </c>
      <c r="O1831" s="17"/>
      <c r="P1831" s="17"/>
      <c r="Q1831" s="17"/>
      <c r="R1831" s="17"/>
      <c r="S1831" s="17"/>
      <c r="T1831" s="17"/>
      <c r="U1831" s="17"/>
      <c r="V1831" s="17"/>
      <c r="W1831" s="17"/>
      <c r="X1831" s="17"/>
      <c r="Y1831" s="17"/>
      <c r="Z1831" s="17"/>
    </row>
    <row r="1832">
      <c r="A1832" s="18" t="str">
        <f>IFERROR(__xludf.DUMMYFUNCTION("""COMPUTED_VALUE"""),"ord_71810")</f>
        <v>ord_71810</v>
      </c>
      <c r="B1832" s="18" t="str">
        <f>IFERROR(__xludf.DUMMYFUNCTION("""COMPUTED_VALUE"""),"Ishita Banerjee")</f>
        <v>Ishita Banerjee</v>
      </c>
      <c r="C1832" s="18" t="str">
        <f>IFERROR(__xludf.DUMMYFUNCTION("""COMPUTED_VALUE"""),"Juhu")</f>
        <v>Juhu</v>
      </c>
      <c r="D1832" s="18" t="str">
        <f>IFERROR(__xludf.DUMMYFUNCTION("""COMPUTED_VALUE"""),"Popcorn")</f>
        <v>Popcorn</v>
      </c>
      <c r="E1832" s="18">
        <f>IFERROR(__xludf.DUMMYFUNCTION("""COMPUTED_VALUE"""),3.0)</f>
        <v>3</v>
      </c>
      <c r="F1832" s="18" t="str">
        <f>IFERROR(__xludf.DUMMYFUNCTION("""COMPUTED_VALUE"""),"Not Assigned")</f>
        <v>Not Assigned</v>
      </c>
      <c r="G1832" s="19">
        <f>IFERROR(__xludf.DUMMYFUNCTION("""COMPUTED_VALUE"""),45210.0)</f>
        <v>45210</v>
      </c>
      <c r="H1832" s="18" t="str">
        <f>IFERROR(__xludf.DUMMYFUNCTION("""COMPUTED_VALUE"""),"UPI")</f>
        <v>UPI</v>
      </c>
      <c r="I1832" s="18" t="str">
        <f>IFERROR(__xludf.DUMMYFUNCTION("""COMPUTED_VALUE"""),"Cancelled")</f>
        <v>Cancelled</v>
      </c>
      <c r="J1832" s="18" t="str">
        <f>IFERROR(__xludf.DUMMYFUNCTION("""COMPUTED_VALUE"""),"App Glitches")</f>
        <v>App Glitches</v>
      </c>
      <c r="K1832" s="18" t="str">
        <f>IFERROR(__xludf.DUMMYFUNCTION("""COMPUTED_VALUE"""),"App Freezes")</f>
        <v>App Freezes</v>
      </c>
      <c r="L1832" s="18">
        <f>iferror(VLOOKUP($D1832,Details!$A$2:$C$11,2,false),vlookup($D1832,Details!$E$2:$G$11,2,false))</f>
        <v>150</v>
      </c>
      <c r="M1832" s="18" t="str">
        <f>iferror(VLOOKUP($D1832,Details!$A$2:$C$11,3,false),vlookup($D1832,Details!$E$2:$G$11,3,false))</f>
        <v>Snacks and Drinks</v>
      </c>
      <c r="N1832" s="18">
        <f t="shared" si="1"/>
        <v>450</v>
      </c>
      <c r="O1832" s="17"/>
      <c r="P1832" s="17"/>
      <c r="Q1832" s="17"/>
      <c r="R1832" s="17"/>
      <c r="S1832" s="17"/>
      <c r="T1832" s="17"/>
      <c r="U1832" s="17"/>
      <c r="V1832" s="17"/>
      <c r="W1832" s="17"/>
      <c r="X1832" s="17"/>
      <c r="Y1832" s="17"/>
      <c r="Z1832" s="17"/>
    </row>
    <row r="1833">
      <c r="A1833" s="18" t="str">
        <f>IFERROR(__xludf.DUMMYFUNCTION("""COMPUTED_VALUE"""),"ord_71811")</f>
        <v>ord_71811</v>
      </c>
      <c r="B1833" s="18" t="str">
        <f>IFERROR(__xludf.DUMMYFUNCTION("""COMPUTED_VALUE"""),"Omkar Mishra")</f>
        <v>Omkar Mishra</v>
      </c>
      <c r="C1833" s="18" t="str">
        <f>IFERROR(__xludf.DUMMYFUNCTION("""COMPUTED_VALUE"""),"Powai")</f>
        <v>Powai</v>
      </c>
      <c r="D1833" s="18" t="str">
        <f>IFERROR(__xludf.DUMMYFUNCTION("""COMPUTED_VALUE"""),"Tiramisu")</f>
        <v>Tiramisu</v>
      </c>
      <c r="E1833" s="18">
        <f>IFERROR(__xludf.DUMMYFUNCTION("""COMPUTED_VALUE"""),4.0)</f>
        <v>4</v>
      </c>
      <c r="F1833" s="18" t="str">
        <f>IFERROR(__xludf.DUMMYFUNCTION("""COMPUTED_VALUE"""),"Sandeep Kumar")</f>
        <v>Sandeep Kumar</v>
      </c>
      <c r="G1833" s="19">
        <f>IFERROR(__xludf.DUMMYFUNCTION("""COMPUTED_VALUE"""),45130.0)</f>
        <v>45130</v>
      </c>
      <c r="H1833" s="18" t="str">
        <f>IFERROR(__xludf.DUMMYFUNCTION("""COMPUTED_VALUE"""),"Online Payment")</f>
        <v>Online Payment</v>
      </c>
      <c r="I1833" s="18" t="str">
        <f>IFERROR(__xludf.DUMMYFUNCTION("""COMPUTED_VALUE"""),"Delivered")</f>
        <v>Delivered</v>
      </c>
      <c r="J1833" s="18" t="str">
        <f>IFERROR(__xludf.DUMMYFUNCTION("""COMPUTED_VALUE"""),"On-time Delivery")</f>
        <v>On-time Delivery</v>
      </c>
      <c r="K1833" s="18" t="str">
        <f>IFERROR(__xludf.DUMMYFUNCTION("""COMPUTED_VALUE"""),"Delivered on time")</f>
        <v>Delivered on time</v>
      </c>
      <c r="L1833" s="18">
        <f>iferror(VLOOKUP($D1833,Details!$A$2:$C$11,2,false),vlookup($D1833,Details!$E$2:$G$11,2,false))</f>
        <v>150</v>
      </c>
      <c r="M1833" s="18" t="str">
        <f>iferror(VLOOKUP($D1833,Details!$A$2:$C$11,3,false),vlookup($D1833,Details!$E$2:$G$11,3,false))</f>
        <v>Snacks and Drinks</v>
      </c>
      <c r="N1833" s="18">
        <f t="shared" si="1"/>
        <v>600</v>
      </c>
      <c r="O1833" s="17"/>
      <c r="P1833" s="17"/>
      <c r="Q1833" s="17"/>
      <c r="R1833" s="17"/>
      <c r="S1833" s="17"/>
      <c r="T1833" s="17"/>
      <c r="U1833" s="17"/>
      <c r="V1833" s="17"/>
      <c r="W1833" s="17"/>
      <c r="X1833" s="17"/>
      <c r="Y1833" s="17"/>
      <c r="Z1833" s="17"/>
    </row>
    <row r="1834">
      <c r="A1834" s="18" t="str">
        <f>IFERROR(__xludf.DUMMYFUNCTION("""COMPUTED_VALUE"""),"ord_71812")</f>
        <v>ord_71812</v>
      </c>
      <c r="B1834" s="18" t="str">
        <f>IFERROR(__xludf.DUMMYFUNCTION("""COMPUTED_VALUE"""),"Arvind Kulkarni")</f>
        <v>Arvind Kulkarni</v>
      </c>
      <c r="C1834" s="18" t="str">
        <f>IFERROR(__xludf.DUMMYFUNCTION("""COMPUTED_VALUE"""),"Juhu")</f>
        <v>Juhu</v>
      </c>
      <c r="D1834" s="18" t="str">
        <f>IFERROR(__xludf.DUMMYFUNCTION("""COMPUTED_VALUE"""),"Rasmalai")</f>
        <v>Rasmalai</v>
      </c>
      <c r="E1834" s="18">
        <f>IFERROR(__xludf.DUMMYFUNCTION("""COMPUTED_VALUE"""),3.0)</f>
        <v>3</v>
      </c>
      <c r="F1834" s="18" t="str">
        <f>IFERROR(__xludf.DUMMYFUNCTION("""COMPUTED_VALUE"""),"Nikhil Deshmukh")</f>
        <v>Nikhil Deshmukh</v>
      </c>
      <c r="G1834" s="19">
        <f>IFERROR(__xludf.DUMMYFUNCTION("""COMPUTED_VALUE"""),44953.0)</f>
        <v>44953</v>
      </c>
      <c r="H1834" s="18" t="str">
        <f>IFERROR(__xludf.DUMMYFUNCTION("""COMPUTED_VALUE"""),"Credit Card")</f>
        <v>Credit Card</v>
      </c>
      <c r="I1834" s="18" t="str">
        <f>IFERROR(__xludf.DUMMYFUNCTION("""COMPUTED_VALUE"""),"Cancelled")</f>
        <v>Cancelled</v>
      </c>
      <c r="J1834" s="18" t="str">
        <f>IFERROR(__xludf.DUMMYFUNCTION("""COMPUTED_VALUE"""),"Delayed Delivery")</f>
        <v>Delayed Delivery</v>
      </c>
      <c r="K1834" s="18" t="str">
        <f>IFERROR(__xludf.DUMMYFUNCTION("""COMPUTED_VALUE"""),"Heavy Traffic")</f>
        <v>Heavy Traffic</v>
      </c>
      <c r="L1834" s="18">
        <f>iferror(VLOOKUP($D1834,Details!$A$2:$C$11,2,false),vlookup($D1834,Details!$E$2:$G$11,2,false))</f>
        <v>110</v>
      </c>
      <c r="M1834" s="18" t="str">
        <f>iferror(VLOOKUP($D1834,Details!$A$2:$C$11,3,false),vlookup($D1834,Details!$E$2:$G$11,3,false))</f>
        <v>Snacks and Drinks</v>
      </c>
      <c r="N1834" s="18">
        <f t="shared" si="1"/>
        <v>330</v>
      </c>
      <c r="O1834" s="17"/>
      <c r="P1834" s="17"/>
      <c r="Q1834" s="17"/>
      <c r="R1834" s="17"/>
      <c r="S1834" s="17"/>
      <c r="T1834" s="17"/>
      <c r="U1834" s="17"/>
      <c r="V1834" s="17"/>
      <c r="W1834" s="17"/>
      <c r="X1834" s="17"/>
      <c r="Y1834" s="17"/>
      <c r="Z1834" s="17"/>
    </row>
    <row r="1835">
      <c r="A1835" s="18" t="str">
        <f>IFERROR(__xludf.DUMMYFUNCTION("""COMPUTED_VALUE"""),"ord_71813")</f>
        <v>ord_71813</v>
      </c>
      <c r="B1835" s="18" t="str">
        <f>IFERROR(__xludf.DUMMYFUNCTION("""COMPUTED_VALUE"""),"Aarav Mehta")</f>
        <v>Aarav Mehta</v>
      </c>
      <c r="C1835" s="18" t="str">
        <f>IFERROR(__xludf.DUMMYFUNCTION("""COMPUTED_VALUE"""),"Andheri")</f>
        <v>Andheri</v>
      </c>
      <c r="D1835" s="18" t="str">
        <f>IFERROR(__xludf.DUMMYFUNCTION("""COMPUTED_VALUE"""),"Chicken Puff")</f>
        <v>Chicken Puff</v>
      </c>
      <c r="E1835" s="18">
        <f>IFERROR(__xludf.DUMMYFUNCTION("""COMPUTED_VALUE"""),2.0)</f>
        <v>2</v>
      </c>
      <c r="F1835" s="18" t="str">
        <f>IFERROR(__xludf.DUMMYFUNCTION("""COMPUTED_VALUE"""),"Rohan Yadav")</f>
        <v>Rohan Yadav</v>
      </c>
      <c r="G1835" s="19">
        <f>IFERROR(__xludf.DUMMYFUNCTION("""COMPUTED_VALUE"""),45032.0)</f>
        <v>45032</v>
      </c>
      <c r="H1835" s="18" t="str">
        <f>IFERROR(__xludf.DUMMYFUNCTION("""COMPUTED_VALUE"""),"COD")</f>
        <v>COD</v>
      </c>
      <c r="I1835" s="18" t="str">
        <f>IFERROR(__xludf.DUMMYFUNCTION("""COMPUTED_VALUE"""),"Delivered")</f>
        <v>Delivered</v>
      </c>
      <c r="J1835" s="18" t="str">
        <f>IFERROR(__xludf.DUMMYFUNCTION("""COMPUTED_VALUE"""),"Quality of Items")</f>
        <v>Quality of Items</v>
      </c>
      <c r="K1835" s="18" t="str">
        <f>IFERROR(__xludf.DUMMYFUNCTION("""COMPUTED_VALUE"""),"Perfect condition")</f>
        <v>Perfect condition</v>
      </c>
      <c r="L1835" s="18">
        <f>iferror(VLOOKUP($D1835,Details!$A$2:$C$11,2,false),vlookup($D1835,Details!$E$2:$G$11,2,false))</f>
        <v>90</v>
      </c>
      <c r="M1835" s="18" t="str">
        <f>iferror(VLOOKUP($D1835,Details!$A$2:$C$11,3,false),vlookup($D1835,Details!$E$2:$G$11,3,false))</f>
        <v>Snacks and Drinks</v>
      </c>
      <c r="N1835" s="18">
        <f t="shared" si="1"/>
        <v>180</v>
      </c>
      <c r="O1835" s="17"/>
      <c r="P1835" s="17"/>
      <c r="Q1835" s="17"/>
      <c r="R1835" s="17"/>
      <c r="S1835" s="17"/>
      <c r="T1835" s="17"/>
      <c r="U1835" s="17"/>
      <c r="V1835" s="17"/>
      <c r="W1835" s="17"/>
      <c r="X1835" s="17"/>
      <c r="Y1835" s="17"/>
      <c r="Z1835" s="17"/>
    </row>
    <row r="1836">
      <c r="A1836" s="18" t="str">
        <f>IFERROR(__xludf.DUMMYFUNCTION("""COMPUTED_VALUE"""),"ord_71814")</f>
        <v>ord_71814</v>
      </c>
      <c r="B1836" s="18" t="str">
        <f>IFERROR(__xludf.DUMMYFUNCTION("""COMPUTED_VALUE"""),"Mohit Malhotra")</f>
        <v>Mohit Malhotra</v>
      </c>
      <c r="C1836" s="18" t="str">
        <f>IFERROR(__xludf.DUMMYFUNCTION("""COMPUTED_VALUE"""),"Lower Parel")</f>
        <v>Lower Parel</v>
      </c>
      <c r="D1836" s="18" t="str">
        <f>IFERROR(__xludf.DUMMYFUNCTION("""COMPUTED_VALUE"""),"Banana")</f>
        <v>Banana</v>
      </c>
      <c r="E1836" s="18">
        <f>IFERROR(__xludf.DUMMYFUNCTION("""COMPUTED_VALUE"""),1.0)</f>
        <v>1</v>
      </c>
      <c r="F1836" s="18" t="str">
        <f>IFERROR(__xludf.DUMMYFUNCTION("""COMPUTED_VALUE"""),"Kiran Mehta")</f>
        <v>Kiran Mehta</v>
      </c>
      <c r="G1836" s="19">
        <f>IFERROR(__xludf.DUMMYFUNCTION("""COMPUTED_VALUE"""),45219.0)</f>
        <v>45219</v>
      </c>
      <c r="H1836" s="18" t="str">
        <f>IFERROR(__xludf.DUMMYFUNCTION("""COMPUTED_VALUE"""),"Online Payment")</f>
        <v>Online Payment</v>
      </c>
      <c r="I1836" s="18" t="str">
        <f>IFERROR(__xludf.DUMMYFUNCTION("""COMPUTED_VALUE"""),"Delivered")</f>
        <v>Delivered</v>
      </c>
      <c r="J1836" s="18" t="str">
        <f>IFERROR(__xludf.DUMMYFUNCTION("""COMPUTED_VALUE"""),"Packaging")</f>
        <v>Packaging</v>
      </c>
      <c r="K1836" s="18" t="str">
        <f>IFERROR(__xludf.DUMMYFUNCTION("""COMPUTED_VALUE"""),"Secure and intact")</f>
        <v>Secure and intact</v>
      </c>
      <c r="L1836" s="18">
        <f>iferror(VLOOKUP($D1836,Details!$A$2:$C$11,2,false),vlookup($D1836,Details!$E$2:$G$11,2,false))</f>
        <v>80</v>
      </c>
      <c r="M1836" s="18" t="str">
        <f>iferror(VLOOKUP($D1836,Details!$A$2:$C$11,3,false),vlookup($D1836,Details!$E$2:$G$11,3,false))</f>
        <v>Fruits and Vegetables</v>
      </c>
      <c r="N1836" s="18">
        <f t="shared" si="1"/>
        <v>80</v>
      </c>
      <c r="O1836" s="17"/>
      <c r="P1836" s="17"/>
      <c r="Q1836" s="17"/>
      <c r="R1836" s="17"/>
      <c r="S1836" s="17"/>
      <c r="T1836" s="17"/>
      <c r="U1836" s="17"/>
      <c r="V1836" s="17"/>
      <c r="W1836" s="17"/>
      <c r="X1836" s="17"/>
      <c r="Y1836" s="17"/>
      <c r="Z1836" s="17"/>
    </row>
    <row r="1837">
      <c r="A1837" s="18" t="str">
        <f>IFERROR(__xludf.DUMMYFUNCTION("""COMPUTED_VALUE"""),"ord_71815")</f>
        <v>ord_71815</v>
      </c>
      <c r="B1837" s="18" t="str">
        <f>IFERROR(__xludf.DUMMYFUNCTION("""COMPUTED_VALUE"""),"Diya Arora")</f>
        <v>Diya Arora</v>
      </c>
      <c r="C1837" s="18" t="str">
        <f>IFERROR(__xludf.DUMMYFUNCTION("""COMPUTED_VALUE"""),"Lower Parel")</f>
        <v>Lower Parel</v>
      </c>
      <c r="D1837" s="18" t="str">
        <f>IFERROR(__xludf.DUMMYFUNCTION("""COMPUTED_VALUE"""),"Banana")</f>
        <v>Banana</v>
      </c>
      <c r="E1837" s="18">
        <f>IFERROR(__xludf.DUMMYFUNCTION("""COMPUTED_VALUE"""),2.0)</f>
        <v>2</v>
      </c>
      <c r="F1837" s="18" t="str">
        <f>IFERROR(__xludf.DUMMYFUNCTION("""COMPUTED_VALUE"""),"Kiran Mehta")</f>
        <v>Kiran Mehta</v>
      </c>
      <c r="G1837" s="19">
        <f>IFERROR(__xludf.DUMMYFUNCTION("""COMPUTED_VALUE"""),45035.0)</f>
        <v>45035</v>
      </c>
      <c r="H1837" s="18" t="str">
        <f>IFERROR(__xludf.DUMMYFUNCTION("""COMPUTED_VALUE"""),"Online Payment")</f>
        <v>Online Payment</v>
      </c>
      <c r="I1837" s="18" t="str">
        <f>IFERROR(__xludf.DUMMYFUNCTION("""COMPUTED_VALUE"""),"Delivered")</f>
        <v>Delivered</v>
      </c>
      <c r="J1837" s="18" t="str">
        <f>IFERROR(__xludf.DUMMYFUNCTION("""COMPUTED_VALUE"""),"Satisfied with the Delivery")</f>
        <v>Satisfied with the Delivery</v>
      </c>
      <c r="K1837" s="18" t="str">
        <f>IFERROR(__xludf.DUMMYFUNCTION("""COMPUTED_VALUE"""),"Timely and quality")</f>
        <v>Timely and quality</v>
      </c>
      <c r="L1837" s="18">
        <f>iferror(VLOOKUP($D1837,Details!$A$2:$C$11,2,false),vlookup($D1837,Details!$E$2:$G$11,2,false))</f>
        <v>80</v>
      </c>
      <c r="M1837" s="18" t="str">
        <f>iferror(VLOOKUP($D1837,Details!$A$2:$C$11,3,false),vlookup($D1837,Details!$E$2:$G$11,3,false))</f>
        <v>Fruits and Vegetables</v>
      </c>
      <c r="N1837" s="18">
        <f t="shared" si="1"/>
        <v>160</v>
      </c>
      <c r="O1837" s="17"/>
      <c r="P1837" s="17"/>
      <c r="Q1837" s="17"/>
      <c r="R1837" s="17"/>
      <c r="S1837" s="17"/>
      <c r="T1837" s="17"/>
      <c r="U1837" s="17"/>
      <c r="V1837" s="17"/>
      <c r="W1837" s="17"/>
      <c r="X1837" s="17"/>
      <c r="Y1837" s="17"/>
      <c r="Z1837" s="17"/>
    </row>
    <row r="1838">
      <c r="A1838" s="18" t="str">
        <f>IFERROR(__xludf.DUMMYFUNCTION("""COMPUTED_VALUE"""),"ord_71816")</f>
        <v>ord_71816</v>
      </c>
      <c r="B1838" s="18" t="str">
        <f>IFERROR(__xludf.DUMMYFUNCTION("""COMPUTED_VALUE"""),"Pallavi Ghosh")</f>
        <v>Pallavi Ghosh</v>
      </c>
      <c r="C1838" s="18" t="str">
        <f>IFERROR(__xludf.DUMMYFUNCTION("""COMPUTED_VALUE"""),"Bandra")</f>
        <v>Bandra</v>
      </c>
      <c r="D1838" s="18" t="str">
        <f>IFERROR(__xludf.DUMMYFUNCTION("""COMPUTED_VALUE"""),"Tiramisu")</f>
        <v>Tiramisu</v>
      </c>
      <c r="E1838" s="18">
        <f>IFERROR(__xludf.DUMMYFUNCTION("""COMPUTED_VALUE"""),3.0)</f>
        <v>3</v>
      </c>
      <c r="F1838" s="18" t="str">
        <f>IFERROR(__xludf.DUMMYFUNCTION("""COMPUTED_VALUE"""),"Ram Gopal")</f>
        <v>Ram Gopal</v>
      </c>
      <c r="G1838" s="19">
        <f>IFERROR(__xludf.DUMMYFUNCTION("""COMPUTED_VALUE"""),44967.0)</f>
        <v>44967</v>
      </c>
      <c r="H1838" s="18" t="str">
        <f>IFERROR(__xludf.DUMMYFUNCTION("""COMPUTED_VALUE"""),"Online Payment")</f>
        <v>Online Payment</v>
      </c>
      <c r="I1838" s="18" t="str">
        <f>IFERROR(__xludf.DUMMYFUNCTION("""COMPUTED_VALUE"""),"Delivered")</f>
        <v>Delivered</v>
      </c>
      <c r="J1838" s="18" t="str">
        <f>IFERROR(__xludf.DUMMYFUNCTION("""COMPUTED_VALUE"""),"Customer Service")</f>
        <v>Customer Service</v>
      </c>
      <c r="K1838" s="18" t="str">
        <f>IFERROR(__xludf.DUMMYFUNCTION("""COMPUTED_VALUE"""),"Seamless and easy")</f>
        <v>Seamless and easy</v>
      </c>
      <c r="L1838" s="18">
        <f>iferror(VLOOKUP($D1838,Details!$A$2:$C$11,2,false),vlookup($D1838,Details!$E$2:$G$11,2,false))</f>
        <v>150</v>
      </c>
      <c r="M1838" s="18" t="str">
        <f>iferror(VLOOKUP($D1838,Details!$A$2:$C$11,3,false),vlookup($D1838,Details!$E$2:$G$11,3,false))</f>
        <v>Snacks and Drinks</v>
      </c>
      <c r="N1838" s="18">
        <f t="shared" si="1"/>
        <v>450</v>
      </c>
      <c r="O1838" s="17"/>
      <c r="P1838" s="17"/>
      <c r="Q1838" s="17"/>
      <c r="R1838" s="17"/>
      <c r="S1838" s="17"/>
      <c r="T1838" s="17"/>
      <c r="U1838" s="17"/>
      <c r="V1838" s="17"/>
      <c r="W1838" s="17"/>
      <c r="X1838" s="17"/>
      <c r="Y1838" s="17"/>
      <c r="Z1838" s="17"/>
    </row>
    <row r="1839">
      <c r="A1839" s="18" t="str">
        <f>IFERROR(__xludf.DUMMYFUNCTION("""COMPUTED_VALUE"""),"ord_71817")</f>
        <v>ord_71817</v>
      </c>
      <c r="B1839" s="18" t="str">
        <f>IFERROR(__xludf.DUMMYFUNCTION("""COMPUTED_VALUE"""),"Anaya Rao")</f>
        <v>Anaya Rao</v>
      </c>
      <c r="C1839" s="18" t="str">
        <f>IFERROR(__xludf.DUMMYFUNCTION("""COMPUTED_VALUE"""),"Colaba")</f>
        <v>Colaba</v>
      </c>
      <c r="D1839" s="18" t="str">
        <f>IFERROR(__xludf.DUMMYFUNCTION("""COMPUTED_VALUE"""),"Tomato")</f>
        <v>Tomato</v>
      </c>
      <c r="E1839" s="18">
        <f>IFERROR(__xludf.DUMMYFUNCTION("""COMPUTED_VALUE"""),1.0)</f>
        <v>1</v>
      </c>
      <c r="F1839" s="18" t="str">
        <f>IFERROR(__xludf.DUMMYFUNCTION("""COMPUTED_VALUE"""),"Vivek Kumar")</f>
        <v>Vivek Kumar</v>
      </c>
      <c r="G1839" s="19">
        <f>IFERROR(__xludf.DUMMYFUNCTION("""COMPUTED_VALUE"""),45222.0)</f>
        <v>45222</v>
      </c>
      <c r="H1839" s="18" t="str">
        <f>IFERROR(__xludf.DUMMYFUNCTION("""COMPUTED_VALUE"""),"Credit Card")</f>
        <v>Credit Card</v>
      </c>
      <c r="I1839" s="18" t="str">
        <f>IFERROR(__xludf.DUMMYFUNCTION("""COMPUTED_VALUE"""),"Delivered")</f>
        <v>Delivered</v>
      </c>
      <c r="J1839" s="18" t="str">
        <f>IFERROR(__xludf.DUMMYFUNCTION("""COMPUTED_VALUE"""),"Delivery Experience")</f>
        <v>Delivery Experience</v>
      </c>
      <c r="K1839" s="18" t="str">
        <f>IFERROR(__xludf.DUMMYFUNCTION("""COMPUTED_VALUE"""),"Quick and professional")</f>
        <v>Quick and professional</v>
      </c>
      <c r="L1839" s="18">
        <f>iferror(VLOOKUP($D1839,Details!$A$2:$C$11,2,false),vlookup($D1839,Details!$E$2:$G$11,2,false))</f>
        <v>25</v>
      </c>
      <c r="M1839" s="18" t="str">
        <f>iferror(VLOOKUP($D1839,Details!$A$2:$C$11,3,false),vlookup($D1839,Details!$E$2:$G$11,3,false))</f>
        <v>Fruits and Vegetables</v>
      </c>
      <c r="N1839" s="18">
        <f t="shared" si="1"/>
        <v>25</v>
      </c>
      <c r="O1839" s="17"/>
      <c r="P1839" s="17"/>
      <c r="Q1839" s="17"/>
      <c r="R1839" s="17"/>
      <c r="S1839" s="17"/>
      <c r="T1839" s="17"/>
      <c r="U1839" s="17"/>
      <c r="V1839" s="17"/>
      <c r="W1839" s="17"/>
      <c r="X1839" s="17"/>
      <c r="Y1839" s="17"/>
      <c r="Z1839" s="17"/>
    </row>
    <row r="1840">
      <c r="A1840" s="18" t="str">
        <f>IFERROR(__xludf.DUMMYFUNCTION("""COMPUTED_VALUE"""),"ord_71818")</f>
        <v>ord_71818</v>
      </c>
      <c r="B1840" s="18" t="str">
        <f>IFERROR(__xludf.DUMMYFUNCTION("""COMPUTED_VALUE"""),"Sakshi Tandon")</f>
        <v>Sakshi Tandon</v>
      </c>
      <c r="C1840" s="18" t="str">
        <f>IFERROR(__xludf.DUMMYFUNCTION("""COMPUTED_VALUE"""),"Colaba")</f>
        <v>Colaba</v>
      </c>
      <c r="D1840" s="18" t="str">
        <f>IFERROR(__xludf.DUMMYFUNCTION("""COMPUTED_VALUE"""),"Apple")</f>
        <v>Apple</v>
      </c>
      <c r="E1840" s="18">
        <f>IFERROR(__xludf.DUMMYFUNCTION("""COMPUTED_VALUE"""),1.0)</f>
        <v>1</v>
      </c>
      <c r="F1840" s="18" t="str">
        <f>IFERROR(__xludf.DUMMYFUNCTION("""COMPUTED_VALUE"""),"Nithin Lal")</f>
        <v>Nithin Lal</v>
      </c>
      <c r="G1840" s="19">
        <f>IFERROR(__xludf.DUMMYFUNCTION("""COMPUTED_VALUE"""),45131.0)</f>
        <v>45131</v>
      </c>
      <c r="H1840" s="18" t="str">
        <f>IFERROR(__xludf.DUMMYFUNCTION("""COMPUTED_VALUE"""),"UPI")</f>
        <v>UPI</v>
      </c>
      <c r="I1840" s="18" t="str">
        <f>IFERROR(__xludf.DUMMYFUNCTION("""COMPUTED_VALUE"""),"Delivered")</f>
        <v>Delivered</v>
      </c>
      <c r="J1840" s="18" t="str">
        <f>IFERROR(__xludf.DUMMYFUNCTION("""COMPUTED_VALUE"""),"Convenience")</f>
        <v>Convenience</v>
      </c>
      <c r="K1840" s="18" t="str">
        <f>IFERROR(__xludf.DUMMYFUNCTION("""COMPUTED_VALUE"""),"Easy tracking")</f>
        <v>Easy tracking</v>
      </c>
      <c r="L1840" s="18">
        <f>iferror(VLOOKUP($D1840,Details!$A$2:$C$11,2,false),vlookup($D1840,Details!$E$2:$G$11,2,false))</f>
        <v>230</v>
      </c>
      <c r="M1840" s="18" t="str">
        <f>iferror(VLOOKUP($D1840,Details!$A$2:$C$11,3,false),vlookup($D1840,Details!$E$2:$G$11,3,false))</f>
        <v>Fruits and Vegetables</v>
      </c>
      <c r="N1840" s="18">
        <f t="shared" si="1"/>
        <v>230</v>
      </c>
      <c r="O1840" s="17"/>
      <c r="P1840" s="17"/>
      <c r="Q1840" s="17"/>
      <c r="R1840" s="17"/>
      <c r="S1840" s="17"/>
      <c r="T1840" s="17"/>
      <c r="U1840" s="17"/>
      <c r="V1840" s="17"/>
      <c r="W1840" s="17"/>
      <c r="X1840" s="17"/>
      <c r="Y1840" s="17"/>
      <c r="Z1840" s="17"/>
    </row>
    <row r="1841">
      <c r="A1841" s="18" t="str">
        <f>IFERROR(__xludf.DUMMYFUNCTION("""COMPUTED_VALUE"""),"ord_71819")</f>
        <v>ord_71819</v>
      </c>
      <c r="B1841" s="18" t="str">
        <f>IFERROR(__xludf.DUMMYFUNCTION("""COMPUTED_VALUE"""),"Riya Chakraborty")</f>
        <v>Riya Chakraborty</v>
      </c>
      <c r="C1841" s="18" t="str">
        <f>IFERROR(__xludf.DUMMYFUNCTION("""COMPUTED_VALUE"""),"Juhu")</f>
        <v>Juhu</v>
      </c>
      <c r="D1841" s="18" t="str">
        <f>IFERROR(__xludf.DUMMYFUNCTION("""COMPUTED_VALUE"""),"Juice")</f>
        <v>Juice</v>
      </c>
      <c r="E1841" s="18">
        <f>IFERROR(__xludf.DUMMYFUNCTION("""COMPUTED_VALUE"""),2.0)</f>
        <v>2</v>
      </c>
      <c r="F1841" s="18" t="str">
        <f>IFERROR(__xludf.DUMMYFUNCTION("""COMPUTED_VALUE"""),"Nithin Lal")</f>
        <v>Nithin Lal</v>
      </c>
      <c r="G1841" s="19">
        <f>IFERROR(__xludf.DUMMYFUNCTION("""COMPUTED_VALUE"""),45256.0)</f>
        <v>45256</v>
      </c>
      <c r="H1841" s="18" t="str">
        <f>IFERROR(__xludf.DUMMYFUNCTION("""COMPUTED_VALUE"""),"Credit Card")</f>
        <v>Credit Card</v>
      </c>
      <c r="I1841" s="18" t="str">
        <f>IFERROR(__xludf.DUMMYFUNCTION("""COMPUTED_VALUE"""),"Delivered")</f>
        <v>Delivered</v>
      </c>
      <c r="J1841" s="18" t="str">
        <f>IFERROR(__xludf.DUMMYFUNCTION("""COMPUTED_VALUE"""),"Overall Satisfaction")</f>
        <v>Overall Satisfaction</v>
      </c>
      <c r="K1841" s="18" t="str">
        <f>IFERROR(__xludf.DUMMYFUNCTION("""COMPUTED_VALUE"""),"Great service will order again")</f>
        <v>Great service will order again</v>
      </c>
      <c r="L1841" s="18">
        <f>iferror(VLOOKUP($D1841,Details!$A$2:$C$11,2,false),vlookup($D1841,Details!$E$2:$G$11,2,false))</f>
        <v>90</v>
      </c>
      <c r="M1841" s="18" t="str">
        <f>iferror(VLOOKUP($D1841,Details!$A$2:$C$11,3,false),vlookup($D1841,Details!$E$2:$G$11,3,false))</f>
        <v>Snacks and Drinks</v>
      </c>
      <c r="N1841" s="18">
        <f t="shared" si="1"/>
        <v>180</v>
      </c>
      <c r="O1841" s="17"/>
      <c r="P1841" s="17"/>
      <c r="Q1841" s="17"/>
      <c r="R1841" s="17"/>
      <c r="S1841" s="17"/>
      <c r="T1841" s="17"/>
      <c r="U1841" s="17"/>
      <c r="V1841" s="17"/>
      <c r="W1841" s="17"/>
      <c r="X1841" s="17"/>
      <c r="Y1841" s="17"/>
      <c r="Z1841" s="17"/>
    </row>
    <row r="1842">
      <c r="A1842" s="18" t="str">
        <f>IFERROR(__xludf.DUMMYFUNCTION("""COMPUTED_VALUE"""),"ord_71820")</f>
        <v>ord_71820</v>
      </c>
      <c r="B1842" s="18" t="str">
        <f>IFERROR(__xludf.DUMMYFUNCTION("""COMPUTED_VALUE"""),"Anaya Rao")</f>
        <v>Anaya Rao</v>
      </c>
      <c r="C1842" s="18" t="str">
        <f>IFERROR(__xludf.DUMMYFUNCTION("""COMPUTED_VALUE"""),"Colaba")</f>
        <v>Colaba</v>
      </c>
      <c r="D1842" s="18" t="str">
        <f>IFERROR(__xludf.DUMMYFUNCTION("""COMPUTED_VALUE"""),"Sweet Corn")</f>
        <v>Sweet Corn</v>
      </c>
      <c r="E1842" s="18">
        <f>IFERROR(__xludf.DUMMYFUNCTION("""COMPUTED_VALUE"""),1.0)</f>
        <v>1</v>
      </c>
      <c r="F1842" s="18" t="str">
        <f>IFERROR(__xludf.DUMMYFUNCTION("""COMPUTED_VALUE"""),"Ramesh S")</f>
        <v>Ramesh S</v>
      </c>
      <c r="G1842" s="19">
        <f>IFERROR(__xludf.DUMMYFUNCTION("""COMPUTED_VALUE"""),45278.0)</f>
        <v>45278</v>
      </c>
      <c r="H1842" s="18" t="str">
        <f>IFERROR(__xludf.DUMMYFUNCTION("""COMPUTED_VALUE"""),"UPI")</f>
        <v>UPI</v>
      </c>
      <c r="I1842" s="18" t="str">
        <f>IFERROR(__xludf.DUMMYFUNCTION("""COMPUTED_VALUE"""),"Delivered")</f>
        <v>Delivered</v>
      </c>
      <c r="J1842" s="18" t="str">
        <f>IFERROR(__xludf.DUMMYFUNCTION("""COMPUTED_VALUE"""),"On-time Delivery")</f>
        <v>On-time Delivery</v>
      </c>
      <c r="K1842" s="18" t="str">
        <f>IFERROR(__xludf.DUMMYFUNCTION("""COMPUTED_VALUE"""),"Delivered on time")</f>
        <v>Delivered on time</v>
      </c>
      <c r="L1842" s="18">
        <f>iferror(VLOOKUP($D1842,Details!$A$2:$C$11,2,false),vlookup($D1842,Details!$E$2:$G$11,2,false))</f>
        <v>60</v>
      </c>
      <c r="M1842" s="18" t="str">
        <f>iferror(VLOOKUP($D1842,Details!$A$2:$C$11,3,false),vlookup($D1842,Details!$E$2:$G$11,3,false))</f>
        <v>Fruits and Vegetables</v>
      </c>
      <c r="N1842" s="18">
        <f t="shared" si="1"/>
        <v>60</v>
      </c>
      <c r="O1842" s="17"/>
      <c r="P1842" s="17"/>
      <c r="Q1842" s="17"/>
      <c r="R1842" s="17"/>
      <c r="S1842" s="17"/>
      <c r="T1842" s="17"/>
      <c r="U1842" s="17"/>
      <c r="V1842" s="17"/>
      <c r="W1842" s="17"/>
      <c r="X1842" s="17"/>
      <c r="Y1842" s="17"/>
      <c r="Z1842" s="17"/>
    </row>
    <row r="1843">
      <c r="A1843" s="18" t="str">
        <f>IFERROR(__xludf.DUMMYFUNCTION("""COMPUTED_VALUE"""),"ord_71821")</f>
        <v>ord_71821</v>
      </c>
      <c r="B1843" s="18" t="str">
        <f>IFERROR(__xludf.DUMMYFUNCTION("""COMPUTED_VALUE"""),"Pranav Joshi")</f>
        <v>Pranav Joshi</v>
      </c>
      <c r="C1843" s="18" t="str">
        <f>IFERROR(__xludf.DUMMYFUNCTION("""COMPUTED_VALUE"""),"Andheri")</f>
        <v>Andheri</v>
      </c>
      <c r="D1843" s="18" t="str">
        <f>IFERROR(__xludf.DUMMYFUNCTION("""COMPUTED_VALUE"""),"Chicken Puff")</f>
        <v>Chicken Puff</v>
      </c>
      <c r="E1843" s="18">
        <f>IFERROR(__xludf.DUMMYFUNCTION("""COMPUTED_VALUE"""),5.0)</f>
        <v>5</v>
      </c>
      <c r="F1843" s="18" t="str">
        <f>IFERROR(__xludf.DUMMYFUNCTION("""COMPUTED_VALUE"""),"Nithin Lal")</f>
        <v>Nithin Lal</v>
      </c>
      <c r="G1843" s="19">
        <f>IFERROR(__xludf.DUMMYFUNCTION("""COMPUTED_VALUE"""),45280.0)</f>
        <v>45280</v>
      </c>
      <c r="H1843" s="18" t="str">
        <f>IFERROR(__xludf.DUMMYFUNCTION("""COMPUTED_VALUE"""),"Online Payment")</f>
        <v>Online Payment</v>
      </c>
      <c r="I1843" s="18" t="str">
        <f>IFERROR(__xludf.DUMMYFUNCTION("""COMPUTED_VALUE"""),"Delivered")</f>
        <v>Delivered</v>
      </c>
      <c r="J1843" s="18" t="str">
        <f>IFERROR(__xludf.DUMMYFUNCTION("""COMPUTED_VALUE"""),"Quality of Items")</f>
        <v>Quality of Items</v>
      </c>
      <c r="K1843" s="18" t="str">
        <f>IFERROR(__xludf.DUMMYFUNCTION("""COMPUTED_VALUE"""),"Perfect condition")</f>
        <v>Perfect condition</v>
      </c>
      <c r="L1843" s="18">
        <f>iferror(VLOOKUP($D1843,Details!$A$2:$C$11,2,false),vlookup($D1843,Details!$E$2:$G$11,2,false))</f>
        <v>90</v>
      </c>
      <c r="M1843" s="18" t="str">
        <f>iferror(VLOOKUP($D1843,Details!$A$2:$C$11,3,false),vlookup($D1843,Details!$E$2:$G$11,3,false))</f>
        <v>Snacks and Drinks</v>
      </c>
      <c r="N1843" s="18">
        <f t="shared" si="1"/>
        <v>450</v>
      </c>
      <c r="O1843" s="17"/>
      <c r="P1843" s="17"/>
      <c r="Q1843" s="17"/>
      <c r="R1843" s="17"/>
      <c r="S1843" s="17"/>
      <c r="T1843" s="17"/>
      <c r="U1843" s="17"/>
      <c r="V1843" s="17"/>
      <c r="W1843" s="17"/>
      <c r="X1843" s="17"/>
      <c r="Y1843" s="17"/>
      <c r="Z1843" s="17"/>
    </row>
    <row r="1844">
      <c r="A1844" s="18" t="str">
        <f>IFERROR(__xludf.DUMMYFUNCTION("""COMPUTED_VALUE"""),"ord_71822")</f>
        <v>ord_71822</v>
      </c>
      <c r="B1844" s="18" t="str">
        <f>IFERROR(__xludf.DUMMYFUNCTION("""COMPUTED_VALUE"""),"Ritika Dutta")</f>
        <v>Ritika Dutta</v>
      </c>
      <c r="C1844" s="18" t="str">
        <f>IFERROR(__xludf.DUMMYFUNCTION("""COMPUTED_VALUE"""),"Lower Parel")</f>
        <v>Lower Parel</v>
      </c>
      <c r="D1844" s="18" t="str">
        <f>IFERROR(__xludf.DUMMYFUNCTION("""COMPUTED_VALUE"""),"Onion")</f>
        <v>Onion</v>
      </c>
      <c r="E1844" s="18">
        <f>IFERROR(__xludf.DUMMYFUNCTION("""COMPUTED_VALUE"""),3.0)</f>
        <v>3</v>
      </c>
      <c r="F1844" s="18" t="str">
        <f>IFERROR(__xludf.DUMMYFUNCTION("""COMPUTED_VALUE"""),"Sita T")</f>
        <v>Sita T</v>
      </c>
      <c r="G1844" s="19">
        <f>IFERROR(__xludf.DUMMYFUNCTION("""COMPUTED_VALUE"""),45034.0)</f>
        <v>45034</v>
      </c>
      <c r="H1844" s="18" t="str">
        <f>IFERROR(__xludf.DUMMYFUNCTION("""COMPUTED_VALUE"""),"COD")</f>
        <v>COD</v>
      </c>
      <c r="I1844" s="18" t="str">
        <f>IFERROR(__xludf.DUMMYFUNCTION("""COMPUTED_VALUE"""),"Delivered")</f>
        <v>Delivered</v>
      </c>
      <c r="J1844" s="18" t="str">
        <f>IFERROR(__xludf.DUMMYFUNCTION("""COMPUTED_VALUE"""),"On-time Delivery")</f>
        <v>On-time Delivery</v>
      </c>
      <c r="K1844" s="18" t="str">
        <f>IFERROR(__xludf.DUMMYFUNCTION("""COMPUTED_VALUE"""),"Delivered on time")</f>
        <v>Delivered on time</v>
      </c>
      <c r="L1844" s="18">
        <f>iferror(VLOOKUP($D1844,Details!$A$2:$C$11,2,false),vlookup($D1844,Details!$E$2:$G$11,2,false))</f>
        <v>84</v>
      </c>
      <c r="M1844" s="18" t="str">
        <f>iferror(VLOOKUP($D1844,Details!$A$2:$C$11,3,false),vlookup($D1844,Details!$E$2:$G$11,3,false))</f>
        <v>Fruits and Vegetables</v>
      </c>
      <c r="N1844" s="18">
        <f t="shared" si="1"/>
        <v>252</v>
      </c>
      <c r="O1844" s="17"/>
      <c r="P1844" s="17"/>
      <c r="Q1844" s="17"/>
      <c r="R1844" s="17"/>
      <c r="S1844" s="17"/>
      <c r="T1844" s="17"/>
      <c r="U1844" s="17"/>
      <c r="V1844" s="17"/>
      <c r="W1844" s="17"/>
      <c r="X1844" s="17"/>
      <c r="Y1844" s="17"/>
      <c r="Z1844" s="17"/>
    </row>
    <row r="1845">
      <c r="A1845" s="18" t="str">
        <f>IFERROR(__xludf.DUMMYFUNCTION("""COMPUTED_VALUE"""),"ord_71823")</f>
        <v>ord_71823</v>
      </c>
      <c r="B1845" s="18" t="str">
        <f>IFERROR(__xludf.DUMMYFUNCTION("""COMPUTED_VALUE"""),"Kavya Menon")</f>
        <v>Kavya Menon</v>
      </c>
      <c r="C1845" s="18" t="str">
        <f>IFERROR(__xludf.DUMMYFUNCTION("""COMPUTED_VALUE"""),"Andheri")</f>
        <v>Andheri</v>
      </c>
      <c r="D1845" s="18" t="str">
        <f>IFERROR(__xludf.DUMMYFUNCTION("""COMPUTED_VALUE"""),"Rasmalai")</f>
        <v>Rasmalai</v>
      </c>
      <c r="E1845" s="18">
        <f>IFERROR(__xludf.DUMMYFUNCTION("""COMPUTED_VALUE"""),3.0)</f>
        <v>3</v>
      </c>
      <c r="F1845" s="18" t="str">
        <f>IFERROR(__xludf.DUMMYFUNCTION("""COMPUTED_VALUE"""),"Ram Gopal")</f>
        <v>Ram Gopal</v>
      </c>
      <c r="G1845" s="19">
        <f>IFERROR(__xludf.DUMMYFUNCTION("""COMPUTED_VALUE"""),45208.0)</f>
        <v>45208</v>
      </c>
      <c r="H1845" s="18" t="str">
        <f>IFERROR(__xludf.DUMMYFUNCTION("""COMPUTED_VALUE"""),"Online Payment")</f>
        <v>Online Payment</v>
      </c>
      <c r="I1845" s="18" t="str">
        <f>IFERROR(__xludf.DUMMYFUNCTION("""COMPUTED_VALUE"""),"Delivered")</f>
        <v>Delivered</v>
      </c>
      <c r="J1845" s="18" t="str">
        <f>IFERROR(__xludf.DUMMYFUNCTION("""COMPUTED_VALUE"""),"Quality of Items")</f>
        <v>Quality of Items</v>
      </c>
      <c r="K1845" s="18" t="str">
        <f>IFERROR(__xludf.DUMMYFUNCTION("""COMPUTED_VALUE"""),"Perfect condition")</f>
        <v>Perfect condition</v>
      </c>
      <c r="L1845" s="18">
        <f>iferror(VLOOKUP($D1845,Details!$A$2:$C$11,2,false),vlookup($D1845,Details!$E$2:$G$11,2,false))</f>
        <v>110</v>
      </c>
      <c r="M1845" s="18" t="str">
        <f>iferror(VLOOKUP($D1845,Details!$A$2:$C$11,3,false),vlookup($D1845,Details!$E$2:$G$11,3,false))</f>
        <v>Snacks and Drinks</v>
      </c>
      <c r="N1845" s="18">
        <f t="shared" si="1"/>
        <v>330</v>
      </c>
      <c r="O1845" s="17"/>
      <c r="P1845" s="17"/>
      <c r="Q1845" s="17"/>
      <c r="R1845" s="17"/>
      <c r="S1845" s="17"/>
      <c r="T1845" s="17"/>
      <c r="U1845" s="17"/>
      <c r="V1845" s="17"/>
      <c r="W1845" s="17"/>
      <c r="X1845" s="17"/>
      <c r="Y1845" s="17"/>
      <c r="Z1845" s="17"/>
    </row>
    <row r="1846">
      <c r="A1846" s="18" t="str">
        <f>IFERROR(__xludf.DUMMYFUNCTION("""COMPUTED_VALUE"""),"ord_71824")</f>
        <v>ord_71824</v>
      </c>
      <c r="B1846" s="18" t="str">
        <f>IFERROR(__xludf.DUMMYFUNCTION("""COMPUTED_VALUE"""),"Kavya Menon")</f>
        <v>Kavya Menon</v>
      </c>
      <c r="C1846" s="18" t="str">
        <f>IFERROR(__xludf.DUMMYFUNCTION("""COMPUTED_VALUE"""),"Andheri")</f>
        <v>Andheri</v>
      </c>
      <c r="D1846" s="18" t="str">
        <f>IFERROR(__xludf.DUMMYFUNCTION("""COMPUTED_VALUE"""),"Orange")</f>
        <v>Orange</v>
      </c>
      <c r="E1846" s="18">
        <f>IFERROR(__xludf.DUMMYFUNCTION("""COMPUTED_VALUE"""),3.0)</f>
        <v>3</v>
      </c>
      <c r="F1846" s="18" t="str">
        <f>IFERROR(__xludf.DUMMYFUNCTION("""COMPUTED_VALUE"""),"Sita T")</f>
        <v>Sita T</v>
      </c>
      <c r="G1846" s="19">
        <f>IFERROR(__xludf.DUMMYFUNCTION("""COMPUTED_VALUE"""),45164.0)</f>
        <v>45164</v>
      </c>
      <c r="H1846" s="18" t="str">
        <f>IFERROR(__xludf.DUMMYFUNCTION("""COMPUTED_VALUE"""),"UPI")</f>
        <v>UPI</v>
      </c>
      <c r="I1846" s="18" t="str">
        <f>IFERROR(__xludf.DUMMYFUNCTION("""COMPUTED_VALUE"""),"Delivered")</f>
        <v>Delivered</v>
      </c>
      <c r="J1846" s="18" t="str">
        <f>IFERROR(__xludf.DUMMYFUNCTION("""COMPUTED_VALUE"""),"Packaging")</f>
        <v>Packaging</v>
      </c>
      <c r="K1846" s="18" t="str">
        <f>IFERROR(__xludf.DUMMYFUNCTION("""COMPUTED_VALUE"""),"Secure and intact")</f>
        <v>Secure and intact</v>
      </c>
      <c r="L1846" s="18">
        <f>iferror(VLOOKUP($D1846,Details!$A$2:$C$11,2,false),vlookup($D1846,Details!$E$2:$G$11,2,false))</f>
        <v>180</v>
      </c>
      <c r="M1846" s="18" t="str">
        <f>iferror(VLOOKUP($D1846,Details!$A$2:$C$11,3,false),vlookup($D1846,Details!$E$2:$G$11,3,false))</f>
        <v>Fruits and Vegetables</v>
      </c>
      <c r="N1846" s="18">
        <f t="shared" si="1"/>
        <v>540</v>
      </c>
      <c r="O1846" s="17"/>
      <c r="P1846" s="17"/>
      <c r="Q1846" s="17"/>
      <c r="R1846" s="17"/>
      <c r="S1846" s="17"/>
      <c r="T1846" s="17"/>
      <c r="U1846" s="17"/>
      <c r="V1846" s="17"/>
      <c r="W1846" s="17"/>
      <c r="X1846" s="17"/>
      <c r="Y1846" s="17"/>
      <c r="Z1846" s="17"/>
    </row>
    <row r="1847">
      <c r="A1847" s="18" t="str">
        <f>IFERROR(__xludf.DUMMYFUNCTION("""COMPUTED_VALUE"""),"ord_71825")</f>
        <v>ord_71825</v>
      </c>
      <c r="B1847" s="18" t="str">
        <f>IFERROR(__xludf.DUMMYFUNCTION("""COMPUTED_VALUE"""),"Dev Chauhan")</f>
        <v>Dev Chauhan</v>
      </c>
      <c r="C1847" s="18" t="str">
        <f>IFERROR(__xludf.DUMMYFUNCTION("""COMPUTED_VALUE"""),"Bandra")</f>
        <v>Bandra</v>
      </c>
      <c r="D1847" s="18" t="str">
        <f>IFERROR(__xludf.DUMMYFUNCTION("""COMPUTED_VALUE"""),"Banana")</f>
        <v>Banana</v>
      </c>
      <c r="E1847" s="18">
        <f>IFERROR(__xludf.DUMMYFUNCTION("""COMPUTED_VALUE"""),1.0)</f>
        <v>1</v>
      </c>
      <c r="F1847" s="18" t="str">
        <f>IFERROR(__xludf.DUMMYFUNCTION("""COMPUTED_VALUE"""),"Sita T")</f>
        <v>Sita T</v>
      </c>
      <c r="G1847" s="19">
        <f>IFERROR(__xludf.DUMMYFUNCTION("""COMPUTED_VALUE"""),45035.0)</f>
        <v>45035</v>
      </c>
      <c r="H1847" s="18" t="str">
        <f>IFERROR(__xludf.DUMMYFUNCTION("""COMPUTED_VALUE"""),"Online Payment")</f>
        <v>Online Payment</v>
      </c>
      <c r="I1847" s="18" t="str">
        <f>IFERROR(__xludf.DUMMYFUNCTION("""COMPUTED_VALUE"""),"Delivered")</f>
        <v>Delivered</v>
      </c>
      <c r="J1847" s="18" t="str">
        <f>IFERROR(__xludf.DUMMYFUNCTION("""COMPUTED_VALUE"""),"Satisfied with the Delivery")</f>
        <v>Satisfied with the Delivery</v>
      </c>
      <c r="K1847" s="18" t="str">
        <f>IFERROR(__xludf.DUMMYFUNCTION("""COMPUTED_VALUE"""),"Timely and quality")</f>
        <v>Timely and quality</v>
      </c>
      <c r="L1847" s="18">
        <f>iferror(VLOOKUP($D1847,Details!$A$2:$C$11,2,false),vlookup($D1847,Details!$E$2:$G$11,2,false))</f>
        <v>80</v>
      </c>
      <c r="M1847" s="18" t="str">
        <f>iferror(VLOOKUP($D1847,Details!$A$2:$C$11,3,false),vlookup($D1847,Details!$E$2:$G$11,3,false))</f>
        <v>Fruits and Vegetables</v>
      </c>
      <c r="N1847" s="18">
        <f t="shared" si="1"/>
        <v>80</v>
      </c>
      <c r="O1847" s="17"/>
      <c r="P1847" s="17"/>
      <c r="Q1847" s="17"/>
      <c r="R1847" s="17"/>
      <c r="S1847" s="17"/>
      <c r="T1847" s="17"/>
      <c r="U1847" s="17"/>
      <c r="V1847" s="17"/>
      <c r="W1847" s="17"/>
      <c r="X1847" s="17"/>
      <c r="Y1847" s="17"/>
      <c r="Z1847" s="17"/>
    </row>
    <row r="1848">
      <c r="A1848" s="18" t="str">
        <f>IFERROR(__xludf.DUMMYFUNCTION("""COMPUTED_VALUE"""),"ord_71826")</f>
        <v>ord_71826</v>
      </c>
      <c r="B1848" s="18" t="str">
        <f>IFERROR(__xludf.DUMMYFUNCTION("""COMPUTED_VALUE"""),"Tanishq Bansal")</f>
        <v>Tanishq Bansal</v>
      </c>
      <c r="C1848" s="18" t="str">
        <f>IFERROR(__xludf.DUMMYFUNCTION("""COMPUTED_VALUE"""),"Powai")</f>
        <v>Powai</v>
      </c>
      <c r="D1848" s="18" t="str">
        <f>IFERROR(__xludf.DUMMYFUNCTION("""COMPUTED_VALUE"""),"Tiramisu")</f>
        <v>Tiramisu</v>
      </c>
      <c r="E1848" s="18">
        <f>IFERROR(__xludf.DUMMYFUNCTION("""COMPUTED_VALUE"""),1.0)</f>
        <v>1</v>
      </c>
      <c r="F1848" s="18" t="str">
        <f>IFERROR(__xludf.DUMMYFUNCTION("""COMPUTED_VALUE"""),"Vivek Kumar")</f>
        <v>Vivek Kumar</v>
      </c>
      <c r="G1848" s="19">
        <f>IFERROR(__xludf.DUMMYFUNCTION("""COMPUTED_VALUE"""),44997.0)</f>
        <v>44997</v>
      </c>
      <c r="H1848" s="18" t="str">
        <f>IFERROR(__xludf.DUMMYFUNCTION("""COMPUTED_VALUE"""),"Credit Card")</f>
        <v>Credit Card</v>
      </c>
      <c r="I1848" s="18" t="str">
        <f>IFERROR(__xludf.DUMMYFUNCTION("""COMPUTED_VALUE"""),"Delivered")</f>
        <v>Delivered</v>
      </c>
      <c r="J1848" s="18" t="str">
        <f>IFERROR(__xludf.DUMMYFUNCTION("""COMPUTED_VALUE"""),"Customer Service")</f>
        <v>Customer Service</v>
      </c>
      <c r="K1848" s="18" t="str">
        <f>IFERROR(__xludf.DUMMYFUNCTION("""COMPUTED_VALUE"""),"Seamless and easy")</f>
        <v>Seamless and easy</v>
      </c>
      <c r="L1848" s="18">
        <f>iferror(VLOOKUP($D1848,Details!$A$2:$C$11,2,false),vlookup($D1848,Details!$E$2:$G$11,2,false))</f>
        <v>150</v>
      </c>
      <c r="M1848" s="18" t="str">
        <f>iferror(VLOOKUP($D1848,Details!$A$2:$C$11,3,false),vlookup($D1848,Details!$E$2:$G$11,3,false))</f>
        <v>Snacks and Drinks</v>
      </c>
      <c r="N1848" s="18">
        <f t="shared" si="1"/>
        <v>150</v>
      </c>
      <c r="O1848" s="17"/>
      <c r="P1848" s="17"/>
      <c r="Q1848" s="17"/>
      <c r="R1848" s="17"/>
      <c r="S1848" s="17"/>
      <c r="T1848" s="17"/>
      <c r="U1848" s="17"/>
      <c r="V1848" s="17"/>
      <c r="W1848" s="17"/>
      <c r="X1848" s="17"/>
      <c r="Y1848" s="17"/>
      <c r="Z1848" s="17"/>
    </row>
    <row r="1849">
      <c r="A1849" s="18" t="str">
        <f>IFERROR(__xludf.DUMMYFUNCTION("""COMPUTED_VALUE"""),"ord_71827")</f>
        <v>ord_71827</v>
      </c>
      <c r="B1849" s="18" t="str">
        <f>IFERROR(__xludf.DUMMYFUNCTION("""COMPUTED_VALUE"""),"Ritika Dutta")</f>
        <v>Ritika Dutta</v>
      </c>
      <c r="C1849" s="18" t="str">
        <f>IFERROR(__xludf.DUMMYFUNCTION("""COMPUTED_VALUE"""),"Lower Parel")</f>
        <v>Lower Parel</v>
      </c>
      <c r="D1849" s="18" t="str">
        <f>IFERROR(__xludf.DUMMYFUNCTION("""COMPUTED_VALUE"""),"Veg Puff")</f>
        <v>Veg Puff</v>
      </c>
      <c r="E1849" s="18">
        <f>IFERROR(__xludf.DUMMYFUNCTION("""COMPUTED_VALUE"""),8.0)</f>
        <v>8</v>
      </c>
      <c r="F1849" s="18" t="str">
        <f>IFERROR(__xludf.DUMMYFUNCTION("""COMPUTED_VALUE"""),"Venu R")</f>
        <v>Venu R</v>
      </c>
      <c r="G1849" s="19">
        <f>IFERROR(__xludf.DUMMYFUNCTION("""COMPUTED_VALUE"""),45015.0)</f>
        <v>45015</v>
      </c>
      <c r="H1849" s="18" t="str">
        <f>IFERROR(__xludf.DUMMYFUNCTION("""COMPUTED_VALUE"""),"Online Payment")</f>
        <v>Online Payment</v>
      </c>
      <c r="I1849" s="18" t="str">
        <f>IFERROR(__xludf.DUMMYFUNCTION("""COMPUTED_VALUE"""),"Delivered")</f>
        <v>Delivered</v>
      </c>
      <c r="J1849" s="18" t="str">
        <f>IFERROR(__xludf.DUMMYFUNCTION("""COMPUTED_VALUE"""),"Delivery Experience")</f>
        <v>Delivery Experience</v>
      </c>
      <c r="K1849" s="18" t="str">
        <f>IFERROR(__xludf.DUMMYFUNCTION("""COMPUTED_VALUE"""),"Quick and professional")</f>
        <v>Quick and professional</v>
      </c>
      <c r="L1849" s="18">
        <f>iferror(VLOOKUP($D1849,Details!$A$2:$C$11,2,false),vlookup($D1849,Details!$E$2:$G$11,2,false))</f>
        <v>80</v>
      </c>
      <c r="M1849" s="18" t="str">
        <f>iferror(VLOOKUP($D1849,Details!$A$2:$C$11,3,false),vlookup($D1849,Details!$E$2:$G$11,3,false))</f>
        <v>Snacks and Drinks</v>
      </c>
      <c r="N1849" s="18">
        <f t="shared" si="1"/>
        <v>640</v>
      </c>
      <c r="O1849" s="17"/>
      <c r="P1849" s="17"/>
      <c r="Q1849" s="17"/>
      <c r="R1849" s="17"/>
      <c r="S1849" s="17"/>
      <c r="T1849" s="17"/>
      <c r="U1849" s="17"/>
      <c r="V1849" s="17"/>
      <c r="W1849" s="17"/>
      <c r="X1849" s="17"/>
      <c r="Y1849" s="17"/>
      <c r="Z1849" s="17"/>
    </row>
    <row r="1850">
      <c r="A1850" s="18" t="str">
        <f>IFERROR(__xludf.DUMMYFUNCTION("""COMPUTED_VALUE"""),"ord_71828")</f>
        <v>ord_71828</v>
      </c>
      <c r="B1850" s="18" t="str">
        <f>IFERROR(__xludf.DUMMYFUNCTION("""COMPUTED_VALUE"""),"Tanishq Bansal")</f>
        <v>Tanishq Bansal</v>
      </c>
      <c r="C1850" s="18" t="str">
        <f>IFERROR(__xludf.DUMMYFUNCTION("""COMPUTED_VALUE"""),"Powai")</f>
        <v>Powai</v>
      </c>
      <c r="D1850" s="18" t="str">
        <f>IFERROR(__xludf.DUMMYFUNCTION("""COMPUTED_VALUE"""),"Juice")</f>
        <v>Juice</v>
      </c>
      <c r="E1850" s="18">
        <f>IFERROR(__xludf.DUMMYFUNCTION("""COMPUTED_VALUE"""),2.0)</f>
        <v>2</v>
      </c>
      <c r="F1850" s="18" t="str">
        <f>IFERROR(__xludf.DUMMYFUNCTION("""COMPUTED_VALUE"""),"Ram Gopal")</f>
        <v>Ram Gopal</v>
      </c>
      <c r="G1850" s="19">
        <f>IFERROR(__xludf.DUMMYFUNCTION("""COMPUTED_VALUE"""),45042.0)</f>
        <v>45042</v>
      </c>
      <c r="H1850" s="18" t="str">
        <f>IFERROR(__xludf.DUMMYFUNCTION("""COMPUTED_VALUE"""),"COD")</f>
        <v>COD</v>
      </c>
      <c r="I1850" s="18" t="str">
        <f>IFERROR(__xludf.DUMMYFUNCTION("""COMPUTED_VALUE"""),"Delivered")</f>
        <v>Delivered</v>
      </c>
      <c r="J1850" s="18" t="str">
        <f>IFERROR(__xludf.DUMMYFUNCTION("""COMPUTED_VALUE"""),"Convenience")</f>
        <v>Convenience</v>
      </c>
      <c r="K1850" s="18" t="str">
        <f>IFERROR(__xludf.DUMMYFUNCTION("""COMPUTED_VALUE"""),"Easy tracking")</f>
        <v>Easy tracking</v>
      </c>
      <c r="L1850" s="18">
        <f>iferror(VLOOKUP($D1850,Details!$A$2:$C$11,2,false),vlookup($D1850,Details!$E$2:$G$11,2,false))</f>
        <v>90</v>
      </c>
      <c r="M1850" s="18" t="str">
        <f>iferror(VLOOKUP($D1850,Details!$A$2:$C$11,3,false),vlookup($D1850,Details!$E$2:$G$11,3,false))</f>
        <v>Snacks and Drinks</v>
      </c>
      <c r="N1850" s="18">
        <f t="shared" si="1"/>
        <v>180</v>
      </c>
      <c r="O1850" s="17"/>
      <c r="P1850" s="17"/>
      <c r="Q1850" s="17"/>
      <c r="R1850" s="17"/>
      <c r="S1850" s="17"/>
      <c r="T1850" s="17"/>
      <c r="U1850" s="17"/>
      <c r="V1850" s="17"/>
      <c r="W1850" s="17"/>
      <c r="X1850" s="17"/>
      <c r="Y1850" s="17"/>
      <c r="Z1850" s="17"/>
    </row>
    <row r="1851">
      <c r="A1851" s="18" t="str">
        <f>IFERROR(__xludf.DUMMYFUNCTION("""COMPUTED_VALUE"""),"ord_71829")</f>
        <v>ord_71829</v>
      </c>
      <c r="B1851" s="18" t="str">
        <f>IFERROR(__xludf.DUMMYFUNCTION("""COMPUTED_VALUE"""),"Aditi Iyer")</f>
        <v>Aditi Iyer</v>
      </c>
      <c r="C1851" s="18" t="str">
        <f>IFERROR(__xludf.DUMMYFUNCTION("""COMPUTED_VALUE"""),"Dadar")</f>
        <v>Dadar</v>
      </c>
      <c r="D1851" s="18" t="str">
        <f>IFERROR(__xludf.DUMMYFUNCTION("""COMPUTED_VALUE"""),"Veg Puff")</f>
        <v>Veg Puff</v>
      </c>
      <c r="E1851" s="18">
        <f>IFERROR(__xludf.DUMMYFUNCTION("""COMPUTED_VALUE"""),3.0)</f>
        <v>3</v>
      </c>
      <c r="F1851" s="18" t="str">
        <f>IFERROR(__xludf.DUMMYFUNCTION("""COMPUTED_VALUE"""),"Venu R")</f>
        <v>Venu R</v>
      </c>
      <c r="G1851" s="19">
        <f>IFERROR(__xludf.DUMMYFUNCTION("""COMPUTED_VALUE"""),45132.0)</f>
        <v>45132</v>
      </c>
      <c r="H1851" s="18" t="str">
        <f>IFERROR(__xludf.DUMMYFUNCTION("""COMPUTED_VALUE"""),"Credit Card")</f>
        <v>Credit Card</v>
      </c>
      <c r="I1851" s="18" t="str">
        <f>IFERROR(__xludf.DUMMYFUNCTION("""COMPUTED_VALUE"""),"Delivered")</f>
        <v>Delivered</v>
      </c>
      <c r="J1851" s="18" t="str">
        <f>IFERROR(__xludf.DUMMYFUNCTION("""COMPUTED_VALUE"""),"Overall Satisfaction")</f>
        <v>Overall Satisfaction</v>
      </c>
      <c r="K1851" s="18" t="str">
        <f>IFERROR(__xludf.DUMMYFUNCTION("""COMPUTED_VALUE"""),"Great service will order again")</f>
        <v>Great service will order again</v>
      </c>
      <c r="L1851" s="18">
        <f>iferror(VLOOKUP($D1851,Details!$A$2:$C$11,2,false),vlookup($D1851,Details!$E$2:$G$11,2,false))</f>
        <v>80</v>
      </c>
      <c r="M1851" s="18" t="str">
        <f>iferror(VLOOKUP($D1851,Details!$A$2:$C$11,3,false),vlookup($D1851,Details!$E$2:$G$11,3,false))</f>
        <v>Snacks and Drinks</v>
      </c>
      <c r="N1851" s="18">
        <f t="shared" si="1"/>
        <v>240</v>
      </c>
      <c r="O1851" s="17"/>
      <c r="P1851" s="17"/>
      <c r="Q1851" s="17"/>
      <c r="R1851" s="17"/>
      <c r="S1851" s="17"/>
      <c r="T1851" s="17"/>
      <c r="U1851" s="17"/>
      <c r="V1851" s="17"/>
      <c r="W1851" s="17"/>
      <c r="X1851" s="17"/>
      <c r="Y1851" s="17"/>
      <c r="Z1851" s="17"/>
    </row>
    <row r="1852">
      <c r="A1852" s="18" t="str">
        <f>IFERROR(__xludf.DUMMYFUNCTION("""COMPUTED_VALUE"""),"ord_71830")</f>
        <v>ord_71830</v>
      </c>
      <c r="B1852" s="18" t="str">
        <f>IFERROR(__xludf.DUMMYFUNCTION("""COMPUTED_VALUE"""),"Parth Goel")</f>
        <v>Parth Goel</v>
      </c>
      <c r="C1852" s="18" t="str">
        <f>IFERROR(__xludf.DUMMYFUNCTION("""COMPUTED_VALUE"""),"Juhu")</f>
        <v>Juhu</v>
      </c>
      <c r="D1852" s="18" t="str">
        <f>IFERROR(__xludf.DUMMYFUNCTION("""COMPUTED_VALUE"""),"Chocolate Mousse")</f>
        <v>Chocolate Mousse</v>
      </c>
      <c r="E1852" s="18">
        <f>IFERROR(__xludf.DUMMYFUNCTION("""COMPUTED_VALUE"""),1.0)</f>
        <v>1</v>
      </c>
      <c r="F1852" s="18" t="str">
        <f>IFERROR(__xludf.DUMMYFUNCTION("""COMPUTED_VALUE"""),"Manju Ajay")</f>
        <v>Manju Ajay</v>
      </c>
      <c r="G1852" s="19">
        <f>IFERROR(__xludf.DUMMYFUNCTION("""COMPUTED_VALUE"""),45237.0)</f>
        <v>45237</v>
      </c>
      <c r="H1852" s="18" t="str">
        <f>IFERROR(__xludf.DUMMYFUNCTION("""COMPUTED_VALUE"""),"COD")</f>
        <v>COD</v>
      </c>
      <c r="I1852" s="18" t="str">
        <f>IFERROR(__xludf.DUMMYFUNCTION("""COMPUTED_VALUE"""),"Delivered")</f>
        <v>Delivered</v>
      </c>
      <c r="J1852" s="18" t="str">
        <f>IFERROR(__xludf.DUMMYFUNCTION("""COMPUTED_VALUE"""),"On-time Delivery")</f>
        <v>On-time Delivery</v>
      </c>
      <c r="K1852" s="18" t="str">
        <f>IFERROR(__xludf.DUMMYFUNCTION("""COMPUTED_VALUE"""),"Delivered on time")</f>
        <v>Delivered on time</v>
      </c>
      <c r="L1852" s="18">
        <f>iferror(VLOOKUP($D1852,Details!$A$2:$C$11,2,false),vlookup($D1852,Details!$E$2:$G$11,2,false))</f>
        <v>145</v>
      </c>
      <c r="M1852" s="18" t="str">
        <f>iferror(VLOOKUP($D1852,Details!$A$2:$C$11,3,false),vlookup($D1852,Details!$E$2:$G$11,3,false))</f>
        <v>Snacks and Drinks</v>
      </c>
      <c r="N1852" s="18">
        <f t="shared" si="1"/>
        <v>145</v>
      </c>
      <c r="O1852" s="17"/>
      <c r="P1852" s="17"/>
      <c r="Q1852" s="17"/>
      <c r="R1852" s="17"/>
      <c r="S1852" s="17"/>
      <c r="T1852" s="17"/>
      <c r="U1852" s="17"/>
      <c r="V1852" s="17"/>
      <c r="W1852" s="17"/>
      <c r="X1852" s="17"/>
      <c r="Y1852" s="17"/>
      <c r="Z1852" s="17"/>
    </row>
    <row r="1853">
      <c r="A1853" s="18" t="str">
        <f>IFERROR(__xludf.DUMMYFUNCTION("""COMPUTED_VALUE"""),"ord_71831")</f>
        <v>ord_71831</v>
      </c>
      <c r="B1853" s="18" t="str">
        <f>IFERROR(__xludf.DUMMYFUNCTION("""COMPUTED_VALUE"""),"Tanishq Bansal")</f>
        <v>Tanishq Bansal</v>
      </c>
      <c r="C1853" s="18" t="str">
        <f>IFERROR(__xludf.DUMMYFUNCTION("""COMPUTED_VALUE"""),"Powai")</f>
        <v>Powai</v>
      </c>
      <c r="D1853" s="18" t="str">
        <f>IFERROR(__xludf.DUMMYFUNCTION("""COMPUTED_VALUE"""),"Tiramisu")</f>
        <v>Tiramisu</v>
      </c>
      <c r="E1853" s="18">
        <f>IFERROR(__xludf.DUMMYFUNCTION("""COMPUTED_VALUE"""),3.0)</f>
        <v>3</v>
      </c>
      <c r="F1853" s="18" t="str">
        <f>IFERROR(__xludf.DUMMYFUNCTION("""COMPUTED_VALUE"""),"Ramesh S")</f>
        <v>Ramesh S</v>
      </c>
      <c r="G1853" s="19">
        <f>IFERROR(__xludf.DUMMYFUNCTION("""COMPUTED_VALUE"""),44961.0)</f>
        <v>44961</v>
      </c>
      <c r="H1853" s="18" t="str">
        <f>IFERROR(__xludf.DUMMYFUNCTION("""COMPUTED_VALUE"""),"UPI")</f>
        <v>UPI</v>
      </c>
      <c r="I1853" s="18" t="str">
        <f>IFERROR(__xludf.DUMMYFUNCTION("""COMPUTED_VALUE"""),"Delivered")</f>
        <v>Delivered</v>
      </c>
      <c r="J1853" s="18" t="str">
        <f>IFERROR(__xludf.DUMMYFUNCTION("""COMPUTED_VALUE"""),"Quality of Items")</f>
        <v>Quality of Items</v>
      </c>
      <c r="K1853" s="18" t="str">
        <f>IFERROR(__xludf.DUMMYFUNCTION("""COMPUTED_VALUE"""),"Perfect condition")</f>
        <v>Perfect condition</v>
      </c>
      <c r="L1853" s="18">
        <f>iferror(VLOOKUP($D1853,Details!$A$2:$C$11,2,false),vlookup($D1853,Details!$E$2:$G$11,2,false))</f>
        <v>150</v>
      </c>
      <c r="M1853" s="18" t="str">
        <f>iferror(VLOOKUP($D1853,Details!$A$2:$C$11,3,false),vlookup($D1853,Details!$E$2:$G$11,3,false))</f>
        <v>Snacks and Drinks</v>
      </c>
      <c r="N1853" s="18">
        <f t="shared" si="1"/>
        <v>450</v>
      </c>
      <c r="O1853" s="17"/>
      <c r="P1853" s="17"/>
      <c r="Q1853" s="17"/>
      <c r="R1853" s="17"/>
      <c r="S1853" s="17"/>
      <c r="T1853" s="17"/>
      <c r="U1853" s="17"/>
      <c r="V1853" s="17"/>
      <c r="W1853" s="17"/>
      <c r="X1853" s="17"/>
      <c r="Y1853" s="17"/>
      <c r="Z1853" s="17"/>
    </row>
    <row r="1854">
      <c r="A1854" s="18" t="str">
        <f>IFERROR(__xludf.DUMMYFUNCTION("""COMPUTED_VALUE"""),"ord_71832")</f>
        <v>ord_71832</v>
      </c>
      <c r="B1854" s="18" t="str">
        <f>IFERROR(__xludf.DUMMYFUNCTION("""COMPUTED_VALUE"""),"Omkar Mishra")</f>
        <v>Omkar Mishra</v>
      </c>
      <c r="C1854" s="18" t="str">
        <f>IFERROR(__xludf.DUMMYFUNCTION("""COMPUTED_VALUE"""),"Powai")</f>
        <v>Powai</v>
      </c>
      <c r="D1854" s="18" t="str">
        <f>IFERROR(__xludf.DUMMYFUNCTION("""COMPUTED_VALUE"""),"Potato")</f>
        <v>Potato</v>
      </c>
      <c r="E1854" s="18">
        <f>IFERROR(__xludf.DUMMYFUNCTION("""COMPUTED_VALUE"""),1.0)</f>
        <v>1</v>
      </c>
      <c r="F1854" s="18" t="str">
        <f>IFERROR(__xludf.DUMMYFUNCTION("""COMPUTED_VALUE"""),"Venu R")</f>
        <v>Venu R</v>
      </c>
      <c r="G1854" s="19">
        <f>IFERROR(__xludf.DUMMYFUNCTION("""COMPUTED_VALUE"""),45023.0)</f>
        <v>45023</v>
      </c>
      <c r="H1854" s="18" t="str">
        <f>IFERROR(__xludf.DUMMYFUNCTION("""COMPUTED_VALUE"""),"COD")</f>
        <v>COD</v>
      </c>
      <c r="I1854" s="18" t="str">
        <f>IFERROR(__xludf.DUMMYFUNCTION("""COMPUTED_VALUE"""),"Delivered")</f>
        <v>Delivered</v>
      </c>
      <c r="J1854" s="18" t="str">
        <f>IFERROR(__xludf.DUMMYFUNCTION("""COMPUTED_VALUE"""),"On-time Delivery")</f>
        <v>On-time Delivery</v>
      </c>
      <c r="K1854" s="18" t="str">
        <f>IFERROR(__xludf.DUMMYFUNCTION("""COMPUTED_VALUE"""),"Delivered on time")</f>
        <v>Delivered on time</v>
      </c>
      <c r="L1854" s="18">
        <f>iferror(VLOOKUP($D1854,Details!$A$2:$C$11,2,false),vlookup($D1854,Details!$E$2:$G$11,2,false))</f>
        <v>55</v>
      </c>
      <c r="M1854" s="18" t="str">
        <f>iferror(VLOOKUP($D1854,Details!$A$2:$C$11,3,false),vlookup($D1854,Details!$E$2:$G$11,3,false))</f>
        <v>Fruits and Vegetables</v>
      </c>
      <c r="N1854" s="18">
        <f t="shared" si="1"/>
        <v>55</v>
      </c>
      <c r="O1854" s="17"/>
      <c r="P1854" s="17"/>
      <c r="Q1854" s="17"/>
      <c r="R1854" s="17"/>
      <c r="S1854" s="17"/>
      <c r="T1854" s="17"/>
      <c r="U1854" s="17"/>
      <c r="V1854" s="17"/>
      <c r="W1854" s="17"/>
      <c r="X1854" s="17"/>
      <c r="Y1854" s="17"/>
      <c r="Z1854" s="17"/>
    </row>
    <row r="1855">
      <c r="A1855" s="18" t="str">
        <f>IFERROR(__xludf.DUMMYFUNCTION("""COMPUTED_VALUE"""),"ord_71833")</f>
        <v>ord_71833</v>
      </c>
      <c r="B1855" s="18" t="str">
        <f>IFERROR(__xludf.DUMMYFUNCTION("""COMPUTED_VALUE"""),"Parth Goel")</f>
        <v>Parth Goel</v>
      </c>
      <c r="C1855" s="18" t="str">
        <f>IFERROR(__xludf.DUMMYFUNCTION("""COMPUTED_VALUE"""),"Juhu")</f>
        <v>Juhu</v>
      </c>
      <c r="D1855" s="18" t="str">
        <f>IFERROR(__xludf.DUMMYFUNCTION("""COMPUTED_VALUE"""),"Apple")</f>
        <v>Apple</v>
      </c>
      <c r="E1855" s="18">
        <f>IFERROR(__xludf.DUMMYFUNCTION("""COMPUTED_VALUE"""),2.0)</f>
        <v>2</v>
      </c>
      <c r="F1855" s="18" t="str">
        <f>IFERROR(__xludf.DUMMYFUNCTION("""COMPUTED_VALUE"""),"Venu R")</f>
        <v>Venu R</v>
      </c>
      <c r="G1855" s="19">
        <f>IFERROR(__xludf.DUMMYFUNCTION("""COMPUTED_VALUE"""),44927.0)</f>
        <v>44927</v>
      </c>
      <c r="H1855" s="18" t="str">
        <f>IFERROR(__xludf.DUMMYFUNCTION("""COMPUTED_VALUE"""),"Credit Card")</f>
        <v>Credit Card</v>
      </c>
      <c r="I1855" s="18" t="str">
        <f>IFERROR(__xludf.DUMMYFUNCTION("""COMPUTED_VALUE"""),"Delivered")</f>
        <v>Delivered</v>
      </c>
      <c r="J1855" s="18" t="str">
        <f>IFERROR(__xludf.DUMMYFUNCTION("""COMPUTED_VALUE"""),"Quality of Items")</f>
        <v>Quality of Items</v>
      </c>
      <c r="K1855" s="18" t="str">
        <f>IFERROR(__xludf.DUMMYFUNCTION("""COMPUTED_VALUE"""),"Perfect condition")</f>
        <v>Perfect condition</v>
      </c>
      <c r="L1855" s="18">
        <f>iferror(VLOOKUP($D1855,Details!$A$2:$C$11,2,false),vlookup($D1855,Details!$E$2:$G$11,2,false))</f>
        <v>230</v>
      </c>
      <c r="M1855" s="18" t="str">
        <f>iferror(VLOOKUP($D1855,Details!$A$2:$C$11,3,false),vlookup($D1855,Details!$E$2:$G$11,3,false))</f>
        <v>Fruits and Vegetables</v>
      </c>
      <c r="N1855" s="18">
        <f t="shared" si="1"/>
        <v>460</v>
      </c>
      <c r="O1855" s="17"/>
      <c r="P1855" s="17"/>
      <c r="Q1855" s="17"/>
      <c r="R1855" s="17"/>
      <c r="S1855" s="17"/>
      <c r="T1855" s="17"/>
      <c r="U1855" s="17"/>
      <c r="V1855" s="17"/>
      <c r="W1855" s="17"/>
      <c r="X1855" s="17"/>
      <c r="Y1855" s="17"/>
      <c r="Z1855" s="17"/>
    </row>
    <row r="1856">
      <c r="A1856" s="18" t="str">
        <f>IFERROR(__xludf.DUMMYFUNCTION("""COMPUTED_VALUE"""),"ord_71834")</f>
        <v>ord_71834</v>
      </c>
      <c r="B1856" s="18" t="str">
        <f>IFERROR(__xludf.DUMMYFUNCTION("""COMPUTED_VALUE"""),"Aarohi Kapoor")</f>
        <v>Aarohi Kapoor</v>
      </c>
      <c r="C1856" s="18" t="str">
        <f>IFERROR(__xludf.DUMMYFUNCTION("""COMPUTED_VALUE"""),"Bandra")</f>
        <v>Bandra</v>
      </c>
      <c r="D1856" s="18" t="str">
        <f>IFERROR(__xludf.DUMMYFUNCTION("""COMPUTED_VALUE"""),"Cold Coffee")</f>
        <v>Cold Coffee</v>
      </c>
      <c r="E1856" s="18">
        <f>IFERROR(__xludf.DUMMYFUNCTION("""COMPUTED_VALUE"""),4.0)</f>
        <v>4</v>
      </c>
      <c r="F1856" s="18" t="str">
        <f>IFERROR(__xludf.DUMMYFUNCTION("""COMPUTED_VALUE"""),"Ramesh S")</f>
        <v>Ramesh S</v>
      </c>
      <c r="G1856" s="19">
        <f>IFERROR(__xludf.DUMMYFUNCTION("""COMPUTED_VALUE"""),45245.0)</f>
        <v>45245</v>
      </c>
      <c r="H1856" s="18" t="str">
        <f>IFERROR(__xludf.DUMMYFUNCTION("""COMPUTED_VALUE"""),"Online Payment")</f>
        <v>Online Payment</v>
      </c>
      <c r="I1856" s="18" t="str">
        <f>IFERROR(__xludf.DUMMYFUNCTION("""COMPUTED_VALUE"""),"Delivered")</f>
        <v>Delivered</v>
      </c>
      <c r="J1856" s="18" t="str">
        <f>IFERROR(__xludf.DUMMYFUNCTION("""COMPUTED_VALUE"""),"Packaging")</f>
        <v>Packaging</v>
      </c>
      <c r="K1856" s="18" t="str">
        <f>IFERROR(__xludf.DUMMYFUNCTION("""COMPUTED_VALUE"""),"Secure and intact")</f>
        <v>Secure and intact</v>
      </c>
      <c r="L1856" s="18">
        <f>iferror(VLOOKUP($D1856,Details!$A$2:$C$11,2,false),vlookup($D1856,Details!$E$2:$G$11,2,false))</f>
        <v>270</v>
      </c>
      <c r="M1856" s="18" t="str">
        <f>iferror(VLOOKUP($D1856,Details!$A$2:$C$11,3,false),vlookup($D1856,Details!$E$2:$G$11,3,false))</f>
        <v>Snacks and Drinks</v>
      </c>
      <c r="N1856" s="18">
        <f t="shared" si="1"/>
        <v>1080</v>
      </c>
      <c r="O1856" s="17"/>
      <c r="P1856" s="17"/>
      <c r="Q1856" s="17"/>
      <c r="R1856" s="17"/>
      <c r="S1856" s="17"/>
      <c r="T1856" s="17"/>
      <c r="U1856" s="17"/>
      <c r="V1856" s="17"/>
      <c r="W1856" s="17"/>
      <c r="X1856" s="17"/>
      <c r="Y1856" s="17"/>
      <c r="Z1856" s="17"/>
    </row>
    <row r="1857">
      <c r="A1857" s="18" t="str">
        <f>IFERROR(__xludf.DUMMYFUNCTION("""COMPUTED_VALUE"""),"ord_71835")</f>
        <v>ord_71835</v>
      </c>
      <c r="B1857" s="18" t="str">
        <f>IFERROR(__xludf.DUMMYFUNCTION("""COMPUTED_VALUE"""),"Sakshi Tandon")</f>
        <v>Sakshi Tandon</v>
      </c>
      <c r="C1857" s="18" t="str">
        <f>IFERROR(__xludf.DUMMYFUNCTION("""COMPUTED_VALUE"""),"Colaba")</f>
        <v>Colaba</v>
      </c>
      <c r="D1857" s="18" t="str">
        <f>IFERROR(__xludf.DUMMYFUNCTION("""COMPUTED_VALUE"""),"Tiramisu")</f>
        <v>Tiramisu</v>
      </c>
      <c r="E1857" s="18">
        <f>IFERROR(__xludf.DUMMYFUNCTION("""COMPUTED_VALUE"""),5.0)</f>
        <v>5</v>
      </c>
      <c r="F1857" s="18" t="str">
        <f>IFERROR(__xludf.DUMMYFUNCTION("""COMPUTED_VALUE"""),"Vivek Kumar")</f>
        <v>Vivek Kumar</v>
      </c>
      <c r="G1857" s="19">
        <f>IFERROR(__xludf.DUMMYFUNCTION("""COMPUTED_VALUE"""),45260.0)</f>
        <v>45260</v>
      </c>
      <c r="H1857" s="18" t="str">
        <f>IFERROR(__xludf.DUMMYFUNCTION("""COMPUTED_VALUE"""),"UPI")</f>
        <v>UPI</v>
      </c>
      <c r="I1857" s="18" t="str">
        <f>IFERROR(__xludf.DUMMYFUNCTION("""COMPUTED_VALUE"""),"Delivered")</f>
        <v>Delivered</v>
      </c>
      <c r="J1857" s="18" t="str">
        <f>IFERROR(__xludf.DUMMYFUNCTION("""COMPUTED_VALUE"""),"Satisfied with the Delivery")</f>
        <v>Satisfied with the Delivery</v>
      </c>
      <c r="K1857" s="18" t="str">
        <f>IFERROR(__xludf.DUMMYFUNCTION("""COMPUTED_VALUE"""),"Timely and quality")</f>
        <v>Timely and quality</v>
      </c>
      <c r="L1857" s="18">
        <f>iferror(VLOOKUP($D1857,Details!$A$2:$C$11,2,false),vlookup($D1857,Details!$E$2:$G$11,2,false))</f>
        <v>150</v>
      </c>
      <c r="M1857" s="18" t="str">
        <f>iferror(VLOOKUP($D1857,Details!$A$2:$C$11,3,false),vlookup($D1857,Details!$E$2:$G$11,3,false))</f>
        <v>Snacks and Drinks</v>
      </c>
      <c r="N1857" s="18">
        <f t="shared" si="1"/>
        <v>750</v>
      </c>
      <c r="O1857" s="17"/>
      <c r="P1857" s="17"/>
      <c r="Q1857" s="17"/>
      <c r="R1857" s="17"/>
      <c r="S1857" s="17"/>
      <c r="T1857" s="17"/>
      <c r="U1857" s="17"/>
      <c r="V1857" s="17"/>
      <c r="W1857" s="17"/>
      <c r="X1857" s="17"/>
      <c r="Y1857" s="17"/>
      <c r="Z1857" s="17"/>
    </row>
    <row r="1858">
      <c r="A1858" s="18" t="str">
        <f>IFERROR(__xludf.DUMMYFUNCTION("""COMPUTED_VALUE"""),"ord_71836")</f>
        <v>ord_71836</v>
      </c>
      <c r="B1858" s="18" t="str">
        <f>IFERROR(__xludf.DUMMYFUNCTION("""COMPUTED_VALUE"""),"Dev Chauhan")</f>
        <v>Dev Chauhan</v>
      </c>
      <c r="C1858" s="18" t="str">
        <f>IFERROR(__xludf.DUMMYFUNCTION("""COMPUTED_VALUE"""),"Bandra")</f>
        <v>Bandra</v>
      </c>
      <c r="D1858" s="18" t="str">
        <f>IFERROR(__xludf.DUMMYFUNCTION("""COMPUTED_VALUE"""),"Popcorn")</f>
        <v>Popcorn</v>
      </c>
      <c r="E1858" s="18">
        <f>IFERROR(__xludf.DUMMYFUNCTION("""COMPUTED_VALUE"""),1.0)</f>
        <v>1</v>
      </c>
      <c r="F1858" s="18" t="str">
        <f>IFERROR(__xludf.DUMMYFUNCTION("""COMPUTED_VALUE"""),"Nithin Lal")</f>
        <v>Nithin Lal</v>
      </c>
      <c r="G1858" s="19">
        <f>IFERROR(__xludf.DUMMYFUNCTION("""COMPUTED_VALUE"""),45240.0)</f>
        <v>45240</v>
      </c>
      <c r="H1858" s="18" t="str">
        <f>IFERROR(__xludf.DUMMYFUNCTION("""COMPUTED_VALUE"""),"COD")</f>
        <v>COD</v>
      </c>
      <c r="I1858" s="18" t="str">
        <f>IFERROR(__xludf.DUMMYFUNCTION("""COMPUTED_VALUE"""),"Delivered")</f>
        <v>Delivered</v>
      </c>
      <c r="J1858" s="18" t="str">
        <f>IFERROR(__xludf.DUMMYFUNCTION("""COMPUTED_VALUE"""),"Customer Service")</f>
        <v>Customer Service</v>
      </c>
      <c r="K1858" s="18" t="str">
        <f>IFERROR(__xludf.DUMMYFUNCTION("""COMPUTED_VALUE"""),"Seamless and easy")</f>
        <v>Seamless and easy</v>
      </c>
      <c r="L1858" s="18">
        <f>iferror(VLOOKUP($D1858,Details!$A$2:$C$11,2,false),vlookup($D1858,Details!$E$2:$G$11,2,false))</f>
        <v>150</v>
      </c>
      <c r="M1858" s="18" t="str">
        <f>iferror(VLOOKUP($D1858,Details!$A$2:$C$11,3,false),vlookup($D1858,Details!$E$2:$G$11,3,false))</f>
        <v>Snacks and Drinks</v>
      </c>
      <c r="N1858" s="18">
        <f t="shared" si="1"/>
        <v>150</v>
      </c>
      <c r="O1858" s="17"/>
      <c r="P1858" s="17"/>
      <c r="Q1858" s="17"/>
      <c r="R1858" s="17"/>
      <c r="S1858" s="17"/>
      <c r="T1858" s="17"/>
      <c r="U1858" s="17"/>
      <c r="V1858" s="17"/>
      <c r="W1858" s="17"/>
      <c r="X1858" s="17"/>
      <c r="Y1858" s="17"/>
      <c r="Z1858" s="17"/>
    </row>
    <row r="1859">
      <c r="A1859" s="18" t="str">
        <f>IFERROR(__xludf.DUMMYFUNCTION("""COMPUTED_VALUE"""),"ord_71837")</f>
        <v>ord_71837</v>
      </c>
      <c r="B1859" s="18" t="str">
        <f>IFERROR(__xludf.DUMMYFUNCTION("""COMPUTED_VALUE"""),"Arvind Kulkarni")</f>
        <v>Arvind Kulkarni</v>
      </c>
      <c r="C1859" s="18" t="str">
        <f>IFERROR(__xludf.DUMMYFUNCTION("""COMPUTED_VALUE"""),"Juhu")</f>
        <v>Juhu</v>
      </c>
      <c r="D1859" s="18" t="str">
        <f>IFERROR(__xludf.DUMMYFUNCTION("""COMPUTED_VALUE"""),"Apple")</f>
        <v>Apple</v>
      </c>
      <c r="E1859" s="18">
        <f>IFERROR(__xludf.DUMMYFUNCTION("""COMPUTED_VALUE"""),1.0)</f>
        <v>1</v>
      </c>
      <c r="F1859" s="18" t="str">
        <f>IFERROR(__xludf.DUMMYFUNCTION("""COMPUTED_VALUE"""),"Vivek Kumar")</f>
        <v>Vivek Kumar</v>
      </c>
      <c r="G1859" s="19">
        <f>IFERROR(__xludf.DUMMYFUNCTION("""COMPUTED_VALUE"""),44967.0)</f>
        <v>44967</v>
      </c>
      <c r="H1859" s="18" t="str">
        <f>IFERROR(__xludf.DUMMYFUNCTION("""COMPUTED_VALUE"""),"Credit Card")</f>
        <v>Credit Card</v>
      </c>
      <c r="I1859" s="18" t="str">
        <f>IFERROR(__xludf.DUMMYFUNCTION("""COMPUTED_VALUE"""),"Cancelled")</f>
        <v>Cancelled</v>
      </c>
      <c r="J1859" s="18" t="str">
        <f>IFERROR(__xludf.DUMMYFUNCTION("""COMPUTED_VALUE"""),"Delayed Delivery")</f>
        <v>Delayed Delivery</v>
      </c>
      <c r="K1859" s="18" t="str">
        <f>IFERROR(__xludf.DUMMYFUNCTION("""COMPUTED_VALUE"""),"Heavy Traffic")</f>
        <v>Heavy Traffic</v>
      </c>
      <c r="L1859" s="18">
        <f>iferror(VLOOKUP($D1859,Details!$A$2:$C$11,2,false),vlookup($D1859,Details!$E$2:$G$11,2,false))</f>
        <v>230</v>
      </c>
      <c r="M1859" s="18" t="str">
        <f>iferror(VLOOKUP($D1859,Details!$A$2:$C$11,3,false),vlookup($D1859,Details!$E$2:$G$11,3,false))</f>
        <v>Fruits and Vegetables</v>
      </c>
      <c r="N1859" s="18">
        <f t="shared" si="1"/>
        <v>230</v>
      </c>
      <c r="O1859" s="17"/>
      <c r="P1859" s="17"/>
      <c r="Q1859" s="17"/>
      <c r="R1859" s="17"/>
      <c r="S1859" s="17"/>
      <c r="T1859" s="17"/>
      <c r="U1859" s="17"/>
      <c r="V1859" s="17"/>
      <c r="W1859" s="17"/>
      <c r="X1859" s="17"/>
      <c r="Y1859" s="17"/>
      <c r="Z1859" s="17"/>
    </row>
    <row r="1860">
      <c r="A1860" s="18" t="str">
        <f>IFERROR(__xludf.DUMMYFUNCTION("""COMPUTED_VALUE"""),"ord_71838")</f>
        <v>ord_71838</v>
      </c>
      <c r="B1860" s="18" t="str">
        <f>IFERROR(__xludf.DUMMYFUNCTION("""COMPUTED_VALUE"""),"Pranav Joshi")</f>
        <v>Pranav Joshi</v>
      </c>
      <c r="C1860" s="18" t="str">
        <f>IFERROR(__xludf.DUMMYFUNCTION("""COMPUTED_VALUE"""),"Andheri")</f>
        <v>Andheri</v>
      </c>
      <c r="D1860" s="18" t="str">
        <f>IFERROR(__xludf.DUMMYFUNCTION("""COMPUTED_VALUE"""),"Papaya")</f>
        <v>Papaya</v>
      </c>
      <c r="E1860" s="18">
        <f>IFERROR(__xludf.DUMMYFUNCTION("""COMPUTED_VALUE"""),1.0)</f>
        <v>1</v>
      </c>
      <c r="F1860" s="18" t="str">
        <f>IFERROR(__xludf.DUMMYFUNCTION("""COMPUTED_VALUE"""),"Ramesh S")</f>
        <v>Ramesh S</v>
      </c>
      <c r="G1860" s="19">
        <f>IFERROR(__xludf.DUMMYFUNCTION("""COMPUTED_VALUE"""),45254.0)</f>
        <v>45254</v>
      </c>
      <c r="H1860" s="18" t="str">
        <f>IFERROR(__xludf.DUMMYFUNCTION("""COMPUTED_VALUE"""),"UPI")</f>
        <v>UPI</v>
      </c>
      <c r="I1860" s="18" t="str">
        <f>IFERROR(__xludf.DUMMYFUNCTION("""COMPUTED_VALUE"""),"Delivered")</f>
        <v>Delivered</v>
      </c>
      <c r="J1860" s="18" t="str">
        <f>IFERROR(__xludf.DUMMYFUNCTION("""COMPUTED_VALUE"""),"Delivery Experience")</f>
        <v>Delivery Experience</v>
      </c>
      <c r="K1860" s="18" t="str">
        <f>IFERROR(__xludf.DUMMYFUNCTION("""COMPUTED_VALUE"""),"Quick and professional")</f>
        <v>Quick and professional</v>
      </c>
      <c r="L1860" s="18">
        <f>iferror(VLOOKUP($D1860,Details!$A$2:$C$11,2,false),vlookup($D1860,Details!$E$2:$G$11,2,false))</f>
        <v>75</v>
      </c>
      <c r="M1860" s="18" t="str">
        <f>iferror(VLOOKUP($D1860,Details!$A$2:$C$11,3,false),vlookup($D1860,Details!$E$2:$G$11,3,false))</f>
        <v>Fruits and Vegetables</v>
      </c>
      <c r="N1860" s="18">
        <f t="shared" si="1"/>
        <v>75</v>
      </c>
      <c r="O1860" s="17"/>
      <c r="P1860" s="17"/>
      <c r="Q1860" s="17"/>
      <c r="R1860" s="17"/>
      <c r="S1860" s="17"/>
      <c r="T1860" s="17"/>
      <c r="U1860" s="17"/>
      <c r="V1860" s="17"/>
      <c r="W1860" s="17"/>
      <c r="X1860" s="17"/>
      <c r="Y1860" s="17"/>
      <c r="Z1860" s="17"/>
    </row>
    <row r="1861">
      <c r="A1861" s="18" t="str">
        <f>IFERROR(__xludf.DUMMYFUNCTION("""COMPUTED_VALUE"""),"ord_71839")</f>
        <v>ord_71839</v>
      </c>
      <c r="B1861" s="18" t="str">
        <f>IFERROR(__xludf.DUMMYFUNCTION("""COMPUTED_VALUE"""),"Omkar Mishra")</f>
        <v>Omkar Mishra</v>
      </c>
      <c r="C1861" s="18" t="str">
        <f>IFERROR(__xludf.DUMMYFUNCTION("""COMPUTED_VALUE"""),"Powai")</f>
        <v>Powai</v>
      </c>
      <c r="D1861" s="18" t="str">
        <f>IFERROR(__xludf.DUMMYFUNCTION("""COMPUTED_VALUE"""),"Papaya")</f>
        <v>Papaya</v>
      </c>
      <c r="E1861" s="18">
        <f>IFERROR(__xludf.DUMMYFUNCTION("""COMPUTED_VALUE"""),1.0)</f>
        <v>1</v>
      </c>
      <c r="F1861" s="18" t="str">
        <f>IFERROR(__xludf.DUMMYFUNCTION("""COMPUTED_VALUE"""),"Sita T")</f>
        <v>Sita T</v>
      </c>
      <c r="G1861" s="19">
        <f>IFERROR(__xludf.DUMMYFUNCTION("""COMPUTED_VALUE"""),45053.0)</f>
        <v>45053</v>
      </c>
      <c r="H1861" s="18" t="str">
        <f>IFERROR(__xludf.DUMMYFUNCTION("""COMPUTED_VALUE"""),"Online Payment")</f>
        <v>Online Payment</v>
      </c>
      <c r="I1861" s="18" t="str">
        <f>IFERROR(__xludf.DUMMYFUNCTION("""COMPUTED_VALUE"""),"Delivered")</f>
        <v>Delivered</v>
      </c>
      <c r="J1861" s="18" t="str">
        <f>IFERROR(__xludf.DUMMYFUNCTION("""COMPUTED_VALUE"""),"Convenience")</f>
        <v>Convenience</v>
      </c>
      <c r="K1861" s="18" t="str">
        <f>IFERROR(__xludf.DUMMYFUNCTION("""COMPUTED_VALUE"""),"Easy tracking")</f>
        <v>Easy tracking</v>
      </c>
      <c r="L1861" s="18">
        <f>iferror(VLOOKUP($D1861,Details!$A$2:$C$11,2,false),vlookup($D1861,Details!$E$2:$G$11,2,false))</f>
        <v>75</v>
      </c>
      <c r="M1861" s="18" t="str">
        <f>iferror(VLOOKUP($D1861,Details!$A$2:$C$11,3,false),vlookup($D1861,Details!$E$2:$G$11,3,false))</f>
        <v>Fruits and Vegetables</v>
      </c>
      <c r="N1861" s="18">
        <f t="shared" si="1"/>
        <v>75</v>
      </c>
      <c r="O1861" s="17"/>
      <c r="P1861" s="17"/>
      <c r="Q1861" s="17"/>
      <c r="R1861" s="17"/>
      <c r="S1861" s="17"/>
      <c r="T1861" s="17"/>
      <c r="U1861" s="17"/>
      <c r="V1861" s="17"/>
      <c r="W1861" s="17"/>
      <c r="X1861" s="17"/>
      <c r="Y1861" s="17"/>
      <c r="Z1861" s="17"/>
    </row>
    <row r="1862">
      <c r="A1862" s="18" t="str">
        <f>IFERROR(__xludf.DUMMYFUNCTION("""COMPUTED_VALUE"""),"ord_71840")</f>
        <v>ord_71840</v>
      </c>
      <c r="B1862" s="18" t="str">
        <f>IFERROR(__xludf.DUMMYFUNCTION("""COMPUTED_VALUE"""),"Omkar Mishra")</f>
        <v>Omkar Mishra</v>
      </c>
      <c r="C1862" s="18" t="str">
        <f>IFERROR(__xludf.DUMMYFUNCTION("""COMPUTED_VALUE"""),"Powai")</f>
        <v>Powai</v>
      </c>
      <c r="D1862" s="18" t="str">
        <f>IFERROR(__xludf.DUMMYFUNCTION("""COMPUTED_VALUE"""),"Chicken Puff")</f>
        <v>Chicken Puff</v>
      </c>
      <c r="E1862" s="18">
        <f>IFERROR(__xludf.DUMMYFUNCTION("""COMPUTED_VALUE"""),1.0)</f>
        <v>1</v>
      </c>
      <c r="F1862" s="18" t="str">
        <f>IFERROR(__xludf.DUMMYFUNCTION("""COMPUTED_VALUE"""),"Venu R")</f>
        <v>Venu R</v>
      </c>
      <c r="G1862" s="19">
        <f>IFERROR(__xludf.DUMMYFUNCTION("""COMPUTED_VALUE"""),44983.0)</f>
        <v>44983</v>
      </c>
      <c r="H1862" s="18" t="str">
        <f>IFERROR(__xludf.DUMMYFUNCTION("""COMPUTED_VALUE"""),"Credit Card")</f>
        <v>Credit Card</v>
      </c>
      <c r="I1862" s="18" t="str">
        <f>IFERROR(__xludf.DUMMYFUNCTION("""COMPUTED_VALUE"""),"Delivered")</f>
        <v>Delivered</v>
      </c>
      <c r="J1862" s="18" t="str">
        <f>IFERROR(__xludf.DUMMYFUNCTION("""COMPUTED_VALUE"""),"Overall Satisfaction")</f>
        <v>Overall Satisfaction</v>
      </c>
      <c r="K1862" s="18" t="str">
        <f>IFERROR(__xludf.DUMMYFUNCTION("""COMPUTED_VALUE"""),"Great service will order again")</f>
        <v>Great service will order again</v>
      </c>
      <c r="L1862" s="18">
        <f>iferror(VLOOKUP($D1862,Details!$A$2:$C$11,2,false),vlookup($D1862,Details!$E$2:$G$11,2,false))</f>
        <v>90</v>
      </c>
      <c r="M1862" s="18" t="str">
        <f>iferror(VLOOKUP($D1862,Details!$A$2:$C$11,3,false),vlookup($D1862,Details!$E$2:$G$11,3,false))</f>
        <v>Snacks and Drinks</v>
      </c>
      <c r="N1862" s="18">
        <f t="shared" si="1"/>
        <v>90</v>
      </c>
      <c r="O1862" s="17"/>
      <c r="P1862" s="17"/>
      <c r="Q1862" s="17"/>
      <c r="R1862" s="17"/>
      <c r="S1862" s="17"/>
      <c r="T1862" s="17"/>
      <c r="U1862" s="17"/>
      <c r="V1862" s="17"/>
      <c r="W1862" s="17"/>
      <c r="X1862" s="17"/>
      <c r="Y1862" s="17"/>
      <c r="Z1862" s="17"/>
    </row>
    <row r="1863">
      <c r="A1863" s="18" t="str">
        <f>IFERROR(__xludf.DUMMYFUNCTION("""COMPUTED_VALUE"""),"ord_71841")</f>
        <v>ord_71841</v>
      </c>
      <c r="B1863" s="18" t="str">
        <f>IFERROR(__xludf.DUMMYFUNCTION("""COMPUTED_VALUE"""),"Dev Chauhan")</f>
        <v>Dev Chauhan</v>
      </c>
      <c r="C1863" s="18" t="str">
        <f>IFERROR(__xludf.DUMMYFUNCTION("""COMPUTED_VALUE"""),"Bandra")</f>
        <v>Bandra</v>
      </c>
      <c r="D1863" s="18" t="str">
        <f>IFERROR(__xludf.DUMMYFUNCTION("""COMPUTED_VALUE"""),"Popcorn")</f>
        <v>Popcorn</v>
      </c>
      <c r="E1863" s="18">
        <f>IFERROR(__xludf.DUMMYFUNCTION("""COMPUTED_VALUE"""),5.0)</f>
        <v>5</v>
      </c>
      <c r="F1863" s="18" t="str">
        <f>IFERROR(__xludf.DUMMYFUNCTION("""COMPUTED_VALUE"""),"Venu R")</f>
        <v>Venu R</v>
      </c>
      <c r="G1863" s="19">
        <f>IFERROR(__xludf.DUMMYFUNCTION("""COMPUTED_VALUE"""),45059.0)</f>
        <v>45059</v>
      </c>
      <c r="H1863" s="18" t="str">
        <f>IFERROR(__xludf.DUMMYFUNCTION("""COMPUTED_VALUE"""),"UPI")</f>
        <v>UPI</v>
      </c>
      <c r="I1863" s="18" t="str">
        <f>IFERROR(__xludf.DUMMYFUNCTION("""COMPUTED_VALUE"""),"Delivered")</f>
        <v>Delivered</v>
      </c>
      <c r="J1863" s="18" t="str">
        <f>IFERROR(__xludf.DUMMYFUNCTION("""COMPUTED_VALUE"""),"On-time Delivery")</f>
        <v>On-time Delivery</v>
      </c>
      <c r="K1863" s="18" t="str">
        <f>IFERROR(__xludf.DUMMYFUNCTION("""COMPUTED_VALUE"""),"Delivered on time")</f>
        <v>Delivered on time</v>
      </c>
      <c r="L1863" s="18">
        <f>iferror(VLOOKUP($D1863,Details!$A$2:$C$11,2,false),vlookup($D1863,Details!$E$2:$G$11,2,false))</f>
        <v>150</v>
      </c>
      <c r="M1863" s="18" t="str">
        <f>iferror(VLOOKUP($D1863,Details!$A$2:$C$11,3,false),vlookup($D1863,Details!$E$2:$G$11,3,false))</f>
        <v>Snacks and Drinks</v>
      </c>
      <c r="N1863" s="18">
        <f t="shared" si="1"/>
        <v>750</v>
      </c>
      <c r="O1863" s="17"/>
      <c r="P1863" s="17"/>
      <c r="Q1863" s="17"/>
      <c r="R1863" s="17"/>
      <c r="S1863" s="17"/>
      <c r="T1863" s="17"/>
      <c r="U1863" s="17"/>
      <c r="V1863" s="17"/>
      <c r="W1863" s="17"/>
      <c r="X1863" s="17"/>
      <c r="Y1863" s="17"/>
      <c r="Z1863" s="17"/>
    </row>
    <row r="1864">
      <c r="A1864" s="18" t="str">
        <f>IFERROR(__xludf.DUMMYFUNCTION("""COMPUTED_VALUE"""),"ord_71842")</f>
        <v>ord_71842</v>
      </c>
      <c r="B1864" s="18" t="str">
        <f>IFERROR(__xludf.DUMMYFUNCTION("""COMPUTED_VALUE"""),"Siya Reddy")</f>
        <v>Siya Reddy</v>
      </c>
      <c r="C1864" s="18" t="str">
        <f>IFERROR(__xludf.DUMMYFUNCTION("""COMPUTED_VALUE"""),"Juhu")</f>
        <v>Juhu</v>
      </c>
      <c r="D1864" s="18" t="str">
        <f>IFERROR(__xludf.DUMMYFUNCTION("""COMPUTED_VALUE"""),"Apple")</f>
        <v>Apple</v>
      </c>
      <c r="E1864" s="18">
        <f>IFERROR(__xludf.DUMMYFUNCTION("""COMPUTED_VALUE"""),1.0)</f>
        <v>1</v>
      </c>
      <c r="F1864" s="18" t="str">
        <f>IFERROR(__xludf.DUMMYFUNCTION("""COMPUTED_VALUE"""),"Kiran Mehta")</f>
        <v>Kiran Mehta</v>
      </c>
      <c r="G1864" s="19">
        <f>IFERROR(__xludf.DUMMYFUNCTION("""COMPUTED_VALUE"""),44947.0)</f>
        <v>44947</v>
      </c>
      <c r="H1864" s="18" t="str">
        <f>IFERROR(__xludf.DUMMYFUNCTION("""COMPUTED_VALUE"""),"Online Payment")</f>
        <v>Online Payment</v>
      </c>
      <c r="I1864" s="18" t="str">
        <f>IFERROR(__xludf.DUMMYFUNCTION("""COMPUTED_VALUE"""),"Cancelled")</f>
        <v>Cancelled</v>
      </c>
      <c r="J1864" s="18" t="str">
        <f>IFERROR(__xludf.DUMMYFUNCTION("""COMPUTED_VALUE"""),"Delayed Delivery")</f>
        <v>Delayed Delivery</v>
      </c>
      <c r="K1864" s="18" t="str">
        <f>IFERROR(__xludf.DUMMYFUNCTION("""COMPUTED_VALUE"""),"Bad Weather Conditions")</f>
        <v>Bad Weather Conditions</v>
      </c>
      <c r="L1864" s="18">
        <f>iferror(VLOOKUP($D1864,Details!$A$2:$C$11,2,false),vlookup($D1864,Details!$E$2:$G$11,2,false))</f>
        <v>230</v>
      </c>
      <c r="M1864" s="18" t="str">
        <f>iferror(VLOOKUP($D1864,Details!$A$2:$C$11,3,false),vlookup($D1864,Details!$E$2:$G$11,3,false))</f>
        <v>Fruits and Vegetables</v>
      </c>
      <c r="N1864" s="18">
        <f t="shared" si="1"/>
        <v>230</v>
      </c>
      <c r="O1864" s="17"/>
      <c r="P1864" s="17"/>
      <c r="Q1864" s="17"/>
      <c r="R1864" s="17"/>
      <c r="S1864" s="17"/>
      <c r="T1864" s="17"/>
      <c r="U1864" s="17"/>
      <c r="V1864" s="17"/>
      <c r="W1864" s="17"/>
      <c r="X1864" s="17"/>
      <c r="Y1864" s="17"/>
      <c r="Z1864" s="17"/>
    </row>
    <row r="1865">
      <c r="A1865" s="18" t="str">
        <f>IFERROR(__xludf.DUMMYFUNCTION("""COMPUTED_VALUE"""),"ord_71843")</f>
        <v>ord_71843</v>
      </c>
      <c r="B1865" s="18" t="str">
        <f>IFERROR(__xludf.DUMMYFUNCTION("""COMPUTED_VALUE"""),"Aarav Mehta")</f>
        <v>Aarav Mehta</v>
      </c>
      <c r="C1865" s="18" t="str">
        <f>IFERROR(__xludf.DUMMYFUNCTION("""COMPUTED_VALUE"""),"Andheri")</f>
        <v>Andheri</v>
      </c>
      <c r="D1865" s="18" t="str">
        <f>IFERROR(__xludf.DUMMYFUNCTION("""COMPUTED_VALUE"""),"Cold Coffee")</f>
        <v>Cold Coffee</v>
      </c>
      <c r="E1865" s="18">
        <f>IFERROR(__xludf.DUMMYFUNCTION("""COMPUTED_VALUE"""),3.0)</f>
        <v>3</v>
      </c>
      <c r="F1865" s="18" t="str">
        <f>IFERROR(__xludf.DUMMYFUNCTION("""COMPUTED_VALUE"""),"Ramesh S")</f>
        <v>Ramesh S</v>
      </c>
      <c r="G1865" s="19">
        <f>IFERROR(__xludf.DUMMYFUNCTION("""COMPUTED_VALUE"""),45172.0)</f>
        <v>45172</v>
      </c>
      <c r="H1865" s="18" t="str">
        <f>IFERROR(__xludf.DUMMYFUNCTION("""COMPUTED_VALUE"""),"COD")</f>
        <v>COD</v>
      </c>
      <c r="I1865" s="18" t="str">
        <f>IFERROR(__xludf.DUMMYFUNCTION("""COMPUTED_VALUE"""),"Delivered")</f>
        <v>Delivered</v>
      </c>
      <c r="J1865" s="18" t="str">
        <f>IFERROR(__xludf.DUMMYFUNCTION("""COMPUTED_VALUE"""),"Quality of Items")</f>
        <v>Quality of Items</v>
      </c>
      <c r="K1865" s="18" t="str">
        <f>IFERROR(__xludf.DUMMYFUNCTION("""COMPUTED_VALUE"""),"Perfect condition")</f>
        <v>Perfect condition</v>
      </c>
      <c r="L1865" s="18">
        <f>iferror(VLOOKUP($D1865,Details!$A$2:$C$11,2,false),vlookup($D1865,Details!$E$2:$G$11,2,false))</f>
        <v>270</v>
      </c>
      <c r="M1865" s="18" t="str">
        <f>iferror(VLOOKUP($D1865,Details!$A$2:$C$11,3,false),vlookup($D1865,Details!$E$2:$G$11,3,false))</f>
        <v>Snacks and Drinks</v>
      </c>
      <c r="N1865" s="18">
        <f t="shared" si="1"/>
        <v>810</v>
      </c>
      <c r="O1865" s="17"/>
      <c r="P1865" s="17"/>
      <c r="Q1865" s="17"/>
      <c r="R1865" s="17"/>
      <c r="S1865" s="17"/>
      <c r="T1865" s="17"/>
      <c r="U1865" s="17"/>
      <c r="V1865" s="17"/>
      <c r="W1865" s="17"/>
      <c r="X1865" s="17"/>
      <c r="Y1865" s="17"/>
      <c r="Z1865" s="17"/>
    </row>
    <row r="1866">
      <c r="A1866" s="18" t="str">
        <f>IFERROR(__xludf.DUMMYFUNCTION("""COMPUTED_VALUE"""),"ord_71844")</f>
        <v>ord_71844</v>
      </c>
      <c r="B1866" s="18" t="str">
        <f>IFERROR(__xludf.DUMMYFUNCTION("""COMPUTED_VALUE"""),"Pallavi Ghosh")</f>
        <v>Pallavi Ghosh</v>
      </c>
      <c r="C1866" s="18" t="str">
        <f>IFERROR(__xludf.DUMMYFUNCTION("""COMPUTED_VALUE"""),"Bandra")</f>
        <v>Bandra</v>
      </c>
      <c r="D1866" s="18" t="str">
        <f>IFERROR(__xludf.DUMMYFUNCTION("""COMPUTED_VALUE"""),"Guava")</f>
        <v>Guava</v>
      </c>
      <c r="E1866" s="18">
        <f>IFERROR(__xludf.DUMMYFUNCTION("""COMPUTED_VALUE"""),2.0)</f>
        <v>2</v>
      </c>
      <c r="F1866" s="18" t="str">
        <f>IFERROR(__xludf.DUMMYFUNCTION("""COMPUTED_VALUE"""),"Sita T")</f>
        <v>Sita T</v>
      </c>
      <c r="G1866" s="19">
        <f>IFERROR(__xludf.DUMMYFUNCTION("""COMPUTED_VALUE"""),45260.0)</f>
        <v>45260</v>
      </c>
      <c r="H1866" s="18" t="str">
        <f>IFERROR(__xludf.DUMMYFUNCTION("""COMPUTED_VALUE"""),"Online Payment")</f>
        <v>Online Payment</v>
      </c>
      <c r="I1866" s="18" t="str">
        <f>IFERROR(__xludf.DUMMYFUNCTION("""COMPUTED_VALUE"""),"Delivered")</f>
        <v>Delivered</v>
      </c>
      <c r="J1866" s="18" t="str">
        <f>IFERROR(__xludf.DUMMYFUNCTION("""COMPUTED_VALUE"""),"On-time Delivery")</f>
        <v>On-time Delivery</v>
      </c>
      <c r="K1866" s="18" t="str">
        <f>IFERROR(__xludf.DUMMYFUNCTION("""COMPUTED_VALUE"""),"Delivered on time")</f>
        <v>Delivered on time</v>
      </c>
      <c r="L1866" s="18">
        <f>iferror(VLOOKUP($D1866,Details!$A$2:$C$11,2,false),vlookup($D1866,Details!$E$2:$G$11,2,false))</f>
        <v>70</v>
      </c>
      <c r="M1866" s="18" t="str">
        <f>iferror(VLOOKUP($D1866,Details!$A$2:$C$11,3,false),vlookup($D1866,Details!$E$2:$G$11,3,false))</f>
        <v>Fruits and Vegetables</v>
      </c>
      <c r="N1866" s="18">
        <f t="shared" si="1"/>
        <v>140</v>
      </c>
      <c r="O1866" s="17"/>
      <c r="P1866" s="17"/>
      <c r="Q1866" s="17"/>
      <c r="R1866" s="17"/>
      <c r="S1866" s="17"/>
      <c r="T1866" s="17"/>
      <c r="U1866" s="17"/>
      <c r="V1866" s="17"/>
      <c r="W1866" s="17"/>
      <c r="X1866" s="17"/>
      <c r="Y1866" s="17"/>
      <c r="Z1866" s="17"/>
    </row>
    <row r="1867">
      <c r="A1867" s="18" t="str">
        <f>IFERROR(__xludf.DUMMYFUNCTION("""COMPUTED_VALUE"""),"ord_71845")</f>
        <v>ord_71845</v>
      </c>
      <c r="B1867" s="18" t="str">
        <f>IFERROR(__xludf.DUMMYFUNCTION("""COMPUTED_VALUE"""),"Aditya Rao")</f>
        <v>Aditya Rao</v>
      </c>
      <c r="C1867" s="18" t="str">
        <f>IFERROR(__xludf.DUMMYFUNCTION("""COMPUTED_VALUE"""),"Lower Parel")</f>
        <v>Lower Parel</v>
      </c>
      <c r="D1867" s="18" t="str">
        <f>IFERROR(__xludf.DUMMYFUNCTION("""COMPUTED_VALUE"""),"Banana")</f>
        <v>Banana</v>
      </c>
      <c r="E1867" s="18">
        <f>IFERROR(__xludf.DUMMYFUNCTION("""COMPUTED_VALUE"""),2.0)</f>
        <v>2</v>
      </c>
      <c r="F1867" s="18" t="str">
        <f>IFERROR(__xludf.DUMMYFUNCTION("""COMPUTED_VALUE"""),"Vivek Kumar")</f>
        <v>Vivek Kumar</v>
      </c>
      <c r="G1867" s="19">
        <f>IFERROR(__xludf.DUMMYFUNCTION("""COMPUTED_VALUE"""),45030.0)</f>
        <v>45030</v>
      </c>
      <c r="H1867" s="18" t="str">
        <f>IFERROR(__xludf.DUMMYFUNCTION("""COMPUTED_VALUE"""),"COD")</f>
        <v>COD</v>
      </c>
      <c r="I1867" s="18" t="str">
        <f>IFERROR(__xludf.DUMMYFUNCTION("""COMPUTED_VALUE"""),"Delivered")</f>
        <v>Delivered</v>
      </c>
      <c r="J1867" s="18" t="str">
        <f>IFERROR(__xludf.DUMMYFUNCTION("""COMPUTED_VALUE"""),"Quality of Items")</f>
        <v>Quality of Items</v>
      </c>
      <c r="K1867" s="18" t="str">
        <f>IFERROR(__xludf.DUMMYFUNCTION("""COMPUTED_VALUE"""),"Perfect condition")</f>
        <v>Perfect condition</v>
      </c>
      <c r="L1867" s="18">
        <f>iferror(VLOOKUP($D1867,Details!$A$2:$C$11,2,false),vlookup($D1867,Details!$E$2:$G$11,2,false))</f>
        <v>80</v>
      </c>
      <c r="M1867" s="18" t="str">
        <f>iferror(VLOOKUP($D1867,Details!$A$2:$C$11,3,false),vlookup($D1867,Details!$E$2:$G$11,3,false))</f>
        <v>Fruits and Vegetables</v>
      </c>
      <c r="N1867" s="18">
        <f t="shared" si="1"/>
        <v>160</v>
      </c>
      <c r="O1867" s="17"/>
      <c r="P1867" s="17"/>
      <c r="Q1867" s="17"/>
      <c r="R1867" s="17"/>
      <c r="S1867" s="17"/>
      <c r="T1867" s="17"/>
      <c r="U1867" s="17"/>
      <c r="V1867" s="17"/>
      <c r="W1867" s="17"/>
      <c r="X1867" s="17"/>
      <c r="Y1867" s="17"/>
      <c r="Z1867" s="17"/>
    </row>
    <row r="1868">
      <c r="A1868" s="18" t="str">
        <f>IFERROR(__xludf.DUMMYFUNCTION("""COMPUTED_VALUE"""),"ord_71846")</f>
        <v>ord_71846</v>
      </c>
      <c r="B1868" s="18" t="str">
        <f>IFERROR(__xludf.DUMMYFUNCTION("""COMPUTED_VALUE"""),"Omkar Mishra")</f>
        <v>Omkar Mishra</v>
      </c>
      <c r="C1868" s="18" t="str">
        <f>IFERROR(__xludf.DUMMYFUNCTION("""COMPUTED_VALUE"""),"Powai")</f>
        <v>Powai</v>
      </c>
      <c r="D1868" s="18" t="str">
        <f>IFERROR(__xludf.DUMMYFUNCTION("""COMPUTED_VALUE"""),"Onion")</f>
        <v>Onion</v>
      </c>
      <c r="E1868" s="18">
        <f>IFERROR(__xludf.DUMMYFUNCTION("""COMPUTED_VALUE"""),1.0)</f>
        <v>1</v>
      </c>
      <c r="F1868" s="18" t="str">
        <f>IFERROR(__xludf.DUMMYFUNCTION("""COMPUTED_VALUE"""),"Ram Gopal")</f>
        <v>Ram Gopal</v>
      </c>
      <c r="G1868" s="19">
        <f>IFERROR(__xludf.DUMMYFUNCTION("""COMPUTED_VALUE"""),45219.0)</f>
        <v>45219</v>
      </c>
      <c r="H1868" s="18" t="str">
        <f>IFERROR(__xludf.DUMMYFUNCTION("""COMPUTED_VALUE"""),"Online Payment")</f>
        <v>Online Payment</v>
      </c>
      <c r="I1868" s="18" t="str">
        <f>IFERROR(__xludf.DUMMYFUNCTION("""COMPUTED_VALUE"""),"Delivered")</f>
        <v>Delivered</v>
      </c>
      <c r="J1868" s="18" t="str">
        <f>IFERROR(__xludf.DUMMYFUNCTION("""COMPUTED_VALUE"""),"Packaging")</f>
        <v>Packaging</v>
      </c>
      <c r="K1868" s="18" t="str">
        <f>IFERROR(__xludf.DUMMYFUNCTION("""COMPUTED_VALUE"""),"Secure and intact")</f>
        <v>Secure and intact</v>
      </c>
      <c r="L1868" s="18">
        <f>iferror(VLOOKUP($D1868,Details!$A$2:$C$11,2,false),vlookup($D1868,Details!$E$2:$G$11,2,false))</f>
        <v>84</v>
      </c>
      <c r="M1868" s="18" t="str">
        <f>iferror(VLOOKUP($D1868,Details!$A$2:$C$11,3,false),vlookup($D1868,Details!$E$2:$G$11,3,false))</f>
        <v>Fruits and Vegetables</v>
      </c>
      <c r="N1868" s="18">
        <f t="shared" si="1"/>
        <v>84</v>
      </c>
      <c r="O1868" s="17"/>
      <c r="P1868" s="17"/>
      <c r="Q1868" s="17"/>
      <c r="R1868" s="17"/>
      <c r="S1868" s="17"/>
      <c r="T1868" s="17"/>
      <c r="U1868" s="17"/>
      <c r="V1868" s="17"/>
      <c r="W1868" s="17"/>
      <c r="X1868" s="17"/>
      <c r="Y1868" s="17"/>
      <c r="Z1868" s="17"/>
    </row>
    <row r="1869">
      <c r="A1869" s="18" t="str">
        <f>IFERROR(__xludf.DUMMYFUNCTION("""COMPUTED_VALUE"""),"ord_71847")</f>
        <v>ord_71847</v>
      </c>
      <c r="B1869" s="18" t="str">
        <f>IFERROR(__xludf.DUMMYFUNCTION("""COMPUTED_VALUE"""),"Diya Arora")</f>
        <v>Diya Arora</v>
      </c>
      <c r="C1869" s="18" t="str">
        <f>IFERROR(__xludf.DUMMYFUNCTION("""COMPUTED_VALUE"""),"Lower Parel")</f>
        <v>Lower Parel</v>
      </c>
      <c r="D1869" s="18" t="str">
        <f>IFERROR(__xludf.DUMMYFUNCTION("""COMPUTED_VALUE"""),"Orange")</f>
        <v>Orange</v>
      </c>
      <c r="E1869" s="18">
        <f>IFERROR(__xludf.DUMMYFUNCTION("""COMPUTED_VALUE"""),1.0)</f>
        <v>1</v>
      </c>
      <c r="F1869" s="18" t="str">
        <f>IFERROR(__xludf.DUMMYFUNCTION("""COMPUTED_VALUE"""),"Venu R")</f>
        <v>Venu R</v>
      </c>
      <c r="G1869" s="19">
        <f>IFERROR(__xludf.DUMMYFUNCTION("""COMPUTED_VALUE"""),45098.0)</f>
        <v>45098</v>
      </c>
      <c r="H1869" s="18" t="str">
        <f>IFERROR(__xludf.DUMMYFUNCTION("""COMPUTED_VALUE"""),"Online Payment")</f>
        <v>Online Payment</v>
      </c>
      <c r="I1869" s="18" t="str">
        <f>IFERROR(__xludf.DUMMYFUNCTION("""COMPUTED_VALUE"""),"Delivered")</f>
        <v>Delivered</v>
      </c>
      <c r="J1869" s="18" t="str">
        <f>IFERROR(__xludf.DUMMYFUNCTION("""COMPUTED_VALUE"""),"Satisfied with the Delivery")</f>
        <v>Satisfied with the Delivery</v>
      </c>
      <c r="K1869" s="18" t="str">
        <f>IFERROR(__xludf.DUMMYFUNCTION("""COMPUTED_VALUE"""),"Timely and quality")</f>
        <v>Timely and quality</v>
      </c>
      <c r="L1869" s="18">
        <f>iferror(VLOOKUP($D1869,Details!$A$2:$C$11,2,false),vlookup($D1869,Details!$E$2:$G$11,2,false))</f>
        <v>180</v>
      </c>
      <c r="M1869" s="18" t="str">
        <f>iferror(VLOOKUP($D1869,Details!$A$2:$C$11,3,false),vlookup($D1869,Details!$E$2:$G$11,3,false))</f>
        <v>Fruits and Vegetables</v>
      </c>
      <c r="N1869" s="18">
        <f t="shared" si="1"/>
        <v>180</v>
      </c>
      <c r="O1869" s="17"/>
      <c r="P1869" s="17"/>
      <c r="Q1869" s="17"/>
      <c r="R1869" s="17"/>
      <c r="S1869" s="17"/>
      <c r="T1869" s="17"/>
      <c r="U1869" s="17"/>
      <c r="V1869" s="17"/>
      <c r="W1869" s="17"/>
      <c r="X1869" s="17"/>
      <c r="Y1869" s="17"/>
      <c r="Z1869" s="17"/>
    </row>
    <row r="1870">
      <c r="A1870" s="18" t="str">
        <f>IFERROR(__xludf.DUMMYFUNCTION("""COMPUTED_VALUE"""),"ord_71848")</f>
        <v>ord_71848</v>
      </c>
      <c r="B1870" s="18" t="str">
        <f>IFERROR(__xludf.DUMMYFUNCTION("""COMPUTED_VALUE"""),"Omkar Mishra")</f>
        <v>Omkar Mishra</v>
      </c>
      <c r="C1870" s="18" t="str">
        <f>IFERROR(__xludf.DUMMYFUNCTION("""COMPUTED_VALUE"""),"Powai")</f>
        <v>Powai</v>
      </c>
      <c r="D1870" s="18" t="str">
        <f>IFERROR(__xludf.DUMMYFUNCTION("""COMPUTED_VALUE"""),"Chocolate Mousse")</f>
        <v>Chocolate Mousse</v>
      </c>
      <c r="E1870" s="18">
        <f>IFERROR(__xludf.DUMMYFUNCTION("""COMPUTED_VALUE"""),3.0)</f>
        <v>3</v>
      </c>
      <c r="F1870" s="18" t="str">
        <f>IFERROR(__xludf.DUMMYFUNCTION("""COMPUTED_VALUE"""),"Ram Gopal")</f>
        <v>Ram Gopal</v>
      </c>
      <c r="G1870" s="19">
        <f>IFERROR(__xludf.DUMMYFUNCTION("""COMPUTED_VALUE"""),44986.0)</f>
        <v>44986</v>
      </c>
      <c r="H1870" s="18" t="str">
        <f>IFERROR(__xludf.DUMMYFUNCTION("""COMPUTED_VALUE"""),"COD")</f>
        <v>COD</v>
      </c>
      <c r="I1870" s="18" t="str">
        <f>IFERROR(__xludf.DUMMYFUNCTION("""COMPUTED_VALUE"""),"Delivered")</f>
        <v>Delivered</v>
      </c>
      <c r="J1870" s="18" t="str">
        <f>IFERROR(__xludf.DUMMYFUNCTION("""COMPUTED_VALUE"""),"Customer Service")</f>
        <v>Customer Service</v>
      </c>
      <c r="K1870" s="18" t="str">
        <f>IFERROR(__xludf.DUMMYFUNCTION("""COMPUTED_VALUE"""),"Seamless and easy")</f>
        <v>Seamless and easy</v>
      </c>
      <c r="L1870" s="18">
        <f>iferror(VLOOKUP($D1870,Details!$A$2:$C$11,2,false),vlookup($D1870,Details!$E$2:$G$11,2,false))</f>
        <v>145</v>
      </c>
      <c r="M1870" s="18" t="str">
        <f>iferror(VLOOKUP($D1870,Details!$A$2:$C$11,3,false),vlookup($D1870,Details!$E$2:$G$11,3,false))</f>
        <v>Snacks and Drinks</v>
      </c>
      <c r="N1870" s="18">
        <f t="shared" si="1"/>
        <v>435</v>
      </c>
      <c r="O1870" s="17"/>
      <c r="P1870" s="17"/>
      <c r="Q1870" s="17"/>
      <c r="R1870" s="17"/>
      <c r="S1870" s="17"/>
      <c r="T1870" s="17"/>
      <c r="U1870" s="17"/>
      <c r="V1870" s="17"/>
      <c r="W1870" s="17"/>
      <c r="X1870" s="17"/>
      <c r="Y1870" s="17"/>
      <c r="Z1870" s="17"/>
    </row>
    <row r="1871">
      <c r="A1871" s="18" t="str">
        <f>IFERROR(__xludf.DUMMYFUNCTION("""COMPUTED_VALUE"""),"ord_71849")</f>
        <v>ord_71849</v>
      </c>
      <c r="B1871" s="18" t="str">
        <f>IFERROR(__xludf.DUMMYFUNCTION("""COMPUTED_VALUE"""),"Dev Chauhan")</f>
        <v>Dev Chauhan</v>
      </c>
      <c r="C1871" s="18" t="str">
        <f>IFERROR(__xludf.DUMMYFUNCTION("""COMPUTED_VALUE"""),"Bandra")</f>
        <v>Bandra</v>
      </c>
      <c r="D1871" s="18" t="str">
        <f>IFERROR(__xludf.DUMMYFUNCTION("""COMPUTED_VALUE"""),"Chicken Puff")</f>
        <v>Chicken Puff</v>
      </c>
      <c r="E1871" s="18">
        <f>IFERROR(__xludf.DUMMYFUNCTION("""COMPUTED_VALUE"""),5.0)</f>
        <v>5</v>
      </c>
      <c r="F1871" s="18" t="str">
        <f>IFERROR(__xludf.DUMMYFUNCTION("""COMPUTED_VALUE"""),"Venu R")</f>
        <v>Venu R</v>
      </c>
      <c r="G1871" s="19">
        <f>IFERROR(__xludf.DUMMYFUNCTION("""COMPUTED_VALUE"""),45271.0)</f>
        <v>45271</v>
      </c>
      <c r="H1871" s="18" t="str">
        <f>IFERROR(__xludf.DUMMYFUNCTION("""COMPUTED_VALUE"""),"Online Payment")</f>
        <v>Online Payment</v>
      </c>
      <c r="I1871" s="18" t="str">
        <f>IFERROR(__xludf.DUMMYFUNCTION("""COMPUTED_VALUE"""),"Delivered")</f>
        <v>Delivered</v>
      </c>
      <c r="J1871" s="18" t="str">
        <f>IFERROR(__xludf.DUMMYFUNCTION("""COMPUTED_VALUE"""),"Delivery Experience")</f>
        <v>Delivery Experience</v>
      </c>
      <c r="K1871" s="18" t="str">
        <f>IFERROR(__xludf.DUMMYFUNCTION("""COMPUTED_VALUE"""),"Quick and professional")</f>
        <v>Quick and professional</v>
      </c>
      <c r="L1871" s="18">
        <f>iferror(VLOOKUP($D1871,Details!$A$2:$C$11,2,false),vlookup($D1871,Details!$E$2:$G$11,2,false))</f>
        <v>90</v>
      </c>
      <c r="M1871" s="18" t="str">
        <f>iferror(VLOOKUP($D1871,Details!$A$2:$C$11,3,false),vlookup($D1871,Details!$E$2:$G$11,3,false))</f>
        <v>Snacks and Drinks</v>
      </c>
      <c r="N1871" s="18">
        <f t="shared" si="1"/>
        <v>450</v>
      </c>
      <c r="O1871" s="17"/>
      <c r="P1871" s="17"/>
      <c r="Q1871" s="17"/>
      <c r="R1871" s="17"/>
      <c r="S1871" s="17"/>
      <c r="T1871" s="17"/>
      <c r="U1871" s="17"/>
      <c r="V1871" s="17"/>
      <c r="W1871" s="17"/>
      <c r="X1871" s="17"/>
      <c r="Y1871" s="17"/>
      <c r="Z1871" s="17"/>
    </row>
    <row r="1872">
      <c r="A1872" s="18" t="str">
        <f>IFERROR(__xludf.DUMMYFUNCTION("""COMPUTED_VALUE"""),"ord_71850")</f>
        <v>ord_71850</v>
      </c>
      <c r="B1872" s="18" t="str">
        <f>IFERROR(__xludf.DUMMYFUNCTION("""COMPUTED_VALUE"""),"Anaya Rao")</f>
        <v>Anaya Rao</v>
      </c>
      <c r="C1872" s="18" t="str">
        <f>IFERROR(__xludf.DUMMYFUNCTION("""COMPUTED_VALUE"""),"Colaba")</f>
        <v>Colaba</v>
      </c>
      <c r="D1872" s="18" t="str">
        <f>IFERROR(__xludf.DUMMYFUNCTION("""COMPUTED_VALUE"""),"Juice")</f>
        <v>Juice</v>
      </c>
      <c r="E1872" s="18">
        <f>IFERROR(__xludf.DUMMYFUNCTION("""COMPUTED_VALUE"""),1.0)</f>
        <v>1</v>
      </c>
      <c r="F1872" s="18" t="str">
        <f>IFERROR(__xludf.DUMMYFUNCTION("""COMPUTED_VALUE"""),"Vivek Kumar")</f>
        <v>Vivek Kumar</v>
      </c>
      <c r="G1872" s="19">
        <f>IFERROR(__xludf.DUMMYFUNCTION("""COMPUTED_VALUE"""),45061.0)</f>
        <v>45061</v>
      </c>
      <c r="H1872" s="18" t="str">
        <f>IFERROR(__xludf.DUMMYFUNCTION("""COMPUTED_VALUE"""),"Online Payment")</f>
        <v>Online Payment</v>
      </c>
      <c r="I1872" s="18" t="str">
        <f>IFERROR(__xludf.DUMMYFUNCTION("""COMPUTED_VALUE"""),"Delivered")</f>
        <v>Delivered</v>
      </c>
      <c r="J1872" s="18" t="str">
        <f>IFERROR(__xludf.DUMMYFUNCTION("""COMPUTED_VALUE"""),"Convenience")</f>
        <v>Convenience</v>
      </c>
      <c r="K1872" s="18" t="str">
        <f>IFERROR(__xludf.DUMMYFUNCTION("""COMPUTED_VALUE"""),"Easy tracking")</f>
        <v>Easy tracking</v>
      </c>
      <c r="L1872" s="18">
        <f>iferror(VLOOKUP($D1872,Details!$A$2:$C$11,2,false),vlookup($D1872,Details!$E$2:$G$11,2,false))</f>
        <v>90</v>
      </c>
      <c r="M1872" s="18" t="str">
        <f>iferror(VLOOKUP($D1872,Details!$A$2:$C$11,3,false),vlookup($D1872,Details!$E$2:$G$11,3,false))</f>
        <v>Snacks and Drinks</v>
      </c>
      <c r="N1872" s="18">
        <f t="shared" si="1"/>
        <v>90</v>
      </c>
      <c r="O1872" s="17"/>
      <c r="P1872" s="17"/>
      <c r="Q1872" s="17"/>
      <c r="R1872" s="17"/>
      <c r="S1872" s="17"/>
      <c r="T1872" s="17"/>
      <c r="U1872" s="17"/>
      <c r="V1872" s="17"/>
      <c r="W1872" s="17"/>
      <c r="X1872" s="17"/>
      <c r="Y1872" s="17"/>
      <c r="Z1872" s="17"/>
    </row>
    <row r="1873">
      <c r="A1873" s="18" t="str">
        <f>IFERROR(__xludf.DUMMYFUNCTION("""COMPUTED_VALUE"""),"ord_71851")</f>
        <v>ord_71851</v>
      </c>
      <c r="B1873" s="18" t="str">
        <f>IFERROR(__xludf.DUMMYFUNCTION("""COMPUTED_VALUE"""),"Parth Goel")</f>
        <v>Parth Goel</v>
      </c>
      <c r="C1873" s="18" t="str">
        <f>IFERROR(__xludf.DUMMYFUNCTION("""COMPUTED_VALUE"""),"Juhu")</f>
        <v>Juhu</v>
      </c>
      <c r="D1873" s="18" t="str">
        <f>IFERROR(__xludf.DUMMYFUNCTION("""COMPUTED_VALUE"""),"Rasmalai")</f>
        <v>Rasmalai</v>
      </c>
      <c r="E1873" s="18">
        <f>IFERROR(__xludf.DUMMYFUNCTION("""COMPUTED_VALUE"""),4.0)</f>
        <v>4</v>
      </c>
      <c r="F1873" s="18" t="str">
        <f>IFERROR(__xludf.DUMMYFUNCTION("""COMPUTED_VALUE"""),"Nithin Lal")</f>
        <v>Nithin Lal</v>
      </c>
      <c r="G1873" s="19">
        <f>IFERROR(__xludf.DUMMYFUNCTION("""COMPUTED_VALUE"""),45192.0)</f>
        <v>45192</v>
      </c>
      <c r="H1873" s="18" t="str">
        <f>IFERROR(__xludf.DUMMYFUNCTION("""COMPUTED_VALUE"""),"Credit Card")</f>
        <v>Credit Card</v>
      </c>
      <c r="I1873" s="18" t="str">
        <f>IFERROR(__xludf.DUMMYFUNCTION("""COMPUTED_VALUE"""),"Delivered")</f>
        <v>Delivered</v>
      </c>
      <c r="J1873" s="18" t="str">
        <f>IFERROR(__xludf.DUMMYFUNCTION("""COMPUTED_VALUE"""),"Overall Satisfaction")</f>
        <v>Overall Satisfaction</v>
      </c>
      <c r="K1873" s="18" t="str">
        <f>IFERROR(__xludf.DUMMYFUNCTION("""COMPUTED_VALUE"""),"Great service will order again")</f>
        <v>Great service will order again</v>
      </c>
      <c r="L1873" s="18">
        <f>iferror(VLOOKUP($D1873,Details!$A$2:$C$11,2,false),vlookup($D1873,Details!$E$2:$G$11,2,false))</f>
        <v>110</v>
      </c>
      <c r="M1873" s="18" t="str">
        <f>iferror(VLOOKUP($D1873,Details!$A$2:$C$11,3,false),vlookup($D1873,Details!$E$2:$G$11,3,false))</f>
        <v>Snacks and Drinks</v>
      </c>
      <c r="N1873" s="18">
        <f t="shared" si="1"/>
        <v>440</v>
      </c>
      <c r="O1873" s="17"/>
      <c r="P1873" s="17"/>
      <c r="Q1873" s="17"/>
      <c r="R1873" s="17"/>
      <c r="S1873" s="17"/>
      <c r="T1873" s="17"/>
      <c r="U1873" s="17"/>
      <c r="V1873" s="17"/>
      <c r="W1873" s="17"/>
      <c r="X1873" s="17"/>
      <c r="Y1873" s="17"/>
      <c r="Z1873" s="17"/>
    </row>
    <row r="1874">
      <c r="A1874" s="18" t="str">
        <f>IFERROR(__xludf.DUMMYFUNCTION("""COMPUTED_VALUE"""),"ord_71852")</f>
        <v>ord_71852</v>
      </c>
      <c r="B1874" s="18" t="str">
        <f>IFERROR(__xludf.DUMMYFUNCTION("""COMPUTED_VALUE"""),"Pranav Joshi")</f>
        <v>Pranav Joshi</v>
      </c>
      <c r="C1874" s="18" t="str">
        <f>IFERROR(__xludf.DUMMYFUNCTION("""COMPUTED_VALUE"""),"Andheri")</f>
        <v>Andheri</v>
      </c>
      <c r="D1874" s="18" t="str">
        <f>IFERROR(__xludf.DUMMYFUNCTION("""COMPUTED_VALUE"""),"Potato")</f>
        <v>Potato</v>
      </c>
      <c r="E1874" s="18">
        <f>IFERROR(__xludf.DUMMYFUNCTION("""COMPUTED_VALUE"""),1.0)</f>
        <v>1</v>
      </c>
      <c r="F1874" s="18" t="str">
        <f>IFERROR(__xludf.DUMMYFUNCTION("""COMPUTED_VALUE"""),"Ramesh S")</f>
        <v>Ramesh S</v>
      </c>
      <c r="G1874" s="19">
        <f>IFERROR(__xludf.DUMMYFUNCTION("""COMPUTED_VALUE"""),45201.0)</f>
        <v>45201</v>
      </c>
      <c r="H1874" s="18" t="str">
        <f>IFERROR(__xludf.DUMMYFUNCTION("""COMPUTED_VALUE"""),"Online Payment")</f>
        <v>Online Payment</v>
      </c>
      <c r="I1874" s="18" t="str">
        <f>IFERROR(__xludf.DUMMYFUNCTION("""COMPUTED_VALUE"""),"Delivered")</f>
        <v>Delivered</v>
      </c>
      <c r="J1874" s="18" t="str">
        <f>IFERROR(__xludf.DUMMYFUNCTION("""COMPUTED_VALUE"""),"On-time Delivery")</f>
        <v>On-time Delivery</v>
      </c>
      <c r="K1874" s="18" t="str">
        <f>IFERROR(__xludf.DUMMYFUNCTION("""COMPUTED_VALUE"""),"Delivered on time")</f>
        <v>Delivered on time</v>
      </c>
      <c r="L1874" s="18">
        <f>iferror(VLOOKUP($D1874,Details!$A$2:$C$11,2,false),vlookup($D1874,Details!$E$2:$G$11,2,false))</f>
        <v>55</v>
      </c>
      <c r="M1874" s="18" t="str">
        <f>iferror(VLOOKUP($D1874,Details!$A$2:$C$11,3,false),vlookup($D1874,Details!$E$2:$G$11,3,false))</f>
        <v>Fruits and Vegetables</v>
      </c>
      <c r="N1874" s="18">
        <f t="shared" si="1"/>
        <v>55</v>
      </c>
      <c r="O1874" s="17"/>
      <c r="P1874" s="17"/>
      <c r="Q1874" s="17"/>
      <c r="R1874" s="17"/>
      <c r="S1874" s="17"/>
      <c r="T1874" s="17"/>
      <c r="U1874" s="17"/>
      <c r="V1874" s="17"/>
      <c r="W1874" s="17"/>
      <c r="X1874" s="17"/>
      <c r="Y1874" s="17"/>
      <c r="Z1874" s="17"/>
    </row>
    <row r="1875">
      <c r="A1875" s="18" t="str">
        <f>IFERROR(__xludf.DUMMYFUNCTION("""COMPUTED_VALUE"""),"ord_71853")</f>
        <v>ord_71853</v>
      </c>
      <c r="B1875" s="18" t="str">
        <f>IFERROR(__xludf.DUMMYFUNCTION("""COMPUTED_VALUE"""),"Pranav Joshi")</f>
        <v>Pranav Joshi</v>
      </c>
      <c r="C1875" s="18" t="str">
        <f>IFERROR(__xludf.DUMMYFUNCTION("""COMPUTED_VALUE"""),"Andheri")</f>
        <v>Andheri</v>
      </c>
      <c r="D1875" s="18" t="str">
        <f>IFERROR(__xludf.DUMMYFUNCTION("""COMPUTED_VALUE"""),"Sweet Corn")</f>
        <v>Sweet Corn</v>
      </c>
      <c r="E1875" s="18">
        <f>IFERROR(__xludf.DUMMYFUNCTION("""COMPUTED_VALUE"""),1.0)</f>
        <v>1</v>
      </c>
      <c r="F1875" s="18" t="str">
        <f>IFERROR(__xludf.DUMMYFUNCTION("""COMPUTED_VALUE"""),"Sita T")</f>
        <v>Sita T</v>
      </c>
      <c r="G1875" s="19">
        <f>IFERROR(__xludf.DUMMYFUNCTION("""COMPUTED_VALUE"""),45149.0)</f>
        <v>45149</v>
      </c>
      <c r="H1875" s="18" t="str">
        <f>IFERROR(__xludf.DUMMYFUNCTION("""COMPUTED_VALUE"""),"COD")</f>
        <v>COD</v>
      </c>
      <c r="I1875" s="18" t="str">
        <f>IFERROR(__xludf.DUMMYFUNCTION("""COMPUTED_VALUE"""),"Delivered")</f>
        <v>Delivered</v>
      </c>
      <c r="J1875" s="18" t="str">
        <f>IFERROR(__xludf.DUMMYFUNCTION("""COMPUTED_VALUE"""),"Quality of Items")</f>
        <v>Quality of Items</v>
      </c>
      <c r="K1875" s="18" t="str">
        <f>IFERROR(__xludf.DUMMYFUNCTION("""COMPUTED_VALUE"""),"Perfect condition")</f>
        <v>Perfect condition</v>
      </c>
      <c r="L1875" s="18">
        <f>iferror(VLOOKUP($D1875,Details!$A$2:$C$11,2,false),vlookup($D1875,Details!$E$2:$G$11,2,false))</f>
        <v>60</v>
      </c>
      <c r="M1875" s="18" t="str">
        <f>iferror(VLOOKUP($D1875,Details!$A$2:$C$11,3,false),vlookup($D1875,Details!$E$2:$G$11,3,false))</f>
        <v>Fruits and Vegetables</v>
      </c>
      <c r="N1875" s="18">
        <f t="shared" si="1"/>
        <v>60</v>
      </c>
      <c r="O1875" s="17"/>
      <c r="P1875" s="17"/>
      <c r="Q1875" s="17"/>
      <c r="R1875" s="17"/>
      <c r="S1875" s="17"/>
      <c r="T1875" s="17"/>
      <c r="U1875" s="17"/>
      <c r="V1875" s="17"/>
      <c r="W1875" s="17"/>
      <c r="X1875" s="17"/>
      <c r="Y1875" s="17"/>
      <c r="Z1875" s="17"/>
    </row>
    <row r="1876">
      <c r="A1876" s="18" t="str">
        <f>IFERROR(__xludf.DUMMYFUNCTION("""COMPUTED_VALUE"""),"ord_71854")</f>
        <v>ord_71854</v>
      </c>
      <c r="B1876" s="18" t="str">
        <f>IFERROR(__xludf.DUMMYFUNCTION("""COMPUTED_VALUE"""),"Mehul Thakkar")</f>
        <v>Mehul Thakkar</v>
      </c>
      <c r="C1876" s="18" t="str">
        <f>IFERROR(__xludf.DUMMYFUNCTION("""COMPUTED_VALUE"""),"Malad")</f>
        <v>Malad</v>
      </c>
      <c r="D1876" s="18" t="str">
        <f>IFERROR(__xludf.DUMMYFUNCTION("""COMPUTED_VALUE"""),"Potato")</f>
        <v>Potato</v>
      </c>
      <c r="E1876" s="18">
        <f>IFERROR(__xludf.DUMMYFUNCTION("""COMPUTED_VALUE"""),1.0)</f>
        <v>1</v>
      </c>
      <c r="F1876" s="18" t="str">
        <f>IFERROR(__xludf.DUMMYFUNCTION("""COMPUTED_VALUE"""),"Sita T")</f>
        <v>Sita T</v>
      </c>
      <c r="G1876" s="19">
        <f>IFERROR(__xludf.DUMMYFUNCTION("""COMPUTED_VALUE"""),44938.0)</f>
        <v>44938</v>
      </c>
      <c r="H1876" s="18" t="str">
        <f>IFERROR(__xludf.DUMMYFUNCTION("""COMPUTED_VALUE"""),"UPI")</f>
        <v>UPI</v>
      </c>
      <c r="I1876" s="18" t="str">
        <f>IFERROR(__xludf.DUMMYFUNCTION("""COMPUTED_VALUE"""),"Delivered")</f>
        <v>Delivered</v>
      </c>
      <c r="J1876" s="18" t="str">
        <f>IFERROR(__xludf.DUMMYFUNCTION("""COMPUTED_VALUE"""),"On-time Delivery")</f>
        <v>On-time Delivery</v>
      </c>
      <c r="K1876" s="18" t="str">
        <f>IFERROR(__xludf.DUMMYFUNCTION("""COMPUTED_VALUE"""),"Delivered on time")</f>
        <v>Delivered on time</v>
      </c>
      <c r="L1876" s="18">
        <f>iferror(VLOOKUP($D1876,Details!$A$2:$C$11,2,false),vlookup($D1876,Details!$E$2:$G$11,2,false))</f>
        <v>55</v>
      </c>
      <c r="M1876" s="18" t="str">
        <f>iferror(VLOOKUP($D1876,Details!$A$2:$C$11,3,false),vlookup($D1876,Details!$E$2:$G$11,3,false))</f>
        <v>Fruits and Vegetables</v>
      </c>
      <c r="N1876" s="18">
        <f t="shared" si="1"/>
        <v>55</v>
      </c>
      <c r="O1876" s="17"/>
      <c r="P1876" s="17"/>
      <c r="Q1876" s="17"/>
      <c r="R1876" s="17"/>
      <c r="S1876" s="17"/>
      <c r="T1876" s="17"/>
      <c r="U1876" s="17"/>
      <c r="V1876" s="17"/>
      <c r="W1876" s="17"/>
      <c r="X1876" s="17"/>
      <c r="Y1876" s="17"/>
      <c r="Z1876" s="17"/>
    </row>
    <row r="1877">
      <c r="A1877" s="18" t="str">
        <f>IFERROR(__xludf.DUMMYFUNCTION("""COMPUTED_VALUE"""),"ord_81855")</f>
        <v>ord_81855</v>
      </c>
      <c r="B1877" s="18" t="str">
        <f>IFERROR(__xludf.DUMMYFUNCTION("""COMPUTED_VALUE"""),"Diya Arora")</f>
        <v>Diya Arora</v>
      </c>
      <c r="C1877" s="18" t="str">
        <f>IFERROR(__xludf.DUMMYFUNCTION("""COMPUTED_VALUE"""),"Lower Parel")</f>
        <v>Lower Parel</v>
      </c>
      <c r="D1877" s="18" t="str">
        <f>IFERROR(__xludf.DUMMYFUNCTION("""COMPUTED_VALUE"""),"Sweet Corn")</f>
        <v>Sweet Corn</v>
      </c>
      <c r="E1877" s="18">
        <f>IFERROR(__xludf.DUMMYFUNCTION("""COMPUTED_VALUE"""),2.0)</f>
        <v>2</v>
      </c>
      <c r="F1877" s="18" t="str">
        <f>IFERROR(__xludf.DUMMYFUNCTION("""COMPUTED_VALUE"""),"Shine Thomas")</f>
        <v>Shine Thomas</v>
      </c>
      <c r="G1877" s="19">
        <f>IFERROR(__xludf.DUMMYFUNCTION("""COMPUTED_VALUE"""),45277.0)</f>
        <v>45277</v>
      </c>
      <c r="H1877" s="18" t="str">
        <f>IFERROR(__xludf.DUMMYFUNCTION("""COMPUTED_VALUE"""),"COD")</f>
        <v>COD</v>
      </c>
      <c r="I1877" s="18" t="str">
        <f>IFERROR(__xludf.DUMMYFUNCTION("""COMPUTED_VALUE"""),"Delivered")</f>
        <v>Delivered</v>
      </c>
      <c r="J1877" s="18" t="str">
        <f>IFERROR(__xludf.DUMMYFUNCTION("""COMPUTED_VALUE"""),"Quality of Items")</f>
        <v>Quality of Items</v>
      </c>
      <c r="K1877" s="18" t="str">
        <f>IFERROR(__xludf.DUMMYFUNCTION("""COMPUTED_VALUE"""),"Perfect condition")</f>
        <v>Perfect condition</v>
      </c>
      <c r="L1877" s="18">
        <f>iferror(VLOOKUP($D1877,Details!$A$2:$C$11,2,false),vlookup($D1877,Details!$E$2:$G$11,2,false))</f>
        <v>60</v>
      </c>
      <c r="M1877" s="18" t="str">
        <f>iferror(VLOOKUP($D1877,Details!$A$2:$C$11,3,false),vlookup($D1877,Details!$E$2:$G$11,3,false))</f>
        <v>Fruits and Vegetables</v>
      </c>
      <c r="N1877" s="18">
        <f t="shared" si="1"/>
        <v>120</v>
      </c>
      <c r="O1877" s="17"/>
      <c r="P1877" s="17"/>
      <c r="Q1877" s="17"/>
      <c r="R1877" s="17"/>
      <c r="S1877" s="17"/>
      <c r="T1877" s="17"/>
      <c r="U1877" s="17"/>
      <c r="V1877" s="17"/>
      <c r="W1877" s="17"/>
      <c r="X1877" s="17"/>
      <c r="Y1877" s="17"/>
      <c r="Z1877" s="17"/>
    </row>
    <row r="1878">
      <c r="A1878" s="18" t="str">
        <f>IFERROR(__xludf.DUMMYFUNCTION("""COMPUTED_VALUE"""),"ord_81856")</f>
        <v>ord_81856</v>
      </c>
      <c r="B1878" s="18" t="str">
        <f>IFERROR(__xludf.DUMMYFUNCTION("""COMPUTED_VALUE"""),"Arvind Kulkarni")</f>
        <v>Arvind Kulkarni</v>
      </c>
      <c r="C1878" s="18" t="str">
        <f>IFERROR(__xludf.DUMMYFUNCTION("""COMPUTED_VALUE"""),"Juhu")</f>
        <v>Juhu</v>
      </c>
      <c r="D1878" s="18" t="str">
        <f>IFERROR(__xludf.DUMMYFUNCTION("""COMPUTED_VALUE"""),"Cucumber")</f>
        <v>Cucumber</v>
      </c>
      <c r="E1878" s="18">
        <f>IFERROR(__xludf.DUMMYFUNCTION("""COMPUTED_VALUE"""),2.0)</f>
        <v>2</v>
      </c>
      <c r="F1878" s="18" t="str">
        <f>IFERROR(__xludf.DUMMYFUNCTION("""COMPUTED_VALUE"""),"Ram Gopal")</f>
        <v>Ram Gopal</v>
      </c>
      <c r="G1878" s="19">
        <f>IFERROR(__xludf.DUMMYFUNCTION("""COMPUTED_VALUE"""),45219.0)</f>
        <v>45219</v>
      </c>
      <c r="H1878" s="18" t="str">
        <f>IFERROR(__xludf.DUMMYFUNCTION("""COMPUTED_VALUE"""),"Online Payment")</f>
        <v>Online Payment</v>
      </c>
      <c r="I1878" s="18" t="str">
        <f>IFERROR(__xludf.DUMMYFUNCTION("""COMPUTED_VALUE"""),"Delivered")</f>
        <v>Delivered</v>
      </c>
      <c r="J1878" s="18" t="str">
        <f>IFERROR(__xludf.DUMMYFUNCTION("""COMPUTED_VALUE"""),"Packaging")</f>
        <v>Packaging</v>
      </c>
      <c r="K1878" s="18" t="str">
        <f>IFERROR(__xludf.DUMMYFUNCTION("""COMPUTED_VALUE"""),"Secure and intact")</f>
        <v>Secure and intact</v>
      </c>
      <c r="L1878" s="18">
        <f>iferror(VLOOKUP($D1878,Details!$A$2:$C$11,2,false),vlookup($D1878,Details!$E$2:$G$11,2,false))</f>
        <v>30</v>
      </c>
      <c r="M1878" s="18" t="str">
        <f>iferror(VLOOKUP($D1878,Details!$A$2:$C$11,3,false),vlookup($D1878,Details!$E$2:$G$11,3,false))</f>
        <v>Fruits and Vegetables</v>
      </c>
      <c r="N1878" s="18">
        <f t="shared" si="1"/>
        <v>60</v>
      </c>
      <c r="O1878" s="17"/>
      <c r="P1878" s="17"/>
      <c r="Q1878" s="17"/>
      <c r="R1878" s="17"/>
      <c r="S1878" s="17"/>
      <c r="T1878" s="17"/>
      <c r="U1878" s="17"/>
      <c r="V1878" s="17"/>
      <c r="W1878" s="17"/>
      <c r="X1878" s="17"/>
      <c r="Y1878" s="17"/>
      <c r="Z1878" s="17"/>
    </row>
    <row r="1879">
      <c r="A1879" s="18" t="str">
        <f>IFERROR(__xludf.DUMMYFUNCTION("""COMPUTED_VALUE"""),"ord_81857")</f>
        <v>ord_81857</v>
      </c>
      <c r="B1879" s="18" t="str">
        <f>IFERROR(__xludf.DUMMYFUNCTION("""COMPUTED_VALUE"""),"Aarohi Kapoor")</f>
        <v>Aarohi Kapoor</v>
      </c>
      <c r="C1879" s="18" t="str">
        <f>IFERROR(__xludf.DUMMYFUNCTION("""COMPUTED_VALUE"""),"Bandra")</f>
        <v>Bandra</v>
      </c>
      <c r="D1879" s="18" t="str">
        <f>IFERROR(__xludf.DUMMYFUNCTION("""COMPUTED_VALUE"""),"Sweet Corn")</f>
        <v>Sweet Corn</v>
      </c>
      <c r="E1879" s="18">
        <f>IFERROR(__xludf.DUMMYFUNCTION("""COMPUTED_VALUE"""),1.0)</f>
        <v>1</v>
      </c>
      <c r="F1879" s="18" t="str">
        <f>IFERROR(__xludf.DUMMYFUNCTION("""COMPUTED_VALUE"""),"Ramesh S")</f>
        <v>Ramesh S</v>
      </c>
      <c r="G1879" s="19">
        <f>IFERROR(__xludf.DUMMYFUNCTION("""COMPUTED_VALUE"""),44974.0)</f>
        <v>44974</v>
      </c>
      <c r="H1879" s="18" t="str">
        <f>IFERROR(__xludf.DUMMYFUNCTION("""COMPUTED_VALUE"""),"UPI")</f>
        <v>UPI</v>
      </c>
      <c r="I1879" s="18" t="str">
        <f>IFERROR(__xludf.DUMMYFUNCTION("""COMPUTED_VALUE"""),"Delivered")</f>
        <v>Delivered</v>
      </c>
      <c r="J1879" s="18" t="str">
        <f>IFERROR(__xludf.DUMMYFUNCTION("""COMPUTED_VALUE"""),"Satisfied with the Delivery")</f>
        <v>Satisfied with the Delivery</v>
      </c>
      <c r="K1879" s="18" t="str">
        <f>IFERROR(__xludf.DUMMYFUNCTION("""COMPUTED_VALUE"""),"Timely and quality")</f>
        <v>Timely and quality</v>
      </c>
      <c r="L1879" s="18">
        <f>iferror(VLOOKUP($D1879,Details!$A$2:$C$11,2,false),vlookup($D1879,Details!$E$2:$G$11,2,false))</f>
        <v>60</v>
      </c>
      <c r="M1879" s="18" t="str">
        <f>iferror(VLOOKUP($D1879,Details!$A$2:$C$11,3,false),vlookup($D1879,Details!$E$2:$G$11,3,false))</f>
        <v>Fruits and Vegetables</v>
      </c>
      <c r="N1879" s="18">
        <f t="shared" si="1"/>
        <v>60</v>
      </c>
      <c r="O1879" s="17"/>
      <c r="P1879" s="17"/>
      <c r="Q1879" s="17"/>
      <c r="R1879" s="17"/>
      <c r="S1879" s="17"/>
      <c r="T1879" s="17"/>
      <c r="U1879" s="17"/>
      <c r="V1879" s="17"/>
      <c r="W1879" s="17"/>
      <c r="X1879" s="17"/>
      <c r="Y1879" s="17"/>
      <c r="Z1879" s="17"/>
    </row>
    <row r="1880">
      <c r="A1880" s="18" t="str">
        <f>IFERROR(__xludf.DUMMYFUNCTION("""COMPUTED_VALUE"""),"ord_81858")</f>
        <v>ord_81858</v>
      </c>
      <c r="B1880" s="18" t="str">
        <f>IFERROR(__xludf.DUMMYFUNCTION("""COMPUTED_VALUE"""),"Diya Arora")</f>
        <v>Diya Arora</v>
      </c>
      <c r="C1880" s="18" t="str">
        <f>IFERROR(__xludf.DUMMYFUNCTION("""COMPUTED_VALUE"""),"Lower Parel")</f>
        <v>Lower Parel</v>
      </c>
      <c r="D1880" s="18" t="str">
        <f>IFERROR(__xludf.DUMMYFUNCTION("""COMPUTED_VALUE"""),"Papaya")</f>
        <v>Papaya</v>
      </c>
      <c r="E1880" s="18">
        <f>IFERROR(__xludf.DUMMYFUNCTION("""COMPUTED_VALUE"""),2.0)</f>
        <v>2</v>
      </c>
      <c r="F1880" s="18" t="str">
        <f>IFERROR(__xludf.DUMMYFUNCTION("""COMPUTED_VALUE"""),"Vivek Kumar")</f>
        <v>Vivek Kumar</v>
      </c>
      <c r="G1880" s="19">
        <f>IFERROR(__xludf.DUMMYFUNCTION("""COMPUTED_VALUE"""),45070.0)</f>
        <v>45070</v>
      </c>
      <c r="H1880" s="18" t="str">
        <f>IFERROR(__xludf.DUMMYFUNCTION("""COMPUTED_VALUE"""),"COD")</f>
        <v>COD</v>
      </c>
      <c r="I1880" s="18" t="str">
        <f>IFERROR(__xludf.DUMMYFUNCTION("""COMPUTED_VALUE"""),"Delivered")</f>
        <v>Delivered</v>
      </c>
      <c r="J1880" s="18" t="str">
        <f>IFERROR(__xludf.DUMMYFUNCTION("""COMPUTED_VALUE"""),"Customer Service")</f>
        <v>Customer Service</v>
      </c>
      <c r="K1880" s="18" t="str">
        <f>IFERROR(__xludf.DUMMYFUNCTION("""COMPUTED_VALUE"""),"Seamless and easy")</f>
        <v>Seamless and easy</v>
      </c>
      <c r="L1880" s="18">
        <f>iferror(VLOOKUP($D1880,Details!$A$2:$C$11,2,false),vlookup($D1880,Details!$E$2:$G$11,2,false))</f>
        <v>75</v>
      </c>
      <c r="M1880" s="18" t="str">
        <f>iferror(VLOOKUP($D1880,Details!$A$2:$C$11,3,false),vlookup($D1880,Details!$E$2:$G$11,3,false))</f>
        <v>Fruits and Vegetables</v>
      </c>
      <c r="N1880" s="18">
        <f t="shared" si="1"/>
        <v>150</v>
      </c>
      <c r="O1880" s="17"/>
      <c r="P1880" s="17"/>
      <c r="Q1880" s="17"/>
      <c r="R1880" s="17"/>
      <c r="S1880" s="17"/>
      <c r="T1880" s="17"/>
      <c r="U1880" s="17"/>
      <c r="V1880" s="17"/>
      <c r="W1880" s="17"/>
      <c r="X1880" s="17"/>
      <c r="Y1880" s="17"/>
      <c r="Z1880" s="17"/>
    </row>
    <row r="1881">
      <c r="A1881" s="18" t="str">
        <f>IFERROR(__xludf.DUMMYFUNCTION("""COMPUTED_VALUE"""),"ord_81859")</f>
        <v>ord_81859</v>
      </c>
      <c r="B1881" s="18" t="str">
        <f>IFERROR(__xludf.DUMMYFUNCTION("""COMPUTED_VALUE"""),"Aarav Mehta")</f>
        <v>Aarav Mehta</v>
      </c>
      <c r="C1881" s="18" t="str">
        <f>IFERROR(__xludf.DUMMYFUNCTION("""COMPUTED_VALUE"""),"Andheri")</f>
        <v>Andheri</v>
      </c>
      <c r="D1881" s="18" t="str">
        <f>IFERROR(__xludf.DUMMYFUNCTION("""COMPUTED_VALUE"""),"Tiramisu")</f>
        <v>Tiramisu</v>
      </c>
      <c r="E1881" s="18">
        <f>IFERROR(__xludf.DUMMYFUNCTION("""COMPUTED_VALUE"""),3.0)</f>
        <v>3</v>
      </c>
      <c r="F1881" s="18" t="str">
        <f>IFERROR(__xludf.DUMMYFUNCTION("""COMPUTED_VALUE"""),"Ram Gopal")</f>
        <v>Ram Gopal</v>
      </c>
      <c r="G1881" s="19">
        <f>IFERROR(__xludf.DUMMYFUNCTION("""COMPUTED_VALUE"""),45177.0)</f>
        <v>45177</v>
      </c>
      <c r="H1881" s="18" t="str">
        <f>IFERROR(__xludf.DUMMYFUNCTION("""COMPUTED_VALUE"""),"UPI")</f>
        <v>UPI</v>
      </c>
      <c r="I1881" s="18" t="str">
        <f>IFERROR(__xludf.DUMMYFUNCTION("""COMPUTED_VALUE"""),"Delivered")</f>
        <v>Delivered</v>
      </c>
      <c r="J1881" s="18" t="str">
        <f>IFERROR(__xludf.DUMMYFUNCTION("""COMPUTED_VALUE"""),"Delivery Experience")</f>
        <v>Delivery Experience</v>
      </c>
      <c r="K1881" s="18" t="str">
        <f>IFERROR(__xludf.DUMMYFUNCTION("""COMPUTED_VALUE"""),"Quick and professional")</f>
        <v>Quick and professional</v>
      </c>
      <c r="L1881" s="18">
        <f>iferror(VLOOKUP($D1881,Details!$A$2:$C$11,2,false),vlookup($D1881,Details!$E$2:$G$11,2,false))</f>
        <v>150</v>
      </c>
      <c r="M1881" s="18" t="str">
        <f>iferror(VLOOKUP($D1881,Details!$A$2:$C$11,3,false),vlookup($D1881,Details!$E$2:$G$11,3,false))</f>
        <v>Snacks and Drinks</v>
      </c>
      <c r="N1881" s="18">
        <f t="shared" si="1"/>
        <v>450</v>
      </c>
      <c r="O1881" s="17"/>
      <c r="P1881" s="17"/>
      <c r="Q1881" s="17"/>
      <c r="R1881" s="17"/>
      <c r="S1881" s="17"/>
      <c r="T1881" s="17"/>
      <c r="U1881" s="17"/>
      <c r="V1881" s="17"/>
      <c r="W1881" s="17"/>
      <c r="X1881" s="17"/>
      <c r="Y1881" s="17"/>
      <c r="Z1881" s="17"/>
    </row>
    <row r="1882">
      <c r="A1882" s="18" t="str">
        <f>IFERROR(__xludf.DUMMYFUNCTION("""COMPUTED_VALUE"""),"ord_81860")</f>
        <v>ord_81860</v>
      </c>
      <c r="B1882" s="18" t="str">
        <f>IFERROR(__xludf.DUMMYFUNCTION("""COMPUTED_VALUE"""),"Parth Goel")</f>
        <v>Parth Goel</v>
      </c>
      <c r="C1882" s="18" t="str">
        <f>IFERROR(__xludf.DUMMYFUNCTION("""COMPUTED_VALUE"""),"Juhu")</f>
        <v>Juhu</v>
      </c>
      <c r="D1882" s="18" t="str">
        <f>IFERROR(__xludf.DUMMYFUNCTION("""COMPUTED_VALUE"""),"Juice")</f>
        <v>Juice</v>
      </c>
      <c r="E1882" s="18">
        <f>IFERROR(__xludf.DUMMYFUNCTION("""COMPUTED_VALUE"""),1.0)</f>
        <v>1</v>
      </c>
      <c r="F1882" s="18" t="str">
        <f>IFERROR(__xludf.DUMMYFUNCTION("""COMPUTED_VALUE"""),"Sita T")</f>
        <v>Sita T</v>
      </c>
      <c r="G1882" s="19">
        <f>IFERROR(__xludf.DUMMYFUNCTION("""COMPUTED_VALUE"""),44946.0)</f>
        <v>44946</v>
      </c>
      <c r="H1882" s="18" t="str">
        <f>IFERROR(__xludf.DUMMYFUNCTION("""COMPUTED_VALUE"""),"UPI")</f>
        <v>UPI</v>
      </c>
      <c r="I1882" s="18" t="str">
        <f>IFERROR(__xludf.DUMMYFUNCTION("""COMPUTED_VALUE"""),"Delivered")</f>
        <v>Delivered</v>
      </c>
      <c r="J1882" s="18" t="str">
        <f>IFERROR(__xludf.DUMMYFUNCTION("""COMPUTED_VALUE"""),"Convenience")</f>
        <v>Convenience</v>
      </c>
      <c r="K1882" s="18" t="str">
        <f>IFERROR(__xludf.DUMMYFUNCTION("""COMPUTED_VALUE"""),"Easy tracking")</f>
        <v>Easy tracking</v>
      </c>
      <c r="L1882" s="18">
        <f>iferror(VLOOKUP($D1882,Details!$A$2:$C$11,2,false),vlookup($D1882,Details!$E$2:$G$11,2,false))</f>
        <v>90</v>
      </c>
      <c r="M1882" s="18" t="str">
        <f>iferror(VLOOKUP($D1882,Details!$A$2:$C$11,3,false),vlookup($D1882,Details!$E$2:$G$11,3,false))</f>
        <v>Snacks and Drinks</v>
      </c>
      <c r="N1882" s="18">
        <f t="shared" si="1"/>
        <v>90</v>
      </c>
      <c r="O1882" s="17"/>
      <c r="P1882" s="17"/>
      <c r="Q1882" s="17"/>
      <c r="R1882" s="17"/>
      <c r="S1882" s="17"/>
      <c r="T1882" s="17"/>
      <c r="U1882" s="17"/>
      <c r="V1882" s="17"/>
      <c r="W1882" s="17"/>
      <c r="X1882" s="17"/>
      <c r="Y1882" s="17"/>
      <c r="Z1882" s="17"/>
    </row>
    <row r="1883">
      <c r="A1883" s="18" t="str">
        <f>IFERROR(__xludf.DUMMYFUNCTION("""COMPUTED_VALUE"""),"ord_81861")</f>
        <v>ord_81861</v>
      </c>
      <c r="B1883" s="18" t="str">
        <f>IFERROR(__xludf.DUMMYFUNCTION("""COMPUTED_VALUE"""),"Aditi Iyer")</f>
        <v>Aditi Iyer</v>
      </c>
      <c r="C1883" s="18" t="str">
        <f>IFERROR(__xludf.DUMMYFUNCTION("""COMPUTED_VALUE"""),"Dadar")</f>
        <v>Dadar</v>
      </c>
      <c r="D1883" s="18" t="str">
        <f>IFERROR(__xludf.DUMMYFUNCTION("""COMPUTED_VALUE"""),"Tomato")</f>
        <v>Tomato</v>
      </c>
      <c r="E1883" s="18">
        <f>IFERROR(__xludf.DUMMYFUNCTION("""COMPUTED_VALUE"""),1.0)</f>
        <v>1</v>
      </c>
      <c r="F1883" s="18" t="str">
        <f>IFERROR(__xludf.DUMMYFUNCTION("""COMPUTED_VALUE"""),"Ramesh S")</f>
        <v>Ramesh S</v>
      </c>
      <c r="G1883" s="19">
        <f>IFERROR(__xludf.DUMMYFUNCTION("""COMPUTED_VALUE"""),45051.0)</f>
        <v>45051</v>
      </c>
      <c r="H1883" s="18" t="str">
        <f>IFERROR(__xludf.DUMMYFUNCTION("""COMPUTED_VALUE"""),"UPI")</f>
        <v>UPI</v>
      </c>
      <c r="I1883" s="18" t="str">
        <f>IFERROR(__xludf.DUMMYFUNCTION("""COMPUTED_VALUE"""),"Delivered")</f>
        <v>Delivered</v>
      </c>
      <c r="J1883" s="18" t="str">
        <f>IFERROR(__xludf.DUMMYFUNCTION("""COMPUTED_VALUE"""),"Overall Satisfaction")</f>
        <v>Overall Satisfaction</v>
      </c>
      <c r="K1883" s="18" t="str">
        <f>IFERROR(__xludf.DUMMYFUNCTION("""COMPUTED_VALUE"""),"Great service will order again")</f>
        <v>Great service will order again</v>
      </c>
      <c r="L1883" s="18">
        <f>iferror(VLOOKUP($D1883,Details!$A$2:$C$11,2,false),vlookup($D1883,Details!$E$2:$G$11,2,false))</f>
        <v>25</v>
      </c>
      <c r="M1883" s="18" t="str">
        <f>iferror(VLOOKUP($D1883,Details!$A$2:$C$11,3,false),vlookup($D1883,Details!$E$2:$G$11,3,false))</f>
        <v>Fruits and Vegetables</v>
      </c>
      <c r="N1883" s="18">
        <f t="shared" si="1"/>
        <v>25</v>
      </c>
      <c r="O1883" s="17"/>
      <c r="P1883" s="17"/>
      <c r="Q1883" s="17"/>
      <c r="R1883" s="17"/>
      <c r="S1883" s="17"/>
      <c r="T1883" s="17"/>
      <c r="U1883" s="17"/>
      <c r="V1883" s="17"/>
      <c r="W1883" s="17"/>
      <c r="X1883" s="17"/>
      <c r="Y1883" s="17"/>
      <c r="Z1883" s="17"/>
    </row>
    <row r="1884">
      <c r="A1884" s="18" t="str">
        <f>IFERROR(__xludf.DUMMYFUNCTION("""COMPUTED_VALUE"""),"ord_81862")</f>
        <v>ord_81862</v>
      </c>
      <c r="B1884" s="18" t="str">
        <f>IFERROR(__xludf.DUMMYFUNCTION("""COMPUTED_VALUE"""),"Pranav Joshi")</f>
        <v>Pranav Joshi</v>
      </c>
      <c r="C1884" s="18" t="str">
        <f>IFERROR(__xludf.DUMMYFUNCTION("""COMPUTED_VALUE"""),"Andheri")</f>
        <v>Andheri</v>
      </c>
      <c r="D1884" s="18" t="str">
        <f>IFERROR(__xludf.DUMMYFUNCTION("""COMPUTED_VALUE"""),"Cucumber")</f>
        <v>Cucumber</v>
      </c>
      <c r="E1884" s="18">
        <f>IFERROR(__xludf.DUMMYFUNCTION("""COMPUTED_VALUE"""),2.0)</f>
        <v>2</v>
      </c>
      <c r="F1884" s="18" t="str">
        <f>IFERROR(__xludf.DUMMYFUNCTION("""COMPUTED_VALUE"""),"Manju Ajay")</f>
        <v>Manju Ajay</v>
      </c>
      <c r="G1884" s="19">
        <f>IFERROR(__xludf.DUMMYFUNCTION("""COMPUTED_VALUE"""),45102.0)</f>
        <v>45102</v>
      </c>
      <c r="H1884" s="18" t="str">
        <f>IFERROR(__xludf.DUMMYFUNCTION("""COMPUTED_VALUE"""),"UPI")</f>
        <v>UPI</v>
      </c>
      <c r="I1884" s="18" t="str">
        <f>IFERROR(__xludf.DUMMYFUNCTION("""COMPUTED_VALUE"""),"Delivered")</f>
        <v>Delivered</v>
      </c>
      <c r="J1884" s="18" t="str">
        <f>IFERROR(__xludf.DUMMYFUNCTION("""COMPUTED_VALUE"""),"On-time Delivery")</f>
        <v>On-time Delivery</v>
      </c>
      <c r="K1884" s="18" t="str">
        <f>IFERROR(__xludf.DUMMYFUNCTION("""COMPUTED_VALUE"""),"Delivered on time")</f>
        <v>Delivered on time</v>
      </c>
      <c r="L1884" s="18">
        <f>iferror(VLOOKUP($D1884,Details!$A$2:$C$11,2,false),vlookup($D1884,Details!$E$2:$G$11,2,false))</f>
        <v>30</v>
      </c>
      <c r="M1884" s="18" t="str">
        <f>iferror(VLOOKUP($D1884,Details!$A$2:$C$11,3,false),vlookup($D1884,Details!$E$2:$G$11,3,false))</f>
        <v>Fruits and Vegetables</v>
      </c>
      <c r="N1884" s="18">
        <f t="shared" si="1"/>
        <v>60</v>
      </c>
      <c r="O1884" s="17"/>
      <c r="P1884" s="17"/>
      <c r="Q1884" s="17"/>
      <c r="R1884" s="17"/>
      <c r="S1884" s="17"/>
      <c r="T1884" s="17"/>
      <c r="U1884" s="17"/>
      <c r="V1884" s="17"/>
      <c r="W1884" s="17"/>
      <c r="X1884" s="17"/>
      <c r="Y1884" s="17"/>
      <c r="Z1884" s="17"/>
    </row>
    <row r="1885">
      <c r="A1885" s="18" t="str">
        <f>IFERROR(__xludf.DUMMYFUNCTION("""COMPUTED_VALUE"""),"ord_81863")</f>
        <v>ord_81863</v>
      </c>
      <c r="B1885" s="18" t="str">
        <f>IFERROR(__xludf.DUMMYFUNCTION("""COMPUTED_VALUE"""),"Mohit Malhotra")</f>
        <v>Mohit Malhotra</v>
      </c>
      <c r="C1885" s="18" t="str">
        <f>IFERROR(__xludf.DUMMYFUNCTION("""COMPUTED_VALUE"""),"Lower Parel")</f>
        <v>Lower Parel</v>
      </c>
      <c r="D1885" s="18" t="str">
        <f>IFERROR(__xludf.DUMMYFUNCTION("""COMPUTED_VALUE"""),"Rasmalai")</f>
        <v>Rasmalai</v>
      </c>
      <c r="E1885" s="18">
        <f>IFERROR(__xludf.DUMMYFUNCTION("""COMPUTED_VALUE"""),3.0)</f>
        <v>3</v>
      </c>
      <c r="F1885" s="18" t="str">
        <f>IFERROR(__xludf.DUMMYFUNCTION("""COMPUTED_VALUE"""),"Sita T")</f>
        <v>Sita T</v>
      </c>
      <c r="G1885" s="19">
        <f>IFERROR(__xludf.DUMMYFUNCTION("""COMPUTED_VALUE"""),45289.0)</f>
        <v>45289</v>
      </c>
      <c r="H1885" s="18" t="str">
        <f>IFERROR(__xludf.DUMMYFUNCTION("""COMPUTED_VALUE"""),"Credit Card")</f>
        <v>Credit Card</v>
      </c>
      <c r="I1885" s="18" t="str">
        <f>IFERROR(__xludf.DUMMYFUNCTION("""COMPUTED_VALUE"""),"Delivered")</f>
        <v>Delivered</v>
      </c>
      <c r="J1885" s="18" t="str">
        <f>IFERROR(__xludf.DUMMYFUNCTION("""COMPUTED_VALUE"""),"Quality of Items")</f>
        <v>Quality of Items</v>
      </c>
      <c r="K1885" s="18" t="str">
        <f>IFERROR(__xludf.DUMMYFUNCTION("""COMPUTED_VALUE"""),"Perfect condition")</f>
        <v>Perfect condition</v>
      </c>
      <c r="L1885" s="18">
        <f>iferror(VLOOKUP($D1885,Details!$A$2:$C$11,2,false),vlookup($D1885,Details!$E$2:$G$11,2,false))</f>
        <v>110</v>
      </c>
      <c r="M1885" s="18" t="str">
        <f>iferror(VLOOKUP($D1885,Details!$A$2:$C$11,3,false),vlookup($D1885,Details!$E$2:$G$11,3,false))</f>
        <v>Snacks and Drinks</v>
      </c>
      <c r="N1885" s="18">
        <f t="shared" si="1"/>
        <v>330</v>
      </c>
      <c r="O1885" s="17"/>
      <c r="P1885" s="17"/>
      <c r="Q1885" s="17"/>
      <c r="R1885" s="17"/>
      <c r="S1885" s="17"/>
      <c r="T1885" s="17"/>
      <c r="U1885" s="17"/>
      <c r="V1885" s="17"/>
      <c r="W1885" s="17"/>
      <c r="X1885" s="17"/>
      <c r="Y1885" s="17"/>
      <c r="Z1885" s="17"/>
    </row>
    <row r="1886">
      <c r="A1886" s="18" t="str">
        <f>IFERROR(__xludf.DUMMYFUNCTION("""COMPUTED_VALUE"""),"ord_81864")</f>
        <v>ord_81864</v>
      </c>
      <c r="B1886" s="18" t="str">
        <f>IFERROR(__xludf.DUMMYFUNCTION("""COMPUTED_VALUE"""),"Arvind Kulkarni")</f>
        <v>Arvind Kulkarni</v>
      </c>
      <c r="C1886" s="18" t="str">
        <f>IFERROR(__xludf.DUMMYFUNCTION("""COMPUTED_VALUE"""),"Juhu")</f>
        <v>Juhu</v>
      </c>
      <c r="D1886" s="18" t="str">
        <f>IFERROR(__xludf.DUMMYFUNCTION("""COMPUTED_VALUE"""),"Guava")</f>
        <v>Guava</v>
      </c>
      <c r="E1886" s="18">
        <f>IFERROR(__xludf.DUMMYFUNCTION("""COMPUTED_VALUE"""),1.0)</f>
        <v>1</v>
      </c>
      <c r="F1886" s="18" t="str">
        <f>IFERROR(__xludf.DUMMYFUNCTION("""COMPUTED_VALUE"""),"Ram Gopal")</f>
        <v>Ram Gopal</v>
      </c>
      <c r="G1886" s="19">
        <f>IFERROR(__xludf.DUMMYFUNCTION("""COMPUTED_VALUE"""),45253.0)</f>
        <v>45253</v>
      </c>
      <c r="H1886" s="18" t="str">
        <f>IFERROR(__xludf.DUMMYFUNCTION("""COMPUTED_VALUE"""),"Credit Card")</f>
        <v>Credit Card</v>
      </c>
      <c r="I1886" s="18" t="str">
        <f>IFERROR(__xludf.DUMMYFUNCTION("""COMPUTED_VALUE"""),"Cancelled")</f>
        <v>Cancelled</v>
      </c>
      <c r="J1886" s="18" t="str">
        <f>IFERROR(__xludf.DUMMYFUNCTION("""COMPUTED_VALUE"""),"Delayed Delivery")</f>
        <v>Delayed Delivery</v>
      </c>
      <c r="K1886" s="18" t="str">
        <f>IFERROR(__xludf.DUMMYFUNCTION("""COMPUTED_VALUE"""),"Bad Weather Conditions")</f>
        <v>Bad Weather Conditions</v>
      </c>
      <c r="L1886" s="18">
        <f>iferror(VLOOKUP($D1886,Details!$A$2:$C$11,2,false),vlookup($D1886,Details!$E$2:$G$11,2,false))</f>
        <v>70</v>
      </c>
      <c r="M1886" s="18" t="str">
        <f>iferror(VLOOKUP($D1886,Details!$A$2:$C$11,3,false),vlookup($D1886,Details!$E$2:$G$11,3,false))</f>
        <v>Fruits and Vegetables</v>
      </c>
      <c r="N1886" s="18">
        <f t="shared" si="1"/>
        <v>70</v>
      </c>
      <c r="O1886" s="17"/>
      <c r="P1886" s="17"/>
      <c r="Q1886" s="17"/>
      <c r="R1886" s="17"/>
      <c r="S1886" s="17"/>
      <c r="T1886" s="17"/>
      <c r="U1886" s="17"/>
      <c r="V1886" s="17"/>
      <c r="W1886" s="17"/>
      <c r="X1886" s="17"/>
      <c r="Y1886" s="17"/>
      <c r="Z1886" s="17"/>
    </row>
    <row r="1887">
      <c r="A1887" s="18" t="str">
        <f>IFERROR(__xludf.DUMMYFUNCTION("""COMPUTED_VALUE"""),"ord_81865")</f>
        <v>ord_81865</v>
      </c>
      <c r="B1887" s="18" t="str">
        <f>IFERROR(__xludf.DUMMYFUNCTION("""COMPUTED_VALUE"""),"Pallavi Ghosh")</f>
        <v>Pallavi Ghosh</v>
      </c>
      <c r="C1887" s="18" t="str">
        <f>IFERROR(__xludf.DUMMYFUNCTION("""COMPUTED_VALUE"""),"Bandra")</f>
        <v>Bandra</v>
      </c>
      <c r="D1887" s="18" t="str">
        <f>IFERROR(__xludf.DUMMYFUNCTION("""COMPUTED_VALUE"""),"Cold Coffee")</f>
        <v>Cold Coffee</v>
      </c>
      <c r="E1887" s="18">
        <f>IFERROR(__xludf.DUMMYFUNCTION("""COMPUTED_VALUE"""),4.0)</f>
        <v>4</v>
      </c>
      <c r="F1887" s="18" t="str">
        <f>IFERROR(__xludf.DUMMYFUNCTION("""COMPUTED_VALUE"""),"Ramesh S")</f>
        <v>Ramesh S</v>
      </c>
      <c r="G1887" s="19">
        <f>IFERROR(__xludf.DUMMYFUNCTION("""COMPUTED_VALUE"""),44959.0)</f>
        <v>44959</v>
      </c>
      <c r="H1887" s="18" t="str">
        <f>IFERROR(__xludf.DUMMYFUNCTION("""COMPUTED_VALUE"""),"COD")</f>
        <v>COD</v>
      </c>
      <c r="I1887" s="18" t="str">
        <f>IFERROR(__xludf.DUMMYFUNCTION("""COMPUTED_VALUE"""),"Delivered")</f>
        <v>Delivered</v>
      </c>
      <c r="J1887" s="18" t="str">
        <f>IFERROR(__xludf.DUMMYFUNCTION("""COMPUTED_VALUE"""),"On-time Delivery")</f>
        <v>On-time Delivery</v>
      </c>
      <c r="K1887" s="18" t="str">
        <f>IFERROR(__xludf.DUMMYFUNCTION("""COMPUTED_VALUE"""),"Delivered on time")</f>
        <v>Delivered on time</v>
      </c>
      <c r="L1887" s="18">
        <f>iferror(VLOOKUP($D1887,Details!$A$2:$C$11,2,false),vlookup($D1887,Details!$E$2:$G$11,2,false))</f>
        <v>270</v>
      </c>
      <c r="M1887" s="18" t="str">
        <f>iferror(VLOOKUP($D1887,Details!$A$2:$C$11,3,false),vlookup($D1887,Details!$E$2:$G$11,3,false))</f>
        <v>Snacks and Drinks</v>
      </c>
      <c r="N1887" s="18">
        <f t="shared" si="1"/>
        <v>1080</v>
      </c>
      <c r="O1887" s="17"/>
      <c r="P1887" s="17"/>
      <c r="Q1887" s="17"/>
      <c r="R1887" s="17"/>
      <c r="S1887" s="17"/>
      <c r="T1887" s="17"/>
      <c r="U1887" s="17"/>
      <c r="V1887" s="17"/>
      <c r="W1887" s="17"/>
      <c r="X1887" s="17"/>
      <c r="Y1887" s="17"/>
      <c r="Z1887" s="17"/>
    </row>
    <row r="1888">
      <c r="A1888" s="18" t="str">
        <f>IFERROR(__xludf.DUMMYFUNCTION("""COMPUTED_VALUE"""),"ord_81866")</f>
        <v>ord_81866</v>
      </c>
      <c r="B1888" s="18" t="str">
        <f>IFERROR(__xludf.DUMMYFUNCTION("""COMPUTED_VALUE"""),"Tanishq Bansal")</f>
        <v>Tanishq Bansal</v>
      </c>
      <c r="C1888" s="18" t="str">
        <f>IFERROR(__xludf.DUMMYFUNCTION("""COMPUTED_VALUE"""),"Bandra")</f>
        <v>Bandra</v>
      </c>
      <c r="D1888" s="18" t="str">
        <f>IFERROR(__xludf.DUMMYFUNCTION("""COMPUTED_VALUE"""),"Papaya")</f>
        <v>Papaya</v>
      </c>
      <c r="E1888" s="18">
        <f>IFERROR(__xludf.DUMMYFUNCTION("""COMPUTED_VALUE"""),2.0)</f>
        <v>2</v>
      </c>
      <c r="F1888" s="18" t="str">
        <f>IFERROR(__xludf.DUMMYFUNCTION("""COMPUTED_VALUE"""),"Vivek Kumar")</f>
        <v>Vivek Kumar</v>
      </c>
      <c r="G1888" s="19">
        <f>IFERROR(__xludf.DUMMYFUNCTION("""COMPUTED_VALUE"""),45259.0)</f>
        <v>45259</v>
      </c>
      <c r="H1888" s="18" t="str">
        <f>IFERROR(__xludf.DUMMYFUNCTION("""COMPUTED_VALUE"""),"Credit Card")</f>
        <v>Credit Card</v>
      </c>
      <c r="I1888" s="18" t="str">
        <f>IFERROR(__xludf.DUMMYFUNCTION("""COMPUTED_VALUE"""),"Delivered")</f>
        <v>Delivered</v>
      </c>
      <c r="J1888" s="18" t="str">
        <f>IFERROR(__xludf.DUMMYFUNCTION("""COMPUTED_VALUE"""),"Quality of Items")</f>
        <v>Quality of Items</v>
      </c>
      <c r="K1888" s="18" t="str">
        <f>IFERROR(__xludf.DUMMYFUNCTION("""COMPUTED_VALUE"""),"Perfect condition")</f>
        <v>Perfect condition</v>
      </c>
      <c r="L1888" s="18">
        <f>iferror(VLOOKUP($D1888,Details!$A$2:$C$11,2,false),vlookup($D1888,Details!$E$2:$G$11,2,false))</f>
        <v>75</v>
      </c>
      <c r="M1888" s="18" t="str">
        <f>iferror(VLOOKUP($D1888,Details!$A$2:$C$11,3,false),vlookup($D1888,Details!$E$2:$G$11,3,false))</f>
        <v>Fruits and Vegetables</v>
      </c>
      <c r="N1888" s="18">
        <f t="shared" si="1"/>
        <v>150</v>
      </c>
      <c r="O1888" s="17"/>
      <c r="P1888" s="17"/>
      <c r="Q1888" s="17"/>
      <c r="R1888" s="17"/>
      <c r="S1888" s="17"/>
      <c r="T1888" s="17"/>
      <c r="U1888" s="17"/>
      <c r="V1888" s="17"/>
      <c r="W1888" s="17"/>
      <c r="X1888" s="17"/>
      <c r="Y1888" s="17"/>
      <c r="Z1888" s="17"/>
    </row>
    <row r="1889">
      <c r="A1889" s="18" t="str">
        <f>IFERROR(__xludf.DUMMYFUNCTION("""COMPUTED_VALUE"""),"ord_81867")</f>
        <v>ord_81867</v>
      </c>
      <c r="B1889" s="18" t="str">
        <f>IFERROR(__xludf.DUMMYFUNCTION("""COMPUTED_VALUE"""),"Tanishq Bansal")</f>
        <v>Tanishq Bansal</v>
      </c>
      <c r="C1889" s="18" t="str">
        <f>IFERROR(__xludf.DUMMYFUNCTION("""COMPUTED_VALUE"""),"Bandra")</f>
        <v>Bandra</v>
      </c>
      <c r="D1889" s="18" t="str">
        <f>IFERROR(__xludf.DUMMYFUNCTION("""COMPUTED_VALUE"""),"Rasmalai")</f>
        <v>Rasmalai</v>
      </c>
      <c r="E1889" s="18">
        <f>IFERROR(__xludf.DUMMYFUNCTION("""COMPUTED_VALUE"""),5.0)</f>
        <v>5</v>
      </c>
      <c r="F1889" s="18" t="str">
        <f>IFERROR(__xludf.DUMMYFUNCTION("""COMPUTED_VALUE"""),"Vivek Kumar")</f>
        <v>Vivek Kumar</v>
      </c>
      <c r="G1889" s="19">
        <f>IFERROR(__xludf.DUMMYFUNCTION("""COMPUTED_VALUE"""),45181.0)</f>
        <v>45181</v>
      </c>
      <c r="H1889" s="18" t="str">
        <f>IFERROR(__xludf.DUMMYFUNCTION("""COMPUTED_VALUE"""),"UPI")</f>
        <v>UPI</v>
      </c>
      <c r="I1889" s="18" t="str">
        <f>IFERROR(__xludf.DUMMYFUNCTION("""COMPUTED_VALUE"""),"Delivered")</f>
        <v>Delivered</v>
      </c>
      <c r="J1889" s="18" t="str">
        <f>IFERROR(__xludf.DUMMYFUNCTION("""COMPUTED_VALUE"""),"Packaging")</f>
        <v>Packaging</v>
      </c>
      <c r="K1889" s="18" t="str">
        <f>IFERROR(__xludf.DUMMYFUNCTION("""COMPUTED_VALUE"""),"Secure and intact")</f>
        <v>Secure and intact</v>
      </c>
      <c r="L1889" s="18">
        <f>iferror(VLOOKUP($D1889,Details!$A$2:$C$11,2,false),vlookup($D1889,Details!$E$2:$G$11,2,false))</f>
        <v>110</v>
      </c>
      <c r="M1889" s="18" t="str">
        <f>iferror(VLOOKUP($D1889,Details!$A$2:$C$11,3,false),vlookup($D1889,Details!$E$2:$G$11,3,false))</f>
        <v>Snacks and Drinks</v>
      </c>
      <c r="N1889" s="18">
        <f t="shared" si="1"/>
        <v>550</v>
      </c>
      <c r="O1889" s="17"/>
      <c r="P1889" s="17"/>
      <c r="Q1889" s="17"/>
      <c r="R1889" s="17"/>
      <c r="S1889" s="17"/>
      <c r="T1889" s="17"/>
      <c r="U1889" s="17"/>
      <c r="V1889" s="17"/>
      <c r="W1889" s="17"/>
      <c r="X1889" s="17"/>
      <c r="Y1889" s="17"/>
      <c r="Z1889" s="17"/>
    </row>
    <row r="1890">
      <c r="A1890" s="18" t="str">
        <f>IFERROR(__xludf.DUMMYFUNCTION("""COMPUTED_VALUE"""),"ord_81868")</f>
        <v>ord_81868</v>
      </c>
      <c r="B1890" s="18" t="str">
        <f>IFERROR(__xludf.DUMMYFUNCTION("""COMPUTED_VALUE"""),"Dev Chauhan")</f>
        <v>Dev Chauhan</v>
      </c>
      <c r="C1890" s="18" t="str">
        <f>IFERROR(__xludf.DUMMYFUNCTION("""COMPUTED_VALUE"""),"Bandra")</f>
        <v>Bandra</v>
      </c>
      <c r="D1890" s="18" t="str">
        <f>IFERROR(__xludf.DUMMYFUNCTION("""COMPUTED_VALUE"""),"Apple")</f>
        <v>Apple</v>
      </c>
      <c r="E1890" s="18">
        <f>IFERROR(__xludf.DUMMYFUNCTION("""COMPUTED_VALUE"""),2.0)</f>
        <v>2</v>
      </c>
      <c r="F1890" s="18" t="str">
        <f>IFERROR(__xludf.DUMMYFUNCTION("""COMPUTED_VALUE"""),"Vivek Kumar")</f>
        <v>Vivek Kumar</v>
      </c>
      <c r="G1890" s="19">
        <f>IFERROR(__xludf.DUMMYFUNCTION("""COMPUTED_VALUE"""),45028.0)</f>
        <v>45028</v>
      </c>
      <c r="H1890" s="18" t="str">
        <f>IFERROR(__xludf.DUMMYFUNCTION("""COMPUTED_VALUE"""),"UPI")</f>
        <v>UPI</v>
      </c>
      <c r="I1890" s="18" t="str">
        <f>IFERROR(__xludf.DUMMYFUNCTION("""COMPUTED_VALUE"""),"Delivered")</f>
        <v>Delivered</v>
      </c>
      <c r="J1890" s="18" t="str">
        <f>IFERROR(__xludf.DUMMYFUNCTION("""COMPUTED_VALUE"""),"Satisfied with the Delivery")</f>
        <v>Satisfied with the Delivery</v>
      </c>
      <c r="K1890" s="18" t="str">
        <f>IFERROR(__xludf.DUMMYFUNCTION("""COMPUTED_VALUE"""),"Timely and quality")</f>
        <v>Timely and quality</v>
      </c>
      <c r="L1890" s="18">
        <f>iferror(VLOOKUP($D1890,Details!$A$2:$C$11,2,false),vlookup($D1890,Details!$E$2:$G$11,2,false))</f>
        <v>230</v>
      </c>
      <c r="M1890" s="18" t="str">
        <f>iferror(VLOOKUP($D1890,Details!$A$2:$C$11,3,false),vlookup($D1890,Details!$E$2:$G$11,3,false))</f>
        <v>Fruits and Vegetables</v>
      </c>
      <c r="N1890" s="18">
        <f t="shared" si="1"/>
        <v>460</v>
      </c>
      <c r="O1890" s="17"/>
      <c r="P1890" s="17"/>
      <c r="Q1890" s="17"/>
      <c r="R1890" s="17"/>
      <c r="S1890" s="17"/>
      <c r="T1890" s="17"/>
      <c r="U1890" s="17"/>
      <c r="V1890" s="17"/>
      <c r="W1890" s="17"/>
      <c r="X1890" s="17"/>
      <c r="Y1890" s="17"/>
      <c r="Z1890" s="17"/>
    </row>
    <row r="1891">
      <c r="A1891" s="18" t="str">
        <f>IFERROR(__xludf.DUMMYFUNCTION("""COMPUTED_VALUE"""),"ord_81869")</f>
        <v>ord_81869</v>
      </c>
      <c r="B1891" s="18" t="str">
        <f>IFERROR(__xludf.DUMMYFUNCTION("""COMPUTED_VALUE"""),"Arvind Kulkarni")</f>
        <v>Arvind Kulkarni</v>
      </c>
      <c r="C1891" s="18" t="str">
        <f>IFERROR(__xludf.DUMMYFUNCTION("""COMPUTED_VALUE"""),"Juhu")</f>
        <v>Juhu</v>
      </c>
      <c r="D1891" s="18" t="str">
        <f>IFERROR(__xludf.DUMMYFUNCTION("""COMPUTED_VALUE"""),"Icecream")</f>
        <v>Icecream</v>
      </c>
      <c r="E1891" s="18">
        <f>IFERROR(__xludf.DUMMYFUNCTION("""COMPUTED_VALUE"""),2.0)</f>
        <v>2</v>
      </c>
      <c r="F1891" s="18" t="str">
        <f>IFERROR(__xludf.DUMMYFUNCTION("""COMPUTED_VALUE"""),"Vivek Kumar")</f>
        <v>Vivek Kumar</v>
      </c>
      <c r="G1891" s="19">
        <f>IFERROR(__xludf.DUMMYFUNCTION("""COMPUTED_VALUE"""),45224.0)</f>
        <v>45224</v>
      </c>
      <c r="H1891" s="18" t="str">
        <f>IFERROR(__xludf.DUMMYFUNCTION("""COMPUTED_VALUE"""),"Credit Card")</f>
        <v>Credit Card</v>
      </c>
      <c r="I1891" s="18" t="str">
        <f>IFERROR(__xludf.DUMMYFUNCTION("""COMPUTED_VALUE"""),"Delivered")</f>
        <v>Delivered</v>
      </c>
      <c r="J1891" s="18" t="str">
        <f>IFERROR(__xludf.DUMMYFUNCTION("""COMPUTED_VALUE"""),"Customer Service")</f>
        <v>Customer Service</v>
      </c>
      <c r="K1891" s="18" t="str">
        <f>IFERROR(__xludf.DUMMYFUNCTION("""COMPUTED_VALUE"""),"Seamless and easy")</f>
        <v>Seamless and easy</v>
      </c>
      <c r="L1891" s="18">
        <f>iferror(VLOOKUP($D1891,Details!$A$2:$C$11,2,false),vlookup($D1891,Details!$E$2:$G$11,2,false))</f>
        <v>90</v>
      </c>
      <c r="M1891" s="18" t="str">
        <f>iferror(VLOOKUP($D1891,Details!$A$2:$C$11,3,false),vlookup($D1891,Details!$E$2:$G$11,3,false))</f>
        <v>Snacks and Drinks</v>
      </c>
      <c r="N1891" s="18">
        <f t="shared" si="1"/>
        <v>180</v>
      </c>
      <c r="O1891" s="17"/>
      <c r="P1891" s="17"/>
      <c r="Q1891" s="17"/>
      <c r="R1891" s="17"/>
      <c r="S1891" s="17"/>
      <c r="T1891" s="17"/>
      <c r="U1891" s="17"/>
      <c r="V1891" s="17"/>
      <c r="W1891" s="17"/>
      <c r="X1891" s="17"/>
      <c r="Y1891" s="17"/>
      <c r="Z1891" s="17"/>
    </row>
    <row r="1892">
      <c r="A1892" s="18" t="str">
        <f>IFERROR(__xludf.DUMMYFUNCTION("""COMPUTED_VALUE"""),"ord_81870")</f>
        <v>ord_81870</v>
      </c>
      <c r="B1892" s="18" t="str">
        <f>IFERROR(__xludf.DUMMYFUNCTION("""COMPUTED_VALUE"""),"Parth Goel")</f>
        <v>Parth Goel</v>
      </c>
      <c r="C1892" s="18" t="str">
        <f>IFERROR(__xludf.DUMMYFUNCTION("""COMPUTED_VALUE"""),"Juhu")</f>
        <v>Juhu</v>
      </c>
      <c r="D1892" s="18" t="str">
        <f>IFERROR(__xludf.DUMMYFUNCTION("""COMPUTED_VALUE"""),"Chocolate Mousse")</f>
        <v>Chocolate Mousse</v>
      </c>
      <c r="E1892" s="18">
        <f>IFERROR(__xludf.DUMMYFUNCTION("""COMPUTED_VALUE"""),4.0)</f>
        <v>4</v>
      </c>
      <c r="F1892" s="18" t="str">
        <f>IFERROR(__xludf.DUMMYFUNCTION("""COMPUTED_VALUE"""),"Tanvi Jain")</f>
        <v>Tanvi Jain</v>
      </c>
      <c r="G1892" s="19">
        <f>IFERROR(__xludf.DUMMYFUNCTION("""COMPUTED_VALUE"""),45065.0)</f>
        <v>45065</v>
      </c>
      <c r="H1892" s="18" t="str">
        <f>IFERROR(__xludf.DUMMYFUNCTION("""COMPUTED_VALUE"""),"Online Payment")</f>
        <v>Online Payment</v>
      </c>
      <c r="I1892" s="18" t="str">
        <f>IFERROR(__xludf.DUMMYFUNCTION("""COMPUTED_VALUE"""),"Delivered")</f>
        <v>Delivered</v>
      </c>
      <c r="J1892" s="18" t="str">
        <f>IFERROR(__xludf.DUMMYFUNCTION("""COMPUTED_VALUE"""),"Delivery Experience")</f>
        <v>Delivery Experience</v>
      </c>
      <c r="K1892" s="18" t="str">
        <f>IFERROR(__xludf.DUMMYFUNCTION("""COMPUTED_VALUE"""),"Quick and professional")</f>
        <v>Quick and professional</v>
      </c>
      <c r="L1892" s="18">
        <f>iferror(VLOOKUP($D1892,Details!$A$2:$C$11,2,false),vlookup($D1892,Details!$E$2:$G$11,2,false))</f>
        <v>145</v>
      </c>
      <c r="M1892" s="18" t="str">
        <f>iferror(VLOOKUP($D1892,Details!$A$2:$C$11,3,false),vlookup($D1892,Details!$E$2:$G$11,3,false))</f>
        <v>Snacks and Drinks</v>
      </c>
      <c r="N1892" s="18">
        <f t="shared" si="1"/>
        <v>580</v>
      </c>
      <c r="O1892" s="17"/>
      <c r="P1892" s="17"/>
      <c r="Q1892" s="17"/>
      <c r="R1892" s="17"/>
      <c r="S1892" s="17"/>
      <c r="T1892" s="17"/>
      <c r="U1892" s="17"/>
      <c r="V1892" s="17"/>
      <c r="W1892" s="17"/>
      <c r="X1892" s="17"/>
      <c r="Y1892" s="17"/>
      <c r="Z1892" s="17"/>
    </row>
    <row r="1893">
      <c r="A1893" s="18" t="str">
        <f>IFERROR(__xludf.DUMMYFUNCTION("""COMPUTED_VALUE"""),"ord_81871")</f>
        <v>ord_81871</v>
      </c>
      <c r="B1893" s="18" t="str">
        <f>IFERROR(__xludf.DUMMYFUNCTION("""COMPUTED_VALUE"""),"Mehul Thakkar")</f>
        <v>Mehul Thakkar</v>
      </c>
      <c r="C1893" s="18" t="str">
        <f>IFERROR(__xludf.DUMMYFUNCTION("""COMPUTED_VALUE"""),"Malad")</f>
        <v>Malad</v>
      </c>
      <c r="D1893" s="18" t="str">
        <f>IFERROR(__xludf.DUMMYFUNCTION("""COMPUTED_VALUE"""),"Juice")</f>
        <v>Juice</v>
      </c>
      <c r="E1893" s="18">
        <f>IFERROR(__xludf.DUMMYFUNCTION("""COMPUTED_VALUE"""),4.0)</f>
        <v>4</v>
      </c>
      <c r="F1893" s="18" t="str">
        <f>IFERROR(__xludf.DUMMYFUNCTION("""COMPUTED_VALUE"""),"Neha Shah")</f>
        <v>Neha Shah</v>
      </c>
      <c r="G1893" s="19">
        <f>IFERROR(__xludf.DUMMYFUNCTION("""COMPUTED_VALUE"""),45022.0)</f>
        <v>45022</v>
      </c>
      <c r="H1893" s="18" t="str">
        <f>IFERROR(__xludf.DUMMYFUNCTION("""COMPUTED_VALUE"""),"UPI")</f>
        <v>UPI</v>
      </c>
      <c r="I1893" s="18" t="str">
        <f>IFERROR(__xludf.DUMMYFUNCTION("""COMPUTED_VALUE"""),"Delivered")</f>
        <v>Delivered</v>
      </c>
      <c r="J1893" s="18" t="str">
        <f>IFERROR(__xludf.DUMMYFUNCTION("""COMPUTED_VALUE"""),"Convenience")</f>
        <v>Convenience</v>
      </c>
      <c r="K1893" s="18" t="str">
        <f>IFERROR(__xludf.DUMMYFUNCTION("""COMPUTED_VALUE"""),"Easy tracking")</f>
        <v>Easy tracking</v>
      </c>
      <c r="L1893" s="18">
        <f>iferror(VLOOKUP($D1893,Details!$A$2:$C$11,2,false),vlookup($D1893,Details!$E$2:$G$11,2,false))</f>
        <v>90</v>
      </c>
      <c r="M1893" s="18" t="str">
        <f>iferror(VLOOKUP($D1893,Details!$A$2:$C$11,3,false),vlookup($D1893,Details!$E$2:$G$11,3,false))</f>
        <v>Snacks and Drinks</v>
      </c>
      <c r="N1893" s="18">
        <f t="shared" si="1"/>
        <v>360</v>
      </c>
      <c r="O1893" s="17"/>
      <c r="P1893" s="17"/>
      <c r="Q1893" s="17"/>
      <c r="R1893" s="17"/>
      <c r="S1893" s="17"/>
      <c r="T1893" s="17"/>
      <c r="U1893" s="17"/>
      <c r="V1893" s="17"/>
      <c r="W1893" s="17"/>
      <c r="X1893" s="17"/>
      <c r="Y1893" s="17"/>
      <c r="Z1893" s="17"/>
    </row>
    <row r="1894">
      <c r="A1894" s="18" t="str">
        <f>IFERROR(__xludf.DUMMYFUNCTION("""COMPUTED_VALUE"""),"ord_81872")</f>
        <v>ord_81872</v>
      </c>
      <c r="B1894" s="18" t="str">
        <f>IFERROR(__xludf.DUMMYFUNCTION("""COMPUTED_VALUE"""),"Sakshi Tandon")</f>
        <v>Sakshi Tandon</v>
      </c>
      <c r="C1894" s="18" t="str">
        <f>IFERROR(__xludf.DUMMYFUNCTION("""COMPUTED_VALUE"""),"Colaba")</f>
        <v>Colaba</v>
      </c>
      <c r="D1894" s="18" t="str">
        <f>IFERROR(__xludf.DUMMYFUNCTION("""COMPUTED_VALUE"""),"Papaya")</f>
        <v>Papaya</v>
      </c>
      <c r="E1894" s="18">
        <f>IFERROR(__xludf.DUMMYFUNCTION("""COMPUTED_VALUE"""),2.0)</f>
        <v>2</v>
      </c>
      <c r="F1894" s="18" t="str">
        <f>IFERROR(__xludf.DUMMYFUNCTION("""COMPUTED_VALUE"""),"Nikhil Deshmukh")</f>
        <v>Nikhil Deshmukh</v>
      </c>
      <c r="G1894" s="19">
        <f>IFERROR(__xludf.DUMMYFUNCTION("""COMPUTED_VALUE"""),45091.0)</f>
        <v>45091</v>
      </c>
      <c r="H1894" s="18" t="str">
        <f>IFERROR(__xludf.DUMMYFUNCTION("""COMPUTED_VALUE"""),"UPI")</f>
        <v>UPI</v>
      </c>
      <c r="I1894" s="18" t="str">
        <f>IFERROR(__xludf.DUMMYFUNCTION("""COMPUTED_VALUE"""),"Delivered")</f>
        <v>Delivered</v>
      </c>
      <c r="J1894" s="18" t="str">
        <f>IFERROR(__xludf.DUMMYFUNCTION("""COMPUTED_VALUE"""),"Overall Satisfaction")</f>
        <v>Overall Satisfaction</v>
      </c>
      <c r="K1894" s="18" t="str">
        <f>IFERROR(__xludf.DUMMYFUNCTION("""COMPUTED_VALUE"""),"Great service will order again")</f>
        <v>Great service will order again</v>
      </c>
      <c r="L1894" s="18">
        <f>iferror(VLOOKUP($D1894,Details!$A$2:$C$11,2,false),vlookup($D1894,Details!$E$2:$G$11,2,false))</f>
        <v>75</v>
      </c>
      <c r="M1894" s="18" t="str">
        <f>iferror(VLOOKUP($D1894,Details!$A$2:$C$11,3,false),vlookup($D1894,Details!$E$2:$G$11,3,false))</f>
        <v>Fruits and Vegetables</v>
      </c>
      <c r="N1894" s="18">
        <f t="shared" si="1"/>
        <v>150</v>
      </c>
      <c r="O1894" s="17"/>
      <c r="P1894" s="17"/>
      <c r="Q1894" s="17"/>
      <c r="R1894" s="17"/>
      <c r="S1894" s="17"/>
      <c r="T1894" s="17"/>
      <c r="U1894" s="17"/>
      <c r="V1894" s="17"/>
      <c r="W1894" s="17"/>
      <c r="X1894" s="17"/>
      <c r="Y1894" s="17"/>
      <c r="Z1894" s="17"/>
    </row>
    <row r="1895">
      <c r="A1895" s="18" t="str">
        <f>IFERROR(__xludf.DUMMYFUNCTION("""COMPUTED_VALUE"""),"ord_81873")</f>
        <v>ord_81873</v>
      </c>
      <c r="B1895" s="18" t="str">
        <f>IFERROR(__xludf.DUMMYFUNCTION("""COMPUTED_VALUE"""),"Ishaan Chaturvedi")</f>
        <v>Ishaan Chaturvedi</v>
      </c>
      <c r="C1895" s="18" t="str">
        <f>IFERROR(__xludf.DUMMYFUNCTION("""COMPUTED_VALUE"""),"Bandra")</f>
        <v>Bandra</v>
      </c>
      <c r="D1895" s="18" t="str">
        <f>IFERROR(__xludf.DUMMYFUNCTION("""COMPUTED_VALUE"""),"Chilli Cheese Toast")</f>
        <v>Chilli Cheese Toast</v>
      </c>
      <c r="E1895" s="18">
        <f>IFERROR(__xludf.DUMMYFUNCTION("""COMPUTED_VALUE"""),1.0)</f>
        <v>1</v>
      </c>
      <c r="F1895" s="18" t="str">
        <f>IFERROR(__xludf.DUMMYFUNCTION("""COMPUTED_VALUE"""),"Priya Joshi")</f>
        <v>Priya Joshi</v>
      </c>
      <c r="G1895" s="19">
        <f>IFERROR(__xludf.DUMMYFUNCTION("""COMPUTED_VALUE"""),44940.0)</f>
        <v>44940</v>
      </c>
      <c r="H1895" s="18" t="str">
        <f>IFERROR(__xludf.DUMMYFUNCTION("""COMPUTED_VALUE"""),"UPI")</f>
        <v>UPI</v>
      </c>
      <c r="I1895" s="18" t="str">
        <f>IFERROR(__xludf.DUMMYFUNCTION("""COMPUTED_VALUE"""),"Delivered")</f>
        <v>Delivered</v>
      </c>
      <c r="J1895" s="18" t="str">
        <f>IFERROR(__xludf.DUMMYFUNCTION("""COMPUTED_VALUE"""),"On-time Delivery")</f>
        <v>On-time Delivery</v>
      </c>
      <c r="K1895" s="18" t="str">
        <f>IFERROR(__xludf.DUMMYFUNCTION("""COMPUTED_VALUE"""),"Delivered on time")</f>
        <v>Delivered on time</v>
      </c>
      <c r="L1895" s="18">
        <f>iferror(VLOOKUP($D1895,Details!$A$2:$C$11,2,false),vlookup($D1895,Details!$E$2:$G$11,2,false))</f>
        <v>80</v>
      </c>
      <c r="M1895" s="18" t="str">
        <f>iferror(VLOOKUP($D1895,Details!$A$2:$C$11,3,false),vlookup($D1895,Details!$E$2:$G$11,3,false))</f>
        <v>Snacks and Drinks</v>
      </c>
      <c r="N1895" s="18">
        <f t="shared" si="1"/>
        <v>80</v>
      </c>
      <c r="O1895" s="17"/>
      <c r="P1895" s="17"/>
      <c r="Q1895" s="17"/>
      <c r="R1895" s="17"/>
      <c r="S1895" s="17"/>
      <c r="T1895" s="17"/>
      <c r="U1895" s="17"/>
      <c r="V1895" s="17"/>
      <c r="W1895" s="17"/>
      <c r="X1895" s="17"/>
      <c r="Y1895" s="17"/>
      <c r="Z1895" s="17"/>
    </row>
    <row r="1896">
      <c r="A1896" s="18" t="str">
        <f>IFERROR(__xludf.DUMMYFUNCTION("""COMPUTED_VALUE"""),"ord_81874")</f>
        <v>ord_81874</v>
      </c>
      <c r="B1896" s="18" t="str">
        <f>IFERROR(__xludf.DUMMYFUNCTION("""COMPUTED_VALUE"""),"Riya Chakraborty")</f>
        <v>Riya Chakraborty</v>
      </c>
      <c r="C1896" s="18" t="str">
        <f>IFERROR(__xludf.DUMMYFUNCTION("""COMPUTED_VALUE"""),"Juhu")</f>
        <v>Juhu</v>
      </c>
      <c r="D1896" s="18" t="str">
        <f>IFERROR(__xludf.DUMMYFUNCTION("""COMPUTED_VALUE"""),"Juice")</f>
        <v>Juice</v>
      </c>
      <c r="E1896" s="18">
        <f>IFERROR(__xludf.DUMMYFUNCTION("""COMPUTED_VALUE"""),9.0)</f>
        <v>9</v>
      </c>
      <c r="F1896" s="18" t="str">
        <f>IFERROR(__xludf.DUMMYFUNCTION("""COMPUTED_VALUE"""),"Tanvi Jain")</f>
        <v>Tanvi Jain</v>
      </c>
      <c r="G1896" s="19">
        <f>IFERROR(__xludf.DUMMYFUNCTION("""COMPUTED_VALUE"""),45072.0)</f>
        <v>45072</v>
      </c>
      <c r="H1896" s="18" t="str">
        <f>IFERROR(__xludf.DUMMYFUNCTION("""COMPUTED_VALUE"""),"Credit Card")</f>
        <v>Credit Card</v>
      </c>
      <c r="I1896" s="18" t="str">
        <f>IFERROR(__xludf.DUMMYFUNCTION("""COMPUTED_VALUE"""),"Delivered")</f>
        <v>Delivered</v>
      </c>
      <c r="J1896" s="18" t="str">
        <f>IFERROR(__xludf.DUMMYFUNCTION("""COMPUTED_VALUE"""),"Quality of Items")</f>
        <v>Quality of Items</v>
      </c>
      <c r="K1896" s="18" t="str">
        <f>IFERROR(__xludf.DUMMYFUNCTION("""COMPUTED_VALUE"""),"Perfect condition")</f>
        <v>Perfect condition</v>
      </c>
      <c r="L1896" s="18">
        <f>iferror(VLOOKUP($D1896,Details!$A$2:$C$11,2,false),vlookup($D1896,Details!$E$2:$G$11,2,false))</f>
        <v>90</v>
      </c>
      <c r="M1896" s="18" t="str">
        <f>iferror(VLOOKUP($D1896,Details!$A$2:$C$11,3,false),vlookup($D1896,Details!$E$2:$G$11,3,false))</f>
        <v>Snacks and Drinks</v>
      </c>
      <c r="N1896" s="18">
        <f t="shared" si="1"/>
        <v>810</v>
      </c>
      <c r="O1896" s="17"/>
      <c r="P1896" s="17"/>
      <c r="Q1896" s="17"/>
      <c r="R1896" s="17"/>
      <c r="S1896" s="17"/>
      <c r="T1896" s="17"/>
      <c r="U1896" s="17"/>
      <c r="V1896" s="17"/>
      <c r="W1896" s="17"/>
      <c r="X1896" s="17"/>
      <c r="Y1896" s="17"/>
      <c r="Z1896" s="17"/>
    </row>
    <row r="1897">
      <c r="A1897" s="18" t="str">
        <f>IFERROR(__xludf.DUMMYFUNCTION("""COMPUTED_VALUE"""),"ord_81875")</f>
        <v>ord_81875</v>
      </c>
      <c r="B1897" s="18" t="str">
        <f>IFERROR(__xludf.DUMMYFUNCTION("""COMPUTED_VALUE"""),"Aarohi Kapoor")</f>
        <v>Aarohi Kapoor</v>
      </c>
      <c r="C1897" s="18" t="str">
        <f>IFERROR(__xludf.DUMMYFUNCTION("""COMPUTED_VALUE"""),"Bandra")</f>
        <v>Bandra</v>
      </c>
      <c r="D1897" s="18" t="str">
        <f>IFERROR(__xludf.DUMMYFUNCTION("""COMPUTED_VALUE"""),"Chilli Cheese Toast")</f>
        <v>Chilli Cheese Toast</v>
      </c>
      <c r="E1897" s="18">
        <f>IFERROR(__xludf.DUMMYFUNCTION("""COMPUTED_VALUE"""),5.0)</f>
        <v>5</v>
      </c>
      <c r="F1897" s="18" t="str">
        <f>IFERROR(__xludf.DUMMYFUNCTION("""COMPUTED_VALUE"""),"Priya Joshi")</f>
        <v>Priya Joshi</v>
      </c>
      <c r="G1897" s="19">
        <f>IFERROR(__xludf.DUMMYFUNCTION("""COMPUTED_VALUE"""),45150.0)</f>
        <v>45150</v>
      </c>
      <c r="H1897" s="18" t="str">
        <f>IFERROR(__xludf.DUMMYFUNCTION("""COMPUTED_VALUE"""),"Credit Card")</f>
        <v>Credit Card</v>
      </c>
      <c r="I1897" s="18" t="str">
        <f>IFERROR(__xludf.DUMMYFUNCTION("""COMPUTED_VALUE"""),"Delivered")</f>
        <v>Delivered</v>
      </c>
      <c r="J1897" s="18" t="str">
        <f>IFERROR(__xludf.DUMMYFUNCTION("""COMPUTED_VALUE"""),"On-time Delivery")</f>
        <v>On-time Delivery</v>
      </c>
      <c r="K1897" s="18" t="str">
        <f>IFERROR(__xludf.DUMMYFUNCTION("""COMPUTED_VALUE"""),"Delivered on time")</f>
        <v>Delivered on time</v>
      </c>
      <c r="L1897" s="18">
        <f>iferror(VLOOKUP($D1897,Details!$A$2:$C$11,2,false),vlookup($D1897,Details!$E$2:$G$11,2,false))</f>
        <v>80</v>
      </c>
      <c r="M1897" s="18" t="str">
        <f>iferror(VLOOKUP($D1897,Details!$A$2:$C$11,3,false),vlookup($D1897,Details!$E$2:$G$11,3,false))</f>
        <v>Snacks and Drinks</v>
      </c>
      <c r="N1897" s="18">
        <f t="shared" si="1"/>
        <v>400</v>
      </c>
      <c r="O1897" s="17"/>
      <c r="P1897" s="17"/>
      <c r="Q1897" s="17"/>
      <c r="R1897" s="17"/>
      <c r="S1897" s="17"/>
      <c r="T1897" s="17"/>
      <c r="U1897" s="17"/>
      <c r="V1897" s="17"/>
      <c r="W1897" s="17"/>
      <c r="X1897" s="17"/>
      <c r="Y1897" s="17"/>
      <c r="Z1897" s="17"/>
    </row>
    <row r="1898">
      <c r="A1898" s="18" t="str">
        <f>IFERROR(__xludf.DUMMYFUNCTION("""COMPUTED_VALUE"""),"ord_81876")</f>
        <v>ord_81876</v>
      </c>
      <c r="B1898" s="18" t="str">
        <f>IFERROR(__xludf.DUMMYFUNCTION("""COMPUTED_VALUE"""),"Mehul Thakkar")</f>
        <v>Mehul Thakkar</v>
      </c>
      <c r="C1898" s="18" t="str">
        <f>IFERROR(__xludf.DUMMYFUNCTION("""COMPUTED_VALUE"""),"Malad")</f>
        <v>Malad</v>
      </c>
      <c r="D1898" s="18" t="str">
        <f>IFERROR(__xludf.DUMMYFUNCTION("""COMPUTED_VALUE"""),"Papaya")</f>
        <v>Papaya</v>
      </c>
      <c r="E1898" s="18">
        <f>IFERROR(__xludf.DUMMYFUNCTION("""COMPUTED_VALUE"""),2.0)</f>
        <v>2</v>
      </c>
      <c r="F1898" s="18" t="str">
        <f>IFERROR(__xludf.DUMMYFUNCTION("""COMPUTED_VALUE"""),"Not Assigned")</f>
        <v>Not Assigned</v>
      </c>
      <c r="G1898" s="19">
        <f>IFERROR(__xludf.DUMMYFUNCTION("""COMPUTED_VALUE"""),44994.0)</f>
        <v>44994</v>
      </c>
      <c r="H1898" s="18" t="str">
        <f>IFERROR(__xludf.DUMMYFUNCTION("""COMPUTED_VALUE"""),"Online Payment")</f>
        <v>Online Payment</v>
      </c>
      <c r="I1898" s="18" t="str">
        <f>IFERROR(__xludf.DUMMYFUNCTION("""COMPUTED_VALUE"""),"Cancelled")</f>
        <v>Cancelled</v>
      </c>
      <c r="J1898" s="18" t="str">
        <f>IFERROR(__xludf.DUMMYFUNCTION("""COMPUTED_VALUE"""),"High Delivery Fees")</f>
        <v>High Delivery Fees</v>
      </c>
      <c r="K1898" s="18"/>
      <c r="L1898" s="18">
        <f>iferror(VLOOKUP($D1898,Details!$A$2:$C$11,2,false),vlookup($D1898,Details!$E$2:$G$11,2,false))</f>
        <v>75</v>
      </c>
      <c r="M1898" s="18" t="str">
        <f>iferror(VLOOKUP($D1898,Details!$A$2:$C$11,3,false),vlookup($D1898,Details!$E$2:$G$11,3,false))</f>
        <v>Fruits and Vegetables</v>
      </c>
      <c r="N1898" s="18">
        <f t="shared" si="1"/>
        <v>150</v>
      </c>
      <c r="O1898" s="17"/>
      <c r="P1898" s="17"/>
      <c r="Q1898" s="17"/>
      <c r="R1898" s="17"/>
      <c r="S1898" s="17"/>
      <c r="T1898" s="17"/>
      <c r="U1898" s="17"/>
      <c r="V1898" s="17"/>
      <c r="W1898" s="17"/>
      <c r="X1898" s="17"/>
      <c r="Y1898" s="17"/>
      <c r="Z1898" s="17"/>
    </row>
    <row r="1899">
      <c r="A1899" s="18" t="str">
        <f>IFERROR(__xludf.DUMMYFUNCTION("""COMPUTED_VALUE"""),"ord_81877")</f>
        <v>ord_81877</v>
      </c>
      <c r="B1899" s="18" t="str">
        <f>IFERROR(__xludf.DUMMYFUNCTION("""COMPUTED_VALUE"""),"Aarohi Kapoor")</f>
        <v>Aarohi Kapoor</v>
      </c>
      <c r="C1899" s="18" t="str">
        <f>IFERROR(__xludf.DUMMYFUNCTION("""COMPUTED_VALUE"""),"Bandra")</f>
        <v>Bandra</v>
      </c>
      <c r="D1899" s="18" t="str">
        <f>IFERROR(__xludf.DUMMYFUNCTION("""COMPUTED_VALUE"""),"Apple")</f>
        <v>Apple</v>
      </c>
      <c r="E1899" s="18">
        <f>IFERROR(__xludf.DUMMYFUNCTION("""COMPUTED_VALUE"""),1.0)</f>
        <v>1</v>
      </c>
      <c r="F1899" s="18" t="str">
        <f>IFERROR(__xludf.DUMMYFUNCTION("""COMPUTED_VALUE"""),"Priya Joshi")</f>
        <v>Priya Joshi</v>
      </c>
      <c r="G1899" s="19">
        <f>IFERROR(__xludf.DUMMYFUNCTION("""COMPUTED_VALUE"""),45280.0)</f>
        <v>45280</v>
      </c>
      <c r="H1899" s="18" t="str">
        <f>IFERROR(__xludf.DUMMYFUNCTION("""COMPUTED_VALUE"""),"UPI")</f>
        <v>UPI</v>
      </c>
      <c r="I1899" s="18" t="str">
        <f>IFERROR(__xludf.DUMMYFUNCTION("""COMPUTED_VALUE"""),"Delivered")</f>
        <v>Delivered</v>
      </c>
      <c r="J1899" s="18" t="str">
        <f>IFERROR(__xludf.DUMMYFUNCTION("""COMPUTED_VALUE"""),"Quality of Items")</f>
        <v>Quality of Items</v>
      </c>
      <c r="K1899" s="18" t="str">
        <f>IFERROR(__xludf.DUMMYFUNCTION("""COMPUTED_VALUE"""),"Perfect condition")</f>
        <v>Perfect condition</v>
      </c>
      <c r="L1899" s="18">
        <f>iferror(VLOOKUP($D1899,Details!$A$2:$C$11,2,false),vlookup($D1899,Details!$E$2:$G$11,2,false))</f>
        <v>230</v>
      </c>
      <c r="M1899" s="18" t="str">
        <f>iferror(VLOOKUP($D1899,Details!$A$2:$C$11,3,false),vlookup($D1899,Details!$E$2:$G$11,3,false))</f>
        <v>Fruits and Vegetables</v>
      </c>
      <c r="N1899" s="18">
        <f t="shared" si="1"/>
        <v>230</v>
      </c>
      <c r="O1899" s="17"/>
      <c r="P1899" s="17"/>
      <c r="Q1899" s="17"/>
      <c r="R1899" s="17"/>
      <c r="S1899" s="17"/>
      <c r="T1899" s="17"/>
      <c r="U1899" s="17"/>
      <c r="V1899" s="17"/>
      <c r="W1899" s="17"/>
      <c r="X1899" s="17"/>
      <c r="Y1899" s="17"/>
      <c r="Z1899" s="17"/>
    </row>
    <row r="1900">
      <c r="A1900" s="18" t="str">
        <f>IFERROR(__xludf.DUMMYFUNCTION("""COMPUTED_VALUE"""),"ord_81878")</f>
        <v>ord_81878</v>
      </c>
      <c r="B1900" s="18" t="str">
        <f>IFERROR(__xludf.DUMMYFUNCTION("""COMPUTED_VALUE"""),"Mehul Thakkar")</f>
        <v>Mehul Thakkar</v>
      </c>
      <c r="C1900" s="18" t="str">
        <f>IFERROR(__xludf.DUMMYFUNCTION("""COMPUTED_VALUE"""),"Malad")</f>
        <v>Malad</v>
      </c>
      <c r="D1900" s="18" t="str">
        <f>IFERROR(__xludf.DUMMYFUNCTION("""COMPUTED_VALUE"""),"Tiramisu")</f>
        <v>Tiramisu</v>
      </c>
      <c r="E1900" s="18">
        <f>IFERROR(__xludf.DUMMYFUNCTION("""COMPUTED_VALUE"""),1.0)</f>
        <v>1</v>
      </c>
      <c r="F1900" s="18" t="str">
        <f>IFERROR(__xludf.DUMMYFUNCTION("""COMPUTED_VALUE"""),"Not Assigned")</f>
        <v>Not Assigned</v>
      </c>
      <c r="G1900" s="19">
        <f>IFERROR(__xludf.DUMMYFUNCTION("""COMPUTED_VALUE"""),44968.0)</f>
        <v>44968</v>
      </c>
      <c r="H1900" s="18" t="str">
        <f>IFERROR(__xludf.DUMMYFUNCTION("""COMPUTED_VALUE"""),"Online Payment")</f>
        <v>Online Payment</v>
      </c>
      <c r="I1900" s="18" t="str">
        <f>IFERROR(__xludf.DUMMYFUNCTION("""COMPUTED_VALUE"""),"Cancelled")</f>
        <v>Cancelled</v>
      </c>
      <c r="J1900" s="18" t="str">
        <f>IFERROR(__xludf.DUMMYFUNCTION("""COMPUTED_VALUE"""),"App Glitches")</f>
        <v>App Glitches</v>
      </c>
      <c r="K1900" s="18" t="str">
        <f>IFERROR(__xludf.DUMMYFUNCTION("""COMPUTED_VALUE"""),"Slow Loading Time")</f>
        <v>Slow Loading Time</v>
      </c>
      <c r="L1900" s="18">
        <f>iferror(VLOOKUP($D1900,Details!$A$2:$C$11,2,false),vlookup($D1900,Details!$E$2:$G$11,2,false))</f>
        <v>150</v>
      </c>
      <c r="M1900" s="18" t="str">
        <f>iferror(VLOOKUP($D1900,Details!$A$2:$C$11,3,false),vlookup($D1900,Details!$E$2:$G$11,3,false))</f>
        <v>Snacks and Drinks</v>
      </c>
      <c r="N1900" s="18">
        <f t="shared" si="1"/>
        <v>150</v>
      </c>
      <c r="O1900" s="17"/>
      <c r="P1900" s="17"/>
      <c r="Q1900" s="17"/>
      <c r="R1900" s="17"/>
      <c r="S1900" s="17"/>
      <c r="T1900" s="17"/>
      <c r="U1900" s="17"/>
      <c r="V1900" s="17"/>
      <c r="W1900" s="17"/>
      <c r="X1900" s="17"/>
      <c r="Y1900" s="17"/>
      <c r="Z1900" s="17"/>
    </row>
    <row r="1901">
      <c r="A1901" s="18" t="str">
        <f>IFERROR(__xludf.DUMMYFUNCTION("""COMPUTED_VALUE"""),"ord_81879")</f>
        <v>ord_81879</v>
      </c>
      <c r="B1901" s="18" t="str">
        <f>IFERROR(__xludf.DUMMYFUNCTION("""COMPUTED_VALUE"""),"Siya Reddy")</f>
        <v>Siya Reddy</v>
      </c>
      <c r="C1901" s="18" t="str">
        <f>IFERROR(__xludf.DUMMYFUNCTION("""COMPUTED_VALUE"""),"Juhu")</f>
        <v>Juhu</v>
      </c>
      <c r="D1901" s="18" t="str">
        <f>IFERROR(__xludf.DUMMYFUNCTION("""COMPUTED_VALUE"""),"Rasmalai")</f>
        <v>Rasmalai</v>
      </c>
      <c r="E1901" s="18">
        <f>IFERROR(__xludf.DUMMYFUNCTION("""COMPUTED_VALUE"""),5.0)</f>
        <v>5</v>
      </c>
      <c r="F1901" s="18" t="str">
        <f>IFERROR(__xludf.DUMMYFUNCTION("""COMPUTED_VALUE"""),"Tanvi Jain")</f>
        <v>Tanvi Jain</v>
      </c>
      <c r="G1901" s="19">
        <f>IFERROR(__xludf.DUMMYFUNCTION("""COMPUTED_VALUE"""),45209.0)</f>
        <v>45209</v>
      </c>
      <c r="H1901" s="18" t="str">
        <f>IFERROR(__xludf.DUMMYFUNCTION("""COMPUTED_VALUE"""),"UPI")</f>
        <v>UPI</v>
      </c>
      <c r="I1901" s="18" t="str">
        <f>IFERROR(__xludf.DUMMYFUNCTION("""COMPUTED_VALUE"""),"Delivered")</f>
        <v>Delivered</v>
      </c>
      <c r="J1901" s="18" t="str">
        <f>IFERROR(__xludf.DUMMYFUNCTION("""COMPUTED_VALUE"""),"Packaging")</f>
        <v>Packaging</v>
      </c>
      <c r="K1901" s="18" t="str">
        <f>IFERROR(__xludf.DUMMYFUNCTION("""COMPUTED_VALUE"""),"Secure and intact")</f>
        <v>Secure and intact</v>
      </c>
      <c r="L1901" s="18">
        <f>iferror(VLOOKUP($D1901,Details!$A$2:$C$11,2,false),vlookup($D1901,Details!$E$2:$G$11,2,false))</f>
        <v>110</v>
      </c>
      <c r="M1901" s="18" t="str">
        <f>iferror(VLOOKUP($D1901,Details!$A$2:$C$11,3,false),vlookup($D1901,Details!$E$2:$G$11,3,false))</f>
        <v>Snacks and Drinks</v>
      </c>
      <c r="N1901" s="18">
        <f t="shared" si="1"/>
        <v>550</v>
      </c>
      <c r="O1901" s="17"/>
      <c r="P1901" s="17"/>
      <c r="Q1901" s="17"/>
      <c r="R1901" s="17"/>
      <c r="S1901" s="17"/>
      <c r="T1901" s="17"/>
      <c r="U1901" s="17"/>
      <c r="V1901" s="17"/>
      <c r="W1901" s="17"/>
      <c r="X1901" s="17"/>
      <c r="Y1901" s="17"/>
      <c r="Z1901" s="17"/>
    </row>
    <row r="1902">
      <c r="A1902" s="18" t="str">
        <f>IFERROR(__xludf.DUMMYFUNCTION("""COMPUTED_VALUE"""),"ord_81880")</f>
        <v>ord_81880</v>
      </c>
      <c r="B1902" s="18" t="str">
        <f>IFERROR(__xludf.DUMMYFUNCTION("""COMPUTED_VALUE"""),"Mehul Thakkar")</f>
        <v>Mehul Thakkar</v>
      </c>
      <c r="C1902" s="18" t="str">
        <f>IFERROR(__xludf.DUMMYFUNCTION("""COMPUTED_VALUE"""),"Malad")</f>
        <v>Malad</v>
      </c>
      <c r="D1902" s="18" t="str">
        <f>IFERROR(__xludf.DUMMYFUNCTION("""COMPUTED_VALUE"""),"Cucumber")</f>
        <v>Cucumber</v>
      </c>
      <c r="E1902" s="18">
        <f>IFERROR(__xludf.DUMMYFUNCTION("""COMPUTED_VALUE"""),2.0)</f>
        <v>2</v>
      </c>
      <c r="F1902" s="18" t="str">
        <f>IFERROR(__xludf.DUMMYFUNCTION("""COMPUTED_VALUE"""),"Neha Shah")</f>
        <v>Neha Shah</v>
      </c>
      <c r="G1902" s="19">
        <f>IFERROR(__xludf.DUMMYFUNCTION("""COMPUTED_VALUE"""),44928.0)</f>
        <v>44928</v>
      </c>
      <c r="H1902" s="18" t="str">
        <f>IFERROR(__xludf.DUMMYFUNCTION("""COMPUTED_VALUE"""),"Credit Card")</f>
        <v>Credit Card</v>
      </c>
      <c r="I1902" s="18" t="str">
        <f>IFERROR(__xludf.DUMMYFUNCTION("""COMPUTED_VALUE"""),"Delivered")</f>
        <v>Delivered</v>
      </c>
      <c r="J1902" s="18" t="str">
        <f>IFERROR(__xludf.DUMMYFUNCTION("""COMPUTED_VALUE"""),"Satisfied with the Delivery")</f>
        <v>Satisfied with the Delivery</v>
      </c>
      <c r="K1902" s="18" t="str">
        <f>IFERROR(__xludf.DUMMYFUNCTION("""COMPUTED_VALUE"""),"Timely and quality")</f>
        <v>Timely and quality</v>
      </c>
      <c r="L1902" s="18">
        <f>iferror(VLOOKUP($D1902,Details!$A$2:$C$11,2,false),vlookup($D1902,Details!$E$2:$G$11,2,false))</f>
        <v>30</v>
      </c>
      <c r="M1902" s="18" t="str">
        <f>iferror(VLOOKUP($D1902,Details!$A$2:$C$11,3,false),vlookup($D1902,Details!$E$2:$G$11,3,false))</f>
        <v>Fruits and Vegetables</v>
      </c>
      <c r="N1902" s="18">
        <f t="shared" si="1"/>
        <v>60</v>
      </c>
      <c r="O1902" s="17"/>
      <c r="P1902" s="17"/>
      <c r="Q1902" s="17"/>
      <c r="R1902" s="17"/>
      <c r="S1902" s="17"/>
      <c r="T1902" s="17"/>
      <c r="U1902" s="17"/>
      <c r="V1902" s="17"/>
      <c r="W1902" s="17"/>
      <c r="X1902" s="17"/>
      <c r="Y1902" s="17"/>
      <c r="Z1902" s="17"/>
    </row>
    <row r="1903">
      <c r="A1903" s="18" t="str">
        <f>IFERROR(__xludf.DUMMYFUNCTION("""COMPUTED_VALUE"""),"ord_81881")</f>
        <v>ord_81881</v>
      </c>
      <c r="B1903" s="18" t="str">
        <f>IFERROR(__xludf.DUMMYFUNCTION("""COMPUTED_VALUE"""),"Aditi Iyer")</f>
        <v>Aditi Iyer</v>
      </c>
      <c r="C1903" s="18" t="str">
        <f>IFERROR(__xludf.DUMMYFUNCTION("""COMPUTED_VALUE"""),"Dadar")</f>
        <v>Dadar</v>
      </c>
      <c r="D1903" s="18" t="str">
        <f>IFERROR(__xludf.DUMMYFUNCTION("""COMPUTED_VALUE"""),"Popcorn")</f>
        <v>Popcorn</v>
      </c>
      <c r="E1903" s="18">
        <f>IFERROR(__xludf.DUMMYFUNCTION("""COMPUTED_VALUE"""),3.0)</f>
        <v>3</v>
      </c>
      <c r="F1903" s="18" t="str">
        <f>IFERROR(__xludf.DUMMYFUNCTION("""COMPUTED_VALUE"""),"Aman Kumar")</f>
        <v>Aman Kumar</v>
      </c>
      <c r="G1903" s="19">
        <f>IFERROR(__xludf.DUMMYFUNCTION("""COMPUTED_VALUE"""),44970.0)</f>
        <v>44970</v>
      </c>
      <c r="H1903" s="18" t="str">
        <f>IFERROR(__xludf.DUMMYFUNCTION("""COMPUTED_VALUE"""),"Online Payment")</f>
        <v>Online Payment</v>
      </c>
      <c r="I1903" s="18" t="str">
        <f>IFERROR(__xludf.DUMMYFUNCTION("""COMPUTED_VALUE"""),"Delivered")</f>
        <v>Delivered</v>
      </c>
      <c r="J1903" s="18" t="str">
        <f>IFERROR(__xludf.DUMMYFUNCTION("""COMPUTED_VALUE"""),"Customer Service")</f>
        <v>Customer Service</v>
      </c>
      <c r="K1903" s="18" t="str">
        <f>IFERROR(__xludf.DUMMYFUNCTION("""COMPUTED_VALUE"""),"Seamless and easy")</f>
        <v>Seamless and easy</v>
      </c>
      <c r="L1903" s="18">
        <f>iferror(VLOOKUP($D1903,Details!$A$2:$C$11,2,false),vlookup($D1903,Details!$E$2:$G$11,2,false))</f>
        <v>150</v>
      </c>
      <c r="M1903" s="18" t="str">
        <f>iferror(VLOOKUP($D1903,Details!$A$2:$C$11,3,false),vlookup($D1903,Details!$E$2:$G$11,3,false))</f>
        <v>Snacks and Drinks</v>
      </c>
      <c r="N1903" s="18">
        <f t="shared" si="1"/>
        <v>450</v>
      </c>
      <c r="O1903" s="17"/>
      <c r="P1903" s="17"/>
      <c r="Q1903" s="17"/>
      <c r="R1903" s="17"/>
      <c r="S1903" s="17"/>
      <c r="T1903" s="17"/>
      <c r="U1903" s="17"/>
      <c r="V1903" s="17"/>
      <c r="W1903" s="17"/>
      <c r="X1903" s="17"/>
      <c r="Y1903" s="17"/>
      <c r="Z1903" s="17"/>
    </row>
    <row r="1904">
      <c r="A1904" s="18" t="str">
        <f>IFERROR(__xludf.DUMMYFUNCTION("""COMPUTED_VALUE"""),"ord_81882")</f>
        <v>ord_81882</v>
      </c>
      <c r="B1904" s="18" t="str">
        <f>IFERROR(__xludf.DUMMYFUNCTION("""COMPUTED_VALUE"""),"Arvind Kulkarni")</f>
        <v>Arvind Kulkarni</v>
      </c>
      <c r="C1904" s="18" t="str">
        <f>IFERROR(__xludf.DUMMYFUNCTION("""COMPUTED_VALUE"""),"Juhu")</f>
        <v>Juhu</v>
      </c>
      <c r="D1904" s="18" t="str">
        <f>IFERROR(__xludf.DUMMYFUNCTION("""COMPUTED_VALUE"""),"Banana")</f>
        <v>Banana</v>
      </c>
      <c r="E1904" s="18">
        <f>IFERROR(__xludf.DUMMYFUNCTION("""COMPUTED_VALUE"""),1.0)</f>
        <v>1</v>
      </c>
      <c r="F1904" s="18" t="str">
        <f>IFERROR(__xludf.DUMMYFUNCTION("""COMPUTED_VALUE"""),"Not Assigned")</f>
        <v>Not Assigned</v>
      </c>
      <c r="G1904" s="19">
        <f>IFERROR(__xludf.DUMMYFUNCTION("""COMPUTED_VALUE"""),45162.0)</f>
        <v>45162</v>
      </c>
      <c r="H1904" s="18" t="str">
        <f>IFERROR(__xludf.DUMMYFUNCTION("""COMPUTED_VALUE"""),"UPI")</f>
        <v>UPI</v>
      </c>
      <c r="I1904" s="18" t="str">
        <f>IFERROR(__xludf.DUMMYFUNCTION("""COMPUTED_VALUE"""),"Cancelled")</f>
        <v>Cancelled</v>
      </c>
      <c r="J1904" s="18" t="str">
        <f>IFERROR(__xludf.DUMMYFUNCTION("""COMPUTED_VALUE"""),"App Glitches")</f>
        <v>App Glitches</v>
      </c>
      <c r="K1904" s="18" t="str">
        <f>IFERROR(__xludf.DUMMYFUNCTION("""COMPUTED_VALUE"""),"Slow Loading Time")</f>
        <v>Slow Loading Time</v>
      </c>
      <c r="L1904" s="18">
        <f>iferror(VLOOKUP($D1904,Details!$A$2:$C$11,2,false),vlookup($D1904,Details!$E$2:$G$11,2,false))</f>
        <v>80</v>
      </c>
      <c r="M1904" s="18" t="str">
        <f>iferror(VLOOKUP($D1904,Details!$A$2:$C$11,3,false),vlookup($D1904,Details!$E$2:$G$11,3,false))</f>
        <v>Fruits and Vegetables</v>
      </c>
      <c r="N1904" s="18">
        <f t="shared" si="1"/>
        <v>80</v>
      </c>
      <c r="O1904" s="17"/>
      <c r="P1904" s="17"/>
      <c r="Q1904" s="17"/>
      <c r="R1904" s="17"/>
      <c r="S1904" s="17"/>
      <c r="T1904" s="17"/>
      <c r="U1904" s="17"/>
      <c r="V1904" s="17"/>
      <c r="W1904" s="17"/>
      <c r="X1904" s="17"/>
      <c r="Y1904" s="17"/>
      <c r="Z1904" s="17"/>
    </row>
    <row r="1905">
      <c r="A1905" s="18" t="str">
        <f>IFERROR(__xludf.DUMMYFUNCTION("""COMPUTED_VALUE"""),"ord_81883")</f>
        <v>ord_81883</v>
      </c>
      <c r="B1905" s="18" t="str">
        <f>IFERROR(__xludf.DUMMYFUNCTION("""COMPUTED_VALUE"""),"Arvind Kulkarni")</f>
        <v>Arvind Kulkarni</v>
      </c>
      <c r="C1905" s="18" t="str">
        <f>IFERROR(__xludf.DUMMYFUNCTION("""COMPUTED_VALUE"""),"Juhu")</f>
        <v>Juhu</v>
      </c>
      <c r="D1905" s="18" t="str">
        <f>IFERROR(__xludf.DUMMYFUNCTION("""COMPUTED_VALUE"""),"Sweet Corn")</f>
        <v>Sweet Corn</v>
      </c>
      <c r="E1905" s="18">
        <f>IFERROR(__xludf.DUMMYFUNCTION("""COMPUTED_VALUE"""),2.0)</f>
        <v>2</v>
      </c>
      <c r="F1905" s="18" t="str">
        <f>IFERROR(__xludf.DUMMYFUNCTION("""COMPUTED_VALUE"""),"Not Assigned")</f>
        <v>Not Assigned</v>
      </c>
      <c r="G1905" s="19">
        <f>IFERROR(__xludf.DUMMYFUNCTION("""COMPUTED_VALUE"""),45062.0)</f>
        <v>45062</v>
      </c>
      <c r="H1905" s="18" t="str">
        <f>IFERROR(__xludf.DUMMYFUNCTION("""COMPUTED_VALUE"""),"Credit Card")</f>
        <v>Credit Card</v>
      </c>
      <c r="I1905" s="18" t="str">
        <f>IFERROR(__xludf.DUMMYFUNCTION("""COMPUTED_VALUE"""),"Cancelled")</f>
        <v>Cancelled</v>
      </c>
      <c r="J1905" s="18" t="str">
        <f>IFERROR(__xludf.DUMMYFUNCTION("""COMPUTED_VALUE"""),"Payment Issues")</f>
        <v>Payment Issues</v>
      </c>
      <c r="K1905" s="18"/>
      <c r="L1905" s="18">
        <f>iferror(VLOOKUP($D1905,Details!$A$2:$C$11,2,false),vlookup($D1905,Details!$E$2:$G$11,2,false))</f>
        <v>60</v>
      </c>
      <c r="M1905" s="18" t="str">
        <f>iferror(VLOOKUP($D1905,Details!$A$2:$C$11,3,false),vlookup($D1905,Details!$E$2:$G$11,3,false))</f>
        <v>Fruits and Vegetables</v>
      </c>
      <c r="N1905" s="18">
        <f t="shared" si="1"/>
        <v>120</v>
      </c>
      <c r="O1905" s="17"/>
      <c r="P1905" s="17"/>
      <c r="Q1905" s="17"/>
      <c r="R1905" s="17"/>
      <c r="S1905" s="17"/>
      <c r="T1905" s="17"/>
      <c r="U1905" s="17"/>
      <c r="V1905" s="17"/>
      <c r="W1905" s="17"/>
      <c r="X1905" s="17"/>
      <c r="Y1905" s="17"/>
      <c r="Z1905" s="17"/>
    </row>
    <row r="1906">
      <c r="A1906" s="18" t="str">
        <f>IFERROR(__xludf.DUMMYFUNCTION("""COMPUTED_VALUE"""),"ord_81884")</f>
        <v>ord_81884</v>
      </c>
      <c r="B1906" s="18" t="str">
        <f>IFERROR(__xludf.DUMMYFUNCTION("""COMPUTED_VALUE"""),"Diya Arora")</f>
        <v>Diya Arora</v>
      </c>
      <c r="C1906" s="18" t="str">
        <f>IFERROR(__xludf.DUMMYFUNCTION("""COMPUTED_VALUE"""),"Lower Parel")</f>
        <v>Lower Parel</v>
      </c>
      <c r="D1906" s="18" t="str">
        <f>IFERROR(__xludf.DUMMYFUNCTION("""COMPUTED_VALUE"""),"Chicken Puff")</f>
        <v>Chicken Puff</v>
      </c>
      <c r="E1906" s="18">
        <f>IFERROR(__xludf.DUMMYFUNCTION("""COMPUTED_VALUE"""),3.0)</f>
        <v>3</v>
      </c>
      <c r="F1906" s="18" t="str">
        <f>IFERROR(__xludf.DUMMYFUNCTION("""COMPUTED_VALUE"""),"Kiran Mehta")</f>
        <v>Kiran Mehta</v>
      </c>
      <c r="G1906" s="19">
        <f>IFERROR(__xludf.DUMMYFUNCTION("""COMPUTED_VALUE"""),44936.0)</f>
        <v>44936</v>
      </c>
      <c r="H1906" s="18" t="str">
        <f>IFERROR(__xludf.DUMMYFUNCTION("""COMPUTED_VALUE"""),"Credit Card")</f>
        <v>Credit Card</v>
      </c>
      <c r="I1906" s="18" t="str">
        <f>IFERROR(__xludf.DUMMYFUNCTION("""COMPUTED_VALUE"""),"Delivered")</f>
        <v>Delivered</v>
      </c>
      <c r="J1906" s="18" t="str">
        <f>IFERROR(__xludf.DUMMYFUNCTION("""COMPUTED_VALUE"""),"Delivery Experience")</f>
        <v>Delivery Experience</v>
      </c>
      <c r="K1906" s="18" t="str">
        <f>IFERROR(__xludf.DUMMYFUNCTION("""COMPUTED_VALUE"""),"Quick and professional")</f>
        <v>Quick and professional</v>
      </c>
      <c r="L1906" s="18">
        <f>iferror(VLOOKUP($D1906,Details!$A$2:$C$11,2,false),vlookup($D1906,Details!$E$2:$G$11,2,false))</f>
        <v>90</v>
      </c>
      <c r="M1906" s="18" t="str">
        <f>iferror(VLOOKUP($D1906,Details!$A$2:$C$11,3,false),vlookup($D1906,Details!$E$2:$G$11,3,false))</f>
        <v>Snacks and Drinks</v>
      </c>
      <c r="N1906" s="18">
        <f t="shared" si="1"/>
        <v>270</v>
      </c>
      <c r="O1906" s="17"/>
      <c r="P1906" s="17"/>
      <c r="Q1906" s="17"/>
      <c r="R1906" s="17"/>
      <c r="S1906" s="17"/>
      <c r="T1906" s="17"/>
      <c r="U1906" s="17"/>
      <c r="V1906" s="17"/>
      <c r="W1906" s="17"/>
      <c r="X1906" s="17"/>
      <c r="Y1906" s="17"/>
      <c r="Z1906" s="17"/>
    </row>
    <row r="1907">
      <c r="A1907" s="18" t="str">
        <f>IFERROR(__xludf.DUMMYFUNCTION("""COMPUTED_VALUE"""),"ord_81885")</f>
        <v>ord_81885</v>
      </c>
      <c r="B1907" s="18" t="str">
        <f>IFERROR(__xludf.DUMMYFUNCTION("""COMPUTED_VALUE"""),"Diya Arora")</f>
        <v>Diya Arora</v>
      </c>
      <c r="C1907" s="18" t="str">
        <f>IFERROR(__xludf.DUMMYFUNCTION("""COMPUTED_VALUE"""),"Lower Parel")</f>
        <v>Lower Parel</v>
      </c>
      <c r="D1907" s="18" t="str">
        <f>IFERROR(__xludf.DUMMYFUNCTION("""COMPUTED_VALUE"""),"Onion")</f>
        <v>Onion</v>
      </c>
      <c r="E1907" s="18">
        <f>IFERROR(__xludf.DUMMYFUNCTION("""COMPUTED_VALUE"""),2.0)</f>
        <v>2</v>
      </c>
      <c r="F1907" s="18" t="str">
        <f>IFERROR(__xludf.DUMMYFUNCTION("""COMPUTED_VALUE"""),"Kiran Mehta")</f>
        <v>Kiran Mehta</v>
      </c>
      <c r="G1907" s="19">
        <f>IFERROR(__xludf.DUMMYFUNCTION("""COMPUTED_VALUE"""),45209.0)</f>
        <v>45209</v>
      </c>
      <c r="H1907" s="18" t="str">
        <f>IFERROR(__xludf.DUMMYFUNCTION("""COMPUTED_VALUE"""),"Online Payment")</f>
        <v>Online Payment</v>
      </c>
      <c r="I1907" s="18" t="str">
        <f>IFERROR(__xludf.DUMMYFUNCTION("""COMPUTED_VALUE"""),"Delivered")</f>
        <v>Delivered</v>
      </c>
      <c r="J1907" s="18" t="str">
        <f>IFERROR(__xludf.DUMMYFUNCTION("""COMPUTED_VALUE"""),"Convenience")</f>
        <v>Convenience</v>
      </c>
      <c r="K1907" s="18" t="str">
        <f>IFERROR(__xludf.DUMMYFUNCTION("""COMPUTED_VALUE"""),"Easy tracking")</f>
        <v>Easy tracking</v>
      </c>
      <c r="L1907" s="18">
        <f>iferror(VLOOKUP($D1907,Details!$A$2:$C$11,2,false),vlookup($D1907,Details!$E$2:$G$11,2,false))</f>
        <v>84</v>
      </c>
      <c r="M1907" s="18" t="str">
        <f>iferror(VLOOKUP($D1907,Details!$A$2:$C$11,3,false),vlookup($D1907,Details!$E$2:$G$11,3,false))</f>
        <v>Fruits and Vegetables</v>
      </c>
      <c r="N1907" s="18">
        <f t="shared" si="1"/>
        <v>168</v>
      </c>
      <c r="O1907" s="17"/>
      <c r="P1907" s="17"/>
      <c r="Q1907" s="17"/>
      <c r="R1907" s="17"/>
      <c r="S1907" s="17"/>
      <c r="T1907" s="17"/>
      <c r="U1907" s="17"/>
      <c r="V1907" s="17"/>
      <c r="W1907" s="17"/>
      <c r="X1907" s="17"/>
      <c r="Y1907" s="17"/>
      <c r="Z1907" s="17"/>
    </row>
    <row r="1908">
      <c r="A1908" s="18" t="str">
        <f>IFERROR(__xludf.DUMMYFUNCTION("""COMPUTED_VALUE"""),"ord_81886")</f>
        <v>ord_81886</v>
      </c>
      <c r="B1908" s="18" t="str">
        <f>IFERROR(__xludf.DUMMYFUNCTION("""COMPUTED_VALUE"""),"Dev Chauhan")</f>
        <v>Dev Chauhan</v>
      </c>
      <c r="C1908" s="18" t="str">
        <f>IFERROR(__xludf.DUMMYFUNCTION("""COMPUTED_VALUE"""),"Bandra")</f>
        <v>Bandra</v>
      </c>
      <c r="D1908" s="18" t="str">
        <f>IFERROR(__xludf.DUMMYFUNCTION("""COMPUTED_VALUE"""),"Cucumber")</f>
        <v>Cucumber</v>
      </c>
      <c r="E1908" s="18">
        <f>IFERROR(__xludf.DUMMYFUNCTION("""COMPUTED_VALUE"""),2.0)</f>
        <v>2</v>
      </c>
      <c r="F1908" s="18" t="str">
        <f>IFERROR(__xludf.DUMMYFUNCTION("""COMPUTED_VALUE"""),"Priya Joshi")</f>
        <v>Priya Joshi</v>
      </c>
      <c r="G1908" s="19">
        <f>IFERROR(__xludf.DUMMYFUNCTION("""COMPUTED_VALUE"""),45205.0)</f>
        <v>45205</v>
      </c>
      <c r="H1908" s="18" t="str">
        <f>IFERROR(__xludf.DUMMYFUNCTION("""COMPUTED_VALUE"""),"UPI")</f>
        <v>UPI</v>
      </c>
      <c r="I1908" s="18" t="str">
        <f>IFERROR(__xludf.DUMMYFUNCTION("""COMPUTED_VALUE"""),"Delivered")</f>
        <v>Delivered</v>
      </c>
      <c r="J1908" s="18" t="str">
        <f>IFERROR(__xludf.DUMMYFUNCTION("""COMPUTED_VALUE"""),"Overall Satisfaction")</f>
        <v>Overall Satisfaction</v>
      </c>
      <c r="K1908" s="18" t="str">
        <f>IFERROR(__xludf.DUMMYFUNCTION("""COMPUTED_VALUE"""),"Great service will order again")</f>
        <v>Great service will order again</v>
      </c>
      <c r="L1908" s="18">
        <f>iferror(VLOOKUP($D1908,Details!$A$2:$C$11,2,false),vlookup($D1908,Details!$E$2:$G$11,2,false))</f>
        <v>30</v>
      </c>
      <c r="M1908" s="18" t="str">
        <f>iferror(VLOOKUP($D1908,Details!$A$2:$C$11,3,false),vlookup($D1908,Details!$E$2:$G$11,3,false))</f>
        <v>Fruits and Vegetables</v>
      </c>
      <c r="N1908" s="18">
        <f t="shared" si="1"/>
        <v>60</v>
      </c>
      <c r="O1908" s="17"/>
      <c r="P1908" s="17"/>
      <c r="Q1908" s="17"/>
      <c r="R1908" s="17"/>
      <c r="S1908" s="17"/>
      <c r="T1908" s="17"/>
      <c r="U1908" s="17"/>
      <c r="V1908" s="17"/>
      <c r="W1908" s="17"/>
      <c r="X1908" s="17"/>
      <c r="Y1908" s="17"/>
      <c r="Z1908" s="17"/>
    </row>
    <row r="1909">
      <c r="A1909" s="18" t="str">
        <f>IFERROR(__xludf.DUMMYFUNCTION("""COMPUTED_VALUE"""),"ord_81887")</f>
        <v>ord_81887</v>
      </c>
      <c r="B1909" s="18" t="str">
        <f>IFERROR(__xludf.DUMMYFUNCTION("""COMPUTED_VALUE"""),"Aarav Mehta")</f>
        <v>Aarav Mehta</v>
      </c>
      <c r="C1909" s="18" t="str">
        <f>IFERROR(__xludf.DUMMYFUNCTION("""COMPUTED_VALUE"""),"Andheri")</f>
        <v>Andheri</v>
      </c>
      <c r="D1909" s="18" t="str">
        <f>IFERROR(__xludf.DUMMYFUNCTION("""COMPUTED_VALUE"""),"Popcorn")</f>
        <v>Popcorn</v>
      </c>
      <c r="E1909" s="18">
        <f>IFERROR(__xludf.DUMMYFUNCTION("""COMPUTED_VALUE"""),4.0)</f>
        <v>4</v>
      </c>
      <c r="F1909" s="18" t="str">
        <f>IFERROR(__xludf.DUMMYFUNCTION("""COMPUTED_VALUE"""),"Rohan Yadav")</f>
        <v>Rohan Yadav</v>
      </c>
      <c r="G1909" s="19">
        <f>IFERROR(__xludf.DUMMYFUNCTION("""COMPUTED_VALUE"""),45054.0)</f>
        <v>45054</v>
      </c>
      <c r="H1909" s="18" t="str">
        <f>IFERROR(__xludf.DUMMYFUNCTION("""COMPUTED_VALUE"""),"Credit Card")</f>
        <v>Credit Card</v>
      </c>
      <c r="I1909" s="18" t="str">
        <f>IFERROR(__xludf.DUMMYFUNCTION("""COMPUTED_VALUE"""),"Delivered")</f>
        <v>Delivered</v>
      </c>
      <c r="J1909" s="18" t="str">
        <f>IFERROR(__xludf.DUMMYFUNCTION("""COMPUTED_VALUE"""),"On-time Delivery")</f>
        <v>On-time Delivery</v>
      </c>
      <c r="K1909" s="18" t="str">
        <f>IFERROR(__xludf.DUMMYFUNCTION("""COMPUTED_VALUE"""),"Delivered on time")</f>
        <v>Delivered on time</v>
      </c>
      <c r="L1909" s="18">
        <f>iferror(VLOOKUP($D1909,Details!$A$2:$C$11,2,false),vlookup($D1909,Details!$E$2:$G$11,2,false))</f>
        <v>150</v>
      </c>
      <c r="M1909" s="18" t="str">
        <f>iferror(VLOOKUP($D1909,Details!$A$2:$C$11,3,false),vlookup($D1909,Details!$E$2:$G$11,3,false))</f>
        <v>Snacks and Drinks</v>
      </c>
      <c r="N1909" s="18">
        <f t="shared" si="1"/>
        <v>600</v>
      </c>
      <c r="O1909" s="17"/>
      <c r="P1909" s="17"/>
      <c r="Q1909" s="17"/>
      <c r="R1909" s="17"/>
      <c r="S1909" s="17"/>
      <c r="T1909" s="17"/>
      <c r="U1909" s="17"/>
      <c r="V1909" s="17"/>
      <c r="W1909" s="17"/>
      <c r="X1909" s="17"/>
      <c r="Y1909" s="17"/>
      <c r="Z1909" s="17"/>
    </row>
    <row r="1910">
      <c r="A1910" s="18" t="str">
        <f>IFERROR(__xludf.DUMMYFUNCTION("""COMPUTED_VALUE"""),"ord_81888")</f>
        <v>ord_81888</v>
      </c>
      <c r="B1910" s="18" t="str">
        <f>IFERROR(__xludf.DUMMYFUNCTION("""COMPUTED_VALUE"""),"Anaya Rao")</f>
        <v>Anaya Rao</v>
      </c>
      <c r="C1910" s="18" t="str">
        <f>IFERROR(__xludf.DUMMYFUNCTION("""COMPUTED_VALUE"""),"Colaba")</f>
        <v>Colaba</v>
      </c>
      <c r="D1910" s="18" t="str">
        <f>IFERROR(__xludf.DUMMYFUNCTION("""COMPUTED_VALUE"""),"Chicken Puff")</f>
        <v>Chicken Puff</v>
      </c>
      <c r="E1910" s="18">
        <f>IFERROR(__xludf.DUMMYFUNCTION("""COMPUTED_VALUE"""),2.0)</f>
        <v>2</v>
      </c>
      <c r="F1910" s="18" t="str">
        <f>IFERROR(__xludf.DUMMYFUNCTION("""COMPUTED_VALUE"""),"Nikhil Deshmukh")</f>
        <v>Nikhil Deshmukh</v>
      </c>
      <c r="G1910" s="19">
        <f>IFERROR(__xludf.DUMMYFUNCTION("""COMPUTED_VALUE"""),44962.0)</f>
        <v>44962</v>
      </c>
      <c r="H1910" s="18" t="str">
        <f>IFERROR(__xludf.DUMMYFUNCTION("""COMPUTED_VALUE"""),"UPI")</f>
        <v>UPI</v>
      </c>
      <c r="I1910" s="18" t="str">
        <f>IFERROR(__xludf.DUMMYFUNCTION("""COMPUTED_VALUE"""),"Delivered")</f>
        <v>Delivered</v>
      </c>
      <c r="J1910" s="18" t="str">
        <f>IFERROR(__xludf.DUMMYFUNCTION("""COMPUTED_VALUE"""),"Quality of Items")</f>
        <v>Quality of Items</v>
      </c>
      <c r="K1910" s="18" t="str">
        <f>IFERROR(__xludf.DUMMYFUNCTION("""COMPUTED_VALUE"""),"Perfect condition")</f>
        <v>Perfect condition</v>
      </c>
      <c r="L1910" s="18">
        <f>iferror(VLOOKUP($D1910,Details!$A$2:$C$11,2,false),vlookup($D1910,Details!$E$2:$G$11,2,false))</f>
        <v>90</v>
      </c>
      <c r="M1910" s="18" t="str">
        <f>iferror(VLOOKUP($D1910,Details!$A$2:$C$11,3,false),vlookup($D1910,Details!$E$2:$G$11,3,false))</f>
        <v>Snacks and Drinks</v>
      </c>
      <c r="N1910" s="18">
        <f t="shared" si="1"/>
        <v>180</v>
      </c>
      <c r="O1910" s="17"/>
      <c r="P1910" s="17"/>
      <c r="Q1910" s="17"/>
      <c r="R1910" s="17"/>
      <c r="S1910" s="17"/>
      <c r="T1910" s="17"/>
      <c r="U1910" s="17"/>
      <c r="V1910" s="17"/>
      <c r="W1910" s="17"/>
      <c r="X1910" s="17"/>
      <c r="Y1910" s="17"/>
      <c r="Z1910" s="17"/>
    </row>
    <row r="1911">
      <c r="A1911" s="18" t="str">
        <f>IFERROR(__xludf.DUMMYFUNCTION("""COMPUTED_VALUE"""),"ord_81889")</f>
        <v>ord_81889</v>
      </c>
      <c r="B1911" s="18" t="str">
        <f>IFERROR(__xludf.DUMMYFUNCTION("""COMPUTED_VALUE"""),"Aarav Mehta")</f>
        <v>Aarav Mehta</v>
      </c>
      <c r="C1911" s="18" t="str">
        <f>IFERROR(__xludf.DUMMYFUNCTION("""COMPUTED_VALUE"""),"Andheri")</f>
        <v>Andheri</v>
      </c>
      <c r="D1911" s="18" t="str">
        <f>IFERROR(__xludf.DUMMYFUNCTION("""COMPUTED_VALUE"""),"Icecream")</f>
        <v>Icecream</v>
      </c>
      <c r="E1911" s="18">
        <f>IFERROR(__xludf.DUMMYFUNCTION("""COMPUTED_VALUE"""),2.0)</f>
        <v>2</v>
      </c>
      <c r="F1911" s="18" t="str">
        <f>IFERROR(__xludf.DUMMYFUNCTION("""COMPUTED_VALUE"""),"Rohan Yadav")</f>
        <v>Rohan Yadav</v>
      </c>
      <c r="G1911" s="19">
        <f>IFERROR(__xludf.DUMMYFUNCTION("""COMPUTED_VALUE"""),45014.0)</f>
        <v>45014</v>
      </c>
      <c r="H1911" s="18" t="str">
        <f>IFERROR(__xludf.DUMMYFUNCTION("""COMPUTED_VALUE"""),"Online Payment")</f>
        <v>Online Payment</v>
      </c>
      <c r="I1911" s="18" t="str">
        <f>IFERROR(__xludf.DUMMYFUNCTION("""COMPUTED_VALUE"""),"Delivered")</f>
        <v>Delivered</v>
      </c>
      <c r="J1911" s="18" t="str">
        <f>IFERROR(__xludf.DUMMYFUNCTION("""COMPUTED_VALUE"""),"On-time Delivery")</f>
        <v>On-time Delivery</v>
      </c>
      <c r="K1911" s="18" t="str">
        <f>IFERROR(__xludf.DUMMYFUNCTION("""COMPUTED_VALUE"""),"Delivered on time")</f>
        <v>Delivered on time</v>
      </c>
      <c r="L1911" s="18">
        <f>iferror(VLOOKUP($D1911,Details!$A$2:$C$11,2,false),vlookup($D1911,Details!$E$2:$G$11,2,false))</f>
        <v>90</v>
      </c>
      <c r="M1911" s="18" t="str">
        <f>iferror(VLOOKUP($D1911,Details!$A$2:$C$11,3,false),vlookup($D1911,Details!$E$2:$G$11,3,false))</f>
        <v>Snacks and Drinks</v>
      </c>
      <c r="N1911" s="18">
        <f t="shared" si="1"/>
        <v>180</v>
      </c>
      <c r="O1911" s="17"/>
      <c r="P1911" s="17"/>
      <c r="Q1911" s="17"/>
      <c r="R1911" s="17"/>
      <c r="S1911" s="17"/>
      <c r="T1911" s="17"/>
      <c r="U1911" s="17"/>
      <c r="V1911" s="17"/>
      <c r="W1911" s="17"/>
      <c r="X1911" s="17"/>
      <c r="Y1911" s="17"/>
      <c r="Z1911" s="17"/>
    </row>
    <row r="1912">
      <c r="A1912" s="18" t="str">
        <f>IFERROR(__xludf.DUMMYFUNCTION("""COMPUTED_VALUE"""),"ord_81890")</f>
        <v>ord_81890</v>
      </c>
      <c r="B1912" s="18" t="str">
        <f>IFERROR(__xludf.DUMMYFUNCTION("""COMPUTED_VALUE"""),"Sakshi Tandon")</f>
        <v>Sakshi Tandon</v>
      </c>
      <c r="C1912" s="18" t="str">
        <f>IFERROR(__xludf.DUMMYFUNCTION("""COMPUTED_VALUE"""),"Colaba")</f>
        <v>Colaba</v>
      </c>
      <c r="D1912" s="18" t="str">
        <f>IFERROR(__xludf.DUMMYFUNCTION("""COMPUTED_VALUE"""),"Chilli Cheese Toast")</f>
        <v>Chilli Cheese Toast</v>
      </c>
      <c r="E1912" s="18">
        <f>IFERROR(__xludf.DUMMYFUNCTION("""COMPUTED_VALUE"""),2.0)</f>
        <v>2</v>
      </c>
      <c r="F1912" s="18" t="str">
        <f>IFERROR(__xludf.DUMMYFUNCTION("""COMPUTED_VALUE"""),"Nikhil Deshmukh")</f>
        <v>Nikhil Deshmukh</v>
      </c>
      <c r="G1912" s="19">
        <f>IFERROR(__xludf.DUMMYFUNCTION("""COMPUTED_VALUE"""),45282.0)</f>
        <v>45282</v>
      </c>
      <c r="H1912" s="18" t="str">
        <f>IFERROR(__xludf.DUMMYFUNCTION("""COMPUTED_VALUE"""),"UPI")</f>
        <v>UPI</v>
      </c>
      <c r="I1912" s="18" t="str">
        <f>IFERROR(__xludf.DUMMYFUNCTION("""COMPUTED_VALUE"""),"Delivered")</f>
        <v>Delivered</v>
      </c>
      <c r="J1912" s="18" t="str">
        <f>IFERROR(__xludf.DUMMYFUNCTION("""COMPUTED_VALUE"""),"Quality of Items")</f>
        <v>Quality of Items</v>
      </c>
      <c r="K1912" s="18" t="str">
        <f>IFERROR(__xludf.DUMMYFUNCTION("""COMPUTED_VALUE"""),"Perfect condition")</f>
        <v>Perfect condition</v>
      </c>
      <c r="L1912" s="18">
        <f>iferror(VLOOKUP($D1912,Details!$A$2:$C$11,2,false),vlookup($D1912,Details!$E$2:$G$11,2,false))</f>
        <v>80</v>
      </c>
      <c r="M1912" s="18" t="str">
        <f>iferror(VLOOKUP($D1912,Details!$A$2:$C$11,3,false),vlookup($D1912,Details!$E$2:$G$11,3,false))</f>
        <v>Snacks and Drinks</v>
      </c>
      <c r="N1912" s="18">
        <f t="shared" si="1"/>
        <v>160</v>
      </c>
      <c r="O1912" s="17"/>
      <c r="P1912" s="17"/>
      <c r="Q1912" s="17"/>
      <c r="R1912" s="17"/>
      <c r="S1912" s="17"/>
      <c r="T1912" s="17"/>
      <c r="U1912" s="17"/>
      <c r="V1912" s="17"/>
      <c r="W1912" s="17"/>
      <c r="X1912" s="17"/>
      <c r="Y1912" s="17"/>
      <c r="Z1912" s="17"/>
    </row>
    <row r="1913">
      <c r="A1913" s="18" t="str">
        <f>IFERROR(__xludf.DUMMYFUNCTION("""COMPUTED_VALUE"""),"ord_81891")</f>
        <v>ord_81891</v>
      </c>
      <c r="B1913" s="18" t="str">
        <f>IFERROR(__xludf.DUMMYFUNCTION("""COMPUTED_VALUE"""),"Sakshi Tandon")</f>
        <v>Sakshi Tandon</v>
      </c>
      <c r="C1913" s="18" t="str">
        <f>IFERROR(__xludf.DUMMYFUNCTION("""COMPUTED_VALUE"""),"Colaba")</f>
        <v>Colaba</v>
      </c>
      <c r="D1913" s="18" t="str">
        <f>IFERROR(__xludf.DUMMYFUNCTION("""COMPUTED_VALUE"""),"Onion")</f>
        <v>Onion</v>
      </c>
      <c r="E1913" s="18">
        <f>IFERROR(__xludf.DUMMYFUNCTION("""COMPUTED_VALUE"""),1.0)</f>
        <v>1</v>
      </c>
      <c r="F1913" s="18" t="str">
        <f>IFERROR(__xludf.DUMMYFUNCTION("""COMPUTED_VALUE"""),"Nikhil Deshmukh")</f>
        <v>Nikhil Deshmukh</v>
      </c>
      <c r="G1913" s="19">
        <f>IFERROR(__xludf.DUMMYFUNCTION("""COMPUTED_VALUE"""),45223.0)</f>
        <v>45223</v>
      </c>
      <c r="H1913" s="18" t="str">
        <f>IFERROR(__xludf.DUMMYFUNCTION("""COMPUTED_VALUE"""),"Credit Card")</f>
        <v>Credit Card</v>
      </c>
      <c r="I1913" s="18" t="str">
        <f>IFERROR(__xludf.DUMMYFUNCTION("""COMPUTED_VALUE"""),"Delivered")</f>
        <v>Delivered</v>
      </c>
      <c r="J1913" s="18" t="str">
        <f>IFERROR(__xludf.DUMMYFUNCTION("""COMPUTED_VALUE"""),"Packaging")</f>
        <v>Packaging</v>
      </c>
      <c r="K1913" s="18" t="str">
        <f>IFERROR(__xludf.DUMMYFUNCTION("""COMPUTED_VALUE"""),"Secure and intact")</f>
        <v>Secure and intact</v>
      </c>
      <c r="L1913" s="18">
        <f>iferror(VLOOKUP($D1913,Details!$A$2:$C$11,2,false),vlookup($D1913,Details!$E$2:$G$11,2,false))</f>
        <v>84</v>
      </c>
      <c r="M1913" s="18" t="str">
        <f>iferror(VLOOKUP($D1913,Details!$A$2:$C$11,3,false),vlookup($D1913,Details!$E$2:$G$11,3,false))</f>
        <v>Fruits and Vegetables</v>
      </c>
      <c r="N1913" s="18">
        <f t="shared" si="1"/>
        <v>84</v>
      </c>
      <c r="O1913" s="17"/>
      <c r="P1913" s="17"/>
      <c r="Q1913" s="17"/>
      <c r="R1913" s="17"/>
      <c r="S1913" s="17"/>
      <c r="T1913" s="17"/>
      <c r="U1913" s="17"/>
      <c r="V1913" s="17"/>
      <c r="W1913" s="17"/>
      <c r="X1913" s="17"/>
      <c r="Y1913" s="17"/>
      <c r="Z1913" s="17"/>
    </row>
    <row r="1914">
      <c r="A1914" s="18" t="str">
        <f>IFERROR(__xludf.DUMMYFUNCTION("""COMPUTED_VALUE"""),"ord_81892")</f>
        <v>ord_81892</v>
      </c>
      <c r="B1914" s="18" t="str">
        <f>IFERROR(__xludf.DUMMYFUNCTION("""COMPUTED_VALUE"""),"Omkar Mishra")</f>
        <v>Omkar Mishra</v>
      </c>
      <c r="C1914" s="18" t="str">
        <f>IFERROR(__xludf.DUMMYFUNCTION("""COMPUTED_VALUE"""),"Powai")</f>
        <v>Powai</v>
      </c>
      <c r="D1914" s="18" t="str">
        <f>IFERROR(__xludf.DUMMYFUNCTION("""COMPUTED_VALUE"""),"Rasmalai")</f>
        <v>Rasmalai</v>
      </c>
      <c r="E1914" s="18">
        <f>IFERROR(__xludf.DUMMYFUNCTION("""COMPUTED_VALUE"""),3.0)</f>
        <v>3</v>
      </c>
      <c r="F1914" s="18" t="str">
        <f>IFERROR(__xludf.DUMMYFUNCTION("""COMPUTED_VALUE"""),"Sandeep Kumar")</f>
        <v>Sandeep Kumar</v>
      </c>
      <c r="G1914" s="19">
        <f>IFERROR(__xludf.DUMMYFUNCTION("""COMPUTED_VALUE"""),45159.0)</f>
        <v>45159</v>
      </c>
      <c r="H1914" s="18" t="str">
        <f>IFERROR(__xludf.DUMMYFUNCTION("""COMPUTED_VALUE"""),"Online Payment")</f>
        <v>Online Payment</v>
      </c>
      <c r="I1914" s="18" t="str">
        <f>IFERROR(__xludf.DUMMYFUNCTION("""COMPUTED_VALUE"""),"Delivered")</f>
        <v>Delivered</v>
      </c>
      <c r="J1914" s="18" t="str">
        <f>IFERROR(__xludf.DUMMYFUNCTION("""COMPUTED_VALUE"""),"Satisfied with the Delivery")</f>
        <v>Satisfied with the Delivery</v>
      </c>
      <c r="K1914" s="18" t="str">
        <f>IFERROR(__xludf.DUMMYFUNCTION("""COMPUTED_VALUE"""),"Timely and quality")</f>
        <v>Timely and quality</v>
      </c>
      <c r="L1914" s="18">
        <f>iferror(VLOOKUP($D1914,Details!$A$2:$C$11,2,false),vlookup($D1914,Details!$E$2:$G$11,2,false))</f>
        <v>110</v>
      </c>
      <c r="M1914" s="18" t="str">
        <f>iferror(VLOOKUP($D1914,Details!$A$2:$C$11,3,false),vlookup($D1914,Details!$E$2:$G$11,3,false))</f>
        <v>Snacks and Drinks</v>
      </c>
      <c r="N1914" s="18">
        <f t="shared" si="1"/>
        <v>330</v>
      </c>
      <c r="O1914" s="17"/>
      <c r="P1914" s="17"/>
      <c r="Q1914" s="17"/>
      <c r="R1914" s="17"/>
      <c r="S1914" s="17"/>
      <c r="T1914" s="17"/>
      <c r="U1914" s="17"/>
      <c r="V1914" s="17"/>
      <c r="W1914" s="17"/>
      <c r="X1914" s="17"/>
      <c r="Y1914" s="17"/>
      <c r="Z1914" s="17"/>
    </row>
    <row r="1915">
      <c r="A1915" s="18" t="str">
        <f>IFERROR(__xludf.DUMMYFUNCTION("""COMPUTED_VALUE"""),"ord_81893")</f>
        <v>ord_81893</v>
      </c>
      <c r="B1915" s="18" t="str">
        <f>IFERROR(__xludf.DUMMYFUNCTION("""COMPUTED_VALUE"""),"Dev Chauhan")</f>
        <v>Dev Chauhan</v>
      </c>
      <c r="C1915" s="18" t="str">
        <f>IFERROR(__xludf.DUMMYFUNCTION("""COMPUTED_VALUE"""),"Bandra")</f>
        <v>Bandra</v>
      </c>
      <c r="D1915" s="18" t="str">
        <f>IFERROR(__xludf.DUMMYFUNCTION("""COMPUTED_VALUE"""),"Cucumber")</f>
        <v>Cucumber</v>
      </c>
      <c r="E1915" s="18">
        <f>IFERROR(__xludf.DUMMYFUNCTION("""COMPUTED_VALUE"""),1.0)</f>
        <v>1</v>
      </c>
      <c r="F1915" s="18" t="str">
        <f>IFERROR(__xludf.DUMMYFUNCTION("""COMPUTED_VALUE"""),"Priya Joshi")</f>
        <v>Priya Joshi</v>
      </c>
      <c r="G1915" s="19">
        <f>IFERROR(__xludf.DUMMYFUNCTION("""COMPUTED_VALUE"""),45271.0)</f>
        <v>45271</v>
      </c>
      <c r="H1915" s="18" t="str">
        <f>IFERROR(__xludf.DUMMYFUNCTION("""COMPUTED_VALUE"""),"UPI")</f>
        <v>UPI</v>
      </c>
      <c r="I1915" s="18" t="str">
        <f>IFERROR(__xludf.DUMMYFUNCTION("""COMPUTED_VALUE"""),"Delivered")</f>
        <v>Delivered</v>
      </c>
      <c r="J1915" s="18" t="str">
        <f>IFERROR(__xludf.DUMMYFUNCTION("""COMPUTED_VALUE"""),"Customer Service")</f>
        <v>Customer Service</v>
      </c>
      <c r="K1915" s="18" t="str">
        <f>IFERROR(__xludf.DUMMYFUNCTION("""COMPUTED_VALUE"""),"Seamless and easy")</f>
        <v>Seamless and easy</v>
      </c>
      <c r="L1915" s="18">
        <f>iferror(VLOOKUP($D1915,Details!$A$2:$C$11,2,false),vlookup($D1915,Details!$E$2:$G$11,2,false))</f>
        <v>30</v>
      </c>
      <c r="M1915" s="18" t="str">
        <f>iferror(VLOOKUP($D1915,Details!$A$2:$C$11,3,false),vlookup($D1915,Details!$E$2:$G$11,3,false))</f>
        <v>Fruits and Vegetables</v>
      </c>
      <c r="N1915" s="18">
        <f t="shared" si="1"/>
        <v>30</v>
      </c>
      <c r="O1915" s="17"/>
      <c r="P1915" s="17"/>
      <c r="Q1915" s="17"/>
      <c r="R1915" s="17"/>
      <c r="S1915" s="17"/>
      <c r="T1915" s="17"/>
      <c r="U1915" s="17"/>
      <c r="V1915" s="17"/>
      <c r="W1915" s="17"/>
      <c r="X1915" s="17"/>
      <c r="Y1915" s="17"/>
      <c r="Z1915" s="17"/>
    </row>
    <row r="1916">
      <c r="A1916" s="18" t="str">
        <f>IFERROR(__xludf.DUMMYFUNCTION("""COMPUTED_VALUE"""),"ord_81894")</f>
        <v>ord_81894</v>
      </c>
      <c r="B1916" s="18" t="str">
        <f>IFERROR(__xludf.DUMMYFUNCTION("""COMPUTED_VALUE"""),"Kritika Shetty")</f>
        <v>Kritika Shetty</v>
      </c>
      <c r="C1916" s="18" t="str">
        <f>IFERROR(__xludf.DUMMYFUNCTION("""COMPUTED_VALUE"""),"Malad")</f>
        <v>Malad</v>
      </c>
      <c r="D1916" s="18" t="str">
        <f>IFERROR(__xludf.DUMMYFUNCTION("""COMPUTED_VALUE"""),"Tomato")</f>
        <v>Tomato</v>
      </c>
      <c r="E1916" s="18">
        <f>IFERROR(__xludf.DUMMYFUNCTION("""COMPUTED_VALUE"""),2.0)</f>
        <v>2</v>
      </c>
      <c r="F1916" s="18" t="str">
        <f>IFERROR(__xludf.DUMMYFUNCTION("""COMPUTED_VALUE"""),"Not Assigned")</f>
        <v>Not Assigned</v>
      </c>
      <c r="G1916" s="19">
        <f>IFERROR(__xludf.DUMMYFUNCTION("""COMPUTED_VALUE"""),44968.0)</f>
        <v>44968</v>
      </c>
      <c r="H1916" s="18" t="str">
        <f>IFERROR(__xludf.DUMMYFUNCTION("""COMPUTED_VALUE"""),"Credit Card")</f>
        <v>Credit Card</v>
      </c>
      <c r="I1916" s="18" t="str">
        <f>IFERROR(__xludf.DUMMYFUNCTION("""COMPUTED_VALUE"""),"Cancelled")</f>
        <v>Cancelled</v>
      </c>
      <c r="J1916" s="18" t="str">
        <f>IFERROR(__xludf.DUMMYFUNCTION("""COMPUTED_VALUE"""),"Payment Issues")</f>
        <v>Payment Issues</v>
      </c>
      <c r="K1916" s="18"/>
      <c r="L1916" s="18">
        <f>iferror(VLOOKUP($D1916,Details!$A$2:$C$11,2,false),vlookup($D1916,Details!$E$2:$G$11,2,false))</f>
        <v>25</v>
      </c>
      <c r="M1916" s="18" t="str">
        <f>iferror(VLOOKUP($D1916,Details!$A$2:$C$11,3,false),vlookup($D1916,Details!$E$2:$G$11,3,false))</f>
        <v>Fruits and Vegetables</v>
      </c>
      <c r="N1916" s="18">
        <f t="shared" si="1"/>
        <v>50</v>
      </c>
      <c r="O1916" s="17"/>
      <c r="P1916" s="17"/>
      <c r="Q1916" s="17"/>
      <c r="R1916" s="17"/>
      <c r="S1916" s="17"/>
      <c r="T1916" s="17"/>
      <c r="U1916" s="17"/>
      <c r="V1916" s="17"/>
      <c r="W1916" s="17"/>
      <c r="X1916" s="17"/>
      <c r="Y1916" s="17"/>
      <c r="Z1916" s="17"/>
    </row>
    <row r="1917">
      <c r="A1917" s="18" t="str">
        <f>IFERROR(__xludf.DUMMYFUNCTION("""COMPUTED_VALUE"""),"ord_81895")</f>
        <v>ord_81895</v>
      </c>
      <c r="B1917" s="18" t="str">
        <f>IFERROR(__xludf.DUMMYFUNCTION("""COMPUTED_VALUE"""),"Sakshi Tandon")</f>
        <v>Sakshi Tandon</v>
      </c>
      <c r="C1917" s="18" t="str">
        <f>IFERROR(__xludf.DUMMYFUNCTION("""COMPUTED_VALUE"""),"Colaba")</f>
        <v>Colaba</v>
      </c>
      <c r="D1917" s="18" t="str">
        <f>IFERROR(__xludf.DUMMYFUNCTION("""COMPUTED_VALUE"""),"Orange")</f>
        <v>Orange</v>
      </c>
      <c r="E1917" s="18">
        <f>IFERROR(__xludf.DUMMYFUNCTION("""COMPUTED_VALUE"""),2.0)</f>
        <v>2</v>
      </c>
      <c r="F1917" s="18" t="str">
        <f>IFERROR(__xludf.DUMMYFUNCTION("""COMPUTED_VALUE"""),"Nikhil Deshmukh")</f>
        <v>Nikhil Deshmukh</v>
      </c>
      <c r="G1917" s="19">
        <f>IFERROR(__xludf.DUMMYFUNCTION("""COMPUTED_VALUE"""),44934.0)</f>
        <v>44934</v>
      </c>
      <c r="H1917" s="18" t="str">
        <f>IFERROR(__xludf.DUMMYFUNCTION("""COMPUTED_VALUE"""),"UPI")</f>
        <v>UPI</v>
      </c>
      <c r="I1917" s="18" t="str">
        <f>IFERROR(__xludf.DUMMYFUNCTION("""COMPUTED_VALUE"""),"Delivered")</f>
        <v>Delivered</v>
      </c>
      <c r="J1917" s="18" t="str">
        <f>IFERROR(__xludf.DUMMYFUNCTION("""COMPUTED_VALUE"""),"Delivery Experience")</f>
        <v>Delivery Experience</v>
      </c>
      <c r="K1917" s="18" t="str">
        <f>IFERROR(__xludf.DUMMYFUNCTION("""COMPUTED_VALUE"""),"Quick and professional")</f>
        <v>Quick and professional</v>
      </c>
      <c r="L1917" s="18">
        <f>iferror(VLOOKUP($D1917,Details!$A$2:$C$11,2,false),vlookup($D1917,Details!$E$2:$G$11,2,false))</f>
        <v>180</v>
      </c>
      <c r="M1917" s="18" t="str">
        <f>iferror(VLOOKUP($D1917,Details!$A$2:$C$11,3,false),vlookup($D1917,Details!$E$2:$G$11,3,false))</f>
        <v>Fruits and Vegetables</v>
      </c>
      <c r="N1917" s="18">
        <f t="shared" si="1"/>
        <v>360</v>
      </c>
      <c r="O1917" s="17"/>
      <c r="P1917" s="17"/>
      <c r="Q1917" s="17"/>
      <c r="R1917" s="17"/>
      <c r="S1917" s="17"/>
      <c r="T1917" s="17"/>
      <c r="U1917" s="17"/>
      <c r="V1917" s="17"/>
      <c r="W1917" s="17"/>
      <c r="X1917" s="17"/>
      <c r="Y1917" s="17"/>
      <c r="Z1917" s="17"/>
    </row>
    <row r="1918">
      <c r="A1918" s="18" t="str">
        <f>IFERROR(__xludf.DUMMYFUNCTION("""COMPUTED_VALUE"""),"ord_81896")</f>
        <v>ord_81896</v>
      </c>
      <c r="B1918" s="18" t="str">
        <f>IFERROR(__xludf.DUMMYFUNCTION("""COMPUTED_VALUE"""),"Aarohi Kapoor")</f>
        <v>Aarohi Kapoor</v>
      </c>
      <c r="C1918" s="18" t="str">
        <f>IFERROR(__xludf.DUMMYFUNCTION("""COMPUTED_VALUE"""),"Bandra")</f>
        <v>Bandra</v>
      </c>
      <c r="D1918" s="18" t="str">
        <f>IFERROR(__xludf.DUMMYFUNCTION("""COMPUTED_VALUE"""),"Banana")</f>
        <v>Banana</v>
      </c>
      <c r="E1918" s="18">
        <f>IFERROR(__xludf.DUMMYFUNCTION("""COMPUTED_VALUE"""),1.0)</f>
        <v>1</v>
      </c>
      <c r="F1918" s="18" t="str">
        <f>IFERROR(__xludf.DUMMYFUNCTION("""COMPUTED_VALUE"""),"Nithin Lal")</f>
        <v>Nithin Lal</v>
      </c>
      <c r="G1918" s="19">
        <f>IFERROR(__xludf.DUMMYFUNCTION("""COMPUTED_VALUE"""),44935.0)</f>
        <v>44935</v>
      </c>
      <c r="H1918" s="18" t="str">
        <f>IFERROR(__xludf.DUMMYFUNCTION("""COMPUTED_VALUE"""),"Online Payment")</f>
        <v>Online Payment</v>
      </c>
      <c r="I1918" s="18" t="str">
        <f>IFERROR(__xludf.DUMMYFUNCTION("""COMPUTED_VALUE"""),"Delivered")</f>
        <v>Delivered</v>
      </c>
      <c r="J1918" s="18" t="str">
        <f>IFERROR(__xludf.DUMMYFUNCTION("""COMPUTED_VALUE"""),"Convenience")</f>
        <v>Convenience</v>
      </c>
      <c r="K1918" s="18" t="str">
        <f>IFERROR(__xludf.DUMMYFUNCTION("""COMPUTED_VALUE"""),"Easy tracking")</f>
        <v>Easy tracking</v>
      </c>
      <c r="L1918" s="18">
        <f>iferror(VLOOKUP($D1918,Details!$A$2:$C$11,2,false),vlookup($D1918,Details!$E$2:$G$11,2,false))</f>
        <v>80</v>
      </c>
      <c r="M1918" s="18" t="str">
        <f>iferror(VLOOKUP($D1918,Details!$A$2:$C$11,3,false),vlookup($D1918,Details!$E$2:$G$11,3,false))</f>
        <v>Fruits and Vegetables</v>
      </c>
      <c r="N1918" s="18">
        <f t="shared" si="1"/>
        <v>80</v>
      </c>
      <c r="O1918" s="17"/>
      <c r="P1918" s="17"/>
      <c r="Q1918" s="17"/>
      <c r="R1918" s="17"/>
      <c r="S1918" s="17"/>
      <c r="T1918" s="17"/>
      <c r="U1918" s="17"/>
      <c r="V1918" s="17"/>
      <c r="W1918" s="17"/>
      <c r="X1918" s="17"/>
      <c r="Y1918" s="17"/>
      <c r="Z1918" s="17"/>
    </row>
    <row r="1919">
      <c r="A1919" s="18" t="str">
        <f>IFERROR(__xludf.DUMMYFUNCTION("""COMPUTED_VALUE"""),"ord_81897")</f>
        <v>ord_81897</v>
      </c>
      <c r="B1919" s="18" t="str">
        <f>IFERROR(__xludf.DUMMYFUNCTION("""COMPUTED_VALUE"""),"Sanjay Nair")</f>
        <v>Sanjay Nair</v>
      </c>
      <c r="C1919" s="18" t="str">
        <f>IFERROR(__xludf.DUMMYFUNCTION("""COMPUTED_VALUE"""),"Dadar")</f>
        <v>Dadar</v>
      </c>
      <c r="D1919" s="18" t="str">
        <f>IFERROR(__xludf.DUMMYFUNCTION("""COMPUTED_VALUE"""),"Sweet Corn")</f>
        <v>Sweet Corn</v>
      </c>
      <c r="E1919" s="18">
        <f>IFERROR(__xludf.DUMMYFUNCTION("""COMPUTED_VALUE"""),1.0)</f>
        <v>1</v>
      </c>
      <c r="F1919" s="18" t="str">
        <f>IFERROR(__xludf.DUMMYFUNCTION("""COMPUTED_VALUE"""),"Not Assigned")</f>
        <v>Not Assigned</v>
      </c>
      <c r="G1919" s="19">
        <f>IFERROR(__xludf.DUMMYFUNCTION("""COMPUTED_VALUE"""),45226.0)</f>
        <v>45226</v>
      </c>
      <c r="H1919" s="18" t="str">
        <f>IFERROR(__xludf.DUMMYFUNCTION("""COMPUTED_VALUE"""),"Credit Card")</f>
        <v>Credit Card</v>
      </c>
      <c r="I1919" s="18" t="str">
        <f>IFERROR(__xludf.DUMMYFUNCTION("""COMPUTED_VALUE"""),"Cancelled")</f>
        <v>Cancelled</v>
      </c>
      <c r="J1919" s="18" t="str">
        <f>IFERROR(__xludf.DUMMYFUNCTION("""COMPUTED_VALUE"""),"High Delivery Fees")</f>
        <v>High Delivery Fees</v>
      </c>
      <c r="K1919" s="18"/>
      <c r="L1919" s="18">
        <f>iferror(VLOOKUP($D1919,Details!$A$2:$C$11,2,false),vlookup($D1919,Details!$E$2:$G$11,2,false))</f>
        <v>60</v>
      </c>
      <c r="M1919" s="18" t="str">
        <f>iferror(VLOOKUP($D1919,Details!$A$2:$C$11,3,false),vlookup($D1919,Details!$E$2:$G$11,3,false))</f>
        <v>Fruits and Vegetables</v>
      </c>
      <c r="N1919" s="18">
        <f t="shared" si="1"/>
        <v>60</v>
      </c>
      <c r="O1919" s="17"/>
      <c r="P1919" s="17"/>
      <c r="Q1919" s="17"/>
      <c r="R1919" s="17"/>
      <c r="S1919" s="17"/>
      <c r="T1919" s="17"/>
      <c r="U1919" s="17"/>
      <c r="V1919" s="17"/>
      <c r="W1919" s="17"/>
      <c r="X1919" s="17"/>
      <c r="Y1919" s="17"/>
      <c r="Z1919" s="17"/>
    </row>
    <row r="1920">
      <c r="A1920" s="18" t="str">
        <f>IFERROR(__xludf.DUMMYFUNCTION("""COMPUTED_VALUE"""),"ord_81898")</f>
        <v>ord_81898</v>
      </c>
      <c r="B1920" s="18" t="str">
        <f>IFERROR(__xludf.DUMMYFUNCTION("""COMPUTED_VALUE"""),"Shruti Aggarwal")</f>
        <v>Shruti Aggarwal</v>
      </c>
      <c r="C1920" s="18" t="str">
        <f>IFERROR(__xludf.DUMMYFUNCTION("""COMPUTED_VALUE"""),"Colaba")</f>
        <v>Colaba</v>
      </c>
      <c r="D1920" s="18" t="str">
        <f>IFERROR(__xludf.DUMMYFUNCTION("""COMPUTED_VALUE"""),"Papaya")</f>
        <v>Papaya</v>
      </c>
      <c r="E1920" s="18">
        <f>IFERROR(__xludf.DUMMYFUNCTION("""COMPUTED_VALUE"""),2.0)</f>
        <v>2</v>
      </c>
      <c r="F1920" s="18" t="str">
        <f>IFERROR(__xludf.DUMMYFUNCTION("""COMPUTED_VALUE"""),"Manju Ajay")</f>
        <v>Manju Ajay</v>
      </c>
      <c r="G1920" s="19">
        <f>IFERROR(__xludf.DUMMYFUNCTION("""COMPUTED_VALUE"""),45287.0)</f>
        <v>45287</v>
      </c>
      <c r="H1920" s="18" t="str">
        <f>IFERROR(__xludf.DUMMYFUNCTION("""COMPUTED_VALUE"""),"UPI")</f>
        <v>UPI</v>
      </c>
      <c r="I1920" s="18" t="str">
        <f>IFERROR(__xludf.DUMMYFUNCTION("""COMPUTED_VALUE"""),"Delivered")</f>
        <v>Delivered</v>
      </c>
      <c r="J1920" s="18" t="str">
        <f>IFERROR(__xludf.DUMMYFUNCTION("""COMPUTED_VALUE"""),"Overall Satisfaction")</f>
        <v>Overall Satisfaction</v>
      </c>
      <c r="K1920" s="18" t="str">
        <f>IFERROR(__xludf.DUMMYFUNCTION("""COMPUTED_VALUE"""),"Great service will order again")</f>
        <v>Great service will order again</v>
      </c>
      <c r="L1920" s="18">
        <f>iferror(VLOOKUP($D1920,Details!$A$2:$C$11,2,false),vlookup($D1920,Details!$E$2:$G$11,2,false))</f>
        <v>75</v>
      </c>
      <c r="M1920" s="18" t="str">
        <f>iferror(VLOOKUP($D1920,Details!$A$2:$C$11,3,false),vlookup($D1920,Details!$E$2:$G$11,3,false))</f>
        <v>Fruits and Vegetables</v>
      </c>
      <c r="N1920" s="18">
        <f t="shared" si="1"/>
        <v>150</v>
      </c>
      <c r="O1920" s="17"/>
      <c r="P1920" s="17"/>
      <c r="Q1920" s="17"/>
      <c r="R1920" s="17"/>
      <c r="S1920" s="17"/>
      <c r="T1920" s="17"/>
      <c r="U1920" s="17"/>
      <c r="V1920" s="17"/>
      <c r="W1920" s="17"/>
      <c r="X1920" s="17"/>
      <c r="Y1920" s="17"/>
      <c r="Z1920" s="17"/>
    </row>
    <row r="1921">
      <c r="A1921" s="18" t="str">
        <f>IFERROR(__xludf.DUMMYFUNCTION("""COMPUTED_VALUE"""),"ord_81899")</f>
        <v>ord_81899</v>
      </c>
      <c r="B1921" s="18" t="str">
        <f>IFERROR(__xludf.DUMMYFUNCTION("""COMPUTED_VALUE"""),"Mehul Thakkar")</f>
        <v>Mehul Thakkar</v>
      </c>
      <c r="C1921" s="18" t="str">
        <f>IFERROR(__xludf.DUMMYFUNCTION("""COMPUTED_VALUE"""),"Dadar")</f>
        <v>Dadar</v>
      </c>
      <c r="D1921" s="18" t="str">
        <f>IFERROR(__xludf.DUMMYFUNCTION("""COMPUTED_VALUE"""),"Rasmalai")</f>
        <v>Rasmalai</v>
      </c>
      <c r="E1921" s="18">
        <f>IFERROR(__xludf.DUMMYFUNCTION("""COMPUTED_VALUE"""),4.0)</f>
        <v>4</v>
      </c>
      <c r="F1921" s="18" t="str">
        <f>IFERROR(__xludf.DUMMYFUNCTION("""COMPUTED_VALUE"""),"Nithin Lal")</f>
        <v>Nithin Lal</v>
      </c>
      <c r="G1921" s="19">
        <f>IFERROR(__xludf.DUMMYFUNCTION("""COMPUTED_VALUE"""),45151.0)</f>
        <v>45151</v>
      </c>
      <c r="H1921" s="18" t="str">
        <f>IFERROR(__xludf.DUMMYFUNCTION("""COMPUTED_VALUE"""),"Online Payment")</f>
        <v>Online Payment</v>
      </c>
      <c r="I1921" s="18" t="str">
        <f>IFERROR(__xludf.DUMMYFUNCTION("""COMPUTED_VALUE"""),"Delivered")</f>
        <v>Delivered</v>
      </c>
      <c r="J1921" s="18" t="str">
        <f>IFERROR(__xludf.DUMMYFUNCTION("""COMPUTED_VALUE"""),"On-time Delivery")</f>
        <v>On-time Delivery</v>
      </c>
      <c r="K1921" s="18" t="str">
        <f>IFERROR(__xludf.DUMMYFUNCTION("""COMPUTED_VALUE"""),"Delivered on time")</f>
        <v>Delivered on time</v>
      </c>
      <c r="L1921" s="18">
        <f>iferror(VLOOKUP($D1921,Details!$A$2:$C$11,2,false),vlookup($D1921,Details!$E$2:$G$11,2,false))</f>
        <v>110</v>
      </c>
      <c r="M1921" s="18" t="str">
        <f>iferror(VLOOKUP($D1921,Details!$A$2:$C$11,3,false),vlookup($D1921,Details!$E$2:$G$11,3,false))</f>
        <v>Snacks and Drinks</v>
      </c>
      <c r="N1921" s="18">
        <f t="shared" si="1"/>
        <v>440</v>
      </c>
      <c r="O1921" s="17"/>
      <c r="P1921" s="17"/>
      <c r="Q1921" s="17"/>
      <c r="R1921" s="17"/>
      <c r="S1921" s="17"/>
      <c r="T1921" s="17"/>
      <c r="U1921" s="17"/>
      <c r="V1921" s="17"/>
      <c r="W1921" s="17"/>
      <c r="X1921" s="17"/>
      <c r="Y1921" s="17"/>
      <c r="Z1921" s="17"/>
    </row>
    <row r="1922">
      <c r="A1922" s="18" t="str">
        <f>IFERROR(__xludf.DUMMYFUNCTION("""COMPUTED_VALUE"""),"ord_81900")</f>
        <v>ord_81900</v>
      </c>
      <c r="B1922" s="18" t="str">
        <f>IFERROR(__xludf.DUMMYFUNCTION("""COMPUTED_VALUE"""),"Sana Malik")</f>
        <v>Sana Malik</v>
      </c>
      <c r="C1922" s="18" t="str">
        <f>IFERROR(__xludf.DUMMYFUNCTION("""COMPUTED_VALUE"""),"Powai")</f>
        <v>Powai</v>
      </c>
      <c r="D1922" s="18" t="str">
        <f>IFERROR(__xludf.DUMMYFUNCTION("""COMPUTED_VALUE"""),"Juice")</f>
        <v>Juice</v>
      </c>
      <c r="E1922" s="18">
        <f>IFERROR(__xludf.DUMMYFUNCTION("""COMPUTED_VALUE"""),9.0)</f>
        <v>9</v>
      </c>
      <c r="F1922" s="18" t="str">
        <f>IFERROR(__xludf.DUMMYFUNCTION("""COMPUTED_VALUE"""),"Manju Ajay")</f>
        <v>Manju Ajay</v>
      </c>
      <c r="G1922" s="19">
        <f>IFERROR(__xludf.DUMMYFUNCTION("""COMPUTED_VALUE"""),45170.0)</f>
        <v>45170</v>
      </c>
      <c r="H1922" s="18" t="str">
        <f>IFERROR(__xludf.DUMMYFUNCTION("""COMPUTED_VALUE"""),"UPI")</f>
        <v>UPI</v>
      </c>
      <c r="I1922" s="18" t="str">
        <f>IFERROR(__xludf.DUMMYFUNCTION("""COMPUTED_VALUE"""),"Delivered")</f>
        <v>Delivered</v>
      </c>
      <c r="J1922" s="18" t="str">
        <f>IFERROR(__xludf.DUMMYFUNCTION("""COMPUTED_VALUE"""),"Quality of Items")</f>
        <v>Quality of Items</v>
      </c>
      <c r="K1922" s="18" t="str">
        <f>IFERROR(__xludf.DUMMYFUNCTION("""COMPUTED_VALUE"""),"Perfect condition")</f>
        <v>Perfect condition</v>
      </c>
      <c r="L1922" s="18">
        <f>iferror(VLOOKUP($D1922,Details!$A$2:$C$11,2,false),vlookup($D1922,Details!$E$2:$G$11,2,false))</f>
        <v>90</v>
      </c>
      <c r="M1922" s="18" t="str">
        <f>iferror(VLOOKUP($D1922,Details!$A$2:$C$11,3,false),vlookup($D1922,Details!$E$2:$G$11,3,false))</f>
        <v>Snacks and Drinks</v>
      </c>
      <c r="N1922" s="18">
        <f t="shared" si="1"/>
        <v>810</v>
      </c>
      <c r="O1922" s="17"/>
      <c r="P1922" s="17"/>
      <c r="Q1922" s="17"/>
      <c r="R1922" s="17"/>
      <c r="S1922" s="17"/>
      <c r="T1922" s="17"/>
      <c r="U1922" s="17"/>
      <c r="V1922" s="17"/>
      <c r="W1922" s="17"/>
      <c r="X1922" s="17"/>
      <c r="Y1922" s="17"/>
      <c r="Z1922" s="17"/>
    </row>
    <row r="1923">
      <c r="A1923" s="18" t="str">
        <f>IFERROR(__xludf.DUMMYFUNCTION("""COMPUTED_VALUE"""),"ord_81901")</f>
        <v>ord_81901</v>
      </c>
      <c r="B1923" s="18" t="str">
        <f>IFERROR(__xludf.DUMMYFUNCTION("""COMPUTED_VALUE"""),"Yash Verma")</f>
        <v>Yash Verma</v>
      </c>
      <c r="C1923" s="18" t="str">
        <f>IFERROR(__xludf.DUMMYFUNCTION("""COMPUTED_VALUE"""),"Lower Parel")</f>
        <v>Lower Parel</v>
      </c>
      <c r="D1923" s="18" t="str">
        <f>IFERROR(__xludf.DUMMYFUNCTION("""COMPUTED_VALUE"""),"Onion")</f>
        <v>Onion</v>
      </c>
      <c r="E1923" s="18">
        <f>IFERROR(__xludf.DUMMYFUNCTION("""COMPUTED_VALUE"""),4.0)</f>
        <v>4</v>
      </c>
      <c r="F1923" s="18" t="str">
        <f>IFERROR(__xludf.DUMMYFUNCTION("""COMPUTED_VALUE"""),"Venu R")</f>
        <v>Venu R</v>
      </c>
      <c r="G1923" s="19">
        <f>IFERROR(__xludf.DUMMYFUNCTION("""COMPUTED_VALUE"""),45134.0)</f>
        <v>45134</v>
      </c>
      <c r="H1923" s="18" t="str">
        <f>IFERROR(__xludf.DUMMYFUNCTION("""COMPUTED_VALUE"""),"Credit Card")</f>
        <v>Credit Card</v>
      </c>
      <c r="I1923" s="18" t="str">
        <f>IFERROR(__xludf.DUMMYFUNCTION("""COMPUTED_VALUE"""),"Delivered")</f>
        <v>Delivered</v>
      </c>
      <c r="J1923" s="18" t="str">
        <f>IFERROR(__xludf.DUMMYFUNCTION("""COMPUTED_VALUE"""),"On-time Delivery")</f>
        <v>On-time Delivery</v>
      </c>
      <c r="K1923" s="18" t="str">
        <f>IFERROR(__xludf.DUMMYFUNCTION("""COMPUTED_VALUE"""),"Delivered on time")</f>
        <v>Delivered on time</v>
      </c>
      <c r="L1923" s="18">
        <f>iferror(VLOOKUP($D1923,Details!$A$2:$C$11,2,false),vlookup($D1923,Details!$E$2:$G$11,2,false))</f>
        <v>84</v>
      </c>
      <c r="M1923" s="18" t="str">
        <f>iferror(VLOOKUP($D1923,Details!$A$2:$C$11,3,false),vlookup($D1923,Details!$E$2:$G$11,3,false))</f>
        <v>Fruits and Vegetables</v>
      </c>
      <c r="N1923" s="18">
        <f t="shared" si="1"/>
        <v>336</v>
      </c>
      <c r="O1923" s="17"/>
      <c r="P1923" s="17"/>
      <c r="Q1923" s="17"/>
      <c r="R1923" s="17"/>
      <c r="S1923" s="17"/>
      <c r="T1923" s="17"/>
      <c r="U1923" s="17"/>
      <c r="V1923" s="17"/>
      <c r="W1923" s="17"/>
      <c r="X1923" s="17"/>
      <c r="Y1923" s="17"/>
      <c r="Z1923" s="17"/>
    </row>
    <row r="1924">
      <c r="A1924" s="18" t="str">
        <f>IFERROR(__xludf.DUMMYFUNCTION("""COMPUTED_VALUE"""),"ord_81902")</f>
        <v>ord_81902</v>
      </c>
      <c r="B1924" s="18" t="str">
        <f>IFERROR(__xludf.DUMMYFUNCTION("""COMPUTED_VALUE"""),"Sana Malik")</f>
        <v>Sana Malik</v>
      </c>
      <c r="C1924" s="18" t="str">
        <f>IFERROR(__xludf.DUMMYFUNCTION("""COMPUTED_VALUE"""),"Juhu")</f>
        <v>Juhu</v>
      </c>
      <c r="D1924" s="18" t="str">
        <f>IFERROR(__xludf.DUMMYFUNCTION("""COMPUTED_VALUE"""),"Icecream")</f>
        <v>Icecream</v>
      </c>
      <c r="E1924" s="18">
        <f>IFERROR(__xludf.DUMMYFUNCTION("""COMPUTED_VALUE"""),9.0)</f>
        <v>9</v>
      </c>
      <c r="F1924" s="18" t="str">
        <f>IFERROR(__xludf.DUMMYFUNCTION("""COMPUTED_VALUE"""),"Ram Gopal")</f>
        <v>Ram Gopal</v>
      </c>
      <c r="G1924" s="19">
        <f>IFERROR(__xludf.DUMMYFUNCTION("""COMPUTED_VALUE"""),44977.0)</f>
        <v>44977</v>
      </c>
      <c r="H1924" s="18" t="str">
        <f>IFERROR(__xludf.DUMMYFUNCTION("""COMPUTED_VALUE"""),"Credit Card")</f>
        <v>Credit Card</v>
      </c>
      <c r="I1924" s="18" t="str">
        <f>IFERROR(__xludf.DUMMYFUNCTION("""COMPUTED_VALUE"""),"Delivered")</f>
        <v>Delivered</v>
      </c>
      <c r="J1924" s="18" t="str">
        <f>IFERROR(__xludf.DUMMYFUNCTION("""COMPUTED_VALUE"""),"Quality of Items")</f>
        <v>Quality of Items</v>
      </c>
      <c r="K1924" s="18" t="str">
        <f>IFERROR(__xludf.DUMMYFUNCTION("""COMPUTED_VALUE"""),"Perfect condition")</f>
        <v>Perfect condition</v>
      </c>
      <c r="L1924" s="18">
        <f>iferror(VLOOKUP($D1924,Details!$A$2:$C$11,2,false),vlookup($D1924,Details!$E$2:$G$11,2,false))</f>
        <v>90</v>
      </c>
      <c r="M1924" s="18" t="str">
        <f>iferror(VLOOKUP($D1924,Details!$A$2:$C$11,3,false),vlookup($D1924,Details!$E$2:$G$11,3,false))</f>
        <v>Snacks and Drinks</v>
      </c>
      <c r="N1924" s="18">
        <f t="shared" si="1"/>
        <v>810</v>
      </c>
      <c r="O1924" s="17"/>
      <c r="P1924" s="17"/>
      <c r="Q1924" s="17"/>
      <c r="R1924" s="17"/>
      <c r="S1924" s="17"/>
      <c r="T1924" s="17"/>
      <c r="U1924" s="17"/>
      <c r="V1924" s="17"/>
      <c r="W1924" s="17"/>
      <c r="X1924" s="17"/>
      <c r="Y1924" s="17"/>
      <c r="Z1924" s="17"/>
    </row>
    <row r="1925">
      <c r="A1925" s="18" t="str">
        <f>IFERROR(__xludf.DUMMYFUNCTION("""COMPUTED_VALUE"""),"ord_81903")</f>
        <v>ord_81903</v>
      </c>
      <c r="B1925" s="18" t="str">
        <f>IFERROR(__xludf.DUMMYFUNCTION("""COMPUTED_VALUE"""),"Harsh Vardhan")</f>
        <v>Harsh Vardhan</v>
      </c>
      <c r="C1925" s="18" t="str">
        <f>IFERROR(__xludf.DUMMYFUNCTION("""COMPUTED_VALUE"""),"Bandra")</f>
        <v>Bandra</v>
      </c>
      <c r="D1925" s="18" t="str">
        <f>IFERROR(__xludf.DUMMYFUNCTION("""COMPUTED_VALUE"""),"Tomato")</f>
        <v>Tomato</v>
      </c>
      <c r="E1925" s="18">
        <f>IFERROR(__xludf.DUMMYFUNCTION("""COMPUTED_VALUE"""),2.0)</f>
        <v>2</v>
      </c>
      <c r="F1925" s="18" t="str">
        <f>IFERROR(__xludf.DUMMYFUNCTION("""COMPUTED_VALUE"""),"Ramesh S")</f>
        <v>Ramesh S</v>
      </c>
      <c r="G1925" s="19">
        <f>IFERROR(__xludf.DUMMYFUNCTION("""COMPUTED_VALUE"""),45163.0)</f>
        <v>45163</v>
      </c>
      <c r="H1925" s="18" t="str">
        <f>IFERROR(__xludf.DUMMYFUNCTION("""COMPUTED_VALUE"""),"Online Payment")</f>
        <v>Online Payment</v>
      </c>
      <c r="I1925" s="18" t="str">
        <f>IFERROR(__xludf.DUMMYFUNCTION("""COMPUTED_VALUE"""),"Delivered")</f>
        <v>Delivered</v>
      </c>
      <c r="J1925" s="18" t="str">
        <f>IFERROR(__xludf.DUMMYFUNCTION("""COMPUTED_VALUE"""),"Packaging")</f>
        <v>Packaging</v>
      </c>
      <c r="K1925" s="18" t="str">
        <f>IFERROR(__xludf.DUMMYFUNCTION("""COMPUTED_VALUE"""),"Secure and intact")</f>
        <v>Secure and intact</v>
      </c>
      <c r="L1925" s="18">
        <f>iferror(VLOOKUP($D1925,Details!$A$2:$C$11,2,false),vlookup($D1925,Details!$E$2:$G$11,2,false))</f>
        <v>25</v>
      </c>
      <c r="M1925" s="18" t="str">
        <f>iferror(VLOOKUP($D1925,Details!$A$2:$C$11,3,false),vlookup($D1925,Details!$E$2:$G$11,3,false))</f>
        <v>Fruits and Vegetables</v>
      </c>
      <c r="N1925" s="18">
        <f t="shared" si="1"/>
        <v>50</v>
      </c>
      <c r="O1925" s="17"/>
      <c r="P1925" s="17"/>
      <c r="Q1925" s="17"/>
      <c r="R1925" s="17"/>
      <c r="S1925" s="17"/>
      <c r="T1925" s="17"/>
      <c r="U1925" s="17"/>
      <c r="V1925" s="17"/>
      <c r="W1925" s="17"/>
      <c r="X1925" s="17"/>
      <c r="Y1925" s="17"/>
      <c r="Z1925" s="17"/>
    </row>
    <row r="1926">
      <c r="A1926" s="18" t="str">
        <f>IFERROR(__xludf.DUMMYFUNCTION("""COMPUTED_VALUE"""),"ord_81904")</f>
        <v>ord_81904</v>
      </c>
      <c r="B1926" s="18" t="str">
        <f>IFERROR(__xludf.DUMMYFUNCTION("""COMPUTED_VALUE"""),"Sana Malik")</f>
        <v>Sana Malik</v>
      </c>
      <c r="C1926" s="18" t="str">
        <f>IFERROR(__xludf.DUMMYFUNCTION("""COMPUTED_VALUE"""),"Powai")</f>
        <v>Powai</v>
      </c>
      <c r="D1926" s="18" t="str">
        <f>IFERROR(__xludf.DUMMYFUNCTION("""COMPUTED_VALUE"""),"Potato")</f>
        <v>Potato</v>
      </c>
      <c r="E1926" s="18">
        <f>IFERROR(__xludf.DUMMYFUNCTION("""COMPUTED_VALUE"""),3.0)</f>
        <v>3</v>
      </c>
      <c r="F1926" s="18" t="str">
        <f>IFERROR(__xludf.DUMMYFUNCTION("""COMPUTED_VALUE"""),"Vivek Kumar")</f>
        <v>Vivek Kumar</v>
      </c>
      <c r="G1926" s="19">
        <f>IFERROR(__xludf.DUMMYFUNCTION("""COMPUTED_VALUE"""),45159.0)</f>
        <v>45159</v>
      </c>
      <c r="H1926" s="18" t="str">
        <f>IFERROR(__xludf.DUMMYFUNCTION("""COMPUTED_VALUE"""),"Online Payment")</f>
        <v>Online Payment</v>
      </c>
      <c r="I1926" s="18" t="str">
        <f>IFERROR(__xludf.DUMMYFUNCTION("""COMPUTED_VALUE"""),"Delivered")</f>
        <v>Delivered</v>
      </c>
      <c r="J1926" s="18" t="str">
        <f>IFERROR(__xludf.DUMMYFUNCTION("""COMPUTED_VALUE"""),"Satisfied with the Delivery")</f>
        <v>Satisfied with the Delivery</v>
      </c>
      <c r="K1926" s="18" t="str">
        <f>IFERROR(__xludf.DUMMYFUNCTION("""COMPUTED_VALUE"""),"Timely and quality")</f>
        <v>Timely and quality</v>
      </c>
      <c r="L1926" s="18">
        <f>iferror(VLOOKUP($D1926,Details!$A$2:$C$11,2,false),vlookup($D1926,Details!$E$2:$G$11,2,false))</f>
        <v>55</v>
      </c>
      <c r="M1926" s="18" t="str">
        <f>iferror(VLOOKUP($D1926,Details!$A$2:$C$11,3,false),vlookup($D1926,Details!$E$2:$G$11,3,false))</f>
        <v>Fruits and Vegetables</v>
      </c>
      <c r="N1926" s="18">
        <f t="shared" si="1"/>
        <v>165</v>
      </c>
      <c r="O1926" s="17"/>
      <c r="P1926" s="17"/>
      <c r="Q1926" s="17"/>
      <c r="R1926" s="17"/>
      <c r="S1926" s="17"/>
      <c r="T1926" s="17"/>
      <c r="U1926" s="17"/>
      <c r="V1926" s="17"/>
      <c r="W1926" s="17"/>
      <c r="X1926" s="17"/>
      <c r="Y1926" s="17"/>
      <c r="Z1926" s="17"/>
    </row>
    <row r="1927">
      <c r="A1927" s="18" t="str">
        <f>IFERROR(__xludf.DUMMYFUNCTION("""COMPUTED_VALUE"""),"ord_81905")</f>
        <v>ord_81905</v>
      </c>
      <c r="B1927" s="18" t="str">
        <f>IFERROR(__xludf.DUMMYFUNCTION("""COMPUTED_VALUE"""),"Yash Verma")</f>
        <v>Yash Verma</v>
      </c>
      <c r="C1927" s="18" t="str">
        <f>IFERROR(__xludf.DUMMYFUNCTION("""COMPUTED_VALUE"""),"Lower Parel")</f>
        <v>Lower Parel</v>
      </c>
      <c r="D1927" s="18" t="str">
        <f>IFERROR(__xludf.DUMMYFUNCTION("""COMPUTED_VALUE"""),"Chicken Puff")</f>
        <v>Chicken Puff</v>
      </c>
      <c r="E1927" s="18">
        <f>IFERROR(__xludf.DUMMYFUNCTION("""COMPUTED_VALUE"""),5.0)</f>
        <v>5</v>
      </c>
      <c r="F1927" s="18" t="str">
        <f>IFERROR(__xludf.DUMMYFUNCTION("""COMPUTED_VALUE"""),"Venu R")</f>
        <v>Venu R</v>
      </c>
      <c r="G1927" s="19">
        <f>IFERROR(__xludf.DUMMYFUNCTION("""COMPUTED_VALUE"""),45243.0)</f>
        <v>45243</v>
      </c>
      <c r="H1927" s="18" t="str">
        <f>IFERROR(__xludf.DUMMYFUNCTION("""COMPUTED_VALUE"""),"UPI")</f>
        <v>UPI</v>
      </c>
      <c r="I1927" s="18" t="str">
        <f>IFERROR(__xludf.DUMMYFUNCTION("""COMPUTED_VALUE"""),"Delivered")</f>
        <v>Delivered</v>
      </c>
      <c r="J1927" s="18" t="str">
        <f>IFERROR(__xludf.DUMMYFUNCTION("""COMPUTED_VALUE"""),"Customer Service")</f>
        <v>Customer Service</v>
      </c>
      <c r="K1927" s="18" t="str">
        <f>IFERROR(__xludf.DUMMYFUNCTION("""COMPUTED_VALUE"""),"Seamless and easy")</f>
        <v>Seamless and easy</v>
      </c>
      <c r="L1927" s="18">
        <f>iferror(VLOOKUP($D1927,Details!$A$2:$C$11,2,false),vlookup($D1927,Details!$E$2:$G$11,2,false))</f>
        <v>90</v>
      </c>
      <c r="M1927" s="18" t="str">
        <f>iferror(VLOOKUP($D1927,Details!$A$2:$C$11,3,false),vlookup($D1927,Details!$E$2:$G$11,3,false))</f>
        <v>Snacks and Drinks</v>
      </c>
      <c r="N1927" s="18">
        <f t="shared" si="1"/>
        <v>450</v>
      </c>
      <c r="O1927" s="17"/>
      <c r="P1927" s="17"/>
      <c r="Q1927" s="17"/>
      <c r="R1927" s="17"/>
      <c r="S1927" s="17"/>
      <c r="T1927" s="17"/>
      <c r="U1927" s="17"/>
      <c r="V1927" s="17"/>
      <c r="W1927" s="17"/>
      <c r="X1927" s="17"/>
      <c r="Y1927" s="17"/>
      <c r="Z1927" s="17"/>
    </row>
    <row r="1928">
      <c r="A1928" s="18" t="str">
        <f>IFERROR(__xludf.DUMMYFUNCTION("""COMPUTED_VALUE"""),"ord_81906")</f>
        <v>ord_81906</v>
      </c>
      <c r="B1928" s="18" t="str">
        <f>IFERROR(__xludf.DUMMYFUNCTION("""COMPUTED_VALUE"""),"Leena Das")</f>
        <v>Leena Das</v>
      </c>
      <c r="C1928" s="18" t="str">
        <f>IFERROR(__xludf.DUMMYFUNCTION("""COMPUTED_VALUE"""),"Andheri")</f>
        <v>Andheri</v>
      </c>
      <c r="D1928" s="18" t="str">
        <f>IFERROR(__xludf.DUMMYFUNCTION("""COMPUTED_VALUE"""),"Tiramisu")</f>
        <v>Tiramisu</v>
      </c>
      <c r="E1928" s="18">
        <f>IFERROR(__xludf.DUMMYFUNCTION("""COMPUTED_VALUE"""),3.0)</f>
        <v>3</v>
      </c>
      <c r="F1928" s="18" t="str">
        <f>IFERROR(__xludf.DUMMYFUNCTION("""COMPUTED_VALUE"""),"Ram Gopal")</f>
        <v>Ram Gopal</v>
      </c>
      <c r="G1928" s="19">
        <f>IFERROR(__xludf.DUMMYFUNCTION("""COMPUTED_VALUE"""),44991.0)</f>
        <v>44991</v>
      </c>
      <c r="H1928" s="18" t="str">
        <f>IFERROR(__xludf.DUMMYFUNCTION("""COMPUTED_VALUE"""),"Online Payment")</f>
        <v>Online Payment</v>
      </c>
      <c r="I1928" s="18" t="str">
        <f>IFERROR(__xludf.DUMMYFUNCTION("""COMPUTED_VALUE"""),"Delivered")</f>
        <v>Delivered</v>
      </c>
      <c r="J1928" s="18" t="str">
        <f>IFERROR(__xludf.DUMMYFUNCTION("""COMPUTED_VALUE"""),"Delivery Experience")</f>
        <v>Delivery Experience</v>
      </c>
      <c r="K1928" s="18" t="str">
        <f>IFERROR(__xludf.DUMMYFUNCTION("""COMPUTED_VALUE"""),"Quick and professional")</f>
        <v>Quick and professional</v>
      </c>
      <c r="L1928" s="18">
        <f>iferror(VLOOKUP($D1928,Details!$A$2:$C$11,2,false),vlookup($D1928,Details!$E$2:$G$11,2,false))</f>
        <v>150</v>
      </c>
      <c r="M1928" s="18" t="str">
        <f>iferror(VLOOKUP($D1928,Details!$A$2:$C$11,3,false),vlookup($D1928,Details!$E$2:$G$11,3,false))</f>
        <v>Snacks and Drinks</v>
      </c>
      <c r="N1928" s="18">
        <f t="shared" si="1"/>
        <v>450</v>
      </c>
      <c r="O1928" s="17"/>
      <c r="P1928" s="17"/>
      <c r="Q1928" s="17"/>
      <c r="R1928" s="17"/>
      <c r="S1928" s="17"/>
      <c r="T1928" s="17"/>
      <c r="U1928" s="17"/>
      <c r="V1928" s="17"/>
      <c r="W1928" s="17"/>
      <c r="X1928" s="17"/>
      <c r="Y1928" s="17"/>
      <c r="Z1928" s="17"/>
    </row>
    <row r="1929">
      <c r="A1929" s="18" t="str">
        <f>IFERROR(__xludf.DUMMYFUNCTION("""COMPUTED_VALUE"""),"ord_81907")</f>
        <v>ord_81907</v>
      </c>
      <c r="B1929" s="18" t="str">
        <f>IFERROR(__xludf.DUMMYFUNCTION("""COMPUTED_VALUE"""),"Yash Verma")</f>
        <v>Yash Verma</v>
      </c>
      <c r="C1929" s="18" t="str">
        <f>IFERROR(__xludf.DUMMYFUNCTION("""COMPUTED_VALUE"""),"Colaba")</f>
        <v>Colaba</v>
      </c>
      <c r="D1929" s="18" t="str">
        <f>IFERROR(__xludf.DUMMYFUNCTION("""COMPUTED_VALUE"""),"Veg Puff")</f>
        <v>Veg Puff</v>
      </c>
      <c r="E1929" s="18">
        <f>IFERROR(__xludf.DUMMYFUNCTION("""COMPUTED_VALUE"""),5.0)</f>
        <v>5</v>
      </c>
      <c r="F1929" s="18" t="str">
        <f>IFERROR(__xludf.DUMMYFUNCTION("""COMPUTED_VALUE"""),"Sita T")</f>
        <v>Sita T</v>
      </c>
      <c r="G1929" s="19">
        <f>IFERROR(__xludf.DUMMYFUNCTION("""COMPUTED_VALUE"""),45279.0)</f>
        <v>45279</v>
      </c>
      <c r="H1929" s="18" t="str">
        <f>IFERROR(__xludf.DUMMYFUNCTION("""COMPUTED_VALUE"""),"Credit Card")</f>
        <v>Credit Card</v>
      </c>
      <c r="I1929" s="18" t="str">
        <f>IFERROR(__xludf.DUMMYFUNCTION("""COMPUTED_VALUE"""),"Delivered")</f>
        <v>Delivered</v>
      </c>
      <c r="J1929" s="18" t="str">
        <f>IFERROR(__xludf.DUMMYFUNCTION("""COMPUTED_VALUE"""),"Convenience")</f>
        <v>Convenience</v>
      </c>
      <c r="K1929" s="18" t="str">
        <f>IFERROR(__xludf.DUMMYFUNCTION("""COMPUTED_VALUE"""),"Easy tracking")</f>
        <v>Easy tracking</v>
      </c>
      <c r="L1929" s="18">
        <f>iferror(VLOOKUP($D1929,Details!$A$2:$C$11,2,false),vlookup($D1929,Details!$E$2:$G$11,2,false))</f>
        <v>80</v>
      </c>
      <c r="M1929" s="18" t="str">
        <f>iferror(VLOOKUP($D1929,Details!$A$2:$C$11,3,false),vlookup($D1929,Details!$E$2:$G$11,3,false))</f>
        <v>Snacks and Drinks</v>
      </c>
      <c r="N1929" s="18">
        <f t="shared" si="1"/>
        <v>400</v>
      </c>
      <c r="O1929" s="17"/>
      <c r="P1929" s="17"/>
      <c r="Q1929" s="17"/>
      <c r="R1929" s="17"/>
      <c r="S1929" s="17"/>
      <c r="T1929" s="17"/>
      <c r="U1929" s="17"/>
      <c r="V1929" s="17"/>
      <c r="W1929" s="17"/>
      <c r="X1929" s="17"/>
      <c r="Y1929" s="17"/>
      <c r="Z1929" s="17"/>
    </row>
    <row r="1930">
      <c r="A1930" s="18" t="str">
        <f>IFERROR(__xludf.DUMMYFUNCTION("""COMPUTED_VALUE"""),"ord_81908")</f>
        <v>ord_81908</v>
      </c>
      <c r="B1930" s="18" t="str">
        <f>IFERROR(__xludf.DUMMYFUNCTION("""COMPUTED_VALUE"""),"Aditi Iyer")</f>
        <v>Aditi Iyer</v>
      </c>
      <c r="C1930" s="18" t="str">
        <f>IFERROR(__xludf.DUMMYFUNCTION("""COMPUTED_VALUE"""),"Bandra")</f>
        <v>Bandra</v>
      </c>
      <c r="D1930" s="18" t="str">
        <f>IFERROR(__xludf.DUMMYFUNCTION("""COMPUTED_VALUE"""),"Popcorn")</f>
        <v>Popcorn</v>
      </c>
      <c r="E1930" s="18">
        <f>IFERROR(__xludf.DUMMYFUNCTION("""COMPUTED_VALUE"""),1.0)</f>
        <v>1</v>
      </c>
      <c r="F1930" s="18" t="str">
        <f>IFERROR(__xludf.DUMMYFUNCTION("""COMPUTED_VALUE"""),"Nithin Lal")</f>
        <v>Nithin Lal</v>
      </c>
      <c r="G1930" s="19">
        <f>IFERROR(__xludf.DUMMYFUNCTION("""COMPUTED_VALUE"""),45050.0)</f>
        <v>45050</v>
      </c>
      <c r="H1930" s="18" t="str">
        <f>IFERROR(__xludf.DUMMYFUNCTION("""COMPUTED_VALUE"""),"UPI")</f>
        <v>UPI</v>
      </c>
      <c r="I1930" s="18" t="str">
        <f>IFERROR(__xludf.DUMMYFUNCTION("""COMPUTED_VALUE"""),"Delivered")</f>
        <v>Delivered</v>
      </c>
      <c r="J1930" s="18" t="str">
        <f>IFERROR(__xludf.DUMMYFUNCTION("""COMPUTED_VALUE"""),"Overall Satisfaction")</f>
        <v>Overall Satisfaction</v>
      </c>
      <c r="K1930" s="18" t="str">
        <f>IFERROR(__xludf.DUMMYFUNCTION("""COMPUTED_VALUE"""),"Great service will order again")</f>
        <v>Great service will order again</v>
      </c>
      <c r="L1930" s="18">
        <f>iferror(VLOOKUP($D1930,Details!$A$2:$C$11,2,false),vlookup($D1930,Details!$E$2:$G$11,2,false))</f>
        <v>150</v>
      </c>
      <c r="M1930" s="18" t="str">
        <f>iferror(VLOOKUP($D1930,Details!$A$2:$C$11,3,false),vlookup($D1930,Details!$E$2:$G$11,3,false))</f>
        <v>Snacks and Drinks</v>
      </c>
      <c r="N1930" s="18">
        <f t="shared" si="1"/>
        <v>150</v>
      </c>
      <c r="O1930" s="17"/>
      <c r="P1930" s="17"/>
      <c r="Q1930" s="17"/>
      <c r="R1930" s="17"/>
      <c r="S1930" s="17"/>
      <c r="T1930" s="17"/>
      <c r="U1930" s="17"/>
      <c r="V1930" s="17"/>
      <c r="W1930" s="17"/>
      <c r="X1930" s="17"/>
      <c r="Y1930" s="17"/>
      <c r="Z1930" s="17"/>
    </row>
    <row r="1931">
      <c r="A1931" s="18" t="str">
        <f>IFERROR(__xludf.DUMMYFUNCTION("""COMPUTED_VALUE"""),"ord_81909")</f>
        <v>ord_81909</v>
      </c>
      <c r="B1931" s="18" t="str">
        <f>IFERROR(__xludf.DUMMYFUNCTION("""COMPUTED_VALUE"""),"Shruti Aggarwal")</f>
        <v>Shruti Aggarwal</v>
      </c>
      <c r="C1931" s="18" t="str">
        <f>IFERROR(__xludf.DUMMYFUNCTION("""COMPUTED_VALUE"""),"Colaba")</f>
        <v>Colaba</v>
      </c>
      <c r="D1931" s="18" t="str">
        <f>IFERROR(__xludf.DUMMYFUNCTION("""COMPUTED_VALUE"""),"Chilli Cheese Toast")</f>
        <v>Chilli Cheese Toast</v>
      </c>
      <c r="E1931" s="18">
        <f>IFERROR(__xludf.DUMMYFUNCTION("""COMPUTED_VALUE"""),6.0)</f>
        <v>6</v>
      </c>
      <c r="F1931" s="18" t="str">
        <f>IFERROR(__xludf.DUMMYFUNCTION("""COMPUTED_VALUE"""),"Vivek Kumar")</f>
        <v>Vivek Kumar</v>
      </c>
      <c r="G1931" s="19">
        <f>IFERROR(__xludf.DUMMYFUNCTION("""COMPUTED_VALUE"""),45179.0)</f>
        <v>45179</v>
      </c>
      <c r="H1931" s="18" t="str">
        <f>IFERROR(__xludf.DUMMYFUNCTION("""COMPUTED_VALUE"""),"UPI")</f>
        <v>UPI</v>
      </c>
      <c r="I1931" s="18" t="str">
        <f>IFERROR(__xludf.DUMMYFUNCTION("""COMPUTED_VALUE"""),"Delivered")</f>
        <v>Delivered</v>
      </c>
      <c r="J1931" s="18" t="str">
        <f>IFERROR(__xludf.DUMMYFUNCTION("""COMPUTED_VALUE"""),"On-time Delivery")</f>
        <v>On-time Delivery</v>
      </c>
      <c r="K1931" s="18" t="str">
        <f>IFERROR(__xludf.DUMMYFUNCTION("""COMPUTED_VALUE"""),"Delivered on time")</f>
        <v>Delivered on time</v>
      </c>
      <c r="L1931" s="18">
        <f>iferror(VLOOKUP($D1931,Details!$A$2:$C$11,2,false),vlookup($D1931,Details!$E$2:$G$11,2,false))</f>
        <v>80</v>
      </c>
      <c r="M1931" s="18" t="str">
        <f>iferror(VLOOKUP($D1931,Details!$A$2:$C$11,3,false),vlookup($D1931,Details!$E$2:$G$11,3,false))</f>
        <v>Snacks and Drinks</v>
      </c>
      <c r="N1931" s="18">
        <f t="shared" si="1"/>
        <v>480</v>
      </c>
      <c r="O1931" s="17"/>
      <c r="P1931" s="17"/>
      <c r="Q1931" s="17"/>
      <c r="R1931" s="17"/>
      <c r="S1931" s="17"/>
      <c r="T1931" s="17"/>
      <c r="U1931" s="17"/>
      <c r="V1931" s="17"/>
      <c r="W1931" s="17"/>
      <c r="X1931" s="17"/>
      <c r="Y1931" s="17"/>
      <c r="Z1931" s="17"/>
    </row>
    <row r="1932">
      <c r="A1932" s="18" t="str">
        <f>IFERROR(__xludf.DUMMYFUNCTION("""COMPUTED_VALUE"""),"ord_81910")</f>
        <v>ord_81910</v>
      </c>
      <c r="B1932" s="18" t="str">
        <f>IFERROR(__xludf.DUMMYFUNCTION("""COMPUTED_VALUE"""),"Sana Malik")</f>
        <v>Sana Malik</v>
      </c>
      <c r="C1932" s="18" t="str">
        <f>IFERROR(__xludf.DUMMYFUNCTION("""COMPUTED_VALUE"""),"Powai")</f>
        <v>Powai</v>
      </c>
      <c r="D1932" s="18" t="str">
        <f>IFERROR(__xludf.DUMMYFUNCTION("""COMPUTED_VALUE"""),"Tomato")</f>
        <v>Tomato</v>
      </c>
      <c r="E1932" s="18">
        <f>IFERROR(__xludf.DUMMYFUNCTION("""COMPUTED_VALUE"""),3.0)</f>
        <v>3</v>
      </c>
      <c r="F1932" s="18" t="str">
        <f>IFERROR(__xludf.DUMMYFUNCTION("""COMPUTED_VALUE"""),"Nithin Lal")</f>
        <v>Nithin Lal</v>
      </c>
      <c r="G1932" s="19">
        <f>IFERROR(__xludf.DUMMYFUNCTION("""COMPUTED_VALUE"""),45103.0)</f>
        <v>45103</v>
      </c>
      <c r="H1932" s="18" t="str">
        <f>IFERROR(__xludf.DUMMYFUNCTION("""COMPUTED_VALUE"""),"Online Payment")</f>
        <v>Online Payment</v>
      </c>
      <c r="I1932" s="18" t="str">
        <f>IFERROR(__xludf.DUMMYFUNCTION("""COMPUTED_VALUE"""),"Delivered")</f>
        <v>Delivered</v>
      </c>
      <c r="J1932" s="18" t="str">
        <f>IFERROR(__xludf.DUMMYFUNCTION("""COMPUTED_VALUE"""),"Quality of Items")</f>
        <v>Quality of Items</v>
      </c>
      <c r="K1932" s="18" t="str">
        <f>IFERROR(__xludf.DUMMYFUNCTION("""COMPUTED_VALUE"""),"Perfect condition")</f>
        <v>Perfect condition</v>
      </c>
      <c r="L1932" s="18">
        <f>iferror(VLOOKUP($D1932,Details!$A$2:$C$11,2,false),vlookup($D1932,Details!$E$2:$G$11,2,false))</f>
        <v>25</v>
      </c>
      <c r="M1932" s="18" t="str">
        <f>iferror(VLOOKUP($D1932,Details!$A$2:$C$11,3,false),vlookup($D1932,Details!$E$2:$G$11,3,false))</f>
        <v>Fruits and Vegetables</v>
      </c>
      <c r="N1932" s="18">
        <f t="shared" si="1"/>
        <v>75</v>
      </c>
      <c r="O1932" s="17"/>
      <c r="P1932" s="17"/>
      <c r="Q1932" s="17"/>
      <c r="R1932" s="17"/>
      <c r="S1932" s="17"/>
      <c r="T1932" s="17"/>
      <c r="U1932" s="17"/>
      <c r="V1932" s="17"/>
      <c r="W1932" s="17"/>
      <c r="X1932" s="17"/>
      <c r="Y1932" s="17"/>
      <c r="Z1932" s="17"/>
    </row>
    <row r="1933">
      <c r="A1933" s="18" t="str">
        <f>IFERROR(__xludf.DUMMYFUNCTION("""COMPUTED_VALUE"""),"ord_81911")</f>
        <v>ord_81911</v>
      </c>
      <c r="B1933" s="18" t="str">
        <f>IFERROR(__xludf.DUMMYFUNCTION("""COMPUTED_VALUE"""),"Yash Verma")</f>
        <v>Yash Verma</v>
      </c>
      <c r="C1933" s="18" t="str">
        <f>IFERROR(__xludf.DUMMYFUNCTION("""COMPUTED_VALUE"""),"Lower Parel")</f>
        <v>Lower Parel</v>
      </c>
      <c r="D1933" s="18" t="str">
        <f>IFERROR(__xludf.DUMMYFUNCTION("""COMPUTED_VALUE"""),"Icecream")</f>
        <v>Icecream</v>
      </c>
      <c r="E1933" s="18">
        <f>IFERROR(__xludf.DUMMYFUNCTION("""COMPUTED_VALUE"""),6.0)</f>
        <v>6</v>
      </c>
      <c r="F1933" s="18" t="str">
        <f>IFERROR(__xludf.DUMMYFUNCTION("""COMPUTED_VALUE"""),"Venu R")</f>
        <v>Venu R</v>
      </c>
      <c r="G1933" s="19">
        <f>IFERROR(__xludf.DUMMYFUNCTION("""COMPUTED_VALUE"""),45259.0)</f>
        <v>45259</v>
      </c>
      <c r="H1933" s="18" t="str">
        <f>IFERROR(__xludf.DUMMYFUNCTION("""COMPUTED_VALUE"""),"UPI")</f>
        <v>UPI</v>
      </c>
      <c r="I1933" s="18" t="str">
        <f>IFERROR(__xludf.DUMMYFUNCTION("""COMPUTED_VALUE"""),"Delivered")</f>
        <v>Delivered</v>
      </c>
      <c r="J1933" s="18" t="str">
        <f>IFERROR(__xludf.DUMMYFUNCTION("""COMPUTED_VALUE"""),"On-time Delivery")</f>
        <v>On-time Delivery</v>
      </c>
      <c r="K1933" s="18" t="str">
        <f>IFERROR(__xludf.DUMMYFUNCTION("""COMPUTED_VALUE"""),"Delivered on time")</f>
        <v>Delivered on time</v>
      </c>
      <c r="L1933" s="18">
        <f>iferror(VLOOKUP($D1933,Details!$A$2:$C$11,2,false),vlookup($D1933,Details!$E$2:$G$11,2,false))</f>
        <v>90</v>
      </c>
      <c r="M1933" s="18" t="str">
        <f>iferror(VLOOKUP($D1933,Details!$A$2:$C$11,3,false),vlookup($D1933,Details!$E$2:$G$11,3,false))</f>
        <v>Snacks and Drinks</v>
      </c>
      <c r="N1933" s="18">
        <f t="shared" si="1"/>
        <v>540</v>
      </c>
      <c r="O1933" s="17"/>
      <c r="P1933" s="17"/>
      <c r="Q1933" s="17"/>
      <c r="R1933" s="17"/>
      <c r="S1933" s="17"/>
      <c r="T1933" s="17"/>
      <c r="U1933" s="17"/>
      <c r="V1933" s="17"/>
      <c r="W1933" s="17"/>
      <c r="X1933" s="17"/>
      <c r="Y1933" s="17"/>
      <c r="Z1933" s="17"/>
    </row>
    <row r="1934">
      <c r="A1934" s="18" t="str">
        <f>IFERROR(__xludf.DUMMYFUNCTION("""COMPUTED_VALUE"""),"ord_10135")</f>
        <v>ord_10135</v>
      </c>
      <c r="B1934" s="18" t="str">
        <f>IFERROR(__xludf.DUMMYFUNCTION("""COMPUTED_VALUE"""),"Mohit Malhotra")</f>
        <v>Mohit Malhotra</v>
      </c>
      <c r="C1934" s="18" t="str">
        <f>IFERROR(__xludf.DUMMYFUNCTION("""COMPUTED_VALUE"""),"Lower Parel")</f>
        <v>Lower Parel</v>
      </c>
      <c r="D1934" s="18" t="str">
        <f>IFERROR(__xludf.DUMMYFUNCTION("""COMPUTED_VALUE"""),"Banana")</f>
        <v>Banana</v>
      </c>
      <c r="E1934" s="18">
        <f>IFERROR(__xludf.DUMMYFUNCTION("""COMPUTED_VALUE"""),2.0)</f>
        <v>2</v>
      </c>
      <c r="F1934" s="18" t="str">
        <f>IFERROR(__xludf.DUMMYFUNCTION("""COMPUTED_VALUE"""),"Ram Gopal")</f>
        <v>Ram Gopal</v>
      </c>
      <c r="G1934" s="19">
        <f>IFERROR(__xludf.DUMMYFUNCTION("""COMPUTED_VALUE"""),45123.0)</f>
        <v>45123</v>
      </c>
      <c r="H1934" s="18" t="str">
        <f>IFERROR(__xludf.DUMMYFUNCTION("""COMPUTED_VALUE"""),"UPI")</f>
        <v>UPI</v>
      </c>
      <c r="I1934" s="18" t="str">
        <f>IFERROR(__xludf.DUMMYFUNCTION("""COMPUTED_VALUE"""),"Delivered")</f>
        <v>Delivered</v>
      </c>
      <c r="J1934" s="18" t="str">
        <f>IFERROR(__xludf.DUMMYFUNCTION("""COMPUTED_VALUE"""),"Convenience")</f>
        <v>Convenience</v>
      </c>
      <c r="K1934" s="18" t="str">
        <f>IFERROR(__xludf.DUMMYFUNCTION("""COMPUTED_VALUE"""),"Easy tracking")</f>
        <v>Easy tracking</v>
      </c>
      <c r="L1934" s="18">
        <f>iferror(VLOOKUP($D1934,Details!$A$2:$C$11,2,false),vlookup($D1934,Details!$E$2:$G$11,2,false))</f>
        <v>80</v>
      </c>
      <c r="M1934" s="18" t="str">
        <f>iferror(VLOOKUP($D1934,Details!$A$2:$C$11,3,false),vlookup($D1934,Details!$E$2:$G$11,3,false))</f>
        <v>Fruits and Vegetables</v>
      </c>
      <c r="N1934" s="18">
        <f t="shared" si="1"/>
        <v>160</v>
      </c>
      <c r="O1934" s="17"/>
      <c r="P1934" s="17"/>
      <c r="Q1934" s="17"/>
      <c r="R1934" s="17"/>
      <c r="S1934" s="17"/>
      <c r="T1934" s="17"/>
      <c r="U1934" s="17"/>
      <c r="V1934" s="17"/>
      <c r="W1934" s="17"/>
      <c r="X1934" s="17"/>
      <c r="Y1934" s="17"/>
      <c r="Z1934" s="17"/>
    </row>
    <row r="1935">
      <c r="A1935" s="18" t="str">
        <f>IFERROR(__xludf.DUMMYFUNCTION("""COMPUTED_VALUE"""),"ord_10144")</f>
        <v>ord_10144</v>
      </c>
      <c r="B1935" s="18" t="str">
        <f>IFERROR(__xludf.DUMMYFUNCTION("""COMPUTED_VALUE"""),"Anaya Rao")</f>
        <v>Anaya Rao</v>
      </c>
      <c r="C1935" s="18" t="str">
        <f>IFERROR(__xludf.DUMMYFUNCTION("""COMPUTED_VALUE"""),"Colaba")</f>
        <v>Colaba</v>
      </c>
      <c r="D1935" s="18" t="str">
        <f>IFERROR(__xludf.DUMMYFUNCTION("""COMPUTED_VALUE"""),"Orange")</f>
        <v>Orange</v>
      </c>
      <c r="E1935" s="18">
        <f>IFERROR(__xludf.DUMMYFUNCTION("""COMPUTED_VALUE"""),2.0)</f>
        <v>2</v>
      </c>
      <c r="F1935" s="18" t="str">
        <f>IFERROR(__xludf.DUMMYFUNCTION("""COMPUTED_VALUE"""),"Ram Gopal")</f>
        <v>Ram Gopal</v>
      </c>
      <c r="G1935" s="19">
        <f>IFERROR(__xludf.DUMMYFUNCTION("""COMPUTED_VALUE"""),45147.0)</f>
        <v>45147</v>
      </c>
      <c r="H1935" s="18" t="str">
        <f>IFERROR(__xludf.DUMMYFUNCTION("""COMPUTED_VALUE"""),"Credit Card")</f>
        <v>Credit Card</v>
      </c>
      <c r="I1935" s="18" t="str">
        <f>IFERROR(__xludf.DUMMYFUNCTION("""COMPUTED_VALUE"""),"Delivered")</f>
        <v>Delivered</v>
      </c>
      <c r="J1935" s="18" t="str">
        <f>IFERROR(__xludf.DUMMYFUNCTION("""COMPUTED_VALUE"""),"Delivery Experience")</f>
        <v>Delivery Experience</v>
      </c>
      <c r="K1935" s="18" t="str">
        <f>IFERROR(__xludf.DUMMYFUNCTION("""COMPUTED_VALUE"""),"Quick and professional")</f>
        <v>Quick and professional</v>
      </c>
      <c r="L1935" s="18">
        <f>iferror(VLOOKUP($D1935,Details!$A$2:$C$11,2,false),vlookup($D1935,Details!$E$2:$G$11,2,false))</f>
        <v>180</v>
      </c>
      <c r="M1935" s="18" t="str">
        <f>iferror(VLOOKUP($D1935,Details!$A$2:$C$11,3,false),vlookup($D1935,Details!$E$2:$G$11,3,false))</f>
        <v>Fruits and Vegetables</v>
      </c>
      <c r="N1935" s="18">
        <f t="shared" si="1"/>
        <v>360</v>
      </c>
      <c r="O1935" s="17"/>
      <c r="P1935" s="17"/>
      <c r="Q1935" s="17"/>
      <c r="R1935" s="17"/>
      <c r="S1935" s="17"/>
      <c r="T1935" s="17"/>
      <c r="U1935" s="17"/>
      <c r="V1935" s="17"/>
      <c r="W1935" s="17"/>
      <c r="X1935" s="17"/>
      <c r="Y1935" s="17"/>
      <c r="Z1935" s="17"/>
    </row>
    <row r="1936">
      <c r="A1936" s="18" t="str">
        <f>IFERROR(__xludf.DUMMYFUNCTION("""COMPUTED_VALUE"""),"ord_81912")</f>
        <v>ord_81912</v>
      </c>
      <c r="B1936" s="18" t="str">
        <f>IFERROR(__xludf.DUMMYFUNCTION("""COMPUTED_VALUE"""),"Aarohi Kapoor")</f>
        <v>Aarohi Kapoor</v>
      </c>
      <c r="C1936" s="18" t="str">
        <f>IFERROR(__xludf.DUMMYFUNCTION("""COMPUTED_VALUE"""),"Bandra")</f>
        <v>Bandra</v>
      </c>
      <c r="D1936" s="18" t="str">
        <f>IFERROR(__xludf.DUMMYFUNCTION("""COMPUTED_VALUE"""),"Potato")</f>
        <v>Potato</v>
      </c>
      <c r="E1936" s="18">
        <f>IFERROR(__xludf.DUMMYFUNCTION("""COMPUTED_VALUE"""),1.0)</f>
        <v>1</v>
      </c>
      <c r="F1936" s="18" t="str">
        <f>IFERROR(__xludf.DUMMYFUNCTION("""COMPUTED_VALUE"""),"Not Assigned")</f>
        <v>Not Assigned</v>
      </c>
      <c r="G1936" s="19">
        <f>IFERROR(__xludf.DUMMYFUNCTION("""COMPUTED_VALUE"""),45212.0)</f>
        <v>45212</v>
      </c>
      <c r="H1936" s="18" t="str">
        <f>IFERROR(__xludf.DUMMYFUNCTION("""COMPUTED_VALUE"""),"UPI")</f>
        <v>UPI</v>
      </c>
      <c r="I1936" s="18" t="str">
        <f>IFERROR(__xludf.DUMMYFUNCTION("""COMPUTED_VALUE"""),"Cancelled")</f>
        <v>Cancelled</v>
      </c>
      <c r="J1936" s="18" t="str">
        <f>IFERROR(__xludf.DUMMYFUNCTION("""COMPUTED_VALUE"""),"App Glitches")</f>
        <v>App Glitches</v>
      </c>
      <c r="K1936" s="18" t="str">
        <f>IFERROR(__xludf.DUMMYFUNCTION("""COMPUTED_VALUE"""),"Payment Button Malfunction")</f>
        <v>Payment Button Malfunction</v>
      </c>
      <c r="L1936" s="18">
        <f>iferror(VLOOKUP($D1936,Details!$A$2:$C$11,2,false),vlookup($D1936,Details!$E$2:$G$11,2,false))</f>
        <v>55</v>
      </c>
      <c r="M1936" s="18" t="str">
        <f>iferror(VLOOKUP($D1936,Details!$A$2:$C$11,3,false),vlookup($D1936,Details!$E$2:$G$11,3,false))</f>
        <v>Fruits and Vegetables</v>
      </c>
      <c r="N1936" s="18">
        <f t="shared" si="1"/>
        <v>55</v>
      </c>
      <c r="O1936" s="17"/>
      <c r="P1936" s="17"/>
      <c r="Q1936" s="17"/>
      <c r="R1936" s="17"/>
      <c r="S1936" s="17"/>
      <c r="T1936" s="17"/>
      <c r="U1936" s="17"/>
      <c r="V1936" s="17"/>
      <c r="W1936" s="17"/>
      <c r="X1936" s="17"/>
      <c r="Y1936" s="17"/>
      <c r="Z1936" s="17"/>
    </row>
    <row r="1937">
      <c r="A1937" s="18" t="str">
        <f>IFERROR(__xludf.DUMMYFUNCTION("""COMPUTED_VALUE"""),"ord_81913")</f>
        <v>ord_81913</v>
      </c>
      <c r="B1937" s="18" t="str">
        <f>IFERROR(__xludf.DUMMYFUNCTION("""COMPUTED_VALUE"""),"Arvind Kulkarni")</f>
        <v>Arvind Kulkarni</v>
      </c>
      <c r="C1937" s="18" t="str">
        <f>IFERROR(__xludf.DUMMYFUNCTION("""COMPUTED_VALUE"""),"Juhu")</f>
        <v>Juhu</v>
      </c>
      <c r="D1937" s="18" t="str">
        <f>IFERROR(__xludf.DUMMYFUNCTION("""COMPUTED_VALUE"""),"Sweet Corn")</f>
        <v>Sweet Corn</v>
      </c>
      <c r="E1937" s="18">
        <f>IFERROR(__xludf.DUMMYFUNCTION("""COMPUTED_VALUE"""),2.0)</f>
        <v>2</v>
      </c>
      <c r="F1937" s="18" t="str">
        <f>IFERROR(__xludf.DUMMYFUNCTION("""COMPUTED_VALUE"""),"Not Assigned")</f>
        <v>Not Assigned</v>
      </c>
      <c r="G1937" s="19">
        <f>IFERROR(__xludf.DUMMYFUNCTION("""COMPUTED_VALUE"""),45061.0)</f>
        <v>45061</v>
      </c>
      <c r="H1937" s="18" t="str">
        <f>IFERROR(__xludf.DUMMYFUNCTION("""COMPUTED_VALUE"""),"Credit Card")</f>
        <v>Credit Card</v>
      </c>
      <c r="I1937" s="18" t="str">
        <f>IFERROR(__xludf.DUMMYFUNCTION("""COMPUTED_VALUE"""),"Cancelled")</f>
        <v>Cancelled</v>
      </c>
      <c r="J1937" s="18" t="str">
        <f>IFERROR(__xludf.DUMMYFUNCTION("""COMPUTED_VALUE"""),"App Glitches")</f>
        <v>App Glitches</v>
      </c>
      <c r="K1937" s="18" t="str">
        <f>IFERROR(__xludf.DUMMYFUNCTION("""COMPUTED_VALUE"""),"Slow Loading Time")</f>
        <v>Slow Loading Time</v>
      </c>
      <c r="L1937" s="18">
        <f>iferror(VLOOKUP($D1937,Details!$A$2:$C$11,2,false),vlookup($D1937,Details!$E$2:$G$11,2,false))</f>
        <v>60</v>
      </c>
      <c r="M1937" s="18" t="str">
        <f>iferror(VLOOKUP($D1937,Details!$A$2:$C$11,3,false),vlookup($D1937,Details!$E$2:$G$11,3,false))</f>
        <v>Fruits and Vegetables</v>
      </c>
      <c r="N1937" s="18">
        <f t="shared" si="1"/>
        <v>120</v>
      </c>
      <c r="O1937" s="17"/>
      <c r="P1937" s="17"/>
      <c r="Q1937" s="17"/>
      <c r="R1937" s="17"/>
      <c r="S1937" s="17"/>
      <c r="T1937" s="17"/>
      <c r="U1937" s="17"/>
      <c r="V1937" s="17"/>
      <c r="W1937" s="17"/>
      <c r="X1937" s="17"/>
      <c r="Y1937" s="17"/>
      <c r="Z1937" s="17"/>
    </row>
    <row r="1938">
      <c r="A1938" s="18" t="str">
        <f>IFERROR(__xludf.DUMMYFUNCTION("""COMPUTED_VALUE"""),"ord_81914")</f>
        <v>ord_81914</v>
      </c>
      <c r="B1938" s="18" t="str">
        <f>IFERROR(__xludf.DUMMYFUNCTION("""COMPUTED_VALUE"""),"Arvind Kulkarni")</f>
        <v>Arvind Kulkarni</v>
      </c>
      <c r="C1938" s="18" t="str">
        <f>IFERROR(__xludf.DUMMYFUNCTION("""COMPUTED_VALUE"""),"Juhu")</f>
        <v>Juhu</v>
      </c>
      <c r="D1938" s="18" t="str">
        <f>IFERROR(__xludf.DUMMYFUNCTION("""COMPUTED_VALUE"""),"Cold Coffee")</f>
        <v>Cold Coffee</v>
      </c>
      <c r="E1938" s="18">
        <f>IFERROR(__xludf.DUMMYFUNCTION("""COMPUTED_VALUE"""),4.0)</f>
        <v>4</v>
      </c>
      <c r="F1938" s="18" t="str">
        <f>IFERROR(__xludf.DUMMYFUNCTION("""COMPUTED_VALUE"""),"Not Assigned")</f>
        <v>Not Assigned</v>
      </c>
      <c r="G1938" s="19">
        <f>IFERROR(__xludf.DUMMYFUNCTION("""COMPUTED_VALUE"""),45247.0)</f>
        <v>45247</v>
      </c>
      <c r="H1938" s="18" t="str">
        <f>IFERROR(__xludf.DUMMYFUNCTION("""COMPUTED_VALUE"""),"Credit Card")</f>
        <v>Credit Card</v>
      </c>
      <c r="I1938" s="18" t="str">
        <f>IFERROR(__xludf.DUMMYFUNCTION("""COMPUTED_VALUE"""),"Cancelled")</f>
        <v>Cancelled</v>
      </c>
      <c r="J1938" s="18" t="str">
        <f>IFERROR(__xludf.DUMMYFUNCTION("""COMPUTED_VALUE"""),"App Glitches")</f>
        <v>App Glitches</v>
      </c>
      <c r="K1938" s="18" t="str">
        <f>IFERROR(__xludf.DUMMYFUNCTION("""COMPUTED_VALUE"""),"Slow Loading Time")</f>
        <v>Slow Loading Time</v>
      </c>
      <c r="L1938" s="18">
        <f>iferror(VLOOKUP($D1938,Details!$A$2:$C$11,2,false),vlookup($D1938,Details!$E$2:$G$11,2,false))</f>
        <v>270</v>
      </c>
      <c r="M1938" s="18" t="str">
        <f>iferror(VLOOKUP($D1938,Details!$A$2:$C$11,3,false),vlookup($D1938,Details!$E$2:$G$11,3,false))</f>
        <v>Snacks and Drinks</v>
      </c>
      <c r="N1938" s="18">
        <f t="shared" si="1"/>
        <v>1080</v>
      </c>
      <c r="O1938" s="17"/>
      <c r="P1938" s="17"/>
      <c r="Q1938" s="17"/>
      <c r="R1938" s="17"/>
      <c r="S1938" s="17"/>
      <c r="T1938" s="17"/>
      <c r="U1938" s="17"/>
      <c r="V1938" s="17"/>
      <c r="W1938" s="17"/>
      <c r="X1938" s="17"/>
      <c r="Y1938" s="17"/>
      <c r="Z1938" s="17"/>
    </row>
    <row r="1939">
      <c r="A1939" s="18" t="str">
        <f>IFERROR(__xludf.DUMMYFUNCTION("""COMPUTED_VALUE"""),"ord_81915")</f>
        <v>ord_81915</v>
      </c>
      <c r="B1939" s="18" t="str">
        <f>IFERROR(__xludf.DUMMYFUNCTION("""COMPUTED_VALUE"""),"Parth Goel")</f>
        <v>Parth Goel</v>
      </c>
      <c r="C1939" s="18" t="str">
        <f>IFERROR(__xludf.DUMMYFUNCTION("""COMPUTED_VALUE"""),"Juhu")</f>
        <v>Juhu</v>
      </c>
      <c r="D1939" s="18" t="str">
        <f>IFERROR(__xludf.DUMMYFUNCTION("""COMPUTED_VALUE"""),"Sweet Corn")</f>
        <v>Sweet Corn</v>
      </c>
      <c r="E1939" s="18">
        <f>IFERROR(__xludf.DUMMYFUNCTION("""COMPUTED_VALUE"""),1.0)</f>
        <v>1</v>
      </c>
      <c r="F1939" s="18" t="str">
        <f>IFERROR(__xludf.DUMMYFUNCTION("""COMPUTED_VALUE"""),"Ramesh S")</f>
        <v>Ramesh S</v>
      </c>
      <c r="G1939" s="19">
        <f>IFERROR(__xludf.DUMMYFUNCTION("""COMPUTED_VALUE"""),45179.0)</f>
        <v>45179</v>
      </c>
      <c r="H1939" s="18" t="str">
        <f>IFERROR(__xludf.DUMMYFUNCTION("""COMPUTED_VALUE"""),"Online Payment")</f>
        <v>Online Payment</v>
      </c>
      <c r="I1939" s="18" t="str">
        <f>IFERROR(__xludf.DUMMYFUNCTION("""COMPUTED_VALUE"""),"Delivered")</f>
        <v>Delivered</v>
      </c>
      <c r="J1939" s="18" t="str">
        <f>IFERROR(__xludf.DUMMYFUNCTION("""COMPUTED_VALUE"""),"Quality of Items")</f>
        <v>Quality of Items</v>
      </c>
      <c r="K1939" s="18" t="str">
        <f>IFERROR(__xludf.DUMMYFUNCTION("""COMPUTED_VALUE"""),"Perfect condition")</f>
        <v>Perfect condition</v>
      </c>
      <c r="L1939" s="18">
        <f>iferror(VLOOKUP($D1939,Details!$A$2:$C$11,2,false),vlookup($D1939,Details!$E$2:$G$11,2,false))</f>
        <v>60</v>
      </c>
      <c r="M1939" s="18" t="str">
        <f>iferror(VLOOKUP($D1939,Details!$A$2:$C$11,3,false),vlookup($D1939,Details!$E$2:$G$11,3,false))</f>
        <v>Fruits and Vegetables</v>
      </c>
      <c r="N1939" s="18">
        <f t="shared" si="1"/>
        <v>60</v>
      </c>
      <c r="O1939" s="17"/>
      <c r="P1939" s="17"/>
      <c r="Q1939" s="17"/>
      <c r="R1939" s="17"/>
      <c r="S1939" s="17"/>
      <c r="T1939" s="17"/>
      <c r="U1939" s="17"/>
      <c r="V1939" s="17"/>
      <c r="W1939" s="17"/>
      <c r="X1939" s="17"/>
      <c r="Y1939" s="17"/>
      <c r="Z1939" s="17"/>
    </row>
    <row r="1940">
      <c r="A1940" s="18" t="str">
        <f>IFERROR(__xludf.DUMMYFUNCTION("""COMPUTED_VALUE"""),"ord_81916")</f>
        <v>ord_81916</v>
      </c>
      <c r="B1940" s="18" t="str">
        <f>IFERROR(__xludf.DUMMYFUNCTION("""COMPUTED_VALUE"""),"Kritika Shetty")</f>
        <v>Kritika Shetty</v>
      </c>
      <c r="C1940" s="18" t="str">
        <f>IFERROR(__xludf.DUMMYFUNCTION("""COMPUTED_VALUE"""),"Malad")</f>
        <v>Malad</v>
      </c>
      <c r="D1940" s="18" t="str">
        <f>IFERROR(__xludf.DUMMYFUNCTION("""COMPUTED_VALUE"""),"Potato")</f>
        <v>Potato</v>
      </c>
      <c r="E1940" s="18">
        <f>IFERROR(__xludf.DUMMYFUNCTION("""COMPUTED_VALUE"""),2.0)</f>
        <v>2</v>
      </c>
      <c r="F1940" s="18" t="str">
        <f>IFERROR(__xludf.DUMMYFUNCTION("""COMPUTED_VALUE"""),"Ramesh S")</f>
        <v>Ramesh S</v>
      </c>
      <c r="G1940" s="19">
        <f>IFERROR(__xludf.DUMMYFUNCTION("""COMPUTED_VALUE"""),45260.0)</f>
        <v>45260</v>
      </c>
      <c r="H1940" s="18" t="str">
        <f>IFERROR(__xludf.DUMMYFUNCTION("""COMPUTED_VALUE"""),"Credit Card")</f>
        <v>Credit Card</v>
      </c>
      <c r="I1940" s="18" t="str">
        <f>IFERROR(__xludf.DUMMYFUNCTION("""COMPUTED_VALUE"""),"Delivered")</f>
        <v>Delivered</v>
      </c>
      <c r="J1940" s="18" t="str">
        <f>IFERROR(__xludf.DUMMYFUNCTION("""COMPUTED_VALUE"""),"Packaging")</f>
        <v>Packaging</v>
      </c>
      <c r="K1940" s="18" t="str">
        <f>IFERROR(__xludf.DUMMYFUNCTION("""COMPUTED_VALUE"""),"Secure and intact")</f>
        <v>Secure and intact</v>
      </c>
      <c r="L1940" s="18">
        <f>iferror(VLOOKUP($D1940,Details!$A$2:$C$11,2,false),vlookup($D1940,Details!$E$2:$G$11,2,false))</f>
        <v>55</v>
      </c>
      <c r="M1940" s="18" t="str">
        <f>iferror(VLOOKUP($D1940,Details!$A$2:$C$11,3,false),vlookup($D1940,Details!$E$2:$G$11,3,false))</f>
        <v>Fruits and Vegetables</v>
      </c>
      <c r="N1940" s="18">
        <f t="shared" si="1"/>
        <v>110</v>
      </c>
      <c r="O1940" s="17"/>
      <c r="P1940" s="17"/>
      <c r="Q1940" s="17"/>
      <c r="R1940" s="17"/>
      <c r="S1940" s="17"/>
      <c r="T1940" s="17"/>
      <c r="U1940" s="17"/>
      <c r="V1940" s="17"/>
      <c r="W1940" s="17"/>
      <c r="X1940" s="17"/>
      <c r="Y1940" s="17"/>
      <c r="Z1940" s="17"/>
    </row>
    <row r="1941">
      <c r="A1941" s="18" t="str">
        <f>IFERROR(__xludf.DUMMYFUNCTION("""COMPUTED_VALUE"""),"ord_81917")</f>
        <v>ord_81917</v>
      </c>
      <c r="B1941" s="18" t="str">
        <f>IFERROR(__xludf.DUMMYFUNCTION("""COMPUTED_VALUE"""),"Siya Reddy")</f>
        <v>Siya Reddy</v>
      </c>
      <c r="C1941" s="18" t="str">
        <f>IFERROR(__xludf.DUMMYFUNCTION("""COMPUTED_VALUE"""),"Juhu")</f>
        <v>Juhu</v>
      </c>
      <c r="D1941" s="18" t="str">
        <f>IFERROR(__xludf.DUMMYFUNCTION("""COMPUTED_VALUE"""),"Juice")</f>
        <v>Juice</v>
      </c>
      <c r="E1941" s="18">
        <f>IFERROR(__xludf.DUMMYFUNCTION("""COMPUTED_VALUE"""),3.0)</f>
        <v>3</v>
      </c>
      <c r="F1941" s="18" t="str">
        <f>IFERROR(__xludf.DUMMYFUNCTION("""COMPUTED_VALUE"""),"Priya Joshi")</f>
        <v>Priya Joshi</v>
      </c>
      <c r="G1941" s="19">
        <f>IFERROR(__xludf.DUMMYFUNCTION("""COMPUTED_VALUE"""),45060.0)</f>
        <v>45060</v>
      </c>
      <c r="H1941" s="18" t="str">
        <f>IFERROR(__xludf.DUMMYFUNCTION("""COMPUTED_VALUE"""),"Credit Card")</f>
        <v>Credit Card</v>
      </c>
      <c r="I1941" s="18" t="str">
        <f>IFERROR(__xludf.DUMMYFUNCTION("""COMPUTED_VALUE"""),"Cancelled")</f>
        <v>Cancelled</v>
      </c>
      <c r="J1941" s="18" t="str">
        <f>IFERROR(__xludf.DUMMYFUNCTION("""COMPUTED_VALUE"""),"Delayed Delivery")</f>
        <v>Delayed Delivery</v>
      </c>
      <c r="K1941" s="18" t="str">
        <f>IFERROR(__xludf.DUMMYFUNCTION("""COMPUTED_VALUE"""),"Incorrect Address or Location")</f>
        <v>Incorrect Address or Location</v>
      </c>
      <c r="L1941" s="18">
        <f>iferror(VLOOKUP($D1941,Details!$A$2:$C$11,2,false),vlookup($D1941,Details!$E$2:$G$11,2,false))</f>
        <v>90</v>
      </c>
      <c r="M1941" s="18" t="str">
        <f>iferror(VLOOKUP($D1941,Details!$A$2:$C$11,3,false),vlookup($D1941,Details!$E$2:$G$11,3,false))</f>
        <v>Snacks and Drinks</v>
      </c>
      <c r="N1941" s="18">
        <f t="shared" si="1"/>
        <v>270</v>
      </c>
      <c r="O1941" s="17"/>
      <c r="P1941" s="17"/>
      <c r="Q1941" s="17"/>
      <c r="R1941" s="17"/>
      <c r="S1941" s="17"/>
      <c r="T1941" s="17"/>
      <c r="U1941" s="17"/>
      <c r="V1941" s="17"/>
      <c r="W1941" s="17"/>
      <c r="X1941" s="17"/>
      <c r="Y1941" s="17"/>
      <c r="Z1941" s="17"/>
    </row>
    <row r="1942">
      <c r="A1942" s="18" t="str">
        <f>IFERROR(__xludf.DUMMYFUNCTION("""COMPUTED_VALUE"""),"ord_81918")</f>
        <v>ord_81918</v>
      </c>
      <c r="B1942" s="18" t="str">
        <f>IFERROR(__xludf.DUMMYFUNCTION("""COMPUTED_VALUE"""),"Ishaan Chaturvedi")</f>
        <v>Ishaan Chaturvedi</v>
      </c>
      <c r="C1942" s="18" t="str">
        <f>IFERROR(__xludf.DUMMYFUNCTION("""COMPUTED_VALUE"""),"Bandra")</f>
        <v>Bandra</v>
      </c>
      <c r="D1942" s="18" t="str">
        <f>IFERROR(__xludf.DUMMYFUNCTION("""COMPUTED_VALUE"""),"Cold Coffee")</f>
        <v>Cold Coffee</v>
      </c>
      <c r="E1942" s="18">
        <f>IFERROR(__xludf.DUMMYFUNCTION("""COMPUTED_VALUE"""),5.0)</f>
        <v>5</v>
      </c>
      <c r="F1942" s="18" t="str">
        <f>IFERROR(__xludf.DUMMYFUNCTION("""COMPUTED_VALUE"""),"Ramesh S")</f>
        <v>Ramesh S</v>
      </c>
      <c r="G1942" s="19">
        <f>IFERROR(__xludf.DUMMYFUNCTION("""COMPUTED_VALUE"""),45095.0)</f>
        <v>45095</v>
      </c>
      <c r="H1942" s="18" t="str">
        <f>IFERROR(__xludf.DUMMYFUNCTION("""COMPUTED_VALUE"""),"Online Payment")</f>
        <v>Online Payment</v>
      </c>
      <c r="I1942" s="18" t="str">
        <f>IFERROR(__xludf.DUMMYFUNCTION("""COMPUTED_VALUE"""),"Delivered")</f>
        <v>Delivered</v>
      </c>
      <c r="J1942" s="18" t="str">
        <f>IFERROR(__xludf.DUMMYFUNCTION("""COMPUTED_VALUE"""),"Satisfied with the Delivery")</f>
        <v>Satisfied with the Delivery</v>
      </c>
      <c r="K1942" s="18" t="str">
        <f>IFERROR(__xludf.DUMMYFUNCTION("""COMPUTED_VALUE"""),"Timely and quality")</f>
        <v>Timely and quality</v>
      </c>
      <c r="L1942" s="18">
        <f>iferror(VLOOKUP($D1942,Details!$A$2:$C$11,2,false),vlookup($D1942,Details!$E$2:$G$11,2,false))</f>
        <v>270</v>
      </c>
      <c r="M1942" s="18" t="str">
        <f>iferror(VLOOKUP($D1942,Details!$A$2:$C$11,3,false),vlookup($D1942,Details!$E$2:$G$11,3,false))</f>
        <v>Snacks and Drinks</v>
      </c>
      <c r="N1942" s="18">
        <f t="shared" si="1"/>
        <v>1350</v>
      </c>
      <c r="O1942" s="17"/>
      <c r="P1942" s="17"/>
      <c r="Q1942" s="17"/>
      <c r="R1942" s="17"/>
      <c r="S1942" s="17"/>
      <c r="T1942" s="17"/>
      <c r="U1942" s="17"/>
      <c r="V1942" s="17"/>
      <c r="W1942" s="17"/>
      <c r="X1942" s="17"/>
      <c r="Y1942" s="17"/>
      <c r="Z1942" s="17"/>
    </row>
    <row r="1943">
      <c r="A1943" s="18" t="str">
        <f>IFERROR(__xludf.DUMMYFUNCTION("""COMPUTED_VALUE"""),"ord_81919")</f>
        <v>ord_81919</v>
      </c>
      <c r="B1943" s="18" t="str">
        <f>IFERROR(__xludf.DUMMYFUNCTION("""COMPUTED_VALUE"""),"Aarohi Kapoor")</f>
        <v>Aarohi Kapoor</v>
      </c>
      <c r="C1943" s="18" t="str">
        <f>IFERROR(__xludf.DUMMYFUNCTION("""COMPUTED_VALUE"""),"Bandra")</f>
        <v>Bandra</v>
      </c>
      <c r="D1943" s="18" t="str">
        <f>IFERROR(__xludf.DUMMYFUNCTION("""COMPUTED_VALUE"""),"Apple")</f>
        <v>Apple</v>
      </c>
      <c r="E1943" s="18">
        <f>IFERROR(__xludf.DUMMYFUNCTION("""COMPUTED_VALUE"""),2.0)</f>
        <v>2</v>
      </c>
      <c r="F1943" s="18" t="str">
        <f>IFERROR(__xludf.DUMMYFUNCTION("""COMPUTED_VALUE"""),"Not Assigned")</f>
        <v>Not Assigned</v>
      </c>
      <c r="G1943" s="19">
        <f>IFERROR(__xludf.DUMMYFUNCTION("""COMPUTED_VALUE"""),45271.0)</f>
        <v>45271</v>
      </c>
      <c r="H1943" s="18" t="str">
        <f>IFERROR(__xludf.DUMMYFUNCTION("""COMPUTED_VALUE"""),"Online Payment")</f>
        <v>Online Payment</v>
      </c>
      <c r="I1943" s="18" t="str">
        <f>IFERROR(__xludf.DUMMYFUNCTION("""COMPUTED_VALUE"""),"Cancelled")</f>
        <v>Cancelled</v>
      </c>
      <c r="J1943" s="18" t="str">
        <f>IFERROR(__xludf.DUMMYFUNCTION("""COMPUTED_VALUE"""),"Payment Issues")</f>
        <v>Payment Issues</v>
      </c>
      <c r="K1943" s="18"/>
      <c r="L1943" s="18">
        <f>iferror(VLOOKUP($D1943,Details!$A$2:$C$11,2,false),vlookup($D1943,Details!$E$2:$G$11,2,false))</f>
        <v>230</v>
      </c>
      <c r="M1943" s="18" t="str">
        <f>iferror(VLOOKUP($D1943,Details!$A$2:$C$11,3,false),vlookup($D1943,Details!$E$2:$G$11,3,false))</f>
        <v>Fruits and Vegetables</v>
      </c>
      <c r="N1943" s="18">
        <f t="shared" si="1"/>
        <v>460</v>
      </c>
      <c r="O1943" s="17"/>
      <c r="P1943" s="17"/>
      <c r="Q1943" s="17"/>
      <c r="R1943" s="17"/>
      <c r="S1943" s="17"/>
      <c r="T1943" s="17"/>
      <c r="U1943" s="17"/>
      <c r="V1943" s="17"/>
      <c r="W1943" s="17"/>
      <c r="X1943" s="17"/>
      <c r="Y1943" s="17"/>
      <c r="Z1943" s="17"/>
    </row>
    <row r="1944">
      <c r="A1944" s="18" t="str">
        <f>IFERROR(__xludf.DUMMYFUNCTION("""COMPUTED_VALUE"""),"ord_81920")</f>
        <v>ord_81920</v>
      </c>
      <c r="B1944" s="18" t="str">
        <f>IFERROR(__xludf.DUMMYFUNCTION("""COMPUTED_VALUE"""),"Anaya Rao")</f>
        <v>Anaya Rao</v>
      </c>
      <c r="C1944" s="18" t="str">
        <f>IFERROR(__xludf.DUMMYFUNCTION("""COMPUTED_VALUE"""),"Colaba")</f>
        <v>Colaba</v>
      </c>
      <c r="D1944" s="18" t="str">
        <f>IFERROR(__xludf.DUMMYFUNCTION("""COMPUTED_VALUE"""),"Apple")</f>
        <v>Apple</v>
      </c>
      <c r="E1944" s="18">
        <f>IFERROR(__xludf.DUMMYFUNCTION("""COMPUTED_VALUE"""),1.0)</f>
        <v>1</v>
      </c>
      <c r="F1944" s="18" t="str">
        <f>IFERROR(__xludf.DUMMYFUNCTION("""COMPUTED_VALUE"""),"Vivek Kumar")</f>
        <v>Vivek Kumar</v>
      </c>
      <c r="G1944" s="19">
        <f>IFERROR(__xludf.DUMMYFUNCTION("""COMPUTED_VALUE"""),44952.0)</f>
        <v>44952</v>
      </c>
      <c r="H1944" s="18" t="str">
        <f>IFERROR(__xludf.DUMMYFUNCTION("""COMPUTED_VALUE"""),"Online Payment")</f>
        <v>Online Payment</v>
      </c>
      <c r="I1944" s="18" t="str">
        <f>IFERROR(__xludf.DUMMYFUNCTION("""COMPUTED_VALUE"""),"Cancelled")</f>
        <v>Cancelled</v>
      </c>
      <c r="J1944" s="18" t="str">
        <f>IFERROR(__xludf.DUMMYFUNCTION("""COMPUTED_VALUE"""),"Delayed Delivery")</f>
        <v>Delayed Delivery</v>
      </c>
      <c r="K1944" s="18" t="str">
        <f>IFERROR(__xludf.DUMMYFUNCTION("""COMPUTED_VALUE"""),"Heavy Traffic")</f>
        <v>Heavy Traffic</v>
      </c>
      <c r="L1944" s="18">
        <f>iferror(VLOOKUP($D1944,Details!$A$2:$C$11,2,false),vlookup($D1944,Details!$E$2:$G$11,2,false))</f>
        <v>230</v>
      </c>
      <c r="M1944" s="18" t="str">
        <f>iferror(VLOOKUP($D1944,Details!$A$2:$C$11,3,false),vlookup($D1944,Details!$E$2:$G$11,3,false))</f>
        <v>Fruits and Vegetables</v>
      </c>
      <c r="N1944" s="18">
        <f t="shared" si="1"/>
        <v>230</v>
      </c>
      <c r="O1944" s="17"/>
      <c r="P1944" s="17"/>
      <c r="Q1944" s="17"/>
      <c r="R1944" s="17"/>
      <c r="S1944" s="17"/>
      <c r="T1944" s="17"/>
      <c r="U1944" s="17"/>
      <c r="V1944" s="17"/>
      <c r="W1944" s="17"/>
      <c r="X1944" s="17"/>
      <c r="Y1944" s="17"/>
      <c r="Z1944" s="17"/>
    </row>
    <row r="1945">
      <c r="A1945" s="18" t="str">
        <f>IFERROR(__xludf.DUMMYFUNCTION("""COMPUTED_VALUE"""),"ord_81921")</f>
        <v>ord_81921</v>
      </c>
      <c r="B1945" s="18" t="str">
        <f>IFERROR(__xludf.DUMMYFUNCTION("""COMPUTED_VALUE"""),"Arvind Kulkarni")</f>
        <v>Arvind Kulkarni</v>
      </c>
      <c r="C1945" s="18" t="str">
        <f>IFERROR(__xludf.DUMMYFUNCTION("""COMPUTED_VALUE"""),"Juhu")</f>
        <v>Juhu</v>
      </c>
      <c r="D1945" s="18" t="str">
        <f>IFERROR(__xludf.DUMMYFUNCTION("""COMPUTED_VALUE"""),"Chocolate Mousse")</f>
        <v>Chocolate Mousse</v>
      </c>
      <c r="E1945" s="18">
        <f>IFERROR(__xludf.DUMMYFUNCTION("""COMPUTED_VALUE"""),5.0)</f>
        <v>5</v>
      </c>
      <c r="F1945" s="18" t="str">
        <f>IFERROR(__xludf.DUMMYFUNCTION("""COMPUTED_VALUE"""),"Priya Joshi")</f>
        <v>Priya Joshi</v>
      </c>
      <c r="G1945" s="19">
        <f>IFERROR(__xludf.DUMMYFUNCTION("""COMPUTED_VALUE"""),45127.0)</f>
        <v>45127</v>
      </c>
      <c r="H1945" s="18" t="str">
        <f>IFERROR(__xludf.DUMMYFUNCTION("""COMPUTED_VALUE"""),"UPI")</f>
        <v>UPI</v>
      </c>
      <c r="I1945" s="18" t="str">
        <f>IFERROR(__xludf.DUMMYFUNCTION("""COMPUTED_VALUE"""),"Cancelled")</f>
        <v>Cancelled</v>
      </c>
      <c r="J1945" s="18" t="str">
        <f>IFERROR(__xludf.DUMMYFUNCTION("""COMPUTED_VALUE"""),"Delayed Delivery")</f>
        <v>Delayed Delivery</v>
      </c>
      <c r="K1945" s="18" t="str">
        <f>IFERROR(__xludf.DUMMYFUNCTION("""COMPUTED_VALUE"""),"Heavy Traffic")</f>
        <v>Heavy Traffic</v>
      </c>
      <c r="L1945" s="18">
        <f>iferror(VLOOKUP($D1945,Details!$A$2:$C$11,2,false),vlookup($D1945,Details!$E$2:$G$11,2,false))</f>
        <v>145</v>
      </c>
      <c r="M1945" s="18" t="str">
        <f>iferror(VLOOKUP($D1945,Details!$A$2:$C$11,3,false),vlookup($D1945,Details!$E$2:$G$11,3,false))</f>
        <v>Snacks and Drinks</v>
      </c>
      <c r="N1945" s="18">
        <f t="shared" si="1"/>
        <v>725</v>
      </c>
      <c r="O1945" s="17"/>
      <c r="P1945" s="17"/>
      <c r="Q1945" s="17"/>
      <c r="R1945" s="17"/>
      <c r="S1945" s="17"/>
      <c r="T1945" s="17"/>
      <c r="U1945" s="17"/>
      <c r="V1945" s="17"/>
      <c r="W1945" s="17"/>
      <c r="X1945" s="17"/>
      <c r="Y1945" s="17"/>
      <c r="Z1945" s="17"/>
    </row>
    <row r="1946">
      <c r="A1946" s="18" t="str">
        <f>IFERROR(__xludf.DUMMYFUNCTION("""COMPUTED_VALUE"""),"ord_81922")</f>
        <v>ord_81922</v>
      </c>
      <c r="B1946" s="18" t="str">
        <f>IFERROR(__xludf.DUMMYFUNCTION("""COMPUTED_VALUE"""),"Pallavi Ghosh")</f>
        <v>Pallavi Ghosh</v>
      </c>
      <c r="C1946" s="18" t="str">
        <f>IFERROR(__xludf.DUMMYFUNCTION("""COMPUTED_VALUE"""),"Bandra")</f>
        <v>Bandra</v>
      </c>
      <c r="D1946" s="18" t="str">
        <f>IFERROR(__xludf.DUMMYFUNCTION("""COMPUTED_VALUE"""),"Potato")</f>
        <v>Potato</v>
      </c>
      <c r="E1946" s="18">
        <f>IFERROR(__xludf.DUMMYFUNCTION("""COMPUTED_VALUE"""),2.0)</f>
        <v>2</v>
      </c>
      <c r="F1946" s="18" t="str">
        <f>IFERROR(__xludf.DUMMYFUNCTION("""COMPUTED_VALUE"""),"Ramesh S")</f>
        <v>Ramesh S</v>
      </c>
      <c r="G1946" s="19">
        <f>IFERROR(__xludf.DUMMYFUNCTION("""COMPUTED_VALUE"""),44951.0)</f>
        <v>44951</v>
      </c>
      <c r="H1946" s="18" t="str">
        <f>IFERROR(__xludf.DUMMYFUNCTION("""COMPUTED_VALUE"""),"UPI")</f>
        <v>UPI</v>
      </c>
      <c r="I1946" s="18" t="str">
        <f>IFERROR(__xludf.DUMMYFUNCTION("""COMPUTED_VALUE"""),"Cancelled")</f>
        <v>Cancelled</v>
      </c>
      <c r="J1946" s="18" t="str">
        <f>IFERROR(__xludf.DUMMYFUNCTION("""COMPUTED_VALUE"""),"Delayed Delivery")</f>
        <v>Delayed Delivery</v>
      </c>
      <c r="K1946" s="18" t="str">
        <f>IFERROR(__xludf.DUMMYFUNCTION("""COMPUTED_VALUE"""),"High Order Volume")</f>
        <v>High Order Volume</v>
      </c>
      <c r="L1946" s="18">
        <f>iferror(VLOOKUP($D1946,Details!$A$2:$C$11,2,false),vlookup($D1946,Details!$E$2:$G$11,2,false))</f>
        <v>55</v>
      </c>
      <c r="M1946" s="18" t="str">
        <f>iferror(VLOOKUP($D1946,Details!$A$2:$C$11,3,false),vlookup($D1946,Details!$E$2:$G$11,3,false))</f>
        <v>Fruits and Vegetables</v>
      </c>
      <c r="N1946" s="18">
        <f t="shared" si="1"/>
        <v>110</v>
      </c>
      <c r="O1946" s="17"/>
      <c r="P1946" s="17"/>
      <c r="Q1946" s="17"/>
      <c r="R1946" s="17"/>
      <c r="S1946" s="17"/>
      <c r="T1946" s="17"/>
      <c r="U1946" s="17"/>
      <c r="V1946" s="17"/>
      <c r="W1946" s="17"/>
      <c r="X1946" s="17"/>
      <c r="Y1946" s="17"/>
      <c r="Z1946" s="17"/>
    </row>
    <row r="1947">
      <c r="A1947" s="18" t="str">
        <f>IFERROR(__xludf.DUMMYFUNCTION("""COMPUTED_VALUE"""),"ord_81923")</f>
        <v>ord_81923</v>
      </c>
      <c r="B1947" s="18" t="str">
        <f>IFERROR(__xludf.DUMMYFUNCTION("""COMPUTED_VALUE"""),"Ishaan Chaturvedi")</f>
        <v>Ishaan Chaturvedi</v>
      </c>
      <c r="C1947" s="18" t="str">
        <f>IFERROR(__xludf.DUMMYFUNCTION("""COMPUTED_VALUE"""),"Bandra")</f>
        <v>Bandra</v>
      </c>
      <c r="D1947" s="18" t="str">
        <f>IFERROR(__xludf.DUMMYFUNCTION("""COMPUTED_VALUE"""),"Popcorn")</f>
        <v>Popcorn</v>
      </c>
      <c r="E1947" s="18">
        <f>IFERROR(__xludf.DUMMYFUNCTION("""COMPUTED_VALUE"""),2.0)</f>
        <v>2</v>
      </c>
      <c r="F1947" s="18" t="str">
        <f>IFERROR(__xludf.DUMMYFUNCTION("""COMPUTED_VALUE"""),"Vivek Kumar")</f>
        <v>Vivek Kumar</v>
      </c>
      <c r="G1947" s="19">
        <f>IFERROR(__xludf.DUMMYFUNCTION("""COMPUTED_VALUE"""),44955.0)</f>
        <v>44955</v>
      </c>
      <c r="H1947" s="18" t="str">
        <f>IFERROR(__xludf.DUMMYFUNCTION("""COMPUTED_VALUE"""),"UPI")</f>
        <v>UPI</v>
      </c>
      <c r="I1947" s="18" t="str">
        <f>IFERROR(__xludf.DUMMYFUNCTION("""COMPUTED_VALUE"""),"Delivered")</f>
        <v>Delivered</v>
      </c>
      <c r="J1947" s="18" t="str">
        <f>IFERROR(__xludf.DUMMYFUNCTION("""COMPUTED_VALUE"""),"Customer Service")</f>
        <v>Customer Service</v>
      </c>
      <c r="K1947" s="18" t="str">
        <f>IFERROR(__xludf.DUMMYFUNCTION("""COMPUTED_VALUE"""),"Seamless and easy")</f>
        <v>Seamless and easy</v>
      </c>
      <c r="L1947" s="18">
        <f>iferror(VLOOKUP($D1947,Details!$A$2:$C$11,2,false),vlookup($D1947,Details!$E$2:$G$11,2,false))</f>
        <v>150</v>
      </c>
      <c r="M1947" s="18" t="str">
        <f>iferror(VLOOKUP($D1947,Details!$A$2:$C$11,3,false),vlookup($D1947,Details!$E$2:$G$11,3,false))</f>
        <v>Snacks and Drinks</v>
      </c>
      <c r="N1947" s="18">
        <f t="shared" si="1"/>
        <v>300</v>
      </c>
      <c r="O1947" s="17"/>
      <c r="P1947" s="17"/>
      <c r="Q1947" s="17"/>
      <c r="R1947" s="17"/>
      <c r="S1947" s="17"/>
      <c r="T1947" s="17"/>
      <c r="U1947" s="17"/>
      <c r="V1947" s="17"/>
      <c r="W1947" s="17"/>
      <c r="X1947" s="17"/>
      <c r="Y1947" s="17"/>
      <c r="Z1947" s="17"/>
    </row>
    <row r="1948">
      <c r="A1948" s="18" t="str">
        <f>IFERROR(__xludf.DUMMYFUNCTION("""COMPUTED_VALUE"""),"ord_81924")</f>
        <v>ord_81924</v>
      </c>
      <c r="B1948" s="18" t="str">
        <f>IFERROR(__xludf.DUMMYFUNCTION("""COMPUTED_VALUE"""),"Parth Goel")</f>
        <v>Parth Goel</v>
      </c>
      <c r="C1948" s="18" t="str">
        <f>IFERROR(__xludf.DUMMYFUNCTION("""COMPUTED_VALUE"""),"Juhu")</f>
        <v>Juhu</v>
      </c>
      <c r="D1948" s="18" t="str">
        <f>IFERROR(__xludf.DUMMYFUNCTION("""COMPUTED_VALUE"""),"Tiramisu")</f>
        <v>Tiramisu</v>
      </c>
      <c r="E1948" s="18">
        <f>IFERROR(__xludf.DUMMYFUNCTION("""COMPUTED_VALUE"""),5.0)</f>
        <v>5</v>
      </c>
      <c r="F1948" s="18" t="str">
        <f>IFERROR(__xludf.DUMMYFUNCTION("""COMPUTED_VALUE"""),"Vivek Kumar")</f>
        <v>Vivek Kumar</v>
      </c>
      <c r="G1948" s="19">
        <f>IFERROR(__xludf.DUMMYFUNCTION("""COMPUTED_VALUE"""),44950.0)</f>
        <v>44950</v>
      </c>
      <c r="H1948" s="18" t="str">
        <f>IFERROR(__xludf.DUMMYFUNCTION("""COMPUTED_VALUE"""),"UPI")</f>
        <v>UPI</v>
      </c>
      <c r="I1948" s="18" t="str">
        <f>IFERROR(__xludf.DUMMYFUNCTION("""COMPUTED_VALUE"""),"Delivered")</f>
        <v>Delivered</v>
      </c>
      <c r="J1948" s="18" t="str">
        <f>IFERROR(__xludf.DUMMYFUNCTION("""COMPUTED_VALUE"""),"Delivery Experience")</f>
        <v>Delivery Experience</v>
      </c>
      <c r="K1948" s="18" t="str">
        <f>IFERROR(__xludf.DUMMYFUNCTION("""COMPUTED_VALUE"""),"Quick and professional")</f>
        <v>Quick and professional</v>
      </c>
      <c r="L1948" s="18">
        <f>iferror(VLOOKUP($D1948,Details!$A$2:$C$11,2,false),vlookup($D1948,Details!$E$2:$G$11,2,false))</f>
        <v>150</v>
      </c>
      <c r="M1948" s="18" t="str">
        <f>iferror(VLOOKUP($D1948,Details!$A$2:$C$11,3,false),vlookup($D1948,Details!$E$2:$G$11,3,false))</f>
        <v>Snacks and Drinks</v>
      </c>
      <c r="N1948" s="18">
        <f t="shared" si="1"/>
        <v>750</v>
      </c>
      <c r="O1948" s="17"/>
      <c r="P1948" s="17"/>
      <c r="Q1948" s="17"/>
      <c r="R1948" s="17"/>
      <c r="S1948" s="17"/>
      <c r="T1948" s="17"/>
      <c r="U1948" s="17"/>
      <c r="V1948" s="17"/>
      <c r="W1948" s="17"/>
      <c r="X1948" s="17"/>
      <c r="Y1948" s="17"/>
      <c r="Z1948" s="17"/>
    </row>
    <row r="1949">
      <c r="A1949" s="18" t="str">
        <f>IFERROR(__xludf.DUMMYFUNCTION("""COMPUTED_VALUE"""),"ord_81925")</f>
        <v>ord_81925</v>
      </c>
      <c r="B1949" s="18" t="str">
        <f>IFERROR(__xludf.DUMMYFUNCTION("""COMPUTED_VALUE"""),"Mehul Thakkar")</f>
        <v>Mehul Thakkar</v>
      </c>
      <c r="C1949" s="18" t="str">
        <f>IFERROR(__xludf.DUMMYFUNCTION("""COMPUTED_VALUE"""),"Malad")</f>
        <v>Malad</v>
      </c>
      <c r="D1949" s="18" t="str">
        <f>IFERROR(__xludf.DUMMYFUNCTION("""COMPUTED_VALUE"""),"Popcorn")</f>
        <v>Popcorn</v>
      </c>
      <c r="E1949" s="18">
        <f>IFERROR(__xludf.DUMMYFUNCTION("""COMPUTED_VALUE"""),3.0)</f>
        <v>3</v>
      </c>
      <c r="F1949" s="18" t="str">
        <f>IFERROR(__xludf.DUMMYFUNCTION("""COMPUTED_VALUE"""),"Priya Joshi")</f>
        <v>Priya Joshi</v>
      </c>
      <c r="G1949" s="19">
        <f>IFERROR(__xludf.DUMMYFUNCTION("""COMPUTED_VALUE"""),45283.0)</f>
        <v>45283</v>
      </c>
      <c r="H1949" s="18" t="str">
        <f>IFERROR(__xludf.DUMMYFUNCTION("""COMPUTED_VALUE"""),"Credit Card")</f>
        <v>Credit Card</v>
      </c>
      <c r="I1949" s="18" t="str">
        <f>IFERROR(__xludf.DUMMYFUNCTION("""COMPUTED_VALUE"""),"Cancelled")</f>
        <v>Cancelled</v>
      </c>
      <c r="J1949" s="18" t="str">
        <f>IFERROR(__xludf.DUMMYFUNCTION("""COMPUTED_VALUE"""),"Delayed Delivery")</f>
        <v>Delayed Delivery</v>
      </c>
      <c r="K1949" s="18" t="str">
        <f>IFERROR(__xludf.DUMMYFUNCTION("""COMPUTED_VALUE"""),"Bad Weather Conditions")</f>
        <v>Bad Weather Conditions</v>
      </c>
      <c r="L1949" s="18">
        <f>iferror(VLOOKUP($D1949,Details!$A$2:$C$11,2,false),vlookup($D1949,Details!$E$2:$G$11,2,false))</f>
        <v>150</v>
      </c>
      <c r="M1949" s="18" t="str">
        <f>iferror(VLOOKUP($D1949,Details!$A$2:$C$11,3,false),vlookup($D1949,Details!$E$2:$G$11,3,false))</f>
        <v>Snacks and Drinks</v>
      </c>
      <c r="N1949" s="18">
        <f t="shared" si="1"/>
        <v>450</v>
      </c>
      <c r="O1949" s="17"/>
      <c r="P1949" s="17"/>
      <c r="Q1949" s="17"/>
      <c r="R1949" s="17"/>
      <c r="S1949" s="17"/>
      <c r="T1949" s="17"/>
      <c r="U1949" s="17"/>
      <c r="V1949" s="17"/>
      <c r="W1949" s="17"/>
      <c r="X1949" s="17"/>
      <c r="Y1949" s="17"/>
      <c r="Z1949" s="17"/>
    </row>
    <row r="1950">
      <c r="A1950" s="18" t="str">
        <f>IFERROR(__xludf.DUMMYFUNCTION("""COMPUTED_VALUE"""),"ord_81926")</f>
        <v>ord_81926</v>
      </c>
      <c r="B1950" s="18" t="str">
        <f>IFERROR(__xludf.DUMMYFUNCTION("""COMPUTED_VALUE"""),"Dev Chauhan")</f>
        <v>Dev Chauhan</v>
      </c>
      <c r="C1950" s="18" t="str">
        <f>IFERROR(__xludf.DUMMYFUNCTION("""COMPUTED_VALUE"""),"Bandra")</f>
        <v>Bandra</v>
      </c>
      <c r="D1950" s="18" t="str">
        <f>IFERROR(__xludf.DUMMYFUNCTION("""COMPUTED_VALUE"""),"Chocolate Mousse")</f>
        <v>Chocolate Mousse</v>
      </c>
      <c r="E1950" s="18">
        <f>IFERROR(__xludf.DUMMYFUNCTION("""COMPUTED_VALUE"""),5.0)</f>
        <v>5</v>
      </c>
      <c r="F1950" s="18" t="str">
        <f>IFERROR(__xludf.DUMMYFUNCTION("""COMPUTED_VALUE"""),"Shine Thomas")</f>
        <v>Shine Thomas</v>
      </c>
      <c r="G1950" s="19">
        <f>IFERROR(__xludf.DUMMYFUNCTION("""COMPUTED_VALUE"""),45240.0)</f>
        <v>45240</v>
      </c>
      <c r="H1950" s="18" t="str">
        <f>IFERROR(__xludf.DUMMYFUNCTION("""COMPUTED_VALUE"""),"Credit Card")</f>
        <v>Credit Card</v>
      </c>
      <c r="I1950" s="18" t="str">
        <f>IFERROR(__xludf.DUMMYFUNCTION("""COMPUTED_VALUE"""),"Delivered")</f>
        <v>Delivered</v>
      </c>
      <c r="J1950" s="18" t="str">
        <f>IFERROR(__xludf.DUMMYFUNCTION("""COMPUTED_VALUE"""),"Convenience")</f>
        <v>Convenience</v>
      </c>
      <c r="K1950" s="18" t="str">
        <f>IFERROR(__xludf.DUMMYFUNCTION("""COMPUTED_VALUE"""),"Easy tracking")</f>
        <v>Easy tracking</v>
      </c>
      <c r="L1950" s="18">
        <f>iferror(VLOOKUP($D1950,Details!$A$2:$C$11,2,false),vlookup($D1950,Details!$E$2:$G$11,2,false))</f>
        <v>145</v>
      </c>
      <c r="M1950" s="18" t="str">
        <f>iferror(VLOOKUP($D1950,Details!$A$2:$C$11,3,false),vlookup($D1950,Details!$E$2:$G$11,3,false))</f>
        <v>Snacks and Drinks</v>
      </c>
      <c r="N1950" s="18">
        <f t="shared" si="1"/>
        <v>725</v>
      </c>
      <c r="O1950" s="17"/>
      <c r="P1950" s="17"/>
      <c r="Q1950" s="17"/>
      <c r="R1950" s="17"/>
      <c r="S1950" s="17"/>
      <c r="T1950" s="17"/>
      <c r="U1950" s="17"/>
      <c r="V1950" s="17"/>
      <c r="W1950" s="17"/>
      <c r="X1950" s="17"/>
      <c r="Y1950" s="17"/>
      <c r="Z1950" s="17"/>
    </row>
    <row r="1951">
      <c r="A1951" s="18" t="str">
        <f>IFERROR(__xludf.DUMMYFUNCTION("""COMPUTED_VALUE"""),"ord_81927")</f>
        <v>ord_81927</v>
      </c>
      <c r="B1951" s="18" t="str">
        <f>IFERROR(__xludf.DUMMYFUNCTION("""COMPUTED_VALUE"""),"Aditi Iyer")</f>
        <v>Aditi Iyer</v>
      </c>
      <c r="C1951" s="18" t="str">
        <f>IFERROR(__xludf.DUMMYFUNCTION("""COMPUTED_VALUE"""),"Dadar")</f>
        <v>Dadar</v>
      </c>
      <c r="D1951" s="18" t="str">
        <f>IFERROR(__xludf.DUMMYFUNCTION("""COMPUTED_VALUE"""),"Rasmalai")</f>
        <v>Rasmalai</v>
      </c>
      <c r="E1951" s="18">
        <f>IFERROR(__xludf.DUMMYFUNCTION("""COMPUTED_VALUE"""),5.0)</f>
        <v>5</v>
      </c>
      <c r="F1951" s="18" t="str">
        <f>IFERROR(__xludf.DUMMYFUNCTION("""COMPUTED_VALUE"""),"Not Assigned")</f>
        <v>Not Assigned</v>
      </c>
      <c r="G1951" s="19">
        <f>IFERROR(__xludf.DUMMYFUNCTION("""COMPUTED_VALUE"""),45266.0)</f>
        <v>45266</v>
      </c>
      <c r="H1951" s="18" t="str">
        <f>IFERROR(__xludf.DUMMYFUNCTION("""COMPUTED_VALUE"""),"Credit Card")</f>
        <v>Credit Card</v>
      </c>
      <c r="I1951" s="18" t="str">
        <f>IFERROR(__xludf.DUMMYFUNCTION("""COMPUTED_VALUE"""),"Cancelled")</f>
        <v>Cancelled</v>
      </c>
      <c r="J1951" s="18" t="str">
        <f>IFERROR(__xludf.DUMMYFUNCTION("""COMPUTED_VALUE"""),"High Delivery Fees")</f>
        <v>High Delivery Fees</v>
      </c>
      <c r="K1951" s="18"/>
      <c r="L1951" s="18">
        <f>iferror(VLOOKUP($D1951,Details!$A$2:$C$11,2,false),vlookup($D1951,Details!$E$2:$G$11,2,false))</f>
        <v>110</v>
      </c>
      <c r="M1951" s="18" t="str">
        <f>iferror(VLOOKUP($D1951,Details!$A$2:$C$11,3,false),vlookup($D1951,Details!$E$2:$G$11,3,false))</f>
        <v>Snacks and Drinks</v>
      </c>
      <c r="N1951" s="18">
        <f t="shared" si="1"/>
        <v>550</v>
      </c>
      <c r="O1951" s="17"/>
      <c r="P1951" s="17"/>
      <c r="Q1951" s="17"/>
      <c r="R1951" s="17"/>
      <c r="S1951" s="17"/>
      <c r="T1951" s="17"/>
      <c r="U1951" s="17"/>
      <c r="V1951" s="17"/>
      <c r="W1951" s="17"/>
      <c r="X1951" s="17"/>
      <c r="Y1951" s="17"/>
      <c r="Z1951" s="17"/>
    </row>
    <row r="1952">
      <c r="A1952" s="18" t="str">
        <f>IFERROR(__xludf.DUMMYFUNCTION("""COMPUTED_VALUE"""),"ord_81928")</f>
        <v>ord_81928</v>
      </c>
      <c r="B1952" s="18" t="str">
        <f>IFERROR(__xludf.DUMMYFUNCTION("""COMPUTED_VALUE"""),"Sakshi Tandon")</f>
        <v>Sakshi Tandon</v>
      </c>
      <c r="C1952" s="18" t="str">
        <f>IFERROR(__xludf.DUMMYFUNCTION("""COMPUTED_VALUE"""),"Colaba")</f>
        <v>Colaba</v>
      </c>
      <c r="D1952" s="18" t="str">
        <f>IFERROR(__xludf.DUMMYFUNCTION("""COMPUTED_VALUE"""),"Juice")</f>
        <v>Juice</v>
      </c>
      <c r="E1952" s="18">
        <f>IFERROR(__xludf.DUMMYFUNCTION("""COMPUTED_VALUE"""),3.0)</f>
        <v>3</v>
      </c>
      <c r="F1952" s="18" t="str">
        <f>IFERROR(__xludf.DUMMYFUNCTION("""COMPUTED_VALUE"""),"Manju Ajay")</f>
        <v>Manju Ajay</v>
      </c>
      <c r="G1952" s="19">
        <f>IFERROR(__xludf.DUMMYFUNCTION("""COMPUTED_VALUE"""),45163.0)</f>
        <v>45163</v>
      </c>
      <c r="H1952" s="18" t="str">
        <f>IFERROR(__xludf.DUMMYFUNCTION("""COMPUTED_VALUE"""),"Credit Card")</f>
        <v>Credit Card</v>
      </c>
      <c r="I1952" s="18" t="str">
        <f>IFERROR(__xludf.DUMMYFUNCTION("""COMPUTED_VALUE"""),"Delivered")</f>
        <v>Delivered</v>
      </c>
      <c r="J1952" s="18" t="str">
        <f>IFERROR(__xludf.DUMMYFUNCTION("""COMPUTED_VALUE"""),"Overall Satisfaction")</f>
        <v>Overall Satisfaction</v>
      </c>
      <c r="K1952" s="18" t="str">
        <f>IFERROR(__xludf.DUMMYFUNCTION("""COMPUTED_VALUE"""),"Great service will order again")</f>
        <v>Great service will order again</v>
      </c>
      <c r="L1952" s="18">
        <f>iferror(VLOOKUP($D1952,Details!$A$2:$C$11,2,false),vlookup($D1952,Details!$E$2:$G$11,2,false))</f>
        <v>90</v>
      </c>
      <c r="M1952" s="18" t="str">
        <f>iferror(VLOOKUP($D1952,Details!$A$2:$C$11,3,false),vlookup($D1952,Details!$E$2:$G$11,3,false))</f>
        <v>Snacks and Drinks</v>
      </c>
      <c r="N1952" s="18">
        <f t="shared" si="1"/>
        <v>270</v>
      </c>
      <c r="O1952" s="17"/>
      <c r="P1952" s="17"/>
      <c r="Q1952" s="17"/>
      <c r="R1952" s="17"/>
      <c r="S1952" s="17"/>
      <c r="T1952" s="17"/>
      <c r="U1952" s="17"/>
      <c r="V1952" s="17"/>
      <c r="W1952" s="17"/>
      <c r="X1952" s="17"/>
      <c r="Y1952" s="17"/>
      <c r="Z1952" s="17"/>
    </row>
    <row r="1953">
      <c r="A1953" s="18" t="str">
        <f>IFERROR(__xludf.DUMMYFUNCTION("""COMPUTED_VALUE"""),"ord_81929")</f>
        <v>ord_81929</v>
      </c>
      <c r="B1953" s="18" t="str">
        <f>IFERROR(__xludf.DUMMYFUNCTION("""COMPUTED_VALUE"""),"Kritika Shetty")</f>
        <v>Kritika Shetty</v>
      </c>
      <c r="C1953" s="18" t="str">
        <f>IFERROR(__xludf.DUMMYFUNCTION("""COMPUTED_VALUE"""),"Malad")</f>
        <v>Malad</v>
      </c>
      <c r="D1953" s="18" t="str">
        <f>IFERROR(__xludf.DUMMYFUNCTION("""COMPUTED_VALUE"""),"Tomato")</f>
        <v>Tomato</v>
      </c>
      <c r="E1953" s="18">
        <f>IFERROR(__xludf.DUMMYFUNCTION("""COMPUTED_VALUE"""),1.0)</f>
        <v>1</v>
      </c>
      <c r="F1953" s="18" t="str">
        <f>IFERROR(__xludf.DUMMYFUNCTION("""COMPUTED_VALUE"""),"Not Assigned")</f>
        <v>Not Assigned</v>
      </c>
      <c r="G1953" s="19">
        <f>IFERROR(__xludf.DUMMYFUNCTION("""COMPUTED_VALUE"""),44960.0)</f>
        <v>44960</v>
      </c>
      <c r="H1953" s="18" t="str">
        <f>IFERROR(__xludf.DUMMYFUNCTION("""COMPUTED_VALUE"""),"Credit Card")</f>
        <v>Credit Card</v>
      </c>
      <c r="I1953" s="18" t="str">
        <f>IFERROR(__xludf.DUMMYFUNCTION("""COMPUTED_VALUE"""),"Cancelled")</f>
        <v>Cancelled</v>
      </c>
      <c r="J1953" s="18" t="str">
        <f>IFERROR(__xludf.DUMMYFUNCTION("""COMPUTED_VALUE"""),"High Delivery Fees")</f>
        <v>High Delivery Fees</v>
      </c>
      <c r="K1953" s="18"/>
      <c r="L1953" s="18">
        <f>iferror(VLOOKUP($D1953,Details!$A$2:$C$11,2,false),vlookup($D1953,Details!$E$2:$G$11,2,false))</f>
        <v>25</v>
      </c>
      <c r="M1953" s="18" t="str">
        <f>iferror(VLOOKUP($D1953,Details!$A$2:$C$11,3,false),vlookup($D1953,Details!$E$2:$G$11,3,false))</f>
        <v>Fruits and Vegetables</v>
      </c>
      <c r="N1953" s="18">
        <f t="shared" si="1"/>
        <v>25</v>
      </c>
      <c r="O1953" s="17"/>
      <c r="P1953" s="17"/>
      <c r="Q1953" s="17"/>
      <c r="R1953" s="17"/>
      <c r="S1953" s="17"/>
      <c r="T1953" s="17"/>
      <c r="U1953" s="17"/>
      <c r="V1953" s="17"/>
      <c r="W1953" s="17"/>
      <c r="X1953" s="17"/>
      <c r="Y1953" s="17"/>
      <c r="Z1953" s="17"/>
    </row>
    <row r="1954">
      <c r="A1954" s="18" t="str">
        <f>IFERROR(__xludf.DUMMYFUNCTION("""COMPUTED_VALUE"""),"ord_81930")</f>
        <v>ord_81930</v>
      </c>
      <c r="B1954" s="18" t="str">
        <f>IFERROR(__xludf.DUMMYFUNCTION("""COMPUTED_VALUE"""),"Dev Chauhan")</f>
        <v>Dev Chauhan</v>
      </c>
      <c r="C1954" s="18" t="str">
        <f>IFERROR(__xludf.DUMMYFUNCTION("""COMPUTED_VALUE"""),"Bandra")</f>
        <v>Bandra</v>
      </c>
      <c r="D1954" s="18" t="str">
        <f>IFERROR(__xludf.DUMMYFUNCTION("""COMPUTED_VALUE"""),"Potato")</f>
        <v>Potato</v>
      </c>
      <c r="E1954" s="18">
        <f>IFERROR(__xludf.DUMMYFUNCTION("""COMPUTED_VALUE"""),1.0)</f>
        <v>1</v>
      </c>
      <c r="F1954" s="18" t="str">
        <f>IFERROR(__xludf.DUMMYFUNCTION("""COMPUTED_VALUE"""),"Shine Thomas")</f>
        <v>Shine Thomas</v>
      </c>
      <c r="G1954" s="19">
        <f>IFERROR(__xludf.DUMMYFUNCTION("""COMPUTED_VALUE"""),45126.0)</f>
        <v>45126</v>
      </c>
      <c r="H1954" s="18" t="str">
        <f>IFERROR(__xludf.DUMMYFUNCTION("""COMPUTED_VALUE"""),"UPI")</f>
        <v>UPI</v>
      </c>
      <c r="I1954" s="18" t="str">
        <f>IFERROR(__xludf.DUMMYFUNCTION("""COMPUTED_VALUE"""),"Delivered")</f>
        <v>Delivered</v>
      </c>
      <c r="J1954" s="18" t="str">
        <f>IFERROR(__xludf.DUMMYFUNCTION("""COMPUTED_VALUE"""),"On-time Delivery")</f>
        <v>On-time Delivery</v>
      </c>
      <c r="K1954" s="18" t="str">
        <f>IFERROR(__xludf.DUMMYFUNCTION("""COMPUTED_VALUE"""),"Delivered on time")</f>
        <v>Delivered on time</v>
      </c>
      <c r="L1954" s="18">
        <f>iferror(VLOOKUP($D1954,Details!$A$2:$C$11,2,false),vlookup($D1954,Details!$E$2:$G$11,2,false))</f>
        <v>55</v>
      </c>
      <c r="M1954" s="18" t="str">
        <f>iferror(VLOOKUP($D1954,Details!$A$2:$C$11,3,false),vlookup($D1954,Details!$E$2:$G$11,3,false))</f>
        <v>Fruits and Vegetables</v>
      </c>
      <c r="N1954" s="18">
        <f t="shared" si="1"/>
        <v>55</v>
      </c>
      <c r="O1954" s="17"/>
      <c r="P1954" s="17"/>
      <c r="Q1954" s="17"/>
      <c r="R1954" s="17"/>
      <c r="S1954" s="17"/>
      <c r="T1954" s="17"/>
      <c r="U1954" s="17"/>
      <c r="V1954" s="17"/>
      <c r="W1954" s="17"/>
      <c r="X1954" s="17"/>
      <c r="Y1954" s="17"/>
      <c r="Z1954" s="17"/>
    </row>
    <row r="1955">
      <c r="A1955" s="18" t="str">
        <f>IFERROR(__xludf.DUMMYFUNCTION("""COMPUTED_VALUE"""),"ord_81931")</f>
        <v>ord_81931</v>
      </c>
      <c r="B1955" s="18" t="str">
        <f>IFERROR(__xludf.DUMMYFUNCTION("""COMPUTED_VALUE"""),"Ritika Dutta")</f>
        <v>Ritika Dutta</v>
      </c>
      <c r="C1955" s="18" t="str">
        <f>IFERROR(__xludf.DUMMYFUNCTION("""COMPUTED_VALUE"""),"Lower Parel")</f>
        <v>Lower Parel</v>
      </c>
      <c r="D1955" s="18" t="str">
        <f>IFERROR(__xludf.DUMMYFUNCTION("""COMPUTED_VALUE"""),"Icecream")</f>
        <v>Icecream</v>
      </c>
      <c r="E1955" s="18">
        <f>IFERROR(__xludf.DUMMYFUNCTION("""COMPUTED_VALUE"""),7.0)</f>
        <v>7</v>
      </c>
      <c r="F1955" s="18" t="str">
        <f>IFERROR(__xludf.DUMMYFUNCTION("""COMPUTED_VALUE"""),"Vivek Kumar")</f>
        <v>Vivek Kumar</v>
      </c>
      <c r="G1955" s="19">
        <f>IFERROR(__xludf.DUMMYFUNCTION("""COMPUTED_VALUE"""),45157.0)</f>
        <v>45157</v>
      </c>
      <c r="H1955" s="18" t="str">
        <f>IFERROR(__xludf.DUMMYFUNCTION("""COMPUTED_VALUE"""),"UPI")</f>
        <v>UPI</v>
      </c>
      <c r="I1955" s="18" t="str">
        <f>IFERROR(__xludf.DUMMYFUNCTION("""COMPUTED_VALUE"""),"Delivered")</f>
        <v>Delivered</v>
      </c>
      <c r="J1955" s="18" t="str">
        <f>IFERROR(__xludf.DUMMYFUNCTION("""COMPUTED_VALUE"""),"Quality of Items")</f>
        <v>Quality of Items</v>
      </c>
      <c r="K1955" s="18" t="str">
        <f>IFERROR(__xludf.DUMMYFUNCTION("""COMPUTED_VALUE"""),"Perfect condition")</f>
        <v>Perfect condition</v>
      </c>
      <c r="L1955" s="18">
        <f>iferror(VLOOKUP($D1955,Details!$A$2:$C$11,2,false),vlookup($D1955,Details!$E$2:$G$11,2,false))</f>
        <v>90</v>
      </c>
      <c r="M1955" s="18" t="str">
        <f>iferror(VLOOKUP($D1955,Details!$A$2:$C$11,3,false),vlookup($D1955,Details!$E$2:$G$11,3,false))</f>
        <v>Snacks and Drinks</v>
      </c>
      <c r="N1955" s="18">
        <f t="shared" si="1"/>
        <v>630</v>
      </c>
      <c r="O1955" s="17"/>
      <c r="P1955" s="17"/>
      <c r="Q1955" s="17"/>
      <c r="R1955" s="17"/>
      <c r="S1955" s="17"/>
      <c r="T1955" s="17"/>
      <c r="U1955" s="17"/>
      <c r="V1955" s="17"/>
      <c r="W1955" s="17"/>
      <c r="X1955" s="17"/>
      <c r="Y1955" s="17"/>
      <c r="Z1955" s="17"/>
    </row>
    <row r="1956">
      <c r="A1956" s="18" t="str">
        <f>IFERROR(__xludf.DUMMYFUNCTION("""COMPUTED_VALUE"""),"ord_81932")</f>
        <v>ord_81932</v>
      </c>
      <c r="B1956" s="18" t="str">
        <f>IFERROR(__xludf.DUMMYFUNCTION("""COMPUTED_VALUE"""),"Anaya Rao")</f>
        <v>Anaya Rao</v>
      </c>
      <c r="C1956" s="18" t="str">
        <f>IFERROR(__xludf.DUMMYFUNCTION("""COMPUTED_VALUE"""),"Colaba")</f>
        <v>Colaba</v>
      </c>
      <c r="D1956" s="18" t="str">
        <f>IFERROR(__xludf.DUMMYFUNCTION("""COMPUTED_VALUE"""),"Onion")</f>
        <v>Onion</v>
      </c>
      <c r="E1956" s="18">
        <f>IFERROR(__xludf.DUMMYFUNCTION("""COMPUTED_VALUE"""),2.0)</f>
        <v>2</v>
      </c>
      <c r="F1956" s="18" t="str">
        <f>IFERROR(__xludf.DUMMYFUNCTION("""COMPUTED_VALUE"""),"Ram Gopal")</f>
        <v>Ram Gopal</v>
      </c>
      <c r="G1956" s="19">
        <f>IFERROR(__xludf.DUMMYFUNCTION("""COMPUTED_VALUE"""),45282.0)</f>
        <v>45282</v>
      </c>
      <c r="H1956" s="18" t="str">
        <f>IFERROR(__xludf.DUMMYFUNCTION("""COMPUTED_VALUE"""),"UPI")</f>
        <v>UPI</v>
      </c>
      <c r="I1956" s="18" t="str">
        <f>IFERROR(__xludf.DUMMYFUNCTION("""COMPUTED_VALUE"""),"Delivered")</f>
        <v>Delivered</v>
      </c>
      <c r="J1956" s="18" t="str">
        <f>IFERROR(__xludf.DUMMYFUNCTION("""COMPUTED_VALUE"""),"On-time Delivery")</f>
        <v>On-time Delivery</v>
      </c>
      <c r="K1956" s="18" t="str">
        <f>IFERROR(__xludf.DUMMYFUNCTION("""COMPUTED_VALUE"""),"Delivered on time")</f>
        <v>Delivered on time</v>
      </c>
      <c r="L1956" s="18">
        <f>iferror(VLOOKUP($D1956,Details!$A$2:$C$11,2,false),vlookup($D1956,Details!$E$2:$G$11,2,false))</f>
        <v>84</v>
      </c>
      <c r="M1956" s="18" t="str">
        <f>iferror(VLOOKUP($D1956,Details!$A$2:$C$11,3,false),vlookup($D1956,Details!$E$2:$G$11,3,false))</f>
        <v>Fruits and Vegetables</v>
      </c>
      <c r="N1956" s="18">
        <f t="shared" si="1"/>
        <v>168</v>
      </c>
      <c r="O1956" s="17"/>
      <c r="P1956" s="17"/>
      <c r="Q1956" s="17"/>
      <c r="R1956" s="17"/>
      <c r="S1956" s="17"/>
      <c r="T1956" s="17"/>
      <c r="U1956" s="17"/>
      <c r="V1956" s="17"/>
      <c r="W1956" s="17"/>
      <c r="X1956" s="17"/>
      <c r="Y1956" s="17"/>
      <c r="Z1956" s="17"/>
    </row>
    <row r="1957">
      <c r="A1957" s="18" t="str">
        <f>IFERROR(__xludf.DUMMYFUNCTION("""COMPUTED_VALUE"""),"ord_81933")</f>
        <v>ord_81933</v>
      </c>
      <c r="B1957" s="18" t="str">
        <f>IFERROR(__xludf.DUMMYFUNCTION("""COMPUTED_VALUE"""),"Aarohi Kapoor")</f>
        <v>Aarohi Kapoor</v>
      </c>
      <c r="C1957" s="18" t="str">
        <f>IFERROR(__xludf.DUMMYFUNCTION("""COMPUTED_VALUE"""),"Bandra")</f>
        <v>Bandra</v>
      </c>
      <c r="D1957" s="18" t="str">
        <f>IFERROR(__xludf.DUMMYFUNCTION("""COMPUTED_VALUE"""),"Juice")</f>
        <v>Juice</v>
      </c>
      <c r="E1957" s="18">
        <f>IFERROR(__xludf.DUMMYFUNCTION("""COMPUTED_VALUE"""),1.0)</f>
        <v>1</v>
      </c>
      <c r="F1957" s="18" t="str">
        <f>IFERROR(__xludf.DUMMYFUNCTION("""COMPUTED_VALUE"""),"Nithin Lal")</f>
        <v>Nithin Lal</v>
      </c>
      <c r="G1957" s="19">
        <f>IFERROR(__xludf.DUMMYFUNCTION("""COMPUTED_VALUE"""),45115.0)</f>
        <v>45115</v>
      </c>
      <c r="H1957" s="18" t="str">
        <f>IFERROR(__xludf.DUMMYFUNCTION("""COMPUTED_VALUE"""),"UPI")</f>
        <v>UPI</v>
      </c>
      <c r="I1957" s="18" t="str">
        <f>IFERROR(__xludf.DUMMYFUNCTION("""COMPUTED_VALUE"""),"Delivered")</f>
        <v>Delivered</v>
      </c>
      <c r="J1957" s="18" t="str">
        <f>IFERROR(__xludf.DUMMYFUNCTION("""COMPUTED_VALUE"""),"Quality of Items")</f>
        <v>Quality of Items</v>
      </c>
      <c r="K1957" s="18" t="str">
        <f>IFERROR(__xludf.DUMMYFUNCTION("""COMPUTED_VALUE"""),"Perfect condition")</f>
        <v>Perfect condition</v>
      </c>
      <c r="L1957" s="18">
        <f>iferror(VLOOKUP($D1957,Details!$A$2:$C$11,2,false),vlookup($D1957,Details!$E$2:$G$11,2,false))</f>
        <v>90</v>
      </c>
      <c r="M1957" s="18" t="str">
        <f>iferror(VLOOKUP($D1957,Details!$A$2:$C$11,3,false),vlookup($D1957,Details!$E$2:$G$11,3,false))</f>
        <v>Snacks and Drinks</v>
      </c>
      <c r="N1957" s="18">
        <f t="shared" si="1"/>
        <v>90</v>
      </c>
      <c r="O1957" s="17"/>
      <c r="P1957" s="17"/>
      <c r="Q1957" s="17"/>
      <c r="R1957" s="17"/>
      <c r="S1957" s="17"/>
      <c r="T1957" s="17"/>
      <c r="U1957" s="17"/>
      <c r="V1957" s="17"/>
      <c r="W1957" s="17"/>
      <c r="X1957" s="17"/>
      <c r="Y1957" s="17"/>
      <c r="Z1957" s="17"/>
    </row>
    <row r="1958">
      <c r="A1958" s="18" t="str">
        <f>IFERROR(__xludf.DUMMYFUNCTION("""COMPUTED_VALUE"""),"ord_81934")</f>
        <v>ord_81934</v>
      </c>
      <c r="B1958" s="18" t="str">
        <f>IFERROR(__xludf.DUMMYFUNCTION("""COMPUTED_VALUE"""),"Diya Arora")</f>
        <v>Diya Arora</v>
      </c>
      <c r="C1958" s="18" t="str">
        <f>IFERROR(__xludf.DUMMYFUNCTION("""COMPUTED_VALUE"""),"Lower Parel")</f>
        <v>Lower Parel</v>
      </c>
      <c r="D1958" s="18" t="str">
        <f>IFERROR(__xludf.DUMMYFUNCTION("""COMPUTED_VALUE"""),"Cucumber")</f>
        <v>Cucumber</v>
      </c>
      <c r="E1958" s="18">
        <f>IFERROR(__xludf.DUMMYFUNCTION("""COMPUTED_VALUE"""),2.0)</f>
        <v>2</v>
      </c>
      <c r="F1958" s="18" t="str">
        <f>IFERROR(__xludf.DUMMYFUNCTION("""COMPUTED_VALUE"""),"Not Assigned")</f>
        <v>Not Assigned</v>
      </c>
      <c r="G1958" s="19">
        <f>IFERROR(__xludf.DUMMYFUNCTION("""COMPUTED_VALUE"""),45206.0)</f>
        <v>45206</v>
      </c>
      <c r="H1958" s="18" t="str">
        <f>IFERROR(__xludf.DUMMYFUNCTION("""COMPUTED_VALUE"""),"Credit Card")</f>
        <v>Credit Card</v>
      </c>
      <c r="I1958" s="18" t="str">
        <f>IFERROR(__xludf.DUMMYFUNCTION("""COMPUTED_VALUE"""),"Cancelled")</f>
        <v>Cancelled</v>
      </c>
      <c r="J1958" s="18" t="str">
        <f>IFERROR(__xludf.DUMMYFUNCTION("""COMPUTED_VALUE"""),"Out of Stock")</f>
        <v>Out of Stock</v>
      </c>
      <c r="K1958" s="18"/>
      <c r="L1958" s="18">
        <f>iferror(VLOOKUP($D1958,Details!$A$2:$C$11,2,false),vlookup($D1958,Details!$E$2:$G$11,2,false))</f>
        <v>30</v>
      </c>
      <c r="M1958" s="18" t="str">
        <f>iferror(VLOOKUP($D1958,Details!$A$2:$C$11,3,false),vlookup($D1958,Details!$E$2:$G$11,3,false))</f>
        <v>Fruits and Vegetables</v>
      </c>
      <c r="N1958" s="18">
        <f t="shared" si="1"/>
        <v>60</v>
      </c>
      <c r="O1958" s="17"/>
      <c r="P1958" s="17"/>
      <c r="Q1958" s="17"/>
      <c r="R1958" s="17"/>
      <c r="S1958" s="17"/>
      <c r="T1958" s="17"/>
      <c r="U1958" s="17"/>
      <c r="V1958" s="17"/>
      <c r="W1958" s="17"/>
      <c r="X1958" s="17"/>
      <c r="Y1958" s="17"/>
      <c r="Z1958" s="17"/>
    </row>
    <row r="1959">
      <c r="A1959" s="18" t="str">
        <f>IFERROR(__xludf.DUMMYFUNCTION("""COMPUTED_VALUE"""),"ord_81935")</f>
        <v>ord_81935</v>
      </c>
      <c r="B1959" s="18" t="str">
        <f>IFERROR(__xludf.DUMMYFUNCTION("""COMPUTED_VALUE"""),"Siya Reddy")</f>
        <v>Siya Reddy</v>
      </c>
      <c r="C1959" s="18" t="str">
        <f>IFERROR(__xludf.DUMMYFUNCTION("""COMPUTED_VALUE"""),"Juhu")</f>
        <v>Juhu</v>
      </c>
      <c r="D1959" s="18" t="str">
        <f>IFERROR(__xludf.DUMMYFUNCTION("""COMPUTED_VALUE"""),"Cucumber")</f>
        <v>Cucumber</v>
      </c>
      <c r="E1959" s="18">
        <f>IFERROR(__xludf.DUMMYFUNCTION("""COMPUTED_VALUE"""),1.0)</f>
        <v>1</v>
      </c>
      <c r="F1959" s="18" t="str">
        <f>IFERROR(__xludf.DUMMYFUNCTION("""COMPUTED_VALUE"""),"Not Assigned")</f>
        <v>Not Assigned</v>
      </c>
      <c r="G1959" s="19">
        <f>IFERROR(__xludf.DUMMYFUNCTION("""COMPUTED_VALUE"""),45211.0)</f>
        <v>45211</v>
      </c>
      <c r="H1959" s="18" t="str">
        <f>IFERROR(__xludf.DUMMYFUNCTION("""COMPUTED_VALUE"""),"UPI")</f>
        <v>UPI</v>
      </c>
      <c r="I1959" s="18" t="str">
        <f>IFERROR(__xludf.DUMMYFUNCTION("""COMPUTED_VALUE"""),"Cancelled")</f>
        <v>Cancelled</v>
      </c>
      <c r="J1959" s="18" t="str">
        <f>IFERROR(__xludf.DUMMYFUNCTION("""COMPUTED_VALUE"""),"High Delivery Fees")</f>
        <v>High Delivery Fees</v>
      </c>
      <c r="K1959" s="18"/>
      <c r="L1959" s="18">
        <f>iferror(VLOOKUP($D1959,Details!$A$2:$C$11,2,false),vlookup($D1959,Details!$E$2:$G$11,2,false))</f>
        <v>30</v>
      </c>
      <c r="M1959" s="18" t="str">
        <f>iferror(VLOOKUP($D1959,Details!$A$2:$C$11,3,false),vlookup($D1959,Details!$E$2:$G$11,3,false))</f>
        <v>Fruits and Vegetables</v>
      </c>
      <c r="N1959" s="18">
        <f t="shared" si="1"/>
        <v>30</v>
      </c>
      <c r="O1959" s="17"/>
      <c r="P1959" s="17"/>
      <c r="Q1959" s="17"/>
      <c r="R1959" s="17"/>
      <c r="S1959" s="17"/>
      <c r="T1959" s="17"/>
      <c r="U1959" s="17"/>
      <c r="V1959" s="17"/>
      <c r="W1959" s="17"/>
      <c r="X1959" s="17"/>
      <c r="Y1959" s="17"/>
      <c r="Z1959" s="17"/>
    </row>
    <row r="1960">
      <c r="A1960" s="18" t="str">
        <f>IFERROR(__xludf.DUMMYFUNCTION("""COMPUTED_VALUE"""),"ord_81936")</f>
        <v>ord_81936</v>
      </c>
      <c r="B1960" s="18" t="str">
        <f>IFERROR(__xludf.DUMMYFUNCTION("""COMPUTED_VALUE"""),"Sanjay Nair")</f>
        <v>Sanjay Nair</v>
      </c>
      <c r="C1960" s="18" t="str">
        <f>IFERROR(__xludf.DUMMYFUNCTION("""COMPUTED_VALUE"""),"Dadar")</f>
        <v>Dadar</v>
      </c>
      <c r="D1960" s="18" t="str">
        <f>IFERROR(__xludf.DUMMYFUNCTION("""COMPUTED_VALUE"""),"Rasmalai")</f>
        <v>Rasmalai</v>
      </c>
      <c r="E1960" s="18">
        <f>IFERROR(__xludf.DUMMYFUNCTION("""COMPUTED_VALUE"""),3.0)</f>
        <v>3</v>
      </c>
      <c r="F1960" s="18" t="str">
        <f>IFERROR(__xludf.DUMMYFUNCTION("""COMPUTED_VALUE"""),"Not Assigned")</f>
        <v>Not Assigned</v>
      </c>
      <c r="G1960" s="19">
        <f>IFERROR(__xludf.DUMMYFUNCTION("""COMPUTED_VALUE"""),45187.0)</f>
        <v>45187</v>
      </c>
      <c r="H1960" s="18" t="str">
        <f>IFERROR(__xludf.DUMMYFUNCTION("""COMPUTED_VALUE"""),"Online Payment")</f>
        <v>Online Payment</v>
      </c>
      <c r="I1960" s="18" t="str">
        <f>IFERROR(__xludf.DUMMYFUNCTION("""COMPUTED_VALUE"""),"Cancelled")</f>
        <v>Cancelled</v>
      </c>
      <c r="J1960" s="18" t="str">
        <f>IFERROR(__xludf.DUMMYFUNCTION("""COMPUTED_VALUE"""),"Payment Issues")</f>
        <v>Payment Issues</v>
      </c>
      <c r="K1960" s="18"/>
      <c r="L1960" s="18">
        <f>iferror(VLOOKUP($D1960,Details!$A$2:$C$11,2,false),vlookup($D1960,Details!$E$2:$G$11,2,false))</f>
        <v>110</v>
      </c>
      <c r="M1960" s="18" t="str">
        <f>iferror(VLOOKUP($D1960,Details!$A$2:$C$11,3,false),vlookup($D1960,Details!$E$2:$G$11,3,false))</f>
        <v>Snacks and Drinks</v>
      </c>
      <c r="N1960" s="18">
        <f t="shared" si="1"/>
        <v>330</v>
      </c>
      <c r="O1960" s="17"/>
      <c r="P1960" s="17"/>
      <c r="Q1960" s="17"/>
      <c r="R1960" s="17"/>
      <c r="S1960" s="17"/>
      <c r="T1960" s="17"/>
      <c r="U1960" s="17"/>
      <c r="V1960" s="17"/>
      <c r="W1960" s="17"/>
      <c r="X1960" s="17"/>
      <c r="Y1960" s="17"/>
      <c r="Z1960" s="17"/>
    </row>
    <row r="1961">
      <c r="A1961" s="18" t="str">
        <f>IFERROR(__xludf.DUMMYFUNCTION("""COMPUTED_VALUE"""),"ord_81937")</f>
        <v>ord_81937</v>
      </c>
      <c r="B1961" s="18" t="str">
        <f>IFERROR(__xludf.DUMMYFUNCTION("""COMPUTED_VALUE"""),"Parth Goel")</f>
        <v>Parth Goel</v>
      </c>
      <c r="C1961" s="18" t="str">
        <f>IFERROR(__xludf.DUMMYFUNCTION("""COMPUTED_VALUE"""),"Juhu")</f>
        <v>Juhu</v>
      </c>
      <c r="D1961" s="18" t="str">
        <f>IFERROR(__xludf.DUMMYFUNCTION("""COMPUTED_VALUE"""),"Cucumber")</f>
        <v>Cucumber</v>
      </c>
      <c r="E1961" s="18">
        <f>IFERROR(__xludf.DUMMYFUNCTION("""COMPUTED_VALUE"""),2.0)</f>
        <v>2</v>
      </c>
      <c r="F1961" s="18" t="str">
        <f>IFERROR(__xludf.DUMMYFUNCTION("""COMPUTED_VALUE"""),"Manju Ajay")</f>
        <v>Manju Ajay</v>
      </c>
      <c r="G1961" s="19">
        <f>IFERROR(__xludf.DUMMYFUNCTION("""COMPUTED_VALUE"""),44980.0)</f>
        <v>44980</v>
      </c>
      <c r="H1961" s="18" t="str">
        <f>IFERROR(__xludf.DUMMYFUNCTION("""COMPUTED_VALUE"""),"Online Payment")</f>
        <v>Online Payment</v>
      </c>
      <c r="I1961" s="18" t="str">
        <f>IFERROR(__xludf.DUMMYFUNCTION("""COMPUTED_VALUE"""),"Delivered")</f>
        <v>Delivered</v>
      </c>
      <c r="J1961" s="18" t="str">
        <f>IFERROR(__xludf.DUMMYFUNCTION("""COMPUTED_VALUE"""),"Packaging")</f>
        <v>Packaging</v>
      </c>
      <c r="K1961" s="18" t="str">
        <f>IFERROR(__xludf.DUMMYFUNCTION("""COMPUTED_VALUE"""),"Secure and intact")</f>
        <v>Secure and intact</v>
      </c>
      <c r="L1961" s="18">
        <f>iferror(VLOOKUP($D1961,Details!$A$2:$C$11,2,false),vlookup($D1961,Details!$E$2:$G$11,2,false))</f>
        <v>30</v>
      </c>
      <c r="M1961" s="18" t="str">
        <f>iferror(VLOOKUP($D1961,Details!$A$2:$C$11,3,false),vlookup($D1961,Details!$E$2:$G$11,3,false))</f>
        <v>Fruits and Vegetables</v>
      </c>
      <c r="N1961" s="18">
        <f t="shared" si="1"/>
        <v>60</v>
      </c>
      <c r="O1961" s="17"/>
      <c r="P1961" s="17"/>
      <c r="Q1961" s="17"/>
      <c r="R1961" s="17"/>
      <c r="S1961" s="17"/>
      <c r="T1961" s="17"/>
      <c r="U1961" s="17"/>
      <c r="V1961" s="17"/>
      <c r="W1961" s="17"/>
      <c r="X1961" s="17"/>
      <c r="Y1961" s="17"/>
      <c r="Z1961" s="17"/>
    </row>
    <row r="1962">
      <c r="A1962" s="18" t="str">
        <f>IFERROR(__xludf.DUMMYFUNCTION("""COMPUTED_VALUE"""),"ord_81938")</f>
        <v>ord_81938</v>
      </c>
      <c r="B1962" s="18" t="str">
        <f>IFERROR(__xludf.DUMMYFUNCTION("""COMPUTED_VALUE"""),"Pranav Joshi")</f>
        <v>Pranav Joshi</v>
      </c>
      <c r="C1962" s="18" t="str">
        <f>IFERROR(__xludf.DUMMYFUNCTION("""COMPUTED_VALUE"""),"Andheri")</f>
        <v>Andheri</v>
      </c>
      <c r="D1962" s="18" t="str">
        <f>IFERROR(__xludf.DUMMYFUNCTION("""COMPUTED_VALUE"""),"Popcorn")</f>
        <v>Popcorn</v>
      </c>
      <c r="E1962" s="18">
        <f>IFERROR(__xludf.DUMMYFUNCTION("""COMPUTED_VALUE"""),2.0)</f>
        <v>2</v>
      </c>
      <c r="F1962" s="18" t="str">
        <f>IFERROR(__xludf.DUMMYFUNCTION("""COMPUTED_VALUE"""),"Ramesh S")</f>
        <v>Ramesh S</v>
      </c>
      <c r="G1962" s="19">
        <f>IFERROR(__xludf.DUMMYFUNCTION("""COMPUTED_VALUE"""),44985.0)</f>
        <v>44985</v>
      </c>
      <c r="H1962" s="18" t="str">
        <f>IFERROR(__xludf.DUMMYFUNCTION("""COMPUTED_VALUE"""),"Online Payment")</f>
        <v>Online Payment</v>
      </c>
      <c r="I1962" s="18" t="str">
        <f>IFERROR(__xludf.DUMMYFUNCTION("""COMPUTED_VALUE"""),"Cancelled")</f>
        <v>Cancelled</v>
      </c>
      <c r="J1962" s="18" t="str">
        <f>IFERROR(__xludf.DUMMYFUNCTION("""COMPUTED_VALUE"""),"Delayed Delivery")</f>
        <v>Delayed Delivery</v>
      </c>
      <c r="K1962" s="18" t="str">
        <f>IFERROR(__xludf.DUMMYFUNCTION("""COMPUTED_VALUE"""),"Heavy Traffic")</f>
        <v>Heavy Traffic</v>
      </c>
      <c r="L1962" s="18">
        <f>iferror(VLOOKUP($D1962,Details!$A$2:$C$11,2,false),vlookup($D1962,Details!$E$2:$G$11,2,false))</f>
        <v>150</v>
      </c>
      <c r="M1962" s="18" t="str">
        <f>iferror(VLOOKUP($D1962,Details!$A$2:$C$11,3,false),vlookup($D1962,Details!$E$2:$G$11,3,false))</f>
        <v>Snacks and Drinks</v>
      </c>
      <c r="N1962" s="18">
        <f t="shared" si="1"/>
        <v>300</v>
      </c>
      <c r="O1962" s="17"/>
      <c r="P1962" s="17"/>
      <c r="Q1962" s="17"/>
      <c r="R1962" s="17"/>
      <c r="S1962" s="17"/>
      <c r="T1962" s="17"/>
      <c r="U1962" s="17"/>
      <c r="V1962" s="17"/>
      <c r="W1962" s="17"/>
      <c r="X1962" s="17"/>
      <c r="Y1962" s="17"/>
      <c r="Z1962" s="17"/>
    </row>
    <row r="1963">
      <c r="A1963" s="18" t="str">
        <f>IFERROR(__xludf.DUMMYFUNCTION("""COMPUTED_VALUE"""),"ord_81939")</f>
        <v>ord_81939</v>
      </c>
      <c r="B1963" s="18" t="str">
        <f>IFERROR(__xludf.DUMMYFUNCTION("""COMPUTED_VALUE"""),"Pallavi Ghosh")</f>
        <v>Pallavi Ghosh</v>
      </c>
      <c r="C1963" s="18" t="str">
        <f>IFERROR(__xludf.DUMMYFUNCTION("""COMPUTED_VALUE"""),"Bandra")</f>
        <v>Bandra</v>
      </c>
      <c r="D1963" s="18" t="str">
        <f>IFERROR(__xludf.DUMMYFUNCTION("""COMPUTED_VALUE"""),"Guava")</f>
        <v>Guava</v>
      </c>
      <c r="E1963" s="18">
        <f>IFERROR(__xludf.DUMMYFUNCTION("""COMPUTED_VALUE"""),2.0)</f>
        <v>2</v>
      </c>
      <c r="F1963" s="18" t="str">
        <f>IFERROR(__xludf.DUMMYFUNCTION("""COMPUTED_VALUE"""),"Sita T")</f>
        <v>Sita T</v>
      </c>
      <c r="G1963" s="19">
        <f>IFERROR(__xludf.DUMMYFUNCTION("""COMPUTED_VALUE"""),45210.0)</f>
        <v>45210</v>
      </c>
      <c r="H1963" s="18" t="str">
        <f>IFERROR(__xludf.DUMMYFUNCTION("""COMPUTED_VALUE"""),"UPI")</f>
        <v>UPI</v>
      </c>
      <c r="I1963" s="18" t="str">
        <f>IFERROR(__xludf.DUMMYFUNCTION("""COMPUTED_VALUE"""),"Delivered")</f>
        <v>Delivered</v>
      </c>
      <c r="J1963" s="18" t="str">
        <f>IFERROR(__xludf.DUMMYFUNCTION("""COMPUTED_VALUE"""),"Satisfied with the Delivery")</f>
        <v>Satisfied with the Delivery</v>
      </c>
      <c r="K1963" s="18" t="str">
        <f>IFERROR(__xludf.DUMMYFUNCTION("""COMPUTED_VALUE"""),"Timely and quality")</f>
        <v>Timely and quality</v>
      </c>
      <c r="L1963" s="18">
        <f>iferror(VLOOKUP($D1963,Details!$A$2:$C$11,2,false),vlookup($D1963,Details!$E$2:$G$11,2,false))</f>
        <v>70</v>
      </c>
      <c r="M1963" s="18" t="str">
        <f>iferror(VLOOKUP($D1963,Details!$A$2:$C$11,3,false),vlookup($D1963,Details!$E$2:$G$11,3,false))</f>
        <v>Fruits and Vegetables</v>
      </c>
      <c r="N1963" s="18">
        <f t="shared" si="1"/>
        <v>140</v>
      </c>
      <c r="O1963" s="17"/>
      <c r="P1963" s="17"/>
      <c r="Q1963" s="17"/>
      <c r="R1963" s="17"/>
      <c r="S1963" s="17"/>
      <c r="T1963" s="17"/>
      <c r="U1963" s="17"/>
      <c r="V1963" s="17"/>
      <c r="W1963" s="17"/>
      <c r="X1963" s="17"/>
      <c r="Y1963" s="17"/>
      <c r="Z1963" s="17"/>
    </row>
    <row r="1964">
      <c r="A1964" s="18" t="str">
        <f>IFERROR(__xludf.DUMMYFUNCTION("""COMPUTED_VALUE"""),"ord_81940")</f>
        <v>ord_81940</v>
      </c>
      <c r="B1964" s="18" t="str">
        <f>IFERROR(__xludf.DUMMYFUNCTION("""COMPUTED_VALUE"""),"Sanjay Nair")</f>
        <v>Sanjay Nair</v>
      </c>
      <c r="C1964" s="18" t="str">
        <f>IFERROR(__xludf.DUMMYFUNCTION("""COMPUTED_VALUE"""),"Dadar")</f>
        <v>Dadar</v>
      </c>
      <c r="D1964" s="18" t="str">
        <f>IFERROR(__xludf.DUMMYFUNCTION("""COMPUTED_VALUE"""),"Icecream")</f>
        <v>Icecream</v>
      </c>
      <c r="E1964" s="18">
        <f>IFERROR(__xludf.DUMMYFUNCTION("""COMPUTED_VALUE"""),3.0)</f>
        <v>3</v>
      </c>
      <c r="F1964" s="18" t="str">
        <f>IFERROR(__xludf.DUMMYFUNCTION("""COMPUTED_VALUE"""),"Vivek Kumar")</f>
        <v>Vivek Kumar</v>
      </c>
      <c r="G1964" s="19">
        <f>IFERROR(__xludf.DUMMYFUNCTION("""COMPUTED_VALUE"""),45274.0)</f>
        <v>45274</v>
      </c>
      <c r="H1964" s="18" t="str">
        <f>IFERROR(__xludf.DUMMYFUNCTION("""COMPUTED_VALUE"""),"UPI")</f>
        <v>UPI</v>
      </c>
      <c r="I1964" s="18" t="str">
        <f>IFERROR(__xludf.DUMMYFUNCTION("""COMPUTED_VALUE"""),"Delivered")</f>
        <v>Delivered</v>
      </c>
      <c r="J1964" s="18" t="str">
        <f>IFERROR(__xludf.DUMMYFUNCTION("""COMPUTED_VALUE"""),"Customer Service")</f>
        <v>Customer Service</v>
      </c>
      <c r="K1964" s="18" t="str">
        <f>IFERROR(__xludf.DUMMYFUNCTION("""COMPUTED_VALUE"""),"Seamless and easy")</f>
        <v>Seamless and easy</v>
      </c>
      <c r="L1964" s="18">
        <f>iferror(VLOOKUP($D1964,Details!$A$2:$C$11,2,false),vlookup($D1964,Details!$E$2:$G$11,2,false))</f>
        <v>90</v>
      </c>
      <c r="M1964" s="18" t="str">
        <f>iferror(VLOOKUP($D1964,Details!$A$2:$C$11,3,false),vlookup($D1964,Details!$E$2:$G$11,3,false))</f>
        <v>Snacks and Drinks</v>
      </c>
      <c r="N1964" s="18">
        <f t="shared" si="1"/>
        <v>270</v>
      </c>
      <c r="O1964" s="17"/>
      <c r="P1964" s="17"/>
      <c r="Q1964" s="17"/>
      <c r="R1964" s="17"/>
      <c r="S1964" s="17"/>
      <c r="T1964" s="17"/>
      <c r="U1964" s="17"/>
      <c r="V1964" s="17"/>
      <c r="W1964" s="17"/>
      <c r="X1964" s="17"/>
      <c r="Y1964" s="17"/>
      <c r="Z1964" s="17"/>
    </row>
    <row r="1965">
      <c r="A1965" s="18" t="str">
        <f>IFERROR(__xludf.DUMMYFUNCTION("""COMPUTED_VALUE"""),"ord_81941")</f>
        <v>ord_81941</v>
      </c>
      <c r="B1965" s="18" t="str">
        <f>IFERROR(__xludf.DUMMYFUNCTION("""COMPUTED_VALUE"""),"Ishita Banerjee")</f>
        <v>Ishita Banerjee</v>
      </c>
      <c r="C1965" s="18" t="str">
        <f>IFERROR(__xludf.DUMMYFUNCTION("""COMPUTED_VALUE"""),"Juhu")</f>
        <v>Juhu</v>
      </c>
      <c r="D1965" s="18" t="str">
        <f>IFERROR(__xludf.DUMMYFUNCTION("""COMPUTED_VALUE"""),"Onion")</f>
        <v>Onion</v>
      </c>
      <c r="E1965" s="18">
        <f>IFERROR(__xludf.DUMMYFUNCTION("""COMPUTED_VALUE"""),1.0)</f>
        <v>1</v>
      </c>
      <c r="F1965" s="18" t="str">
        <f>IFERROR(__xludf.DUMMYFUNCTION("""COMPUTED_VALUE"""),"Priya Joshi")</f>
        <v>Priya Joshi</v>
      </c>
      <c r="G1965" s="19">
        <f>IFERROR(__xludf.DUMMYFUNCTION("""COMPUTED_VALUE"""),45135.0)</f>
        <v>45135</v>
      </c>
      <c r="H1965" s="18" t="str">
        <f>IFERROR(__xludf.DUMMYFUNCTION("""COMPUTED_VALUE"""),"Credit Card")</f>
        <v>Credit Card</v>
      </c>
      <c r="I1965" s="18" t="str">
        <f>IFERROR(__xludf.DUMMYFUNCTION("""COMPUTED_VALUE"""),"Cancelled")</f>
        <v>Cancelled</v>
      </c>
      <c r="J1965" s="18" t="str">
        <f>IFERROR(__xludf.DUMMYFUNCTION("""COMPUTED_VALUE"""),"Delayed Delivery")</f>
        <v>Delayed Delivery</v>
      </c>
      <c r="K1965" s="18" t="str">
        <f>IFERROR(__xludf.DUMMYFUNCTION("""COMPUTED_VALUE"""),"Vehicle Breakdown")</f>
        <v>Vehicle Breakdown</v>
      </c>
      <c r="L1965" s="18">
        <f>iferror(VLOOKUP($D1965,Details!$A$2:$C$11,2,false),vlookup($D1965,Details!$E$2:$G$11,2,false))</f>
        <v>84</v>
      </c>
      <c r="M1965" s="18" t="str">
        <f>iferror(VLOOKUP($D1965,Details!$A$2:$C$11,3,false),vlookup($D1965,Details!$E$2:$G$11,3,false))</f>
        <v>Fruits and Vegetables</v>
      </c>
      <c r="N1965" s="18">
        <f t="shared" si="1"/>
        <v>84</v>
      </c>
      <c r="O1965" s="17"/>
      <c r="P1965" s="17"/>
      <c r="Q1965" s="17"/>
      <c r="R1965" s="17"/>
      <c r="S1965" s="17"/>
      <c r="T1965" s="17"/>
      <c r="U1965" s="17"/>
      <c r="V1965" s="17"/>
      <c r="W1965" s="17"/>
      <c r="X1965" s="17"/>
      <c r="Y1965" s="17"/>
      <c r="Z1965" s="17"/>
    </row>
    <row r="1966">
      <c r="A1966" s="18" t="str">
        <f>IFERROR(__xludf.DUMMYFUNCTION("""COMPUTED_VALUE"""),"ord_81942")</f>
        <v>ord_81942</v>
      </c>
      <c r="B1966" s="18" t="str">
        <f>IFERROR(__xludf.DUMMYFUNCTION("""COMPUTED_VALUE"""),"Sakshi Tandon")</f>
        <v>Sakshi Tandon</v>
      </c>
      <c r="C1966" s="18" t="str">
        <f>IFERROR(__xludf.DUMMYFUNCTION("""COMPUTED_VALUE"""),"Colaba")</f>
        <v>Colaba</v>
      </c>
      <c r="D1966" s="18" t="str">
        <f>IFERROR(__xludf.DUMMYFUNCTION("""COMPUTED_VALUE"""),"Apple")</f>
        <v>Apple</v>
      </c>
      <c r="E1966" s="18">
        <f>IFERROR(__xludf.DUMMYFUNCTION("""COMPUTED_VALUE"""),2.0)</f>
        <v>2</v>
      </c>
      <c r="F1966" s="18" t="str">
        <f>IFERROR(__xludf.DUMMYFUNCTION("""COMPUTED_VALUE"""),"Ramesh S")</f>
        <v>Ramesh S</v>
      </c>
      <c r="G1966" s="19">
        <f>IFERROR(__xludf.DUMMYFUNCTION("""COMPUTED_VALUE"""),45265.0)</f>
        <v>45265</v>
      </c>
      <c r="H1966" s="18" t="str">
        <f>IFERROR(__xludf.DUMMYFUNCTION("""COMPUTED_VALUE"""),"Online Payment")</f>
        <v>Online Payment</v>
      </c>
      <c r="I1966" s="18" t="str">
        <f>IFERROR(__xludf.DUMMYFUNCTION("""COMPUTED_VALUE"""),"Delivered")</f>
        <v>Delivered</v>
      </c>
      <c r="J1966" s="18" t="str">
        <f>IFERROR(__xludf.DUMMYFUNCTION("""COMPUTED_VALUE"""),"Delivery Experience")</f>
        <v>Delivery Experience</v>
      </c>
      <c r="K1966" s="18" t="str">
        <f>IFERROR(__xludf.DUMMYFUNCTION("""COMPUTED_VALUE"""),"Quick and professional")</f>
        <v>Quick and professional</v>
      </c>
      <c r="L1966" s="18">
        <f>iferror(VLOOKUP($D1966,Details!$A$2:$C$11,2,false),vlookup($D1966,Details!$E$2:$G$11,2,false))</f>
        <v>230</v>
      </c>
      <c r="M1966" s="18" t="str">
        <f>iferror(VLOOKUP($D1966,Details!$A$2:$C$11,3,false),vlookup($D1966,Details!$E$2:$G$11,3,false))</f>
        <v>Fruits and Vegetables</v>
      </c>
      <c r="N1966" s="18">
        <f t="shared" si="1"/>
        <v>460</v>
      </c>
      <c r="O1966" s="17"/>
      <c r="P1966" s="17"/>
      <c r="Q1966" s="17"/>
      <c r="R1966" s="17"/>
      <c r="S1966" s="17"/>
      <c r="T1966" s="17"/>
      <c r="U1966" s="17"/>
      <c r="V1966" s="17"/>
      <c r="W1966" s="17"/>
      <c r="X1966" s="17"/>
      <c r="Y1966" s="17"/>
      <c r="Z1966" s="17"/>
    </row>
    <row r="1967">
      <c r="A1967" s="18" t="str">
        <f>IFERROR(__xludf.DUMMYFUNCTION("""COMPUTED_VALUE"""),"ord_81943")</f>
        <v>ord_81943</v>
      </c>
      <c r="B1967" s="18" t="str">
        <f>IFERROR(__xludf.DUMMYFUNCTION("""COMPUTED_VALUE"""),"Simran Bhatt")</f>
        <v>Simran Bhatt</v>
      </c>
      <c r="C1967" s="18" t="str">
        <f>IFERROR(__xludf.DUMMYFUNCTION("""COMPUTED_VALUE"""),"Juhu")</f>
        <v>Juhu</v>
      </c>
      <c r="D1967" s="18" t="str">
        <f>IFERROR(__xludf.DUMMYFUNCTION("""COMPUTED_VALUE"""),"Rasmalai")</f>
        <v>Rasmalai</v>
      </c>
      <c r="E1967" s="18">
        <f>IFERROR(__xludf.DUMMYFUNCTION("""COMPUTED_VALUE"""),5.0)</f>
        <v>5</v>
      </c>
      <c r="F1967" s="18" t="str">
        <f>IFERROR(__xludf.DUMMYFUNCTION("""COMPUTED_VALUE"""),"Nithin Lal")</f>
        <v>Nithin Lal</v>
      </c>
      <c r="G1967" s="19">
        <f>IFERROR(__xludf.DUMMYFUNCTION("""COMPUTED_VALUE"""),45216.0)</f>
        <v>45216</v>
      </c>
      <c r="H1967" s="18" t="str">
        <f>IFERROR(__xludf.DUMMYFUNCTION("""COMPUTED_VALUE"""),"Online Payment")</f>
        <v>Online Payment</v>
      </c>
      <c r="I1967" s="18" t="str">
        <f>IFERROR(__xludf.DUMMYFUNCTION("""COMPUTED_VALUE"""),"Delivered")</f>
        <v>Delivered</v>
      </c>
      <c r="J1967" s="18" t="str">
        <f>IFERROR(__xludf.DUMMYFUNCTION("""COMPUTED_VALUE"""),"Convenience")</f>
        <v>Convenience</v>
      </c>
      <c r="K1967" s="18" t="str">
        <f>IFERROR(__xludf.DUMMYFUNCTION("""COMPUTED_VALUE"""),"Easy tracking")</f>
        <v>Easy tracking</v>
      </c>
      <c r="L1967" s="18">
        <f>iferror(VLOOKUP($D1967,Details!$A$2:$C$11,2,false),vlookup($D1967,Details!$E$2:$G$11,2,false))</f>
        <v>110</v>
      </c>
      <c r="M1967" s="18" t="str">
        <f>iferror(VLOOKUP($D1967,Details!$A$2:$C$11,3,false),vlookup($D1967,Details!$E$2:$G$11,3,false))</f>
        <v>Snacks and Drinks</v>
      </c>
      <c r="N1967" s="18">
        <f t="shared" si="1"/>
        <v>550</v>
      </c>
      <c r="O1967" s="17"/>
      <c r="P1967" s="17"/>
      <c r="Q1967" s="17"/>
      <c r="R1967" s="17"/>
      <c r="S1967" s="17"/>
      <c r="T1967" s="17"/>
      <c r="U1967" s="17"/>
      <c r="V1967" s="17"/>
      <c r="W1967" s="17"/>
      <c r="X1967" s="17"/>
      <c r="Y1967" s="17"/>
      <c r="Z1967" s="17"/>
    </row>
    <row r="1968">
      <c r="A1968" s="18" t="str">
        <f>IFERROR(__xludf.DUMMYFUNCTION("""COMPUTED_VALUE"""),"ord_81944")</f>
        <v>ord_81944</v>
      </c>
      <c r="B1968" s="18" t="str">
        <f>IFERROR(__xludf.DUMMYFUNCTION("""COMPUTED_VALUE"""),"Ritika Dutta")</f>
        <v>Ritika Dutta</v>
      </c>
      <c r="C1968" s="18" t="str">
        <f>IFERROR(__xludf.DUMMYFUNCTION("""COMPUTED_VALUE"""),"Lower Parel")</f>
        <v>Lower Parel</v>
      </c>
      <c r="D1968" s="18" t="str">
        <f>IFERROR(__xludf.DUMMYFUNCTION("""COMPUTED_VALUE"""),"Icecream")</f>
        <v>Icecream</v>
      </c>
      <c r="E1968" s="18">
        <f>IFERROR(__xludf.DUMMYFUNCTION("""COMPUTED_VALUE"""),8.0)</f>
        <v>8</v>
      </c>
      <c r="F1968" s="18" t="str">
        <f>IFERROR(__xludf.DUMMYFUNCTION("""COMPUTED_VALUE"""),"Ramesh S")</f>
        <v>Ramesh S</v>
      </c>
      <c r="G1968" s="19">
        <f>IFERROR(__xludf.DUMMYFUNCTION("""COMPUTED_VALUE"""),45210.0)</f>
        <v>45210</v>
      </c>
      <c r="H1968" s="18" t="str">
        <f>IFERROR(__xludf.DUMMYFUNCTION("""COMPUTED_VALUE"""),"UPI")</f>
        <v>UPI</v>
      </c>
      <c r="I1968" s="18" t="str">
        <f>IFERROR(__xludf.DUMMYFUNCTION("""COMPUTED_VALUE"""),"Delivered")</f>
        <v>Delivered</v>
      </c>
      <c r="J1968" s="18" t="str">
        <f>IFERROR(__xludf.DUMMYFUNCTION("""COMPUTED_VALUE"""),"Overall Satisfaction")</f>
        <v>Overall Satisfaction</v>
      </c>
      <c r="K1968" s="18" t="str">
        <f>IFERROR(__xludf.DUMMYFUNCTION("""COMPUTED_VALUE"""),"Great service will order again")</f>
        <v>Great service will order again</v>
      </c>
      <c r="L1968" s="18">
        <f>iferror(VLOOKUP($D1968,Details!$A$2:$C$11,2,false),vlookup($D1968,Details!$E$2:$G$11,2,false))</f>
        <v>90</v>
      </c>
      <c r="M1968" s="18" t="str">
        <f>iferror(VLOOKUP($D1968,Details!$A$2:$C$11,3,false),vlookup($D1968,Details!$E$2:$G$11,3,false))</f>
        <v>Snacks and Drinks</v>
      </c>
      <c r="N1968" s="18">
        <f t="shared" si="1"/>
        <v>720</v>
      </c>
      <c r="O1968" s="17"/>
      <c r="P1968" s="17"/>
      <c r="Q1968" s="17"/>
      <c r="R1968" s="17"/>
      <c r="S1968" s="17"/>
      <c r="T1968" s="17"/>
      <c r="U1968" s="17"/>
      <c r="V1968" s="17"/>
      <c r="W1968" s="17"/>
      <c r="X1968" s="17"/>
      <c r="Y1968" s="17"/>
      <c r="Z1968" s="17"/>
    </row>
    <row r="1969">
      <c r="A1969" s="18" t="str">
        <f>IFERROR(__xludf.DUMMYFUNCTION("""COMPUTED_VALUE"""),"ord_81945")</f>
        <v>ord_81945</v>
      </c>
      <c r="B1969" s="18" t="str">
        <f>IFERROR(__xludf.DUMMYFUNCTION("""COMPUTED_VALUE"""),"Arvind Kulkarni")</f>
        <v>Arvind Kulkarni</v>
      </c>
      <c r="C1969" s="18" t="str">
        <f>IFERROR(__xludf.DUMMYFUNCTION("""COMPUTED_VALUE"""),"Juhu")</f>
        <v>Juhu</v>
      </c>
      <c r="D1969" s="18" t="str">
        <f>IFERROR(__xludf.DUMMYFUNCTION("""COMPUTED_VALUE"""),"Apple")</f>
        <v>Apple</v>
      </c>
      <c r="E1969" s="18">
        <f>IFERROR(__xludf.DUMMYFUNCTION("""COMPUTED_VALUE"""),1.0)</f>
        <v>1</v>
      </c>
      <c r="F1969" s="18" t="str">
        <f>IFERROR(__xludf.DUMMYFUNCTION("""COMPUTED_VALUE"""),"Ram Gopal")</f>
        <v>Ram Gopal</v>
      </c>
      <c r="G1969" s="19">
        <f>IFERROR(__xludf.DUMMYFUNCTION("""COMPUTED_VALUE"""),45205.0)</f>
        <v>45205</v>
      </c>
      <c r="H1969" s="18" t="str">
        <f>IFERROR(__xludf.DUMMYFUNCTION("""COMPUTED_VALUE"""),"Credit Card")</f>
        <v>Credit Card</v>
      </c>
      <c r="I1969" s="18" t="str">
        <f>IFERROR(__xludf.DUMMYFUNCTION("""COMPUTED_VALUE"""),"Cancelled")</f>
        <v>Cancelled</v>
      </c>
      <c r="J1969" s="18" t="str">
        <f>IFERROR(__xludf.DUMMYFUNCTION("""COMPUTED_VALUE"""),"Delayed Delivery")</f>
        <v>Delayed Delivery</v>
      </c>
      <c r="K1969" s="18" t="str">
        <f>IFERROR(__xludf.DUMMYFUNCTION("""COMPUTED_VALUE"""),"Bad Weather Conditions")</f>
        <v>Bad Weather Conditions</v>
      </c>
      <c r="L1969" s="18">
        <f>iferror(VLOOKUP($D1969,Details!$A$2:$C$11,2,false),vlookup($D1969,Details!$E$2:$G$11,2,false))</f>
        <v>230</v>
      </c>
      <c r="M1969" s="18" t="str">
        <f>iferror(VLOOKUP($D1969,Details!$A$2:$C$11,3,false),vlookup($D1969,Details!$E$2:$G$11,3,false))</f>
        <v>Fruits and Vegetables</v>
      </c>
      <c r="N1969" s="18">
        <f t="shared" si="1"/>
        <v>230</v>
      </c>
      <c r="O1969" s="17"/>
      <c r="P1969" s="17"/>
      <c r="Q1969" s="17"/>
      <c r="R1969" s="17"/>
      <c r="S1969" s="17"/>
      <c r="T1969" s="17"/>
      <c r="U1969" s="17"/>
      <c r="V1969" s="17"/>
      <c r="W1969" s="17"/>
      <c r="X1969" s="17"/>
      <c r="Y1969" s="17"/>
      <c r="Z1969" s="17"/>
    </row>
    <row r="1970">
      <c r="A1970" s="18" t="str">
        <f>IFERROR(__xludf.DUMMYFUNCTION("""COMPUTED_VALUE"""),"ord_81946")</f>
        <v>ord_81946</v>
      </c>
      <c r="B1970" s="18" t="str">
        <f>IFERROR(__xludf.DUMMYFUNCTION("""COMPUTED_VALUE"""),"Pallavi Ghosh")</f>
        <v>Pallavi Ghosh</v>
      </c>
      <c r="C1970" s="18" t="str">
        <f>IFERROR(__xludf.DUMMYFUNCTION("""COMPUTED_VALUE"""),"Bandra")</f>
        <v>Bandra</v>
      </c>
      <c r="D1970" s="18" t="str">
        <f>IFERROR(__xludf.DUMMYFUNCTION("""COMPUTED_VALUE"""),"Cucumber")</f>
        <v>Cucumber</v>
      </c>
      <c r="E1970" s="18">
        <f>IFERROR(__xludf.DUMMYFUNCTION("""COMPUTED_VALUE"""),2.0)</f>
        <v>2</v>
      </c>
      <c r="F1970" s="18" t="str">
        <f>IFERROR(__xludf.DUMMYFUNCTION("""COMPUTED_VALUE"""),"Rohan Yadav")</f>
        <v>Rohan Yadav</v>
      </c>
      <c r="G1970" s="19">
        <f>IFERROR(__xludf.DUMMYFUNCTION("""COMPUTED_VALUE"""),45162.0)</f>
        <v>45162</v>
      </c>
      <c r="H1970" s="18" t="str">
        <f>IFERROR(__xludf.DUMMYFUNCTION("""COMPUTED_VALUE"""),"Credit Card")</f>
        <v>Credit Card</v>
      </c>
      <c r="I1970" s="18" t="str">
        <f>IFERROR(__xludf.DUMMYFUNCTION("""COMPUTED_VALUE"""),"Cancelled")</f>
        <v>Cancelled</v>
      </c>
      <c r="J1970" s="18" t="str">
        <f>IFERROR(__xludf.DUMMYFUNCTION("""COMPUTED_VALUE"""),"Delayed Delivery")</f>
        <v>Delayed Delivery</v>
      </c>
      <c r="K1970" s="18" t="str">
        <f>IFERROR(__xludf.DUMMYFUNCTION("""COMPUTED_VALUE"""),"Heavy Traffic")</f>
        <v>Heavy Traffic</v>
      </c>
      <c r="L1970" s="18">
        <f>iferror(VLOOKUP($D1970,Details!$A$2:$C$11,2,false),vlookup($D1970,Details!$E$2:$G$11,2,false))</f>
        <v>30</v>
      </c>
      <c r="M1970" s="18" t="str">
        <f>iferror(VLOOKUP($D1970,Details!$A$2:$C$11,3,false),vlookup($D1970,Details!$E$2:$G$11,3,false))</f>
        <v>Fruits and Vegetables</v>
      </c>
      <c r="N1970" s="18">
        <f t="shared" si="1"/>
        <v>60</v>
      </c>
      <c r="O1970" s="17"/>
      <c r="P1970" s="17"/>
      <c r="Q1970" s="17"/>
      <c r="R1970" s="17"/>
      <c r="S1970" s="17"/>
      <c r="T1970" s="17"/>
      <c r="U1970" s="17"/>
      <c r="V1970" s="17"/>
      <c r="W1970" s="17"/>
      <c r="X1970" s="17"/>
      <c r="Y1970" s="17"/>
      <c r="Z1970" s="17"/>
    </row>
    <row r="1971">
      <c r="A1971" s="18" t="str">
        <f>IFERROR(__xludf.DUMMYFUNCTION("""COMPUTED_VALUE"""),"ord_81947")</f>
        <v>ord_81947</v>
      </c>
      <c r="B1971" s="18" t="str">
        <f>IFERROR(__xludf.DUMMYFUNCTION("""COMPUTED_VALUE"""),"Diya Arora")</f>
        <v>Diya Arora</v>
      </c>
      <c r="C1971" s="18" t="str">
        <f>IFERROR(__xludf.DUMMYFUNCTION("""COMPUTED_VALUE"""),"Lower Parel")</f>
        <v>Lower Parel</v>
      </c>
      <c r="D1971" s="18" t="str">
        <f>IFERROR(__xludf.DUMMYFUNCTION("""COMPUTED_VALUE"""),"Cold Coffee")</f>
        <v>Cold Coffee</v>
      </c>
      <c r="E1971" s="18">
        <f>IFERROR(__xludf.DUMMYFUNCTION("""COMPUTED_VALUE"""),4.0)</f>
        <v>4</v>
      </c>
      <c r="F1971" s="18" t="str">
        <f>IFERROR(__xludf.DUMMYFUNCTION("""COMPUTED_VALUE"""),"Not Assigned")</f>
        <v>Not Assigned</v>
      </c>
      <c r="G1971" s="19">
        <f>IFERROR(__xludf.DUMMYFUNCTION("""COMPUTED_VALUE"""),45012.0)</f>
        <v>45012</v>
      </c>
      <c r="H1971" s="18" t="str">
        <f>IFERROR(__xludf.DUMMYFUNCTION("""COMPUTED_VALUE"""),"UPI")</f>
        <v>UPI</v>
      </c>
      <c r="I1971" s="18" t="str">
        <f>IFERROR(__xludf.DUMMYFUNCTION("""COMPUTED_VALUE"""),"Cancelled")</f>
        <v>Cancelled</v>
      </c>
      <c r="J1971" s="18" t="str">
        <f>IFERROR(__xludf.DUMMYFUNCTION("""COMPUTED_VALUE"""),"Out of Stock")</f>
        <v>Out of Stock</v>
      </c>
      <c r="K1971" s="18"/>
      <c r="L1971" s="18">
        <f>iferror(VLOOKUP($D1971,Details!$A$2:$C$11,2,false),vlookup($D1971,Details!$E$2:$G$11,2,false))</f>
        <v>270</v>
      </c>
      <c r="M1971" s="18" t="str">
        <f>iferror(VLOOKUP($D1971,Details!$A$2:$C$11,3,false),vlookup($D1971,Details!$E$2:$G$11,3,false))</f>
        <v>Snacks and Drinks</v>
      </c>
      <c r="N1971" s="18">
        <f t="shared" si="1"/>
        <v>1080</v>
      </c>
      <c r="O1971" s="17"/>
      <c r="P1971" s="17"/>
      <c r="Q1971" s="17"/>
      <c r="R1971" s="17"/>
      <c r="S1971" s="17"/>
      <c r="T1971" s="17"/>
      <c r="U1971" s="17"/>
      <c r="V1971" s="17"/>
      <c r="W1971" s="17"/>
      <c r="X1971" s="17"/>
      <c r="Y1971" s="17"/>
      <c r="Z1971" s="17"/>
    </row>
    <row r="1972">
      <c r="A1972" s="18" t="str">
        <f>IFERROR(__xludf.DUMMYFUNCTION("""COMPUTED_VALUE"""),"ord_81948")</f>
        <v>ord_81948</v>
      </c>
      <c r="B1972" s="18" t="str">
        <f>IFERROR(__xludf.DUMMYFUNCTION("""COMPUTED_VALUE"""),"Sanjay Nair")</f>
        <v>Sanjay Nair</v>
      </c>
      <c r="C1972" s="18" t="str">
        <f>IFERROR(__xludf.DUMMYFUNCTION("""COMPUTED_VALUE"""),"Dadar")</f>
        <v>Dadar</v>
      </c>
      <c r="D1972" s="18" t="str">
        <f>IFERROR(__xludf.DUMMYFUNCTION("""COMPUTED_VALUE"""),"Tiramisu")</f>
        <v>Tiramisu</v>
      </c>
      <c r="E1972" s="18">
        <f>IFERROR(__xludf.DUMMYFUNCTION("""COMPUTED_VALUE"""),1.0)</f>
        <v>1</v>
      </c>
      <c r="F1972" s="18" t="str">
        <f>IFERROR(__xludf.DUMMYFUNCTION("""COMPUTED_VALUE"""),"Ram Gopal")</f>
        <v>Ram Gopal</v>
      </c>
      <c r="G1972" s="19">
        <f>IFERROR(__xludf.DUMMYFUNCTION("""COMPUTED_VALUE"""),44940.0)</f>
        <v>44940</v>
      </c>
      <c r="H1972" s="18" t="str">
        <f>IFERROR(__xludf.DUMMYFUNCTION("""COMPUTED_VALUE"""),"UPI")</f>
        <v>UPI</v>
      </c>
      <c r="I1972" s="18" t="str">
        <f>IFERROR(__xludf.DUMMYFUNCTION("""COMPUTED_VALUE"""),"Delivered")</f>
        <v>Delivered</v>
      </c>
      <c r="J1972" s="18" t="str">
        <f>IFERROR(__xludf.DUMMYFUNCTION("""COMPUTED_VALUE"""),"On-time Delivery")</f>
        <v>On-time Delivery</v>
      </c>
      <c r="K1972" s="18" t="str">
        <f>IFERROR(__xludf.DUMMYFUNCTION("""COMPUTED_VALUE"""),"Delivered on time")</f>
        <v>Delivered on time</v>
      </c>
      <c r="L1972" s="18">
        <f>iferror(VLOOKUP($D1972,Details!$A$2:$C$11,2,false),vlookup($D1972,Details!$E$2:$G$11,2,false))</f>
        <v>150</v>
      </c>
      <c r="M1972" s="18" t="str">
        <f>iferror(VLOOKUP($D1972,Details!$A$2:$C$11,3,false),vlookup($D1972,Details!$E$2:$G$11,3,false))</f>
        <v>Snacks and Drinks</v>
      </c>
      <c r="N1972" s="18">
        <f t="shared" si="1"/>
        <v>150</v>
      </c>
      <c r="O1972" s="17"/>
      <c r="P1972" s="17"/>
      <c r="Q1972" s="17"/>
      <c r="R1972" s="17"/>
      <c r="S1972" s="17"/>
      <c r="T1972" s="17"/>
      <c r="U1972" s="17"/>
      <c r="V1972" s="17"/>
      <c r="W1972" s="17"/>
      <c r="X1972" s="17"/>
      <c r="Y1972" s="17"/>
      <c r="Z1972" s="17"/>
    </row>
    <row r="1973">
      <c r="A1973" s="18" t="str">
        <f>IFERROR(__xludf.DUMMYFUNCTION("""COMPUTED_VALUE"""),"ord_81949")</f>
        <v>ord_81949</v>
      </c>
      <c r="B1973" s="18" t="str">
        <f>IFERROR(__xludf.DUMMYFUNCTION("""COMPUTED_VALUE"""),"Mohit Malhotra")</f>
        <v>Mohit Malhotra</v>
      </c>
      <c r="C1973" s="18" t="str">
        <f>IFERROR(__xludf.DUMMYFUNCTION("""COMPUTED_VALUE"""),"Lower Parel")</f>
        <v>Lower Parel</v>
      </c>
      <c r="D1973" s="18" t="str">
        <f>IFERROR(__xludf.DUMMYFUNCTION("""COMPUTED_VALUE"""),"Rasmalai")</f>
        <v>Rasmalai</v>
      </c>
      <c r="E1973" s="18">
        <f>IFERROR(__xludf.DUMMYFUNCTION("""COMPUTED_VALUE"""),4.0)</f>
        <v>4</v>
      </c>
      <c r="F1973" s="18" t="str">
        <f>IFERROR(__xludf.DUMMYFUNCTION("""COMPUTED_VALUE"""),"Manju Ajay")</f>
        <v>Manju Ajay</v>
      </c>
      <c r="G1973" s="19">
        <f>IFERROR(__xludf.DUMMYFUNCTION("""COMPUTED_VALUE"""),45221.0)</f>
        <v>45221</v>
      </c>
      <c r="H1973" s="18" t="str">
        <f>IFERROR(__xludf.DUMMYFUNCTION("""COMPUTED_VALUE"""),"Online Payment")</f>
        <v>Online Payment</v>
      </c>
      <c r="I1973" s="18" t="str">
        <f>IFERROR(__xludf.DUMMYFUNCTION("""COMPUTED_VALUE"""),"Delivered")</f>
        <v>Delivered</v>
      </c>
      <c r="J1973" s="18" t="str">
        <f>IFERROR(__xludf.DUMMYFUNCTION("""COMPUTED_VALUE"""),"Quality of Items")</f>
        <v>Quality of Items</v>
      </c>
      <c r="K1973" s="18" t="str">
        <f>IFERROR(__xludf.DUMMYFUNCTION("""COMPUTED_VALUE"""),"Perfect condition")</f>
        <v>Perfect condition</v>
      </c>
      <c r="L1973" s="18">
        <f>iferror(VLOOKUP($D1973,Details!$A$2:$C$11,2,false),vlookup($D1973,Details!$E$2:$G$11,2,false))</f>
        <v>110</v>
      </c>
      <c r="M1973" s="18" t="str">
        <f>iferror(VLOOKUP($D1973,Details!$A$2:$C$11,3,false),vlookup($D1973,Details!$E$2:$G$11,3,false))</f>
        <v>Snacks and Drinks</v>
      </c>
      <c r="N1973" s="18">
        <f t="shared" si="1"/>
        <v>440</v>
      </c>
      <c r="O1973" s="17"/>
      <c r="P1973" s="17"/>
      <c r="Q1973" s="17"/>
      <c r="R1973" s="17"/>
      <c r="S1973" s="17"/>
      <c r="T1973" s="17"/>
      <c r="U1973" s="17"/>
      <c r="V1973" s="17"/>
      <c r="W1973" s="17"/>
      <c r="X1973" s="17"/>
      <c r="Y1973" s="17"/>
      <c r="Z1973" s="17"/>
    </row>
    <row r="1974">
      <c r="A1974" s="18" t="str">
        <f>IFERROR(__xludf.DUMMYFUNCTION("""COMPUTED_VALUE"""),"ord_81950")</f>
        <v>ord_81950</v>
      </c>
      <c r="B1974" s="18" t="str">
        <f>IFERROR(__xludf.DUMMYFUNCTION("""COMPUTED_VALUE"""),"Sakshi Tandon")</f>
        <v>Sakshi Tandon</v>
      </c>
      <c r="C1974" s="18" t="str">
        <f>IFERROR(__xludf.DUMMYFUNCTION("""COMPUTED_VALUE"""),"Colaba")</f>
        <v>Colaba</v>
      </c>
      <c r="D1974" s="18" t="str">
        <f>IFERROR(__xludf.DUMMYFUNCTION("""COMPUTED_VALUE"""),"Potato")</f>
        <v>Potato</v>
      </c>
      <c r="E1974" s="18">
        <f>IFERROR(__xludf.DUMMYFUNCTION("""COMPUTED_VALUE"""),1.0)</f>
        <v>1</v>
      </c>
      <c r="F1974" s="18" t="str">
        <f>IFERROR(__xludf.DUMMYFUNCTION("""COMPUTED_VALUE"""),"Not Assigned")</f>
        <v>Not Assigned</v>
      </c>
      <c r="G1974" s="19">
        <f>IFERROR(__xludf.DUMMYFUNCTION("""COMPUTED_VALUE"""),44933.0)</f>
        <v>44933</v>
      </c>
      <c r="H1974" s="18" t="str">
        <f>IFERROR(__xludf.DUMMYFUNCTION("""COMPUTED_VALUE"""),"Credit Card")</f>
        <v>Credit Card</v>
      </c>
      <c r="I1974" s="18" t="str">
        <f>IFERROR(__xludf.DUMMYFUNCTION("""COMPUTED_VALUE"""),"Cancelled")</f>
        <v>Cancelled</v>
      </c>
      <c r="J1974" s="18" t="str">
        <f>IFERROR(__xludf.DUMMYFUNCTION("""COMPUTED_VALUE"""),"High Delivery Fees")</f>
        <v>High Delivery Fees</v>
      </c>
      <c r="K1974" s="18"/>
      <c r="L1974" s="18">
        <f>iferror(VLOOKUP($D1974,Details!$A$2:$C$11,2,false),vlookup($D1974,Details!$E$2:$G$11,2,false))</f>
        <v>55</v>
      </c>
      <c r="M1974" s="18" t="str">
        <f>iferror(VLOOKUP($D1974,Details!$A$2:$C$11,3,false),vlookup($D1974,Details!$E$2:$G$11,3,false))</f>
        <v>Fruits and Vegetables</v>
      </c>
      <c r="N1974" s="18">
        <f t="shared" si="1"/>
        <v>55</v>
      </c>
      <c r="O1974" s="17"/>
      <c r="P1974" s="17"/>
      <c r="Q1974" s="17"/>
      <c r="R1974" s="17"/>
      <c r="S1974" s="17"/>
      <c r="T1974" s="17"/>
      <c r="U1974" s="17"/>
      <c r="V1974" s="17"/>
      <c r="W1974" s="17"/>
      <c r="X1974" s="17"/>
      <c r="Y1974" s="17"/>
      <c r="Z1974" s="17"/>
    </row>
    <row r="1975">
      <c r="A1975" s="18" t="str">
        <f>IFERROR(__xludf.DUMMYFUNCTION("""COMPUTED_VALUE"""),"ord_81951")</f>
        <v>ord_81951</v>
      </c>
      <c r="B1975" s="18" t="str">
        <f>IFERROR(__xludf.DUMMYFUNCTION("""COMPUTED_VALUE"""),"Aarav Mehta")</f>
        <v>Aarav Mehta</v>
      </c>
      <c r="C1975" s="18" t="str">
        <f>IFERROR(__xludf.DUMMYFUNCTION("""COMPUTED_VALUE"""),"Andheri")</f>
        <v>Andheri</v>
      </c>
      <c r="D1975" s="18" t="str">
        <f>IFERROR(__xludf.DUMMYFUNCTION("""COMPUTED_VALUE"""),"Icecream")</f>
        <v>Icecream</v>
      </c>
      <c r="E1975" s="18">
        <f>IFERROR(__xludf.DUMMYFUNCTION("""COMPUTED_VALUE"""),1.0)</f>
        <v>1</v>
      </c>
      <c r="F1975" s="18" t="str">
        <f>IFERROR(__xludf.DUMMYFUNCTION("""COMPUTED_VALUE"""),"Nithin Lal")</f>
        <v>Nithin Lal</v>
      </c>
      <c r="G1975" s="19">
        <f>IFERROR(__xludf.DUMMYFUNCTION("""COMPUTED_VALUE"""),45232.0)</f>
        <v>45232</v>
      </c>
      <c r="H1975" s="18" t="str">
        <f>IFERROR(__xludf.DUMMYFUNCTION("""COMPUTED_VALUE"""),"Credit Card")</f>
        <v>Credit Card</v>
      </c>
      <c r="I1975" s="18" t="str">
        <f>IFERROR(__xludf.DUMMYFUNCTION("""COMPUTED_VALUE"""),"Cancelled")</f>
        <v>Cancelled</v>
      </c>
      <c r="J1975" s="18" t="str">
        <f>IFERROR(__xludf.DUMMYFUNCTION("""COMPUTED_VALUE"""),"Delayed Delivery")</f>
        <v>Delayed Delivery</v>
      </c>
      <c r="K1975" s="18" t="str">
        <f>IFERROR(__xludf.DUMMYFUNCTION("""COMPUTED_VALUE"""),"Bad Weather Conditions")</f>
        <v>Bad Weather Conditions</v>
      </c>
      <c r="L1975" s="18">
        <f>iferror(VLOOKUP($D1975,Details!$A$2:$C$11,2,false),vlookup($D1975,Details!$E$2:$G$11,2,false))</f>
        <v>90</v>
      </c>
      <c r="M1975" s="18" t="str">
        <f>iferror(VLOOKUP($D1975,Details!$A$2:$C$11,3,false),vlookup($D1975,Details!$E$2:$G$11,3,false))</f>
        <v>Snacks and Drinks</v>
      </c>
      <c r="N1975" s="18">
        <f t="shared" si="1"/>
        <v>90</v>
      </c>
      <c r="O1975" s="17"/>
      <c r="P1975" s="17"/>
      <c r="Q1975" s="17"/>
      <c r="R1975" s="17"/>
      <c r="S1975" s="17"/>
      <c r="T1975" s="17"/>
      <c r="U1975" s="17"/>
      <c r="V1975" s="17"/>
      <c r="W1975" s="17"/>
      <c r="X1975" s="17"/>
      <c r="Y1975" s="17"/>
      <c r="Z1975" s="17"/>
    </row>
    <row r="1976">
      <c r="A1976" s="18" t="str">
        <f>IFERROR(__xludf.DUMMYFUNCTION("""COMPUTED_VALUE"""),"ord_81952")</f>
        <v>ord_81952</v>
      </c>
      <c r="B1976" s="18" t="str">
        <f>IFERROR(__xludf.DUMMYFUNCTION("""COMPUTED_VALUE"""),"Mehul Thakkar")</f>
        <v>Mehul Thakkar</v>
      </c>
      <c r="C1976" s="18" t="str">
        <f>IFERROR(__xludf.DUMMYFUNCTION("""COMPUTED_VALUE"""),"Malad")</f>
        <v>Malad</v>
      </c>
      <c r="D1976" s="18" t="str">
        <f>IFERROR(__xludf.DUMMYFUNCTION("""COMPUTED_VALUE"""),"Banana")</f>
        <v>Banana</v>
      </c>
      <c r="E1976" s="18">
        <f>IFERROR(__xludf.DUMMYFUNCTION("""COMPUTED_VALUE"""),2.0)</f>
        <v>2</v>
      </c>
      <c r="F1976" s="18" t="str">
        <f>IFERROR(__xludf.DUMMYFUNCTION("""COMPUTED_VALUE"""),"Not Assigned")</f>
        <v>Not Assigned</v>
      </c>
      <c r="G1976" s="19">
        <f>IFERROR(__xludf.DUMMYFUNCTION("""COMPUTED_VALUE"""),45080.0)</f>
        <v>45080</v>
      </c>
      <c r="H1976" s="18" t="str">
        <f>IFERROR(__xludf.DUMMYFUNCTION("""COMPUTED_VALUE"""),"Online Payment")</f>
        <v>Online Payment</v>
      </c>
      <c r="I1976" s="18" t="str">
        <f>IFERROR(__xludf.DUMMYFUNCTION("""COMPUTED_VALUE"""),"Cancelled")</f>
        <v>Cancelled</v>
      </c>
      <c r="J1976" s="18" t="str">
        <f>IFERROR(__xludf.DUMMYFUNCTION("""COMPUTED_VALUE"""),"High Delivery Fees")</f>
        <v>High Delivery Fees</v>
      </c>
      <c r="K1976" s="18"/>
      <c r="L1976" s="18">
        <f>iferror(VLOOKUP($D1976,Details!$A$2:$C$11,2,false),vlookup($D1976,Details!$E$2:$G$11,2,false))</f>
        <v>80</v>
      </c>
      <c r="M1976" s="18" t="str">
        <f>iferror(VLOOKUP($D1976,Details!$A$2:$C$11,3,false),vlookup($D1976,Details!$E$2:$G$11,3,false))</f>
        <v>Fruits and Vegetables</v>
      </c>
      <c r="N1976" s="18">
        <f t="shared" si="1"/>
        <v>160</v>
      </c>
      <c r="O1976" s="17"/>
      <c r="P1976" s="17"/>
      <c r="Q1976" s="17"/>
      <c r="R1976" s="17"/>
      <c r="S1976" s="17"/>
      <c r="T1976" s="17"/>
      <c r="U1976" s="17"/>
      <c r="V1976" s="17"/>
      <c r="W1976" s="17"/>
      <c r="X1976" s="17"/>
      <c r="Y1976" s="17"/>
      <c r="Z1976" s="17"/>
    </row>
    <row r="1977">
      <c r="A1977" s="18" t="str">
        <f>IFERROR(__xludf.DUMMYFUNCTION("""COMPUTED_VALUE"""),"ord_81953")</f>
        <v>ord_81953</v>
      </c>
      <c r="B1977" s="18" t="str">
        <f>IFERROR(__xludf.DUMMYFUNCTION("""COMPUTED_VALUE"""),"Anaya Rao")</f>
        <v>Anaya Rao</v>
      </c>
      <c r="C1977" s="18" t="str">
        <f>IFERROR(__xludf.DUMMYFUNCTION("""COMPUTED_VALUE"""),"Colaba")</f>
        <v>Colaba</v>
      </c>
      <c r="D1977" s="18" t="str">
        <f>IFERROR(__xludf.DUMMYFUNCTION("""COMPUTED_VALUE"""),"Orange")</f>
        <v>Orange</v>
      </c>
      <c r="E1977" s="18">
        <f>IFERROR(__xludf.DUMMYFUNCTION("""COMPUTED_VALUE"""),2.0)</f>
        <v>2</v>
      </c>
      <c r="F1977" s="18" t="str">
        <f>IFERROR(__xludf.DUMMYFUNCTION("""COMPUTED_VALUE"""),"Shine Thomas")</f>
        <v>Shine Thomas</v>
      </c>
      <c r="G1977" s="19">
        <f>IFERROR(__xludf.DUMMYFUNCTION("""COMPUTED_VALUE"""),45100.0)</f>
        <v>45100</v>
      </c>
      <c r="H1977" s="18" t="str">
        <f>IFERROR(__xludf.DUMMYFUNCTION("""COMPUTED_VALUE"""),"UPI")</f>
        <v>UPI</v>
      </c>
      <c r="I1977" s="18" t="str">
        <f>IFERROR(__xludf.DUMMYFUNCTION("""COMPUTED_VALUE"""),"Delivered")</f>
        <v>Delivered</v>
      </c>
      <c r="J1977" s="18" t="str">
        <f>IFERROR(__xludf.DUMMYFUNCTION("""COMPUTED_VALUE"""),"On-time Delivery")</f>
        <v>On-time Delivery</v>
      </c>
      <c r="K1977" s="18" t="str">
        <f>IFERROR(__xludf.DUMMYFUNCTION("""COMPUTED_VALUE"""),"Delivered on time")</f>
        <v>Delivered on time</v>
      </c>
      <c r="L1977" s="18">
        <f>iferror(VLOOKUP($D1977,Details!$A$2:$C$11,2,false),vlookup($D1977,Details!$E$2:$G$11,2,false))</f>
        <v>180</v>
      </c>
      <c r="M1977" s="18" t="str">
        <f>iferror(VLOOKUP($D1977,Details!$A$2:$C$11,3,false),vlookup($D1977,Details!$E$2:$G$11,3,false))</f>
        <v>Fruits and Vegetables</v>
      </c>
      <c r="N1977" s="18">
        <f t="shared" si="1"/>
        <v>360</v>
      </c>
      <c r="O1977" s="17"/>
      <c r="P1977" s="17"/>
      <c r="Q1977" s="17"/>
      <c r="R1977" s="17"/>
      <c r="S1977" s="17"/>
      <c r="T1977" s="17"/>
      <c r="U1977" s="17"/>
      <c r="V1977" s="17"/>
      <c r="W1977" s="17"/>
      <c r="X1977" s="17"/>
      <c r="Y1977" s="17"/>
      <c r="Z1977" s="17"/>
    </row>
    <row r="1978">
      <c r="A1978" s="18" t="str">
        <f>IFERROR(__xludf.DUMMYFUNCTION("""COMPUTED_VALUE"""),"ord_81954")</f>
        <v>ord_81954</v>
      </c>
      <c r="B1978" s="18" t="str">
        <f>IFERROR(__xludf.DUMMYFUNCTION("""COMPUTED_VALUE"""),"Ritika Dutta")</f>
        <v>Ritika Dutta</v>
      </c>
      <c r="C1978" s="18" t="str">
        <f>IFERROR(__xludf.DUMMYFUNCTION("""COMPUTED_VALUE"""),"Lower Parel")</f>
        <v>Lower Parel</v>
      </c>
      <c r="D1978" s="18" t="str">
        <f>IFERROR(__xludf.DUMMYFUNCTION("""COMPUTED_VALUE"""),"Cucumber")</f>
        <v>Cucumber</v>
      </c>
      <c r="E1978" s="18">
        <f>IFERROR(__xludf.DUMMYFUNCTION("""COMPUTED_VALUE"""),3.0)</f>
        <v>3</v>
      </c>
      <c r="F1978" s="18" t="str">
        <f>IFERROR(__xludf.DUMMYFUNCTION("""COMPUTED_VALUE"""),"Nithin Lal")</f>
        <v>Nithin Lal</v>
      </c>
      <c r="G1978" s="19">
        <f>IFERROR(__xludf.DUMMYFUNCTION("""COMPUTED_VALUE"""),45206.0)</f>
        <v>45206</v>
      </c>
      <c r="H1978" s="18" t="str">
        <f>IFERROR(__xludf.DUMMYFUNCTION("""COMPUTED_VALUE"""),"Credit Card")</f>
        <v>Credit Card</v>
      </c>
      <c r="I1978" s="18" t="str">
        <f>IFERROR(__xludf.DUMMYFUNCTION("""COMPUTED_VALUE"""),"Delivered")</f>
        <v>Delivered</v>
      </c>
      <c r="J1978" s="18" t="str">
        <f>IFERROR(__xludf.DUMMYFUNCTION("""COMPUTED_VALUE"""),"Quality of Items")</f>
        <v>Quality of Items</v>
      </c>
      <c r="K1978" s="18" t="str">
        <f>IFERROR(__xludf.DUMMYFUNCTION("""COMPUTED_VALUE"""),"Perfect condition")</f>
        <v>Perfect condition</v>
      </c>
      <c r="L1978" s="18">
        <f>iferror(VLOOKUP($D1978,Details!$A$2:$C$11,2,false),vlookup($D1978,Details!$E$2:$G$11,2,false))</f>
        <v>30</v>
      </c>
      <c r="M1978" s="18" t="str">
        <f>iferror(VLOOKUP($D1978,Details!$A$2:$C$11,3,false),vlookup($D1978,Details!$E$2:$G$11,3,false))</f>
        <v>Fruits and Vegetables</v>
      </c>
      <c r="N1978" s="18">
        <f t="shared" si="1"/>
        <v>90</v>
      </c>
      <c r="O1978" s="17"/>
      <c r="P1978" s="17"/>
      <c r="Q1978" s="17"/>
      <c r="R1978" s="17"/>
      <c r="S1978" s="17"/>
      <c r="T1978" s="17"/>
      <c r="U1978" s="17"/>
      <c r="V1978" s="17"/>
      <c r="W1978" s="17"/>
      <c r="X1978" s="17"/>
      <c r="Y1978" s="17"/>
      <c r="Z1978" s="17"/>
    </row>
    <row r="1979">
      <c r="A1979" s="18" t="str">
        <f>IFERROR(__xludf.DUMMYFUNCTION("""COMPUTED_VALUE"""),"ord_81955")</f>
        <v>ord_81955</v>
      </c>
      <c r="B1979" s="18" t="str">
        <f>IFERROR(__xludf.DUMMYFUNCTION("""COMPUTED_VALUE"""),"Simran Bhatt")</f>
        <v>Simran Bhatt</v>
      </c>
      <c r="C1979" s="18" t="str">
        <f>IFERROR(__xludf.DUMMYFUNCTION("""COMPUTED_VALUE"""),"Juhu")</f>
        <v>Juhu</v>
      </c>
      <c r="D1979" s="18" t="str">
        <f>IFERROR(__xludf.DUMMYFUNCTION("""COMPUTED_VALUE"""),"Popcorn")</f>
        <v>Popcorn</v>
      </c>
      <c r="E1979" s="18">
        <f>IFERROR(__xludf.DUMMYFUNCTION("""COMPUTED_VALUE"""),2.0)</f>
        <v>2</v>
      </c>
      <c r="F1979" s="18" t="str">
        <f>IFERROR(__xludf.DUMMYFUNCTION("""COMPUTED_VALUE"""),"Ram Gopal")</f>
        <v>Ram Gopal</v>
      </c>
      <c r="G1979" s="19">
        <f>IFERROR(__xludf.DUMMYFUNCTION("""COMPUTED_VALUE"""),45087.0)</f>
        <v>45087</v>
      </c>
      <c r="H1979" s="18" t="str">
        <f>IFERROR(__xludf.DUMMYFUNCTION("""COMPUTED_VALUE"""),"Online Payment")</f>
        <v>Online Payment</v>
      </c>
      <c r="I1979" s="18" t="str">
        <f>IFERROR(__xludf.DUMMYFUNCTION("""COMPUTED_VALUE"""),"Delivered")</f>
        <v>Delivered</v>
      </c>
      <c r="J1979" s="18" t="str">
        <f>IFERROR(__xludf.DUMMYFUNCTION("""COMPUTED_VALUE"""),"Packaging")</f>
        <v>Packaging</v>
      </c>
      <c r="K1979" s="18" t="str">
        <f>IFERROR(__xludf.DUMMYFUNCTION("""COMPUTED_VALUE"""),"Secure and intact")</f>
        <v>Secure and intact</v>
      </c>
      <c r="L1979" s="18">
        <f>iferror(VLOOKUP($D1979,Details!$A$2:$C$11,2,false),vlookup($D1979,Details!$E$2:$G$11,2,false))</f>
        <v>150</v>
      </c>
      <c r="M1979" s="18" t="str">
        <f>iferror(VLOOKUP($D1979,Details!$A$2:$C$11,3,false),vlookup($D1979,Details!$E$2:$G$11,3,false))</f>
        <v>Snacks and Drinks</v>
      </c>
      <c r="N1979" s="18">
        <f t="shared" si="1"/>
        <v>300</v>
      </c>
      <c r="O1979" s="17"/>
      <c r="P1979" s="17"/>
      <c r="Q1979" s="17"/>
      <c r="R1979" s="17"/>
      <c r="S1979" s="17"/>
      <c r="T1979" s="17"/>
      <c r="U1979" s="17"/>
      <c r="V1979" s="17"/>
      <c r="W1979" s="17"/>
      <c r="X1979" s="17"/>
      <c r="Y1979" s="17"/>
      <c r="Z1979" s="17"/>
    </row>
    <row r="1980">
      <c r="A1980" s="18" t="str">
        <f>IFERROR(__xludf.DUMMYFUNCTION("""COMPUTED_VALUE"""),"ord_81956")</f>
        <v>ord_81956</v>
      </c>
      <c r="B1980" s="18" t="str">
        <f>IFERROR(__xludf.DUMMYFUNCTION("""COMPUTED_VALUE"""),"Ritika Dutta")</f>
        <v>Ritika Dutta</v>
      </c>
      <c r="C1980" s="18" t="str">
        <f>IFERROR(__xludf.DUMMYFUNCTION("""COMPUTED_VALUE"""),"Lower Parel")</f>
        <v>Lower Parel</v>
      </c>
      <c r="D1980" s="18" t="str">
        <f>IFERROR(__xludf.DUMMYFUNCTION("""COMPUTED_VALUE"""),"Apple")</f>
        <v>Apple</v>
      </c>
      <c r="E1980" s="18">
        <f>IFERROR(__xludf.DUMMYFUNCTION("""COMPUTED_VALUE"""),2.0)</f>
        <v>2</v>
      </c>
      <c r="F1980" s="18" t="str">
        <f>IFERROR(__xludf.DUMMYFUNCTION("""COMPUTED_VALUE"""),"Ramesh S")</f>
        <v>Ramesh S</v>
      </c>
      <c r="G1980" s="19">
        <f>IFERROR(__xludf.DUMMYFUNCTION("""COMPUTED_VALUE"""),45111.0)</f>
        <v>45111</v>
      </c>
      <c r="H1980" s="18" t="str">
        <f>IFERROR(__xludf.DUMMYFUNCTION("""COMPUTED_VALUE"""),"Credit Card")</f>
        <v>Credit Card</v>
      </c>
      <c r="I1980" s="18" t="str">
        <f>IFERROR(__xludf.DUMMYFUNCTION("""COMPUTED_VALUE"""),"Delivered")</f>
        <v>Delivered</v>
      </c>
      <c r="J1980" s="18" t="str">
        <f>IFERROR(__xludf.DUMMYFUNCTION("""COMPUTED_VALUE"""),"Satisfied with the Delivery")</f>
        <v>Satisfied with the Delivery</v>
      </c>
      <c r="K1980" s="18" t="str">
        <f>IFERROR(__xludf.DUMMYFUNCTION("""COMPUTED_VALUE"""),"Timely and quality")</f>
        <v>Timely and quality</v>
      </c>
      <c r="L1980" s="18">
        <f>iferror(VLOOKUP($D1980,Details!$A$2:$C$11,2,false),vlookup($D1980,Details!$E$2:$G$11,2,false))</f>
        <v>230</v>
      </c>
      <c r="M1980" s="18" t="str">
        <f>iferror(VLOOKUP($D1980,Details!$A$2:$C$11,3,false),vlookup($D1980,Details!$E$2:$G$11,3,false))</f>
        <v>Fruits and Vegetables</v>
      </c>
      <c r="N1980" s="18">
        <f t="shared" si="1"/>
        <v>460</v>
      </c>
      <c r="O1980" s="17"/>
      <c r="P1980" s="17"/>
      <c r="Q1980" s="17"/>
      <c r="R1980" s="17"/>
      <c r="S1980" s="17"/>
      <c r="T1980" s="17"/>
      <c r="U1980" s="17"/>
      <c r="V1980" s="17"/>
      <c r="W1980" s="17"/>
      <c r="X1980" s="17"/>
      <c r="Y1980" s="17"/>
      <c r="Z1980" s="17"/>
    </row>
    <row r="1981">
      <c r="A1981" s="18" t="str">
        <f>IFERROR(__xludf.DUMMYFUNCTION("""COMPUTED_VALUE"""),"ord_81957")</f>
        <v>ord_81957</v>
      </c>
      <c r="B1981" s="18" t="str">
        <f>IFERROR(__xludf.DUMMYFUNCTION("""COMPUTED_VALUE"""),"Ritika Dutta")</f>
        <v>Ritika Dutta</v>
      </c>
      <c r="C1981" s="18" t="str">
        <f>IFERROR(__xludf.DUMMYFUNCTION("""COMPUTED_VALUE"""),"Lower Parel")</f>
        <v>Lower Parel</v>
      </c>
      <c r="D1981" s="18" t="str">
        <f>IFERROR(__xludf.DUMMYFUNCTION("""COMPUTED_VALUE"""),"Banana")</f>
        <v>Banana</v>
      </c>
      <c r="E1981" s="18">
        <f>IFERROR(__xludf.DUMMYFUNCTION("""COMPUTED_VALUE"""),2.0)</f>
        <v>2</v>
      </c>
      <c r="F1981" s="18" t="str">
        <f>IFERROR(__xludf.DUMMYFUNCTION("""COMPUTED_VALUE"""),"Ram Gopal")</f>
        <v>Ram Gopal</v>
      </c>
      <c r="G1981" s="19">
        <f>IFERROR(__xludf.DUMMYFUNCTION("""COMPUTED_VALUE"""),45157.0)</f>
        <v>45157</v>
      </c>
      <c r="H1981" s="18" t="str">
        <f>IFERROR(__xludf.DUMMYFUNCTION("""COMPUTED_VALUE"""),"Online Payment")</f>
        <v>Online Payment</v>
      </c>
      <c r="I1981" s="18" t="str">
        <f>IFERROR(__xludf.DUMMYFUNCTION("""COMPUTED_VALUE"""),"Delivered")</f>
        <v>Delivered</v>
      </c>
      <c r="J1981" s="18" t="str">
        <f>IFERROR(__xludf.DUMMYFUNCTION("""COMPUTED_VALUE"""),"Customer Service")</f>
        <v>Customer Service</v>
      </c>
      <c r="K1981" s="18" t="str">
        <f>IFERROR(__xludf.DUMMYFUNCTION("""COMPUTED_VALUE"""),"Seamless and easy")</f>
        <v>Seamless and easy</v>
      </c>
      <c r="L1981" s="18">
        <f>iferror(VLOOKUP($D1981,Details!$A$2:$C$11,2,false),vlookup($D1981,Details!$E$2:$G$11,2,false))</f>
        <v>80</v>
      </c>
      <c r="M1981" s="18" t="str">
        <f>iferror(VLOOKUP($D1981,Details!$A$2:$C$11,3,false),vlookup($D1981,Details!$E$2:$G$11,3,false))</f>
        <v>Fruits and Vegetables</v>
      </c>
      <c r="N1981" s="18">
        <f t="shared" si="1"/>
        <v>160</v>
      </c>
      <c r="O1981" s="17"/>
      <c r="P1981" s="17"/>
      <c r="Q1981" s="17"/>
      <c r="R1981" s="17"/>
      <c r="S1981" s="17"/>
      <c r="T1981" s="17"/>
      <c r="U1981" s="17"/>
      <c r="V1981" s="17"/>
      <c r="W1981" s="17"/>
      <c r="X1981" s="17"/>
      <c r="Y1981" s="17"/>
      <c r="Z1981" s="17"/>
    </row>
    <row r="1982">
      <c r="A1982" s="18" t="str">
        <f>IFERROR(__xludf.DUMMYFUNCTION("""COMPUTED_VALUE"""),"ord_81958")</f>
        <v>ord_81958</v>
      </c>
      <c r="B1982" s="18" t="str">
        <f>IFERROR(__xludf.DUMMYFUNCTION("""COMPUTED_VALUE"""),"Aditya Basu")</f>
        <v>Aditya Basu</v>
      </c>
      <c r="C1982" s="18" t="str">
        <f>IFERROR(__xludf.DUMMYFUNCTION("""COMPUTED_VALUE"""),"Juhu")</f>
        <v>Juhu</v>
      </c>
      <c r="D1982" s="18" t="str">
        <f>IFERROR(__xludf.DUMMYFUNCTION("""COMPUTED_VALUE"""),"Sweet Corn")</f>
        <v>Sweet Corn</v>
      </c>
      <c r="E1982" s="18">
        <f>IFERROR(__xludf.DUMMYFUNCTION("""COMPUTED_VALUE"""),3.0)</f>
        <v>3</v>
      </c>
      <c r="F1982" s="18" t="str">
        <f>IFERROR(__xludf.DUMMYFUNCTION("""COMPUTED_VALUE"""),"Ram Gopal")</f>
        <v>Ram Gopal</v>
      </c>
      <c r="G1982" s="19">
        <f>IFERROR(__xludf.DUMMYFUNCTION("""COMPUTED_VALUE"""),45269.0)</f>
        <v>45269</v>
      </c>
      <c r="H1982" s="18" t="str">
        <f>IFERROR(__xludf.DUMMYFUNCTION("""COMPUTED_VALUE"""),"Online Payment")</f>
        <v>Online Payment</v>
      </c>
      <c r="I1982" s="18" t="str">
        <f>IFERROR(__xludf.DUMMYFUNCTION("""COMPUTED_VALUE"""),"Delivered")</f>
        <v>Delivered</v>
      </c>
      <c r="J1982" s="18" t="str">
        <f>IFERROR(__xludf.DUMMYFUNCTION("""COMPUTED_VALUE"""),"Delivery Experience")</f>
        <v>Delivery Experience</v>
      </c>
      <c r="K1982" s="18" t="str">
        <f>IFERROR(__xludf.DUMMYFUNCTION("""COMPUTED_VALUE"""),"Quick and professional")</f>
        <v>Quick and professional</v>
      </c>
      <c r="L1982" s="18">
        <f>iferror(VLOOKUP($D1982,Details!$A$2:$C$11,2,false),vlookup($D1982,Details!$E$2:$G$11,2,false))</f>
        <v>60</v>
      </c>
      <c r="M1982" s="18" t="str">
        <f>iferror(VLOOKUP($D1982,Details!$A$2:$C$11,3,false),vlookup($D1982,Details!$E$2:$G$11,3,false))</f>
        <v>Fruits and Vegetables</v>
      </c>
      <c r="N1982" s="18">
        <f t="shared" si="1"/>
        <v>180</v>
      </c>
      <c r="O1982" s="17"/>
      <c r="P1982" s="17"/>
      <c r="Q1982" s="17"/>
      <c r="R1982" s="17"/>
      <c r="S1982" s="17"/>
      <c r="T1982" s="17"/>
      <c r="U1982" s="17"/>
      <c r="V1982" s="17"/>
      <c r="W1982" s="17"/>
      <c r="X1982" s="17"/>
      <c r="Y1982" s="17"/>
      <c r="Z1982" s="17"/>
    </row>
    <row r="1983">
      <c r="A1983" s="18" t="str">
        <f>IFERROR(__xludf.DUMMYFUNCTION("""COMPUTED_VALUE"""),"ord_81959")</f>
        <v>ord_81959</v>
      </c>
      <c r="B1983" s="18" t="str">
        <f>IFERROR(__xludf.DUMMYFUNCTION("""COMPUTED_VALUE"""),"Siya Reddy")</f>
        <v>Siya Reddy</v>
      </c>
      <c r="C1983" s="18" t="str">
        <f>IFERROR(__xludf.DUMMYFUNCTION("""COMPUTED_VALUE"""),"Juhu")</f>
        <v>Juhu</v>
      </c>
      <c r="D1983" s="18" t="str">
        <f>IFERROR(__xludf.DUMMYFUNCTION("""COMPUTED_VALUE"""),"Tiramisu")</f>
        <v>Tiramisu</v>
      </c>
      <c r="E1983" s="18">
        <f>IFERROR(__xludf.DUMMYFUNCTION("""COMPUTED_VALUE"""),4.0)</f>
        <v>4</v>
      </c>
      <c r="F1983" s="18" t="str">
        <f>IFERROR(__xludf.DUMMYFUNCTION("""COMPUTED_VALUE"""),"Rohan Yadav")</f>
        <v>Rohan Yadav</v>
      </c>
      <c r="G1983" s="19">
        <f>IFERROR(__xludf.DUMMYFUNCTION("""COMPUTED_VALUE"""),44983.0)</f>
        <v>44983</v>
      </c>
      <c r="H1983" s="18" t="str">
        <f>IFERROR(__xludf.DUMMYFUNCTION("""COMPUTED_VALUE"""),"UPI")</f>
        <v>UPI</v>
      </c>
      <c r="I1983" s="18" t="str">
        <f>IFERROR(__xludf.DUMMYFUNCTION("""COMPUTED_VALUE"""),"Cancelled")</f>
        <v>Cancelled</v>
      </c>
      <c r="J1983" s="18" t="str">
        <f>IFERROR(__xludf.DUMMYFUNCTION("""COMPUTED_VALUE"""),"Delayed Delivery")</f>
        <v>Delayed Delivery</v>
      </c>
      <c r="K1983" s="18" t="str">
        <f>IFERROR(__xludf.DUMMYFUNCTION("""COMPUTED_VALUE"""),"Heavy Traffic")</f>
        <v>Heavy Traffic</v>
      </c>
      <c r="L1983" s="18">
        <f>iferror(VLOOKUP($D1983,Details!$A$2:$C$11,2,false),vlookup($D1983,Details!$E$2:$G$11,2,false))</f>
        <v>150</v>
      </c>
      <c r="M1983" s="18" t="str">
        <f>iferror(VLOOKUP($D1983,Details!$A$2:$C$11,3,false),vlookup($D1983,Details!$E$2:$G$11,3,false))</f>
        <v>Snacks and Drinks</v>
      </c>
      <c r="N1983" s="18">
        <f t="shared" si="1"/>
        <v>600</v>
      </c>
      <c r="O1983" s="17"/>
      <c r="P1983" s="17"/>
      <c r="Q1983" s="17"/>
      <c r="R1983" s="17"/>
      <c r="S1983" s="17"/>
      <c r="T1983" s="17"/>
      <c r="U1983" s="17"/>
      <c r="V1983" s="17"/>
      <c r="W1983" s="17"/>
      <c r="X1983" s="17"/>
      <c r="Y1983" s="17"/>
      <c r="Z1983" s="17"/>
    </row>
    <row r="1984">
      <c r="A1984" s="18" t="str">
        <f>IFERROR(__xludf.DUMMYFUNCTION("""COMPUTED_VALUE"""),"ord_81960")</f>
        <v>ord_81960</v>
      </c>
      <c r="B1984" s="18" t="str">
        <f>IFERROR(__xludf.DUMMYFUNCTION("""COMPUTED_VALUE"""),"Aditya Basu")</f>
        <v>Aditya Basu</v>
      </c>
      <c r="C1984" s="18" t="str">
        <f>IFERROR(__xludf.DUMMYFUNCTION("""COMPUTED_VALUE"""),"Juhu")</f>
        <v>Juhu</v>
      </c>
      <c r="D1984" s="18" t="str">
        <f>IFERROR(__xludf.DUMMYFUNCTION("""COMPUTED_VALUE"""),"Sweet Corn")</f>
        <v>Sweet Corn</v>
      </c>
      <c r="E1984" s="18">
        <f>IFERROR(__xludf.DUMMYFUNCTION("""COMPUTED_VALUE"""),3.0)</f>
        <v>3</v>
      </c>
      <c r="F1984" s="18" t="str">
        <f>IFERROR(__xludf.DUMMYFUNCTION("""COMPUTED_VALUE"""),"Ramesh S")</f>
        <v>Ramesh S</v>
      </c>
      <c r="G1984" s="19">
        <f>IFERROR(__xludf.DUMMYFUNCTION("""COMPUTED_VALUE"""),45264.0)</f>
        <v>45264</v>
      </c>
      <c r="H1984" s="18" t="str">
        <f>IFERROR(__xludf.DUMMYFUNCTION("""COMPUTED_VALUE"""),"UPI")</f>
        <v>UPI</v>
      </c>
      <c r="I1984" s="18" t="str">
        <f>IFERROR(__xludf.DUMMYFUNCTION("""COMPUTED_VALUE"""),"Delivered")</f>
        <v>Delivered</v>
      </c>
      <c r="J1984" s="18" t="str">
        <f>IFERROR(__xludf.DUMMYFUNCTION("""COMPUTED_VALUE"""),"Convenience")</f>
        <v>Convenience</v>
      </c>
      <c r="K1984" s="18" t="str">
        <f>IFERROR(__xludf.DUMMYFUNCTION("""COMPUTED_VALUE"""),"Easy tracking")</f>
        <v>Easy tracking</v>
      </c>
      <c r="L1984" s="18">
        <f>iferror(VLOOKUP($D1984,Details!$A$2:$C$11,2,false),vlookup($D1984,Details!$E$2:$G$11,2,false))</f>
        <v>60</v>
      </c>
      <c r="M1984" s="18" t="str">
        <f>iferror(VLOOKUP($D1984,Details!$A$2:$C$11,3,false),vlookup($D1984,Details!$E$2:$G$11,3,false))</f>
        <v>Fruits and Vegetables</v>
      </c>
      <c r="N1984" s="18">
        <f t="shared" si="1"/>
        <v>180</v>
      </c>
      <c r="O1984" s="17"/>
      <c r="P1984" s="17"/>
      <c r="Q1984" s="17"/>
      <c r="R1984" s="17"/>
      <c r="S1984" s="17"/>
      <c r="T1984" s="17"/>
      <c r="U1984" s="17"/>
      <c r="V1984" s="17"/>
      <c r="W1984" s="17"/>
      <c r="X1984" s="17"/>
      <c r="Y1984" s="17"/>
      <c r="Z1984" s="17"/>
    </row>
    <row r="1985">
      <c r="A1985" s="18" t="str">
        <f>IFERROR(__xludf.DUMMYFUNCTION("""COMPUTED_VALUE"""),"ord_81961")</f>
        <v>ord_81961</v>
      </c>
      <c r="B1985" s="18" t="str">
        <f>IFERROR(__xludf.DUMMYFUNCTION("""COMPUTED_VALUE"""),"Ishita Banerjee")</f>
        <v>Ishita Banerjee</v>
      </c>
      <c r="C1985" s="18" t="str">
        <f>IFERROR(__xludf.DUMMYFUNCTION("""COMPUTED_VALUE"""),"Juhu")</f>
        <v>Juhu</v>
      </c>
      <c r="D1985" s="18" t="str">
        <f>IFERROR(__xludf.DUMMYFUNCTION("""COMPUTED_VALUE"""),"Guava")</f>
        <v>Guava</v>
      </c>
      <c r="E1985" s="18">
        <f>IFERROR(__xludf.DUMMYFUNCTION("""COMPUTED_VALUE"""),2.0)</f>
        <v>2</v>
      </c>
      <c r="F1985" s="18" t="str">
        <f>IFERROR(__xludf.DUMMYFUNCTION("""COMPUTED_VALUE"""),"Ramesh S")</f>
        <v>Ramesh S</v>
      </c>
      <c r="G1985" s="19">
        <f>IFERROR(__xludf.DUMMYFUNCTION("""COMPUTED_VALUE"""),45174.0)</f>
        <v>45174</v>
      </c>
      <c r="H1985" s="18" t="str">
        <f>IFERROR(__xludf.DUMMYFUNCTION("""COMPUTED_VALUE"""),"UPI")</f>
        <v>UPI</v>
      </c>
      <c r="I1985" s="18" t="str">
        <f>IFERROR(__xludf.DUMMYFUNCTION("""COMPUTED_VALUE"""),"Cancelled")</f>
        <v>Cancelled</v>
      </c>
      <c r="J1985" s="18" t="str">
        <f>IFERROR(__xludf.DUMMYFUNCTION("""COMPUTED_VALUE"""),"Delayed Delivery")</f>
        <v>Delayed Delivery</v>
      </c>
      <c r="K1985" s="18" t="str">
        <f>IFERROR(__xludf.DUMMYFUNCTION("""COMPUTED_VALUE"""),"Traffic Accidents or Road Closures")</f>
        <v>Traffic Accidents or Road Closures</v>
      </c>
      <c r="L1985" s="18">
        <f>iferror(VLOOKUP($D1985,Details!$A$2:$C$11,2,false),vlookup($D1985,Details!$E$2:$G$11,2,false))</f>
        <v>70</v>
      </c>
      <c r="M1985" s="18" t="str">
        <f>iferror(VLOOKUP($D1985,Details!$A$2:$C$11,3,false),vlookup($D1985,Details!$E$2:$G$11,3,false))</f>
        <v>Fruits and Vegetables</v>
      </c>
      <c r="N1985" s="18">
        <f t="shared" si="1"/>
        <v>140</v>
      </c>
      <c r="O1985" s="17"/>
      <c r="P1985" s="17"/>
      <c r="Q1985" s="17"/>
      <c r="R1985" s="17"/>
      <c r="S1985" s="17"/>
      <c r="T1985" s="17"/>
      <c r="U1985" s="17"/>
      <c r="V1985" s="17"/>
      <c r="W1985" s="17"/>
      <c r="X1985" s="17"/>
      <c r="Y1985" s="17"/>
      <c r="Z1985" s="17"/>
    </row>
    <row r="1986">
      <c r="A1986" s="18" t="str">
        <f>IFERROR(__xludf.DUMMYFUNCTION("""COMPUTED_VALUE"""),"ord_81962")</f>
        <v>ord_81962</v>
      </c>
      <c r="B1986" s="18" t="str">
        <f>IFERROR(__xludf.DUMMYFUNCTION("""COMPUTED_VALUE"""),"Sanjay Nair")</f>
        <v>Sanjay Nair</v>
      </c>
      <c r="C1986" s="18" t="str">
        <f>IFERROR(__xludf.DUMMYFUNCTION("""COMPUTED_VALUE"""),"Dadar")</f>
        <v>Dadar</v>
      </c>
      <c r="D1986" s="18" t="str">
        <f>IFERROR(__xludf.DUMMYFUNCTION("""COMPUTED_VALUE"""),"Cucumber")</f>
        <v>Cucumber</v>
      </c>
      <c r="E1986" s="18">
        <f>IFERROR(__xludf.DUMMYFUNCTION("""COMPUTED_VALUE"""),1.0)</f>
        <v>1</v>
      </c>
      <c r="F1986" s="18" t="str">
        <f>IFERROR(__xludf.DUMMYFUNCTION("""COMPUTED_VALUE"""),"Neha Shah")</f>
        <v>Neha Shah</v>
      </c>
      <c r="G1986" s="19">
        <f>IFERROR(__xludf.DUMMYFUNCTION("""COMPUTED_VALUE"""),45135.0)</f>
        <v>45135</v>
      </c>
      <c r="H1986" s="18" t="str">
        <f>IFERROR(__xludf.DUMMYFUNCTION("""COMPUTED_VALUE"""),"Online Payment")</f>
        <v>Online Payment</v>
      </c>
      <c r="I1986" s="18" t="str">
        <f>IFERROR(__xludf.DUMMYFUNCTION("""COMPUTED_VALUE"""),"Cancelled")</f>
        <v>Cancelled</v>
      </c>
      <c r="J1986" s="18" t="str">
        <f>IFERROR(__xludf.DUMMYFUNCTION("""COMPUTED_VALUE"""),"Delayed Delivery")</f>
        <v>Delayed Delivery</v>
      </c>
      <c r="K1986" s="18" t="str">
        <f>IFERROR(__xludf.DUMMYFUNCTION("""COMPUTED_VALUE"""),"Heavy Traffic")</f>
        <v>Heavy Traffic</v>
      </c>
      <c r="L1986" s="18">
        <f>iferror(VLOOKUP($D1986,Details!$A$2:$C$11,2,false),vlookup($D1986,Details!$E$2:$G$11,2,false))</f>
        <v>30</v>
      </c>
      <c r="M1986" s="18" t="str">
        <f>iferror(VLOOKUP($D1986,Details!$A$2:$C$11,3,false),vlookup($D1986,Details!$E$2:$G$11,3,false))</f>
        <v>Fruits and Vegetables</v>
      </c>
      <c r="N1986" s="18">
        <f t="shared" si="1"/>
        <v>30</v>
      </c>
      <c r="O1986" s="17"/>
      <c r="P1986" s="17"/>
      <c r="Q1986" s="17"/>
      <c r="R1986" s="17"/>
      <c r="S1986" s="17"/>
      <c r="T1986" s="17"/>
      <c r="U1986" s="17"/>
      <c r="V1986" s="17"/>
      <c r="W1986" s="17"/>
      <c r="X1986" s="17"/>
      <c r="Y1986" s="17"/>
      <c r="Z1986" s="17"/>
    </row>
    <row r="1987">
      <c r="A1987" s="18" t="str">
        <f>IFERROR(__xludf.DUMMYFUNCTION("""COMPUTED_VALUE"""),"ord_81963")</f>
        <v>ord_81963</v>
      </c>
      <c r="B1987" s="18" t="str">
        <f>IFERROR(__xludf.DUMMYFUNCTION("""COMPUTED_VALUE"""),"Kavya Menon")</f>
        <v>Kavya Menon</v>
      </c>
      <c r="C1987" s="18" t="str">
        <f>IFERROR(__xludf.DUMMYFUNCTION("""COMPUTED_VALUE"""),"Andheri")</f>
        <v>Andheri</v>
      </c>
      <c r="D1987" s="18" t="str">
        <f>IFERROR(__xludf.DUMMYFUNCTION("""COMPUTED_VALUE"""),"Cucumber")</f>
        <v>Cucumber</v>
      </c>
      <c r="E1987" s="18">
        <f>IFERROR(__xludf.DUMMYFUNCTION("""COMPUTED_VALUE"""),4.0)</f>
        <v>4</v>
      </c>
      <c r="F1987" s="18" t="str">
        <f>IFERROR(__xludf.DUMMYFUNCTION("""COMPUTED_VALUE"""),"Manju Ajay")</f>
        <v>Manju Ajay</v>
      </c>
      <c r="G1987" s="19">
        <f>IFERROR(__xludf.DUMMYFUNCTION("""COMPUTED_VALUE"""),45195.0)</f>
        <v>45195</v>
      </c>
      <c r="H1987" s="18" t="str">
        <f>IFERROR(__xludf.DUMMYFUNCTION("""COMPUTED_VALUE"""),"Online Payment")</f>
        <v>Online Payment</v>
      </c>
      <c r="I1987" s="18" t="str">
        <f>IFERROR(__xludf.DUMMYFUNCTION("""COMPUTED_VALUE"""),"Delivered")</f>
        <v>Delivered</v>
      </c>
      <c r="J1987" s="18" t="str">
        <f>IFERROR(__xludf.DUMMYFUNCTION("""COMPUTED_VALUE"""),"Overall Satisfaction")</f>
        <v>Overall Satisfaction</v>
      </c>
      <c r="K1987" s="18" t="str">
        <f>IFERROR(__xludf.DUMMYFUNCTION("""COMPUTED_VALUE"""),"Great service will order again")</f>
        <v>Great service will order again</v>
      </c>
      <c r="L1987" s="18">
        <f>iferror(VLOOKUP($D1987,Details!$A$2:$C$11,2,false),vlookup($D1987,Details!$E$2:$G$11,2,false))</f>
        <v>30</v>
      </c>
      <c r="M1987" s="18" t="str">
        <f>iferror(VLOOKUP($D1987,Details!$A$2:$C$11,3,false),vlookup($D1987,Details!$E$2:$G$11,3,false))</f>
        <v>Fruits and Vegetables</v>
      </c>
      <c r="N1987" s="18">
        <f t="shared" si="1"/>
        <v>120</v>
      </c>
      <c r="O1987" s="17"/>
      <c r="P1987" s="17"/>
      <c r="Q1987" s="17"/>
      <c r="R1987" s="17"/>
      <c r="S1987" s="17"/>
      <c r="T1987" s="17"/>
      <c r="U1987" s="17"/>
      <c r="V1987" s="17"/>
      <c r="W1987" s="17"/>
      <c r="X1987" s="17"/>
      <c r="Y1987" s="17"/>
      <c r="Z1987" s="17"/>
    </row>
    <row r="1988">
      <c r="A1988" s="18" t="str">
        <f>IFERROR(__xludf.DUMMYFUNCTION("""COMPUTED_VALUE"""),"ord_81964")</f>
        <v>ord_81964</v>
      </c>
      <c r="B1988" s="18" t="str">
        <f>IFERROR(__xludf.DUMMYFUNCTION("""COMPUTED_VALUE"""),"Kavya Menon")</f>
        <v>Kavya Menon</v>
      </c>
      <c r="C1988" s="18" t="str">
        <f>IFERROR(__xludf.DUMMYFUNCTION("""COMPUTED_VALUE"""),"Andheri")</f>
        <v>Andheri</v>
      </c>
      <c r="D1988" s="18" t="str">
        <f>IFERROR(__xludf.DUMMYFUNCTION("""COMPUTED_VALUE"""),"Cucumber")</f>
        <v>Cucumber</v>
      </c>
      <c r="E1988" s="18">
        <f>IFERROR(__xludf.DUMMYFUNCTION("""COMPUTED_VALUE"""),4.0)</f>
        <v>4</v>
      </c>
      <c r="F1988" s="18" t="str">
        <f>IFERROR(__xludf.DUMMYFUNCTION("""COMPUTED_VALUE"""),"Sita T")</f>
        <v>Sita T</v>
      </c>
      <c r="G1988" s="19">
        <f>IFERROR(__xludf.DUMMYFUNCTION("""COMPUTED_VALUE"""),45101.0)</f>
        <v>45101</v>
      </c>
      <c r="H1988" s="18" t="str">
        <f>IFERROR(__xludf.DUMMYFUNCTION("""COMPUTED_VALUE"""),"UPI")</f>
        <v>UPI</v>
      </c>
      <c r="I1988" s="18" t="str">
        <f>IFERROR(__xludf.DUMMYFUNCTION("""COMPUTED_VALUE"""),"Delivered")</f>
        <v>Delivered</v>
      </c>
      <c r="J1988" s="18" t="str">
        <f>IFERROR(__xludf.DUMMYFUNCTION("""COMPUTED_VALUE"""),"On-time Delivery")</f>
        <v>On-time Delivery</v>
      </c>
      <c r="K1988" s="18" t="str">
        <f>IFERROR(__xludf.DUMMYFUNCTION("""COMPUTED_VALUE"""),"Delivered on time")</f>
        <v>Delivered on time</v>
      </c>
      <c r="L1988" s="18">
        <f>iferror(VLOOKUP($D1988,Details!$A$2:$C$11,2,false),vlookup($D1988,Details!$E$2:$G$11,2,false))</f>
        <v>30</v>
      </c>
      <c r="M1988" s="18" t="str">
        <f>iferror(VLOOKUP($D1988,Details!$A$2:$C$11,3,false),vlookup($D1988,Details!$E$2:$G$11,3,false))</f>
        <v>Fruits and Vegetables</v>
      </c>
      <c r="N1988" s="18">
        <f t="shared" si="1"/>
        <v>120</v>
      </c>
      <c r="O1988" s="17"/>
      <c r="P1988" s="17"/>
      <c r="Q1988" s="17"/>
      <c r="R1988" s="17"/>
      <c r="S1988" s="17"/>
      <c r="T1988" s="17"/>
      <c r="U1988" s="17"/>
      <c r="V1988" s="17"/>
      <c r="W1988" s="17"/>
      <c r="X1988" s="17"/>
      <c r="Y1988" s="17"/>
      <c r="Z1988" s="17"/>
    </row>
    <row r="1989">
      <c r="A1989" s="18" t="str">
        <f>IFERROR(__xludf.DUMMYFUNCTION("""COMPUTED_VALUE"""),"ord_81965")</f>
        <v>ord_81965</v>
      </c>
      <c r="B1989" s="18" t="str">
        <f>IFERROR(__xludf.DUMMYFUNCTION("""COMPUTED_VALUE"""),"Ishita Banerjee")</f>
        <v>Ishita Banerjee</v>
      </c>
      <c r="C1989" s="18" t="str">
        <f>IFERROR(__xludf.DUMMYFUNCTION("""COMPUTED_VALUE"""),"Juhu")</f>
        <v>Juhu</v>
      </c>
      <c r="D1989" s="18" t="str">
        <f>IFERROR(__xludf.DUMMYFUNCTION("""COMPUTED_VALUE"""),"Rasmalai")</f>
        <v>Rasmalai</v>
      </c>
      <c r="E1989" s="18">
        <f>IFERROR(__xludf.DUMMYFUNCTION("""COMPUTED_VALUE"""),1.0)</f>
        <v>1</v>
      </c>
      <c r="F1989" s="18" t="str">
        <f>IFERROR(__xludf.DUMMYFUNCTION("""COMPUTED_VALUE"""),"Not Assigned")</f>
        <v>Not Assigned</v>
      </c>
      <c r="G1989" s="19">
        <f>IFERROR(__xludf.DUMMYFUNCTION("""COMPUTED_VALUE"""),44934.0)</f>
        <v>44934</v>
      </c>
      <c r="H1989" s="18" t="str">
        <f>IFERROR(__xludf.DUMMYFUNCTION("""COMPUTED_VALUE"""),"Credit Card")</f>
        <v>Credit Card</v>
      </c>
      <c r="I1989" s="18" t="str">
        <f>IFERROR(__xludf.DUMMYFUNCTION("""COMPUTED_VALUE"""),"Cancelled")</f>
        <v>Cancelled</v>
      </c>
      <c r="J1989" s="18" t="str">
        <f>IFERROR(__xludf.DUMMYFUNCTION("""COMPUTED_VALUE"""),"Payment Issues")</f>
        <v>Payment Issues</v>
      </c>
      <c r="K1989" s="18"/>
      <c r="L1989" s="18">
        <f>iferror(VLOOKUP($D1989,Details!$A$2:$C$11,2,false),vlookup($D1989,Details!$E$2:$G$11,2,false))</f>
        <v>110</v>
      </c>
      <c r="M1989" s="18" t="str">
        <f>iferror(VLOOKUP($D1989,Details!$A$2:$C$11,3,false),vlookup($D1989,Details!$E$2:$G$11,3,false))</f>
        <v>Snacks and Drinks</v>
      </c>
      <c r="N1989" s="18">
        <f t="shared" si="1"/>
        <v>110</v>
      </c>
      <c r="O1989" s="17"/>
      <c r="P1989" s="17"/>
      <c r="Q1989" s="17"/>
      <c r="R1989" s="17"/>
      <c r="S1989" s="17"/>
      <c r="T1989" s="17"/>
      <c r="U1989" s="17"/>
      <c r="V1989" s="17"/>
      <c r="W1989" s="17"/>
      <c r="X1989" s="17"/>
      <c r="Y1989" s="17"/>
      <c r="Z1989" s="17"/>
    </row>
    <row r="1990">
      <c r="A1990" s="18" t="str">
        <f>IFERROR(__xludf.DUMMYFUNCTION("""COMPUTED_VALUE"""),"ord_81966")</f>
        <v>ord_81966</v>
      </c>
      <c r="B1990" s="18" t="str">
        <f>IFERROR(__xludf.DUMMYFUNCTION("""COMPUTED_VALUE"""),"Arvind Kulkarni")</f>
        <v>Arvind Kulkarni</v>
      </c>
      <c r="C1990" s="18" t="str">
        <f>IFERROR(__xludf.DUMMYFUNCTION("""COMPUTED_VALUE"""),"Juhu")</f>
        <v>Juhu</v>
      </c>
      <c r="D1990" s="18" t="str">
        <f>IFERROR(__xludf.DUMMYFUNCTION("""COMPUTED_VALUE"""),"Sweet Corn")</f>
        <v>Sweet Corn</v>
      </c>
      <c r="E1990" s="18">
        <f>IFERROR(__xludf.DUMMYFUNCTION("""COMPUTED_VALUE"""),2.0)</f>
        <v>2</v>
      </c>
      <c r="F1990" s="18" t="str">
        <f>IFERROR(__xludf.DUMMYFUNCTION("""COMPUTED_VALUE"""),"Not Assigned")</f>
        <v>Not Assigned</v>
      </c>
      <c r="G1990" s="19">
        <f>IFERROR(__xludf.DUMMYFUNCTION("""COMPUTED_VALUE"""),45195.0)</f>
        <v>45195</v>
      </c>
      <c r="H1990" s="18" t="str">
        <f>IFERROR(__xludf.DUMMYFUNCTION("""COMPUTED_VALUE"""),"Online Payment")</f>
        <v>Online Payment</v>
      </c>
      <c r="I1990" s="18" t="str">
        <f>IFERROR(__xludf.DUMMYFUNCTION("""COMPUTED_VALUE"""),"Cancelled")</f>
        <v>Cancelled</v>
      </c>
      <c r="J1990" s="18" t="str">
        <f>IFERROR(__xludf.DUMMYFUNCTION("""COMPUTED_VALUE"""),"App Glitches")</f>
        <v>App Glitches</v>
      </c>
      <c r="K1990" s="18" t="str">
        <f>IFERROR(__xludf.DUMMYFUNCTION("""COMPUTED_VALUE"""),"Error Messages")</f>
        <v>Error Messages</v>
      </c>
      <c r="L1990" s="18">
        <f>iferror(VLOOKUP($D1990,Details!$A$2:$C$11,2,false),vlookup($D1990,Details!$E$2:$G$11,2,false))</f>
        <v>60</v>
      </c>
      <c r="M1990" s="18" t="str">
        <f>iferror(VLOOKUP($D1990,Details!$A$2:$C$11,3,false),vlookup($D1990,Details!$E$2:$G$11,3,false))</f>
        <v>Fruits and Vegetables</v>
      </c>
      <c r="N1990" s="18">
        <f t="shared" si="1"/>
        <v>120</v>
      </c>
      <c r="O1990" s="17"/>
      <c r="P1990" s="17"/>
      <c r="Q1990" s="17"/>
      <c r="R1990" s="17"/>
      <c r="S1990" s="17"/>
      <c r="T1990" s="17"/>
      <c r="U1990" s="17"/>
      <c r="V1990" s="17"/>
      <c r="W1990" s="17"/>
      <c r="X1990" s="17"/>
      <c r="Y1990" s="17"/>
      <c r="Z1990" s="17"/>
    </row>
    <row r="1991">
      <c r="A1991" s="18" t="str">
        <f>IFERROR(__xludf.DUMMYFUNCTION("""COMPUTED_VALUE"""),"ord_81967")</f>
        <v>ord_81967</v>
      </c>
      <c r="B1991" s="18" t="str">
        <f>IFERROR(__xludf.DUMMYFUNCTION("""COMPUTED_VALUE"""),"Mehul Thakkar")</f>
        <v>Mehul Thakkar</v>
      </c>
      <c r="C1991" s="18" t="str">
        <f>IFERROR(__xludf.DUMMYFUNCTION("""COMPUTED_VALUE"""),"Malad")</f>
        <v>Malad</v>
      </c>
      <c r="D1991" s="18" t="str">
        <f>IFERROR(__xludf.DUMMYFUNCTION("""COMPUTED_VALUE"""),"Veg Puff")</f>
        <v>Veg Puff</v>
      </c>
      <c r="E1991" s="18">
        <f>IFERROR(__xludf.DUMMYFUNCTION("""COMPUTED_VALUE"""),3.0)</f>
        <v>3</v>
      </c>
      <c r="F1991" s="18" t="str">
        <f>IFERROR(__xludf.DUMMYFUNCTION("""COMPUTED_VALUE"""),"Ramesh S")</f>
        <v>Ramesh S</v>
      </c>
      <c r="G1991" s="19">
        <f>IFERROR(__xludf.DUMMYFUNCTION("""COMPUTED_VALUE"""),45014.0)</f>
        <v>45014</v>
      </c>
      <c r="H1991" s="18" t="str">
        <f>IFERROR(__xludf.DUMMYFUNCTION("""COMPUTED_VALUE"""),"Credit Card")</f>
        <v>Credit Card</v>
      </c>
      <c r="I1991" s="18" t="str">
        <f>IFERROR(__xludf.DUMMYFUNCTION("""COMPUTED_VALUE"""),"Delivered")</f>
        <v>Delivered</v>
      </c>
      <c r="J1991" s="18" t="str">
        <f>IFERROR(__xludf.DUMMYFUNCTION("""COMPUTED_VALUE"""),"Quality of Items")</f>
        <v>Quality of Items</v>
      </c>
      <c r="K1991" s="18" t="str">
        <f>IFERROR(__xludf.DUMMYFUNCTION("""COMPUTED_VALUE"""),"Perfect condition")</f>
        <v>Perfect condition</v>
      </c>
      <c r="L1991" s="18">
        <f>iferror(VLOOKUP($D1991,Details!$A$2:$C$11,2,false),vlookup($D1991,Details!$E$2:$G$11,2,false))</f>
        <v>80</v>
      </c>
      <c r="M1991" s="18" t="str">
        <f>iferror(VLOOKUP($D1991,Details!$A$2:$C$11,3,false),vlookup($D1991,Details!$E$2:$G$11,3,false))</f>
        <v>Snacks and Drinks</v>
      </c>
      <c r="N1991" s="18">
        <f t="shared" si="1"/>
        <v>240</v>
      </c>
      <c r="O1991" s="17"/>
      <c r="P1991" s="17"/>
      <c r="Q1991" s="17"/>
      <c r="R1991" s="17"/>
      <c r="S1991" s="17"/>
      <c r="T1991" s="17"/>
      <c r="U1991" s="17"/>
      <c r="V1991" s="17"/>
      <c r="W1991" s="17"/>
      <c r="X1991" s="17"/>
      <c r="Y1991" s="17"/>
      <c r="Z1991" s="17"/>
    </row>
    <row r="1992">
      <c r="A1992" s="18" t="str">
        <f>IFERROR(__xludf.DUMMYFUNCTION("""COMPUTED_VALUE"""),"ord_81968")</f>
        <v>ord_81968</v>
      </c>
      <c r="B1992" s="18" t="str">
        <f>IFERROR(__xludf.DUMMYFUNCTION("""COMPUTED_VALUE"""),"Kunal Sharma")</f>
        <v>Kunal Sharma</v>
      </c>
      <c r="C1992" s="18" t="str">
        <f>IFERROR(__xludf.DUMMYFUNCTION("""COMPUTED_VALUE"""),"Powai")</f>
        <v>Powai</v>
      </c>
      <c r="D1992" s="18" t="str">
        <f>IFERROR(__xludf.DUMMYFUNCTION("""COMPUTED_VALUE"""),"Cold Coffee")</f>
        <v>Cold Coffee</v>
      </c>
      <c r="E1992" s="18">
        <f>IFERROR(__xludf.DUMMYFUNCTION("""COMPUTED_VALUE"""),8.0)</f>
        <v>8</v>
      </c>
      <c r="F1992" s="18" t="str">
        <f>IFERROR(__xludf.DUMMYFUNCTION("""COMPUTED_VALUE"""),"Shine Thomas")</f>
        <v>Shine Thomas</v>
      </c>
      <c r="G1992" s="19">
        <f>IFERROR(__xludf.DUMMYFUNCTION("""COMPUTED_VALUE"""),45109.0)</f>
        <v>45109</v>
      </c>
      <c r="H1992" s="18" t="str">
        <f>IFERROR(__xludf.DUMMYFUNCTION("""COMPUTED_VALUE"""),"Online Payment")</f>
        <v>Online Payment</v>
      </c>
      <c r="I1992" s="18" t="str">
        <f>IFERROR(__xludf.DUMMYFUNCTION("""COMPUTED_VALUE"""),"Delivered")</f>
        <v>Delivered</v>
      </c>
      <c r="J1992" s="18" t="str">
        <f>IFERROR(__xludf.DUMMYFUNCTION("""COMPUTED_VALUE"""),"On-time Delivery")</f>
        <v>On-time Delivery</v>
      </c>
      <c r="K1992" s="18" t="str">
        <f>IFERROR(__xludf.DUMMYFUNCTION("""COMPUTED_VALUE"""),"Delivered on time")</f>
        <v>Delivered on time</v>
      </c>
      <c r="L1992" s="18">
        <f>iferror(VLOOKUP($D1992,Details!$A$2:$C$11,2,false),vlookup($D1992,Details!$E$2:$G$11,2,false))</f>
        <v>270</v>
      </c>
      <c r="M1992" s="18" t="str">
        <f>iferror(VLOOKUP($D1992,Details!$A$2:$C$11,3,false),vlookup($D1992,Details!$E$2:$G$11,3,false))</f>
        <v>Snacks and Drinks</v>
      </c>
      <c r="N1992" s="18">
        <f t="shared" si="1"/>
        <v>2160</v>
      </c>
      <c r="O1992" s="17"/>
      <c r="P1992" s="17"/>
      <c r="Q1992" s="17"/>
      <c r="R1992" s="17"/>
      <c r="S1992" s="17"/>
      <c r="T1992" s="17"/>
      <c r="U1992" s="17"/>
      <c r="V1992" s="17"/>
      <c r="W1992" s="17"/>
      <c r="X1992" s="17"/>
      <c r="Y1992" s="17"/>
      <c r="Z1992" s="17"/>
    </row>
    <row r="1993">
      <c r="A1993" s="18" t="str">
        <f>IFERROR(__xludf.DUMMYFUNCTION("""COMPUTED_VALUE"""),"ord_81969")</f>
        <v>ord_81969</v>
      </c>
      <c r="B1993" s="18" t="str">
        <f>IFERROR(__xludf.DUMMYFUNCTION("""COMPUTED_VALUE"""),"Kunal Sharma")</f>
        <v>Kunal Sharma</v>
      </c>
      <c r="C1993" s="18" t="str">
        <f>IFERROR(__xludf.DUMMYFUNCTION("""COMPUTED_VALUE"""),"Powai")</f>
        <v>Powai</v>
      </c>
      <c r="D1993" s="18" t="str">
        <f>IFERROR(__xludf.DUMMYFUNCTION("""COMPUTED_VALUE"""),"Tiramisu")</f>
        <v>Tiramisu</v>
      </c>
      <c r="E1993" s="18">
        <f>IFERROR(__xludf.DUMMYFUNCTION("""COMPUTED_VALUE"""),6.0)</f>
        <v>6</v>
      </c>
      <c r="F1993" s="18" t="str">
        <f>IFERROR(__xludf.DUMMYFUNCTION("""COMPUTED_VALUE"""),"Venu R")</f>
        <v>Venu R</v>
      </c>
      <c r="G1993" s="19">
        <f>IFERROR(__xludf.DUMMYFUNCTION("""COMPUTED_VALUE"""),45286.0)</f>
        <v>45286</v>
      </c>
      <c r="H1993" s="18" t="str">
        <f>IFERROR(__xludf.DUMMYFUNCTION("""COMPUTED_VALUE"""),"Online Payment")</f>
        <v>Online Payment</v>
      </c>
      <c r="I1993" s="18" t="str">
        <f>IFERROR(__xludf.DUMMYFUNCTION("""COMPUTED_VALUE"""),"Delivered")</f>
        <v>Delivered</v>
      </c>
      <c r="J1993" s="18" t="str">
        <f>IFERROR(__xludf.DUMMYFUNCTION("""COMPUTED_VALUE"""),"Quality of Items")</f>
        <v>Quality of Items</v>
      </c>
      <c r="K1993" s="18" t="str">
        <f>IFERROR(__xludf.DUMMYFUNCTION("""COMPUTED_VALUE"""),"Perfect condition")</f>
        <v>Perfect condition</v>
      </c>
      <c r="L1993" s="18">
        <f>iferror(VLOOKUP($D1993,Details!$A$2:$C$11,2,false),vlookup($D1993,Details!$E$2:$G$11,2,false))</f>
        <v>150</v>
      </c>
      <c r="M1993" s="18" t="str">
        <f>iferror(VLOOKUP($D1993,Details!$A$2:$C$11,3,false),vlookup($D1993,Details!$E$2:$G$11,3,false))</f>
        <v>Snacks and Drinks</v>
      </c>
      <c r="N1993" s="18">
        <f t="shared" si="1"/>
        <v>900</v>
      </c>
      <c r="O1993" s="17"/>
      <c r="P1993" s="17"/>
      <c r="Q1993" s="17"/>
      <c r="R1993" s="17"/>
      <c r="S1993" s="17"/>
      <c r="T1993" s="17"/>
      <c r="U1993" s="17"/>
      <c r="V1993" s="17"/>
      <c r="W1993" s="17"/>
      <c r="X1993" s="17"/>
      <c r="Y1993" s="17"/>
      <c r="Z1993" s="17"/>
    </row>
    <row r="1994">
      <c r="A1994" s="18" t="str">
        <f>IFERROR(__xludf.DUMMYFUNCTION("""COMPUTED_VALUE"""),"ord_81970")</f>
        <v>ord_81970</v>
      </c>
      <c r="B1994" s="18" t="str">
        <f>IFERROR(__xludf.DUMMYFUNCTION("""COMPUTED_VALUE"""),"Siya Reddy")</f>
        <v>Siya Reddy</v>
      </c>
      <c r="C1994" s="18" t="str">
        <f>IFERROR(__xludf.DUMMYFUNCTION("""COMPUTED_VALUE"""),"Juhu")</f>
        <v>Juhu</v>
      </c>
      <c r="D1994" s="18" t="str">
        <f>IFERROR(__xludf.DUMMYFUNCTION("""COMPUTED_VALUE"""),"Popcorn")</f>
        <v>Popcorn</v>
      </c>
      <c r="E1994" s="18">
        <f>IFERROR(__xludf.DUMMYFUNCTION("""COMPUTED_VALUE"""),2.0)</f>
        <v>2</v>
      </c>
      <c r="F1994" s="18" t="str">
        <f>IFERROR(__xludf.DUMMYFUNCTION("""COMPUTED_VALUE"""),"Not Assigned")</f>
        <v>Not Assigned</v>
      </c>
      <c r="G1994" s="19">
        <f>IFERROR(__xludf.DUMMYFUNCTION("""COMPUTED_VALUE"""),44967.0)</f>
        <v>44967</v>
      </c>
      <c r="H1994" s="18" t="str">
        <f>IFERROR(__xludf.DUMMYFUNCTION("""COMPUTED_VALUE"""),"Credit Card")</f>
        <v>Credit Card</v>
      </c>
      <c r="I1994" s="18" t="str">
        <f>IFERROR(__xludf.DUMMYFUNCTION("""COMPUTED_VALUE"""),"Cancelled")</f>
        <v>Cancelled</v>
      </c>
      <c r="J1994" s="18" t="str">
        <f>IFERROR(__xludf.DUMMYFUNCTION("""COMPUTED_VALUE"""),"Out of Stock")</f>
        <v>Out of Stock</v>
      </c>
      <c r="K1994" s="18"/>
      <c r="L1994" s="18">
        <f>iferror(VLOOKUP($D1994,Details!$A$2:$C$11,2,false),vlookup($D1994,Details!$E$2:$G$11,2,false))</f>
        <v>150</v>
      </c>
      <c r="M1994" s="18" t="str">
        <f>iferror(VLOOKUP($D1994,Details!$A$2:$C$11,3,false),vlookup($D1994,Details!$E$2:$G$11,3,false))</f>
        <v>Snacks and Drinks</v>
      </c>
      <c r="N1994" s="18">
        <f t="shared" si="1"/>
        <v>300</v>
      </c>
      <c r="O1994" s="17"/>
      <c r="P1994" s="17"/>
      <c r="Q1994" s="17"/>
      <c r="R1994" s="17"/>
      <c r="S1994" s="17"/>
      <c r="T1994" s="17"/>
      <c r="U1994" s="17"/>
      <c r="V1994" s="17"/>
      <c r="W1994" s="17"/>
      <c r="X1994" s="17"/>
      <c r="Y1994" s="17"/>
      <c r="Z1994" s="17"/>
    </row>
    <row r="1995">
      <c r="A1995" s="18" t="str">
        <f>IFERROR(__xludf.DUMMYFUNCTION("""COMPUTED_VALUE"""),"ord_81971")</f>
        <v>ord_81971</v>
      </c>
      <c r="B1995" s="18" t="str">
        <f>IFERROR(__xludf.DUMMYFUNCTION("""COMPUTED_VALUE"""),"Anaya Rao")</f>
        <v>Anaya Rao</v>
      </c>
      <c r="C1995" s="18" t="str">
        <f>IFERROR(__xludf.DUMMYFUNCTION("""COMPUTED_VALUE"""),"Colaba")</f>
        <v>Colaba</v>
      </c>
      <c r="D1995" s="18" t="str">
        <f>IFERROR(__xludf.DUMMYFUNCTION("""COMPUTED_VALUE"""),"Banana")</f>
        <v>Banana</v>
      </c>
      <c r="E1995" s="18">
        <f>IFERROR(__xludf.DUMMYFUNCTION("""COMPUTED_VALUE"""),1.0)</f>
        <v>1</v>
      </c>
      <c r="F1995" s="18" t="str">
        <f>IFERROR(__xludf.DUMMYFUNCTION("""COMPUTED_VALUE"""),"Not Assigned")</f>
        <v>Not Assigned</v>
      </c>
      <c r="G1995" s="19">
        <f>IFERROR(__xludf.DUMMYFUNCTION("""COMPUTED_VALUE"""),45268.0)</f>
        <v>45268</v>
      </c>
      <c r="H1995" s="18" t="str">
        <f>IFERROR(__xludf.DUMMYFUNCTION("""COMPUTED_VALUE"""),"Online Payment")</f>
        <v>Online Payment</v>
      </c>
      <c r="I1995" s="18" t="str">
        <f>IFERROR(__xludf.DUMMYFUNCTION("""COMPUTED_VALUE"""),"Cancelled")</f>
        <v>Cancelled</v>
      </c>
      <c r="J1995" s="18" t="str">
        <f>IFERROR(__xludf.DUMMYFUNCTION("""COMPUTED_VALUE"""),"App Glitches")</f>
        <v>App Glitches</v>
      </c>
      <c r="K1995" s="18" t="str">
        <f>IFERROR(__xludf.DUMMYFUNCTION("""COMPUTED_VALUE"""),"Slow Loading Time")</f>
        <v>Slow Loading Time</v>
      </c>
      <c r="L1995" s="18">
        <f>iferror(VLOOKUP($D1995,Details!$A$2:$C$11,2,false),vlookup($D1995,Details!$E$2:$G$11,2,false))</f>
        <v>80</v>
      </c>
      <c r="M1995" s="18" t="str">
        <f>iferror(VLOOKUP($D1995,Details!$A$2:$C$11,3,false),vlookup($D1995,Details!$E$2:$G$11,3,false))</f>
        <v>Fruits and Vegetables</v>
      </c>
      <c r="N1995" s="18">
        <f t="shared" si="1"/>
        <v>80</v>
      </c>
      <c r="O1995" s="17"/>
      <c r="P1995" s="17"/>
      <c r="Q1995" s="17"/>
      <c r="R1995" s="17"/>
      <c r="S1995" s="17"/>
      <c r="T1995" s="17"/>
      <c r="U1995" s="17"/>
      <c r="V1995" s="17"/>
      <c r="W1995" s="17"/>
      <c r="X1995" s="17"/>
      <c r="Y1995" s="17"/>
      <c r="Z1995" s="17"/>
    </row>
    <row r="1996">
      <c r="A1996" s="18" t="str">
        <f>IFERROR(__xludf.DUMMYFUNCTION("""COMPUTED_VALUE"""),"ord_81972")</f>
        <v>ord_81972</v>
      </c>
      <c r="B1996" s="18" t="str">
        <f>IFERROR(__xludf.DUMMYFUNCTION("""COMPUTED_VALUE"""),"Ishaan Chaturvedi")</f>
        <v>Ishaan Chaturvedi</v>
      </c>
      <c r="C1996" s="18" t="str">
        <f>IFERROR(__xludf.DUMMYFUNCTION("""COMPUTED_VALUE"""),"Bandra")</f>
        <v>Bandra</v>
      </c>
      <c r="D1996" s="18" t="str">
        <f>IFERROR(__xludf.DUMMYFUNCTION("""COMPUTED_VALUE"""),"Chilli Cheese Toast")</f>
        <v>Chilli Cheese Toast</v>
      </c>
      <c r="E1996" s="18">
        <f>IFERROR(__xludf.DUMMYFUNCTION("""COMPUTED_VALUE"""),5.0)</f>
        <v>5</v>
      </c>
      <c r="F1996" s="18" t="str">
        <f>IFERROR(__xludf.DUMMYFUNCTION("""COMPUTED_VALUE"""),"Nithin Lal")</f>
        <v>Nithin Lal</v>
      </c>
      <c r="G1996" s="19">
        <f>IFERROR(__xludf.DUMMYFUNCTION("""COMPUTED_VALUE"""),45076.0)</f>
        <v>45076</v>
      </c>
      <c r="H1996" s="18" t="str">
        <f>IFERROR(__xludf.DUMMYFUNCTION("""COMPUTED_VALUE"""),"UPI")</f>
        <v>UPI</v>
      </c>
      <c r="I1996" s="18" t="str">
        <f>IFERROR(__xludf.DUMMYFUNCTION("""COMPUTED_VALUE"""),"Delivered")</f>
        <v>Delivered</v>
      </c>
      <c r="J1996" s="18" t="str">
        <f>IFERROR(__xludf.DUMMYFUNCTION("""COMPUTED_VALUE"""),"Packaging")</f>
        <v>Packaging</v>
      </c>
      <c r="K1996" s="18" t="str">
        <f>IFERROR(__xludf.DUMMYFUNCTION("""COMPUTED_VALUE"""),"Secure and intact")</f>
        <v>Secure and intact</v>
      </c>
      <c r="L1996" s="18">
        <f>iferror(VLOOKUP($D1996,Details!$A$2:$C$11,2,false),vlookup($D1996,Details!$E$2:$G$11,2,false))</f>
        <v>80</v>
      </c>
      <c r="M1996" s="18" t="str">
        <f>iferror(VLOOKUP($D1996,Details!$A$2:$C$11,3,false),vlookup($D1996,Details!$E$2:$G$11,3,false))</f>
        <v>Snacks and Drinks</v>
      </c>
      <c r="N1996" s="18">
        <f t="shared" si="1"/>
        <v>400</v>
      </c>
      <c r="O1996" s="17"/>
      <c r="P1996" s="17"/>
      <c r="Q1996" s="17"/>
      <c r="R1996" s="17"/>
      <c r="S1996" s="17"/>
      <c r="T1996" s="17"/>
      <c r="U1996" s="17"/>
      <c r="V1996" s="17"/>
      <c r="W1996" s="17"/>
      <c r="X1996" s="17"/>
      <c r="Y1996" s="17"/>
      <c r="Z1996" s="17"/>
    </row>
    <row r="1997">
      <c r="A1997" s="18" t="str">
        <f>IFERROR(__xludf.DUMMYFUNCTION("""COMPUTED_VALUE"""),"ord_81973")</f>
        <v>ord_81973</v>
      </c>
      <c r="B1997" s="18" t="str">
        <f>IFERROR(__xludf.DUMMYFUNCTION("""COMPUTED_VALUE"""),"Mohit Malhotra")</f>
        <v>Mohit Malhotra</v>
      </c>
      <c r="C1997" s="18" t="str">
        <f>IFERROR(__xludf.DUMMYFUNCTION("""COMPUTED_VALUE"""),"Lower Parel")</f>
        <v>Lower Parel</v>
      </c>
      <c r="D1997" s="18" t="str">
        <f>IFERROR(__xludf.DUMMYFUNCTION("""COMPUTED_VALUE"""),"Onion")</f>
        <v>Onion</v>
      </c>
      <c r="E1997" s="18">
        <f>IFERROR(__xludf.DUMMYFUNCTION("""COMPUTED_VALUE"""),1.0)</f>
        <v>1</v>
      </c>
      <c r="F1997" s="18" t="str">
        <f>IFERROR(__xludf.DUMMYFUNCTION("""COMPUTED_VALUE"""),"Vivek Kumar")</f>
        <v>Vivek Kumar</v>
      </c>
      <c r="G1997" s="19">
        <f>IFERROR(__xludf.DUMMYFUNCTION("""COMPUTED_VALUE"""),45290.0)</f>
        <v>45290</v>
      </c>
      <c r="H1997" s="18" t="str">
        <f>IFERROR(__xludf.DUMMYFUNCTION("""COMPUTED_VALUE"""),"UPI")</f>
        <v>UPI</v>
      </c>
      <c r="I1997" s="18" t="str">
        <f>IFERROR(__xludf.DUMMYFUNCTION("""COMPUTED_VALUE"""),"Delivered")</f>
        <v>Delivered</v>
      </c>
      <c r="J1997" s="18" t="str">
        <f>IFERROR(__xludf.DUMMYFUNCTION("""COMPUTED_VALUE"""),"Satisfied with the Delivery")</f>
        <v>Satisfied with the Delivery</v>
      </c>
      <c r="K1997" s="18" t="str">
        <f>IFERROR(__xludf.DUMMYFUNCTION("""COMPUTED_VALUE"""),"Timely and quality")</f>
        <v>Timely and quality</v>
      </c>
      <c r="L1997" s="18">
        <f>iferror(VLOOKUP($D1997,Details!$A$2:$C$11,2,false),vlookup($D1997,Details!$E$2:$G$11,2,false))</f>
        <v>84</v>
      </c>
      <c r="M1997" s="18" t="str">
        <f>iferror(VLOOKUP($D1997,Details!$A$2:$C$11,3,false),vlookup($D1997,Details!$E$2:$G$11,3,false))</f>
        <v>Fruits and Vegetables</v>
      </c>
      <c r="N1997" s="18">
        <f t="shared" si="1"/>
        <v>84</v>
      </c>
      <c r="O1997" s="17"/>
      <c r="P1997" s="17"/>
      <c r="Q1997" s="17"/>
      <c r="R1997" s="17"/>
      <c r="S1997" s="17"/>
      <c r="T1997" s="17"/>
      <c r="U1997" s="17"/>
      <c r="V1997" s="17"/>
      <c r="W1997" s="17"/>
      <c r="X1997" s="17"/>
      <c r="Y1997" s="17"/>
      <c r="Z1997" s="17"/>
    </row>
    <row r="1998">
      <c r="A1998" s="18" t="str">
        <f>IFERROR(__xludf.DUMMYFUNCTION("""COMPUTED_VALUE"""),"ord_81974")</f>
        <v>ord_81974</v>
      </c>
      <c r="B1998" s="18" t="str">
        <f>IFERROR(__xludf.DUMMYFUNCTION("""COMPUTED_VALUE"""),"Aarav Mehta")</f>
        <v>Aarav Mehta</v>
      </c>
      <c r="C1998" s="18" t="str">
        <f>IFERROR(__xludf.DUMMYFUNCTION("""COMPUTED_VALUE"""),"Andheri")</f>
        <v>Andheri</v>
      </c>
      <c r="D1998" s="18" t="str">
        <f>IFERROR(__xludf.DUMMYFUNCTION("""COMPUTED_VALUE"""),"Chilli Cheese Toast")</f>
        <v>Chilli Cheese Toast</v>
      </c>
      <c r="E1998" s="18">
        <f>IFERROR(__xludf.DUMMYFUNCTION("""COMPUTED_VALUE"""),1.0)</f>
        <v>1</v>
      </c>
      <c r="F1998" s="18" t="str">
        <f>IFERROR(__xludf.DUMMYFUNCTION("""COMPUTED_VALUE"""),"Not Assigned")</f>
        <v>Not Assigned</v>
      </c>
      <c r="G1998" s="19">
        <f>IFERROR(__xludf.DUMMYFUNCTION("""COMPUTED_VALUE"""),45216.0)</f>
        <v>45216</v>
      </c>
      <c r="H1998" s="18" t="str">
        <f>IFERROR(__xludf.DUMMYFUNCTION("""COMPUTED_VALUE"""),"Online Payment")</f>
        <v>Online Payment</v>
      </c>
      <c r="I1998" s="18" t="str">
        <f>IFERROR(__xludf.DUMMYFUNCTION("""COMPUTED_VALUE"""),"Cancelled")</f>
        <v>Cancelled</v>
      </c>
      <c r="J1998" s="18" t="str">
        <f>IFERROR(__xludf.DUMMYFUNCTION("""COMPUTED_VALUE"""),"App Glitches")</f>
        <v>App Glitches</v>
      </c>
      <c r="K1998" s="18" t="str">
        <f>IFERROR(__xludf.DUMMYFUNCTION("""COMPUTED_VALUE"""),"Payment Button Malfunction")</f>
        <v>Payment Button Malfunction</v>
      </c>
      <c r="L1998" s="18">
        <f>iferror(VLOOKUP($D1998,Details!$A$2:$C$11,2,false),vlookup($D1998,Details!$E$2:$G$11,2,false))</f>
        <v>80</v>
      </c>
      <c r="M1998" s="18" t="str">
        <f>iferror(VLOOKUP($D1998,Details!$A$2:$C$11,3,false),vlookup($D1998,Details!$E$2:$G$11,3,false))</f>
        <v>Snacks and Drinks</v>
      </c>
      <c r="N1998" s="18">
        <f t="shared" si="1"/>
        <v>80</v>
      </c>
      <c r="O1998" s="17"/>
      <c r="P1998" s="17"/>
      <c r="Q1998" s="17"/>
      <c r="R1998" s="17"/>
      <c r="S1998" s="17"/>
      <c r="T1998" s="17"/>
      <c r="U1998" s="17"/>
      <c r="V1998" s="17"/>
      <c r="W1998" s="17"/>
      <c r="X1998" s="17"/>
      <c r="Y1998" s="17"/>
      <c r="Z1998" s="17"/>
    </row>
    <row r="1999">
      <c r="A1999" s="18" t="str">
        <f>IFERROR(__xludf.DUMMYFUNCTION("""COMPUTED_VALUE"""),"ord_81975")</f>
        <v>ord_81975</v>
      </c>
      <c r="B1999" s="18" t="str">
        <f>IFERROR(__xludf.DUMMYFUNCTION("""COMPUTED_VALUE"""),"Mohit Malhotra")</f>
        <v>Mohit Malhotra</v>
      </c>
      <c r="C1999" s="18" t="str">
        <f>IFERROR(__xludf.DUMMYFUNCTION("""COMPUTED_VALUE"""),"Lower Parel")</f>
        <v>Lower Parel</v>
      </c>
      <c r="D1999" s="18" t="str">
        <f>IFERROR(__xludf.DUMMYFUNCTION("""COMPUTED_VALUE"""),"Veg Puff")</f>
        <v>Veg Puff</v>
      </c>
      <c r="E1999" s="18">
        <f>IFERROR(__xludf.DUMMYFUNCTION("""COMPUTED_VALUE"""),5.0)</f>
        <v>5</v>
      </c>
      <c r="F1999" s="18" t="str">
        <f>IFERROR(__xludf.DUMMYFUNCTION("""COMPUTED_VALUE"""),"Sita T")</f>
        <v>Sita T</v>
      </c>
      <c r="G1999" s="19">
        <f>IFERROR(__xludf.DUMMYFUNCTION("""COMPUTED_VALUE"""),45135.0)</f>
        <v>45135</v>
      </c>
      <c r="H1999" s="18" t="str">
        <f>IFERROR(__xludf.DUMMYFUNCTION("""COMPUTED_VALUE"""),"UPI")</f>
        <v>UPI</v>
      </c>
      <c r="I1999" s="18" t="str">
        <f>IFERROR(__xludf.DUMMYFUNCTION("""COMPUTED_VALUE"""),"Delivered")</f>
        <v>Delivered</v>
      </c>
      <c r="J1999" s="18" t="str">
        <f>IFERROR(__xludf.DUMMYFUNCTION("""COMPUTED_VALUE"""),"Customer Service")</f>
        <v>Customer Service</v>
      </c>
      <c r="K1999" s="18" t="str">
        <f>IFERROR(__xludf.DUMMYFUNCTION("""COMPUTED_VALUE"""),"Seamless and easy")</f>
        <v>Seamless and easy</v>
      </c>
      <c r="L1999" s="18">
        <f>iferror(VLOOKUP($D1999,Details!$A$2:$C$11,2,false),vlookup($D1999,Details!$E$2:$G$11,2,false))</f>
        <v>80</v>
      </c>
      <c r="M1999" s="18" t="str">
        <f>iferror(VLOOKUP($D1999,Details!$A$2:$C$11,3,false),vlookup($D1999,Details!$E$2:$G$11,3,false))</f>
        <v>Snacks and Drinks</v>
      </c>
      <c r="N1999" s="18">
        <f t="shared" si="1"/>
        <v>400</v>
      </c>
      <c r="O1999" s="17"/>
      <c r="P1999" s="17"/>
      <c r="Q1999" s="17"/>
      <c r="R1999" s="17"/>
      <c r="S1999" s="17"/>
      <c r="T1999" s="17"/>
      <c r="U1999" s="17"/>
      <c r="V1999" s="17"/>
      <c r="W1999" s="17"/>
      <c r="X1999" s="17"/>
      <c r="Y1999" s="17"/>
      <c r="Z1999" s="17"/>
    </row>
    <row r="2000">
      <c r="A2000" s="18" t="str">
        <f>IFERROR(__xludf.DUMMYFUNCTION("""COMPUTED_VALUE"""),"ord_81976")</f>
        <v>ord_81976</v>
      </c>
      <c r="B2000" s="18" t="str">
        <f>IFERROR(__xludf.DUMMYFUNCTION("""COMPUTED_VALUE"""),"Siya Reddy")</f>
        <v>Siya Reddy</v>
      </c>
      <c r="C2000" s="18" t="str">
        <f>IFERROR(__xludf.DUMMYFUNCTION("""COMPUTED_VALUE"""),"Juhu")</f>
        <v>Juhu</v>
      </c>
      <c r="D2000" s="18" t="str">
        <f>IFERROR(__xludf.DUMMYFUNCTION("""COMPUTED_VALUE"""),"Chocolate Mousse")</f>
        <v>Chocolate Mousse</v>
      </c>
      <c r="E2000" s="18">
        <f>IFERROR(__xludf.DUMMYFUNCTION("""COMPUTED_VALUE"""),1.0)</f>
        <v>1</v>
      </c>
      <c r="F2000" s="18" t="str">
        <f>IFERROR(__xludf.DUMMYFUNCTION("""COMPUTED_VALUE"""),"Ram Gopal")</f>
        <v>Ram Gopal</v>
      </c>
      <c r="G2000" s="19">
        <f>IFERROR(__xludf.DUMMYFUNCTION("""COMPUTED_VALUE"""),45049.0)</f>
        <v>45049</v>
      </c>
      <c r="H2000" s="18" t="str">
        <f>IFERROR(__xludf.DUMMYFUNCTION("""COMPUTED_VALUE"""),"Credit Card")</f>
        <v>Credit Card</v>
      </c>
      <c r="I2000" s="18" t="str">
        <f>IFERROR(__xludf.DUMMYFUNCTION("""COMPUTED_VALUE"""),"Cancelled")</f>
        <v>Cancelled</v>
      </c>
      <c r="J2000" s="18" t="str">
        <f>IFERROR(__xludf.DUMMYFUNCTION("""COMPUTED_VALUE"""),"Delayed Delivery")</f>
        <v>Delayed Delivery</v>
      </c>
      <c r="K2000" s="18" t="str">
        <f>IFERROR(__xludf.DUMMYFUNCTION("""COMPUTED_VALUE"""),"Heavy Traffic")</f>
        <v>Heavy Traffic</v>
      </c>
      <c r="L2000" s="18">
        <f>iferror(VLOOKUP($D2000,Details!$A$2:$C$11,2,false),vlookup($D2000,Details!$E$2:$G$11,2,false))</f>
        <v>145</v>
      </c>
      <c r="M2000" s="18" t="str">
        <f>iferror(VLOOKUP($D2000,Details!$A$2:$C$11,3,false),vlookup($D2000,Details!$E$2:$G$11,3,false))</f>
        <v>Snacks and Drinks</v>
      </c>
      <c r="N2000" s="18">
        <f t="shared" si="1"/>
        <v>145</v>
      </c>
      <c r="O2000" s="17"/>
      <c r="P2000" s="17"/>
      <c r="Q2000" s="17"/>
      <c r="R2000" s="17"/>
      <c r="S2000" s="17"/>
      <c r="T2000" s="17"/>
      <c r="U2000" s="17"/>
      <c r="V2000" s="17"/>
      <c r="W2000" s="17"/>
      <c r="X2000" s="17"/>
      <c r="Y2000" s="17"/>
      <c r="Z2000" s="17"/>
    </row>
    <row r="2001">
      <c r="A2001" s="18" t="str">
        <f>IFERROR(__xludf.DUMMYFUNCTION("""COMPUTED_VALUE"""),"ord_81977")</f>
        <v>ord_81977</v>
      </c>
      <c r="B2001" s="18" t="str">
        <f>IFERROR(__xludf.DUMMYFUNCTION("""COMPUTED_VALUE"""),"Pranav Joshi")</f>
        <v>Pranav Joshi</v>
      </c>
      <c r="C2001" s="18" t="str">
        <f>IFERROR(__xludf.DUMMYFUNCTION("""COMPUTED_VALUE"""),"Andheri")</f>
        <v>Andheri</v>
      </c>
      <c r="D2001" s="18" t="str">
        <f>IFERROR(__xludf.DUMMYFUNCTION("""COMPUTED_VALUE"""),"Tiramisu")</f>
        <v>Tiramisu</v>
      </c>
      <c r="E2001" s="18">
        <f>IFERROR(__xludf.DUMMYFUNCTION("""COMPUTED_VALUE"""),4.0)</f>
        <v>4</v>
      </c>
      <c r="F2001" s="18" t="str">
        <f>IFERROR(__xludf.DUMMYFUNCTION("""COMPUTED_VALUE"""),"Ramesh S")</f>
        <v>Ramesh S</v>
      </c>
      <c r="G2001" s="19">
        <f>IFERROR(__xludf.DUMMYFUNCTION("""COMPUTED_VALUE"""),45115.0)</f>
        <v>45115</v>
      </c>
      <c r="H2001" s="18" t="str">
        <f>IFERROR(__xludf.DUMMYFUNCTION("""COMPUTED_VALUE"""),"UPI")</f>
        <v>UPI</v>
      </c>
      <c r="I2001" s="18" t="str">
        <f>IFERROR(__xludf.DUMMYFUNCTION("""COMPUTED_VALUE"""),"Delivered")</f>
        <v>Delivered</v>
      </c>
      <c r="J2001" s="18" t="str">
        <f>IFERROR(__xludf.DUMMYFUNCTION("""COMPUTED_VALUE"""),"Delivery Experience")</f>
        <v>Delivery Experience</v>
      </c>
      <c r="K2001" s="18" t="str">
        <f>IFERROR(__xludf.DUMMYFUNCTION("""COMPUTED_VALUE"""),"Quick and professional")</f>
        <v>Quick and professional</v>
      </c>
      <c r="L2001" s="18">
        <f>iferror(VLOOKUP($D2001,Details!$A$2:$C$11,2,false),vlookup($D2001,Details!$E$2:$G$11,2,false))</f>
        <v>150</v>
      </c>
      <c r="M2001" s="18" t="str">
        <f>iferror(VLOOKUP($D2001,Details!$A$2:$C$11,3,false),vlookup($D2001,Details!$E$2:$G$11,3,false))</f>
        <v>Snacks and Drinks</v>
      </c>
      <c r="N2001" s="18">
        <f t="shared" si="1"/>
        <v>600</v>
      </c>
      <c r="O2001" s="17"/>
      <c r="P2001" s="17"/>
      <c r="Q2001" s="17"/>
      <c r="R2001" s="17"/>
      <c r="S2001" s="17"/>
      <c r="T2001" s="17"/>
      <c r="U2001" s="17"/>
      <c r="V2001" s="17"/>
      <c r="W2001" s="17"/>
      <c r="X2001" s="17"/>
      <c r="Y2001" s="17"/>
      <c r="Z2001" s="17"/>
    </row>
    <row r="2002">
      <c r="A2002" s="18" t="str">
        <f>IFERROR(__xludf.DUMMYFUNCTION("""COMPUTED_VALUE"""),"ord_81978")</f>
        <v>ord_81978</v>
      </c>
      <c r="B2002" s="18" t="str">
        <f>IFERROR(__xludf.DUMMYFUNCTION("""COMPUTED_VALUE"""),"Sakshi Tandon")</f>
        <v>Sakshi Tandon</v>
      </c>
      <c r="C2002" s="18" t="str">
        <f>IFERROR(__xludf.DUMMYFUNCTION("""COMPUTED_VALUE"""),"Colaba")</f>
        <v>Colaba</v>
      </c>
      <c r="D2002" s="18" t="str">
        <f>IFERROR(__xludf.DUMMYFUNCTION("""COMPUTED_VALUE"""),"Popcorn")</f>
        <v>Popcorn</v>
      </c>
      <c r="E2002" s="18">
        <f>IFERROR(__xludf.DUMMYFUNCTION("""COMPUTED_VALUE"""),4.0)</f>
        <v>4</v>
      </c>
      <c r="F2002" s="18" t="str">
        <f>IFERROR(__xludf.DUMMYFUNCTION("""COMPUTED_VALUE"""),"Sita T")</f>
        <v>Sita T</v>
      </c>
      <c r="G2002" s="19">
        <f>IFERROR(__xludf.DUMMYFUNCTION("""COMPUTED_VALUE"""),45087.0)</f>
        <v>45087</v>
      </c>
      <c r="H2002" s="18" t="str">
        <f>IFERROR(__xludf.DUMMYFUNCTION("""COMPUTED_VALUE"""),"Online Payment")</f>
        <v>Online Payment</v>
      </c>
      <c r="I2002" s="18" t="str">
        <f>IFERROR(__xludf.DUMMYFUNCTION("""COMPUTED_VALUE"""),"Delivered")</f>
        <v>Delivered</v>
      </c>
      <c r="J2002" s="18" t="str">
        <f>IFERROR(__xludf.DUMMYFUNCTION("""COMPUTED_VALUE"""),"Convenience")</f>
        <v>Convenience</v>
      </c>
      <c r="K2002" s="18" t="str">
        <f>IFERROR(__xludf.DUMMYFUNCTION("""COMPUTED_VALUE"""),"Easy tracking")</f>
        <v>Easy tracking</v>
      </c>
      <c r="L2002" s="18">
        <f>iferror(VLOOKUP($D2002,Details!$A$2:$C$11,2,false),vlookup($D2002,Details!$E$2:$G$11,2,false))</f>
        <v>150</v>
      </c>
      <c r="M2002" s="18" t="str">
        <f>iferror(VLOOKUP($D2002,Details!$A$2:$C$11,3,false),vlookup($D2002,Details!$E$2:$G$11,3,false))</f>
        <v>Snacks and Drinks</v>
      </c>
      <c r="N2002" s="18">
        <f t="shared" si="1"/>
        <v>600</v>
      </c>
      <c r="O2002" s="17"/>
      <c r="P2002" s="17"/>
      <c r="Q2002" s="17"/>
      <c r="R2002" s="17"/>
      <c r="S2002" s="17"/>
      <c r="T2002" s="17"/>
      <c r="U2002" s="17"/>
      <c r="V2002" s="17"/>
      <c r="W2002" s="17"/>
      <c r="X2002" s="17"/>
      <c r="Y2002" s="17"/>
      <c r="Z2002" s="17"/>
    </row>
    <row r="2003">
      <c r="A2003" s="18" t="str">
        <f>IFERROR(__xludf.DUMMYFUNCTION("""COMPUTED_VALUE"""),"ord_81979")</f>
        <v>ord_81979</v>
      </c>
      <c r="B2003" s="18" t="str">
        <f>IFERROR(__xludf.DUMMYFUNCTION("""COMPUTED_VALUE"""),"Sanjay Nair")</f>
        <v>Sanjay Nair</v>
      </c>
      <c r="C2003" s="18" t="str">
        <f>IFERROR(__xludf.DUMMYFUNCTION("""COMPUTED_VALUE"""),"Dadar")</f>
        <v>Dadar</v>
      </c>
      <c r="D2003" s="18" t="str">
        <f>IFERROR(__xludf.DUMMYFUNCTION("""COMPUTED_VALUE"""),"Cold Coffee")</f>
        <v>Cold Coffee</v>
      </c>
      <c r="E2003" s="18">
        <f>IFERROR(__xludf.DUMMYFUNCTION("""COMPUTED_VALUE"""),5.0)</f>
        <v>5</v>
      </c>
      <c r="F2003" s="18" t="str">
        <f>IFERROR(__xludf.DUMMYFUNCTION("""COMPUTED_VALUE"""),"Nithin Lal")</f>
        <v>Nithin Lal</v>
      </c>
      <c r="G2003" s="19">
        <f>IFERROR(__xludf.DUMMYFUNCTION("""COMPUTED_VALUE"""),44998.0)</f>
        <v>44998</v>
      </c>
      <c r="H2003" s="18" t="str">
        <f>IFERROR(__xludf.DUMMYFUNCTION("""COMPUTED_VALUE"""),"COD")</f>
        <v>COD</v>
      </c>
      <c r="I2003" s="18" t="str">
        <f>IFERROR(__xludf.DUMMYFUNCTION("""COMPUTED_VALUE"""),"Delivered")</f>
        <v>Delivered</v>
      </c>
      <c r="J2003" s="18" t="str">
        <f>IFERROR(__xludf.DUMMYFUNCTION("""COMPUTED_VALUE"""),"Overall Satisfaction")</f>
        <v>Overall Satisfaction</v>
      </c>
      <c r="K2003" s="18" t="str">
        <f>IFERROR(__xludf.DUMMYFUNCTION("""COMPUTED_VALUE"""),"Great service will order again")</f>
        <v>Great service will order again</v>
      </c>
      <c r="L2003" s="18">
        <f>iferror(VLOOKUP($D2003,Details!$A$2:$C$11,2,false),vlookup($D2003,Details!$E$2:$G$11,2,false))</f>
        <v>270</v>
      </c>
      <c r="M2003" s="18" t="str">
        <f>iferror(VLOOKUP($D2003,Details!$A$2:$C$11,3,false),vlookup($D2003,Details!$E$2:$G$11,3,false))</f>
        <v>Snacks and Drinks</v>
      </c>
      <c r="N2003" s="18">
        <f t="shared" si="1"/>
        <v>1350</v>
      </c>
      <c r="O2003" s="17"/>
      <c r="P2003" s="17"/>
      <c r="Q2003" s="17"/>
      <c r="R2003" s="17"/>
      <c r="S2003" s="17"/>
      <c r="T2003" s="17"/>
      <c r="U2003" s="17"/>
      <c r="V2003" s="17"/>
      <c r="W2003" s="17"/>
      <c r="X2003" s="17"/>
      <c r="Y2003" s="17"/>
      <c r="Z2003" s="17"/>
    </row>
    <row r="2004">
      <c r="A2004" s="18" t="str">
        <f>IFERROR(__xludf.DUMMYFUNCTION("""COMPUTED_VALUE"""),"ord_81980")</f>
        <v>ord_81980</v>
      </c>
      <c r="B2004" s="18" t="str">
        <f>IFERROR(__xludf.DUMMYFUNCTION("""COMPUTED_VALUE"""),"Aarav Mehta")</f>
        <v>Aarav Mehta</v>
      </c>
      <c r="C2004" s="18" t="str">
        <f>IFERROR(__xludf.DUMMYFUNCTION("""COMPUTED_VALUE"""),"Andheri")</f>
        <v>Andheri</v>
      </c>
      <c r="D2004" s="18" t="str">
        <f>IFERROR(__xludf.DUMMYFUNCTION("""COMPUTED_VALUE"""),"Cold Coffee")</f>
        <v>Cold Coffee</v>
      </c>
      <c r="E2004" s="18">
        <f>IFERROR(__xludf.DUMMYFUNCTION("""COMPUTED_VALUE"""),3.0)</f>
        <v>3</v>
      </c>
      <c r="F2004" s="18" t="str">
        <f>IFERROR(__xludf.DUMMYFUNCTION("""COMPUTED_VALUE"""),"Manju Ajay")</f>
        <v>Manju Ajay</v>
      </c>
      <c r="G2004" s="19">
        <f>IFERROR(__xludf.DUMMYFUNCTION("""COMPUTED_VALUE"""),45121.0)</f>
        <v>45121</v>
      </c>
      <c r="H2004" s="18" t="str">
        <f>IFERROR(__xludf.DUMMYFUNCTION("""COMPUTED_VALUE"""),"Online Payment")</f>
        <v>Online Payment</v>
      </c>
      <c r="I2004" s="18" t="str">
        <f>IFERROR(__xludf.DUMMYFUNCTION("""COMPUTED_VALUE"""),"Delivered")</f>
        <v>Delivered</v>
      </c>
      <c r="J2004" s="18" t="str">
        <f>IFERROR(__xludf.DUMMYFUNCTION("""COMPUTED_VALUE"""),"On-time Delivery")</f>
        <v>On-time Delivery</v>
      </c>
      <c r="K2004" s="18" t="str">
        <f>IFERROR(__xludf.DUMMYFUNCTION("""COMPUTED_VALUE"""),"Delivered on time")</f>
        <v>Delivered on time</v>
      </c>
      <c r="L2004" s="18">
        <f>iferror(VLOOKUP($D2004,Details!$A$2:$C$11,2,false),vlookup($D2004,Details!$E$2:$G$11,2,false))</f>
        <v>270</v>
      </c>
      <c r="M2004" s="18" t="str">
        <f>iferror(VLOOKUP($D2004,Details!$A$2:$C$11,3,false),vlookup($D2004,Details!$E$2:$G$11,3,false))</f>
        <v>Snacks and Drinks</v>
      </c>
      <c r="N2004" s="18">
        <f t="shared" si="1"/>
        <v>810</v>
      </c>
      <c r="O2004" s="17"/>
      <c r="P2004" s="17"/>
      <c r="Q2004" s="17"/>
      <c r="R2004" s="17"/>
      <c r="S2004" s="17"/>
      <c r="T2004" s="17"/>
      <c r="U2004" s="17"/>
      <c r="V2004" s="17"/>
      <c r="W2004" s="17"/>
      <c r="X2004" s="17"/>
      <c r="Y2004" s="17"/>
      <c r="Z2004" s="17"/>
    </row>
    <row r="2005">
      <c r="A2005" s="18" t="str">
        <f>IFERROR(__xludf.DUMMYFUNCTION("""COMPUTED_VALUE"""),"ord_81981")</f>
        <v>ord_81981</v>
      </c>
      <c r="B2005" s="18" t="str">
        <f>IFERROR(__xludf.DUMMYFUNCTION("""COMPUTED_VALUE"""),"Ritika Dutta")</f>
        <v>Ritika Dutta</v>
      </c>
      <c r="C2005" s="18" t="str">
        <f>IFERROR(__xludf.DUMMYFUNCTION("""COMPUTED_VALUE"""),"Lower Parel")</f>
        <v>Lower Parel</v>
      </c>
      <c r="D2005" s="18" t="str">
        <f>IFERROR(__xludf.DUMMYFUNCTION("""COMPUTED_VALUE"""),"Tiramisu")</f>
        <v>Tiramisu</v>
      </c>
      <c r="E2005" s="18">
        <f>IFERROR(__xludf.DUMMYFUNCTION("""COMPUTED_VALUE"""),6.0)</f>
        <v>6</v>
      </c>
      <c r="F2005" s="18" t="str">
        <f>IFERROR(__xludf.DUMMYFUNCTION("""COMPUTED_VALUE"""),"Sita T")</f>
        <v>Sita T</v>
      </c>
      <c r="G2005" s="19">
        <f>IFERROR(__xludf.DUMMYFUNCTION("""COMPUTED_VALUE"""),45186.0)</f>
        <v>45186</v>
      </c>
      <c r="H2005" s="18" t="str">
        <f>IFERROR(__xludf.DUMMYFUNCTION("""COMPUTED_VALUE"""),"Online Payment")</f>
        <v>Online Payment</v>
      </c>
      <c r="I2005" s="18" t="str">
        <f>IFERROR(__xludf.DUMMYFUNCTION("""COMPUTED_VALUE"""),"Delivered")</f>
        <v>Delivered</v>
      </c>
      <c r="J2005" s="18" t="str">
        <f>IFERROR(__xludf.DUMMYFUNCTION("""COMPUTED_VALUE"""),"Quality of Items")</f>
        <v>Quality of Items</v>
      </c>
      <c r="K2005" s="18" t="str">
        <f>IFERROR(__xludf.DUMMYFUNCTION("""COMPUTED_VALUE"""),"Perfect condition")</f>
        <v>Perfect condition</v>
      </c>
      <c r="L2005" s="18">
        <f>iferror(VLOOKUP($D2005,Details!$A$2:$C$11,2,false),vlookup($D2005,Details!$E$2:$G$11,2,false))</f>
        <v>150</v>
      </c>
      <c r="M2005" s="18" t="str">
        <f>iferror(VLOOKUP($D2005,Details!$A$2:$C$11,3,false),vlookup($D2005,Details!$E$2:$G$11,3,false))</f>
        <v>Snacks and Drinks</v>
      </c>
      <c r="N2005" s="18">
        <f t="shared" si="1"/>
        <v>900</v>
      </c>
      <c r="O2005" s="17"/>
      <c r="P2005" s="17"/>
      <c r="Q2005" s="17"/>
      <c r="R2005" s="17"/>
      <c r="S2005" s="17"/>
      <c r="T2005" s="17"/>
      <c r="U2005" s="17"/>
      <c r="V2005" s="17"/>
      <c r="W2005" s="17"/>
      <c r="X2005" s="17"/>
      <c r="Y2005" s="17"/>
      <c r="Z2005" s="17"/>
    </row>
    <row r="2006">
      <c r="A2006" s="18" t="str">
        <f>IFERROR(__xludf.DUMMYFUNCTION("""COMPUTED_VALUE"""),"ord_81982")</f>
        <v>ord_81982</v>
      </c>
      <c r="B2006" s="18" t="str">
        <f>IFERROR(__xludf.DUMMYFUNCTION("""COMPUTED_VALUE"""),"Aarav Mehta")</f>
        <v>Aarav Mehta</v>
      </c>
      <c r="C2006" s="18" t="str">
        <f>IFERROR(__xludf.DUMMYFUNCTION("""COMPUTED_VALUE"""),"Andheri")</f>
        <v>Andheri</v>
      </c>
      <c r="D2006" s="18" t="str">
        <f>IFERROR(__xludf.DUMMYFUNCTION("""COMPUTED_VALUE"""),"Cucumber")</f>
        <v>Cucumber</v>
      </c>
      <c r="E2006" s="18">
        <f>IFERROR(__xludf.DUMMYFUNCTION("""COMPUTED_VALUE"""),1.0)</f>
        <v>1</v>
      </c>
      <c r="F2006" s="18" t="str">
        <f>IFERROR(__xludf.DUMMYFUNCTION("""COMPUTED_VALUE"""),"Ram Gopal")</f>
        <v>Ram Gopal</v>
      </c>
      <c r="G2006" s="19">
        <f>IFERROR(__xludf.DUMMYFUNCTION("""COMPUTED_VALUE"""),45048.0)</f>
        <v>45048</v>
      </c>
      <c r="H2006" s="18" t="str">
        <f>IFERROR(__xludf.DUMMYFUNCTION("""COMPUTED_VALUE"""),"Online Payment")</f>
        <v>Online Payment</v>
      </c>
      <c r="I2006" s="18" t="str">
        <f>IFERROR(__xludf.DUMMYFUNCTION("""COMPUTED_VALUE"""),"Delivered")</f>
        <v>Delivered</v>
      </c>
      <c r="J2006" s="18" t="str">
        <f>IFERROR(__xludf.DUMMYFUNCTION("""COMPUTED_VALUE"""),"On-time Delivery")</f>
        <v>On-time Delivery</v>
      </c>
      <c r="K2006" s="18" t="str">
        <f>IFERROR(__xludf.DUMMYFUNCTION("""COMPUTED_VALUE"""),"Delivered on time")</f>
        <v>Delivered on time</v>
      </c>
      <c r="L2006" s="18">
        <f>iferror(VLOOKUP($D2006,Details!$A$2:$C$11,2,false),vlookup($D2006,Details!$E$2:$G$11,2,false))</f>
        <v>30</v>
      </c>
      <c r="M2006" s="18" t="str">
        <f>iferror(VLOOKUP($D2006,Details!$A$2:$C$11,3,false),vlookup($D2006,Details!$E$2:$G$11,3,false))</f>
        <v>Fruits and Vegetables</v>
      </c>
      <c r="N2006" s="18">
        <f t="shared" si="1"/>
        <v>30</v>
      </c>
      <c r="O2006" s="17"/>
      <c r="P2006" s="17"/>
      <c r="Q2006" s="17"/>
      <c r="R2006" s="17"/>
      <c r="S2006" s="17"/>
      <c r="T2006" s="17"/>
      <c r="U2006" s="17"/>
      <c r="V2006" s="17"/>
      <c r="W2006" s="17"/>
      <c r="X2006" s="17"/>
      <c r="Y2006" s="17"/>
      <c r="Z2006" s="17"/>
    </row>
    <row r="2007">
      <c r="A2007" s="18" t="str">
        <f>IFERROR(__xludf.DUMMYFUNCTION("""COMPUTED_VALUE"""),"ord_81983")</f>
        <v>ord_81983</v>
      </c>
      <c r="B2007" s="18" t="str">
        <f>IFERROR(__xludf.DUMMYFUNCTION("""COMPUTED_VALUE"""),"Shruti Aggarwal")</f>
        <v>Shruti Aggarwal</v>
      </c>
      <c r="C2007" s="18" t="str">
        <f>IFERROR(__xludf.DUMMYFUNCTION("""COMPUTED_VALUE"""),"Colaba")</f>
        <v>Colaba</v>
      </c>
      <c r="D2007" s="18" t="str">
        <f>IFERROR(__xludf.DUMMYFUNCTION("""COMPUTED_VALUE"""),"Tiramisu")</f>
        <v>Tiramisu</v>
      </c>
      <c r="E2007" s="18">
        <f>IFERROR(__xludf.DUMMYFUNCTION("""COMPUTED_VALUE"""),4.0)</f>
        <v>4</v>
      </c>
      <c r="F2007" s="18" t="str">
        <f>IFERROR(__xludf.DUMMYFUNCTION("""COMPUTED_VALUE"""),"Sita T")</f>
        <v>Sita T</v>
      </c>
      <c r="G2007" s="19">
        <f>IFERROR(__xludf.DUMMYFUNCTION("""COMPUTED_VALUE"""),45153.0)</f>
        <v>45153</v>
      </c>
      <c r="H2007" s="18" t="str">
        <f>IFERROR(__xludf.DUMMYFUNCTION("""COMPUTED_VALUE"""),"UPI")</f>
        <v>UPI</v>
      </c>
      <c r="I2007" s="18" t="str">
        <f>IFERROR(__xludf.DUMMYFUNCTION("""COMPUTED_VALUE"""),"Delivered")</f>
        <v>Delivered</v>
      </c>
      <c r="J2007" s="18" t="str">
        <f>IFERROR(__xludf.DUMMYFUNCTION("""COMPUTED_VALUE"""),"Quality of Items")</f>
        <v>Quality of Items</v>
      </c>
      <c r="K2007" s="18" t="str">
        <f>IFERROR(__xludf.DUMMYFUNCTION("""COMPUTED_VALUE"""),"Perfect condition")</f>
        <v>Perfect condition</v>
      </c>
      <c r="L2007" s="18">
        <f>iferror(VLOOKUP($D2007,Details!$A$2:$C$11,2,false),vlookup($D2007,Details!$E$2:$G$11,2,false))</f>
        <v>150</v>
      </c>
      <c r="M2007" s="18" t="str">
        <f>iferror(VLOOKUP($D2007,Details!$A$2:$C$11,3,false),vlookup($D2007,Details!$E$2:$G$11,3,false))</f>
        <v>Snacks and Drinks</v>
      </c>
      <c r="N2007" s="18">
        <f t="shared" si="1"/>
        <v>600</v>
      </c>
      <c r="O2007" s="17"/>
      <c r="P2007" s="17"/>
      <c r="Q2007" s="17"/>
      <c r="R2007" s="17"/>
      <c r="S2007" s="17"/>
      <c r="T2007" s="17"/>
      <c r="U2007" s="17"/>
      <c r="V2007" s="17"/>
      <c r="W2007" s="17"/>
      <c r="X2007" s="17"/>
      <c r="Y2007" s="17"/>
      <c r="Z2007" s="17"/>
    </row>
    <row r="2008">
      <c r="A2008" s="18" t="str">
        <f>IFERROR(__xludf.DUMMYFUNCTION("""COMPUTED_VALUE"""),"ord_81984")</f>
        <v>ord_81984</v>
      </c>
      <c r="B2008" s="18" t="str">
        <f>IFERROR(__xludf.DUMMYFUNCTION("""COMPUTED_VALUE"""),"Sahil Desai")</f>
        <v>Sahil Desai</v>
      </c>
      <c r="C2008" s="18" t="str">
        <f>IFERROR(__xludf.DUMMYFUNCTION("""COMPUTED_VALUE"""),"Colaba")</f>
        <v>Colaba</v>
      </c>
      <c r="D2008" s="18" t="str">
        <f>IFERROR(__xludf.DUMMYFUNCTION("""COMPUTED_VALUE"""),"Guava")</f>
        <v>Guava</v>
      </c>
      <c r="E2008" s="18">
        <f>IFERROR(__xludf.DUMMYFUNCTION("""COMPUTED_VALUE"""),3.0)</f>
        <v>3</v>
      </c>
      <c r="F2008" s="18" t="str">
        <f>IFERROR(__xludf.DUMMYFUNCTION("""COMPUTED_VALUE"""),"Nithin Lal")</f>
        <v>Nithin Lal</v>
      </c>
      <c r="G2008" s="19">
        <f>IFERROR(__xludf.DUMMYFUNCTION("""COMPUTED_VALUE"""),44953.0)</f>
        <v>44953</v>
      </c>
      <c r="H2008" s="18" t="str">
        <f>IFERROR(__xludf.DUMMYFUNCTION("""COMPUTED_VALUE"""),"COD")</f>
        <v>COD</v>
      </c>
      <c r="I2008" s="18" t="str">
        <f>IFERROR(__xludf.DUMMYFUNCTION("""COMPUTED_VALUE"""),"Delivered")</f>
        <v>Delivered</v>
      </c>
      <c r="J2008" s="18" t="str">
        <f>IFERROR(__xludf.DUMMYFUNCTION("""COMPUTED_VALUE"""),"Packaging")</f>
        <v>Packaging</v>
      </c>
      <c r="K2008" s="18" t="str">
        <f>IFERROR(__xludf.DUMMYFUNCTION("""COMPUTED_VALUE"""),"Secure and intact")</f>
        <v>Secure and intact</v>
      </c>
      <c r="L2008" s="18">
        <f>iferror(VLOOKUP($D2008,Details!$A$2:$C$11,2,false),vlookup($D2008,Details!$E$2:$G$11,2,false))</f>
        <v>70</v>
      </c>
      <c r="M2008" s="18" t="str">
        <f>iferror(VLOOKUP($D2008,Details!$A$2:$C$11,3,false),vlookup($D2008,Details!$E$2:$G$11,3,false))</f>
        <v>Fruits and Vegetables</v>
      </c>
      <c r="N2008" s="18">
        <f t="shared" si="1"/>
        <v>210</v>
      </c>
      <c r="O2008" s="17"/>
      <c r="P2008" s="17"/>
      <c r="Q2008" s="17"/>
      <c r="R2008" s="17"/>
      <c r="S2008" s="17"/>
      <c r="T2008" s="17"/>
      <c r="U2008" s="17"/>
      <c r="V2008" s="17"/>
      <c r="W2008" s="17"/>
      <c r="X2008" s="17"/>
      <c r="Y2008" s="17"/>
      <c r="Z2008" s="17"/>
    </row>
    <row r="2009">
      <c r="A2009" s="18" t="str">
        <f>IFERROR(__xludf.DUMMYFUNCTION("""COMPUTED_VALUE"""),"ord_81985")</f>
        <v>ord_81985</v>
      </c>
      <c r="B2009" s="18" t="str">
        <f>IFERROR(__xludf.DUMMYFUNCTION("""COMPUTED_VALUE"""),"Mehul Thakkar")</f>
        <v>Mehul Thakkar</v>
      </c>
      <c r="C2009" s="18" t="str">
        <f>IFERROR(__xludf.DUMMYFUNCTION("""COMPUTED_VALUE"""),"Dadar")</f>
        <v>Dadar</v>
      </c>
      <c r="D2009" s="18" t="str">
        <f>IFERROR(__xludf.DUMMYFUNCTION("""COMPUTED_VALUE"""),"Cucumber")</f>
        <v>Cucumber</v>
      </c>
      <c r="E2009" s="18">
        <f>IFERROR(__xludf.DUMMYFUNCTION("""COMPUTED_VALUE"""),2.0)</f>
        <v>2</v>
      </c>
      <c r="F2009" s="18" t="str">
        <f>IFERROR(__xludf.DUMMYFUNCTION("""COMPUTED_VALUE"""),"Nithin Lal")</f>
        <v>Nithin Lal</v>
      </c>
      <c r="G2009" s="19">
        <f>IFERROR(__xludf.DUMMYFUNCTION("""COMPUTED_VALUE"""),45108.0)</f>
        <v>45108</v>
      </c>
      <c r="H2009" s="18" t="str">
        <f>IFERROR(__xludf.DUMMYFUNCTION("""COMPUTED_VALUE"""),"Online Payment")</f>
        <v>Online Payment</v>
      </c>
      <c r="I2009" s="18" t="str">
        <f>IFERROR(__xludf.DUMMYFUNCTION("""COMPUTED_VALUE"""),"Delivered")</f>
        <v>Delivered</v>
      </c>
      <c r="J2009" s="18" t="str">
        <f>IFERROR(__xludf.DUMMYFUNCTION("""COMPUTED_VALUE"""),"Satisfied with the Delivery")</f>
        <v>Satisfied with the Delivery</v>
      </c>
      <c r="K2009" s="18" t="str">
        <f>IFERROR(__xludf.DUMMYFUNCTION("""COMPUTED_VALUE"""),"Timely and quality")</f>
        <v>Timely and quality</v>
      </c>
      <c r="L2009" s="18">
        <f>iferror(VLOOKUP($D2009,Details!$A$2:$C$11,2,false),vlookup($D2009,Details!$E$2:$G$11,2,false))</f>
        <v>30</v>
      </c>
      <c r="M2009" s="18" t="str">
        <f>iferror(VLOOKUP($D2009,Details!$A$2:$C$11,3,false),vlookup($D2009,Details!$E$2:$G$11,3,false))</f>
        <v>Fruits and Vegetables</v>
      </c>
      <c r="N2009" s="18">
        <f t="shared" si="1"/>
        <v>60</v>
      </c>
      <c r="O2009" s="17"/>
      <c r="P2009" s="17"/>
      <c r="Q2009" s="17"/>
      <c r="R2009" s="17"/>
      <c r="S2009" s="17"/>
      <c r="T2009" s="17"/>
      <c r="U2009" s="17"/>
      <c r="V2009" s="17"/>
      <c r="W2009" s="17"/>
      <c r="X2009" s="17"/>
      <c r="Y2009" s="17"/>
      <c r="Z2009" s="17"/>
    </row>
    <row r="2010">
      <c r="A2010" s="18" t="str">
        <f>IFERROR(__xludf.DUMMYFUNCTION("""COMPUTED_VALUE"""),"ord_81986")</f>
        <v>ord_81986</v>
      </c>
      <c r="B2010" s="18" t="str">
        <f>IFERROR(__xludf.DUMMYFUNCTION("""COMPUTED_VALUE"""),"Sana Malik")</f>
        <v>Sana Malik</v>
      </c>
      <c r="C2010" s="18" t="str">
        <f>IFERROR(__xludf.DUMMYFUNCTION("""COMPUTED_VALUE"""),"Juhu")</f>
        <v>Juhu</v>
      </c>
      <c r="D2010" s="18" t="str">
        <f>IFERROR(__xludf.DUMMYFUNCTION("""COMPUTED_VALUE"""),"Chocolate Mousse")</f>
        <v>Chocolate Mousse</v>
      </c>
      <c r="E2010" s="18">
        <f>IFERROR(__xludf.DUMMYFUNCTION("""COMPUTED_VALUE"""),9.0)</f>
        <v>9</v>
      </c>
      <c r="F2010" s="18" t="str">
        <f>IFERROR(__xludf.DUMMYFUNCTION("""COMPUTED_VALUE"""),"Manju Ajay")</f>
        <v>Manju Ajay</v>
      </c>
      <c r="G2010" s="19">
        <f>IFERROR(__xludf.DUMMYFUNCTION("""COMPUTED_VALUE"""),45268.0)</f>
        <v>45268</v>
      </c>
      <c r="H2010" s="18" t="str">
        <f>IFERROR(__xludf.DUMMYFUNCTION("""COMPUTED_VALUE"""),"Credit Card")</f>
        <v>Credit Card</v>
      </c>
      <c r="I2010" s="18" t="str">
        <f>IFERROR(__xludf.DUMMYFUNCTION("""COMPUTED_VALUE"""),"Delivered")</f>
        <v>Delivered</v>
      </c>
      <c r="J2010" s="18" t="str">
        <f>IFERROR(__xludf.DUMMYFUNCTION("""COMPUTED_VALUE"""),"Customer Service")</f>
        <v>Customer Service</v>
      </c>
      <c r="K2010" s="18" t="str">
        <f>IFERROR(__xludf.DUMMYFUNCTION("""COMPUTED_VALUE"""),"Seamless and easy")</f>
        <v>Seamless and easy</v>
      </c>
      <c r="L2010" s="18">
        <f>iferror(VLOOKUP($D2010,Details!$A$2:$C$11,2,false),vlookup($D2010,Details!$E$2:$G$11,2,false))</f>
        <v>145</v>
      </c>
      <c r="M2010" s="18" t="str">
        <f>iferror(VLOOKUP($D2010,Details!$A$2:$C$11,3,false),vlookup($D2010,Details!$E$2:$G$11,3,false))</f>
        <v>Snacks and Drinks</v>
      </c>
      <c r="N2010" s="18">
        <f t="shared" si="1"/>
        <v>1305</v>
      </c>
      <c r="O2010" s="17"/>
      <c r="P2010" s="17"/>
      <c r="Q2010" s="17"/>
      <c r="R2010" s="17"/>
      <c r="S2010" s="17"/>
      <c r="T2010" s="17"/>
      <c r="U2010" s="17"/>
      <c r="V2010" s="17"/>
      <c r="W2010" s="17"/>
      <c r="X2010" s="17"/>
      <c r="Y2010" s="17"/>
      <c r="Z2010" s="17"/>
    </row>
    <row r="2011">
      <c r="A2011" s="18" t="str">
        <f>IFERROR(__xludf.DUMMYFUNCTION("""COMPUTED_VALUE"""),"ord_81987")</f>
        <v>ord_81987</v>
      </c>
      <c r="B2011" s="18" t="str">
        <f>IFERROR(__xludf.DUMMYFUNCTION("""COMPUTED_VALUE"""),"Sana Malik")</f>
        <v>Sana Malik</v>
      </c>
      <c r="C2011" s="18" t="str">
        <f>IFERROR(__xludf.DUMMYFUNCTION("""COMPUTED_VALUE"""),"Powai")</f>
        <v>Powai</v>
      </c>
      <c r="D2011" s="18" t="str">
        <f>IFERROR(__xludf.DUMMYFUNCTION("""COMPUTED_VALUE"""),"Chocolate Mousse")</f>
        <v>Chocolate Mousse</v>
      </c>
      <c r="E2011" s="18">
        <f>IFERROR(__xludf.DUMMYFUNCTION("""COMPUTED_VALUE"""),9.0)</f>
        <v>9</v>
      </c>
      <c r="F2011" s="18" t="str">
        <f>IFERROR(__xludf.DUMMYFUNCTION("""COMPUTED_VALUE"""),"Ramesh S")</f>
        <v>Ramesh S</v>
      </c>
      <c r="G2011" s="19">
        <f>IFERROR(__xludf.DUMMYFUNCTION("""COMPUTED_VALUE"""),44965.0)</f>
        <v>44965</v>
      </c>
      <c r="H2011" s="18" t="str">
        <f>IFERROR(__xludf.DUMMYFUNCTION("""COMPUTED_VALUE"""),"Credit Card")</f>
        <v>Credit Card</v>
      </c>
      <c r="I2011" s="18" t="str">
        <f>IFERROR(__xludf.DUMMYFUNCTION("""COMPUTED_VALUE"""),"Delivered")</f>
        <v>Delivered</v>
      </c>
      <c r="J2011" s="18" t="str">
        <f>IFERROR(__xludf.DUMMYFUNCTION("""COMPUTED_VALUE"""),"Delivery Experience")</f>
        <v>Delivery Experience</v>
      </c>
      <c r="K2011" s="18" t="str">
        <f>IFERROR(__xludf.DUMMYFUNCTION("""COMPUTED_VALUE"""),"Quick and professional")</f>
        <v>Quick and professional</v>
      </c>
      <c r="L2011" s="18">
        <f>iferror(VLOOKUP($D2011,Details!$A$2:$C$11,2,false),vlookup($D2011,Details!$E$2:$G$11,2,false))</f>
        <v>145</v>
      </c>
      <c r="M2011" s="18" t="str">
        <f>iferror(VLOOKUP($D2011,Details!$A$2:$C$11,3,false),vlookup($D2011,Details!$E$2:$G$11,3,false))</f>
        <v>Snacks and Drinks</v>
      </c>
      <c r="N2011" s="18">
        <f t="shared" si="1"/>
        <v>1305</v>
      </c>
      <c r="O2011" s="17"/>
      <c r="P2011" s="17"/>
      <c r="Q2011" s="17"/>
      <c r="R2011" s="17"/>
      <c r="S2011" s="17"/>
      <c r="T2011" s="17"/>
      <c r="U2011" s="17"/>
      <c r="V2011" s="17"/>
      <c r="W2011" s="17"/>
      <c r="X2011" s="17"/>
      <c r="Y2011" s="17"/>
      <c r="Z2011" s="17"/>
    </row>
    <row r="2012">
      <c r="A2012" s="18" t="str">
        <f>IFERROR(__xludf.DUMMYFUNCTION("""COMPUTED_VALUE"""),"ord_81988")</f>
        <v>ord_81988</v>
      </c>
      <c r="B2012" s="18" t="str">
        <f>IFERROR(__xludf.DUMMYFUNCTION("""COMPUTED_VALUE"""),"Yash Verma")</f>
        <v>Yash Verma</v>
      </c>
      <c r="C2012" s="18" t="str">
        <f>IFERROR(__xludf.DUMMYFUNCTION("""COMPUTED_VALUE"""),"Lower Parel")</f>
        <v>Lower Parel</v>
      </c>
      <c r="D2012" s="18" t="str">
        <f>IFERROR(__xludf.DUMMYFUNCTION("""COMPUTED_VALUE"""),"Popcorn")</f>
        <v>Popcorn</v>
      </c>
      <c r="E2012" s="18">
        <f>IFERROR(__xludf.DUMMYFUNCTION("""COMPUTED_VALUE"""),3.0)</f>
        <v>3</v>
      </c>
      <c r="F2012" s="18" t="str">
        <f>IFERROR(__xludf.DUMMYFUNCTION("""COMPUTED_VALUE"""),"Venu R")</f>
        <v>Venu R</v>
      </c>
      <c r="G2012" s="19">
        <f>IFERROR(__xludf.DUMMYFUNCTION("""COMPUTED_VALUE"""),45221.0)</f>
        <v>45221</v>
      </c>
      <c r="H2012" s="18" t="str">
        <f>IFERROR(__xludf.DUMMYFUNCTION("""COMPUTED_VALUE"""),"Online Payment")</f>
        <v>Online Payment</v>
      </c>
      <c r="I2012" s="18" t="str">
        <f>IFERROR(__xludf.DUMMYFUNCTION("""COMPUTED_VALUE"""),"Delivered")</f>
        <v>Delivered</v>
      </c>
      <c r="J2012" s="18" t="str">
        <f>IFERROR(__xludf.DUMMYFUNCTION("""COMPUTED_VALUE"""),"Convenience")</f>
        <v>Convenience</v>
      </c>
      <c r="K2012" s="18" t="str">
        <f>IFERROR(__xludf.DUMMYFUNCTION("""COMPUTED_VALUE"""),"Easy tracking")</f>
        <v>Easy tracking</v>
      </c>
      <c r="L2012" s="18">
        <f>iferror(VLOOKUP($D2012,Details!$A$2:$C$11,2,false),vlookup($D2012,Details!$E$2:$G$11,2,false))</f>
        <v>150</v>
      </c>
      <c r="M2012" s="18" t="str">
        <f>iferror(VLOOKUP($D2012,Details!$A$2:$C$11,3,false),vlookup($D2012,Details!$E$2:$G$11,3,false))</f>
        <v>Snacks and Drinks</v>
      </c>
      <c r="N2012" s="18">
        <f t="shared" si="1"/>
        <v>450</v>
      </c>
      <c r="O2012" s="17"/>
      <c r="P2012" s="17"/>
      <c r="Q2012" s="17"/>
      <c r="R2012" s="17"/>
      <c r="S2012" s="17"/>
      <c r="T2012" s="17"/>
      <c r="U2012" s="17"/>
      <c r="V2012" s="17"/>
      <c r="W2012" s="17"/>
      <c r="X2012" s="17"/>
      <c r="Y2012" s="17"/>
      <c r="Z2012" s="17"/>
    </row>
    <row r="2013">
      <c r="A2013" s="18" t="str">
        <f>IFERROR(__xludf.DUMMYFUNCTION("""COMPUTED_VALUE"""),"ord_81989")</f>
        <v>ord_81989</v>
      </c>
      <c r="B2013" s="18" t="str">
        <f>IFERROR(__xludf.DUMMYFUNCTION("""COMPUTED_VALUE"""),"Harsh Vardhan")</f>
        <v>Harsh Vardhan</v>
      </c>
      <c r="C2013" s="18" t="str">
        <f>IFERROR(__xludf.DUMMYFUNCTION("""COMPUTED_VALUE"""),"Bandra")</f>
        <v>Bandra</v>
      </c>
      <c r="D2013" s="18" t="str">
        <f>IFERROR(__xludf.DUMMYFUNCTION("""COMPUTED_VALUE"""),"Chicken Puff")</f>
        <v>Chicken Puff</v>
      </c>
      <c r="E2013" s="18">
        <f>IFERROR(__xludf.DUMMYFUNCTION("""COMPUTED_VALUE"""),5.0)</f>
        <v>5</v>
      </c>
      <c r="F2013" s="18" t="str">
        <f>IFERROR(__xludf.DUMMYFUNCTION("""COMPUTED_VALUE"""),"Ram Gopal")</f>
        <v>Ram Gopal</v>
      </c>
      <c r="G2013" s="19">
        <f>IFERROR(__xludf.DUMMYFUNCTION("""COMPUTED_VALUE"""),45224.0)</f>
        <v>45224</v>
      </c>
      <c r="H2013" s="18" t="str">
        <f>IFERROR(__xludf.DUMMYFUNCTION("""COMPUTED_VALUE"""),"Credit Card")</f>
        <v>Credit Card</v>
      </c>
      <c r="I2013" s="18" t="str">
        <f>IFERROR(__xludf.DUMMYFUNCTION("""COMPUTED_VALUE"""),"Delivered")</f>
        <v>Delivered</v>
      </c>
      <c r="J2013" s="18" t="str">
        <f>IFERROR(__xludf.DUMMYFUNCTION("""COMPUTED_VALUE"""),"Overall Satisfaction")</f>
        <v>Overall Satisfaction</v>
      </c>
      <c r="K2013" s="18" t="str">
        <f>IFERROR(__xludf.DUMMYFUNCTION("""COMPUTED_VALUE"""),"Great service will order again")</f>
        <v>Great service will order again</v>
      </c>
      <c r="L2013" s="18">
        <f>iferror(VLOOKUP($D2013,Details!$A$2:$C$11,2,false),vlookup($D2013,Details!$E$2:$G$11,2,false))</f>
        <v>90</v>
      </c>
      <c r="M2013" s="18" t="str">
        <f>iferror(VLOOKUP($D2013,Details!$A$2:$C$11,3,false),vlookup($D2013,Details!$E$2:$G$11,3,false))</f>
        <v>Snacks and Drinks</v>
      </c>
      <c r="N2013" s="18">
        <f t="shared" si="1"/>
        <v>450</v>
      </c>
      <c r="O2013" s="17"/>
      <c r="P2013" s="17"/>
      <c r="Q2013" s="17"/>
      <c r="R2013" s="17"/>
      <c r="S2013" s="17"/>
      <c r="T2013" s="17"/>
      <c r="U2013" s="17"/>
      <c r="V2013" s="17"/>
      <c r="W2013" s="17"/>
      <c r="X2013" s="17"/>
      <c r="Y2013" s="17"/>
      <c r="Z2013" s="17"/>
    </row>
    <row r="2014">
      <c r="A2014" s="18" t="str">
        <f>IFERROR(__xludf.DUMMYFUNCTION("""COMPUTED_VALUE"""),"ord_81990")</f>
        <v>ord_81990</v>
      </c>
      <c r="B2014" s="18" t="str">
        <f>IFERROR(__xludf.DUMMYFUNCTION("""COMPUTED_VALUE"""),"Leena Das")</f>
        <v>Leena Das</v>
      </c>
      <c r="C2014" s="18" t="str">
        <f>IFERROR(__xludf.DUMMYFUNCTION("""COMPUTED_VALUE"""),"Andheri")</f>
        <v>Andheri</v>
      </c>
      <c r="D2014" s="18" t="str">
        <f>IFERROR(__xludf.DUMMYFUNCTION("""COMPUTED_VALUE"""),"Chocolate Mousse")</f>
        <v>Chocolate Mousse</v>
      </c>
      <c r="E2014" s="18">
        <f>IFERROR(__xludf.DUMMYFUNCTION("""COMPUTED_VALUE"""),6.0)</f>
        <v>6</v>
      </c>
      <c r="F2014" s="18" t="str">
        <f>IFERROR(__xludf.DUMMYFUNCTION("""COMPUTED_VALUE"""),"Vivek Kumar")</f>
        <v>Vivek Kumar</v>
      </c>
      <c r="G2014" s="19">
        <f>IFERROR(__xludf.DUMMYFUNCTION("""COMPUTED_VALUE"""),45267.0)</f>
        <v>45267</v>
      </c>
      <c r="H2014" s="18" t="str">
        <f>IFERROR(__xludf.DUMMYFUNCTION("""COMPUTED_VALUE"""),"Online Payment")</f>
        <v>Online Payment</v>
      </c>
      <c r="I2014" s="18" t="str">
        <f>IFERROR(__xludf.DUMMYFUNCTION("""COMPUTED_VALUE"""),"Delivered")</f>
        <v>Delivered</v>
      </c>
      <c r="J2014" s="18" t="str">
        <f>IFERROR(__xludf.DUMMYFUNCTION("""COMPUTED_VALUE"""),"On-time Delivery")</f>
        <v>On-time Delivery</v>
      </c>
      <c r="K2014" s="18" t="str">
        <f>IFERROR(__xludf.DUMMYFUNCTION("""COMPUTED_VALUE"""),"Delivered on time")</f>
        <v>Delivered on time</v>
      </c>
      <c r="L2014" s="18">
        <f>iferror(VLOOKUP($D2014,Details!$A$2:$C$11,2,false),vlookup($D2014,Details!$E$2:$G$11,2,false))</f>
        <v>145</v>
      </c>
      <c r="M2014" s="18" t="str">
        <f>iferror(VLOOKUP($D2014,Details!$A$2:$C$11,3,false),vlookup($D2014,Details!$E$2:$G$11,3,false))</f>
        <v>Snacks and Drinks</v>
      </c>
      <c r="N2014" s="18">
        <f t="shared" si="1"/>
        <v>870</v>
      </c>
      <c r="O2014" s="17"/>
      <c r="P2014" s="17"/>
      <c r="Q2014" s="17"/>
      <c r="R2014" s="17"/>
      <c r="S2014" s="17"/>
      <c r="T2014" s="17"/>
      <c r="U2014" s="17"/>
      <c r="V2014" s="17"/>
      <c r="W2014" s="17"/>
      <c r="X2014" s="17"/>
      <c r="Y2014" s="17"/>
      <c r="Z2014" s="17"/>
    </row>
    <row r="2015">
      <c r="A2015" s="18" t="str">
        <f>IFERROR(__xludf.DUMMYFUNCTION("""COMPUTED_VALUE"""),"ord_81991")</f>
        <v>ord_81991</v>
      </c>
      <c r="B2015" s="18" t="str">
        <f>IFERROR(__xludf.DUMMYFUNCTION("""COMPUTED_VALUE"""),"Yash Verma")</f>
        <v>Yash Verma</v>
      </c>
      <c r="C2015" s="18" t="str">
        <f>IFERROR(__xludf.DUMMYFUNCTION("""COMPUTED_VALUE"""),"Colaba")</f>
        <v>Colaba</v>
      </c>
      <c r="D2015" s="18" t="str">
        <f>IFERROR(__xludf.DUMMYFUNCTION("""COMPUTED_VALUE"""),"Rasmalai")</f>
        <v>Rasmalai</v>
      </c>
      <c r="E2015" s="18">
        <f>IFERROR(__xludf.DUMMYFUNCTION("""COMPUTED_VALUE"""),5.0)</f>
        <v>5</v>
      </c>
      <c r="F2015" s="18" t="str">
        <f>IFERROR(__xludf.DUMMYFUNCTION("""COMPUTED_VALUE"""),"Sita T")</f>
        <v>Sita T</v>
      </c>
      <c r="G2015" s="19">
        <f>IFERROR(__xludf.DUMMYFUNCTION("""COMPUTED_VALUE"""),45120.0)</f>
        <v>45120</v>
      </c>
      <c r="H2015" s="18" t="str">
        <f>IFERROR(__xludf.DUMMYFUNCTION("""COMPUTED_VALUE"""),"Credit Card")</f>
        <v>Credit Card</v>
      </c>
      <c r="I2015" s="18" t="str">
        <f>IFERROR(__xludf.DUMMYFUNCTION("""COMPUTED_VALUE"""),"Delivered")</f>
        <v>Delivered</v>
      </c>
      <c r="J2015" s="18" t="str">
        <f>IFERROR(__xludf.DUMMYFUNCTION("""COMPUTED_VALUE"""),"Quality of Items")</f>
        <v>Quality of Items</v>
      </c>
      <c r="K2015" s="18" t="str">
        <f>IFERROR(__xludf.DUMMYFUNCTION("""COMPUTED_VALUE"""),"Perfect condition")</f>
        <v>Perfect condition</v>
      </c>
      <c r="L2015" s="18">
        <f>iferror(VLOOKUP($D2015,Details!$A$2:$C$11,2,false),vlookup($D2015,Details!$E$2:$G$11,2,false))</f>
        <v>110</v>
      </c>
      <c r="M2015" s="18" t="str">
        <f>iferror(VLOOKUP($D2015,Details!$A$2:$C$11,3,false),vlookup($D2015,Details!$E$2:$G$11,3,false))</f>
        <v>Snacks and Drinks</v>
      </c>
      <c r="N2015" s="18">
        <f t="shared" si="1"/>
        <v>550</v>
      </c>
      <c r="O2015" s="17"/>
      <c r="P2015" s="17"/>
      <c r="Q2015" s="17"/>
      <c r="R2015" s="17"/>
      <c r="S2015" s="17"/>
      <c r="T2015" s="17"/>
      <c r="U2015" s="17"/>
      <c r="V2015" s="17"/>
      <c r="W2015" s="17"/>
      <c r="X2015" s="17"/>
      <c r="Y2015" s="17"/>
      <c r="Z2015" s="17"/>
    </row>
    <row r="2016">
      <c r="A2016" s="18" t="str">
        <f>IFERROR(__xludf.DUMMYFUNCTION("""COMPUTED_VALUE"""),"ord_81992")</f>
        <v>ord_81992</v>
      </c>
      <c r="B2016" s="18" t="str">
        <f>IFERROR(__xludf.DUMMYFUNCTION("""COMPUTED_VALUE"""),"Aditi Iyer")</f>
        <v>Aditi Iyer</v>
      </c>
      <c r="C2016" s="18" t="str">
        <f>IFERROR(__xludf.DUMMYFUNCTION("""COMPUTED_VALUE"""),"Bandra")</f>
        <v>Bandra</v>
      </c>
      <c r="D2016" s="18" t="str">
        <f>IFERROR(__xludf.DUMMYFUNCTION("""COMPUTED_VALUE"""),"Rasmalai")</f>
        <v>Rasmalai</v>
      </c>
      <c r="E2016" s="18">
        <f>IFERROR(__xludf.DUMMYFUNCTION("""COMPUTED_VALUE"""),3.0)</f>
        <v>3</v>
      </c>
      <c r="F2016" s="18" t="str">
        <f>IFERROR(__xludf.DUMMYFUNCTION("""COMPUTED_VALUE"""),"Nithin Lal")</f>
        <v>Nithin Lal</v>
      </c>
      <c r="G2016" s="19">
        <f>IFERROR(__xludf.DUMMYFUNCTION("""COMPUTED_VALUE"""),45055.0)</f>
        <v>45055</v>
      </c>
      <c r="H2016" s="18" t="str">
        <f>IFERROR(__xludf.DUMMYFUNCTION("""COMPUTED_VALUE"""),"Online Payment")</f>
        <v>Online Payment</v>
      </c>
      <c r="I2016" s="18" t="str">
        <f>IFERROR(__xludf.DUMMYFUNCTION("""COMPUTED_VALUE"""),"Delivered")</f>
        <v>Delivered</v>
      </c>
      <c r="J2016" s="18" t="str">
        <f>IFERROR(__xludf.DUMMYFUNCTION("""COMPUTED_VALUE"""),"On-time Delivery")</f>
        <v>On-time Delivery</v>
      </c>
      <c r="K2016" s="18" t="str">
        <f>IFERROR(__xludf.DUMMYFUNCTION("""COMPUTED_VALUE"""),"Delivered on time")</f>
        <v>Delivered on time</v>
      </c>
      <c r="L2016" s="18">
        <f>iferror(VLOOKUP($D2016,Details!$A$2:$C$11,2,false),vlookup($D2016,Details!$E$2:$G$11,2,false))</f>
        <v>110</v>
      </c>
      <c r="M2016" s="18" t="str">
        <f>iferror(VLOOKUP($D2016,Details!$A$2:$C$11,3,false),vlookup($D2016,Details!$E$2:$G$11,3,false))</f>
        <v>Snacks and Drinks</v>
      </c>
      <c r="N2016" s="18">
        <f t="shared" si="1"/>
        <v>330</v>
      </c>
      <c r="O2016" s="17"/>
      <c r="P2016" s="17"/>
      <c r="Q2016" s="17"/>
      <c r="R2016" s="17"/>
      <c r="S2016" s="17"/>
      <c r="T2016" s="17"/>
      <c r="U2016" s="17"/>
      <c r="V2016" s="17"/>
      <c r="W2016" s="17"/>
      <c r="X2016" s="17"/>
      <c r="Y2016" s="17"/>
      <c r="Z2016" s="17"/>
    </row>
    <row r="2017">
      <c r="A2017" s="18" t="str">
        <f>IFERROR(__xludf.DUMMYFUNCTION("""COMPUTED_VALUE"""),"ord_81993")</f>
        <v>ord_81993</v>
      </c>
      <c r="B2017" s="18" t="str">
        <f>IFERROR(__xludf.DUMMYFUNCTION("""COMPUTED_VALUE"""),"Sahil Desai")</f>
        <v>Sahil Desai</v>
      </c>
      <c r="C2017" s="18" t="str">
        <f>IFERROR(__xludf.DUMMYFUNCTION("""COMPUTED_VALUE"""),"Colaba")</f>
        <v>Colaba</v>
      </c>
      <c r="D2017" s="18" t="str">
        <f>IFERROR(__xludf.DUMMYFUNCTION("""COMPUTED_VALUE"""),"Chicken Puff")</f>
        <v>Chicken Puff</v>
      </c>
      <c r="E2017" s="18">
        <f>IFERROR(__xludf.DUMMYFUNCTION("""COMPUTED_VALUE"""),8.0)</f>
        <v>8</v>
      </c>
      <c r="F2017" s="18" t="str">
        <f>IFERROR(__xludf.DUMMYFUNCTION("""COMPUTED_VALUE"""),"Nikhil Deshmukh")</f>
        <v>Nikhil Deshmukh</v>
      </c>
      <c r="G2017" s="19">
        <f>IFERROR(__xludf.DUMMYFUNCTION("""COMPUTED_VALUE"""),45172.0)</f>
        <v>45172</v>
      </c>
      <c r="H2017" s="18" t="str">
        <f>IFERROR(__xludf.DUMMYFUNCTION("""COMPUTED_VALUE"""),"UPI")</f>
        <v>UPI</v>
      </c>
      <c r="I2017" s="18" t="str">
        <f>IFERROR(__xludf.DUMMYFUNCTION("""COMPUTED_VALUE"""),"Delivered")</f>
        <v>Delivered</v>
      </c>
      <c r="J2017" s="18" t="str">
        <f>IFERROR(__xludf.DUMMYFUNCTION("""COMPUTED_VALUE"""),"Quality of Items")</f>
        <v>Quality of Items</v>
      </c>
      <c r="K2017" s="18" t="str">
        <f>IFERROR(__xludf.DUMMYFUNCTION("""COMPUTED_VALUE"""),"Perfect condition")</f>
        <v>Perfect condition</v>
      </c>
      <c r="L2017" s="18">
        <f>iferror(VLOOKUP($D2017,Details!$A$2:$C$11,2,false),vlookup($D2017,Details!$E$2:$G$11,2,false))</f>
        <v>90</v>
      </c>
      <c r="M2017" s="18" t="str">
        <f>iferror(VLOOKUP($D2017,Details!$A$2:$C$11,3,false),vlookup($D2017,Details!$E$2:$G$11,3,false))</f>
        <v>Snacks and Drinks</v>
      </c>
      <c r="N2017" s="18">
        <f t="shared" si="1"/>
        <v>720</v>
      </c>
      <c r="O2017" s="17"/>
      <c r="P2017" s="17"/>
      <c r="Q2017" s="17"/>
      <c r="R2017" s="17"/>
      <c r="S2017" s="17"/>
      <c r="T2017" s="17"/>
      <c r="U2017" s="17"/>
      <c r="V2017" s="17"/>
      <c r="W2017" s="17"/>
      <c r="X2017" s="17"/>
      <c r="Y2017" s="17"/>
      <c r="Z2017" s="17"/>
    </row>
    <row r="2018">
      <c r="A2018" s="18" t="str">
        <f>IFERROR(__xludf.DUMMYFUNCTION("""COMPUTED_VALUE"""),"ord_81994")</f>
        <v>ord_81994</v>
      </c>
      <c r="B2018" s="18" t="str">
        <f>IFERROR(__xludf.DUMMYFUNCTION("""COMPUTED_VALUE"""),"Shruti Aggarwal")</f>
        <v>Shruti Aggarwal</v>
      </c>
      <c r="C2018" s="18" t="str">
        <f>IFERROR(__xludf.DUMMYFUNCTION("""COMPUTED_VALUE"""),"Colaba")</f>
        <v>Colaba</v>
      </c>
      <c r="D2018" s="18" t="str">
        <f>IFERROR(__xludf.DUMMYFUNCTION("""COMPUTED_VALUE"""),"Chocolate Mousse")</f>
        <v>Chocolate Mousse</v>
      </c>
      <c r="E2018" s="18">
        <f>IFERROR(__xludf.DUMMYFUNCTION("""COMPUTED_VALUE"""),5.0)</f>
        <v>5</v>
      </c>
      <c r="F2018" s="18" t="str">
        <f>IFERROR(__xludf.DUMMYFUNCTION("""COMPUTED_VALUE"""),"Nikhil Deshmukh")</f>
        <v>Nikhil Deshmukh</v>
      </c>
      <c r="G2018" s="19">
        <f>IFERROR(__xludf.DUMMYFUNCTION("""COMPUTED_VALUE"""),45260.0)</f>
        <v>45260</v>
      </c>
      <c r="H2018" s="18" t="str">
        <f>IFERROR(__xludf.DUMMYFUNCTION("""COMPUTED_VALUE"""),"UPI")</f>
        <v>UPI</v>
      </c>
      <c r="I2018" s="18" t="str">
        <f>IFERROR(__xludf.DUMMYFUNCTION("""COMPUTED_VALUE"""),"Delivered")</f>
        <v>Delivered</v>
      </c>
      <c r="J2018" s="18" t="str">
        <f>IFERROR(__xludf.DUMMYFUNCTION("""COMPUTED_VALUE"""),"Packaging")</f>
        <v>Packaging</v>
      </c>
      <c r="K2018" s="18" t="str">
        <f>IFERROR(__xludf.DUMMYFUNCTION("""COMPUTED_VALUE"""),"Secure and intact")</f>
        <v>Secure and intact</v>
      </c>
      <c r="L2018" s="18">
        <f>iferror(VLOOKUP($D2018,Details!$A$2:$C$11,2,false),vlookup($D2018,Details!$E$2:$G$11,2,false))</f>
        <v>145</v>
      </c>
      <c r="M2018" s="18" t="str">
        <f>iferror(VLOOKUP($D2018,Details!$A$2:$C$11,3,false),vlookup($D2018,Details!$E$2:$G$11,3,false))</f>
        <v>Snacks and Drinks</v>
      </c>
      <c r="N2018" s="18">
        <f t="shared" si="1"/>
        <v>725</v>
      </c>
      <c r="O2018" s="17"/>
      <c r="P2018" s="17"/>
      <c r="Q2018" s="17"/>
      <c r="R2018" s="17"/>
      <c r="S2018" s="17"/>
      <c r="T2018" s="17"/>
      <c r="U2018" s="17"/>
      <c r="V2018" s="17"/>
      <c r="W2018" s="17"/>
      <c r="X2018" s="17"/>
      <c r="Y2018" s="17"/>
      <c r="Z2018" s="17"/>
    </row>
    <row r="2019">
      <c r="A2019" s="18" t="str">
        <f>IFERROR(__xludf.DUMMYFUNCTION("""COMPUTED_VALUE"""),"ord_81995")</f>
        <v>ord_81995</v>
      </c>
      <c r="B2019" s="18" t="str">
        <f>IFERROR(__xludf.DUMMYFUNCTION("""COMPUTED_VALUE"""),"Arvind Kulkarni")</f>
        <v>Arvind Kulkarni</v>
      </c>
      <c r="C2019" s="18" t="str">
        <f>IFERROR(__xludf.DUMMYFUNCTION("""COMPUTED_VALUE"""),"Juhu")</f>
        <v>Juhu</v>
      </c>
      <c r="D2019" s="18" t="str">
        <f>IFERROR(__xludf.DUMMYFUNCTION("""COMPUTED_VALUE"""),"Chocolate Mousse")</f>
        <v>Chocolate Mousse</v>
      </c>
      <c r="E2019" s="18">
        <f>IFERROR(__xludf.DUMMYFUNCTION("""COMPUTED_VALUE"""),2.0)</f>
        <v>2</v>
      </c>
      <c r="F2019" s="18" t="str">
        <f>IFERROR(__xludf.DUMMYFUNCTION("""COMPUTED_VALUE"""),"Not Assigned")</f>
        <v>Not Assigned</v>
      </c>
      <c r="G2019" s="19">
        <f>IFERROR(__xludf.DUMMYFUNCTION("""COMPUTED_VALUE"""),45173.0)</f>
        <v>45173</v>
      </c>
      <c r="H2019" s="18" t="str">
        <f>IFERROR(__xludf.DUMMYFUNCTION("""COMPUTED_VALUE"""),"Credit Card")</f>
        <v>Credit Card</v>
      </c>
      <c r="I2019" s="18" t="str">
        <f>IFERROR(__xludf.DUMMYFUNCTION("""COMPUTED_VALUE"""),"Cancelled")</f>
        <v>Cancelled</v>
      </c>
      <c r="J2019" s="18" t="str">
        <f>IFERROR(__xludf.DUMMYFUNCTION("""COMPUTED_VALUE"""),"App Glitches")</f>
        <v>App Glitches</v>
      </c>
      <c r="K2019" s="18" t="str">
        <f>IFERROR(__xludf.DUMMYFUNCTION("""COMPUTED_VALUE"""),"Slow Loading Time")</f>
        <v>Slow Loading Time</v>
      </c>
      <c r="L2019" s="18">
        <f>iferror(VLOOKUP($D2019,Details!$A$2:$C$11,2,false),vlookup($D2019,Details!$E$2:$G$11,2,false))</f>
        <v>145</v>
      </c>
      <c r="M2019" s="18" t="str">
        <f>iferror(VLOOKUP($D2019,Details!$A$2:$C$11,3,false),vlookup($D2019,Details!$E$2:$G$11,3,false))</f>
        <v>Snacks and Drinks</v>
      </c>
      <c r="N2019" s="18">
        <f t="shared" si="1"/>
        <v>290</v>
      </c>
      <c r="O2019" s="17"/>
      <c r="P2019" s="17"/>
      <c r="Q2019" s="17"/>
      <c r="R2019" s="17"/>
      <c r="S2019" s="17"/>
      <c r="T2019" s="17"/>
      <c r="U2019" s="17"/>
      <c r="V2019" s="17"/>
      <c r="W2019" s="17"/>
      <c r="X2019" s="17"/>
      <c r="Y2019" s="17"/>
      <c r="Z2019" s="17"/>
    </row>
    <row r="2020">
      <c r="A2020" s="18" t="str">
        <f>IFERROR(__xludf.DUMMYFUNCTION("""COMPUTED_VALUE"""),"ord_81996")</f>
        <v>ord_81996</v>
      </c>
      <c r="B2020" s="18" t="str">
        <f>IFERROR(__xludf.DUMMYFUNCTION("""COMPUTED_VALUE"""),"Ishita Banerjee")</f>
        <v>Ishita Banerjee</v>
      </c>
      <c r="C2020" s="18" t="str">
        <f>IFERROR(__xludf.DUMMYFUNCTION("""COMPUTED_VALUE"""),"Juhu")</f>
        <v>Juhu</v>
      </c>
      <c r="D2020" s="18" t="str">
        <f>IFERROR(__xludf.DUMMYFUNCTION("""COMPUTED_VALUE"""),"Banana")</f>
        <v>Banana</v>
      </c>
      <c r="E2020" s="18">
        <f>IFERROR(__xludf.DUMMYFUNCTION("""COMPUTED_VALUE"""),2.0)</f>
        <v>2</v>
      </c>
      <c r="F2020" s="18" t="str">
        <f>IFERROR(__xludf.DUMMYFUNCTION("""COMPUTED_VALUE"""),"Rohan Yadav")</f>
        <v>Rohan Yadav</v>
      </c>
      <c r="G2020" s="19">
        <f>IFERROR(__xludf.DUMMYFUNCTION("""COMPUTED_VALUE"""),44976.0)</f>
        <v>44976</v>
      </c>
      <c r="H2020" s="18" t="str">
        <f>IFERROR(__xludf.DUMMYFUNCTION("""COMPUTED_VALUE"""),"Credit Card")</f>
        <v>Credit Card</v>
      </c>
      <c r="I2020" s="18" t="str">
        <f>IFERROR(__xludf.DUMMYFUNCTION("""COMPUTED_VALUE"""),"Cancelled")</f>
        <v>Cancelled</v>
      </c>
      <c r="J2020" s="18" t="str">
        <f>IFERROR(__xludf.DUMMYFUNCTION("""COMPUTED_VALUE"""),"Delayed Delivery")</f>
        <v>Delayed Delivery</v>
      </c>
      <c r="K2020" s="18" t="str">
        <f>IFERROR(__xludf.DUMMYFUNCTION("""COMPUTED_VALUE"""),"Bad Weather Conditions")</f>
        <v>Bad Weather Conditions</v>
      </c>
      <c r="L2020" s="18">
        <f>iferror(VLOOKUP($D2020,Details!$A$2:$C$11,2,false),vlookup($D2020,Details!$E$2:$G$11,2,false))</f>
        <v>80</v>
      </c>
      <c r="M2020" s="18" t="str">
        <f>iferror(VLOOKUP($D2020,Details!$A$2:$C$11,3,false),vlookup($D2020,Details!$E$2:$G$11,3,false))</f>
        <v>Fruits and Vegetables</v>
      </c>
      <c r="N2020" s="18">
        <f t="shared" si="1"/>
        <v>160</v>
      </c>
      <c r="O2020" s="17"/>
      <c r="P2020" s="17"/>
      <c r="Q2020" s="17"/>
      <c r="R2020" s="17"/>
      <c r="S2020" s="17"/>
      <c r="T2020" s="17"/>
      <c r="U2020" s="17"/>
      <c r="V2020" s="17"/>
      <c r="W2020" s="17"/>
      <c r="X2020" s="17"/>
      <c r="Y2020" s="17"/>
      <c r="Z2020" s="17"/>
    </row>
    <row r="2021">
      <c r="A2021" s="18" t="str">
        <f>IFERROR(__xludf.DUMMYFUNCTION("""COMPUTED_VALUE"""),"ord_81997")</f>
        <v>ord_81997</v>
      </c>
      <c r="B2021" s="18" t="str">
        <f>IFERROR(__xludf.DUMMYFUNCTION("""COMPUTED_VALUE"""),"Aarav Mehta")</f>
        <v>Aarav Mehta</v>
      </c>
      <c r="C2021" s="18" t="str">
        <f>IFERROR(__xludf.DUMMYFUNCTION("""COMPUTED_VALUE"""),"Andheri")</f>
        <v>Andheri</v>
      </c>
      <c r="D2021" s="18" t="str">
        <f>IFERROR(__xludf.DUMMYFUNCTION("""COMPUTED_VALUE"""),"Icecream")</f>
        <v>Icecream</v>
      </c>
      <c r="E2021" s="18">
        <f>IFERROR(__xludf.DUMMYFUNCTION("""COMPUTED_VALUE"""),1.0)</f>
        <v>1</v>
      </c>
      <c r="F2021" s="18" t="str">
        <f>IFERROR(__xludf.DUMMYFUNCTION("""COMPUTED_VALUE"""),"Not Assigned")</f>
        <v>Not Assigned</v>
      </c>
      <c r="G2021" s="19">
        <f>IFERROR(__xludf.DUMMYFUNCTION("""COMPUTED_VALUE"""),45101.0)</f>
        <v>45101</v>
      </c>
      <c r="H2021" s="18" t="str">
        <f>IFERROR(__xludf.DUMMYFUNCTION("""COMPUTED_VALUE"""),"Online Payment")</f>
        <v>Online Payment</v>
      </c>
      <c r="I2021" s="18" t="str">
        <f>IFERROR(__xludf.DUMMYFUNCTION("""COMPUTED_VALUE"""),"Cancelled")</f>
        <v>Cancelled</v>
      </c>
      <c r="J2021" s="18" t="str">
        <f>IFERROR(__xludf.DUMMYFUNCTION("""COMPUTED_VALUE"""),"App Glitches")</f>
        <v>App Glitches</v>
      </c>
      <c r="K2021" s="18" t="str">
        <f>IFERROR(__xludf.DUMMYFUNCTION("""COMPUTED_VALUE"""),"Missing Content")</f>
        <v>Missing Content</v>
      </c>
      <c r="L2021" s="18">
        <f>iferror(VLOOKUP($D2021,Details!$A$2:$C$11,2,false),vlookup($D2021,Details!$E$2:$G$11,2,false))</f>
        <v>90</v>
      </c>
      <c r="M2021" s="18" t="str">
        <f>iferror(VLOOKUP($D2021,Details!$A$2:$C$11,3,false),vlookup($D2021,Details!$E$2:$G$11,3,false))</f>
        <v>Snacks and Drinks</v>
      </c>
      <c r="N2021" s="18">
        <f t="shared" si="1"/>
        <v>90</v>
      </c>
      <c r="O2021" s="17"/>
      <c r="P2021" s="17"/>
      <c r="Q2021" s="17"/>
      <c r="R2021" s="17"/>
      <c r="S2021" s="17"/>
      <c r="T2021" s="17"/>
      <c r="U2021" s="17"/>
      <c r="V2021" s="17"/>
      <c r="W2021" s="17"/>
      <c r="X2021" s="17"/>
      <c r="Y2021" s="17"/>
      <c r="Z2021" s="17"/>
    </row>
    <row r="2022">
      <c r="A2022" s="18" t="str">
        <f>IFERROR(__xludf.DUMMYFUNCTION("""COMPUTED_VALUE"""),"ord_81998")</f>
        <v>ord_81998</v>
      </c>
      <c r="B2022" s="18" t="str">
        <f>IFERROR(__xludf.DUMMYFUNCTION("""COMPUTED_VALUE"""),"Anaya Rao")</f>
        <v>Anaya Rao</v>
      </c>
      <c r="C2022" s="18" t="str">
        <f>IFERROR(__xludf.DUMMYFUNCTION("""COMPUTED_VALUE"""),"Colaba")</f>
        <v>Colaba</v>
      </c>
      <c r="D2022" s="18" t="str">
        <f>IFERROR(__xludf.DUMMYFUNCTION("""COMPUTED_VALUE"""),"Onion")</f>
        <v>Onion</v>
      </c>
      <c r="E2022" s="18">
        <f>IFERROR(__xludf.DUMMYFUNCTION("""COMPUTED_VALUE"""),1.0)</f>
        <v>1</v>
      </c>
      <c r="F2022" s="18" t="str">
        <f>IFERROR(__xludf.DUMMYFUNCTION("""COMPUTED_VALUE"""),"Not Assigned")</f>
        <v>Not Assigned</v>
      </c>
      <c r="G2022" s="19">
        <f>IFERROR(__xludf.DUMMYFUNCTION("""COMPUTED_VALUE"""),45237.0)</f>
        <v>45237</v>
      </c>
      <c r="H2022" s="18" t="str">
        <f>IFERROR(__xludf.DUMMYFUNCTION("""COMPUTED_VALUE"""),"Online Payment")</f>
        <v>Online Payment</v>
      </c>
      <c r="I2022" s="18" t="str">
        <f>IFERROR(__xludf.DUMMYFUNCTION("""COMPUTED_VALUE"""),"Cancelled")</f>
        <v>Cancelled</v>
      </c>
      <c r="J2022" s="18" t="str">
        <f>IFERROR(__xludf.DUMMYFUNCTION("""COMPUTED_VALUE"""),"App Glitches")</f>
        <v>App Glitches</v>
      </c>
      <c r="K2022" s="18" t="str">
        <f>IFERROR(__xludf.DUMMYFUNCTION("""COMPUTED_VALUE"""),"Slow Loading Time")</f>
        <v>Slow Loading Time</v>
      </c>
      <c r="L2022" s="18">
        <f>iferror(VLOOKUP($D2022,Details!$A$2:$C$11,2,false),vlookup($D2022,Details!$E$2:$G$11,2,false))</f>
        <v>84</v>
      </c>
      <c r="M2022" s="18" t="str">
        <f>iferror(VLOOKUP($D2022,Details!$A$2:$C$11,3,false),vlookup($D2022,Details!$E$2:$G$11,3,false))</f>
        <v>Fruits and Vegetables</v>
      </c>
      <c r="N2022" s="18">
        <f t="shared" si="1"/>
        <v>84</v>
      </c>
      <c r="O2022" s="17"/>
      <c r="P2022" s="17"/>
      <c r="Q2022" s="17"/>
      <c r="R2022" s="17"/>
      <c r="S2022" s="17"/>
      <c r="T2022" s="17"/>
      <c r="U2022" s="17"/>
      <c r="V2022" s="17"/>
      <c r="W2022" s="17"/>
      <c r="X2022" s="17"/>
      <c r="Y2022" s="17"/>
      <c r="Z2022" s="17"/>
    </row>
    <row r="2023">
      <c r="A2023" s="18" t="str">
        <f>IFERROR(__xludf.DUMMYFUNCTION("""COMPUTED_VALUE"""),"ord_81999")</f>
        <v>ord_81999</v>
      </c>
      <c r="B2023" s="18" t="str">
        <f>IFERROR(__xludf.DUMMYFUNCTION("""COMPUTED_VALUE"""),"Aarav Mehta")</f>
        <v>Aarav Mehta</v>
      </c>
      <c r="C2023" s="18" t="str">
        <f>IFERROR(__xludf.DUMMYFUNCTION("""COMPUTED_VALUE"""),"Andheri")</f>
        <v>Andheri</v>
      </c>
      <c r="D2023" s="18" t="str">
        <f>IFERROR(__xludf.DUMMYFUNCTION("""COMPUTED_VALUE"""),"Tomato")</f>
        <v>Tomato</v>
      </c>
      <c r="E2023" s="18">
        <f>IFERROR(__xludf.DUMMYFUNCTION("""COMPUTED_VALUE"""),2.0)</f>
        <v>2</v>
      </c>
      <c r="F2023" s="18" t="str">
        <f>IFERROR(__xludf.DUMMYFUNCTION("""COMPUTED_VALUE"""),"Not Assigned")</f>
        <v>Not Assigned</v>
      </c>
      <c r="G2023" s="19">
        <f>IFERROR(__xludf.DUMMYFUNCTION("""COMPUTED_VALUE"""),45104.0)</f>
        <v>45104</v>
      </c>
      <c r="H2023" s="18" t="str">
        <f>IFERROR(__xludf.DUMMYFUNCTION("""COMPUTED_VALUE"""),"Credit Card")</f>
        <v>Credit Card</v>
      </c>
      <c r="I2023" s="18" t="str">
        <f>IFERROR(__xludf.DUMMYFUNCTION("""COMPUTED_VALUE"""),"Cancelled")</f>
        <v>Cancelled</v>
      </c>
      <c r="J2023" s="18" t="str">
        <f>IFERROR(__xludf.DUMMYFUNCTION("""COMPUTED_VALUE"""),"App Glitches")</f>
        <v>App Glitches</v>
      </c>
      <c r="K2023" s="18" t="str">
        <f>IFERROR(__xludf.DUMMYFUNCTION("""COMPUTED_VALUE"""),"Slow Loading Time")</f>
        <v>Slow Loading Time</v>
      </c>
      <c r="L2023" s="18">
        <f>iferror(VLOOKUP($D2023,Details!$A$2:$C$11,2,false),vlookup($D2023,Details!$E$2:$G$11,2,false))</f>
        <v>25</v>
      </c>
      <c r="M2023" s="18" t="str">
        <f>iferror(VLOOKUP($D2023,Details!$A$2:$C$11,3,false),vlookup($D2023,Details!$E$2:$G$11,3,false))</f>
        <v>Fruits and Vegetables</v>
      </c>
      <c r="N2023" s="18">
        <f t="shared" si="1"/>
        <v>50</v>
      </c>
      <c r="O2023" s="17"/>
      <c r="P2023" s="17"/>
      <c r="Q2023" s="17"/>
      <c r="R2023" s="17"/>
      <c r="S2023" s="17"/>
      <c r="T2023" s="17"/>
      <c r="U2023" s="17"/>
      <c r="V2023" s="17"/>
      <c r="W2023" s="17"/>
      <c r="X2023" s="17"/>
      <c r="Y2023" s="17"/>
      <c r="Z2023" s="17"/>
    </row>
    <row r="2024">
      <c r="A2024" s="18" t="str">
        <f>IFERROR(__xludf.DUMMYFUNCTION("""COMPUTED_VALUE"""),"ord_82000")</f>
        <v>ord_82000</v>
      </c>
      <c r="B2024" s="18" t="str">
        <f>IFERROR(__xludf.DUMMYFUNCTION("""COMPUTED_VALUE"""),"Mohit Malhotra")</f>
        <v>Mohit Malhotra</v>
      </c>
      <c r="C2024" s="18" t="str">
        <f>IFERROR(__xludf.DUMMYFUNCTION("""COMPUTED_VALUE"""),"Lower Parel")</f>
        <v>Lower Parel</v>
      </c>
      <c r="D2024" s="18" t="str">
        <f>IFERROR(__xludf.DUMMYFUNCTION("""COMPUTED_VALUE"""),"Popcorn")</f>
        <v>Popcorn</v>
      </c>
      <c r="E2024" s="18">
        <f>IFERROR(__xludf.DUMMYFUNCTION("""COMPUTED_VALUE"""),1.0)</f>
        <v>1</v>
      </c>
      <c r="F2024" s="18" t="str">
        <f>IFERROR(__xludf.DUMMYFUNCTION("""COMPUTED_VALUE"""),"Not Assigned")</f>
        <v>Not Assigned</v>
      </c>
      <c r="G2024" s="19">
        <f>IFERROR(__xludf.DUMMYFUNCTION("""COMPUTED_VALUE"""),45081.0)</f>
        <v>45081</v>
      </c>
      <c r="H2024" s="18" t="str">
        <f>IFERROR(__xludf.DUMMYFUNCTION("""COMPUTED_VALUE"""),"Online Payment")</f>
        <v>Online Payment</v>
      </c>
      <c r="I2024" s="18" t="str">
        <f>IFERROR(__xludf.DUMMYFUNCTION("""COMPUTED_VALUE"""),"Cancelled")</f>
        <v>Cancelled</v>
      </c>
      <c r="J2024" s="18" t="str">
        <f>IFERROR(__xludf.DUMMYFUNCTION("""COMPUTED_VALUE"""),"Out of Stock")</f>
        <v>Out of Stock</v>
      </c>
      <c r="K2024" s="18"/>
      <c r="L2024" s="18">
        <f>iferror(VLOOKUP($D2024,Details!$A$2:$C$11,2,false),vlookup($D2024,Details!$E$2:$G$11,2,false))</f>
        <v>150</v>
      </c>
      <c r="M2024" s="18" t="str">
        <f>iferror(VLOOKUP($D2024,Details!$A$2:$C$11,3,false),vlookup($D2024,Details!$E$2:$G$11,3,false))</f>
        <v>Snacks and Drinks</v>
      </c>
      <c r="N2024" s="18">
        <f t="shared" si="1"/>
        <v>150</v>
      </c>
      <c r="O2024" s="17"/>
      <c r="P2024" s="17"/>
      <c r="Q2024" s="17"/>
      <c r="R2024" s="17"/>
      <c r="S2024" s="17"/>
      <c r="T2024" s="17"/>
      <c r="U2024" s="17"/>
      <c r="V2024" s="17"/>
      <c r="W2024" s="17"/>
      <c r="X2024" s="17"/>
      <c r="Y2024" s="17"/>
      <c r="Z2024" s="17"/>
    </row>
    <row r="2025">
      <c r="A2025" s="18" t="str">
        <f>IFERROR(__xludf.DUMMYFUNCTION("""COMPUTED_VALUE"""),"ord_82001")</f>
        <v>ord_82001</v>
      </c>
      <c r="B2025" s="18" t="str">
        <f>IFERROR(__xludf.DUMMYFUNCTION("""COMPUTED_VALUE"""),"Pranav Joshi")</f>
        <v>Pranav Joshi</v>
      </c>
      <c r="C2025" s="18" t="str">
        <f>IFERROR(__xludf.DUMMYFUNCTION("""COMPUTED_VALUE"""),"Andheri")</f>
        <v>Andheri</v>
      </c>
      <c r="D2025" s="18" t="str">
        <f>IFERROR(__xludf.DUMMYFUNCTION("""COMPUTED_VALUE"""),"Popcorn")</f>
        <v>Popcorn</v>
      </c>
      <c r="E2025" s="18">
        <f>IFERROR(__xludf.DUMMYFUNCTION("""COMPUTED_VALUE"""),2.0)</f>
        <v>2</v>
      </c>
      <c r="F2025" s="18" t="str">
        <f>IFERROR(__xludf.DUMMYFUNCTION("""COMPUTED_VALUE"""),"Rohan Yadav")</f>
        <v>Rohan Yadav</v>
      </c>
      <c r="G2025" s="19">
        <f>IFERROR(__xludf.DUMMYFUNCTION("""COMPUTED_VALUE"""),45102.0)</f>
        <v>45102</v>
      </c>
      <c r="H2025" s="18" t="str">
        <f>IFERROR(__xludf.DUMMYFUNCTION("""COMPUTED_VALUE"""),"COD")</f>
        <v>COD</v>
      </c>
      <c r="I2025" s="18" t="str">
        <f>IFERROR(__xludf.DUMMYFUNCTION("""COMPUTED_VALUE"""),"Delivered")</f>
        <v>Delivered</v>
      </c>
      <c r="J2025" s="18" t="str">
        <f>IFERROR(__xludf.DUMMYFUNCTION("""COMPUTED_VALUE"""),"Satisfied with the Delivery")</f>
        <v>Satisfied with the Delivery</v>
      </c>
      <c r="K2025" s="18" t="str">
        <f>IFERROR(__xludf.DUMMYFUNCTION("""COMPUTED_VALUE"""),"Timely and quality")</f>
        <v>Timely and quality</v>
      </c>
      <c r="L2025" s="18">
        <f>iferror(VLOOKUP($D2025,Details!$A$2:$C$11,2,false),vlookup($D2025,Details!$E$2:$G$11,2,false))</f>
        <v>150</v>
      </c>
      <c r="M2025" s="18" t="str">
        <f>iferror(VLOOKUP($D2025,Details!$A$2:$C$11,3,false),vlookup($D2025,Details!$E$2:$G$11,3,false))</f>
        <v>Snacks and Drinks</v>
      </c>
      <c r="N2025" s="18">
        <f t="shared" si="1"/>
        <v>300</v>
      </c>
      <c r="O2025" s="17"/>
      <c r="P2025" s="17"/>
      <c r="Q2025" s="17"/>
      <c r="R2025" s="17"/>
      <c r="S2025" s="17"/>
      <c r="T2025" s="17"/>
      <c r="U2025" s="17"/>
      <c r="V2025" s="17"/>
      <c r="W2025" s="17"/>
      <c r="X2025" s="17"/>
      <c r="Y2025" s="17"/>
      <c r="Z2025" s="17"/>
    </row>
    <row r="2026">
      <c r="A2026" s="18" t="str">
        <f>IFERROR(__xludf.DUMMYFUNCTION("""COMPUTED_VALUE"""),"ord_82002")</f>
        <v>ord_82002</v>
      </c>
      <c r="B2026" s="18" t="str">
        <f>IFERROR(__xludf.DUMMYFUNCTION("""COMPUTED_VALUE"""),"Sahil Desai")</f>
        <v>Sahil Desai</v>
      </c>
      <c r="C2026" s="18" t="str">
        <f>IFERROR(__xludf.DUMMYFUNCTION("""COMPUTED_VALUE"""),"Colaba")</f>
        <v>Colaba</v>
      </c>
      <c r="D2026" s="18" t="str">
        <f>IFERROR(__xludf.DUMMYFUNCTION("""COMPUTED_VALUE"""),"Cold Coffee")</f>
        <v>Cold Coffee</v>
      </c>
      <c r="E2026" s="18">
        <f>IFERROR(__xludf.DUMMYFUNCTION("""COMPUTED_VALUE"""),6.0)</f>
        <v>6</v>
      </c>
      <c r="F2026" s="18" t="str">
        <f>IFERROR(__xludf.DUMMYFUNCTION("""COMPUTED_VALUE"""),"Nikhil Deshmukh")</f>
        <v>Nikhil Deshmukh</v>
      </c>
      <c r="G2026" s="19">
        <f>IFERROR(__xludf.DUMMYFUNCTION("""COMPUTED_VALUE"""),45254.0)</f>
        <v>45254</v>
      </c>
      <c r="H2026" s="18" t="str">
        <f>IFERROR(__xludf.DUMMYFUNCTION("""COMPUTED_VALUE"""),"Credit Card")</f>
        <v>Credit Card</v>
      </c>
      <c r="I2026" s="18" t="str">
        <f>IFERROR(__xludf.DUMMYFUNCTION("""COMPUTED_VALUE"""),"Delivered")</f>
        <v>Delivered</v>
      </c>
      <c r="J2026" s="18" t="str">
        <f>IFERROR(__xludf.DUMMYFUNCTION("""COMPUTED_VALUE"""),"Customer Service")</f>
        <v>Customer Service</v>
      </c>
      <c r="K2026" s="18" t="str">
        <f>IFERROR(__xludf.DUMMYFUNCTION("""COMPUTED_VALUE"""),"Seamless and easy")</f>
        <v>Seamless and easy</v>
      </c>
      <c r="L2026" s="18">
        <f>iferror(VLOOKUP($D2026,Details!$A$2:$C$11,2,false),vlookup($D2026,Details!$E$2:$G$11,2,false))</f>
        <v>270</v>
      </c>
      <c r="M2026" s="18" t="str">
        <f>iferror(VLOOKUP($D2026,Details!$A$2:$C$11,3,false),vlookup($D2026,Details!$E$2:$G$11,3,false))</f>
        <v>Snacks and Drinks</v>
      </c>
      <c r="N2026" s="18">
        <f t="shared" si="1"/>
        <v>1620</v>
      </c>
      <c r="O2026" s="17"/>
      <c r="P2026" s="17"/>
      <c r="Q2026" s="17"/>
      <c r="R2026" s="17"/>
      <c r="S2026" s="17"/>
      <c r="T2026" s="17"/>
      <c r="U2026" s="17"/>
      <c r="V2026" s="17"/>
      <c r="W2026" s="17"/>
      <c r="X2026" s="17"/>
      <c r="Y2026" s="17"/>
      <c r="Z2026" s="17"/>
    </row>
    <row r="2027">
      <c r="A2027" s="18" t="str">
        <f>IFERROR(__xludf.DUMMYFUNCTION("""COMPUTED_VALUE"""),"ord_82003")</f>
        <v>ord_82003</v>
      </c>
      <c r="B2027" s="18" t="str">
        <f>IFERROR(__xludf.DUMMYFUNCTION("""COMPUTED_VALUE"""),"Kritika Shetty")</f>
        <v>Kritika Shetty</v>
      </c>
      <c r="C2027" s="18" t="str">
        <f>IFERROR(__xludf.DUMMYFUNCTION("""COMPUTED_VALUE"""),"Malad")</f>
        <v>Malad</v>
      </c>
      <c r="D2027" s="18" t="str">
        <f>IFERROR(__xludf.DUMMYFUNCTION("""COMPUTED_VALUE"""),"Guava")</f>
        <v>Guava</v>
      </c>
      <c r="E2027" s="18">
        <f>IFERROR(__xludf.DUMMYFUNCTION("""COMPUTED_VALUE"""),2.0)</f>
        <v>2</v>
      </c>
      <c r="F2027" s="18" t="str">
        <f>IFERROR(__xludf.DUMMYFUNCTION("""COMPUTED_VALUE"""),"Nithin Lal")</f>
        <v>Nithin Lal</v>
      </c>
      <c r="G2027" s="19">
        <f>IFERROR(__xludf.DUMMYFUNCTION("""COMPUTED_VALUE"""),44963.0)</f>
        <v>44963</v>
      </c>
      <c r="H2027" s="18" t="str">
        <f>IFERROR(__xludf.DUMMYFUNCTION("""COMPUTED_VALUE"""),"Online Payment")</f>
        <v>Online Payment</v>
      </c>
      <c r="I2027" s="18" t="str">
        <f>IFERROR(__xludf.DUMMYFUNCTION("""COMPUTED_VALUE"""),"Cancelled")</f>
        <v>Cancelled</v>
      </c>
      <c r="J2027" s="18" t="str">
        <f>IFERROR(__xludf.DUMMYFUNCTION("""COMPUTED_VALUE"""),"Delayed Delivery")</f>
        <v>Delayed Delivery</v>
      </c>
      <c r="K2027" s="18" t="str">
        <f>IFERROR(__xludf.DUMMYFUNCTION("""COMPUTED_VALUE"""),"Heavy Traffic")</f>
        <v>Heavy Traffic</v>
      </c>
      <c r="L2027" s="18">
        <f>iferror(VLOOKUP($D2027,Details!$A$2:$C$11,2,false),vlookup($D2027,Details!$E$2:$G$11,2,false))</f>
        <v>70</v>
      </c>
      <c r="M2027" s="18" t="str">
        <f>iferror(VLOOKUP($D2027,Details!$A$2:$C$11,3,false),vlookup($D2027,Details!$E$2:$G$11,3,false))</f>
        <v>Fruits and Vegetables</v>
      </c>
      <c r="N2027" s="18">
        <f t="shared" si="1"/>
        <v>140</v>
      </c>
      <c r="O2027" s="17"/>
      <c r="P2027" s="17"/>
      <c r="Q2027" s="17"/>
      <c r="R2027" s="17"/>
      <c r="S2027" s="17"/>
      <c r="T2027" s="17"/>
      <c r="U2027" s="17"/>
      <c r="V2027" s="17"/>
      <c r="W2027" s="17"/>
      <c r="X2027" s="17"/>
      <c r="Y2027" s="17"/>
      <c r="Z2027" s="17"/>
    </row>
    <row r="2028">
      <c r="A2028" s="18" t="str">
        <f>IFERROR(__xludf.DUMMYFUNCTION("""COMPUTED_VALUE"""),"ord_82004")</f>
        <v>ord_82004</v>
      </c>
      <c r="B2028" s="18" t="str">
        <f>IFERROR(__xludf.DUMMYFUNCTION("""COMPUTED_VALUE"""),"Siya Reddy")</f>
        <v>Siya Reddy</v>
      </c>
      <c r="C2028" s="18" t="str">
        <f>IFERROR(__xludf.DUMMYFUNCTION("""COMPUTED_VALUE"""),"Juhu")</f>
        <v>Juhu</v>
      </c>
      <c r="D2028" s="18" t="str">
        <f>IFERROR(__xludf.DUMMYFUNCTION("""COMPUTED_VALUE"""),"Icecream")</f>
        <v>Icecream</v>
      </c>
      <c r="E2028" s="18">
        <f>IFERROR(__xludf.DUMMYFUNCTION("""COMPUTED_VALUE"""),4.0)</f>
        <v>4</v>
      </c>
      <c r="F2028" s="18" t="str">
        <f>IFERROR(__xludf.DUMMYFUNCTION("""COMPUTED_VALUE"""),"Tanvi Jain")</f>
        <v>Tanvi Jain</v>
      </c>
      <c r="G2028" s="19">
        <f>IFERROR(__xludf.DUMMYFUNCTION("""COMPUTED_VALUE"""),45093.0)</f>
        <v>45093</v>
      </c>
      <c r="H2028" s="18" t="str">
        <f>IFERROR(__xludf.DUMMYFUNCTION("""COMPUTED_VALUE"""),"Credit Card")</f>
        <v>Credit Card</v>
      </c>
      <c r="I2028" s="18" t="str">
        <f>IFERROR(__xludf.DUMMYFUNCTION("""COMPUTED_VALUE"""),"Delivered")</f>
        <v>Delivered</v>
      </c>
      <c r="J2028" s="18" t="str">
        <f>IFERROR(__xludf.DUMMYFUNCTION("""COMPUTED_VALUE"""),"Delivery Experience")</f>
        <v>Delivery Experience</v>
      </c>
      <c r="K2028" s="18" t="str">
        <f>IFERROR(__xludf.DUMMYFUNCTION("""COMPUTED_VALUE"""),"Quick and professional")</f>
        <v>Quick and professional</v>
      </c>
      <c r="L2028" s="18">
        <f>iferror(VLOOKUP($D2028,Details!$A$2:$C$11,2,false),vlookup($D2028,Details!$E$2:$G$11,2,false))</f>
        <v>90</v>
      </c>
      <c r="M2028" s="18" t="str">
        <f>iferror(VLOOKUP($D2028,Details!$A$2:$C$11,3,false),vlookup($D2028,Details!$E$2:$G$11,3,false))</f>
        <v>Snacks and Drinks</v>
      </c>
      <c r="N2028" s="18">
        <f t="shared" si="1"/>
        <v>360</v>
      </c>
      <c r="O2028" s="17"/>
      <c r="P2028" s="17"/>
      <c r="Q2028" s="17"/>
      <c r="R2028" s="17"/>
      <c r="S2028" s="17"/>
      <c r="T2028" s="17"/>
      <c r="U2028" s="17"/>
      <c r="V2028" s="17"/>
      <c r="W2028" s="17"/>
      <c r="X2028" s="17"/>
      <c r="Y2028" s="17"/>
      <c r="Z2028" s="17"/>
    </row>
    <row r="2029">
      <c r="A2029" s="18" t="str">
        <f>IFERROR(__xludf.DUMMYFUNCTION("""COMPUTED_VALUE"""),"ord_82005")</f>
        <v>ord_82005</v>
      </c>
      <c r="B2029" s="18" t="str">
        <f>IFERROR(__xludf.DUMMYFUNCTION("""COMPUTED_VALUE"""),"Aditya Rao")</f>
        <v>Aditya Rao</v>
      </c>
      <c r="C2029" s="18" t="str">
        <f>IFERROR(__xludf.DUMMYFUNCTION("""COMPUTED_VALUE"""),"Lower Parel")</f>
        <v>Lower Parel</v>
      </c>
      <c r="D2029" s="18" t="str">
        <f>IFERROR(__xludf.DUMMYFUNCTION("""COMPUTED_VALUE"""),"Apple")</f>
        <v>Apple</v>
      </c>
      <c r="E2029" s="18">
        <f>IFERROR(__xludf.DUMMYFUNCTION("""COMPUTED_VALUE"""),3.0)</f>
        <v>3</v>
      </c>
      <c r="F2029" s="18" t="str">
        <f>IFERROR(__xludf.DUMMYFUNCTION("""COMPUTED_VALUE"""),"Kiran Mehta")</f>
        <v>Kiran Mehta</v>
      </c>
      <c r="G2029" s="19">
        <f>IFERROR(__xludf.DUMMYFUNCTION("""COMPUTED_VALUE"""),45270.0)</f>
        <v>45270</v>
      </c>
      <c r="H2029" s="18" t="str">
        <f>IFERROR(__xludf.DUMMYFUNCTION("""COMPUTED_VALUE"""),"UPI")</f>
        <v>UPI</v>
      </c>
      <c r="I2029" s="18" t="str">
        <f>IFERROR(__xludf.DUMMYFUNCTION("""COMPUTED_VALUE"""),"Delivered")</f>
        <v>Delivered</v>
      </c>
      <c r="J2029" s="18" t="str">
        <f>IFERROR(__xludf.DUMMYFUNCTION("""COMPUTED_VALUE"""),"Convenience")</f>
        <v>Convenience</v>
      </c>
      <c r="K2029" s="18" t="str">
        <f>IFERROR(__xludf.DUMMYFUNCTION("""COMPUTED_VALUE"""),"Easy tracking")</f>
        <v>Easy tracking</v>
      </c>
      <c r="L2029" s="18">
        <f>iferror(VLOOKUP($D2029,Details!$A$2:$C$11,2,false),vlookup($D2029,Details!$E$2:$G$11,2,false))</f>
        <v>230</v>
      </c>
      <c r="M2029" s="18" t="str">
        <f>iferror(VLOOKUP($D2029,Details!$A$2:$C$11,3,false),vlookup($D2029,Details!$E$2:$G$11,3,false))</f>
        <v>Fruits and Vegetables</v>
      </c>
      <c r="N2029" s="18">
        <f t="shared" si="1"/>
        <v>690</v>
      </c>
      <c r="O2029" s="17"/>
      <c r="P2029" s="17"/>
      <c r="Q2029" s="17"/>
      <c r="R2029" s="17"/>
      <c r="S2029" s="17"/>
      <c r="T2029" s="17"/>
      <c r="U2029" s="17"/>
      <c r="V2029" s="17"/>
      <c r="W2029" s="17"/>
      <c r="X2029" s="17"/>
      <c r="Y2029" s="17"/>
      <c r="Z2029" s="17"/>
    </row>
    <row r="2030">
      <c r="A2030" s="18" t="str">
        <f>IFERROR(__xludf.DUMMYFUNCTION("""COMPUTED_VALUE"""),"ord_82006")</f>
        <v>ord_82006</v>
      </c>
      <c r="B2030" s="18" t="str">
        <f>IFERROR(__xludf.DUMMYFUNCTION("""COMPUTED_VALUE"""),"Sanjay Nair")</f>
        <v>Sanjay Nair</v>
      </c>
      <c r="C2030" s="18" t="str">
        <f>IFERROR(__xludf.DUMMYFUNCTION("""COMPUTED_VALUE"""),"Dadar")</f>
        <v>Dadar</v>
      </c>
      <c r="D2030" s="18" t="str">
        <f>IFERROR(__xludf.DUMMYFUNCTION("""COMPUTED_VALUE"""),"Tiramisu")</f>
        <v>Tiramisu</v>
      </c>
      <c r="E2030" s="18">
        <f>IFERROR(__xludf.DUMMYFUNCTION("""COMPUTED_VALUE"""),2.0)</f>
        <v>2</v>
      </c>
      <c r="F2030" s="18" t="str">
        <f>IFERROR(__xludf.DUMMYFUNCTION("""COMPUTED_VALUE"""),"Not Assigned")</f>
        <v>Not Assigned</v>
      </c>
      <c r="G2030" s="19">
        <f>IFERROR(__xludf.DUMMYFUNCTION("""COMPUTED_VALUE"""),44967.0)</f>
        <v>44967</v>
      </c>
      <c r="H2030" s="18" t="str">
        <f>IFERROR(__xludf.DUMMYFUNCTION("""COMPUTED_VALUE"""),"Online Payment")</f>
        <v>Online Payment</v>
      </c>
      <c r="I2030" s="18" t="str">
        <f>IFERROR(__xludf.DUMMYFUNCTION("""COMPUTED_VALUE"""),"Cancelled")</f>
        <v>Cancelled</v>
      </c>
      <c r="J2030" s="18" t="str">
        <f>IFERROR(__xludf.DUMMYFUNCTION("""COMPUTED_VALUE"""),"Payment Issues")</f>
        <v>Payment Issues</v>
      </c>
      <c r="K2030" s="18"/>
      <c r="L2030" s="18">
        <f>iferror(VLOOKUP($D2030,Details!$A$2:$C$11,2,false),vlookup($D2030,Details!$E$2:$G$11,2,false))</f>
        <v>150</v>
      </c>
      <c r="M2030" s="18" t="str">
        <f>iferror(VLOOKUP($D2030,Details!$A$2:$C$11,3,false),vlookup($D2030,Details!$E$2:$G$11,3,false))</f>
        <v>Snacks and Drinks</v>
      </c>
      <c r="N2030" s="18">
        <f t="shared" si="1"/>
        <v>300</v>
      </c>
      <c r="O2030" s="17"/>
      <c r="P2030" s="17"/>
      <c r="Q2030" s="17"/>
      <c r="R2030" s="17"/>
      <c r="S2030" s="17"/>
      <c r="T2030" s="17"/>
      <c r="U2030" s="17"/>
      <c r="V2030" s="17"/>
      <c r="W2030" s="17"/>
      <c r="X2030" s="17"/>
      <c r="Y2030" s="17"/>
      <c r="Z2030" s="17"/>
    </row>
    <row r="2031">
      <c r="A2031" s="18" t="str">
        <f>IFERROR(__xludf.DUMMYFUNCTION("""COMPUTED_VALUE"""),"ord_82007")</f>
        <v>ord_82007</v>
      </c>
      <c r="B2031" s="18" t="str">
        <f>IFERROR(__xludf.DUMMYFUNCTION("""COMPUTED_VALUE"""),"Ishita Banerjee")</f>
        <v>Ishita Banerjee</v>
      </c>
      <c r="C2031" s="18" t="str">
        <f>IFERROR(__xludf.DUMMYFUNCTION("""COMPUTED_VALUE"""),"Juhu")</f>
        <v>Juhu</v>
      </c>
      <c r="D2031" s="18" t="str">
        <f>IFERROR(__xludf.DUMMYFUNCTION("""COMPUTED_VALUE"""),"Veg Puff")</f>
        <v>Veg Puff</v>
      </c>
      <c r="E2031" s="18">
        <f>IFERROR(__xludf.DUMMYFUNCTION("""COMPUTED_VALUE"""),3.0)</f>
        <v>3</v>
      </c>
      <c r="F2031" s="18" t="str">
        <f>IFERROR(__xludf.DUMMYFUNCTION("""COMPUTED_VALUE"""),"Tanvi Jain")</f>
        <v>Tanvi Jain</v>
      </c>
      <c r="G2031" s="19">
        <f>IFERROR(__xludf.DUMMYFUNCTION("""COMPUTED_VALUE"""),45209.0)</f>
        <v>45209</v>
      </c>
      <c r="H2031" s="18" t="str">
        <f>IFERROR(__xludf.DUMMYFUNCTION("""COMPUTED_VALUE"""),"Credit Card")</f>
        <v>Credit Card</v>
      </c>
      <c r="I2031" s="18" t="str">
        <f>IFERROR(__xludf.DUMMYFUNCTION("""COMPUTED_VALUE"""),"Delivered")</f>
        <v>Delivered</v>
      </c>
      <c r="J2031" s="18" t="str">
        <f>IFERROR(__xludf.DUMMYFUNCTION("""COMPUTED_VALUE"""),"Overall Satisfaction")</f>
        <v>Overall Satisfaction</v>
      </c>
      <c r="K2031" s="18" t="str">
        <f>IFERROR(__xludf.DUMMYFUNCTION("""COMPUTED_VALUE"""),"Great service will order again")</f>
        <v>Great service will order again</v>
      </c>
      <c r="L2031" s="18">
        <f>iferror(VLOOKUP($D2031,Details!$A$2:$C$11,2,false),vlookup($D2031,Details!$E$2:$G$11,2,false))</f>
        <v>80</v>
      </c>
      <c r="M2031" s="18" t="str">
        <f>iferror(VLOOKUP($D2031,Details!$A$2:$C$11,3,false),vlookup($D2031,Details!$E$2:$G$11,3,false))</f>
        <v>Snacks and Drinks</v>
      </c>
      <c r="N2031" s="18">
        <f t="shared" si="1"/>
        <v>240</v>
      </c>
      <c r="O2031" s="17"/>
      <c r="P2031" s="17"/>
      <c r="Q2031" s="17"/>
      <c r="R2031" s="17"/>
      <c r="S2031" s="17"/>
      <c r="T2031" s="17"/>
      <c r="U2031" s="17"/>
      <c r="V2031" s="17"/>
      <c r="W2031" s="17"/>
      <c r="X2031" s="17"/>
      <c r="Y2031" s="17"/>
      <c r="Z2031" s="17"/>
    </row>
    <row r="2032">
      <c r="A2032" s="18" t="str">
        <f>IFERROR(__xludf.DUMMYFUNCTION("""COMPUTED_VALUE"""),"ord_82008")</f>
        <v>ord_82008</v>
      </c>
      <c r="B2032" s="18" t="str">
        <f>IFERROR(__xludf.DUMMYFUNCTION("""COMPUTED_VALUE"""),"Kritika Shetty")</f>
        <v>Kritika Shetty</v>
      </c>
      <c r="C2032" s="18" t="str">
        <f>IFERROR(__xludf.DUMMYFUNCTION("""COMPUTED_VALUE"""),"Malad")</f>
        <v>Malad</v>
      </c>
      <c r="D2032" s="18" t="str">
        <f>IFERROR(__xludf.DUMMYFUNCTION("""COMPUTED_VALUE"""),"Papaya")</f>
        <v>Papaya</v>
      </c>
      <c r="E2032" s="18">
        <f>IFERROR(__xludf.DUMMYFUNCTION("""COMPUTED_VALUE"""),2.0)</f>
        <v>2</v>
      </c>
      <c r="F2032" s="18" t="str">
        <f>IFERROR(__xludf.DUMMYFUNCTION("""COMPUTED_VALUE"""),"Neha Shah")</f>
        <v>Neha Shah</v>
      </c>
      <c r="G2032" s="19">
        <f>IFERROR(__xludf.DUMMYFUNCTION("""COMPUTED_VALUE"""),45268.0)</f>
        <v>45268</v>
      </c>
      <c r="H2032" s="18" t="str">
        <f>IFERROR(__xludf.DUMMYFUNCTION("""COMPUTED_VALUE"""),"UPI")</f>
        <v>UPI</v>
      </c>
      <c r="I2032" s="18" t="str">
        <f>IFERROR(__xludf.DUMMYFUNCTION("""COMPUTED_VALUE"""),"Delivered")</f>
        <v>Delivered</v>
      </c>
      <c r="J2032" s="18" t="str">
        <f>IFERROR(__xludf.DUMMYFUNCTION("""COMPUTED_VALUE"""),"On-time Delivery")</f>
        <v>On-time Delivery</v>
      </c>
      <c r="K2032" s="18" t="str">
        <f>IFERROR(__xludf.DUMMYFUNCTION("""COMPUTED_VALUE"""),"Delivered on time")</f>
        <v>Delivered on time</v>
      </c>
      <c r="L2032" s="18">
        <f>iferror(VLOOKUP($D2032,Details!$A$2:$C$11,2,false),vlookup($D2032,Details!$E$2:$G$11,2,false))</f>
        <v>75</v>
      </c>
      <c r="M2032" s="18" t="str">
        <f>iferror(VLOOKUP($D2032,Details!$A$2:$C$11,3,false),vlookup($D2032,Details!$E$2:$G$11,3,false))</f>
        <v>Fruits and Vegetables</v>
      </c>
      <c r="N2032" s="18">
        <f t="shared" si="1"/>
        <v>150</v>
      </c>
      <c r="O2032" s="17"/>
      <c r="P2032" s="17"/>
      <c r="Q2032" s="17"/>
      <c r="R2032" s="17"/>
      <c r="S2032" s="17"/>
      <c r="T2032" s="17"/>
      <c r="U2032" s="17"/>
      <c r="V2032" s="17"/>
      <c r="W2032" s="17"/>
      <c r="X2032" s="17"/>
      <c r="Y2032" s="17"/>
      <c r="Z2032" s="17"/>
    </row>
    <row r="2033">
      <c r="A2033" s="18" t="str">
        <f>IFERROR(__xludf.DUMMYFUNCTION("""COMPUTED_VALUE"""),"ord_82009")</f>
        <v>ord_82009</v>
      </c>
      <c r="B2033" s="18" t="str">
        <f>IFERROR(__xludf.DUMMYFUNCTION("""COMPUTED_VALUE"""),"Ishita Banerjee")</f>
        <v>Ishita Banerjee</v>
      </c>
      <c r="C2033" s="18" t="str">
        <f>IFERROR(__xludf.DUMMYFUNCTION("""COMPUTED_VALUE"""),"Juhu")</f>
        <v>Juhu</v>
      </c>
      <c r="D2033" s="18" t="str">
        <f>IFERROR(__xludf.DUMMYFUNCTION("""COMPUTED_VALUE"""),"Chicken Puff")</f>
        <v>Chicken Puff</v>
      </c>
      <c r="E2033" s="18">
        <f>IFERROR(__xludf.DUMMYFUNCTION("""COMPUTED_VALUE"""),4.0)</f>
        <v>4</v>
      </c>
      <c r="F2033" s="18" t="str">
        <f>IFERROR(__xludf.DUMMYFUNCTION("""COMPUTED_VALUE"""),"Tanvi Jain")</f>
        <v>Tanvi Jain</v>
      </c>
      <c r="G2033" s="19">
        <f>IFERROR(__xludf.DUMMYFUNCTION("""COMPUTED_VALUE"""),45222.0)</f>
        <v>45222</v>
      </c>
      <c r="H2033" s="18" t="str">
        <f>IFERROR(__xludf.DUMMYFUNCTION("""COMPUTED_VALUE"""),"COD")</f>
        <v>COD</v>
      </c>
      <c r="I2033" s="18" t="str">
        <f>IFERROR(__xludf.DUMMYFUNCTION("""COMPUTED_VALUE"""),"Delivered")</f>
        <v>Delivered</v>
      </c>
      <c r="J2033" s="18" t="str">
        <f>IFERROR(__xludf.DUMMYFUNCTION("""COMPUTED_VALUE"""),"Quality of Items")</f>
        <v>Quality of Items</v>
      </c>
      <c r="K2033" s="18" t="str">
        <f>IFERROR(__xludf.DUMMYFUNCTION("""COMPUTED_VALUE"""),"Perfect condition")</f>
        <v>Perfect condition</v>
      </c>
      <c r="L2033" s="18">
        <f>iferror(VLOOKUP($D2033,Details!$A$2:$C$11,2,false),vlookup($D2033,Details!$E$2:$G$11,2,false))</f>
        <v>90</v>
      </c>
      <c r="M2033" s="18" t="str">
        <f>iferror(VLOOKUP($D2033,Details!$A$2:$C$11,3,false),vlookup($D2033,Details!$E$2:$G$11,3,false))</f>
        <v>Snacks and Drinks</v>
      </c>
      <c r="N2033" s="18">
        <f t="shared" si="1"/>
        <v>360</v>
      </c>
      <c r="O2033" s="17"/>
      <c r="P2033" s="17"/>
      <c r="Q2033" s="17"/>
      <c r="R2033" s="17"/>
      <c r="S2033" s="17"/>
      <c r="T2033" s="17"/>
      <c r="U2033" s="17"/>
      <c r="V2033" s="17"/>
      <c r="W2033" s="17"/>
      <c r="X2033" s="17"/>
      <c r="Y2033" s="17"/>
      <c r="Z2033" s="17"/>
    </row>
    <row r="2034">
      <c r="A2034" s="18" t="str">
        <f>IFERROR(__xludf.DUMMYFUNCTION("""COMPUTED_VALUE"""),"ord_82010")</f>
        <v>ord_82010</v>
      </c>
      <c r="B2034" s="18" t="str">
        <f>IFERROR(__xludf.DUMMYFUNCTION("""COMPUTED_VALUE"""),"Aarohi Kapoor")</f>
        <v>Aarohi Kapoor</v>
      </c>
      <c r="C2034" s="18" t="str">
        <f>IFERROR(__xludf.DUMMYFUNCTION("""COMPUTED_VALUE"""),"Bandra")</f>
        <v>Bandra</v>
      </c>
      <c r="D2034" s="18" t="str">
        <f>IFERROR(__xludf.DUMMYFUNCTION("""COMPUTED_VALUE"""),"Cold Coffee")</f>
        <v>Cold Coffee</v>
      </c>
      <c r="E2034" s="18">
        <f>IFERROR(__xludf.DUMMYFUNCTION("""COMPUTED_VALUE"""),5.0)</f>
        <v>5</v>
      </c>
      <c r="F2034" s="18" t="str">
        <f>IFERROR(__xludf.DUMMYFUNCTION("""COMPUTED_VALUE"""),"Priya Joshi")</f>
        <v>Priya Joshi</v>
      </c>
      <c r="G2034" s="19">
        <f>IFERROR(__xludf.DUMMYFUNCTION("""COMPUTED_VALUE"""),45196.0)</f>
        <v>45196</v>
      </c>
      <c r="H2034" s="18" t="str">
        <f>IFERROR(__xludf.DUMMYFUNCTION("""COMPUTED_VALUE"""),"UPI")</f>
        <v>UPI</v>
      </c>
      <c r="I2034" s="18" t="str">
        <f>IFERROR(__xludf.DUMMYFUNCTION("""COMPUTED_VALUE"""),"Delivered")</f>
        <v>Delivered</v>
      </c>
      <c r="J2034" s="18" t="str">
        <f>IFERROR(__xludf.DUMMYFUNCTION("""COMPUTED_VALUE"""),"On-time Delivery")</f>
        <v>On-time Delivery</v>
      </c>
      <c r="K2034" s="18" t="str">
        <f>IFERROR(__xludf.DUMMYFUNCTION("""COMPUTED_VALUE"""),"Delivered on time")</f>
        <v>Delivered on time</v>
      </c>
      <c r="L2034" s="18">
        <f>iferror(VLOOKUP($D2034,Details!$A$2:$C$11,2,false),vlookup($D2034,Details!$E$2:$G$11,2,false))</f>
        <v>270</v>
      </c>
      <c r="M2034" s="18" t="str">
        <f>iferror(VLOOKUP($D2034,Details!$A$2:$C$11,3,false),vlookup($D2034,Details!$E$2:$G$11,3,false))</f>
        <v>Snacks and Drinks</v>
      </c>
      <c r="N2034" s="18">
        <f t="shared" si="1"/>
        <v>1350</v>
      </c>
      <c r="O2034" s="17"/>
      <c r="P2034" s="17"/>
      <c r="Q2034" s="17"/>
      <c r="R2034" s="17"/>
      <c r="S2034" s="17"/>
      <c r="T2034" s="17"/>
      <c r="U2034" s="17"/>
      <c r="V2034" s="17"/>
      <c r="W2034" s="17"/>
      <c r="X2034" s="17"/>
      <c r="Y2034" s="17"/>
      <c r="Z2034" s="17"/>
    </row>
    <row r="2035">
      <c r="A2035" s="18" t="str">
        <f>IFERROR(__xludf.DUMMYFUNCTION("""COMPUTED_VALUE"""),"ord_82011")</f>
        <v>ord_82011</v>
      </c>
      <c r="B2035" s="18" t="str">
        <f>IFERROR(__xludf.DUMMYFUNCTION("""COMPUTED_VALUE"""),"Simran Bhatt")</f>
        <v>Simran Bhatt</v>
      </c>
      <c r="C2035" s="18" t="str">
        <f>IFERROR(__xludf.DUMMYFUNCTION("""COMPUTED_VALUE"""),"Juhu")</f>
        <v>Juhu</v>
      </c>
      <c r="D2035" s="18" t="str">
        <f>IFERROR(__xludf.DUMMYFUNCTION("""COMPUTED_VALUE"""),"Chocolate Mousse")</f>
        <v>Chocolate Mousse</v>
      </c>
      <c r="E2035" s="18">
        <f>IFERROR(__xludf.DUMMYFUNCTION("""COMPUTED_VALUE"""),4.0)</f>
        <v>4</v>
      </c>
      <c r="F2035" s="18" t="str">
        <f>IFERROR(__xludf.DUMMYFUNCTION("""COMPUTED_VALUE"""),"Tanvi Jain")</f>
        <v>Tanvi Jain</v>
      </c>
      <c r="G2035" s="19">
        <f>IFERROR(__xludf.DUMMYFUNCTION("""COMPUTED_VALUE"""),45201.0)</f>
        <v>45201</v>
      </c>
      <c r="H2035" s="18" t="str">
        <f>IFERROR(__xludf.DUMMYFUNCTION("""COMPUTED_VALUE"""),"COD")</f>
        <v>COD</v>
      </c>
      <c r="I2035" s="18" t="str">
        <f>IFERROR(__xludf.DUMMYFUNCTION("""COMPUTED_VALUE"""),"Delivered")</f>
        <v>Delivered</v>
      </c>
      <c r="J2035" s="18" t="str">
        <f>IFERROR(__xludf.DUMMYFUNCTION("""COMPUTED_VALUE"""),"Quality of Items")</f>
        <v>Quality of Items</v>
      </c>
      <c r="K2035" s="18" t="str">
        <f>IFERROR(__xludf.DUMMYFUNCTION("""COMPUTED_VALUE"""),"Perfect condition")</f>
        <v>Perfect condition</v>
      </c>
      <c r="L2035" s="18">
        <f>iferror(VLOOKUP($D2035,Details!$A$2:$C$11,2,false),vlookup($D2035,Details!$E$2:$G$11,2,false))</f>
        <v>145</v>
      </c>
      <c r="M2035" s="18" t="str">
        <f>iferror(VLOOKUP($D2035,Details!$A$2:$C$11,3,false),vlookup($D2035,Details!$E$2:$G$11,3,false))</f>
        <v>Snacks and Drinks</v>
      </c>
      <c r="N2035" s="18">
        <f t="shared" si="1"/>
        <v>580</v>
      </c>
      <c r="O2035" s="17"/>
      <c r="P2035" s="17"/>
      <c r="Q2035" s="17"/>
      <c r="R2035" s="17"/>
      <c r="S2035" s="17"/>
      <c r="T2035" s="17"/>
      <c r="U2035" s="17"/>
      <c r="V2035" s="17"/>
      <c r="W2035" s="17"/>
      <c r="X2035" s="17"/>
      <c r="Y2035" s="17"/>
      <c r="Z2035" s="17"/>
    </row>
    <row r="2036">
      <c r="A2036" s="18" t="str">
        <f>IFERROR(__xludf.DUMMYFUNCTION("""COMPUTED_VALUE"""),"ord_82012")</f>
        <v>ord_82012</v>
      </c>
      <c r="B2036" s="18" t="str">
        <f>IFERROR(__xludf.DUMMYFUNCTION("""COMPUTED_VALUE"""),"Ritika Dutta")</f>
        <v>Ritika Dutta</v>
      </c>
      <c r="C2036" s="18" t="str">
        <f>IFERROR(__xludf.DUMMYFUNCTION("""COMPUTED_VALUE"""),"Lower Parel")</f>
        <v>Lower Parel</v>
      </c>
      <c r="D2036" s="18" t="str">
        <f>IFERROR(__xludf.DUMMYFUNCTION("""COMPUTED_VALUE"""),"Sweet Corn")</f>
        <v>Sweet Corn</v>
      </c>
      <c r="E2036" s="18">
        <f>IFERROR(__xludf.DUMMYFUNCTION("""COMPUTED_VALUE"""),3.0)</f>
        <v>3</v>
      </c>
      <c r="F2036" s="18" t="str">
        <f>IFERROR(__xludf.DUMMYFUNCTION("""COMPUTED_VALUE"""),"Kiran Mehta")</f>
        <v>Kiran Mehta</v>
      </c>
      <c r="G2036" s="19">
        <f>IFERROR(__xludf.DUMMYFUNCTION("""COMPUTED_VALUE"""),44941.0)</f>
        <v>44941</v>
      </c>
      <c r="H2036" s="18" t="str">
        <f>IFERROR(__xludf.DUMMYFUNCTION("""COMPUTED_VALUE"""),"UPI")</f>
        <v>UPI</v>
      </c>
      <c r="I2036" s="18" t="str">
        <f>IFERROR(__xludf.DUMMYFUNCTION("""COMPUTED_VALUE"""),"Delivered")</f>
        <v>Delivered</v>
      </c>
      <c r="J2036" s="18" t="str">
        <f>IFERROR(__xludf.DUMMYFUNCTION("""COMPUTED_VALUE"""),"Packaging")</f>
        <v>Packaging</v>
      </c>
      <c r="K2036" s="18" t="str">
        <f>IFERROR(__xludf.DUMMYFUNCTION("""COMPUTED_VALUE"""),"Secure and intact")</f>
        <v>Secure and intact</v>
      </c>
      <c r="L2036" s="18">
        <f>iferror(VLOOKUP($D2036,Details!$A$2:$C$11,2,false),vlookup($D2036,Details!$E$2:$G$11,2,false))</f>
        <v>60</v>
      </c>
      <c r="M2036" s="18" t="str">
        <f>iferror(VLOOKUP($D2036,Details!$A$2:$C$11,3,false),vlookup($D2036,Details!$E$2:$G$11,3,false))</f>
        <v>Fruits and Vegetables</v>
      </c>
      <c r="N2036" s="18">
        <f t="shared" si="1"/>
        <v>180</v>
      </c>
      <c r="O2036" s="17"/>
      <c r="P2036" s="17"/>
      <c r="Q2036" s="17"/>
      <c r="R2036" s="17"/>
      <c r="S2036" s="17"/>
      <c r="T2036" s="17"/>
      <c r="U2036" s="17"/>
      <c r="V2036" s="17"/>
      <c r="W2036" s="17"/>
      <c r="X2036" s="17"/>
      <c r="Y2036" s="17"/>
      <c r="Z2036" s="17"/>
    </row>
    <row r="2037">
      <c r="A2037" s="18" t="str">
        <f>IFERROR(__xludf.DUMMYFUNCTION("""COMPUTED_VALUE"""),"ord_82013")</f>
        <v>ord_82013</v>
      </c>
      <c r="B2037" s="18" t="str">
        <f>IFERROR(__xludf.DUMMYFUNCTION("""COMPUTED_VALUE"""),"Pranav Joshi")</f>
        <v>Pranav Joshi</v>
      </c>
      <c r="C2037" s="18" t="str">
        <f>IFERROR(__xludf.DUMMYFUNCTION("""COMPUTED_VALUE"""),"Andheri")</f>
        <v>Andheri</v>
      </c>
      <c r="D2037" s="18" t="str">
        <f>IFERROR(__xludf.DUMMYFUNCTION("""COMPUTED_VALUE"""),"Rasmalai")</f>
        <v>Rasmalai</v>
      </c>
      <c r="E2037" s="18">
        <f>IFERROR(__xludf.DUMMYFUNCTION("""COMPUTED_VALUE"""),2.0)</f>
        <v>2</v>
      </c>
      <c r="F2037" s="18" t="str">
        <f>IFERROR(__xludf.DUMMYFUNCTION("""COMPUTED_VALUE"""),"Rohan Yadav")</f>
        <v>Rohan Yadav</v>
      </c>
      <c r="G2037" s="19">
        <f>IFERROR(__xludf.DUMMYFUNCTION("""COMPUTED_VALUE"""),45024.0)</f>
        <v>45024</v>
      </c>
      <c r="H2037" s="18" t="str">
        <f>IFERROR(__xludf.DUMMYFUNCTION("""COMPUTED_VALUE"""),"Credit Card")</f>
        <v>Credit Card</v>
      </c>
      <c r="I2037" s="18" t="str">
        <f>IFERROR(__xludf.DUMMYFUNCTION("""COMPUTED_VALUE"""),"Delivered")</f>
        <v>Delivered</v>
      </c>
      <c r="J2037" s="18" t="str">
        <f>IFERROR(__xludf.DUMMYFUNCTION("""COMPUTED_VALUE"""),"Satisfied with the Delivery")</f>
        <v>Satisfied with the Delivery</v>
      </c>
      <c r="K2037" s="18" t="str">
        <f>IFERROR(__xludf.DUMMYFUNCTION("""COMPUTED_VALUE"""),"Timely and quality")</f>
        <v>Timely and quality</v>
      </c>
      <c r="L2037" s="18">
        <f>iferror(VLOOKUP($D2037,Details!$A$2:$C$11,2,false),vlookup($D2037,Details!$E$2:$G$11,2,false))</f>
        <v>110</v>
      </c>
      <c r="M2037" s="18" t="str">
        <f>iferror(VLOOKUP($D2037,Details!$A$2:$C$11,3,false),vlookup($D2037,Details!$E$2:$G$11,3,false))</f>
        <v>Snacks and Drinks</v>
      </c>
      <c r="N2037" s="18">
        <f t="shared" si="1"/>
        <v>220</v>
      </c>
      <c r="O2037" s="17"/>
      <c r="P2037" s="17"/>
      <c r="Q2037" s="17"/>
      <c r="R2037" s="17"/>
      <c r="S2037" s="17"/>
      <c r="T2037" s="17"/>
      <c r="U2037" s="17"/>
      <c r="V2037" s="17"/>
      <c r="W2037" s="17"/>
      <c r="X2037" s="17"/>
      <c r="Y2037" s="17"/>
      <c r="Z2037" s="17"/>
    </row>
    <row r="2038">
      <c r="A2038" s="18" t="str">
        <f>IFERROR(__xludf.DUMMYFUNCTION("""COMPUTED_VALUE"""),"ord_82014")</f>
        <v>ord_82014</v>
      </c>
      <c r="B2038" s="18" t="str">
        <f>IFERROR(__xludf.DUMMYFUNCTION("""COMPUTED_VALUE"""),"Pranav Joshi")</f>
        <v>Pranav Joshi</v>
      </c>
      <c r="C2038" s="18" t="str">
        <f>IFERROR(__xludf.DUMMYFUNCTION("""COMPUTED_VALUE"""),"Andheri")</f>
        <v>Andheri</v>
      </c>
      <c r="D2038" s="18" t="str">
        <f>IFERROR(__xludf.DUMMYFUNCTION("""COMPUTED_VALUE"""),"Sweet Corn")</f>
        <v>Sweet Corn</v>
      </c>
      <c r="E2038" s="18">
        <f>IFERROR(__xludf.DUMMYFUNCTION("""COMPUTED_VALUE"""),1.0)</f>
        <v>1</v>
      </c>
      <c r="F2038" s="18" t="str">
        <f>IFERROR(__xludf.DUMMYFUNCTION("""COMPUTED_VALUE"""),"Sandeep Kumar")</f>
        <v>Sandeep Kumar</v>
      </c>
      <c r="G2038" s="19">
        <f>IFERROR(__xludf.DUMMYFUNCTION("""COMPUTED_VALUE"""),44949.0)</f>
        <v>44949</v>
      </c>
      <c r="H2038" s="18" t="str">
        <f>IFERROR(__xludf.DUMMYFUNCTION("""COMPUTED_VALUE"""),"Credit Card")</f>
        <v>Credit Card</v>
      </c>
      <c r="I2038" s="18" t="str">
        <f>IFERROR(__xludf.DUMMYFUNCTION("""COMPUTED_VALUE"""),"Cancelled")</f>
        <v>Cancelled</v>
      </c>
      <c r="J2038" s="18" t="str">
        <f>IFERROR(__xludf.DUMMYFUNCTION("""COMPUTED_VALUE"""),"Delayed Delivery")</f>
        <v>Delayed Delivery</v>
      </c>
      <c r="K2038" s="18" t="str">
        <f>IFERROR(__xludf.DUMMYFUNCTION("""COMPUTED_VALUE"""),"Bad Weather Conditions")</f>
        <v>Bad Weather Conditions</v>
      </c>
      <c r="L2038" s="18">
        <f>iferror(VLOOKUP($D2038,Details!$A$2:$C$11,2,false),vlookup($D2038,Details!$E$2:$G$11,2,false))</f>
        <v>60</v>
      </c>
      <c r="M2038" s="18" t="str">
        <f>iferror(VLOOKUP($D2038,Details!$A$2:$C$11,3,false),vlookup($D2038,Details!$E$2:$G$11,3,false))</f>
        <v>Fruits and Vegetables</v>
      </c>
      <c r="N2038" s="18">
        <f t="shared" si="1"/>
        <v>60</v>
      </c>
      <c r="O2038" s="17"/>
      <c r="P2038" s="17"/>
      <c r="Q2038" s="17"/>
      <c r="R2038" s="17"/>
      <c r="S2038" s="17"/>
      <c r="T2038" s="17"/>
      <c r="U2038" s="17"/>
      <c r="V2038" s="17"/>
      <c r="W2038" s="17"/>
      <c r="X2038" s="17"/>
      <c r="Y2038" s="17"/>
      <c r="Z2038" s="17"/>
    </row>
    <row r="2039">
      <c r="A2039" s="18" t="str">
        <f>IFERROR(__xludf.DUMMYFUNCTION("""COMPUTED_VALUE"""),"ord_82015")</f>
        <v>ord_82015</v>
      </c>
      <c r="B2039" s="18" t="str">
        <f>IFERROR(__xludf.DUMMYFUNCTION("""COMPUTED_VALUE"""),"Parth Goel")</f>
        <v>Parth Goel</v>
      </c>
      <c r="C2039" s="18" t="str">
        <f>IFERROR(__xludf.DUMMYFUNCTION("""COMPUTED_VALUE"""),"Juhu")</f>
        <v>Juhu</v>
      </c>
      <c r="D2039" s="18" t="str">
        <f>IFERROR(__xludf.DUMMYFUNCTION("""COMPUTED_VALUE"""),"Chilli Cheese Toast")</f>
        <v>Chilli Cheese Toast</v>
      </c>
      <c r="E2039" s="18">
        <f>IFERROR(__xludf.DUMMYFUNCTION("""COMPUTED_VALUE"""),2.0)</f>
        <v>2</v>
      </c>
      <c r="F2039" s="18" t="str">
        <f>IFERROR(__xludf.DUMMYFUNCTION("""COMPUTED_VALUE"""),"Tanvi Jain")</f>
        <v>Tanvi Jain</v>
      </c>
      <c r="G2039" s="19">
        <f>IFERROR(__xludf.DUMMYFUNCTION("""COMPUTED_VALUE"""),45063.0)</f>
        <v>45063</v>
      </c>
      <c r="H2039" s="18" t="str">
        <f>IFERROR(__xludf.DUMMYFUNCTION("""COMPUTED_VALUE"""),"UPI")</f>
        <v>UPI</v>
      </c>
      <c r="I2039" s="18" t="str">
        <f>IFERROR(__xludf.DUMMYFUNCTION("""COMPUTED_VALUE"""),"Delivered")</f>
        <v>Delivered</v>
      </c>
      <c r="J2039" s="18" t="str">
        <f>IFERROR(__xludf.DUMMYFUNCTION("""COMPUTED_VALUE"""),"Customer Service")</f>
        <v>Customer Service</v>
      </c>
      <c r="K2039" s="18" t="str">
        <f>IFERROR(__xludf.DUMMYFUNCTION("""COMPUTED_VALUE"""),"Seamless and easy")</f>
        <v>Seamless and easy</v>
      </c>
      <c r="L2039" s="18">
        <f>iferror(VLOOKUP($D2039,Details!$A$2:$C$11,2,false),vlookup($D2039,Details!$E$2:$G$11,2,false))</f>
        <v>80</v>
      </c>
      <c r="M2039" s="18" t="str">
        <f>iferror(VLOOKUP($D2039,Details!$A$2:$C$11,3,false),vlookup($D2039,Details!$E$2:$G$11,3,false))</f>
        <v>Snacks and Drinks</v>
      </c>
      <c r="N2039" s="18">
        <f t="shared" si="1"/>
        <v>160</v>
      </c>
      <c r="O2039" s="17"/>
      <c r="P2039" s="17"/>
      <c r="Q2039" s="17"/>
      <c r="R2039" s="17"/>
      <c r="S2039" s="17"/>
      <c r="T2039" s="17"/>
      <c r="U2039" s="17"/>
      <c r="V2039" s="17"/>
      <c r="W2039" s="17"/>
      <c r="X2039" s="17"/>
      <c r="Y2039" s="17"/>
      <c r="Z2039" s="17"/>
    </row>
    <row r="2040">
      <c r="A2040" s="18" t="str">
        <f>IFERROR(__xludf.DUMMYFUNCTION("""COMPUTED_VALUE"""),"ord_82016")</f>
        <v>ord_82016</v>
      </c>
      <c r="B2040" s="18" t="str">
        <f>IFERROR(__xludf.DUMMYFUNCTION("""COMPUTED_VALUE"""),"Pallavi Ghosh")</f>
        <v>Pallavi Ghosh</v>
      </c>
      <c r="C2040" s="18" t="str">
        <f>IFERROR(__xludf.DUMMYFUNCTION("""COMPUTED_VALUE"""),"Bandra")</f>
        <v>Bandra</v>
      </c>
      <c r="D2040" s="18" t="str">
        <f>IFERROR(__xludf.DUMMYFUNCTION("""COMPUTED_VALUE"""),"Papaya")</f>
        <v>Papaya</v>
      </c>
      <c r="E2040" s="18">
        <f>IFERROR(__xludf.DUMMYFUNCTION("""COMPUTED_VALUE"""),2.0)</f>
        <v>2</v>
      </c>
      <c r="F2040" s="18" t="str">
        <f>IFERROR(__xludf.DUMMYFUNCTION("""COMPUTED_VALUE"""),"Priya Joshi")</f>
        <v>Priya Joshi</v>
      </c>
      <c r="G2040" s="19">
        <f>IFERROR(__xludf.DUMMYFUNCTION("""COMPUTED_VALUE"""),45101.0)</f>
        <v>45101</v>
      </c>
      <c r="H2040" s="18" t="str">
        <f>IFERROR(__xludf.DUMMYFUNCTION("""COMPUTED_VALUE"""),"COD")</f>
        <v>COD</v>
      </c>
      <c r="I2040" s="18" t="str">
        <f>IFERROR(__xludf.DUMMYFUNCTION("""COMPUTED_VALUE"""),"Delivered")</f>
        <v>Delivered</v>
      </c>
      <c r="J2040" s="18" t="str">
        <f>IFERROR(__xludf.DUMMYFUNCTION("""COMPUTED_VALUE"""),"Delivery Experience")</f>
        <v>Delivery Experience</v>
      </c>
      <c r="K2040" s="18" t="str">
        <f>IFERROR(__xludf.DUMMYFUNCTION("""COMPUTED_VALUE"""),"Quick and professional")</f>
        <v>Quick and professional</v>
      </c>
      <c r="L2040" s="18">
        <f>iferror(VLOOKUP($D2040,Details!$A$2:$C$11,2,false),vlookup($D2040,Details!$E$2:$G$11,2,false))</f>
        <v>75</v>
      </c>
      <c r="M2040" s="18" t="str">
        <f>iferror(VLOOKUP($D2040,Details!$A$2:$C$11,3,false),vlookup($D2040,Details!$E$2:$G$11,3,false))</f>
        <v>Fruits and Vegetables</v>
      </c>
      <c r="N2040" s="18">
        <f t="shared" si="1"/>
        <v>150</v>
      </c>
      <c r="O2040" s="17"/>
      <c r="P2040" s="17"/>
      <c r="Q2040" s="17"/>
      <c r="R2040" s="17"/>
      <c r="S2040" s="17"/>
      <c r="T2040" s="17"/>
      <c r="U2040" s="17"/>
      <c r="V2040" s="17"/>
      <c r="W2040" s="17"/>
      <c r="X2040" s="17"/>
      <c r="Y2040" s="17"/>
      <c r="Z2040" s="17"/>
    </row>
    <row r="2041">
      <c r="A2041" s="18" t="str">
        <f>IFERROR(__xludf.DUMMYFUNCTION("""COMPUTED_VALUE"""),"ord_82017")</f>
        <v>ord_82017</v>
      </c>
      <c r="B2041" s="18" t="str">
        <f>IFERROR(__xludf.DUMMYFUNCTION("""COMPUTED_VALUE"""),"Aditi Iyer")</f>
        <v>Aditi Iyer</v>
      </c>
      <c r="C2041" s="18" t="str">
        <f>IFERROR(__xludf.DUMMYFUNCTION("""COMPUTED_VALUE"""),"Dadar")</f>
        <v>Dadar</v>
      </c>
      <c r="D2041" s="18" t="str">
        <f>IFERROR(__xludf.DUMMYFUNCTION("""COMPUTED_VALUE"""),"Potato")</f>
        <v>Potato</v>
      </c>
      <c r="E2041" s="18">
        <f>IFERROR(__xludf.DUMMYFUNCTION("""COMPUTED_VALUE"""),1.0)</f>
        <v>1</v>
      </c>
      <c r="F2041" s="18" t="str">
        <f>IFERROR(__xludf.DUMMYFUNCTION("""COMPUTED_VALUE"""),"Not Assigned")</f>
        <v>Not Assigned</v>
      </c>
      <c r="G2041" s="19">
        <f>IFERROR(__xludf.DUMMYFUNCTION("""COMPUTED_VALUE"""),45001.0)</f>
        <v>45001</v>
      </c>
      <c r="H2041" s="18" t="str">
        <f>IFERROR(__xludf.DUMMYFUNCTION("""COMPUTED_VALUE"""),"UPI")</f>
        <v>UPI</v>
      </c>
      <c r="I2041" s="18" t="str">
        <f>IFERROR(__xludf.DUMMYFUNCTION("""COMPUTED_VALUE"""),"Cancelled")</f>
        <v>Cancelled</v>
      </c>
      <c r="J2041" s="18" t="str">
        <f>IFERROR(__xludf.DUMMYFUNCTION("""COMPUTED_VALUE"""),"Payment Issues")</f>
        <v>Payment Issues</v>
      </c>
      <c r="K2041" s="18"/>
      <c r="L2041" s="18">
        <f>iferror(VLOOKUP($D2041,Details!$A$2:$C$11,2,false),vlookup($D2041,Details!$E$2:$G$11,2,false))</f>
        <v>55</v>
      </c>
      <c r="M2041" s="18" t="str">
        <f>iferror(VLOOKUP($D2041,Details!$A$2:$C$11,3,false),vlookup($D2041,Details!$E$2:$G$11,3,false))</f>
        <v>Fruits and Vegetables</v>
      </c>
      <c r="N2041" s="18">
        <f t="shared" si="1"/>
        <v>55</v>
      </c>
      <c r="O2041" s="17"/>
      <c r="P2041" s="17"/>
      <c r="Q2041" s="17"/>
      <c r="R2041" s="17"/>
      <c r="S2041" s="17"/>
      <c r="T2041" s="17"/>
      <c r="U2041" s="17"/>
      <c r="V2041" s="17"/>
      <c r="W2041" s="17"/>
      <c r="X2041" s="17"/>
      <c r="Y2041" s="17"/>
      <c r="Z2041" s="17"/>
    </row>
    <row r="2042">
      <c r="A2042" s="18" t="str">
        <f>IFERROR(__xludf.DUMMYFUNCTION("""COMPUTED_VALUE"""),"ord_82018")</f>
        <v>ord_82018</v>
      </c>
      <c r="B2042" s="18" t="str">
        <f>IFERROR(__xludf.DUMMYFUNCTION("""COMPUTED_VALUE"""),"Sakshi Tandon")</f>
        <v>Sakshi Tandon</v>
      </c>
      <c r="C2042" s="18" t="str">
        <f>IFERROR(__xludf.DUMMYFUNCTION("""COMPUTED_VALUE"""),"Colaba")</f>
        <v>Colaba</v>
      </c>
      <c r="D2042" s="18" t="str">
        <f>IFERROR(__xludf.DUMMYFUNCTION("""COMPUTED_VALUE"""),"Juice")</f>
        <v>Juice</v>
      </c>
      <c r="E2042" s="18">
        <f>IFERROR(__xludf.DUMMYFUNCTION("""COMPUTED_VALUE"""),1.0)</f>
        <v>1</v>
      </c>
      <c r="F2042" s="18" t="str">
        <f>IFERROR(__xludf.DUMMYFUNCTION("""COMPUTED_VALUE"""),"Manju Ajay")</f>
        <v>Manju Ajay</v>
      </c>
      <c r="G2042" s="19">
        <f>IFERROR(__xludf.DUMMYFUNCTION("""COMPUTED_VALUE"""),45212.0)</f>
        <v>45212</v>
      </c>
      <c r="H2042" s="18" t="str">
        <f>IFERROR(__xludf.DUMMYFUNCTION("""COMPUTED_VALUE"""),"Credit Card")</f>
        <v>Credit Card</v>
      </c>
      <c r="I2042" s="18" t="str">
        <f>IFERROR(__xludf.DUMMYFUNCTION("""COMPUTED_VALUE"""),"Cancelled")</f>
        <v>Cancelled</v>
      </c>
      <c r="J2042" s="18" t="str">
        <f>IFERROR(__xludf.DUMMYFUNCTION("""COMPUTED_VALUE"""),"Delayed Delivery")</f>
        <v>Delayed Delivery</v>
      </c>
      <c r="K2042" s="18" t="str">
        <f>IFERROR(__xludf.DUMMYFUNCTION("""COMPUTED_VALUE"""),"Incorrect Address or Location")</f>
        <v>Incorrect Address or Location</v>
      </c>
      <c r="L2042" s="18">
        <f>iferror(VLOOKUP($D2042,Details!$A$2:$C$11,2,false),vlookup($D2042,Details!$E$2:$G$11,2,false))</f>
        <v>90</v>
      </c>
      <c r="M2042" s="18" t="str">
        <f>iferror(VLOOKUP($D2042,Details!$A$2:$C$11,3,false),vlookup($D2042,Details!$E$2:$G$11,3,false))</f>
        <v>Snacks and Drinks</v>
      </c>
      <c r="N2042" s="18">
        <f t="shared" si="1"/>
        <v>90</v>
      </c>
      <c r="O2042" s="17"/>
      <c r="P2042" s="17"/>
      <c r="Q2042" s="17"/>
      <c r="R2042" s="17"/>
      <c r="S2042" s="17"/>
      <c r="T2042" s="17"/>
      <c r="U2042" s="17"/>
      <c r="V2042" s="17"/>
      <c r="W2042" s="17"/>
      <c r="X2042" s="17"/>
      <c r="Y2042" s="17"/>
      <c r="Z2042" s="17"/>
    </row>
    <row r="2043">
      <c r="A2043" s="18" t="str">
        <f>IFERROR(__xludf.DUMMYFUNCTION("""COMPUTED_VALUE"""),"ord_82019")</f>
        <v>ord_82019</v>
      </c>
      <c r="B2043" s="18" t="str">
        <f>IFERROR(__xludf.DUMMYFUNCTION("""COMPUTED_VALUE"""),"Omkar Mishra")</f>
        <v>Omkar Mishra</v>
      </c>
      <c r="C2043" s="18" t="str">
        <f>IFERROR(__xludf.DUMMYFUNCTION("""COMPUTED_VALUE"""),"Powai")</f>
        <v>Powai</v>
      </c>
      <c r="D2043" s="18" t="str">
        <f>IFERROR(__xludf.DUMMYFUNCTION("""COMPUTED_VALUE"""),"Cold Coffee")</f>
        <v>Cold Coffee</v>
      </c>
      <c r="E2043" s="18">
        <f>IFERROR(__xludf.DUMMYFUNCTION("""COMPUTED_VALUE"""),5.0)</f>
        <v>5</v>
      </c>
      <c r="F2043" s="18" t="str">
        <f>IFERROR(__xludf.DUMMYFUNCTION("""COMPUTED_VALUE"""),"Nithin Lal")</f>
        <v>Nithin Lal</v>
      </c>
      <c r="G2043" s="19">
        <f>IFERROR(__xludf.DUMMYFUNCTION("""COMPUTED_VALUE"""),44959.0)</f>
        <v>44959</v>
      </c>
      <c r="H2043" s="18" t="str">
        <f>IFERROR(__xludf.DUMMYFUNCTION("""COMPUTED_VALUE"""),"Credit Card")</f>
        <v>Credit Card</v>
      </c>
      <c r="I2043" s="18" t="str">
        <f>IFERROR(__xludf.DUMMYFUNCTION("""COMPUTED_VALUE"""),"Delivered")</f>
        <v>Delivered</v>
      </c>
      <c r="J2043" s="18" t="str">
        <f>IFERROR(__xludf.DUMMYFUNCTION("""COMPUTED_VALUE"""),"Convenience")</f>
        <v>Convenience</v>
      </c>
      <c r="K2043" s="18" t="str">
        <f>IFERROR(__xludf.DUMMYFUNCTION("""COMPUTED_VALUE"""),"Easy tracking")</f>
        <v>Easy tracking</v>
      </c>
      <c r="L2043" s="18">
        <f>iferror(VLOOKUP($D2043,Details!$A$2:$C$11,2,false),vlookup($D2043,Details!$E$2:$G$11,2,false))</f>
        <v>270</v>
      </c>
      <c r="M2043" s="18" t="str">
        <f>iferror(VLOOKUP($D2043,Details!$A$2:$C$11,3,false),vlookup($D2043,Details!$E$2:$G$11,3,false))</f>
        <v>Snacks and Drinks</v>
      </c>
      <c r="N2043" s="18">
        <f t="shared" si="1"/>
        <v>1350</v>
      </c>
      <c r="O2043" s="17"/>
      <c r="P2043" s="17"/>
      <c r="Q2043" s="17"/>
      <c r="R2043" s="17"/>
      <c r="S2043" s="17"/>
      <c r="T2043" s="17"/>
      <c r="U2043" s="17"/>
      <c r="V2043" s="17"/>
      <c r="W2043" s="17"/>
      <c r="X2043" s="17"/>
      <c r="Y2043" s="17"/>
      <c r="Z2043" s="17"/>
    </row>
    <row r="2044">
      <c r="A2044" s="18" t="str">
        <f>IFERROR(__xludf.DUMMYFUNCTION("""COMPUTED_VALUE"""),"ord_82020")</f>
        <v>ord_82020</v>
      </c>
      <c r="B2044" s="18" t="str">
        <f>IFERROR(__xludf.DUMMYFUNCTION("""COMPUTED_VALUE"""),"Arvind Kulkarni")</f>
        <v>Arvind Kulkarni</v>
      </c>
      <c r="C2044" s="18" t="str">
        <f>IFERROR(__xludf.DUMMYFUNCTION("""COMPUTED_VALUE"""),"Juhu")</f>
        <v>Juhu</v>
      </c>
      <c r="D2044" s="18" t="str">
        <f>IFERROR(__xludf.DUMMYFUNCTION("""COMPUTED_VALUE"""),"Icecream")</f>
        <v>Icecream</v>
      </c>
      <c r="E2044" s="18">
        <f>IFERROR(__xludf.DUMMYFUNCTION("""COMPUTED_VALUE"""),3.0)</f>
        <v>3</v>
      </c>
      <c r="F2044" s="18" t="str">
        <f>IFERROR(__xludf.DUMMYFUNCTION("""COMPUTED_VALUE"""),"Venu R")</f>
        <v>Venu R</v>
      </c>
      <c r="G2044" s="19">
        <f>IFERROR(__xludf.DUMMYFUNCTION("""COMPUTED_VALUE"""),45192.0)</f>
        <v>45192</v>
      </c>
      <c r="H2044" s="18" t="str">
        <f>IFERROR(__xludf.DUMMYFUNCTION("""COMPUTED_VALUE"""),"COD")</f>
        <v>COD</v>
      </c>
      <c r="I2044" s="18" t="str">
        <f>IFERROR(__xludf.DUMMYFUNCTION("""COMPUTED_VALUE"""),"Delivered")</f>
        <v>Delivered</v>
      </c>
      <c r="J2044" s="18" t="str">
        <f>IFERROR(__xludf.DUMMYFUNCTION("""COMPUTED_VALUE"""),"Overall Satisfaction")</f>
        <v>Overall Satisfaction</v>
      </c>
      <c r="K2044" s="18" t="str">
        <f>IFERROR(__xludf.DUMMYFUNCTION("""COMPUTED_VALUE"""),"Great service will order again")</f>
        <v>Great service will order again</v>
      </c>
      <c r="L2044" s="18">
        <f>iferror(VLOOKUP($D2044,Details!$A$2:$C$11,2,false),vlookup($D2044,Details!$E$2:$G$11,2,false))</f>
        <v>90</v>
      </c>
      <c r="M2044" s="18" t="str">
        <f>iferror(VLOOKUP($D2044,Details!$A$2:$C$11,3,false),vlookup($D2044,Details!$E$2:$G$11,3,false))</f>
        <v>Snacks and Drinks</v>
      </c>
      <c r="N2044" s="18">
        <f t="shared" si="1"/>
        <v>270</v>
      </c>
      <c r="O2044" s="17"/>
      <c r="P2044" s="17"/>
      <c r="Q2044" s="17"/>
      <c r="R2044" s="17"/>
      <c r="S2044" s="17"/>
      <c r="T2044" s="17"/>
      <c r="U2044" s="17"/>
      <c r="V2044" s="17"/>
      <c r="W2044" s="17"/>
      <c r="X2044" s="17"/>
      <c r="Y2044" s="17"/>
      <c r="Z2044" s="17"/>
    </row>
    <row r="2045">
      <c r="A2045" s="18" t="str">
        <f>IFERROR(__xludf.DUMMYFUNCTION("""COMPUTED_VALUE"""),"ord_82021")</f>
        <v>ord_82021</v>
      </c>
      <c r="B2045" s="18" t="str">
        <f>IFERROR(__xludf.DUMMYFUNCTION("""COMPUTED_VALUE"""),"Pallavi Ghosh")</f>
        <v>Pallavi Ghosh</v>
      </c>
      <c r="C2045" s="18" t="str">
        <f>IFERROR(__xludf.DUMMYFUNCTION("""COMPUTED_VALUE"""),"Bandra")</f>
        <v>Bandra</v>
      </c>
      <c r="D2045" s="18" t="str">
        <f>IFERROR(__xludf.DUMMYFUNCTION("""COMPUTED_VALUE"""),"Chilli Cheese Toast")</f>
        <v>Chilli Cheese Toast</v>
      </c>
      <c r="E2045" s="18">
        <f>IFERROR(__xludf.DUMMYFUNCTION("""COMPUTED_VALUE"""),4.0)</f>
        <v>4</v>
      </c>
      <c r="F2045" s="18" t="str">
        <f>IFERROR(__xludf.DUMMYFUNCTION("""COMPUTED_VALUE"""),"Tanvi Jain")</f>
        <v>Tanvi Jain</v>
      </c>
      <c r="G2045" s="19">
        <f>IFERROR(__xludf.DUMMYFUNCTION("""COMPUTED_VALUE"""),45089.0)</f>
        <v>45089</v>
      </c>
      <c r="H2045" s="18" t="str">
        <f>IFERROR(__xludf.DUMMYFUNCTION("""COMPUTED_VALUE"""),"Credit Card")</f>
        <v>Credit Card</v>
      </c>
      <c r="I2045" s="18" t="str">
        <f>IFERROR(__xludf.DUMMYFUNCTION("""COMPUTED_VALUE"""),"Cancelled")</f>
        <v>Cancelled</v>
      </c>
      <c r="J2045" s="18" t="str">
        <f>IFERROR(__xludf.DUMMYFUNCTION("""COMPUTED_VALUE"""),"Delayed Delivery")</f>
        <v>Delayed Delivery</v>
      </c>
      <c r="K2045" s="18" t="str">
        <f>IFERROR(__xludf.DUMMYFUNCTION("""COMPUTED_VALUE"""),"Bad Weather Conditions")</f>
        <v>Bad Weather Conditions</v>
      </c>
      <c r="L2045" s="18">
        <f>iferror(VLOOKUP($D2045,Details!$A$2:$C$11,2,false),vlookup($D2045,Details!$E$2:$G$11,2,false))</f>
        <v>80</v>
      </c>
      <c r="M2045" s="18" t="str">
        <f>iferror(VLOOKUP($D2045,Details!$A$2:$C$11,3,false),vlookup($D2045,Details!$E$2:$G$11,3,false))</f>
        <v>Snacks and Drinks</v>
      </c>
      <c r="N2045" s="18">
        <f t="shared" si="1"/>
        <v>320</v>
      </c>
      <c r="O2045" s="17"/>
      <c r="P2045" s="17"/>
      <c r="Q2045" s="17"/>
      <c r="R2045" s="17"/>
      <c r="S2045" s="17"/>
      <c r="T2045" s="17"/>
      <c r="U2045" s="17"/>
      <c r="V2045" s="17"/>
      <c r="W2045" s="17"/>
      <c r="X2045" s="17"/>
      <c r="Y2045" s="17"/>
      <c r="Z2045" s="17"/>
    </row>
    <row r="2046">
      <c r="A2046" s="18" t="str">
        <f>IFERROR(__xludf.DUMMYFUNCTION("""COMPUTED_VALUE"""),"ord_82022")</f>
        <v>ord_82022</v>
      </c>
      <c r="B2046" s="18" t="str">
        <f>IFERROR(__xludf.DUMMYFUNCTION("""COMPUTED_VALUE"""),"Siya Reddy")</f>
        <v>Siya Reddy</v>
      </c>
      <c r="C2046" s="18" t="str">
        <f>IFERROR(__xludf.DUMMYFUNCTION("""COMPUTED_VALUE"""),"Juhu")</f>
        <v>Juhu</v>
      </c>
      <c r="D2046" s="18" t="str">
        <f>IFERROR(__xludf.DUMMYFUNCTION("""COMPUTED_VALUE"""),"Guava")</f>
        <v>Guava</v>
      </c>
      <c r="E2046" s="18">
        <f>IFERROR(__xludf.DUMMYFUNCTION("""COMPUTED_VALUE"""),2.0)</f>
        <v>2</v>
      </c>
      <c r="F2046" s="18" t="str">
        <f>IFERROR(__xludf.DUMMYFUNCTION("""COMPUTED_VALUE"""),"Vivek Kumar")</f>
        <v>Vivek Kumar</v>
      </c>
      <c r="G2046" s="19">
        <f>IFERROR(__xludf.DUMMYFUNCTION("""COMPUTED_VALUE"""),44938.0)</f>
        <v>44938</v>
      </c>
      <c r="H2046" s="18" t="str">
        <f>IFERROR(__xludf.DUMMYFUNCTION("""COMPUTED_VALUE"""),"Credit Card")</f>
        <v>Credit Card</v>
      </c>
      <c r="I2046" s="18" t="str">
        <f>IFERROR(__xludf.DUMMYFUNCTION("""COMPUTED_VALUE"""),"Delivered")</f>
        <v>Delivered</v>
      </c>
      <c r="J2046" s="18" t="str">
        <f>IFERROR(__xludf.DUMMYFUNCTION("""COMPUTED_VALUE"""),"On-time Delivery")</f>
        <v>On-time Delivery</v>
      </c>
      <c r="K2046" s="18" t="str">
        <f>IFERROR(__xludf.DUMMYFUNCTION("""COMPUTED_VALUE"""),"Delivered on time")</f>
        <v>Delivered on time</v>
      </c>
      <c r="L2046" s="18">
        <f>iferror(VLOOKUP($D2046,Details!$A$2:$C$11,2,false),vlookup($D2046,Details!$E$2:$G$11,2,false))</f>
        <v>70</v>
      </c>
      <c r="M2046" s="18" t="str">
        <f>iferror(VLOOKUP($D2046,Details!$A$2:$C$11,3,false),vlookup($D2046,Details!$E$2:$G$11,3,false))</f>
        <v>Fruits and Vegetables</v>
      </c>
      <c r="N2046" s="18">
        <f t="shared" si="1"/>
        <v>140</v>
      </c>
      <c r="O2046" s="17"/>
      <c r="P2046" s="17"/>
      <c r="Q2046" s="17"/>
      <c r="R2046" s="17"/>
      <c r="S2046" s="17"/>
      <c r="T2046" s="17"/>
      <c r="U2046" s="17"/>
      <c r="V2046" s="17"/>
      <c r="W2046" s="17"/>
      <c r="X2046" s="17"/>
      <c r="Y2046" s="17"/>
      <c r="Z2046" s="17"/>
    </row>
    <row r="2047">
      <c r="A2047" s="18" t="str">
        <f>IFERROR(__xludf.DUMMYFUNCTION("""COMPUTED_VALUE"""),"ord_82023")</f>
        <v>ord_82023</v>
      </c>
      <c r="B2047" s="18" t="str">
        <f>IFERROR(__xludf.DUMMYFUNCTION("""COMPUTED_VALUE"""),"Ishaan Chaturvedi")</f>
        <v>Ishaan Chaturvedi</v>
      </c>
      <c r="C2047" s="18" t="str">
        <f>IFERROR(__xludf.DUMMYFUNCTION("""COMPUTED_VALUE"""),"Bandra")</f>
        <v>Bandra</v>
      </c>
      <c r="D2047" s="18" t="str">
        <f>IFERROR(__xludf.DUMMYFUNCTION("""COMPUTED_VALUE"""),"Chocolate Mousse")</f>
        <v>Chocolate Mousse</v>
      </c>
      <c r="E2047" s="18">
        <f>IFERROR(__xludf.DUMMYFUNCTION("""COMPUTED_VALUE"""),2.0)</f>
        <v>2</v>
      </c>
      <c r="F2047" s="18" t="str">
        <f>IFERROR(__xludf.DUMMYFUNCTION("""COMPUTED_VALUE"""),"Ramesh S")</f>
        <v>Ramesh S</v>
      </c>
      <c r="G2047" s="19">
        <f>IFERROR(__xludf.DUMMYFUNCTION("""COMPUTED_VALUE"""),45266.0)</f>
        <v>45266</v>
      </c>
      <c r="H2047" s="18" t="str">
        <f>IFERROR(__xludf.DUMMYFUNCTION("""COMPUTED_VALUE"""),"UPI")</f>
        <v>UPI</v>
      </c>
      <c r="I2047" s="18" t="str">
        <f>IFERROR(__xludf.DUMMYFUNCTION("""COMPUTED_VALUE"""),"Delivered")</f>
        <v>Delivered</v>
      </c>
      <c r="J2047" s="18" t="str">
        <f>IFERROR(__xludf.DUMMYFUNCTION("""COMPUTED_VALUE"""),"Quality of Items")</f>
        <v>Quality of Items</v>
      </c>
      <c r="K2047" s="18" t="str">
        <f>IFERROR(__xludf.DUMMYFUNCTION("""COMPUTED_VALUE"""),"Perfect condition")</f>
        <v>Perfect condition</v>
      </c>
      <c r="L2047" s="18">
        <f>iferror(VLOOKUP($D2047,Details!$A$2:$C$11,2,false),vlookup($D2047,Details!$E$2:$G$11,2,false))</f>
        <v>145</v>
      </c>
      <c r="M2047" s="18" t="str">
        <f>iferror(VLOOKUP($D2047,Details!$A$2:$C$11,3,false),vlookup($D2047,Details!$E$2:$G$11,3,false))</f>
        <v>Snacks and Drinks</v>
      </c>
      <c r="N2047" s="18">
        <f t="shared" si="1"/>
        <v>290</v>
      </c>
      <c r="O2047" s="17"/>
      <c r="P2047" s="17"/>
      <c r="Q2047" s="17"/>
      <c r="R2047" s="17"/>
      <c r="S2047" s="17"/>
      <c r="T2047" s="17"/>
      <c r="U2047" s="17"/>
      <c r="V2047" s="17"/>
      <c r="W2047" s="17"/>
      <c r="X2047" s="17"/>
      <c r="Y2047" s="17"/>
      <c r="Z2047" s="17"/>
    </row>
    <row r="2048">
      <c r="A2048" s="18" t="str">
        <f>IFERROR(__xludf.DUMMYFUNCTION("""COMPUTED_VALUE"""),"ord_82024")</f>
        <v>ord_82024</v>
      </c>
      <c r="B2048" s="18" t="str">
        <f>IFERROR(__xludf.DUMMYFUNCTION("""COMPUTED_VALUE"""),"Siya Reddy")</f>
        <v>Siya Reddy</v>
      </c>
      <c r="C2048" s="18" t="str">
        <f>IFERROR(__xludf.DUMMYFUNCTION("""COMPUTED_VALUE"""),"Juhu")</f>
        <v>Juhu</v>
      </c>
      <c r="D2048" s="18" t="str">
        <f>IFERROR(__xludf.DUMMYFUNCTION("""COMPUTED_VALUE"""),"Guava")</f>
        <v>Guava</v>
      </c>
      <c r="E2048" s="18">
        <f>IFERROR(__xludf.DUMMYFUNCTION("""COMPUTED_VALUE"""),1.0)</f>
        <v>1</v>
      </c>
      <c r="F2048" s="18" t="str">
        <f>IFERROR(__xludf.DUMMYFUNCTION("""COMPUTED_VALUE"""),"Vivek Kumar")</f>
        <v>Vivek Kumar</v>
      </c>
      <c r="G2048" s="19">
        <f>IFERROR(__xludf.DUMMYFUNCTION("""COMPUTED_VALUE"""),45218.0)</f>
        <v>45218</v>
      </c>
      <c r="H2048" s="18" t="str">
        <f>IFERROR(__xludf.DUMMYFUNCTION("""COMPUTED_VALUE"""),"Online Payment")</f>
        <v>Online Payment</v>
      </c>
      <c r="I2048" s="18" t="str">
        <f>IFERROR(__xludf.DUMMYFUNCTION("""COMPUTED_VALUE"""),"Delivered")</f>
        <v>Delivered</v>
      </c>
      <c r="J2048" s="18" t="str">
        <f>IFERROR(__xludf.DUMMYFUNCTION("""COMPUTED_VALUE"""),"On-time Delivery")</f>
        <v>On-time Delivery</v>
      </c>
      <c r="K2048" s="18" t="str">
        <f>IFERROR(__xludf.DUMMYFUNCTION("""COMPUTED_VALUE"""),"Delivered on time")</f>
        <v>Delivered on time</v>
      </c>
      <c r="L2048" s="18">
        <f>iferror(VLOOKUP($D2048,Details!$A$2:$C$11,2,false),vlookup($D2048,Details!$E$2:$G$11,2,false))</f>
        <v>70</v>
      </c>
      <c r="M2048" s="18" t="str">
        <f>iferror(VLOOKUP($D2048,Details!$A$2:$C$11,3,false),vlookup($D2048,Details!$E$2:$G$11,3,false))</f>
        <v>Fruits and Vegetables</v>
      </c>
      <c r="N2048" s="18">
        <f t="shared" si="1"/>
        <v>70</v>
      </c>
      <c r="O2048" s="17"/>
      <c r="P2048" s="17"/>
      <c r="Q2048" s="17"/>
      <c r="R2048" s="17"/>
      <c r="S2048" s="17"/>
      <c r="T2048" s="17"/>
      <c r="U2048" s="17"/>
      <c r="V2048" s="17"/>
      <c r="W2048" s="17"/>
      <c r="X2048" s="17"/>
      <c r="Y2048" s="17"/>
      <c r="Z2048" s="17"/>
    </row>
    <row r="2049">
      <c r="A2049" s="18" t="str">
        <f>IFERROR(__xludf.DUMMYFUNCTION("""COMPUTED_VALUE"""),"ord_82025")</f>
        <v>ord_82025</v>
      </c>
      <c r="B2049" s="18" t="str">
        <f>IFERROR(__xludf.DUMMYFUNCTION("""COMPUTED_VALUE"""),"Nitin Sehgal")</f>
        <v>Nitin Sehgal</v>
      </c>
      <c r="C2049" s="18" t="str">
        <f>IFERROR(__xludf.DUMMYFUNCTION("""COMPUTED_VALUE"""),"Bandra")</f>
        <v>Bandra</v>
      </c>
      <c r="D2049" s="18" t="str">
        <f>IFERROR(__xludf.DUMMYFUNCTION("""COMPUTED_VALUE"""),"Chicken Puff")</f>
        <v>Chicken Puff</v>
      </c>
      <c r="E2049" s="18">
        <f>IFERROR(__xludf.DUMMYFUNCTION("""COMPUTED_VALUE"""),4.0)</f>
        <v>4</v>
      </c>
      <c r="F2049" s="18" t="str">
        <f>IFERROR(__xludf.DUMMYFUNCTION("""COMPUTED_VALUE"""),"Not Assigned")</f>
        <v>Not Assigned</v>
      </c>
      <c r="G2049" s="19">
        <f>IFERROR(__xludf.DUMMYFUNCTION("""COMPUTED_VALUE"""),45118.0)</f>
        <v>45118</v>
      </c>
      <c r="H2049" s="18" t="str">
        <f>IFERROR(__xludf.DUMMYFUNCTION("""COMPUTED_VALUE"""),"UPI")</f>
        <v>UPI</v>
      </c>
      <c r="I2049" s="18" t="str">
        <f>IFERROR(__xludf.DUMMYFUNCTION("""COMPUTED_VALUE"""),"Cancelled")</f>
        <v>Cancelled</v>
      </c>
      <c r="J2049" s="18" t="str">
        <f>IFERROR(__xludf.DUMMYFUNCTION("""COMPUTED_VALUE"""),"Out of Stock")</f>
        <v>Out of Stock</v>
      </c>
      <c r="K2049" s="18"/>
      <c r="L2049" s="18">
        <f>iferror(VLOOKUP($D2049,Details!$A$2:$C$11,2,false),vlookup($D2049,Details!$E$2:$G$11,2,false))</f>
        <v>90</v>
      </c>
      <c r="M2049" s="18" t="str">
        <f>iferror(VLOOKUP($D2049,Details!$A$2:$C$11,3,false),vlookup($D2049,Details!$E$2:$G$11,3,false))</f>
        <v>Snacks and Drinks</v>
      </c>
      <c r="N2049" s="18">
        <f t="shared" si="1"/>
        <v>360</v>
      </c>
      <c r="O2049" s="17"/>
      <c r="P2049" s="17"/>
      <c r="Q2049" s="17"/>
      <c r="R2049" s="17"/>
      <c r="S2049" s="17"/>
      <c r="T2049" s="17"/>
      <c r="U2049" s="17"/>
      <c r="V2049" s="17"/>
      <c r="W2049" s="17"/>
      <c r="X2049" s="17"/>
      <c r="Y2049" s="17"/>
      <c r="Z2049" s="17"/>
    </row>
    <row r="2050">
      <c r="A2050" s="18" t="str">
        <f>IFERROR(__xludf.DUMMYFUNCTION("""COMPUTED_VALUE"""),"ord_82026")</f>
        <v>ord_82026</v>
      </c>
      <c r="B2050" s="18" t="str">
        <f>IFERROR(__xludf.DUMMYFUNCTION("""COMPUTED_VALUE"""),"Ishita Banerjee")</f>
        <v>Ishita Banerjee</v>
      </c>
      <c r="C2050" s="18" t="str">
        <f>IFERROR(__xludf.DUMMYFUNCTION("""COMPUTED_VALUE"""),"Juhu")</f>
        <v>Juhu</v>
      </c>
      <c r="D2050" s="18" t="str">
        <f>IFERROR(__xludf.DUMMYFUNCTION("""COMPUTED_VALUE"""),"Tiramisu")</f>
        <v>Tiramisu</v>
      </c>
      <c r="E2050" s="18">
        <f>IFERROR(__xludf.DUMMYFUNCTION("""COMPUTED_VALUE"""),4.0)</f>
        <v>4</v>
      </c>
      <c r="F2050" s="18" t="str">
        <f>IFERROR(__xludf.DUMMYFUNCTION("""COMPUTED_VALUE"""),"Vivek Kumar")</f>
        <v>Vivek Kumar</v>
      </c>
      <c r="G2050" s="19">
        <f>IFERROR(__xludf.DUMMYFUNCTION("""COMPUTED_VALUE"""),45148.0)</f>
        <v>45148</v>
      </c>
      <c r="H2050" s="18" t="str">
        <f>IFERROR(__xludf.DUMMYFUNCTION("""COMPUTED_VALUE"""),"Credit Card")</f>
        <v>Credit Card</v>
      </c>
      <c r="I2050" s="18" t="str">
        <f>IFERROR(__xludf.DUMMYFUNCTION("""COMPUTED_VALUE"""),"Delivered")</f>
        <v>Delivered</v>
      </c>
      <c r="J2050" s="18" t="str">
        <f>IFERROR(__xludf.DUMMYFUNCTION("""COMPUTED_VALUE"""),"Quality of Items")</f>
        <v>Quality of Items</v>
      </c>
      <c r="K2050" s="18" t="str">
        <f>IFERROR(__xludf.DUMMYFUNCTION("""COMPUTED_VALUE"""),"Perfect condition")</f>
        <v>Perfect condition</v>
      </c>
      <c r="L2050" s="18">
        <f>iferror(VLOOKUP($D2050,Details!$A$2:$C$11,2,false),vlookup($D2050,Details!$E$2:$G$11,2,false))</f>
        <v>150</v>
      </c>
      <c r="M2050" s="18" t="str">
        <f>iferror(VLOOKUP($D2050,Details!$A$2:$C$11,3,false),vlookup($D2050,Details!$E$2:$G$11,3,false))</f>
        <v>Snacks and Drinks</v>
      </c>
      <c r="N2050" s="18">
        <f t="shared" si="1"/>
        <v>600</v>
      </c>
      <c r="O2050" s="17"/>
      <c r="P2050" s="17"/>
      <c r="Q2050" s="17"/>
      <c r="R2050" s="17"/>
      <c r="S2050" s="17"/>
      <c r="T2050" s="17"/>
      <c r="U2050" s="17"/>
      <c r="V2050" s="17"/>
      <c r="W2050" s="17"/>
      <c r="X2050" s="17"/>
      <c r="Y2050" s="17"/>
      <c r="Z2050" s="17"/>
    </row>
    <row r="2051">
      <c r="A2051" s="18" t="str">
        <f>IFERROR(__xludf.DUMMYFUNCTION("""COMPUTED_VALUE"""),"ord_82027")</f>
        <v>ord_82027</v>
      </c>
      <c r="B2051" s="18" t="str">
        <f>IFERROR(__xludf.DUMMYFUNCTION("""COMPUTED_VALUE"""),"Anaya Rao")</f>
        <v>Anaya Rao</v>
      </c>
      <c r="C2051" s="18" t="str">
        <f>IFERROR(__xludf.DUMMYFUNCTION("""COMPUTED_VALUE"""),"Colaba")</f>
        <v>Colaba</v>
      </c>
      <c r="D2051" s="18" t="str">
        <f>IFERROR(__xludf.DUMMYFUNCTION("""COMPUTED_VALUE"""),"Cold Coffee")</f>
        <v>Cold Coffee</v>
      </c>
      <c r="E2051" s="18">
        <f>IFERROR(__xludf.DUMMYFUNCTION("""COMPUTED_VALUE"""),4.0)</f>
        <v>4</v>
      </c>
      <c r="F2051" s="18" t="str">
        <f>IFERROR(__xludf.DUMMYFUNCTION("""COMPUTED_VALUE"""),"Not Assigned")</f>
        <v>Not Assigned</v>
      </c>
      <c r="G2051" s="19">
        <f>IFERROR(__xludf.DUMMYFUNCTION("""COMPUTED_VALUE"""),44991.0)</f>
        <v>44991</v>
      </c>
      <c r="H2051" s="18" t="str">
        <f>IFERROR(__xludf.DUMMYFUNCTION("""COMPUTED_VALUE"""),"UPI")</f>
        <v>UPI</v>
      </c>
      <c r="I2051" s="18" t="str">
        <f>IFERROR(__xludf.DUMMYFUNCTION("""COMPUTED_VALUE"""),"Cancelled")</f>
        <v>Cancelled</v>
      </c>
      <c r="J2051" s="18" t="str">
        <f>IFERROR(__xludf.DUMMYFUNCTION("""COMPUTED_VALUE"""),"App Glitches")</f>
        <v>App Glitches</v>
      </c>
      <c r="K2051" s="18" t="str">
        <f>IFERROR(__xludf.DUMMYFUNCTION("""COMPUTED_VALUE"""),"Payment Button Malfunction")</f>
        <v>Payment Button Malfunction</v>
      </c>
      <c r="L2051" s="18">
        <f>iferror(VLOOKUP($D2051,Details!$A$2:$C$11,2,false),vlookup($D2051,Details!$E$2:$G$11,2,false))</f>
        <v>270</v>
      </c>
      <c r="M2051" s="18" t="str">
        <f>iferror(VLOOKUP($D2051,Details!$A$2:$C$11,3,false),vlookup($D2051,Details!$E$2:$G$11,3,false))</f>
        <v>Snacks and Drinks</v>
      </c>
      <c r="N2051" s="18">
        <f t="shared" si="1"/>
        <v>1080</v>
      </c>
      <c r="O2051" s="17"/>
      <c r="P2051" s="17"/>
      <c r="Q2051" s="17"/>
      <c r="R2051" s="17"/>
      <c r="S2051" s="17"/>
      <c r="T2051" s="17"/>
      <c r="U2051" s="17"/>
      <c r="V2051" s="17"/>
      <c r="W2051" s="17"/>
      <c r="X2051" s="17"/>
      <c r="Y2051" s="17"/>
      <c r="Z2051" s="17"/>
    </row>
    <row r="2052">
      <c r="A2052" s="18" t="str">
        <f>IFERROR(__xludf.DUMMYFUNCTION("""COMPUTED_VALUE"""),"ord_82028")</f>
        <v>ord_82028</v>
      </c>
      <c r="B2052" s="18" t="str">
        <f>IFERROR(__xludf.DUMMYFUNCTION("""COMPUTED_VALUE"""),"Kritika Shetty")</f>
        <v>Kritika Shetty</v>
      </c>
      <c r="C2052" s="18" t="str">
        <f>IFERROR(__xludf.DUMMYFUNCTION("""COMPUTED_VALUE"""),"Malad")</f>
        <v>Malad</v>
      </c>
      <c r="D2052" s="18" t="str">
        <f>IFERROR(__xludf.DUMMYFUNCTION("""COMPUTED_VALUE"""),"Juice")</f>
        <v>Juice</v>
      </c>
      <c r="E2052" s="18">
        <f>IFERROR(__xludf.DUMMYFUNCTION("""COMPUTED_VALUE"""),2.0)</f>
        <v>2</v>
      </c>
      <c r="F2052" s="18" t="str">
        <f>IFERROR(__xludf.DUMMYFUNCTION("""COMPUTED_VALUE"""),"Nithin Lal")</f>
        <v>Nithin Lal</v>
      </c>
      <c r="G2052" s="19">
        <f>IFERROR(__xludf.DUMMYFUNCTION("""COMPUTED_VALUE"""),45035.0)</f>
        <v>45035</v>
      </c>
      <c r="H2052" s="18" t="str">
        <f>IFERROR(__xludf.DUMMYFUNCTION("""COMPUTED_VALUE"""),"Credit Card")</f>
        <v>Credit Card</v>
      </c>
      <c r="I2052" s="18" t="str">
        <f>IFERROR(__xludf.DUMMYFUNCTION("""COMPUTED_VALUE"""),"Delivered")</f>
        <v>Delivered</v>
      </c>
      <c r="J2052" s="18" t="str">
        <f>IFERROR(__xludf.DUMMYFUNCTION("""COMPUTED_VALUE"""),"Packaging")</f>
        <v>Packaging</v>
      </c>
      <c r="K2052" s="18" t="str">
        <f>IFERROR(__xludf.DUMMYFUNCTION("""COMPUTED_VALUE"""),"Secure and intact")</f>
        <v>Secure and intact</v>
      </c>
      <c r="L2052" s="18">
        <f>iferror(VLOOKUP($D2052,Details!$A$2:$C$11,2,false),vlookup($D2052,Details!$E$2:$G$11,2,false))</f>
        <v>90</v>
      </c>
      <c r="M2052" s="18" t="str">
        <f>iferror(VLOOKUP($D2052,Details!$A$2:$C$11,3,false),vlookup($D2052,Details!$E$2:$G$11,3,false))</f>
        <v>Snacks and Drinks</v>
      </c>
      <c r="N2052" s="18">
        <f t="shared" si="1"/>
        <v>180</v>
      </c>
      <c r="O2052" s="17"/>
      <c r="P2052" s="17"/>
      <c r="Q2052" s="17"/>
      <c r="R2052" s="17"/>
      <c r="S2052" s="17"/>
      <c r="T2052" s="17"/>
      <c r="U2052" s="17"/>
      <c r="V2052" s="17"/>
      <c r="W2052" s="17"/>
      <c r="X2052" s="17"/>
      <c r="Y2052" s="17"/>
      <c r="Z2052" s="17"/>
    </row>
    <row r="2053">
      <c r="A2053" s="18" t="str">
        <f>IFERROR(__xludf.DUMMYFUNCTION("""COMPUTED_VALUE"""),"ord_82029")</f>
        <v>ord_82029</v>
      </c>
      <c r="B2053" s="18" t="str">
        <f>IFERROR(__xludf.DUMMYFUNCTION("""COMPUTED_VALUE"""),"Ishita Banerjee")</f>
        <v>Ishita Banerjee</v>
      </c>
      <c r="C2053" s="18" t="str">
        <f>IFERROR(__xludf.DUMMYFUNCTION("""COMPUTED_VALUE"""),"Juhu")</f>
        <v>Juhu</v>
      </c>
      <c r="D2053" s="18" t="str">
        <f>IFERROR(__xludf.DUMMYFUNCTION("""COMPUTED_VALUE"""),"Cucumber")</f>
        <v>Cucumber</v>
      </c>
      <c r="E2053" s="18">
        <f>IFERROR(__xludf.DUMMYFUNCTION("""COMPUTED_VALUE"""),2.0)</f>
        <v>2</v>
      </c>
      <c r="F2053" s="18" t="str">
        <f>IFERROR(__xludf.DUMMYFUNCTION("""COMPUTED_VALUE"""),"Shine Thomas")</f>
        <v>Shine Thomas</v>
      </c>
      <c r="G2053" s="19">
        <f>IFERROR(__xludf.DUMMYFUNCTION("""COMPUTED_VALUE"""),45173.0)</f>
        <v>45173</v>
      </c>
      <c r="H2053" s="18" t="str">
        <f>IFERROR(__xludf.DUMMYFUNCTION("""COMPUTED_VALUE"""),"Online Payment")</f>
        <v>Online Payment</v>
      </c>
      <c r="I2053" s="18" t="str">
        <f>IFERROR(__xludf.DUMMYFUNCTION("""COMPUTED_VALUE"""),"Delivered")</f>
        <v>Delivered</v>
      </c>
      <c r="J2053" s="18" t="str">
        <f>IFERROR(__xludf.DUMMYFUNCTION("""COMPUTED_VALUE"""),"Satisfied with the Delivery")</f>
        <v>Satisfied with the Delivery</v>
      </c>
      <c r="K2053" s="18" t="str">
        <f>IFERROR(__xludf.DUMMYFUNCTION("""COMPUTED_VALUE"""),"Timely and quality")</f>
        <v>Timely and quality</v>
      </c>
      <c r="L2053" s="18">
        <f>iferror(VLOOKUP($D2053,Details!$A$2:$C$11,2,false),vlookup($D2053,Details!$E$2:$G$11,2,false))</f>
        <v>30</v>
      </c>
      <c r="M2053" s="18" t="str">
        <f>iferror(VLOOKUP($D2053,Details!$A$2:$C$11,3,false),vlookup($D2053,Details!$E$2:$G$11,3,false))</f>
        <v>Fruits and Vegetables</v>
      </c>
      <c r="N2053" s="18">
        <f t="shared" si="1"/>
        <v>60</v>
      </c>
      <c r="O2053" s="17"/>
      <c r="P2053" s="17"/>
      <c r="Q2053" s="17"/>
      <c r="R2053" s="17"/>
      <c r="S2053" s="17"/>
      <c r="T2053" s="17"/>
      <c r="U2053" s="17"/>
      <c r="V2053" s="17"/>
      <c r="W2053" s="17"/>
      <c r="X2053" s="17"/>
      <c r="Y2053" s="17"/>
      <c r="Z2053" s="17"/>
    </row>
    <row r="2054">
      <c r="A2054" s="18" t="str">
        <f>IFERROR(__xludf.DUMMYFUNCTION("""COMPUTED_VALUE"""),"ord_82030")</f>
        <v>ord_82030</v>
      </c>
      <c r="B2054" s="18" t="str">
        <f>IFERROR(__xludf.DUMMYFUNCTION("""COMPUTED_VALUE"""),"Mehul Thakkar")</f>
        <v>Mehul Thakkar</v>
      </c>
      <c r="C2054" s="18" t="str">
        <f>IFERROR(__xludf.DUMMYFUNCTION("""COMPUTED_VALUE"""),"Malad")</f>
        <v>Malad</v>
      </c>
      <c r="D2054" s="18" t="str">
        <f>IFERROR(__xludf.DUMMYFUNCTION("""COMPUTED_VALUE"""),"Veg Puff")</f>
        <v>Veg Puff</v>
      </c>
      <c r="E2054" s="18">
        <f>IFERROR(__xludf.DUMMYFUNCTION("""COMPUTED_VALUE"""),1.0)</f>
        <v>1</v>
      </c>
      <c r="F2054" s="18" t="str">
        <f>IFERROR(__xludf.DUMMYFUNCTION("""COMPUTED_VALUE"""),"Not Assigned")</f>
        <v>Not Assigned</v>
      </c>
      <c r="G2054" s="19">
        <f>IFERROR(__xludf.DUMMYFUNCTION("""COMPUTED_VALUE"""),44993.0)</f>
        <v>44993</v>
      </c>
      <c r="H2054" s="18" t="str">
        <f>IFERROR(__xludf.DUMMYFUNCTION("""COMPUTED_VALUE"""),"UPI")</f>
        <v>UPI</v>
      </c>
      <c r="I2054" s="18" t="str">
        <f>IFERROR(__xludf.DUMMYFUNCTION("""COMPUTED_VALUE"""),"Cancelled")</f>
        <v>Cancelled</v>
      </c>
      <c r="J2054" s="18" t="str">
        <f>IFERROR(__xludf.DUMMYFUNCTION("""COMPUTED_VALUE"""),"App Glitches")</f>
        <v>App Glitches</v>
      </c>
      <c r="K2054" s="18" t="str">
        <f>IFERROR(__xludf.DUMMYFUNCTION("""COMPUTED_VALUE"""),"Payment Button Malfunction")</f>
        <v>Payment Button Malfunction</v>
      </c>
      <c r="L2054" s="18">
        <f>iferror(VLOOKUP($D2054,Details!$A$2:$C$11,2,false),vlookup($D2054,Details!$E$2:$G$11,2,false))</f>
        <v>80</v>
      </c>
      <c r="M2054" s="18" t="str">
        <f>iferror(VLOOKUP($D2054,Details!$A$2:$C$11,3,false),vlookup($D2054,Details!$E$2:$G$11,3,false))</f>
        <v>Snacks and Drinks</v>
      </c>
      <c r="N2054" s="18">
        <f t="shared" si="1"/>
        <v>80</v>
      </c>
      <c r="O2054" s="17"/>
      <c r="P2054" s="17"/>
      <c r="Q2054" s="17"/>
      <c r="R2054" s="17"/>
      <c r="S2054" s="17"/>
      <c r="T2054" s="17"/>
      <c r="U2054" s="17"/>
      <c r="V2054" s="17"/>
      <c r="W2054" s="17"/>
      <c r="X2054" s="17"/>
      <c r="Y2054" s="17"/>
      <c r="Z2054" s="17"/>
    </row>
    <row r="2055">
      <c r="A2055" s="18" t="str">
        <f>IFERROR(__xludf.DUMMYFUNCTION("""COMPUTED_VALUE"""),"ord_82031")</f>
        <v>ord_82031</v>
      </c>
      <c r="B2055" s="18" t="str">
        <f>IFERROR(__xludf.DUMMYFUNCTION("""COMPUTED_VALUE"""),"Aarav Mehta")</f>
        <v>Aarav Mehta</v>
      </c>
      <c r="C2055" s="18" t="str">
        <f>IFERROR(__xludf.DUMMYFUNCTION("""COMPUTED_VALUE"""),"Andheri")</f>
        <v>Andheri</v>
      </c>
      <c r="D2055" s="18" t="str">
        <f>IFERROR(__xludf.DUMMYFUNCTION("""COMPUTED_VALUE"""),"Onion")</f>
        <v>Onion</v>
      </c>
      <c r="E2055" s="18">
        <f>IFERROR(__xludf.DUMMYFUNCTION("""COMPUTED_VALUE"""),2.0)</f>
        <v>2</v>
      </c>
      <c r="F2055" s="18" t="str">
        <f>IFERROR(__xludf.DUMMYFUNCTION("""COMPUTED_VALUE"""),"Not Assigned")</f>
        <v>Not Assigned</v>
      </c>
      <c r="G2055" s="19">
        <f>IFERROR(__xludf.DUMMYFUNCTION("""COMPUTED_VALUE"""),45020.0)</f>
        <v>45020</v>
      </c>
      <c r="H2055" s="18" t="str">
        <f>IFERROR(__xludf.DUMMYFUNCTION("""COMPUTED_VALUE"""),"Credit Card")</f>
        <v>Credit Card</v>
      </c>
      <c r="I2055" s="18" t="str">
        <f>IFERROR(__xludf.DUMMYFUNCTION("""COMPUTED_VALUE"""),"Cancelled")</f>
        <v>Cancelled</v>
      </c>
      <c r="J2055" s="18" t="str">
        <f>IFERROR(__xludf.DUMMYFUNCTION("""COMPUTED_VALUE"""),"Out of Stock")</f>
        <v>Out of Stock</v>
      </c>
      <c r="K2055" s="18"/>
      <c r="L2055" s="18">
        <f>iferror(VLOOKUP($D2055,Details!$A$2:$C$11,2,false),vlookup($D2055,Details!$E$2:$G$11,2,false))</f>
        <v>84</v>
      </c>
      <c r="M2055" s="18" t="str">
        <f>iferror(VLOOKUP($D2055,Details!$A$2:$C$11,3,false),vlookup($D2055,Details!$E$2:$G$11,3,false))</f>
        <v>Fruits and Vegetables</v>
      </c>
      <c r="N2055" s="18">
        <f t="shared" si="1"/>
        <v>168</v>
      </c>
      <c r="O2055" s="17"/>
      <c r="P2055" s="17"/>
      <c r="Q2055" s="17"/>
      <c r="R2055" s="17"/>
      <c r="S2055" s="17"/>
      <c r="T2055" s="17"/>
      <c r="U2055" s="17"/>
      <c r="V2055" s="17"/>
      <c r="W2055" s="17"/>
      <c r="X2055" s="17"/>
      <c r="Y2055" s="17"/>
      <c r="Z2055" s="17"/>
    </row>
    <row r="2056">
      <c r="A2056" s="18" t="str">
        <f>IFERROR(__xludf.DUMMYFUNCTION("""COMPUTED_VALUE"""),"ord_82032")</f>
        <v>ord_82032</v>
      </c>
      <c r="B2056" s="18" t="str">
        <f>IFERROR(__xludf.DUMMYFUNCTION("""COMPUTED_VALUE"""),"Tanishq Bansal")</f>
        <v>Tanishq Bansal</v>
      </c>
      <c r="C2056" s="18" t="str">
        <f>IFERROR(__xludf.DUMMYFUNCTION("""COMPUTED_VALUE"""),"Powai")</f>
        <v>Powai</v>
      </c>
      <c r="D2056" s="18" t="str">
        <f>IFERROR(__xludf.DUMMYFUNCTION("""COMPUTED_VALUE"""),"Chilli Cheese Toast")</f>
        <v>Chilli Cheese Toast</v>
      </c>
      <c r="E2056" s="18">
        <f>IFERROR(__xludf.DUMMYFUNCTION("""COMPUTED_VALUE"""),2.0)</f>
        <v>2</v>
      </c>
      <c r="F2056" s="18" t="str">
        <f>IFERROR(__xludf.DUMMYFUNCTION("""COMPUTED_VALUE"""),"Sita T")</f>
        <v>Sita T</v>
      </c>
      <c r="G2056" s="19">
        <f>IFERROR(__xludf.DUMMYFUNCTION("""COMPUTED_VALUE"""),45071.0)</f>
        <v>45071</v>
      </c>
      <c r="H2056" s="18" t="str">
        <f>IFERROR(__xludf.DUMMYFUNCTION("""COMPUTED_VALUE"""),"Credit Card")</f>
        <v>Credit Card</v>
      </c>
      <c r="I2056" s="18" t="str">
        <f>IFERROR(__xludf.DUMMYFUNCTION("""COMPUTED_VALUE"""),"Cancelled")</f>
        <v>Cancelled</v>
      </c>
      <c r="J2056" s="18" t="str">
        <f>IFERROR(__xludf.DUMMYFUNCTION("""COMPUTED_VALUE"""),"Delayed Delivery")</f>
        <v>Delayed Delivery</v>
      </c>
      <c r="K2056" s="18" t="str">
        <f>IFERROR(__xludf.DUMMYFUNCTION("""COMPUTED_VALUE"""),"High Order Volume")</f>
        <v>High Order Volume</v>
      </c>
      <c r="L2056" s="18">
        <f>iferror(VLOOKUP($D2056,Details!$A$2:$C$11,2,false),vlookup($D2056,Details!$E$2:$G$11,2,false))</f>
        <v>80</v>
      </c>
      <c r="M2056" s="18" t="str">
        <f>iferror(VLOOKUP($D2056,Details!$A$2:$C$11,3,false),vlookup($D2056,Details!$E$2:$G$11,3,false))</f>
        <v>Snacks and Drinks</v>
      </c>
      <c r="N2056" s="18">
        <f t="shared" si="1"/>
        <v>160</v>
      </c>
      <c r="O2056" s="17"/>
      <c r="P2056" s="17"/>
      <c r="Q2056" s="17"/>
      <c r="R2056" s="17"/>
      <c r="S2056" s="17"/>
      <c r="T2056" s="17"/>
      <c r="U2056" s="17"/>
      <c r="V2056" s="17"/>
      <c r="W2056" s="17"/>
      <c r="X2056" s="17"/>
      <c r="Y2056" s="17"/>
      <c r="Z2056" s="17"/>
    </row>
    <row r="2057">
      <c r="A2057" s="18" t="str">
        <f>IFERROR(__xludf.DUMMYFUNCTION("""COMPUTED_VALUE"""),"ord_82033")</f>
        <v>ord_82033</v>
      </c>
      <c r="B2057" s="18" t="str">
        <f>IFERROR(__xludf.DUMMYFUNCTION("""COMPUTED_VALUE"""),"Aditi Iyer")</f>
        <v>Aditi Iyer</v>
      </c>
      <c r="C2057" s="18" t="str">
        <f>IFERROR(__xludf.DUMMYFUNCTION("""COMPUTED_VALUE"""),"Dadar")</f>
        <v>Dadar</v>
      </c>
      <c r="D2057" s="18" t="str">
        <f>IFERROR(__xludf.DUMMYFUNCTION("""COMPUTED_VALUE"""),"Onion")</f>
        <v>Onion</v>
      </c>
      <c r="E2057" s="18">
        <f>IFERROR(__xludf.DUMMYFUNCTION("""COMPUTED_VALUE"""),1.0)</f>
        <v>1</v>
      </c>
      <c r="F2057" s="18" t="str">
        <f>IFERROR(__xludf.DUMMYFUNCTION("""COMPUTED_VALUE"""),"Venu R")</f>
        <v>Venu R</v>
      </c>
      <c r="G2057" s="19">
        <f>IFERROR(__xludf.DUMMYFUNCTION("""COMPUTED_VALUE"""),45161.0)</f>
        <v>45161</v>
      </c>
      <c r="H2057" s="18" t="str">
        <f>IFERROR(__xludf.DUMMYFUNCTION("""COMPUTED_VALUE"""),"COD")</f>
        <v>COD</v>
      </c>
      <c r="I2057" s="18" t="str">
        <f>IFERROR(__xludf.DUMMYFUNCTION("""COMPUTED_VALUE"""),"Delivered")</f>
        <v>Delivered</v>
      </c>
      <c r="J2057" s="18" t="str">
        <f>IFERROR(__xludf.DUMMYFUNCTION("""COMPUTED_VALUE"""),"Customer Service")</f>
        <v>Customer Service</v>
      </c>
      <c r="K2057" s="18" t="str">
        <f>IFERROR(__xludf.DUMMYFUNCTION("""COMPUTED_VALUE"""),"Seamless and easy")</f>
        <v>Seamless and easy</v>
      </c>
      <c r="L2057" s="18">
        <f>iferror(VLOOKUP($D2057,Details!$A$2:$C$11,2,false),vlookup($D2057,Details!$E$2:$G$11,2,false))</f>
        <v>84</v>
      </c>
      <c r="M2057" s="18" t="str">
        <f>iferror(VLOOKUP($D2057,Details!$A$2:$C$11,3,false),vlookup($D2057,Details!$E$2:$G$11,3,false))</f>
        <v>Fruits and Vegetables</v>
      </c>
      <c r="N2057" s="18">
        <f t="shared" si="1"/>
        <v>84</v>
      </c>
      <c r="O2057" s="17"/>
      <c r="P2057" s="17"/>
      <c r="Q2057" s="17"/>
      <c r="R2057" s="17"/>
      <c r="S2057" s="17"/>
      <c r="T2057" s="17"/>
      <c r="U2057" s="17"/>
      <c r="V2057" s="17"/>
      <c r="W2057" s="17"/>
      <c r="X2057" s="17"/>
      <c r="Y2057" s="17"/>
      <c r="Z2057" s="17"/>
    </row>
    <row r="2058">
      <c r="A2058" s="18" t="str">
        <f>IFERROR(__xludf.DUMMYFUNCTION("""COMPUTED_VALUE"""),"ord_82034")</f>
        <v>ord_82034</v>
      </c>
      <c r="B2058" s="18" t="str">
        <f>IFERROR(__xludf.DUMMYFUNCTION("""COMPUTED_VALUE"""),"Kritika Shetty")</f>
        <v>Kritika Shetty</v>
      </c>
      <c r="C2058" s="18" t="str">
        <f>IFERROR(__xludf.DUMMYFUNCTION("""COMPUTED_VALUE"""),"Malad")</f>
        <v>Malad</v>
      </c>
      <c r="D2058" s="18" t="str">
        <f>IFERROR(__xludf.DUMMYFUNCTION("""COMPUTED_VALUE"""),"Popcorn")</f>
        <v>Popcorn</v>
      </c>
      <c r="E2058" s="18">
        <f>IFERROR(__xludf.DUMMYFUNCTION("""COMPUTED_VALUE"""),5.0)</f>
        <v>5</v>
      </c>
      <c r="F2058" s="18" t="str">
        <f>IFERROR(__xludf.DUMMYFUNCTION("""COMPUTED_VALUE"""),"Manju Ajay")</f>
        <v>Manju Ajay</v>
      </c>
      <c r="G2058" s="19">
        <f>IFERROR(__xludf.DUMMYFUNCTION("""COMPUTED_VALUE"""),45094.0)</f>
        <v>45094</v>
      </c>
      <c r="H2058" s="18" t="str">
        <f>IFERROR(__xludf.DUMMYFUNCTION("""COMPUTED_VALUE"""),"COD")</f>
        <v>COD</v>
      </c>
      <c r="I2058" s="18" t="str">
        <f>IFERROR(__xludf.DUMMYFUNCTION("""COMPUTED_VALUE"""),"Delivered")</f>
        <v>Delivered</v>
      </c>
      <c r="J2058" s="18" t="str">
        <f>IFERROR(__xludf.DUMMYFUNCTION("""COMPUTED_VALUE"""),"Delivery Experience")</f>
        <v>Delivery Experience</v>
      </c>
      <c r="K2058" s="18" t="str">
        <f>IFERROR(__xludf.DUMMYFUNCTION("""COMPUTED_VALUE"""),"Quick and professional")</f>
        <v>Quick and professional</v>
      </c>
      <c r="L2058" s="18">
        <f>iferror(VLOOKUP($D2058,Details!$A$2:$C$11,2,false),vlookup($D2058,Details!$E$2:$G$11,2,false))</f>
        <v>150</v>
      </c>
      <c r="M2058" s="18" t="str">
        <f>iferror(VLOOKUP($D2058,Details!$A$2:$C$11,3,false),vlookup($D2058,Details!$E$2:$G$11,3,false))</f>
        <v>Snacks and Drinks</v>
      </c>
      <c r="N2058" s="18">
        <f t="shared" si="1"/>
        <v>750</v>
      </c>
      <c r="O2058" s="17"/>
      <c r="P2058" s="17"/>
      <c r="Q2058" s="17"/>
      <c r="R2058" s="17"/>
      <c r="S2058" s="17"/>
      <c r="T2058" s="17"/>
      <c r="U2058" s="17"/>
      <c r="V2058" s="17"/>
      <c r="W2058" s="17"/>
      <c r="X2058" s="17"/>
      <c r="Y2058" s="17"/>
      <c r="Z2058" s="17"/>
    </row>
    <row r="2059">
      <c r="A2059" s="18" t="str">
        <f>IFERROR(__xludf.DUMMYFUNCTION("""COMPUTED_VALUE"""),"ord_82035")</f>
        <v>ord_82035</v>
      </c>
      <c r="B2059" s="18" t="str">
        <f>IFERROR(__xludf.DUMMYFUNCTION("""COMPUTED_VALUE"""),"Sahil Desai")</f>
        <v>Sahil Desai</v>
      </c>
      <c r="C2059" s="18" t="str">
        <f>IFERROR(__xludf.DUMMYFUNCTION("""COMPUTED_VALUE"""),"Colaba")</f>
        <v>Colaba</v>
      </c>
      <c r="D2059" s="18" t="str">
        <f>IFERROR(__xludf.DUMMYFUNCTION("""COMPUTED_VALUE"""),"Cold Coffee")</f>
        <v>Cold Coffee</v>
      </c>
      <c r="E2059" s="18">
        <f>IFERROR(__xludf.DUMMYFUNCTION("""COMPUTED_VALUE"""),6.0)</f>
        <v>6</v>
      </c>
      <c r="F2059" s="18" t="str">
        <f>IFERROR(__xludf.DUMMYFUNCTION("""COMPUTED_VALUE"""),"Shine Thomas")</f>
        <v>Shine Thomas</v>
      </c>
      <c r="G2059" s="19">
        <f>IFERROR(__xludf.DUMMYFUNCTION("""COMPUTED_VALUE"""),45267.0)</f>
        <v>45267</v>
      </c>
      <c r="H2059" s="18" t="str">
        <f>IFERROR(__xludf.DUMMYFUNCTION("""COMPUTED_VALUE"""),"Online Payment")</f>
        <v>Online Payment</v>
      </c>
      <c r="I2059" s="18" t="str">
        <f>IFERROR(__xludf.DUMMYFUNCTION("""COMPUTED_VALUE"""),"Delivered")</f>
        <v>Delivered</v>
      </c>
      <c r="J2059" s="18" t="str">
        <f>IFERROR(__xludf.DUMMYFUNCTION("""COMPUTED_VALUE"""),"Convenience")</f>
        <v>Convenience</v>
      </c>
      <c r="K2059" s="18" t="str">
        <f>IFERROR(__xludf.DUMMYFUNCTION("""COMPUTED_VALUE"""),"Easy tracking")</f>
        <v>Easy tracking</v>
      </c>
      <c r="L2059" s="18">
        <f>iferror(VLOOKUP($D2059,Details!$A$2:$C$11,2,false),vlookup($D2059,Details!$E$2:$G$11,2,false))</f>
        <v>270</v>
      </c>
      <c r="M2059" s="18" t="str">
        <f>iferror(VLOOKUP($D2059,Details!$A$2:$C$11,3,false),vlookup($D2059,Details!$E$2:$G$11,3,false))</f>
        <v>Snacks and Drinks</v>
      </c>
      <c r="N2059" s="18">
        <f t="shared" si="1"/>
        <v>1620</v>
      </c>
      <c r="O2059" s="17"/>
      <c r="P2059" s="17"/>
      <c r="Q2059" s="17"/>
      <c r="R2059" s="17"/>
      <c r="S2059" s="17"/>
      <c r="T2059" s="17"/>
      <c r="U2059" s="17"/>
      <c r="V2059" s="17"/>
      <c r="W2059" s="17"/>
      <c r="X2059" s="17"/>
      <c r="Y2059" s="17"/>
      <c r="Z2059" s="17"/>
    </row>
    <row r="2060">
      <c r="A2060" s="18" t="str">
        <f>IFERROR(__xludf.DUMMYFUNCTION("""COMPUTED_VALUE"""),"ord_82036")</f>
        <v>ord_82036</v>
      </c>
      <c r="B2060" s="18" t="str">
        <f>IFERROR(__xludf.DUMMYFUNCTION("""COMPUTED_VALUE"""),"Kritika Shetty")</f>
        <v>Kritika Shetty</v>
      </c>
      <c r="C2060" s="18" t="str">
        <f>IFERROR(__xludf.DUMMYFUNCTION("""COMPUTED_VALUE"""),"Malad")</f>
        <v>Malad</v>
      </c>
      <c r="D2060" s="18" t="str">
        <f>IFERROR(__xludf.DUMMYFUNCTION("""COMPUTED_VALUE"""),"Sweet Corn")</f>
        <v>Sweet Corn</v>
      </c>
      <c r="E2060" s="18">
        <f>IFERROR(__xludf.DUMMYFUNCTION("""COMPUTED_VALUE"""),1.0)</f>
        <v>1</v>
      </c>
      <c r="F2060" s="18" t="str">
        <f>IFERROR(__xludf.DUMMYFUNCTION("""COMPUTED_VALUE"""),"Kiran Mehta")</f>
        <v>Kiran Mehta</v>
      </c>
      <c r="G2060" s="19">
        <f>IFERROR(__xludf.DUMMYFUNCTION("""COMPUTED_VALUE"""),45185.0)</f>
        <v>45185</v>
      </c>
      <c r="H2060" s="18" t="str">
        <f>IFERROR(__xludf.DUMMYFUNCTION("""COMPUTED_VALUE"""),"Credit Card")</f>
        <v>Credit Card</v>
      </c>
      <c r="I2060" s="18" t="str">
        <f>IFERROR(__xludf.DUMMYFUNCTION("""COMPUTED_VALUE"""),"Cancelled")</f>
        <v>Cancelled</v>
      </c>
      <c r="J2060" s="18" t="str">
        <f>IFERROR(__xludf.DUMMYFUNCTION("""COMPUTED_VALUE"""),"Delayed Delivery")</f>
        <v>Delayed Delivery</v>
      </c>
      <c r="K2060" s="18" t="str">
        <f>IFERROR(__xludf.DUMMYFUNCTION("""COMPUTED_VALUE"""),"Vehicle Breakdown")</f>
        <v>Vehicle Breakdown</v>
      </c>
      <c r="L2060" s="18">
        <f>iferror(VLOOKUP($D2060,Details!$A$2:$C$11,2,false),vlookup($D2060,Details!$E$2:$G$11,2,false))</f>
        <v>60</v>
      </c>
      <c r="M2060" s="18" t="str">
        <f>iferror(VLOOKUP($D2060,Details!$A$2:$C$11,3,false),vlookup($D2060,Details!$E$2:$G$11,3,false))</f>
        <v>Fruits and Vegetables</v>
      </c>
      <c r="N2060" s="18">
        <f t="shared" si="1"/>
        <v>60</v>
      </c>
      <c r="O2060" s="17"/>
      <c r="P2060" s="17"/>
      <c r="Q2060" s="17"/>
      <c r="R2060" s="17"/>
      <c r="S2060" s="17"/>
      <c r="T2060" s="17"/>
      <c r="U2060" s="17"/>
      <c r="V2060" s="17"/>
      <c r="W2060" s="17"/>
      <c r="X2060" s="17"/>
      <c r="Y2060" s="17"/>
      <c r="Z2060" s="17"/>
    </row>
    <row r="2061">
      <c r="A2061" s="18" t="str">
        <f>IFERROR(__xludf.DUMMYFUNCTION("""COMPUTED_VALUE"""),"ord_82037")</f>
        <v>ord_82037</v>
      </c>
      <c r="B2061" s="18" t="str">
        <f>IFERROR(__xludf.DUMMYFUNCTION("""COMPUTED_VALUE"""),"Arvind Kulkarni")</f>
        <v>Arvind Kulkarni</v>
      </c>
      <c r="C2061" s="18" t="str">
        <f>IFERROR(__xludf.DUMMYFUNCTION("""COMPUTED_VALUE"""),"Juhu")</f>
        <v>Juhu</v>
      </c>
      <c r="D2061" s="18" t="str">
        <f>IFERROR(__xludf.DUMMYFUNCTION("""COMPUTED_VALUE"""),"Chicken Puff")</f>
        <v>Chicken Puff</v>
      </c>
      <c r="E2061" s="18">
        <f>IFERROR(__xludf.DUMMYFUNCTION("""COMPUTED_VALUE"""),1.0)</f>
        <v>1</v>
      </c>
      <c r="F2061" s="18" t="str">
        <f>IFERROR(__xludf.DUMMYFUNCTION("""COMPUTED_VALUE"""),"Not Assigned")</f>
        <v>Not Assigned</v>
      </c>
      <c r="G2061" s="19">
        <f>IFERROR(__xludf.DUMMYFUNCTION("""COMPUTED_VALUE"""),44933.0)</f>
        <v>44933</v>
      </c>
      <c r="H2061" s="18" t="str">
        <f>IFERROR(__xludf.DUMMYFUNCTION("""COMPUTED_VALUE"""),"UPI")</f>
        <v>UPI</v>
      </c>
      <c r="I2061" s="18" t="str">
        <f>IFERROR(__xludf.DUMMYFUNCTION("""COMPUTED_VALUE"""),"Cancelled")</f>
        <v>Cancelled</v>
      </c>
      <c r="J2061" s="18" t="str">
        <f>IFERROR(__xludf.DUMMYFUNCTION("""COMPUTED_VALUE"""),"App Glitches")</f>
        <v>App Glitches</v>
      </c>
      <c r="K2061" s="18" t="str">
        <f>IFERROR(__xludf.DUMMYFUNCTION("""COMPUTED_VALUE"""),"Payment Button Malfunction")</f>
        <v>Payment Button Malfunction</v>
      </c>
      <c r="L2061" s="18">
        <f>iferror(VLOOKUP($D2061,Details!$A$2:$C$11,2,false),vlookup($D2061,Details!$E$2:$G$11,2,false))</f>
        <v>90</v>
      </c>
      <c r="M2061" s="18" t="str">
        <f>iferror(VLOOKUP($D2061,Details!$A$2:$C$11,3,false),vlookup($D2061,Details!$E$2:$G$11,3,false))</f>
        <v>Snacks and Drinks</v>
      </c>
      <c r="N2061" s="18">
        <f t="shared" si="1"/>
        <v>90</v>
      </c>
      <c r="O2061" s="17"/>
      <c r="P2061" s="17"/>
      <c r="Q2061" s="17"/>
      <c r="R2061" s="17"/>
      <c r="S2061" s="17"/>
      <c r="T2061" s="17"/>
      <c r="U2061" s="17"/>
      <c r="V2061" s="17"/>
      <c r="W2061" s="17"/>
      <c r="X2061" s="17"/>
      <c r="Y2061" s="17"/>
      <c r="Z2061" s="17"/>
    </row>
    <row r="2062">
      <c r="A2062" s="18" t="str">
        <f>IFERROR(__xludf.DUMMYFUNCTION("""COMPUTED_VALUE"""),"ord_82038")</f>
        <v>ord_82038</v>
      </c>
      <c r="B2062" s="18" t="str">
        <f>IFERROR(__xludf.DUMMYFUNCTION("""COMPUTED_VALUE"""),"Omkar Mishra")</f>
        <v>Omkar Mishra</v>
      </c>
      <c r="C2062" s="18" t="str">
        <f>IFERROR(__xludf.DUMMYFUNCTION("""COMPUTED_VALUE"""),"Powai")</f>
        <v>Powai</v>
      </c>
      <c r="D2062" s="18" t="str">
        <f>IFERROR(__xludf.DUMMYFUNCTION("""COMPUTED_VALUE"""),"Banana")</f>
        <v>Banana</v>
      </c>
      <c r="E2062" s="18">
        <f>IFERROR(__xludf.DUMMYFUNCTION("""COMPUTED_VALUE"""),1.0)</f>
        <v>1</v>
      </c>
      <c r="F2062" s="18" t="str">
        <f>IFERROR(__xludf.DUMMYFUNCTION("""COMPUTED_VALUE"""),"Ramesh S")</f>
        <v>Ramesh S</v>
      </c>
      <c r="G2062" s="19">
        <f>IFERROR(__xludf.DUMMYFUNCTION("""COMPUTED_VALUE"""),45187.0)</f>
        <v>45187</v>
      </c>
      <c r="H2062" s="18" t="str">
        <f>IFERROR(__xludf.DUMMYFUNCTION("""COMPUTED_VALUE"""),"UPI")</f>
        <v>UPI</v>
      </c>
      <c r="I2062" s="18" t="str">
        <f>IFERROR(__xludf.DUMMYFUNCTION("""COMPUTED_VALUE"""),"Delivered")</f>
        <v>Delivered</v>
      </c>
      <c r="J2062" s="18" t="str">
        <f>IFERROR(__xludf.DUMMYFUNCTION("""COMPUTED_VALUE"""),"Overall Satisfaction")</f>
        <v>Overall Satisfaction</v>
      </c>
      <c r="K2062" s="18" t="str">
        <f>IFERROR(__xludf.DUMMYFUNCTION("""COMPUTED_VALUE"""),"Great service will order again")</f>
        <v>Great service will order again</v>
      </c>
      <c r="L2062" s="18">
        <f>iferror(VLOOKUP($D2062,Details!$A$2:$C$11,2,false),vlookup($D2062,Details!$E$2:$G$11,2,false))</f>
        <v>80</v>
      </c>
      <c r="M2062" s="18" t="str">
        <f>iferror(VLOOKUP($D2062,Details!$A$2:$C$11,3,false),vlookup($D2062,Details!$E$2:$G$11,3,false))</f>
        <v>Fruits and Vegetables</v>
      </c>
      <c r="N2062" s="18">
        <f t="shared" si="1"/>
        <v>80</v>
      </c>
      <c r="O2062" s="17"/>
      <c r="P2062" s="17"/>
      <c r="Q2062" s="17"/>
      <c r="R2062" s="17"/>
      <c r="S2062" s="17"/>
      <c r="T2062" s="17"/>
      <c r="U2062" s="17"/>
      <c r="V2062" s="17"/>
      <c r="W2062" s="17"/>
      <c r="X2062" s="17"/>
      <c r="Y2062" s="17"/>
      <c r="Z2062" s="17"/>
    </row>
    <row r="2063">
      <c r="A2063" s="18" t="str">
        <f>IFERROR(__xludf.DUMMYFUNCTION("""COMPUTED_VALUE"""),"ord_82039")</f>
        <v>ord_82039</v>
      </c>
      <c r="B2063" s="18" t="str">
        <f>IFERROR(__xludf.DUMMYFUNCTION("""COMPUTED_VALUE"""),"Aarav Mehta")</f>
        <v>Aarav Mehta</v>
      </c>
      <c r="C2063" s="18" t="str">
        <f>IFERROR(__xludf.DUMMYFUNCTION("""COMPUTED_VALUE"""),"Andheri")</f>
        <v>Andheri</v>
      </c>
      <c r="D2063" s="18" t="str">
        <f>IFERROR(__xludf.DUMMYFUNCTION("""COMPUTED_VALUE"""),"Potato")</f>
        <v>Potato</v>
      </c>
      <c r="E2063" s="18">
        <f>IFERROR(__xludf.DUMMYFUNCTION("""COMPUTED_VALUE"""),1.0)</f>
        <v>1</v>
      </c>
      <c r="F2063" s="18" t="str">
        <f>IFERROR(__xludf.DUMMYFUNCTION("""COMPUTED_VALUE"""),"Not Assigned")</f>
        <v>Not Assigned</v>
      </c>
      <c r="G2063" s="19">
        <f>IFERROR(__xludf.DUMMYFUNCTION("""COMPUTED_VALUE"""),45145.0)</f>
        <v>45145</v>
      </c>
      <c r="H2063" s="18" t="str">
        <f>IFERROR(__xludf.DUMMYFUNCTION("""COMPUTED_VALUE"""),"Online Payment")</f>
        <v>Online Payment</v>
      </c>
      <c r="I2063" s="18" t="str">
        <f>IFERROR(__xludf.DUMMYFUNCTION("""COMPUTED_VALUE"""),"Cancelled")</f>
        <v>Cancelled</v>
      </c>
      <c r="J2063" s="18" t="str">
        <f>IFERROR(__xludf.DUMMYFUNCTION("""COMPUTED_VALUE"""),"High Delivery Fees")</f>
        <v>High Delivery Fees</v>
      </c>
      <c r="K2063" s="18"/>
      <c r="L2063" s="18">
        <f>iferror(VLOOKUP($D2063,Details!$A$2:$C$11,2,false),vlookup($D2063,Details!$E$2:$G$11,2,false))</f>
        <v>55</v>
      </c>
      <c r="M2063" s="18" t="str">
        <f>iferror(VLOOKUP($D2063,Details!$A$2:$C$11,3,false),vlookup($D2063,Details!$E$2:$G$11,3,false))</f>
        <v>Fruits and Vegetables</v>
      </c>
      <c r="N2063" s="18">
        <f t="shared" si="1"/>
        <v>55</v>
      </c>
      <c r="O2063" s="17"/>
      <c r="P2063" s="17"/>
      <c r="Q2063" s="17"/>
      <c r="R2063" s="17"/>
      <c r="S2063" s="17"/>
      <c r="T2063" s="17"/>
      <c r="U2063" s="17"/>
      <c r="V2063" s="17"/>
      <c r="W2063" s="17"/>
      <c r="X2063" s="17"/>
      <c r="Y2063" s="17"/>
      <c r="Z2063" s="17"/>
    </row>
    <row r="2064">
      <c r="A2064" s="18" t="str">
        <f>IFERROR(__xludf.DUMMYFUNCTION("""COMPUTED_VALUE"""),"ord_82040")</f>
        <v>ord_82040</v>
      </c>
      <c r="B2064" s="18" t="str">
        <f>IFERROR(__xludf.DUMMYFUNCTION("""COMPUTED_VALUE"""),"Aditya Rao")</f>
        <v>Aditya Rao</v>
      </c>
      <c r="C2064" s="18" t="str">
        <f>IFERROR(__xludf.DUMMYFUNCTION("""COMPUTED_VALUE"""),"Lower Parel")</f>
        <v>Lower Parel</v>
      </c>
      <c r="D2064" s="18" t="str">
        <f>IFERROR(__xludf.DUMMYFUNCTION("""COMPUTED_VALUE"""),"Orange")</f>
        <v>Orange</v>
      </c>
      <c r="E2064" s="18">
        <f>IFERROR(__xludf.DUMMYFUNCTION("""COMPUTED_VALUE"""),3.0)</f>
        <v>3</v>
      </c>
      <c r="F2064" s="18" t="str">
        <f>IFERROR(__xludf.DUMMYFUNCTION("""COMPUTED_VALUE"""),"Sita T")</f>
        <v>Sita T</v>
      </c>
      <c r="G2064" s="19">
        <f>IFERROR(__xludf.DUMMYFUNCTION("""COMPUTED_VALUE"""),45087.0)</f>
        <v>45087</v>
      </c>
      <c r="H2064" s="18" t="str">
        <f>IFERROR(__xludf.DUMMYFUNCTION("""COMPUTED_VALUE"""),"Online Payment")</f>
        <v>Online Payment</v>
      </c>
      <c r="I2064" s="18" t="str">
        <f>IFERROR(__xludf.DUMMYFUNCTION("""COMPUTED_VALUE"""),"Delivered")</f>
        <v>Delivered</v>
      </c>
      <c r="J2064" s="18" t="str">
        <f>IFERROR(__xludf.DUMMYFUNCTION("""COMPUTED_VALUE"""),"On-time Delivery")</f>
        <v>On-time Delivery</v>
      </c>
      <c r="K2064" s="18" t="str">
        <f>IFERROR(__xludf.DUMMYFUNCTION("""COMPUTED_VALUE"""),"Delivered on time")</f>
        <v>Delivered on time</v>
      </c>
      <c r="L2064" s="18">
        <f>iferror(VLOOKUP($D2064,Details!$A$2:$C$11,2,false),vlookup($D2064,Details!$E$2:$G$11,2,false))</f>
        <v>180</v>
      </c>
      <c r="M2064" s="18" t="str">
        <f>iferror(VLOOKUP($D2064,Details!$A$2:$C$11,3,false),vlookup($D2064,Details!$E$2:$G$11,3,false))</f>
        <v>Fruits and Vegetables</v>
      </c>
      <c r="N2064" s="18">
        <f t="shared" si="1"/>
        <v>540</v>
      </c>
      <c r="O2064" s="17"/>
      <c r="P2064" s="17"/>
      <c r="Q2064" s="17"/>
      <c r="R2064" s="17"/>
      <c r="S2064" s="17"/>
      <c r="T2064" s="17"/>
      <c r="U2064" s="17"/>
      <c r="V2064" s="17"/>
      <c r="W2064" s="17"/>
      <c r="X2064" s="17"/>
      <c r="Y2064" s="17"/>
      <c r="Z2064" s="17"/>
    </row>
    <row r="2065">
      <c r="A2065" s="18" t="str">
        <f>IFERROR(__xludf.DUMMYFUNCTION("""COMPUTED_VALUE"""),"ord_82041")</f>
        <v>ord_82041</v>
      </c>
      <c r="B2065" s="18" t="str">
        <f>IFERROR(__xludf.DUMMYFUNCTION("""COMPUTED_VALUE"""),"Aditya Rao")</f>
        <v>Aditya Rao</v>
      </c>
      <c r="C2065" s="18" t="str">
        <f>IFERROR(__xludf.DUMMYFUNCTION("""COMPUTED_VALUE"""),"Lower Parel")</f>
        <v>Lower Parel</v>
      </c>
      <c r="D2065" s="18" t="str">
        <f>IFERROR(__xludf.DUMMYFUNCTION("""COMPUTED_VALUE"""),"Tiramisu")</f>
        <v>Tiramisu</v>
      </c>
      <c r="E2065" s="18">
        <f>IFERROR(__xludf.DUMMYFUNCTION("""COMPUTED_VALUE"""),3.0)</f>
        <v>3</v>
      </c>
      <c r="F2065" s="18" t="str">
        <f>IFERROR(__xludf.DUMMYFUNCTION("""COMPUTED_VALUE"""),"Ram Gopal")</f>
        <v>Ram Gopal</v>
      </c>
      <c r="G2065" s="19">
        <f>IFERROR(__xludf.DUMMYFUNCTION("""COMPUTED_VALUE"""),44973.0)</f>
        <v>44973</v>
      </c>
      <c r="H2065" s="18" t="str">
        <f>IFERROR(__xludf.DUMMYFUNCTION("""COMPUTED_VALUE"""),"Online Payment")</f>
        <v>Online Payment</v>
      </c>
      <c r="I2065" s="18" t="str">
        <f>IFERROR(__xludf.DUMMYFUNCTION("""COMPUTED_VALUE"""),"Delivered")</f>
        <v>Delivered</v>
      </c>
      <c r="J2065" s="18" t="str">
        <f>IFERROR(__xludf.DUMMYFUNCTION("""COMPUTED_VALUE"""),"Quality of Items")</f>
        <v>Quality of Items</v>
      </c>
      <c r="K2065" s="18" t="str">
        <f>IFERROR(__xludf.DUMMYFUNCTION("""COMPUTED_VALUE"""),"Perfect condition")</f>
        <v>Perfect condition</v>
      </c>
      <c r="L2065" s="18">
        <f>iferror(VLOOKUP($D2065,Details!$A$2:$C$11,2,false),vlookup($D2065,Details!$E$2:$G$11,2,false))</f>
        <v>150</v>
      </c>
      <c r="M2065" s="18" t="str">
        <f>iferror(VLOOKUP($D2065,Details!$A$2:$C$11,3,false),vlookup($D2065,Details!$E$2:$G$11,3,false))</f>
        <v>Snacks and Drinks</v>
      </c>
      <c r="N2065" s="18">
        <f t="shared" si="1"/>
        <v>450</v>
      </c>
      <c r="O2065" s="17"/>
      <c r="P2065" s="17"/>
      <c r="Q2065" s="17"/>
      <c r="R2065" s="17"/>
      <c r="S2065" s="17"/>
      <c r="T2065" s="17"/>
      <c r="U2065" s="17"/>
      <c r="V2065" s="17"/>
      <c r="W2065" s="17"/>
      <c r="X2065" s="17"/>
      <c r="Y2065" s="17"/>
      <c r="Z2065" s="17"/>
    </row>
    <row r="2066">
      <c r="A2066" s="18" t="str">
        <f>IFERROR(__xludf.DUMMYFUNCTION("""COMPUTED_VALUE"""),"ord_82042")</f>
        <v>ord_82042</v>
      </c>
      <c r="B2066" s="18" t="str">
        <f>IFERROR(__xludf.DUMMYFUNCTION("""COMPUTED_VALUE"""),"Sanjay Nair")</f>
        <v>Sanjay Nair</v>
      </c>
      <c r="C2066" s="18" t="str">
        <f>IFERROR(__xludf.DUMMYFUNCTION("""COMPUTED_VALUE"""),"Dadar")</f>
        <v>Dadar</v>
      </c>
      <c r="D2066" s="18" t="str">
        <f>IFERROR(__xludf.DUMMYFUNCTION("""COMPUTED_VALUE"""),"Cucumber")</f>
        <v>Cucumber</v>
      </c>
      <c r="E2066" s="18">
        <f>IFERROR(__xludf.DUMMYFUNCTION("""COMPUTED_VALUE"""),1.0)</f>
        <v>1</v>
      </c>
      <c r="F2066" s="18" t="str">
        <f>IFERROR(__xludf.DUMMYFUNCTION("""COMPUTED_VALUE"""),"Not Assigned")</f>
        <v>Not Assigned</v>
      </c>
      <c r="G2066" s="19">
        <f>IFERROR(__xludf.DUMMYFUNCTION("""COMPUTED_VALUE"""),45154.0)</f>
        <v>45154</v>
      </c>
      <c r="H2066" s="18" t="str">
        <f>IFERROR(__xludf.DUMMYFUNCTION("""COMPUTED_VALUE"""),"Online Payment")</f>
        <v>Online Payment</v>
      </c>
      <c r="I2066" s="18" t="str">
        <f>IFERROR(__xludf.DUMMYFUNCTION("""COMPUTED_VALUE"""),"Cancelled")</f>
        <v>Cancelled</v>
      </c>
      <c r="J2066" s="18" t="str">
        <f>IFERROR(__xludf.DUMMYFUNCTION("""COMPUTED_VALUE"""),"App Glitches")</f>
        <v>App Glitches</v>
      </c>
      <c r="K2066" s="18" t="str">
        <f>IFERROR(__xludf.DUMMYFUNCTION("""COMPUTED_VALUE"""),"Slow Loading Time")</f>
        <v>Slow Loading Time</v>
      </c>
      <c r="L2066" s="18">
        <f>iferror(VLOOKUP($D2066,Details!$A$2:$C$11,2,false),vlookup($D2066,Details!$E$2:$G$11,2,false))</f>
        <v>30</v>
      </c>
      <c r="M2066" s="18" t="str">
        <f>iferror(VLOOKUP($D2066,Details!$A$2:$C$11,3,false),vlookup($D2066,Details!$E$2:$G$11,3,false))</f>
        <v>Fruits and Vegetables</v>
      </c>
      <c r="N2066" s="18">
        <f t="shared" si="1"/>
        <v>30</v>
      </c>
      <c r="O2066" s="17"/>
      <c r="P2066" s="17"/>
      <c r="Q2066" s="17"/>
      <c r="R2066" s="17"/>
      <c r="S2066" s="17"/>
      <c r="T2066" s="17"/>
      <c r="U2066" s="17"/>
      <c r="V2066" s="17"/>
      <c r="W2066" s="17"/>
      <c r="X2066" s="17"/>
      <c r="Y2066" s="17"/>
      <c r="Z2066" s="17"/>
    </row>
    <row r="2067">
      <c r="A2067" s="18" t="str">
        <f>IFERROR(__xludf.DUMMYFUNCTION("""COMPUTED_VALUE"""),"ord_82043")</f>
        <v>ord_82043</v>
      </c>
      <c r="B2067" s="18" t="str">
        <f>IFERROR(__xludf.DUMMYFUNCTION("""COMPUTED_VALUE"""),"Aarohi Kapoor")</f>
        <v>Aarohi Kapoor</v>
      </c>
      <c r="C2067" s="18" t="str">
        <f>IFERROR(__xludf.DUMMYFUNCTION("""COMPUTED_VALUE"""),"Bandra")</f>
        <v>Bandra</v>
      </c>
      <c r="D2067" s="18" t="str">
        <f>IFERROR(__xludf.DUMMYFUNCTION("""COMPUTED_VALUE"""),"Chicken Puff")</f>
        <v>Chicken Puff</v>
      </c>
      <c r="E2067" s="18">
        <f>IFERROR(__xludf.DUMMYFUNCTION("""COMPUTED_VALUE"""),2.0)</f>
        <v>2</v>
      </c>
      <c r="F2067" s="18" t="str">
        <f>IFERROR(__xludf.DUMMYFUNCTION("""COMPUTED_VALUE"""),"Manju Ajay")</f>
        <v>Manju Ajay</v>
      </c>
      <c r="G2067" s="19">
        <f>IFERROR(__xludf.DUMMYFUNCTION("""COMPUTED_VALUE"""),45047.0)</f>
        <v>45047</v>
      </c>
      <c r="H2067" s="18" t="str">
        <f>IFERROR(__xludf.DUMMYFUNCTION("""COMPUTED_VALUE"""),"Credit Card")</f>
        <v>Credit Card</v>
      </c>
      <c r="I2067" s="18" t="str">
        <f>IFERROR(__xludf.DUMMYFUNCTION("""COMPUTED_VALUE"""),"Cancelled")</f>
        <v>Cancelled</v>
      </c>
      <c r="J2067" s="18" t="str">
        <f>IFERROR(__xludf.DUMMYFUNCTION("""COMPUTED_VALUE"""),"Delayed Delivery")</f>
        <v>Delayed Delivery</v>
      </c>
      <c r="K2067" s="18" t="str">
        <f>IFERROR(__xludf.DUMMYFUNCTION("""COMPUTED_VALUE"""),"Heavy Traffic")</f>
        <v>Heavy Traffic</v>
      </c>
      <c r="L2067" s="18">
        <f>iferror(VLOOKUP($D2067,Details!$A$2:$C$11,2,false),vlookup($D2067,Details!$E$2:$G$11,2,false))</f>
        <v>90</v>
      </c>
      <c r="M2067" s="18" t="str">
        <f>iferror(VLOOKUP($D2067,Details!$A$2:$C$11,3,false),vlookup($D2067,Details!$E$2:$G$11,3,false))</f>
        <v>Snacks and Drinks</v>
      </c>
      <c r="N2067" s="18">
        <f t="shared" si="1"/>
        <v>180</v>
      </c>
      <c r="O2067" s="17"/>
      <c r="P2067" s="17"/>
      <c r="Q2067" s="17"/>
      <c r="R2067" s="17"/>
      <c r="S2067" s="17"/>
      <c r="T2067" s="17"/>
      <c r="U2067" s="17"/>
      <c r="V2067" s="17"/>
      <c r="W2067" s="17"/>
      <c r="X2067" s="17"/>
      <c r="Y2067" s="17"/>
      <c r="Z2067" s="17"/>
    </row>
    <row r="2068">
      <c r="A2068" s="18" t="str">
        <f>IFERROR(__xludf.DUMMYFUNCTION("""COMPUTED_VALUE"""),"ord_82044")</f>
        <v>ord_82044</v>
      </c>
      <c r="B2068" s="18" t="str">
        <f>IFERROR(__xludf.DUMMYFUNCTION("""COMPUTED_VALUE"""),"Pallavi Ghosh")</f>
        <v>Pallavi Ghosh</v>
      </c>
      <c r="C2068" s="18" t="str">
        <f>IFERROR(__xludf.DUMMYFUNCTION("""COMPUTED_VALUE"""),"Bandra")</f>
        <v>Bandra</v>
      </c>
      <c r="D2068" s="18" t="str">
        <f>IFERROR(__xludf.DUMMYFUNCTION("""COMPUTED_VALUE"""),"Tiramisu")</f>
        <v>Tiramisu</v>
      </c>
      <c r="E2068" s="18">
        <f>IFERROR(__xludf.DUMMYFUNCTION("""COMPUTED_VALUE"""),3.0)</f>
        <v>3</v>
      </c>
      <c r="F2068" s="18" t="str">
        <f>IFERROR(__xludf.DUMMYFUNCTION("""COMPUTED_VALUE"""),"Priya Joshi")</f>
        <v>Priya Joshi</v>
      </c>
      <c r="G2068" s="19">
        <f>IFERROR(__xludf.DUMMYFUNCTION("""COMPUTED_VALUE"""),45205.0)</f>
        <v>45205</v>
      </c>
      <c r="H2068" s="18" t="str">
        <f>IFERROR(__xludf.DUMMYFUNCTION("""COMPUTED_VALUE"""),"Credit Card")</f>
        <v>Credit Card</v>
      </c>
      <c r="I2068" s="18" t="str">
        <f>IFERROR(__xludf.DUMMYFUNCTION("""COMPUTED_VALUE"""),"Cancelled")</f>
        <v>Cancelled</v>
      </c>
      <c r="J2068" s="18" t="str">
        <f>IFERROR(__xludf.DUMMYFUNCTION("""COMPUTED_VALUE"""),"Delayed Delivery")</f>
        <v>Delayed Delivery</v>
      </c>
      <c r="K2068" s="18" t="str">
        <f>IFERROR(__xludf.DUMMYFUNCTION("""COMPUTED_VALUE"""),"Bad Weather Conditions")</f>
        <v>Bad Weather Conditions</v>
      </c>
      <c r="L2068" s="18">
        <f>iferror(VLOOKUP($D2068,Details!$A$2:$C$11,2,false),vlookup($D2068,Details!$E$2:$G$11,2,false))</f>
        <v>150</v>
      </c>
      <c r="M2068" s="18" t="str">
        <f>iferror(VLOOKUP($D2068,Details!$A$2:$C$11,3,false),vlookup($D2068,Details!$E$2:$G$11,3,false))</f>
        <v>Snacks and Drinks</v>
      </c>
      <c r="N2068" s="18">
        <f t="shared" si="1"/>
        <v>450</v>
      </c>
      <c r="O2068" s="17"/>
      <c r="P2068" s="17"/>
      <c r="Q2068" s="17"/>
      <c r="R2068" s="17"/>
      <c r="S2068" s="17"/>
      <c r="T2068" s="17"/>
      <c r="U2068" s="17"/>
      <c r="V2068" s="17"/>
      <c r="W2068" s="17"/>
      <c r="X2068" s="17"/>
      <c r="Y2068" s="17"/>
      <c r="Z2068" s="17"/>
    </row>
    <row r="2069">
      <c r="A2069" s="18" t="str">
        <f>IFERROR(__xludf.DUMMYFUNCTION("""COMPUTED_VALUE"""),"ord_82045")</f>
        <v>ord_82045</v>
      </c>
      <c r="B2069" s="18" t="str">
        <f>IFERROR(__xludf.DUMMYFUNCTION("""COMPUTED_VALUE"""),"Siya Reddy")</f>
        <v>Siya Reddy</v>
      </c>
      <c r="C2069" s="18" t="str">
        <f>IFERROR(__xludf.DUMMYFUNCTION("""COMPUTED_VALUE"""),"Juhu")</f>
        <v>Juhu</v>
      </c>
      <c r="D2069" s="18" t="str">
        <f>IFERROR(__xludf.DUMMYFUNCTION("""COMPUTED_VALUE"""),"Potato")</f>
        <v>Potato</v>
      </c>
      <c r="E2069" s="18">
        <f>IFERROR(__xludf.DUMMYFUNCTION("""COMPUTED_VALUE"""),1.0)</f>
        <v>1</v>
      </c>
      <c r="F2069" s="18" t="str">
        <f>IFERROR(__xludf.DUMMYFUNCTION("""COMPUTED_VALUE"""),"Not Assigned")</f>
        <v>Not Assigned</v>
      </c>
      <c r="G2069" s="19">
        <f>IFERROR(__xludf.DUMMYFUNCTION("""COMPUTED_VALUE"""),45030.0)</f>
        <v>45030</v>
      </c>
      <c r="H2069" s="18" t="str">
        <f>IFERROR(__xludf.DUMMYFUNCTION("""COMPUTED_VALUE"""),"UPI")</f>
        <v>UPI</v>
      </c>
      <c r="I2069" s="18" t="str">
        <f>IFERROR(__xludf.DUMMYFUNCTION("""COMPUTED_VALUE"""),"Cancelled")</f>
        <v>Cancelled</v>
      </c>
      <c r="J2069" s="18" t="str">
        <f>IFERROR(__xludf.DUMMYFUNCTION("""COMPUTED_VALUE"""),"App Glitches")</f>
        <v>App Glitches</v>
      </c>
      <c r="K2069" s="18" t="str">
        <f>IFERROR(__xludf.DUMMYFUNCTION("""COMPUTED_VALUE"""),"Inconsistent Data Display")</f>
        <v>Inconsistent Data Display</v>
      </c>
      <c r="L2069" s="18">
        <f>iferror(VLOOKUP($D2069,Details!$A$2:$C$11,2,false),vlookup($D2069,Details!$E$2:$G$11,2,false))</f>
        <v>55</v>
      </c>
      <c r="M2069" s="18" t="str">
        <f>iferror(VLOOKUP($D2069,Details!$A$2:$C$11,3,false),vlookup($D2069,Details!$E$2:$G$11,3,false))</f>
        <v>Fruits and Vegetables</v>
      </c>
      <c r="N2069" s="18">
        <f t="shared" si="1"/>
        <v>55</v>
      </c>
      <c r="O2069" s="17"/>
      <c r="P2069" s="17"/>
      <c r="Q2069" s="17"/>
      <c r="R2069" s="17"/>
      <c r="S2069" s="17"/>
      <c r="T2069" s="17"/>
      <c r="U2069" s="17"/>
      <c r="V2069" s="17"/>
      <c r="W2069" s="17"/>
      <c r="X2069" s="17"/>
      <c r="Y2069" s="17"/>
      <c r="Z2069" s="17"/>
    </row>
    <row r="2070">
      <c r="A2070" s="18" t="str">
        <f>IFERROR(__xludf.DUMMYFUNCTION("""COMPUTED_VALUE"""),"ord_82046")</f>
        <v>ord_82046</v>
      </c>
      <c r="B2070" s="18" t="str">
        <f>IFERROR(__xludf.DUMMYFUNCTION("""COMPUTED_VALUE"""),"Dev Chauhan")</f>
        <v>Dev Chauhan</v>
      </c>
      <c r="C2070" s="18" t="str">
        <f>IFERROR(__xludf.DUMMYFUNCTION("""COMPUTED_VALUE"""),"Bandra")</f>
        <v>Bandra</v>
      </c>
      <c r="D2070" s="18" t="str">
        <f>IFERROR(__xludf.DUMMYFUNCTION("""COMPUTED_VALUE"""),"Sweet Corn")</f>
        <v>Sweet Corn</v>
      </c>
      <c r="E2070" s="18">
        <f>IFERROR(__xludf.DUMMYFUNCTION("""COMPUTED_VALUE"""),2.0)</f>
        <v>2</v>
      </c>
      <c r="F2070" s="18" t="str">
        <f>IFERROR(__xludf.DUMMYFUNCTION("""COMPUTED_VALUE"""),"Ramesh S")</f>
        <v>Ramesh S</v>
      </c>
      <c r="G2070" s="19">
        <f>IFERROR(__xludf.DUMMYFUNCTION("""COMPUTED_VALUE"""),44974.0)</f>
        <v>44974</v>
      </c>
      <c r="H2070" s="18" t="str">
        <f>IFERROR(__xludf.DUMMYFUNCTION("""COMPUTED_VALUE"""),"UPI")</f>
        <v>UPI</v>
      </c>
      <c r="I2070" s="18" t="str">
        <f>IFERROR(__xludf.DUMMYFUNCTION("""COMPUTED_VALUE"""),"Delivered")</f>
        <v>Delivered</v>
      </c>
      <c r="J2070" s="18" t="str">
        <f>IFERROR(__xludf.DUMMYFUNCTION("""COMPUTED_VALUE"""),"On-time Delivery")</f>
        <v>On-time Delivery</v>
      </c>
      <c r="K2070" s="18" t="str">
        <f>IFERROR(__xludf.DUMMYFUNCTION("""COMPUTED_VALUE"""),"Delivered on time")</f>
        <v>Delivered on time</v>
      </c>
      <c r="L2070" s="18">
        <f>iferror(VLOOKUP($D2070,Details!$A$2:$C$11,2,false),vlookup($D2070,Details!$E$2:$G$11,2,false))</f>
        <v>60</v>
      </c>
      <c r="M2070" s="18" t="str">
        <f>iferror(VLOOKUP($D2070,Details!$A$2:$C$11,3,false),vlookup($D2070,Details!$E$2:$G$11,3,false))</f>
        <v>Fruits and Vegetables</v>
      </c>
      <c r="N2070" s="18">
        <f t="shared" si="1"/>
        <v>120</v>
      </c>
      <c r="O2070" s="17"/>
      <c r="P2070" s="17"/>
      <c r="Q2070" s="17"/>
      <c r="R2070" s="17"/>
      <c r="S2070" s="17"/>
      <c r="T2070" s="17"/>
      <c r="U2070" s="17"/>
      <c r="V2070" s="17"/>
      <c r="W2070" s="17"/>
      <c r="X2070" s="17"/>
      <c r="Y2070" s="17"/>
      <c r="Z2070" s="17"/>
    </row>
    <row r="2071">
      <c r="A2071" s="18" t="str">
        <f>IFERROR(__xludf.DUMMYFUNCTION("""COMPUTED_VALUE"""),"ord_82047")</f>
        <v>ord_82047</v>
      </c>
      <c r="B2071" s="18" t="str">
        <f>IFERROR(__xludf.DUMMYFUNCTION("""COMPUTED_VALUE"""),"Dev Chauhan")</f>
        <v>Dev Chauhan</v>
      </c>
      <c r="C2071" s="18" t="str">
        <f>IFERROR(__xludf.DUMMYFUNCTION("""COMPUTED_VALUE"""),"Bandra")</f>
        <v>Bandra</v>
      </c>
      <c r="D2071" s="18" t="str">
        <f>IFERROR(__xludf.DUMMYFUNCTION("""COMPUTED_VALUE"""),"Tomato")</f>
        <v>Tomato</v>
      </c>
      <c r="E2071" s="18">
        <f>IFERROR(__xludf.DUMMYFUNCTION("""COMPUTED_VALUE"""),1.0)</f>
        <v>1</v>
      </c>
      <c r="F2071" s="18" t="str">
        <f>IFERROR(__xludf.DUMMYFUNCTION("""COMPUTED_VALUE"""),"Vivek Kumar")</f>
        <v>Vivek Kumar</v>
      </c>
      <c r="G2071" s="19">
        <f>IFERROR(__xludf.DUMMYFUNCTION("""COMPUTED_VALUE"""),44955.0)</f>
        <v>44955</v>
      </c>
      <c r="H2071" s="18" t="str">
        <f>IFERROR(__xludf.DUMMYFUNCTION("""COMPUTED_VALUE"""),"Online Payment")</f>
        <v>Online Payment</v>
      </c>
      <c r="I2071" s="18" t="str">
        <f>IFERROR(__xludf.DUMMYFUNCTION("""COMPUTED_VALUE"""),"Delivered")</f>
        <v>Delivered</v>
      </c>
      <c r="J2071" s="18" t="str">
        <f>IFERROR(__xludf.DUMMYFUNCTION("""COMPUTED_VALUE"""),"Quality of Items")</f>
        <v>Quality of Items</v>
      </c>
      <c r="K2071" s="18" t="str">
        <f>IFERROR(__xludf.DUMMYFUNCTION("""COMPUTED_VALUE"""),"Perfect condition")</f>
        <v>Perfect condition</v>
      </c>
      <c r="L2071" s="18">
        <f>iferror(VLOOKUP($D2071,Details!$A$2:$C$11,2,false),vlookup($D2071,Details!$E$2:$G$11,2,false))</f>
        <v>25</v>
      </c>
      <c r="M2071" s="18" t="str">
        <f>iferror(VLOOKUP($D2071,Details!$A$2:$C$11,3,false),vlookup($D2071,Details!$E$2:$G$11,3,false))</f>
        <v>Fruits and Vegetables</v>
      </c>
      <c r="N2071" s="18">
        <f t="shared" si="1"/>
        <v>25</v>
      </c>
      <c r="O2071" s="17"/>
      <c r="P2071" s="17"/>
      <c r="Q2071" s="17"/>
      <c r="R2071" s="17"/>
      <c r="S2071" s="17"/>
      <c r="T2071" s="17"/>
      <c r="U2071" s="17"/>
      <c r="V2071" s="17"/>
      <c r="W2071" s="17"/>
      <c r="X2071" s="17"/>
      <c r="Y2071" s="17"/>
      <c r="Z2071" s="17"/>
    </row>
    <row r="2072">
      <c r="A2072" s="18" t="str">
        <f>IFERROR(__xludf.DUMMYFUNCTION("""COMPUTED_VALUE"""),"ord_82048")</f>
        <v>ord_82048</v>
      </c>
      <c r="B2072" s="18" t="str">
        <f>IFERROR(__xludf.DUMMYFUNCTION("""COMPUTED_VALUE"""),"Pallavi Ghosh")</f>
        <v>Pallavi Ghosh</v>
      </c>
      <c r="C2072" s="18" t="str">
        <f>IFERROR(__xludf.DUMMYFUNCTION("""COMPUTED_VALUE"""),"Bandra")</f>
        <v>Bandra</v>
      </c>
      <c r="D2072" s="18" t="str">
        <f>IFERROR(__xludf.DUMMYFUNCTION("""COMPUTED_VALUE"""),"Cold Coffee")</f>
        <v>Cold Coffee</v>
      </c>
      <c r="E2072" s="18">
        <f>IFERROR(__xludf.DUMMYFUNCTION("""COMPUTED_VALUE"""),1.0)</f>
        <v>1</v>
      </c>
      <c r="F2072" s="18" t="str">
        <f>IFERROR(__xludf.DUMMYFUNCTION("""COMPUTED_VALUE"""),"Vivek Kumar")</f>
        <v>Vivek Kumar</v>
      </c>
      <c r="G2072" s="19">
        <f>IFERROR(__xludf.DUMMYFUNCTION("""COMPUTED_VALUE"""),45122.0)</f>
        <v>45122</v>
      </c>
      <c r="H2072" s="18" t="str">
        <f>IFERROR(__xludf.DUMMYFUNCTION("""COMPUTED_VALUE"""),"UPI")</f>
        <v>UPI</v>
      </c>
      <c r="I2072" s="18" t="str">
        <f>IFERROR(__xludf.DUMMYFUNCTION("""COMPUTED_VALUE"""),"Delivered")</f>
        <v>Delivered</v>
      </c>
      <c r="J2072" s="18" t="str">
        <f>IFERROR(__xludf.DUMMYFUNCTION("""COMPUTED_VALUE"""),"Packaging")</f>
        <v>Packaging</v>
      </c>
      <c r="K2072" s="18" t="str">
        <f>IFERROR(__xludf.DUMMYFUNCTION("""COMPUTED_VALUE"""),"Secure and intact")</f>
        <v>Secure and intact</v>
      </c>
      <c r="L2072" s="18">
        <f>iferror(VLOOKUP($D2072,Details!$A$2:$C$11,2,false),vlookup($D2072,Details!$E$2:$G$11,2,false))</f>
        <v>270</v>
      </c>
      <c r="M2072" s="18" t="str">
        <f>iferror(VLOOKUP($D2072,Details!$A$2:$C$11,3,false),vlookup($D2072,Details!$E$2:$G$11,3,false))</f>
        <v>Snacks and Drinks</v>
      </c>
      <c r="N2072" s="18">
        <f t="shared" si="1"/>
        <v>270</v>
      </c>
      <c r="O2072" s="17"/>
      <c r="P2072" s="17"/>
      <c r="Q2072" s="17"/>
      <c r="R2072" s="17"/>
      <c r="S2072" s="17"/>
      <c r="T2072" s="17"/>
      <c r="U2072" s="17"/>
      <c r="V2072" s="17"/>
      <c r="W2072" s="17"/>
      <c r="X2072" s="17"/>
      <c r="Y2072" s="17"/>
      <c r="Z2072" s="17"/>
    </row>
    <row r="2073">
      <c r="A2073" s="18" t="str">
        <f>IFERROR(__xludf.DUMMYFUNCTION("""COMPUTED_VALUE"""),"ord_82049")</f>
        <v>ord_82049</v>
      </c>
      <c r="B2073" s="18" t="str">
        <f>IFERROR(__xludf.DUMMYFUNCTION("""COMPUTED_VALUE"""),"Pallavi Ghosh")</f>
        <v>Pallavi Ghosh</v>
      </c>
      <c r="C2073" s="18" t="str">
        <f>IFERROR(__xludf.DUMMYFUNCTION("""COMPUTED_VALUE"""),"Bandra")</f>
        <v>Bandra</v>
      </c>
      <c r="D2073" s="18" t="str">
        <f>IFERROR(__xludf.DUMMYFUNCTION("""COMPUTED_VALUE"""),"Veg Puff")</f>
        <v>Veg Puff</v>
      </c>
      <c r="E2073" s="18">
        <f>IFERROR(__xludf.DUMMYFUNCTION("""COMPUTED_VALUE"""),4.0)</f>
        <v>4</v>
      </c>
      <c r="F2073" s="18" t="str">
        <f>IFERROR(__xludf.DUMMYFUNCTION("""COMPUTED_VALUE"""),"Vivek Kumar")</f>
        <v>Vivek Kumar</v>
      </c>
      <c r="G2073" s="19">
        <f>IFERROR(__xludf.DUMMYFUNCTION("""COMPUTED_VALUE"""),44935.0)</f>
        <v>44935</v>
      </c>
      <c r="H2073" s="18" t="str">
        <f>IFERROR(__xludf.DUMMYFUNCTION("""COMPUTED_VALUE"""),"Credit Card")</f>
        <v>Credit Card</v>
      </c>
      <c r="I2073" s="18" t="str">
        <f>IFERROR(__xludf.DUMMYFUNCTION("""COMPUTED_VALUE"""),"Delivered")</f>
        <v>Delivered</v>
      </c>
      <c r="J2073" s="18" t="str">
        <f>IFERROR(__xludf.DUMMYFUNCTION("""COMPUTED_VALUE"""),"Satisfied with the Delivery")</f>
        <v>Satisfied with the Delivery</v>
      </c>
      <c r="K2073" s="18" t="str">
        <f>IFERROR(__xludf.DUMMYFUNCTION("""COMPUTED_VALUE"""),"Timely and quality")</f>
        <v>Timely and quality</v>
      </c>
      <c r="L2073" s="18">
        <f>iferror(VLOOKUP($D2073,Details!$A$2:$C$11,2,false),vlookup($D2073,Details!$E$2:$G$11,2,false))</f>
        <v>80</v>
      </c>
      <c r="M2073" s="18" t="str">
        <f>iferror(VLOOKUP($D2073,Details!$A$2:$C$11,3,false),vlookup($D2073,Details!$E$2:$G$11,3,false))</f>
        <v>Snacks and Drinks</v>
      </c>
      <c r="N2073" s="18">
        <f t="shared" si="1"/>
        <v>320</v>
      </c>
      <c r="O2073" s="17"/>
      <c r="P2073" s="17"/>
      <c r="Q2073" s="17"/>
      <c r="R2073" s="17"/>
      <c r="S2073" s="17"/>
      <c r="T2073" s="17"/>
      <c r="U2073" s="17"/>
      <c r="V2073" s="17"/>
      <c r="W2073" s="17"/>
      <c r="X2073" s="17"/>
      <c r="Y2073" s="17"/>
      <c r="Z2073" s="17"/>
    </row>
    <row r="2074">
      <c r="A2074" s="18" t="str">
        <f>IFERROR(__xludf.DUMMYFUNCTION("""COMPUTED_VALUE"""),"ord_82050")</f>
        <v>ord_82050</v>
      </c>
      <c r="B2074" s="18" t="str">
        <f>IFERROR(__xludf.DUMMYFUNCTION("""COMPUTED_VALUE"""),"Parth Goel")</f>
        <v>Parth Goel</v>
      </c>
      <c r="C2074" s="18" t="str">
        <f>IFERROR(__xludf.DUMMYFUNCTION("""COMPUTED_VALUE"""),"Juhu")</f>
        <v>Juhu</v>
      </c>
      <c r="D2074" s="18" t="str">
        <f>IFERROR(__xludf.DUMMYFUNCTION("""COMPUTED_VALUE"""),"Tomato")</f>
        <v>Tomato</v>
      </c>
      <c r="E2074" s="18">
        <f>IFERROR(__xludf.DUMMYFUNCTION("""COMPUTED_VALUE"""),2.0)</f>
        <v>2</v>
      </c>
      <c r="F2074" s="18" t="str">
        <f>IFERROR(__xludf.DUMMYFUNCTION("""COMPUTED_VALUE"""),"Vivek Kumar")</f>
        <v>Vivek Kumar</v>
      </c>
      <c r="G2074" s="19">
        <f>IFERROR(__xludf.DUMMYFUNCTION("""COMPUTED_VALUE"""),45180.0)</f>
        <v>45180</v>
      </c>
      <c r="H2074" s="18" t="str">
        <f>IFERROR(__xludf.DUMMYFUNCTION("""COMPUTED_VALUE"""),"COD")</f>
        <v>COD</v>
      </c>
      <c r="I2074" s="18" t="str">
        <f>IFERROR(__xludf.DUMMYFUNCTION("""COMPUTED_VALUE"""),"Delivered")</f>
        <v>Delivered</v>
      </c>
      <c r="J2074" s="18" t="str">
        <f>IFERROR(__xludf.DUMMYFUNCTION("""COMPUTED_VALUE"""),"Customer Service")</f>
        <v>Customer Service</v>
      </c>
      <c r="K2074" s="18" t="str">
        <f>IFERROR(__xludf.DUMMYFUNCTION("""COMPUTED_VALUE"""),"Seamless and easy")</f>
        <v>Seamless and easy</v>
      </c>
      <c r="L2074" s="18">
        <f>iferror(VLOOKUP($D2074,Details!$A$2:$C$11,2,false),vlookup($D2074,Details!$E$2:$G$11,2,false))</f>
        <v>25</v>
      </c>
      <c r="M2074" s="18" t="str">
        <f>iferror(VLOOKUP($D2074,Details!$A$2:$C$11,3,false),vlookup($D2074,Details!$E$2:$G$11,3,false))</f>
        <v>Fruits and Vegetables</v>
      </c>
      <c r="N2074" s="18">
        <f t="shared" si="1"/>
        <v>50</v>
      </c>
      <c r="O2074" s="17"/>
      <c r="P2074" s="17"/>
      <c r="Q2074" s="17"/>
      <c r="R2074" s="17"/>
      <c r="S2074" s="17"/>
      <c r="T2074" s="17"/>
      <c r="U2074" s="17"/>
      <c r="V2074" s="17"/>
      <c r="W2074" s="17"/>
      <c r="X2074" s="17"/>
      <c r="Y2074" s="17"/>
      <c r="Z2074" s="17"/>
    </row>
    <row r="2075">
      <c r="A2075" s="18" t="str">
        <f>IFERROR(__xludf.DUMMYFUNCTION("""COMPUTED_VALUE"""),"ord_82051")</f>
        <v>ord_82051</v>
      </c>
      <c r="B2075" s="18" t="str">
        <f>IFERROR(__xludf.DUMMYFUNCTION("""COMPUTED_VALUE"""),"Sanjay Nair")</f>
        <v>Sanjay Nair</v>
      </c>
      <c r="C2075" s="18" t="str">
        <f>IFERROR(__xludf.DUMMYFUNCTION("""COMPUTED_VALUE"""),"Dadar")</f>
        <v>Dadar</v>
      </c>
      <c r="D2075" s="18" t="str">
        <f>IFERROR(__xludf.DUMMYFUNCTION("""COMPUTED_VALUE"""),"Chicken Puff")</f>
        <v>Chicken Puff</v>
      </c>
      <c r="E2075" s="18">
        <f>IFERROR(__xludf.DUMMYFUNCTION("""COMPUTED_VALUE"""),2.0)</f>
        <v>2</v>
      </c>
      <c r="F2075" s="18" t="str">
        <f>IFERROR(__xludf.DUMMYFUNCTION("""COMPUTED_VALUE"""),"Ramesh S")</f>
        <v>Ramesh S</v>
      </c>
      <c r="G2075" s="19">
        <f>IFERROR(__xludf.DUMMYFUNCTION("""COMPUTED_VALUE"""),45245.0)</f>
        <v>45245</v>
      </c>
      <c r="H2075" s="18" t="str">
        <f>IFERROR(__xludf.DUMMYFUNCTION("""COMPUTED_VALUE"""),"COD")</f>
        <v>COD</v>
      </c>
      <c r="I2075" s="18" t="str">
        <f>IFERROR(__xludf.DUMMYFUNCTION("""COMPUTED_VALUE"""),"Delivered")</f>
        <v>Delivered</v>
      </c>
      <c r="J2075" s="18" t="str">
        <f>IFERROR(__xludf.DUMMYFUNCTION("""COMPUTED_VALUE"""),"Delivery Experience")</f>
        <v>Delivery Experience</v>
      </c>
      <c r="K2075" s="18" t="str">
        <f>IFERROR(__xludf.DUMMYFUNCTION("""COMPUTED_VALUE"""),"Quick and professional")</f>
        <v>Quick and professional</v>
      </c>
      <c r="L2075" s="18">
        <f>iferror(VLOOKUP($D2075,Details!$A$2:$C$11,2,false),vlookup($D2075,Details!$E$2:$G$11,2,false))</f>
        <v>90</v>
      </c>
      <c r="M2075" s="18" t="str">
        <f>iferror(VLOOKUP($D2075,Details!$A$2:$C$11,3,false),vlookup($D2075,Details!$E$2:$G$11,3,false))</f>
        <v>Snacks and Drinks</v>
      </c>
      <c r="N2075" s="18">
        <f t="shared" si="1"/>
        <v>180</v>
      </c>
      <c r="O2075" s="17"/>
      <c r="P2075" s="17"/>
      <c r="Q2075" s="17"/>
      <c r="R2075" s="17"/>
      <c r="S2075" s="17"/>
      <c r="T2075" s="17"/>
      <c r="U2075" s="17"/>
      <c r="V2075" s="17"/>
      <c r="W2075" s="17"/>
      <c r="X2075" s="17"/>
      <c r="Y2075" s="17"/>
      <c r="Z2075" s="17"/>
    </row>
    <row r="2076">
      <c r="A2076" s="18" t="str">
        <f>IFERROR(__xludf.DUMMYFUNCTION("""COMPUTED_VALUE"""),"ord_82052")</f>
        <v>ord_82052</v>
      </c>
      <c r="B2076" s="18" t="str">
        <f>IFERROR(__xludf.DUMMYFUNCTION("""COMPUTED_VALUE"""),"Mohit Malhotra")</f>
        <v>Mohit Malhotra</v>
      </c>
      <c r="C2076" s="18" t="str">
        <f>IFERROR(__xludf.DUMMYFUNCTION("""COMPUTED_VALUE"""),"Lower Parel")</f>
        <v>Lower Parel</v>
      </c>
      <c r="D2076" s="18" t="str">
        <f>IFERROR(__xludf.DUMMYFUNCTION("""COMPUTED_VALUE"""),"Rasmalai")</f>
        <v>Rasmalai</v>
      </c>
      <c r="E2076" s="18">
        <f>IFERROR(__xludf.DUMMYFUNCTION("""COMPUTED_VALUE"""),1.0)</f>
        <v>1</v>
      </c>
      <c r="F2076" s="18" t="str">
        <f>IFERROR(__xludf.DUMMYFUNCTION("""COMPUTED_VALUE"""),"Manju Ajay")</f>
        <v>Manju Ajay</v>
      </c>
      <c r="G2076" s="19">
        <f>IFERROR(__xludf.DUMMYFUNCTION("""COMPUTED_VALUE"""),44973.0)</f>
        <v>44973</v>
      </c>
      <c r="H2076" s="18" t="str">
        <f>IFERROR(__xludf.DUMMYFUNCTION("""COMPUTED_VALUE"""),"Credit Card")</f>
        <v>Credit Card</v>
      </c>
      <c r="I2076" s="18" t="str">
        <f>IFERROR(__xludf.DUMMYFUNCTION("""COMPUTED_VALUE"""),"Delivered")</f>
        <v>Delivered</v>
      </c>
      <c r="J2076" s="18" t="str">
        <f>IFERROR(__xludf.DUMMYFUNCTION("""COMPUTED_VALUE"""),"Convenience")</f>
        <v>Convenience</v>
      </c>
      <c r="K2076" s="18" t="str">
        <f>IFERROR(__xludf.DUMMYFUNCTION("""COMPUTED_VALUE"""),"Easy tracking")</f>
        <v>Easy tracking</v>
      </c>
      <c r="L2076" s="18">
        <f>iferror(VLOOKUP($D2076,Details!$A$2:$C$11,2,false),vlookup($D2076,Details!$E$2:$G$11,2,false))</f>
        <v>110</v>
      </c>
      <c r="M2076" s="18" t="str">
        <f>iferror(VLOOKUP($D2076,Details!$A$2:$C$11,3,false),vlookup($D2076,Details!$E$2:$G$11,3,false))</f>
        <v>Snacks and Drinks</v>
      </c>
      <c r="N2076" s="18">
        <f t="shared" si="1"/>
        <v>110</v>
      </c>
      <c r="O2076" s="17"/>
      <c r="P2076" s="17"/>
      <c r="Q2076" s="17"/>
      <c r="R2076" s="17"/>
      <c r="S2076" s="17"/>
      <c r="T2076" s="17"/>
      <c r="U2076" s="17"/>
      <c r="V2076" s="17"/>
      <c r="W2076" s="17"/>
      <c r="X2076" s="17"/>
      <c r="Y2076" s="17"/>
      <c r="Z2076" s="17"/>
    </row>
    <row r="2077">
      <c r="A2077" s="18" t="str">
        <f>IFERROR(__xludf.DUMMYFUNCTION("""COMPUTED_VALUE"""),"ord_82053")</f>
        <v>ord_82053</v>
      </c>
      <c r="B2077" s="18" t="str">
        <f>IFERROR(__xludf.DUMMYFUNCTION("""COMPUTED_VALUE"""),"Aditi Iyer")</f>
        <v>Aditi Iyer</v>
      </c>
      <c r="C2077" s="18" t="str">
        <f>IFERROR(__xludf.DUMMYFUNCTION("""COMPUTED_VALUE"""),"Dadar")</f>
        <v>Dadar</v>
      </c>
      <c r="D2077" s="18" t="str">
        <f>IFERROR(__xludf.DUMMYFUNCTION("""COMPUTED_VALUE"""),"Papaya")</f>
        <v>Papaya</v>
      </c>
      <c r="E2077" s="18">
        <f>IFERROR(__xludf.DUMMYFUNCTION("""COMPUTED_VALUE"""),2.0)</f>
        <v>2</v>
      </c>
      <c r="F2077" s="18" t="str">
        <f>IFERROR(__xludf.DUMMYFUNCTION("""COMPUTED_VALUE"""),"Ram Gopal")</f>
        <v>Ram Gopal</v>
      </c>
      <c r="G2077" s="19">
        <f>IFERROR(__xludf.DUMMYFUNCTION("""COMPUTED_VALUE"""),45187.0)</f>
        <v>45187</v>
      </c>
      <c r="H2077" s="18" t="str">
        <f>IFERROR(__xludf.DUMMYFUNCTION("""COMPUTED_VALUE"""),"Online Payment")</f>
        <v>Online Payment</v>
      </c>
      <c r="I2077" s="18" t="str">
        <f>IFERROR(__xludf.DUMMYFUNCTION("""COMPUTED_VALUE"""),"Delivered")</f>
        <v>Delivered</v>
      </c>
      <c r="J2077" s="18" t="str">
        <f>IFERROR(__xludf.DUMMYFUNCTION("""COMPUTED_VALUE"""),"Overall Satisfaction")</f>
        <v>Overall Satisfaction</v>
      </c>
      <c r="K2077" s="18" t="str">
        <f>IFERROR(__xludf.DUMMYFUNCTION("""COMPUTED_VALUE"""),"Great service will order again")</f>
        <v>Great service will order again</v>
      </c>
      <c r="L2077" s="18">
        <f>iferror(VLOOKUP($D2077,Details!$A$2:$C$11,2,false),vlookup($D2077,Details!$E$2:$G$11,2,false))</f>
        <v>75</v>
      </c>
      <c r="M2077" s="18" t="str">
        <f>iferror(VLOOKUP($D2077,Details!$A$2:$C$11,3,false),vlookup($D2077,Details!$E$2:$G$11,3,false))</f>
        <v>Fruits and Vegetables</v>
      </c>
      <c r="N2077" s="18">
        <f t="shared" si="1"/>
        <v>150</v>
      </c>
      <c r="O2077" s="17"/>
      <c r="P2077" s="17"/>
      <c r="Q2077" s="17"/>
      <c r="R2077" s="17"/>
      <c r="S2077" s="17"/>
      <c r="T2077" s="17"/>
      <c r="U2077" s="17"/>
      <c r="V2077" s="17"/>
      <c r="W2077" s="17"/>
      <c r="X2077" s="17"/>
      <c r="Y2077" s="17"/>
      <c r="Z2077" s="17"/>
    </row>
    <row r="2078">
      <c r="A2078" s="18" t="str">
        <f>IFERROR(__xludf.DUMMYFUNCTION("""COMPUTED_VALUE"""),"ord_82054")</f>
        <v>ord_82054</v>
      </c>
      <c r="B2078" s="18" t="str">
        <f>IFERROR(__xludf.DUMMYFUNCTION("""COMPUTED_VALUE"""),"Arvind Kulkarni")</f>
        <v>Arvind Kulkarni</v>
      </c>
      <c r="C2078" s="18" t="str">
        <f>IFERROR(__xludf.DUMMYFUNCTION("""COMPUTED_VALUE"""),"Juhu")</f>
        <v>Juhu</v>
      </c>
      <c r="D2078" s="18" t="str">
        <f>IFERROR(__xludf.DUMMYFUNCTION("""COMPUTED_VALUE"""),"Potato")</f>
        <v>Potato</v>
      </c>
      <c r="E2078" s="18">
        <f>IFERROR(__xludf.DUMMYFUNCTION("""COMPUTED_VALUE"""),1.0)</f>
        <v>1</v>
      </c>
      <c r="F2078" s="18" t="str">
        <f>IFERROR(__xludf.DUMMYFUNCTION("""COMPUTED_VALUE"""),"Not Assigned")</f>
        <v>Not Assigned</v>
      </c>
      <c r="G2078" s="19">
        <f>IFERROR(__xludf.DUMMYFUNCTION("""COMPUTED_VALUE"""),45149.0)</f>
        <v>45149</v>
      </c>
      <c r="H2078" s="18" t="str">
        <f>IFERROR(__xludf.DUMMYFUNCTION("""COMPUTED_VALUE"""),"Credit Card")</f>
        <v>Credit Card</v>
      </c>
      <c r="I2078" s="18" t="str">
        <f>IFERROR(__xludf.DUMMYFUNCTION("""COMPUTED_VALUE"""),"Cancelled")</f>
        <v>Cancelled</v>
      </c>
      <c r="J2078" s="18" t="str">
        <f>IFERROR(__xludf.DUMMYFUNCTION("""COMPUTED_VALUE"""),"App Glitches")</f>
        <v>App Glitches</v>
      </c>
      <c r="K2078" s="18" t="str">
        <f>IFERROR(__xludf.DUMMYFUNCTION("""COMPUTED_VALUE"""),"Slow Loading Time")</f>
        <v>Slow Loading Time</v>
      </c>
      <c r="L2078" s="18">
        <f>iferror(VLOOKUP($D2078,Details!$A$2:$C$11,2,false),vlookup($D2078,Details!$E$2:$G$11,2,false))</f>
        <v>55</v>
      </c>
      <c r="M2078" s="18" t="str">
        <f>iferror(VLOOKUP($D2078,Details!$A$2:$C$11,3,false),vlookup($D2078,Details!$E$2:$G$11,3,false))</f>
        <v>Fruits and Vegetables</v>
      </c>
      <c r="N2078" s="18">
        <f t="shared" si="1"/>
        <v>55</v>
      </c>
      <c r="O2078" s="17"/>
      <c r="P2078" s="17"/>
      <c r="Q2078" s="17"/>
      <c r="R2078" s="17"/>
      <c r="S2078" s="17"/>
      <c r="T2078" s="17"/>
      <c r="U2078" s="17"/>
      <c r="V2078" s="17"/>
      <c r="W2078" s="17"/>
      <c r="X2078" s="17"/>
      <c r="Y2078" s="17"/>
      <c r="Z2078" s="17"/>
    </row>
    <row r="2079">
      <c r="A2079" s="18" t="str">
        <f>IFERROR(__xludf.DUMMYFUNCTION("""COMPUTED_VALUE"""),"ord_82055")</f>
        <v>ord_82055</v>
      </c>
      <c r="B2079" s="18" t="str">
        <f>IFERROR(__xludf.DUMMYFUNCTION("""COMPUTED_VALUE"""),"Mohit Malhotra")</f>
        <v>Mohit Malhotra</v>
      </c>
      <c r="C2079" s="18" t="str">
        <f>IFERROR(__xludf.DUMMYFUNCTION("""COMPUTED_VALUE"""),"Lower Parel")</f>
        <v>Lower Parel</v>
      </c>
      <c r="D2079" s="18" t="str">
        <f>IFERROR(__xludf.DUMMYFUNCTION("""COMPUTED_VALUE"""),"Banana")</f>
        <v>Banana</v>
      </c>
      <c r="E2079" s="18">
        <f>IFERROR(__xludf.DUMMYFUNCTION("""COMPUTED_VALUE"""),2.0)</f>
        <v>2</v>
      </c>
      <c r="F2079" s="18" t="str">
        <f>IFERROR(__xludf.DUMMYFUNCTION("""COMPUTED_VALUE"""),"Ramesh S")</f>
        <v>Ramesh S</v>
      </c>
      <c r="G2079" s="19">
        <f>IFERROR(__xludf.DUMMYFUNCTION("""COMPUTED_VALUE"""),44989.0)</f>
        <v>44989</v>
      </c>
      <c r="H2079" s="18" t="str">
        <f>IFERROR(__xludf.DUMMYFUNCTION("""COMPUTED_VALUE"""),"Credit Card")</f>
        <v>Credit Card</v>
      </c>
      <c r="I2079" s="18" t="str">
        <f>IFERROR(__xludf.DUMMYFUNCTION("""COMPUTED_VALUE"""),"Delivered")</f>
        <v>Delivered</v>
      </c>
      <c r="J2079" s="18" t="str">
        <f>IFERROR(__xludf.DUMMYFUNCTION("""COMPUTED_VALUE"""),"On-time Delivery")</f>
        <v>On-time Delivery</v>
      </c>
      <c r="K2079" s="18" t="str">
        <f>IFERROR(__xludf.DUMMYFUNCTION("""COMPUTED_VALUE"""),"Delivered on time")</f>
        <v>Delivered on time</v>
      </c>
      <c r="L2079" s="18">
        <f>iferror(VLOOKUP($D2079,Details!$A$2:$C$11,2,false),vlookup($D2079,Details!$E$2:$G$11,2,false))</f>
        <v>80</v>
      </c>
      <c r="M2079" s="18" t="str">
        <f>iferror(VLOOKUP($D2079,Details!$A$2:$C$11,3,false),vlookup($D2079,Details!$E$2:$G$11,3,false))</f>
        <v>Fruits and Vegetables</v>
      </c>
      <c r="N2079" s="18">
        <f t="shared" si="1"/>
        <v>160</v>
      </c>
      <c r="O2079" s="17"/>
      <c r="P2079" s="17"/>
      <c r="Q2079" s="17"/>
      <c r="R2079" s="17"/>
      <c r="S2079" s="17"/>
      <c r="T2079" s="17"/>
      <c r="U2079" s="17"/>
      <c r="V2079" s="17"/>
      <c r="W2079" s="17"/>
      <c r="X2079" s="17"/>
      <c r="Y2079" s="17"/>
      <c r="Z2079" s="17"/>
    </row>
    <row r="2080">
      <c r="A2080" s="18" t="str">
        <f>IFERROR(__xludf.DUMMYFUNCTION("""COMPUTED_VALUE"""),"ord_82056")</f>
        <v>ord_82056</v>
      </c>
      <c r="B2080" s="18" t="str">
        <f>IFERROR(__xludf.DUMMYFUNCTION("""COMPUTED_VALUE"""),"Tanishq Bansal")</f>
        <v>Tanishq Bansal</v>
      </c>
      <c r="C2080" s="18" t="str">
        <f>IFERROR(__xludf.DUMMYFUNCTION("""COMPUTED_VALUE"""),"Powai")</f>
        <v>Powai</v>
      </c>
      <c r="D2080" s="18" t="str">
        <f>IFERROR(__xludf.DUMMYFUNCTION("""COMPUTED_VALUE"""),"Onion")</f>
        <v>Onion</v>
      </c>
      <c r="E2080" s="18">
        <f>IFERROR(__xludf.DUMMYFUNCTION("""COMPUTED_VALUE"""),2.0)</f>
        <v>2</v>
      </c>
      <c r="F2080" s="18" t="str">
        <f>IFERROR(__xludf.DUMMYFUNCTION("""COMPUTED_VALUE"""),"Ram Gopal")</f>
        <v>Ram Gopal</v>
      </c>
      <c r="G2080" s="19">
        <f>IFERROR(__xludf.DUMMYFUNCTION("""COMPUTED_VALUE"""),44978.0)</f>
        <v>44978</v>
      </c>
      <c r="H2080" s="18" t="str">
        <f>IFERROR(__xludf.DUMMYFUNCTION("""COMPUTED_VALUE"""),"Online Payment")</f>
        <v>Online Payment</v>
      </c>
      <c r="I2080" s="18" t="str">
        <f>IFERROR(__xludf.DUMMYFUNCTION("""COMPUTED_VALUE"""),"Delivered")</f>
        <v>Delivered</v>
      </c>
      <c r="J2080" s="18" t="str">
        <f>IFERROR(__xludf.DUMMYFUNCTION("""COMPUTED_VALUE"""),"Quality of Items")</f>
        <v>Quality of Items</v>
      </c>
      <c r="K2080" s="18" t="str">
        <f>IFERROR(__xludf.DUMMYFUNCTION("""COMPUTED_VALUE"""),"Perfect condition")</f>
        <v>Perfect condition</v>
      </c>
      <c r="L2080" s="18">
        <f>iferror(VLOOKUP($D2080,Details!$A$2:$C$11,2,false),vlookup($D2080,Details!$E$2:$G$11,2,false))</f>
        <v>84</v>
      </c>
      <c r="M2080" s="18" t="str">
        <f>iferror(VLOOKUP($D2080,Details!$A$2:$C$11,3,false),vlookup($D2080,Details!$E$2:$G$11,3,false))</f>
        <v>Fruits and Vegetables</v>
      </c>
      <c r="N2080" s="18">
        <f t="shared" si="1"/>
        <v>168</v>
      </c>
      <c r="O2080" s="17"/>
      <c r="P2080" s="17"/>
      <c r="Q2080" s="17"/>
      <c r="R2080" s="17"/>
      <c r="S2080" s="17"/>
      <c r="T2080" s="17"/>
      <c r="U2080" s="17"/>
      <c r="V2080" s="17"/>
      <c r="W2080" s="17"/>
      <c r="X2080" s="17"/>
      <c r="Y2080" s="17"/>
      <c r="Z2080" s="17"/>
    </row>
    <row r="2081">
      <c r="A2081" s="18" t="str">
        <f>IFERROR(__xludf.DUMMYFUNCTION("""COMPUTED_VALUE"""),"ord_82057")</f>
        <v>ord_82057</v>
      </c>
      <c r="B2081" s="18" t="str">
        <f>IFERROR(__xludf.DUMMYFUNCTION("""COMPUTED_VALUE"""),"Arvind Kulkarni")</f>
        <v>Arvind Kulkarni</v>
      </c>
      <c r="C2081" s="18" t="str">
        <f>IFERROR(__xludf.DUMMYFUNCTION("""COMPUTED_VALUE"""),"Juhu")</f>
        <v>Juhu</v>
      </c>
      <c r="D2081" s="18" t="str">
        <f>IFERROR(__xludf.DUMMYFUNCTION("""COMPUTED_VALUE"""),"Papaya")</f>
        <v>Papaya</v>
      </c>
      <c r="E2081" s="18">
        <f>IFERROR(__xludf.DUMMYFUNCTION("""COMPUTED_VALUE"""),1.0)</f>
        <v>1</v>
      </c>
      <c r="F2081" s="18" t="str">
        <f>IFERROR(__xludf.DUMMYFUNCTION("""COMPUTED_VALUE"""),"Venu R")</f>
        <v>Venu R</v>
      </c>
      <c r="G2081" s="19">
        <f>IFERROR(__xludf.DUMMYFUNCTION("""COMPUTED_VALUE"""),44966.0)</f>
        <v>44966</v>
      </c>
      <c r="H2081" s="18" t="str">
        <f>IFERROR(__xludf.DUMMYFUNCTION("""COMPUTED_VALUE"""),"Online Payment")</f>
        <v>Online Payment</v>
      </c>
      <c r="I2081" s="18" t="str">
        <f>IFERROR(__xludf.DUMMYFUNCTION("""COMPUTED_VALUE"""),"Delivered")</f>
        <v>Delivered</v>
      </c>
      <c r="J2081" s="18" t="str">
        <f>IFERROR(__xludf.DUMMYFUNCTION("""COMPUTED_VALUE"""),"On-time Delivery")</f>
        <v>On-time Delivery</v>
      </c>
      <c r="K2081" s="18" t="str">
        <f>IFERROR(__xludf.DUMMYFUNCTION("""COMPUTED_VALUE"""),"Delivered on time")</f>
        <v>Delivered on time</v>
      </c>
      <c r="L2081" s="18">
        <f>iferror(VLOOKUP($D2081,Details!$A$2:$C$11,2,false),vlookup($D2081,Details!$E$2:$G$11,2,false))</f>
        <v>75</v>
      </c>
      <c r="M2081" s="18" t="str">
        <f>iferror(VLOOKUP($D2081,Details!$A$2:$C$11,3,false),vlookup($D2081,Details!$E$2:$G$11,3,false))</f>
        <v>Fruits and Vegetables</v>
      </c>
      <c r="N2081" s="18">
        <f t="shared" si="1"/>
        <v>75</v>
      </c>
      <c r="O2081" s="17"/>
      <c r="P2081" s="17"/>
      <c r="Q2081" s="17"/>
      <c r="R2081" s="17"/>
      <c r="S2081" s="17"/>
      <c r="T2081" s="17"/>
      <c r="U2081" s="17"/>
      <c r="V2081" s="17"/>
      <c r="W2081" s="17"/>
      <c r="X2081" s="17"/>
      <c r="Y2081" s="17"/>
      <c r="Z2081" s="17"/>
    </row>
    <row r="2082">
      <c r="A2082" s="18" t="str">
        <f>IFERROR(__xludf.DUMMYFUNCTION("""COMPUTED_VALUE"""),"ord_82058")</f>
        <v>ord_82058</v>
      </c>
      <c r="B2082" s="18" t="str">
        <f>IFERROR(__xludf.DUMMYFUNCTION("""COMPUTED_VALUE"""),"Sakshi Tandon")</f>
        <v>Sakshi Tandon</v>
      </c>
      <c r="C2082" s="18" t="str">
        <f>IFERROR(__xludf.DUMMYFUNCTION("""COMPUTED_VALUE"""),"Colaba")</f>
        <v>Colaba</v>
      </c>
      <c r="D2082" s="18" t="str">
        <f>IFERROR(__xludf.DUMMYFUNCTION("""COMPUTED_VALUE"""),"Guava")</f>
        <v>Guava</v>
      </c>
      <c r="E2082" s="18">
        <f>IFERROR(__xludf.DUMMYFUNCTION("""COMPUTED_VALUE"""),1.0)</f>
        <v>1</v>
      </c>
      <c r="F2082" s="18" t="str">
        <f>IFERROR(__xludf.DUMMYFUNCTION("""COMPUTED_VALUE"""),"Ramesh S")</f>
        <v>Ramesh S</v>
      </c>
      <c r="G2082" s="19">
        <f>IFERROR(__xludf.DUMMYFUNCTION("""COMPUTED_VALUE"""),45081.0)</f>
        <v>45081</v>
      </c>
      <c r="H2082" s="18" t="str">
        <f>IFERROR(__xludf.DUMMYFUNCTION("""COMPUTED_VALUE"""),"UPI")</f>
        <v>UPI</v>
      </c>
      <c r="I2082" s="18" t="str">
        <f>IFERROR(__xludf.DUMMYFUNCTION("""COMPUTED_VALUE"""),"Delivered")</f>
        <v>Delivered</v>
      </c>
      <c r="J2082" s="18" t="str">
        <f>IFERROR(__xludf.DUMMYFUNCTION("""COMPUTED_VALUE"""),"Quality of Items")</f>
        <v>Quality of Items</v>
      </c>
      <c r="K2082" s="18" t="str">
        <f>IFERROR(__xludf.DUMMYFUNCTION("""COMPUTED_VALUE"""),"Perfect condition")</f>
        <v>Perfect condition</v>
      </c>
      <c r="L2082" s="18">
        <f>iferror(VLOOKUP($D2082,Details!$A$2:$C$11,2,false),vlookup($D2082,Details!$E$2:$G$11,2,false))</f>
        <v>70</v>
      </c>
      <c r="M2082" s="18" t="str">
        <f>iferror(VLOOKUP($D2082,Details!$A$2:$C$11,3,false),vlookup($D2082,Details!$E$2:$G$11,3,false))</f>
        <v>Fruits and Vegetables</v>
      </c>
      <c r="N2082" s="18">
        <f t="shared" si="1"/>
        <v>70</v>
      </c>
      <c r="O2082" s="17"/>
      <c r="P2082" s="17"/>
      <c r="Q2082" s="17"/>
      <c r="R2082" s="17"/>
      <c r="S2082" s="17"/>
      <c r="T2082" s="17"/>
      <c r="U2082" s="17"/>
      <c r="V2082" s="17"/>
      <c r="W2082" s="17"/>
      <c r="X2082" s="17"/>
      <c r="Y2082" s="17"/>
      <c r="Z2082" s="17"/>
    </row>
    <row r="2083">
      <c r="A2083" s="18" t="str">
        <f>IFERROR(__xludf.DUMMYFUNCTION("""COMPUTED_VALUE"""),"ord_10117")</f>
        <v>ord_10117</v>
      </c>
      <c r="B2083" s="18" t="str">
        <f>IFERROR(__xludf.DUMMYFUNCTION("""COMPUTED_VALUE"""),"Aarohi Kapoor")</f>
        <v>Aarohi Kapoor</v>
      </c>
      <c r="C2083" s="18" t="str">
        <f>IFERROR(__xludf.DUMMYFUNCTION("""COMPUTED_VALUE"""),"Bandra")</f>
        <v>Bandra</v>
      </c>
      <c r="D2083" s="18" t="str">
        <f>IFERROR(__xludf.DUMMYFUNCTION("""COMPUTED_VALUE"""),"Orange")</f>
        <v>Orange</v>
      </c>
      <c r="E2083" s="18">
        <f>IFERROR(__xludf.DUMMYFUNCTION("""COMPUTED_VALUE"""),1.0)</f>
        <v>1</v>
      </c>
      <c r="F2083" s="18" t="str">
        <f>IFERROR(__xludf.DUMMYFUNCTION("""COMPUTED_VALUE"""),"Nithin Lal")</f>
        <v>Nithin Lal</v>
      </c>
      <c r="G2083" s="19">
        <f>IFERROR(__xludf.DUMMYFUNCTION("""COMPUTED_VALUE"""),44964.0)</f>
        <v>44964</v>
      </c>
      <c r="H2083" s="18" t="str">
        <f>IFERROR(__xludf.DUMMYFUNCTION("""COMPUTED_VALUE"""),"Credit Card")</f>
        <v>Credit Card</v>
      </c>
      <c r="I2083" s="18" t="str">
        <f>IFERROR(__xludf.DUMMYFUNCTION("""COMPUTED_VALUE"""),"Delivered")</f>
        <v>Delivered</v>
      </c>
      <c r="J2083" s="18" t="str">
        <f>IFERROR(__xludf.DUMMYFUNCTION("""COMPUTED_VALUE"""),"Overall Satisfaction")</f>
        <v>Overall Satisfaction</v>
      </c>
      <c r="K2083" s="18" t="str">
        <f>IFERROR(__xludf.DUMMYFUNCTION("""COMPUTED_VALUE"""),"Great service will order again")</f>
        <v>Great service will order again</v>
      </c>
      <c r="L2083" s="18">
        <f>iferror(VLOOKUP($D2083,Details!$A$2:$C$11,2,false),vlookup($D2083,Details!$E$2:$G$11,2,false))</f>
        <v>180</v>
      </c>
      <c r="M2083" s="18" t="str">
        <f>iferror(VLOOKUP($D2083,Details!$A$2:$C$11,3,false),vlookup($D2083,Details!$E$2:$G$11,3,false))</f>
        <v>Fruits and Vegetables</v>
      </c>
      <c r="N2083" s="18">
        <f t="shared" si="1"/>
        <v>180</v>
      </c>
      <c r="O2083" s="17"/>
      <c r="P2083" s="17"/>
      <c r="Q2083" s="17"/>
      <c r="R2083" s="17"/>
      <c r="S2083" s="17"/>
      <c r="T2083" s="17"/>
      <c r="U2083" s="17"/>
      <c r="V2083" s="17"/>
      <c r="W2083" s="17"/>
      <c r="X2083" s="17"/>
      <c r="Y2083" s="17"/>
      <c r="Z2083" s="17"/>
    </row>
    <row r="2084">
      <c r="A2084" s="18" t="str">
        <f>IFERROR(__xludf.DUMMYFUNCTION("""COMPUTED_VALUE"""),"ord_10126")</f>
        <v>ord_10126</v>
      </c>
      <c r="B2084" s="18" t="str">
        <f>IFERROR(__xludf.DUMMYFUNCTION("""COMPUTED_VALUE"""),"Kritika Shetty")</f>
        <v>Kritika Shetty</v>
      </c>
      <c r="C2084" s="18" t="str">
        <f>IFERROR(__xludf.DUMMYFUNCTION("""COMPUTED_VALUE"""),"Malad")</f>
        <v>Malad</v>
      </c>
      <c r="D2084" s="18" t="str">
        <f>IFERROR(__xludf.DUMMYFUNCTION("""COMPUTED_VALUE"""),"Banana")</f>
        <v>Banana</v>
      </c>
      <c r="E2084" s="18">
        <f>IFERROR(__xludf.DUMMYFUNCTION("""COMPUTED_VALUE"""),2.0)</f>
        <v>2</v>
      </c>
      <c r="F2084" s="18" t="str">
        <f>IFERROR(__xludf.DUMMYFUNCTION("""COMPUTED_VALUE"""),"Vivek Kumar")</f>
        <v>Vivek Kumar</v>
      </c>
      <c r="G2084" s="19">
        <f>IFERROR(__xludf.DUMMYFUNCTION("""COMPUTED_VALUE"""),45276.0)</f>
        <v>45276</v>
      </c>
      <c r="H2084" s="18" t="str">
        <f>IFERROR(__xludf.DUMMYFUNCTION("""COMPUTED_VALUE"""),"Online Payment")</f>
        <v>Online Payment</v>
      </c>
      <c r="I2084" s="18" t="str">
        <f>IFERROR(__xludf.DUMMYFUNCTION("""COMPUTED_VALUE"""),"Delivered")</f>
        <v>Delivered</v>
      </c>
      <c r="J2084" s="18" t="str">
        <f>IFERROR(__xludf.DUMMYFUNCTION("""COMPUTED_VALUE"""),"On-time Delivery")</f>
        <v>On-time Delivery</v>
      </c>
      <c r="K2084" s="18" t="str">
        <f>IFERROR(__xludf.DUMMYFUNCTION("""COMPUTED_VALUE"""),"Delivered on time")</f>
        <v>Delivered on time</v>
      </c>
      <c r="L2084" s="18">
        <f>iferror(VLOOKUP($D2084,Details!$A$2:$C$11,2,false),vlookup($D2084,Details!$E$2:$G$11,2,false))</f>
        <v>80</v>
      </c>
      <c r="M2084" s="18" t="str">
        <f>iferror(VLOOKUP($D2084,Details!$A$2:$C$11,3,false),vlookup($D2084,Details!$E$2:$G$11,3,false))</f>
        <v>Fruits and Vegetables</v>
      </c>
      <c r="N2084" s="18">
        <f t="shared" si="1"/>
        <v>160</v>
      </c>
      <c r="O2084" s="17"/>
      <c r="P2084" s="17"/>
      <c r="Q2084" s="17"/>
      <c r="R2084" s="17"/>
      <c r="S2084" s="17"/>
      <c r="T2084" s="17"/>
      <c r="U2084" s="17"/>
      <c r="V2084" s="17"/>
      <c r="W2084" s="17"/>
      <c r="X2084" s="17"/>
      <c r="Y2084" s="17"/>
      <c r="Z2084" s="17"/>
    </row>
    <row r="2085">
      <c r="A2085" s="18" t="str">
        <f>IFERROR(__xludf.DUMMYFUNCTION("""COMPUTED_VALUE"""),"ord_82059")</f>
        <v>ord_82059</v>
      </c>
      <c r="B2085" s="18" t="str">
        <f>IFERROR(__xludf.DUMMYFUNCTION("""COMPUTED_VALUE"""),"Pallavi Ghosh")</f>
        <v>Pallavi Ghosh</v>
      </c>
      <c r="C2085" s="18" t="str">
        <f>IFERROR(__xludf.DUMMYFUNCTION("""COMPUTED_VALUE"""),"Bandra")</f>
        <v>Bandra</v>
      </c>
      <c r="D2085" s="18" t="str">
        <f>IFERROR(__xludf.DUMMYFUNCTION("""COMPUTED_VALUE"""),"Potato")</f>
        <v>Potato</v>
      </c>
      <c r="E2085" s="18">
        <f>IFERROR(__xludf.DUMMYFUNCTION("""COMPUTED_VALUE"""),2.0)</f>
        <v>2</v>
      </c>
      <c r="F2085" s="18" t="str">
        <f>IFERROR(__xludf.DUMMYFUNCTION("""COMPUTED_VALUE"""),"Shine Thomas")</f>
        <v>Shine Thomas</v>
      </c>
      <c r="G2085" s="19">
        <f>IFERROR(__xludf.DUMMYFUNCTION("""COMPUTED_VALUE"""),45129.0)</f>
        <v>45129</v>
      </c>
      <c r="H2085" s="18" t="str">
        <f>IFERROR(__xludf.DUMMYFUNCTION("""COMPUTED_VALUE"""),"Credit Card")</f>
        <v>Credit Card</v>
      </c>
      <c r="I2085" s="18" t="str">
        <f>IFERROR(__xludf.DUMMYFUNCTION("""COMPUTED_VALUE"""),"Delivered")</f>
        <v>Delivered</v>
      </c>
      <c r="J2085" s="18" t="str">
        <f>IFERROR(__xludf.DUMMYFUNCTION("""COMPUTED_VALUE"""),"Packaging")</f>
        <v>Packaging</v>
      </c>
      <c r="K2085" s="18" t="str">
        <f>IFERROR(__xludf.DUMMYFUNCTION("""COMPUTED_VALUE"""),"Secure and intact")</f>
        <v>Secure and intact</v>
      </c>
      <c r="L2085" s="18">
        <f>iferror(VLOOKUP($D2085,Details!$A$2:$C$11,2,false),vlookup($D2085,Details!$E$2:$G$11,2,false))</f>
        <v>55</v>
      </c>
      <c r="M2085" s="18" t="str">
        <f>iferror(VLOOKUP($D2085,Details!$A$2:$C$11,3,false),vlookup($D2085,Details!$E$2:$G$11,3,false))</f>
        <v>Fruits and Vegetables</v>
      </c>
      <c r="N2085" s="18">
        <f t="shared" si="1"/>
        <v>110</v>
      </c>
      <c r="O2085" s="17"/>
      <c r="P2085" s="17"/>
      <c r="Q2085" s="17"/>
      <c r="R2085" s="17"/>
      <c r="S2085" s="17"/>
      <c r="T2085" s="17"/>
      <c r="U2085" s="17"/>
      <c r="V2085" s="17"/>
      <c r="W2085" s="17"/>
      <c r="X2085" s="17"/>
      <c r="Y2085" s="17"/>
      <c r="Z2085" s="17"/>
    </row>
    <row r="2086">
      <c r="A2086" s="18" t="str">
        <f>IFERROR(__xludf.DUMMYFUNCTION("""COMPUTED_VALUE"""),"ord_82060")</f>
        <v>ord_82060</v>
      </c>
      <c r="B2086" s="18" t="str">
        <f>IFERROR(__xludf.DUMMYFUNCTION("""COMPUTED_VALUE"""),"Tanishq Bansal")</f>
        <v>Tanishq Bansal</v>
      </c>
      <c r="C2086" s="18" t="str">
        <f>IFERROR(__xludf.DUMMYFUNCTION("""COMPUTED_VALUE"""),"Powai")</f>
        <v>Powai</v>
      </c>
      <c r="D2086" s="18" t="str">
        <f>IFERROR(__xludf.DUMMYFUNCTION("""COMPUTED_VALUE"""),"Papaya")</f>
        <v>Papaya</v>
      </c>
      <c r="E2086" s="18">
        <f>IFERROR(__xludf.DUMMYFUNCTION("""COMPUTED_VALUE"""),1.0)</f>
        <v>1</v>
      </c>
      <c r="F2086" s="18" t="str">
        <f>IFERROR(__xludf.DUMMYFUNCTION("""COMPUTED_VALUE"""),"Vivek Kumar")</f>
        <v>Vivek Kumar</v>
      </c>
      <c r="G2086" s="19">
        <f>IFERROR(__xludf.DUMMYFUNCTION("""COMPUTED_VALUE"""),44965.0)</f>
        <v>44965</v>
      </c>
      <c r="H2086" s="18" t="str">
        <f>IFERROR(__xludf.DUMMYFUNCTION("""COMPUTED_VALUE"""),"Credit Card")</f>
        <v>Credit Card</v>
      </c>
      <c r="I2086" s="18" t="str">
        <f>IFERROR(__xludf.DUMMYFUNCTION("""COMPUTED_VALUE"""),"Delivered")</f>
        <v>Delivered</v>
      </c>
      <c r="J2086" s="18" t="str">
        <f>IFERROR(__xludf.DUMMYFUNCTION("""COMPUTED_VALUE"""),"Satisfied with the Delivery")</f>
        <v>Satisfied with the Delivery</v>
      </c>
      <c r="K2086" s="18" t="str">
        <f>IFERROR(__xludf.DUMMYFUNCTION("""COMPUTED_VALUE"""),"Timely and quality")</f>
        <v>Timely and quality</v>
      </c>
      <c r="L2086" s="18">
        <f>iferror(VLOOKUP($D2086,Details!$A$2:$C$11,2,false),vlookup($D2086,Details!$E$2:$G$11,2,false))</f>
        <v>75</v>
      </c>
      <c r="M2086" s="18" t="str">
        <f>iferror(VLOOKUP($D2086,Details!$A$2:$C$11,3,false),vlookup($D2086,Details!$E$2:$G$11,3,false))</f>
        <v>Fruits and Vegetables</v>
      </c>
      <c r="N2086" s="18">
        <f t="shared" si="1"/>
        <v>75</v>
      </c>
      <c r="O2086" s="17"/>
      <c r="P2086" s="17"/>
      <c r="Q2086" s="17"/>
      <c r="R2086" s="17"/>
      <c r="S2086" s="17"/>
      <c r="T2086" s="17"/>
      <c r="U2086" s="17"/>
      <c r="V2086" s="17"/>
      <c r="W2086" s="17"/>
      <c r="X2086" s="17"/>
      <c r="Y2086" s="17"/>
      <c r="Z2086" s="17"/>
    </row>
    <row r="2087">
      <c r="A2087" s="18" t="str">
        <f>IFERROR(__xludf.DUMMYFUNCTION("""COMPUTED_VALUE"""),"ord_82061")</f>
        <v>ord_82061</v>
      </c>
      <c r="B2087" s="18" t="str">
        <f>IFERROR(__xludf.DUMMYFUNCTION("""COMPUTED_VALUE"""),"Ritika Dutta")</f>
        <v>Ritika Dutta</v>
      </c>
      <c r="C2087" s="18" t="str">
        <f>IFERROR(__xludf.DUMMYFUNCTION("""COMPUTED_VALUE"""),"Lower Parel")</f>
        <v>Lower Parel</v>
      </c>
      <c r="D2087" s="18" t="str">
        <f>IFERROR(__xludf.DUMMYFUNCTION("""COMPUTED_VALUE"""),"Orange")</f>
        <v>Orange</v>
      </c>
      <c r="E2087" s="18">
        <f>IFERROR(__xludf.DUMMYFUNCTION("""COMPUTED_VALUE"""),2.0)</f>
        <v>2</v>
      </c>
      <c r="F2087" s="18" t="str">
        <f>IFERROR(__xludf.DUMMYFUNCTION("""COMPUTED_VALUE"""),"Venu R")</f>
        <v>Venu R</v>
      </c>
      <c r="G2087" s="19">
        <f>IFERROR(__xludf.DUMMYFUNCTION("""COMPUTED_VALUE"""),45179.0)</f>
        <v>45179</v>
      </c>
      <c r="H2087" s="18" t="str">
        <f>IFERROR(__xludf.DUMMYFUNCTION("""COMPUTED_VALUE"""),"Online Payment")</f>
        <v>Online Payment</v>
      </c>
      <c r="I2087" s="18" t="str">
        <f>IFERROR(__xludf.DUMMYFUNCTION("""COMPUTED_VALUE"""),"Delivered")</f>
        <v>Delivered</v>
      </c>
      <c r="J2087" s="18" t="str">
        <f>IFERROR(__xludf.DUMMYFUNCTION("""COMPUTED_VALUE"""),"Customer Service")</f>
        <v>Customer Service</v>
      </c>
      <c r="K2087" s="18" t="str">
        <f>IFERROR(__xludf.DUMMYFUNCTION("""COMPUTED_VALUE"""),"Seamless and easy")</f>
        <v>Seamless and easy</v>
      </c>
      <c r="L2087" s="18">
        <f>iferror(VLOOKUP($D2087,Details!$A$2:$C$11,2,false),vlookup($D2087,Details!$E$2:$G$11,2,false))</f>
        <v>180</v>
      </c>
      <c r="M2087" s="18" t="str">
        <f>iferror(VLOOKUP($D2087,Details!$A$2:$C$11,3,false),vlookup($D2087,Details!$E$2:$G$11,3,false))</f>
        <v>Fruits and Vegetables</v>
      </c>
      <c r="N2087" s="18">
        <f t="shared" si="1"/>
        <v>360</v>
      </c>
      <c r="O2087" s="17"/>
      <c r="P2087" s="17"/>
      <c r="Q2087" s="17"/>
      <c r="R2087" s="17"/>
      <c r="S2087" s="17"/>
      <c r="T2087" s="17"/>
      <c r="U2087" s="17"/>
      <c r="V2087" s="17"/>
      <c r="W2087" s="17"/>
      <c r="X2087" s="17"/>
      <c r="Y2087" s="17"/>
      <c r="Z2087" s="17"/>
    </row>
    <row r="2088">
      <c r="A2088" s="18" t="str">
        <f>IFERROR(__xludf.DUMMYFUNCTION("""COMPUTED_VALUE"""),"ord_82062")</f>
        <v>ord_82062</v>
      </c>
      <c r="B2088" s="18" t="str">
        <f>IFERROR(__xludf.DUMMYFUNCTION("""COMPUTED_VALUE"""),"Ritika Dutta")</f>
        <v>Ritika Dutta</v>
      </c>
      <c r="C2088" s="18" t="str">
        <f>IFERROR(__xludf.DUMMYFUNCTION("""COMPUTED_VALUE"""),"Lower Parel")</f>
        <v>Lower Parel</v>
      </c>
      <c r="D2088" s="18" t="str">
        <f>IFERROR(__xludf.DUMMYFUNCTION("""COMPUTED_VALUE"""),"Papaya")</f>
        <v>Papaya</v>
      </c>
      <c r="E2088" s="18">
        <f>IFERROR(__xludf.DUMMYFUNCTION("""COMPUTED_VALUE"""),2.0)</f>
        <v>2</v>
      </c>
      <c r="F2088" s="18" t="str">
        <f>IFERROR(__xludf.DUMMYFUNCTION("""COMPUTED_VALUE"""),"Ram Gopal")</f>
        <v>Ram Gopal</v>
      </c>
      <c r="G2088" s="19">
        <f>IFERROR(__xludf.DUMMYFUNCTION("""COMPUTED_VALUE"""),44971.0)</f>
        <v>44971</v>
      </c>
      <c r="H2088" s="18" t="str">
        <f>IFERROR(__xludf.DUMMYFUNCTION("""COMPUTED_VALUE"""),"Credit Card")</f>
        <v>Credit Card</v>
      </c>
      <c r="I2088" s="18" t="str">
        <f>IFERROR(__xludf.DUMMYFUNCTION("""COMPUTED_VALUE"""),"Delivered")</f>
        <v>Delivered</v>
      </c>
      <c r="J2088" s="18" t="str">
        <f>IFERROR(__xludf.DUMMYFUNCTION("""COMPUTED_VALUE"""),"Delivery Experience")</f>
        <v>Delivery Experience</v>
      </c>
      <c r="K2088" s="18" t="str">
        <f>IFERROR(__xludf.DUMMYFUNCTION("""COMPUTED_VALUE"""),"Quick and professional")</f>
        <v>Quick and professional</v>
      </c>
      <c r="L2088" s="18">
        <f>iferror(VLOOKUP($D2088,Details!$A$2:$C$11,2,false),vlookup($D2088,Details!$E$2:$G$11,2,false))</f>
        <v>75</v>
      </c>
      <c r="M2088" s="18" t="str">
        <f>iferror(VLOOKUP($D2088,Details!$A$2:$C$11,3,false),vlookup($D2088,Details!$E$2:$G$11,3,false))</f>
        <v>Fruits and Vegetables</v>
      </c>
      <c r="N2088" s="18">
        <f t="shared" si="1"/>
        <v>150</v>
      </c>
      <c r="O2088" s="17"/>
      <c r="P2088" s="17"/>
      <c r="Q2088" s="17"/>
      <c r="R2088" s="17"/>
      <c r="S2088" s="17"/>
      <c r="T2088" s="17"/>
      <c r="U2088" s="17"/>
      <c r="V2088" s="17"/>
      <c r="W2088" s="17"/>
      <c r="X2088" s="17"/>
      <c r="Y2088" s="17"/>
      <c r="Z2088" s="17"/>
    </row>
    <row r="2089">
      <c r="A2089" s="18" t="str">
        <f>IFERROR(__xludf.DUMMYFUNCTION("""COMPUTED_VALUE"""),"ord_82063")</f>
        <v>ord_82063</v>
      </c>
      <c r="B2089" s="18" t="str">
        <f>IFERROR(__xludf.DUMMYFUNCTION("""COMPUTED_VALUE"""),"Simran Bhatt")</f>
        <v>Simran Bhatt</v>
      </c>
      <c r="C2089" s="18" t="str">
        <f>IFERROR(__xludf.DUMMYFUNCTION("""COMPUTED_VALUE"""),"Juhu")</f>
        <v>Juhu</v>
      </c>
      <c r="D2089" s="18" t="str">
        <f>IFERROR(__xludf.DUMMYFUNCTION("""COMPUTED_VALUE"""),"Tomato")</f>
        <v>Tomato</v>
      </c>
      <c r="E2089" s="18">
        <f>IFERROR(__xludf.DUMMYFUNCTION("""COMPUTED_VALUE"""),2.0)</f>
        <v>2</v>
      </c>
      <c r="F2089" s="18" t="str">
        <f>IFERROR(__xludf.DUMMYFUNCTION("""COMPUTED_VALUE"""),"Ram Gopal")</f>
        <v>Ram Gopal</v>
      </c>
      <c r="G2089" s="19">
        <f>IFERROR(__xludf.DUMMYFUNCTION("""COMPUTED_VALUE"""),45172.0)</f>
        <v>45172</v>
      </c>
      <c r="H2089" s="18" t="str">
        <f>IFERROR(__xludf.DUMMYFUNCTION("""COMPUTED_VALUE"""),"UPI")</f>
        <v>UPI</v>
      </c>
      <c r="I2089" s="18" t="str">
        <f>IFERROR(__xludf.DUMMYFUNCTION("""COMPUTED_VALUE"""),"Delivered")</f>
        <v>Delivered</v>
      </c>
      <c r="J2089" s="18" t="str">
        <f>IFERROR(__xludf.DUMMYFUNCTION("""COMPUTED_VALUE"""),"Convenience")</f>
        <v>Convenience</v>
      </c>
      <c r="K2089" s="18" t="str">
        <f>IFERROR(__xludf.DUMMYFUNCTION("""COMPUTED_VALUE"""),"Easy tracking")</f>
        <v>Easy tracking</v>
      </c>
      <c r="L2089" s="18">
        <f>iferror(VLOOKUP($D2089,Details!$A$2:$C$11,2,false),vlookup($D2089,Details!$E$2:$G$11,2,false))</f>
        <v>25</v>
      </c>
      <c r="M2089" s="18" t="str">
        <f>iferror(VLOOKUP($D2089,Details!$A$2:$C$11,3,false),vlookup($D2089,Details!$E$2:$G$11,3,false))</f>
        <v>Fruits and Vegetables</v>
      </c>
      <c r="N2089" s="18">
        <f t="shared" si="1"/>
        <v>50</v>
      </c>
      <c r="O2089" s="17"/>
      <c r="P2089" s="17"/>
      <c r="Q2089" s="17"/>
      <c r="R2089" s="17"/>
      <c r="S2089" s="17"/>
      <c r="T2089" s="17"/>
      <c r="U2089" s="17"/>
      <c r="V2089" s="17"/>
      <c r="W2089" s="17"/>
      <c r="X2089" s="17"/>
      <c r="Y2089" s="17"/>
      <c r="Z2089" s="17"/>
    </row>
    <row r="2090">
      <c r="A2090" s="18" t="str">
        <f>IFERROR(__xludf.DUMMYFUNCTION("""COMPUTED_VALUE"""),"ord_82064")</f>
        <v>ord_82064</v>
      </c>
      <c r="B2090" s="18" t="str">
        <f>IFERROR(__xludf.DUMMYFUNCTION("""COMPUTED_VALUE"""),"Sakshi Tandon")</f>
        <v>Sakshi Tandon</v>
      </c>
      <c r="C2090" s="18" t="str">
        <f>IFERROR(__xludf.DUMMYFUNCTION("""COMPUTED_VALUE"""),"Colaba")</f>
        <v>Colaba</v>
      </c>
      <c r="D2090" s="18" t="str">
        <f>IFERROR(__xludf.DUMMYFUNCTION("""COMPUTED_VALUE"""),"Tiramisu")</f>
        <v>Tiramisu</v>
      </c>
      <c r="E2090" s="18">
        <f>IFERROR(__xludf.DUMMYFUNCTION("""COMPUTED_VALUE"""),3.0)</f>
        <v>3</v>
      </c>
      <c r="F2090" s="18" t="str">
        <f>IFERROR(__xludf.DUMMYFUNCTION("""COMPUTED_VALUE"""),"Ramesh S")</f>
        <v>Ramesh S</v>
      </c>
      <c r="G2090" s="19">
        <f>IFERROR(__xludf.DUMMYFUNCTION("""COMPUTED_VALUE"""),44927.0)</f>
        <v>44927</v>
      </c>
      <c r="H2090" s="18" t="str">
        <f>IFERROR(__xludf.DUMMYFUNCTION("""COMPUTED_VALUE"""),"Credit Card")</f>
        <v>Credit Card</v>
      </c>
      <c r="I2090" s="18" t="str">
        <f>IFERROR(__xludf.DUMMYFUNCTION("""COMPUTED_VALUE"""),"Delivered")</f>
        <v>Delivered</v>
      </c>
      <c r="J2090" s="18" t="str">
        <f>IFERROR(__xludf.DUMMYFUNCTION("""COMPUTED_VALUE"""),"Overall Satisfaction")</f>
        <v>Overall Satisfaction</v>
      </c>
      <c r="K2090" s="18" t="str">
        <f>IFERROR(__xludf.DUMMYFUNCTION("""COMPUTED_VALUE"""),"Great service will order again")</f>
        <v>Great service will order again</v>
      </c>
      <c r="L2090" s="18">
        <f>iferror(VLOOKUP($D2090,Details!$A$2:$C$11,2,false),vlookup($D2090,Details!$E$2:$G$11,2,false))</f>
        <v>150</v>
      </c>
      <c r="M2090" s="18" t="str">
        <f>iferror(VLOOKUP($D2090,Details!$A$2:$C$11,3,false),vlookup($D2090,Details!$E$2:$G$11,3,false))</f>
        <v>Snacks and Drinks</v>
      </c>
      <c r="N2090" s="18">
        <f t="shared" si="1"/>
        <v>450</v>
      </c>
      <c r="O2090" s="17"/>
      <c r="P2090" s="17"/>
      <c r="Q2090" s="17"/>
      <c r="R2090" s="17"/>
      <c r="S2090" s="17"/>
      <c r="T2090" s="17"/>
      <c r="U2090" s="17"/>
      <c r="V2090" s="17"/>
      <c r="W2090" s="17"/>
      <c r="X2090" s="17"/>
      <c r="Y2090" s="17"/>
      <c r="Z2090" s="17"/>
    </row>
    <row r="2091">
      <c r="A2091" s="18" t="str">
        <f>IFERROR(__xludf.DUMMYFUNCTION("""COMPUTED_VALUE"""),"ord_82065")</f>
        <v>ord_82065</v>
      </c>
      <c r="B2091" s="18" t="str">
        <f>IFERROR(__xludf.DUMMYFUNCTION("""COMPUTED_VALUE"""),"Pranav Joshi")</f>
        <v>Pranav Joshi</v>
      </c>
      <c r="C2091" s="18" t="str">
        <f>IFERROR(__xludf.DUMMYFUNCTION("""COMPUTED_VALUE"""),"Andheri")</f>
        <v>Andheri</v>
      </c>
      <c r="D2091" s="18" t="str">
        <f>IFERROR(__xludf.DUMMYFUNCTION("""COMPUTED_VALUE"""),"Tomato")</f>
        <v>Tomato</v>
      </c>
      <c r="E2091" s="18">
        <f>IFERROR(__xludf.DUMMYFUNCTION("""COMPUTED_VALUE"""),1.0)</f>
        <v>1</v>
      </c>
      <c r="F2091" s="18" t="str">
        <f>IFERROR(__xludf.DUMMYFUNCTION("""COMPUTED_VALUE"""),"Nithin Lal")</f>
        <v>Nithin Lal</v>
      </c>
      <c r="G2091" s="19">
        <f>IFERROR(__xludf.DUMMYFUNCTION("""COMPUTED_VALUE"""),45145.0)</f>
        <v>45145</v>
      </c>
      <c r="H2091" s="18" t="str">
        <f>IFERROR(__xludf.DUMMYFUNCTION("""COMPUTED_VALUE"""),"Online Payment")</f>
        <v>Online Payment</v>
      </c>
      <c r="I2091" s="18" t="str">
        <f>IFERROR(__xludf.DUMMYFUNCTION("""COMPUTED_VALUE"""),"Delivered")</f>
        <v>Delivered</v>
      </c>
      <c r="J2091" s="18" t="str">
        <f>IFERROR(__xludf.DUMMYFUNCTION("""COMPUTED_VALUE"""),"On-time Delivery")</f>
        <v>On-time Delivery</v>
      </c>
      <c r="K2091" s="18" t="str">
        <f>IFERROR(__xludf.DUMMYFUNCTION("""COMPUTED_VALUE"""),"Delivered on time")</f>
        <v>Delivered on time</v>
      </c>
      <c r="L2091" s="18">
        <f>iferror(VLOOKUP($D2091,Details!$A$2:$C$11,2,false),vlookup($D2091,Details!$E$2:$G$11,2,false))</f>
        <v>25</v>
      </c>
      <c r="M2091" s="18" t="str">
        <f>iferror(VLOOKUP($D2091,Details!$A$2:$C$11,3,false),vlookup($D2091,Details!$E$2:$G$11,3,false))</f>
        <v>Fruits and Vegetables</v>
      </c>
      <c r="N2091" s="18">
        <f t="shared" si="1"/>
        <v>25</v>
      </c>
      <c r="O2091" s="17"/>
      <c r="P2091" s="17"/>
      <c r="Q2091" s="17"/>
      <c r="R2091" s="17"/>
      <c r="S2091" s="17"/>
      <c r="T2091" s="17"/>
      <c r="U2091" s="17"/>
      <c r="V2091" s="17"/>
      <c r="W2091" s="17"/>
      <c r="X2091" s="17"/>
      <c r="Y2091" s="17"/>
      <c r="Z2091" s="17"/>
    </row>
    <row r="2092">
      <c r="A2092" s="18" t="str">
        <f>IFERROR(__xludf.DUMMYFUNCTION("""COMPUTED_VALUE"""),"ord_82066")</f>
        <v>ord_82066</v>
      </c>
      <c r="B2092" s="18" t="str">
        <f>IFERROR(__xludf.DUMMYFUNCTION("""COMPUTED_VALUE"""),"Nitin Sehgal")</f>
        <v>Nitin Sehgal</v>
      </c>
      <c r="C2092" s="18" t="str">
        <f>IFERROR(__xludf.DUMMYFUNCTION("""COMPUTED_VALUE"""),"Bandra")</f>
        <v>Bandra</v>
      </c>
      <c r="D2092" s="18" t="str">
        <f>IFERROR(__xludf.DUMMYFUNCTION("""COMPUTED_VALUE"""),"Sweet Corn")</f>
        <v>Sweet Corn</v>
      </c>
      <c r="E2092" s="18">
        <f>IFERROR(__xludf.DUMMYFUNCTION("""COMPUTED_VALUE"""),2.0)</f>
        <v>2</v>
      </c>
      <c r="F2092" s="18" t="str">
        <f>IFERROR(__xludf.DUMMYFUNCTION("""COMPUTED_VALUE"""),"Sita T")</f>
        <v>Sita T</v>
      </c>
      <c r="G2092" s="19">
        <f>IFERROR(__xludf.DUMMYFUNCTION("""COMPUTED_VALUE"""),45089.0)</f>
        <v>45089</v>
      </c>
      <c r="H2092" s="18" t="str">
        <f>IFERROR(__xludf.DUMMYFUNCTION("""COMPUTED_VALUE"""),"COD")</f>
        <v>COD</v>
      </c>
      <c r="I2092" s="18" t="str">
        <f>IFERROR(__xludf.DUMMYFUNCTION("""COMPUTED_VALUE"""),"Delivered")</f>
        <v>Delivered</v>
      </c>
      <c r="J2092" s="18" t="str">
        <f>IFERROR(__xludf.DUMMYFUNCTION("""COMPUTED_VALUE"""),"Quality of Items")</f>
        <v>Quality of Items</v>
      </c>
      <c r="K2092" s="18" t="str">
        <f>IFERROR(__xludf.DUMMYFUNCTION("""COMPUTED_VALUE"""),"Perfect condition")</f>
        <v>Perfect condition</v>
      </c>
      <c r="L2092" s="18">
        <f>iferror(VLOOKUP($D2092,Details!$A$2:$C$11,2,false),vlookup($D2092,Details!$E$2:$G$11,2,false))</f>
        <v>60</v>
      </c>
      <c r="M2092" s="18" t="str">
        <f>iferror(VLOOKUP($D2092,Details!$A$2:$C$11,3,false),vlookup($D2092,Details!$E$2:$G$11,3,false))</f>
        <v>Fruits and Vegetables</v>
      </c>
      <c r="N2092" s="18">
        <f t="shared" si="1"/>
        <v>120</v>
      </c>
      <c r="O2092" s="17"/>
      <c r="P2092" s="17"/>
      <c r="Q2092" s="17"/>
      <c r="R2092" s="17"/>
      <c r="S2092" s="17"/>
      <c r="T2092" s="17"/>
      <c r="U2092" s="17"/>
      <c r="V2092" s="17"/>
      <c r="W2092" s="17"/>
      <c r="X2092" s="17"/>
      <c r="Y2092" s="17"/>
      <c r="Z2092" s="17"/>
    </row>
    <row r="2093">
      <c r="A2093" s="18" t="str">
        <f>IFERROR(__xludf.DUMMYFUNCTION("""COMPUTED_VALUE"""),"ord_82067")</f>
        <v>ord_82067</v>
      </c>
      <c r="B2093" s="18" t="str">
        <f>IFERROR(__xludf.DUMMYFUNCTION("""COMPUTED_VALUE"""),"Aarohi Kapoor")</f>
        <v>Aarohi Kapoor</v>
      </c>
      <c r="C2093" s="18" t="str">
        <f>IFERROR(__xludf.DUMMYFUNCTION("""COMPUTED_VALUE"""),"Bandra")</f>
        <v>Bandra</v>
      </c>
      <c r="D2093" s="18" t="str">
        <f>IFERROR(__xludf.DUMMYFUNCTION("""COMPUTED_VALUE"""),"Chilli Cheese Toast")</f>
        <v>Chilli Cheese Toast</v>
      </c>
      <c r="E2093" s="18">
        <f>IFERROR(__xludf.DUMMYFUNCTION("""COMPUTED_VALUE"""),3.0)</f>
        <v>3</v>
      </c>
      <c r="F2093" s="18" t="str">
        <f>IFERROR(__xludf.DUMMYFUNCTION("""COMPUTED_VALUE"""),"Vivek Kumar")</f>
        <v>Vivek Kumar</v>
      </c>
      <c r="G2093" s="19">
        <f>IFERROR(__xludf.DUMMYFUNCTION("""COMPUTED_VALUE"""),45049.0)</f>
        <v>45049</v>
      </c>
      <c r="H2093" s="18" t="str">
        <f>IFERROR(__xludf.DUMMYFUNCTION("""COMPUTED_VALUE"""),"Online Payment")</f>
        <v>Online Payment</v>
      </c>
      <c r="I2093" s="18" t="str">
        <f>IFERROR(__xludf.DUMMYFUNCTION("""COMPUTED_VALUE"""),"Delivered")</f>
        <v>Delivered</v>
      </c>
      <c r="J2093" s="18" t="str">
        <f>IFERROR(__xludf.DUMMYFUNCTION("""COMPUTED_VALUE"""),"On-time Delivery")</f>
        <v>On-time Delivery</v>
      </c>
      <c r="K2093" s="18" t="str">
        <f>IFERROR(__xludf.DUMMYFUNCTION("""COMPUTED_VALUE"""),"Delivered on time")</f>
        <v>Delivered on time</v>
      </c>
      <c r="L2093" s="18">
        <f>iferror(VLOOKUP($D2093,Details!$A$2:$C$11,2,false),vlookup($D2093,Details!$E$2:$G$11,2,false))</f>
        <v>80</v>
      </c>
      <c r="M2093" s="18" t="str">
        <f>iferror(VLOOKUP($D2093,Details!$A$2:$C$11,3,false),vlookup($D2093,Details!$E$2:$G$11,3,false))</f>
        <v>Snacks and Drinks</v>
      </c>
      <c r="N2093" s="18">
        <f t="shared" si="1"/>
        <v>240</v>
      </c>
      <c r="O2093" s="17"/>
      <c r="P2093" s="17"/>
      <c r="Q2093" s="17"/>
      <c r="R2093" s="17"/>
      <c r="S2093" s="17"/>
      <c r="T2093" s="17"/>
      <c r="U2093" s="17"/>
      <c r="V2093" s="17"/>
      <c r="W2093" s="17"/>
      <c r="X2093" s="17"/>
      <c r="Y2093" s="17"/>
      <c r="Z2093" s="17"/>
    </row>
    <row r="2094">
      <c r="A2094" s="18" t="str">
        <f>IFERROR(__xludf.DUMMYFUNCTION("""COMPUTED_VALUE"""),"ord_82068")</f>
        <v>ord_82068</v>
      </c>
      <c r="B2094" s="18" t="str">
        <f>IFERROR(__xludf.DUMMYFUNCTION("""COMPUTED_VALUE"""),"Arvind Kulkarni")</f>
        <v>Arvind Kulkarni</v>
      </c>
      <c r="C2094" s="18" t="str">
        <f>IFERROR(__xludf.DUMMYFUNCTION("""COMPUTED_VALUE"""),"Juhu")</f>
        <v>Juhu</v>
      </c>
      <c r="D2094" s="18" t="str">
        <f>IFERROR(__xludf.DUMMYFUNCTION("""COMPUTED_VALUE"""),"Tomato")</f>
        <v>Tomato</v>
      </c>
      <c r="E2094" s="18">
        <f>IFERROR(__xludf.DUMMYFUNCTION("""COMPUTED_VALUE"""),2.0)</f>
        <v>2</v>
      </c>
      <c r="F2094" s="18" t="str">
        <f>IFERROR(__xludf.DUMMYFUNCTION("""COMPUTED_VALUE"""),"Vivek Kumar")</f>
        <v>Vivek Kumar</v>
      </c>
      <c r="G2094" s="19">
        <f>IFERROR(__xludf.DUMMYFUNCTION("""COMPUTED_VALUE"""),44955.0)</f>
        <v>44955</v>
      </c>
      <c r="H2094" s="18" t="str">
        <f>IFERROR(__xludf.DUMMYFUNCTION("""COMPUTED_VALUE"""),"Online Payment")</f>
        <v>Online Payment</v>
      </c>
      <c r="I2094" s="18" t="str">
        <f>IFERROR(__xludf.DUMMYFUNCTION("""COMPUTED_VALUE"""),"Delivered")</f>
        <v>Delivered</v>
      </c>
      <c r="J2094" s="18" t="str">
        <f>IFERROR(__xludf.DUMMYFUNCTION("""COMPUTED_VALUE"""),"Quality of Items")</f>
        <v>Quality of Items</v>
      </c>
      <c r="K2094" s="18" t="str">
        <f>IFERROR(__xludf.DUMMYFUNCTION("""COMPUTED_VALUE"""),"Perfect condition")</f>
        <v>Perfect condition</v>
      </c>
      <c r="L2094" s="18">
        <f>iferror(VLOOKUP($D2094,Details!$A$2:$C$11,2,false),vlookup($D2094,Details!$E$2:$G$11,2,false))</f>
        <v>25</v>
      </c>
      <c r="M2094" s="18" t="str">
        <f>iferror(VLOOKUP($D2094,Details!$A$2:$C$11,3,false),vlookup($D2094,Details!$E$2:$G$11,3,false))</f>
        <v>Fruits and Vegetables</v>
      </c>
      <c r="N2094" s="18">
        <f t="shared" si="1"/>
        <v>50</v>
      </c>
      <c r="O2094" s="17"/>
      <c r="P2094" s="17"/>
      <c r="Q2094" s="17"/>
      <c r="R2094" s="17"/>
      <c r="S2094" s="17"/>
      <c r="T2094" s="17"/>
      <c r="U2094" s="17"/>
      <c r="V2094" s="17"/>
      <c r="W2094" s="17"/>
      <c r="X2094" s="17"/>
      <c r="Y2094" s="17"/>
      <c r="Z2094" s="17"/>
    </row>
    <row r="2095">
      <c r="A2095" s="18" t="str">
        <f>IFERROR(__xludf.DUMMYFUNCTION("""COMPUTED_VALUE"""),"ord_82069")</f>
        <v>ord_82069</v>
      </c>
      <c r="B2095" s="18" t="str">
        <f>IFERROR(__xludf.DUMMYFUNCTION("""COMPUTED_VALUE"""),"Kritika Shetty")</f>
        <v>Kritika Shetty</v>
      </c>
      <c r="C2095" s="18" t="str">
        <f>IFERROR(__xludf.DUMMYFUNCTION("""COMPUTED_VALUE"""),"Malad")</f>
        <v>Malad</v>
      </c>
      <c r="D2095" s="18" t="str">
        <f>IFERROR(__xludf.DUMMYFUNCTION("""COMPUTED_VALUE"""),"Veg Puff")</f>
        <v>Veg Puff</v>
      </c>
      <c r="E2095" s="18">
        <f>IFERROR(__xludf.DUMMYFUNCTION("""COMPUTED_VALUE"""),4.0)</f>
        <v>4</v>
      </c>
      <c r="F2095" s="18" t="str">
        <f>IFERROR(__xludf.DUMMYFUNCTION("""COMPUTED_VALUE"""),"Ramesh S")</f>
        <v>Ramesh S</v>
      </c>
      <c r="G2095" s="19">
        <f>IFERROR(__xludf.DUMMYFUNCTION("""COMPUTED_VALUE"""),45145.0)</f>
        <v>45145</v>
      </c>
      <c r="H2095" s="18" t="str">
        <f>IFERROR(__xludf.DUMMYFUNCTION("""COMPUTED_VALUE"""),"UPI")</f>
        <v>UPI</v>
      </c>
      <c r="I2095" s="18" t="str">
        <f>IFERROR(__xludf.DUMMYFUNCTION("""COMPUTED_VALUE"""),"Delivered")</f>
        <v>Delivered</v>
      </c>
      <c r="J2095" s="18" t="str">
        <f>IFERROR(__xludf.DUMMYFUNCTION("""COMPUTED_VALUE"""),"Packaging")</f>
        <v>Packaging</v>
      </c>
      <c r="K2095" s="18" t="str">
        <f>IFERROR(__xludf.DUMMYFUNCTION("""COMPUTED_VALUE"""),"Secure and intact")</f>
        <v>Secure and intact</v>
      </c>
      <c r="L2095" s="18">
        <f>iferror(VLOOKUP($D2095,Details!$A$2:$C$11,2,false),vlookup($D2095,Details!$E$2:$G$11,2,false))</f>
        <v>80</v>
      </c>
      <c r="M2095" s="18" t="str">
        <f>iferror(VLOOKUP($D2095,Details!$A$2:$C$11,3,false),vlookup($D2095,Details!$E$2:$G$11,3,false))</f>
        <v>Snacks and Drinks</v>
      </c>
      <c r="N2095" s="18">
        <f t="shared" si="1"/>
        <v>320</v>
      </c>
      <c r="O2095" s="17"/>
      <c r="P2095" s="17"/>
      <c r="Q2095" s="17"/>
      <c r="R2095" s="17"/>
      <c r="S2095" s="17"/>
      <c r="T2095" s="17"/>
      <c r="U2095" s="17"/>
      <c r="V2095" s="17"/>
      <c r="W2095" s="17"/>
      <c r="X2095" s="17"/>
      <c r="Y2095" s="17"/>
      <c r="Z2095" s="17"/>
    </row>
    <row r="2096">
      <c r="A2096" s="18" t="str">
        <f>IFERROR(__xludf.DUMMYFUNCTION("""COMPUTED_VALUE"""),"ord_82070")</f>
        <v>ord_82070</v>
      </c>
      <c r="B2096" s="18" t="str">
        <f>IFERROR(__xludf.DUMMYFUNCTION("""COMPUTED_VALUE"""),"Sahil Desai")</f>
        <v>Sahil Desai</v>
      </c>
      <c r="C2096" s="18" t="str">
        <f>IFERROR(__xludf.DUMMYFUNCTION("""COMPUTED_VALUE"""),"Colaba")</f>
        <v>Colaba</v>
      </c>
      <c r="D2096" s="18" t="str">
        <f>IFERROR(__xludf.DUMMYFUNCTION("""COMPUTED_VALUE"""),"Papaya")</f>
        <v>Papaya</v>
      </c>
      <c r="E2096" s="18">
        <f>IFERROR(__xludf.DUMMYFUNCTION("""COMPUTED_VALUE"""),2.0)</f>
        <v>2</v>
      </c>
      <c r="F2096" s="18" t="str">
        <f>IFERROR(__xludf.DUMMYFUNCTION("""COMPUTED_VALUE"""),"Shine Thomas")</f>
        <v>Shine Thomas</v>
      </c>
      <c r="G2096" s="19">
        <f>IFERROR(__xludf.DUMMYFUNCTION("""COMPUTED_VALUE"""),45188.0)</f>
        <v>45188</v>
      </c>
      <c r="H2096" s="18" t="str">
        <f>IFERROR(__xludf.DUMMYFUNCTION("""COMPUTED_VALUE"""),"Online Payment")</f>
        <v>Online Payment</v>
      </c>
      <c r="I2096" s="18" t="str">
        <f>IFERROR(__xludf.DUMMYFUNCTION("""COMPUTED_VALUE"""),"Delivered")</f>
        <v>Delivered</v>
      </c>
      <c r="J2096" s="18" t="str">
        <f>IFERROR(__xludf.DUMMYFUNCTION("""COMPUTED_VALUE"""),"Satisfied with the Delivery")</f>
        <v>Satisfied with the Delivery</v>
      </c>
      <c r="K2096" s="18" t="str">
        <f>IFERROR(__xludf.DUMMYFUNCTION("""COMPUTED_VALUE"""),"Timely and quality")</f>
        <v>Timely and quality</v>
      </c>
      <c r="L2096" s="18">
        <f>iferror(VLOOKUP($D2096,Details!$A$2:$C$11,2,false),vlookup($D2096,Details!$E$2:$G$11,2,false))</f>
        <v>75</v>
      </c>
      <c r="M2096" s="18" t="str">
        <f>iferror(VLOOKUP($D2096,Details!$A$2:$C$11,3,false),vlookup($D2096,Details!$E$2:$G$11,3,false))</f>
        <v>Fruits and Vegetables</v>
      </c>
      <c r="N2096" s="18">
        <f t="shared" si="1"/>
        <v>150</v>
      </c>
      <c r="O2096" s="17"/>
      <c r="P2096" s="17"/>
      <c r="Q2096" s="17"/>
      <c r="R2096" s="17"/>
      <c r="S2096" s="17"/>
      <c r="T2096" s="17"/>
      <c r="U2096" s="17"/>
      <c r="V2096" s="17"/>
      <c r="W2096" s="17"/>
      <c r="X2096" s="17"/>
      <c r="Y2096" s="17"/>
      <c r="Z2096" s="17"/>
    </row>
    <row r="2097">
      <c r="A2097" s="18" t="str">
        <f>IFERROR(__xludf.DUMMYFUNCTION("""COMPUTED_VALUE"""),"ord_82071")</f>
        <v>ord_82071</v>
      </c>
      <c r="B2097" s="18" t="str">
        <f>IFERROR(__xludf.DUMMYFUNCTION("""COMPUTED_VALUE"""),"Ishaan Chaturvedi")</f>
        <v>Ishaan Chaturvedi</v>
      </c>
      <c r="C2097" s="18" t="str">
        <f>IFERROR(__xludf.DUMMYFUNCTION("""COMPUTED_VALUE"""),"Bandra")</f>
        <v>Bandra</v>
      </c>
      <c r="D2097" s="18" t="str">
        <f>IFERROR(__xludf.DUMMYFUNCTION("""COMPUTED_VALUE"""),"Banana")</f>
        <v>Banana</v>
      </c>
      <c r="E2097" s="18">
        <f>IFERROR(__xludf.DUMMYFUNCTION("""COMPUTED_VALUE"""),1.0)</f>
        <v>1</v>
      </c>
      <c r="F2097" s="18" t="str">
        <f>IFERROR(__xludf.DUMMYFUNCTION("""COMPUTED_VALUE"""),"Nithin Lal")</f>
        <v>Nithin Lal</v>
      </c>
      <c r="G2097" s="19">
        <f>IFERROR(__xludf.DUMMYFUNCTION("""COMPUTED_VALUE"""),45031.0)</f>
        <v>45031</v>
      </c>
      <c r="H2097" s="18" t="str">
        <f>IFERROR(__xludf.DUMMYFUNCTION("""COMPUTED_VALUE"""),"UPI")</f>
        <v>UPI</v>
      </c>
      <c r="I2097" s="18" t="str">
        <f>IFERROR(__xludf.DUMMYFUNCTION("""COMPUTED_VALUE"""),"Delivered")</f>
        <v>Delivered</v>
      </c>
      <c r="J2097" s="18" t="str">
        <f>IFERROR(__xludf.DUMMYFUNCTION("""COMPUTED_VALUE"""),"Customer Service")</f>
        <v>Customer Service</v>
      </c>
      <c r="K2097" s="18" t="str">
        <f>IFERROR(__xludf.DUMMYFUNCTION("""COMPUTED_VALUE"""),"Seamless and easy")</f>
        <v>Seamless and easy</v>
      </c>
      <c r="L2097" s="18">
        <f>iferror(VLOOKUP($D2097,Details!$A$2:$C$11,2,false),vlookup($D2097,Details!$E$2:$G$11,2,false))</f>
        <v>80</v>
      </c>
      <c r="M2097" s="18" t="str">
        <f>iferror(VLOOKUP($D2097,Details!$A$2:$C$11,3,false),vlookup($D2097,Details!$E$2:$G$11,3,false))</f>
        <v>Fruits and Vegetables</v>
      </c>
      <c r="N2097" s="18">
        <f t="shared" si="1"/>
        <v>80</v>
      </c>
      <c r="O2097" s="17"/>
      <c r="P2097" s="17"/>
      <c r="Q2097" s="17"/>
      <c r="R2097" s="17"/>
      <c r="S2097" s="17"/>
      <c r="T2097" s="17"/>
      <c r="U2097" s="17"/>
      <c r="V2097" s="17"/>
      <c r="W2097" s="17"/>
      <c r="X2097" s="17"/>
      <c r="Y2097" s="17"/>
      <c r="Z2097" s="17"/>
    </row>
    <row r="2098">
      <c r="A2098" s="18" t="str">
        <f>IFERROR(__xludf.DUMMYFUNCTION("""COMPUTED_VALUE"""),"ord_82072")</f>
        <v>ord_82072</v>
      </c>
      <c r="B2098" s="18" t="str">
        <f>IFERROR(__xludf.DUMMYFUNCTION("""COMPUTED_VALUE"""),"Sakshi Tandon")</f>
        <v>Sakshi Tandon</v>
      </c>
      <c r="C2098" s="18" t="str">
        <f>IFERROR(__xludf.DUMMYFUNCTION("""COMPUTED_VALUE"""),"Colaba")</f>
        <v>Colaba</v>
      </c>
      <c r="D2098" s="18" t="str">
        <f>IFERROR(__xludf.DUMMYFUNCTION("""COMPUTED_VALUE"""),"Guava")</f>
        <v>Guava</v>
      </c>
      <c r="E2098" s="18">
        <f>IFERROR(__xludf.DUMMYFUNCTION("""COMPUTED_VALUE"""),2.0)</f>
        <v>2</v>
      </c>
      <c r="F2098" s="18" t="str">
        <f>IFERROR(__xludf.DUMMYFUNCTION("""COMPUTED_VALUE"""),"Vivek Kumar")</f>
        <v>Vivek Kumar</v>
      </c>
      <c r="G2098" s="19">
        <f>IFERROR(__xludf.DUMMYFUNCTION("""COMPUTED_VALUE"""),45271.0)</f>
        <v>45271</v>
      </c>
      <c r="H2098" s="18" t="str">
        <f>IFERROR(__xludf.DUMMYFUNCTION("""COMPUTED_VALUE"""),"Credit Card")</f>
        <v>Credit Card</v>
      </c>
      <c r="I2098" s="18" t="str">
        <f>IFERROR(__xludf.DUMMYFUNCTION("""COMPUTED_VALUE"""),"Delivered")</f>
        <v>Delivered</v>
      </c>
      <c r="J2098" s="18" t="str">
        <f>IFERROR(__xludf.DUMMYFUNCTION("""COMPUTED_VALUE"""),"Delivery Experience")</f>
        <v>Delivery Experience</v>
      </c>
      <c r="K2098" s="18" t="str">
        <f>IFERROR(__xludf.DUMMYFUNCTION("""COMPUTED_VALUE"""),"Quick and professional")</f>
        <v>Quick and professional</v>
      </c>
      <c r="L2098" s="18">
        <f>iferror(VLOOKUP($D2098,Details!$A$2:$C$11,2,false),vlookup($D2098,Details!$E$2:$G$11,2,false))</f>
        <v>70</v>
      </c>
      <c r="M2098" s="18" t="str">
        <f>iferror(VLOOKUP($D2098,Details!$A$2:$C$11,3,false),vlookup($D2098,Details!$E$2:$G$11,3,false))</f>
        <v>Fruits and Vegetables</v>
      </c>
      <c r="N2098" s="18">
        <f t="shared" si="1"/>
        <v>140</v>
      </c>
      <c r="O2098" s="17"/>
      <c r="P2098" s="17"/>
      <c r="Q2098" s="17"/>
      <c r="R2098" s="17"/>
      <c r="S2098" s="17"/>
      <c r="T2098" s="17"/>
      <c r="U2098" s="17"/>
      <c r="V2098" s="17"/>
      <c r="W2098" s="17"/>
      <c r="X2098" s="17"/>
      <c r="Y2098" s="17"/>
      <c r="Z2098" s="17"/>
    </row>
    <row r="2099">
      <c r="A2099" s="18" t="str">
        <f>IFERROR(__xludf.DUMMYFUNCTION("""COMPUTED_VALUE"""),"ord_82073")</f>
        <v>ord_82073</v>
      </c>
      <c r="B2099" s="18" t="str">
        <f>IFERROR(__xludf.DUMMYFUNCTION("""COMPUTED_VALUE"""),"Dev Chauhan")</f>
        <v>Dev Chauhan</v>
      </c>
      <c r="C2099" s="18" t="str">
        <f>IFERROR(__xludf.DUMMYFUNCTION("""COMPUTED_VALUE"""),"Bandra")</f>
        <v>Bandra</v>
      </c>
      <c r="D2099" s="18" t="str">
        <f>IFERROR(__xludf.DUMMYFUNCTION("""COMPUTED_VALUE"""),"Juice")</f>
        <v>Juice</v>
      </c>
      <c r="E2099" s="18">
        <f>IFERROR(__xludf.DUMMYFUNCTION("""COMPUTED_VALUE"""),4.0)</f>
        <v>4</v>
      </c>
      <c r="F2099" s="18" t="str">
        <f>IFERROR(__xludf.DUMMYFUNCTION("""COMPUTED_VALUE"""),"Nithin Lal")</f>
        <v>Nithin Lal</v>
      </c>
      <c r="G2099" s="19">
        <f>IFERROR(__xludf.DUMMYFUNCTION("""COMPUTED_VALUE"""),45112.0)</f>
        <v>45112</v>
      </c>
      <c r="H2099" s="18" t="str">
        <f>IFERROR(__xludf.DUMMYFUNCTION("""COMPUTED_VALUE"""),"Online Payment")</f>
        <v>Online Payment</v>
      </c>
      <c r="I2099" s="18" t="str">
        <f>IFERROR(__xludf.DUMMYFUNCTION("""COMPUTED_VALUE"""),"Delivered")</f>
        <v>Delivered</v>
      </c>
      <c r="J2099" s="18" t="str">
        <f>IFERROR(__xludf.DUMMYFUNCTION("""COMPUTED_VALUE"""),"Convenience")</f>
        <v>Convenience</v>
      </c>
      <c r="K2099" s="18" t="str">
        <f>IFERROR(__xludf.DUMMYFUNCTION("""COMPUTED_VALUE"""),"Easy tracking")</f>
        <v>Easy tracking</v>
      </c>
      <c r="L2099" s="18">
        <f>iferror(VLOOKUP($D2099,Details!$A$2:$C$11,2,false),vlookup($D2099,Details!$E$2:$G$11,2,false))</f>
        <v>90</v>
      </c>
      <c r="M2099" s="18" t="str">
        <f>iferror(VLOOKUP($D2099,Details!$A$2:$C$11,3,false),vlookup($D2099,Details!$E$2:$G$11,3,false))</f>
        <v>Snacks and Drinks</v>
      </c>
      <c r="N2099" s="18">
        <f t="shared" si="1"/>
        <v>360</v>
      </c>
      <c r="O2099" s="17"/>
      <c r="P2099" s="17"/>
      <c r="Q2099" s="17"/>
      <c r="R2099" s="17"/>
      <c r="S2099" s="17"/>
      <c r="T2099" s="17"/>
      <c r="U2099" s="17"/>
      <c r="V2099" s="17"/>
      <c r="W2099" s="17"/>
      <c r="X2099" s="17"/>
      <c r="Y2099" s="17"/>
      <c r="Z2099" s="17"/>
    </row>
    <row r="2100">
      <c r="A2100" s="18" t="str">
        <f>IFERROR(__xludf.DUMMYFUNCTION("""COMPUTED_VALUE"""),"ord_82074")</f>
        <v>ord_82074</v>
      </c>
      <c r="B2100" s="18" t="str">
        <f>IFERROR(__xludf.DUMMYFUNCTION("""COMPUTED_VALUE"""),"Aditya Basu")</f>
        <v>Aditya Basu</v>
      </c>
      <c r="C2100" s="18" t="str">
        <f>IFERROR(__xludf.DUMMYFUNCTION("""COMPUTED_VALUE"""),"Juhu")</f>
        <v>Juhu</v>
      </c>
      <c r="D2100" s="18" t="str">
        <f>IFERROR(__xludf.DUMMYFUNCTION("""COMPUTED_VALUE"""),"Popcorn")</f>
        <v>Popcorn</v>
      </c>
      <c r="E2100" s="18">
        <f>IFERROR(__xludf.DUMMYFUNCTION("""COMPUTED_VALUE"""),4.0)</f>
        <v>4</v>
      </c>
      <c r="F2100" s="18" t="str">
        <f>IFERROR(__xludf.DUMMYFUNCTION("""COMPUTED_VALUE"""),"Tanvi Jain")</f>
        <v>Tanvi Jain</v>
      </c>
      <c r="G2100" s="19">
        <f>IFERROR(__xludf.DUMMYFUNCTION("""COMPUTED_VALUE"""),45018.0)</f>
        <v>45018</v>
      </c>
      <c r="H2100" s="18" t="str">
        <f>IFERROR(__xludf.DUMMYFUNCTION("""COMPUTED_VALUE"""),"UPI")</f>
        <v>UPI</v>
      </c>
      <c r="I2100" s="18" t="str">
        <f>IFERROR(__xludf.DUMMYFUNCTION("""COMPUTED_VALUE"""),"Delivered")</f>
        <v>Delivered</v>
      </c>
      <c r="J2100" s="18" t="str">
        <f>IFERROR(__xludf.DUMMYFUNCTION("""COMPUTED_VALUE"""),"Overall Satisfaction")</f>
        <v>Overall Satisfaction</v>
      </c>
      <c r="K2100" s="18" t="str">
        <f>IFERROR(__xludf.DUMMYFUNCTION("""COMPUTED_VALUE"""),"Great service will order again")</f>
        <v>Great service will order again</v>
      </c>
      <c r="L2100" s="18">
        <f>iferror(VLOOKUP($D2100,Details!$A$2:$C$11,2,false),vlookup($D2100,Details!$E$2:$G$11,2,false))</f>
        <v>150</v>
      </c>
      <c r="M2100" s="18" t="str">
        <f>iferror(VLOOKUP($D2100,Details!$A$2:$C$11,3,false),vlookup($D2100,Details!$E$2:$G$11,3,false))</f>
        <v>Snacks and Drinks</v>
      </c>
      <c r="N2100" s="18">
        <f t="shared" si="1"/>
        <v>600</v>
      </c>
      <c r="O2100" s="17"/>
      <c r="P2100" s="17"/>
      <c r="Q2100" s="17"/>
      <c r="R2100" s="17"/>
      <c r="S2100" s="17"/>
      <c r="T2100" s="17"/>
      <c r="U2100" s="17"/>
      <c r="V2100" s="17"/>
      <c r="W2100" s="17"/>
      <c r="X2100" s="17"/>
      <c r="Y2100" s="17"/>
      <c r="Z2100" s="17"/>
    </row>
    <row r="2101">
      <c r="A2101" s="18" t="str">
        <f>IFERROR(__xludf.DUMMYFUNCTION("""COMPUTED_VALUE"""),"ord_82075")</f>
        <v>ord_82075</v>
      </c>
      <c r="B2101" s="18" t="str">
        <f>IFERROR(__xludf.DUMMYFUNCTION("""COMPUTED_VALUE"""),"Parth Goel")</f>
        <v>Parth Goel</v>
      </c>
      <c r="C2101" s="18" t="str">
        <f>IFERROR(__xludf.DUMMYFUNCTION("""COMPUTED_VALUE"""),"Juhu")</f>
        <v>Juhu</v>
      </c>
      <c r="D2101" s="18" t="str">
        <f>IFERROR(__xludf.DUMMYFUNCTION("""COMPUTED_VALUE"""),"Tomato")</f>
        <v>Tomato</v>
      </c>
      <c r="E2101" s="18">
        <f>IFERROR(__xludf.DUMMYFUNCTION("""COMPUTED_VALUE"""),2.0)</f>
        <v>2</v>
      </c>
      <c r="F2101" s="18" t="str">
        <f>IFERROR(__xludf.DUMMYFUNCTION("""COMPUTED_VALUE"""),"Tanvi Jain")</f>
        <v>Tanvi Jain</v>
      </c>
      <c r="G2101" s="19">
        <f>IFERROR(__xludf.DUMMYFUNCTION("""COMPUTED_VALUE"""),45034.0)</f>
        <v>45034</v>
      </c>
      <c r="H2101" s="18" t="str">
        <f>IFERROR(__xludf.DUMMYFUNCTION("""COMPUTED_VALUE"""),"Online Payment")</f>
        <v>Online Payment</v>
      </c>
      <c r="I2101" s="18" t="str">
        <f>IFERROR(__xludf.DUMMYFUNCTION("""COMPUTED_VALUE"""),"Delivered")</f>
        <v>Delivered</v>
      </c>
      <c r="J2101" s="18" t="str">
        <f>IFERROR(__xludf.DUMMYFUNCTION("""COMPUTED_VALUE"""),"On-time Delivery")</f>
        <v>On-time Delivery</v>
      </c>
      <c r="K2101" s="18" t="str">
        <f>IFERROR(__xludf.DUMMYFUNCTION("""COMPUTED_VALUE"""),"Delivered on time")</f>
        <v>Delivered on time</v>
      </c>
      <c r="L2101" s="18">
        <f>iferror(VLOOKUP($D2101,Details!$A$2:$C$11,2,false),vlookup($D2101,Details!$E$2:$G$11,2,false))</f>
        <v>25</v>
      </c>
      <c r="M2101" s="18" t="str">
        <f>iferror(VLOOKUP($D2101,Details!$A$2:$C$11,3,false),vlookup($D2101,Details!$E$2:$G$11,3,false))</f>
        <v>Fruits and Vegetables</v>
      </c>
      <c r="N2101" s="18">
        <f t="shared" si="1"/>
        <v>50</v>
      </c>
      <c r="O2101" s="17"/>
      <c r="P2101" s="17"/>
      <c r="Q2101" s="17"/>
      <c r="R2101" s="17"/>
      <c r="S2101" s="17"/>
      <c r="T2101" s="17"/>
      <c r="U2101" s="17"/>
      <c r="V2101" s="17"/>
      <c r="W2101" s="17"/>
      <c r="X2101" s="17"/>
      <c r="Y2101" s="17"/>
      <c r="Z2101" s="17"/>
    </row>
    <row r="2102">
      <c r="A2102" s="18" t="str">
        <f>IFERROR(__xludf.DUMMYFUNCTION("""COMPUTED_VALUE"""),"ord_82076")</f>
        <v>ord_82076</v>
      </c>
      <c r="B2102" s="18" t="str">
        <f>IFERROR(__xludf.DUMMYFUNCTION("""COMPUTED_VALUE"""),"Aditi Iyer")</f>
        <v>Aditi Iyer</v>
      </c>
      <c r="C2102" s="18" t="str">
        <f>IFERROR(__xludf.DUMMYFUNCTION("""COMPUTED_VALUE"""),"Dadar")</f>
        <v>Dadar</v>
      </c>
      <c r="D2102" s="18" t="str">
        <f>IFERROR(__xludf.DUMMYFUNCTION("""COMPUTED_VALUE"""),"Potato")</f>
        <v>Potato</v>
      </c>
      <c r="E2102" s="18">
        <f>IFERROR(__xludf.DUMMYFUNCTION("""COMPUTED_VALUE"""),2.0)</f>
        <v>2</v>
      </c>
      <c r="F2102" s="18" t="str">
        <f>IFERROR(__xludf.DUMMYFUNCTION("""COMPUTED_VALUE"""),"Aman Kumar")</f>
        <v>Aman Kumar</v>
      </c>
      <c r="G2102" s="19">
        <f>IFERROR(__xludf.DUMMYFUNCTION("""COMPUTED_VALUE"""),45072.0)</f>
        <v>45072</v>
      </c>
      <c r="H2102" s="18" t="str">
        <f>IFERROR(__xludf.DUMMYFUNCTION("""COMPUTED_VALUE"""),"UPI")</f>
        <v>UPI</v>
      </c>
      <c r="I2102" s="18" t="str">
        <f>IFERROR(__xludf.DUMMYFUNCTION("""COMPUTED_VALUE"""),"Delivered")</f>
        <v>Delivered</v>
      </c>
      <c r="J2102" s="18" t="str">
        <f>IFERROR(__xludf.DUMMYFUNCTION("""COMPUTED_VALUE"""),"Quality of Items")</f>
        <v>Quality of Items</v>
      </c>
      <c r="K2102" s="18" t="str">
        <f>IFERROR(__xludf.DUMMYFUNCTION("""COMPUTED_VALUE"""),"Perfect condition")</f>
        <v>Perfect condition</v>
      </c>
      <c r="L2102" s="18">
        <f>iferror(VLOOKUP($D2102,Details!$A$2:$C$11,2,false),vlookup($D2102,Details!$E$2:$G$11,2,false))</f>
        <v>55</v>
      </c>
      <c r="M2102" s="18" t="str">
        <f>iferror(VLOOKUP($D2102,Details!$A$2:$C$11,3,false),vlookup($D2102,Details!$E$2:$G$11,3,false))</f>
        <v>Fruits and Vegetables</v>
      </c>
      <c r="N2102" s="18">
        <f t="shared" si="1"/>
        <v>110</v>
      </c>
      <c r="O2102" s="17"/>
      <c r="P2102" s="17"/>
      <c r="Q2102" s="17"/>
      <c r="R2102" s="17"/>
      <c r="S2102" s="17"/>
      <c r="T2102" s="17"/>
      <c r="U2102" s="17"/>
      <c r="V2102" s="17"/>
      <c r="W2102" s="17"/>
      <c r="X2102" s="17"/>
      <c r="Y2102" s="17"/>
      <c r="Z2102" s="17"/>
    </row>
    <row r="2103">
      <c r="A2103" s="18" t="str">
        <f>IFERROR(__xludf.DUMMYFUNCTION("""COMPUTED_VALUE"""),"ord_82077")</f>
        <v>ord_82077</v>
      </c>
      <c r="B2103" s="18" t="str">
        <f>IFERROR(__xludf.DUMMYFUNCTION("""COMPUTED_VALUE"""),"Pallavi Ghosh")</f>
        <v>Pallavi Ghosh</v>
      </c>
      <c r="C2103" s="18" t="str">
        <f>IFERROR(__xludf.DUMMYFUNCTION("""COMPUTED_VALUE"""),"Bandra")</f>
        <v>Bandra</v>
      </c>
      <c r="D2103" s="18" t="str">
        <f>IFERROR(__xludf.DUMMYFUNCTION("""COMPUTED_VALUE"""),"Chocolate Mousse")</f>
        <v>Chocolate Mousse</v>
      </c>
      <c r="E2103" s="18">
        <f>IFERROR(__xludf.DUMMYFUNCTION("""COMPUTED_VALUE"""),5.0)</f>
        <v>5</v>
      </c>
      <c r="F2103" s="18" t="str">
        <f>IFERROR(__xludf.DUMMYFUNCTION("""COMPUTED_VALUE"""),"Priya Joshi")</f>
        <v>Priya Joshi</v>
      </c>
      <c r="G2103" s="19">
        <f>IFERROR(__xludf.DUMMYFUNCTION("""COMPUTED_VALUE"""),44935.0)</f>
        <v>44935</v>
      </c>
      <c r="H2103" s="18" t="str">
        <f>IFERROR(__xludf.DUMMYFUNCTION("""COMPUTED_VALUE"""),"Online Payment")</f>
        <v>Online Payment</v>
      </c>
      <c r="I2103" s="18" t="str">
        <f>IFERROR(__xludf.DUMMYFUNCTION("""COMPUTED_VALUE"""),"Delivered")</f>
        <v>Delivered</v>
      </c>
      <c r="J2103" s="18" t="str">
        <f>IFERROR(__xludf.DUMMYFUNCTION("""COMPUTED_VALUE"""),"On-time Delivery")</f>
        <v>On-time Delivery</v>
      </c>
      <c r="K2103" s="18" t="str">
        <f>IFERROR(__xludf.DUMMYFUNCTION("""COMPUTED_VALUE"""),"Delivered on time")</f>
        <v>Delivered on time</v>
      </c>
      <c r="L2103" s="18">
        <f>iferror(VLOOKUP($D2103,Details!$A$2:$C$11,2,false),vlookup($D2103,Details!$E$2:$G$11,2,false))</f>
        <v>145</v>
      </c>
      <c r="M2103" s="18" t="str">
        <f>iferror(VLOOKUP($D2103,Details!$A$2:$C$11,3,false),vlookup($D2103,Details!$E$2:$G$11,3,false))</f>
        <v>Snacks and Drinks</v>
      </c>
      <c r="N2103" s="18">
        <f t="shared" si="1"/>
        <v>725</v>
      </c>
      <c r="O2103" s="17"/>
      <c r="P2103" s="17"/>
      <c r="Q2103" s="17"/>
      <c r="R2103" s="17"/>
      <c r="S2103" s="17"/>
      <c r="T2103" s="17"/>
      <c r="U2103" s="17"/>
      <c r="V2103" s="17"/>
      <c r="W2103" s="17"/>
      <c r="X2103" s="17"/>
      <c r="Y2103" s="17"/>
      <c r="Z2103" s="17"/>
    </row>
    <row r="2104">
      <c r="A2104" s="18" t="str">
        <f>IFERROR(__xludf.DUMMYFUNCTION("""COMPUTED_VALUE"""),"ord_82078")</f>
        <v>ord_82078</v>
      </c>
      <c r="B2104" s="18" t="str">
        <f>IFERROR(__xludf.DUMMYFUNCTION("""COMPUTED_VALUE"""),"Ishita Banerjee")</f>
        <v>Ishita Banerjee</v>
      </c>
      <c r="C2104" s="18" t="str">
        <f>IFERROR(__xludf.DUMMYFUNCTION("""COMPUTED_VALUE"""),"Juhu")</f>
        <v>Juhu</v>
      </c>
      <c r="D2104" s="18" t="str">
        <f>IFERROR(__xludf.DUMMYFUNCTION("""COMPUTED_VALUE"""),"Chocolate Mousse")</f>
        <v>Chocolate Mousse</v>
      </c>
      <c r="E2104" s="18">
        <f>IFERROR(__xludf.DUMMYFUNCTION("""COMPUTED_VALUE"""),3.0)</f>
        <v>3</v>
      </c>
      <c r="F2104" s="18" t="str">
        <f>IFERROR(__xludf.DUMMYFUNCTION("""COMPUTED_VALUE"""),"Not Assigned")</f>
        <v>Not Assigned</v>
      </c>
      <c r="G2104" s="19">
        <f>IFERROR(__xludf.DUMMYFUNCTION("""COMPUTED_VALUE"""),45052.0)</f>
        <v>45052</v>
      </c>
      <c r="H2104" s="18" t="str">
        <f>IFERROR(__xludf.DUMMYFUNCTION("""COMPUTED_VALUE"""),"Online Payment")</f>
        <v>Online Payment</v>
      </c>
      <c r="I2104" s="18" t="str">
        <f>IFERROR(__xludf.DUMMYFUNCTION("""COMPUTED_VALUE"""),"Cancelled")</f>
        <v>Cancelled</v>
      </c>
      <c r="J2104" s="18" t="str">
        <f>IFERROR(__xludf.DUMMYFUNCTION("""COMPUTED_VALUE"""),"Out of Stock")</f>
        <v>Out of Stock</v>
      </c>
      <c r="K2104" s="18"/>
      <c r="L2104" s="18">
        <f>iferror(VLOOKUP($D2104,Details!$A$2:$C$11,2,false),vlookup($D2104,Details!$E$2:$G$11,2,false))</f>
        <v>145</v>
      </c>
      <c r="M2104" s="18" t="str">
        <f>iferror(VLOOKUP($D2104,Details!$A$2:$C$11,3,false),vlookup($D2104,Details!$E$2:$G$11,3,false))</f>
        <v>Snacks and Drinks</v>
      </c>
      <c r="N2104" s="18">
        <f t="shared" si="1"/>
        <v>435</v>
      </c>
      <c r="O2104" s="17"/>
      <c r="P2104" s="17"/>
      <c r="Q2104" s="17"/>
      <c r="R2104" s="17"/>
      <c r="S2104" s="17"/>
      <c r="T2104" s="17"/>
      <c r="U2104" s="17"/>
      <c r="V2104" s="17"/>
      <c r="W2104" s="17"/>
      <c r="X2104" s="17"/>
      <c r="Y2104" s="17"/>
      <c r="Z2104" s="17"/>
    </row>
    <row r="2105">
      <c r="A2105" s="18" t="str">
        <f>IFERROR(__xludf.DUMMYFUNCTION("""COMPUTED_VALUE"""),"ord_82079")</f>
        <v>ord_82079</v>
      </c>
      <c r="B2105" s="18" t="str">
        <f>IFERROR(__xludf.DUMMYFUNCTION("""COMPUTED_VALUE"""),"Tanishq Bansal")</f>
        <v>Tanishq Bansal</v>
      </c>
      <c r="C2105" s="18" t="str">
        <f>IFERROR(__xludf.DUMMYFUNCTION("""COMPUTED_VALUE"""),"Powai")</f>
        <v>Powai</v>
      </c>
      <c r="D2105" s="18" t="str">
        <f>IFERROR(__xludf.DUMMYFUNCTION("""COMPUTED_VALUE"""),"Cold Coffee")</f>
        <v>Cold Coffee</v>
      </c>
      <c r="E2105" s="18">
        <f>IFERROR(__xludf.DUMMYFUNCTION("""COMPUTED_VALUE"""),4.0)</f>
        <v>4</v>
      </c>
      <c r="F2105" s="18" t="str">
        <f>IFERROR(__xludf.DUMMYFUNCTION("""COMPUTED_VALUE"""),"Sandeep Kumar")</f>
        <v>Sandeep Kumar</v>
      </c>
      <c r="G2105" s="19">
        <f>IFERROR(__xludf.DUMMYFUNCTION("""COMPUTED_VALUE"""),45193.0)</f>
        <v>45193</v>
      </c>
      <c r="H2105" s="18" t="str">
        <f>IFERROR(__xludf.DUMMYFUNCTION("""COMPUTED_VALUE"""),"COD")</f>
        <v>COD</v>
      </c>
      <c r="I2105" s="18" t="str">
        <f>IFERROR(__xludf.DUMMYFUNCTION("""COMPUTED_VALUE"""),"Delivered")</f>
        <v>Delivered</v>
      </c>
      <c r="J2105" s="18" t="str">
        <f>IFERROR(__xludf.DUMMYFUNCTION("""COMPUTED_VALUE"""),"Quality of Items")</f>
        <v>Quality of Items</v>
      </c>
      <c r="K2105" s="18" t="str">
        <f>IFERROR(__xludf.DUMMYFUNCTION("""COMPUTED_VALUE"""),"Perfect condition")</f>
        <v>Perfect condition</v>
      </c>
      <c r="L2105" s="18">
        <f>iferror(VLOOKUP($D2105,Details!$A$2:$C$11,2,false),vlookup($D2105,Details!$E$2:$G$11,2,false))</f>
        <v>270</v>
      </c>
      <c r="M2105" s="18" t="str">
        <f>iferror(VLOOKUP($D2105,Details!$A$2:$C$11,3,false),vlookup($D2105,Details!$E$2:$G$11,3,false))</f>
        <v>Snacks and Drinks</v>
      </c>
      <c r="N2105" s="18">
        <f t="shared" si="1"/>
        <v>1080</v>
      </c>
      <c r="O2105" s="17"/>
      <c r="P2105" s="17"/>
      <c r="Q2105" s="17"/>
      <c r="R2105" s="17"/>
      <c r="S2105" s="17"/>
      <c r="T2105" s="17"/>
      <c r="U2105" s="17"/>
      <c r="V2105" s="17"/>
      <c r="W2105" s="17"/>
      <c r="X2105" s="17"/>
      <c r="Y2105" s="17"/>
      <c r="Z2105" s="17"/>
    </row>
    <row r="2106">
      <c r="A2106" s="18" t="str">
        <f>IFERROR(__xludf.DUMMYFUNCTION("""COMPUTED_VALUE"""),"ord_82080")</f>
        <v>ord_82080</v>
      </c>
      <c r="B2106" s="18" t="str">
        <f>IFERROR(__xludf.DUMMYFUNCTION("""COMPUTED_VALUE"""),"Ishaan Chaturvedi")</f>
        <v>Ishaan Chaturvedi</v>
      </c>
      <c r="C2106" s="18" t="str">
        <f>IFERROR(__xludf.DUMMYFUNCTION("""COMPUTED_VALUE"""),"Bandra")</f>
        <v>Bandra</v>
      </c>
      <c r="D2106" s="18" t="str">
        <f>IFERROR(__xludf.DUMMYFUNCTION("""COMPUTED_VALUE"""),"Banana")</f>
        <v>Banana</v>
      </c>
      <c r="E2106" s="18">
        <f>IFERROR(__xludf.DUMMYFUNCTION("""COMPUTED_VALUE"""),2.0)</f>
        <v>2</v>
      </c>
      <c r="F2106" s="18" t="str">
        <f>IFERROR(__xludf.DUMMYFUNCTION("""COMPUTED_VALUE"""),"Priya Joshi")</f>
        <v>Priya Joshi</v>
      </c>
      <c r="G2106" s="19">
        <f>IFERROR(__xludf.DUMMYFUNCTION("""COMPUTED_VALUE"""),45082.0)</f>
        <v>45082</v>
      </c>
      <c r="H2106" s="18" t="str">
        <f>IFERROR(__xludf.DUMMYFUNCTION("""COMPUTED_VALUE"""),"Credit Card")</f>
        <v>Credit Card</v>
      </c>
      <c r="I2106" s="18" t="str">
        <f>IFERROR(__xludf.DUMMYFUNCTION("""COMPUTED_VALUE"""),"Delivered")</f>
        <v>Delivered</v>
      </c>
      <c r="J2106" s="18" t="str">
        <f>IFERROR(__xludf.DUMMYFUNCTION("""COMPUTED_VALUE"""),"Packaging")</f>
        <v>Packaging</v>
      </c>
      <c r="K2106" s="18" t="str">
        <f>IFERROR(__xludf.DUMMYFUNCTION("""COMPUTED_VALUE"""),"Secure and intact")</f>
        <v>Secure and intact</v>
      </c>
      <c r="L2106" s="18">
        <f>iferror(VLOOKUP($D2106,Details!$A$2:$C$11,2,false),vlookup($D2106,Details!$E$2:$G$11,2,false))</f>
        <v>80</v>
      </c>
      <c r="M2106" s="18" t="str">
        <f>iferror(VLOOKUP($D2106,Details!$A$2:$C$11,3,false),vlookup($D2106,Details!$E$2:$G$11,3,false))</f>
        <v>Fruits and Vegetables</v>
      </c>
      <c r="N2106" s="18">
        <f t="shared" si="1"/>
        <v>160</v>
      </c>
      <c r="O2106" s="17"/>
      <c r="P2106" s="17"/>
      <c r="Q2106" s="17"/>
      <c r="R2106" s="17"/>
      <c r="S2106" s="17"/>
      <c r="T2106" s="17"/>
      <c r="U2106" s="17"/>
      <c r="V2106" s="17"/>
      <c r="W2106" s="17"/>
      <c r="X2106" s="17"/>
      <c r="Y2106" s="17"/>
      <c r="Z2106" s="17"/>
    </row>
    <row r="2107">
      <c r="A2107" s="18" t="str">
        <f>IFERROR(__xludf.DUMMYFUNCTION("""COMPUTED_VALUE"""),"ord_82081")</f>
        <v>ord_82081</v>
      </c>
      <c r="B2107" s="18" t="str">
        <f>IFERROR(__xludf.DUMMYFUNCTION("""COMPUTED_VALUE"""),"Tanishq Bansal")</f>
        <v>Tanishq Bansal</v>
      </c>
      <c r="C2107" s="18" t="str">
        <f>IFERROR(__xludf.DUMMYFUNCTION("""COMPUTED_VALUE"""),"Powai")</f>
        <v>Powai</v>
      </c>
      <c r="D2107" s="18" t="str">
        <f>IFERROR(__xludf.DUMMYFUNCTION("""COMPUTED_VALUE"""),"Papaya")</f>
        <v>Papaya</v>
      </c>
      <c r="E2107" s="18">
        <f>IFERROR(__xludf.DUMMYFUNCTION("""COMPUTED_VALUE"""),1.0)</f>
        <v>1</v>
      </c>
      <c r="F2107" s="18" t="str">
        <f>IFERROR(__xludf.DUMMYFUNCTION("""COMPUTED_VALUE"""),"Sandeep Kumar")</f>
        <v>Sandeep Kumar</v>
      </c>
      <c r="G2107" s="19">
        <f>IFERROR(__xludf.DUMMYFUNCTION("""COMPUTED_VALUE"""),45215.0)</f>
        <v>45215</v>
      </c>
      <c r="H2107" s="18" t="str">
        <f>IFERROR(__xludf.DUMMYFUNCTION("""COMPUTED_VALUE"""),"Online Payment")</f>
        <v>Online Payment</v>
      </c>
      <c r="I2107" s="18" t="str">
        <f>IFERROR(__xludf.DUMMYFUNCTION("""COMPUTED_VALUE"""),"Delivered")</f>
        <v>Delivered</v>
      </c>
      <c r="J2107" s="18" t="str">
        <f>IFERROR(__xludf.DUMMYFUNCTION("""COMPUTED_VALUE"""),"Satisfied with the Delivery")</f>
        <v>Satisfied with the Delivery</v>
      </c>
      <c r="K2107" s="18" t="str">
        <f>IFERROR(__xludf.DUMMYFUNCTION("""COMPUTED_VALUE"""),"Timely and quality")</f>
        <v>Timely and quality</v>
      </c>
      <c r="L2107" s="18">
        <f>iferror(VLOOKUP($D2107,Details!$A$2:$C$11,2,false),vlookup($D2107,Details!$E$2:$G$11,2,false))</f>
        <v>75</v>
      </c>
      <c r="M2107" s="18" t="str">
        <f>iferror(VLOOKUP($D2107,Details!$A$2:$C$11,3,false),vlookup($D2107,Details!$E$2:$G$11,3,false))</f>
        <v>Fruits and Vegetables</v>
      </c>
      <c r="N2107" s="18">
        <f t="shared" si="1"/>
        <v>75</v>
      </c>
      <c r="O2107" s="17"/>
      <c r="P2107" s="17"/>
      <c r="Q2107" s="17"/>
      <c r="R2107" s="17"/>
      <c r="S2107" s="17"/>
      <c r="T2107" s="17"/>
      <c r="U2107" s="17"/>
      <c r="V2107" s="17"/>
      <c r="W2107" s="17"/>
      <c r="X2107" s="17"/>
      <c r="Y2107" s="17"/>
      <c r="Z2107" s="17"/>
    </row>
    <row r="2108">
      <c r="A2108" s="18" t="str">
        <f>IFERROR(__xludf.DUMMYFUNCTION("""COMPUTED_VALUE"""),"ord_82082")</f>
        <v>ord_82082</v>
      </c>
      <c r="B2108" s="18" t="str">
        <f>IFERROR(__xludf.DUMMYFUNCTION("""COMPUTED_VALUE"""),"Tanishq Bansal")</f>
        <v>Tanishq Bansal</v>
      </c>
      <c r="C2108" s="18" t="str">
        <f>IFERROR(__xludf.DUMMYFUNCTION("""COMPUTED_VALUE"""),"Powai")</f>
        <v>Powai</v>
      </c>
      <c r="D2108" s="18" t="str">
        <f>IFERROR(__xludf.DUMMYFUNCTION("""COMPUTED_VALUE"""),"Popcorn")</f>
        <v>Popcorn</v>
      </c>
      <c r="E2108" s="18">
        <f>IFERROR(__xludf.DUMMYFUNCTION("""COMPUTED_VALUE"""),4.0)</f>
        <v>4</v>
      </c>
      <c r="F2108" s="18" t="str">
        <f>IFERROR(__xludf.DUMMYFUNCTION("""COMPUTED_VALUE"""),"Sandeep Kumar")</f>
        <v>Sandeep Kumar</v>
      </c>
      <c r="G2108" s="19">
        <f>IFERROR(__xludf.DUMMYFUNCTION("""COMPUTED_VALUE"""),44997.0)</f>
        <v>44997</v>
      </c>
      <c r="H2108" s="18" t="str">
        <f>IFERROR(__xludf.DUMMYFUNCTION("""COMPUTED_VALUE"""),"Credit Card")</f>
        <v>Credit Card</v>
      </c>
      <c r="I2108" s="18" t="str">
        <f>IFERROR(__xludf.DUMMYFUNCTION("""COMPUTED_VALUE"""),"Delivered")</f>
        <v>Delivered</v>
      </c>
      <c r="J2108" s="18" t="str">
        <f>IFERROR(__xludf.DUMMYFUNCTION("""COMPUTED_VALUE"""),"Customer Service")</f>
        <v>Customer Service</v>
      </c>
      <c r="K2108" s="18" t="str">
        <f>IFERROR(__xludf.DUMMYFUNCTION("""COMPUTED_VALUE"""),"Seamless and easy")</f>
        <v>Seamless and easy</v>
      </c>
      <c r="L2108" s="18">
        <f>iferror(VLOOKUP($D2108,Details!$A$2:$C$11,2,false),vlookup($D2108,Details!$E$2:$G$11,2,false))</f>
        <v>150</v>
      </c>
      <c r="M2108" s="18" t="str">
        <f>iferror(VLOOKUP($D2108,Details!$A$2:$C$11,3,false),vlookup($D2108,Details!$E$2:$G$11,3,false))</f>
        <v>Snacks and Drinks</v>
      </c>
      <c r="N2108" s="18">
        <f t="shared" si="1"/>
        <v>600</v>
      </c>
      <c r="O2108" s="17"/>
      <c r="P2108" s="17"/>
      <c r="Q2108" s="17"/>
      <c r="R2108" s="17"/>
      <c r="S2108" s="17"/>
      <c r="T2108" s="17"/>
      <c r="U2108" s="17"/>
      <c r="V2108" s="17"/>
      <c r="W2108" s="17"/>
      <c r="X2108" s="17"/>
      <c r="Y2108" s="17"/>
      <c r="Z2108" s="17"/>
    </row>
    <row r="2109">
      <c r="A2109" s="18" t="str">
        <f>IFERROR(__xludf.DUMMYFUNCTION("""COMPUTED_VALUE"""),"ord_82083")</f>
        <v>ord_82083</v>
      </c>
      <c r="B2109" s="18" t="str">
        <f>IFERROR(__xludf.DUMMYFUNCTION("""COMPUTED_VALUE"""),"Mehul Thakkar")</f>
        <v>Mehul Thakkar</v>
      </c>
      <c r="C2109" s="18" t="str">
        <f>IFERROR(__xludf.DUMMYFUNCTION("""COMPUTED_VALUE"""),"Malad")</f>
        <v>Malad</v>
      </c>
      <c r="D2109" s="18" t="str">
        <f>IFERROR(__xludf.DUMMYFUNCTION("""COMPUTED_VALUE"""),"Papaya")</f>
        <v>Papaya</v>
      </c>
      <c r="E2109" s="18">
        <f>IFERROR(__xludf.DUMMYFUNCTION("""COMPUTED_VALUE"""),2.0)</f>
        <v>2</v>
      </c>
      <c r="F2109" s="18" t="str">
        <f>IFERROR(__xludf.DUMMYFUNCTION("""COMPUTED_VALUE"""),"Not Assigned")</f>
        <v>Not Assigned</v>
      </c>
      <c r="G2109" s="19">
        <f>IFERROR(__xludf.DUMMYFUNCTION("""COMPUTED_VALUE"""),45259.0)</f>
        <v>45259</v>
      </c>
      <c r="H2109" s="18" t="str">
        <f>IFERROR(__xludf.DUMMYFUNCTION("""COMPUTED_VALUE"""),"Credit Card")</f>
        <v>Credit Card</v>
      </c>
      <c r="I2109" s="18" t="str">
        <f>IFERROR(__xludf.DUMMYFUNCTION("""COMPUTED_VALUE"""),"Cancelled")</f>
        <v>Cancelled</v>
      </c>
      <c r="J2109" s="18" t="str">
        <f>IFERROR(__xludf.DUMMYFUNCTION("""COMPUTED_VALUE"""),"High Delivery Fees")</f>
        <v>High Delivery Fees</v>
      </c>
      <c r="K2109" s="18"/>
      <c r="L2109" s="18">
        <f>iferror(VLOOKUP($D2109,Details!$A$2:$C$11,2,false),vlookup($D2109,Details!$E$2:$G$11,2,false))</f>
        <v>75</v>
      </c>
      <c r="M2109" s="18" t="str">
        <f>iferror(VLOOKUP($D2109,Details!$A$2:$C$11,3,false),vlookup($D2109,Details!$E$2:$G$11,3,false))</f>
        <v>Fruits and Vegetables</v>
      </c>
      <c r="N2109" s="18">
        <f t="shared" si="1"/>
        <v>150</v>
      </c>
      <c r="O2109" s="17"/>
      <c r="P2109" s="17"/>
      <c r="Q2109" s="17"/>
      <c r="R2109" s="17"/>
      <c r="S2109" s="17"/>
      <c r="T2109" s="17"/>
      <c r="U2109" s="17"/>
      <c r="V2109" s="17"/>
      <c r="W2109" s="17"/>
      <c r="X2109" s="17"/>
      <c r="Y2109" s="17"/>
      <c r="Z2109" s="17"/>
    </row>
    <row r="2110">
      <c r="A2110" s="18" t="str">
        <f>IFERROR(__xludf.DUMMYFUNCTION("""COMPUTED_VALUE"""),"ord_82084")</f>
        <v>ord_82084</v>
      </c>
      <c r="B2110" s="18" t="str">
        <f>IFERROR(__xludf.DUMMYFUNCTION("""COMPUTED_VALUE"""),"Sanjay Nair")</f>
        <v>Sanjay Nair</v>
      </c>
      <c r="C2110" s="18" t="str">
        <f>IFERROR(__xludf.DUMMYFUNCTION("""COMPUTED_VALUE"""),"Dadar")</f>
        <v>Dadar</v>
      </c>
      <c r="D2110" s="18" t="str">
        <f>IFERROR(__xludf.DUMMYFUNCTION("""COMPUTED_VALUE"""),"Papaya")</f>
        <v>Papaya</v>
      </c>
      <c r="E2110" s="18">
        <f>IFERROR(__xludf.DUMMYFUNCTION("""COMPUTED_VALUE"""),2.0)</f>
        <v>2</v>
      </c>
      <c r="F2110" s="18" t="str">
        <f>IFERROR(__xludf.DUMMYFUNCTION("""COMPUTED_VALUE"""),"Aman Kumar")</f>
        <v>Aman Kumar</v>
      </c>
      <c r="G2110" s="19">
        <f>IFERROR(__xludf.DUMMYFUNCTION("""COMPUTED_VALUE"""),45105.0)</f>
        <v>45105</v>
      </c>
      <c r="H2110" s="18" t="str">
        <f>IFERROR(__xludf.DUMMYFUNCTION("""COMPUTED_VALUE"""),"Credit Card")</f>
        <v>Credit Card</v>
      </c>
      <c r="I2110" s="18" t="str">
        <f>IFERROR(__xludf.DUMMYFUNCTION("""COMPUTED_VALUE"""),"Delivered")</f>
        <v>Delivered</v>
      </c>
      <c r="J2110" s="18" t="str">
        <f>IFERROR(__xludf.DUMMYFUNCTION("""COMPUTED_VALUE"""),"Delivery Experience")</f>
        <v>Delivery Experience</v>
      </c>
      <c r="K2110" s="18" t="str">
        <f>IFERROR(__xludf.DUMMYFUNCTION("""COMPUTED_VALUE"""),"Quick and professional")</f>
        <v>Quick and professional</v>
      </c>
      <c r="L2110" s="18">
        <f>iferror(VLOOKUP($D2110,Details!$A$2:$C$11,2,false),vlookup($D2110,Details!$E$2:$G$11,2,false))</f>
        <v>75</v>
      </c>
      <c r="M2110" s="18" t="str">
        <f>iferror(VLOOKUP($D2110,Details!$A$2:$C$11,3,false),vlookup($D2110,Details!$E$2:$G$11,3,false))</f>
        <v>Fruits and Vegetables</v>
      </c>
      <c r="N2110" s="18">
        <f t="shared" si="1"/>
        <v>150</v>
      </c>
      <c r="O2110" s="17"/>
      <c r="P2110" s="17"/>
      <c r="Q2110" s="17"/>
      <c r="R2110" s="17"/>
      <c r="S2110" s="17"/>
      <c r="T2110" s="17"/>
      <c r="U2110" s="17"/>
      <c r="V2110" s="17"/>
      <c r="W2110" s="17"/>
      <c r="X2110" s="17"/>
      <c r="Y2110" s="17"/>
      <c r="Z2110" s="17"/>
    </row>
    <row r="2111">
      <c r="A2111" s="18" t="str">
        <f>IFERROR(__xludf.DUMMYFUNCTION("""COMPUTED_VALUE"""),"ord_82085")</f>
        <v>ord_82085</v>
      </c>
      <c r="B2111" s="18" t="str">
        <f>IFERROR(__xludf.DUMMYFUNCTION("""COMPUTED_VALUE"""),"Aditi Iyer")</f>
        <v>Aditi Iyer</v>
      </c>
      <c r="C2111" s="18" t="str">
        <f>IFERROR(__xludf.DUMMYFUNCTION("""COMPUTED_VALUE"""),"Dadar")</f>
        <v>Dadar</v>
      </c>
      <c r="D2111" s="18" t="str">
        <f>IFERROR(__xludf.DUMMYFUNCTION("""COMPUTED_VALUE"""),"Veg Puff")</f>
        <v>Veg Puff</v>
      </c>
      <c r="E2111" s="18">
        <f>IFERROR(__xludf.DUMMYFUNCTION("""COMPUTED_VALUE"""),3.0)</f>
        <v>3</v>
      </c>
      <c r="F2111" s="18" t="str">
        <f>IFERROR(__xludf.DUMMYFUNCTION("""COMPUTED_VALUE"""),"Aman Kumar")</f>
        <v>Aman Kumar</v>
      </c>
      <c r="G2111" s="19">
        <f>IFERROR(__xludf.DUMMYFUNCTION("""COMPUTED_VALUE"""),45234.0)</f>
        <v>45234</v>
      </c>
      <c r="H2111" s="18" t="str">
        <f>IFERROR(__xludf.DUMMYFUNCTION("""COMPUTED_VALUE"""),"COD")</f>
        <v>COD</v>
      </c>
      <c r="I2111" s="18" t="str">
        <f>IFERROR(__xludf.DUMMYFUNCTION("""COMPUTED_VALUE"""),"Delivered")</f>
        <v>Delivered</v>
      </c>
      <c r="J2111" s="18" t="str">
        <f>IFERROR(__xludf.DUMMYFUNCTION("""COMPUTED_VALUE"""),"Convenience")</f>
        <v>Convenience</v>
      </c>
      <c r="K2111" s="18" t="str">
        <f>IFERROR(__xludf.DUMMYFUNCTION("""COMPUTED_VALUE"""),"Easy tracking")</f>
        <v>Easy tracking</v>
      </c>
      <c r="L2111" s="18">
        <f>iferror(VLOOKUP($D2111,Details!$A$2:$C$11,2,false),vlookup($D2111,Details!$E$2:$G$11,2,false))</f>
        <v>80</v>
      </c>
      <c r="M2111" s="18" t="str">
        <f>iferror(VLOOKUP($D2111,Details!$A$2:$C$11,3,false),vlookup($D2111,Details!$E$2:$G$11,3,false))</f>
        <v>Snacks and Drinks</v>
      </c>
      <c r="N2111" s="18">
        <f t="shared" si="1"/>
        <v>240</v>
      </c>
      <c r="O2111" s="17"/>
      <c r="P2111" s="17"/>
      <c r="Q2111" s="17"/>
      <c r="R2111" s="17"/>
      <c r="S2111" s="17"/>
      <c r="T2111" s="17"/>
      <c r="U2111" s="17"/>
      <c r="V2111" s="17"/>
      <c r="W2111" s="17"/>
      <c r="X2111" s="17"/>
      <c r="Y2111" s="17"/>
      <c r="Z2111" s="17"/>
    </row>
    <row r="2112">
      <c r="A2112" s="18" t="str">
        <f>IFERROR(__xludf.DUMMYFUNCTION("""COMPUTED_VALUE"""),"ord_82086")</f>
        <v>ord_82086</v>
      </c>
      <c r="B2112" s="18" t="str">
        <f>IFERROR(__xludf.DUMMYFUNCTION("""COMPUTED_VALUE"""),"Pallavi Ghosh")</f>
        <v>Pallavi Ghosh</v>
      </c>
      <c r="C2112" s="18" t="str">
        <f>IFERROR(__xludf.DUMMYFUNCTION("""COMPUTED_VALUE"""),"Bandra")</f>
        <v>Bandra</v>
      </c>
      <c r="D2112" s="18" t="str">
        <f>IFERROR(__xludf.DUMMYFUNCTION("""COMPUTED_VALUE"""),"Juice")</f>
        <v>Juice</v>
      </c>
      <c r="E2112" s="18">
        <f>IFERROR(__xludf.DUMMYFUNCTION("""COMPUTED_VALUE"""),5.0)</f>
        <v>5</v>
      </c>
      <c r="F2112" s="18" t="str">
        <f>IFERROR(__xludf.DUMMYFUNCTION("""COMPUTED_VALUE"""),"Priya Joshi")</f>
        <v>Priya Joshi</v>
      </c>
      <c r="G2112" s="19">
        <f>IFERROR(__xludf.DUMMYFUNCTION("""COMPUTED_VALUE"""),45151.0)</f>
        <v>45151</v>
      </c>
      <c r="H2112" s="18" t="str">
        <f>IFERROR(__xludf.DUMMYFUNCTION("""COMPUTED_VALUE"""),"Online Payment")</f>
        <v>Online Payment</v>
      </c>
      <c r="I2112" s="18" t="str">
        <f>IFERROR(__xludf.DUMMYFUNCTION("""COMPUTED_VALUE"""),"Delivered")</f>
        <v>Delivered</v>
      </c>
      <c r="J2112" s="18" t="str">
        <f>IFERROR(__xludf.DUMMYFUNCTION("""COMPUTED_VALUE"""),"Overall Satisfaction")</f>
        <v>Overall Satisfaction</v>
      </c>
      <c r="K2112" s="18" t="str">
        <f>IFERROR(__xludf.DUMMYFUNCTION("""COMPUTED_VALUE"""),"Great service will order again")</f>
        <v>Great service will order again</v>
      </c>
      <c r="L2112" s="18">
        <f>iferror(VLOOKUP($D2112,Details!$A$2:$C$11,2,false),vlookup($D2112,Details!$E$2:$G$11,2,false))</f>
        <v>90</v>
      </c>
      <c r="M2112" s="18" t="str">
        <f>iferror(VLOOKUP($D2112,Details!$A$2:$C$11,3,false),vlookup($D2112,Details!$E$2:$G$11,3,false))</f>
        <v>Snacks and Drinks</v>
      </c>
      <c r="N2112" s="18">
        <f t="shared" si="1"/>
        <v>450</v>
      </c>
      <c r="O2112" s="17"/>
      <c r="P2112" s="17"/>
      <c r="Q2112" s="17"/>
      <c r="R2112" s="17"/>
      <c r="S2112" s="17"/>
      <c r="T2112" s="17"/>
      <c r="U2112" s="17"/>
      <c r="V2112" s="17"/>
      <c r="W2112" s="17"/>
      <c r="X2112" s="17"/>
      <c r="Y2112" s="17"/>
      <c r="Z2112" s="17"/>
    </row>
    <row r="2113">
      <c r="A2113" s="18" t="str">
        <f>IFERROR(__xludf.DUMMYFUNCTION("""COMPUTED_VALUE"""),"ord_82087")</f>
        <v>ord_82087</v>
      </c>
      <c r="B2113" s="18" t="str">
        <f>IFERROR(__xludf.DUMMYFUNCTION("""COMPUTED_VALUE"""),"Siya Reddy")</f>
        <v>Siya Reddy</v>
      </c>
      <c r="C2113" s="18" t="str">
        <f>IFERROR(__xludf.DUMMYFUNCTION("""COMPUTED_VALUE"""),"Juhu")</f>
        <v>Juhu</v>
      </c>
      <c r="D2113" s="18" t="str">
        <f>IFERROR(__xludf.DUMMYFUNCTION("""COMPUTED_VALUE"""),"Rasmalai")</f>
        <v>Rasmalai</v>
      </c>
      <c r="E2113" s="18">
        <f>IFERROR(__xludf.DUMMYFUNCTION("""COMPUTED_VALUE"""),3.0)</f>
        <v>3</v>
      </c>
      <c r="F2113" s="18" t="str">
        <f>IFERROR(__xludf.DUMMYFUNCTION("""COMPUTED_VALUE"""),"Tanvi Jain")</f>
        <v>Tanvi Jain</v>
      </c>
      <c r="G2113" s="19">
        <f>IFERROR(__xludf.DUMMYFUNCTION("""COMPUTED_VALUE"""),45029.0)</f>
        <v>45029</v>
      </c>
      <c r="H2113" s="18" t="str">
        <f>IFERROR(__xludf.DUMMYFUNCTION("""COMPUTED_VALUE"""),"Online Payment")</f>
        <v>Online Payment</v>
      </c>
      <c r="I2113" s="18" t="str">
        <f>IFERROR(__xludf.DUMMYFUNCTION("""COMPUTED_VALUE"""),"Delivered")</f>
        <v>Delivered</v>
      </c>
      <c r="J2113" s="18" t="str">
        <f>IFERROR(__xludf.DUMMYFUNCTION("""COMPUTED_VALUE"""),"On-time Delivery")</f>
        <v>On-time Delivery</v>
      </c>
      <c r="K2113" s="18" t="str">
        <f>IFERROR(__xludf.DUMMYFUNCTION("""COMPUTED_VALUE"""),"Delivered on time")</f>
        <v>Delivered on time</v>
      </c>
      <c r="L2113" s="18">
        <f>iferror(VLOOKUP($D2113,Details!$A$2:$C$11,2,false),vlookup($D2113,Details!$E$2:$G$11,2,false))</f>
        <v>110</v>
      </c>
      <c r="M2113" s="18" t="str">
        <f>iferror(VLOOKUP($D2113,Details!$A$2:$C$11,3,false),vlookup($D2113,Details!$E$2:$G$11,3,false))</f>
        <v>Snacks and Drinks</v>
      </c>
      <c r="N2113" s="18">
        <f t="shared" si="1"/>
        <v>330</v>
      </c>
      <c r="O2113" s="17"/>
      <c r="P2113" s="17"/>
      <c r="Q2113" s="17"/>
      <c r="R2113" s="17"/>
      <c r="S2113" s="17"/>
      <c r="T2113" s="17"/>
      <c r="U2113" s="17"/>
      <c r="V2113" s="17"/>
      <c r="W2113" s="17"/>
      <c r="X2113" s="17"/>
      <c r="Y2113" s="17"/>
      <c r="Z2113" s="17"/>
    </row>
    <row r="2114">
      <c r="A2114" s="18" t="str">
        <f>IFERROR(__xludf.DUMMYFUNCTION("""COMPUTED_VALUE"""),"ord_82088")</f>
        <v>ord_82088</v>
      </c>
      <c r="B2114" s="18" t="str">
        <f>IFERROR(__xludf.DUMMYFUNCTION("""COMPUTED_VALUE"""),"Sanjay Nair")</f>
        <v>Sanjay Nair</v>
      </c>
      <c r="C2114" s="18" t="str">
        <f>IFERROR(__xludf.DUMMYFUNCTION("""COMPUTED_VALUE"""),"Dadar")</f>
        <v>Dadar</v>
      </c>
      <c r="D2114" s="18" t="str">
        <f>IFERROR(__xludf.DUMMYFUNCTION("""COMPUTED_VALUE"""),"Orange")</f>
        <v>Orange</v>
      </c>
      <c r="E2114" s="18">
        <f>IFERROR(__xludf.DUMMYFUNCTION("""COMPUTED_VALUE"""),2.0)</f>
        <v>2</v>
      </c>
      <c r="F2114" s="18" t="str">
        <f>IFERROR(__xludf.DUMMYFUNCTION("""COMPUTED_VALUE"""),"Aman Kumar")</f>
        <v>Aman Kumar</v>
      </c>
      <c r="G2114" s="19">
        <f>IFERROR(__xludf.DUMMYFUNCTION("""COMPUTED_VALUE"""),44953.0)</f>
        <v>44953</v>
      </c>
      <c r="H2114" s="18" t="str">
        <f>IFERROR(__xludf.DUMMYFUNCTION("""COMPUTED_VALUE"""),"COD")</f>
        <v>COD</v>
      </c>
      <c r="I2114" s="18" t="str">
        <f>IFERROR(__xludf.DUMMYFUNCTION("""COMPUTED_VALUE"""),"Delivered")</f>
        <v>Delivered</v>
      </c>
      <c r="J2114" s="18" t="str">
        <f>IFERROR(__xludf.DUMMYFUNCTION("""COMPUTED_VALUE"""),"Quality of Items")</f>
        <v>Quality of Items</v>
      </c>
      <c r="K2114" s="18" t="str">
        <f>IFERROR(__xludf.DUMMYFUNCTION("""COMPUTED_VALUE"""),"Perfect condition")</f>
        <v>Perfect condition</v>
      </c>
      <c r="L2114" s="18">
        <f>iferror(VLOOKUP($D2114,Details!$A$2:$C$11,2,false),vlookup($D2114,Details!$E$2:$G$11,2,false))</f>
        <v>180</v>
      </c>
      <c r="M2114" s="18" t="str">
        <f>iferror(VLOOKUP($D2114,Details!$A$2:$C$11,3,false),vlookup($D2114,Details!$E$2:$G$11,3,false))</f>
        <v>Fruits and Vegetables</v>
      </c>
      <c r="N2114" s="18">
        <f t="shared" si="1"/>
        <v>360</v>
      </c>
      <c r="O2114" s="17"/>
      <c r="P2114" s="17"/>
      <c r="Q2114" s="17"/>
      <c r="R2114" s="17"/>
      <c r="S2114" s="17"/>
      <c r="T2114" s="17"/>
      <c r="U2114" s="17"/>
      <c r="V2114" s="17"/>
      <c r="W2114" s="17"/>
      <c r="X2114" s="17"/>
      <c r="Y2114" s="17"/>
      <c r="Z2114" s="17"/>
    </row>
    <row r="2115">
      <c r="A2115" s="18" t="str">
        <f>IFERROR(__xludf.DUMMYFUNCTION("""COMPUTED_VALUE"""),"ord_82089")</f>
        <v>ord_82089</v>
      </c>
      <c r="B2115" s="18" t="str">
        <f>IFERROR(__xludf.DUMMYFUNCTION("""COMPUTED_VALUE"""),"Arvind Kulkarni")</f>
        <v>Arvind Kulkarni</v>
      </c>
      <c r="C2115" s="18" t="str">
        <f>IFERROR(__xludf.DUMMYFUNCTION("""COMPUTED_VALUE"""),"Juhu")</f>
        <v>Juhu</v>
      </c>
      <c r="D2115" s="18" t="str">
        <f>IFERROR(__xludf.DUMMYFUNCTION("""COMPUTED_VALUE"""),"Sweet Corn")</f>
        <v>Sweet Corn</v>
      </c>
      <c r="E2115" s="18">
        <f>IFERROR(__xludf.DUMMYFUNCTION("""COMPUTED_VALUE"""),1.0)</f>
        <v>1</v>
      </c>
      <c r="F2115" s="18" t="str">
        <f>IFERROR(__xludf.DUMMYFUNCTION("""COMPUTED_VALUE"""),"Tanvi Jain")</f>
        <v>Tanvi Jain</v>
      </c>
      <c r="G2115" s="19">
        <f>IFERROR(__xludf.DUMMYFUNCTION("""COMPUTED_VALUE"""),45015.0)</f>
        <v>45015</v>
      </c>
      <c r="H2115" s="18" t="str">
        <f>IFERROR(__xludf.DUMMYFUNCTION("""COMPUTED_VALUE"""),"Credit Card")</f>
        <v>Credit Card</v>
      </c>
      <c r="I2115" s="18" t="str">
        <f>IFERROR(__xludf.DUMMYFUNCTION("""COMPUTED_VALUE"""),"Delivered")</f>
        <v>Delivered</v>
      </c>
      <c r="J2115" s="18" t="str">
        <f>IFERROR(__xludf.DUMMYFUNCTION("""COMPUTED_VALUE"""),"On-time Delivery")</f>
        <v>On-time Delivery</v>
      </c>
      <c r="K2115" s="18" t="str">
        <f>IFERROR(__xludf.DUMMYFUNCTION("""COMPUTED_VALUE"""),"Delivered on time")</f>
        <v>Delivered on time</v>
      </c>
      <c r="L2115" s="18">
        <f>iferror(VLOOKUP($D2115,Details!$A$2:$C$11,2,false),vlookup($D2115,Details!$E$2:$G$11,2,false))</f>
        <v>60</v>
      </c>
      <c r="M2115" s="18" t="str">
        <f>iferror(VLOOKUP($D2115,Details!$A$2:$C$11,3,false),vlookup($D2115,Details!$E$2:$G$11,3,false))</f>
        <v>Fruits and Vegetables</v>
      </c>
      <c r="N2115" s="18">
        <f t="shared" si="1"/>
        <v>60</v>
      </c>
      <c r="O2115" s="17"/>
      <c r="P2115" s="17"/>
      <c r="Q2115" s="17"/>
      <c r="R2115" s="17"/>
      <c r="S2115" s="17"/>
      <c r="T2115" s="17"/>
      <c r="U2115" s="17"/>
      <c r="V2115" s="17"/>
      <c r="W2115" s="17"/>
      <c r="X2115" s="17"/>
      <c r="Y2115" s="17"/>
      <c r="Z2115" s="17"/>
    </row>
    <row r="2116">
      <c r="A2116" s="18" t="str">
        <f>IFERROR(__xludf.DUMMYFUNCTION("""COMPUTED_VALUE"""),"ord_82090")</f>
        <v>ord_82090</v>
      </c>
      <c r="B2116" s="18" t="str">
        <f>IFERROR(__xludf.DUMMYFUNCTION("""COMPUTED_VALUE"""),"Riya Chakraborty")</f>
        <v>Riya Chakraborty</v>
      </c>
      <c r="C2116" s="18" t="str">
        <f>IFERROR(__xludf.DUMMYFUNCTION("""COMPUTED_VALUE"""),"Juhu")</f>
        <v>Juhu</v>
      </c>
      <c r="D2116" s="18" t="str">
        <f>IFERROR(__xludf.DUMMYFUNCTION("""COMPUTED_VALUE"""),"Orange")</f>
        <v>Orange</v>
      </c>
      <c r="E2116" s="18">
        <f>IFERROR(__xludf.DUMMYFUNCTION("""COMPUTED_VALUE"""),2.0)</f>
        <v>2</v>
      </c>
      <c r="F2116" s="18" t="str">
        <f>IFERROR(__xludf.DUMMYFUNCTION("""COMPUTED_VALUE"""),"Tanvi Jain")</f>
        <v>Tanvi Jain</v>
      </c>
      <c r="G2116" s="19">
        <f>IFERROR(__xludf.DUMMYFUNCTION("""COMPUTED_VALUE"""),45181.0)</f>
        <v>45181</v>
      </c>
      <c r="H2116" s="18" t="str">
        <f>IFERROR(__xludf.DUMMYFUNCTION("""COMPUTED_VALUE"""),"Credit Card")</f>
        <v>Credit Card</v>
      </c>
      <c r="I2116" s="18" t="str">
        <f>IFERROR(__xludf.DUMMYFUNCTION("""COMPUTED_VALUE"""),"Delivered")</f>
        <v>Delivered</v>
      </c>
      <c r="J2116" s="18" t="str">
        <f>IFERROR(__xludf.DUMMYFUNCTION("""COMPUTED_VALUE"""),"Quality of Items")</f>
        <v>Quality of Items</v>
      </c>
      <c r="K2116" s="18" t="str">
        <f>IFERROR(__xludf.DUMMYFUNCTION("""COMPUTED_VALUE"""),"Perfect condition")</f>
        <v>Perfect condition</v>
      </c>
      <c r="L2116" s="18">
        <f>iferror(VLOOKUP($D2116,Details!$A$2:$C$11,2,false),vlookup($D2116,Details!$E$2:$G$11,2,false))</f>
        <v>180</v>
      </c>
      <c r="M2116" s="18" t="str">
        <f>iferror(VLOOKUP($D2116,Details!$A$2:$C$11,3,false),vlookup($D2116,Details!$E$2:$G$11,3,false))</f>
        <v>Fruits and Vegetables</v>
      </c>
      <c r="N2116" s="18">
        <f t="shared" si="1"/>
        <v>360</v>
      </c>
      <c r="O2116" s="17"/>
      <c r="P2116" s="17"/>
      <c r="Q2116" s="17"/>
      <c r="R2116" s="17"/>
      <c r="S2116" s="17"/>
      <c r="T2116" s="17"/>
      <c r="U2116" s="17"/>
      <c r="V2116" s="17"/>
      <c r="W2116" s="17"/>
      <c r="X2116" s="17"/>
      <c r="Y2116" s="17"/>
      <c r="Z2116" s="17"/>
    </row>
    <row r="2117">
      <c r="A2117" s="18" t="str">
        <f>IFERROR(__xludf.DUMMYFUNCTION("""COMPUTED_VALUE"""),"ord_82091")</f>
        <v>ord_82091</v>
      </c>
      <c r="B2117" s="18" t="str">
        <f>IFERROR(__xludf.DUMMYFUNCTION("""COMPUTED_VALUE"""),"Mehul Thakkar")</f>
        <v>Mehul Thakkar</v>
      </c>
      <c r="C2117" s="18" t="str">
        <f>IFERROR(__xludf.DUMMYFUNCTION("""COMPUTED_VALUE"""),"Malad")</f>
        <v>Malad</v>
      </c>
      <c r="D2117" s="18" t="str">
        <f>IFERROR(__xludf.DUMMYFUNCTION("""COMPUTED_VALUE"""),"Tiramisu")</f>
        <v>Tiramisu</v>
      </c>
      <c r="E2117" s="18">
        <f>IFERROR(__xludf.DUMMYFUNCTION("""COMPUTED_VALUE"""),4.0)</f>
        <v>4</v>
      </c>
      <c r="F2117" s="18" t="str">
        <f>IFERROR(__xludf.DUMMYFUNCTION("""COMPUTED_VALUE"""),"Not Assigned")</f>
        <v>Not Assigned</v>
      </c>
      <c r="G2117" s="19">
        <f>IFERROR(__xludf.DUMMYFUNCTION("""COMPUTED_VALUE"""),44951.0)</f>
        <v>44951</v>
      </c>
      <c r="H2117" s="18" t="str">
        <f>IFERROR(__xludf.DUMMYFUNCTION("""COMPUTED_VALUE"""),"Online Payment")</f>
        <v>Online Payment</v>
      </c>
      <c r="I2117" s="18" t="str">
        <f>IFERROR(__xludf.DUMMYFUNCTION("""COMPUTED_VALUE"""),"Cancelled")</f>
        <v>Cancelled</v>
      </c>
      <c r="J2117" s="18" t="str">
        <f>IFERROR(__xludf.DUMMYFUNCTION("""COMPUTED_VALUE"""),"High Delivery Fees")</f>
        <v>High Delivery Fees</v>
      </c>
      <c r="K2117" s="18"/>
      <c r="L2117" s="18">
        <f>iferror(VLOOKUP($D2117,Details!$A$2:$C$11,2,false),vlookup($D2117,Details!$E$2:$G$11,2,false))</f>
        <v>150</v>
      </c>
      <c r="M2117" s="18" t="str">
        <f>iferror(VLOOKUP($D2117,Details!$A$2:$C$11,3,false),vlookup($D2117,Details!$E$2:$G$11,3,false))</f>
        <v>Snacks and Drinks</v>
      </c>
      <c r="N2117" s="18">
        <f t="shared" si="1"/>
        <v>600</v>
      </c>
      <c r="O2117" s="17"/>
      <c r="P2117" s="17"/>
      <c r="Q2117" s="17"/>
      <c r="R2117" s="17"/>
      <c r="S2117" s="17"/>
      <c r="T2117" s="17"/>
      <c r="U2117" s="17"/>
      <c r="V2117" s="17"/>
      <c r="W2117" s="17"/>
      <c r="X2117" s="17"/>
      <c r="Y2117" s="17"/>
      <c r="Z2117" s="17"/>
    </row>
    <row r="2118">
      <c r="A2118" s="18" t="str">
        <f>IFERROR(__xludf.DUMMYFUNCTION("""COMPUTED_VALUE"""),"ord_82092")</f>
        <v>ord_82092</v>
      </c>
      <c r="B2118" s="18" t="str">
        <f>IFERROR(__xludf.DUMMYFUNCTION("""COMPUTED_VALUE"""),"Tanishq Bansal")</f>
        <v>Tanishq Bansal</v>
      </c>
      <c r="C2118" s="18" t="str">
        <f>IFERROR(__xludf.DUMMYFUNCTION("""COMPUTED_VALUE"""),"Bandra")</f>
        <v>Bandra</v>
      </c>
      <c r="D2118" s="18" t="str">
        <f>IFERROR(__xludf.DUMMYFUNCTION("""COMPUTED_VALUE"""),"Popcorn")</f>
        <v>Popcorn</v>
      </c>
      <c r="E2118" s="18">
        <f>IFERROR(__xludf.DUMMYFUNCTION("""COMPUTED_VALUE"""),5.0)</f>
        <v>5</v>
      </c>
      <c r="F2118" s="18" t="str">
        <f>IFERROR(__xludf.DUMMYFUNCTION("""COMPUTED_VALUE"""),"Priya Joshi")</f>
        <v>Priya Joshi</v>
      </c>
      <c r="G2118" s="19">
        <f>IFERROR(__xludf.DUMMYFUNCTION("""COMPUTED_VALUE"""),44932.0)</f>
        <v>44932</v>
      </c>
      <c r="H2118" s="18" t="str">
        <f>IFERROR(__xludf.DUMMYFUNCTION("""COMPUTED_VALUE"""),"UPI")</f>
        <v>UPI</v>
      </c>
      <c r="I2118" s="18" t="str">
        <f>IFERROR(__xludf.DUMMYFUNCTION("""COMPUTED_VALUE"""),"Delivered")</f>
        <v>Delivered</v>
      </c>
      <c r="J2118" s="18" t="str">
        <f>IFERROR(__xludf.DUMMYFUNCTION("""COMPUTED_VALUE"""),"Packaging")</f>
        <v>Packaging</v>
      </c>
      <c r="K2118" s="18" t="str">
        <f>IFERROR(__xludf.DUMMYFUNCTION("""COMPUTED_VALUE"""),"Secure and intact")</f>
        <v>Secure and intact</v>
      </c>
      <c r="L2118" s="18">
        <f>iferror(VLOOKUP($D2118,Details!$A$2:$C$11,2,false),vlookup($D2118,Details!$E$2:$G$11,2,false))</f>
        <v>150</v>
      </c>
      <c r="M2118" s="18" t="str">
        <f>iferror(VLOOKUP($D2118,Details!$A$2:$C$11,3,false),vlookup($D2118,Details!$E$2:$G$11,3,false))</f>
        <v>Snacks and Drinks</v>
      </c>
      <c r="N2118" s="18">
        <f t="shared" si="1"/>
        <v>750</v>
      </c>
      <c r="O2118" s="17"/>
      <c r="P2118" s="17"/>
      <c r="Q2118" s="17"/>
      <c r="R2118" s="17"/>
      <c r="S2118" s="17"/>
      <c r="T2118" s="17"/>
      <c r="U2118" s="17"/>
      <c r="V2118" s="17"/>
      <c r="W2118" s="17"/>
      <c r="X2118" s="17"/>
      <c r="Y2118" s="17"/>
      <c r="Z2118" s="17"/>
    </row>
    <row r="2119">
      <c r="A2119" s="18" t="str">
        <f>IFERROR(__xludf.DUMMYFUNCTION("""COMPUTED_VALUE"""),"ord_82093")</f>
        <v>ord_82093</v>
      </c>
      <c r="B2119" s="18" t="str">
        <f>IFERROR(__xludf.DUMMYFUNCTION("""COMPUTED_VALUE"""),"Riya Chakraborty")</f>
        <v>Riya Chakraborty</v>
      </c>
      <c r="C2119" s="18" t="str">
        <f>IFERROR(__xludf.DUMMYFUNCTION("""COMPUTED_VALUE"""),"Juhu")</f>
        <v>Juhu</v>
      </c>
      <c r="D2119" s="18" t="str">
        <f>IFERROR(__xludf.DUMMYFUNCTION("""COMPUTED_VALUE"""),"Rasmalai")</f>
        <v>Rasmalai</v>
      </c>
      <c r="E2119" s="18">
        <f>IFERROR(__xludf.DUMMYFUNCTION("""COMPUTED_VALUE"""),8.0)</f>
        <v>8</v>
      </c>
      <c r="F2119" s="18" t="str">
        <f>IFERROR(__xludf.DUMMYFUNCTION("""COMPUTED_VALUE"""),"Tanvi Jain")</f>
        <v>Tanvi Jain</v>
      </c>
      <c r="G2119" s="19">
        <f>IFERROR(__xludf.DUMMYFUNCTION("""COMPUTED_VALUE"""),44951.0)</f>
        <v>44951</v>
      </c>
      <c r="H2119" s="18" t="str">
        <f>IFERROR(__xludf.DUMMYFUNCTION("""COMPUTED_VALUE"""),"Credit Card")</f>
        <v>Credit Card</v>
      </c>
      <c r="I2119" s="18" t="str">
        <f>IFERROR(__xludf.DUMMYFUNCTION("""COMPUTED_VALUE"""),"Delivered")</f>
        <v>Delivered</v>
      </c>
      <c r="J2119" s="18" t="str">
        <f>IFERROR(__xludf.DUMMYFUNCTION("""COMPUTED_VALUE"""),"Satisfied with the Delivery")</f>
        <v>Satisfied with the Delivery</v>
      </c>
      <c r="K2119" s="18" t="str">
        <f>IFERROR(__xludf.DUMMYFUNCTION("""COMPUTED_VALUE"""),"Timely and quality")</f>
        <v>Timely and quality</v>
      </c>
      <c r="L2119" s="18">
        <f>iferror(VLOOKUP($D2119,Details!$A$2:$C$11,2,false),vlookup($D2119,Details!$E$2:$G$11,2,false))</f>
        <v>110</v>
      </c>
      <c r="M2119" s="18" t="str">
        <f>iferror(VLOOKUP($D2119,Details!$A$2:$C$11,3,false),vlookup($D2119,Details!$E$2:$G$11,3,false))</f>
        <v>Snacks and Drinks</v>
      </c>
      <c r="N2119" s="18">
        <f t="shared" si="1"/>
        <v>880</v>
      </c>
      <c r="O2119" s="17"/>
      <c r="P2119" s="17"/>
      <c r="Q2119" s="17"/>
      <c r="R2119" s="17"/>
      <c r="S2119" s="17"/>
      <c r="T2119" s="17"/>
      <c r="U2119" s="17"/>
      <c r="V2119" s="17"/>
      <c r="W2119" s="17"/>
      <c r="X2119" s="17"/>
      <c r="Y2119" s="17"/>
      <c r="Z2119" s="17"/>
    </row>
    <row r="2120">
      <c r="A2120" s="18" t="str">
        <f>IFERROR(__xludf.DUMMYFUNCTION("""COMPUTED_VALUE"""),"ord_82094")</f>
        <v>ord_82094</v>
      </c>
      <c r="B2120" s="18" t="str">
        <f>IFERROR(__xludf.DUMMYFUNCTION("""COMPUTED_VALUE"""),"Diya Arora")</f>
        <v>Diya Arora</v>
      </c>
      <c r="C2120" s="18" t="str">
        <f>IFERROR(__xludf.DUMMYFUNCTION("""COMPUTED_VALUE"""),"Lower Parel")</f>
        <v>Lower Parel</v>
      </c>
      <c r="D2120" s="18" t="str">
        <f>IFERROR(__xludf.DUMMYFUNCTION("""COMPUTED_VALUE"""),"Orange")</f>
        <v>Orange</v>
      </c>
      <c r="E2120" s="18">
        <f>IFERROR(__xludf.DUMMYFUNCTION("""COMPUTED_VALUE"""),1.0)</f>
        <v>1</v>
      </c>
      <c r="F2120" s="18" t="str">
        <f>IFERROR(__xludf.DUMMYFUNCTION("""COMPUTED_VALUE"""),"Kiran Mehta")</f>
        <v>Kiran Mehta</v>
      </c>
      <c r="G2120" s="19">
        <f>IFERROR(__xludf.DUMMYFUNCTION("""COMPUTED_VALUE"""),44943.0)</f>
        <v>44943</v>
      </c>
      <c r="H2120" s="18" t="str">
        <f>IFERROR(__xludf.DUMMYFUNCTION("""COMPUTED_VALUE"""),"UPI")</f>
        <v>UPI</v>
      </c>
      <c r="I2120" s="18" t="str">
        <f>IFERROR(__xludf.DUMMYFUNCTION("""COMPUTED_VALUE"""),"Delivered")</f>
        <v>Delivered</v>
      </c>
      <c r="J2120" s="18" t="str">
        <f>IFERROR(__xludf.DUMMYFUNCTION("""COMPUTED_VALUE"""),"Customer Service")</f>
        <v>Customer Service</v>
      </c>
      <c r="K2120" s="18" t="str">
        <f>IFERROR(__xludf.DUMMYFUNCTION("""COMPUTED_VALUE"""),"Seamless and easy")</f>
        <v>Seamless and easy</v>
      </c>
      <c r="L2120" s="18">
        <f>iferror(VLOOKUP($D2120,Details!$A$2:$C$11,2,false),vlookup($D2120,Details!$E$2:$G$11,2,false))</f>
        <v>180</v>
      </c>
      <c r="M2120" s="18" t="str">
        <f>iferror(VLOOKUP($D2120,Details!$A$2:$C$11,3,false),vlookup($D2120,Details!$E$2:$G$11,3,false))</f>
        <v>Fruits and Vegetables</v>
      </c>
      <c r="N2120" s="18">
        <f t="shared" si="1"/>
        <v>180</v>
      </c>
      <c r="O2120" s="17"/>
      <c r="P2120" s="17"/>
      <c r="Q2120" s="17"/>
      <c r="R2120" s="17"/>
      <c r="S2120" s="17"/>
      <c r="T2120" s="17"/>
      <c r="U2120" s="17"/>
      <c r="V2120" s="17"/>
      <c r="W2120" s="17"/>
      <c r="X2120" s="17"/>
      <c r="Y2120" s="17"/>
      <c r="Z2120" s="17"/>
    </row>
    <row r="2121">
      <c r="A2121" s="18" t="str">
        <f>IFERROR(__xludf.DUMMYFUNCTION("""COMPUTED_VALUE"""),"ord_82095")</f>
        <v>ord_82095</v>
      </c>
      <c r="B2121" s="18" t="str">
        <f>IFERROR(__xludf.DUMMYFUNCTION("""COMPUTED_VALUE"""),"Anaya Rao")</f>
        <v>Anaya Rao</v>
      </c>
      <c r="C2121" s="18" t="str">
        <f>IFERROR(__xludf.DUMMYFUNCTION("""COMPUTED_VALUE"""),"Colaba")</f>
        <v>Colaba</v>
      </c>
      <c r="D2121" s="18" t="str">
        <f>IFERROR(__xludf.DUMMYFUNCTION("""COMPUTED_VALUE"""),"Onion")</f>
        <v>Onion</v>
      </c>
      <c r="E2121" s="18">
        <f>IFERROR(__xludf.DUMMYFUNCTION("""COMPUTED_VALUE"""),2.0)</f>
        <v>2</v>
      </c>
      <c r="F2121" s="18" t="str">
        <f>IFERROR(__xludf.DUMMYFUNCTION("""COMPUTED_VALUE"""),"Nikhil Deshmukh")</f>
        <v>Nikhil Deshmukh</v>
      </c>
      <c r="G2121" s="19">
        <f>IFERROR(__xludf.DUMMYFUNCTION("""COMPUTED_VALUE"""),44974.0)</f>
        <v>44974</v>
      </c>
      <c r="H2121" s="18" t="str">
        <f>IFERROR(__xludf.DUMMYFUNCTION("""COMPUTED_VALUE"""),"UPI")</f>
        <v>UPI</v>
      </c>
      <c r="I2121" s="18" t="str">
        <f>IFERROR(__xludf.DUMMYFUNCTION("""COMPUTED_VALUE"""),"Delivered")</f>
        <v>Delivered</v>
      </c>
      <c r="J2121" s="18" t="str">
        <f>IFERROR(__xludf.DUMMYFUNCTION("""COMPUTED_VALUE"""),"Delivery Experience")</f>
        <v>Delivery Experience</v>
      </c>
      <c r="K2121" s="18" t="str">
        <f>IFERROR(__xludf.DUMMYFUNCTION("""COMPUTED_VALUE"""),"Quick and professional")</f>
        <v>Quick and professional</v>
      </c>
      <c r="L2121" s="18">
        <f>iferror(VLOOKUP($D2121,Details!$A$2:$C$11,2,false),vlookup($D2121,Details!$E$2:$G$11,2,false))</f>
        <v>84</v>
      </c>
      <c r="M2121" s="18" t="str">
        <f>iferror(VLOOKUP($D2121,Details!$A$2:$C$11,3,false),vlookup($D2121,Details!$E$2:$G$11,3,false))</f>
        <v>Fruits and Vegetables</v>
      </c>
      <c r="N2121" s="18">
        <f t="shared" si="1"/>
        <v>168</v>
      </c>
      <c r="O2121" s="17"/>
      <c r="P2121" s="17"/>
      <c r="Q2121" s="17"/>
      <c r="R2121" s="17"/>
      <c r="S2121" s="17"/>
      <c r="T2121" s="17"/>
      <c r="U2121" s="17"/>
      <c r="V2121" s="17"/>
      <c r="W2121" s="17"/>
      <c r="X2121" s="17"/>
      <c r="Y2121" s="17"/>
      <c r="Z2121" s="17"/>
    </row>
    <row r="2122">
      <c r="A2122" s="18" t="str">
        <f>IFERROR(__xludf.DUMMYFUNCTION("""COMPUTED_VALUE"""),"ord_82096")</f>
        <v>ord_82096</v>
      </c>
      <c r="B2122" s="18" t="str">
        <f>IFERROR(__xludf.DUMMYFUNCTION("""COMPUTED_VALUE"""),"Simran Bhatt")</f>
        <v>Simran Bhatt</v>
      </c>
      <c r="C2122" s="18" t="str">
        <f>IFERROR(__xludf.DUMMYFUNCTION("""COMPUTED_VALUE"""),"Juhu")</f>
        <v>Juhu</v>
      </c>
      <c r="D2122" s="18" t="str">
        <f>IFERROR(__xludf.DUMMYFUNCTION("""COMPUTED_VALUE"""),"Icecream")</f>
        <v>Icecream</v>
      </c>
      <c r="E2122" s="18">
        <f>IFERROR(__xludf.DUMMYFUNCTION("""COMPUTED_VALUE"""),3.0)</f>
        <v>3</v>
      </c>
      <c r="F2122" s="18" t="str">
        <f>IFERROR(__xludf.DUMMYFUNCTION("""COMPUTED_VALUE"""),"Tanvi Jain")</f>
        <v>Tanvi Jain</v>
      </c>
      <c r="G2122" s="19">
        <f>IFERROR(__xludf.DUMMYFUNCTION("""COMPUTED_VALUE"""),45288.0)</f>
        <v>45288</v>
      </c>
      <c r="H2122" s="18" t="str">
        <f>IFERROR(__xludf.DUMMYFUNCTION("""COMPUTED_VALUE"""),"Online Payment")</f>
        <v>Online Payment</v>
      </c>
      <c r="I2122" s="18" t="str">
        <f>IFERROR(__xludf.DUMMYFUNCTION("""COMPUTED_VALUE"""),"Delivered")</f>
        <v>Delivered</v>
      </c>
      <c r="J2122" s="18" t="str">
        <f>IFERROR(__xludf.DUMMYFUNCTION("""COMPUTED_VALUE"""),"Convenience")</f>
        <v>Convenience</v>
      </c>
      <c r="K2122" s="18" t="str">
        <f>IFERROR(__xludf.DUMMYFUNCTION("""COMPUTED_VALUE"""),"Easy tracking")</f>
        <v>Easy tracking</v>
      </c>
      <c r="L2122" s="18">
        <f>iferror(VLOOKUP($D2122,Details!$A$2:$C$11,2,false),vlookup($D2122,Details!$E$2:$G$11,2,false))</f>
        <v>90</v>
      </c>
      <c r="M2122" s="18" t="str">
        <f>iferror(VLOOKUP($D2122,Details!$A$2:$C$11,3,false),vlookup($D2122,Details!$E$2:$G$11,3,false))</f>
        <v>Snacks and Drinks</v>
      </c>
      <c r="N2122" s="18">
        <f t="shared" si="1"/>
        <v>270</v>
      </c>
      <c r="O2122" s="17"/>
      <c r="P2122" s="17"/>
      <c r="Q2122" s="17"/>
      <c r="R2122" s="17"/>
      <c r="S2122" s="17"/>
      <c r="T2122" s="17"/>
      <c r="U2122" s="17"/>
      <c r="V2122" s="17"/>
      <c r="W2122" s="17"/>
      <c r="X2122" s="17"/>
      <c r="Y2122" s="17"/>
      <c r="Z2122" s="17"/>
    </row>
    <row r="2123">
      <c r="A2123" s="18" t="str">
        <f>IFERROR(__xludf.DUMMYFUNCTION("""COMPUTED_VALUE"""),"ord_82097")</f>
        <v>ord_82097</v>
      </c>
      <c r="B2123" s="18" t="str">
        <f>IFERROR(__xludf.DUMMYFUNCTION("""COMPUTED_VALUE"""),"Ritika Dutta")</f>
        <v>Ritika Dutta</v>
      </c>
      <c r="C2123" s="18" t="str">
        <f>IFERROR(__xludf.DUMMYFUNCTION("""COMPUTED_VALUE"""),"Lower Parel")</f>
        <v>Lower Parel</v>
      </c>
      <c r="D2123" s="18" t="str">
        <f>IFERROR(__xludf.DUMMYFUNCTION("""COMPUTED_VALUE"""),"Papaya")</f>
        <v>Papaya</v>
      </c>
      <c r="E2123" s="18">
        <f>IFERROR(__xludf.DUMMYFUNCTION("""COMPUTED_VALUE"""),2.0)</f>
        <v>2</v>
      </c>
      <c r="F2123" s="18" t="str">
        <f>IFERROR(__xludf.DUMMYFUNCTION("""COMPUTED_VALUE"""),"Kiran Mehta")</f>
        <v>Kiran Mehta</v>
      </c>
      <c r="G2123" s="19">
        <f>IFERROR(__xludf.DUMMYFUNCTION("""COMPUTED_VALUE"""),45134.0)</f>
        <v>45134</v>
      </c>
      <c r="H2123" s="18" t="str">
        <f>IFERROR(__xludf.DUMMYFUNCTION("""COMPUTED_VALUE"""),"Credit Card")</f>
        <v>Credit Card</v>
      </c>
      <c r="I2123" s="18" t="str">
        <f>IFERROR(__xludf.DUMMYFUNCTION("""COMPUTED_VALUE"""),"Delivered")</f>
        <v>Delivered</v>
      </c>
      <c r="J2123" s="18" t="str">
        <f>IFERROR(__xludf.DUMMYFUNCTION("""COMPUTED_VALUE"""),"Overall Satisfaction")</f>
        <v>Overall Satisfaction</v>
      </c>
      <c r="K2123" s="18" t="str">
        <f>IFERROR(__xludf.DUMMYFUNCTION("""COMPUTED_VALUE"""),"Great service will order again")</f>
        <v>Great service will order again</v>
      </c>
      <c r="L2123" s="18">
        <f>iferror(VLOOKUP($D2123,Details!$A$2:$C$11,2,false),vlookup($D2123,Details!$E$2:$G$11,2,false))</f>
        <v>75</v>
      </c>
      <c r="M2123" s="18" t="str">
        <f>iferror(VLOOKUP($D2123,Details!$A$2:$C$11,3,false),vlookup($D2123,Details!$E$2:$G$11,3,false))</f>
        <v>Fruits and Vegetables</v>
      </c>
      <c r="N2123" s="18">
        <f t="shared" si="1"/>
        <v>150</v>
      </c>
      <c r="O2123" s="17"/>
      <c r="P2123" s="17"/>
      <c r="Q2123" s="17"/>
      <c r="R2123" s="17"/>
      <c r="S2123" s="17"/>
      <c r="T2123" s="17"/>
      <c r="U2123" s="17"/>
      <c r="V2123" s="17"/>
      <c r="W2123" s="17"/>
      <c r="X2123" s="17"/>
      <c r="Y2123" s="17"/>
      <c r="Z2123" s="17"/>
    </row>
    <row r="2124">
      <c r="A2124" s="18" t="str">
        <f>IFERROR(__xludf.DUMMYFUNCTION("""COMPUTED_VALUE"""),"ord_82098")</f>
        <v>ord_82098</v>
      </c>
      <c r="B2124" s="18" t="str">
        <f>IFERROR(__xludf.DUMMYFUNCTION("""COMPUTED_VALUE"""),"Pranav Joshi")</f>
        <v>Pranav Joshi</v>
      </c>
      <c r="C2124" s="18" t="str">
        <f>IFERROR(__xludf.DUMMYFUNCTION("""COMPUTED_VALUE"""),"Andheri")</f>
        <v>Andheri</v>
      </c>
      <c r="D2124" s="18" t="str">
        <f>IFERROR(__xludf.DUMMYFUNCTION("""COMPUTED_VALUE"""),"Banana")</f>
        <v>Banana</v>
      </c>
      <c r="E2124" s="18">
        <f>IFERROR(__xludf.DUMMYFUNCTION("""COMPUTED_VALUE"""),2.0)</f>
        <v>2</v>
      </c>
      <c r="F2124" s="18" t="str">
        <f>IFERROR(__xludf.DUMMYFUNCTION("""COMPUTED_VALUE"""),"Rohan Yadav")</f>
        <v>Rohan Yadav</v>
      </c>
      <c r="G2124" s="19">
        <f>IFERROR(__xludf.DUMMYFUNCTION("""COMPUTED_VALUE"""),45278.0)</f>
        <v>45278</v>
      </c>
      <c r="H2124" s="18" t="str">
        <f>IFERROR(__xludf.DUMMYFUNCTION("""COMPUTED_VALUE"""),"UPI")</f>
        <v>UPI</v>
      </c>
      <c r="I2124" s="18" t="str">
        <f>IFERROR(__xludf.DUMMYFUNCTION("""COMPUTED_VALUE"""),"Delivered")</f>
        <v>Delivered</v>
      </c>
      <c r="J2124" s="18" t="str">
        <f>IFERROR(__xludf.DUMMYFUNCTION("""COMPUTED_VALUE"""),"On-time Delivery")</f>
        <v>On-time Delivery</v>
      </c>
      <c r="K2124" s="18" t="str">
        <f>IFERROR(__xludf.DUMMYFUNCTION("""COMPUTED_VALUE"""),"Delivered on time")</f>
        <v>Delivered on time</v>
      </c>
      <c r="L2124" s="18">
        <f>iferror(VLOOKUP($D2124,Details!$A$2:$C$11,2,false),vlookup($D2124,Details!$E$2:$G$11,2,false))</f>
        <v>80</v>
      </c>
      <c r="M2124" s="18" t="str">
        <f>iferror(VLOOKUP($D2124,Details!$A$2:$C$11,3,false),vlookup($D2124,Details!$E$2:$G$11,3,false))</f>
        <v>Fruits and Vegetables</v>
      </c>
      <c r="N2124" s="18">
        <f t="shared" si="1"/>
        <v>160</v>
      </c>
      <c r="O2124" s="17"/>
      <c r="P2124" s="17"/>
      <c r="Q2124" s="17"/>
      <c r="R2124" s="17"/>
      <c r="S2124" s="17"/>
      <c r="T2124" s="17"/>
      <c r="U2124" s="17"/>
      <c r="V2124" s="17"/>
      <c r="W2124" s="17"/>
      <c r="X2124" s="17"/>
      <c r="Y2124" s="17"/>
      <c r="Z2124" s="17"/>
    </row>
    <row r="2125">
      <c r="A2125" s="18" t="str">
        <f>IFERROR(__xludf.DUMMYFUNCTION("""COMPUTED_VALUE"""),"ord_82099")</f>
        <v>ord_82099</v>
      </c>
      <c r="B2125" s="18" t="str">
        <f>IFERROR(__xludf.DUMMYFUNCTION("""COMPUTED_VALUE"""),"Mohit Malhotra")</f>
        <v>Mohit Malhotra</v>
      </c>
      <c r="C2125" s="18" t="str">
        <f>IFERROR(__xludf.DUMMYFUNCTION("""COMPUTED_VALUE"""),"Lower Parel")</f>
        <v>Lower Parel</v>
      </c>
      <c r="D2125" s="18" t="str">
        <f>IFERROR(__xludf.DUMMYFUNCTION("""COMPUTED_VALUE"""),"Veg Puff")</f>
        <v>Veg Puff</v>
      </c>
      <c r="E2125" s="18">
        <f>IFERROR(__xludf.DUMMYFUNCTION("""COMPUTED_VALUE"""),5.0)</f>
        <v>5</v>
      </c>
      <c r="F2125" s="18" t="str">
        <f>IFERROR(__xludf.DUMMYFUNCTION("""COMPUTED_VALUE"""),"Kiran Mehta")</f>
        <v>Kiran Mehta</v>
      </c>
      <c r="G2125" s="19">
        <f>IFERROR(__xludf.DUMMYFUNCTION("""COMPUTED_VALUE"""),45287.0)</f>
        <v>45287</v>
      </c>
      <c r="H2125" s="18" t="str">
        <f>IFERROR(__xludf.DUMMYFUNCTION("""COMPUTED_VALUE"""),"Online Payment")</f>
        <v>Online Payment</v>
      </c>
      <c r="I2125" s="18" t="str">
        <f>IFERROR(__xludf.DUMMYFUNCTION("""COMPUTED_VALUE"""),"Delivered")</f>
        <v>Delivered</v>
      </c>
      <c r="J2125" s="18" t="str">
        <f>IFERROR(__xludf.DUMMYFUNCTION("""COMPUTED_VALUE"""),"Quality of Items")</f>
        <v>Quality of Items</v>
      </c>
      <c r="K2125" s="18" t="str">
        <f>IFERROR(__xludf.DUMMYFUNCTION("""COMPUTED_VALUE"""),"Perfect condition")</f>
        <v>Perfect condition</v>
      </c>
      <c r="L2125" s="18">
        <f>iferror(VLOOKUP($D2125,Details!$A$2:$C$11,2,false),vlookup($D2125,Details!$E$2:$G$11,2,false))</f>
        <v>80</v>
      </c>
      <c r="M2125" s="18" t="str">
        <f>iferror(VLOOKUP($D2125,Details!$A$2:$C$11,3,false),vlookup($D2125,Details!$E$2:$G$11,3,false))</f>
        <v>Snacks and Drinks</v>
      </c>
      <c r="N2125" s="18">
        <f t="shared" si="1"/>
        <v>400</v>
      </c>
      <c r="O2125" s="17"/>
      <c r="P2125" s="17"/>
      <c r="Q2125" s="17"/>
      <c r="R2125" s="17"/>
      <c r="S2125" s="17"/>
      <c r="T2125" s="17"/>
      <c r="U2125" s="17"/>
      <c r="V2125" s="17"/>
      <c r="W2125" s="17"/>
      <c r="X2125" s="17"/>
      <c r="Y2125" s="17"/>
      <c r="Z2125" s="17"/>
    </row>
    <row r="2126">
      <c r="A2126" s="18" t="str">
        <f>IFERROR(__xludf.DUMMYFUNCTION("""COMPUTED_VALUE"""),"ord_82100")</f>
        <v>ord_82100</v>
      </c>
      <c r="B2126" s="18" t="str">
        <f>IFERROR(__xludf.DUMMYFUNCTION("""COMPUTED_VALUE"""),"Aarohi Kapoor")</f>
        <v>Aarohi Kapoor</v>
      </c>
      <c r="C2126" s="18" t="str">
        <f>IFERROR(__xludf.DUMMYFUNCTION("""COMPUTED_VALUE"""),"Bandra")</f>
        <v>Bandra</v>
      </c>
      <c r="D2126" s="18" t="str">
        <f>IFERROR(__xludf.DUMMYFUNCTION("""COMPUTED_VALUE"""),"Icecream")</f>
        <v>Icecream</v>
      </c>
      <c r="E2126" s="18">
        <f>IFERROR(__xludf.DUMMYFUNCTION("""COMPUTED_VALUE"""),1.0)</f>
        <v>1</v>
      </c>
      <c r="F2126" s="18" t="str">
        <f>IFERROR(__xludf.DUMMYFUNCTION("""COMPUTED_VALUE"""),"Priya Joshi")</f>
        <v>Priya Joshi</v>
      </c>
      <c r="G2126" s="19">
        <f>IFERROR(__xludf.DUMMYFUNCTION("""COMPUTED_VALUE"""),45245.0)</f>
        <v>45245</v>
      </c>
      <c r="H2126" s="18" t="str">
        <f>IFERROR(__xludf.DUMMYFUNCTION("""COMPUTED_VALUE"""),"Credit Card")</f>
        <v>Credit Card</v>
      </c>
      <c r="I2126" s="18" t="str">
        <f>IFERROR(__xludf.DUMMYFUNCTION("""COMPUTED_VALUE"""),"Delivered")</f>
        <v>Delivered</v>
      </c>
      <c r="J2126" s="18" t="str">
        <f>IFERROR(__xludf.DUMMYFUNCTION("""COMPUTED_VALUE"""),"On-time Delivery")</f>
        <v>On-time Delivery</v>
      </c>
      <c r="K2126" s="18" t="str">
        <f>IFERROR(__xludf.DUMMYFUNCTION("""COMPUTED_VALUE"""),"Delivered on time")</f>
        <v>Delivered on time</v>
      </c>
      <c r="L2126" s="18">
        <f>iferror(VLOOKUP($D2126,Details!$A$2:$C$11,2,false),vlookup($D2126,Details!$E$2:$G$11,2,false))</f>
        <v>90</v>
      </c>
      <c r="M2126" s="18" t="str">
        <f>iferror(VLOOKUP($D2126,Details!$A$2:$C$11,3,false),vlookup($D2126,Details!$E$2:$G$11,3,false))</f>
        <v>Snacks and Drinks</v>
      </c>
      <c r="N2126" s="18">
        <f t="shared" si="1"/>
        <v>90</v>
      </c>
      <c r="O2126" s="17"/>
      <c r="P2126" s="17"/>
      <c r="Q2126" s="17"/>
      <c r="R2126" s="17"/>
      <c r="S2126" s="17"/>
      <c r="T2126" s="17"/>
      <c r="U2126" s="17"/>
      <c r="V2126" s="17"/>
      <c r="W2126" s="17"/>
      <c r="X2126" s="17"/>
      <c r="Y2126" s="17"/>
      <c r="Z2126" s="17"/>
    </row>
    <row r="2127">
      <c r="A2127" s="18" t="str">
        <f>IFERROR(__xludf.DUMMYFUNCTION("""COMPUTED_VALUE"""),"ord_82101")</f>
        <v>ord_82101</v>
      </c>
      <c r="B2127" s="18" t="str">
        <f>IFERROR(__xludf.DUMMYFUNCTION("""COMPUTED_VALUE"""),"Siya Reddy")</f>
        <v>Siya Reddy</v>
      </c>
      <c r="C2127" s="18" t="str">
        <f>IFERROR(__xludf.DUMMYFUNCTION("""COMPUTED_VALUE"""),"Juhu")</f>
        <v>Juhu</v>
      </c>
      <c r="D2127" s="18" t="str">
        <f>IFERROR(__xludf.DUMMYFUNCTION("""COMPUTED_VALUE"""),"Chilli Cheese Toast")</f>
        <v>Chilli Cheese Toast</v>
      </c>
      <c r="E2127" s="18">
        <f>IFERROR(__xludf.DUMMYFUNCTION("""COMPUTED_VALUE"""),2.0)</f>
        <v>2</v>
      </c>
      <c r="F2127" s="18" t="str">
        <f>IFERROR(__xludf.DUMMYFUNCTION("""COMPUTED_VALUE"""),"Not Assigned")</f>
        <v>Not Assigned</v>
      </c>
      <c r="G2127" s="19">
        <f>IFERROR(__xludf.DUMMYFUNCTION("""COMPUTED_VALUE"""),45164.0)</f>
        <v>45164</v>
      </c>
      <c r="H2127" s="18" t="str">
        <f>IFERROR(__xludf.DUMMYFUNCTION("""COMPUTED_VALUE"""),"UPI")</f>
        <v>UPI</v>
      </c>
      <c r="I2127" s="18" t="str">
        <f>IFERROR(__xludf.DUMMYFUNCTION("""COMPUTED_VALUE"""),"Cancelled")</f>
        <v>Cancelled</v>
      </c>
      <c r="J2127" s="18" t="str">
        <f>IFERROR(__xludf.DUMMYFUNCTION("""COMPUTED_VALUE"""),"App Glitches")</f>
        <v>App Glitches</v>
      </c>
      <c r="K2127" s="18" t="str">
        <f>IFERROR(__xludf.DUMMYFUNCTION("""COMPUTED_VALUE"""),"Slow Loading Time")</f>
        <v>Slow Loading Time</v>
      </c>
      <c r="L2127" s="18">
        <f>iferror(VLOOKUP($D2127,Details!$A$2:$C$11,2,false),vlookup($D2127,Details!$E$2:$G$11,2,false))</f>
        <v>80</v>
      </c>
      <c r="M2127" s="18" t="str">
        <f>iferror(VLOOKUP($D2127,Details!$A$2:$C$11,3,false),vlookup($D2127,Details!$E$2:$G$11,3,false))</f>
        <v>Snacks and Drinks</v>
      </c>
      <c r="N2127" s="18">
        <f t="shared" si="1"/>
        <v>160</v>
      </c>
      <c r="O2127" s="17"/>
      <c r="P2127" s="17"/>
      <c r="Q2127" s="17"/>
      <c r="R2127" s="17"/>
      <c r="S2127" s="17"/>
      <c r="T2127" s="17"/>
      <c r="U2127" s="17"/>
      <c r="V2127" s="17"/>
      <c r="W2127" s="17"/>
      <c r="X2127" s="17"/>
      <c r="Y2127" s="17"/>
      <c r="Z2127" s="17"/>
    </row>
    <row r="2128">
      <c r="A2128" s="18" t="str">
        <f>IFERROR(__xludf.DUMMYFUNCTION("""COMPUTED_VALUE"""),"ord_82102")</f>
        <v>ord_82102</v>
      </c>
      <c r="B2128" s="18" t="str">
        <f>IFERROR(__xludf.DUMMYFUNCTION("""COMPUTED_VALUE"""),"Diya Arora")</f>
        <v>Diya Arora</v>
      </c>
      <c r="C2128" s="18" t="str">
        <f>IFERROR(__xludf.DUMMYFUNCTION("""COMPUTED_VALUE"""),"Lower Parel")</f>
        <v>Lower Parel</v>
      </c>
      <c r="D2128" s="18" t="str">
        <f>IFERROR(__xludf.DUMMYFUNCTION("""COMPUTED_VALUE"""),"Orange")</f>
        <v>Orange</v>
      </c>
      <c r="E2128" s="18">
        <f>IFERROR(__xludf.DUMMYFUNCTION("""COMPUTED_VALUE"""),1.0)</f>
        <v>1</v>
      </c>
      <c r="F2128" s="18" t="str">
        <f>IFERROR(__xludf.DUMMYFUNCTION("""COMPUTED_VALUE"""),"Kiran Mehta")</f>
        <v>Kiran Mehta</v>
      </c>
      <c r="G2128" s="19">
        <f>IFERROR(__xludf.DUMMYFUNCTION("""COMPUTED_VALUE"""),45141.0)</f>
        <v>45141</v>
      </c>
      <c r="H2128" s="18" t="str">
        <f>IFERROR(__xludf.DUMMYFUNCTION("""COMPUTED_VALUE"""),"Credit Card")</f>
        <v>Credit Card</v>
      </c>
      <c r="I2128" s="18" t="str">
        <f>IFERROR(__xludf.DUMMYFUNCTION("""COMPUTED_VALUE"""),"Delivered")</f>
        <v>Delivered</v>
      </c>
      <c r="J2128" s="18" t="str">
        <f>IFERROR(__xludf.DUMMYFUNCTION("""COMPUTED_VALUE"""),"Quality of Items")</f>
        <v>Quality of Items</v>
      </c>
      <c r="K2128" s="18" t="str">
        <f>IFERROR(__xludf.DUMMYFUNCTION("""COMPUTED_VALUE"""),"Perfect condition")</f>
        <v>Perfect condition</v>
      </c>
      <c r="L2128" s="18">
        <f>iferror(VLOOKUP($D2128,Details!$A$2:$C$11,2,false),vlookup($D2128,Details!$E$2:$G$11,2,false))</f>
        <v>180</v>
      </c>
      <c r="M2128" s="18" t="str">
        <f>iferror(VLOOKUP($D2128,Details!$A$2:$C$11,3,false),vlookup($D2128,Details!$E$2:$G$11,3,false))</f>
        <v>Fruits and Vegetables</v>
      </c>
      <c r="N2128" s="18">
        <f t="shared" si="1"/>
        <v>180</v>
      </c>
      <c r="O2128" s="17"/>
      <c r="P2128" s="17"/>
      <c r="Q2128" s="17"/>
      <c r="R2128" s="17"/>
      <c r="S2128" s="17"/>
      <c r="T2128" s="17"/>
      <c r="U2128" s="17"/>
      <c r="V2128" s="17"/>
      <c r="W2128" s="17"/>
      <c r="X2128" s="17"/>
      <c r="Y2128" s="17"/>
      <c r="Z2128" s="17"/>
    </row>
    <row r="2129">
      <c r="A2129" s="18" t="str">
        <f>IFERROR(__xludf.DUMMYFUNCTION("""COMPUTED_VALUE"""),"ord_82103")</f>
        <v>ord_82103</v>
      </c>
      <c r="B2129" s="18" t="str">
        <f>IFERROR(__xludf.DUMMYFUNCTION("""COMPUTED_VALUE"""),"Aarohi Kapoor")</f>
        <v>Aarohi Kapoor</v>
      </c>
      <c r="C2129" s="18" t="str">
        <f>IFERROR(__xludf.DUMMYFUNCTION("""COMPUTED_VALUE"""),"Bandra")</f>
        <v>Bandra</v>
      </c>
      <c r="D2129" s="18" t="str">
        <f>IFERROR(__xludf.DUMMYFUNCTION("""COMPUTED_VALUE"""),"Onion")</f>
        <v>Onion</v>
      </c>
      <c r="E2129" s="18">
        <f>IFERROR(__xludf.DUMMYFUNCTION("""COMPUTED_VALUE"""),2.0)</f>
        <v>2</v>
      </c>
      <c r="F2129" s="18" t="str">
        <f>IFERROR(__xludf.DUMMYFUNCTION("""COMPUTED_VALUE"""),"Priya Joshi")</f>
        <v>Priya Joshi</v>
      </c>
      <c r="G2129" s="19">
        <f>IFERROR(__xludf.DUMMYFUNCTION("""COMPUTED_VALUE"""),45183.0)</f>
        <v>45183</v>
      </c>
      <c r="H2129" s="18" t="str">
        <f>IFERROR(__xludf.DUMMYFUNCTION("""COMPUTED_VALUE"""),"Credit Card")</f>
        <v>Credit Card</v>
      </c>
      <c r="I2129" s="18" t="str">
        <f>IFERROR(__xludf.DUMMYFUNCTION("""COMPUTED_VALUE"""),"Delivered")</f>
        <v>Delivered</v>
      </c>
      <c r="J2129" s="18" t="str">
        <f>IFERROR(__xludf.DUMMYFUNCTION("""COMPUTED_VALUE"""),"Packaging")</f>
        <v>Packaging</v>
      </c>
      <c r="K2129" s="18" t="str">
        <f>IFERROR(__xludf.DUMMYFUNCTION("""COMPUTED_VALUE"""),"Secure and intact")</f>
        <v>Secure and intact</v>
      </c>
      <c r="L2129" s="18">
        <f>iferror(VLOOKUP($D2129,Details!$A$2:$C$11,2,false),vlookup($D2129,Details!$E$2:$G$11,2,false))</f>
        <v>84</v>
      </c>
      <c r="M2129" s="18" t="str">
        <f>iferror(VLOOKUP($D2129,Details!$A$2:$C$11,3,false),vlookup($D2129,Details!$E$2:$G$11,3,false))</f>
        <v>Fruits and Vegetables</v>
      </c>
      <c r="N2129" s="18">
        <f t="shared" si="1"/>
        <v>168</v>
      </c>
      <c r="O2129" s="17"/>
      <c r="P2129" s="17"/>
      <c r="Q2129" s="17"/>
      <c r="R2129" s="17"/>
      <c r="S2129" s="17"/>
      <c r="T2129" s="17"/>
      <c r="U2129" s="17"/>
      <c r="V2129" s="17"/>
      <c r="W2129" s="17"/>
      <c r="X2129" s="17"/>
      <c r="Y2129" s="17"/>
      <c r="Z2129" s="17"/>
    </row>
    <row r="2130">
      <c r="A2130" s="18" t="str">
        <f>IFERROR(__xludf.DUMMYFUNCTION("""COMPUTED_VALUE"""),"ord_82104")</f>
        <v>ord_82104</v>
      </c>
      <c r="B2130" s="18" t="str">
        <f>IFERROR(__xludf.DUMMYFUNCTION("""COMPUTED_VALUE"""),"Omkar Mishra")</f>
        <v>Omkar Mishra</v>
      </c>
      <c r="C2130" s="18" t="str">
        <f>IFERROR(__xludf.DUMMYFUNCTION("""COMPUTED_VALUE"""),"Powai")</f>
        <v>Powai</v>
      </c>
      <c r="D2130" s="18" t="str">
        <f>IFERROR(__xludf.DUMMYFUNCTION("""COMPUTED_VALUE"""),"Tiramisu")</f>
        <v>Tiramisu</v>
      </c>
      <c r="E2130" s="18">
        <f>IFERROR(__xludf.DUMMYFUNCTION("""COMPUTED_VALUE"""),3.0)</f>
        <v>3</v>
      </c>
      <c r="F2130" s="18" t="str">
        <f>IFERROR(__xludf.DUMMYFUNCTION("""COMPUTED_VALUE"""),"Sandeep Kumar")</f>
        <v>Sandeep Kumar</v>
      </c>
      <c r="G2130" s="19">
        <f>IFERROR(__xludf.DUMMYFUNCTION("""COMPUTED_VALUE"""),45051.0)</f>
        <v>45051</v>
      </c>
      <c r="H2130" s="18" t="str">
        <f>IFERROR(__xludf.DUMMYFUNCTION("""COMPUTED_VALUE"""),"Online Payment")</f>
        <v>Online Payment</v>
      </c>
      <c r="I2130" s="18" t="str">
        <f>IFERROR(__xludf.DUMMYFUNCTION("""COMPUTED_VALUE"""),"Delivered")</f>
        <v>Delivered</v>
      </c>
      <c r="J2130" s="18" t="str">
        <f>IFERROR(__xludf.DUMMYFUNCTION("""COMPUTED_VALUE"""),"Satisfied with the Delivery")</f>
        <v>Satisfied with the Delivery</v>
      </c>
      <c r="K2130" s="18" t="str">
        <f>IFERROR(__xludf.DUMMYFUNCTION("""COMPUTED_VALUE"""),"Timely and quality")</f>
        <v>Timely and quality</v>
      </c>
      <c r="L2130" s="18">
        <f>iferror(VLOOKUP($D2130,Details!$A$2:$C$11,2,false),vlookup($D2130,Details!$E$2:$G$11,2,false))</f>
        <v>150</v>
      </c>
      <c r="M2130" s="18" t="str">
        <f>iferror(VLOOKUP($D2130,Details!$A$2:$C$11,3,false),vlookup($D2130,Details!$E$2:$G$11,3,false))</f>
        <v>Snacks and Drinks</v>
      </c>
      <c r="N2130" s="18">
        <f t="shared" si="1"/>
        <v>450</v>
      </c>
      <c r="O2130" s="17"/>
      <c r="P2130" s="17"/>
      <c r="Q2130" s="17"/>
      <c r="R2130" s="17"/>
      <c r="S2130" s="17"/>
      <c r="T2130" s="17"/>
      <c r="U2130" s="17"/>
      <c r="V2130" s="17"/>
      <c r="W2130" s="17"/>
      <c r="X2130" s="17"/>
      <c r="Y2130" s="17"/>
      <c r="Z2130" s="17"/>
    </row>
    <row r="2131">
      <c r="A2131" s="18" t="str">
        <f>IFERROR(__xludf.DUMMYFUNCTION("""COMPUTED_VALUE"""),"ord_82105")</f>
        <v>ord_82105</v>
      </c>
      <c r="B2131" s="18" t="str">
        <f>IFERROR(__xludf.DUMMYFUNCTION("""COMPUTED_VALUE"""),"Mohit Malhotra")</f>
        <v>Mohit Malhotra</v>
      </c>
      <c r="C2131" s="18" t="str">
        <f>IFERROR(__xludf.DUMMYFUNCTION("""COMPUTED_VALUE"""),"Lower Parel")</f>
        <v>Lower Parel</v>
      </c>
      <c r="D2131" s="18" t="str">
        <f>IFERROR(__xludf.DUMMYFUNCTION("""COMPUTED_VALUE"""),"Chilli Cheese Toast")</f>
        <v>Chilli Cheese Toast</v>
      </c>
      <c r="E2131" s="18">
        <f>IFERROR(__xludf.DUMMYFUNCTION("""COMPUTED_VALUE"""),2.0)</f>
        <v>2</v>
      </c>
      <c r="F2131" s="18" t="str">
        <f>IFERROR(__xludf.DUMMYFUNCTION("""COMPUTED_VALUE"""),"Kiran Mehta")</f>
        <v>Kiran Mehta</v>
      </c>
      <c r="G2131" s="19">
        <f>IFERROR(__xludf.DUMMYFUNCTION("""COMPUTED_VALUE"""),45253.0)</f>
        <v>45253</v>
      </c>
      <c r="H2131" s="18" t="str">
        <f>IFERROR(__xludf.DUMMYFUNCTION("""COMPUTED_VALUE"""),"Online Payment")</f>
        <v>Online Payment</v>
      </c>
      <c r="I2131" s="18" t="str">
        <f>IFERROR(__xludf.DUMMYFUNCTION("""COMPUTED_VALUE"""),"Delivered")</f>
        <v>Delivered</v>
      </c>
      <c r="J2131" s="18" t="str">
        <f>IFERROR(__xludf.DUMMYFUNCTION("""COMPUTED_VALUE"""),"Customer Service")</f>
        <v>Customer Service</v>
      </c>
      <c r="K2131" s="18" t="str">
        <f>IFERROR(__xludf.DUMMYFUNCTION("""COMPUTED_VALUE"""),"Seamless and easy")</f>
        <v>Seamless and easy</v>
      </c>
      <c r="L2131" s="18">
        <f>iferror(VLOOKUP($D2131,Details!$A$2:$C$11,2,false),vlookup($D2131,Details!$E$2:$G$11,2,false))</f>
        <v>80</v>
      </c>
      <c r="M2131" s="18" t="str">
        <f>iferror(VLOOKUP($D2131,Details!$A$2:$C$11,3,false),vlookup($D2131,Details!$E$2:$G$11,3,false))</f>
        <v>Snacks and Drinks</v>
      </c>
      <c r="N2131" s="18">
        <f t="shared" si="1"/>
        <v>160</v>
      </c>
      <c r="O2131" s="17"/>
      <c r="P2131" s="17"/>
      <c r="Q2131" s="17"/>
      <c r="R2131" s="17"/>
      <c r="S2131" s="17"/>
      <c r="T2131" s="17"/>
      <c r="U2131" s="17"/>
      <c r="V2131" s="17"/>
      <c r="W2131" s="17"/>
      <c r="X2131" s="17"/>
      <c r="Y2131" s="17"/>
      <c r="Z2131" s="17"/>
    </row>
    <row r="2132">
      <c r="A2132" s="18" t="str">
        <f>IFERROR(__xludf.DUMMYFUNCTION("""COMPUTED_VALUE"""),"ord_82106")</f>
        <v>ord_82106</v>
      </c>
      <c r="B2132" s="18" t="str">
        <f>IFERROR(__xludf.DUMMYFUNCTION("""COMPUTED_VALUE"""),"Aarav Mehta")</f>
        <v>Aarav Mehta</v>
      </c>
      <c r="C2132" s="18" t="str">
        <f>IFERROR(__xludf.DUMMYFUNCTION("""COMPUTED_VALUE"""),"Andheri")</f>
        <v>Andheri</v>
      </c>
      <c r="D2132" s="18" t="str">
        <f>IFERROR(__xludf.DUMMYFUNCTION("""COMPUTED_VALUE"""),"Guava")</f>
        <v>Guava</v>
      </c>
      <c r="E2132" s="18">
        <f>IFERROR(__xludf.DUMMYFUNCTION("""COMPUTED_VALUE"""),2.0)</f>
        <v>2</v>
      </c>
      <c r="F2132" s="18" t="str">
        <f>IFERROR(__xludf.DUMMYFUNCTION("""COMPUTED_VALUE"""),"Rohan Yadav")</f>
        <v>Rohan Yadav</v>
      </c>
      <c r="G2132" s="19">
        <f>IFERROR(__xludf.DUMMYFUNCTION("""COMPUTED_VALUE"""),45021.0)</f>
        <v>45021</v>
      </c>
      <c r="H2132" s="18" t="str">
        <f>IFERROR(__xludf.DUMMYFUNCTION("""COMPUTED_VALUE"""),"Credit Card")</f>
        <v>Credit Card</v>
      </c>
      <c r="I2132" s="18" t="str">
        <f>IFERROR(__xludf.DUMMYFUNCTION("""COMPUTED_VALUE"""),"Delivered")</f>
        <v>Delivered</v>
      </c>
      <c r="J2132" s="18" t="str">
        <f>IFERROR(__xludf.DUMMYFUNCTION("""COMPUTED_VALUE"""),"Delivery Experience")</f>
        <v>Delivery Experience</v>
      </c>
      <c r="K2132" s="18" t="str">
        <f>IFERROR(__xludf.DUMMYFUNCTION("""COMPUTED_VALUE"""),"Quick and professional")</f>
        <v>Quick and professional</v>
      </c>
      <c r="L2132" s="18">
        <f>iferror(VLOOKUP($D2132,Details!$A$2:$C$11,2,false),vlookup($D2132,Details!$E$2:$G$11,2,false))</f>
        <v>70</v>
      </c>
      <c r="M2132" s="18" t="str">
        <f>iferror(VLOOKUP($D2132,Details!$A$2:$C$11,3,false),vlookup($D2132,Details!$E$2:$G$11,3,false))</f>
        <v>Fruits and Vegetables</v>
      </c>
      <c r="N2132" s="18">
        <f t="shared" si="1"/>
        <v>140</v>
      </c>
      <c r="O2132" s="17"/>
      <c r="P2132" s="17"/>
      <c r="Q2132" s="17"/>
      <c r="R2132" s="17"/>
      <c r="S2132" s="17"/>
      <c r="T2132" s="17"/>
      <c r="U2132" s="17"/>
      <c r="V2132" s="17"/>
      <c r="W2132" s="17"/>
      <c r="X2132" s="17"/>
      <c r="Y2132" s="17"/>
      <c r="Z2132" s="17"/>
    </row>
    <row r="2133">
      <c r="A2133" s="18" t="str">
        <f>IFERROR(__xludf.DUMMYFUNCTION("""COMPUTED_VALUE"""),"ord_82107")</f>
        <v>ord_82107</v>
      </c>
      <c r="B2133" s="18" t="str">
        <f>IFERROR(__xludf.DUMMYFUNCTION("""COMPUTED_VALUE"""),"Omkar Mishra")</f>
        <v>Omkar Mishra</v>
      </c>
      <c r="C2133" s="18" t="str">
        <f>IFERROR(__xludf.DUMMYFUNCTION("""COMPUTED_VALUE"""),"Powai")</f>
        <v>Powai</v>
      </c>
      <c r="D2133" s="18" t="str">
        <f>IFERROR(__xludf.DUMMYFUNCTION("""COMPUTED_VALUE"""),"Tiramisu")</f>
        <v>Tiramisu</v>
      </c>
      <c r="E2133" s="18">
        <f>IFERROR(__xludf.DUMMYFUNCTION("""COMPUTED_VALUE"""),1.0)</f>
        <v>1</v>
      </c>
      <c r="F2133" s="18" t="str">
        <f>IFERROR(__xludf.DUMMYFUNCTION("""COMPUTED_VALUE"""),"Sandeep Kumar")</f>
        <v>Sandeep Kumar</v>
      </c>
      <c r="G2133" s="19">
        <f>IFERROR(__xludf.DUMMYFUNCTION("""COMPUTED_VALUE"""),45288.0)</f>
        <v>45288</v>
      </c>
      <c r="H2133" s="18" t="str">
        <f>IFERROR(__xludf.DUMMYFUNCTION("""COMPUTED_VALUE"""),"Credit Card")</f>
        <v>Credit Card</v>
      </c>
      <c r="I2133" s="18" t="str">
        <f>IFERROR(__xludf.DUMMYFUNCTION("""COMPUTED_VALUE"""),"Delivered")</f>
        <v>Delivered</v>
      </c>
      <c r="J2133" s="18" t="str">
        <f>IFERROR(__xludf.DUMMYFUNCTION("""COMPUTED_VALUE"""),"Convenience")</f>
        <v>Convenience</v>
      </c>
      <c r="K2133" s="18" t="str">
        <f>IFERROR(__xludf.DUMMYFUNCTION("""COMPUTED_VALUE"""),"Easy tracking")</f>
        <v>Easy tracking</v>
      </c>
      <c r="L2133" s="18">
        <f>iferror(VLOOKUP($D2133,Details!$A$2:$C$11,2,false),vlookup($D2133,Details!$E$2:$G$11,2,false))</f>
        <v>150</v>
      </c>
      <c r="M2133" s="18" t="str">
        <f>iferror(VLOOKUP($D2133,Details!$A$2:$C$11,3,false),vlookup($D2133,Details!$E$2:$G$11,3,false))</f>
        <v>Snacks and Drinks</v>
      </c>
      <c r="N2133" s="18">
        <f t="shared" si="1"/>
        <v>150</v>
      </c>
      <c r="O2133" s="17"/>
      <c r="P2133" s="17"/>
      <c r="Q2133" s="17"/>
      <c r="R2133" s="17"/>
      <c r="S2133" s="17"/>
      <c r="T2133" s="17"/>
      <c r="U2133" s="17"/>
      <c r="V2133" s="17"/>
      <c r="W2133" s="17"/>
      <c r="X2133" s="17"/>
      <c r="Y2133" s="17"/>
      <c r="Z2133" s="17"/>
    </row>
    <row r="2134">
      <c r="A2134" s="18" t="str">
        <f>IFERROR(__xludf.DUMMYFUNCTION("""COMPUTED_VALUE"""),"ord_82108")</f>
        <v>ord_82108</v>
      </c>
      <c r="B2134" s="18" t="str">
        <f>IFERROR(__xludf.DUMMYFUNCTION("""COMPUTED_VALUE"""),"Aditi Iyer")</f>
        <v>Aditi Iyer</v>
      </c>
      <c r="C2134" s="18" t="str">
        <f>IFERROR(__xludf.DUMMYFUNCTION("""COMPUTED_VALUE"""),"Dadar")</f>
        <v>Dadar</v>
      </c>
      <c r="D2134" s="18" t="str">
        <f>IFERROR(__xludf.DUMMYFUNCTION("""COMPUTED_VALUE"""),"Veg Puff")</f>
        <v>Veg Puff</v>
      </c>
      <c r="E2134" s="18">
        <f>IFERROR(__xludf.DUMMYFUNCTION("""COMPUTED_VALUE"""),1.0)</f>
        <v>1</v>
      </c>
      <c r="F2134" s="18" t="str">
        <f>IFERROR(__xludf.DUMMYFUNCTION("""COMPUTED_VALUE"""),"Aman Kumar")</f>
        <v>Aman Kumar</v>
      </c>
      <c r="G2134" s="19">
        <f>IFERROR(__xludf.DUMMYFUNCTION("""COMPUTED_VALUE"""),45031.0)</f>
        <v>45031</v>
      </c>
      <c r="H2134" s="18" t="str">
        <f>IFERROR(__xludf.DUMMYFUNCTION("""COMPUTED_VALUE"""),"Online Payment")</f>
        <v>Online Payment</v>
      </c>
      <c r="I2134" s="18" t="str">
        <f>IFERROR(__xludf.DUMMYFUNCTION("""COMPUTED_VALUE"""),"Delivered")</f>
        <v>Delivered</v>
      </c>
      <c r="J2134" s="18" t="str">
        <f>IFERROR(__xludf.DUMMYFUNCTION("""COMPUTED_VALUE"""),"Overall Satisfaction")</f>
        <v>Overall Satisfaction</v>
      </c>
      <c r="K2134" s="18" t="str">
        <f>IFERROR(__xludf.DUMMYFUNCTION("""COMPUTED_VALUE"""),"Great service will order again")</f>
        <v>Great service will order again</v>
      </c>
      <c r="L2134" s="18">
        <f>iferror(VLOOKUP($D2134,Details!$A$2:$C$11,2,false),vlookup($D2134,Details!$E$2:$G$11,2,false))</f>
        <v>80</v>
      </c>
      <c r="M2134" s="18" t="str">
        <f>iferror(VLOOKUP($D2134,Details!$A$2:$C$11,3,false),vlookup($D2134,Details!$E$2:$G$11,3,false))</f>
        <v>Snacks and Drinks</v>
      </c>
      <c r="N2134" s="18">
        <f t="shared" si="1"/>
        <v>80</v>
      </c>
      <c r="O2134" s="17"/>
      <c r="P2134" s="17"/>
      <c r="Q2134" s="17"/>
      <c r="R2134" s="17"/>
      <c r="S2134" s="17"/>
      <c r="T2134" s="17"/>
      <c r="U2134" s="17"/>
      <c r="V2134" s="17"/>
      <c r="W2134" s="17"/>
      <c r="X2134" s="17"/>
      <c r="Y2134" s="17"/>
      <c r="Z2134" s="17"/>
    </row>
    <row r="2135">
      <c r="A2135" s="18" t="str">
        <f>IFERROR(__xludf.DUMMYFUNCTION("""COMPUTED_VALUE"""),"ord_82109")</f>
        <v>ord_82109</v>
      </c>
      <c r="B2135" s="18" t="str">
        <f>IFERROR(__xludf.DUMMYFUNCTION("""COMPUTED_VALUE"""),"Sakshi Tandon")</f>
        <v>Sakshi Tandon</v>
      </c>
      <c r="C2135" s="18" t="str">
        <f>IFERROR(__xludf.DUMMYFUNCTION("""COMPUTED_VALUE"""),"Colaba")</f>
        <v>Colaba</v>
      </c>
      <c r="D2135" s="18" t="str">
        <f>IFERROR(__xludf.DUMMYFUNCTION("""COMPUTED_VALUE"""),"Popcorn")</f>
        <v>Popcorn</v>
      </c>
      <c r="E2135" s="18">
        <f>IFERROR(__xludf.DUMMYFUNCTION("""COMPUTED_VALUE"""),3.0)</f>
        <v>3</v>
      </c>
      <c r="F2135" s="18" t="str">
        <f>IFERROR(__xludf.DUMMYFUNCTION("""COMPUTED_VALUE"""),"Manju Ajay")</f>
        <v>Manju Ajay</v>
      </c>
      <c r="G2135" s="19">
        <f>IFERROR(__xludf.DUMMYFUNCTION("""COMPUTED_VALUE"""),44997.0)</f>
        <v>44997</v>
      </c>
      <c r="H2135" s="18" t="str">
        <f>IFERROR(__xludf.DUMMYFUNCTION("""COMPUTED_VALUE"""),"UPI")</f>
        <v>UPI</v>
      </c>
      <c r="I2135" s="18" t="str">
        <f>IFERROR(__xludf.DUMMYFUNCTION("""COMPUTED_VALUE"""),"Delivered")</f>
        <v>Delivered</v>
      </c>
      <c r="J2135" s="18" t="str">
        <f>IFERROR(__xludf.DUMMYFUNCTION("""COMPUTED_VALUE"""),"On-time Delivery")</f>
        <v>On-time Delivery</v>
      </c>
      <c r="K2135" s="18" t="str">
        <f>IFERROR(__xludf.DUMMYFUNCTION("""COMPUTED_VALUE"""),"Delivered on time")</f>
        <v>Delivered on time</v>
      </c>
      <c r="L2135" s="18">
        <f>iferror(VLOOKUP($D2135,Details!$A$2:$C$11,2,false),vlookup($D2135,Details!$E$2:$G$11,2,false))</f>
        <v>150</v>
      </c>
      <c r="M2135" s="18" t="str">
        <f>iferror(VLOOKUP($D2135,Details!$A$2:$C$11,3,false),vlookup($D2135,Details!$E$2:$G$11,3,false))</f>
        <v>Snacks and Drinks</v>
      </c>
      <c r="N2135" s="18">
        <f t="shared" si="1"/>
        <v>450</v>
      </c>
      <c r="O2135" s="17"/>
      <c r="P2135" s="17"/>
      <c r="Q2135" s="17"/>
      <c r="R2135" s="17"/>
      <c r="S2135" s="17"/>
      <c r="T2135" s="17"/>
      <c r="U2135" s="17"/>
      <c r="V2135" s="17"/>
      <c r="W2135" s="17"/>
      <c r="X2135" s="17"/>
      <c r="Y2135" s="17"/>
      <c r="Z2135" s="17"/>
    </row>
    <row r="2136">
      <c r="A2136" s="18" t="str">
        <f>IFERROR(__xludf.DUMMYFUNCTION("""COMPUTED_VALUE"""),"ord_82110")</f>
        <v>ord_82110</v>
      </c>
      <c r="B2136" s="18" t="str">
        <f>IFERROR(__xludf.DUMMYFUNCTION("""COMPUTED_VALUE"""),"Aditi Iyer")</f>
        <v>Aditi Iyer</v>
      </c>
      <c r="C2136" s="18" t="str">
        <f>IFERROR(__xludf.DUMMYFUNCTION("""COMPUTED_VALUE"""),"Dadar")</f>
        <v>Dadar</v>
      </c>
      <c r="D2136" s="18" t="str">
        <f>IFERROR(__xludf.DUMMYFUNCTION("""COMPUTED_VALUE"""),"Orange")</f>
        <v>Orange</v>
      </c>
      <c r="E2136" s="18">
        <f>IFERROR(__xludf.DUMMYFUNCTION("""COMPUTED_VALUE"""),1.0)</f>
        <v>1</v>
      </c>
      <c r="F2136" s="18" t="str">
        <f>IFERROR(__xludf.DUMMYFUNCTION("""COMPUTED_VALUE"""),"Nithin Lal")</f>
        <v>Nithin Lal</v>
      </c>
      <c r="G2136" s="19">
        <f>IFERROR(__xludf.DUMMYFUNCTION("""COMPUTED_VALUE"""),45019.0)</f>
        <v>45019</v>
      </c>
      <c r="H2136" s="18" t="str">
        <f>IFERROR(__xludf.DUMMYFUNCTION("""COMPUTED_VALUE"""),"Online Payment")</f>
        <v>Online Payment</v>
      </c>
      <c r="I2136" s="18" t="str">
        <f>IFERROR(__xludf.DUMMYFUNCTION("""COMPUTED_VALUE"""),"Delivered")</f>
        <v>Delivered</v>
      </c>
      <c r="J2136" s="18" t="str">
        <f>IFERROR(__xludf.DUMMYFUNCTION("""COMPUTED_VALUE"""),"Quality of Items")</f>
        <v>Quality of Items</v>
      </c>
      <c r="K2136" s="18" t="str">
        <f>IFERROR(__xludf.DUMMYFUNCTION("""COMPUTED_VALUE"""),"Perfect condition")</f>
        <v>Perfect condition</v>
      </c>
      <c r="L2136" s="18">
        <f>iferror(VLOOKUP($D2136,Details!$A$2:$C$11,2,false),vlookup($D2136,Details!$E$2:$G$11,2,false))</f>
        <v>180</v>
      </c>
      <c r="M2136" s="18" t="str">
        <f>iferror(VLOOKUP($D2136,Details!$A$2:$C$11,3,false),vlookup($D2136,Details!$E$2:$G$11,3,false))</f>
        <v>Fruits and Vegetables</v>
      </c>
      <c r="N2136" s="18">
        <f t="shared" si="1"/>
        <v>180</v>
      </c>
      <c r="O2136" s="17"/>
      <c r="P2136" s="17"/>
      <c r="Q2136" s="17"/>
      <c r="R2136" s="17"/>
      <c r="S2136" s="17"/>
      <c r="T2136" s="17"/>
      <c r="U2136" s="17"/>
      <c r="V2136" s="17"/>
      <c r="W2136" s="17"/>
      <c r="X2136" s="17"/>
      <c r="Y2136" s="17"/>
      <c r="Z2136" s="17"/>
    </row>
    <row r="2137">
      <c r="A2137" s="18" t="str">
        <f>IFERROR(__xludf.DUMMYFUNCTION("""COMPUTED_VALUE"""),"ord_82111")</f>
        <v>ord_82111</v>
      </c>
      <c r="B2137" s="18" t="str">
        <f>IFERROR(__xludf.DUMMYFUNCTION("""COMPUTED_VALUE"""),"Sanjay Nair")</f>
        <v>Sanjay Nair</v>
      </c>
      <c r="C2137" s="18" t="str">
        <f>IFERROR(__xludf.DUMMYFUNCTION("""COMPUTED_VALUE"""),"Dadar")</f>
        <v>Dadar</v>
      </c>
      <c r="D2137" s="18" t="str">
        <f>IFERROR(__xludf.DUMMYFUNCTION("""COMPUTED_VALUE"""),"Popcorn")</f>
        <v>Popcorn</v>
      </c>
      <c r="E2137" s="18">
        <f>IFERROR(__xludf.DUMMYFUNCTION("""COMPUTED_VALUE"""),2.0)</f>
        <v>2</v>
      </c>
      <c r="F2137" s="18" t="str">
        <f>IFERROR(__xludf.DUMMYFUNCTION("""COMPUTED_VALUE"""),"Manju Ajay")</f>
        <v>Manju Ajay</v>
      </c>
      <c r="G2137" s="19">
        <f>IFERROR(__xludf.DUMMYFUNCTION("""COMPUTED_VALUE"""),44984.0)</f>
        <v>44984</v>
      </c>
      <c r="H2137" s="18" t="str">
        <f>IFERROR(__xludf.DUMMYFUNCTION("""COMPUTED_VALUE"""),"UPI")</f>
        <v>UPI</v>
      </c>
      <c r="I2137" s="18" t="str">
        <f>IFERROR(__xludf.DUMMYFUNCTION("""COMPUTED_VALUE"""),"Delivered")</f>
        <v>Delivered</v>
      </c>
      <c r="J2137" s="18" t="str">
        <f>IFERROR(__xludf.DUMMYFUNCTION("""COMPUTED_VALUE"""),"On-time Delivery")</f>
        <v>On-time Delivery</v>
      </c>
      <c r="K2137" s="18" t="str">
        <f>IFERROR(__xludf.DUMMYFUNCTION("""COMPUTED_VALUE"""),"Delivered on time")</f>
        <v>Delivered on time</v>
      </c>
      <c r="L2137" s="18">
        <f>iferror(VLOOKUP($D2137,Details!$A$2:$C$11,2,false),vlookup($D2137,Details!$E$2:$G$11,2,false))</f>
        <v>150</v>
      </c>
      <c r="M2137" s="18" t="str">
        <f>iferror(VLOOKUP($D2137,Details!$A$2:$C$11,3,false),vlookup($D2137,Details!$E$2:$G$11,3,false))</f>
        <v>Snacks and Drinks</v>
      </c>
      <c r="N2137" s="18">
        <f t="shared" si="1"/>
        <v>300</v>
      </c>
      <c r="O2137" s="17"/>
      <c r="P2137" s="17"/>
      <c r="Q2137" s="17"/>
      <c r="R2137" s="17"/>
      <c r="S2137" s="17"/>
      <c r="T2137" s="17"/>
      <c r="U2137" s="17"/>
      <c r="V2137" s="17"/>
      <c r="W2137" s="17"/>
      <c r="X2137" s="17"/>
      <c r="Y2137" s="17"/>
      <c r="Z2137" s="17"/>
    </row>
    <row r="2138">
      <c r="A2138" s="18" t="str">
        <f>IFERROR(__xludf.DUMMYFUNCTION("""COMPUTED_VALUE"""),"ord_82112")</f>
        <v>ord_82112</v>
      </c>
      <c r="B2138" s="18" t="str">
        <f>IFERROR(__xludf.DUMMYFUNCTION("""COMPUTED_VALUE"""),"Aarohi Kapoor")</f>
        <v>Aarohi Kapoor</v>
      </c>
      <c r="C2138" s="18" t="str">
        <f>IFERROR(__xludf.DUMMYFUNCTION("""COMPUTED_VALUE"""),"Bandra")</f>
        <v>Bandra</v>
      </c>
      <c r="D2138" s="18" t="str">
        <f>IFERROR(__xludf.DUMMYFUNCTION("""COMPUTED_VALUE"""),"Veg Puff")</f>
        <v>Veg Puff</v>
      </c>
      <c r="E2138" s="18">
        <f>IFERROR(__xludf.DUMMYFUNCTION("""COMPUTED_VALUE"""),1.0)</f>
        <v>1</v>
      </c>
      <c r="F2138" s="18" t="str">
        <f>IFERROR(__xludf.DUMMYFUNCTION("""COMPUTED_VALUE"""),"Manju Ajay")</f>
        <v>Manju Ajay</v>
      </c>
      <c r="G2138" s="19">
        <f>IFERROR(__xludf.DUMMYFUNCTION("""COMPUTED_VALUE"""),45148.0)</f>
        <v>45148</v>
      </c>
      <c r="H2138" s="18" t="str">
        <f>IFERROR(__xludf.DUMMYFUNCTION("""COMPUTED_VALUE"""),"Online Payment")</f>
        <v>Online Payment</v>
      </c>
      <c r="I2138" s="18" t="str">
        <f>IFERROR(__xludf.DUMMYFUNCTION("""COMPUTED_VALUE"""),"Delivered")</f>
        <v>Delivered</v>
      </c>
      <c r="J2138" s="18" t="str">
        <f>IFERROR(__xludf.DUMMYFUNCTION("""COMPUTED_VALUE"""),"Quality of Items")</f>
        <v>Quality of Items</v>
      </c>
      <c r="K2138" s="18" t="str">
        <f>IFERROR(__xludf.DUMMYFUNCTION("""COMPUTED_VALUE"""),"Perfect condition")</f>
        <v>Perfect condition</v>
      </c>
      <c r="L2138" s="18">
        <f>iferror(VLOOKUP($D2138,Details!$A$2:$C$11,2,false),vlookup($D2138,Details!$E$2:$G$11,2,false))</f>
        <v>80</v>
      </c>
      <c r="M2138" s="18" t="str">
        <f>iferror(VLOOKUP($D2138,Details!$A$2:$C$11,3,false),vlookup($D2138,Details!$E$2:$G$11,3,false))</f>
        <v>Snacks and Drinks</v>
      </c>
      <c r="N2138" s="18">
        <f t="shared" si="1"/>
        <v>80</v>
      </c>
      <c r="O2138" s="17"/>
      <c r="P2138" s="17"/>
      <c r="Q2138" s="17"/>
      <c r="R2138" s="17"/>
      <c r="S2138" s="17"/>
      <c r="T2138" s="17"/>
      <c r="U2138" s="17"/>
      <c r="V2138" s="17"/>
      <c r="W2138" s="17"/>
      <c r="X2138" s="17"/>
      <c r="Y2138" s="17"/>
      <c r="Z2138" s="17"/>
    </row>
    <row r="2139">
      <c r="A2139" s="18" t="str">
        <f>IFERROR(__xludf.DUMMYFUNCTION("""COMPUTED_VALUE"""),"ord_82113")</f>
        <v>ord_82113</v>
      </c>
      <c r="B2139" s="18" t="str">
        <f>IFERROR(__xludf.DUMMYFUNCTION("""COMPUTED_VALUE"""),"Aarohi Kapoor")</f>
        <v>Aarohi Kapoor</v>
      </c>
      <c r="C2139" s="18" t="str">
        <f>IFERROR(__xludf.DUMMYFUNCTION("""COMPUTED_VALUE"""),"Bandra")</f>
        <v>Bandra</v>
      </c>
      <c r="D2139" s="18" t="str">
        <f>IFERROR(__xludf.DUMMYFUNCTION("""COMPUTED_VALUE"""),"Guava")</f>
        <v>Guava</v>
      </c>
      <c r="E2139" s="18">
        <f>IFERROR(__xludf.DUMMYFUNCTION("""COMPUTED_VALUE"""),2.0)</f>
        <v>2</v>
      </c>
      <c r="F2139" s="18" t="str">
        <f>IFERROR(__xludf.DUMMYFUNCTION("""COMPUTED_VALUE"""),"Vivek Kumar")</f>
        <v>Vivek Kumar</v>
      </c>
      <c r="G2139" s="19">
        <f>IFERROR(__xludf.DUMMYFUNCTION("""COMPUTED_VALUE"""),45011.0)</f>
        <v>45011</v>
      </c>
      <c r="H2139" s="18" t="str">
        <f>IFERROR(__xludf.DUMMYFUNCTION("""COMPUTED_VALUE"""),"Credit Card")</f>
        <v>Credit Card</v>
      </c>
      <c r="I2139" s="18" t="str">
        <f>IFERROR(__xludf.DUMMYFUNCTION("""COMPUTED_VALUE"""),"Delivered")</f>
        <v>Delivered</v>
      </c>
      <c r="J2139" s="18" t="str">
        <f>IFERROR(__xludf.DUMMYFUNCTION("""COMPUTED_VALUE"""),"Packaging")</f>
        <v>Packaging</v>
      </c>
      <c r="K2139" s="18" t="str">
        <f>IFERROR(__xludf.DUMMYFUNCTION("""COMPUTED_VALUE"""),"Secure and intact")</f>
        <v>Secure and intact</v>
      </c>
      <c r="L2139" s="18">
        <f>iferror(VLOOKUP($D2139,Details!$A$2:$C$11,2,false),vlookup($D2139,Details!$E$2:$G$11,2,false))</f>
        <v>70</v>
      </c>
      <c r="M2139" s="18" t="str">
        <f>iferror(VLOOKUP($D2139,Details!$A$2:$C$11,3,false),vlookup($D2139,Details!$E$2:$G$11,3,false))</f>
        <v>Fruits and Vegetables</v>
      </c>
      <c r="N2139" s="18">
        <f t="shared" si="1"/>
        <v>140</v>
      </c>
      <c r="O2139" s="17"/>
      <c r="P2139" s="17"/>
      <c r="Q2139" s="17"/>
      <c r="R2139" s="17"/>
      <c r="S2139" s="17"/>
      <c r="T2139" s="17"/>
      <c r="U2139" s="17"/>
      <c r="V2139" s="17"/>
      <c r="W2139" s="17"/>
      <c r="X2139" s="17"/>
      <c r="Y2139" s="17"/>
      <c r="Z2139" s="17"/>
    </row>
    <row r="2140">
      <c r="A2140" s="18" t="str">
        <f>IFERROR(__xludf.DUMMYFUNCTION("""COMPUTED_VALUE"""),"ord_82114")</f>
        <v>ord_82114</v>
      </c>
      <c r="B2140" s="18" t="str">
        <f>IFERROR(__xludf.DUMMYFUNCTION("""COMPUTED_VALUE"""),"Siya Reddy")</f>
        <v>Siya Reddy</v>
      </c>
      <c r="C2140" s="18" t="str">
        <f>IFERROR(__xludf.DUMMYFUNCTION("""COMPUTED_VALUE"""),"Juhu")</f>
        <v>Juhu</v>
      </c>
      <c r="D2140" s="18" t="str">
        <f>IFERROR(__xludf.DUMMYFUNCTION("""COMPUTED_VALUE"""),"Cucumber")</f>
        <v>Cucumber</v>
      </c>
      <c r="E2140" s="18">
        <f>IFERROR(__xludf.DUMMYFUNCTION("""COMPUTED_VALUE"""),1.0)</f>
        <v>1</v>
      </c>
      <c r="F2140" s="18" t="str">
        <f>IFERROR(__xludf.DUMMYFUNCTION("""COMPUTED_VALUE"""),"Vivek Kumar")</f>
        <v>Vivek Kumar</v>
      </c>
      <c r="G2140" s="19">
        <f>IFERROR(__xludf.DUMMYFUNCTION("""COMPUTED_VALUE"""),45020.0)</f>
        <v>45020</v>
      </c>
      <c r="H2140" s="18" t="str">
        <f>IFERROR(__xludf.DUMMYFUNCTION("""COMPUTED_VALUE"""),"Credit Card")</f>
        <v>Credit Card</v>
      </c>
      <c r="I2140" s="18" t="str">
        <f>IFERROR(__xludf.DUMMYFUNCTION("""COMPUTED_VALUE"""),"Cancelled")</f>
        <v>Cancelled</v>
      </c>
      <c r="J2140" s="18" t="str">
        <f>IFERROR(__xludf.DUMMYFUNCTION("""COMPUTED_VALUE"""),"Delayed Delivery")</f>
        <v>Delayed Delivery</v>
      </c>
      <c r="K2140" s="18" t="str">
        <f>IFERROR(__xludf.DUMMYFUNCTION("""COMPUTED_VALUE"""),"Heavy Traffic")</f>
        <v>Heavy Traffic</v>
      </c>
      <c r="L2140" s="18">
        <f>iferror(VLOOKUP($D2140,Details!$A$2:$C$11,2,false),vlookup($D2140,Details!$E$2:$G$11,2,false))</f>
        <v>30</v>
      </c>
      <c r="M2140" s="18" t="str">
        <f>iferror(VLOOKUP($D2140,Details!$A$2:$C$11,3,false),vlookup($D2140,Details!$E$2:$G$11,3,false))</f>
        <v>Fruits and Vegetables</v>
      </c>
      <c r="N2140" s="18">
        <f t="shared" si="1"/>
        <v>30</v>
      </c>
      <c r="O2140" s="17"/>
      <c r="P2140" s="17"/>
      <c r="Q2140" s="17"/>
      <c r="R2140" s="17"/>
      <c r="S2140" s="17"/>
      <c r="T2140" s="17"/>
      <c r="U2140" s="17"/>
      <c r="V2140" s="17"/>
      <c r="W2140" s="17"/>
      <c r="X2140" s="17"/>
      <c r="Y2140" s="17"/>
      <c r="Z2140" s="17"/>
    </row>
    <row r="2141">
      <c r="A2141" s="18" t="str">
        <f>IFERROR(__xludf.DUMMYFUNCTION("""COMPUTED_VALUE"""),"ord_82115")</f>
        <v>ord_82115</v>
      </c>
      <c r="B2141" s="18" t="str">
        <f>IFERROR(__xludf.DUMMYFUNCTION("""COMPUTED_VALUE"""),"Kritika Shetty")</f>
        <v>Kritika Shetty</v>
      </c>
      <c r="C2141" s="18" t="str">
        <f>IFERROR(__xludf.DUMMYFUNCTION("""COMPUTED_VALUE"""),"Malad")</f>
        <v>Malad</v>
      </c>
      <c r="D2141" s="18" t="str">
        <f>IFERROR(__xludf.DUMMYFUNCTION("""COMPUTED_VALUE"""),"Sweet Corn")</f>
        <v>Sweet Corn</v>
      </c>
      <c r="E2141" s="18">
        <f>IFERROR(__xludf.DUMMYFUNCTION("""COMPUTED_VALUE"""),2.0)</f>
        <v>2</v>
      </c>
      <c r="F2141" s="18" t="str">
        <f>IFERROR(__xludf.DUMMYFUNCTION("""COMPUTED_VALUE"""),"Ramesh S")</f>
        <v>Ramesh S</v>
      </c>
      <c r="G2141" s="19">
        <f>IFERROR(__xludf.DUMMYFUNCTION("""COMPUTED_VALUE"""),45271.0)</f>
        <v>45271</v>
      </c>
      <c r="H2141" s="18" t="str">
        <f>IFERROR(__xludf.DUMMYFUNCTION("""COMPUTED_VALUE"""),"UPI")</f>
        <v>UPI</v>
      </c>
      <c r="I2141" s="18" t="str">
        <f>IFERROR(__xludf.DUMMYFUNCTION("""COMPUTED_VALUE"""),"Delivered")</f>
        <v>Delivered</v>
      </c>
      <c r="J2141" s="18" t="str">
        <f>IFERROR(__xludf.DUMMYFUNCTION("""COMPUTED_VALUE"""),"Satisfied with the Delivery")</f>
        <v>Satisfied with the Delivery</v>
      </c>
      <c r="K2141" s="18" t="str">
        <f>IFERROR(__xludf.DUMMYFUNCTION("""COMPUTED_VALUE"""),"Timely and quality")</f>
        <v>Timely and quality</v>
      </c>
      <c r="L2141" s="18">
        <f>iferror(VLOOKUP($D2141,Details!$A$2:$C$11,2,false),vlookup($D2141,Details!$E$2:$G$11,2,false))</f>
        <v>60</v>
      </c>
      <c r="M2141" s="18" t="str">
        <f>iferror(VLOOKUP($D2141,Details!$A$2:$C$11,3,false),vlookup($D2141,Details!$E$2:$G$11,3,false))</f>
        <v>Fruits and Vegetables</v>
      </c>
      <c r="N2141" s="18">
        <f t="shared" si="1"/>
        <v>120</v>
      </c>
      <c r="O2141" s="17"/>
      <c r="P2141" s="17"/>
      <c r="Q2141" s="17"/>
      <c r="R2141" s="17"/>
      <c r="S2141" s="17"/>
      <c r="T2141" s="17"/>
      <c r="U2141" s="17"/>
      <c r="V2141" s="17"/>
      <c r="W2141" s="17"/>
      <c r="X2141" s="17"/>
      <c r="Y2141" s="17"/>
      <c r="Z2141" s="17"/>
    </row>
    <row r="2142">
      <c r="A2142" s="18" t="str">
        <f>IFERROR(__xludf.DUMMYFUNCTION("""COMPUTED_VALUE"""),"ord_82116")</f>
        <v>ord_82116</v>
      </c>
      <c r="B2142" s="18" t="str">
        <f>IFERROR(__xludf.DUMMYFUNCTION("""COMPUTED_VALUE"""),"Anaya Rao")</f>
        <v>Anaya Rao</v>
      </c>
      <c r="C2142" s="18" t="str">
        <f>IFERROR(__xludf.DUMMYFUNCTION("""COMPUTED_VALUE"""),"Malad")</f>
        <v>Malad</v>
      </c>
      <c r="D2142" s="18" t="str">
        <f>IFERROR(__xludf.DUMMYFUNCTION("""COMPUTED_VALUE"""),"Icecream")</f>
        <v>Icecream</v>
      </c>
      <c r="E2142" s="18">
        <f>IFERROR(__xludf.DUMMYFUNCTION("""COMPUTED_VALUE"""),1.0)</f>
        <v>1</v>
      </c>
      <c r="F2142" s="18" t="str">
        <f>IFERROR(__xludf.DUMMYFUNCTION("""COMPUTED_VALUE"""),"Shine Thomas")</f>
        <v>Shine Thomas</v>
      </c>
      <c r="G2142" s="19">
        <f>IFERROR(__xludf.DUMMYFUNCTION("""COMPUTED_VALUE"""),44998.0)</f>
        <v>44998</v>
      </c>
      <c r="H2142" s="18" t="str">
        <f>IFERROR(__xludf.DUMMYFUNCTION("""COMPUTED_VALUE"""),"Credit Card")</f>
        <v>Credit Card</v>
      </c>
      <c r="I2142" s="18" t="str">
        <f>IFERROR(__xludf.DUMMYFUNCTION("""COMPUTED_VALUE"""),"Delivered")</f>
        <v>Delivered</v>
      </c>
      <c r="J2142" s="18" t="str">
        <f>IFERROR(__xludf.DUMMYFUNCTION("""COMPUTED_VALUE"""),"Customer Service")</f>
        <v>Customer Service</v>
      </c>
      <c r="K2142" s="18" t="str">
        <f>IFERROR(__xludf.DUMMYFUNCTION("""COMPUTED_VALUE"""),"Seamless and easy")</f>
        <v>Seamless and easy</v>
      </c>
      <c r="L2142" s="18">
        <f>iferror(VLOOKUP($D2142,Details!$A$2:$C$11,2,false),vlookup($D2142,Details!$E$2:$G$11,2,false))</f>
        <v>90</v>
      </c>
      <c r="M2142" s="18" t="str">
        <f>iferror(VLOOKUP($D2142,Details!$A$2:$C$11,3,false),vlookup($D2142,Details!$E$2:$G$11,3,false))</f>
        <v>Snacks and Drinks</v>
      </c>
      <c r="N2142" s="18">
        <f t="shared" si="1"/>
        <v>90</v>
      </c>
      <c r="O2142" s="17"/>
      <c r="P2142" s="17"/>
      <c r="Q2142" s="17"/>
      <c r="R2142" s="17"/>
      <c r="S2142" s="17"/>
      <c r="T2142" s="17"/>
      <c r="U2142" s="17"/>
      <c r="V2142" s="17"/>
      <c r="W2142" s="17"/>
      <c r="X2142" s="17"/>
      <c r="Y2142" s="17"/>
      <c r="Z2142" s="17"/>
    </row>
    <row r="2143">
      <c r="A2143" s="18" t="str">
        <f>IFERROR(__xludf.DUMMYFUNCTION("""COMPUTED_VALUE"""),"ord_82117")</f>
        <v>ord_82117</v>
      </c>
      <c r="B2143" s="18" t="str">
        <f>IFERROR(__xludf.DUMMYFUNCTION("""COMPUTED_VALUE"""),"Anaya Rao")</f>
        <v>Anaya Rao</v>
      </c>
      <c r="C2143" s="18" t="str">
        <f>IFERROR(__xludf.DUMMYFUNCTION("""COMPUTED_VALUE"""),"Malad")</f>
        <v>Malad</v>
      </c>
      <c r="D2143" s="18" t="str">
        <f>IFERROR(__xludf.DUMMYFUNCTION("""COMPUTED_VALUE"""),"Chilli Cheese Toast")</f>
        <v>Chilli Cheese Toast</v>
      </c>
      <c r="E2143" s="18">
        <f>IFERROR(__xludf.DUMMYFUNCTION("""COMPUTED_VALUE"""),4.0)</f>
        <v>4</v>
      </c>
      <c r="F2143" s="18" t="str">
        <f>IFERROR(__xludf.DUMMYFUNCTION("""COMPUTED_VALUE"""),"Shine Thomas")</f>
        <v>Shine Thomas</v>
      </c>
      <c r="G2143" s="19">
        <f>IFERROR(__xludf.DUMMYFUNCTION("""COMPUTED_VALUE"""),45219.0)</f>
        <v>45219</v>
      </c>
      <c r="H2143" s="18" t="str">
        <f>IFERROR(__xludf.DUMMYFUNCTION("""COMPUTED_VALUE"""),"UPI")</f>
        <v>UPI</v>
      </c>
      <c r="I2143" s="18" t="str">
        <f>IFERROR(__xludf.DUMMYFUNCTION("""COMPUTED_VALUE"""),"Delivered")</f>
        <v>Delivered</v>
      </c>
      <c r="J2143" s="18" t="str">
        <f>IFERROR(__xludf.DUMMYFUNCTION("""COMPUTED_VALUE"""),"Delivery Experience")</f>
        <v>Delivery Experience</v>
      </c>
      <c r="K2143" s="18" t="str">
        <f>IFERROR(__xludf.DUMMYFUNCTION("""COMPUTED_VALUE"""),"Quick and professional")</f>
        <v>Quick and professional</v>
      </c>
      <c r="L2143" s="18">
        <f>iferror(VLOOKUP($D2143,Details!$A$2:$C$11,2,false),vlookup($D2143,Details!$E$2:$G$11,2,false))</f>
        <v>80</v>
      </c>
      <c r="M2143" s="18" t="str">
        <f>iferror(VLOOKUP($D2143,Details!$A$2:$C$11,3,false),vlookup($D2143,Details!$E$2:$G$11,3,false))</f>
        <v>Snacks and Drinks</v>
      </c>
      <c r="N2143" s="18">
        <f t="shared" si="1"/>
        <v>320</v>
      </c>
      <c r="O2143" s="17"/>
      <c r="P2143" s="17"/>
      <c r="Q2143" s="17"/>
      <c r="R2143" s="17"/>
      <c r="S2143" s="17"/>
      <c r="T2143" s="17"/>
      <c r="U2143" s="17"/>
      <c r="V2143" s="17"/>
      <c r="W2143" s="17"/>
      <c r="X2143" s="17"/>
      <c r="Y2143" s="17"/>
      <c r="Z2143" s="17"/>
    </row>
    <row r="2144">
      <c r="A2144" s="18" t="str">
        <f>IFERROR(__xludf.DUMMYFUNCTION("""COMPUTED_VALUE"""),"ord_82118")</f>
        <v>ord_82118</v>
      </c>
      <c r="B2144" s="18" t="str">
        <f>IFERROR(__xludf.DUMMYFUNCTION("""COMPUTED_VALUE"""),"Anaya Rao")</f>
        <v>Anaya Rao</v>
      </c>
      <c r="C2144" s="18" t="str">
        <f>IFERROR(__xludf.DUMMYFUNCTION("""COMPUTED_VALUE"""),"Colaba")</f>
        <v>Colaba</v>
      </c>
      <c r="D2144" s="18" t="str">
        <f>IFERROR(__xludf.DUMMYFUNCTION("""COMPUTED_VALUE"""),"Onion")</f>
        <v>Onion</v>
      </c>
      <c r="E2144" s="18">
        <f>IFERROR(__xludf.DUMMYFUNCTION("""COMPUTED_VALUE"""),1.0)</f>
        <v>1</v>
      </c>
      <c r="F2144" s="18" t="str">
        <f>IFERROR(__xludf.DUMMYFUNCTION("""COMPUTED_VALUE"""),"Shine Thomas")</f>
        <v>Shine Thomas</v>
      </c>
      <c r="G2144" s="19">
        <f>IFERROR(__xludf.DUMMYFUNCTION("""COMPUTED_VALUE"""),45042.0)</f>
        <v>45042</v>
      </c>
      <c r="H2144" s="18" t="str">
        <f>IFERROR(__xludf.DUMMYFUNCTION("""COMPUTED_VALUE"""),"UPI")</f>
        <v>UPI</v>
      </c>
      <c r="I2144" s="18" t="str">
        <f>IFERROR(__xludf.DUMMYFUNCTION("""COMPUTED_VALUE"""),"Delivered")</f>
        <v>Delivered</v>
      </c>
      <c r="J2144" s="18" t="str">
        <f>IFERROR(__xludf.DUMMYFUNCTION("""COMPUTED_VALUE"""),"Convenience")</f>
        <v>Convenience</v>
      </c>
      <c r="K2144" s="18" t="str">
        <f>IFERROR(__xludf.DUMMYFUNCTION("""COMPUTED_VALUE"""),"Easy tracking")</f>
        <v>Easy tracking</v>
      </c>
      <c r="L2144" s="18">
        <f>iferror(VLOOKUP($D2144,Details!$A$2:$C$11,2,false),vlookup($D2144,Details!$E$2:$G$11,2,false))</f>
        <v>84</v>
      </c>
      <c r="M2144" s="18" t="str">
        <f>iferror(VLOOKUP($D2144,Details!$A$2:$C$11,3,false),vlookup($D2144,Details!$E$2:$G$11,3,false))</f>
        <v>Fruits and Vegetables</v>
      </c>
      <c r="N2144" s="18">
        <f t="shared" si="1"/>
        <v>84</v>
      </c>
      <c r="O2144" s="17"/>
      <c r="P2144" s="17"/>
      <c r="Q2144" s="17"/>
      <c r="R2144" s="17"/>
      <c r="S2144" s="17"/>
      <c r="T2144" s="17"/>
      <c r="U2144" s="17"/>
      <c r="V2144" s="17"/>
      <c r="W2144" s="17"/>
      <c r="X2144" s="17"/>
      <c r="Y2144" s="17"/>
      <c r="Z2144" s="17"/>
    </row>
    <row r="2145">
      <c r="A2145" s="18" t="str">
        <f>IFERROR(__xludf.DUMMYFUNCTION("""COMPUTED_VALUE"""),"ord_82119")</f>
        <v>ord_82119</v>
      </c>
      <c r="B2145" s="18" t="str">
        <f>IFERROR(__xludf.DUMMYFUNCTION("""COMPUTED_VALUE"""),"Ishaan Chaturvedi")</f>
        <v>Ishaan Chaturvedi</v>
      </c>
      <c r="C2145" s="18" t="str">
        <f>IFERROR(__xludf.DUMMYFUNCTION("""COMPUTED_VALUE"""),"Bandra")</f>
        <v>Bandra</v>
      </c>
      <c r="D2145" s="18" t="str">
        <f>IFERROR(__xludf.DUMMYFUNCTION("""COMPUTED_VALUE"""),"Tiramisu")</f>
        <v>Tiramisu</v>
      </c>
      <c r="E2145" s="18">
        <f>IFERROR(__xludf.DUMMYFUNCTION("""COMPUTED_VALUE"""),5.0)</f>
        <v>5</v>
      </c>
      <c r="F2145" s="18" t="str">
        <f>IFERROR(__xludf.DUMMYFUNCTION("""COMPUTED_VALUE"""),"Nithin Lal")</f>
        <v>Nithin Lal</v>
      </c>
      <c r="G2145" s="19">
        <f>IFERROR(__xludf.DUMMYFUNCTION("""COMPUTED_VALUE"""),45155.0)</f>
        <v>45155</v>
      </c>
      <c r="H2145" s="18" t="str">
        <f>IFERROR(__xludf.DUMMYFUNCTION("""COMPUTED_VALUE"""),"Online Payment")</f>
        <v>Online Payment</v>
      </c>
      <c r="I2145" s="18" t="str">
        <f>IFERROR(__xludf.DUMMYFUNCTION("""COMPUTED_VALUE"""),"Delivered")</f>
        <v>Delivered</v>
      </c>
      <c r="J2145" s="18" t="str">
        <f>IFERROR(__xludf.DUMMYFUNCTION("""COMPUTED_VALUE"""),"Overall Satisfaction")</f>
        <v>Overall Satisfaction</v>
      </c>
      <c r="K2145" s="18" t="str">
        <f>IFERROR(__xludf.DUMMYFUNCTION("""COMPUTED_VALUE"""),"Great service will order again")</f>
        <v>Great service will order again</v>
      </c>
      <c r="L2145" s="18">
        <f>iferror(VLOOKUP($D2145,Details!$A$2:$C$11,2,false),vlookup($D2145,Details!$E$2:$G$11,2,false))</f>
        <v>150</v>
      </c>
      <c r="M2145" s="18" t="str">
        <f>iferror(VLOOKUP($D2145,Details!$A$2:$C$11,3,false),vlookup($D2145,Details!$E$2:$G$11,3,false))</f>
        <v>Snacks and Drinks</v>
      </c>
      <c r="N2145" s="18">
        <f t="shared" si="1"/>
        <v>750</v>
      </c>
      <c r="O2145" s="17"/>
      <c r="P2145" s="17"/>
      <c r="Q2145" s="17"/>
      <c r="R2145" s="17"/>
      <c r="S2145" s="17"/>
      <c r="T2145" s="17"/>
      <c r="U2145" s="17"/>
      <c r="V2145" s="17"/>
      <c r="W2145" s="17"/>
      <c r="X2145" s="17"/>
      <c r="Y2145" s="17"/>
      <c r="Z2145" s="17"/>
    </row>
    <row r="2146">
      <c r="A2146" s="18" t="str">
        <f>IFERROR(__xludf.DUMMYFUNCTION("""COMPUTED_VALUE"""),"ord_82120")</f>
        <v>ord_82120</v>
      </c>
      <c r="B2146" s="18" t="str">
        <f>IFERROR(__xludf.DUMMYFUNCTION("""COMPUTED_VALUE"""),"Mohit Malhotra")</f>
        <v>Mohit Malhotra</v>
      </c>
      <c r="C2146" s="18" t="str">
        <f>IFERROR(__xludf.DUMMYFUNCTION("""COMPUTED_VALUE"""),"Lower Parel")</f>
        <v>Lower Parel</v>
      </c>
      <c r="D2146" s="18" t="str">
        <f>IFERROR(__xludf.DUMMYFUNCTION("""COMPUTED_VALUE"""),"Juice")</f>
        <v>Juice</v>
      </c>
      <c r="E2146" s="18">
        <f>IFERROR(__xludf.DUMMYFUNCTION("""COMPUTED_VALUE"""),1.0)</f>
        <v>1</v>
      </c>
      <c r="F2146" s="18" t="str">
        <f>IFERROR(__xludf.DUMMYFUNCTION("""COMPUTED_VALUE"""),"Vivek Kumar")</f>
        <v>Vivek Kumar</v>
      </c>
      <c r="G2146" s="19">
        <f>IFERROR(__xludf.DUMMYFUNCTION("""COMPUTED_VALUE"""),45010.0)</f>
        <v>45010</v>
      </c>
      <c r="H2146" s="18" t="str">
        <f>IFERROR(__xludf.DUMMYFUNCTION("""COMPUTED_VALUE"""),"UPI")</f>
        <v>UPI</v>
      </c>
      <c r="I2146" s="18" t="str">
        <f>IFERROR(__xludf.DUMMYFUNCTION("""COMPUTED_VALUE"""),"Delivered")</f>
        <v>Delivered</v>
      </c>
      <c r="J2146" s="18" t="str">
        <f>IFERROR(__xludf.DUMMYFUNCTION("""COMPUTED_VALUE"""),"On-time Delivery")</f>
        <v>On-time Delivery</v>
      </c>
      <c r="K2146" s="18" t="str">
        <f>IFERROR(__xludf.DUMMYFUNCTION("""COMPUTED_VALUE"""),"Delivered on time")</f>
        <v>Delivered on time</v>
      </c>
      <c r="L2146" s="18">
        <f>iferror(VLOOKUP($D2146,Details!$A$2:$C$11,2,false),vlookup($D2146,Details!$E$2:$G$11,2,false))</f>
        <v>90</v>
      </c>
      <c r="M2146" s="18" t="str">
        <f>iferror(VLOOKUP($D2146,Details!$A$2:$C$11,3,false),vlookup($D2146,Details!$E$2:$G$11,3,false))</f>
        <v>Snacks and Drinks</v>
      </c>
      <c r="N2146" s="18">
        <f t="shared" si="1"/>
        <v>90</v>
      </c>
      <c r="O2146" s="17"/>
      <c r="P2146" s="17"/>
      <c r="Q2146" s="17"/>
      <c r="R2146" s="17"/>
      <c r="S2146" s="17"/>
      <c r="T2146" s="17"/>
      <c r="U2146" s="17"/>
      <c r="V2146" s="17"/>
      <c r="W2146" s="17"/>
      <c r="X2146" s="17"/>
      <c r="Y2146" s="17"/>
      <c r="Z2146" s="17"/>
    </row>
    <row r="2147">
      <c r="A2147" s="18" t="str">
        <f>IFERROR(__xludf.DUMMYFUNCTION("""COMPUTED_VALUE"""),"ord_82121")</f>
        <v>ord_82121</v>
      </c>
      <c r="B2147" s="18" t="str">
        <f>IFERROR(__xludf.DUMMYFUNCTION("""COMPUTED_VALUE"""),"Parth Goel")</f>
        <v>Parth Goel</v>
      </c>
      <c r="C2147" s="18" t="str">
        <f>IFERROR(__xludf.DUMMYFUNCTION("""COMPUTED_VALUE"""),"Juhu")</f>
        <v>Juhu</v>
      </c>
      <c r="D2147" s="18" t="str">
        <f>IFERROR(__xludf.DUMMYFUNCTION("""COMPUTED_VALUE"""),"Apple")</f>
        <v>Apple</v>
      </c>
      <c r="E2147" s="18">
        <f>IFERROR(__xludf.DUMMYFUNCTION("""COMPUTED_VALUE"""),1.0)</f>
        <v>1</v>
      </c>
      <c r="F2147" s="18" t="str">
        <f>IFERROR(__xludf.DUMMYFUNCTION("""COMPUTED_VALUE"""),"Ram Gopal")</f>
        <v>Ram Gopal</v>
      </c>
      <c r="G2147" s="19">
        <f>IFERROR(__xludf.DUMMYFUNCTION("""COMPUTED_VALUE"""),45260.0)</f>
        <v>45260</v>
      </c>
      <c r="H2147" s="18" t="str">
        <f>IFERROR(__xludf.DUMMYFUNCTION("""COMPUTED_VALUE"""),"Online Payment")</f>
        <v>Online Payment</v>
      </c>
      <c r="I2147" s="18" t="str">
        <f>IFERROR(__xludf.DUMMYFUNCTION("""COMPUTED_VALUE"""),"Delivered")</f>
        <v>Delivered</v>
      </c>
      <c r="J2147" s="18" t="str">
        <f>IFERROR(__xludf.DUMMYFUNCTION("""COMPUTED_VALUE"""),"Quality of Items")</f>
        <v>Quality of Items</v>
      </c>
      <c r="K2147" s="18" t="str">
        <f>IFERROR(__xludf.DUMMYFUNCTION("""COMPUTED_VALUE"""),"Perfect condition")</f>
        <v>Perfect condition</v>
      </c>
      <c r="L2147" s="18">
        <f>iferror(VLOOKUP($D2147,Details!$A$2:$C$11,2,false),vlookup($D2147,Details!$E$2:$G$11,2,false))</f>
        <v>230</v>
      </c>
      <c r="M2147" s="18" t="str">
        <f>iferror(VLOOKUP($D2147,Details!$A$2:$C$11,3,false),vlookup($D2147,Details!$E$2:$G$11,3,false))</f>
        <v>Fruits and Vegetables</v>
      </c>
      <c r="N2147" s="18">
        <f t="shared" si="1"/>
        <v>230</v>
      </c>
      <c r="O2147" s="17"/>
      <c r="P2147" s="17"/>
      <c r="Q2147" s="17"/>
      <c r="R2147" s="17"/>
      <c r="S2147" s="17"/>
      <c r="T2147" s="17"/>
      <c r="U2147" s="17"/>
      <c r="V2147" s="17"/>
      <c r="W2147" s="17"/>
      <c r="X2147" s="17"/>
      <c r="Y2147" s="17"/>
      <c r="Z2147" s="17"/>
    </row>
    <row r="2148">
      <c r="A2148" s="18" t="str">
        <f>IFERROR(__xludf.DUMMYFUNCTION("""COMPUTED_VALUE"""),"ord_82122")</f>
        <v>ord_82122</v>
      </c>
      <c r="B2148" s="18" t="str">
        <f>IFERROR(__xludf.DUMMYFUNCTION("""COMPUTED_VALUE"""),"Pallavi Ghosh")</f>
        <v>Pallavi Ghosh</v>
      </c>
      <c r="C2148" s="18" t="str">
        <f>IFERROR(__xludf.DUMMYFUNCTION("""COMPUTED_VALUE"""),"Bandra")</f>
        <v>Bandra</v>
      </c>
      <c r="D2148" s="18" t="str">
        <f>IFERROR(__xludf.DUMMYFUNCTION("""COMPUTED_VALUE"""),"Chicken Puff")</f>
        <v>Chicken Puff</v>
      </c>
      <c r="E2148" s="18">
        <f>IFERROR(__xludf.DUMMYFUNCTION("""COMPUTED_VALUE"""),4.0)</f>
        <v>4</v>
      </c>
      <c r="F2148" s="18" t="str">
        <f>IFERROR(__xludf.DUMMYFUNCTION("""COMPUTED_VALUE"""),"Ramesh S")</f>
        <v>Ramesh S</v>
      </c>
      <c r="G2148" s="19">
        <f>IFERROR(__xludf.DUMMYFUNCTION("""COMPUTED_VALUE"""),45062.0)</f>
        <v>45062</v>
      </c>
      <c r="H2148" s="18" t="str">
        <f>IFERROR(__xludf.DUMMYFUNCTION("""COMPUTED_VALUE"""),"Credit Card")</f>
        <v>Credit Card</v>
      </c>
      <c r="I2148" s="18" t="str">
        <f>IFERROR(__xludf.DUMMYFUNCTION("""COMPUTED_VALUE"""),"Delivered")</f>
        <v>Delivered</v>
      </c>
      <c r="J2148" s="18" t="str">
        <f>IFERROR(__xludf.DUMMYFUNCTION("""COMPUTED_VALUE"""),"On-time Delivery")</f>
        <v>On-time Delivery</v>
      </c>
      <c r="K2148" s="18" t="str">
        <f>IFERROR(__xludf.DUMMYFUNCTION("""COMPUTED_VALUE"""),"Delivered on time")</f>
        <v>Delivered on time</v>
      </c>
      <c r="L2148" s="18">
        <f>iferror(VLOOKUP($D2148,Details!$A$2:$C$11,2,false),vlookup($D2148,Details!$E$2:$G$11,2,false))</f>
        <v>90</v>
      </c>
      <c r="M2148" s="18" t="str">
        <f>iferror(VLOOKUP($D2148,Details!$A$2:$C$11,3,false),vlookup($D2148,Details!$E$2:$G$11,3,false))</f>
        <v>Snacks and Drinks</v>
      </c>
      <c r="N2148" s="18">
        <f t="shared" si="1"/>
        <v>360</v>
      </c>
      <c r="O2148" s="17"/>
      <c r="P2148" s="17"/>
      <c r="Q2148" s="17"/>
      <c r="R2148" s="17"/>
      <c r="S2148" s="17"/>
      <c r="T2148" s="17"/>
      <c r="U2148" s="17"/>
      <c r="V2148" s="17"/>
      <c r="W2148" s="17"/>
      <c r="X2148" s="17"/>
      <c r="Y2148" s="17"/>
      <c r="Z2148" s="17"/>
    </row>
    <row r="2149">
      <c r="A2149" s="18" t="str">
        <f>IFERROR(__xludf.DUMMYFUNCTION("""COMPUTED_VALUE"""),"ord_82123")</f>
        <v>ord_82123</v>
      </c>
      <c r="B2149" s="18" t="str">
        <f>IFERROR(__xludf.DUMMYFUNCTION("""COMPUTED_VALUE"""),"Tanishq Bansal")</f>
        <v>Tanishq Bansal</v>
      </c>
      <c r="C2149" s="18" t="str">
        <f>IFERROR(__xludf.DUMMYFUNCTION("""COMPUTED_VALUE"""),"Powai")</f>
        <v>Powai</v>
      </c>
      <c r="D2149" s="18" t="str">
        <f>IFERROR(__xludf.DUMMYFUNCTION("""COMPUTED_VALUE"""),"Banana")</f>
        <v>Banana</v>
      </c>
      <c r="E2149" s="18">
        <f>IFERROR(__xludf.DUMMYFUNCTION("""COMPUTED_VALUE"""),2.0)</f>
        <v>2</v>
      </c>
      <c r="F2149" s="18" t="str">
        <f>IFERROR(__xludf.DUMMYFUNCTION("""COMPUTED_VALUE"""),"Vivek Kumar")</f>
        <v>Vivek Kumar</v>
      </c>
      <c r="G2149" s="19">
        <f>IFERROR(__xludf.DUMMYFUNCTION("""COMPUTED_VALUE"""),45178.0)</f>
        <v>45178</v>
      </c>
      <c r="H2149" s="18" t="str">
        <f>IFERROR(__xludf.DUMMYFUNCTION("""COMPUTED_VALUE"""),"Online Payment")</f>
        <v>Online Payment</v>
      </c>
      <c r="I2149" s="18" t="str">
        <f>IFERROR(__xludf.DUMMYFUNCTION("""COMPUTED_VALUE"""),"Delivered")</f>
        <v>Delivered</v>
      </c>
      <c r="J2149" s="18" t="str">
        <f>IFERROR(__xludf.DUMMYFUNCTION("""COMPUTED_VALUE"""),"Quality of Items")</f>
        <v>Quality of Items</v>
      </c>
      <c r="K2149" s="18" t="str">
        <f>IFERROR(__xludf.DUMMYFUNCTION("""COMPUTED_VALUE"""),"Perfect condition")</f>
        <v>Perfect condition</v>
      </c>
      <c r="L2149" s="18">
        <f>iferror(VLOOKUP($D2149,Details!$A$2:$C$11,2,false),vlookup($D2149,Details!$E$2:$G$11,2,false))</f>
        <v>80</v>
      </c>
      <c r="M2149" s="18" t="str">
        <f>iferror(VLOOKUP($D2149,Details!$A$2:$C$11,3,false),vlookup($D2149,Details!$E$2:$G$11,3,false))</f>
        <v>Fruits and Vegetables</v>
      </c>
      <c r="N2149" s="18">
        <f t="shared" si="1"/>
        <v>160</v>
      </c>
      <c r="O2149" s="17"/>
      <c r="P2149" s="17"/>
      <c r="Q2149" s="17"/>
      <c r="R2149" s="17"/>
      <c r="S2149" s="17"/>
      <c r="T2149" s="17"/>
      <c r="U2149" s="17"/>
      <c r="V2149" s="17"/>
      <c r="W2149" s="17"/>
      <c r="X2149" s="17"/>
      <c r="Y2149" s="17"/>
      <c r="Z2149" s="17"/>
    </row>
    <row r="2150">
      <c r="A2150" s="18" t="str">
        <f>IFERROR(__xludf.DUMMYFUNCTION("""COMPUTED_VALUE"""),"ord_82124")</f>
        <v>ord_82124</v>
      </c>
      <c r="B2150" s="18" t="str">
        <f>IFERROR(__xludf.DUMMYFUNCTION("""COMPUTED_VALUE"""),"Ishaan Chaturvedi")</f>
        <v>Ishaan Chaturvedi</v>
      </c>
      <c r="C2150" s="18" t="str">
        <f>IFERROR(__xludf.DUMMYFUNCTION("""COMPUTED_VALUE"""),"Bandra")</f>
        <v>Bandra</v>
      </c>
      <c r="D2150" s="18" t="str">
        <f>IFERROR(__xludf.DUMMYFUNCTION("""COMPUTED_VALUE"""),"Rasmalai")</f>
        <v>Rasmalai</v>
      </c>
      <c r="E2150" s="18">
        <f>IFERROR(__xludf.DUMMYFUNCTION("""COMPUTED_VALUE"""),2.0)</f>
        <v>2</v>
      </c>
      <c r="F2150" s="18" t="str">
        <f>IFERROR(__xludf.DUMMYFUNCTION("""COMPUTED_VALUE"""),"Venu R")</f>
        <v>Venu R</v>
      </c>
      <c r="G2150" s="19">
        <f>IFERROR(__xludf.DUMMYFUNCTION("""COMPUTED_VALUE"""),45290.0)</f>
        <v>45290</v>
      </c>
      <c r="H2150" s="18" t="str">
        <f>IFERROR(__xludf.DUMMYFUNCTION("""COMPUTED_VALUE"""),"Credit Card")</f>
        <v>Credit Card</v>
      </c>
      <c r="I2150" s="18" t="str">
        <f>IFERROR(__xludf.DUMMYFUNCTION("""COMPUTED_VALUE"""),"Delivered")</f>
        <v>Delivered</v>
      </c>
      <c r="J2150" s="18" t="str">
        <f>IFERROR(__xludf.DUMMYFUNCTION("""COMPUTED_VALUE"""),"Packaging")</f>
        <v>Packaging</v>
      </c>
      <c r="K2150" s="18" t="str">
        <f>IFERROR(__xludf.DUMMYFUNCTION("""COMPUTED_VALUE"""),"Secure and intact")</f>
        <v>Secure and intact</v>
      </c>
      <c r="L2150" s="18">
        <f>iferror(VLOOKUP($D2150,Details!$A$2:$C$11,2,false),vlookup($D2150,Details!$E$2:$G$11,2,false))</f>
        <v>110</v>
      </c>
      <c r="M2150" s="18" t="str">
        <f>iferror(VLOOKUP($D2150,Details!$A$2:$C$11,3,false),vlookup($D2150,Details!$E$2:$G$11,3,false))</f>
        <v>Snacks and Drinks</v>
      </c>
      <c r="N2150" s="18">
        <f t="shared" si="1"/>
        <v>220</v>
      </c>
      <c r="O2150" s="17"/>
      <c r="P2150" s="17"/>
      <c r="Q2150" s="17"/>
      <c r="R2150" s="17"/>
      <c r="S2150" s="17"/>
      <c r="T2150" s="17"/>
      <c r="U2150" s="17"/>
      <c r="V2150" s="17"/>
      <c r="W2150" s="17"/>
      <c r="X2150" s="17"/>
      <c r="Y2150" s="17"/>
      <c r="Z2150" s="17"/>
    </row>
    <row r="2151">
      <c r="A2151" s="18" t="str">
        <f>IFERROR(__xludf.DUMMYFUNCTION("""COMPUTED_VALUE"""),"ord_82125")</f>
        <v>ord_82125</v>
      </c>
      <c r="B2151" s="18" t="str">
        <f>IFERROR(__xludf.DUMMYFUNCTION("""COMPUTED_VALUE"""),"Mehul Thakkar")</f>
        <v>Mehul Thakkar</v>
      </c>
      <c r="C2151" s="18" t="str">
        <f>IFERROR(__xludf.DUMMYFUNCTION("""COMPUTED_VALUE"""),"Malad")</f>
        <v>Malad</v>
      </c>
      <c r="D2151" s="18" t="str">
        <f>IFERROR(__xludf.DUMMYFUNCTION("""COMPUTED_VALUE"""),"Tomato")</f>
        <v>Tomato</v>
      </c>
      <c r="E2151" s="18">
        <f>IFERROR(__xludf.DUMMYFUNCTION("""COMPUTED_VALUE"""),2.0)</f>
        <v>2</v>
      </c>
      <c r="F2151" s="18" t="str">
        <f>IFERROR(__xludf.DUMMYFUNCTION("""COMPUTED_VALUE"""),"Not Assigned")</f>
        <v>Not Assigned</v>
      </c>
      <c r="G2151" s="19">
        <f>IFERROR(__xludf.DUMMYFUNCTION("""COMPUTED_VALUE"""),45265.0)</f>
        <v>45265</v>
      </c>
      <c r="H2151" s="18" t="str">
        <f>IFERROR(__xludf.DUMMYFUNCTION("""COMPUTED_VALUE"""),"Credit Card")</f>
        <v>Credit Card</v>
      </c>
      <c r="I2151" s="18" t="str">
        <f>IFERROR(__xludf.DUMMYFUNCTION("""COMPUTED_VALUE"""),"Cancelled")</f>
        <v>Cancelled</v>
      </c>
      <c r="J2151" s="18" t="str">
        <f>IFERROR(__xludf.DUMMYFUNCTION("""COMPUTED_VALUE"""),"App Glitches")</f>
        <v>App Glitches</v>
      </c>
      <c r="K2151" s="18" t="str">
        <f>IFERROR(__xludf.DUMMYFUNCTION("""COMPUTED_VALUE"""),"Payment Button Malfunction")</f>
        <v>Payment Button Malfunction</v>
      </c>
      <c r="L2151" s="18">
        <f>iferror(VLOOKUP($D2151,Details!$A$2:$C$11,2,false),vlookup($D2151,Details!$E$2:$G$11,2,false))</f>
        <v>25</v>
      </c>
      <c r="M2151" s="18" t="str">
        <f>iferror(VLOOKUP($D2151,Details!$A$2:$C$11,3,false),vlookup($D2151,Details!$E$2:$G$11,3,false))</f>
        <v>Fruits and Vegetables</v>
      </c>
      <c r="N2151" s="18">
        <f t="shared" si="1"/>
        <v>50</v>
      </c>
      <c r="O2151" s="17"/>
      <c r="P2151" s="17"/>
      <c r="Q2151" s="17"/>
      <c r="R2151" s="17"/>
      <c r="S2151" s="17"/>
      <c r="T2151" s="17"/>
      <c r="U2151" s="17"/>
      <c r="V2151" s="17"/>
      <c r="W2151" s="17"/>
      <c r="X2151" s="17"/>
      <c r="Y2151" s="17"/>
      <c r="Z2151" s="17"/>
    </row>
    <row r="2152">
      <c r="A2152" s="18" t="str">
        <f>IFERROR(__xludf.DUMMYFUNCTION("""COMPUTED_VALUE"""),"ord_82126")</f>
        <v>ord_82126</v>
      </c>
      <c r="B2152" s="18" t="str">
        <f>IFERROR(__xludf.DUMMYFUNCTION("""COMPUTED_VALUE"""),"Arvind Kulkarni")</f>
        <v>Arvind Kulkarni</v>
      </c>
      <c r="C2152" s="18" t="str">
        <f>IFERROR(__xludf.DUMMYFUNCTION("""COMPUTED_VALUE"""),"Juhu")</f>
        <v>Juhu</v>
      </c>
      <c r="D2152" s="18" t="str">
        <f>IFERROR(__xludf.DUMMYFUNCTION("""COMPUTED_VALUE"""),"Chicken Puff")</f>
        <v>Chicken Puff</v>
      </c>
      <c r="E2152" s="18">
        <f>IFERROR(__xludf.DUMMYFUNCTION("""COMPUTED_VALUE"""),5.0)</f>
        <v>5</v>
      </c>
      <c r="F2152" s="18" t="str">
        <f>IFERROR(__xludf.DUMMYFUNCTION("""COMPUTED_VALUE"""),"Shine Thomas")</f>
        <v>Shine Thomas</v>
      </c>
      <c r="G2152" s="19">
        <f>IFERROR(__xludf.DUMMYFUNCTION("""COMPUTED_VALUE"""),45119.0)</f>
        <v>45119</v>
      </c>
      <c r="H2152" s="18" t="str">
        <f>IFERROR(__xludf.DUMMYFUNCTION("""COMPUTED_VALUE"""),"UPI")</f>
        <v>UPI</v>
      </c>
      <c r="I2152" s="18" t="str">
        <f>IFERROR(__xludf.DUMMYFUNCTION("""COMPUTED_VALUE"""),"Delivered")</f>
        <v>Delivered</v>
      </c>
      <c r="J2152" s="18" t="str">
        <f>IFERROR(__xludf.DUMMYFUNCTION("""COMPUTED_VALUE"""),"Satisfied with the Delivery")</f>
        <v>Satisfied with the Delivery</v>
      </c>
      <c r="K2152" s="18" t="str">
        <f>IFERROR(__xludf.DUMMYFUNCTION("""COMPUTED_VALUE"""),"Timely and quality")</f>
        <v>Timely and quality</v>
      </c>
      <c r="L2152" s="18">
        <f>iferror(VLOOKUP($D2152,Details!$A$2:$C$11,2,false),vlookup($D2152,Details!$E$2:$G$11,2,false))</f>
        <v>90</v>
      </c>
      <c r="M2152" s="18" t="str">
        <f>iferror(VLOOKUP($D2152,Details!$A$2:$C$11,3,false),vlookup($D2152,Details!$E$2:$G$11,3,false))</f>
        <v>Snacks and Drinks</v>
      </c>
      <c r="N2152" s="18">
        <f t="shared" si="1"/>
        <v>450</v>
      </c>
      <c r="O2152" s="17"/>
      <c r="P2152" s="17"/>
      <c r="Q2152" s="17"/>
      <c r="R2152" s="17"/>
      <c r="S2152" s="17"/>
      <c r="T2152" s="17"/>
      <c r="U2152" s="17"/>
      <c r="V2152" s="17"/>
      <c r="W2152" s="17"/>
      <c r="X2152" s="17"/>
      <c r="Y2152" s="17"/>
      <c r="Z2152" s="17"/>
    </row>
    <row r="2153">
      <c r="A2153" s="18" t="str">
        <f>IFERROR(__xludf.DUMMYFUNCTION("""COMPUTED_VALUE"""),"ord_82127")</f>
        <v>ord_82127</v>
      </c>
      <c r="B2153" s="18" t="str">
        <f>IFERROR(__xludf.DUMMYFUNCTION("""COMPUTED_VALUE"""),"Omkar Mishra")</f>
        <v>Omkar Mishra</v>
      </c>
      <c r="C2153" s="18" t="str">
        <f>IFERROR(__xludf.DUMMYFUNCTION("""COMPUTED_VALUE"""),"Powai")</f>
        <v>Powai</v>
      </c>
      <c r="D2153" s="18" t="str">
        <f>IFERROR(__xludf.DUMMYFUNCTION("""COMPUTED_VALUE"""),"Cucumber")</f>
        <v>Cucumber</v>
      </c>
      <c r="E2153" s="18">
        <f>IFERROR(__xludf.DUMMYFUNCTION("""COMPUTED_VALUE"""),2.0)</f>
        <v>2</v>
      </c>
      <c r="F2153" s="18" t="str">
        <f>IFERROR(__xludf.DUMMYFUNCTION("""COMPUTED_VALUE"""),"Ramesh S")</f>
        <v>Ramesh S</v>
      </c>
      <c r="G2153" s="19">
        <f>IFERROR(__xludf.DUMMYFUNCTION("""COMPUTED_VALUE"""),45140.0)</f>
        <v>45140</v>
      </c>
      <c r="H2153" s="18" t="str">
        <f>IFERROR(__xludf.DUMMYFUNCTION("""COMPUTED_VALUE"""),"UPI")</f>
        <v>UPI</v>
      </c>
      <c r="I2153" s="18" t="str">
        <f>IFERROR(__xludf.DUMMYFUNCTION("""COMPUTED_VALUE"""),"Delivered")</f>
        <v>Delivered</v>
      </c>
      <c r="J2153" s="18" t="str">
        <f>IFERROR(__xludf.DUMMYFUNCTION("""COMPUTED_VALUE"""),"Customer Service")</f>
        <v>Customer Service</v>
      </c>
      <c r="K2153" s="18" t="str">
        <f>IFERROR(__xludf.DUMMYFUNCTION("""COMPUTED_VALUE"""),"Seamless and easy")</f>
        <v>Seamless and easy</v>
      </c>
      <c r="L2153" s="18">
        <f>iferror(VLOOKUP($D2153,Details!$A$2:$C$11,2,false),vlookup($D2153,Details!$E$2:$G$11,2,false))</f>
        <v>30</v>
      </c>
      <c r="M2153" s="18" t="str">
        <f>iferror(VLOOKUP($D2153,Details!$A$2:$C$11,3,false),vlookup($D2153,Details!$E$2:$G$11,3,false))</f>
        <v>Fruits and Vegetables</v>
      </c>
      <c r="N2153" s="18">
        <f t="shared" si="1"/>
        <v>60</v>
      </c>
      <c r="O2153" s="17"/>
      <c r="P2153" s="17"/>
      <c r="Q2153" s="17"/>
      <c r="R2153" s="17"/>
      <c r="S2153" s="17"/>
      <c r="T2153" s="17"/>
      <c r="U2153" s="17"/>
      <c r="V2153" s="17"/>
      <c r="W2153" s="17"/>
      <c r="X2153" s="17"/>
      <c r="Y2153" s="17"/>
      <c r="Z2153" s="17"/>
    </row>
    <row r="2154">
      <c r="A2154" s="18" t="str">
        <f>IFERROR(__xludf.DUMMYFUNCTION("""COMPUTED_VALUE"""),"ord_82128")</f>
        <v>ord_82128</v>
      </c>
      <c r="B2154" s="18" t="str">
        <f>IFERROR(__xludf.DUMMYFUNCTION("""COMPUTED_VALUE"""),"Anaya Rao")</f>
        <v>Anaya Rao</v>
      </c>
      <c r="C2154" s="18" t="str">
        <f>IFERROR(__xludf.DUMMYFUNCTION("""COMPUTED_VALUE"""),"Colaba")</f>
        <v>Colaba</v>
      </c>
      <c r="D2154" s="18" t="str">
        <f>IFERROR(__xludf.DUMMYFUNCTION("""COMPUTED_VALUE"""),"Sweet Corn")</f>
        <v>Sweet Corn</v>
      </c>
      <c r="E2154" s="18">
        <f>IFERROR(__xludf.DUMMYFUNCTION("""COMPUTED_VALUE"""),1.0)</f>
        <v>1</v>
      </c>
      <c r="F2154" s="18" t="str">
        <f>IFERROR(__xludf.DUMMYFUNCTION("""COMPUTED_VALUE"""),"Venu R")</f>
        <v>Venu R</v>
      </c>
      <c r="G2154" s="19">
        <f>IFERROR(__xludf.DUMMYFUNCTION("""COMPUTED_VALUE"""),45268.0)</f>
        <v>45268</v>
      </c>
      <c r="H2154" s="18" t="str">
        <f>IFERROR(__xludf.DUMMYFUNCTION("""COMPUTED_VALUE"""),"UPI")</f>
        <v>UPI</v>
      </c>
      <c r="I2154" s="18" t="str">
        <f>IFERROR(__xludf.DUMMYFUNCTION("""COMPUTED_VALUE"""),"Delivered")</f>
        <v>Delivered</v>
      </c>
      <c r="J2154" s="18" t="str">
        <f>IFERROR(__xludf.DUMMYFUNCTION("""COMPUTED_VALUE"""),"Delivery Experience")</f>
        <v>Delivery Experience</v>
      </c>
      <c r="K2154" s="18" t="str">
        <f>IFERROR(__xludf.DUMMYFUNCTION("""COMPUTED_VALUE"""),"Quick and professional")</f>
        <v>Quick and professional</v>
      </c>
      <c r="L2154" s="18">
        <f>iferror(VLOOKUP($D2154,Details!$A$2:$C$11,2,false),vlookup($D2154,Details!$E$2:$G$11,2,false))</f>
        <v>60</v>
      </c>
      <c r="M2154" s="18" t="str">
        <f>iferror(VLOOKUP($D2154,Details!$A$2:$C$11,3,false),vlookup($D2154,Details!$E$2:$G$11,3,false))</f>
        <v>Fruits and Vegetables</v>
      </c>
      <c r="N2154" s="18">
        <f t="shared" si="1"/>
        <v>60</v>
      </c>
      <c r="O2154" s="17"/>
      <c r="P2154" s="17"/>
      <c r="Q2154" s="17"/>
      <c r="R2154" s="17"/>
      <c r="S2154" s="17"/>
      <c r="T2154" s="17"/>
      <c r="U2154" s="17"/>
      <c r="V2154" s="17"/>
      <c r="W2154" s="17"/>
      <c r="X2154" s="17"/>
      <c r="Y2154" s="17"/>
      <c r="Z2154" s="17"/>
    </row>
    <row r="2155">
      <c r="A2155" s="18" t="str">
        <f>IFERROR(__xludf.DUMMYFUNCTION("""COMPUTED_VALUE"""),"ord_82129")</f>
        <v>ord_82129</v>
      </c>
      <c r="B2155" s="18" t="str">
        <f>IFERROR(__xludf.DUMMYFUNCTION("""COMPUTED_VALUE"""),"Arvind Kulkarni")</f>
        <v>Arvind Kulkarni</v>
      </c>
      <c r="C2155" s="18" t="str">
        <f>IFERROR(__xludf.DUMMYFUNCTION("""COMPUTED_VALUE"""),"Juhu")</f>
        <v>Juhu</v>
      </c>
      <c r="D2155" s="18" t="str">
        <f>IFERROR(__xludf.DUMMYFUNCTION("""COMPUTED_VALUE"""),"Popcorn")</f>
        <v>Popcorn</v>
      </c>
      <c r="E2155" s="18">
        <f>IFERROR(__xludf.DUMMYFUNCTION("""COMPUTED_VALUE"""),2.0)</f>
        <v>2</v>
      </c>
      <c r="F2155" s="18" t="str">
        <f>IFERROR(__xludf.DUMMYFUNCTION("""COMPUTED_VALUE"""),"Tanvi Jain")</f>
        <v>Tanvi Jain</v>
      </c>
      <c r="G2155" s="19">
        <f>IFERROR(__xludf.DUMMYFUNCTION("""COMPUTED_VALUE"""),45000.0)</f>
        <v>45000</v>
      </c>
      <c r="H2155" s="18" t="str">
        <f>IFERROR(__xludf.DUMMYFUNCTION("""COMPUTED_VALUE"""),"UPI")</f>
        <v>UPI</v>
      </c>
      <c r="I2155" s="18" t="str">
        <f>IFERROR(__xludf.DUMMYFUNCTION("""COMPUTED_VALUE"""),"Cancelled")</f>
        <v>Cancelled</v>
      </c>
      <c r="J2155" s="18" t="str">
        <f>IFERROR(__xludf.DUMMYFUNCTION("""COMPUTED_VALUE"""),"Delayed Delivery")</f>
        <v>Delayed Delivery</v>
      </c>
      <c r="K2155" s="18" t="str">
        <f>IFERROR(__xludf.DUMMYFUNCTION("""COMPUTED_VALUE"""),"Bad Weather Conditions")</f>
        <v>Bad Weather Conditions</v>
      </c>
      <c r="L2155" s="18">
        <f>iferror(VLOOKUP($D2155,Details!$A$2:$C$11,2,false),vlookup($D2155,Details!$E$2:$G$11,2,false))</f>
        <v>150</v>
      </c>
      <c r="M2155" s="18" t="str">
        <f>iferror(VLOOKUP($D2155,Details!$A$2:$C$11,3,false),vlookup($D2155,Details!$E$2:$G$11,3,false))</f>
        <v>Snacks and Drinks</v>
      </c>
      <c r="N2155" s="18">
        <f t="shared" si="1"/>
        <v>300</v>
      </c>
      <c r="O2155" s="17"/>
      <c r="P2155" s="17"/>
      <c r="Q2155" s="17"/>
      <c r="R2155" s="17"/>
      <c r="S2155" s="17"/>
      <c r="T2155" s="17"/>
      <c r="U2155" s="17"/>
      <c r="V2155" s="17"/>
      <c r="W2155" s="17"/>
      <c r="X2155" s="17"/>
      <c r="Y2155" s="17"/>
      <c r="Z2155" s="17"/>
    </row>
    <row r="2156">
      <c r="A2156" s="18" t="str">
        <f>IFERROR(__xludf.DUMMYFUNCTION("""COMPUTED_VALUE"""),"ord_82130")</f>
        <v>ord_82130</v>
      </c>
      <c r="B2156" s="18" t="str">
        <f>IFERROR(__xludf.DUMMYFUNCTION("""COMPUTED_VALUE"""),"Aarohi Kapoor")</f>
        <v>Aarohi Kapoor</v>
      </c>
      <c r="C2156" s="18" t="str">
        <f>IFERROR(__xludf.DUMMYFUNCTION("""COMPUTED_VALUE"""),"Bandra")</f>
        <v>Bandra</v>
      </c>
      <c r="D2156" s="18" t="str">
        <f>IFERROR(__xludf.DUMMYFUNCTION("""COMPUTED_VALUE"""),"Rasmalai")</f>
        <v>Rasmalai</v>
      </c>
      <c r="E2156" s="18">
        <f>IFERROR(__xludf.DUMMYFUNCTION("""COMPUTED_VALUE"""),1.0)</f>
        <v>1</v>
      </c>
      <c r="F2156" s="18" t="str">
        <f>IFERROR(__xludf.DUMMYFUNCTION("""COMPUTED_VALUE"""),"Ramesh S")</f>
        <v>Ramesh S</v>
      </c>
      <c r="G2156" s="19">
        <f>IFERROR(__xludf.DUMMYFUNCTION("""COMPUTED_VALUE"""),45268.0)</f>
        <v>45268</v>
      </c>
      <c r="H2156" s="18" t="str">
        <f>IFERROR(__xludf.DUMMYFUNCTION("""COMPUTED_VALUE"""),"UPI")</f>
        <v>UPI</v>
      </c>
      <c r="I2156" s="18" t="str">
        <f>IFERROR(__xludf.DUMMYFUNCTION("""COMPUTED_VALUE"""),"Delivered")</f>
        <v>Delivered</v>
      </c>
      <c r="J2156" s="18" t="str">
        <f>IFERROR(__xludf.DUMMYFUNCTION("""COMPUTED_VALUE"""),"Convenience")</f>
        <v>Convenience</v>
      </c>
      <c r="K2156" s="18" t="str">
        <f>IFERROR(__xludf.DUMMYFUNCTION("""COMPUTED_VALUE"""),"Easy tracking")</f>
        <v>Easy tracking</v>
      </c>
      <c r="L2156" s="18">
        <f>iferror(VLOOKUP($D2156,Details!$A$2:$C$11,2,false),vlookup($D2156,Details!$E$2:$G$11,2,false))</f>
        <v>110</v>
      </c>
      <c r="M2156" s="18" t="str">
        <f>iferror(VLOOKUP($D2156,Details!$A$2:$C$11,3,false),vlookup($D2156,Details!$E$2:$G$11,3,false))</f>
        <v>Snacks and Drinks</v>
      </c>
      <c r="N2156" s="18">
        <f t="shared" si="1"/>
        <v>110</v>
      </c>
      <c r="O2156" s="17"/>
      <c r="P2156" s="17"/>
      <c r="Q2156" s="17"/>
      <c r="R2156" s="17"/>
      <c r="S2156" s="17"/>
      <c r="T2156" s="17"/>
      <c r="U2156" s="17"/>
      <c r="V2156" s="17"/>
      <c r="W2156" s="17"/>
      <c r="X2156" s="17"/>
      <c r="Y2156" s="17"/>
      <c r="Z2156" s="17"/>
    </row>
    <row r="2157">
      <c r="A2157" s="18" t="str">
        <f>IFERROR(__xludf.DUMMYFUNCTION("""COMPUTED_VALUE"""),"ord_82131")</f>
        <v>ord_82131</v>
      </c>
      <c r="B2157" s="18" t="str">
        <f>IFERROR(__xludf.DUMMYFUNCTION("""COMPUTED_VALUE"""),"Mohit Malhotra")</f>
        <v>Mohit Malhotra</v>
      </c>
      <c r="C2157" s="18" t="str">
        <f>IFERROR(__xludf.DUMMYFUNCTION("""COMPUTED_VALUE"""),"Lower Parel")</f>
        <v>Lower Parel</v>
      </c>
      <c r="D2157" s="18" t="str">
        <f>IFERROR(__xludf.DUMMYFUNCTION("""COMPUTED_VALUE"""),"Tomato")</f>
        <v>Tomato</v>
      </c>
      <c r="E2157" s="18">
        <f>IFERROR(__xludf.DUMMYFUNCTION("""COMPUTED_VALUE"""),2.0)</f>
        <v>2</v>
      </c>
      <c r="F2157" s="18" t="str">
        <f>IFERROR(__xludf.DUMMYFUNCTION("""COMPUTED_VALUE"""),"Vivek Kumar")</f>
        <v>Vivek Kumar</v>
      </c>
      <c r="G2157" s="19">
        <f>IFERROR(__xludf.DUMMYFUNCTION("""COMPUTED_VALUE"""),45196.0)</f>
        <v>45196</v>
      </c>
      <c r="H2157" s="18" t="str">
        <f>IFERROR(__xludf.DUMMYFUNCTION("""COMPUTED_VALUE"""),"Online Payment")</f>
        <v>Online Payment</v>
      </c>
      <c r="I2157" s="18" t="str">
        <f>IFERROR(__xludf.DUMMYFUNCTION("""COMPUTED_VALUE"""),"Delivered")</f>
        <v>Delivered</v>
      </c>
      <c r="J2157" s="18" t="str">
        <f>IFERROR(__xludf.DUMMYFUNCTION("""COMPUTED_VALUE"""),"Overall Satisfaction")</f>
        <v>Overall Satisfaction</v>
      </c>
      <c r="K2157" s="18" t="str">
        <f>IFERROR(__xludf.DUMMYFUNCTION("""COMPUTED_VALUE"""),"Great service will order again")</f>
        <v>Great service will order again</v>
      </c>
      <c r="L2157" s="18">
        <f>iferror(VLOOKUP($D2157,Details!$A$2:$C$11,2,false),vlookup($D2157,Details!$E$2:$G$11,2,false))</f>
        <v>25</v>
      </c>
      <c r="M2157" s="18" t="str">
        <f>iferror(VLOOKUP($D2157,Details!$A$2:$C$11,3,false),vlookup($D2157,Details!$E$2:$G$11,3,false))</f>
        <v>Fruits and Vegetables</v>
      </c>
      <c r="N2157" s="18">
        <f t="shared" si="1"/>
        <v>50</v>
      </c>
      <c r="O2157" s="17"/>
      <c r="P2157" s="17"/>
      <c r="Q2157" s="17"/>
      <c r="R2157" s="17"/>
      <c r="S2157" s="17"/>
      <c r="T2157" s="17"/>
      <c r="U2157" s="17"/>
      <c r="V2157" s="17"/>
      <c r="W2157" s="17"/>
      <c r="X2157" s="17"/>
      <c r="Y2157" s="17"/>
      <c r="Z2157" s="17"/>
    </row>
    <row r="2158">
      <c r="A2158" s="18" t="str">
        <f>IFERROR(__xludf.DUMMYFUNCTION("""COMPUTED_VALUE"""),"ord_82132")</f>
        <v>ord_82132</v>
      </c>
      <c r="B2158" s="18" t="str">
        <f>IFERROR(__xludf.DUMMYFUNCTION("""COMPUTED_VALUE"""),"Mohit Malhotra")</f>
        <v>Mohit Malhotra</v>
      </c>
      <c r="C2158" s="18" t="str">
        <f>IFERROR(__xludf.DUMMYFUNCTION("""COMPUTED_VALUE"""),"Lower Parel")</f>
        <v>Lower Parel</v>
      </c>
      <c r="D2158" s="18" t="str">
        <f>IFERROR(__xludf.DUMMYFUNCTION("""COMPUTED_VALUE"""),"Icecream")</f>
        <v>Icecream</v>
      </c>
      <c r="E2158" s="18">
        <f>IFERROR(__xludf.DUMMYFUNCTION("""COMPUTED_VALUE"""),5.0)</f>
        <v>5</v>
      </c>
      <c r="F2158" s="18" t="str">
        <f>IFERROR(__xludf.DUMMYFUNCTION("""COMPUTED_VALUE"""),"Ram Gopal")</f>
        <v>Ram Gopal</v>
      </c>
      <c r="G2158" s="19">
        <f>IFERROR(__xludf.DUMMYFUNCTION("""COMPUTED_VALUE"""),45281.0)</f>
        <v>45281</v>
      </c>
      <c r="H2158" s="18" t="str">
        <f>IFERROR(__xludf.DUMMYFUNCTION("""COMPUTED_VALUE"""),"UPI")</f>
        <v>UPI</v>
      </c>
      <c r="I2158" s="18" t="str">
        <f>IFERROR(__xludf.DUMMYFUNCTION("""COMPUTED_VALUE"""),"Delivered")</f>
        <v>Delivered</v>
      </c>
      <c r="J2158" s="18" t="str">
        <f>IFERROR(__xludf.DUMMYFUNCTION("""COMPUTED_VALUE"""),"On-time Delivery")</f>
        <v>On-time Delivery</v>
      </c>
      <c r="K2158" s="18" t="str">
        <f>IFERROR(__xludf.DUMMYFUNCTION("""COMPUTED_VALUE"""),"Delivered on time")</f>
        <v>Delivered on time</v>
      </c>
      <c r="L2158" s="18">
        <f>iferror(VLOOKUP($D2158,Details!$A$2:$C$11,2,false),vlookup($D2158,Details!$E$2:$G$11,2,false))</f>
        <v>90</v>
      </c>
      <c r="M2158" s="18" t="str">
        <f>iferror(VLOOKUP($D2158,Details!$A$2:$C$11,3,false),vlookup($D2158,Details!$E$2:$G$11,3,false))</f>
        <v>Snacks and Drinks</v>
      </c>
      <c r="N2158" s="18">
        <f t="shared" si="1"/>
        <v>450</v>
      </c>
      <c r="O2158" s="17"/>
      <c r="P2158" s="17"/>
      <c r="Q2158" s="17"/>
      <c r="R2158" s="17"/>
      <c r="S2158" s="17"/>
      <c r="T2158" s="17"/>
      <c r="U2158" s="17"/>
      <c r="V2158" s="17"/>
      <c r="W2158" s="17"/>
      <c r="X2158" s="17"/>
      <c r="Y2158" s="17"/>
      <c r="Z2158" s="17"/>
    </row>
    <row r="2159">
      <c r="A2159" s="18" t="str">
        <f>IFERROR(__xludf.DUMMYFUNCTION("""COMPUTED_VALUE"""),"ord_82133")</f>
        <v>ord_82133</v>
      </c>
      <c r="B2159" s="18" t="str">
        <f>IFERROR(__xludf.DUMMYFUNCTION("""COMPUTED_VALUE"""),"Parth Goel")</f>
        <v>Parth Goel</v>
      </c>
      <c r="C2159" s="18" t="str">
        <f>IFERROR(__xludf.DUMMYFUNCTION("""COMPUTED_VALUE"""),"Juhu")</f>
        <v>Juhu</v>
      </c>
      <c r="D2159" s="18" t="str">
        <f>IFERROR(__xludf.DUMMYFUNCTION("""COMPUTED_VALUE"""),"Popcorn")</f>
        <v>Popcorn</v>
      </c>
      <c r="E2159" s="18">
        <f>IFERROR(__xludf.DUMMYFUNCTION("""COMPUTED_VALUE"""),3.0)</f>
        <v>3</v>
      </c>
      <c r="F2159" s="18" t="str">
        <f>IFERROR(__xludf.DUMMYFUNCTION("""COMPUTED_VALUE"""),"Ram Gopal")</f>
        <v>Ram Gopal</v>
      </c>
      <c r="G2159" s="19">
        <f>IFERROR(__xludf.DUMMYFUNCTION("""COMPUTED_VALUE"""),45161.0)</f>
        <v>45161</v>
      </c>
      <c r="H2159" s="18" t="str">
        <f>IFERROR(__xludf.DUMMYFUNCTION("""COMPUTED_VALUE"""),"UPI")</f>
        <v>UPI</v>
      </c>
      <c r="I2159" s="18" t="str">
        <f>IFERROR(__xludf.DUMMYFUNCTION("""COMPUTED_VALUE"""),"Delivered")</f>
        <v>Delivered</v>
      </c>
      <c r="J2159" s="18" t="str">
        <f>IFERROR(__xludf.DUMMYFUNCTION("""COMPUTED_VALUE"""),"Quality of Items")</f>
        <v>Quality of Items</v>
      </c>
      <c r="K2159" s="18" t="str">
        <f>IFERROR(__xludf.DUMMYFUNCTION("""COMPUTED_VALUE"""),"Perfect condition")</f>
        <v>Perfect condition</v>
      </c>
      <c r="L2159" s="18">
        <f>iferror(VLOOKUP($D2159,Details!$A$2:$C$11,2,false),vlookup($D2159,Details!$E$2:$G$11,2,false))</f>
        <v>150</v>
      </c>
      <c r="M2159" s="18" t="str">
        <f>iferror(VLOOKUP($D2159,Details!$A$2:$C$11,3,false),vlookup($D2159,Details!$E$2:$G$11,3,false))</f>
        <v>Snacks and Drinks</v>
      </c>
      <c r="N2159" s="18">
        <f t="shared" si="1"/>
        <v>450</v>
      </c>
      <c r="O2159" s="17"/>
      <c r="P2159" s="17"/>
      <c r="Q2159" s="17"/>
      <c r="R2159" s="17"/>
      <c r="S2159" s="17"/>
      <c r="T2159" s="17"/>
      <c r="U2159" s="17"/>
      <c r="V2159" s="17"/>
      <c r="W2159" s="17"/>
      <c r="X2159" s="17"/>
      <c r="Y2159" s="17"/>
      <c r="Z2159" s="17"/>
    </row>
    <row r="2160">
      <c r="A2160" s="18" t="str">
        <f>IFERROR(__xludf.DUMMYFUNCTION("""COMPUTED_VALUE"""),"ord_82134")</f>
        <v>ord_82134</v>
      </c>
      <c r="B2160" s="18" t="str">
        <f>IFERROR(__xludf.DUMMYFUNCTION("""COMPUTED_VALUE"""),"Siya Reddy")</f>
        <v>Siya Reddy</v>
      </c>
      <c r="C2160" s="18" t="str">
        <f>IFERROR(__xludf.DUMMYFUNCTION("""COMPUTED_VALUE"""),"Juhu")</f>
        <v>Juhu</v>
      </c>
      <c r="D2160" s="18" t="str">
        <f>IFERROR(__xludf.DUMMYFUNCTION("""COMPUTED_VALUE"""),"Papaya")</f>
        <v>Papaya</v>
      </c>
      <c r="E2160" s="18">
        <f>IFERROR(__xludf.DUMMYFUNCTION("""COMPUTED_VALUE"""),1.0)</f>
        <v>1</v>
      </c>
      <c r="F2160" s="18" t="str">
        <f>IFERROR(__xludf.DUMMYFUNCTION("""COMPUTED_VALUE"""),"Ramesh S")</f>
        <v>Ramesh S</v>
      </c>
      <c r="G2160" s="19">
        <f>IFERROR(__xludf.DUMMYFUNCTION("""COMPUTED_VALUE"""),45258.0)</f>
        <v>45258</v>
      </c>
      <c r="H2160" s="18" t="str">
        <f>IFERROR(__xludf.DUMMYFUNCTION("""COMPUTED_VALUE"""),"Credit Card")</f>
        <v>Credit Card</v>
      </c>
      <c r="I2160" s="18" t="str">
        <f>IFERROR(__xludf.DUMMYFUNCTION("""COMPUTED_VALUE"""),"Delivered")</f>
        <v>Delivered</v>
      </c>
      <c r="J2160" s="18" t="str">
        <f>IFERROR(__xludf.DUMMYFUNCTION("""COMPUTED_VALUE"""),"On-time Delivery")</f>
        <v>On-time Delivery</v>
      </c>
      <c r="K2160" s="18" t="str">
        <f>IFERROR(__xludf.DUMMYFUNCTION("""COMPUTED_VALUE"""),"Delivered on time")</f>
        <v>Delivered on time</v>
      </c>
      <c r="L2160" s="18">
        <f>iferror(VLOOKUP($D2160,Details!$A$2:$C$11,2,false),vlookup($D2160,Details!$E$2:$G$11,2,false))</f>
        <v>75</v>
      </c>
      <c r="M2160" s="18" t="str">
        <f>iferror(VLOOKUP($D2160,Details!$A$2:$C$11,3,false),vlookup($D2160,Details!$E$2:$G$11,3,false))</f>
        <v>Fruits and Vegetables</v>
      </c>
      <c r="N2160" s="18">
        <f t="shared" si="1"/>
        <v>75</v>
      </c>
      <c r="O2160" s="17"/>
      <c r="P2160" s="17"/>
      <c r="Q2160" s="17"/>
      <c r="R2160" s="17"/>
      <c r="S2160" s="17"/>
      <c r="T2160" s="17"/>
      <c r="U2160" s="17"/>
      <c r="V2160" s="17"/>
      <c r="W2160" s="17"/>
      <c r="X2160" s="17"/>
      <c r="Y2160" s="17"/>
      <c r="Z2160" s="17"/>
    </row>
    <row r="2161">
      <c r="A2161" s="18" t="str">
        <f>IFERROR(__xludf.DUMMYFUNCTION("""COMPUTED_VALUE"""),"ord_82135")</f>
        <v>ord_82135</v>
      </c>
      <c r="B2161" s="18" t="str">
        <f>IFERROR(__xludf.DUMMYFUNCTION("""COMPUTED_VALUE"""),"Diya Arora")</f>
        <v>Diya Arora</v>
      </c>
      <c r="C2161" s="18" t="str">
        <f>IFERROR(__xludf.DUMMYFUNCTION("""COMPUTED_VALUE"""),"Lower Parel")</f>
        <v>Lower Parel</v>
      </c>
      <c r="D2161" s="18" t="str">
        <f>IFERROR(__xludf.DUMMYFUNCTION("""COMPUTED_VALUE"""),"Chilli Cheese Toast")</f>
        <v>Chilli Cheese Toast</v>
      </c>
      <c r="E2161" s="18">
        <f>IFERROR(__xludf.DUMMYFUNCTION("""COMPUTED_VALUE"""),4.0)</f>
        <v>4</v>
      </c>
      <c r="F2161" s="18" t="str">
        <f>IFERROR(__xludf.DUMMYFUNCTION("""COMPUTED_VALUE"""),"Ramesh S")</f>
        <v>Ramesh S</v>
      </c>
      <c r="G2161" s="19">
        <f>IFERROR(__xludf.DUMMYFUNCTION("""COMPUTED_VALUE"""),45038.0)</f>
        <v>45038</v>
      </c>
      <c r="H2161" s="18" t="str">
        <f>IFERROR(__xludf.DUMMYFUNCTION("""COMPUTED_VALUE"""),"Credit Card")</f>
        <v>Credit Card</v>
      </c>
      <c r="I2161" s="18" t="str">
        <f>IFERROR(__xludf.DUMMYFUNCTION("""COMPUTED_VALUE"""),"Delivered")</f>
        <v>Delivered</v>
      </c>
      <c r="J2161" s="18" t="str">
        <f>IFERROR(__xludf.DUMMYFUNCTION("""COMPUTED_VALUE"""),"Quality of Items")</f>
        <v>Quality of Items</v>
      </c>
      <c r="K2161" s="18" t="str">
        <f>IFERROR(__xludf.DUMMYFUNCTION("""COMPUTED_VALUE"""),"Perfect condition")</f>
        <v>Perfect condition</v>
      </c>
      <c r="L2161" s="18">
        <f>iferror(VLOOKUP($D2161,Details!$A$2:$C$11,2,false),vlookup($D2161,Details!$E$2:$G$11,2,false))</f>
        <v>80</v>
      </c>
      <c r="M2161" s="18" t="str">
        <f>iferror(VLOOKUP($D2161,Details!$A$2:$C$11,3,false),vlookup($D2161,Details!$E$2:$G$11,3,false))</f>
        <v>Snacks and Drinks</v>
      </c>
      <c r="N2161" s="18">
        <f t="shared" si="1"/>
        <v>320</v>
      </c>
      <c r="O2161" s="17"/>
      <c r="P2161" s="17"/>
      <c r="Q2161" s="17"/>
      <c r="R2161" s="17"/>
      <c r="S2161" s="17"/>
      <c r="T2161" s="17"/>
      <c r="U2161" s="17"/>
      <c r="V2161" s="17"/>
      <c r="W2161" s="17"/>
      <c r="X2161" s="17"/>
      <c r="Y2161" s="17"/>
      <c r="Z2161" s="17"/>
    </row>
    <row r="2162">
      <c r="A2162" s="18" t="str">
        <f>IFERROR(__xludf.DUMMYFUNCTION("""COMPUTED_VALUE"""),"ord_82136")</f>
        <v>ord_82136</v>
      </c>
      <c r="B2162" s="18" t="str">
        <f>IFERROR(__xludf.DUMMYFUNCTION("""COMPUTED_VALUE"""),"Aditi Iyer")</f>
        <v>Aditi Iyer</v>
      </c>
      <c r="C2162" s="18" t="str">
        <f>IFERROR(__xludf.DUMMYFUNCTION("""COMPUTED_VALUE"""),"Dadar")</f>
        <v>Dadar</v>
      </c>
      <c r="D2162" s="18" t="str">
        <f>IFERROR(__xludf.DUMMYFUNCTION("""COMPUTED_VALUE"""),"Onion")</f>
        <v>Onion</v>
      </c>
      <c r="E2162" s="18">
        <f>IFERROR(__xludf.DUMMYFUNCTION("""COMPUTED_VALUE"""),1.0)</f>
        <v>1</v>
      </c>
      <c r="F2162" s="18" t="str">
        <f>IFERROR(__xludf.DUMMYFUNCTION("""COMPUTED_VALUE"""),"Ram Gopal")</f>
        <v>Ram Gopal</v>
      </c>
      <c r="G2162" s="19">
        <f>IFERROR(__xludf.DUMMYFUNCTION("""COMPUTED_VALUE"""),45206.0)</f>
        <v>45206</v>
      </c>
      <c r="H2162" s="18" t="str">
        <f>IFERROR(__xludf.DUMMYFUNCTION("""COMPUTED_VALUE"""),"UPI")</f>
        <v>UPI</v>
      </c>
      <c r="I2162" s="18" t="str">
        <f>IFERROR(__xludf.DUMMYFUNCTION("""COMPUTED_VALUE"""),"Delivered")</f>
        <v>Delivered</v>
      </c>
      <c r="J2162" s="18" t="str">
        <f>IFERROR(__xludf.DUMMYFUNCTION("""COMPUTED_VALUE"""),"Packaging")</f>
        <v>Packaging</v>
      </c>
      <c r="K2162" s="18" t="str">
        <f>IFERROR(__xludf.DUMMYFUNCTION("""COMPUTED_VALUE"""),"Secure and intact")</f>
        <v>Secure and intact</v>
      </c>
      <c r="L2162" s="18">
        <f>iferror(VLOOKUP($D2162,Details!$A$2:$C$11,2,false),vlookup($D2162,Details!$E$2:$G$11,2,false))</f>
        <v>84</v>
      </c>
      <c r="M2162" s="18" t="str">
        <f>iferror(VLOOKUP($D2162,Details!$A$2:$C$11,3,false),vlookup($D2162,Details!$E$2:$G$11,3,false))</f>
        <v>Fruits and Vegetables</v>
      </c>
      <c r="N2162" s="18">
        <f t="shared" si="1"/>
        <v>84</v>
      </c>
      <c r="O2162" s="17"/>
      <c r="P2162" s="17"/>
      <c r="Q2162" s="17"/>
      <c r="R2162" s="17"/>
      <c r="S2162" s="17"/>
      <c r="T2162" s="17"/>
      <c r="U2162" s="17"/>
      <c r="V2162" s="17"/>
      <c r="W2162" s="17"/>
      <c r="X2162" s="17"/>
      <c r="Y2162" s="17"/>
      <c r="Z2162" s="17"/>
    </row>
    <row r="2163">
      <c r="A2163" s="18" t="str">
        <f>IFERROR(__xludf.DUMMYFUNCTION("""COMPUTED_VALUE"""),"ord_82137")</f>
        <v>ord_82137</v>
      </c>
      <c r="B2163" s="18" t="str">
        <f>IFERROR(__xludf.DUMMYFUNCTION("""COMPUTED_VALUE"""),"Diya Arora")</f>
        <v>Diya Arora</v>
      </c>
      <c r="C2163" s="18" t="str">
        <f>IFERROR(__xludf.DUMMYFUNCTION("""COMPUTED_VALUE"""),"Lower Parel")</f>
        <v>Lower Parel</v>
      </c>
      <c r="D2163" s="18" t="str">
        <f>IFERROR(__xludf.DUMMYFUNCTION("""COMPUTED_VALUE"""),"Apple")</f>
        <v>Apple</v>
      </c>
      <c r="E2163" s="18">
        <f>IFERROR(__xludf.DUMMYFUNCTION("""COMPUTED_VALUE"""),2.0)</f>
        <v>2</v>
      </c>
      <c r="F2163" s="18" t="str">
        <f>IFERROR(__xludf.DUMMYFUNCTION("""COMPUTED_VALUE"""),"Manju Ajay")</f>
        <v>Manju Ajay</v>
      </c>
      <c r="G2163" s="19">
        <f>IFERROR(__xludf.DUMMYFUNCTION("""COMPUTED_VALUE"""),44970.0)</f>
        <v>44970</v>
      </c>
      <c r="H2163" s="18" t="str">
        <f>IFERROR(__xludf.DUMMYFUNCTION("""COMPUTED_VALUE"""),"UPI")</f>
        <v>UPI</v>
      </c>
      <c r="I2163" s="18" t="str">
        <f>IFERROR(__xludf.DUMMYFUNCTION("""COMPUTED_VALUE"""),"Delivered")</f>
        <v>Delivered</v>
      </c>
      <c r="J2163" s="18" t="str">
        <f>IFERROR(__xludf.DUMMYFUNCTION("""COMPUTED_VALUE"""),"Satisfied with the Delivery")</f>
        <v>Satisfied with the Delivery</v>
      </c>
      <c r="K2163" s="18" t="str">
        <f>IFERROR(__xludf.DUMMYFUNCTION("""COMPUTED_VALUE"""),"Timely and quality")</f>
        <v>Timely and quality</v>
      </c>
      <c r="L2163" s="18">
        <f>iferror(VLOOKUP($D2163,Details!$A$2:$C$11,2,false),vlookup($D2163,Details!$E$2:$G$11,2,false))</f>
        <v>230</v>
      </c>
      <c r="M2163" s="18" t="str">
        <f>iferror(VLOOKUP($D2163,Details!$A$2:$C$11,3,false),vlookup($D2163,Details!$E$2:$G$11,3,false))</f>
        <v>Fruits and Vegetables</v>
      </c>
      <c r="N2163" s="18">
        <f t="shared" si="1"/>
        <v>460</v>
      </c>
      <c r="O2163" s="17"/>
      <c r="P2163" s="17"/>
      <c r="Q2163" s="17"/>
      <c r="R2163" s="17"/>
      <c r="S2163" s="17"/>
      <c r="T2163" s="17"/>
      <c r="U2163" s="17"/>
      <c r="V2163" s="17"/>
      <c r="W2163" s="17"/>
      <c r="X2163" s="17"/>
      <c r="Y2163" s="17"/>
      <c r="Z2163" s="17"/>
    </row>
    <row r="2164">
      <c r="A2164" s="18" t="str">
        <f>IFERROR(__xludf.DUMMYFUNCTION("""COMPUTED_VALUE"""),"ord_82138")</f>
        <v>ord_82138</v>
      </c>
      <c r="B2164" s="18" t="str">
        <f>IFERROR(__xludf.DUMMYFUNCTION("""COMPUTED_VALUE"""),"Mehul Thakkar")</f>
        <v>Mehul Thakkar</v>
      </c>
      <c r="C2164" s="18" t="str">
        <f>IFERROR(__xludf.DUMMYFUNCTION("""COMPUTED_VALUE"""),"Dadar")</f>
        <v>Dadar</v>
      </c>
      <c r="D2164" s="18" t="str">
        <f>IFERROR(__xludf.DUMMYFUNCTION("""COMPUTED_VALUE"""),"Sweet Corn")</f>
        <v>Sweet Corn</v>
      </c>
      <c r="E2164" s="18">
        <f>IFERROR(__xludf.DUMMYFUNCTION("""COMPUTED_VALUE"""),2.0)</f>
        <v>2</v>
      </c>
      <c r="F2164" s="18" t="str">
        <f>IFERROR(__xludf.DUMMYFUNCTION("""COMPUTED_VALUE"""),"Ram Gopal")</f>
        <v>Ram Gopal</v>
      </c>
      <c r="G2164" s="19">
        <f>IFERROR(__xludf.DUMMYFUNCTION("""COMPUTED_VALUE"""),45019.0)</f>
        <v>45019</v>
      </c>
      <c r="H2164" s="18" t="str">
        <f>IFERROR(__xludf.DUMMYFUNCTION("""COMPUTED_VALUE"""),"Credit Card")</f>
        <v>Credit Card</v>
      </c>
      <c r="I2164" s="18" t="str">
        <f>IFERROR(__xludf.DUMMYFUNCTION("""COMPUTED_VALUE"""),"Delivered")</f>
        <v>Delivered</v>
      </c>
      <c r="J2164" s="18" t="str">
        <f>IFERROR(__xludf.DUMMYFUNCTION("""COMPUTED_VALUE"""),"Customer Service")</f>
        <v>Customer Service</v>
      </c>
      <c r="K2164" s="18" t="str">
        <f>IFERROR(__xludf.DUMMYFUNCTION("""COMPUTED_VALUE"""),"Seamless and easy")</f>
        <v>Seamless and easy</v>
      </c>
      <c r="L2164" s="18">
        <f>iferror(VLOOKUP($D2164,Details!$A$2:$C$11,2,false),vlookup($D2164,Details!$E$2:$G$11,2,false))</f>
        <v>60</v>
      </c>
      <c r="M2164" s="18" t="str">
        <f>iferror(VLOOKUP($D2164,Details!$A$2:$C$11,3,false),vlookup($D2164,Details!$E$2:$G$11,3,false))</f>
        <v>Fruits and Vegetables</v>
      </c>
      <c r="N2164" s="18">
        <f t="shared" si="1"/>
        <v>120</v>
      </c>
      <c r="O2164" s="17"/>
      <c r="P2164" s="17"/>
      <c r="Q2164" s="17"/>
      <c r="R2164" s="17"/>
      <c r="S2164" s="17"/>
      <c r="T2164" s="17"/>
      <c r="U2164" s="17"/>
      <c r="V2164" s="17"/>
      <c r="W2164" s="17"/>
      <c r="X2164" s="17"/>
      <c r="Y2164" s="17"/>
      <c r="Z2164" s="17"/>
    </row>
    <row r="2165">
      <c r="A2165" s="18" t="str">
        <f>IFERROR(__xludf.DUMMYFUNCTION("""COMPUTED_VALUE"""),"ord_82139")</f>
        <v>ord_82139</v>
      </c>
      <c r="B2165" s="18" t="str">
        <f>IFERROR(__xludf.DUMMYFUNCTION("""COMPUTED_VALUE"""),"Aditi Iyer")</f>
        <v>Aditi Iyer</v>
      </c>
      <c r="C2165" s="18" t="str">
        <f>IFERROR(__xludf.DUMMYFUNCTION("""COMPUTED_VALUE"""),"Bandra")</f>
        <v>Bandra</v>
      </c>
      <c r="D2165" s="18" t="str">
        <f>IFERROR(__xludf.DUMMYFUNCTION("""COMPUTED_VALUE"""),"Sweet Corn")</f>
        <v>Sweet Corn</v>
      </c>
      <c r="E2165" s="18">
        <f>IFERROR(__xludf.DUMMYFUNCTION("""COMPUTED_VALUE"""),2.0)</f>
        <v>2</v>
      </c>
      <c r="F2165" s="18" t="str">
        <f>IFERROR(__xludf.DUMMYFUNCTION("""COMPUTED_VALUE"""),"Manju Ajay")</f>
        <v>Manju Ajay</v>
      </c>
      <c r="G2165" s="19">
        <f>IFERROR(__xludf.DUMMYFUNCTION("""COMPUTED_VALUE"""),45240.0)</f>
        <v>45240</v>
      </c>
      <c r="H2165" s="18" t="str">
        <f>IFERROR(__xludf.DUMMYFUNCTION("""COMPUTED_VALUE"""),"Online Payment")</f>
        <v>Online Payment</v>
      </c>
      <c r="I2165" s="18" t="str">
        <f>IFERROR(__xludf.DUMMYFUNCTION("""COMPUTED_VALUE"""),"Delivered")</f>
        <v>Delivered</v>
      </c>
      <c r="J2165" s="18" t="str">
        <f>IFERROR(__xludf.DUMMYFUNCTION("""COMPUTED_VALUE"""),"Delivery Experience")</f>
        <v>Delivery Experience</v>
      </c>
      <c r="K2165" s="18" t="str">
        <f>IFERROR(__xludf.DUMMYFUNCTION("""COMPUTED_VALUE"""),"Quick and professional")</f>
        <v>Quick and professional</v>
      </c>
      <c r="L2165" s="18">
        <f>iferror(VLOOKUP($D2165,Details!$A$2:$C$11,2,false),vlookup($D2165,Details!$E$2:$G$11,2,false))</f>
        <v>60</v>
      </c>
      <c r="M2165" s="18" t="str">
        <f>iferror(VLOOKUP($D2165,Details!$A$2:$C$11,3,false),vlookup($D2165,Details!$E$2:$G$11,3,false))</f>
        <v>Fruits and Vegetables</v>
      </c>
      <c r="N2165" s="18">
        <f t="shared" si="1"/>
        <v>120</v>
      </c>
      <c r="O2165" s="17"/>
      <c r="P2165" s="17"/>
      <c r="Q2165" s="17"/>
      <c r="R2165" s="17"/>
      <c r="S2165" s="17"/>
      <c r="T2165" s="17"/>
      <c r="U2165" s="17"/>
      <c r="V2165" s="17"/>
      <c r="W2165" s="17"/>
      <c r="X2165" s="17"/>
      <c r="Y2165" s="17"/>
      <c r="Z2165" s="17"/>
    </row>
    <row r="2166">
      <c r="A2166" s="18" t="str">
        <f>IFERROR(__xludf.DUMMYFUNCTION("""COMPUTED_VALUE"""),"ord_82140")</f>
        <v>ord_82140</v>
      </c>
      <c r="B2166" s="18" t="str">
        <f>IFERROR(__xludf.DUMMYFUNCTION("""COMPUTED_VALUE"""),"Mehul Thakkar")</f>
        <v>Mehul Thakkar</v>
      </c>
      <c r="C2166" s="18" t="str">
        <f>IFERROR(__xludf.DUMMYFUNCTION("""COMPUTED_VALUE"""),"Malad")</f>
        <v>Malad</v>
      </c>
      <c r="D2166" s="18" t="str">
        <f>IFERROR(__xludf.DUMMYFUNCTION("""COMPUTED_VALUE"""),"Chilli Cheese Toast")</f>
        <v>Chilli Cheese Toast</v>
      </c>
      <c r="E2166" s="18">
        <f>IFERROR(__xludf.DUMMYFUNCTION("""COMPUTED_VALUE"""),1.0)</f>
        <v>1</v>
      </c>
      <c r="F2166" s="18" t="str">
        <f>IFERROR(__xludf.DUMMYFUNCTION("""COMPUTED_VALUE"""),"Not Assigned")</f>
        <v>Not Assigned</v>
      </c>
      <c r="G2166" s="19">
        <f>IFERROR(__xludf.DUMMYFUNCTION("""COMPUTED_VALUE"""),44983.0)</f>
        <v>44983</v>
      </c>
      <c r="H2166" s="18" t="str">
        <f>IFERROR(__xludf.DUMMYFUNCTION("""COMPUTED_VALUE"""),"Credit Card")</f>
        <v>Credit Card</v>
      </c>
      <c r="I2166" s="18" t="str">
        <f>IFERROR(__xludf.DUMMYFUNCTION("""COMPUTED_VALUE"""),"Cancelled")</f>
        <v>Cancelled</v>
      </c>
      <c r="J2166" s="18" t="str">
        <f>IFERROR(__xludf.DUMMYFUNCTION("""COMPUTED_VALUE"""),"App Glitches")</f>
        <v>App Glitches</v>
      </c>
      <c r="K2166" s="18" t="str">
        <f>IFERROR(__xludf.DUMMYFUNCTION("""COMPUTED_VALUE"""),"Slow Loading Time")</f>
        <v>Slow Loading Time</v>
      </c>
      <c r="L2166" s="18">
        <f>iferror(VLOOKUP($D2166,Details!$A$2:$C$11,2,false),vlookup($D2166,Details!$E$2:$G$11,2,false))</f>
        <v>80</v>
      </c>
      <c r="M2166" s="18" t="str">
        <f>iferror(VLOOKUP($D2166,Details!$A$2:$C$11,3,false),vlookup($D2166,Details!$E$2:$G$11,3,false))</f>
        <v>Snacks and Drinks</v>
      </c>
      <c r="N2166" s="18">
        <f t="shared" si="1"/>
        <v>80</v>
      </c>
      <c r="O2166" s="17"/>
      <c r="P2166" s="17"/>
      <c r="Q2166" s="17"/>
      <c r="R2166" s="17"/>
      <c r="S2166" s="17"/>
      <c r="T2166" s="17"/>
      <c r="U2166" s="17"/>
      <c r="V2166" s="17"/>
      <c r="W2166" s="17"/>
      <c r="X2166" s="17"/>
      <c r="Y2166" s="17"/>
      <c r="Z2166" s="17"/>
    </row>
    <row r="2167">
      <c r="A2167" s="18" t="str">
        <f>IFERROR(__xludf.DUMMYFUNCTION("""COMPUTED_VALUE"""),"ord_82141")</f>
        <v>ord_82141</v>
      </c>
      <c r="B2167" s="18" t="str">
        <f>IFERROR(__xludf.DUMMYFUNCTION("""COMPUTED_VALUE"""),"Diya Arora")</f>
        <v>Diya Arora</v>
      </c>
      <c r="C2167" s="18" t="str">
        <f>IFERROR(__xludf.DUMMYFUNCTION("""COMPUTED_VALUE"""),"Lower Parel")</f>
        <v>Lower Parel</v>
      </c>
      <c r="D2167" s="18" t="str">
        <f>IFERROR(__xludf.DUMMYFUNCTION("""COMPUTED_VALUE"""),"Cold Coffee")</f>
        <v>Cold Coffee</v>
      </c>
      <c r="E2167" s="18">
        <f>IFERROR(__xludf.DUMMYFUNCTION("""COMPUTED_VALUE"""),5.0)</f>
        <v>5</v>
      </c>
      <c r="F2167" s="18" t="str">
        <f>IFERROR(__xludf.DUMMYFUNCTION("""COMPUTED_VALUE"""),"Shine Thomas")</f>
        <v>Shine Thomas</v>
      </c>
      <c r="G2167" s="19">
        <f>IFERROR(__xludf.DUMMYFUNCTION("""COMPUTED_VALUE"""),45274.0)</f>
        <v>45274</v>
      </c>
      <c r="H2167" s="18" t="str">
        <f>IFERROR(__xludf.DUMMYFUNCTION("""COMPUTED_VALUE"""),"Credit Card")</f>
        <v>Credit Card</v>
      </c>
      <c r="I2167" s="18" t="str">
        <f>IFERROR(__xludf.DUMMYFUNCTION("""COMPUTED_VALUE"""),"Delivered")</f>
        <v>Delivered</v>
      </c>
      <c r="J2167" s="18" t="str">
        <f>IFERROR(__xludf.DUMMYFUNCTION("""COMPUTED_VALUE"""),"Convenience")</f>
        <v>Convenience</v>
      </c>
      <c r="K2167" s="18" t="str">
        <f>IFERROR(__xludf.DUMMYFUNCTION("""COMPUTED_VALUE"""),"Easy tracking")</f>
        <v>Easy tracking</v>
      </c>
      <c r="L2167" s="18">
        <f>iferror(VLOOKUP($D2167,Details!$A$2:$C$11,2,false),vlookup($D2167,Details!$E$2:$G$11,2,false))</f>
        <v>270</v>
      </c>
      <c r="M2167" s="18" t="str">
        <f>iferror(VLOOKUP($D2167,Details!$A$2:$C$11,3,false),vlookup($D2167,Details!$E$2:$G$11,3,false))</f>
        <v>Snacks and Drinks</v>
      </c>
      <c r="N2167" s="18">
        <f t="shared" si="1"/>
        <v>1350</v>
      </c>
      <c r="O2167" s="17"/>
      <c r="P2167" s="17"/>
      <c r="Q2167" s="17"/>
      <c r="R2167" s="17"/>
      <c r="S2167" s="17"/>
      <c r="T2167" s="17"/>
      <c r="U2167" s="17"/>
      <c r="V2167" s="17"/>
      <c r="W2167" s="17"/>
      <c r="X2167" s="17"/>
      <c r="Y2167" s="17"/>
      <c r="Z2167" s="17"/>
    </row>
    <row r="2168">
      <c r="A2168" s="18" t="str">
        <f>IFERROR(__xludf.DUMMYFUNCTION("""COMPUTED_VALUE"""),"ord_82142")</f>
        <v>ord_82142</v>
      </c>
      <c r="B2168" s="18" t="str">
        <f>IFERROR(__xludf.DUMMYFUNCTION("""COMPUTED_VALUE"""),"Mehul Thakkar")</f>
        <v>Mehul Thakkar</v>
      </c>
      <c r="C2168" s="18" t="str">
        <f>IFERROR(__xludf.DUMMYFUNCTION("""COMPUTED_VALUE"""),"Malad")</f>
        <v>Malad</v>
      </c>
      <c r="D2168" s="18" t="str">
        <f>IFERROR(__xludf.DUMMYFUNCTION("""COMPUTED_VALUE"""),"Onion")</f>
        <v>Onion</v>
      </c>
      <c r="E2168" s="18">
        <f>IFERROR(__xludf.DUMMYFUNCTION("""COMPUTED_VALUE"""),1.0)</f>
        <v>1</v>
      </c>
      <c r="F2168" s="18" t="str">
        <f>IFERROR(__xludf.DUMMYFUNCTION("""COMPUTED_VALUE"""),"Ram Gopal")</f>
        <v>Ram Gopal</v>
      </c>
      <c r="G2168" s="19">
        <f>IFERROR(__xludf.DUMMYFUNCTION("""COMPUTED_VALUE"""),44985.0)</f>
        <v>44985</v>
      </c>
      <c r="H2168" s="18" t="str">
        <f>IFERROR(__xludf.DUMMYFUNCTION("""COMPUTED_VALUE"""),"UPI")</f>
        <v>UPI</v>
      </c>
      <c r="I2168" s="18" t="str">
        <f>IFERROR(__xludf.DUMMYFUNCTION("""COMPUTED_VALUE"""),"Cancelled")</f>
        <v>Cancelled</v>
      </c>
      <c r="J2168" s="18" t="str">
        <f>IFERROR(__xludf.DUMMYFUNCTION("""COMPUTED_VALUE"""),"Delayed Delivery")</f>
        <v>Delayed Delivery</v>
      </c>
      <c r="K2168" s="18" t="str">
        <f>IFERROR(__xludf.DUMMYFUNCTION("""COMPUTED_VALUE"""),"Heavy Traffic")</f>
        <v>Heavy Traffic</v>
      </c>
      <c r="L2168" s="18">
        <f>iferror(VLOOKUP($D2168,Details!$A$2:$C$11,2,false),vlookup($D2168,Details!$E$2:$G$11,2,false))</f>
        <v>84</v>
      </c>
      <c r="M2168" s="18" t="str">
        <f>iferror(VLOOKUP($D2168,Details!$A$2:$C$11,3,false),vlookup($D2168,Details!$E$2:$G$11,3,false))</f>
        <v>Fruits and Vegetables</v>
      </c>
      <c r="N2168" s="18">
        <f t="shared" si="1"/>
        <v>84</v>
      </c>
      <c r="O2168" s="17"/>
      <c r="P2168" s="17"/>
      <c r="Q2168" s="17"/>
      <c r="R2168" s="17"/>
      <c r="S2168" s="17"/>
      <c r="T2168" s="17"/>
      <c r="U2168" s="17"/>
      <c r="V2168" s="17"/>
      <c r="W2168" s="17"/>
      <c r="X2168" s="17"/>
      <c r="Y2168" s="17"/>
      <c r="Z2168" s="17"/>
    </row>
    <row r="2169">
      <c r="A2169" s="18" t="str">
        <f>IFERROR(__xludf.DUMMYFUNCTION("""COMPUTED_VALUE"""),"ord_82143")</f>
        <v>ord_82143</v>
      </c>
      <c r="B2169" s="18" t="str">
        <f>IFERROR(__xludf.DUMMYFUNCTION("""COMPUTED_VALUE"""),"Tanishq Bansal")</f>
        <v>Tanishq Bansal</v>
      </c>
      <c r="C2169" s="18" t="str">
        <f>IFERROR(__xludf.DUMMYFUNCTION("""COMPUTED_VALUE"""),"Bandra")</f>
        <v>Bandra</v>
      </c>
      <c r="D2169" s="18" t="str">
        <f>IFERROR(__xludf.DUMMYFUNCTION("""COMPUTED_VALUE"""),"Icecream")</f>
        <v>Icecream</v>
      </c>
      <c r="E2169" s="18">
        <f>IFERROR(__xludf.DUMMYFUNCTION("""COMPUTED_VALUE"""),4.0)</f>
        <v>4</v>
      </c>
      <c r="F2169" s="18" t="str">
        <f>IFERROR(__xludf.DUMMYFUNCTION("""COMPUTED_VALUE"""),"Shine Thomas")</f>
        <v>Shine Thomas</v>
      </c>
      <c r="G2169" s="19">
        <f>IFERROR(__xludf.DUMMYFUNCTION("""COMPUTED_VALUE"""),45289.0)</f>
        <v>45289</v>
      </c>
      <c r="H2169" s="18" t="str">
        <f>IFERROR(__xludf.DUMMYFUNCTION("""COMPUTED_VALUE"""),"Credit Card")</f>
        <v>Credit Card</v>
      </c>
      <c r="I2169" s="18" t="str">
        <f>IFERROR(__xludf.DUMMYFUNCTION("""COMPUTED_VALUE"""),"Delivered")</f>
        <v>Delivered</v>
      </c>
      <c r="J2169" s="18" t="str">
        <f>IFERROR(__xludf.DUMMYFUNCTION("""COMPUTED_VALUE"""),"Overall Satisfaction")</f>
        <v>Overall Satisfaction</v>
      </c>
      <c r="K2169" s="18" t="str">
        <f>IFERROR(__xludf.DUMMYFUNCTION("""COMPUTED_VALUE"""),"Great service will order again")</f>
        <v>Great service will order again</v>
      </c>
      <c r="L2169" s="18">
        <f>iferror(VLOOKUP($D2169,Details!$A$2:$C$11,2,false),vlookup($D2169,Details!$E$2:$G$11,2,false))</f>
        <v>90</v>
      </c>
      <c r="M2169" s="18" t="str">
        <f>iferror(VLOOKUP($D2169,Details!$A$2:$C$11,3,false),vlookup($D2169,Details!$E$2:$G$11,3,false))</f>
        <v>Snacks and Drinks</v>
      </c>
      <c r="N2169" s="18">
        <f t="shared" si="1"/>
        <v>360</v>
      </c>
      <c r="O2169" s="17"/>
      <c r="P2169" s="17"/>
      <c r="Q2169" s="17"/>
      <c r="R2169" s="17"/>
      <c r="S2169" s="17"/>
      <c r="T2169" s="17"/>
      <c r="U2169" s="17"/>
      <c r="V2169" s="17"/>
      <c r="W2169" s="17"/>
      <c r="X2169" s="17"/>
      <c r="Y2169" s="17"/>
      <c r="Z2169" s="17"/>
    </row>
    <row r="2170">
      <c r="A2170" s="18" t="str">
        <f>IFERROR(__xludf.DUMMYFUNCTION("""COMPUTED_VALUE"""),"ord_82144")</f>
        <v>ord_82144</v>
      </c>
      <c r="B2170" s="18" t="str">
        <f>IFERROR(__xludf.DUMMYFUNCTION("""COMPUTED_VALUE"""),"Tanishq Bansal")</f>
        <v>Tanishq Bansal</v>
      </c>
      <c r="C2170" s="18" t="str">
        <f>IFERROR(__xludf.DUMMYFUNCTION("""COMPUTED_VALUE"""),"Bandra")</f>
        <v>Bandra</v>
      </c>
      <c r="D2170" s="18" t="str">
        <f>IFERROR(__xludf.DUMMYFUNCTION("""COMPUTED_VALUE"""),"Chocolate Mousse")</f>
        <v>Chocolate Mousse</v>
      </c>
      <c r="E2170" s="18">
        <f>IFERROR(__xludf.DUMMYFUNCTION("""COMPUTED_VALUE"""),4.0)</f>
        <v>4</v>
      </c>
      <c r="F2170" s="18" t="str">
        <f>IFERROR(__xludf.DUMMYFUNCTION("""COMPUTED_VALUE"""),"Vivek Kumar")</f>
        <v>Vivek Kumar</v>
      </c>
      <c r="G2170" s="19">
        <f>IFERROR(__xludf.DUMMYFUNCTION("""COMPUTED_VALUE"""),45139.0)</f>
        <v>45139</v>
      </c>
      <c r="H2170" s="18" t="str">
        <f>IFERROR(__xludf.DUMMYFUNCTION("""COMPUTED_VALUE"""),"Online Payment")</f>
        <v>Online Payment</v>
      </c>
      <c r="I2170" s="18" t="str">
        <f>IFERROR(__xludf.DUMMYFUNCTION("""COMPUTED_VALUE"""),"Delivered")</f>
        <v>Delivered</v>
      </c>
      <c r="J2170" s="18" t="str">
        <f>IFERROR(__xludf.DUMMYFUNCTION("""COMPUTED_VALUE"""),"On-time Delivery")</f>
        <v>On-time Delivery</v>
      </c>
      <c r="K2170" s="18" t="str">
        <f>IFERROR(__xludf.DUMMYFUNCTION("""COMPUTED_VALUE"""),"Delivered on time")</f>
        <v>Delivered on time</v>
      </c>
      <c r="L2170" s="18">
        <f>iferror(VLOOKUP($D2170,Details!$A$2:$C$11,2,false),vlookup($D2170,Details!$E$2:$G$11,2,false))</f>
        <v>145</v>
      </c>
      <c r="M2170" s="18" t="str">
        <f>iferror(VLOOKUP($D2170,Details!$A$2:$C$11,3,false),vlookup($D2170,Details!$E$2:$G$11,3,false))</f>
        <v>Snacks and Drinks</v>
      </c>
      <c r="N2170" s="18">
        <f t="shared" si="1"/>
        <v>580</v>
      </c>
      <c r="O2170" s="17"/>
      <c r="P2170" s="17"/>
      <c r="Q2170" s="17"/>
      <c r="R2170" s="17"/>
      <c r="S2170" s="17"/>
      <c r="T2170" s="17"/>
      <c r="U2170" s="17"/>
      <c r="V2170" s="17"/>
      <c r="W2170" s="17"/>
      <c r="X2170" s="17"/>
      <c r="Y2170" s="17"/>
      <c r="Z2170" s="17"/>
    </row>
    <row r="2171">
      <c r="A2171" s="18" t="str">
        <f>IFERROR(__xludf.DUMMYFUNCTION("""COMPUTED_VALUE"""),"ord_82145")</f>
        <v>ord_82145</v>
      </c>
      <c r="B2171" s="18" t="str">
        <f>IFERROR(__xludf.DUMMYFUNCTION("""COMPUTED_VALUE"""),"Diya Arora")</f>
        <v>Diya Arora</v>
      </c>
      <c r="C2171" s="18" t="str">
        <f>IFERROR(__xludf.DUMMYFUNCTION("""COMPUTED_VALUE"""),"Lower Parel")</f>
        <v>Lower Parel</v>
      </c>
      <c r="D2171" s="18" t="str">
        <f>IFERROR(__xludf.DUMMYFUNCTION("""COMPUTED_VALUE"""),"Potato")</f>
        <v>Potato</v>
      </c>
      <c r="E2171" s="18">
        <f>IFERROR(__xludf.DUMMYFUNCTION("""COMPUTED_VALUE"""),1.0)</f>
        <v>1</v>
      </c>
      <c r="F2171" s="18" t="str">
        <f>IFERROR(__xludf.DUMMYFUNCTION("""COMPUTED_VALUE"""),"Vivek Kumar")</f>
        <v>Vivek Kumar</v>
      </c>
      <c r="G2171" s="19">
        <f>IFERROR(__xludf.DUMMYFUNCTION("""COMPUTED_VALUE"""),45137.0)</f>
        <v>45137</v>
      </c>
      <c r="H2171" s="18" t="str">
        <f>IFERROR(__xludf.DUMMYFUNCTION("""COMPUTED_VALUE"""),"Credit Card")</f>
        <v>Credit Card</v>
      </c>
      <c r="I2171" s="18" t="str">
        <f>IFERROR(__xludf.DUMMYFUNCTION("""COMPUTED_VALUE"""),"Delivered")</f>
        <v>Delivered</v>
      </c>
      <c r="J2171" s="18" t="str">
        <f>IFERROR(__xludf.DUMMYFUNCTION("""COMPUTED_VALUE"""),"Quality of Items")</f>
        <v>Quality of Items</v>
      </c>
      <c r="K2171" s="18" t="str">
        <f>IFERROR(__xludf.DUMMYFUNCTION("""COMPUTED_VALUE"""),"Perfect condition")</f>
        <v>Perfect condition</v>
      </c>
      <c r="L2171" s="18">
        <f>iferror(VLOOKUP($D2171,Details!$A$2:$C$11,2,false),vlookup($D2171,Details!$E$2:$G$11,2,false))</f>
        <v>55</v>
      </c>
      <c r="M2171" s="18" t="str">
        <f>iferror(VLOOKUP($D2171,Details!$A$2:$C$11,3,false),vlookup($D2171,Details!$E$2:$G$11,3,false))</f>
        <v>Fruits and Vegetables</v>
      </c>
      <c r="N2171" s="18">
        <f t="shared" si="1"/>
        <v>55</v>
      </c>
      <c r="O2171" s="17"/>
      <c r="P2171" s="17"/>
      <c r="Q2171" s="17"/>
      <c r="R2171" s="17"/>
      <c r="S2171" s="17"/>
      <c r="T2171" s="17"/>
      <c r="U2171" s="17"/>
      <c r="V2171" s="17"/>
      <c r="W2171" s="17"/>
      <c r="X2171" s="17"/>
      <c r="Y2171" s="17"/>
      <c r="Z2171" s="17"/>
    </row>
    <row r="2172">
      <c r="A2172" s="18" t="str">
        <f>IFERROR(__xludf.DUMMYFUNCTION("""COMPUTED_VALUE"""),"ord_82146")</f>
        <v>ord_82146</v>
      </c>
      <c r="B2172" s="18" t="str">
        <f>IFERROR(__xludf.DUMMYFUNCTION("""COMPUTED_VALUE"""),"Mehul Thakkar")</f>
        <v>Mehul Thakkar</v>
      </c>
      <c r="C2172" s="18" t="str">
        <f>IFERROR(__xludf.DUMMYFUNCTION("""COMPUTED_VALUE"""),"Malad")</f>
        <v>Malad</v>
      </c>
      <c r="D2172" s="18" t="str">
        <f>IFERROR(__xludf.DUMMYFUNCTION("""COMPUTED_VALUE"""),"Onion")</f>
        <v>Onion</v>
      </c>
      <c r="E2172" s="18">
        <f>IFERROR(__xludf.DUMMYFUNCTION("""COMPUTED_VALUE"""),2.0)</f>
        <v>2</v>
      </c>
      <c r="F2172" s="18" t="str">
        <f>IFERROR(__xludf.DUMMYFUNCTION("""COMPUTED_VALUE"""),"Not Assigned")</f>
        <v>Not Assigned</v>
      </c>
      <c r="G2172" s="19">
        <f>IFERROR(__xludf.DUMMYFUNCTION("""COMPUTED_VALUE"""),45179.0)</f>
        <v>45179</v>
      </c>
      <c r="H2172" s="18" t="str">
        <f>IFERROR(__xludf.DUMMYFUNCTION("""COMPUTED_VALUE"""),"Credit Card")</f>
        <v>Credit Card</v>
      </c>
      <c r="I2172" s="18" t="str">
        <f>IFERROR(__xludf.DUMMYFUNCTION("""COMPUTED_VALUE"""),"Cancelled")</f>
        <v>Cancelled</v>
      </c>
      <c r="J2172" s="18" t="str">
        <f>IFERROR(__xludf.DUMMYFUNCTION("""COMPUTED_VALUE"""),"App Glitches")</f>
        <v>App Glitches</v>
      </c>
      <c r="K2172" s="18" t="str">
        <f>IFERROR(__xludf.DUMMYFUNCTION("""COMPUTED_VALUE"""),"Error Messages")</f>
        <v>Error Messages</v>
      </c>
      <c r="L2172" s="18">
        <f>iferror(VLOOKUP($D2172,Details!$A$2:$C$11,2,false),vlookup($D2172,Details!$E$2:$G$11,2,false))</f>
        <v>84</v>
      </c>
      <c r="M2172" s="18" t="str">
        <f>iferror(VLOOKUP($D2172,Details!$A$2:$C$11,3,false),vlookup($D2172,Details!$E$2:$G$11,3,false))</f>
        <v>Fruits and Vegetables</v>
      </c>
      <c r="N2172" s="18">
        <f t="shared" si="1"/>
        <v>168</v>
      </c>
      <c r="O2172" s="17"/>
      <c r="P2172" s="17"/>
      <c r="Q2172" s="17"/>
      <c r="R2172" s="17"/>
      <c r="S2172" s="17"/>
      <c r="T2172" s="17"/>
      <c r="U2172" s="17"/>
      <c r="V2172" s="17"/>
      <c r="W2172" s="17"/>
      <c r="X2172" s="17"/>
      <c r="Y2172" s="17"/>
      <c r="Z2172" s="17"/>
    </row>
    <row r="2173">
      <c r="A2173" s="18" t="str">
        <f>IFERROR(__xludf.DUMMYFUNCTION("""COMPUTED_VALUE"""),"ord_82147")</f>
        <v>ord_82147</v>
      </c>
      <c r="B2173" s="18" t="str">
        <f>IFERROR(__xludf.DUMMYFUNCTION("""COMPUTED_VALUE"""),"Sahil Desai")</f>
        <v>Sahil Desai</v>
      </c>
      <c r="C2173" s="18" t="str">
        <f>IFERROR(__xludf.DUMMYFUNCTION("""COMPUTED_VALUE"""),"Colaba")</f>
        <v>Colaba</v>
      </c>
      <c r="D2173" s="18" t="str">
        <f>IFERROR(__xludf.DUMMYFUNCTION("""COMPUTED_VALUE"""),"Papaya")</f>
        <v>Papaya</v>
      </c>
      <c r="E2173" s="18">
        <f>IFERROR(__xludf.DUMMYFUNCTION("""COMPUTED_VALUE"""),2.0)</f>
        <v>2</v>
      </c>
      <c r="F2173" s="18" t="str">
        <f>IFERROR(__xludf.DUMMYFUNCTION("""COMPUTED_VALUE"""),"Shine Thomas")</f>
        <v>Shine Thomas</v>
      </c>
      <c r="G2173" s="19">
        <f>IFERROR(__xludf.DUMMYFUNCTION("""COMPUTED_VALUE"""),45236.0)</f>
        <v>45236</v>
      </c>
      <c r="H2173" s="18" t="str">
        <f>IFERROR(__xludf.DUMMYFUNCTION("""COMPUTED_VALUE"""),"UPI")</f>
        <v>UPI</v>
      </c>
      <c r="I2173" s="18" t="str">
        <f>IFERROR(__xludf.DUMMYFUNCTION("""COMPUTED_VALUE"""),"Delivered")</f>
        <v>Delivered</v>
      </c>
      <c r="J2173" s="18" t="str">
        <f>IFERROR(__xludf.DUMMYFUNCTION("""COMPUTED_VALUE"""),"On-time Delivery")</f>
        <v>On-time Delivery</v>
      </c>
      <c r="K2173" s="18" t="str">
        <f>IFERROR(__xludf.DUMMYFUNCTION("""COMPUTED_VALUE"""),"Delivered on time")</f>
        <v>Delivered on time</v>
      </c>
      <c r="L2173" s="18">
        <f>iferror(VLOOKUP($D2173,Details!$A$2:$C$11,2,false),vlookup($D2173,Details!$E$2:$G$11,2,false))</f>
        <v>75</v>
      </c>
      <c r="M2173" s="18" t="str">
        <f>iferror(VLOOKUP($D2173,Details!$A$2:$C$11,3,false),vlookup($D2173,Details!$E$2:$G$11,3,false))</f>
        <v>Fruits and Vegetables</v>
      </c>
      <c r="N2173" s="18">
        <f t="shared" si="1"/>
        <v>150</v>
      </c>
      <c r="O2173" s="17"/>
      <c r="P2173" s="17"/>
      <c r="Q2173" s="17"/>
      <c r="R2173" s="17"/>
      <c r="S2173" s="17"/>
      <c r="T2173" s="17"/>
      <c r="U2173" s="17"/>
      <c r="V2173" s="17"/>
      <c r="W2173" s="17"/>
      <c r="X2173" s="17"/>
      <c r="Y2173" s="17"/>
      <c r="Z2173" s="17"/>
    </row>
    <row r="2174">
      <c r="A2174" s="18" t="str">
        <f>IFERROR(__xludf.DUMMYFUNCTION("""COMPUTED_VALUE"""),"ord_82148")</f>
        <v>ord_82148</v>
      </c>
      <c r="B2174" s="18" t="str">
        <f>IFERROR(__xludf.DUMMYFUNCTION("""COMPUTED_VALUE"""),"Aarohi Kapoor")</f>
        <v>Aarohi Kapoor</v>
      </c>
      <c r="C2174" s="18" t="str">
        <f>IFERROR(__xludf.DUMMYFUNCTION("""COMPUTED_VALUE"""),"Bandra")</f>
        <v>Bandra</v>
      </c>
      <c r="D2174" s="18" t="str">
        <f>IFERROR(__xludf.DUMMYFUNCTION("""COMPUTED_VALUE"""),"Tiramisu")</f>
        <v>Tiramisu</v>
      </c>
      <c r="E2174" s="18">
        <f>IFERROR(__xludf.DUMMYFUNCTION("""COMPUTED_VALUE"""),3.0)</f>
        <v>3</v>
      </c>
      <c r="F2174" s="18" t="str">
        <f>IFERROR(__xludf.DUMMYFUNCTION("""COMPUTED_VALUE"""),"Nithin Lal")</f>
        <v>Nithin Lal</v>
      </c>
      <c r="G2174" s="19">
        <f>IFERROR(__xludf.DUMMYFUNCTION("""COMPUTED_VALUE"""),45280.0)</f>
        <v>45280</v>
      </c>
      <c r="H2174" s="18" t="str">
        <f>IFERROR(__xludf.DUMMYFUNCTION("""COMPUTED_VALUE"""),"Online Payment")</f>
        <v>Online Payment</v>
      </c>
      <c r="I2174" s="18" t="str">
        <f>IFERROR(__xludf.DUMMYFUNCTION("""COMPUTED_VALUE"""),"Delivered")</f>
        <v>Delivered</v>
      </c>
      <c r="J2174" s="18" t="str">
        <f>IFERROR(__xludf.DUMMYFUNCTION("""COMPUTED_VALUE"""),"Quality of Items")</f>
        <v>Quality of Items</v>
      </c>
      <c r="K2174" s="18" t="str">
        <f>IFERROR(__xludf.DUMMYFUNCTION("""COMPUTED_VALUE"""),"Perfect condition")</f>
        <v>Perfect condition</v>
      </c>
      <c r="L2174" s="18">
        <f>iferror(VLOOKUP($D2174,Details!$A$2:$C$11,2,false),vlookup($D2174,Details!$E$2:$G$11,2,false))</f>
        <v>150</v>
      </c>
      <c r="M2174" s="18" t="str">
        <f>iferror(VLOOKUP($D2174,Details!$A$2:$C$11,3,false),vlookup($D2174,Details!$E$2:$G$11,3,false))</f>
        <v>Snacks and Drinks</v>
      </c>
      <c r="N2174" s="18">
        <f t="shared" si="1"/>
        <v>450</v>
      </c>
      <c r="O2174" s="17"/>
      <c r="P2174" s="17"/>
      <c r="Q2174" s="17"/>
      <c r="R2174" s="17"/>
      <c r="S2174" s="17"/>
      <c r="T2174" s="17"/>
      <c r="U2174" s="17"/>
      <c r="V2174" s="17"/>
      <c r="W2174" s="17"/>
      <c r="X2174" s="17"/>
      <c r="Y2174" s="17"/>
      <c r="Z2174" s="17"/>
    </row>
    <row r="2175">
      <c r="A2175" s="18" t="str">
        <f>IFERROR(__xludf.DUMMYFUNCTION("""COMPUTED_VALUE"""),"ord_82149")</f>
        <v>ord_82149</v>
      </c>
      <c r="B2175" s="18" t="str">
        <f>IFERROR(__xludf.DUMMYFUNCTION("""COMPUTED_VALUE"""),"Ishaan Chaturvedi")</f>
        <v>Ishaan Chaturvedi</v>
      </c>
      <c r="C2175" s="18" t="str">
        <f>IFERROR(__xludf.DUMMYFUNCTION("""COMPUTED_VALUE"""),"Bandra")</f>
        <v>Bandra</v>
      </c>
      <c r="D2175" s="18" t="str">
        <f>IFERROR(__xludf.DUMMYFUNCTION("""COMPUTED_VALUE"""),"Icecream")</f>
        <v>Icecream</v>
      </c>
      <c r="E2175" s="18">
        <f>IFERROR(__xludf.DUMMYFUNCTION("""COMPUTED_VALUE"""),1.0)</f>
        <v>1</v>
      </c>
      <c r="F2175" s="18" t="str">
        <f>IFERROR(__xludf.DUMMYFUNCTION("""COMPUTED_VALUE"""),"Vivek Kumar")</f>
        <v>Vivek Kumar</v>
      </c>
      <c r="G2175" s="19">
        <f>IFERROR(__xludf.DUMMYFUNCTION("""COMPUTED_VALUE"""),45273.0)</f>
        <v>45273</v>
      </c>
      <c r="H2175" s="18" t="str">
        <f>IFERROR(__xludf.DUMMYFUNCTION("""COMPUTED_VALUE"""),"UPI")</f>
        <v>UPI</v>
      </c>
      <c r="I2175" s="18" t="str">
        <f>IFERROR(__xludf.DUMMYFUNCTION("""COMPUTED_VALUE"""),"Delivered")</f>
        <v>Delivered</v>
      </c>
      <c r="J2175" s="18" t="str">
        <f>IFERROR(__xludf.DUMMYFUNCTION("""COMPUTED_VALUE"""),"Packaging")</f>
        <v>Packaging</v>
      </c>
      <c r="K2175" s="18" t="str">
        <f>IFERROR(__xludf.DUMMYFUNCTION("""COMPUTED_VALUE"""),"Secure and intact")</f>
        <v>Secure and intact</v>
      </c>
      <c r="L2175" s="18">
        <f>iferror(VLOOKUP($D2175,Details!$A$2:$C$11,2,false),vlookup($D2175,Details!$E$2:$G$11,2,false))</f>
        <v>90</v>
      </c>
      <c r="M2175" s="18" t="str">
        <f>iferror(VLOOKUP($D2175,Details!$A$2:$C$11,3,false),vlookup($D2175,Details!$E$2:$G$11,3,false))</f>
        <v>Snacks and Drinks</v>
      </c>
      <c r="N2175" s="18">
        <f t="shared" si="1"/>
        <v>90</v>
      </c>
      <c r="O2175" s="17"/>
      <c r="P2175" s="17"/>
      <c r="Q2175" s="17"/>
      <c r="R2175" s="17"/>
      <c r="S2175" s="17"/>
      <c r="T2175" s="17"/>
      <c r="U2175" s="17"/>
      <c r="V2175" s="17"/>
      <c r="W2175" s="17"/>
      <c r="X2175" s="17"/>
      <c r="Y2175" s="17"/>
      <c r="Z2175" s="17"/>
    </row>
    <row r="2176">
      <c r="A2176" s="18" t="str">
        <f>IFERROR(__xludf.DUMMYFUNCTION("""COMPUTED_VALUE"""),"ord_82150")</f>
        <v>ord_82150</v>
      </c>
      <c r="B2176" s="18" t="str">
        <f>IFERROR(__xludf.DUMMYFUNCTION("""COMPUTED_VALUE"""),"Mohit Malhotra")</f>
        <v>Mohit Malhotra</v>
      </c>
      <c r="C2176" s="18" t="str">
        <f>IFERROR(__xludf.DUMMYFUNCTION("""COMPUTED_VALUE"""),"Lower Parel")</f>
        <v>Lower Parel</v>
      </c>
      <c r="D2176" s="18" t="str">
        <f>IFERROR(__xludf.DUMMYFUNCTION("""COMPUTED_VALUE"""),"Papaya")</f>
        <v>Papaya</v>
      </c>
      <c r="E2176" s="18">
        <f>IFERROR(__xludf.DUMMYFUNCTION("""COMPUTED_VALUE"""),1.0)</f>
        <v>1</v>
      </c>
      <c r="F2176" s="18" t="str">
        <f>IFERROR(__xludf.DUMMYFUNCTION("""COMPUTED_VALUE"""),"Vivek Kumar")</f>
        <v>Vivek Kumar</v>
      </c>
      <c r="G2176" s="19">
        <f>IFERROR(__xludf.DUMMYFUNCTION("""COMPUTED_VALUE"""),45083.0)</f>
        <v>45083</v>
      </c>
      <c r="H2176" s="18" t="str">
        <f>IFERROR(__xludf.DUMMYFUNCTION("""COMPUTED_VALUE"""),"UPI")</f>
        <v>UPI</v>
      </c>
      <c r="I2176" s="18" t="str">
        <f>IFERROR(__xludf.DUMMYFUNCTION("""COMPUTED_VALUE"""),"Delivered")</f>
        <v>Delivered</v>
      </c>
      <c r="J2176" s="18" t="str">
        <f>IFERROR(__xludf.DUMMYFUNCTION("""COMPUTED_VALUE"""),"Satisfied with the Delivery")</f>
        <v>Satisfied with the Delivery</v>
      </c>
      <c r="K2176" s="18" t="str">
        <f>IFERROR(__xludf.DUMMYFUNCTION("""COMPUTED_VALUE"""),"Timely and quality")</f>
        <v>Timely and quality</v>
      </c>
      <c r="L2176" s="18">
        <f>iferror(VLOOKUP($D2176,Details!$A$2:$C$11,2,false),vlookup($D2176,Details!$E$2:$G$11,2,false))</f>
        <v>75</v>
      </c>
      <c r="M2176" s="18" t="str">
        <f>iferror(VLOOKUP($D2176,Details!$A$2:$C$11,3,false),vlookup($D2176,Details!$E$2:$G$11,3,false))</f>
        <v>Fruits and Vegetables</v>
      </c>
      <c r="N2176" s="18">
        <f t="shared" si="1"/>
        <v>75</v>
      </c>
      <c r="O2176" s="17"/>
      <c r="P2176" s="17"/>
      <c r="Q2176" s="17"/>
      <c r="R2176" s="17"/>
      <c r="S2176" s="17"/>
      <c r="T2176" s="17"/>
      <c r="U2176" s="17"/>
      <c r="V2176" s="17"/>
      <c r="W2176" s="17"/>
      <c r="X2176" s="17"/>
      <c r="Y2176" s="17"/>
      <c r="Z2176" s="17"/>
    </row>
    <row r="2177">
      <c r="A2177" s="18" t="str">
        <f>IFERROR(__xludf.DUMMYFUNCTION("""COMPUTED_VALUE"""),"ord_82151")</f>
        <v>ord_82151</v>
      </c>
      <c r="B2177" s="18" t="str">
        <f>IFERROR(__xludf.DUMMYFUNCTION("""COMPUTED_VALUE"""),"Mohit Malhotra")</f>
        <v>Mohit Malhotra</v>
      </c>
      <c r="C2177" s="18" t="str">
        <f>IFERROR(__xludf.DUMMYFUNCTION("""COMPUTED_VALUE"""),"Lower Parel")</f>
        <v>Lower Parel</v>
      </c>
      <c r="D2177" s="18" t="str">
        <f>IFERROR(__xludf.DUMMYFUNCTION("""COMPUTED_VALUE"""),"Cucumber")</f>
        <v>Cucumber</v>
      </c>
      <c r="E2177" s="18">
        <f>IFERROR(__xludf.DUMMYFUNCTION("""COMPUTED_VALUE"""),1.0)</f>
        <v>1</v>
      </c>
      <c r="F2177" s="18" t="str">
        <f>IFERROR(__xludf.DUMMYFUNCTION("""COMPUTED_VALUE"""),"Ram Gopal")</f>
        <v>Ram Gopal</v>
      </c>
      <c r="G2177" s="19">
        <f>IFERROR(__xludf.DUMMYFUNCTION("""COMPUTED_VALUE"""),45212.0)</f>
        <v>45212</v>
      </c>
      <c r="H2177" s="18" t="str">
        <f>IFERROR(__xludf.DUMMYFUNCTION("""COMPUTED_VALUE"""),"Online Payment")</f>
        <v>Online Payment</v>
      </c>
      <c r="I2177" s="18" t="str">
        <f>IFERROR(__xludf.DUMMYFUNCTION("""COMPUTED_VALUE"""),"Delivered")</f>
        <v>Delivered</v>
      </c>
      <c r="J2177" s="18" t="str">
        <f>IFERROR(__xludf.DUMMYFUNCTION("""COMPUTED_VALUE"""),"Customer Service")</f>
        <v>Customer Service</v>
      </c>
      <c r="K2177" s="18" t="str">
        <f>IFERROR(__xludf.DUMMYFUNCTION("""COMPUTED_VALUE"""),"Seamless and easy")</f>
        <v>Seamless and easy</v>
      </c>
      <c r="L2177" s="18">
        <f>iferror(VLOOKUP($D2177,Details!$A$2:$C$11,2,false),vlookup($D2177,Details!$E$2:$G$11,2,false))</f>
        <v>30</v>
      </c>
      <c r="M2177" s="18" t="str">
        <f>iferror(VLOOKUP($D2177,Details!$A$2:$C$11,3,false),vlookup($D2177,Details!$E$2:$G$11,3,false))</f>
        <v>Fruits and Vegetables</v>
      </c>
      <c r="N2177" s="18">
        <f t="shared" si="1"/>
        <v>30</v>
      </c>
      <c r="O2177" s="17"/>
      <c r="P2177" s="17"/>
      <c r="Q2177" s="17"/>
      <c r="R2177" s="17"/>
      <c r="S2177" s="17"/>
      <c r="T2177" s="17"/>
      <c r="U2177" s="17"/>
      <c r="V2177" s="17"/>
      <c r="W2177" s="17"/>
      <c r="X2177" s="17"/>
      <c r="Y2177" s="17"/>
      <c r="Z2177" s="17"/>
    </row>
    <row r="2178">
      <c r="A2178" s="18" t="str">
        <f>IFERROR(__xludf.DUMMYFUNCTION("""COMPUTED_VALUE"""),"ord_82152")</f>
        <v>ord_82152</v>
      </c>
      <c r="B2178" s="18" t="str">
        <f>IFERROR(__xludf.DUMMYFUNCTION("""COMPUTED_VALUE"""),"Diya Arora")</f>
        <v>Diya Arora</v>
      </c>
      <c r="C2178" s="18" t="str">
        <f>IFERROR(__xludf.DUMMYFUNCTION("""COMPUTED_VALUE"""),"Lower Parel")</f>
        <v>Lower Parel</v>
      </c>
      <c r="D2178" s="18" t="str">
        <f>IFERROR(__xludf.DUMMYFUNCTION("""COMPUTED_VALUE"""),"Juice")</f>
        <v>Juice</v>
      </c>
      <c r="E2178" s="18">
        <f>IFERROR(__xludf.DUMMYFUNCTION("""COMPUTED_VALUE"""),4.0)</f>
        <v>4</v>
      </c>
      <c r="F2178" s="18" t="str">
        <f>IFERROR(__xludf.DUMMYFUNCTION("""COMPUTED_VALUE"""),"Ram Gopal")</f>
        <v>Ram Gopal</v>
      </c>
      <c r="G2178" s="19">
        <f>IFERROR(__xludf.DUMMYFUNCTION("""COMPUTED_VALUE"""),45211.0)</f>
        <v>45211</v>
      </c>
      <c r="H2178" s="18" t="str">
        <f>IFERROR(__xludf.DUMMYFUNCTION("""COMPUTED_VALUE"""),"Online Payment")</f>
        <v>Online Payment</v>
      </c>
      <c r="I2178" s="18" t="str">
        <f>IFERROR(__xludf.DUMMYFUNCTION("""COMPUTED_VALUE"""),"Delivered")</f>
        <v>Delivered</v>
      </c>
      <c r="J2178" s="18" t="str">
        <f>IFERROR(__xludf.DUMMYFUNCTION("""COMPUTED_VALUE"""),"Delivery Experience")</f>
        <v>Delivery Experience</v>
      </c>
      <c r="K2178" s="18" t="str">
        <f>IFERROR(__xludf.DUMMYFUNCTION("""COMPUTED_VALUE"""),"Quick and professional")</f>
        <v>Quick and professional</v>
      </c>
      <c r="L2178" s="18">
        <f>iferror(VLOOKUP($D2178,Details!$A$2:$C$11,2,false),vlookup($D2178,Details!$E$2:$G$11,2,false))</f>
        <v>90</v>
      </c>
      <c r="M2178" s="18" t="str">
        <f>iferror(VLOOKUP($D2178,Details!$A$2:$C$11,3,false),vlookup($D2178,Details!$E$2:$G$11,3,false))</f>
        <v>Snacks and Drinks</v>
      </c>
      <c r="N2178" s="18">
        <f t="shared" si="1"/>
        <v>360</v>
      </c>
      <c r="O2178" s="17"/>
      <c r="P2178" s="17"/>
      <c r="Q2178" s="17"/>
      <c r="R2178" s="17"/>
      <c r="S2178" s="17"/>
      <c r="T2178" s="17"/>
      <c r="U2178" s="17"/>
      <c r="V2178" s="17"/>
      <c r="W2178" s="17"/>
      <c r="X2178" s="17"/>
      <c r="Y2178" s="17"/>
      <c r="Z2178" s="17"/>
    </row>
    <row r="2179">
      <c r="A2179" s="18" t="str">
        <f>IFERROR(__xludf.DUMMYFUNCTION("""COMPUTED_VALUE"""),"ord_82153")</f>
        <v>ord_82153</v>
      </c>
      <c r="B2179" s="18" t="str">
        <f>IFERROR(__xludf.DUMMYFUNCTION("""COMPUTED_VALUE"""),"Arvind Kulkarni")</f>
        <v>Arvind Kulkarni</v>
      </c>
      <c r="C2179" s="18" t="str">
        <f>IFERROR(__xludf.DUMMYFUNCTION("""COMPUTED_VALUE"""),"Juhu")</f>
        <v>Juhu</v>
      </c>
      <c r="D2179" s="18" t="str">
        <f>IFERROR(__xludf.DUMMYFUNCTION("""COMPUTED_VALUE"""),"Popcorn")</f>
        <v>Popcorn</v>
      </c>
      <c r="E2179" s="18">
        <f>IFERROR(__xludf.DUMMYFUNCTION("""COMPUTED_VALUE"""),3.0)</f>
        <v>3</v>
      </c>
      <c r="F2179" s="18" t="str">
        <f>IFERROR(__xludf.DUMMYFUNCTION("""COMPUTED_VALUE"""),"Tanvi Jain")</f>
        <v>Tanvi Jain</v>
      </c>
      <c r="G2179" s="19">
        <f>IFERROR(__xludf.DUMMYFUNCTION("""COMPUTED_VALUE"""),44961.0)</f>
        <v>44961</v>
      </c>
      <c r="H2179" s="18" t="str">
        <f>IFERROR(__xludf.DUMMYFUNCTION("""COMPUTED_VALUE"""),"UPI")</f>
        <v>UPI</v>
      </c>
      <c r="I2179" s="18" t="str">
        <f>IFERROR(__xludf.DUMMYFUNCTION("""COMPUTED_VALUE"""),"Cancelled")</f>
        <v>Cancelled</v>
      </c>
      <c r="J2179" s="18" t="str">
        <f>IFERROR(__xludf.DUMMYFUNCTION("""COMPUTED_VALUE"""),"Delayed Delivery")</f>
        <v>Delayed Delivery</v>
      </c>
      <c r="K2179" s="18" t="str">
        <f>IFERROR(__xludf.DUMMYFUNCTION("""COMPUTED_VALUE"""),"Bad Weather Conditions")</f>
        <v>Bad Weather Conditions</v>
      </c>
      <c r="L2179" s="18">
        <f>iferror(VLOOKUP($D2179,Details!$A$2:$C$11,2,false),vlookup($D2179,Details!$E$2:$G$11,2,false))</f>
        <v>150</v>
      </c>
      <c r="M2179" s="18" t="str">
        <f>iferror(VLOOKUP($D2179,Details!$A$2:$C$11,3,false),vlookup($D2179,Details!$E$2:$G$11,3,false))</f>
        <v>Snacks and Drinks</v>
      </c>
      <c r="N2179" s="18">
        <f t="shared" si="1"/>
        <v>450</v>
      </c>
      <c r="O2179" s="17"/>
      <c r="P2179" s="17"/>
      <c r="Q2179" s="17"/>
      <c r="R2179" s="17"/>
      <c r="S2179" s="17"/>
      <c r="T2179" s="17"/>
      <c r="U2179" s="17"/>
      <c r="V2179" s="17"/>
      <c r="W2179" s="17"/>
      <c r="X2179" s="17"/>
      <c r="Y2179" s="17"/>
      <c r="Z2179" s="17"/>
    </row>
    <row r="2180">
      <c r="A2180" s="18" t="str">
        <f>IFERROR(__xludf.DUMMYFUNCTION("""COMPUTED_VALUE"""),"ord_82154")</f>
        <v>ord_82154</v>
      </c>
      <c r="B2180" s="18" t="str">
        <f>IFERROR(__xludf.DUMMYFUNCTION("""COMPUTED_VALUE"""),"Anaya Rao")</f>
        <v>Anaya Rao</v>
      </c>
      <c r="C2180" s="18" t="str">
        <f>IFERROR(__xludf.DUMMYFUNCTION("""COMPUTED_VALUE"""),"Colaba")</f>
        <v>Colaba</v>
      </c>
      <c r="D2180" s="18" t="str">
        <f>IFERROR(__xludf.DUMMYFUNCTION("""COMPUTED_VALUE"""),"Papaya")</f>
        <v>Papaya</v>
      </c>
      <c r="E2180" s="18">
        <f>IFERROR(__xludf.DUMMYFUNCTION("""COMPUTED_VALUE"""),1.0)</f>
        <v>1</v>
      </c>
      <c r="F2180" s="18" t="str">
        <f>IFERROR(__xludf.DUMMYFUNCTION("""COMPUTED_VALUE"""),"Ramesh S")</f>
        <v>Ramesh S</v>
      </c>
      <c r="G2180" s="19">
        <f>IFERROR(__xludf.DUMMYFUNCTION("""COMPUTED_VALUE"""),45288.0)</f>
        <v>45288</v>
      </c>
      <c r="H2180" s="18" t="str">
        <f>IFERROR(__xludf.DUMMYFUNCTION("""COMPUTED_VALUE"""),"UPI")</f>
        <v>UPI</v>
      </c>
      <c r="I2180" s="18" t="str">
        <f>IFERROR(__xludf.DUMMYFUNCTION("""COMPUTED_VALUE"""),"Delivered")</f>
        <v>Delivered</v>
      </c>
      <c r="J2180" s="18" t="str">
        <f>IFERROR(__xludf.DUMMYFUNCTION("""COMPUTED_VALUE"""),"Convenience")</f>
        <v>Convenience</v>
      </c>
      <c r="K2180" s="18" t="str">
        <f>IFERROR(__xludf.DUMMYFUNCTION("""COMPUTED_VALUE"""),"Easy tracking")</f>
        <v>Easy tracking</v>
      </c>
      <c r="L2180" s="18">
        <f>iferror(VLOOKUP($D2180,Details!$A$2:$C$11,2,false),vlookup($D2180,Details!$E$2:$G$11,2,false))</f>
        <v>75</v>
      </c>
      <c r="M2180" s="18" t="str">
        <f>iferror(VLOOKUP($D2180,Details!$A$2:$C$11,3,false),vlookup($D2180,Details!$E$2:$G$11,3,false))</f>
        <v>Fruits and Vegetables</v>
      </c>
      <c r="N2180" s="18">
        <f t="shared" si="1"/>
        <v>75</v>
      </c>
      <c r="O2180" s="17"/>
      <c r="P2180" s="17"/>
      <c r="Q2180" s="17"/>
      <c r="R2180" s="17"/>
      <c r="S2180" s="17"/>
      <c r="T2180" s="17"/>
      <c r="U2180" s="17"/>
      <c r="V2180" s="17"/>
      <c r="W2180" s="17"/>
      <c r="X2180" s="17"/>
      <c r="Y2180" s="17"/>
      <c r="Z2180" s="17"/>
    </row>
    <row r="2181">
      <c r="A2181" s="18" t="str">
        <f>IFERROR(__xludf.DUMMYFUNCTION("""COMPUTED_VALUE"""),"ord_82155")</f>
        <v>ord_82155</v>
      </c>
      <c r="B2181" s="18" t="str">
        <f>IFERROR(__xludf.DUMMYFUNCTION("""COMPUTED_VALUE"""),"Mohit Malhotra")</f>
        <v>Mohit Malhotra</v>
      </c>
      <c r="C2181" s="18" t="str">
        <f>IFERROR(__xludf.DUMMYFUNCTION("""COMPUTED_VALUE"""),"Lower Parel")</f>
        <v>Lower Parel</v>
      </c>
      <c r="D2181" s="18" t="str">
        <f>IFERROR(__xludf.DUMMYFUNCTION("""COMPUTED_VALUE"""),"Apple")</f>
        <v>Apple</v>
      </c>
      <c r="E2181" s="18">
        <f>IFERROR(__xludf.DUMMYFUNCTION("""COMPUTED_VALUE"""),1.0)</f>
        <v>1</v>
      </c>
      <c r="F2181" s="18" t="str">
        <f>IFERROR(__xludf.DUMMYFUNCTION("""COMPUTED_VALUE"""),"Nithin Lal")</f>
        <v>Nithin Lal</v>
      </c>
      <c r="G2181" s="19">
        <f>IFERROR(__xludf.DUMMYFUNCTION("""COMPUTED_VALUE"""),45283.0)</f>
        <v>45283</v>
      </c>
      <c r="H2181" s="18" t="str">
        <f>IFERROR(__xludf.DUMMYFUNCTION("""COMPUTED_VALUE"""),"UPI")</f>
        <v>UPI</v>
      </c>
      <c r="I2181" s="18" t="str">
        <f>IFERROR(__xludf.DUMMYFUNCTION("""COMPUTED_VALUE"""),"Delivered")</f>
        <v>Delivered</v>
      </c>
      <c r="J2181" s="18" t="str">
        <f>IFERROR(__xludf.DUMMYFUNCTION("""COMPUTED_VALUE"""),"Overall Satisfaction")</f>
        <v>Overall Satisfaction</v>
      </c>
      <c r="K2181" s="18" t="str">
        <f>IFERROR(__xludf.DUMMYFUNCTION("""COMPUTED_VALUE"""),"Great service will order again")</f>
        <v>Great service will order again</v>
      </c>
      <c r="L2181" s="18">
        <f>iferror(VLOOKUP($D2181,Details!$A$2:$C$11,2,false),vlookup($D2181,Details!$E$2:$G$11,2,false))</f>
        <v>230</v>
      </c>
      <c r="M2181" s="18" t="str">
        <f>iferror(VLOOKUP($D2181,Details!$A$2:$C$11,3,false),vlookup($D2181,Details!$E$2:$G$11,3,false))</f>
        <v>Fruits and Vegetables</v>
      </c>
      <c r="N2181" s="18">
        <f t="shared" si="1"/>
        <v>230</v>
      </c>
      <c r="O2181" s="17"/>
      <c r="P2181" s="17"/>
      <c r="Q2181" s="17"/>
      <c r="R2181" s="17"/>
      <c r="S2181" s="17"/>
      <c r="T2181" s="17"/>
      <c r="U2181" s="17"/>
      <c r="V2181" s="17"/>
      <c r="W2181" s="17"/>
      <c r="X2181" s="17"/>
      <c r="Y2181" s="17"/>
      <c r="Z2181" s="17"/>
    </row>
    <row r="2182">
      <c r="A2182" s="18" t="str">
        <f>IFERROR(__xludf.DUMMYFUNCTION("""COMPUTED_VALUE"""),"ord_82156")</f>
        <v>ord_82156</v>
      </c>
      <c r="B2182" s="18" t="str">
        <f>IFERROR(__xludf.DUMMYFUNCTION("""COMPUTED_VALUE"""),"Kritika Shetty")</f>
        <v>Kritika Shetty</v>
      </c>
      <c r="C2182" s="18" t="str">
        <f>IFERROR(__xludf.DUMMYFUNCTION("""COMPUTED_VALUE"""),"Malad")</f>
        <v>Malad</v>
      </c>
      <c r="D2182" s="18" t="str">
        <f>IFERROR(__xludf.DUMMYFUNCTION("""COMPUTED_VALUE"""),"Onion")</f>
        <v>Onion</v>
      </c>
      <c r="E2182" s="18">
        <f>IFERROR(__xludf.DUMMYFUNCTION("""COMPUTED_VALUE"""),2.0)</f>
        <v>2</v>
      </c>
      <c r="F2182" s="18" t="str">
        <f>IFERROR(__xludf.DUMMYFUNCTION("""COMPUTED_VALUE"""),"Ram Gopal")</f>
        <v>Ram Gopal</v>
      </c>
      <c r="G2182" s="19">
        <f>IFERROR(__xludf.DUMMYFUNCTION("""COMPUTED_VALUE"""),45072.0)</f>
        <v>45072</v>
      </c>
      <c r="H2182" s="18" t="str">
        <f>IFERROR(__xludf.DUMMYFUNCTION("""COMPUTED_VALUE"""),"UPI")</f>
        <v>UPI</v>
      </c>
      <c r="I2182" s="18" t="str">
        <f>IFERROR(__xludf.DUMMYFUNCTION("""COMPUTED_VALUE"""),"Cancelled")</f>
        <v>Cancelled</v>
      </c>
      <c r="J2182" s="18" t="str">
        <f>IFERROR(__xludf.DUMMYFUNCTION("""COMPUTED_VALUE"""),"Delayed Delivery")</f>
        <v>Delayed Delivery</v>
      </c>
      <c r="K2182" s="18" t="str">
        <f>IFERROR(__xludf.DUMMYFUNCTION("""COMPUTED_VALUE"""),"Heavy Traffic")</f>
        <v>Heavy Traffic</v>
      </c>
      <c r="L2182" s="18">
        <f>iferror(VLOOKUP($D2182,Details!$A$2:$C$11,2,false),vlookup($D2182,Details!$E$2:$G$11,2,false))</f>
        <v>84</v>
      </c>
      <c r="M2182" s="18" t="str">
        <f>iferror(VLOOKUP($D2182,Details!$A$2:$C$11,3,false),vlookup($D2182,Details!$E$2:$G$11,3,false))</f>
        <v>Fruits and Vegetables</v>
      </c>
      <c r="N2182" s="18">
        <f t="shared" si="1"/>
        <v>168</v>
      </c>
      <c r="O2182" s="17"/>
      <c r="P2182" s="17"/>
      <c r="Q2182" s="17"/>
      <c r="R2182" s="17"/>
      <c r="S2182" s="17"/>
      <c r="T2182" s="17"/>
      <c r="U2182" s="17"/>
      <c r="V2182" s="17"/>
      <c r="W2182" s="17"/>
      <c r="X2182" s="17"/>
      <c r="Y2182" s="17"/>
      <c r="Z2182" s="17"/>
    </row>
    <row r="2183">
      <c r="A2183" s="18" t="str">
        <f>IFERROR(__xludf.DUMMYFUNCTION("""COMPUTED_VALUE"""),"ord_82157")</f>
        <v>ord_82157</v>
      </c>
      <c r="B2183" s="18" t="str">
        <f>IFERROR(__xludf.DUMMYFUNCTION("""COMPUTED_VALUE"""),"Pranav Joshi")</f>
        <v>Pranav Joshi</v>
      </c>
      <c r="C2183" s="18" t="str">
        <f>IFERROR(__xludf.DUMMYFUNCTION("""COMPUTED_VALUE"""),"Andheri")</f>
        <v>Andheri</v>
      </c>
      <c r="D2183" s="18" t="str">
        <f>IFERROR(__xludf.DUMMYFUNCTION("""COMPUTED_VALUE"""),"Popcorn")</f>
        <v>Popcorn</v>
      </c>
      <c r="E2183" s="18">
        <f>IFERROR(__xludf.DUMMYFUNCTION("""COMPUTED_VALUE"""),3.0)</f>
        <v>3</v>
      </c>
      <c r="F2183" s="18" t="str">
        <f>IFERROR(__xludf.DUMMYFUNCTION("""COMPUTED_VALUE"""),"Shine Thomas")</f>
        <v>Shine Thomas</v>
      </c>
      <c r="G2183" s="19">
        <f>IFERROR(__xludf.DUMMYFUNCTION("""COMPUTED_VALUE"""),44986.0)</f>
        <v>44986</v>
      </c>
      <c r="H2183" s="18" t="str">
        <f>IFERROR(__xludf.DUMMYFUNCTION("""COMPUTED_VALUE"""),"UPI")</f>
        <v>UPI</v>
      </c>
      <c r="I2183" s="18" t="str">
        <f>IFERROR(__xludf.DUMMYFUNCTION("""COMPUTED_VALUE"""),"Delivered")</f>
        <v>Delivered</v>
      </c>
      <c r="J2183" s="18" t="str">
        <f>IFERROR(__xludf.DUMMYFUNCTION("""COMPUTED_VALUE"""),"On-time Delivery")</f>
        <v>On-time Delivery</v>
      </c>
      <c r="K2183" s="18" t="str">
        <f>IFERROR(__xludf.DUMMYFUNCTION("""COMPUTED_VALUE"""),"Delivered on time")</f>
        <v>Delivered on time</v>
      </c>
      <c r="L2183" s="18">
        <f>iferror(VLOOKUP($D2183,Details!$A$2:$C$11,2,false),vlookup($D2183,Details!$E$2:$G$11,2,false))</f>
        <v>150</v>
      </c>
      <c r="M2183" s="18" t="str">
        <f>iferror(VLOOKUP($D2183,Details!$A$2:$C$11,3,false),vlookup($D2183,Details!$E$2:$G$11,3,false))</f>
        <v>Snacks and Drinks</v>
      </c>
      <c r="N2183" s="18">
        <f t="shared" si="1"/>
        <v>450</v>
      </c>
      <c r="O2183" s="17"/>
      <c r="P2183" s="17"/>
      <c r="Q2183" s="17"/>
      <c r="R2183" s="17"/>
      <c r="S2183" s="17"/>
      <c r="T2183" s="17"/>
      <c r="U2183" s="17"/>
      <c r="V2183" s="17"/>
      <c r="W2183" s="17"/>
      <c r="X2183" s="17"/>
      <c r="Y2183" s="17"/>
      <c r="Z2183" s="17"/>
    </row>
    <row r="2184">
      <c r="A2184" s="18" t="str">
        <f>IFERROR(__xludf.DUMMYFUNCTION("""COMPUTED_VALUE"""),"ord_82158")</f>
        <v>ord_82158</v>
      </c>
      <c r="B2184" s="18" t="str">
        <f>IFERROR(__xludf.DUMMYFUNCTION("""COMPUTED_VALUE"""),"Arvind Kulkarni")</f>
        <v>Arvind Kulkarni</v>
      </c>
      <c r="C2184" s="18" t="str">
        <f>IFERROR(__xludf.DUMMYFUNCTION("""COMPUTED_VALUE"""),"Juhu")</f>
        <v>Juhu</v>
      </c>
      <c r="D2184" s="18" t="str">
        <f>IFERROR(__xludf.DUMMYFUNCTION("""COMPUTED_VALUE"""),"Cucumber")</f>
        <v>Cucumber</v>
      </c>
      <c r="E2184" s="18">
        <f>IFERROR(__xludf.DUMMYFUNCTION("""COMPUTED_VALUE"""),2.0)</f>
        <v>2</v>
      </c>
      <c r="F2184" s="18" t="str">
        <f>IFERROR(__xludf.DUMMYFUNCTION("""COMPUTED_VALUE"""),"Sita T")</f>
        <v>Sita T</v>
      </c>
      <c r="G2184" s="19">
        <f>IFERROR(__xludf.DUMMYFUNCTION("""COMPUTED_VALUE"""),45105.0)</f>
        <v>45105</v>
      </c>
      <c r="H2184" s="18" t="str">
        <f>IFERROR(__xludf.DUMMYFUNCTION("""COMPUTED_VALUE"""),"UPI")</f>
        <v>UPI</v>
      </c>
      <c r="I2184" s="18" t="str">
        <f>IFERROR(__xludf.DUMMYFUNCTION("""COMPUTED_VALUE"""),"Delivered")</f>
        <v>Delivered</v>
      </c>
      <c r="J2184" s="18" t="str">
        <f>IFERROR(__xludf.DUMMYFUNCTION("""COMPUTED_VALUE"""),"Quality of Items")</f>
        <v>Quality of Items</v>
      </c>
      <c r="K2184" s="18" t="str">
        <f>IFERROR(__xludf.DUMMYFUNCTION("""COMPUTED_VALUE"""),"Perfect condition")</f>
        <v>Perfect condition</v>
      </c>
      <c r="L2184" s="18">
        <f>iferror(VLOOKUP($D2184,Details!$A$2:$C$11,2,false),vlookup($D2184,Details!$E$2:$G$11,2,false))</f>
        <v>30</v>
      </c>
      <c r="M2184" s="18" t="str">
        <f>iferror(VLOOKUP($D2184,Details!$A$2:$C$11,3,false),vlookup($D2184,Details!$E$2:$G$11,3,false))</f>
        <v>Fruits and Vegetables</v>
      </c>
      <c r="N2184" s="18">
        <f t="shared" si="1"/>
        <v>60</v>
      </c>
      <c r="O2184" s="17"/>
      <c r="P2184" s="17"/>
      <c r="Q2184" s="17"/>
      <c r="R2184" s="17"/>
      <c r="S2184" s="17"/>
      <c r="T2184" s="17"/>
      <c r="U2184" s="17"/>
      <c r="V2184" s="17"/>
      <c r="W2184" s="17"/>
      <c r="X2184" s="17"/>
      <c r="Y2184" s="17"/>
      <c r="Z2184" s="17"/>
    </row>
    <row r="2185">
      <c r="A2185" s="18" t="str">
        <f>IFERROR(__xludf.DUMMYFUNCTION("""COMPUTED_VALUE"""),"ord_82159")</f>
        <v>ord_82159</v>
      </c>
      <c r="B2185" s="18" t="str">
        <f>IFERROR(__xludf.DUMMYFUNCTION("""COMPUTED_VALUE"""),"Mehul Thakkar")</f>
        <v>Mehul Thakkar</v>
      </c>
      <c r="C2185" s="18" t="str">
        <f>IFERROR(__xludf.DUMMYFUNCTION("""COMPUTED_VALUE"""),"Malad")</f>
        <v>Malad</v>
      </c>
      <c r="D2185" s="18" t="str">
        <f>IFERROR(__xludf.DUMMYFUNCTION("""COMPUTED_VALUE"""),"Orange")</f>
        <v>Orange</v>
      </c>
      <c r="E2185" s="18">
        <f>IFERROR(__xludf.DUMMYFUNCTION("""COMPUTED_VALUE"""),1.0)</f>
        <v>1</v>
      </c>
      <c r="F2185" s="18" t="str">
        <f>IFERROR(__xludf.DUMMYFUNCTION("""COMPUTED_VALUE"""),"Tanvi Jain")</f>
        <v>Tanvi Jain</v>
      </c>
      <c r="G2185" s="19">
        <f>IFERROR(__xludf.DUMMYFUNCTION("""COMPUTED_VALUE"""),45020.0)</f>
        <v>45020</v>
      </c>
      <c r="H2185" s="18" t="str">
        <f>IFERROR(__xludf.DUMMYFUNCTION("""COMPUTED_VALUE"""),"UPI")</f>
        <v>UPI</v>
      </c>
      <c r="I2185" s="18" t="str">
        <f>IFERROR(__xludf.DUMMYFUNCTION("""COMPUTED_VALUE"""),"Cancelled")</f>
        <v>Cancelled</v>
      </c>
      <c r="J2185" s="18" t="str">
        <f>IFERROR(__xludf.DUMMYFUNCTION("""COMPUTED_VALUE"""),"Delayed Delivery")</f>
        <v>Delayed Delivery</v>
      </c>
      <c r="K2185" s="18" t="str">
        <f>IFERROR(__xludf.DUMMYFUNCTION("""COMPUTED_VALUE"""),"High Order Volume")</f>
        <v>High Order Volume</v>
      </c>
      <c r="L2185" s="18">
        <f>iferror(VLOOKUP($D2185,Details!$A$2:$C$11,2,false),vlookup($D2185,Details!$E$2:$G$11,2,false))</f>
        <v>180</v>
      </c>
      <c r="M2185" s="18" t="str">
        <f>iferror(VLOOKUP($D2185,Details!$A$2:$C$11,3,false),vlookup($D2185,Details!$E$2:$G$11,3,false))</f>
        <v>Fruits and Vegetables</v>
      </c>
      <c r="N2185" s="18">
        <f t="shared" si="1"/>
        <v>180</v>
      </c>
      <c r="O2185" s="17"/>
      <c r="P2185" s="17"/>
      <c r="Q2185" s="17"/>
      <c r="R2185" s="17"/>
      <c r="S2185" s="17"/>
      <c r="T2185" s="17"/>
      <c r="U2185" s="17"/>
      <c r="V2185" s="17"/>
      <c r="W2185" s="17"/>
      <c r="X2185" s="17"/>
      <c r="Y2185" s="17"/>
      <c r="Z2185" s="17"/>
    </row>
    <row r="2186">
      <c r="A2186" s="18" t="str">
        <f>IFERROR(__xludf.DUMMYFUNCTION("""COMPUTED_VALUE"""),"ord_82160")</f>
        <v>ord_82160</v>
      </c>
      <c r="B2186" s="18" t="str">
        <f>IFERROR(__xludf.DUMMYFUNCTION("""COMPUTED_VALUE"""),"Pallavi Ghosh")</f>
        <v>Pallavi Ghosh</v>
      </c>
      <c r="C2186" s="18" t="str">
        <f>IFERROR(__xludf.DUMMYFUNCTION("""COMPUTED_VALUE"""),"Bandra")</f>
        <v>Bandra</v>
      </c>
      <c r="D2186" s="18" t="str">
        <f>IFERROR(__xludf.DUMMYFUNCTION("""COMPUTED_VALUE"""),"Rasmalai")</f>
        <v>Rasmalai</v>
      </c>
      <c r="E2186" s="18">
        <f>IFERROR(__xludf.DUMMYFUNCTION("""COMPUTED_VALUE"""),4.0)</f>
        <v>4</v>
      </c>
      <c r="F2186" s="18" t="str">
        <f>IFERROR(__xludf.DUMMYFUNCTION("""COMPUTED_VALUE"""),"Shine Thomas")</f>
        <v>Shine Thomas</v>
      </c>
      <c r="G2186" s="19">
        <f>IFERROR(__xludf.DUMMYFUNCTION("""COMPUTED_VALUE"""),45118.0)</f>
        <v>45118</v>
      </c>
      <c r="H2186" s="18" t="str">
        <f>IFERROR(__xludf.DUMMYFUNCTION("""COMPUTED_VALUE"""),"UPI")</f>
        <v>UPI</v>
      </c>
      <c r="I2186" s="18" t="str">
        <f>IFERROR(__xludf.DUMMYFUNCTION("""COMPUTED_VALUE"""),"Delivered")</f>
        <v>Delivered</v>
      </c>
      <c r="J2186" s="18" t="str">
        <f>IFERROR(__xludf.DUMMYFUNCTION("""COMPUTED_VALUE"""),"On-time Delivery")</f>
        <v>On-time Delivery</v>
      </c>
      <c r="K2186" s="18" t="str">
        <f>IFERROR(__xludf.DUMMYFUNCTION("""COMPUTED_VALUE"""),"Delivered on time")</f>
        <v>Delivered on time</v>
      </c>
      <c r="L2186" s="18">
        <f>iferror(VLOOKUP($D2186,Details!$A$2:$C$11,2,false),vlookup($D2186,Details!$E$2:$G$11,2,false))</f>
        <v>110</v>
      </c>
      <c r="M2186" s="18" t="str">
        <f>iferror(VLOOKUP($D2186,Details!$A$2:$C$11,3,false),vlookup($D2186,Details!$E$2:$G$11,3,false))</f>
        <v>Snacks and Drinks</v>
      </c>
      <c r="N2186" s="18">
        <f t="shared" si="1"/>
        <v>440</v>
      </c>
      <c r="O2186" s="17"/>
      <c r="P2186" s="17"/>
      <c r="Q2186" s="17"/>
      <c r="R2186" s="17"/>
      <c r="S2186" s="17"/>
      <c r="T2186" s="17"/>
      <c r="U2186" s="17"/>
      <c r="V2186" s="17"/>
      <c r="W2186" s="17"/>
      <c r="X2186" s="17"/>
      <c r="Y2186" s="17"/>
      <c r="Z2186" s="17"/>
    </row>
    <row r="2187">
      <c r="A2187" s="18" t="str">
        <f>IFERROR(__xludf.DUMMYFUNCTION("""COMPUTED_VALUE"""),"ord_82161")</f>
        <v>ord_82161</v>
      </c>
      <c r="B2187" s="18" t="str">
        <f>IFERROR(__xludf.DUMMYFUNCTION("""COMPUTED_VALUE"""),"Sanjay Nair")</f>
        <v>Sanjay Nair</v>
      </c>
      <c r="C2187" s="18" t="str">
        <f>IFERROR(__xludf.DUMMYFUNCTION("""COMPUTED_VALUE"""),"Dadar")</f>
        <v>Dadar</v>
      </c>
      <c r="D2187" s="18" t="str">
        <f>IFERROR(__xludf.DUMMYFUNCTION("""COMPUTED_VALUE"""),"Veg Puff")</f>
        <v>Veg Puff</v>
      </c>
      <c r="E2187" s="18">
        <f>IFERROR(__xludf.DUMMYFUNCTION("""COMPUTED_VALUE"""),4.0)</f>
        <v>4</v>
      </c>
      <c r="F2187" s="18" t="str">
        <f>IFERROR(__xludf.DUMMYFUNCTION("""COMPUTED_VALUE"""),"Vivek Kumar")</f>
        <v>Vivek Kumar</v>
      </c>
      <c r="G2187" s="19">
        <f>IFERROR(__xludf.DUMMYFUNCTION("""COMPUTED_VALUE"""),45263.0)</f>
        <v>45263</v>
      </c>
      <c r="H2187" s="18" t="str">
        <f>IFERROR(__xludf.DUMMYFUNCTION("""COMPUTED_VALUE"""),"Online Payment")</f>
        <v>Online Payment</v>
      </c>
      <c r="I2187" s="18" t="str">
        <f>IFERROR(__xludf.DUMMYFUNCTION("""COMPUTED_VALUE"""),"Delivered")</f>
        <v>Delivered</v>
      </c>
      <c r="J2187" s="18" t="str">
        <f>IFERROR(__xludf.DUMMYFUNCTION("""COMPUTED_VALUE"""),"Quality of Items")</f>
        <v>Quality of Items</v>
      </c>
      <c r="K2187" s="18" t="str">
        <f>IFERROR(__xludf.DUMMYFUNCTION("""COMPUTED_VALUE"""),"Perfect condition")</f>
        <v>Perfect condition</v>
      </c>
      <c r="L2187" s="18">
        <f>iferror(VLOOKUP($D2187,Details!$A$2:$C$11,2,false),vlookup($D2187,Details!$E$2:$G$11,2,false))</f>
        <v>80</v>
      </c>
      <c r="M2187" s="18" t="str">
        <f>iferror(VLOOKUP($D2187,Details!$A$2:$C$11,3,false),vlookup($D2187,Details!$E$2:$G$11,3,false))</f>
        <v>Snacks and Drinks</v>
      </c>
      <c r="N2187" s="18">
        <f t="shared" si="1"/>
        <v>320</v>
      </c>
      <c r="O2187" s="17"/>
      <c r="P2187" s="17"/>
      <c r="Q2187" s="17"/>
      <c r="R2187" s="17"/>
      <c r="S2187" s="17"/>
      <c r="T2187" s="17"/>
      <c r="U2187" s="17"/>
      <c r="V2187" s="17"/>
      <c r="W2187" s="17"/>
      <c r="X2187" s="17"/>
      <c r="Y2187" s="17"/>
      <c r="Z2187" s="17"/>
    </row>
    <row r="2188">
      <c r="A2188" s="18" t="str">
        <f>IFERROR(__xludf.DUMMYFUNCTION("""COMPUTED_VALUE"""),"ord_82162")</f>
        <v>ord_82162</v>
      </c>
      <c r="B2188" s="18" t="str">
        <f>IFERROR(__xludf.DUMMYFUNCTION("""COMPUTED_VALUE"""),"Dev Chauhan")</f>
        <v>Dev Chauhan</v>
      </c>
      <c r="C2188" s="18" t="str">
        <f>IFERROR(__xludf.DUMMYFUNCTION("""COMPUTED_VALUE"""),"Bandra")</f>
        <v>Bandra</v>
      </c>
      <c r="D2188" s="18" t="str">
        <f>IFERROR(__xludf.DUMMYFUNCTION("""COMPUTED_VALUE"""),"Onion")</f>
        <v>Onion</v>
      </c>
      <c r="E2188" s="18">
        <f>IFERROR(__xludf.DUMMYFUNCTION("""COMPUTED_VALUE"""),2.0)</f>
        <v>2</v>
      </c>
      <c r="F2188" s="18" t="str">
        <f>IFERROR(__xludf.DUMMYFUNCTION("""COMPUTED_VALUE"""),"Manju Ajay")</f>
        <v>Manju Ajay</v>
      </c>
      <c r="G2188" s="19">
        <f>IFERROR(__xludf.DUMMYFUNCTION("""COMPUTED_VALUE"""),44983.0)</f>
        <v>44983</v>
      </c>
      <c r="H2188" s="18" t="str">
        <f>IFERROR(__xludf.DUMMYFUNCTION("""COMPUTED_VALUE"""),"UPI")</f>
        <v>UPI</v>
      </c>
      <c r="I2188" s="18" t="str">
        <f>IFERROR(__xludf.DUMMYFUNCTION("""COMPUTED_VALUE"""),"Delivered")</f>
        <v>Delivered</v>
      </c>
      <c r="J2188" s="18" t="str">
        <f>IFERROR(__xludf.DUMMYFUNCTION("""COMPUTED_VALUE"""),"Packaging")</f>
        <v>Packaging</v>
      </c>
      <c r="K2188" s="18" t="str">
        <f>IFERROR(__xludf.DUMMYFUNCTION("""COMPUTED_VALUE"""),"Secure and intact")</f>
        <v>Secure and intact</v>
      </c>
      <c r="L2188" s="18">
        <f>iferror(VLOOKUP($D2188,Details!$A$2:$C$11,2,false),vlookup($D2188,Details!$E$2:$G$11,2,false))</f>
        <v>84</v>
      </c>
      <c r="M2188" s="18" t="str">
        <f>iferror(VLOOKUP($D2188,Details!$A$2:$C$11,3,false),vlookup($D2188,Details!$E$2:$G$11,3,false))</f>
        <v>Fruits and Vegetables</v>
      </c>
      <c r="N2188" s="18">
        <f t="shared" si="1"/>
        <v>168</v>
      </c>
      <c r="O2188" s="17"/>
      <c r="P2188" s="17"/>
      <c r="Q2188" s="17"/>
      <c r="R2188" s="17"/>
      <c r="S2188" s="17"/>
      <c r="T2188" s="17"/>
      <c r="U2188" s="17"/>
      <c r="V2188" s="17"/>
      <c r="W2188" s="17"/>
      <c r="X2188" s="17"/>
      <c r="Y2188" s="17"/>
      <c r="Z2188" s="17"/>
    </row>
    <row r="2189">
      <c r="A2189" s="18" t="str">
        <f>IFERROR(__xludf.DUMMYFUNCTION("""COMPUTED_VALUE"""),"ord_82163")</f>
        <v>ord_82163</v>
      </c>
      <c r="B2189" s="18" t="str">
        <f>IFERROR(__xludf.DUMMYFUNCTION("""COMPUTED_VALUE"""),"Omkar Mishra")</f>
        <v>Omkar Mishra</v>
      </c>
      <c r="C2189" s="18" t="str">
        <f>IFERROR(__xludf.DUMMYFUNCTION("""COMPUTED_VALUE"""),"Powai")</f>
        <v>Powai</v>
      </c>
      <c r="D2189" s="18" t="str">
        <f>IFERROR(__xludf.DUMMYFUNCTION("""COMPUTED_VALUE"""),"Cucumber")</f>
        <v>Cucumber</v>
      </c>
      <c r="E2189" s="18">
        <f>IFERROR(__xludf.DUMMYFUNCTION("""COMPUTED_VALUE"""),1.0)</f>
        <v>1</v>
      </c>
      <c r="F2189" s="18" t="str">
        <f>IFERROR(__xludf.DUMMYFUNCTION("""COMPUTED_VALUE"""),"Vivek Kumar")</f>
        <v>Vivek Kumar</v>
      </c>
      <c r="G2189" s="19">
        <f>IFERROR(__xludf.DUMMYFUNCTION("""COMPUTED_VALUE"""),45283.0)</f>
        <v>45283</v>
      </c>
      <c r="H2189" s="18" t="str">
        <f>IFERROR(__xludf.DUMMYFUNCTION("""COMPUTED_VALUE"""),"UPI")</f>
        <v>UPI</v>
      </c>
      <c r="I2189" s="18" t="str">
        <f>IFERROR(__xludf.DUMMYFUNCTION("""COMPUTED_VALUE"""),"Delivered")</f>
        <v>Delivered</v>
      </c>
      <c r="J2189" s="18" t="str">
        <f>IFERROR(__xludf.DUMMYFUNCTION("""COMPUTED_VALUE"""),"Satisfied with the Delivery")</f>
        <v>Satisfied with the Delivery</v>
      </c>
      <c r="K2189" s="18" t="str">
        <f>IFERROR(__xludf.DUMMYFUNCTION("""COMPUTED_VALUE"""),"Timely and quality")</f>
        <v>Timely and quality</v>
      </c>
      <c r="L2189" s="18">
        <f>iferror(VLOOKUP($D2189,Details!$A$2:$C$11,2,false),vlookup($D2189,Details!$E$2:$G$11,2,false))</f>
        <v>30</v>
      </c>
      <c r="M2189" s="18" t="str">
        <f>iferror(VLOOKUP($D2189,Details!$A$2:$C$11,3,false),vlookup($D2189,Details!$E$2:$G$11,3,false))</f>
        <v>Fruits and Vegetables</v>
      </c>
      <c r="N2189" s="18">
        <f t="shared" si="1"/>
        <v>30</v>
      </c>
      <c r="O2189" s="17"/>
      <c r="P2189" s="17"/>
      <c r="Q2189" s="17"/>
      <c r="R2189" s="17"/>
      <c r="S2189" s="17"/>
      <c r="T2189" s="17"/>
      <c r="U2189" s="17"/>
      <c r="V2189" s="17"/>
      <c r="W2189" s="17"/>
      <c r="X2189" s="17"/>
      <c r="Y2189" s="17"/>
      <c r="Z2189" s="17"/>
    </row>
    <row r="2190">
      <c r="A2190" s="18" t="str">
        <f>IFERROR(__xludf.DUMMYFUNCTION("""COMPUTED_VALUE"""),"ord_82164")</f>
        <v>ord_82164</v>
      </c>
      <c r="B2190" s="18" t="str">
        <f>IFERROR(__xludf.DUMMYFUNCTION("""COMPUTED_VALUE"""),"Ishita Banerjee")</f>
        <v>Ishita Banerjee</v>
      </c>
      <c r="C2190" s="18" t="str">
        <f>IFERROR(__xludf.DUMMYFUNCTION("""COMPUTED_VALUE"""),"Juhu")</f>
        <v>Juhu</v>
      </c>
      <c r="D2190" s="18" t="str">
        <f>IFERROR(__xludf.DUMMYFUNCTION("""COMPUTED_VALUE"""),"Papaya")</f>
        <v>Papaya</v>
      </c>
      <c r="E2190" s="18">
        <f>IFERROR(__xludf.DUMMYFUNCTION("""COMPUTED_VALUE"""),2.0)</f>
        <v>2</v>
      </c>
      <c r="F2190" s="18" t="str">
        <f>IFERROR(__xludf.DUMMYFUNCTION("""COMPUTED_VALUE"""),"Venu R")</f>
        <v>Venu R</v>
      </c>
      <c r="G2190" s="19">
        <f>IFERROR(__xludf.DUMMYFUNCTION("""COMPUTED_VALUE"""),45130.0)</f>
        <v>45130</v>
      </c>
      <c r="H2190" s="18" t="str">
        <f>IFERROR(__xludf.DUMMYFUNCTION("""COMPUTED_VALUE"""),"UPI")</f>
        <v>UPI</v>
      </c>
      <c r="I2190" s="18" t="str">
        <f>IFERROR(__xludf.DUMMYFUNCTION("""COMPUTED_VALUE"""),"Delivered")</f>
        <v>Delivered</v>
      </c>
      <c r="J2190" s="18" t="str">
        <f>IFERROR(__xludf.DUMMYFUNCTION("""COMPUTED_VALUE"""),"Customer Service")</f>
        <v>Customer Service</v>
      </c>
      <c r="K2190" s="18" t="str">
        <f>IFERROR(__xludf.DUMMYFUNCTION("""COMPUTED_VALUE"""),"Seamless and easy")</f>
        <v>Seamless and easy</v>
      </c>
      <c r="L2190" s="18">
        <f>iferror(VLOOKUP($D2190,Details!$A$2:$C$11,2,false),vlookup($D2190,Details!$E$2:$G$11,2,false))</f>
        <v>75</v>
      </c>
      <c r="M2190" s="18" t="str">
        <f>iferror(VLOOKUP($D2190,Details!$A$2:$C$11,3,false),vlookup($D2190,Details!$E$2:$G$11,3,false))</f>
        <v>Fruits and Vegetables</v>
      </c>
      <c r="N2190" s="18">
        <f t="shared" si="1"/>
        <v>150</v>
      </c>
      <c r="O2190" s="17"/>
      <c r="P2190" s="17"/>
      <c r="Q2190" s="17"/>
      <c r="R2190" s="17"/>
      <c r="S2190" s="17"/>
      <c r="T2190" s="17"/>
      <c r="U2190" s="17"/>
      <c r="V2190" s="17"/>
      <c r="W2190" s="17"/>
      <c r="X2190" s="17"/>
      <c r="Y2190" s="17"/>
      <c r="Z2190" s="17"/>
    </row>
    <row r="2191">
      <c r="A2191" s="18" t="str">
        <f>IFERROR(__xludf.DUMMYFUNCTION("""COMPUTED_VALUE"""),"ord_82165")</f>
        <v>ord_82165</v>
      </c>
      <c r="B2191" s="18" t="str">
        <f>IFERROR(__xludf.DUMMYFUNCTION("""COMPUTED_VALUE"""),"Pranav Joshi")</f>
        <v>Pranav Joshi</v>
      </c>
      <c r="C2191" s="18" t="str">
        <f>IFERROR(__xludf.DUMMYFUNCTION("""COMPUTED_VALUE"""),"Andheri")</f>
        <v>Andheri</v>
      </c>
      <c r="D2191" s="18" t="str">
        <f>IFERROR(__xludf.DUMMYFUNCTION("""COMPUTED_VALUE"""),"Sweet Corn")</f>
        <v>Sweet Corn</v>
      </c>
      <c r="E2191" s="18">
        <f>IFERROR(__xludf.DUMMYFUNCTION("""COMPUTED_VALUE"""),2.0)</f>
        <v>2</v>
      </c>
      <c r="F2191" s="18" t="str">
        <f>IFERROR(__xludf.DUMMYFUNCTION("""COMPUTED_VALUE"""),"Ramesh S")</f>
        <v>Ramesh S</v>
      </c>
      <c r="G2191" s="19">
        <f>IFERROR(__xludf.DUMMYFUNCTION("""COMPUTED_VALUE"""),45234.0)</f>
        <v>45234</v>
      </c>
      <c r="H2191" s="18" t="str">
        <f>IFERROR(__xludf.DUMMYFUNCTION("""COMPUTED_VALUE"""),"Credit Card")</f>
        <v>Credit Card</v>
      </c>
      <c r="I2191" s="18" t="str">
        <f>IFERROR(__xludf.DUMMYFUNCTION("""COMPUTED_VALUE"""),"Delivered")</f>
        <v>Delivered</v>
      </c>
      <c r="J2191" s="18" t="str">
        <f>IFERROR(__xludf.DUMMYFUNCTION("""COMPUTED_VALUE"""),"Delivery Experience")</f>
        <v>Delivery Experience</v>
      </c>
      <c r="K2191" s="18" t="str">
        <f>IFERROR(__xludf.DUMMYFUNCTION("""COMPUTED_VALUE"""),"Quick and professional")</f>
        <v>Quick and professional</v>
      </c>
      <c r="L2191" s="18">
        <f>iferror(VLOOKUP($D2191,Details!$A$2:$C$11,2,false),vlookup($D2191,Details!$E$2:$G$11,2,false))</f>
        <v>60</v>
      </c>
      <c r="M2191" s="18" t="str">
        <f>iferror(VLOOKUP($D2191,Details!$A$2:$C$11,3,false),vlookup($D2191,Details!$E$2:$G$11,3,false))</f>
        <v>Fruits and Vegetables</v>
      </c>
      <c r="N2191" s="18">
        <f t="shared" si="1"/>
        <v>120</v>
      </c>
      <c r="O2191" s="17"/>
      <c r="P2191" s="17"/>
      <c r="Q2191" s="17"/>
      <c r="R2191" s="17"/>
      <c r="S2191" s="17"/>
      <c r="T2191" s="17"/>
      <c r="U2191" s="17"/>
      <c r="V2191" s="17"/>
      <c r="W2191" s="17"/>
      <c r="X2191" s="17"/>
      <c r="Y2191" s="17"/>
      <c r="Z2191" s="17"/>
    </row>
    <row r="2192">
      <c r="A2192" s="18" t="str">
        <f>IFERROR(__xludf.DUMMYFUNCTION("""COMPUTED_VALUE"""),"ord_82166")</f>
        <v>ord_82166</v>
      </c>
      <c r="B2192" s="18" t="str">
        <f>IFERROR(__xludf.DUMMYFUNCTION("""COMPUTED_VALUE"""),"Kritika Shetty")</f>
        <v>Kritika Shetty</v>
      </c>
      <c r="C2192" s="18" t="str">
        <f>IFERROR(__xludf.DUMMYFUNCTION("""COMPUTED_VALUE"""),"Malad")</f>
        <v>Malad</v>
      </c>
      <c r="D2192" s="18" t="str">
        <f>IFERROR(__xludf.DUMMYFUNCTION("""COMPUTED_VALUE"""),"Guava")</f>
        <v>Guava</v>
      </c>
      <c r="E2192" s="18">
        <f>IFERROR(__xludf.DUMMYFUNCTION("""COMPUTED_VALUE"""),2.0)</f>
        <v>2</v>
      </c>
      <c r="F2192" s="18" t="str">
        <f>IFERROR(__xludf.DUMMYFUNCTION("""COMPUTED_VALUE"""),"Sita T")</f>
        <v>Sita T</v>
      </c>
      <c r="G2192" s="19">
        <f>IFERROR(__xludf.DUMMYFUNCTION("""COMPUTED_VALUE"""),45265.0)</f>
        <v>45265</v>
      </c>
      <c r="H2192" s="18" t="str">
        <f>IFERROR(__xludf.DUMMYFUNCTION("""COMPUTED_VALUE"""),"Online Payment")</f>
        <v>Online Payment</v>
      </c>
      <c r="I2192" s="18" t="str">
        <f>IFERROR(__xludf.DUMMYFUNCTION("""COMPUTED_VALUE"""),"Delivered")</f>
        <v>Delivered</v>
      </c>
      <c r="J2192" s="18" t="str">
        <f>IFERROR(__xludf.DUMMYFUNCTION("""COMPUTED_VALUE"""),"Convenience")</f>
        <v>Convenience</v>
      </c>
      <c r="K2192" s="18" t="str">
        <f>IFERROR(__xludf.DUMMYFUNCTION("""COMPUTED_VALUE"""),"Easy tracking")</f>
        <v>Easy tracking</v>
      </c>
      <c r="L2192" s="18">
        <f>iferror(VLOOKUP($D2192,Details!$A$2:$C$11,2,false),vlookup($D2192,Details!$E$2:$G$11,2,false))</f>
        <v>70</v>
      </c>
      <c r="M2192" s="18" t="str">
        <f>iferror(VLOOKUP($D2192,Details!$A$2:$C$11,3,false),vlookup($D2192,Details!$E$2:$G$11,3,false))</f>
        <v>Fruits and Vegetables</v>
      </c>
      <c r="N2192" s="18">
        <f t="shared" si="1"/>
        <v>140</v>
      </c>
      <c r="O2192" s="17"/>
      <c r="P2192" s="17"/>
      <c r="Q2192" s="17"/>
      <c r="R2192" s="17"/>
      <c r="S2192" s="17"/>
      <c r="T2192" s="17"/>
      <c r="U2192" s="17"/>
      <c r="V2192" s="17"/>
      <c r="W2192" s="17"/>
      <c r="X2192" s="17"/>
      <c r="Y2192" s="17"/>
      <c r="Z2192" s="17"/>
    </row>
    <row r="2193">
      <c r="A2193" s="18" t="str">
        <f>IFERROR(__xludf.DUMMYFUNCTION("""COMPUTED_VALUE"""),"ord_82167")</f>
        <v>ord_82167</v>
      </c>
      <c r="B2193" s="18" t="str">
        <f>IFERROR(__xludf.DUMMYFUNCTION("""COMPUTED_VALUE"""),"Parth Goel")</f>
        <v>Parth Goel</v>
      </c>
      <c r="C2193" s="18" t="str">
        <f>IFERROR(__xludf.DUMMYFUNCTION("""COMPUTED_VALUE"""),"Juhu")</f>
        <v>Juhu</v>
      </c>
      <c r="D2193" s="18" t="str">
        <f>IFERROR(__xludf.DUMMYFUNCTION("""COMPUTED_VALUE"""),"Sweet Corn")</f>
        <v>Sweet Corn</v>
      </c>
      <c r="E2193" s="18">
        <f>IFERROR(__xludf.DUMMYFUNCTION("""COMPUTED_VALUE"""),2.0)</f>
        <v>2</v>
      </c>
      <c r="F2193" s="18" t="str">
        <f>IFERROR(__xludf.DUMMYFUNCTION("""COMPUTED_VALUE"""),"Shine Thomas")</f>
        <v>Shine Thomas</v>
      </c>
      <c r="G2193" s="19">
        <f>IFERROR(__xludf.DUMMYFUNCTION("""COMPUTED_VALUE"""),44981.0)</f>
        <v>44981</v>
      </c>
      <c r="H2193" s="18" t="str">
        <f>IFERROR(__xludf.DUMMYFUNCTION("""COMPUTED_VALUE"""),"UPI")</f>
        <v>UPI</v>
      </c>
      <c r="I2193" s="18" t="str">
        <f>IFERROR(__xludf.DUMMYFUNCTION("""COMPUTED_VALUE"""),"Delivered")</f>
        <v>Delivered</v>
      </c>
      <c r="J2193" s="18" t="str">
        <f>IFERROR(__xludf.DUMMYFUNCTION("""COMPUTED_VALUE"""),"Overall Satisfaction")</f>
        <v>Overall Satisfaction</v>
      </c>
      <c r="K2193" s="18" t="str">
        <f>IFERROR(__xludf.DUMMYFUNCTION("""COMPUTED_VALUE"""),"Great service will order again")</f>
        <v>Great service will order again</v>
      </c>
      <c r="L2193" s="18">
        <f>iferror(VLOOKUP($D2193,Details!$A$2:$C$11,2,false),vlookup($D2193,Details!$E$2:$G$11,2,false))</f>
        <v>60</v>
      </c>
      <c r="M2193" s="18" t="str">
        <f>iferror(VLOOKUP($D2193,Details!$A$2:$C$11,3,false),vlookup($D2193,Details!$E$2:$G$11,3,false))</f>
        <v>Fruits and Vegetables</v>
      </c>
      <c r="N2193" s="18">
        <f t="shared" si="1"/>
        <v>120</v>
      </c>
      <c r="O2193" s="17"/>
      <c r="P2193" s="17"/>
      <c r="Q2193" s="17"/>
      <c r="R2193" s="17"/>
      <c r="S2193" s="17"/>
      <c r="T2193" s="17"/>
      <c r="U2193" s="17"/>
      <c r="V2193" s="17"/>
      <c r="W2193" s="17"/>
      <c r="X2193" s="17"/>
      <c r="Y2193" s="17"/>
      <c r="Z2193" s="17"/>
    </row>
    <row r="2194">
      <c r="A2194" s="18" t="str">
        <f>IFERROR(__xludf.DUMMYFUNCTION("""COMPUTED_VALUE"""),"ord_82168")</f>
        <v>ord_82168</v>
      </c>
      <c r="B2194" s="18" t="str">
        <f>IFERROR(__xludf.DUMMYFUNCTION("""COMPUTED_VALUE"""),"Sakshi Tandon")</f>
        <v>Sakshi Tandon</v>
      </c>
      <c r="C2194" s="18" t="str">
        <f>IFERROR(__xludf.DUMMYFUNCTION("""COMPUTED_VALUE"""),"Colaba")</f>
        <v>Colaba</v>
      </c>
      <c r="D2194" s="18" t="str">
        <f>IFERROR(__xludf.DUMMYFUNCTION("""COMPUTED_VALUE"""),"Chicken Puff")</f>
        <v>Chicken Puff</v>
      </c>
      <c r="E2194" s="18">
        <f>IFERROR(__xludf.DUMMYFUNCTION("""COMPUTED_VALUE"""),4.0)</f>
        <v>4</v>
      </c>
      <c r="F2194" s="18" t="str">
        <f>IFERROR(__xludf.DUMMYFUNCTION("""COMPUTED_VALUE"""),"Ramesh S")</f>
        <v>Ramesh S</v>
      </c>
      <c r="G2194" s="19">
        <f>IFERROR(__xludf.DUMMYFUNCTION("""COMPUTED_VALUE"""),45156.0)</f>
        <v>45156</v>
      </c>
      <c r="H2194" s="18" t="str">
        <f>IFERROR(__xludf.DUMMYFUNCTION("""COMPUTED_VALUE"""),"UPI")</f>
        <v>UPI</v>
      </c>
      <c r="I2194" s="18" t="str">
        <f>IFERROR(__xludf.DUMMYFUNCTION("""COMPUTED_VALUE"""),"Delivered")</f>
        <v>Delivered</v>
      </c>
      <c r="J2194" s="18" t="str">
        <f>IFERROR(__xludf.DUMMYFUNCTION("""COMPUTED_VALUE"""),"On-time Delivery")</f>
        <v>On-time Delivery</v>
      </c>
      <c r="K2194" s="18" t="str">
        <f>IFERROR(__xludf.DUMMYFUNCTION("""COMPUTED_VALUE"""),"Delivered on time")</f>
        <v>Delivered on time</v>
      </c>
      <c r="L2194" s="18">
        <f>iferror(VLOOKUP($D2194,Details!$A$2:$C$11,2,false),vlookup($D2194,Details!$E$2:$G$11,2,false))</f>
        <v>90</v>
      </c>
      <c r="M2194" s="18" t="str">
        <f>iferror(VLOOKUP($D2194,Details!$A$2:$C$11,3,false),vlookup($D2194,Details!$E$2:$G$11,3,false))</f>
        <v>Snacks and Drinks</v>
      </c>
      <c r="N2194" s="18">
        <f t="shared" si="1"/>
        <v>360</v>
      </c>
      <c r="O2194" s="17"/>
      <c r="P2194" s="17"/>
      <c r="Q2194" s="17"/>
      <c r="R2194" s="17"/>
      <c r="S2194" s="17"/>
      <c r="T2194" s="17"/>
      <c r="U2194" s="17"/>
      <c r="V2194" s="17"/>
      <c r="W2194" s="17"/>
      <c r="X2194" s="17"/>
      <c r="Y2194" s="17"/>
      <c r="Z2194" s="17"/>
    </row>
    <row r="2195">
      <c r="A2195" s="18" t="str">
        <f>IFERROR(__xludf.DUMMYFUNCTION("""COMPUTED_VALUE"""),"ord_82169")</f>
        <v>ord_82169</v>
      </c>
      <c r="B2195" s="18" t="str">
        <f>IFERROR(__xludf.DUMMYFUNCTION("""COMPUTED_VALUE"""),"Mehul Thakkar")</f>
        <v>Mehul Thakkar</v>
      </c>
      <c r="C2195" s="18" t="str">
        <f>IFERROR(__xludf.DUMMYFUNCTION("""COMPUTED_VALUE"""),"Malad")</f>
        <v>Malad</v>
      </c>
      <c r="D2195" s="18" t="str">
        <f>IFERROR(__xludf.DUMMYFUNCTION("""COMPUTED_VALUE"""),"Sweet Corn")</f>
        <v>Sweet Corn</v>
      </c>
      <c r="E2195" s="18">
        <f>IFERROR(__xludf.DUMMYFUNCTION("""COMPUTED_VALUE"""),1.0)</f>
        <v>1</v>
      </c>
      <c r="F2195" s="18" t="str">
        <f>IFERROR(__xludf.DUMMYFUNCTION("""COMPUTED_VALUE"""),"Nithin Lal")</f>
        <v>Nithin Lal</v>
      </c>
      <c r="G2195" s="19">
        <f>IFERROR(__xludf.DUMMYFUNCTION("""COMPUTED_VALUE"""),45033.0)</f>
        <v>45033</v>
      </c>
      <c r="H2195" s="18" t="str">
        <f>IFERROR(__xludf.DUMMYFUNCTION("""COMPUTED_VALUE"""),"Online Payment")</f>
        <v>Online Payment</v>
      </c>
      <c r="I2195" s="18" t="str">
        <f>IFERROR(__xludf.DUMMYFUNCTION("""COMPUTED_VALUE"""),"Cancelled")</f>
        <v>Cancelled</v>
      </c>
      <c r="J2195" s="18" t="str">
        <f>IFERROR(__xludf.DUMMYFUNCTION("""COMPUTED_VALUE"""),"Delayed Delivery")</f>
        <v>Delayed Delivery</v>
      </c>
      <c r="K2195" s="18" t="str">
        <f>IFERROR(__xludf.DUMMYFUNCTION("""COMPUTED_VALUE"""),"Bad Weather Conditions")</f>
        <v>Bad Weather Conditions</v>
      </c>
      <c r="L2195" s="18">
        <f>iferror(VLOOKUP($D2195,Details!$A$2:$C$11,2,false),vlookup($D2195,Details!$E$2:$G$11,2,false))</f>
        <v>60</v>
      </c>
      <c r="M2195" s="18" t="str">
        <f>iferror(VLOOKUP($D2195,Details!$A$2:$C$11,3,false),vlookup($D2195,Details!$E$2:$G$11,3,false))</f>
        <v>Fruits and Vegetables</v>
      </c>
      <c r="N2195" s="18">
        <f t="shared" si="1"/>
        <v>60</v>
      </c>
      <c r="O2195" s="17"/>
      <c r="P2195" s="17"/>
      <c r="Q2195" s="17"/>
      <c r="R2195" s="17"/>
      <c r="S2195" s="17"/>
      <c r="T2195" s="17"/>
      <c r="U2195" s="17"/>
      <c r="V2195" s="17"/>
      <c r="W2195" s="17"/>
      <c r="X2195" s="17"/>
      <c r="Y2195" s="17"/>
      <c r="Z2195" s="17"/>
    </row>
    <row r="2196">
      <c r="A2196" s="18" t="str">
        <f>IFERROR(__xludf.DUMMYFUNCTION("""COMPUTED_VALUE"""),"ord_82170")</f>
        <v>ord_82170</v>
      </c>
      <c r="B2196" s="18" t="str">
        <f>IFERROR(__xludf.DUMMYFUNCTION("""COMPUTED_VALUE"""),"Pranav Joshi")</f>
        <v>Pranav Joshi</v>
      </c>
      <c r="C2196" s="18" t="str">
        <f>IFERROR(__xludf.DUMMYFUNCTION("""COMPUTED_VALUE"""),"Andheri")</f>
        <v>Andheri</v>
      </c>
      <c r="D2196" s="18" t="str">
        <f>IFERROR(__xludf.DUMMYFUNCTION("""COMPUTED_VALUE"""),"Cold Coffee")</f>
        <v>Cold Coffee</v>
      </c>
      <c r="E2196" s="18">
        <f>IFERROR(__xludf.DUMMYFUNCTION("""COMPUTED_VALUE"""),3.0)</f>
        <v>3</v>
      </c>
      <c r="F2196" s="18" t="str">
        <f>IFERROR(__xludf.DUMMYFUNCTION("""COMPUTED_VALUE"""),"Shine Thomas")</f>
        <v>Shine Thomas</v>
      </c>
      <c r="G2196" s="19">
        <f>IFERROR(__xludf.DUMMYFUNCTION("""COMPUTED_VALUE"""),45269.0)</f>
        <v>45269</v>
      </c>
      <c r="H2196" s="18" t="str">
        <f>IFERROR(__xludf.DUMMYFUNCTION("""COMPUTED_VALUE"""),"Credit Card")</f>
        <v>Credit Card</v>
      </c>
      <c r="I2196" s="18" t="str">
        <f>IFERROR(__xludf.DUMMYFUNCTION("""COMPUTED_VALUE"""),"Delivered")</f>
        <v>Delivered</v>
      </c>
      <c r="J2196" s="18" t="str">
        <f>IFERROR(__xludf.DUMMYFUNCTION("""COMPUTED_VALUE"""),"Quality of Items")</f>
        <v>Quality of Items</v>
      </c>
      <c r="K2196" s="18" t="str">
        <f>IFERROR(__xludf.DUMMYFUNCTION("""COMPUTED_VALUE"""),"Perfect condition")</f>
        <v>Perfect condition</v>
      </c>
      <c r="L2196" s="18">
        <f>iferror(VLOOKUP($D2196,Details!$A$2:$C$11,2,false),vlookup($D2196,Details!$E$2:$G$11,2,false))</f>
        <v>270</v>
      </c>
      <c r="M2196" s="18" t="str">
        <f>iferror(VLOOKUP($D2196,Details!$A$2:$C$11,3,false),vlookup($D2196,Details!$E$2:$G$11,3,false))</f>
        <v>Snacks and Drinks</v>
      </c>
      <c r="N2196" s="18">
        <f t="shared" si="1"/>
        <v>810</v>
      </c>
      <c r="O2196" s="17"/>
      <c r="P2196" s="17"/>
      <c r="Q2196" s="17"/>
      <c r="R2196" s="17"/>
      <c r="S2196" s="17"/>
      <c r="T2196" s="17"/>
      <c r="U2196" s="17"/>
      <c r="V2196" s="17"/>
      <c r="W2196" s="17"/>
      <c r="X2196" s="17"/>
      <c r="Y2196" s="17"/>
      <c r="Z2196" s="17"/>
    </row>
    <row r="2197">
      <c r="A2197" s="18" t="str">
        <f>IFERROR(__xludf.DUMMYFUNCTION("""COMPUTED_VALUE"""),"ord_82171")</f>
        <v>ord_82171</v>
      </c>
      <c r="B2197" s="18" t="str">
        <f>IFERROR(__xludf.DUMMYFUNCTION("""COMPUTED_VALUE"""),"Dev Chauhan")</f>
        <v>Dev Chauhan</v>
      </c>
      <c r="C2197" s="18" t="str">
        <f>IFERROR(__xludf.DUMMYFUNCTION("""COMPUTED_VALUE"""),"Bandra")</f>
        <v>Bandra</v>
      </c>
      <c r="D2197" s="18" t="str">
        <f>IFERROR(__xludf.DUMMYFUNCTION("""COMPUTED_VALUE"""),"Banana")</f>
        <v>Banana</v>
      </c>
      <c r="E2197" s="18">
        <f>IFERROR(__xludf.DUMMYFUNCTION("""COMPUTED_VALUE"""),2.0)</f>
        <v>2</v>
      </c>
      <c r="F2197" s="18" t="str">
        <f>IFERROR(__xludf.DUMMYFUNCTION("""COMPUTED_VALUE"""),"Sita T")</f>
        <v>Sita T</v>
      </c>
      <c r="G2197" s="19">
        <f>IFERROR(__xludf.DUMMYFUNCTION("""COMPUTED_VALUE"""),45281.0)</f>
        <v>45281</v>
      </c>
      <c r="H2197" s="18" t="str">
        <f>IFERROR(__xludf.DUMMYFUNCTION("""COMPUTED_VALUE"""),"Online Payment")</f>
        <v>Online Payment</v>
      </c>
      <c r="I2197" s="18" t="str">
        <f>IFERROR(__xludf.DUMMYFUNCTION("""COMPUTED_VALUE"""),"Delivered")</f>
        <v>Delivered</v>
      </c>
      <c r="J2197" s="18" t="str">
        <f>IFERROR(__xludf.DUMMYFUNCTION("""COMPUTED_VALUE"""),"On-time Delivery")</f>
        <v>On-time Delivery</v>
      </c>
      <c r="K2197" s="18" t="str">
        <f>IFERROR(__xludf.DUMMYFUNCTION("""COMPUTED_VALUE"""),"Delivered on time")</f>
        <v>Delivered on time</v>
      </c>
      <c r="L2197" s="18">
        <f>iferror(VLOOKUP($D2197,Details!$A$2:$C$11,2,false),vlookup($D2197,Details!$E$2:$G$11,2,false))</f>
        <v>80</v>
      </c>
      <c r="M2197" s="18" t="str">
        <f>iferror(VLOOKUP($D2197,Details!$A$2:$C$11,3,false),vlookup($D2197,Details!$E$2:$G$11,3,false))</f>
        <v>Fruits and Vegetables</v>
      </c>
      <c r="N2197" s="18">
        <f t="shared" si="1"/>
        <v>160</v>
      </c>
      <c r="O2197" s="17"/>
      <c r="P2197" s="17"/>
      <c r="Q2197" s="17"/>
      <c r="R2197" s="17"/>
      <c r="S2197" s="17"/>
      <c r="T2197" s="17"/>
      <c r="U2197" s="17"/>
      <c r="V2197" s="17"/>
      <c r="W2197" s="17"/>
      <c r="X2197" s="17"/>
      <c r="Y2197" s="17"/>
      <c r="Z2197" s="17"/>
    </row>
    <row r="2198">
      <c r="A2198" s="18" t="str">
        <f>IFERROR(__xludf.DUMMYFUNCTION("""COMPUTED_VALUE"""),"ord_82172")</f>
        <v>ord_82172</v>
      </c>
      <c r="B2198" s="18" t="str">
        <f>IFERROR(__xludf.DUMMYFUNCTION("""COMPUTED_VALUE"""),"Anaya Rao")</f>
        <v>Anaya Rao</v>
      </c>
      <c r="C2198" s="18" t="str">
        <f>IFERROR(__xludf.DUMMYFUNCTION("""COMPUTED_VALUE"""),"Colaba")</f>
        <v>Colaba</v>
      </c>
      <c r="D2198" s="18" t="str">
        <f>IFERROR(__xludf.DUMMYFUNCTION("""COMPUTED_VALUE"""),"Chicken Puff")</f>
        <v>Chicken Puff</v>
      </c>
      <c r="E2198" s="18">
        <f>IFERROR(__xludf.DUMMYFUNCTION("""COMPUTED_VALUE"""),2.0)</f>
        <v>2</v>
      </c>
      <c r="F2198" s="18" t="str">
        <f>IFERROR(__xludf.DUMMYFUNCTION("""COMPUTED_VALUE"""),"Vivek Kumar")</f>
        <v>Vivek Kumar</v>
      </c>
      <c r="G2198" s="19">
        <f>IFERROR(__xludf.DUMMYFUNCTION("""COMPUTED_VALUE"""),45201.0)</f>
        <v>45201</v>
      </c>
      <c r="H2198" s="18" t="str">
        <f>IFERROR(__xludf.DUMMYFUNCTION("""COMPUTED_VALUE"""),"UPI")</f>
        <v>UPI</v>
      </c>
      <c r="I2198" s="18" t="str">
        <f>IFERROR(__xludf.DUMMYFUNCTION("""COMPUTED_VALUE"""),"Delivered")</f>
        <v>Delivered</v>
      </c>
      <c r="J2198" s="18" t="str">
        <f>IFERROR(__xludf.DUMMYFUNCTION("""COMPUTED_VALUE"""),"Quality of Items")</f>
        <v>Quality of Items</v>
      </c>
      <c r="K2198" s="18" t="str">
        <f>IFERROR(__xludf.DUMMYFUNCTION("""COMPUTED_VALUE"""),"Perfect condition")</f>
        <v>Perfect condition</v>
      </c>
      <c r="L2198" s="18">
        <f>iferror(VLOOKUP($D2198,Details!$A$2:$C$11,2,false),vlookup($D2198,Details!$E$2:$G$11,2,false))</f>
        <v>90</v>
      </c>
      <c r="M2198" s="18" t="str">
        <f>iferror(VLOOKUP($D2198,Details!$A$2:$C$11,3,false),vlookup($D2198,Details!$E$2:$G$11,3,false))</f>
        <v>Snacks and Drinks</v>
      </c>
      <c r="N2198" s="18">
        <f t="shared" si="1"/>
        <v>180</v>
      </c>
      <c r="O2198" s="17"/>
      <c r="P2198" s="17"/>
      <c r="Q2198" s="17"/>
      <c r="R2198" s="17"/>
      <c r="S2198" s="17"/>
      <c r="T2198" s="17"/>
      <c r="U2198" s="17"/>
      <c r="V2198" s="17"/>
      <c r="W2198" s="17"/>
      <c r="X2198" s="17"/>
      <c r="Y2198" s="17"/>
      <c r="Z2198" s="17"/>
    </row>
    <row r="2199">
      <c r="A2199" s="18" t="str">
        <f>IFERROR(__xludf.DUMMYFUNCTION("""COMPUTED_VALUE"""),"ord_82173")</f>
        <v>ord_82173</v>
      </c>
      <c r="B2199" s="18" t="str">
        <f>IFERROR(__xludf.DUMMYFUNCTION("""COMPUTED_VALUE"""),"Ishaan Chaturvedi")</f>
        <v>Ishaan Chaturvedi</v>
      </c>
      <c r="C2199" s="18" t="str">
        <f>IFERROR(__xludf.DUMMYFUNCTION("""COMPUTED_VALUE"""),"Bandra")</f>
        <v>Bandra</v>
      </c>
      <c r="D2199" s="18" t="str">
        <f>IFERROR(__xludf.DUMMYFUNCTION("""COMPUTED_VALUE"""),"Orange")</f>
        <v>Orange</v>
      </c>
      <c r="E2199" s="18">
        <f>IFERROR(__xludf.DUMMYFUNCTION("""COMPUTED_VALUE"""),1.0)</f>
        <v>1</v>
      </c>
      <c r="F2199" s="18" t="str">
        <f>IFERROR(__xludf.DUMMYFUNCTION("""COMPUTED_VALUE"""),"Nithin Lal")</f>
        <v>Nithin Lal</v>
      </c>
      <c r="G2199" s="19">
        <f>IFERROR(__xludf.DUMMYFUNCTION("""COMPUTED_VALUE"""),45161.0)</f>
        <v>45161</v>
      </c>
      <c r="H2199" s="18" t="str">
        <f>IFERROR(__xludf.DUMMYFUNCTION("""COMPUTED_VALUE"""),"Credit Card")</f>
        <v>Credit Card</v>
      </c>
      <c r="I2199" s="18" t="str">
        <f>IFERROR(__xludf.DUMMYFUNCTION("""COMPUTED_VALUE"""),"Delivered")</f>
        <v>Delivered</v>
      </c>
      <c r="J2199" s="18" t="str">
        <f>IFERROR(__xludf.DUMMYFUNCTION("""COMPUTED_VALUE"""),"Packaging")</f>
        <v>Packaging</v>
      </c>
      <c r="K2199" s="18" t="str">
        <f>IFERROR(__xludf.DUMMYFUNCTION("""COMPUTED_VALUE"""),"Secure and intact")</f>
        <v>Secure and intact</v>
      </c>
      <c r="L2199" s="18">
        <f>iferror(VLOOKUP($D2199,Details!$A$2:$C$11,2,false),vlookup($D2199,Details!$E$2:$G$11,2,false))</f>
        <v>180</v>
      </c>
      <c r="M2199" s="18" t="str">
        <f>iferror(VLOOKUP($D2199,Details!$A$2:$C$11,3,false),vlookup($D2199,Details!$E$2:$G$11,3,false))</f>
        <v>Fruits and Vegetables</v>
      </c>
      <c r="N2199" s="18">
        <f t="shared" si="1"/>
        <v>180</v>
      </c>
      <c r="O2199" s="17"/>
      <c r="P2199" s="17"/>
      <c r="Q2199" s="17"/>
      <c r="R2199" s="17"/>
      <c r="S2199" s="17"/>
      <c r="T2199" s="17"/>
      <c r="U2199" s="17"/>
      <c r="V2199" s="17"/>
      <c r="W2199" s="17"/>
      <c r="X2199" s="17"/>
      <c r="Y2199" s="17"/>
      <c r="Z2199" s="17"/>
    </row>
    <row r="2200">
      <c r="A2200" s="18" t="str">
        <f>IFERROR(__xludf.DUMMYFUNCTION("""COMPUTED_VALUE"""),"ord_82174")</f>
        <v>ord_82174</v>
      </c>
      <c r="B2200" s="18" t="str">
        <f>IFERROR(__xludf.DUMMYFUNCTION("""COMPUTED_VALUE"""),"Ishita Banerjee")</f>
        <v>Ishita Banerjee</v>
      </c>
      <c r="C2200" s="18" t="str">
        <f>IFERROR(__xludf.DUMMYFUNCTION("""COMPUTED_VALUE"""),"Juhu")</f>
        <v>Juhu</v>
      </c>
      <c r="D2200" s="18" t="str">
        <f>IFERROR(__xludf.DUMMYFUNCTION("""COMPUTED_VALUE"""),"Sweet Corn")</f>
        <v>Sweet Corn</v>
      </c>
      <c r="E2200" s="18">
        <f>IFERROR(__xludf.DUMMYFUNCTION("""COMPUTED_VALUE"""),1.0)</f>
        <v>1</v>
      </c>
      <c r="F2200" s="18" t="str">
        <f>IFERROR(__xludf.DUMMYFUNCTION("""COMPUTED_VALUE"""),"Nikhil Deshmukh")</f>
        <v>Nikhil Deshmukh</v>
      </c>
      <c r="G2200" s="19">
        <f>IFERROR(__xludf.DUMMYFUNCTION("""COMPUTED_VALUE"""),45028.0)</f>
        <v>45028</v>
      </c>
      <c r="H2200" s="18" t="str">
        <f>IFERROR(__xludf.DUMMYFUNCTION("""COMPUTED_VALUE"""),"Credit Card")</f>
        <v>Credit Card</v>
      </c>
      <c r="I2200" s="18" t="str">
        <f>IFERROR(__xludf.DUMMYFUNCTION("""COMPUTED_VALUE"""),"Cancelled")</f>
        <v>Cancelled</v>
      </c>
      <c r="J2200" s="18" t="str">
        <f>IFERROR(__xludf.DUMMYFUNCTION("""COMPUTED_VALUE"""),"Delayed Delivery")</f>
        <v>Delayed Delivery</v>
      </c>
      <c r="K2200" s="18" t="str">
        <f>IFERROR(__xludf.DUMMYFUNCTION("""COMPUTED_VALUE"""),"Heavy Traffic")</f>
        <v>Heavy Traffic</v>
      </c>
      <c r="L2200" s="18">
        <f>iferror(VLOOKUP($D2200,Details!$A$2:$C$11,2,false),vlookup($D2200,Details!$E$2:$G$11,2,false))</f>
        <v>60</v>
      </c>
      <c r="M2200" s="18" t="str">
        <f>iferror(VLOOKUP($D2200,Details!$A$2:$C$11,3,false),vlookup($D2200,Details!$E$2:$G$11,3,false))</f>
        <v>Fruits and Vegetables</v>
      </c>
      <c r="N2200" s="18">
        <f t="shared" si="1"/>
        <v>60</v>
      </c>
      <c r="O2200" s="17"/>
      <c r="P2200" s="17"/>
      <c r="Q2200" s="17"/>
      <c r="R2200" s="17"/>
      <c r="S2200" s="17"/>
      <c r="T2200" s="17"/>
      <c r="U2200" s="17"/>
      <c r="V2200" s="17"/>
      <c r="W2200" s="17"/>
      <c r="X2200" s="17"/>
      <c r="Y2200" s="17"/>
      <c r="Z2200" s="17"/>
    </row>
    <row r="2201">
      <c r="A2201" s="18" t="str">
        <f>IFERROR(__xludf.DUMMYFUNCTION("""COMPUTED_VALUE"""),"ord_82175")</f>
        <v>ord_82175</v>
      </c>
      <c r="B2201" s="18" t="str">
        <f>IFERROR(__xludf.DUMMYFUNCTION("""COMPUTED_VALUE"""),"Aditi Iyer")</f>
        <v>Aditi Iyer</v>
      </c>
      <c r="C2201" s="18" t="str">
        <f>IFERROR(__xludf.DUMMYFUNCTION("""COMPUTED_VALUE"""),"Dadar")</f>
        <v>Dadar</v>
      </c>
      <c r="D2201" s="18" t="str">
        <f>IFERROR(__xludf.DUMMYFUNCTION("""COMPUTED_VALUE"""),"Orange")</f>
        <v>Orange</v>
      </c>
      <c r="E2201" s="18">
        <f>IFERROR(__xludf.DUMMYFUNCTION("""COMPUTED_VALUE"""),2.0)</f>
        <v>2</v>
      </c>
      <c r="F2201" s="18" t="str">
        <f>IFERROR(__xludf.DUMMYFUNCTION("""COMPUTED_VALUE"""),"Ramesh S")</f>
        <v>Ramesh S</v>
      </c>
      <c r="G2201" s="19">
        <f>IFERROR(__xludf.DUMMYFUNCTION("""COMPUTED_VALUE"""),45061.0)</f>
        <v>45061</v>
      </c>
      <c r="H2201" s="18" t="str">
        <f>IFERROR(__xludf.DUMMYFUNCTION("""COMPUTED_VALUE"""),"Credit Card")</f>
        <v>Credit Card</v>
      </c>
      <c r="I2201" s="18" t="str">
        <f>IFERROR(__xludf.DUMMYFUNCTION("""COMPUTED_VALUE"""),"Delivered")</f>
        <v>Delivered</v>
      </c>
      <c r="J2201" s="18" t="str">
        <f>IFERROR(__xludf.DUMMYFUNCTION("""COMPUTED_VALUE"""),"Satisfied with the Delivery")</f>
        <v>Satisfied with the Delivery</v>
      </c>
      <c r="K2201" s="18" t="str">
        <f>IFERROR(__xludf.DUMMYFUNCTION("""COMPUTED_VALUE"""),"Timely and quality")</f>
        <v>Timely and quality</v>
      </c>
      <c r="L2201" s="18">
        <f>iferror(VLOOKUP($D2201,Details!$A$2:$C$11,2,false),vlookup($D2201,Details!$E$2:$G$11,2,false))</f>
        <v>180</v>
      </c>
      <c r="M2201" s="18" t="str">
        <f>iferror(VLOOKUP($D2201,Details!$A$2:$C$11,3,false),vlookup($D2201,Details!$E$2:$G$11,3,false))</f>
        <v>Fruits and Vegetables</v>
      </c>
      <c r="N2201" s="18">
        <f t="shared" si="1"/>
        <v>360</v>
      </c>
      <c r="O2201" s="17"/>
      <c r="P2201" s="17"/>
      <c r="Q2201" s="17"/>
      <c r="R2201" s="17"/>
      <c r="S2201" s="17"/>
      <c r="T2201" s="17"/>
      <c r="U2201" s="17"/>
      <c r="V2201" s="17"/>
      <c r="W2201" s="17"/>
      <c r="X2201" s="17"/>
      <c r="Y2201" s="17"/>
      <c r="Z2201" s="17"/>
    </row>
    <row r="2202">
      <c r="A2202" s="18" t="str">
        <f>IFERROR(__xludf.DUMMYFUNCTION("""COMPUTED_VALUE"""),"ord_82176")</f>
        <v>ord_82176</v>
      </c>
      <c r="B2202" s="18" t="str">
        <f>IFERROR(__xludf.DUMMYFUNCTION("""COMPUTED_VALUE"""),"Siya Reddy")</f>
        <v>Siya Reddy</v>
      </c>
      <c r="C2202" s="18" t="str">
        <f>IFERROR(__xludf.DUMMYFUNCTION("""COMPUTED_VALUE"""),"Juhu")</f>
        <v>Juhu</v>
      </c>
      <c r="D2202" s="18" t="str">
        <f>IFERROR(__xludf.DUMMYFUNCTION("""COMPUTED_VALUE"""),"Cucumber")</f>
        <v>Cucumber</v>
      </c>
      <c r="E2202" s="18">
        <f>IFERROR(__xludf.DUMMYFUNCTION("""COMPUTED_VALUE"""),2.0)</f>
        <v>2</v>
      </c>
      <c r="F2202" s="18" t="str">
        <f>IFERROR(__xludf.DUMMYFUNCTION("""COMPUTED_VALUE"""),"Not Assigned")</f>
        <v>Not Assigned</v>
      </c>
      <c r="G2202" s="19">
        <f>IFERROR(__xludf.DUMMYFUNCTION("""COMPUTED_VALUE"""),45015.0)</f>
        <v>45015</v>
      </c>
      <c r="H2202" s="18" t="str">
        <f>IFERROR(__xludf.DUMMYFUNCTION("""COMPUTED_VALUE"""),"Online Payment")</f>
        <v>Online Payment</v>
      </c>
      <c r="I2202" s="18" t="str">
        <f>IFERROR(__xludf.DUMMYFUNCTION("""COMPUTED_VALUE"""),"Cancelled")</f>
        <v>Cancelled</v>
      </c>
      <c r="J2202" s="18" t="str">
        <f>IFERROR(__xludf.DUMMYFUNCTION("""COMPUTED_VALUE"""),"High Delivery Fees")</f>
        <v>High Delivery Fees</v>
      </c>
      <c r="K2202" s="18"/>
      <c r="L2202" s="18">
        <f>iferror(VLOOKUP($D2202,Details!$A$2:$C$11,2,false),vlookup($D2202,Details!$E$2:$G$11,2,false))</f>
        <v>30</v>
      </c>
      <c r="M2202" s="18" t="str">
        <f>iferror(VLOOKUP($D2202,Details!$A$2:$C$11,3,false),vlookup($D2202,Details!$E$2:$G$11,3,false))</f>
        <v>Fruits and Vegetables</v>
      </c>
      <c r="N2202" s="18">
        <f t="shared" si="1"/>
        <v>60</v>
      </c>
      <c r="O2202" s="17"/>
      <c r="P2202" s="17"/>
      <c r="Q2202" s="17"/>
      <c r="R2202" s="17"/>
      <c r="S2202" s="17"/>
      <c r="T2202" s="17"/>
      <c r="U2202" s="17"/>
      <c r="V2202" s="17"/>
      <c r="W2202" s="17"/>
      <c r="X2202" s="17"/>
      <c r="Y2202" s="17"/>
      <c r="Z2202" s="17"/>
    </row>
    <row r="2203">
      <c r="A2203" s="18" t="str">
        <f>IFERROR(__xludf.DUMMYFUNCTION("""COMPUTED_VALUE"""),"ord_82177")</f>
        <v>ord_82177</v>
      </c>
      <c r="B2203" s="18" t="str">
        <f>IFERROR(__xludf.DUMMYFUNCTION("""COMPUTED_VALUE"""),"Sanjay Nair")</f>
        <v>Sanjay Nair</v>
      </c>
      <c r="C2203" s="18" t="str">
        <f>IFERROR(__xludf.DUMMYFUNCTION("""COMPUTED_VALUE"""),"Dadar")</f>
        <v>Dadar</v>
      </c>
      <c r="D2203" s="18" t="str">
        <f>IFERROR(__xludf.DUMMYFUNCTION("""COMPUTED_VALUE"""),"Veg Puff")</f>
        <v>Veg Puff</v>
      </c>
      <c r="E2203" s="18">
        <f>IFERROR(__xludf.DUMMYFUNCTION("""COMPUTED_VALUE"""),1.0)</f>
        <v>1</v>
      </c>
      <c r="F2203" s="18" t="str">
        <f>IFERROR(__xludf.DUMMYFUNCTION("""COMPUTED_VALUE"""),"Ramesh S")</f>
        <v>Ramesh S</v>
      </c>
      <c r="G2203" s="19">
        <f>IFERROR(__xludf.DUMMYFUNCTION("""COMPUTED_VALUE"""),45274.0)</f>
        <v>45274</v>
      </c>
      <c r="H2203" s="18" t="str">
        <f>IFERROR(__xludf.DUMMYFUNCTION("""COMPUTED_VALUE"""),"UPI")</f>
        <v>UPI</v>
      </c>
      <c r="I2203" s="18" t="str">
        <f>IFERROR(__xludf.DUMMYFUNCTION("""COMPUTED_VALUE"""),"Delivered")</f>
        <v>Delivered</v>
      </c>
      <c r="J2203" s="18" t="str">
        <f>IFERROR(__xludf.DUMMYFUNCTION("""COMPUTED_VALUE"""),"Customer Service")</f>
        <v>Customer Service</v>
      </c>
      <c r="K2203" s="18" t="str">
        <f>IFERROR(__xludf.DUMMYFUNCTION("""COMPUTED_VALUE"""),"Seamless and easy")</f>
        <v>Seamless and easy</v>
      </c>
      <c r="L2203" s="18">
        <f>iferror(VLOOKUP($D2203,Details!$A$2:$C$11,2,false),vlookup($D2203,Details!$E$2:$G$11,2,false))</f>
        <v>80</v>
      </c>
      <c r="M2203" s="18" t="str">
        <f>iferror(VLOOKUP($D2203,Details!$A$2:$C$11,3,false),vlookup($D2203,Details!$E$2:$G$11,3,false))</f>
        <v>Snacks and Drinks</v>
      </c>
      <c r="N2203" s="18">
        <f t="shared" si="1"/>
        <v>80</v>
      </c>
      <c r="O2203" s="17"/>
      <c r="P2203" s="17"/>
      <c r="Q2203" s="17"/>
      <c r="R2203" s="17"/>
      <c r="S2203" s="17"/>
      <c r="T2203" s="17"/>
      <c r="U2203" s="17"/>
      <c r="V2203" s="17"/>
      <c r="W2203" s="17"/>
      <c r="X2203" s="17"/>
      <c r="Y2203" s="17"/>
      <c r="Z2203" s="17"/>
    </row>
    <row r="2204">
      <c r="A2204" s="18" t="str">
        <f>IFERROR(__xludf.DUMMYFUNCTION("""COMPUTED_VALUE"""),"ord_82178")</f>
        <v>ord_82178</v>
      </c>
      <c r="B2204" s="18" t="str">
        <f>IFERROR(__xludf.DUMMYFUNCTION("""COMPUTED_VALUE"""),"Pranav Joshi")</f>
        <v>Pranav Joshi</v>
      </c>
      <c r="C2204" s="18" t="str">
        <f>IFERROR(__xludf.DUMMYFUNCTION("""COMPUTED_VALUE"""),"Andheri")</f>
        <v>Andheri</v>
      </c>
      <c r="D2204" s="18" t="str">
        <f>IFERROR(__xludf.DUMMYFUNCTION("""COMPUTED_VALUE"""),"Veg Puff")</f>
        <v>Veg Puff</v>
      </c>
      <c r="E2204" s="18">
        <f>IFERROR(__xludf.DUMMYFUNCTION("""COMPUTED_VALUE"""),2.0)</f>
        <v>2</v>
      </c>
      <c r="F2204" s="18" t="str">
        <f>IFERROR(__xludf.DUMMYFUNCTION("""COMPUTED_VALUE"""),"Manju Ajay")</f>
        <v>Manju Ajay</v>
      </c>
      <c r="G2204" s="19">
        <f>IFERROR(__xludf.DUMMYFUNCTION("""COMPUTED_VALUE"""),45263.0)</f>
        <v>45263</v>
      </c>
      <c r="H2204" s="18" t="str">
        <f>IFERROR(__xludf.DUMMYFUNCTION("""COMPUTED_VALUE"""),"UPI")</f>
        <v>UPI</v>
      </c>
      <c r="I2204" s="18" t="str">
        <f>IFERROR(__xludf.DUMMYFUNCTION("""COMPUTED_VALUE"""),"Delivered")</f>
        <v>Delivered</v>
      </c>
      <c r="J2204" s="18" t="str">
        <f>IFERROR(__xludf.DUMMYFUNCTION("""COMPUTED_VALUE"""),"Delivery Experience")</f>
        <v>Delivery Experience</v>
      </c>
      <c r="K2204" s="18" t="str">
        <f>IFERROR(__xludf.DUMMYFUNCTION("""COMPUTED_VALUE"""),"Quick and professional")</f>
        <v>Quick and professional</v>
      </c>
      <c r="L2204" s="18">
        <f>iferror(VLOOKUP($D2204,Details!$A$2:$C$11,2,false),vlookup($D2204,Details!$E$2:$G$11,2,false))</f>
        <v>80</v>
      </c>
      <c r="M2204" s="18" t="str">
        <f>iferror(VLOOKUP($D2204,Details!$A$2:$C$11,3,false),vlookup($D2204,Details!$E$2:$G$11,3,false))</f>
        <v>Snacks and Drinks</v>
      </c>
      <c r="N2204" s="18">
        <f t="shared" si="1"/>
        <v>160</v>
      </c>
      <c r="O2204" s="17"/>
      <c r="P2204" s="17"/>
      <c r="Q2204" s="17"/>
      <c r="R2204" s="17"/>
      <c r="S2204" s="17"/>
      <c r="T2204" s="17"/>
      <c r="U2204" s="17"/>
      <c r="V2204" s="17"/>
      <c r="W2204" s="17"/>
      <c r="X2204" s="17"/>
      <c r="Y2204" s="17"/>
      <c r="Z2204" s="17"/>
    </row>
    <row r="2205">
      <c r="A2205" s="18" t="str">
        <f>IFERROR(__xludf.DUMMYFUNCTION("""COMPUTED_VALUE"""),"ord_82179")</f>
        <v>ord_82179</v>
      </c>
      <c r="B2205" s="18" t="str">
        <f>IFERROR(__xludf.DUMMYFUNCTION("""COMPUTED_VALUE"""),"Sakshi Tandon")</f>
        <v>Sakshi Tandon</v>
      </c>
      <c r="C2205" s="18" t="str">
        <f>IFERROR(__xludf.DUMMYFUNCTION("""COMPUTED_VALUE"""),"Colaba")</f>
        <v>Colaba</v>
      </c>
      <c r="D2205" s="18" t="str">
        <f>IFERROR(__xludf.DUMMYFUNCTION("""COMPUTED_VALUE"""),"Popcorn")</f>
        <v>Popcorn</v>
      </c>
      <c r="E2205" s="18">
        <f>IFERROR(__xludf.DUMMYFUNCTION("""COMPUTED_VALUE"""),1.0)</f>
        <v>1</v>
      </c>
      <c r="F2205" s="18" t="str">
        <f>IFERROR(__xludf.DUMMYFUNCTION("""COMPUTED_VALUE"""),"Sita T")</f>
        <v>Sita T</v>
      </c>
      <c r="G2205" s="19">
        <f>IFERROR(__xludf.DUMMYFUNCTION("""COMPUTED_VALUE"""),44967.0)</f>
        <v>44967</v>
      </c>
      <c r="H2205" s="18" t="str">
        <f>IFERROR(__xludf.DUMMYFUNCTION("""COMPUTED_VALUE"""),"UPI")</f>
        <v>UPI</v>
      </c>
      <c r="I2205" s="18" t="str">
        <f>IFERROR(__xludf.DUMMYFUNCTION("""COMPUTED_VALUE"""),"Delivered")</f>
        <v>Delivered</v>
      </c>
      <c r="J2205" s="18" t="str">
        <f>IFERROR(__xludf.DUMMYFUNCTION("""COMPUTED_VALUE"""),"Convenience")</f>
        <v>Convenience</v>
      </c>
      <c r="K2205" s="18" t="str">
        <f>IFERROR(__xludf.DUMMYFUNCTION("""COMPUTED_VALUE"""),"Easy tracking")</f>
        <v>Easy tracking</v>
      </c>
      <c r="L2205" s="18">
        <f>iferror(VLOOKUP($D2205,Details!$A$2:$C$11,2,false),vlookup($D2205,Details!$E$2:$G$11,2,false))</f>
        <v>150</v>
      </c>
      <c r="M2205" s="18" t="str">
        <f>iferror(VLOOKUP($D2205,Details!$A$2:$C$11,3,false),vlookup($D2205,Details!$E$2:$G$11,3,false))</f>
        <v>Snacks and Drinks</v>
      </c>
      <c r="N2205" s="18">
        <f t="shared" si="1"/>
        <v>150</v>
      </c>
      <c r="O2205" s="17"/>
      <c r="P2205" s="17"/>
      <c r="Q2205" s="17"/>
      <c r="R2205" s="17"/>
      <c r="S2205" s="17"/>
      <c r="T2205" s="17"/>
      <c r="U2205" s="17"/>
      <c r="V2205" s="17"/>
      <c r="W2205" s="17"/>
      <c r="X2205" s="17"/>
      <c r="Y2205" s="17"/>
      <c r="Z2205" s="17"/>
    </row>
    <row r="2206">
      <c r="A2206" s="18" t="str">
        <f>IFERROR(__xludf.DUMMYFUNCTION("""COMPUTED_VALUE"""),"ord_82180")</f>
        <v>ord_82180</v>
      </c>
      <c r="B2206" s="18" t="str">
        <f>IFERROR(__xludf.DUMMYFUNCTION("""COMPUTED_VALUE"""),"Aarav Mehta")</f>
        <v>Aarav Mehta</v>
      </c>
      <c r="C2206" s="18" t="str">
        <f>IFERROR(__xludf.DUMMYFUNCTION("""COMPUTED_VALUE"""),"Andheri")</f>
        <v>Andheri</v>
      </c>
      <c r="D2206" s="18" t="str">
        <f>IFERROR(__xludf.DUMMYFUNCTION("""COMPUTED_VALUE"""),"Juice")</f>
        <v>Juice</v>
      </c>
      <c r="E2206" s="18">
        <f>IFERROR(__xludf.DUMMYFUNCTION("""COMPUTED_VALUE"""),4.0)</f>
        <v>4</v>
      </c>
      <c r="F2206" s="18" t="str">
        <f>IFERROR(__xludf.DUMMYFUNCTION("""COMPUTED_VALUE"""),"Nithin Lal")</f>
        <v>Nithin Lal</v>
      </c>
      <c r="G2206" s="19">
        <f>IFERROR(__xludf.DUMMYFUNCTION("""COMPUTED_VALUE"""),45261.0)</f>
        <v>45261</v>
      </c>
      <c r="H2206" s="18" t="str">
        <f>IFERROR(__xludf.DUMMYFUNCTION("""COMPUTED_VALUE"""),"Online Payment")</f>
        <v>Online Payment</v>
      </c>
      <c r="I2206" s="18" t="str">
        <f>IFERROR(__xludf.DUMMYFUNCTION("""COMPUTED_VALUE"""),"Delivered")</f>
        <v>Delivered</v>
      </c>
      <c r="J2206" s="18" t="str">
        <f>IFERROR(__xludf.DUMMYFUNCTION("""COMPUTED_VALUE"""),"Overall Satisfaction")</f>
        <v>Overall Satisfaction</v>
      </c>
      <c r="K2206" s="18" t="str">
        <f>IFERROR(__xludf.DUMMYFUNCTION("""COMPUTED_VALUE"""),"Great service will order again")</f>
        <v>Great service will order again</v>
      </c>
      <c r="L2206" s="18">
        <f>iferror(VLOOKUP($D2206,Details!$A$2:$C$11,2,false),vlookup($D2206,Details!$E$2:$G$11,2,false))</f>
        <v>90</v>
      </c>
      <c r="M2206" s="18" t="str">
        <f>iferror(VLOOKUP($D2206,Details!$A$2:$C$11,3,false),vlookup($D2206,Details!$E$2:$G$11,3,false))</f>
        <v>Snacks and Drinks</v>
      </c>
      <c r="N2206" s="18">
        <f t="shared" si="1"/>
        <v>360</v>
      </c>
      <c r="O2206" s="17"/>
      <c r="P2206" s="17"/>
      <c r="Q2206" s="17"/>
      <c r="R2206" s="17"/>
      <c r="S2206" s="17"/>
      <c r="T2206" s="17"/>
      <c r="U2206" s="17"/>
      <c r="V2206" s="17"/>
      <c r="W2206" s="17"/>
      <c r="X2206" s="17"/>
      <c r="Y2206" s="17"/>
      <c r="Z2206" s="17"/>
    </row>
    <row r="2207">
      <c r="A2207" s="18" t="str">
        <f>IFERROR(__xludf.DUMMYFUNCTION("""COMPUTED_VALUE"""),"ord_82181")</f>
        <v>ord_82181</v>
      </c>
      <c r="B2207" s="18" t="str">
        <f>IFERROR(__xludf.DUMMYFUNCTION("""COMPUTED_VALUE"""),"Omkar Mishra")</f>
        <v>Omkar Mishra</v>
      </c>
      <c r="C2207" s="18" t="str">
        <f>IFERROR(__xludf.DUMMYFUNCTION("""COMPUTED_VALUE"""),"Powai")</f>
        <v>Powai</v>
      </c>
      <c r="D2207" s="18" t="str">
        <f>IFERROR(__xludf.DUMMYFUNCTION("""COMPUTED_VALUE"""),"Onion")</f>
        <v>Onion</v>
      </c>
      <c r="E2207" s="18">
        <f>IFERROR(__xludf.DUMMYFUNCTION("""COMPUTED_VALUE"""),1.0)</f>
        <v>1</v>
      </c>
      <c r="F2207" s="18" t="str">
        <f>IFERROR(__xludf.DUMMYFUNCTION("""COMPUTED_VALUE"""),"Sita T")</f>
        <v>Sita T</v>
      </c>
      <c r="G2207" s="19">
        <f>IFERROR(__xludf.DUMMYFUNCTION("""COMPUTED_VALUE"""),45243.0)</f>
        <v>45243</v>
      </c>
      <c r="H2207" s="18" t="str">
        <f>IFERROR(__xludf.DUMMYFUNCTION("""COMPUTED_VALUE"""),"Credit Card")</f>
        <v>Credit Card</v>
      </c>
      <c r="I2207" s="18" t="str">
        <f>IFERROR(__xludf.DUMMYFUNCTION("""COMPUTED_VALUE"""),"Delivered")</f>
        <v>Delivered</v>
      </c>
      <c r="J2207" s="18" t="str">
        <f>IFERROR(__xludf.DUMMYFUNCTION("""COMPUTED_VALUE"""),"On-time Delivery")</f>
        <v>On-time Delivery</v>
      </c>
      <c r="K2207" s="18" t="str">
        <f>IFERROR(__xludf.DUMMYFUNCTION("""COMPUTED_VALUE"""),"Delivered on time")</f>
        <v>Delivered on time</v>
      </c>
      <c r="L2207" s="18">
        <f>iferror(VLOOKUP($D2207,Details!$A$2:$C$11,2,false),vlookup($D2207,Details!$E$2:$G$11,2,false))</f>
        <v>84</v>
      </c>
      <c r="M2207" s="18" t="str">
        <f>iferror(VLOOKUP($D2207,Details!$A$2:$C$11,3,false),vlookup($D2207,Details!$E$2:$G$11,3,false))</f>
        <v>Fruits and Vegetables</v>
      </c>
      <c r="N2207" s="18">
        <f t="shared" si="1"/>
        <v>84</v>
      </c>
      <c r="O2207" s="17"/>
      <c r="P2207" s="17"/>
      <c r="Q2207" s="17"/>
      <c r="R2207" s="17"/>
      <c r="S2207" s="17"/>
      <c r="T2207" s="17"/>
      <c r="U2207" s="17"/>
      <c r="V2207" s="17"/>
      <c r="W2207" s="17"/>
      <c r="X2207" s="17"/>
      <c r="Y2207" s="17"/>
      <c r="Z2207" s="17"/>
    </row>
    <row r="2208">
      <c r="A2208" s="18" t="str">
        <f>IFERROR(__xludf.DUMMYFUNCTION("""COMPUTED_VALUE"""),"ord_82182")</f>
        <v>ord_82182</v>
      </c>
      <c r="B2208" s="18" t="str">
        <f>IFERROR(__xludf.DUMMYFUNCTION("""COMPUTED_VALUE"""),"Mohit Malhotra")</f>
        <v>Mohit Malhotra</v>
      </c>
      <c r="C2208" s="18" t="str">
        <f>IFERROR(__xludf.DUMMYFUNCTION("""COMPUTED_VALUE"""),"Lower Parel")</f>
        <v>Lower Parel</v>
      </c>
      <c r="D2208" s="18" t="str">
        <f>IFERROR(__xludf.DUMMYFUNCTION("""COMPUTED_VALUE"""),"Cold Coffee")</f>
        <v>Cold Coffee</v>
      </c>
      <c r="E2208" s="18">
        <f>IFERROR(__xludf.DUMMYFUNCTION("""COMPUTED_VALUE"""),2.0)</f>
        <v>2</v>
      </c>
      <c r="F2208" s="18" t="str">
        <f>IFERROR(__xludf.DUMMYFUNCTION("""COMPUTED_VALUE"""),"Not Assigned")</f>
        <v>Not Assigned</v>
      </c>
      <c r="G2208" s="19">
        <f>IFERROR(__xludf.DUMMYFUNCTION("""COMPUTED_VALUE"""),45251.0)</f>
        <v>45251</v>
      </c>
      <c r="H2208" s="18" t="str">
        <f>IFERROR(__xludf.DUMMYFUNCTION("""COMPUTED_VALUE"""),"Credit Card")</f>
        <v>Credit Card</v>
      </c>
      <c r="I2208" s="18" t="str">
        <f>IFERROR(__xludf.DUMMYFUNCTION("""COMPUTED_VALUE"""),"Cancelled")</f>
        <v>Cancelled</v>
      </c>
      <c r="J2208" s="18" t="str">
        <f>IFERROR(__xludf.DUMMYFUNCTION("""COMPUTED_VALUE"""),"Out of Stock")</f>
        <v>Out of Stock</v>
      </c>
      <c r="K2208" s="18"/>
      <c r="L2208" s="18">
        <f>iferror(VLOOKUP($D2208,Details!$A$2:$C$11,2,false),vlookup($D2208,Details!$E$2:$G$11,2,false))</f>
        <v>270</v>
      </c>
      <c r="M2208" s="18" t="str">
        <f>iferror(VLOOKUP($D2208,Details!$A$2:$C$11,3,false),vlookup($D2208,Details!$E$2:$G$11,3,false))</f>
        <v>Snacks and Drinks</v>
      </c>
      <c r="N2208" s="18">
        <f t="shared" si="1"/>
        <v>540</v>
      </c>
      <c r="O2208" s="17"/>
      <c r="P2208" s="17"/>
      <c r="Q2208" s="17"/>
      <c r="R2208" s="17"/>
      <c r="S2208" s="17"/>
      <c r="T2208" s="17"/>
      <c r="U2208" s="17"/>
      <c r="V2208" s="17"/>
      <c r="W2208" s="17"/>
      <c r="X2208" s="17"/>
      <c r="Y2208" s="17"/>
      <c r="Z2208" s="17"/>
    </row>
    <row r="2209">
      <c r="A2209" s="18" t="str">
        <f>IFERROR(__xludf.DUMMYFUNCTION("""COMPUTED_VALUE"""),"ord_82183")</f>
        <v>ord_82183</v>
      </c>
      <c r="B2209" s="18" t="str">
        <f>IFERROR(__xludf.DUMMYFUNCTION("""COMPUTED_VALUE"""),"Ishaan Chaturvedi")</f>
        <v>Ishaan Chaturvedi</v>
      </c>
      <c r="C2209" s="18" t="str">
        <f>IFERROR(__xludf.DUMMYFUNCTION("""COMPUTED_VALUE"""),"Bandra")</f>
        <v>Bandra</v>
      </c>
      <c r="D2209" s="18" t="str">
        <f>IFERROR(__xludf.DUMMYFUNCTION("""COMPUTED_VALUE"""),"Chicken Puff")</f>
        <v>Chicken Puff</v>
      </c>
      <c r="E2209" s="18">
        <f>IFERROR(__xludf.DUMMYFUNCTION("""COMPUTED_VALUE"""),2.0)</f>
        <v>2</v>
      </c>
      <c r="F2209" s="18" t="str">
        <f>IFERROR(__xludf.DUMMYFUNCTION("""COMPUTED_VALUE"""),"Ram Gopal")</f>
        <v>Ram Gopal</v>
      </c>
      <c r="G2209" s="19">
        <f>IFERROR(__xludf.DUMMYFUNCTION("""COMPUTED_VALUE"""),45191.0)</f>
        <v>45191</v>
      </c>
      <c r="H2209" s="18" t="str">
        <f>IFERROR(__xludf.DUMMYFUNCTION("""COMPUTED_VALUE"""),"Credit Card")</f>
        <v>Credit Card</v>
      </c>
      <c r="I2209" s="18" t="str">
        <f>IFERROR(__xludf.DUMMYFUNCTION("""COMPUTED_VALUE"""),"Cancelled")</f>
        <v>Cancelled</v>
      </c>
      <c r="J2209" s="18" t="str">
        <f>IFERROR(__xludf.DUMMYFUNCTION("""COMPUTED_VALUE"""),"Delayed Delivery")</f>
        <v>Delayed Delivery</v>
      </c>
      <c r="K2209" s="18" t="str">
        <f>IFERROR(__xludf.DUMMYFUNCTION("""COMPUTED_VALUE"""),"Bad Weather Conditions")</f>
        <v>Bad Weather Conditions</v>
      </c>
      <c r="L2209" s="18">
        <f>iferror(VLOOKUP($D2209,Details!$A$2:$C$11,2,false),vlookup($D2209,Details!$E$2:$G$11,2,false))</f>
        <v>90</v>
      </c>
      <c r="M2209" s="18" t="str">
        <f>iferror(VLOOKUP($D2209,Details!$A$2:$C$11,3,false),vlookup($D2209,Details!$E$2:$G$11,3,false))</f>
        <v>Snacks and Drinks</v>
      </c>
      <c r="N2209" s="18">
        <f t="shared" si="1"/>
        <v>180</v>
      </c>
      <c r="O2209" s="17"/>
      <c r="P2209" s="17"/>
      <c r="Q2209" s="17"/>
      <c r="R2209" s="17"/>
      <c r="S2209" s="17"/>
      <c r="T2209" s="17"/>
      <c r="U2209" s="17"/>
      <c r="V2209" s="17"/>
      <c r="W2209" s="17"/>
      <c r="X2209" s="17"/>
      <c r="Y2209" s="17"/>
      <c r="Z2209" s="17"/>
    </row>
    <row r="2210">
      <c r="A2210" s="18" t="str">
        <f>IFERROR(__xludf.DUMMYFUNCTION("""COMPUTED_VALUE"""),"ord_82184")</f>
        <v>ord_82184</v>
      </c>
      <c r="B2210" s="18" t="str">
        <f>IFERROR(__xludf.DUMMYFUNCTION("""COMPUTED_VALUE"""),"Parth Goel")</f>
        <v>Parth Goel</v>
      </c>
      <c r="C2210" s="18" t="str">
        <f>IFERROR(__xludf.DUMMYFUNCTION("""COMPUTED_VALUE"""),"Juhu")</f>
        <v>Juhu</v>
      </c>
      <c r="D2210" s="18" t="str">
        <f>IFERROR(__xludf.DUMMYFUNCTION("""COMPUTED_VALUE"""),"Chocolate Mousse")</f>
        <v>Chocolate Mousse</v>
      </c>
      <c r="E2210" s="18">
        <f>IFERROR(__xludf.DUMMYFUNCTION("""COMPUTED_VALUE"""),4.0)</f>
        <v>4</v>
      </c>
      <c r="F2210" s="18" t="str">
        <f>IFERROR(__xludf.DUMMYFUNCTION("""COMPUTED_VALUE"""),"Kiran Mehta")</f>
        <v>Kiran Mehta</v>
      </c>
      <c r="G2210" s="19">
        <f>IFERROR(__xludf.DUMMYFUNCTION("""COMPUTED_VALUE"""),45133.0)</f>
        <v>45133</v>
      </c>
      <c r="H2210" s="18" t="str">
        <f>IFERROR(__xludf.DUMMYFUNCTION("""COMPUTED_VALUE"""),"Credit Card")</f>
        <v>Credit Card</v>
      </c>
      <c r="I2210" s="18" t="str">
        <f>IFERROR(__xludf.DUMMYFUNCTION("""COMPUTED_VALUE"""),"Cancelled")</f>
        <v>Cancelled</v>
      </c>
      <c r="J2210" s="18" t="str">
        <f>IFERROR(__xludf.DUMMYFUNCTION("""COMPUTED_VALUE"""),"Delayed Delivery")</f>
        <v>Delayed Delivery</v>
      </c>
      <c r="K2210" s="18" t="str">
        <f>IFERROR(__xludf.DUMMYFUNCTION("""COMPUTED_VALUE"""),"Bad Weather Conditions")</f>
        <v>Bad Weather Conditions</v>
      </c>
      <c r="L2210" s="18">
        <f>iferror(VLOOKUP($D2210,Details!$A$2:$C$11,2,false),vlookup($D2210,Details!$E$2:$G$11,2,false))</f>
        <v>145</v>
      </c>
      <c r="M2210" s="18" t="str">
        <f>iferror(VLOOKUP($D2210,Details!$A$2:$C$11,3,false),vlookup($D2210,Details!$E$2:$G$11,3,false))</f>
        <v>Snacks and Drinks</v>
      </c>
      <c r="N2210" s="18">
        <f t="shared" si="1"/>
        <v>580</v>
      </c>
      <c r="O2210" s="17"/>
      <c r="P2210" s="17"/>
      <c r="Q2210" s="17"/>
      <c r="R2210" s="17"/>
      <c r="S2210" s="17"/>
      <c r="T2210" s="17"/>
      <c r="U2210" s="17"/>
      <c r="V2210" s="17"/>
      <c r="W2210" s="17"/>
      <c r="X2210" s="17"/>
      <c r="Y2210" s="17"/>
      <c r="Z2210" s="17"/>
    </row>
    <row r="2211">
      <c r="A2211" s="18" t="str">
        <f>IFERROR(__xludf.DUMMYFUNCTION("""COMPUTED_VALUE"""),"ord_82185")</f>
        <v>ord_82185</v>
      </c>
      <c r="B2211" s="18" t="str">
        <f>IFERROR(__xludf.DUMMYFUNCTION("""COMPUTED_VALUE"""),"Aarav Mehta")</f>
        <v>Aarav Mehta</v>
      </c>
      <c r="C2211" s="18" t="str">
        <f>IFERROR(__xludf.DUMMYFUNCTION("""COMPUTED_VALUE"""),"Andheri")</f>
        <v>Andheri</v>
      </c>
      <c r="D2211" s="18" t="str">
        <f>IFERROR(__xludf.DUMMYFUNCTION("""COMPUTED_VALUE"""),"Guava")</f>
        <v>Guava</v>
      </c>
      <c r="E2211" s="18">
        <f>IFERROR(__xludf.DUMMYFUNCTION("""COMPUTED_VALUE"""),1.0)</f>
        <v>1</v>
      </c>
      <c r="F2211" s="18" t="str">
        <f>IFERROR(__xludf.DUMMYFUNCTION("""COMPUTED_VALUE"""),"Ramesh S")</f>
        <v>Ramesh S</v>
      </c>
      <c r="G2211" s="19">
        <f>IFERROR(__xludf.DUMMYFUNCTION("""COMPUTED_VALUE"""),44959.0)</f>
        <v>44959</v>
      </c>
      <c r="H2211" s="18" t="str">
        <f>IFERROR(__xludf.DUMMYFUNCTION("""COMPUTED_VALUE"""),"Online Payment")</f>
        <v>Online Payment</v>
      </c>
      <c r="I2211" s="18" t="str">
        <f>IFERROR(__xludf.DUMMYFUNCTION("""COMPUTED_VALUE"""),"Cancelled")</f>
        <v>Cancelled</v>
      </c>
      <c r="J2211" s="18" t="str">
        <f>IFERROR(__xludf.DUMMYFUNCTION("""COMPUTED_VALUE"""),"Delayed Delivery")</f>
        <v>Delayed Delivery</v>
      </c>
      <c r="K2211" s="18" t="str">
        <f>IFERROR(__xludf.DUMMYFUNCTION("""COMPUTED_VALUE"""),"Heavy Traffic")</f>
        <v>Heavy Traffic</v>
      </c>
      <c r="L2211" s="18">
        <f>iferror(VLOOKUP($D2211,Details!$A$2:$C$11,2,false),vlookup($D2211,Details!$E$2:$G$11,2,false))</f>
        <v>70</v>
      </c>
      <c r="M2211" s="18" t="str">
        <f>iferror(VLOOKUP($D2211,Details!$A$2:$C$11,3,false),vlookup($D2211,Details!$E$2:$G$11,3,false))</f>
        <v>Fruits and Vegetables</v>
      </c>
      <c r="N2211" s="18">
        <f t="shared" si="1"/>
        <v>70</v>
      </c>
      <c r="O2211" s="17"/>
      <c r="P2211" s="17"/>
      <c r="Q2211" s="17"/>
      <c r="R2211" s="17"/>
      <c r="S2211" s="17"/>
      <c r="T2211" s="17"/>
      <c r="U2211" s="17"/>
      <c r="V2211" s="17"/>
      <c r="W2211" s="17"/>
      <c r="X2211" s="17"/>
      <c r="Y2211" s="17"/>
      <c r="Z2211" s="17"/>
    </row>
    <row r="2212">
      <c r="A2212" s="18" t="str">
        <f>IFERROR(__xludf.DUMMYFUNCTION("""COMPUTED_VALUE"""),"ord_82186")</f>
        <v>ord_82186</v>
      </c>
      <c r="B2212" s="18" t="str">
        <f>IFERROR(__xludf.DUMMYFUNCTION("""COMPUTED_VALUE"""),"Arvind Kulkarni")</f>
        <v>Arvind Kulkarni</v>
      </c>
      <c r="C2212" s="18" t="str">
        <f>IFERROR(__xludf.DUMMYFUNCTION("""COMPUTED_VALUE"""),"Juhu")</f>
        <v>Juhu</v>
      </c>
      <c r="D2212" s="18" t="str">
        <f>IFERROR(__xludf.DUMMYFUNCTION("""COMPUTED_VALUE"""),"Tiramisu")</f>
        <v>Tiramisu</v>
      </c>
      <c r="E2212" s="18">
        <f>IFERROR(__xludf.DUMMYFUNCTION("""COMPUTED_VALUE"""),4.0)</f>
        <v>4</v>
      </c>
      <c r="F2212" s="18" t="str">
        <f>IFERROR(__xludf.DUMMYFUNCTION("""COMPUTED_VALUE"""),"Rohan Yadav")</f>
        <v>Rohan Yadav</v>
      </c>
      <c r="G2212" s="19">
        <f>IFERROR(__xludf.DUMMYFUNCTION("""COMPUTED_VALUE"""),44967.0)</f>
        <v>44967</v>
      </c>
      <c r="H2212" s="18" t="str">
        <f>IFERROR(__xludf.DUMMYFUNCTION("""COMPUTED_VALUE"""),"Online Payment")</f>
        <v>Online Payment</v>
      </c>
      <c r="I2212" s="18" t="str">
        <f>IFERROR(__xludf.DUMMYFUNCTION("""COMPUTED_VALUE"""),"Cancelled")</f>
        <v>Cancelled</v>
      </c>
      <c r="J2212" s="18" t="str">
        <f>IFERROR(__xludf.DUMMYFUNCTION("""COMPUTED_VALUE"""),"Delayed Delivery")</f>
        <v>Delayed Delivery</v>
      </c>
      <c r="K2212" s="18" t="str">
        <f>IFERROR(__xludf.DUMMYFUNCTION("""COMPUTED_VALUE"""),"Heavy Traffic")</f>
        <v>Heavy Traffic</v>
      </c>
      <c r="L2212" s="18">
        <f>iferror(VLOOKUP($D2212,Details!$A$2:$C$11,2,false),vlookup($D2212,Details!$E$2:$G$11,2,false))</f>
        <v>150</v>
      </c>
      <c r="M2212" s="18" t="str">
        <f>iferror(VLOOKUP($D2212,Details!$A$2:$C$11,3,false),vlookup($D2212,Details!$E$2:$G$11,3,false))</f>
        <v>Snacks and Drinks</v>
      </c>
      <c r="N2212" s="18">
        <f t="shared" si="1"/>
        <v>600</v>
      </c>
      <c r="O2212" s="17"/>
      <c r="P2212" s="17"/>
      <c r="Q2212" s="17"/>
      <c r="R2212" s="17"/>
      <c r="S2212" s="17"/>
      <c r="T2212" s="17"/>
      <c r="U2212" s="17"/>
      <c r="V2212" s="17"/>
      <c r="W2212" s="17"/>
      <c r="X2212" s="17"/>
      <c r="Y2212" s="17"/>
      <c r="Z2212" s="17"/>
    </row>
    <row r="2213">
      <c r="A2213" s="18" t="str">
        <f>IFERROR(__xludf.DUMMYFUNCTION("""COMPUTED_VALUE"""),"ord_82187")</f>
        <v>ord_82187</v>
      </c>
      <c r="B2213" s="18" t="str">
        <f>IFERROR(__xludf.DUMMYFUNCTION("""COMPUTED_VALUE"""),"Ishaan Chaturvedi")</f>
        <v>Ishaan Chaturvedi</v>
      </c>
      <c r="C2213" s="18" t="str">
        <f>IFERROR(__xludf.DUMMYFUNCTION("""COMPUTED_VALUE"""),"Bandra")</f>
        <v>Bandra</v>
      </c>
      <c r="D2213" s="18" t="str">
        <f>IFERROR(__xludf.DUMMYFUNCTION("""COMPUTED_VALUE"""),"Guava")</f>
        <v>Guava</v>
      </c>
      <c r="E2213" s="18">
        <f>IFERROR(__xludf.DUMMYFUNCTION("""COMPUTED_VALUE"""),2.0)</f>
        <v>2</v>
      </c>
      <c r="F2213" s="18" t="str">
        <f>IFERROR(__xludf.DUMMYFUNCTION("""COMPUTED_VALUE"""),"Ramesh S")</f>
        <v>Ramesh S</v>
      </c>
      <c r="G2213" s="19">
        <f>IFERROR(__xludf.DUMMYFUNCTION("""COMPUTED_VALUE"""),45250.0)</f>
        <v>45250</v>
      </c>
      <c r="H2213" s="18" t="str">
        <f>IFERROR(__xludf.DUMMYFUNCTION("""COMPUTED_VALUE"""),"UPI")</f>
        <v>UPI</v>
      </c>
      <c r="I2213" s="18" t="str">
        <f>IFERROR(__xludf.DUMMYFUNCTION("""COMPUTED_VALUE"""),"Delivered")</f>
        <v>Delivered</v>
      </c>
      <c r="J2213" s="18" t="str">
        <f>IFERROR(__xludf.DUMMYFUNCTION("""COMPUTED_VALUE"""),"Quality of Items")</f>
        <v>Quality of Items</v>
      </c>
      <c r="K2213" s="18" t="str">
        <f>IFERROR(__xludf.DUMMYFUNCTION("""COMPUTED_VALUE"""),"Perfect condition")</f>
        <v>Perfect condition</v>
      </c>
      <c r="L2213" s="18">
        <f>iferror(VLOOKUP($D2213,Details!$A$2:$C$11,2,false),vlookup($D2213,Details!$E$2:$G$11,2,false))</f>
        <v>70</v>
      </c>
      <c r="M2213" s="18" t="str">
        <f>iferror(VLOOKUP($D2213,Details!$A$2:$C$11,3,false),vlookup($D2213,Details!$E$2:$G$11,3,false))</f>
        <v>Fruits and Vegetables</v>
      </c>
      <c r="N2213" s="18">
        <f t="shared" si="1"/>
        <v>140</v>
      </c>
      <c r="O2213" s="17"/>
      <c r="P2213" s="17"/>
      <c r="Q2213" s="17"/>
      <c r="R2213" s="17"/>
      <c r="S2213" s="17"/>
      <c r="T2213" s="17"/>
      <c r="U2213" s="17"/>
      <c r="V2213" s="17"/>
      <c r="W2213" s="17"/>
      <c r="X2213" s="17"/>
      <c r="Y2213" s="17"/>
      <c r="Z2213" s="17"/>
    </row>
    <row r="2214">
      <c r="A2214" s="18" t="str">
        <f>IFERROR(__xludf.DUMMYFUNCTION("""COMPUTED_VALUE"""),"ord_82188")</f>
        <v>ord_82188</v>
      </c>
      <c r="B2214" s="18" t="str">
        <f>IFERROR(__xludf.DUMMYFUNCTION("""COMPUTED_VALUE"""),"Tanishq Bansal")</f>
        <v>Tanishq Bansal</v>
      </c>
      <c r="C2214" s="18" t="str">
        <f>IFERROR(__xludf.DUMMYFUNCTION("""COMPUTED_VALUE"""),"Bandra")</f>
        <v>Bandra</v>
      </c>
      <c r="D2214" s="18" t="str">
        <f>IFERROR(__xludf.DUMMYFUNCTION("""COMPUTED_VALUE"""),"Juice")</f>
        <v>Juice</v>
      </c>
      <c r="E2214" s="18">
        <f>IFERROR(__xludf.DUMMYFUNCTION("""COMPUTED_VALUE"""),5.0)</f>
        <v>5</v>
      </c>
      <c r="F2214" s="18" t="str">
        <f>IFERROR(__xludf.DUMMYFUNCTION("""COMPUTED_VALUE"""),"Vivek Kumar")</f>
        <v>Vivek Kumar</v>
      </c>
      <c r="G2214" s="19">
        <f>IFERROR(__xludf.DUMMYFUNCTION("""COMPUTED_VALUE"""),45064.0)</f>
        <v>45064</v>
      </c>
      <c r="H2214" s="18" t="str">
        <f>IFERROR(__xludf.DUMMYFUNCTION("""COMPUTED_VALUE"""),"Online Payment")</f>
        <v>Online Payment</v>
      </c>
      <c r="I2214" s="18" t="str">
        <f>IFERROR(__xludf.DUMMYFUNCTION("""COMPUTED_VALUE"""),"Delivered")</f>
        <v>Delivered</v>
      </c>
      <c r="J2214" s="18" t="str">
        <f>IFERROR(__xludf.DUMMYFUNCTION("""COMPUTED_VALUE"""),"On-time Delivery")</f>
        <v>On-time Delivery</v>
      </c>
      <c r="K2214" s="18" t="str">
        <f>IFERROR(__xludf.DUMMYFUNCTION("""COMPUTED_VALUE"""),"Delivered on time")</f>
        <v>Delivered on time</v>
      </c>
      <c r="L2214" s="18">
        <f>iferror(VLOOKUP($D2214,Details!$A$2:$C$11,2,false),vlookup($D2214,Details!$E$2:$G$11,2,false))</f>
        <v>90</v>
      </c>
      <c r="M2214" s="18" t="str">
        <f>iferror(VLOOKUP($D2214,Details!$A$2:$C$11,3,false),vlookup($D2214,Details!$E$2:$G$11,3,false))</f>
        <v>Snacks and Drinks</v>
      </c>
      <c r="N2214" s="18">
        <f t="shared" si="1"/>
        <v>450</v>
      </c>
      <c r="O2214" s="17"/>
      <c r="P2214" s="17"/>
      <c r="Q2214" s="17"/>
      <c r="R2214" s="17"/>
      <c r="S2214" s="17"/>
      <c r="T2214" s="17"/>
      <c r="U2214" s="17"/>
      <c r="V2214" s="17"/>
      <c r="W2214" s="17"/>
      <c r="X2214" s="17"/>
      <c r="Y2214" s="17"/>
      <c r="Z2214" s="17"/>
    </row>
    <row r="2215">
      <c r="A2215" s="18" t="str">
        <f>IFERROR(__xludf.DUMMYFUNCTION("""COMPUTED_VALUE"""),"ord_82189")</f>
        <v>ord_82189</v>
      </c>
      <c r="B2215" s="18" t="str">
        <f>IFERROR(__xludf.DUMMYFUNCTION("""COMPUTED_VALUE"""),"Ritika Dutta")</f>
        <v>Ritika Dutta</v>
      </c>
      <c r="C2215" s="18" t="str">
        <f>IFERROR(__xludf.DUMMYFUNCTION("""COMPUTED_VALUE"""),"Lower Parel")</f>
        <v>Lower Parel</v>
      </c>
      <c r="D2215" s="18" t="str">
        <f>IFERROR(__xludf.DUMMYFUNCTION("""COMPUTED_VALUE"""),"Popcorn")</f>
        <v>Popcorn</v>
      </c>
      <c r="E2215" s="18">
        <f>IFERROR(__xludf.DUMMYFUNCTION("""COMPUTED_VALUE"""),2.0)</f>
        <v>2</v>
      </c>
      <c r="F2215" s="18" t="str">
        <f>IFERROR(__xludf.DUMMYFUNCTION("""COMPUTED_VALUE"""),"Vivek Kumar")</f>
        <v>Vivek Kumar</v>
      </c>
      <c r="G2215" s="19">
        <f>IFERROR(__xludf.DUMMYFUNCTION("""COMPUTED_VALUE"""),45185.0)</f>
        <v>45185</v>
      </c>
      <c r="H2215" s="18" t="str">
        <f>IFERROR(__xludf.DUMMYFUNCTION("""COMPUTED_VALUE"""),"UPI")</f>
        <v>UPI</v>
      </c>
      <c r="I2215" s="18" t="str">
        <f>IFERROR(__xludf.DUMMYFUNCTION("""COMPUTED_VALUE"""),"Delivered")</f>
        <v>Delivered</v>
      </c>
      <c r="J2215" s="18" t="str">
        <f>IFERROR(__xludf.DUMMYFUNCTION("""COMPUTED_VALUE"""),"Quality of Items")</f>
        <v>Quality of Items</v>
      </c>
      <c r="K2215" s="18" t="str">
        <f>IFERROR(__xludf.DUMMYFUNCTION("""COMPUTED_VALUE"""),"Perfect condition")</f>
        <v>Perfect condition</v>
      </c>
      <c r="L2215" s="18">
        <f>iferror(VLOOKUP($D2215,Details!$A$2:$C$11,2,false),vlookup($D2215,Details!$E$2:$G$11,2,false))</f>
        <v>150</v>
      </c>
      <c r="M2215" s="18" t="str">
        <f>iferror(VLOOKUP($D2215,Details!$A$2:$C$11,3,false),vlookup($D2215,Details!$E$2:$G$11,3,false))</f>
        <v>Snacks and Drinks</v>
      </c>
      <c r="N2215" s="18">
        <f t="shared" si="1"/>
        <v>300</v>
      </c>
      <c r="O2215" s="17"/>
      <c r="P2215" s="17"/>
      <c r="Q2215" s="17"/>
      <c r="R2215" s="17"/>
      <c r="S2215" s="17"/>
      <c r="T2215" s="17"/>
      <c r="U2215" s="17"/>
      <c r="V2215" s="17"/>
      <c r="W2215" s="17"/>
      <c r="X2215" s="17"/>
      <c r="Y2215" s="17"/>
      <c r="Z2215" s="17"/>
    </row>
    <row r="2216">
      <c r="A2216" s="18" t="str">
        <f>IFERROR(__xludf.DUMMYFUNCTION("""COMPUTED_VALUE"""),"ord_82190")</f>
        <v>ord_82190</v>
      </c>
      <c r="B2216" s="18" t="str">
        <f>IFERROR(__xludf.DUMMYFUNCTION("""COMPUTED_VALUE"""),"Shruti Aggarwal")</f>
        <v>Shruti Aggarwal</v>
      </c>
      <c r="C2216" s="18" t="str">
        <f>IFERROR(__xludf.DUMMYFUNCTION("""COMPUTED_VALUE"""),"Colaba")</f>
        <v>Colaba</v>
      </c>
      <c r="D2216" s="18" t="str">
        <f>IFERROR(__xludf.DUMMYFUNCTION("""COMPUTED_VALUE"""),"Papaya")</f>
        <v>Papaya</v>
      </c>
      <c r="E2216" s="18">
        <f>IFERROR(__xludf.DUMMYFUNCTION("""COMPUTED_VALUE"""),2.0)</f>
        <v>2</v>
      </c>
      <c r="F2216" s="18" t="str">
        <f>IFERROR(__xludf.DUMMYFUNCTION("""COMPUTED_VALUE"""),"Ram Gopal")</f>
        <v>Ram Gopal</v>
      </c>
      <c r="G2216" s="19">
        <f>IFERROR(__xludf.DUMMYFUNCTION("""COMPUTED_VALUE"""),45221.0)</f>
        <v>45221</v>
      </c>
      <c r="H2216" s="18" t="str">
        <f>IFERROR(__xludf.DUMMYFUNCTION("""COMPUTED_VALUE"""),"UPI")</f>
        <v>UPI</v>
      </c>
      <c r="I2216" s="18" t="str">
        <f>IFERROR(__xludf.DUMMYFUNCTION("""COMPUTED_VALUE"""),"Delivered")</f>
        <v>Delivered</v>
      </c>
      <c r="J2216" s="18" t="str">
        <f>IFERROR(__xludf.DUMMYFUNCTION("""COMPUTED_VALUE"""),"Packaging")</f>
        <v>Packaging</v>
      </c>
      <c r="K2216" s="18" t="str">
        <f>IFERROR(__xludf.DUMMYFUNCTION("""COMPUTED_VALUE"""),"Secure and intact")</f>
        <v>Secure and intact</v>
      </c>
      <c r="L2216" s="18">
        <f>iferror(VLOOKUP($D2216,Details!$A$2:$C$11,2,false),vlookup($D2216,Details!$E$2:$G$11,2,false))</f>
        <v>75</v>
      </c>
      <c r="M2216" s="18" t="str">
        <f>iferror(VLOOKUP($D2216,Details!$A$2:$C$11,3,false),vlookup($D2216,Details!$E$2:$G$11,3,false))</f>
        <v>Fruits and Vegetables</v>
      </c>
      <c r="N2216" s="18">
        <f t="shared" si="1"/>
        <v>150</v>
      </c>
      <c r="O2216" s="17"/>
      <c r="P2216" s="17"/>
      <c r="Q2216" s="17"/>
      <c r="R2216" s="17"/>
      <c r="S2216" s="17"/>
      <c r="T2216" s="17"/>
      <c r="U2216" s="17"/>
      <c r="V2216" s="17"/>
      <c r="W2216" s="17"/>
      <c r="X2216" s="17"/>
      <c r="Y2216" s="17"/>
      <c r="Z2216" s="17"/>
    </row>
    <row r="2217">
      <c r="A2217" s="18" t="str">
        <f>IFERROR(__xludf.DUMMYFUNCTION("""COMPUTED_VALUE"""),"ord_82191")</f>
        <v>ord_82191</v>
      </c>
      <c r="B2217" s="18" t="str">
        <f>IFERROR(__xludf.DUMMYFUNCTION("""COMPUTED_VALUE"""),"Kavya Menon")</f>
        <v>Kavya Menon</v>
      </c>
      <c r="C2217" s="18" t="str">
        <f>IFERROR(__xludf.DUMMYFUNCTION("""COMPUTED_VALUE"""),"Andheri")</f>
        <v>Andheri</v>
      </c>
      <c r="D2217" s="18" t="str">
        <f>IFERROR(__xludf.DUMMYFUNCTION("""COMPUTED_VALUE"""),"Apple")</f>
        <v>Apple</v>
      </c>
      <c r="E2217" s="18">
        <f>IFERROR(__xludf.DUMMYFUNCTION("""COMPUTED_VALUE"""),3.0)</f>
        <v>3</v>
      </c>
      <c r="F2217" s="18" t="str">
        <f>IFERROR(__xludf.DUMMYFUNCTION("""COMPUTED_VALUE"""),"Nithin Lal")</f>
        <v>Nithin Lal</v>
      </c>
      <c r="G2217" s="19">
        <f>IFERROR(__xludf.DUMMYFUNCTION("""COMPUTED_VALUE"""),45272.0)</f>
        <v>45272</v>
      </c>
      <c r="H2217" s="18" t="str">
        <f>IFERROR(__xludf.DUMMYFUNCTION("""COMPUTED_VALUE"""),"UPI")</f>
        <v>UPI</v>
      </c>
      <c r="I2217" s="18" t="str">
        <f>IFERROR(__xludf.DUMMYFUNCTION("""COMPUTED_VALUE"""),"Delivered")</f>
        <v>Delivered</v>
      </c>
      <c r="J2217" s="18" t="str">
        <f>IFERROR(__xludf.DUMMYFUNCTION("""COMPUTED_VALUE"""),"Satisfied with the Delivery")</f>
        <v>Satisfied with the Delivery</v>
      </c>
      <c r="K2217" s="18" t="str">
        <f>IFERROR(__xludf.DUMMYFUNCTION("""COMPUTED_VALUE"""),"Timely and quality")</f>
        <v>Timely and quality</v>
      </c>
      <c r="L2217" s="18">
        <f>iferror(VLOOKUP($D2217,Details!$A$2:$C$11,2,false),vlookup($D2217,Details!$E$2:$G$11,2,false))</f>
        <v>230</v>
      </c>
      <c r="M2217" s="18" t="str">
        <f>iferror(VLOOKUP($D2217,Details!$A$2:$C$11,3,false),vlookup($D2217,Details!$E$2:$G$11,3,false))</f>
        <v>Fruits and Vegetables</v>
      </c>
      <c r="N2217" s="18">
        <f t="shared" si="1"/>
        <v>690</v>
      </c>
      <c r="O2217" s="17"/>
      <c r="P2217" s="17"/>
      <c r="Q2217" s="17"/>
      <c r="R2217" s="17"/>
      <c r="S2217" s="17"/>
      <c r="T2217" s="17"/>
      <c r="U2217" s="17"/>
      <c r="V2217" s="17"/>
      <c r="W2217" s="17"/>
      <c r="X2217" s="17"/>
      <c r="Y2217" s="17"/>
      <c r="Z2217" s="17"/>
    </row>
    <row r="2218">
      <c r="A2218" s="18" t="str">
        <f>IFERROR(__xludf.DUMMYFUNCTION("""COMPUTED_VALUE"""),"ord_82192")</f>
        <v>ord_82192</v>
      </c>
      <c r="B2218" s="18" t="str">
        <f>IFERROR(__xludf.DUMMYFUNCTION("""COMPUTED_VALUE"""),"Kunal Sharma")</f>
        <v>Kunal Sharma</v>
      </c>
      <c r="C2218" s="18" t="str">
        <f>IFERROR(__xludf.DUMMYFUNCTION("""COMPUTED_VALUE"""),"Powai")</f>
        <v>Powai</v>
      </c>
      <c r="D2218" s="18" t="str">
        <f>IFERROR(__xludf.DUMMYFUNCTION("""COMPUTED_VALUE"""),"Onion")</f>
        <v>Onion</v>
      </c>
      <c r="E2218" s="18">
        <f>IFERROR(__xludf.DUMMYFUNCTION("""COMPUTED_VALUE"""),3.0)</f>
        <v>3</v>
      </c>
      <c r="F2218" s="18" t="str">
        <f>IFERROR(__xludf.DUMMYFUNCTION("""COMPUTED_VALUE"""),"Sita T")</f>
        <v>Sita T</v>
      </c>
      <c r="G2218" s="19">
        <f>IFERROR(__xludf.DUMMYFUNCTION("""COMPUTED_VALUE"""),45162.0)</f>
        <v>45162</v>
      </c>
      <c r="H2218" s="18" t="str">
        <f>IFERROR(__xludf.DUMMYFUNCTION("""COMPUTED_VALUE"""),"Online Payment")</f>
        <v>Online Payment</v>
      </c>
      <c r="I2218" s="18" t="str">
        <f>IFERROR(__xludf.DUMMYFUNCTION("""COMPUTED_VALUE"""),"Delivered")</f>
        <v>Delivered</v>
      </c>
      <c r="J2218" s="18" t="str">
        <f>IFERROR(__xludf.DUMMYFUNCTION("""COMPUTED_VALUE"""),"Customer Service")</f>
        <v>Customer Service</v>
      </c>
      <c r="K2218" s="18" t="str">
        <f>IFERROR(__xludf.DUMMYFUNCTION("""COMPUTED_VALUE"""),"Seamless and easy")</f>
        <v>Seamless and easy</v>
      </c>
      <c r="L2218" s="18">
        <f>iferror(VLOOKUP($D2218,Details!$A$2:$C$11,2,false),vlookup($D2218,Details!$E$2:$G$11,2,false))</f>
        <v>84</v>
      </c>
      <c r="M2218" s="18" t="str">
        <f>iferror(VLOOKUP($D2218,Details!$A$2:$C$11,3,false),vlookup($D2218,Details!$E$2:$G$11,3,false))</f>
        <v>Fruits and Vegetables</v>
      </c>
      <c r="N2218" s="18">
        <f t="shared" si="1"/>
        <v>252</v>
      </c>
      <c r="O2218" s="17"/>
      <c r="P2218" s="17"/>
      <c r="Q2218" s="17"/>
      <c r="R2218" s="17"/>
      <c r="S2218" s="17"/>
      <c r="T2218" s="17"/>
      <c r="U2218" s="17"/>
      <c r="V2218" s="17"/>
      <c r="W2218" s="17"/>
      <c r="X2218" s="17"/>
      <c r="Y2218" s="17"/>
      <c r="Z2218" s="17"/>
    </row>
    <row r="2219">
      <c r="A2219" s="18" t="str">
        <f>IFERROR(__xludf.DUMMYFUNCTION("""COMPUTED_VALUE"""),"ord_82193")</f>
        <v>ord_82193</v>
      </c>
      <c r="B2219" s="18" t="str">
        <f>IFERROR(__xludf.DUMMYFUNCTION("""COMPUTED_VALUE"""),"Mehul Thakkar")</f>
        <v>Mehul Thakkar</v>
      </c>
      <c r="C2219" s="18" t="str">
        <f>IFERROR(__xludf.DUMMYFUNCTION("""COMPUTED_VALUE"""),"Dadar")</f>
        <v>Dadar</v>
      </c>
      <c r="D2219" s="18" t="str">
        <f>IFERROR(__xludf.DUMMYFUNCTION("""COMPUTED_VALUE"""),"Cucumber")</f>
        <v>Cucumber</v>
      </c>
      <c r="E2219" s="18">
        <f>IFERROR(__xludf.DUMMYFUNCTION("""COMPUTED_VALUE"""),1.0)</f>
        <v>1</v>
      </c>
      <c r="F2219" s="18" t="str">
        <f>IFERROR(__xludf.DUMMYFUNCTION("""COMPUTED_VALUE"""),"Venu R")</f>
        <v>Venu R</v>
      </c>
      <c r="G2219" s="19">
        <f>IFERROR(__xludf.DUMMYFUNCTION("""COMPUTED_VALUE"""),45245.0)</f>
        <v>45245</v>
      </c>
      <c r="H2219" s="18" t="str">
        <f>IFERROR(__xludf.DUMMYFUNCTION("""COMPUTED_VALUE"""),"Credit Card")</f>
        <v>Credit Card</v>
      </c>
      <c r="I2219" s="18" t="str">
        <f>IFERROR(__xludf.DUMMYFUNCTION("""COMPUTED_VALUE"""),"Delivered")</f>
        <v>Delivered</v>
      </c>
      <c r="J2219" s="18" t="str">
        <f>IFERROR(__xludf.DUMMYFUNCTION("""COMPUTED_VALUE"""),"Delivery Experience")</f>
        <v>Delivery Experience</v>
      </c>
      <c r="K2219" s="18" t="str">
        <f>IFERROR(__xludf.DUMMYFUNCTION("""COMPUTED_VALUE"""),"Quick and professional")</f>
        <v>Quick and professional</v>
      </c>
      <c r="L2219" s="18">
        <f>iferror(VLOOKUP($D2219,Details!$A$2:$C$11,2,false),vlookup($D2219,Details!$E$2:$G$11,2,false))</f>
        <v>30</v>
      </c>
      <c r="M2219" s="18" t="str">
        <f>iferror(VLOOKUP($D2219,Details!$A$2:$C$11,3,false),vlookup($D2219,Details!$E$2:$G$11,3,false))</f>
        <v>Fruits and Vegetables</v>
      </c>
      <c r="N2219" s="18">
        <f t="shared" si="1"/>
        <v>30</v>
      </c>
      <c r="O2219" s="17"/>
      <c r="P2219" s="17"/>
      <c r="Q2219" s="17"/>
      <c r="R2219" s="17"/>
      <c r="S2219" s="17"/>
      <c r="T2219" s="17"/>
      <c r="U2219" s="17"/>
      <c r="V2219" s="17"/>
      <c r="W2219" s="17"/>
      <c r="X2219" s="17"/>
      <c r="Y2219" s="17"/>
      <c r="Z2219" s="17"/>
    </row>
    <row r="2220">
      <c r="A2220" s="18" t="str">
        <f>IFERROR(__xludf.DUMMYFUNCTION("""COMPUTED_VALUE"""),"ord_82194")</f>
        <v>ord_82194</v>
      </c>
      <c r="B2220" s="18" t="str">
        <f>IFERROR(__xludf.DUMMYFUNCTION("""COMPUTED_VALUE"""),"Simran Bhatt")</f>
        <v>Simran Bhatt</v>
      </c>
      <c r="C2220" s="18" t="str">
        <f>IFERROR(__xludf.DUMMYFUNCTION("""COMPUTED_VALUE"""),"Juhu")</f>
        <v>Juhu</v>
      </c>
      <c r="D2220" s="18" t="str">
        <f>IFERROR(__xludf.DUMMYFUNCTION("""COMPUTED_VALUE"""),"Orange")</f>
        <v>Orange</v>
      </c>
      <c r="E2220" s="18">
        <f>IFERROR(__xludf.DUMMYFUNCTION("""COMPUTED_VALUE"""),1.0)</f>
        <v>1</v>
      </c>
      <c r="F2220" s="18" t="str">
        <f>IFERROR(__xludf.DUMMYFUNCTION("""COMPUTED_VALUE"""),"Manju Ajay")</f>
        <v>Manju Ajay</v>
      </c>
      <c r="G2220" s="19">
        <f>IFERROR(__xludf.DUMMYFUNCTION("""COMPUTED_VALUE"""),45136.0)</f>
        <v>45136</v>
      </c>
      <c r="H2220" s="18" t="str">
        <f>IFERROR(__xludf.DUMMYFUNCTION("""COMPUTED_VALUE"""),"UPI")</f>
        <v>UPI</v>
      </c>
      <c r="I2220" s="18" t="str">
        <f>IFERROR(__xludf.DUMMYFUNCTION("""COMPUTED_VALUE"""),"Delivered")</f>
        <v>Delivered</v>
      </c>
      <c r="J2220" s="18" t="str">
        <f>IFERROR(__xludf.DUMMYFUNCTION("""COMPUTED_VALUE"""),"Convenience")</f>
        <v>Convenience</v>
      </c>
      <c r="K2220" s="18" t="str">
        <f>IFERROR(__xludf.DUMMYFUNCTION("""COMPUTED_VALUE"""),"Easy tracking")</f>
        <v>Easy tracking</v>
      </c>
      <c r="L2220" s="18">
        <f>iferror(VLOOKUP($D2220,Details!$A$2:$C$11,2,false),vlookup($D2220,Details!$E$2:$G$11,2,false))</f>
        <v>180</v>
      </c>
      <c r="M2220" s="18" t="str">
        <f>iferror(VLOOKUP($D2220,Details!$A$2:$C$11,3,false),vlookup($D2220,Details!$E$2:$G$11,3,false))</f>
        <v>Fruits and Vegetables</v>
      </c>
      <c r="N2220" s="18">
        <f t="shared" si="1"/>
        <v>180</v>
      </c>
      <c r="O2220" s="17"/>
      <c r="P2220" s="17"/>
      <c r="Q2220" s="17"/>
      <c r="R2220" s="17"/>
      <c r="S2220" s="17"/>
      <c r="T2220" s="17"/>
      <c r="U2220" s="17"/>
      <c r="V2220" s="17"/>
      <c r="W2220" s="17"/>
      <c r="X2220" s="17"/>
      <c r="Y2220" s="17"/>
      <c r="Z2220" s="17"/>
    </row>
    <row r="2221">
      <c r="A2221" s="18" t="str">
        <f>IFERROR(__xludf.DUMMYFUNCTION("""COMPUTED_VALUE"""),"ord_82195")</f>
        <v>ord_82195</v>
      </c>
      <c r="B2221" s="18" t="str">
        <f>IFERROR(__xludf.DUMMYFUNCTION("""COMPUTED_VALUE"""),"Ritika Dutta")</f>
        <v>Ritika Dutta</v>
      </c>
      <c r="C2221" s="18" t="str">
        <f>IFERROR(__xludf.DUMMYFUNCTION("""COMPUTED_VALUE"""),"Lower Parel")</f>
        <v>Lower Parel</v>
      </c>
      <c r="D2221" s="18" t="str">
        <f>IFERROR(__xludf.DUMMYFUNCTION("""COMPUTED_VALUE"""),"Juice")</f>
        <v>Juice</v>
      </c>
      <c r="E2221" s="18">
        <f>IFERROR(__xludf.DUMMYFUNCTION("""COMPUTED_VALUE"""),7.0)</f>
        <v>7</v>
      </c>
      <c r="F2221" s="18" t="str">
        <f>IFERROR(__xludf.DUMMYFUNCTION("""COMPUTED_VALUE"""),"Ramesh S")</f>
        <v>Ramesh S</v>
      </c>
      <c r="G2221" s="19">
        <f>IFERROR(__xludf.DUMMYFUNCTION("""COMPUTED_VALUE"""),45286.0)</f>
        <v>45286</v>
      </c>
      <c r="H2221" s="18" t="str">
        <f>IFERROR(__xludf.DUMMYFUNCTION("""COMPUTED_VALUE"""),"Online Payment")</f>
        <v>Online Payment</v>
      </c>
      <c r="I2221" s="18" t="str">
        <f>IFERROR(__xludf.DUMMYFUNCTION("""COMPUTED_VALUE"""),"Delivered")</f>
        <v>Delivered</v>
      </c>
      <c r="J2221" s="18" t="str">
        <f>IFERROR(__xludf.DUMMYFUNCTION("""COMPUTED_VALUE"""),"Overall Satisfaction")</f>
        <v>Overall Satisfaction</v>
      </c>
      <c r="K2221" s="18" t="str">
        <f>IFERROR(__xludf.DUMMYFUNCTION("""COMPUTED_VALUE"""),"Great service will order again")</f>
        <v>Great service will order again</v>
      </c>
      <c r="L2221" s="18">
        <f>iferror(VLOOKUP($D2221,Details!$A$2:$C$11,2,false),vlookup($D2221,Details!$E$2:$G$11,2,false))</f>
        <v>90</v>
      </c>
      <c r="M2221" s="18" t="str">
        <f>iferror(VLOOKUP($D2221,Details!$A$2:$C$11,3,false),vlookup($D2221,Details!$E$2:$G$11,3,false))</f>
        <v>Snacks and Drinks</v>
      </c>
      <c r="N2221" s="18">
        <f t="shared" si="1"/>
        <v>630</v>
      </c>
      <c r="O2221" s="17"/>
      <c r="P2221" s="17"/>
      <c r="Q2221" s="17"/>
      <c r="R2221" s="17"/>
      <c r="S2221" s="17"/>
      <c r="T2221" s="17"/>
      <c r="U2221" s="17"/>
      <c r="V2221" s="17"/>
      <c r="W2221" s="17"/>
      <c r="X2221" s="17"/>
      <c r="Y2221" s="17"/>
      <c r="Z2221" s="17"/>
    </row>
    <row r="2222">
      <c r="A2222" s="18" t="str">
        <f>IFERROR(__xludf.DUMMYFUNCTION("""COMPUTED_VALUE"""),"ord_82196")</f>
        <v>ord_82196</v>
      </c>
      <c r="B2222" s="18" t="str">
        <f>IFERROR(__xludf.DUMMYFUNCTION("""COMPUTED_VALUE"""),"Aditi Iyer")</f>
        <v>Aditi Iyer</v>
      </c>
      <c r="C2222" s="18" t="str">
        <f>IFERROR(__xludf.DUMMYFUNCTION("""COMPUTED_VALUE"""),"Bandra")</f>
        <v>Bandra</v>
      </c>
      <c r="D2222" s="18" t="str">
        <f>IFERROR(__xludf.DUMMYFUNCTION("""COMPUTED_VALUE"""),"Rasmalai")</f>
        <v>Rasmalai</v>
      </c>
      <c r="E2222" s="18">
        <f>IFERROR(__xludf.DUMMYFUNCTION("""COMPUTED_VALUE"""),5.0)</f>
        <v>5</v>
      </c>
      <c r="F2222" s="18" t="str">
        <f>IFERROR(__xludf.DUMMYFUNCTION("""COMPUTED_VALUE"""),"Ram Gopal")</f>
        <v>Ram Gopal</v>
      </c>
      <c r="G2222" s="19">
        <f>IFERROR(__xludf.DUMMYFUNCTION("""COMPUTED_VALUE"""),44966.0)</f>
        <v>44966</v>
      </c>
      <c r="H2222" s="18" t="str">
        <f>IFERROR(__xludf.DUMMYFUNCTION("""COMPUTED_VALUE"""),"Credit Card")</f>
        <v>Credit Card</v>
      </c>
      <c r="I2222" s="18" t="str">
        <f>IFERROR(__xludf.DUMMYFUNCTION("""COMPUTED_VALUE"""),"Delivered")</f>
        <v>Delivered</v>
      </c>
      <c r="J2222" s="18" t="str">
        <f>IFERROR(__xludf.DUMMYFUNCTION("""COMPUTED_VALUE"""),"On-time Delivery")</f>
        <v>On-time Delivery</v>
      </c>
      <c r="K2222" s="18" t="str">
        <f>IFERROR(__xludf.DUMMYFUNCTION("""COMPUTED_VALUE"""),"Delivered on time")</f>
        <v>Delivered on time</v>
      </c>
      <c r="L2222" s="18">
        <f>iferror(VLOOKUP($D2222,Details!$A$2:$C$11,2,false),vlookup($D2222,Details!$E$2:$G$11,2,false))</f>
        <v>110</v>
      </c>
      <c r="M2222" s="18" t="str">
        <f>iferror(VLOOKUP($D2222,Details!$A$2:$C$11,3,false),vlookup($D2222,Details!$E$2:$G$11,3,false))</f>
        <v>Snacks and Drinks</v>
      </c>
      <c r="N2222" s="18">
        <f t="shared" si="1"/>
        <v>550</v>
      </c>
      <c r="O2222" s="17"/>
      <c r="P2222" s="17"/>
      <c r="Q2222" s="17"/>
      <c r="R2222" s="17"/>
      <c r="S2222" s="17"/>
      <c r="T2222" s="17"/>
      <c r="U2222" s="17"/>
      <c r="V2222" s="17"/>
      <c r="W2222" s="17"/>
      <c r="X2222" s="17"/>
      <c r="Y2222" s="17"/>
      <c r="Z2222" s="17"/>
    </row>
    <row r="2223">
      <c r="A2223" s="18" t="str">
        <f>IFERROR(__xludf.DUMMYFUNCTION("""COMPUTED_VALUE"""),"ord_82197")</f>
        <v>ord_82197</v>
      </c>
      <c r="B2223" s="18" t="str">
        <f>IFERROR(__xludf.DUMMYFUNCTION("""COMPUTED_VALUE"""),"Sana Malik")</f>
        <v>Sana Malik</v>
      </c>
      <c r="C2223" s="18" t="str">
        <f>IFERROR(__xludf.DUMMYFUNCTION("""COMPUTED_VALUE"""),"Juhu")</f>
        <v>Juhu</v>
      </c>
      <c r="D2223" s="18" t="str">
        <f>IFERROR(__xludf.DUMMYFUNCTION("""COMPUTED_VALUE"""),"Veg Puff")</f>
        <v>Veg Puff</v>
      </c>
      <c r="E2223" s="18">
        <f>IFERROR(__xludf.DUMMYFUNCTION("""COMPUTED_VALUE"""),6.0)</f>
        <v>6</v>
      </c>
      <c r="F2223" s="18" t="str">
        <f>IFERROR(__xludf.DUMMYFUNCTION("""COMPUTED_VALUE"""),"Vivek Kumar")</f>
        <v>Vivek Kumar</v>
      </c>
      <c r="G2223" s="19">
        <f>IFERROR(__xludf.DUMMYFUNCTION("""COMPUTED_VALUE"""),45236.0)</f>
        <v>45236</v>
      </c>
      <c r="H2223" s="18" t="str">
        <f>IFERROR(__xludf.DUMMYFUNCTION("""COMPUTED_VALUE"""),"Online Payment")</f>
        <v>Online Payment</v>
      </c>
      <c r="I2223" s="18" t="str">
        <f>IFERROR(__xludf.DUMMYFUNCTION("""COMPUTED_VALUE"""),"Delivered")</f>
        <v>Delivered</v>
      </c>
      <c r="J2223" s="18" t="str">
        <f>IFERROR(__xludf.DUMMYFUNCTION("""COMPUTED_VALUE"""),"Quality of Items")</f>
        <v>Quality of Items</v>
      </c>
      <c r="K2223" s="18" t="str">
        <f>IFERROR(__xludf.DUMMYFUNCTION("""COMPUTED_VALUE"""),"Perfect condition")</f>
        <v>Perfect condition</v>
      </c>
      <c r="L2223" s="18">
        <f>iferror(VLOOKUP($D2223,Details!$A$2:$C$11,2,false),vlookup($D2223,Details!$E$2:$G$11,2,false))</f>
        <v>80</v>
      </c>
      <c r="M2223" s="18" t="str">
        <f>iferror(VLOOKUP($D2223,Details!$A$2:$C$11,3,false),vlookup($D2223,Details!$E$2:$G$11,3,false))</f>
        <v>Snacks and Drinks</v>
      </c>
      <c r="N2223" s="18">
        <f t="shared" si="1"/>
        <v>480</v>
      </c>
      <c r="O2223" s="17"/>
      <c r="P2223" s="17"/>
      <c r="Q2223" s="17"/>
      <c r="R2223" s="17"/>
      <c r="S2223" s="17"/>
      <c r="T2223" s="17"/>
      <c r="U2223" s="17"/>
      <c r="V2223" s="17"/>
      <c r="W2223" s="17"/>
      <c r="X2223" s="17"/>
      <c r="Y2223" s="17"/>
      <c r="Z2223" s="17"/>
    </row>
    <row r="2224">
      <c r="A2224" s="18" t="str">
        <f>IFERROR(__xludf.DUMMYFUNCTION("""COMPUTED_VALUE"""),"ord_82198")</f>
        <v>ord_82198</v>
      </c>
      <c r="B2224" s="18" t="str">
        <f>IFERROR(__xludf.DUMMYFUNCTION("""COMPUTED_VALUE"""),"Harsh Vardhan")</f>
        <v>Harsh Vardhan</v>
      </c>
      <c r="C2224" s="18" t="str">
        <f>IFERROR(__xludf.DUMMYFUNCTION("""COMPUTED_VALUE"""),"Bandra")</f>
        <v>Bandra</v>
      </c>
      <c r="D2224" s="18" t="str">
        <f>IFERROR(__xludf.DUMMYFUNCTION("""COMPUTED_VALUE"""),"Tiramisu")</f>
        <v>Tiramisu</v>
      </c>
      <c r="E2224" s="18">
        <f>IFERROR(__xludf.DUMMYFUNCTION("""COMPUTED_VALUE"""),2.0)</f>
        <v>2</v>
      </c>
      <c r="F2224" s="18" t="str">
        <f>IFERROR(__xludf.DUMMYFUNCTION("""COMPUTED_VALUE"""),"Ramesh S")</f>
        <v>Ramesh S</v>
      </c>
      <c r="G2224" s="19">
        <f>IFERROR(__xludf.DUMMYFUNCTION("""COMPUTED_VALUE"""),45079.0)</f>
        <v>45079</v>
      </c>
      <c r="H2224" s="18" t="str">
        <f>IFERROR(__xludf.DUMMYFUNCTION("""COMPUTED_VALUE"""),"Online Payment")</f>
        <v>Online Payment</v>
      </c>
      <c r="I2224" s="18" t="str">
        <f>IFERROR(__xludf.DUMMYFUNCTION("""COMPUTED_VALUE"""),"Delivered")</f>
        <v>Delivered</v>
      </c>
      <c r="J2224" s="18" t="str">
        <f>IFERROR(__xludf.DUMMYFUNCTION("""COMPUTED_VALUE"""),"On-time Delivery")</f>
        <v>On-time Delivery</v>
      </c>
      <c r="K2224" s="18" t="str">
        <f>IFERROR(__xludf.DUMMYFUNCTION("""COMPUTED_VALUE"""),"Delivered on time")</f>
        <v>Delivered on time</v>
      </c>
      <c r="L2224" s="18">
        <f>iferror(VLOOKUP($D2224,Details!$A$2:$C$11,2,false),vlookup($D2224,Details!$E$2:$G$11,2,false))</f>
        <v>150</v>
      </c>
      <c r="M2224" s="18" t="str">
        <f>iferror(VLOOKUP($D2224,Details!$A$2:$C$11,3,false),vlookup($D2224,Details!$E$2:$G$11,3,false))</f>
        <v>Snacks and Drinks</v>
      </c>
      <c r="N2224" s="18">
        <f t="shared" si="1"/>
        <v>300</v>
      </c>
      <c r="O2224" s="17"/>
      <c r="P2224" s="17"/>
      <c r="Q2224" s="17"/>
      <c r="R2224" s="17"/>
      <c r="S2224" s="17"/>
      <c r="T2224" s="17"/>
      <c r="U2224" s="17"/>
      <c r="V2224" s="17"/>
      <c r="W2224" s="17"/>
      <c r="X2224" s="17"/>
      <c r="Y2224" s="17"/>
      <c r="Z2224" s="17"/>
    </row>
    <row r="2225">
      <c r="A2225" s="18" t="str">
        <f>IFERROR(__xludf.DUMMYFUNCTION("""COMPUTED_VALUE"""),"ord_82199")</f>
        <v>ord_82199</v>
      </c>
      <c r="B2225" s="18" t="str">
        <f>IFERROR(__xludf.DUMMYFUNCTION("""COMPUTED_VALUE"""),"Yash Verma")</f>
        <v>Yash Verma</v>
      </c>
      <c r="C2225" s="18" t="str">
        <f>IFERROR(__xludf.DUMMYFUNCTION("""COMPUTED_VALUE"""),"Lower Parel")</f>
        <v>Lower Parel</v>
      </c>
      <c r="D2225" s="18" t="str">
        <f>IFERROR(__xludf.DUMMYFUNCTION("""COMPUTED_VALUE"""),"Cucumber")</f>
        <v>Cucumber</v>
      </c>
      <c r="E2225" s="18">
        <f>IFERROR(__xludf.DUMMYFUNCTION("""COMPUTED_VALUE"""),2.0)</f>
        <v>2</v>
      </c>
      <c r="F2225" s="18" t="str">
        <f>IFERROR(__xludf.DUMMYFUNCTION("""COMPUTED_VALUE"""),"Vivek Kumar")</f>
        <v>Vivek Kumar</v>
      </c>
      <c r="G2225" s="19">
        <f>IFERROR(__xludf.DUMMYFUNCTION("""COMPUTED_VALUE"""),45087.0)</f>
        <v>45087</v>
      </c>
      <c r="H2225" s="18" t="str">
        <f>IFERROR(__xludf.DUMMYFUNCTION("""COMPUTED_VALUE"""),"UPI")</f>
        <v>UPI</v>
      </c>
      <c r="I2225" s="18" t="str">
        <f>IFERROR(__xludf.DUMMYFUNCTION("""COMPUTED_VALUE"""),"Delivered")</f>
        <v>Delivered</v>
      </c>
      <c r="J2225" s="18" t="str">
        <f>IFERROR(__xludf.DUMMYFUNCTION("""COMPUTED_VALUE"""),"Quality of Items")</f>
        <v>Quality of Items</v>
      </c>
      <c r="K2225" s="18" t="str">
        <f>IFERROR(__xludf.DUMMYFUNCTION("""COMPUTED_VALUE"""),"Perfect condition")</f>
        <v>Perfect condition</v>
      </c>
      <c r="L2225" s="18">
        <f>iferror(VLOOKUP($D2225,Details!$A$2:$C$11,2,false),vlookup($D2225,Details!$E$2:$G$11,2,false))</f>
        <v>30</v>
      </c>
      <c r="M2225" s="18" t="str">
        <f>iferror(VLOOKUP($D2225,Details!$A$2:$C$11,3,false),vlookup($D2225,Details!$E$2:$G$11,3,false))</f>
        <v>Fruits and Vegetables</v>
      </c>
      <c r="N2225" s="18">
        <f t="shared" si="1"/>
        <v>60</v>
      </c>
      <c r="O2225" s="17"/>
      <c r="P2225" s="17"/>
      <c r="Q2225" s="17"/>
      <c r="R2225" s="17"/>
      <c r="S2225" s="17"/>
      <c r="T2225" s="17"/>
      <c r="U2225" s="17"/>
      <c r="V2225" s="17"/>
      <c r="W2225" s="17"/>
      <c r="X2225" s="17"/>
      <c r="Y2225" s="17"/>
      <c r="Z2225" s="17"/>
    </row>
    <row r="2226">
      <c r="A2226" s="18" t="str">
        <f>IFERROR(__xludf.DUMMYFUNCTION("""COMPUTED_VALUE"""),"ord_82200")</f>
        <v>ord_82200</v>
      </c>
      <c r="B2226" s="18" t="str">
        <f>IFERROR(__xludf.DUMMYFUNCTION("""COMPUTED_VALUE"""),"Yash Verma")</f>
        <v>Yash Verma</v>
      </c>
      <c r="C2226" s="18" t="str">
        <f>IFERROR(__xludf.DUMMYFUNCTION("""COMPUTED_VALUE"""),"Colaba")</f>
        <v>Colaba</v>
      </c>
      <c r="D2226" s="18" t="str">
        <f>IFERROR(__xludf.DUMMYFUNCTION("""COMPUTED_VALUE"""),"Papaya")</f>
        <v>Papaya</v>
      </c>
      <c r="E2226" s="18">
        <f>IFERROR(__xludf.DUMMYFUNCTION("""COMPUTED_VALUE"""),2.0)</f>
        <v>2</v>
      </c>
      <c r="F2226" s="18" t="str">
        <f>IFERROR(__xludf.DUMMYFUNCTION("""COMPUTED_VALUE"""),"Ram Gopal")</f>
        <v>Ram Gopal</v>
      </c>
      <c r="G2226" s="19">
        <f>IFERROR(__xludf.DUMMYFUNCTION("""COMPUTED_VALUE"""),45055.0)</f>
        <v>45055</v>
      </c>
      <c r="H2226" s="18" t="str">
        <f>IFERROR(__xludf.DUMMYFUNCTION("""COMPUTED_VALUE"""),"UPI")</f>
        <v>UPI</v>
      </c>
      <c r="I2226" s="18" t="str">
        <f>IFERROR(__xludf.DUMMYFUNCTION("""COMPUTED_VALUE"""),"Delivered")</f>
        <v>Delivered</v>
      </c>
      <c r="J2226" s="18" t="str">
        <f>IFERROR(__xludf.DUMMYFUNCTION("""COMPUTED_VALUE"""),"Packaging")</f>
        <v>Packaging</v>
      </c>
      <c r="K2226" s="18" t="str">
        <f>IFERROR(__xludf.DUMMYFUNCTION("""COMPUTED_VALUE"""),"Secure and intact")</f>
        <v>Secure and intact</v>
      </c>
      <c r="L2226" s="18">
        <f>iferror(VLOOKUP($D2226,Details!$A$2:$C$11,2,false),vlookup($D2226,Details!$E$2:$G$11,2,false))</f>
        <v>75</v>
      </c>
      <c r="M2226" s="18" t="str">
        <f>iferror(VLOOKUP($D2226,Details!$A$2:$C$11,3,false),vlookup($D2226,Details!$E$2:$G$11,3,false))</f>
        <v>Fruits and Vegetables</v>
      </c>
      <c r="N2226" s="18">
        <f t="shared" si="1"/>
        <v>150</v>
      </c>
      <c r="O2226" s="17"/>
      <c r="P2226" s="17"/>
      <c r="Q2226" s="17"/>
      <c r="R2226" s="17"/>
      <c r="S2226" s="17"/>
      <c r="T2226" s="17"/>
      <c r="U2226" s="17"/>
      <c r="V2226" s="17"/>
      <c r="W2226" s="17"/>
      <c r="X2226" s="17"/>
      <c r="Y2226" s="17"/>
      <c r="Z2226" s="17"/>
    </row>
    <row r="2227">
      <c r="A2227" s="18" t="str">
        <f>IFERROR(__xludf.DUMMYFUNCTION("""COMPUTED_VALUE"""),"ord_82201")</f>
        <v>ord_82201</v>
      </c>
      <c r="B2227" s="18" t="str">
        <f>IFERROR(__xludf.DUMMYFUNCTION("""COMPUTED_VALUE"""),"Leena Das")</f>
        <v>Leena Das</v>
      </c>
      <c r="C2227" s="18" t="str">
        <f>IFERROR(__xludf.DUMMYFUNCTION("""COMPUTED_VALUE"""),"Andheri")</f>
        <v>Andheri</v>
      </c>
      <c r="D2227" s="18" t="str">
        <f>IFERROR(__xludf.DUMMYFUNCTION("""COMPUTED_VALUE"""),"Sweet Corn")</f>
        <v>Sweet Corn</v>
      </c>
      <c r="E2227" s="18">
        <f>IFERROR(__xludf.DUMMYFUNCTION("""COMPUTED_VALUE"""),2.0)</f>
        <v>2</v>
      </c>
      <c r="F2227" s="18" t="str">
        <f>IFERROR(__xludf.DUMMYFUNCTION("""COMPUTED_VALUE"""),"Nithin Lal")</f>
        <v>Nithin Lal</v>
      </c>
      <c r="G2227" s="19">
        <f>IFERROR(__xludf.DUMMYFUNCTION("""COMPUTED_VALUE"""),45102.0)</f>
        <v>45102</v>
      </c>
      <c r="H2227" s="18" t="str">
        <f>IFERROR(__xludf.DUMMYFUNCTION("""COMPUTED_VALUE"""),"UPI")</f>
        <v>UPI</v>
      </c>
      <c r="I2227" s="18" t="str">
        <f>IFERROR(__xludf.DUMMYFUNCTION("""COMPUTED_VALUE"""),"Delivered")</f>
        <v>Delivered</v>
      </c>
      <c r="J2227" s="18" t="str">
        <f>IFERROR(__xludf.DUMMYFUNCTION("""COMPUTED_VALUE"""),"Satisfied with the Delivery")</f>
        <v>Satisfied with the Delivery</v>
      </c>
      <c r="K2227" s="18" t="str">
        <f>IFERROR(__xludf.DUMMYFUNCTION("""COMPUTED_VALUE"""),"Timely and quality")</f>
        <v>Timely and quality</v>
      </c>
      <c r="L2227" s="18">
        <f>iferror(VLOOKUP($D2227,Details!$A$2:$C$11,2,false),vlookup($D2227,Details!$E$2:$G$11,2,false))</f>
        <v>60</v>
      </c>
      <c r="M2227" s="18" t="str">
        <f>iferror(VLOOKUP($D2227,Details!$A$2:$C$11,3,false),vlookup($D2227,Details!$E$2:$G$11,3,false))</f>
        <v>Fruits and Vegetables</v>
      </c>
      <c r="N2227" s="18">
        <f t="shared" si="1"/>
        <v>120</v>
      </c>
      <c r="O2227" s="17"/>
      <c r="P2227" s="17"/>
      <c r="Q2227" s="17"/>
      <c r="R2227" s="17"/>
      <c r="S2227" s="17"/>
      <c r="T2227" s="17"/>
      <c r="U2227" s="17"/>
      <c r="V2227" s="17"/>
      <c r="W2227" s="17"/>
      <c r="X2227" s="17"/>
      <c r="Y2227" s="17"/>
      <c r="Z2227" s="17"/>
    </row>
    <row r="2228">
      <c r="A2228" s="18" t="str">
        <f>IFERROR(__xludf.DUMMYFUNCTION("""COMPUTED_VALUE"""),"ord_82202")</f>
        <v>ord_82202</v>
      </c>
      <c r="B2228" s="18" t="str">
        <f>IFERROR(__xludf.DUMMYFUNCTION("""COMPUTED_VALUE"""),"Sana Malik")</f>
        <v>Sana Malik</v>
      </c>
      <c r="C2228" s="18" t="str">
        <f>IFERROR(__xludf.DUMMYFUNCTION("""COMPUTED_VALUE"""),"Powai")</f>
        <v>Powai</v>
      </c>
      <c r="D2228" s="18" t="str">
        <f>IFERROR(__xludf.DUMMYFUNCTION("""COMPUTED_VALUE"""),"Guava")</f>
        <v>Guava</v>
      </c>
      <c r="E2228" s="18">
        <f>IFERROR(__xludf.DUMMYFUNCTION("""COMPUTED_VALUE"""),2.0)</f>
        <v>2</v>
      </c>
      <c r="F2228" s="18" t="str">
        <f>IFERROR(__xludf.DUMMYFUNCTION("""COMPUTED_VALUE"""),"Sita T")</f>
        <v>Sita T</v>
      </c>
      <c r="G2228" s="19">
        <f>IFERROR(__xludf.DUMMYFUNCTION("""COMPUTED_VALUE"""),45106.0)</f>
        <v>45106</v>
      </c>
      <c r="H2228" s="18" t="str">
        <f>IFERROR(__xludf.DUMMYFUNCTION("""COMPUTED_VALUE"""),"UPI")</f>
        <v>UPI</v>
      </c>
      <c r="I2228" s="18" t="str">
        <f>IFERROR(__xludf.DUMMYFUNCTION("""COMPUTED_VALUE"""),"Delivered")</f>
        <v>Delivered</v>
      </c>
      <c r="J2228" s="18" t="str">
        <f>IFERROR(__xludf.DUMMYFUNCTION("""COMPUTED_VALUE"""),"Customer Service")</f>
        <v>Customer Service</v>
      </c>
      <c r="K2228" s="18" t="str">
        <f>IFERROR(__xludf.DUMMYFUNCTION("""COMPUTED_VALUE"""),"Seamless and easy")</f>
        <v>Seamless and easy</v>
      </c>
      <c r="L2228" s="18">
        <f>iferror(VLOOKUP($D2228,Details!$A$2:$C$11,2,false),vlookup($D2228,Details!$E$2:$G$11,2,false))</f>
        <v>70</v>
      </c>
      <c r="M2228" s="18" t="str">
        <f>iferror(VLOOKUP($D2228,Details!$A$2:$C$11,3,false),vlookup($D2228,Details!$E$2:$G$11,3,false))</f>
        <v>Fruits and Vegetables</v>
      </c>
      <c r="N2228" s="18">
        <f t="shared" si="1"/>
        <v>140</v>
      </c>
      <c r="O2228" s="17"/>
      <c r="P2228" s="17"/>
      <c r="Q2228" s="17"/>
      <c r="R2228" s="17"/>
      <c r="S2228" s="17"/>
      <c r="T2228" s="17"/>
      <c r="U2228" s="17"/>
      <c r="V2228" s="17"/>
      <c r="W2228" s="17"/>
      <c r="X2228" s="17"/>
      <c r="Y2228" s="17"/>
      <c r="Z2228" s="17"/>
    </row>
    <row r="2229">
      <c r="A2229" s="18" t="str">
        <f>IFERROR(__xludf.DUMMYFUNCTION("""COMPUTED_VALUE"""),"ord_82203")</f>
        <v>ord_82203</v>
      </c>
      <c r="B2229" s="18" t="str">
        <f>IFERROR(__xludf.DUMMYFUNCTION("""COMPUTED_VALUE"""),"Aditya Basu")</f>
        <v>Aditya Basu</v>
      </c>
      <c r="C2229" s="18" t="str">
        <f>IFERROR(__xludf.DUMMYFUNCTION("""COMPUTED_VALUE"""),"Juhu")</f>
        <v>Juhu</v>
      </c>
      <c r="D2229" s="18" t="str">
        <f>IFERROR(__xludf.DUMMYFUNCTION("""COMPUTED_VALUE"""),"Popcorn")</f>
        <v>Popcorn</v>
      </c>
      <c r="E2229" s="18">
        <f>IFERROR(__xludf.DUMMYFUNCTION("""COMPUTED_VALUE"""),5.0)</f>
        <v>5</v>
      </c>
      <c r="F2229" s="18" t="str">
        <f>IFERROR(__xludf.DUMMYFUNCTION("""COMPUTED_VALUE"""),"Venu R")</f>
        <v>Venu R</v>
      </c>
      <c r="G2229" s="19">
        <f>IFERROR(__xludf.DUMMYFUNCTION("""COMPUTED_VALUE"""),45239.0)</f>
        <v>45239</v>
      </c>
      <c r="H2229" s="18" t="str">
        <f>IFERROR(__xludf.DUMMYFUNCTION("""COMPUTED_VALUE"""),"UPI")</f>
        <v>UPI</v>
      </c>
      <c r="I2229" s="18" t="str">
        <f>IFERROR(__xludf.DUMMYFUNCTION("""COMPUTED_VALUE"""),"Delivered")</f>
        <v>Delivered</v>
      </c>
      <c r="J2229" s="18" t="str">
        <f>IFERROR(__xludf.DUMMYFUNCTION("""COMPUTED_VALUE"""),"Delivery Experience")</f>
        <v>Delivery Experience</v>
      </c>
      <c r="K2229" s="18" t="str">
        <f>IFERROR(__xludf.DUMMYFUNCTION("""COMPUTED_VALUE"""),"Quick and professional")</f>
        <v>Quick and professional</v>
      </c>
      <c r="L2229" s="18">
        <f>iferror(VLOOKUP($D2229,Details!$A$2:$C$11,2,false),vlookup($D2229,Details!$E$2:$G$11,2,false))</f>
        <v>150</v>
      </c>
      <c r="M2229" s="18" t="str">
        <f>iferror(VLOOKUP($D2229,Details!$A$2:$C$11,3,false),vlookup($D2229,Details!$E$2:$G$11,3,false))</f>
        <v>Snacks and Drinks</v>
      </c>
      <c r="N2229" s="18">
        <f t="shared" si="1"/>
        <v>750</v>
      </c>
      <c r="O2229" s="17"/>
      <c r="P2229" s="17"/>
      <c r="Q2229" s="17"/>
      <c r="R2229" s="17"/>
      <c r="S2229" s="17"/>
      <c r="T2229" s="17"/>
      <c r="U2229" s="17"/>
      <c r="V2229" s="17"/>
      <c r="W2229" s="17"/>
      <c r="X2229" s="17"/>
      <c r="Y2229" s="17"/>
      <c r="Z2229" s="17"/>
    </row>
    <row r="2230">
      <c r="A2230" s="18" t="str">
        <f>IFERROR(__xludf.DUMMYFUNCTION("""COMPUTED_VALUE"""),"ord_82204")</f>
        <v>ord_82204</v>
      </c>
      <c r="B2230" s="18" t="str">
        <f>IFERROR(__xludf.DUMMYFUNCTION("""COMPUTED_VALUE"""),"Riya Chakraborty")</f>
        <v>Riya Chakraborty</v>
      </c>
      <c r="C2230" s="18" t="str">
        <f>IFERROR(__xludf.DUMMYFUNCTION("""COMPUTED_VALUE"""),"Juhu")</f>
        <v>Juhu</v>
      </c>
      <c r="D2230" s="18" t="str">
        <f>IFERROR(__xludf.DUMMYFUNCTION("""COMPUTED_VALUE"""),"Orange")</f>
        <v>Orange</v>
      </c>
      <c r="E2230" s="18">
        <f>IFERROR(__xludf.DUMMYFUNCTION("""COMPUTED_VALUE"""),2.0)</f>
        <v>2</v>
      </c>
      <c r="F2230" s="18" t="str">
        <f>IFERROR(__xludf.DUMMYFUNCTION("""COMPUTED_VALUE"""),"Ramesh S")</f>
        <v>Ramesh S</v>
      </c>
      <c r="G2230" s="19">
        <f>IFERROR(__xludf.DUMMYFUNCTION("""COMPUTED_VALUE"""),45261.0)</f>
        <v>45261</v>
      </c>
      <c r="H2230" s="18" t="str">
        <f>IFERROR(__xludf.DUMMYFUNCTION("""COMPUTED_VALUE"""),"Credit Card")</f>
        <v>Credit Card</v>
      </c>
      <c r="I2230" s="18" t="str">
        <f>IFERROR(__xludf.DUMMYFUNCTION("""COMPUTED_VALUE"""),"Delivered")</f>
        <v>Delivered</v>
      </c>
      <c r="J2230" s="18" t="str">
        <f>IFERROR(__xludf.DUMMYFUNCTION("""COMPUTED_VALUE"""),"Convenience")</f>
        <v>Convenience</v>
      </c>
      <c r="K2230" s="18" t="str">
        <f>IFERROR(__xludf.DUMMYFUNCTION("""COMPUTED_VALUE"""),"Easy tracking")</f>
        <v>Easy tracking</v>
      </c>
      <c r="L2230" s="18">
        <f>iferror(VLOOKUP($D2230,Details!$A$2:$C$11,2,false),vlookup($D2230,Details!$E$2:$G$11,2,false))</f>
        <v>180</v>
      </c>
      <c r="M2230" s="18" t="str">
        <f>iferror(VLOOKUP($D2230,Details!$A$2:$C$11,3,false),vlookup($D2230,Details!$E$2:$G$11,3,false))</f>
        <v>Fruits and Vegetables</v>
      </c>
      <c r="N2230" s="18">
        <f t="shared" si="1"/>
        <v>360</v>
      </c>
      <c r="O2230" s="17"/>
      <c r="P2230" s="17"/>
      <c r="Q2230" s="17"/>
      <c r="R2230" s="17"/>
      <c r="S2230" s="17"/>
      <c r="T2230" s="17"/>
      <c r="U2230" s="17"/>
      <c r="V2230" s="17"/>
      <c r="W2230" s="17"/>
      <c r="X2230" s="17"/>
      <c r="Y2230" s="17"/>
      <c r="Z2230" s="17"/>
    </row>
    <row r="2231">
      <c r="A2231" s="18" t="str">
        <f>IFERROR(__xludf.DUMMYFUNCTION("""COMPUTED_VALUE"""),"ord_82205")</f>
        <v>ord_82205</v>
      </c>
      <c r="B2231" s="18" t="str">
        <f>IFERROR(__xludf.DUMMYFUNCTION("""COMPUTED_VALUE"""),"Omkar Mishra")</f>
        <v>Omkar Mishra</v>
      </c>
      <c r="C2231" s="18" t="str">
        <f>IFERROR(__xludf.DUMMYFUNCTION("""COMPUTED_VALUE"""),"Powai")</f>
        <v>Powai</v>
      </c>
      <c r="D2231" s="18" t="str">
        <f>IFERROR(__xludf.DUMMYFUNCTION("""COMPUTED_VALUE"""),"Banana")</f>
        <v>Banana</v>
      </c>
      <c r="E2231" s="18">
        <f>IFERROR(__xludf.DUMMYFUNCTION("""COMPUTED_VALUE"""),1.0)</f>
        <v>1</v>
      </c>
      <c r="F2231" s="18" t="str">
        <f>IFERROR(__xludf.DUMMYFUNCTION("""COMPUTED_VALUE"""),"Ramesh S")</f>
        <v>Ramesh S</v>
      </c>
      <c r="G2231" s="19">
        <f>IFERROR(__xludf.DUMMYFUNCTION("""COMPUTED_VALUE"""),45143.0)</f>
        <v>45143</v>
      </c>
      <c r="H2231" s="18" t="str">
        <f>IFERROR(__xludf.DUMMYFUNCTION("""COMPUTED_VALUE"""),"UPI")</f>
        <v>UPI</v>
      </c>
      <c r="I2231" s="18" t="str">
        <f>IFERROR(__xludf.DUMMYFUNCTION("""COMPUTED_VALUE"""),"Delivered")</f>
        <v>Delivered</v>
      </c>
      <c r="J2231" s="18" t="str">
        <f>IFERROR(__xludf.DUMMYFUNCTION("""COMPUTED_VALUE"""),"Overall Satisfaction")</f>
        <v>Overall Satisfaction</v>
      </c>
      <c r="K2231" s="18" t="str">
        <f>IFERROR(__xludf.DUMMYFUNCTION("""COMPUTED_VALUE"""),"Great service will order again")</f>
        <v>Great service will order again</v>
      </c>
      <c r="L2231" s="18">
        <f>iferror(VLOOKUP($D2231,Details!$A$2:$C$11,2,false),vlookup($D2231,Details!$E$2:$G$11,2,false))</f>
        <v>80</v>
      </c>
      <c r="M2231" s="18" t="str">
        <f>iferror(VLOOKUP($D2231,Details!$A$2:$C$11,3,false),vlookup($D2231,Details!$E$2:$G$11,3,false))</f>
        <v>Fruits and Vegetables</v>
      </c>
      <c r="N2231" s="18">
        <f t="shared" si="1"/>
        <v>80</v>
      </c>
      <c r="O2231" s="17"/>
      <c r="P2231" s="17"/>
      <c r="Q2231" s="17"/>
      <c r="R2231" s="17"/>
      <c r="S2231" s="17"/>
      <c r="T2231" s="17"/>
      <c r="U2231" s="17"/>
      <c r="V2231" s="17"/>
      <c r="W2231" s="17"/>
      <c r="X2231" s="17"/>
      <c r="Y2231" s="17"/>
      <c r="Z2231" s="17"/>
    </row>
    <row r="2232">
      <c r="A2232" s="18" t="str">
        <f>IFERROR(__xludf.DUMMYFUNCTION("""COMPUTED_VALUE"""),"ord_82206")</f>
        <v>ord_82206</v>
      </c>
      <c r="B2232" s="18" t="str">
        <f>IFERROR(__xludf.DUMMYFUNCTION("""COMPUTED_VALUE"""),"Aarohi Kapoor")</f>
        <v>Aarohi Kapoor</v>
      </c>
      <c r="C2232" s="18" t="str">
        <f>IFERROR(__xludf.DUMMYFUNCTION("""COMPUTED_VALUE"""),"Bandra")</f>
        <v>Bandra</v>
      </c>
      <c r="D2232" s="18" t="str">
        <f>IFERROR(__xludf.DUMMYFUNCTION("""COMPUTED_VALUE"""),"Orange")</f>
        <v>Orange</v>
      </c>
      <c r="E2232" s="18">
        <f>IFERROR(__xludf.DUMMYFUNCTION("""COMPUTED_VALUE"""),2.0)</f>
        <v>2</v>
      </c>
      <c r="F2232" s="18" t="str">
        <f>IFERROR(__xludf.DUMMYFUNCTION("""COMPUTED_VALUE"""),"Venu R")</f>
        <v>Venu R</v>
      </c>
      <c r="G2232" s="19">
        <f>IFERROR(__xludf.DUMMYFUNCTION("""COMPUTED_VALUE"""),45263.0)</f>
        <v>45263</v>
      </c>
      <c r="H2232" s="18" t="str">
        <f>IFERROR(__xludf.DUMMYFUNCTION("""COMPUTED_VALUE"""),"UPI")</f>
        <v>UPI</v>
      </c>
      <c r="I2232" s="18" t="str">
        <f>IFERROR(__xludf.DUMMYFUNCTION("""COMPUTED_VALUE"""),"Delivered")</f>
        <v>Delivered</v>
      </c>
      <c r="J2232" s="18" t="str">
        <f>IFERROR(__xludf.DUMMYFUNCTION("""COMPUTED_VALUE"""),"On-time Delivery")</f>
        <v>On-time Delivery</v>
      </c>
      <c r="K2232" s="18" t="str">
        <f>IFERROR(__xludf.DUMMYFUNCTION("""COMPUTED_VALUE"""),"Delivered on time")</f>
        <v>Delivered on time</v>
      </c>
      <c r="L2232" s="18">
        <f>iferror(VLOOKUP($D2232,Details!$A$2:$C$11,2,false),vlookup($D2232,Details!$E$2:$G$11,2,false))</f>
        <v>180</v>
      </c>
      <c r="M2232" s="18" t="str">
        <f>iferror(VLOOKUP($D2232,Details!$A$2:$C$11,3,false),vlookup($D2232,Details!$E$2:$G$11,3,false))</f>
        <v>Fruits and Vegetables</v>
      </c>
      <c r="N2232" s="18">
        <f t="shared" si="1"/>
        <v>360</v>
      </c>
      <c r="O2232" s="17"/>
      <c r="P2232" s="17"/>
      <c r="Q2232" s="17"/>
      <c r="R2232" s="17"/>
      <c r="S2232" s="17"/>
      <c r="T2232" s="17"/>
      <c r="U2232" s="17"/>
      <c r="V2232" s="17"/>
      <c r="W2232" s="17"/>
      <c r="X2232" s="17"/>
      <c r="Y2232" s="17"/>
      <c r="Z2232" s="17"/>
    </row>
    <row r="2233">
      <c r="A2233" s="18" t="str">
        <f>IFERROR(__xludf.DUMMYFUNCTION("""COMPUTED_VALUE"""),"ord_82207")</f>
        <v>ord_82207</v>
      </c>
      <c r="B2233" s="18" t="str">
        <f>IFERROR(__xludf.DUMMYFUNCTION("""COMPUTED_VALUE"""),"Sakshi Tandon")</f>
        <v>Sakshi Tandon</v>
      </c>
      <c r="C2233" s="18" t="str">
        <f>IFERROR(__xludf.DUMMYFUNCTION("""COMPUTED_VALUE"""),"Colaba")</f>
        <v>Colaba</v>
      </c>
      <c r="D2233" s="18" t="str">
        <f>IFERROR(__xludf.DUMMYFUNCTION("""COMPUTED_VALUE"""),"Chicken Puff")</f>
        <v>Chicken Puff</v>
      </c>
      <c r="E2233" s="18">
        <f>IFERROR(__xludf.DUMMYFUNCTION("""COMPUTED_VALUE"""),5.0)</f>
        <v>5</v>
      </c>
      <c r="F2233" s="18" t="str">
        <f>IFERROR(__xludf.DUMMYFUNCTION("""COMPUTED_VALUE"""),"Vivek Kumar")</f>
        <v>Vivek Kumar</v>
      </c>
      <c r="G2233" s="19">
        <f>IFERROR(__xludf.DUMMYFUNCTION("""COMPUTED_VALUE"""),45240.0)</f>
        <v>45240</v>
      </c>
      <c r="H2233" s="18" t="str">
        <f>IFERROR(__xludf.DUMMYFUNCTION("""COMPUTED_VALUE"""),"UPI")</f>
        <v>UPI</v>
      </c>
      <c r="I2233" s="18" t="str">
        <f>IFERROR(__xludf.DUMMYFUNCTION("""COMPUTED_VALUE"""),"Delivered")</f>
        <v>Delivered</v>
      </c>
      <c r="J2233" s="18" t="str">
        <f>IFERROR(__xludf.DUMMYFUNCTION("""COMPUTED_VALUE"""),"Quality of Items")</f>
        <v>Quality of Items</v>
      </c>
      <c r="K2233" s="18" t="str">
        <f>IFERROR(__xludf.DUMMYFUNCTION("""COMPUTED_VALUE"""),"Perfect condition")</f>
        <v>Perfect condition</v>
      </c>
      <c r="L2233" s="18">
        <f>iferror(VLOOKUP($D2233,Details!$A$2:$C$11,2,false),vlookup($D2233,Details!$E$2:$G$11,2,false))</f>
        <v>90</v>
      </c>
      <c r="M2233" s="18" t="str">
        <f>iferror(VLOOKUP($D2233,Details!$A$2:$C$11,3,false),vlookup($D2233,Details!$E$2:$G$11,3,false))</f>
        <v>Snacks and Drinks</v>
      </c>
      <c r="N2233" s="18">
        <f t="shared" si="1"/>
        <v>450</v>
      </c>
      <c r="O2233" s="17"/>
      <c r="P2233" s="17"/>
      <c r="Q2233" s="17"/>
      <c r="R2233" s="17"/>
      <c r="S2233" s="17"/>
      <c r="T2233" s="17"/>
      <c r="U2233" s="17"/>
      <c r="V2233" s="17"/>
      <c r="W2233" s="17"/>
      <c r="X2233" s="17"/>
      <c r="Y2233" s="17"/>
      <c r="Z2233" s="17"/>
    </row>
    <row r="2234">
      <c r="A2234" s="18" t="str">
        <f>IFERROR(__xludf.DUMMYFUNCTION("""COMPUTED_VALUE"""),"ord_82208")</f>
        <v>ord_82208</v>
      </c>
      <c r="B2234" s="18" t="str">
        <f>IFERROR(__xludf.DUMMYFUNCTION("""COMPUTED_VALUE"""),"Mehul Thakkar")</f>
        <v>Mehul Thakkar</v>
      </c>
      <c r="C2234" s="18" t="str">
        <f>IFERROR(__xludf.DUMMYFUNCTION("""COMPUTED_VALUE"""),"Malad")</f>
        <v>Malad</v>
      </c>
      <c r="D2234" s="18" t="str">
        <f>IFERROR(__xludf.DUMMYFUNCTION("""COMPUTED_VALUE"""),"Tomato")</f>
        <v>Tomato</v>
      </c>
      <c r="E2234" s="18">
        <f>IFERROR(__xludf.DUMMYFUNCTION("""COMPUTED_VALUE"""),1.0)</f>
        <v>1</v>
      </c>
      <c r="F2234" s="18" t="str">
        <f>IFERROR(__xludf.DUMMYFUNCTION("""COMPUTED_VALUE"""),"Nithin Lal")</f>
        <v>Nithin Lal</v>
      </c>
      <c r="G2234" s="19">
        <f>IFERROR(__xludf.DUMMYFUNCTION("""COMPUTED_VALUE"""),45272.0)</f>
        <v>45272</v>
      </c>
      <c r="H2234" s="18" t="str">
        <f>IFERROR(__xludf.DUMMYFUNCTION("""COMPUTED_VALUE"""),"UPI")</f>
        <v>UPI</v>
      </c>
      <c r="I2234" s="18" t="str">
        <f>IFERROR(__xludf.DUMMYFUNCTION("""COMPUTED_VALUE"""),"Delivered")</f>
        <v>Delivered</v>
      </c>
      <c r="J2234" s="18" t="str">
        <f>IFERROR(__xludf.DUMMYFUNCTION("""COMPUTED_VALUE"""),"On-time Delivery")</f>
        <v>On-time Delivery</v>
      </c>
      <c r="K2234" s="18" t="str">
        <f>IFERROR(__xludf.DUMMYFUNCTION("""COMPUTED_VALUE"""),"Delivered on time")</f>
        <v>Delivered on time</v>
      </c>
      <c r="L2234" s="18">
        <f>iferror(VLOOKUP($D2234,Details!$A$2:$C$11,2,false),vlookup($D2234,Details!$E$2:$G$11,2,false))</f>
        <v>25</v>
      </c>
      <c r="M2234" s="18" t="str">
        <f>iferror(VLOOKUP($D2234,Details!$A$2:$C$11,3,false),vlookup($D2234,Details!$E$2:$G$11,3,false))</f>
        <v>Fruits and Vegetables</v>
      </c>
      <c r="N2234" s="18">
        <f t="shared" si="1"/>
        <v>25</v>
      </c>
      <c r="O2234" s="17"/>
      <c r="P2234" s="17"/>
      <c r="Q2234" s="17"/>
      <c r="R2234" s="17"/>
      <c r="S2234" s="17"/>
      <c r="T2234" s="17"/>
      <c r="U2234" s="17"/>
      <c r="V2234" s="17"/>
      <c r="W2234" s="17"/>
      <c r="X2234" s="17"/>
      <c r="Y2234" s="17"/>
      <c r="Z2234" s="17"/>
    </row>
    <row r="2235">
      <c r="A2235" s="18" t="str">
        <f>IFERROR(__xludf.DUMMYFUNCTION("""COMPUTED_VALUE"""),"ord_82209")</f>
        <v>ord_82209</v>
      </c>
      <c r="B2235" s="18" t="str">
        <f>IFERROR(__xludf.DUMMYFUNCTION("""COMPUTED_VALUE"""),"Aditya Rao")</f>
        <v>Aditya Rao</v>
      </c>
      <c r="C2235" s="18" t="str">
        <f>IFERROR(__xludf.DUMMYFUNCTION("""COMPUTED_VALUE"""),"Lower Parel")</f>
        <v>Lower Parel</v>
      </c>
      <c r="D2235" s="18" t="str">
        <f>IFERROR(__xludf.DUMMYFUNCTION("""COMPUTED_VALUE"""),"Popcorn")</f>
        <v>Popcorn</v>
      </c>
      <c r="E2235" s="18">
        <f>IFERROR(__xludf.DUMMYFUNCTION("""COMPUTED_VALUE"""),3.0)</f>
        <v>3</v>
      </c>
      <c r="F2235" s="18" t="str">
        <f>IFERROR(__xludf.DUMMYFUNCTION("""COMPUTED_VALUE"""),"Kiran Mehta")</f>
        <v>Kiran Mehta</v>
      </c>
      <c r="G2235" s="19">
        <f>IFERROR(__xludf.DUMMYFUNCTION("""COMPUTED_VALUE"""),45190.0)</f>
        <v>45190</v>
      </c>
      <c r="H2235" s="18" t="str">
        <f>IFERROR(__xludf.DUMMYFUNCTION("""COMPUTED_VALUE"""),"Credit Card")</f>
        <v>Credit Card</v>
      </c>
      <c r="I2235" s="18" t="str">
        <f>IFERROR(__xludf.DUMMYFUNCTION("""COMPUTED_VALUE"""),"Delivered")</f>
        <v>Delivered</v>
      </c>
      <c r="J2235" s="18" t="str">
        <f>IFERROR(__xludf.DUMMYFUNCTION("""COMPUTED_VALUE"""),"Quality of Items")</f>
        <v>Quality of Items</v>
      </c>
      <c r="K2235" s="18" t="str">
        <f>IFERROR(__xludf.DUMMYFUNCTION("""COMPUTED_VALUE"""),"Perfect condition")</f>
        <v>Perfect condition</v>
      </c>
      <c r="L2235" s="18">
        <f>iferror(VLOOKUP($D2235,Details!$A$2:$C$11,2,false),vlookup($D2235,Details!$E$2:$G$11,2,false))</f>
        <v>150</v>
      </c>
      <c r="M2235" s="18" t="str">
        <f>iferror(VLOOKUP($D2235,Details!$A$2:$C$11,3,false),vlookup($D2235,Details!$E$2:$G$11,3,false))</f>
        <v>Snacks and Drinks</v>
      </c>
      <c r="N2235" s="18">
        <f t="shared" si="1"/>
        <v>450</v>
      </c>
      <c r="O2235" s="17"/>
      <c r="P2235" s="17"/>
      <c r="Q2235" s="17"/>
      <c r="R2235" s="17"/>
      <c r="S2235" s="17"/>
      <c r="T2235" s="17"/>
      <c r="U2235" s="17"/>
      <c r="V2235" s="17"/>
      <c r="W2235" s="17"/>
      <c r="X2235" s="17"/>
      <c r="Y2235" s="17"/>
      <c r="Z2235" s="17"/>
    </row>
    <row r="2236">
      <c r="A2236" s="18" t="str">
        <f>IFERROR(__xludf.DUMMYFUNCTION("""COMPUTED_VALUE"""),"ord_82210")</f>
        <v>ord_82210</v>
      </c>
      <c r="B2236" s="18" t="str">
        <f>IFERROR(__xludf.DUMMYFUNCTION("""COMPUTED_VALUE"""),"Sanjay Nair")</f>
        <v>Sanjay Nair</v>
      </c>
      <c r="C2236" s="18" t="str">
        <f>IFERROR(__xludf.DUMMYFUNCTION("""COMPUTED_VALUE"""),"Dadar")</f>
        <v>Dadar</v>
      </c>
      <c r="D2236" s="18" t="str">
        <f>IFERROR(__xludf.DUMMYFUNCTION("""COMPUTED_VALUE"""),"Chicken Puff")</f>
        <v>Chicken Puff</v>
      </c>
      <c r="E2236" s="18">
        <f>IFERROR(__xludf.DUMMYFUNCTION("""COMPUTED_VALUE"""),4.0)</f>
        <v>4</v>
      </c>
      <c r="F2236" s="18" t="str">
        <f>IFERROR(__xludf.DUMMYFUNCTION("""COMPUTED_VALUE"""),"Ram Gopal")</f>
        <v>Ram Gopal</v>
      </c>
      <c r="G2236" s="19">
        <f>IFERROR(__xludf.DUMMYFUNCTION("""COMPUTED_VALUE"""),45146.0)</f>
        <v>45146</v>
      </c>
      <c r="H2236" s="18" t="str">
        <f>IFERROR(__xludf.DUMMYFUNCTION("""COMPUTED_VALUE"""),"Online Payment")</f>
        <v>Online Payment</v>
      </c>
      <c r="I2236" s="18" t="str">
        <f>IFERROR(__xludf.DUMMYFUNCTION("""COMPUTED_VALUE"""),"Cancelled")</f>
        <v>Cancelled</v>
      </c>
      <c r="J2236" s="18" t="str">
        <f>IFERROR(__xludf.DUMMYFUNCTION("""COMPUTED_VALUE"""),"Delayed Delivery")</f>
        <v>Delayed Delivery</v>
      </c>
      <c r="K2236" s="18" t="str">
        <f>IFERROR(__xludf.DUMMYFUNCTION("""COMPUTED_VALUE"""),"Bad Weather Conditions")</f>
        <v>Bad Weather Conditions</v>
      </c>
      <c r="L2236" s="18">
        <f>iferror(VLOOKUP($D2236,Details!$A$2:$C$11,2,false),vlookup($D2236,Details!$E$2:$G$11,2,false))</f>
        <v>90</v>
      </c>
      <c r="M2236" s="18" t="str">
        <f>iferror(VLOOKUP($D2236,Details!$A$2:$C$11,3,false),vlookup($D2236,Details!$E$2:$G$11,3,false))</f>
        <v>Snacks and Drinks</v>
      </c>
      <c r="N2236" s="18">
        <f t="shared" si="1"/>
        <v>360</v>
      </c>
      <c r="O2236" s="17"/>
      <c r="P2236" s="17"/>
      <c r="Q2236" s="17"/>
      <c r="R2236" s="17"/>
      <c r="S2236" s="17"/>
      <c r="T2236" s="17"/>
      <c r="U2236" s="17"/>
      <c r="V2236" s="17"/>
      <c r="W2236" s="17"/>
      <c r="X2236" s="17"/>
      <c r="Y2236" s="17"/>
      <c r="Z2236" s="17"/>
    </row>
    <row r="2237">
      <c r="A2237" s="18" t="str">
        <f>IFERROR(__xludf.DUMMYFUNCTION("""COMPUTED_VALUE"""),"ord_82211")</f>
        <v>ord_82211</v>
      </c>
      <c r="B2237" s="18" t="str">
        <f>IFERROR(__xludf.DUMMYFUNCTION("""COMPUTED_VALUE"""),"Sahil Desai")</f>
        <v>Sahil Desai</v>
      </c>
      <c r="C2237" s="18" t="str">
        <f>IFERROR(__xludf.DUMMYFUNCTION("""COMPUTED_VALUE"""),"Colaba")</f>
        <v>Colaba</v>
      </c>
      <c r="D2237" s="18" t="str">
        <f>IFERROR(__xludf.DUMMYFUNCTION("""COMPUTED_VALUE"""),"Juice")</f>
        <v>Juice</v>
      </c>
      <c r="E2237" s="18">
        <f>IFERROR(__xludf.DUMMYFUNCTION("""COMPUTED_VALUE"""),9.0)</f>
        <v>9</v>
      </c>
      <c r="F2237" s="18" t="str">
        <f>IFERROR(__xludf.DUMMYFUNCTION("""COMPUTED_VALUE"""),"Nikhil Deshmukh")</f>
        <v>Nikhil Deshmukh</v>
      </c>
      <c r="G2237" s="19">
        <f>IFERROR(__xludf.DUMMYFUNCTION("""COMPUTED_VALUE"""),45142.0)</f>
        <v>45142</v>
      </c>
      <c r="H2237" s="18" t="str">
        <f>IFERROR(__xludf.DUMMYFUNCTION("""COMPUTED_VALUE"""),"Online Payment")</f>
        <v>Online Payment</v>
      </c>
      <c r="I2237" s="18" t="str">
        <f>IFERROR(__xludf.DUMMYFUNCTION("""COMPUTED_VALUE"""),"Delivered")</f>
        <v>Delivered</v>
      </c>
      <c r="J2237" s="18" t="str">
        <f>IFERROR(__xludf.DUMMYFUNCTION("""COMPUTED_VALUE"""),"Packaging")</f>
        <v>Packaging</v>
      </c>
      <c r="K2237" s="18" t="str">
        <f>IFERROR(__xludf.DUMMYFUNCTION("""COMPUTED_VALUE"""),"Secure and intact")</f>
        <v>Secure and intact</v>
      </c>
      <c r="L2237" s="18">
        <f>iferror(VLOOKUP($D2237,Details!$A$2:$C$11,2,false),vlookup($D2237,Details!$E$2:$G$11,2,false))</f>
        <v>90</v>
      </c>
      <c r="M2237" s="18" t="str">
        <f>iferror(VLOOKUP($D2237,Details!$A$2:$C$11,3,false),vlookup($D2237,Details!$E$2:$G$11,3,false))</f>
        <v>Snacks and Drinks</v>
      </c>
      <c r="N2237" s="18">
        <f t="shared" si="1"/>
        <v>810</v>
      </c>
      <c r="O2237" s="17"/>
      <c r="P2237" s="17"/>
      <c r="Q2237" s="17"/>
      <c r="R2237" s="17"/>
      <c r="S2237" s="17"/>
      <c r="T2237" s="17"/>
      <c r="U2237" s="17"/>
      <c r="V2237" s="17"/>
      <c r="W2237" s="17"/>
      <c r="X2237" s="17"/>
      <c r="Y2237" s="17"/>
      <c r="Z2237" s="17"/>
    </row>
    <row r="2238">
      <c r="A2238" s="18" t="str">
        <f>IFERROR(__xludf.DUMMYFUNCTION("""COMPUTED_VALUE"""),"ord_82212")</f>
        <v>ord_82212</v>
      </c>
      <c r="B2238" s="18" t="str">
        <f>IFERROR(__xludf.DUMMYFUNCTION("""COMPUTED_VALUE"""),"Mehul Thakkar")</f>
        <v>Mehul Thakkar</v>
      </c>
      <c r="C2238" s="18" t="str">
        <f>IFERROR(__xludf.DUMMYFUNCTION("""COMPUTED_VALUE"""),"Dadar")</f>
        <v>Dadar</v>
      </c>
      <c r="D2238" s="18" t="str">
        <f>IFERROR(__xludf.DUMMYFUNCTION("""COMPUTED_VALUE"""),"Papaya")</f>
        <v>Papaya</v>
      </c>
      <c r="E2238" s="18">
        <f>IFERROR(__xludf.DUMMYFUNCTION("""COMPUTED_VALUE"""),1.0)</f>
        <v>1</v>
      </c>
      <c r="F2238" s="18" t="str">
        <f>IFERROR(__xludf.DUMMYFUNCTION("""COMPUTED_VALUE"""),"Aman Kumar")</f>
        <v>Aman Kumar</v>
      </c>
      <c r="G2238" s="19">
        <f>IFERROR(__xludf.DUMMYFUNCTION("""COMPUTED_VALUE"""),45013.0)</f>
        <v>45013</v>
      </c>
      <c r="H2238" s="18" t="str">
        <f>IFERROR(__xludf.DUMMYFUNCTION("""COMPUTED_VALUE"""),"Credit Card")</f>
        <v>Credit Card</v>
      </c>
      <c r="I2238" s="18" t="str">
        <f>IFERROR(__xludf.DUMMYFUNCTION("""COMPUTED_VALUE"""),"Delivered")</f>
        <v>Delivered</v>
      </c>
      <c r="J2238" s="18" t="str">
        <f>IFERROR(__xludf.DUMMYFUNCTION("""COMPUTED_VALUE"""),"Satisfied with the Delivery")</f>
        <v>Satisfied with the Delivery</v>
      </c>
      <c r="K2238" s="18" t="str">
        <f>IFERROR(__xludf.DUMMYFUNCTION("""COMPUTED_VALUE"""),"Timely and quality")</f>
        <v>Timely and quality</v>
      </c>
      <c r="L2238" s="18">
        <f>iferror(VLOOKUP($D2238,Details!$A$2:$C$11,2,false),vlookup($D2238,Details!$E$2:$G$11,2,false))</f>
        <v>75</v>
      </c>
      <c r="M2238" s="18" t="str">
        <f>iferror(VLOOKUP($D2238,Details!$A$2:$C$11,3,false),vlookup($D2238,Details!$E$2:$G$11,3,false))</f>
        <v>Fruits and Vegetables</v>
      </c>
      <c r="N2238" s="18">
        <f t="shared" si="1"/>
        <v>75</v>
      </c>
      <c r="O2238" s="17"/>
      <c r="P2238" s="17"/>
      <c r="Q2238" s="17"/>
      <c r="R2238" s="17"/>
      <c r="S2238" s="17"/>
      <c r="T2238" s="17"/>
      <c r="U2238" s="17"/>
      <c r="V2238" s="17"/>
      <c r="W2238" s="17"/>
      <c r="X2238" s="17"/>
      <c r="Y2238" s="17"/>
      <c r="Z2238" s="17"/>
    </row>
    <row r="2239">
      <c r="A2239" s="18" t="str">
        <f>IFERROR(__xludf.DUMMYFUNCTION("""COMPUTED_VALUE"""),"ord_82213")</f>
        <v>ord_82213</v>
      </c>
      <c r="B2239" s="18" t="str">
        <f>IFERROR(__xludf.DUMMYFUNCTION("""COMPUTED_VALUE"""),"Aarav Mehta")</f>
        <v>Aarav Mehta</v>
      </c>
      <c r="C2239" s="18" t="str">
        <f>IFERROR(__xludf.DUMMYFUNCTION("""COMPUTED_VALUE"""),"Andheri")</f>
        <v>Andheri</v>
      </c>
      <c r="D2239" s="18" t="str">
        <f>IFERROR(__xludf.DUMMYFUNCTION("""COMPUTED_VALUE"""),"Icecream")</f>
        <v>Icecream</v>
      </c>
      <c r="E2239" s="18">
        <f>IFERROR(__xludf.DUMMYFUNCTION("""COMPUTED_VALUE"""),3.0)</f>
        <v>3</v>
      </c>
      <c r="F2239" s="18" t="str">
        <f>IFERROR(__xludf.DUMMYFUNCTION("""COMPUTED_VALUE"""),"Not Assigned")</f>
        <v>Not Assigned</v>
      </c>
      <c r="G2239" s="19">
        <f>IFERROR(__xludf.DUMMYFUNCTION("""COMPUTED_VALUE"""),45273.0)</f>
        <v>45273</v>
      </c>
      <c r="H2239" s="18" t="str">
        <f>IFERROR(__xludf.DUMMYFUNCTION("""COMPUTED_VALUE"""),"UPI")</f>
        <v>UPI</v>
      </c>
      <c r="I2239" s="18" t="str">
        <f>IFERROR(__xludf.DUMMYFUNCTION("""COMPUTED_VALUE"""),"Cancelled")</f>
        <v>Cancelled</v>
      </c>
      <c r="J2239" s="18" t="str">
        <f>IFERROR(__xludf.DUMMYFUNCTION("""COMPUTED_VALUE"""),"App Glitches")</f>
        <v>App Glitches</v>
      </c>
      <c r="K2239" s="18" t="str">
        <f>IFERROR(__xludf.DUMMYFUNCTION("""COMPUTED_VALUE"""),"Payment Button Malfunction")</f>
        <v>Payment Button Malfunction</v>
      </c>
      <c r="L2239" s="18">
        <f>iferror(VLOOKUP($D2239,Details!$A$2:$C$11,2,false),vlookup($D2239,Details!$E$2:$G$11,2,false))</f>
        <v>90</v>
      </c>
      <c r="M2239" s="18" t="str">
        <f>iferror(VLOOKUP($D2239,Details!$A$2:$C$11,3,false),vlookup($D2239,Details!$E$2:$G$11,3,false))</f>
        <v>Snacks and Drinks</v>
      </c>
      <c r="N2239" s="18">
        <f t="shared" si="1"/>
        <v>270</v>
      </c>
      <c r="O2239" s="17"/>
      <c r="P2239" s="17"/>
      <c r="Q2239" s="17"/>
      <c r="R2239" s="17"/>
      <c r="S2239" s="17"/>
      <c r="T2239" s="17"/>
      <c r="U2239" s="17"/>
      <c r="V2239" s="17"/>
      <c r="W2239" s="17"/>
      <c r="X2239" s="17"/>
      <c r="Y2239" s="17"/>
      <c r="Z2239" s="17"/>
    </row>
    <row r="2240">
      <c r="A2240" s="18" t="str">
        <f>IFERROR(__xludf.DUMMYFUNCTION("""COMPUTED_VALUE"""),"ord_82214")</f>
        <v>ord_82214</v>
      </c>
      <c r="B2240" s="18" t="str">
        <f>IFERROR(__xludf.DUMMYFUNCTION("""COMPUTED_VALUE"""),"Mehul Thakkar")</f>
        <v>Mehul Thakkar</v>
      </c>
      <c r="C2240" s="18" t="str">
        <f>IFERROR(__xludf.DUMMYFUNCTION("""COMPUTED_VALUE"""),"Malad")</f>
        <v>Malad</v>
      </c>
      <c r="D2240" s="18" t="str">
        <f>IFERROR(__xludf.DUMMYFUNCTION("""COMPUTED_VALUE"""),"Orange")</f>
        <v>Orange</v>
      </c>
      <c r="E2240" s="18">
        <f>IFERROR(__xludf.DUMMYFUNCTION("""COMPUTED_VALUE"""),2.0)</f>
        <v>2</v>
      </c>
      <c r="F2240" s="18" t="str">
        <f>IFERROR(__xludf.DUMMYFUNCTION("""COMPUTED_VALUE"""),"Neha Shah")</f>
        <v>Neha Shah</v>
      </c>
      <c r="G2240" s="19">
        <f>IFERROR(__xludf.DUMMYFUNCTION("""COMPUTED_VALUE"""),45056.0)</f>
        <v>45056</v>
      </c>
      <c r="H2240" s="18" t="str">
        <f>IFERROR(__xludf.DUMMYFUNCTION("""COMPUTED_VALUE"""),"UPI")</f>
        <v>UPI</v>
      </c>
      <c r="I2240" s="18" t="str">
        <f>IFERROR(__xludf.DUMMYFUNCTION("""COMPUTED_VALUE"""),"Delivered")</f>
        <v>Delivered</v>
      </c>
      <c r="J2240" s="18" t="str">
        <f>IFERROR(__xludf.DUMMYFUNCTION("""COMPUTED_VALUE"""),"Customer Service")</f>
        <v>Customer Service</v>
      </c>
      <c r="K2240" s="18" t="str">
        <f>IFERROR(__xludf.DUMMYFUNCTION("""COMPUTED_VALUE"""),"Seamless and easy")</f>
        <v>Seamless and easy</v>
      </c>
      <c r="L2240" s="18">
        <f>iferror(VLOOKUP($D2240,Details!$A$2:$C$11,2,false),vlookup($D2240,Details!$E$2:$G$11,2,false))</f>
        <v>180</v>
      </c>
      <c r="M2240" s="18" t="str">
        <f>iferror(VLOOKUP($D2240,Details!$A$2:$C$11,3,false),vlookup($D2240,Details!$E$2:$G$11,3,false))</f>
        <v>Fruits and Vegetables</v>
      </c>
      <c r="N2240" s="18">
        <f t="shared" si="1"/>
        <v>360</v>
      </c>
      <c r="O2240" s="17"/>
      <c r="P2240" s="17"/>
      <c r="Q2240" s="17"/>
      <c r="R2240" s="17"/>
      <c r="S2240" s="17"/>
      <c r="T2240" s="17"/>
      <c r="U2240" s="17"/>
      <c r="V2240" s="17"/>
      <c r="W2240" s="17"/>
      <c r="X2240" s="17"/>
      <c r="Y2240" s="17"/>
      <c r="Z2240" s="17"/>
    </row>
    <row r="2241">
      <c r="A2241" s="18" t="str">
        <f>IFERROR(__xludf.DUMMYFUNCTION("""COMPUTED_VALUE"""),"ord_82215")</f>
        <v>ord_82215</v>
      </c>
      <c r="B2241" s="18" t="str">
        <f>IFERROR(__xludf.DUMMYFUNCTION("""COMPUTED_VALUE"""),"Arvind Kulkarni")</f>
        <v>Arvind Kulkarni</v>
      </c>
      <c r="C2241" s="18" t="str">
        <f>IFERROR(__xludf.DUMMYFUNCTION("""COMPUTED_VALUE"""),"Juhu")</f>
        <v>Juhu</v>
      </c>
      <c r="D2241" s="18" t="str">
        <f>IFERROR(__xludf.DUMMYFUNCTION("""COMPUTED_VALUE"""),"Icecream")</f>
        <v>Icecream</v>
      </c>
      <c r="E2241" s="18">
        <f>IFERROR(__xludf.DUMMYFUNCTION("""COMPUTED_VALUE"""),5.0)</f>
        <v>5</v>
      </c>
      <c r="F2241" s="18" t="str">
        <f>IFERROR(__xludf.DUMMYFUNCTION("""COMPUTED_VALUE"""),"Not Assigned")</f>
        <v>Not Assigned</v>
      </c>
      <c r="G2241" s="19">
        <f>IFERROR(__xludf.DUMMYFUNCTION("""COMPUTED_VALUE"""),45038.0)</f>
        <v>45038</v>
      </c>
      <c r="H2241" s="18" t="str">
        <f>IFERROR(__xludf.DUMMYFUNCTION("""COMPUTED_VALUE"""),"Credit Card")</f>
        <v>Credit Card</v>
      </c>
      <c r="I2241" s="18" t="str">
        <f>IFERROR(__xludf.DUMMYFUNCTION("""COMPUTED_VALUE"""),"Cancelled")</f>
        <v>Cancelled</v>
      </c>
      <c r="J2241" s="18" t="str">
        <f>IFERROR(__xludf.DUMMYFUNCTION("""COMPUTED_VALUE"""),"App Glitches")</f>
        <v>App Glitches</v>
      </c>
      <c r="K2241" s="18" t="str">
        <f>IFERROR(__xludf.DUMMYFUNCTION("""COMPUTED_VALUE"""),"Slow Loading Time")</f>
        <v>Slow Loading Time</v>
      </c>
      <c r="L2241" s="18">
        <f>iferror(VLOOKUP($D2241,Details!$A$2:$C$11,2,false),vlookup($D2241,Details!$E$2:$G$11,2,false))</f>
        <v>90</v>
      </c>
      <c r="M2241" s="18" t="str">
        <f>iferror(VLOOKUP($D2241,Details!$A$2:$C$11,3,false),vlookup($D2241,Details!$E$2:$G$11,3,false))</f>
        <v>Snacks and Drinks</v>
      </c>
      <c r="N2241" s="18">
        <f t="shared" si="1"/>
        <v>450</v>
      </c>
      <c r="O2241" s="17"/>
      <c r="P2241" s="17"/>
      <c r="Q2241" s="17"/>
      <c r="R2241" s="17"/>
      <c r="S2241" s="17"/>
      <c r="T2241" s="17"/>
      <c r="U2241" s="17"/>
      <c r="V2241" s="17"/>
      <c r="W2241" s="17"/>
      <c r="X2241" s="17"/>
      <c r="Y2241" s="17"/>
      <c r="Z2241" s="17"/>
    </row>
    <row r="2242">
      <c r="A2242" s="18" t="str">
        <f>IFERROR(__xludf.DUMMYFUNCTION("""COMPUTED_VALUE"""),"ord_82216")</f>
        <v>ord_82216</v>
      </c>
      <c r="B2242" s="18" t="str">
        <f>IFERROR(__xludf.DUMMYFUNCTION("""COMPUTED_VALUE"""),"Dev Chauhan")</f>
        <v>Dev Chauhan</v>
      </c>
      <c r="C2242" s="18" t="str">
        <f>IFERROR(__xludf.DUMMYFUNCTION("""COMPUTED_VALUE"""),"Bandra")</f>
        <v>Bandra</v>
      </c>
      <c r="D2242" s="18" t="str">
        <f>IFERROR(__xludf.DUMMYFUNCTION("""COMPUTED_VALUE"""),"Onion")</f>
        <v>Onion</v>
      </c>
      <c r="E2242" s="18">
        <f>IFERROR(__xludf.DUMMYFUNCTION("""COMPUTED_VALUE"""),1.0)</f>
        <v>1</v>
      </c>
      <c r="F2242" s="18" t="str">
        <f>IFERROR(__xludf.DUMMYFUNCTION("""COMPUTED_VALUE"""),"Priya Joshi")</f>
        <v>Priya Joshi</v>
      </c>
      <c r="G2242" s="19">
        <f>IFERROR(__xludf.DUMMYFUNCTION("""COMPUTED_VALUE"""),45265.0)</f>
        <v>45265</v>
      </c>
      <c r="H2242" s="18" t="str">
        <f>IFERROR(__xludf.DUMMYFUNCTION("""COMPUTED_VALUE"""),"Online Payment")</f>
        <v>Online Payment</v>
      </c>
      <c r="I2242" s="18" t="str">
        <f>IFERROR(__xludf.DUMMYFUNCTION("""COMPUTED_VALUE"""),"Delivered")</f>
        <v>Delivered</v>
      </c>
      <c r="J2242" s="18" t="str">
        <f>IFERROR(__xludf.DUMMYFUNCTION("""COMPUTED_VALUE"""),"Delivery Experience")</f>
        <v>Delivery Experience</v>
      </c>
      <c r="K2242" s="18" t="str">
        <f>IFERROR(__xludf.DUMMYFUNCTION("""COMPUTED_VALUE"""),"Quick and professional")</f>
        <v>Quick and professional</v>
      </c>
      <c r="L2242" s="18">
        <f>iferror(VLOOKUP($D2242,Details!$A$2:$C$11,2,false),vlookup($D2242,Details!$E$2:$G$11,2,false))</f>
        <v>84</v>
      </c>
      <c r="M2242" s="18" t="str">
        <f>iferror(VLOOKUP($D2242,Details!$A$2:$C$11,3,false),vlookup($D2242,Details!$E$2:$G$11,3,false))</f>
        <v>Fruits and Vegetables</v>
      </c>
      <c r="N2242" s="18">
        <f t="shared" si="1"/>
        <v>84</v>
      </c>
      <c r="O2242" s="17"/>
      <c r="P2242" s="17"/>
      <c r="Q2242" s="17"/>
      <c r="R2242" s="17"/>
      <c r="S2242" s="17"/>
      <c r="T2242" s="17"/>
      <c r="U2242" s="17"/>
      <c r="V2242" s="17"/>
      <c r="W2242" s="17"/>
      <c r="X2242" s="17"/>
      <c r="Y2242" s="17"/>
      <c r="Z2242" s="17"/>
    </row>
    <row r="2243">
      <c r="A2243" s="18" t="str">
        <f>IFERROR(__xludf.DUMMYFUNCTION("""COMPUTED_VALUE"""),"ord_82217")</f>
        <v>ord_82217</v>
      </c>
      <c r="B2243" s="18" t="str">
        <f>IFERROR(__xludf.DUMMYFUNCTION("""COMPUTED_VALUE"""),"Sakshi Tandon")</f>
        <v>Sakshi Tandon</v>
      </c>
      <c r="C2243" s="18" t="str">
        <f>IFERROR(__xludf.DUMMYFUNCTION("""COMPUTED_VALUE"""),"Colaba")</f>
        <v>Colaba</v>
      </c>
      <c r="D2243" s="18" t="str">
        <f>IFERROR(__xludf.DUMMYFUNCTION("""COMPUTED_VALUE"""),"Banana")</f>
        <v>Banana</v>
      </c>
      <c r="E2243" s="18">
        <f>IFERROR(__xludf.DUMMYFUNCTION("""COMPUTED_VALUE"""),1.0)</f>
        <v>1</v>
      </c>
      <c r="F2243" s="18" t="str">
        <f>IFERROR(__xludf.DUMMYFUNCTION("""COMPUTED_VALUE"""),"Not Assigned")</f>
        <v>Not Assigned</v>
      </c>
      <c r="G2243" s="19">
        <f>IFERROR(__xludf.DUMMYFUNCTION("""COMPUTED_VALUE"""),45156.0)</f>
        <v>45156</v>
      </c>
      <c r="H2243" s="18" t="str">
        <f>IFERROR(__xludf.DUMMYFUNCTION("""COMPUTED_VALUE"""),"UPI")</f>
        <v>UPI</v>
      </c>
      <c r="I2243" s="18" t="str">
        <f>IFERROR(__xludf.DUMMYFUNCTION("""COMPUTED_VALUE"""),"Cancelled")</f>
        <v>Cancelled</v>
      </c>
      <c r="J2243" s="18" t="str">
        <f>IFERROR(__xludf.DUMMYFUNCTION("""COMPUTED_VALUE"""),"App Glitches")</f>
        <v>App Glitches</v>
      </c>
      <c r="K2243" s="18" t="str">
        <f>IFERROR(__xludf.DUMMYFUNCTION("""COMPUTED_VALUE"""),"Payment Button Malfunction")</f>
        <v>Payment Button Malfunction</v>
      </c>
      <c r="L2243" s="18">
        <f>iferror(VLOOKUP($D2243,Details!$A$2:$C$11,2,false),vlookup($D2243,Details!$E$2:$G$11,2,false))</f>
        <v>80</v>
      </c>
      <c r="M2243" s="18" t="str">
        <f>iferror(VLOOKUP($D2243,Details!$A$2:$C$11,3,false),vlookup($D2243,Details!$E$2:$G$11,3,false))</f>
        <v>Fruits and Vegetables</v>
      </c>
      <c r="N2243" s="18">
        <f t="shared" si="1"/>
        <v>80</v>
      </c>
      <c r="O2243" s="17"/>
      <c r="P2243" s="17"/>
      <c r="Q2243" s="17"/>
      <c r="R2243" s="17"/>
      <c r="S2243" s="17"/>
      <c r="T2243" s="17"/>
      <c r="U2243" s="17"/>
      <c r="V2243" s="17"/>
      <c r="W2243" s="17"/>
      <c r="X2243" s="17"/>
      <c r="Y2243" s="17"/>
      <c r="Z2243" s="17"/>
    </row>
    <row r="2244">
      <c r="A2244" s="18" t="str">
        <f>IFERROR(__xludf.DUMMYFUNCTION("""COMPUTED_VALUE"""),"ord_82218")</f>
        <v>ord_82218</v>
      </c>
      <c r="B2244" s="18" t="str">
        <f>IFERROR(__xludf.DUMMYFUNCTION("""COMPUTED_VALUE"""),"Mehul Thakkar")</f>
        <v>Mehul Thakkar</v>
      </c>
      <c r="C2244" s="18" t="str">
        <f>IFERROR(__xludf.DUMMYFUNCTION("""COMPUTED_VALUE"""),"Dadar")</f>
        <v>Dadar</v>
      </c>
      <c r="D2244" s="18" t="str">
        <f>IFERROR(__xludf.DUMMYFUNCTION("""COMPUTED_VALUE"""),"Chicken Puff")</f>
        <v>Chicken Puff</v>
      </c>
      <c r="E2244" s="18">
        <f>IFERROR(__xludf.DUMMYFUNCTION("""COMPUTED_VALUE"""),3.0)</f>
        <v>3</v>
      </c>
      <c r="F2244" s="18" t="str">
        <f>IFERROR(__xludf.DUMMYFUNCTION("""COMPUTED_VALUE"""),"Aman Kumar")</f>
        <v>Aman Kumar</v>
      </c>
      <c r="G2244" s="19">
        <f>IFERROR(__xludf.DUMMYFUNCTION("""COMPUTED_VALUE"""),44993.0)</f>
        <v>44993</v>
      </c>
      <c r="H2244" s="18" t="str">
        <f>IFERROR(__xludf.DUMMYFUNCTION("""COMPUTED_VALUE"""),"Credit Card")</f>
        <v>Credit Card</v>
      </c>
      <c r="I2244" s="18" t="str">
        <f>IFERROR(__xludf.DUMMYFUNCTION("""COMPUTED_VALUE"""),"Delivered")</f>
        <v>Delivered</v>
      </c>
      <c r="J2244" s="18" t="str">
        <f>IFERROR(__xludf.DUMMYFUNCTION("""COMPUTED_VALUE"""),"Convenience")</f>
        <v>Convenience</v>
      </c>
      <c r="K2244" s="18" t="str">
        <f>IFERROR(__xludf.DUMMYFUNCTION("""COMPUTED_VALUE"""),"Easy tracking")</f>
        <v>Easy tracking</v>
      </c>
      <c r="L2244" s="18">
        <f>iferror(VLOOKUP($D2244,Details!$A$2:$C$11,2,false),vlookup($D2244,Details!$E$2:$G$11,2,false))</f>
        <v>90</v>
      </c>
      <c r="M2244" s="18" t="str">
        <f>iferror(VLOOKUP($D2244,Details!$A$2:$C$11,3,false),vlookup($D2244,Details!$E$2:$G$11,3,false))</f>
        <v>Snacks and Drinks</v>
      </c>
      <c r="N2244" s="18">
        <f t="shared" si="1"/>
        <v>270</v>
      </c>
      <c r="O2244" s="17"/>
      <c r="P2244" s="17"/>
      <c r="Q2244" s="17"/>
      <c r="R2244" s="17"/>
      <c r="S2244" s="17"/>
      <c r="T2244" s="17"/>
      <c r="U2244" s="17"/>
      <c r="V2244" s="17"/>
      <c r="W2244" s="17"/>
      <c r="X2244" s="17"/>
      <c r="Y2244" s="17"/>
      <c r="Z2244" s="17"/>
    </row>
    <row r="2245">
      <c r="A2245" s="18" t="str">
        <f>IFERROR(__xludf.DUMMYFUNCTION("""COMPUTED_VALUE"""),"ord_92219")</f>
        <v>ord_92219</v>
      </c>
      <c r="B2245" s="18" t="str">
        <f>IFERROR(__xludf.DUMMYFUNCTION("""COMPUTED_VALUE"""),"Ritika Dutta")</f>
        <v>Ritika Dutta</v>
      </c>
      <c r="C2245" s="18" t="str">
        <f>IFERROR(__xludf.DUMMYFUNCTION("""COMPUTED_VALUE"""),"Lower Parel")</f>
        <v>Lower Parel</v>
      </c>
      <c r="D2245" s="18" t="str">
        <f>IFERROR(__xludf.DUMMYFUNCTION("""COMPUTED_VALUE"""),"Icecream")</f>
        <v>Icecream</v>
      </c>
      <c r="E2245" s="18">
        <f>IFERROR(__xludf.DUMMYFUNCTION("""COMPUTED_VALUE"""),8.0)</f>
        <v>8</v>
      </c>
      <c r="F2245" s="18" t="str">
        <f>IFERROR(__xludf.DUMMYFUNCTION("""COMPUTED_VALUE"""),"Kiran Mehta")</f>
        <v>Kiran Mehta</v>
      </c>
      <c r="G2245" s="19">
        <f>IFERROR(__xludf.DUMMYFUNCTION("""COMPUTED_VALUE"""),45031.0)</f>
        <v>45031</v>
      </c>
      <c r="H2245" s="18" t="str">
        <f>IFERROR(__xludf.DUMMYFUNCTION("""COMPUTED_VALUE"""),"Online Payment")</f>
        <v>Online Payment</v>
      </c>
      <c r="I2245" s="18" t="str">
        <f>IFERROR(__xludf.DUMMYFUNCTION("""COMPUTED_VALUE"""),"Delivered")</f>
        <v>Delivered</v>
      </c>
      <c r="J2245" s="18" t="str">
        <f>IFERROR(__xludf.DUMMYFUNCTION("""COMPUTED_VALUE"""),"Overall Satisfaction")</f>
        <v>Overall Satisfaction</v>
      </c>
      <c r="K2245" s="18" t="str">
        <f>IFERROR(__xludf.DUMMYFUNCTION("""COMPUTED_VALUE"""),"Great service will order again")</f>
        <v>Great service will order again</v>
      </c>
      <c r="L2245" s="18">
        <f>iferror(VLOOKUP($D2245,Details!$A$2:$C$11,2,false),vlookup($D2245,Details!$E$2:$G$11,2,false))</f>
        <v>90</v>
      </c>
      <c r="M2245" s="18" t="str">
        <f>iferror(VLOOKUP($D2245,Details!$A$2:$C$11,3,false),vlookup($D2245,Details!$E$2:$G$11,3,false))</f>
        <v>Snacks and Drinks</v>
      </c>
      <c r="N2245" s="18">
        <f t="shared" si="1"/>
        <v>720</v>
      </c>
      <c r="O2245" s="17"/>
      <c r="P2245" s="17"/>
      <c r="Q2245" s="17"/>
      <c r="R2245" s="17"/>
      <c r="S2245" s="17"/>
      <c r="T2245" s="17"/>
      <c r="U2245" s="17"/>
      <c r="V2245" s="17"/>
      <c r="W2245" s="17"/>
      <c r="X2245" s="17"/>
      <c r="Y2245" s="17"/>
      <c r="Z2245" s="17"/>
    </row>
    <row r="2246">
      <c r="A2246" s="18" t="str">
        <f>IFERROR(__xludf.DUMMYFUNCTION("""COMPUTED_VALUE"""),"ord_92220")</f>
        <v>ord_92220</v>
      </c>
      <c r="B2246" s="18" t="str">
        <f>IFERROR(__xludf.DUMMYFUNCTION("""COMPUTED_VALUE"""),"Ishita Banerjee")</f>
        <v>Ishita Banerjee</v>
      </c>
      <c r="C2246" s="18" t="str">
        <f>IFERROR(__xludf.DUMMYFUNCTION("""COMPUTED_VALUE"""),"Juhu")</f>
        <v>Juhu</v>
      </c>
      <c r="D2246" s="18" t="str">
        <f>IFERROR(__xludf.DUMMYFUNCTION("""COMPUTED_VALUE"""),"Cucumber")</f>
        <v>Cucumber</v>
      </c>
      <c r="E2246" s="18">
        <f>IFERROR(__xludf.DUMMYFUNCTION("""COMPUTED_VALUE"""),1.0)</f>
        <v>1</v>
      </c>
      <c r="F2246" s="18" t="str">
        <f>IFERROR(__xludf.DUMMYFUNCTION("""COMPUTED_VALUE"""),"Tanvi Jain")</f>
        <v>Tanvi Jain</v>
      </c>
      <c r="G2246" s="19">
        <f>IFERROR(__xludf.DUMMYFUNCTION("""COMPUTED_VALUE"""),45198.0)</f>
        <v>45198</v>
      </c>
      <c r="H2246" s="18" t="str">
        <f>IFERROR(__xludf.DUMMYFUNCTION("""COMPUTED_VALUE"""),"Online Payment")</f>
        <v>Online Payment</v>
      </c>
      <c r="I2246" s="18" t="str">
        <f>IFERROR(__xludf.DUMMYFUNCTION("""COMPUTED_VALUE"""),"Delivered")</f>
        <v>Delivered</v>
      </c>
      <c r="J2246" s="18" t="str">
        <f>IFERROR(__xludf.DUMMYFUNCTION("""COMPUTED_VALUE"""),"On-time Delivery")</f>
        <v>On-time Delivery</v>
      </c>
      <c r="K2246" s="18" t="str">
        <f>IFERROR(__xludf.DUMMYFUNCTION("""COMPUTED_VALUE"""),"Delivered on time")</f>
        <v>Delivered on time</v>
      </c>
      <c r="L2246" s="18">
        <f>iferror(VLOOKUP($D2246,Details!$A$2:$C$11,2,false),vlookup($D2246,Details!$E$2:$G$11,2,false))</f>
        <v>30</v>
      </c>
      <c r="M2246" s="18" t="str">
        <f>iferror(VLOOKUP($D2246,Details!$A$2:$C$11,3,false),vlookup($D2246,Details!$E$2:$G$11,3,false))</f>
        <v>Fruits and Vegetables</v>
      </c>
      <c r="N2246" s="18">
        <f t="shared" si="1"/>
        <v>30</v>
      </c>
      <c r="O2246" s="17"/>
      <c r="P2246" s="17"/>
      <c r="Q2246" s="17"/>
      <c r="R2246" s="17"/>
      <c r="S2246" s="17"/>
      <c r="T2246" s="17"/>
      <c r="U2246" s="17"/>
      <c r="V2246" s="17"/>
      <c r="W2246" s="17"/>
      <c r="X2246" s="17"/>
      <c r="Y2246" s="17"/>
      <c r="Z2246" s="17"/>
    </row>
    <row r="2247">
      <c r="A2247" s="18" t="str">
        <f>IFERROR(__xludf.DUMMYFUNCTION("""COMPUTED_VALUE"""),"ord_92221")</f>
        <v>ord_92221</v>
      </c>
      <c r="B2247" s="18" t="str">
        <f>IFERROR(__xludf.DUMMYFUNCTION("""COMPUTED_VALUE"""),"Sana Malik")</f>
        <v>Sana Malik</v>
      </c>
      <c r="C2247" s="18" t="str">
        <f>IFERROR(__xludf.DUMMYFUNCTION("""COMPUTED_VALUE"""),"Juhu")</f>
        <v>Juhu</v>
      </c>
      <c r="D2247" s="18" t="str">
        <f>IFERROR(__xludf.DUMMYFUNCTION("""COMPUTED_VALUE"""),"Chocolate Mousse")</f>
        <v>Chocolate Mousse</v>
      </c>
      <c r="E2247" s="18">
        <f>IFERROR(__xludf.DUMMYFUNCTION("""COMPUTED_VALUE"""),7.0)</f>
        <v>7</v>
      </c>
      <c r="F2247" s="18" t="str">
        <f>IFERROR(__xludf.DUMMYFUNCTION("""COMPUTED_VALUE"""),"Tanvi Jain")</f>
        <v>Tanvi Jain</v>
      </c>
      <c r="G2247" s="19">
        <f>IFERROR(__xludf.DUMMYFUNCTION("""COMPUTED_VALUE"""),45223.0)</f>
        <v>45223</v>
      </c>
      <c r="H2247" s="18" t="str">
        <f>IFERROR(__xludf.DUMMYFUNCTION("""COMPUTED_VALUE"""),"Online Payment")</f>
        <v>Online Payment</v>
      </c>
      <c r="I2247" s="18" t="str">
        <f>IFERROR(__xludf.DUMMYFUNCTION("""COMPUTED_VALUE"""),"Delivered")</f>
        <v>Delivered</v>
      </c>
      <c r="J2247" s="18" t="str">
        <f>IFERROR(__xludf.DUMMYFUNCTION("""COMPUTED_VALUE"""),"Quality of Items")</f>
        <v>Quality of Items</v>
      </c>
      <c r="K2247" s="18" t="str">
        <f>IFERROR(__xludf.DUMMYFUNCTION("""COMPUTED_VALUE"""),"Perfect condition")</f>
        <v>Perfect condition</v>
      </c>
      <c r="L2247" s="18">
        <f>iferror(VLOOKUP($D2247,Details!$A$2:$C$11,2,false),vlookup($D2247,Details!$E$2:$G$11,2,false))</f>
        <v>145</v>
      </c>
      <c r="M2247" s="18" t="str">
        <f>iferror(VLOOKUP($D2247,Details!$A$2:$C$11,3,false),vlookup($D2247,Details!$E$2:$G$11,3,false))</f>
        <v>Snacks and Drinks</v>
      </c>
      <c r="N2247" s="18">
        <f t="shared" si="1"/>
        <v>1015</v>
      </c>
      <c r="O2247" s="17"/>
      <c r="P2247" s="17"/>
      <c r="Q2247" s="17"/>
      <c r="R2247" s="17"/>
      <c r="S2247" s="17"/>
      <c r="T2247" s="17"/>
      <c r="U2247" s="17"/>
      <c r="V2247" s="17"/>
      <c r="W2247" s="17"/>
      <c r="X2247" s="17"/>
      <c r="Y2247" s="17"/>
      <c r="Z2247" s="17"/>
    </row>
    <row r="2248">
      <c r="A2248" s="18" t="str">
        <f>IFERROR(__xludf.DUMMYFUNCTION("""COMPUTED_VALUE"""),"ord_92222")</f>
        <v>ord_92222</v>
      </c>
      <c r="B2248" s="18" t="str">
        <f>IFERROR(__xludf.DUMMYFUNCTION("""COMPUTED_VALUE"""),"Pranav Joshi")</f>
        <v>Pranav Joshi</v>
      </c>
      <c r="C2248" s="18" t="str">
        <f>IFERROR(__xludf.DUMMYFUNCTION("""COMPUTED_VALUE"""),"Andheri")</f>
        <v>Andheri</v>
      </c>
      <c r="D2248" s="18" t="str">
        <f>IFERROR(__xludf.DUMMYFUNCTION("""COMPUTED_VALUE"""),"Rasmalai")</f>
        <v>Rasmalai</v>
      </c>
      <c r="E2248" s="18">
        <f>IFERROR(__xludf.DUMMYFUNCTION("""COMPUTED_VALUE"""),1.0)</f>
        <v>1</v>
      </c>
      <c r="F2248" s="18" t="str">
        <f>IFERROR(__xludf.DUMMYFUNCTION("""COMPUTED_VALUE"""),"Rohan Yadav")</f>
        <v>Rohan Yadav</v>
      </c>
      <c r="G2248" s="19">
        <f>IFERROR(__xludf.DUMMYFUNCTION("""COMPUTED_VALUE"""),45154.0)</f>
        <v>45154</v>
      </c>
      <c r="H2248" s="18" t="str">
        <f>IFERROR(__xludf.DUMMYFUNCTION("""COMPUTED_VALUE"""),"UPI")</f>
        <v>UPI</v>
      </c>
      <c r="I2248" s="18" t="str">
        <f>IFERROR(__xludf.DUMMYFUNCTION("""COMPUTED_VALUE"""),"Delivered")</f>
        <v>Delivered</v>
      </c>
      <c r="J2248" s="18" t="str">
        <f>IFERROR(__xludf.DUMMYFUNCTION("""COMPUTED_VALUE"""),"On-time Delivery")</f>
        <v>On-time Delivery</v>
      </c>
      <c r="K2248" s="18" t="str">
        <f>IFERROR(__xludf.DUMMYFUNCTION("""COMPUTED_VALUE"""),"Delivered on time")</f>
        <v>Delivered on time</v>
      </c>
      <c r="L2248" s="18">
        <f>iferror(VLOOKUP($D2248,Details!$A$2:$C$11,2,false),vlookup($D2248,Details!$E$2:$G$11,2,false))</f>
        <v>110</v>
      </c>
      <c r="M2248" s="18" t="str">
        <f>iferror(VLOOKUP($D2248,Details!$A$2:$C$11,3,false),vlookup($D2248,Details!$E$2:$G$11,3,false))</f>
        <v>Snacks and Drinks</v>
      </c>
      <c r="N2248" s="18">
        <f t="shared" si="1"/>
        <v>110</v>
      </c>
      <c r="O2248" s="17"/>
      <c r="P2248" s="17"/>
      <c r="Q2248" s="17"/>
      <c r="R2248" s="17"/>
      <c r="S2248" s="17"/>
      <c r="T2248" s="17"/>
      <c r="U2248" s="17"/>
      <c r="V2248" s="17"/>
      <c r="W2248" s="17"/>
      <c r="X2248" s="17"/>
      <c r="Y2248" s="17"/>
      <c r="Z2248" s="17"/>
    </row>
    <row r="2249">
      <c r="A2249" s="18" t="str">
        <f>IFERROR(__xludf.DUMMYFUNCTION("""COMPUTED_VALUE"""),"ord_92223")</f>
        <v>ord_92223</v>
      </c>
      <c r="B2249" s="18" t="str">
        <f>IFERROR(__xludf.DUMMYFUNCTION("""COMPUTED_VALUE"""),"Mohit Malhotra")</f>
        <v>Mohit Malhotra</v>
      </c>
      <c r="C2249" s="18" t="str">
        <f>IFERROR(__xludf.DUMMYFUNCTION("""COMPUTED_VALUE"""),"Lower Parel")</f>
        <v>Lower Parel</v>
      </c>
      <c r="D2249" s="18" t="str">
        <f>IFERROR(__xludf.DUMMYFUNCTION("""COMPUTED_VALUE"""),"Veg Puff")</f>
        <v>Veg Puff</v>
      </c>
      <c r="E2249" s="18">
        <f>IFERROR(__xludf.DUMMYFUNCTION("""COMPUTED_VALUE"""),3.0)</f>
        <v>3</v>
      </c>
      <c r="F2249" s="18" t="str">
        <f>IFERROR(__xludf.DUMMYFUNCTION("""COMPUTED_VALUE"""),"Kiran Mehta")</f>
        <v>Kiran Mehta</v>
      </c>
      <c r="G2249" s="19">
        <f>IFERROR(__xludf.DUMMYFUNCTION("""COMPUTED_VALUE"""),44992.0)</f>
        <v>44992</v>
      </c>
      <c r="H2249" s="18" t="str">
        <f>IFERROR(__xludf.DUMMYFUNCTION("""COMPUTED_VALUE"""),"UPI")</f>
        <v>UPI</v>
      </c>
      <c r="I2249" s="18" t="str">
        <f>IFERROR(__xludf.DUMMYFUNCTION("""COMPUTED_VALUE"""),"Delivered")</f>
        <v>Delivered</v>
      </c>
      <c r="J2249" s="18" t="str">
        <f>IFERROR(__xludf.DUMMYFUNCTION("""COMPUTED_VALUE"""),"Quality of Items")</f>
        <v>Quality of Items</v>
      </c>
      <c r="K2249" s="18" t="str">
        <f>IFERROR(__xludf.DUMMYFUNCTION("""COMPUTED_VALUE"""),"Perfect condition")</f>
        <v>Perfect condition</v>
      </c>
      <c r="L2249" s="18">
        <f>iferror(VLOOKUP($D2249,Details!$A$2:$C$11,2,false),vlookup($D2249,Details!$E$2:$G$11,2,false))</f>
        <v>80</v>
      </c>
      <c r="M2249" s="18" t="str">
        <f>iferror(VLOOKUP($D2249,Details!$A$2:$C$11,3,false),vlookup($D2249,Details!$E$2:$G$11,3,false))</f>
        <v>Snacks and Drinks</v>
      </c>
      <c r="N2249" s="18">
        <f t="shared" si="1"/>
        <v>240</v>
      </c>
      <c r="O2249" s="17"/>
      <c r="P2249" s="17"/>
      <c r="Q2249" s="17"/>
      <c r="R2249" s="17"/>
      <c r="S2249" s="17"/>
      <c r="T2249" s="17"/>
      <c r="U2249" s="17"/>
      <c r="V2249" s="17"/>
      <c r="W2249" s="17"/>
      <c r="X2249" s="17"/>
      <c r="Y2249" s="17"/>
      <c r="Z2249" s="17"/>
    </row>
    <row r="2250">
      <c r="A2250" s="18" t="str">
        <f>IFERROR(__xludf.DUMMYFUNCTION("""COMPUTED_VALUE"""),"ord_92224")</f>
        <v>ord_92224</v>
      </c>
      <c r="B2250" s="18" t="str">
        <f>IFERROR(__xludf.DUMMYFUNCTION("""COMPUTED_VALUE"""),"Mehul Thakkar")</f>
        <v>Mehul Thakkar</v>
      </c>
      <c r="C2250" s="18" t="str">
        <f>IFERROR(__xludf.DUMMYFUNCTION("""COMPUTED_VALUE"""),"Dadar")</f>
        <v>Dadar</v>
      </c>
      <c r="D2250" s="18" t="str">
        <f>IFERROR(__xludf.DUMMYFUNCTION("""COMPUTED_VALUE"""),"Sweet Corn")</f>
        <v>Sweet Corn</v>
      </c>
      <c r="E2250" s="18">
        <f>IFERROR(__xludf.DUMMYFUNCTION("""COMPUTED_VALUE"""),1.0)</f>
        <v>1</v>
      </c>
      <c r="F2250" s="18" t="str">
        <f>IFERROR(__xludf.DUMMYFUNCTION("""COMPUTED_VALUE"""),"Aman Kumar")</f>
        <v>Aman Kumar</v>
      </c>
      <c r="G2250" s="19">
        <f>IFERROR(__xludf.DUMMYFUNCTION("""COMPUTED_VALUE"""),45250.0)</f>
        <v>45250</v>
      </c>
      <c r="H2250" s="18" t="str">
        <f>IFERROR(__xludf.DUMMYFUNCTION("""COMPUTED_VALUE"""),"Credit Card")</f>
        <v>Credit Card</v>
      </c>
      <c r="I2250" s="18" t="str">
        <f>IFERROR(__xludf.DUMMYFUNCTION("""COMPUTED_VALUE"""),"Delivered")</f>
        <v>Delivered</v>
      </c>
      <c r="J2250" s="18" t="str">
        <f>IFERROR(__xludf.DUMMYFUNCTION("""COMPUTED_VALUE"""),"Packaging")</f>
        <v>Packaging</v>
      </c>
      <c r="K2250" s="18" t="str">
        <f>IFERROR(__xludf.DUMMYFUNCTION("""COMPUTED_VALUE"""),"Secure and intact")</f>
        <v>Secure and intact</v>
      </c>
      <c r="L2250" s="18">
        <f>iferror(VLOOKUP($D2250,Details!$A$2:$C$11,2,false),vlookup($D2250,Details!$E$2:$G$11,2,false))</f>
        <v>60</v>
      </c>
      <c r="M2250" s="18" t="str">
        <f>iferror(VLOOKUP($D2250,Details!$A$2:$C$11,3,false),vlookup($D2250,Details!$E$2:$G$11,3,false))</f>
        <v>Fruits and Vegetables</v>
      </c>
      <c r="N2250" s="18">
        <f t="shared" si="1"/>
        <v>60</v>
      </c>
      <c r="O2250" s="17"/>
      <c r="P2250" s="17"/>
      <c r="Q2250" s="17"/>
      <c r="R2250" s="17"/>
      <c r="S2250" s="17"/>
      <c r="T2250" s="17"/>
      <c r="U2250" s="17"/>
      <c r="V2250" s="17"/>
      <c r="W2250" s="17"/>
      <c r="X2250" s="17"/>
      <c r="Y2250" s="17"/>
      <c r="Z2250" s="17"/>
    </row>
    <row r="2251">
      <c r="A2251" s="18" t="str">
        <f>IFERROR(__xludf.DUMMYFUNCTION("""COMPUTED_VALUE"""),"ord_92225")</f>
        <v>ord_92225</v>
      </c>
      <c r="B2251" s="18" t="str">
        <f>IFERROR(__xludf.DUMMYFUNCTION("""COMPUTED_VALUE"""),"Yash Verma")</f>
        <v>Yash Verma</v>
      </c>
      <c r="C2251" s="18" t="str">
        <f>IFERROR(__xludf.DUMMYFUNCTION("""COMPUTED_VALUE"""),"Colaba")</f>
        <v>Colaba</v>
      </c>
      <c r="D2251" s="18" t="str">
        <f>IFERROR(__xludf.DUMMYFUNCTION("""COMPUTED_VALUE"""),"Tomato")</f>
        <v>Tomato</v>
      </c>
      <c r="E2251" s="18">
        <f>IFERROR(__xludf.DUMMYFUNCTION("""COMPUTED_VALUE"""),2.0)</f>
        <v>2</v>
      </c>
      <c r="F2251" s="18" t="str">
        <f>IFERROR(__xludf.DUMMYFUNCTION("""COMPUTED_VALUE"""),"Nikhil Deshmukh")</f>
        <v>Nikhil Deshmukh</v>
      </c>
      <c r="G2251" s="19">
        <f>IFERROR(__xludf.DUMMYFUNCTION("""COMPUTED_VALUE"""),45012.0)</f>
        <v>45012</v>
      </c>
      <c r="H2251" s="18" t="str">
        <f>IFERROR(__xludf.DUMMYFUNCTION("""COMPUTED_VALUE"""),"Credit Card")</f>
        <v>Credit Card</v>
      </c>
      <c r="I2251" s="18" t="str">
        <f>IFERROR(__xludf.DUMMYFUNCTION("""COMPUTED_VALUE"""),"Delivered")</f>
        <v>Delivered</v>
      </c>
      <c r="J2251" s="18" t="str">
        <f>IFERROR(__xludf.DUMMYFUNCTION("""COMPUTED_VALUE"""),"Satisfied with the Delivery")</f>
        <v>Satisfied with the Delivery</v>
      </c>
      <c r="K2251" s="18" t="str">
        <f>IFERROR(__xludf.DUMMYFUNCTION("""COMPUTED_VALUE"""),"Timely and quality")</f>
        <v>Timely and quality</v>
      </c>
      <c r="L2251" s="18">
        <f>iferror(VLOOKUP($D2251,Details!$A$2:$C$11,2,false),vlookup($D2251,Details!$E$2:$G$11,2,false))</f>
        <v>25</v>
      </c>
      <c r="M2251" s="18" t="str">
        <f>iferror(VLOOKUP($D2251,Details!$A$2:$C$11,3,false),vlookup($D2251,Details!$E$2:$G$11,3,false))</f>
        <v>Fruits and Vegetables</v>
      </c>
      <c r="N2251" s="18">
        <f t="shared" si="1"/>
        <v>50</v>
      </c>
      <c r="O2251" s="17"/>
      <c r="P2251" s="17"/>
      <c r="Q2251" s="17"/>
      <c r="R2251" s="17"/>
      <c r="S2251" s="17"/>
      <c r="T2251" s="17"/>
      <c r="U2251" s="17"/>
      <c r="V2251" s="17"/>
      <c r="W2251" s="17"/>
      <c r="X2251" s="17"/>
      <c r="Y2251" s="17"/>
      <c r="Z2251" s="17"/>
    </row>
    <row r="2252">
      <c r="A2252" s="18" t="str">
        <f>IFERROR(__xludf.DUMMYFUNCTION("""COMPUTED_VALUE"""),"ord_92226")</f>
        <v>ord_92226</v>
      </c>
      <c r="B2252" s="18" t="str">
        <f>IFERROR(__xludf.DUMMYFUNCTION("""COMPUTED_VALUE"""),"Sana Malik")</f>
        <v>Sana Malik</v>
      </c>
      <c r="C2252" s="18" t="str">
        <f>IFERROR(__xludf.DUMMYFUNCTION("""COMPUTED_VALUE"""),"Juhu")</f>
        <v>Juhu</v>
      </c>
      <c r="D2252" s="18" t="str">
        <f>IFERROR(__xludf.DUMMYFUNCTION("""COMPUTED_VALUE"""),"Popcorn")</f>
        <v>Popcorn</v>
      </c>
      <c r="E2252" s="18">
        <f>IFERROR(__xludf.DUMMYFUNCTION("""COMPUTED_VALUE"""),7.0)</f>
        <v>7</v>
      </c>
      <c r="F2252" s="18" t="str">
        <f>IFERROR(__xludf.DUMMYFUNCTION("""COMPUTED_VALUE"""),"Tanvi Jain")</f>
        <v>Tanvi Jain</v>
      </c>
      <c r="G2252" s="19">
        <f>IFERROR(__xludf.DUMMYFUNCTION("""COMPUTED_VALUE"""),45178.0)</f>
        <v>45178</v>
      </c>
      <c r="H2252" s="18" t="str">
        <f>IFERROR(__xludf.DUMMYFUNCTION("""COMPUTED_VALUE"""),"Online Payment")</f>
        <v>Online Payment</v>
      </c>
      <c r="I2252" s="18" t="str">
        <f>IFERROR(__xludf.DUMMYFUNCTION("""COMPUTED_VALUE"""),"Delivered")</f>
        <v>Delivered</v>
      </c>
      <c r="J2252" s="18" t="str">
        <f>IFERROR(__xludf.DUMMYFUNCTION("""COMPUTED_VALUE"""),"Customer Service")</f>
        <v>Customer Service</v>
      </c>
      <c r="K2252" s="18" t="str">
        <f>IFERROR(__xludf.DUMMYFUNCTION("""COMPUTED_VALUE"""),"Seamless and easy")</f>
        <v>Seamless and easy</v>
      </c>
      <c r="L2252" s="18">
        <f>iferror(VLOOKUP($D2252,Details!$A$2:$C$11,2,false),vlookup($D2252,Details!$E$2:$G$11,2,false))</f>
        <v>150</v>
      </c>
      <c r="M2252" s="18" t="str">
        <f>iferror(VLOOKUP($D2252,Details!$A$2:$C$11,3,false),vlookup($D2252,Details!$E$2:$G$11,3,false))</f>
        <v>Snacks and Drinks</v>
      </c>
      <c r="N2252" s="18">
        <f t="shared" si="1"/>
        <v>1050</v>
      </c>
      <c r="O2252" s="17"/>
      <c r="P2252" s="17"/>
      <c r="Q2252" s="17"/>
      <c r="R2252" s="17"/>
      <c r="S2252" s="17"/>
      <c r="T2252" s="17"/>
      <c r="U2252" s="17"/>
      <c r="V2252" s="17"/>
      <c r="W2252" s="17"/>
      <c r="X2252" s="17"/>
      <c r="Y2252" s="17"/>
      <c r="Z2252" s="17"/>
    </row>
    <row r="2253">
      <c r="A2253" s="18" t="str">
        <f>IFERROR(__xludf.DUMMYFUNCTION("""COMPUTED_VALUE"""),"ord_92227")</f>
        <v>ord_92227</v>
      </c>
      <c r="B2253" s="18" t="str">
        <f>IFERROR(__xludf.DUMMYFUNCTION("""COMPUTED_VALUE"""),"Yash Verma")</f>
        <v>Yash Verma</v>
      </c>
      <c r="C2253" s="18" t="str">
        <f>IFERROR(__xludf.DUMMYFUNCTION("""COMPUTED_VALUE"""),"Colaba")</f>
        <v>Colaba</v>
      </c>
      <c r="D2253" s="18" t="str">
        <f>IFERROR(__xludf.DUMMYFUNCTION("""COMPUTED_VALUE"""),"Orange")</f>
        <v>Orange</v>
      </c>
      <c r="E2253" s="18">
        <f>IFERROR(__xludf.DUMMYFUNCTION("""COMPUTED_VALUE"""),2.0)</f>
        <v>2</v>
      </c>
      <c r="F2253" s="18" t="str">
        <f>IFERROR(__xludf.DUMMYFUNCTION("""COMPUTED_VALUE"""),"Nikhil Deshmukh")</f>
        <v>Nikhil Deshmukh</v>
      </c>
      <c r="G2253" s="19">
        <f>IFERROR(__xludf.DUMMYFUNCTION("""COMPUTED_VALUE"""),45262.0)</f>
        <v>45262</v>
      </c>
      <c r="H2253" s="18" t="str">
        <f>IFERROR(__xludf.DUMMYFUNCTION("""COMPUTED_VALUE"""),"Credit Card")</f>
        <v>Credit Card</v>
      </c>
      <c r="I2253" s="18" t="str">
        <f>IFERROR(__xludf.DUMMYFUNCTION("""COMPUTED_VALUE"""),"Delivered")</f>
        <v>Delivered</v>
      </c>
      <c r="J2253" s="18" t="str">
        <f>IFERROR(__xludf.DUMMYFUNCTION("""COMPUTED_VALUE"""),"Delivery Experience")</f>
        <v>Delivery Experience</v>
      </c>
      <c r="K2253" s="18" t="str">
        <f>IFERROR(__xludf.DUMMYFUNCTION("""COMPUTED_VALUE"""),"Quick and professional")</f>
        <v>Quick and professional</v>
      </c>
      <c r="L2253" s="18">
        <f>iferror(VLOOKUP($D2253,Details!$A$2:$C$11,2,false),vlookup($D2253,Details!$E$2:$G$11,2,false))</f>
        <v>180</v>
      </c>
      <c r="M2253" s="18" t="str">
        <f>iferror(VLOOKUP($D2253,Details!$A$2:$C$11,3,false),vlookup($D2253,Details!$E$2:$G$11,3,false))</f>
        <v>Fruits and Vegetables</v>
      </c>
      <c r="N2253" s="18">
        <f t="shared" si="1"/>
        <v>360</v>
      </c>
      <c r="O2253" s="17"/>
      <c r="P2253" s="17"/>
      <c r="Q2253" s="17"/>
      <c r="R2253" s="17"/>
      <c r="S2253" s="17"/>
      <c r="T2253" s="17"/>
      <c r="U2253" s="17"/>
      <c r="V2253" s="17"/>
      <c r="W2253" s="17"/>
      <c r="X2253" s="17"/>
      <c r="Y2253" s="17"/>
      <c r="Z2253" s="17"/>
    </row>
    <row r="2254">
      <c r="A2254" s="18" t="str">
        <f>IFERROR(__xludf.DUMMYFUNCTION("""COMPUTED_VALUE"""),"ord_92228")</f>
        <v>ord_92228</v>
      </c>
      <c r="B2254" s="18" t="str">
        <f>IFERROR(__xludf.DUMMYFUNCTION("""COMPUTED_VALUE"""),"Aditya Rao")</f>
        <v>Aditya Rao</v>
      </c>
      <c r="C2254" s="18" t="str">
        <f>IFERROR(__xludf.DUMMYFUNCTION("""COMPUTED_VALUE"""),"Lower Parel")</f>
        <v>Lower Parel</v>
      </c>
      <c r="D2254" s="18" t="str">
        <f>IFERROR(__xludf.DUMMYFUNCTION("""COMPUTED_VALUE"""),"Rasmalai")</f>
        <v>Rasmalai</v>
      </c>
      <c r="E2254" s="18">
        <f>IFERROR(__xludf.DUMMYFUNCTION("""COMPUTED_VALUE"""),5.0)</f>
        <v>5</v>
      </c>
      <c r="F2254" s="18" t="str">
        <f>IFERROR(__xludf.DUMMYFUNCTION("""COMPUTED_VALUE"""),"Kiran Mehta")</f>
        <v>Kiran Mehta</v>
      </c>
      <c r="G2254" s="19">
        <f>IFERROR(__xludf.DUMMYFUNCTION("""COMPUTED_VALUE"""),45029.0)</f>
        <v>45029</v>
      </c>
      <c r="H2254" s="18" t="str">
        <f>IFERROR(__xludf.DUMMYFUNCTION("""COMPUTED_VALUE"""),"Online Payment")</f>
        <v>Online Payment</v>
      </c>
      <c r="I2254" s="18" t="str">
        <f>IFERROR(__xludf.DUMMYFUNCTION("""COMPUTED_VALUE"""),"Delivered")</f>
        <v>Delivered</v>
      </c>
      <c r="J2254" s="18" t="str">
        <f>IFERROR(__xludf.DUMMYFUNCTION("""COMPUTED_VALUE"""),"Convenience")</f>
        <v>Convenience</v>
      </c>
      <c r="K2254" s="18" t="str">
        <f>IFERROR(__xludf.DUMMYFUNCTION("""COMPUTED_VALUE"""),"Easy tracking")</f>
        <v>Easy tracking</v>
      </c>
      <c r="L2254" s="18">
        <f>iferror(VLOOKUP($D2254,Details!$A$2:$C$11,2,false),vlookup($D2254,Details!$E$2:$G$11,2,false))</f>
        <v>110</v>
      </c>
      <c r="M2254" s="18" t="str">
        <f>iferror(VLOOKUP($D2254,Details!$A$2:$C$11,3,false),vlookup($D2254,Details!$E$2:$G$11,3,false))</f>
        <v>Snacks and Drinks</v>
      </c>
      <c r="N2254" s="18">
        <f t="shared" si="1"/>
        <v>550</v>
      </c>
      <c r="O2254" s="17"/>
      <c r="P2254" s="17"/>
      <c r="Q2254" s="17"/>
      <c r="R2254" s="17"/>
      <c r="S2254" s="17"/>
      <c r="T2254" s="17"/>
      <c r="U2254" s="17"/>
      <c r="V2254" s="17"/>
      <c r="W2254" s="17"/>
      <c r="X2254" s="17"/>
      <c r="Y2254" s="17"/>
      <c r="Z2254" s="17"/>
    </row>
    <row r="2255">
      <c r="A2255" s="18" t="str">
        <f>IFERROR(__xludf.DUMMYFUNCTION("""COMPUTED_VALUE"""),"ord_92229")</f>
        <v>ord_92229</v>
      </c>
      <c r="B2255" s="18" t="str">
        <f>IFERROR(__xludf.DUMMYFUNCTION("""COMPUTED_VALUE"""),"Nitin Sehgal")</f>
        <v>Nitin Sehgal</v>
      </c>
      <c r="C2255" s="18" t="str">
        <f>IFERROR(__xludf.DUMMYFUNCTION("""COMPUTED_VALUE"""),"Bandra")</f>
        <v>Bandra</v>
      </c>
      <c r="D2255" s="18" t="str">
        <f>IFERROR(__xludf.DUMMYFUNCTION("""COMPUTED_VALUE"""),"Cold Coffee")</f>
        <v>Cold Coffee</v>
      </c>
      <c r="E2255" s="18">
        <f>IFERROR(__xludf.DUMMYFUNCTION("""COMPUTED_VALUE"""),4.0)</f>
        <v>4</v>
      </c>
      <c r="F2255" s="18" t="str">
        <f>IFERROR(__xludf.DUMMYFUNCTION("""COMPUTED_VALUE"""),"Priya Joshi")</f>
        <v>Priya Joshi</v>
      </c>
      <c r="G2255" s="19">
        <f>IFERROR(__xludf.DUMMYFUNCTION("""COMPUTED_VALUE"""),45266.0)</f>
        <v>45266</v>
      </c>
      <c r="H2255" s="18" t="str">
        <f>IFERROR(__xludf.DUMMYFUNCTION("""COMPUTED_VALUE"""),"Online Payment")</f>
        <v>Online Payment</v>
      </c>
      <c r="I2255" s="18" t="str">
        <f>IFERROR(__xludf.DUMMYFUNCTION("""COMPUTED_VALUE"""),"Delivered")</f>
        <v>Delivered</v>
      </c>
      <c r="J2255" s="18" t="str">
        <f>IFERROR(__xludf.DUMMYFUNCTION("""COMPUTED_VALUE"""),"Overall Satisfaction")</f>
        <v>Overall Satisfaction</v>
      </c>
      <c r="K2255" s="18" t="str">
        <f>IFERROR(__xludf.DUMMYFUNCTION("""COMPUTED_VALUE"""),"Great service will order again")</f>
        <v>Great service will order again</v>
      </c>
      <c r="L2255" s="18">
        <f>iferror(VLOOKUP($D2255,Details!$A$2:$C$11,2,false),vlookup($D2255,Details!$E$2:$G$11,2,false))</f>
        <v>270</v>
      </c>
      <c r="M2255" s="18" t="str">
        <f>iferror(VLOOKUP($D2255,Details!$A$2:$C$11,3,false),vlookup($D2255,Details!$E$2:$G$11,3,false))</f>
        <v>Snacks and Drinks</v>
      </c>
      <c r="N2255" s="18">
        <f t="shared" si="1"/>
        <v>1080</v>
      </c>
      <c r="O2255" s="17"/>
      <c r="P2255" s="17"/>
      <c r="Q2255" s="17"/>
      <c r="R2255" s="17"/>
      <c r="S2255" s="17"/>
      <c r="T2255" s="17"/>
      <c r="U2255" s="17"/>
      <c r="V2255" s="17"/>
      <c r="W2255" s="17"/>
      <c r="X2255" s="17"/>
      <c r="Y2255" s="17"/>
      <c r="Z2255" s="17"/>
    </row>
    <row r="2256">
      <c r="A2256" s="18" t="str">
        <f>IFERROR(__xludf.DUMMYFUNCTION("""COMPUTED_VALUE"""),"ord_92230")</f>
        <v>ord_92230</v>
      </c>
      <c r="B2256" s="18" t="str">
        <f>IFERROR(__xludf.DUMMYFUNCTION("""COMPUTED_VALUE"""),"Riya Chakraborty")</f>
        <v>Riya Chakraborty</v>
      </c>
      <c r="C2256" s="18" t="str">
        <f>IFERROR(__xludf.DUMMYFUNCTION("""COMPUTED_VALUE"""),"Juhu")</f>
        <v>Juhu</v>
      </c>
      <c r="D2256" s="18" t="str">
        <f>IFERROR(__xludf.DUMMYFUNCTION("""COMPUTED_VALUE"""),"Papaya")</f>
        <v>Papaya</v>
      </c>
      <c r="E2256" s="18">
        <f>IFERROR(__xludf.DUMMYFUNCTION("""COMPUTED_VALUE"""),2.0)</f>
        <v>2</v>
      </c>
      <c r="F2256" s="18" t="str">
        <f>IFERROR(__xludf.DUMMYFUNCTION("""COMPUTED_VALUE"""),"Tanvi Jain")</f>
        <v>Tanvi Jain</v>
      </c>
      <c r="G2256" s="19">
        <f>IFERROR(__xludf.DUMMYFUNCTION("""COMPUTED_VALUE"""),44976.0)</f>
        <v>44976</v>
      </c>
      <c r="H2256" s="18" t="str">
        <f>IFERROR(__xludf.DUMMYFUNCTION("""COMPUTED_VALUE"""),"Credit Card")</f>
        <v>Credit Card</v>
      </c>
      <c r="I2256" s="18" t="str">
        <f>IFERROR(__xludf.DUMMYFUNCTION("""COMPUTED_VALUE"""),"Delivered")</f>
        <v>Delivered</v>
      </c>
      <c r="J2256" s="18" t="str">
        <f>IFERROR(__xludf.DUMMYFUNCTION("""COMPUTED_VALUE"""),"On-time Delivery")</f>
        <v>On-time Delivery</v>
      </c>
      <c r="K2256" s="18" t="str">
        <f>IFERROR(__xludf.DUMMYFUNCTION("""COMPUTED_VALUE"""),"Delivered on time")</f>
        <v>Delivered on time</v>
      </c>
      <c r="L2256" s="18">
        <f>iferror(VLOOKUP($D2256,Details!$A$2:$C$11,2,false),vlookup($D2256,Details!$E$2:$G$11,2,false))</f>
        <v>75</v>
      </c>
      <c r="M2256" s="18" t="str">
        <f>iferror(VLOOKUP($D2256,Details!$A$2:$C$11,3,false),vlookup($D2256,Details!$E$2:$G$11,3,false))</f>
        <v>Fruits and Vegetables</v>
      </c>
      <c r="N2256" s="18">
        <f t="shared" si="1"/>
        <v>150</v>
      </c>
      <c r="O2256" s="17"/>
      <c r="P2256" s="17"/>
      <c r="Q2256" s="17"/>
      <c r="R2256" s="17"/>
      <c r="S2256" s="17"/>
      <c r="T2256" s="17"/>
      <c r="U2256" s="17"/>
      <c r="V2256" s="17"/>
      <c r="W2256" s="17"/>
      <c r="X2256" s="17"/>
      <c r="Y2256" s="17"/>
      <c r="Z2256" s="17"/>
    </row>
    <row r="2257">
      <c r="A2257" s="18" t="str">
        <f>IFERROR(__xludf.DUMMYFUNCTION("""COMPUTED_VALUE"""),"ord_92231")</f>
        <v>ord_92231</v>
      </c>
      <c r="B2257" s="18" t="str">
        <f>IFERROR(__xludf.DUMMYFUNCTION("""COMPUTED_VALUE"""),"Aditya Basu")</f>
        <v>Aditya Basu</v>
      </c>
      <c r="C2257" s="18" t="str">
        <f>IFERROR(__xludf.DUMMYFUNCTION("""COMPUTED_VALUE"""),"Juhu")</f>
        <v>Juhu</v>
      </c>
      <c r="D2257" s="18" t="str">
        <f>IFERROR(__xludf.DUMMYFUNCTION("""COMPUTED_VALUE"""),"Cucumber")</f>
        <v>Cucumber</v>
      </c>
      <c r="E2257" s="18">
        <f>IFERROR(__xludf.DUMMYFUNCTION("""COMPUTED_VALUE"""),2.0)</f>
        <v>2</v>
      </c>
      <c r="F2257" s="18" t="str">
        <f>IFERROR(__xludf.DUMMYFUNCTION("""COMPUTED_VALUE"""),"Tanvi Jain")</f>
        <v>Tanvi Jain</v>
      </c>
      <c r="G2257" s="19">
        <f>IFERROR(__xludf.DUMMYFUNCTION("""COMPUTED_VALUE"""),45236.0)</f>
        <v>45236</v>
      </c>
      <c r="H2257" s="18" t="str">
        <f>IFERROR(__xludf.DUMMYFUNCTION("""COMPUTED_VALUE"""),"UPI")</f>
        <v>UPI</v>
      </c>
      <c r="I2257" s="18" t="str">
        <f>IFERROR(__xludf.DUMMYFUNCTION("""COMPUTED_VALUE"""),"Delivered")</f>
        <v>Delivered</v>
      </c>
      <c r="J2257" s="18" t="str">
        <f>IFERROR(__xludf.DUMMYFUNCTION("""COMPUTED_VALUE"""),"Quality of Items")</f>
        <v>Quality of Items</v>
      </c>
      <c r="K2257" s="18" t="str">
        <f>IFERROR(__xludf.DUMMYFUNCTION("""COMPUTED_VALUE"""),"Perfect condition")</f>
        <v>Perfect condition</v>
      </c>
      <c r="L2257" s="18">
        <f>iferror(VLOOKUP($D2257,Details!$A$2:$C$11,2,false),vlookup($D2257,Details!$E$2:$G$11,2,false))</f>
        <v>30</v>
      </c>
      <c r="M2257" s="18" t="str">
        <f>iferror(VLOOKUP($D2257,Details!$A$2:$C$11,3,false),vlookup($D2257,Details!$E$2:$G$11,3,false))</f>
        <v>Fruits and Vegetables</v>
      </c>
      <c r="N2257" s="18">
        <f t="shared" si="1"/>
        <v>60</v>
      </c>
      <c r="O2257" s="17"/>
      <c r="P2257" s="17"/>
      <c r="Q2257" s="17"/>
      <c r="R2257" s="17"/>
      <c r="S2257" s="17"/>
      <c r="T2257" s="17"/>
      <c r="U2257" s="17"/>
      <c r="V2257" s="17"/>
      <c r="W2257" s="17"/>
      <c r="X2257" s="17"/>
      <c r="Y2257" s="17"/>
      <c r="Z2257" s="17"/>
    </row>
    <row r="2258">
      <c r="A2258" s="18" t="str">
        <f>IFERROR(__xludf.DUMMYFUNCTION("""COMPUTED_VALUE"""),"ord_92232")</f>
        <v>ord_92232</v>
      </c>
      <c r="B2258" s="18" t="str">
        <f>IFERROR(__xludf.DUMMYFUNCTION("""COMPUTED_VALUE"""),"Tanishq Bansal")</f>
        <v>Tanishq Bansal</v>
      </c>
      <c r="C2258" s="18" t="str">
        <f>IFERROR(__xludf.DUMMYFUNCTION("""COMPUTED_VALUE"""),"Bandra")</f>
        <v>Bandra</v>
      </c>
      <c r="D2258" s="18" t="str">
        <f>IFERROR(__xludf.DUMMYFUNCTION("""COMPUTED_VALUE"""),"Tomato")</f>
        <v>Tomato</v>
      </c>
      <c r="E2258" s="18">
        <f>IFERROR(__xludf.DUMMYFUNCTION("""COMPUTED_VALUE"""),1.0)</f>
        <v>1</v>
      </c>
      <c r="F2258" s="18" t="str">
        <f>IFERROR(__xludf.DUMMYFUNCTION("""COMPUTED_VALUE"""),"Priya Joshi")</f>
        <v>Priya Joshi</v>
      </c>
      <c r="G2258" s="19">
        <f>IFERROR(__xludf.DUMMYFUNCTION("""COMPUTED_VALUE"""),45126.0)</f>
        <v>45126</v>
      </c>
      <c r="H2258" s="18" t="str">
        <f>IFERROR(__xludf.DUMMYFUNCTION("""COMPUTED_VALUE"""),"Online Payment")</f>
        <v>Online Payment</v>
      </c>
      <c r="I2258" s="18" t="str">
        <f>IFERROR(__xludf.DUMMYFUNCTION("""COMPUTED_VALUE"""),"Delivered")</f>
        <v>Delivered</v>
      </c>
      <c r="J2258" s="18" t="str">
        <f>IFERROR(__xludf.DUMMYFUNCTION("""COMPUTED_VALUE"""),"On-time Delivery")</f>
        <v>On-time Delivery</v>
      </c>
      <c r="K2258" s="18" t="str">
        <f>IFERROR(__xludf.DUMMYFUNCTION("""COMPUTED_VALUE"""),"Delivered on time")</f>
        <v>Delivered on time</v>
      </c>
      <c r="L2258" s="18">
        <f>iferror(VLOOKUP($D2258,Details!$A$2:$C$11,2,false),vlookup($D2258,Details!$E$2:$G$11,2,false))</f>
        <v>25</v>
      </c>
      <c r="M2258" s="18" t="str">
        <f>iferror(VLOOKUP($D2258,Details!$A$2:$C$11,3,false),vlookup($D2258,Details!$E$2:$G$11,3,false))</f>
        <v>Fruits and Vegetables</v>
      </c>
      <c r="N2258" s="18">
        <f t="shared" si="1"/>
        <v>25</v>
      </c>
      <c r="O2258" s="17"/>
      <c r="P2258" s="17"/>
      <c r="Q2258" s="17"/>
      <c r="R2258" s="17"/>
      <c r="S2258" s="17"/>
      <c r="T2258" s="17"/>
      <c r="U2258" s="17"/>
      <c r="V2258" s="17"/>
      <c r="W2258" s="17"/>
      <c r="X2258" s="17"/>
      <c r="Y2258" s="17"/>
      <c r="Z2258" s="17"/>
    </row>
    <row r="2259">
      <c r="A2259" s="18" t="str">
        <f>IFERROR(__xludf.DUMMYFUNCTION("""COMPUTED_VALUE"""),"ord_92233")</f>
        <v>ord_92233</v>
      </c>
      <c r="B2259" s="18" t="str">
        <f>IFERROR(__xludf.DUMMYFUNCTION("""COMPUTED_VALUE"""),"Ritika Dutta")</f>
        <v>Ritika Dutta</v>
      </c>
      <c r="C2259" s="18" t="str">
        <f>IFERROR(__xludf.DUMMYFUNCTION("""COMPUTED_VALUE"""),"Lower Parel")</f>
        <v>Lower Parel</v>
      </c>
      <c r="D2259" s="18" t="str">
        <f>IFERROR(__xludf.DUMMYFUNCTION("""COMPUTED_VALUE"""),"Apple")</f>
        <v>Apple</v>
      </c>
      <c r="E2259" s="18">
        <f>IFERROR(__xludf.DUMMYFUNCTION("""COMPUTED_VALUE"""),2.0)</f>
        <v>2</v>
      </c>
      <c r="F2259" s="18" t="str">
        <f>IFERROR(__xludf.DUMMYFUNCTION("""COMPUTED_VALUE"""),"Kiran Mehta")</f>
        <v>Kiran Mehta</v>
      </c>
      <c r="G2259" s="19">
        <f>IFERROR(__xludf.DUMMYFUNCTION("""COMPUTED_VALUE"""),45198.0)</f>
        <v>45198</v>
      </c>
      <c r="H2259" s="18" t="str">
        <f>IFERROR(__xludf.DUMMYFUNCTION("""COMPUTED_VALUE"""),"UPI")</f>
        <v>UPI</v>
      </c>
      <c r="I2259" s="18" t="str">
        <f>IFERROR(__xludf.DUMMYFUNCTION("""COMPUTED_VALUE"""),"Delivered")</f>
        <v>Delivered</v>
      </c>
      <c r="J2259" s="18" t="str">
        <f>IFERROR(__xludf.DUMMYFUNCTION("""COMPUTED_VALUE"""),"Quality of Items")</f>
        <v>Quality of Items</v>
      </c>
      <c r="K2259" s="18" t="str">
        <f>IFERROR(__xludf.DUMMYFUNCTION("""COMPUTED_VALUE"""),"Perfect condition")</f>
        <v>Perfect condition</v>
      </c>
      <c r="L2259" s="18">
        <f>iferror(VLOOKUP($D2259,Details!$A$2:$C$11,2,false),vlookup($D2259,Details!$E$2:$G$11,2,false))</f>
        <v>230</v>
      </c>
      <c r="M2259" s="18" t="str">
        <f>iferror(VLOOKUP($D2259,Details!$A$2:$C$11,3,false),vlookup($D2259,Details!$E$2:$G$11,3,false))</f>
        <v>Fruits and Vegetables</v>
      </c>
      <c r="N2259" s="18">
        <f t="shared" si="1"/>
        <v>460</v>
      </c>
      <c r="O2259" s="17"/>
      <c r="P2259" s="17"/>
      <c r="Q2259" s="17"/>
      <c r="R2259" s="17"/>
      <c r="S2259" s="17"/>
      <c r="T2259" s="17"/>
      <c r="U2259" s="17"/>
      <c r="V2259" s="17"/>
      <c r="W2259" s="17"/>
      <c r="X2259" s="17"/>
      <c r="Y2259" s="17"/>
      <c r="Z2259" s="17"/>
    </row>
    <row r="2260">
      <c r="A2260" s="18" t="str">
        <f>IFERROR(__xludf.DUMMYFUNCTION("""COMPUTED_VALUE"""),"ord_92234")</f>
        <v>ord_92234</v>
      </c>
      <c r="B2260" s="18" t="str">
        <f>IFERROR(__xludf.DUMMYFUNCTION("""COMPUTED_VALUE"""),"Simran Bhatt")</f>
        <v>Simran Bhatt</v>
      </c>
      <c r="C2260" s="18" t="str">
        <f>IFERROR(__xludf.DUMMYFUNCTION("""COMPUTED_VALUE"""),"Juhu")</f>
        <v>Juhu</v>
      </c>
      <c r="D2260" s="18" t="str">
        <f>IFERROR(__xludf.DUMMYFUNCTION("""COMPUTED_VALUE"""),"Sweet Corn")</f>
        <v>Sweet Corn</v>
      </c>
      <c r="E2260" s="18">
        <f>IFERROR(__xludf.DUMMYFUNCTION("""COMPUTED_VALUE"""),2.0)</f>
        <v>2</v>
      </c>
      <c r="F2260" s="18" t="str">
        <f>IFERROR(__xludf.DUMMYFUNCTION("""COMPUTED_VALUE"""),"Tanvi Jain")</f>
        <v>Tanvi Jain</v>
      </c>
      <c r="G2260" s="19">
        <f>IFERROR(__xludf.DUMMYFUNCTION("""COMPUTED_VALUE"""),45007.0)</f>
        <v>45007</v>
      </c>
      <c r="H2260" s="18" t="str">
        <f>IFERROR(__xludf.DUMMYFUNCTION("""COMPUTED_VALUE"""),"UPI")</f>
        <v>UPI</v>
      </c>
      <c r="I2260" s="18" t="str">
        <f>IFERROR(__xludf.DUMMYFUNCTION("""COMPUTED_VALUE"""),"Delivered")</f>
        <v>Delivered</v>
      </c>
      <c r="J2260" s="18" t="str">
        <f>IFERROR(__xludf.DUMMYFUNCTION("""COMPUTED_VALUE"""),"Packaging")</f>
        <v>Packaging</v>
      </c>
      <c r="K2260" s="18" t="str">
        <f>IFERROR(__xludf.DUMMYFUNCTION("""COMPUTED_VALUE"""),"Secure and intact")</f>
        <v>Secure and intact</v>
      </c>
      <c r="L2260" s="18">
        <f>iferror(VLOOKUP($D2260,Details!$A$2:$C$11,2,false),vlookup($D2260,Details!$E$2:$G$11,2,false))</f>
        <v>60</v>
      </c>
      <c r="M2260" s="18" t="str">
        <f>iferror(VLOOKUP($D2260,Details!$A$2:$C$11,3,false),vlookup($D2260,Details!$E$2:$G$11,3,false))</f>
        <v>Fruits and Vegetables</v>
      </c>
      <c r="N2260" s="18">
        <f t="shared" si="1"/>
        <v>120</v>
      </c>
      <c r="O2260" s="17"/>
      <c r="P2260" s="17"/>
      <c r="Q2260" s="17"/>
      <c r="R2260" s="17"/>
      <c r="S2260" s="17"/>
      <c r="T2260" s="17"/>
      <c r="U2260" s="17"/>
      <c r="V2260" s="17"/>
      <c r="W2260" s="17"/>
      <c r="X2260" s="17"/>
      <c r="Y2260" s="17"/>
      <c r="Z2260" s="17"/>
    </row>
    <row r="2261">
      <c r="A2261" s="18" t="str">
        <f>IFERROR(__xludf.DUMMYFUNCTION("""COMPUTED_VALUE"""),"ord_92235")</f>
        <v>ord_92235</v>
      </c>
      <c r="B2261" s="18" t="str">
        <f>IFERROR(__xludf.DUMMYFUNCTION("""COMPUTED_VALUE"""),"Anaya Rao")</f>
        <v>Anaya Rao</v>
      </c>
      <c r="C2261" s="18" t="str">
        <f>IFERROR(__xludf.DUMMYFUNCTION("""COMPUTED_VALUE"""),"Malad")</f>
        <v>Malad</v>
      </c>
      <c r="D2261" s="18" t="str">
        <f>IFERROR(__xludf.DUMMYFUNCTION("""COMPUTED_VALUE"""),"Tiramisu")</f>
        <v>Tiramisu</v>
      </c>
      <c r="E2261" s="18">
        <f>IFERROR(__xludf.DUMMYFUNCTION("""COMPUTED_VALUE"""),1.0)</f>
        <v>1</v>
      </c>
      <c r="F2261" s="18" t="str">
        <f>IFERROR(__xludf.DUMMYFUNCTION("""COMPUTED_VALUE"""),"Neha Shah")</f>
        <v>Neha Shah</v>
      </c>
      <c r="G2261" s="19">
        <f>IFERROR(__xludf.DUMMYFUNCTION("""COMPUTED_VALUE"""),45279.0)</f>
        <v>45279</v>
      </c>
      <c r="H2261" s="18" t="str">
        <f>IFERROR(__xludf.DUMMYFUNCTION("""COMPUTED_VALUE"""),"UPI")</f>
        <v>UPI</v>
      </c>
      <c r="I2261" s="18" t="str">
        <f>IFERROR(__xludf.DUMMYFUNCTION("""COMPUTED_VALUE"""),"Delivered")</f>
        <v>Delivered</v>
      </c>
      <c r="J2261" s="18" t="str">
        <f>IFERROR(__xludf.DUMMYFUNCTION("""COMPUTED_VALUE"""),"Satisfied with the Delivery")</f>
        <v>Satisfied with the Delivery</v>
      </c>
      <c r="K2261" s="18" t="str">
        <f>IFERROR(__xludf.DUMMYFUNCTION("""COMPUTED_VALUE"""),"Timely and quality")</f>
        <v>Timely and quality</v>
      </c>
      <c r="L2261" s="18">
        <f>iferror(VLOOKUP($D2261,Details!$A$2:$C$11,2,false),vlookup($D2261,Details!$E$2:$G$11,2,false))</f>
        <v>150</v>
      </c>
      <c r="M2261" s="18" t="str">
        <f>iferror(VLOOKUP($D2261,Details!$A$2:$C$11,3,false),vlookup($D2261,Details!$E$2:$G$11,3,false))</f>
        <v>Snacks and Drinks</v>
      </c>
      <c r="N2261" s="18">
        <f t="shared" si="1"/>
        <v>150</v>
      </c>
      <c r="O2261" s="17"/>
      <c r="P2261" s="17"/>
      <c r="Q2261" s="17"/>
      <c r="R2261" s="17"/>
      <c r="S2261" s="17"/>
      <c r="T2261" s="17"/>
      <c r="U2261" s="17"/>
      <c r="V2261" s="17"/>
      <c r="W2261" s="17"/>
      <c r="X2261" s="17"/>
      <c r="Y2261" s="17"/>
      <c r="Z2261" s="17"/>
    </row>
    <row r="2262">
      <c r="A2262" s="18" t="str">
        <f>IFERROR(__xludf.DUMMYFUNCTION("""COMPUTED_VALUE"""),"ord_92236")</f>
        <v>ord_92236</v>
      </c>
      <c r="B2262" s="18" t="str">
        <f>IFERROR(__xludf.DUMMYFUNCTION("""COMPUTED_VALUE"""),"Yash Verma")</f>
        <v>Yash Verma</v>
      </c>
      <c r="C2262" s="18" t="str">
        <f>IFERROR(__xludf.DUMMYFUNCTION("""COMPUTED_VALUE"""),"Colaba")</f>
        <v>Colaba</v>
      </c>
      <c r="D2262" s="18" t="str">
        <f>IFERROR(__xludf.DUMMYFUNCTION("""COMPUTED_VALUE"""),"Sweet Corn")</f>
        <v>Sweet Corn</v>
      </c>
      <c r="E2262" s="18">
        <f>IFERROR(__xludf.DUMMYFUNCTION("""COMPUTED_VALUE"""),3.0)</f>
        <v>3</v>
      </c>
      <c r="F2262" s="18" t="str">
        <f>IFERROR(__xludf.DUMMYFUNCTION("""COMPUTED_VALUE"""),"Nikhil Deshmukh")</f>
        <v>Nikhil Deshmukh</v>
      </c>
      <c r="G2262" s="19">
        <f>IFERROR(__xludf.DUMMYFUNCTION("""COMPUTED_VALUE"""),44972.0)</f>
        <v>44972</v>
      </c>
      <c r="H2262" s="18" t="str">
        <f>IFERROR(__xludf.DUMMYFUNCTION("""COMPUTED_VALUE"""),"UPI")</f>
        <v>UPI</v>
      </c>
      <c r="I2262" s="18" t="str">
        <f>IFERROR(__xludf.DUMMYFUNCTION("""COMPUTED_VALUE"""),"Delivered")</f>
        <v>Delivered</v>
      </c>
      <c r="J2262" s="18" t="str">
        <f>IFERROR(__xludf.DUMMYFUNCTION("""COMPUTED_VALUE"""),"Customer Service")</f>
        <v>Customer Service</v>
      </c>
      <c r="K2262" s="18" t="str">
        <f>IFERROR(__xludf.DUMMYFUNCTION("""COMPUTED_VALUE"""),"Seamless and easy")</f>
        <v>Seamless and easy</v>
      </c>
      <c r="L2262" s="18">
        <f>iferror(VLOOKUP($D2262,Details!$A$2:$C$11,2,false),vlookup($D2262,Details!$E$2:$G$11,2,false))</f>
        <v>60</v>
      </c>
      <c r="M2262" s="18" t="str">
        <f>iferror(VLOOKUP($D2262,Details!$A$2:$C$11,3,false),vlookup($D2262,Details!$E$2:$G$11,3,false))</f>
        <v>Fruits and Vegetables</v>
      </c>
      <c r="N2262" s="18">
        <f t="shared" si="1"/>
        <v>180</v>
      </c>
      <c r="O2262" s="17"/>
      <c r="P2262" s="17"/>
      <c r="Q2262" s="17"/>
      <c r="R2262" s="17"/>
      <c r="S2262" s="17"/>
      <c r="T2262" s="17"/>
      <c r="U2262" s="17"/>
      <c r="V2262" s="17"/>
      <c r="W2262" s="17"/>
      <c r="X2262" s="17"/>
      <c r="Y2262" s="17"/>
      <c r="Z2262" s="17"/>
    </row>
    <row r="2263">
      <c r="A2263" s="18" t="str">
        <f>IFERROR(__xludf.DUMMYFUNCTION("""COMPUTED_VALUE"""),"ord_92237")</f>
        <v>ord_92237</v>
      </c>
      <c r="B2263" s="18" t="str">
        <f>IFERROR(__xludf.DUMMYFUNCTION("""COMPUTED_VALUE"""),"Leena Das")</f>
        <v>Leena Das</v>
      </c>
      <c r="C2263" s="18" t="str">
        <f>IFERROR(__xludf.DUMMYFUNCTION("""COMPUTED_VALUE"""),"Andheri")</f>
        <v>Andheri</v>
      </c>
      <c r="D2263" s="18" t="str">
        <f>IFERROR(__xludf.DUMMYFUNCTION("""COMPUTED_VALUE"""),"Orange")</f>
        <v>Orange</v>
      </c>
      <c r="E2263" s="18">
        <f>IFERROR(__xludf.DUMMYFUNCTION("""COMPUTED_VALUE"""),2.0)</f>
        <v>2</v>
      </c>
      <c r="F2263" s="18" t="str">
        <f>IFERROR(__xludf.DUMMYFUNCTION("""COMPUTED_VALUE"""),"Rohan Yadav")</f>
        <v>Rohan Yadav</v>
      </c>
      <c r="G2263" s="19">
        <f>IFERROR(__xludf.DUMMYFUNCTION("""COMPUTED_VALUE"""),44966.0)</f>
        <v>44966</v>
      </c>
      <c r="H2263" s="18" t="str">
        <f>IFERROR(__xludf.DUMMYFUNCTION("""COMPUTED_VALUE"""),"UPI")</f>
        <v>UPI</v>
      </c>
      <c r="I2263" s="18" t="str">
        <f>IFERROR(__xludf.DUMMYFUNCTION("""COMPUTED_VALUE"""),"Delivered")</f>
        <v>Delivered</v>
      </c>
      <c r="J2263" s="18" t="str">
        <f>IFERROR(__xludf.DUMMYFUNCTION("""COMPUTED_VALUE"""),"Delivery Experience")</f>
        <v>Delivery Experience</v>
      </c>
      <c r="K2263" s="18" t="str">
        <f>IFERROR(__xludf.DUMMYFUNCTION("""COMPUTED_VALUE"""),"Quick and professional")</f>
        <v>Quick and professional</v>
      </c>
      <c r="L2263" s="18">
        <f>iferror(VLOOKUP($D2263,Details!$A$2:$C$11,2,false),vlookup($D2263,Details!$E$2:$G$11,2,false))</f>
        <v>180</v>
      </c>
      <c r="M2263" s="18" t="str">
        <f>iferror(VLOOKUP($D2263,Details!$A$2:$C$11,3,false),vlookup($D2263,Details!$E$2:$G$11,3,false))</f>
        <v>Fruits and Vegetables</v>
      </c>
      <c r="N2263" s="18">
        <f t="shared" si="1"/>
        <v>360</v>
      </c>
      <c r="O2263" s="17"/>
      <c r="P2263" s="17"/>
      <c r="Q2263" s="17"/>
      <c r="R2263" s="17"/>
      <c r="S2263" s="17"/>
      <c r="T2263" s="17"/>
      <c r="U2263" s="17"/>
      <c r="V2263" s="17"/>
      <c r="W2263" s="17"/>
      <c r="X2263" s="17"/>
      <c r="Y2263" s="17"/>
      <c r="Z2263" s="17"/>
    </row>
    <row r="2264">
      <c r="A2264" s="18" t="str">
        <f>IFERROR(__xludf.DUMMYFUNCTION("""COMPUTED_VALUE"""),"ord_82238")</f>
        <v>ord_82238</v>
      </c>
      <c r="B2264" s="18" t="str">
        <f>IFERROR(__xludf.DUMMYFUNCTION("""COMPUTED_VALUE"""),"Yash Verma")</f>
        <v>Yash Verma</v>
      </c>
      <c r="C2264" s="18" t="str">
        <f>IFERROR(__xludf.DUMMYFUNCTION("""COMPUTED_VALUE"""),"Lower Parel")</f>
        <v>Lower Parel</v>
      </c>
      <c r="D2264" s="18" t="str">
        <f>IFERROR(__xludf.DUMMYFUNCTION("""COMPUTED_VALUE"""),"Rasmalai")</f>
        <v>Rasmalai</v>
      </c>
      <c r="E2264" s="18">
        <f>IFERROR(__xludf.DUMMYFUNCTION("""COMPUTED_VALUE"""),5.0)</f>
        <v>5</v>
      </c>
      <c r="F2264" s="18" t="str">
        <f>IFERROR(__xludf.DUMMYFUNCTION("""COMPUTED_VALUE"""),"Kiran Mehta")</f>
        <v>Kiran Mehta</v>
      </c>
      <c r="G2264" s="19">
        <f>IFERROR(__xludf.DUMMYFUNCTION("""COMPUTED_VALUE"""),45285.0)</f>
        <v>45285</v>
      </c>
      <c r="H2264" s="18" t="str">
        <f>IFERROR(__xludf.DUMMYFUNCTION("""COMPUTED_VALUE"""),"UPI")</f>
        <v>UPI</v>
      </c>
      <c r="I2264" s="18" t="str">
        <f>IFERROR(__xludf.DUMMYFUNCTION("""COMPUTED_VALUE"""),"Delivered")</f>
        <v>Delivered</v>
      </c>
      <c r="J2264" s="18" t="str">
        <f>IFERROR(__xludf.DUMMYFUNCTION("""COMPUTED_VALUE"""),"Convenience")</f>
        <v>Convenience</v>
      </c>
      <c r="K2264" s="18" t="str">
        <f>IFERROR(__xludf.DUMMYFUNCTION("""COMPUTED_VALUE"""),"Easy tracking")</f>
        <v>Easy tracking</v>
      </c>
      <c r="L2264" s="18">
        <f>iferror(VLOOKUP($D2264,Details!$A$2:$C$11,2,false),vlookup($D2264,Details!$E$2:$G$11,2,false))</f>
        <v>110</v>
      </c>
      <c r="M2264" s="18" t="str">
        <f>iferror(VLOOKUP($D2264,Details!$A$2:$C$11,3,false),vlookup($D2264,Details!$E$2:$G$11,3,false))</f>
        <v>Snacks and Drinks</v>
      </c>
      <c r="N2264" s="18">
        <f t="shared" si="1"/>
        <v>550</v>
      </c>
      <c r="O2264" s="17"/>
      <c r="P2264" s="17"/>
      <c r="Q2264" s="17"/>
      <c r="R2264" s="17"/>
      <c r="S2264" s="17"/>
      <c r="T2264" s="17"/>
      <c r="U2264" s="17"/>
      <c r="V2264" s="17"/>
      <c r="W2264" s="17"/>
      <c r="X2264" s="17"/>
      <c r="Y2264" s="17"/>
      <c r="Z2264" s="17"/>
    </row>
    <row r="2265">
      <c r="A2265" s="18" t="str">
        <f>IFERROR(__xludf.DUMMYFUNCTION("""COMPUTED_VALUE"""),"ord_92238")</f>
        <v>ord_92238</v>
      </c>
      <c r="B2265" s="18" t="str">
        <f>IFERROR(__xludf.DUMMYFUNCTION("""COMPUTED_VALUE"""),"Diya Arora")</f>
        <v>Diya Arora</v>
      </c>
      <c r="C2265" s="18" t="str">
        <f>IFERROR(__xludf.DUMMYFUNCTION("""COMPUTED_VALUE"""),"Lower Parel")</f>
        <v>Lower Parel</v>
      </c>
      <c r="D2265" s="18" t="str">
        <f>IFERROR(__xludf.DUMMYFUNCTION("""COMPUTED_VALUE"""),"Onion")</f>
        <v>Onion</v>
      </c>
      <c r="E2265" s="18">
        <f>IFERROR(__xludf.DUMMYFUNCTION("""COMPUTED_VALUE"""),2.0)</f>
        <v>2</v>
      </c>
      <c r="F2265" s="18" t="str">
        <f>IFERROR(__xludf.DUMMYFUNCTION("""COMPUTED_VALUE"""),"Kiran Mehta")</f>
        <v>Kiran Mehta</v>
      </c>
      <c r="G2265" s="19">
        <f>IFERROR(__xludf.DUMMYFUNCTION("""COMPUTED_VALUE"""),45189.0)</f>
        <v>45189</v>
      </c>
      <c r="H2265" s="18" t="str">
        <f>IFERROR(__xludf.DUMMYFUNCTION("""COMPUTED_VALUE"""),"UPI")</f>
        <v>UPI</v>
      </c>
      <c r="I2265" s="18" t="str">
        <f>IFERROR(__xludf.DUMMYFUNCTION("""COMPUTED_VALUE"""),"Delivered")</f>
        <v>Delivered</v>
      </c>
      <c r="J2265" s="18" t="str">
        <f>IFERROR(__xludf.DUMMYFUNCTION("""COMPUTED_VALUE"""),"Delivery Experience")</f>
        <v>Delivery Experience</v>
      </c>
      <c r="K2265" s="18" t="str">
        <f>IFERROR(__xludf.DUMMYFUNCTION("""COMPUTED_VALUE"""),"Quick and professional")</f>
        <v>Quick and professional</v>
      </c>
      <c r="L2265" s="18">
        <f>iferror(VLOOKUP($D2265,Details!$A$2:$C$11,2,false),vlookup($D2265,Details!$E$2:$G$11,2,false))</f>
        <v>84</v>
      </c>
      <c r="M2265" s="18" t="str">
        <f>iferror(VLOOKUP($D2265,Details!$A$2:$C$11,3,false),vlookup($D2265,Details!$E$2:$G$11,3,false))</f>
        <v>Fruits and Vegetables</v>
      </c>
      <c r="N2265" s="18">
        <f t="shared" si="1"/>
        <v>168</v>
      </c>
      <c r="O2265" s="17"/>
      <c r="P2265" s="17"/>
      <c r="Q2265" s="17"/>
      <c r="R2265" s="17"/>
      <c r="S2265" s="17"/>
      <c r="T2265" s="17"/>
      <c r="U2265" s="17"/>
      <c r="V2265" s="17"/>
      <c r="W2265" s="17"/>
      <c r="X2265" s="17"/>
      <c r="Y2265" s="17"/>
      <c r="Z2265" s="17"/>
    </row>
    <row r="2266">
      <c r="A2266" s="18" t="str">
        <f>IFERROR(__xludf.DUMMYFUNCTION("""COMPUTED_VALUE"""),"ord_92239")</f>
        <v>ord_92239</v>
      </c>
      <c r="B2266" s="18" t="str">
        <f>IFERROR(__xludf.DUMMYFUNCTION("""COMPUTED_VALUE"""),"Mohit Malhotra")</f>
        <v>Mohit Malhotra</v>
      </c>
      <c r="C2266" s="18" t="str">
        <f>IFERROR(__xludf.DUMMYFUNCTION("""COMPUTED_VALUE"""),"Lower Parel")</f>
        <v>Lower Parel</v>
      </c>
      <c r="D2266" s="18" t="str">
        <f>IFERROR(__xludf.DUMMYFUNCTION("""COMPUTED_VALUE"""),"Tomato")</f>
        <v>Tomato</v>
      </c>
      <c r="E2266" s="18">
        <f>IFERROR(__xludf.DUMMYFUNCTION("""COMPUTED_VALUE"""),2.0)</f>
        <v>2</v>
      </c>
      <c r="F2266" s="18" t="str">
        <f>IFERROR(__xludf.DUMMYFUNCTION("""COMPUTED_VALUE"""),"Kiran Mehta")</f>
        <v>Kiran Mehta</v>
      </c>
      <c r="G2266" s="19">
        <f>IFERROR(__xludf.DUMMYFUNCTION("""COMPUTED_VALUE"""),45123.0)</f>
        <v>45123</v>
      </c>
      <c r="H2266" s="18" t="str">
        <f>IFERROR(__xludf.DUMMYFUNCTION("""COMPUTED_VALUE"""),"UPI")</f>
        <v>UPI</v>
      </c>
      <c r="I2266" s="18" t="str">
        <f>IFERROR(__xludf.DUMMYFUNCTION("""COMPUTED_VALUE"""),"Delivered")</f>
        <v>Delivered</v>
      </c>
      <c r="J2266" s="18" t="str">
        <f>IFERROR(__xludf.DUMMYFUNCTION("""COMPUTED_VALUE"""),"Overall Satisfaction")</f>
        <v>Overall Satisfaction</v>
      </c>
      <c r="K2266" s="18" t="str">
        <f>IFERROR(__xludf.DUMMYFUNCTION("""COMPUTED_VALUE"""),"Great service will order again")</f>
        <v>Great service will order again</v>
      </c>
      <c r="L2266" s="18">
        <f>iferror(VLOOKUP($D2266,Details!$A$2:$C$11,2,false),vlookup($D2266,Details!$E$2:$G$11,2,false))</f>
        <v>25</v>
      </c>
      <c r="M2266" s="18" t="str">
        <f>iferror(VLOOKUP($D2266,Details!$A$2:$C$11,3,false),vlookup($D2266,Details!$E$2:$G$11,3,false))</f>
        <v>Fruits and Vegetables</v>
      </c>
      <c r="N2266" s="18">
        <f t="shared" si="1"/>
        <v>50</v>
      </c>
      <c r="O2266" s="17"/>
      <c r="P2266" s="17"/>
      <c r="Q2266" s="17"/>
      <c r="R2266" s="17"/>
      <c r="S2266" s="17"/>
      <c r="T2266" s="17"/>
      <c r="U2266" s="17"/>
      <c r="V2266" s="17"/>
      <c r="W2266" s="17"/>
      <c r="X2266" s="17"/>
      <c r="Y2266" s="17"/>
      <c r="Z2266" s="17"/>
    </row>
    <row r="2267">
      <c r="A2267" s="18" t="str">
        <f>IFERROR(__xludf.DUMMYFUNCTION("""COMPUTED_VALUE"""),"ord_92240")</f>
        <v>ord_92240</v>
      </c>
      <c r="B2267" s="18" t="str">
        <f>IFERROR(__xludf.DUMMYFUNCTION("""COMPUTED_VALUE"""),"Tanishq Bansal")</f>
        <v>Tanishq Bansal</v>
      </c>
      <c r="C2267" s="18" t="str">
        <f>IFERROR(__xludf.DUMMYFUNCTION("""COMPUTED_VALUE"""),"Powai")</f>
        <v>Powai</v>
      </c>
      <c r="D2267" s="18" t="str">
        <f>IFERROR(__xludf.DUMMYFUNCTION("""COMPUTED_VALUE"""),"Guava")</f>
        <v>Guava</v>
      </c>
      <c r="E2267" s="18">
        <f>IFERROR(__xludf.DUMMYFUNCTION("""COMPUTED_VALUE"""),2.0)</f>
        <v>2</v>
      </c>
      <c r="F2267" s="18" t="str">
        <f>IFERROR(__xludf.DUMMYFUNCTION("""COMPUTED_VALUE"""),"Sandeep Kumar")</f>
        <v>Sandeep Kumar</v>
      </c>
      <c r="G2267" s="19">
        <f>IFERROR(__xludf.DUMMYFUNCTION("""COMPUTED_VALUE"""),45157.0)</f>
        <v>45157</v>
      </c>
      <c r="H2267" s="18" t="str">
        <f>IFERROR(__xludf.DUMMYFUNCTION("""COMPUTED_VALUE"""),"UPI")</f>
        <v>UPI</v>
      </c>
      <c r="I2267" s="18" t="str">
        <f>IFERROR(__xludf.DUMMYFUNCTION("""COMPUTED_VALUE"""),"Delivered")</f>
        <v>Delivered</v>
      </c>
      <c r="J2267" s="18" t="str">
        <f>IFERROR(__xludf.DUMMYFUNCTION("""COMPUTED_VALUE"""),"On-time Delivery")</f>
        <v>On-time Delivery</v>
      </c>
      <c r="K2267" s="18" t="str">
        <f>IFERROR(__xludf.DUMMYFUNCTION("""COMPUTED_VALUE"""),"Delivered on time")</f>
        <v>Delivered on time</v>
      </c>
      <c r="L2267" s="18">
        <f>iferror(VLOOKUP($D2267,Details!$A$2:$C$11,2,false),vlookup($D2267,Details!$E$2:$G$11,2,false))</f>
        <v>70</v>
      </c>
      <c r="M2267" s="18" t="str">
        <f>iferror(VLOOKUP($D2267,Details!$A$2:$C$11,3,false),vlookup($D2267,Details!$E$2:$G$11,3,false))</f>
        <v>Fruits and Vegetables</v>
      </c>
      <c r="N2267" s="18">
        <f t="shared" si="1"/>
        <v>140</v>
      </c>
      <c r="O2267" s="17"/>
      <c r="P2267" s="17"/>
      <c r="Q2267" s="17"/>
      <c r="R2267" s="17"/>
      <c r="S2267" s="17"/>
      <c r="T2267" s="17"/>
      <c r="U2267" s="17"/>
      <c r="V2267" s="17"/>
      <c r="W2267" s="17"/>
      <c r="X2267" s="17"/>
      <c r="Y2267" s="17"/>
      <c r="Z2267" s="17"/>
    </row>
    <row r="2268">
      <c r="A2268" s="18" t="str">
        <f>IFERROR(__xludf.DUMMYFUNCTION("""COMPUTED_VALUE"""),"ord_92241")</f>
        <v>ord_92241</v>
      </c>
      <c r="B2268" s="18" t="str">
        <f>IFERROR(__xludf.DUMMYFUNCTION("""COMPUTED_VALUE"""),"Aditi Iyer")</f>
        <v>Aditi Iyer</v>
      </c>
      <c r="C2268" s="18" t="str">
        <f>IFERROR(__xludf.DUMMYFUNCTION("""COMPUTED_VALUE"""),"Dadar")</f>
        <v>Dadar</v>
      </c>
      <c r="D2268" s="18" t="str">
        <f>IFERROR(__xludf.DUMMYFUNCTION("""COMPUTED_VALUE"""),"Cucumber")</f>
        <v>Cucumber</v>
      </c>
      <c r="E2268" s="18">
        <f>IFERROR(__xludf.DUMMYFUNCTION("""COMPUTED_VALUE"""),2.0)</f>
        <v>2</v>
      </c>
      <c r="F2268" s="18" t="str">
        <f>IFERROR(__xludf.DUMMYFUNCTION("""COMPUTED_VALUE"""),"Aman Kumar")</f>
        <v>Aman Kumar</v>
      </c>
      <c r="G2268" s="19">
        <f>IFERROR(__xludf.DUMMYFUNCTION("""COMPUTED_VALUE"""),45228.0)</f>
        <v>45228</v>
      </c>
      <c r="H2268" s="18" t="str">
        <f>IFERROR(__xludf.DUMMYFUNCTION("""COMPUTED_VALUE"""),"UPI")</f>
        <v>UPI</v>
      </c>
      <c r="I2268" s="18" t="str">
        <f>IFERROR(__xludf.DUMMYFUNCTION("""COMPUTED_VALUE"""),"Delivered")</f>
        <v>Delivered</v>
      </c>
      <c r="J2268" s="18" t="str">
        <f>IFERROR(__xludf.DUMMYFUNCTION("""COMPUTED_VALUE"""),"Quality of Items")</f>
        <v>Quality of Items</v>
      </c>
      <c r="K2268" s="18" t="str">
        <f>IFERROR(__xludf.DUMMYFUNCTION("""COMPUTED_VALUE"""),"Perfect condition")</f>
        <v>Perfect condition</v>
      </c>
      <c r="L2268" s="18">
        <f>iferror(VLOOKUP($D2268,Details!$A$2:$C$11,2,false),vlookup($D2268,Details!$E$2:$G$11,2,false))</f>
        <v>30</v>
      </c>
      <c r="M2268" s="18" t="str">
        <f>iferror(VLOOKUP($D2268,Details!$A$2:$C$11,3,false),vlookup($D2268,Details!$E$2:$G$11,3,false))</f>
        <v>Fruits and Vegetables</v>
      </c>
      <c r="N2268" s="18">
        <f t="shared" si="1"/>
        <v>60</v>
      </c>
      <c r="O2268" s="17"/>
      <c r="P2268" s="17"/>
      <c r="Q2268" s="17"/>
      <c r="R2268" s="17"/>
      <c r="S2268" s="17"/>
      <c r="T2268" s="17"/>
      <c r="U2268" s="17"/>
      <c r="V2268" s="17"/>
      <c r="W2268" s="17"/>
      <c r="X2268" s="17"/>
      <c r="Y2268" s="17"/>
      <c r="Z2268" s="17"/>
    </row>
    <row r="2269">
      <c r="A2269" s="18" t="str">
        <f>IFERROR(__xludf.DUMMYFUNCTION("""COMPUTED_VALUE"""),"ord_92242")</f>
        <v>ord_92242</v>
      </c>
      <c r="B2269" s="18" t="str">
        <f>IFERROR(__xludf.DUMMYFUNCTION("""COMPUTED_VALUE"""),"Ishaan Chaturvedi")</f>
        <v>Ishaan Chaturvedi</v>
      </c>
      <c r="C2269" s="18" t="str">
        <f>IFERROR(__xludf.DUMMYFUNCTION("""COMPUTED_VALUE"""),"Bandra")</f>
        <v>Bandra</v>
      </c>
      <c r="D2269" s="18" t="str">
        <f>IFERROR(__xludf.DUMMYFUNCTION("""COMPUTED_VALUE"""),"Potato")</f>
        <v>Potato</v>
      </c>
      <c r="E2269" s="18">
        <f>IFERROR(__xludf.DUMMYFUNCTION("""COMPUTED_VALUE"""),1.0)</f>
        <v>1</v>
      </c>
      <c r="F2269" s="18" t="str">
        <f>IFERROR(__xludf.DUMMYFUNCTION("""COMPUTED_VALUE"""),"Priya Joshi")</f>
        <v>Priya Joshi</v>
      </c>
      <c r="G2269" s="19">
        <f>IFERROR(__xludf.DUMMYFUNCTION("""COMPUTED_VALUE"""),45118.0)</f>
        <v>45118</v>
      </c>
      <c r="H2269" s="18" t="str">
        <f>IFERROR(__xludf.DUMMYFUNCTION("""COMPUTED_VALUE"""),"Online Payment")</f>
        <v>Online Payment</v>
      </c>
      <c r="I2269" s="18" t="str">
        <f>IFERROR(__xludf.DUMMYFUNCTION("""COMPUTED_VALUE"""),"Delivered")</f>
        <v>Delivered</v>
      </c>
      <c r="J2269" s="18" t="str">
        <f>IFERROR(__xludf.DUMMYFUNCTION("""COMPUTED_VALUE"""),"Packaging")</f>
        <v>Packaging</v>
      </c>
      <c r="K2269" s="18" t="str">
        <f>IFERROR(__xludf.DUMMYFUNCTION("""COMPUTED_VALUE"""),"Secure and intact")</f>
        <v>Secure and intact</v>
      </c>
      <c r="L2269" s="18">
        <f>iferror(VLOOKUP($D2269,Details!$A$2:$C$11,2,false),vlookup($D2269,Details!$E$2:$G$11,2,false))</f>
        <v>55</v>
      </c>
      <c r="M2269" s="18" t="str">
        <f>iferror(VLOOKUP($D2269,Details!$A$2:$C$11,3,false),vlookup($D2269,Details!$E$2:$G$11,3,false))</f>
        <v>Fruits and Vegetables</v>
      </c>
      <c r="N2269" s="18">
        <f t="shared" si="1"/>
        <v>55</v>
      </c>
      <c r="O2269" s="17"/>
      <c r="P2269" s="17"/>
      <c r="Q2269" s="17"/>
      <c r="R2269" s="17"/>
      <c r="S2269" s="17"/>
      <c r="T2269" s="17"/>
      <c r="U2269" s="17"/>
      <c r="V2269" s="17"/>
      <c r="W2269" s="17"/>
      <c r="X2269" s="17"/>
      <c r="Y2269" s="17"/>
      <c r="Z2269" s="17"/>
    </row>
    <row r="2270">
      <c r="A2270" s="18" t="str">
        <f>IFERROR(__xludf.DUMMYFUNCTION("""COMPUTED_VALUE"""),"ord_92243")</f>
        <v>ord_92243</v>
      </c>
      <c r="B2270" s="18" t="str">
        <f>IFERROR(__xludf.DUMMYFUNCTION("""COMPUTED_VALUE"""),"Pranav Joshi")</f>
        <v>Pranav Joshi</v>
      </c>
      <c r="C2270" s="18" t="str">
        <f>IFERROR(__xludf.DUMMYFUNCTION("""COMPUTED_VALUE"""),"Andheri")</f>
        <v>Andheri</v>
      </c>
      <c r="D2270" s="18" t="str">
        <f>IFERROR(__xludf.DUMMYFUNCTION("""COMPUTED_VALUE"""),"Sweet Corn")</f>
        <v>Sweet Corn</v>
      </c>
      <c r="E2270" s="18">
        <f>IFERROR(__xludf.DUMMYFUNCTION("""COMPUTED_VALUE"""),1.0)</f>
        <v>1</v>
      </c>
      <c r="F2270" s="18" t="str">
        <f>IFERROR(__xludf.DUMMYFUNCTION("""COMPUTED_VALUE"""),"Vivek Kumar")</f>
        <v>Vivek Kumar</v>
      </c>
      <c r="G2270" s="19">
        <f>IFERROR(__xludf.DUMMYFUNCTION("""COMPUTED_VALUE"""),45104.0)</f>
        <v>45104</v>
      </c>
      <c r="H2270" s="18" t="str">
        <f>IFERROR(__xludf.DUMMYFUNCTION("""COMPUTED_VALUE"""),"Online Payment")</f>
        <v>Online Payment</v>
      </c>
      <c r="I2270" s="18" t="str">
        <f>IFERROR(__xludf.DUMMYFUNCTION("""COMPUTED_VALUE"""),"Delivered")</f>
        <v>Delivered</v>
      </c>
      <c r="J2270" s="18" t="str">
        <f>IFERROR(__xludf.DUMMYFUNCTION("""COMPUTED_VALUE"""),"Satisfied with the Delivery")</f>
        <v>Satisfied with the Delivery</v>
      </c>
      <c r="K2270" s="18" t="str">
        <f>IFERROR(__xludf.DUMMYFUNCTION("""COMPUTED_VALUE"""),"Timely and quality")</f>
        <v>Timely and quality</v>
      </c>
      <c r="L2270" s="18">
        <f>iferror(VLOOKUP($D2270,Details!$A$2:$C$11,2,false),vlookup($D2270,Details!$E$2:$G$11,2,false))</f>
        <v>60</v>
      </c>
      <c r="M2270" s="18" t="str">
        <f>iferror(VLOOKUP($D2270,Details!$A$2:$C$11,3,false),vlookup($D2270,Details!$E$2:$G$11,3,false))</f>
        <v>Fruits and Vegetables</v>
      </c>
      <c r="N2270" s="18">
        <f t="shared" si="1"/>
        <v>60</v>
      </c>
      <c r="O2270" s="17"/>
      <c r="P2270" s="17"/>
      <c r="Q2270" s="17"/>
      <c r="R2270" s="17"/>
      <c r="S2270" s="17"/>
      <c r="T2270" s="17"/>
      <c r="U2270" s="17"/>
      <c r="V2270" s="17"/>
      <c r="W2270" s="17"/>
      <c r="X2270" s="17"/>
      <c r="Y2270" s="17"/>
      <c r="Z2270" s="17"/>
    </row>
    <row r="2271">
      <c r="A2271" s="18" t="str">
        <f>IFERROR(__xludf.DUMMYFUNCTION("""COMPUTED_VALUE"""),"ord_92244")</f>
        <v>ord_92244</v>
      </c>
      <c r="B2271" s="18" t="str">
        <f>IFERROR(__xludf.DUMMYFUNCTION("""COMPUTED_VALUE"""),"Dev Chauhan")</f>
        <v>Dev Chauhan</v>
      </c>
      <c r="C2271" s="18" t="str">
        <f>IFERROR(__xludf.DUMMYFUNCTION("""COMPUTED_VALUE"""),"Bandra")</f>
        <v>Bandra</v>
      </c>
      <c r="D2271" s="18" t="str">
        <f>IFERROR(__xludf.DUMMYFUNCTION("""COMPUTED_VALUE"""),"Sweet Corn")</f>
        <v>Sweet Corn</v>
      </c>
      <c r="E2271" s="18">
        <f>IFERROR(__xludf.DUMMYFUNCTION("""COMPUTED_VALUE"""),2.0)</f>
        <v>2</v>
      </c>
      <c r="F2271" s="18" t="str">
        <f>IFERROR(__xludf.DUMMYFUNCTION("""COMPUTED_VALUE"""),"Sita T")</f>
        <v>Sita T</v>
      </c>
      <c r="G2271" s="19">
        <f>IFERROR(__xludf.DUMMYFUNCTION("""COMPUTED_VALUE"""),45220.0)</f>
        <v>45220</v>
      </c>
      <c r="H2271" s="18" t="str">
        <f>IFERROR(__xludf.DUMMYFUNCTION("""COMPUTED_VALUE"""),"Credit Card")</f>
        <v>Credit Card</v>
      </c>
      <c r="I2271" s="18" t="str">
        <f>IFERROR(__xludf.DUMMYFUNCTION("""COMPUTED_VALUE"""),"Delivered")</f>
        <v>Delivered</v>
      </c>
      <c r="J2271" s="18" t="str">
        <f>IFERROR(__xludf.DUMMYFUNCTION("""COMPUTED_VALUE"""),"Customer Service")</f>
        <v>Customer Service</v>
      </c>
      <c r="K2271" s="18" t="str">
        <f>IFERROR(__xludf.DUMMYFUNCTION("""COMPUTED_VALUE"""),"Seamless and easy")</f>
        <v>Seamless and easy</v>
      </c>
      <c r="L2271" s="18">
        <f>iferror(VLOOKUP($D2271,Details!$A$2:$C$11,2,false),vlookup($D2271,Details!$E$2:$G$11,2,false))</f>
        <v>60</v>
      </c>
      <c r="M2271" s="18" t="str">
        <f>iferror(VLOOKUP($D2271,Details!$A$2:$C$11,3,false),vlookup($D2271,Details!$E$2:$G$11,3,false))</f>
        <v>Fruits and Vegetables</v>
      </c>
      <c r="N2271" s="18">
        <f t="shared" si="1"/>
        <v>120</v>
      </c>
      <c r="O2271" s="17"/>
      <c r="P2271" s="17"/>
      <c r="Q2271" s="17"/>
      <c r="R2271" s="17"/>
      <c r="S2271" s="17"/>
      <c r="T2271" s="17"/>
      <c r="U2271" s="17"/>
      <c r="V2271" s="17"/>
      <c r="W2271" s="17"/>
      <c r="X2271" s="17"/>
      <c r="Y2271" s="17"/>
      <c r="Z2271" s="17"/>
    </row>
    <row r="2272">
      <c r="A2272" s="18" t="str">
        <f>IFERROR(__xludf.DUMMYFUNCTION("""COMPUTED_VALUE"""),"ord_92245")</f>
        <v>ord_92245</v>
      </c>
      <c r="B2272" s="18" t="str">
        <f>IFERROR(__xludf.DUMMYFUNCTION("""COMPUTED_VALUE"""),"Pallavi Ghosh")</f>
        <v>Pallavi Ghosh</v>
      </c>
      <c r="C2272" s="18" t="str">
        <f>IFERROR(__xludf.DUMMYFUNCTION("""COMPUTED_VALUE"""),"Bandra")</f>
        <v>Bandra</v>
      </c>
      <c r="D2272" s="18" t="str">
        <f>IFERROR(__xludf.DUMMYFUNCTION("""COMPUTED_VALUE"""),"Orange")</f>
        <v>Orange</v>
      </c>
      <c r="E2272" s="18">
        <f>IFERROR(__xludf.DUMMYFUNCTION("""COMPUTED_VALUE"""),2.0)</f>
        <v>2</v>
      </c>
      <c r="F2272" s="18" t="str">
        <f>IFERROR(__xludf.DUMMYFUNCTION("""COMPUTED_VALUE"""),"Vivek Kumar")</f>
        <v>Vivek Kumar</v>
      </c>
      <c r="G2272" s="19">
        <f>IFERROR(__xludf.DUMMYFUNCTION("""COMPUTED_VALUE"""),45286.0)</f>
        <v>45286</v>
      </c>
      <c r="H2272" s="18" t="str">
        <f>IFERROR(__xludf.DUMMYFUNCTION("""COMPUTED_VALUE"""),"Credit Card")</f>
        <v>Credit Card</v>
      </c>
      <c r="I2272" s="18" t="str">
        <f>IFERROR(__xludf.DUMMYFUNCTION("""COMPUTED_VALUE"""),"Delivered")</f>
        <v>Delivered</v>
      </c>
      <c r="J2272" s="18" t="str">
        <f>IFERROR(__xludf.DUMMYFUNCTION("""COMPUTED_VALUE"""),"Delivery Experience")</f>
        <v>Delivery Experience</v>
      </c>
      <c r="K2272" s="18" t="str">
        <f>IFERROR(__xludf.DUMMYFUNCTION("""COMPUTED_VALUE"""),"Quick and professional")</f>
        <v>Quick and professional</v>
      </c>
      <c r="L2272" s="18">
        <f>iferror(VLOOKUP($D2272,Details!$A$2:$C$11,2,false),vlookup($D2272,Details!$E$2:$G$11,2,false))</f>
        <v>180</v>
      </c>
      <c r="M2272" s="18" t="str">
        <f>iferror(VLOOKUP($D2272,Details!$A$2:$C$11,3,false),vlookup($D2272,Details!$E$2:$G$11,3,false))</f>
        <v>Fruits and Vegetables</v>
      </c>
      <c r="N2272" s="18">
        <f t="shared" si="1"/>
        <v>360</v>
      </c>
      <c r="O2272" s="17"/>
      <c r="P2272" s="17"/>
      <c r="Q2272" s="17"/>
      <c r="R2272" s="17"/>
      <c r="S2272" s="17"/>
      <c r="T2272" s="17"/>
      <c r="U2272" s="17"/>
      <c r="V2272" s="17"/>
      <c r="W2272" s="17"/>
      <c r="X2272" s="17"/>
      <c r="Y2272" s="17"/>
      <c r="Z2272" s="17"/>
    </row>
    <row r="2273">
      <c r="A2273" s="18" t="str">
        <f>IFERROR(__xludf.DUMMYFUNCTION("""COMPUTED_VALUE"""),"ord_92246")</f>
        <v>ord_92246</v>
      </c>
      <c r="B2273" s="18" t="str">
        <f>IFERROR(__xludf.DUMMYFUNCTION("""COMPUTED_VALUE"""),"Anaya Rao")</f>
        <v>Anaya Rao</v>
      </c>
      <c r="C2273" s="18" t="str">
        <f>IFERROR(__xludf.DUMMYFUNCTION("""COMPUTED_VALUE"""),"Colaba")</f>
        <v>Colaba</v>
      </c>
      <c r="D2273" s="18" t="str">
        <f>IFERROR(__xludf.DUMMYFUNCTION("""COMPUTED_VALUE"""),"Tomato")</f>
        <v>Tomato</v>
      </c>
      <c r="E2273" s="18">
        <f>IFERROR(__xludf.DUMMYFUNCTION("""COMPUTED_VALUE"""),1.0)</f>
        <v>1</v>
      </c>
      <c r="F2273" s="18" t="str">
        <f>IFERROR(__xludf.DUMMYFUNCTION("""COMPUTED_VALUE"""),"Vivek Kumar")</f>
        <v>Vivek Kumar</v>
      </c>
      <c r="G2273" s="19">
        <f>IFERROR(__xludf.DUMMYFUNCTION("""COMPUTED_VALUE"""),45117.0)</f>
        <v>45117</v>
      </c>
      <c r="H2273" s="18" t="str">
        <f>IFERROR(__xludf.DUMMYFUNCTION("""COMPUTED_VALUE"""),"UPI")</f>
        <v>UPI</v>
      </c>
      <c r="I2273" s="18" t="str">
        <f>IFERROR(__xludf.DUMMYFUNCTION("""COMPUTED_VALUE"""),"Delivered")</f>
        <v>Delivered</v>
      </c>
      <c r="J2273" s="18" t="str">
        <f>IFERROR(__xludf.DUMMYFUNCTION("""COMPUTED_VALUE"""),"On-time Delivery")</f>
        <v>On-time Delivery</v>
      </c>
      <c r="K2273" s="18" t="str">
        <f>IFERROR(__xludf.DUMMYFUNCTION("""COMPUTED_VALUE"""),"Delivered on time")</f>
        <v>Delivered on time</v>
      </c>
      <c r="L2273" s="18">
        <f>iferror(VLOOKUP($D2273,Details!$A$2:$C$11,2,false),vlookup($D2273,Details!$E$2:$G$11,2,false))</f>
        <v>25</v>
      </c>
      <c r="M2273" s="18" t="str">
        <f>iferror(VLOOKUP($D2273,Details!$A$2:$C$11,3,false),vlookup($D2273,Details!$E$2:$G$11,3,false))</f>
        <v>Fruits and Vegetables</v>
      </c>
      <c r="N2273" s="18">
        <f t="shared" si="1"/>
        <v>25</v>
      </c>
      <c r="O2273" s="17"/>
      <c r="P2273" s="17"/>
      <c r="Q2273" s="17"/>
      <c r="R2273" s="17"/>
      <c r="S2273" s="17"/>
      <c r="T2273" s="17"/>
      <c r="U2273" s="17"/>
      <c r="V2273" s="17"/>
      <c r="W2273" s="17"/>
      <c r="X2273" s="17"/>
      <c r="Y2273" s="17"/>
      <c r="Z2273" s="17"/>
    </row>
    <row r="2274">
      <c r="A2274" s="18" t="str">
        <f>IFERROR(__xludf.DUMMYFUNCTION("""COMPUTED_VALUE"""),"ord_92247")</f>
        <v>ord_92247</v>
      </c>
      <c r="B2274" s="18" t="str">
        <f>IFERROR(__xludf.DUMMYFUNCTION("""COMPUTED_VALUE"""),"Diya Arora")</f>
        <v>Diya Arora</v>
      </c>
      <c r="C2274" s="18" t="str">
        <f>IFERROR(__xludf.DUMMYFUNCTION("""COMPUTED_VALUE"""),"Lower Parel")</f>
        <v>Lower Parel</v>
      </c>
      <c r="D2274" s="18" t="str">
        <f>IFERROR(__xludf.DUMMYFUNCTION("""COMPUTED_VALUE"""),"Onion")</f>
        <v>Onion</v>
      </c>
      <c r="E2274" s="18">
        <f>IFERROR(__xludf.DUMMYFUNCTION("""COMPUTED_VALUE"""),1.0)</f>
        <v>1</v>
      </c>
      <c r="F2274" s="18" t="str">
        <f>IFERROR(__xludf.DUMMYFUNCTION("""COMPUTED_VALUE"""),"Nithin Lal")</f>
        <v>Nithin Lal</v>
      </c>
      <c r="G2274" s="19">
        <f>IFERROR(__xludf.DUMMYFUNCTION("""COMPUTED_VALUE"""),45260.0)</f>
        <v>45260</v>
      </c>
      <c r="H2274" s="18" t="str">
        <f>IFERROR(__xludf.DUMMYFUNCTION("""COMPUTED_VALUE"""),"UPI")</f>
        <v>UPI</v>
      </c>
      <c r="I2274" s="18" t="str">
        <f>IFERROR(__xludf.DUMMYFUNCTION("""COMPUTED_VALUE"""),"Delivered")</f>
        <v>Delivered</v>
      </c>
      <c r="J2274" s="18" t="str">
        <f>IFERROR(__xludf.DUMMYFUNCTION("""COMPUTED_VALUE"""),"Satisfied with the Delivery")</f>
        <v>Satisfied with the Delivery</v>
      </c>
      <c r="K2274" s="18" t="str">
        <f>IFERROR(__xludf.DUMMYFUNCTION("""COMPUTED_VALUE"""),"Timely and quality")</f>
        <v>Timely and quality</v>
      </c>
      <c r="L2274" s="18">
        <f>iferror(VLOOKUP($D2274,Details!$A$2:$C$11,2,false),vlookup($D2274,Details!$E$2:$G$11,2,false))</f>
        <v>84</v>
      </c>
      <c r="M2274" s="18" t="str">
        <f>iferror(VLOOKUP($D2274,Details!$A$2:$C$11,3,false),vlookup($D2274,Details!$E$2:$G$11,3,false))</f>
        <v>Fruits and Vegetables</v>
      </c>
      <c r="N2274" s="18">
        <f t="shared" si="1"/>
        <v>84</v>
      </c>
      <c r="O2274" s="17"/>
      <c r="P2274" s="17"/>
      <c r="Q2274" s="17"/>
      <c r="R2274" s="17"/>
      <c r="S2274" s="17"/>
      <c r="T2274" s="17"/>
      <c r="U2274" s="17"/>
      <c r="V2274" s="17"/>
      <c r="W2274" s="17"/>
      <c r="X2274" s="17"/>
      <c r="Y2274" s="17"/>
      <c r="Z2274" s="17"/>
    </row>
    <row r="2275">
      <c r="A2275" s="18" t="str">
        <f>IFERROR(__xludf.DUMMYFUNCTION("""COMPUTED_VALUE"""),"ord_92248")</f>
        <v>ord_92248</v>
      </c>
      <c r="B2275" s="18" t="str">
        <f>IFERROR(__xludf.DUMMYFUNCTION("""COMPUTED_VALUE"""),"Dev Chauhan")</f>
        <v>Dev Chauhan</v>
      </c>
      <c r="C2275" s="18" t="str">
        <f>IFERROR(__xludf.DUMMYFUNCTION("""COMPUTED_VALUE"""),"Bandra")</f>
        <v>Bandra</v>
      </c>
      <c r="D2275" s="18" t="str">
        <f>IFERROR(__xludf.DUMMYFUNCTION("""COMPUTED_VALUE"""),"Papaya")</f>
        <v>Papaya</v>
      </c>
      <c r="E2275" s="18">
        <f>IFERROR(__xludf.DUMMYFUNCTION("""COMPUTED_VALUE"""),1.0)</f>
        <v>1</v>
      </c>
      <c r="F2275" s="18" t="str">
        <f>IFERROR(__xludf.DUMMYFUNCTION("""COMPUTED_VALUE"""),"Ram Gopal")</f>
        <v>Ram Gopal</v>
      </c>
      <c r="G2275" s="19">
        <f>IFERROR(__xludf.DUMMYFUNCTION("""COMPUTED_VALUE"""),45242.0)</f>
        <v>45242</v>
      </c>
      <c r="H2275" s="18" t="str">
        <f>IFERROR(__xludf.DUMMYFUNCTION("""COMPUTED_VALUE"""),"UPI")</f>
        <v>UPI</v>
      </c>
      <c r="I2275" s="18" t="str">
        <f>IFERROR(__xludf.DUMMYFUNCTION("""COMPUTED_VALUE"""),"Delivered")</f>
        <v>Delivered</v>
      </c>
      <c r="J2275" s="18" t="str">
        <f>IFERROR(__xludf.DUMMYFUNCTION("""COMPUTED_VALUE"""),"On-time Delivery")</f>
        <v>On-time Delivery</v>
      </c>
      <c r="K2275" s="18" t="str">
        <f>IFERROR(__xludf.DUMMYFUNCTION("""COMPUTED_VALUE"""),"Delivered on time")</f>
        <v>Delivered on time</v>
      </c>
      <c r="L2275" s="18">
        <f>iferror(VLOOKUP($D2275,Details!$A$2:$C$11,2,false),vlookup($D2275,Details!$E$2:$G$11,2,false))</f>
        <v>75</v>
      </c>
      <c r="M2275" s="18" t="str">
        <f>iferror(VLOOKUP($D2275,Details!$A$2:$C$11,3,false),vlookup($D2275,Details!$E$2:$G$11,3,false))</f>
        <v>Fruits and Vegetables</v>
      </c>
      <c r="N2275" s="18">
        <f t="shared" si="1"/>
        <v>75</v>
      </c>
      <c r="O2275" s="17"/>
      <c r="P2275" s="17"/>
      <c r="Q2275" s="17"/>
      <c r="R2275" s="17"/>
      <c r="S2275" s="17"/>
      <c r="T2275" s="17"/>
      <c r="U2275" s="17"/>
      <c r="V2275" s="17"/>
      <c r="W2275" s="17"/>
      <c r="X2275" s="17"/>
      <c r="Y2275" s="17"/>
      <c r="Z2275" s="17"/>
    </row>
    <row r="2276">
      <c r="A2276" s="18" t="str">
        <f>IFERROR(__xludf.DUMMYFUNCTION("""COMPUTED_VALUE"""),"ord_92249")</f>
        <v>ord_92249</v>
      </c>
      <c r="B2276" s="18" t="str">
        <f>IFERROR(__xludf.DUMMYFUNCTION("""COMPUTED_VALUE"""),"Aarav Mehta")</f>
        <v>Aarav Mehta</v>
      </c>
      <c r="C2276" s="18" t="str">
        <f>IFERROR(__xludf.DUMMYFUNCTION("""COMPUTED_VALUE"""),"Andheri")</f>
        <v>Andheri</v>
      </c>
      <c r="D2276" s="18" t="str">
        <f>IFERROR(__xludf.DUMMYFUNCTION("""COMPUTED_VALUE"""),"Apple")</f>
        <v>Apple</v>
      </c>
      <c r="E2276" s="18">
        <f>IFERROR(__xludf.DUMMYFUNCTION("""COMPUTED_VALUE"""),1.0)</f>
        <v>1</v>
      </c>
      <c r="F2276" s="18" t="str">
        <f>IFERROR(__xludf.DUMMYFUNCTION("""COMPUTED_VALUE"""),"Vivek Kumar")</f>
        <v>Vivek Kumar</v>
      </c>
      <c r="G2276" s="19">
        <f>IFERROR(__xludf.DUMMYFUNCTION("""COMPUTED_VALUE"""),45127.0)</f>
        <v>45127</v>
      </c>
      <c r="H2276" s="18" t="str">
        <f>IFERROR(__xludf.DUMMYFUNCTION("""COMPUTED_VALUE"""),"UPI")</f>
        <v>UPI</v>
      </c>
      <c r="I2276" s="18" t="str">
        <f>IFERROR(__xludf.DUMMYFUNCTION("""COMPUTED_VALUE"""),"Delivered")</f>
        <v>Delivered</v>
      </c>
      <c r="J2276" s="18" t="str">
        <f>IFERROR(__xludf.DUMMYFUNCTION("""COMPUTED_VALUE"""),"Quality of Items")</f>
        <v>Quality of Items</v>
      </c>
      <c r="K2276" s="18" t="str">
        <f>IFERROR(__xludf.DUMMYFUNCTION("""COMPUTED_VALUE"""),"Perfect condition")</f>
        <v>Perfect condition</v>
      </c>
      <c r="L2276" s="18">
        <f>iferror(VLOOKUP($D2276,Details!$A$2:$C$11,2,false),vlookup($D2276,Details!$E$2:$G$11,2,false))</f>
        <v>230</v>
      </c>
      <c r="M2276" s="18" t="str">
        <f>iferror(VLOOKUP($D2276,Details!$A$2:$C$11,3,false),vlookup($D2276,Details!$E$2:$G$11,3,false))</f>
        <v>Fruits and Vegetables</v>
      </c>
      <c r="N2276" s="18">
        <f t="shared" si="1"/>
        <v>230</v>
      </c>
      <c r="O2276" s="17"/>
      <c r="P2276" s="17"/>
      <c r="Q2276" s="17"/>
      <c r="R2276" s="17"/>
      <c r="S2276" s="17"/>
      <c r="T2276" s="17"/>
      <c r="U2276" s="17"/>
      <c r="V2276" s="17"/>
      <c r="W2276" s="17"/>
      <c r="X2276" s="17"/>
      <c r="Y2276" s="17"/>
      <c r="Z2276" s="17"/>
    </row>
    <row r="2277">
      <c r="A2277" s="18" t="str">
        <f>IFERROR(__xludf.DUMMYFUNCTION("""COMPUTED_VALUE"""),"ord_92250")</f>
        <v>ord_92250</v>
      </c>
      <c r="B2277" s="18" t="str">
        <f>IFERROR(__xludf.DUMMYFUNCTION("""COMPUTED_VALUE"""),"Dev Chauhan")</f>
        <v>Dev Chauhan</v>
      </c>
      <c r="C2277" s="18" t="str">
        <f>IFERROR(__xludf.DUMMYFUNCTION("""COMPUTED_VALUE"""),"Bandra")</f>
        <v>Bandra</v>
      </c>
      <c r="D2277" s="18" t="str">
        <f>IFERROR(__xludf.DUMMYFUNCTION("""COMPUTED_VALUE"""),"Orange")</f>
        <v>Orange</v>
      </c>
      <c r="E2277" s="18">
        <f>IFERROR(__xludf.DUMMYFUNCTION("""COMPUTED_VALUE"""),2.0)</f>
        <v>2</v>
      </c>
      <c r="F2277" s="18" t="str">
        <f>IFERROR(__xludf.DUMMYFUNCTION("""COMPUTED_VALUE"""),"Sita T")</f>
        <v>Sita T</v>
      </c>
      <c r="G2277" s="19">
        <f>IFERROR(__xludf.DUMMYFUNCTION("""COMPUTED_VALUE"""),45193.0)</f>
        <v>45193</v>
      </c>
      <c r="H2277" s="18" t="str">
        <f>IFERROR(__xludf.DUMMYFUNCTION("""COMPUTED_VALUE"""),"Credit Card")</f>
        <v>Credit Card</v>
      </c>
      <c r="I2277" s="18" t="str">
        <f>IFERROR(__xludf.DUMMYFUNCTION("""COMPUTED_VALUE"""),"Delivered")</f>
        <v>Delivered</v>
      </c>
      <c r="J2277" s="18" t="str">
        <f>IFERROR(__xludf.DUMMYFUNCTION("""COMPUTED_VALUE"""),"Quality of Items")</f>
        <v>Quality of Items</v>
      </c>
      <c r="K2277" s="18" t="str">
        <f>IFERROR(__xludf.DUMMYFUNCTION("""COMPUTED_VALUE"""),"Perfect condition")</f>
        <v>Perfect condition</v>
      </c>
      <c r="L2277" s="18">
        <f>iferror(VLOOKUP($D2277,Details!$A$2:$C$11,2,false),vlookup($D2277,Details!$E$2:$G$11,2,false))</f>
        <v>180</v>
      </c>
      <c r="M2277" s="18" t="str">
        <f>iferror(VLOOKUP($D2277,Details!$A$2:$C$11,3,false),vlookup($D2277,Details!$E$2:$G$11,3,false))</f>
        <v>Fruits and Vegetables</v>
      </c>
      <c r="N2277" s="18">
        <f t="shared" si="1"/>
        <v>360</v>
      </c>
      <c r="O2277" s="17"/>
      <c r="P2277" s="17"/>
      <c r="Q2277" s="17"/>
      <c r="R2277" s="17"/>
      <c r="S2277" s="17"/>
      <c r="T2277" s="17"/>
      <c r="U2277" s="17"/>
      <c r="V2277" s="17"/>
      <c r="W2277" s="17"/>
      <c r="X2277" s="17"/>
      <c r="Y2277" s="17"/>
      <c r="Z2277" s="17"/>
    </row>
    <row r="2278">
      <c r="A2278" s="18" t="str">
        <f>IFERROR(__xludf.DUMMYFUNCTION("""COMPUTED_VALUE"""),"ord_92251")</f>
        <v>ord_92251</v>
      </c>
      <c r="B2278" s="18" t="str">
        <f>IFERROR(__xludf.DUMMYFUNCTION("""COMPUTED_VALUE"""),"Dev Chauhan")</f>
        <v>Dev Chauhan</v>
      </c>
      <c r="C2278" s="18" t="str">
        <f>IFERROR(__xludf.DUMMYFUNCTION("""COMPUTED_VALUE"""),"Bandra")</f>
        <v>Bandra</v>
      </c>
      <c r="D2278" s="18" t="str">
        <f>IFERROR(__xludf.DUMMYFUNCTION("""COMPUTED_VALUE"""),"Cucumber")</f>
        <v>Cucumber</v>
      </c>
      <c r="E2278" s="18">
        <f>IFERROR(__xludf.DUMMYFUNCTION("""COMPUTED_VALUE"""),1.0)</f>
        <v>1</v>
      </c>
      <c r="F2278" s="18" t="str">
        <f>IFERROR(__xludf.DUMMYFUNCTION("""COMPUTED_VALUE"""),"Vivek Kumar")</f>
        <v>Vivek Kumar</v>
      </c>
      <c r="G2278" s="19">
        <f>IFERROR(__xludf.DUMMYFUNCTION("""COMPUTED_VALUE"""),45203.0)</f>
        <v>45203</v>
      </c>
      <c r="H2278" s="18" t="str">
        <f>IFERROR(__xludf.DUMMYFUNCTION("""COMPUTED_VALUE"""),"Online Payment")</f>
        <v>Online Payment</v>
      </c>
      <c r="I2278" s="18" t="str">
        <f>IFERROR(__xludf.DUMMYFUNCTION("""COMPUTED_VALUE"""),"Delivered")</f>
        <v>Delivered</v>
      </c>
      <c r="J2278" s="18" t="str">
        <f>IFERROR(__xludf.DUMMYFUNCTION("""COMPUTED_VALUE"""),"Packaging")</f>
        <v>Packaging</v>
      </c>
      <c r="K2278" s="18" t="str">
        <f>IFERROR(__xludf.DUMMYFUNCTION("""COMPUTED_VALUE"""),"Secure and intact")</f>
        <v>Secure and intact</v>
      </c>
      <c r="L2278" s="18">
        <f>iferror(VLOOKUP($D2278,Details!$A$2:$C$11,2,false),vlookup($D2278,Details!$E$2:$G$11,2,false))</f>
        <v>30</v>
      </c>
      <c r="M2278" s="18" t="str">
        <f>iferror(VLOOKUP($D2278,Details!$A$2:$C$11,3,false),vlookup($D2278,Details!$E$2:$G$11,3,false))</f>
        <v>Fruits and Vegetables</v>
      </c>
      <c r="N2278" s="18">
        <f t="shared" si="1"/>
        <v>30</v>
      </c>
      <c r="O2278" s="17"/>
      <c r="P2278" s="17"/>
      <c r="Q2278" s="17"/>
      <c r="R2278" s="17"/>
      <c r="S2278" s="17"/>
      <c r="T2278" s="17"/>
      <c r="U2278" s="17"/>
      <c r="V2278" s="17"/>
      <c r="W2278" s="17"/>
      <c r="X2278" s="17"/>
      <c r="Y2278" s="17"/>
      <c r="Z2278" s="17"/>
    </row>
    <row r="2279">
      <c r="A2279" s="18" t="str">
        <f>IFERROR(__xludf.DUMMYFUNCTION("""COMPUTED_VALUE"""),"ord_92252")</f>
        <v>ord_92252</v>
      </c>
      <c r="B2279" s="18" t="str">
        <f>IFERROR(__xludf.DUMMYFUNCTION("""COMPUTED_VALUE"""),"Simran Bhatt")</f>
        <v>Simran Bhatt</v>
      </c>
      <c r="C2279" s="18" t="str">
        <f>IFERROR(__xludf.DUMMYFUNCTION("""COMPUTED_VALUE"""),"Juhu")</f>
        <v>Juhu</v>
      </c>
      <c r="D2279" s="18" t="str">
        <f>IFERROR(__xludf.DUMMYFUNCTION("""COMPUTED_VALUE"""),"Orange")</f>
        <v>Orange</v>
      </c>
      <c r="E2279" s="18">
        <f>IFERROR(__xludf.DUMMYFUNCTION("""COMPUTED_VALUE"""),2.0)</f>
        <v>2</v>
      </c>
      <c r="F2279" s="18" t="str">
        <f>IFERROR(__xludf.DUMMYFUNCTION("""COMPUTED_VALUE"""),"Vivek Kumar")</f>
        <v>Vivek Kumar</v>
      </c>
      <c r="G2279" s="19">
        <f>IFERROR(__xludf.DUMMYFUNCTION("""COMPUTED_VALUE"""),45191.0)</f>
        <v>45191</v>
      </c>
      <c r="H2279" s="18" t="str">
        <f>IFERROR(__xludf.DUMMYFUNCTION("""COMPUTED_VALUE"""),"Credit Card")</f>
        <v>Credit Card</v>
      </c>
      <c r="I2279" s="18" t="str">
        <f>IFERROR(__xludf.DUMMYFUNCTION("""COMPUTED_VALUE"""),"Delivered")</f>
        <v>Delivered</v>
      </c>
      <c r="J2279" s="18" t="str">
        <f>IFERROR(__xludf.DUMMYFUNCTION("""COMPUTED_VALUE"""),"Satisfied with the Delivery")</f>
        <v>Satisfied with the Delivery</v>
      </c>
      <c r="K2279" s="18" t="str">
        <f>IFERROR(__xludf.DUMMYFUNCTION("""COMPUTED_VALUE"""),"Timely and quality")</f>
        <v>Timely and quality</v>
      </c>
      <c r="L2279" s="18">
        <f>iferror(VLOOKUP($D2279,Details!$A$2:$C$11,2,false),vlookup($D2279,Details!$E$2:$G$11,2,false))</f>
        <v>180</v>
      </c>
      <c r="M2279" s="18" t="str">
        <f>iferror(VLOOKUP($D2279,Details!$A$2:$C$11,3,false),vlookup($D2279,Details!$E$2:$G$11,3,false))</f>
        <v>Fruits and Vegetables</v>
      </c>
      <c r="N2279" s="18">
        <f t="shared" si="1"/>
        <v>360</v>
      </c>
      <c r="O2279" s="17"/>
      <c r="P2279" s="17"/>
      <c r="Q2279" s="17"/>
      <c r="R2279" s="17"/>
      <c r="S2279" s="17"/>
      <c r="T2279" s="17"/>
      <c r="U2279" s="17"/>
      <c r="V2279" s="17"/>
      <c r="W2279" s="17"/>
      <c r="X2279" s="17"/>
      <c r="Y2279" s="17"/>
      <c r="Z2279" s="17"/>
    </row>
    <row r="2280">
      <c r="A2280" s="18" t="str">
        <f>IFERROR(__xludf.DUMMYFUNCTION("""COMPUTED_VALUE"""),"ord_92253")</f>
        <v>ord_92253</v>
      </c>
      <c r="B2280" s="18" t="str">
        <f>IFERROR(__xludf.DUMMYFUNCTION("""COMPUTED_VALUE"""),"Ishita Banerjee")</f>
        <v>Ishita Banerjee</v>
      </c>
      <c r="C2280" s="18" t="str">
        <f>IFERROR(__xludf.DUMMYFUNCTION("""COMPUTED_VALUE"""),"Juhu")</f>
        <v>Juhu</v>
      </c>
      <c r="D2280" s="18" t="str">
        <f>IFERROR(__xludf.DUMMYFUNCTION("""COMPUTED_VALUE"""),"Banana")</f>
        <v>Banana</v>
      </c>
      <c r="E2280" s="18">
        <f>IFERROR(__xludf.DUMMYFUNCTION("""COMPUTED_VALUE"""),2.0)</f>
        <v>2</v>
      </c>
      <c r="F2280" s="18" t="str">
        <f>IFERROR(__xludf.DUMMYFUNCTION("""COMPUTED_VALUE"""),"Ramesh S")</f>
        <v>Ramesh S</v>
      </c>
      <c r="G2280" s="19">
        <f>IFERROR(__xludf.DUMMYFUNCTION("""COMPUTED_VALUE"""),45243.0)</f>
        <v>45243</v>
      </c>
      <c r="H2280" s="18" t="str">
        <f>IFERROR(__xludf.DUMMYFUNCTION("""COMPUTED_VALUE"""),"UPI")</f>
        <v>UPI</v>
      </c>
      <c r="I2280" s="18" t="str">
        <f>IFERROR(__xludf.DUMMYFUNCTION("""COMPUTED_VALUE"""),"Delivered")</f>
        <v>Delivered</v>
      </c>
      <c r="J2280" s="18" t="str">
        <f>IFERROR(__xludf.DUMMYFUNCTION("""COMPUTED_VALUE"""),"Convenience")</f>
        <v>Convenience</v>
      </c>
      <c r="K2280" s="18" t="str">
        <f>IFERROR(__xludf.DUMMYFUNCTION("""COMPUTED_VALUE"""),"Easy tracking")</f>
        <v>Easy tracking</v>
      </c>
      <c r="L2280" s="18">
        <f>iferror(VLOOKUP($D2280,Details!$A$2:$C$11,2,false),vlookup($D2280,Details!$E$2:$G$11,2,false))</f>
        <v>80</v>
      </c>
      <c r="M2280" s="18" t="str">
        <f>iferror(VLOOKUP($D2280,Details!$A$2:$C$11,3,false),vlookup($D2280,Details!$E$2:$G$11,3,false))</f>
        <v>Fruits and Vegetables</v>
      </c>
      <c r="N2280" s="18">
        <f t="shared" si="1"/>
        <v>160</v>
      </c>
      <c r="O2280" s="17"/>
      <c r="P2280" s="17"/>
      <c r="Q2280" s="17"/>
      <c r="R2280" s="17"/>
      <c r="S2280" s="17"/>
      <c r="T2280" s="17"/>
      <c r="U2280" s="17"/>
      <c r="V2280" s="17"/>
      <c r="W2280" s="17"/>
      <c r="X2280" s="17"/>
      <c r="Y2280" s="17"/>
      <c r="Z2280" s="17"/>
    </row>
    <row r="2281">
      <c r="A2281" s="18" t="str">
        <f>IFERROR(__xludf.DUMMYFUNCTION("""COMPUTED_VALUE"""),"ord_92254")</f>
        <v>ord_92254</v>
      </c>
      <c r="B2281" s="18" t="str">
        <f>IFERROR(__xludf.DUMMYFUNCTION("""COMPUTED_VALUE"""),"Omkar Mishra")</f>
        <v>Omkar Mishra</v>
      </c>
      <c r="C2281" s="18" t="str">
        <f>IFERROR(__xludf.DUMMYFUNCTION("""COMPUTED_VALUE"""),"Powai")</f>
        <v>Powai</v>
      </c>
      <c r="D2281" s="18" t="str">
        <f>IFERROR(__xludf.DUMMYFUNCTION("""COMPUTED_VALUE"""),"Sweet Corn")</f>
        <v>Sweet Corn</v>
      </c>
      <c r="E2281" s="18">
        <f>IFERROR(__xludf.DUMMYFUNCTION("""COMPUTED_VALUE"""),2.0)</f>
        <v>2</v>
      </c>
      <c r="F2281" s="18" t="str">
        <f>IFERROR(__xludf.DUMMYFUNCTION("""COMPUTED_VALUE"""),"Ramesh S")</f>
        <v>Ramesh S</v>
      </c>
      <c r="G2281" s="19">
        <f>IFERROR(__xludf.DUMMYFUNCTION("""COMPUTED_VALUE"""),45118.0)</f>
        <v>45118</v>
      </c>
      <c r="H2281" s="18" t="str">
        <f>IFERROR(__xludf.DUMMYFUNCTION("""COMPUTED_VALUE"""),"Credit Card")</f>
        <v>Credit Card</v>
      </c>
      <c r="I2281" s="18" t="str">
        <f>IFERROR(__xludf.DUMMYFUNCTION("""COMPUTED_VALUE"""),"Delivered")</f>
        <v>Delivered</v>
      </c>
      <c r="J2281" s="18" t="str">
        <f>IFERROR(__xludf.DUMMYFUNCTION("""COMPUTED_VALUE"""),"Overall Satisfaction")</f>
        <v>Overall Satisfaction</v>
      </c>
      <c r="K2281" s="18" t="str">
        <f>IFERROR(__xludf.DUMMYFUNCTION("""COMPUTED_VALUE"""),"Great service will order again")</f>
        <v>Great service will order again</v>
      </c>
      <c r="L2281" s="18">
        <f>iferror(VLOOKUP($D2281,Details!$A$2:$C$11,2,false),vlookup($D2281,Details!$E$2:$G$11,2,false))</f>
        <v>60</v>
      </c>
      <c r="M2281" s="18" t="str">
        <f>iferror(VLOOKUP($D2281,Details!$A$2:$C$11,3,false),vlookup($D2281,Details!$E$2:$G$11,3,false))</f>
        <v>Fruits and Vegetables</v>
      </c>
      <c r="N2281" s="18">
        <f t="shared" si="1"/>
        <v>120</v>
      </c>
      <c r="O2281" s="17"/>
      <c r="P2281" s="17"/>
      <c r="Q2281" s="17"/>
      <c r="R2281" s="17"/>
      <c r="S2281" s="17"/>
      <c r="T2281" s="17"/>
      <c r="U2281" s="17"/>
      <c r="V2281" s="17"/>
      <c r="W2281" s="17"/>
      <c r="X2281" s="17"/>
      <c r="Y2281" s="17"/>
      <c r="Z2281" s="17"/>
    </row>
    <row r="2282">
      <c r="A2282" s="18" t="str">
        <f>IFERROR(__xludf.DUMMYFUNCTION("""COMPUTED_VALUE"""),"ord_92255")</f>
        <v>ord_92255</v>
      </c>
      <c r="B2282" s="18" t="str">
        <f>IFERROR(__xludf.DUMMYFUNCTION("""COMPUTED_VALUE"""),"Omkar Mishra")</f>
        <v>Omkar Mishra</v>
      </c>
      <c r="C2282" s="18" t="str">
        <f>IFERROR(__xludf.DUMMYFUNCTION("""COMPUTED_VALUE"""),"Powai")</f>
        <v>Powai</v>
      </c>
      <c r="D2282" s="18" t="str">
        <f>IFERROR(__xludf.DUMMYFUNCTION("""COMPUTED_VALUE"""),"Banana")</f>
        <v>Banana</v>
      </c>
      <c r="E2282" s="18">
        <f>IFERROR(__xludf.DUMMYFUNCTION("""COMPUTED_VALUE"""),1.0)</f>
        <v>1</v>
      </c>
      <c r="F2282" s="18" t="str">
        <f>IFERROR(__xludf.DUMMYFUNCTION("""COMPUTED_VALUE"""),"Venu R")</f>
        <v>Venu R</v>
      </c>
      <c r="G2282" s="19">
        <f>IFERROR(__xludf.DUMMYFUNCTION("""COMPUTED_VALUE"""),45173.0)</f>
        <v>45173</v>
      </c>
      <c r="H2282" s="18" t="str">
        <f>IFERROR(__xludf.DUMMYFUNCTION("""COMPUTED_VALUE"""),"UPI")</f>
        <v>UPI</v>
      </c>
      <c r="I2282" s="18" t="str">
        <f>IFERROR(__xludf.DUMMYFUNCTION("""COMPUTED_VALUE"""),"Delivered")</f>
        <v>Delivered</v>
      </c>
      <c r="J2282" s="18" t="str">
        <f>IFERROR(__xludf.DUMMYFUNCTION("""COMPUTED_VALUE"""),"Quality of Items")</f>
        <v>Quality of Items</v>
      </c>
      <c r="K2282" s="18" t="str">
        <f>IFERROR(__xludf.DUMMYFUNCTION("""COMPUTED_VALUE"""),"Perfect condition")</f>
        <v>Perfect condition</v>
      </c>
      <c r="L2282" s="18">
        <f>iferror(VLOOKUP($D2282,Details!$A$2:$C$11,2,false),vlookup($D2282,Details!$E$2:$G$11,2,false))</f>
        <v>80</v>
      </c>
      <c r="M2282" s="18" t="str">
        <f>iferror(VLOOKUP($D2282,Details!$A$2:$C$11,3,false),vlookup($D2282,Details!$E$2:$G$11,3,false))</f>
        <v>Fruits and Vegetables</v>
      </c>
      <c r="N2282" s="18">
        <f t="shared" si="1"/>
        <v>80</v>
      </c>
      <c r="O2282" s="17"/>
      <c r="P2282" s="17"/>
      <c r="Q2282" s="17"/>
      <c r="R2282" s="17"/>
      <c r="S2282" s="17"/>
      <c r="T2282" s="17"/>
      <c r="U2282" s="17"/>
      <c r="V2282" s="17"/>
      <c r="W2282" s="17"/>
      <c r="X2282" s="17"/>
      <c r="Y2282" s="17"/>
      <c r="Z2282" s="17"/>
    </row>
    <row r="2283">
      <c r="A2283" s="18" t="str">
        <f>IFERROR(__xludf.DUMMYFUNCTION("""COMPUTED_VALUE"""),"ord_92256")</f>
        <v>ord_92256</v>
      </c>
      <c r="B2283" s="18" t="str">
        <f>IFERROR(__xludf.DUMMYFUNCTION("""COMPUTED_VALUE"""),"Sanjay Nair")</f>
        <v>Sanjay Nair</v>
      </c>
      <c r="C2283" s="18" t="str">
        <f>IFERROR(__xludf.DUMMYFUNCTION("""COMPUTED_VALUE"""),"Dadar")</f>
        <v>Dadar</v>
      </c>
      <c r="D2283" s="18" t="str">
        <f>IFERROR(__xludf.DUMMYFUNCTION("""COMPUTED_VALUE"""),"Potato")</f>
        <v>Potato</v>
      </c>
      <c r="E2283" s="18">
        <f>IFERROR(__xludf.DUMMYFUNCTION("""COMPUTED_VALUE"""),1.0)</f>
        <v>1</v>
      </c>
      <c r="F2283" s="18" t="str">
        <f>IFERROR(__xludf.DUMMYFUNCTION("""COMPUTED_VALUE"""),"Venu R")</f>
        <v>Venu R</v>
      </c>
      <c r="G2283" s="19">
        <f>IFERROR(__xludf.DUMMYFUNCTION("""COMPUTED_VALUE"""),45245.0)</f>
        <v>45245</v>
      </c>
      <c r="H2283" s="18" t="str">
        <f>IFERROR(__xludf.DUMMYFUNCTION("""COMPUTED_VALUE"""),"UPI")</f>
        <v>UPI</v>
      </c>
      <c r="I2283" s="18" t="str">
        <f>IFERROR(__xludf.DUMMYFUNCTION("""COMPUTED_VALUE"""),"Delivered")</f>
        <v>Delivered</v>
      </c>
      <c r="J2283" s="18" t="str">
        <f>IFERROR(__xludf.DUMMYFUNCTION("""COMPUTED_VALUE"""),"Packaging")</f>
        <v>Packaging</v>
      </c>
      <c r="K2283" s="18" t="str">
        <f>IFERROR(__xludf.DUMMYFUNCTION("""COMPUTED_VALUE"""),"Secure and intact")</f>
        <v>Secure and intact</v>
      </c>
      <c r="L2283" s="18">
        <f>iferror(VLOOKUP($D2283,Details!$A$2:$C$11,2,false),vlookup($D2283,Details!$E$2:$G$11,2,false))</f>
        <v>55</v>
      </c>
      <c r="M2283" s="18" t="str">
        <f>iferror(VLOOKUP($D2283,Details!$A$2:$C$11,3,false),vlookup($D2283,Details!$E$2:$G$11,3,false))</f>
        <v>Fruits and Vegetables</v>
      </c>
      <c r="N2283" s="18">
        <f t="shared" si="1"/>
        <v>55</v>
      </c>
      <c r="O2283" s="17"/>
      <c r="P2283" s="17"/>
      <c r="Q2283" s="17"/>
      <c r="R2283" s="17"/>
      <c r="S2283" s="17"/>
      <c r="T2283" s="17"/>
      <c r="U2283" s="17"/>
      <c r="V2283" s="17"/>
      <c r="W2283" s="17"/>
      <c r="X2283" s="17"/>
      <c r="Y2283" s="17"/>
      <c r="Z2283" s="17"/>
    </row>
    <row r="2284">
      <c r="A2284" s="18" t="str">
        <f>IFERROR(__xludf.DUMMYFUNCTION("""COMPUTED_VALUE"""),"ord_92257")</f>
        <v>ord_92257</v>
      </c>
      <c r="B2284" s="18" t="str">
        <f>IFERROR(__xludf.DUMMYFUNCTION("""COMPUTED_VALUE"""),"Tanishq Bansal")</f>
        <v>Tanishq Bansal</v>
      </c>
      <c r="C2284" s="18" t="str">
        <f>IFERROR(__xludf.DUMMYFUNCTION("""COMPUTED_VALUE"""),"Powai")</f>
        <v>Powai</v>
      </c>
      <c r="D2284" s="18" t="str">
        <f>IFERROR(__xludf.DUMMYFUNCTION("""COMPUTED_VALUE"""),"Guava")</f>
        <v>Guava</v>
      </c>
      <c r="E2284" s="18">
        <f>IFERROR(__xludf.DUMMYFUNCTION("""COMPUTED_VALUE"""),2.0)</f>
        <v>2</v>
      </c>
      <c r="F2284" s="18" t="str">
        <f>IFERROR(__xludf.DUMMYFUNCTION("""COMPUTED_VALUE"""),"Manju Ajay")</f>
        <v>Manju Ajay</v>
      </c>
      <c r="G2284" s="19">
        <f>IFERROR(__xludf.DUMMYFUNCTION("""COMPUTED_VALUE"""),45090.0)</f>
        <v>45090</v>
      </c>
      <c r="H2284" s="18" t="str">
        <f>IFERROR(__xludf.DUMMYFUNCTION("""COMPUTED_VALUE"""),"UPI")</f>
        <v>UPI</v>
      </c>
      <c r="I2284" s="18" t="str">
        <f>IFERROR(__xludf.DUMMYFUNCTION("""COMPUTED_VALUE"""),"Delivered")</f>
        <v>Delivered</v>
      </c>
      <c r="J2284" s="18" t="str">
        <f>IFERROR(__xludf.DUMMYFUNCTION("""COMPUTED_VALUE"""),"Customer Service")</f>
        <v>Customer Service</v>
      </c>
      <c r="K2284" s="18" t="str">
        <f>IFERROR(__xludf.DUMMYFUNCTION("""COMPUTED_VALUE"""),"Seamless and easy")</f>
        <v>Seamless and easy</v>
      </c>
      <c r="L2284" s="18">
        <f>iferror(VLOOKUP($D2284,Details!$A$2:$C$11,2,false),vlookup($D2284,Details!$E$2:$G$11,2,false))</f>
        <v>70</v>
      </c>
      <c r="M2284" s="18" t="str">
        <f>iferror(VLOOKUP($D2284,Details!$A$2:$C$11,3,false),vlookup($D2284,Details!$E$2:$G$11,3,false))</f>
        <v>Fruits and Vegetables</v>
      </c>
      <c r="N2284" s="18">
        <f t="shared" si="1"/>
        <v>140</v>
      </c>
      <c r="O2284" s="17"/>
      <c r="P2284" s="17"/>
      <c r="Q2284" s="17"/>
      <c r="R2284" s="17"/>
      <c r="S2284" s="17"/>
      <c r="T2284" s="17"/>
      <c r="U2284" s="17"/>
      <c r="V2284" s="17"/>
      <c r="W2284" s="17"/>
      <c r="X2284" s="17"/>
      <c r="Y2284" s="17"/>
      <c r="Z2284" s="17"/>
    </row>
    <row r="2285">
      <c r="A2285" s="18" t="str">
        <f>IFERROR(__xludf.DUMMYFUNCTION("""COMPUTED_VALUE"""),"ord_92258")</f>
        <v>ord_92258</v>
      </c>
      <c r="B2285" s="18" t="str">
        <f>IFERROR(__xludf.DUMMYFUNCTION("""COMPUTED_VALUE"""),"Aditya Basu")</f>
        <v>Aditya Basu</v>
      </c>
      <c r="C2285" s="18" t="str">
        <f>IFERROR(__xludf.DUMMYFUNCTION("""COMPUTED_VALUE"""),"Juhu")</f>
        <v>Juhu</v>
      </c>
      <c r="D2285" s="18" t="str">
        <f>IFERROR(__xludf.DUMMYFUNCTION("""COMPUTED_VALUE"""),"Tomato")</f>
        <v>Tomato</v>
      </c>
      <c r="E2285" s="18">
        <f>IFERROR(__xludf.DUMMYFUNCTION("""COMPUTED_VALUE"""),3.0)</f>
        <v>3</v>
      </c>
      <c r="F2285" s="18" t="str">
        <f>IFERROR(__xludf.DUMMYFUNCTION("""COMPUTED_VALUE"""),"Venu R")</f>
        <v>Venu R</v>
      </c>
      <c r="G2285" s="19">
        <f>IFERROR(__xludf.DUMMYFUNCTION("""COMPUTED_VALUE"""),45136.0)</f>
        <v>45136</v>
      </c>
      <c r="H2285" s="18" t="str">
        <f>IFERROR(__xludf.DUMMYFUNCTION("""COMPUTED_VALUE"""),"Online Payment")</f>
        <v>Online Payment</v>
      </c>
      <c r="I2285" s="18" t="str">
        <f>IFERROR(__xludf.DUMMYFUNCTION("""COMPUTED_VALUE"""),"Delivered")</f>
        <v>Delivered</v>
      </c>
      <c r="J2285" s="18" t="str">
        <f>IFERROR(__xludf.DUMMYFUNCTION("""COMPUTED_VALUE"""),"Convenience")</f>
        <v>Convenience</v>
      </c>
      <c r="K2285" s="18" t="str">
        <f>IFERROR(__xludf.DUMMYFUNCTION("""COMPUTED_VALUE"""),"Easy tracking")</f>
        <v>Easy tracking</v>
      </c>
      <c r="L2285" s="18">
        <f>iferror(VLOOKUP($D2285,Details!$A$2:$C$11,2,false),vlookup($D2285,Details!$E$2:$G$11,2,false))</f>
        <v>25</v>
      </c>
      <c r="M2285" s="18" t="str">
        <f>iferror(VLOOKUP($D2285,Details!$A$2:$C$11,3,false),vlookup($D2285,Details!$E$2:$G$11,3,false))</f>
        <v>Fruits and Vegetables</v>
      </c>
      <c r="N2285" s="18">
        <f t="shared" si="1"/>
        <v>75</v>
      </c>
      <c r="O2285" s="17"/>
      <c r="P2285" s="17"/>
      <c r="Q2285" s="17"/>
      <c r="R2285" s="17"/>
      <c r="S2285" s="17"/>
      <c r="T2285" s="17"/>
      <c r="U2285" s="17"/>
      <c r="V2285" s="17"/>
      <c r="W2285" s="17"/>
      <c r="X2285" s="17"/>
      <c r="Y2285" s="17"/>
      <c r="Z2285" s="17"/>
    </row>
    <row r="2286">
      <c r="A2286" s="18" t="str">
        <f>IFERROR(__xludf.DUMMYFUNCTION("""COMPUTED_VALUE"""),"ord_92259")</f>
        <v>ord_92259</v>
      </c>
      <c r="B2286" s="18" t="str">
        <f>IFERROR(__xludf.DUMMYFUNCTION("""COMPUTED_VALUE"""),"Sakshi Tandon")</f>
        <v>Sakshi Tandon</v>
      </c>
      <c r="C2286" s="18" t="str">
        <f>IFERROR(__xludf.DUMMYFUNCTION("""COMPUTED_VALUE"""),"Colaba")</f>
        <v>Colaba</v>
      </c>
      <c r="D2286" s="18" t="str">
        <f>IFERROR(__xludf.DUMMYFUNCTION("""COMPUTED_VALUE"""),"Orange")</f>
        <v>Orange</v>
      </c>
      <c r="E2286" s="18">
        <f>IFERROR(__xludf.DUMMYFUNCTION("""COMPUTED_VALUE"""),2.0)</f>
        <v>2</v>
      </c>
      <c r="F2286" s="18" t="str">
        <f>IFERROR(__xludf.DUMMYFUNCTION("""COMPUTED_VALUE"""),"Ramesh S")</f>
        <v>Ramesh S</v>
      </c>
      <c r="G2286" s="19">
        <f>IFERROR(__xludf.DUMMYFUNCTION("""COMPUTED_VALUE"""),45143.0)</f>
        <v>45143</v>
      </c>
      <c r="H2286" s="18" t="str">
        <f>IFERROR(__xludf.DUMMYFUNCTION("""COMPUTED_VALUE"""),"UPI")</f>
        <v>UPI</v>
      </c>
      <c r="I2286" s="18" t="str">
        <f>IFERROR(__xludf.DUMMYFUNCTION("""COMPUTED_VALUE"""),"Delivered")</f>
        <v>Delivered</v>
      </c>
      <c r="J2286" s="18" t="str">
        <f>IFERROR(__xludf.DUMMYFUNCTION("""COMPUTED_VALUE"""),"Overall Satisfaction")</f>
        <v>Overall Satisfaction</v>
      </c>
      <c r="K2286" s="18" t="str">
        <f>IFERROR(__xludf.DUMMYFUNCTION("""COMPUTED_VALUE"""),"Great service will order again")</f>
        <v>Great service will order again</v>
      </c>
      <c r="L2286" s="18">
        <f>iferror(VLOOKUP($D2286,Details!$A$2:$C$11,2,false),vlookup($D2286,Details!$E$2:$G$11,2,false))</f>
        <v>180</v>
      </c>
      <c r="M2286" s="18" t="str">
        <f>iferror(VLOOKUP($D2286,Details!$A$2:$C$11,3,false),vlookup($D2286,Details!$E$2:$G$11,3,false))</f>
        <v>Fruits and Vegetables</v>
      </c>
      <c r="N2286" s="18">
        <f t="shared" si="1"/>
        <v>360</v>
      </c>
      <c r="O2286" s="17"/>
      <c r="P2286" s="17"/>
      <c r="Q2286" s="17"/>
      <c r="R2286" s="17"/>
      <c r="S2286" s="17"/>
      <c r="T2286" s="17"/>
      <c r="U2286" s="17"/>
      <c r="V2286" s="17"/>
      <c r="W2286" s="17"/>
      <c r="X2286" s="17"/>
      <c r="Y2286" s="17"/>
      <c r="Z2286" s="17"/>
    </row>
    <row r="2287">
      <c r="A2287" s="18" t="str">
        <f>IFERROR(__xludf.DUMMYFUNCTION("""COMPUTED_VALUE"""),"ord_92260")</f>
        <v>ord_92260</v>
      </c>
      <c r="B2287" s="18" t="str">
        <f>IFERROR(__xludf.DUMMYFUNCTION("""COMPUTED_VALUE"""),"Arvind Kulkarni")</f>
        <v>Arvind Kulkarni</v>
      </c>
      <c r="C2287" s="18" t="str">
        <f>IFERROR(__xludf.DUMMYFUNCTION("""COMPUTED_VALUE"""),"Juhu")</f>
        <v>Juhu</v>
      </c>
      <c r="D2287" s="18" t="str">
        <f>IFERROR(__xludf.DUMMYFUNCTION("""COMPUTED_VALUE"""),"Potato")</f>
        <v>Potato</v>
      </c>
      <c r="E2287" s="18">
        <f>IFERROR(__xludf.DUMMYFUNCTION("""COMPUTED_VALUE"""),1.0)</f>
        <v>1</v>
      </c>
      <c r="F2287" s="18" t="str">
        <f>IFERROR(__xludf.DUMMYFUNCTION("""COMPUTED_VALUE"""),"Nithin Lal")</f>
        <v>Nithin Lal</v>
      </c>
      <c r="G2287" s="19">
        <f>IFERROR(__xludf.DUMMYFUNCTION("""COMPUTED_VALUE"""),45134.0)</f>
        <v>45134</v>
      </c>
      <c r="H2287" s="18" t="str">
        <f>IFERROR(__xludf.DUMMYFUNCTION("""COMPUTED_VALUE"""),"Credit Card")</f>
        <v>Credit Card</v>
      </c>
      <c r="I2287" s="18" t="str">
        <f>IFERROR(__xludf.DUMMYFUNCTION("""COMPUTED_VALUE"""),"Delivered")</f>
        <v>Delivered</v>
      </c>
      <c r="J2287" s="18" t="str">
        <f>IFERROR(__xludf.DUMMYFUNCTION("""COMPUTED_VALUE"""),"Quality of Items")</f>
        <v>Quality of Items</v>
      </c>
      <c r="K2287" s="18" t="str">
        <f>IFERROR(__xludf.DUMMYFUNCTION("""COMPUTED_VALUE"""),"Perfect condition")</f>
        <v>Perfect condition</v>
      </c>
      <c r="L2287" s="18">
        <f>iferror(VLOOKUP($D2287,Details!$A$2:$C$11,2,false),vlookup($D2287,Details!$E$2:$G$11,2,false))</f>
        <v>55</v>
      </c>
      <c r="M2287" s="18" t="str">
        <f>iferror(VLOOKUP($D2287,Details!$A$2:$C$11,3,false),vlookup($D2287,Details!$E$2:$G$11,3,false))</f>
        <v>Fruits and Vegetables</v>
      </c>
      <c r="N2287" s="18">
        <f t="shared" si="1"/>
        <v>55</v>
      </c>
      <c r="O2287" s="17"/>
      <c r="P2287" s="17"/>
      <c r="Q2287" s="17"/>
      <c r="R2287" s="17"/>
      <c r="S2287" s="17"/>
      <c r="T2287" s="17"/>
      <c r="U2287" s="17"/>
      <c r="V2287" s="17"/>
      <c r="W2287" s="17"/>
      <c r="X2287" s="17"/>
      <c r="Y2287" s="17"/>
      <c r="Z2287" s="17"/>
    </row>
    <row r="2288">
      <c r="A2288" s="18" t="str">
        <f>IFERROR(__xludf.DUMMYFUNCTION("""COMPUTED_VALUE"""),"ord_92261")</f>
        <v>ord_92261</v>
      </c>
      <c r="B2288" s="18" t="str">
        <f>IFERROR(__xludf.DUMMYFUNCTION("""COMPUTED_VALUE"""),"Diya Arora")</f>
        <v>Diya Arora</v>
      </c>
      <c r="C2288" s="18" t="str">
        <f>IFERROR(__xludf.DUMMYFUNCTION("""COMPUTED_VALUE"""),"Lower Parel")</f>
        <v>Lower Parel</v>
      </c>
      <c r="D2288" s="18" t="str">
        <f>IFERROR(__xludf.DUMMYFUNCTION("""COMPUTED_VALUE"""),"Apple")</f>
        <v>Apple</v>
      </c>
      <c r="E2288" s="18">
        <f>IFERROR(__xludf.DUMMYFUNCTION("""COMPUTED_VALUE"""),2.0)</f>
        <v>2</v>
      </c>
      <c r="F2288" s="18" t="str">
        <f>IFERROR(__xludf.DUMMYFUNCTION("""COMPUTED_VALUE"""),"Ramesh S")</f>
        <v>Ramesh S</v>
      </c>
      <c r="G2288" s="19">
        <f>IFERROR(__xludf.DUMMYFUNCTION("""COMPUTED_VALUE"""),45123.0)</f>
        <v>45123</v>
      </c>
      <c r="H2288" s="18" t="str">
        <f>IFERROR(__xludf.DUMMYFUNCTION("""COMPUTED_VALUE"""),"UPI")</f>
        <v>UPI</v>
      </c>
      <c r="I2288" s="18" t="str">
        <f>IFERROR(__xludf.DUMMYFUNCTION("""COMPUTED_VALUE"""),"Delivered")</f>
        <v>Delivered</v>
      </c>
      <c r="J2288" s="18" t="str">
        <f>IFERROR(__xludf.DUMMYFUNCTION("""COMPUTED_VALUE"""),"On-time Delivery")</f>
        <v>On-time Delivery</v>
      </c>
      <c r="K2288" s="18" t="str">
        <f>IFERROR(__xludf.DUMMYFUNCTION("""COMPUTED_VALUE"""),"Delivered on time")</f>
        <v>Delivered on time</v>
      </c>
      <c r="L2288" s="18">
        <f>iferror(VLOOKUP($D2288,Details!$A$2:$C$11,2,false),vlookup($D2288,Details!$E$2:$G$11,2,false))</f>
        <v>230</v>
      </c>
      <c r="M2288" s="18" t="str">
        <f>iferror(VLOOKUP($D2288,Details!$A$2:$C$11,3,false),vlookup($D2288,Details!$E$2:$G$11,3,false))</f>
        <v>Fruits and Vegetables</v>
      </c>
      <c r="N2288" s="18">
        <f t="shared" si="1"/>
        <v>460</v>
      </c>
      <c r="O2288" s="17"/>
      <c r="P2288" s="17"/>
      <c r="Q2288" s="17"/>
      <c r="R2288" s="17"/>
      <c r="S2288" s="17"/>
      <c r="T2288" s="17"/>
      <c r="U2288" s="17"/>
      <c r="V2288" s="17"/>
      <c r="W2288" s="17"/>
      <c r="X2288" s="17"/>
      <c r="Y2288" s="17"/>
      <c r="Z2288" s="17"/>
    </row>
    <row r="2289">
      <c r="A2289" s="18" t="str">
        <f>IFERROR(__xludf.DUMMYFUNCTION("""COMPUTED_VALUE"""),"ord_92262")</f>
        <v>ord_92262</v>
      </c>
      <c r="B2289" s="18" t="str">
        <f>IFERROR(__xludf.DUMMYFUNCTION("""COMPUTED_VALUE"""),"Simran Bhatt")</f>
        <v>Simran Bhatt</v>
      </c>
      <c r="C2289" s="18" t="str">
        <f>IFERROR(__xludf.DUMMYFUNCTION("""COMPUTED_VALUE"""),"Juhu")</f>
        <v>Juhu</v>
      </c>
      <c r="D2289" s="18" t="str">
        <f>IFERROR(__xludf.DUMMYFUNCTION("""COMPUTED_VALUE"""),"Papaya")</f>
        <v>Papaya</v>
      </c>
      <c r="E2289" s="18">
        <f>IFERROR(__xludf.DUMMYFUNCTION("""COMPUTED_VALUE"""),2.0)</f>
        <v>2</v>
      </c>
      <c r="F2289" s="18" t="str">
        <f>IFERROR(__xludf.DUMMYFUNCTION("""COMPUTED_VALUE"""),"Ram Gopal")</f>
        <v>Ram Gopal</v>
      </c>
      <c r="G2289" s="19">
        <f>IFERROR(__xludf.DUMMYFUNCTION("""COMPUTED_VALUE"""),45186.0)</f>
        <v>45186</v>
      </c>
      <c r="H2289" s="18" t="str">
        <f>IFERROR(__xludf.DUMMYFUNCTION("""COMPUTED_VALUE"""),"UPI")</f>
        <v>UPI</v>
      </c>
      <c r="I2289" s="18" t="str">
        <f>IFERROR(__xludf.DUMMYFUNCTION("""COMPUTED_VALUE"""),"Delivered")</f>
        <v>Delivered</v>
      </c>
      <c r="J2289" s="18" t="str">
        <f>IFERROR(__xludf.DUMMYFUNCTION("""COMPUTED_VALUE"""),"Quality of Items")</f>
        <v>Quality of Items</v>
      </c>
      <c r="K2289" s="18" t="str">
        <f>IFERROR(__xludf.DUMMYFUNCTION("""COMPUTED_VALUE"""),"Perfect condition")</f>
        <v>Perfect condition</v>
      </c>
      <c r="L2289" s="18">
        <f>iferror(VLOOKUP($D2289,Details!$A$2:$C$11,2,false),vlookup($D2289,Details!$E$2:$G$11,2,false))</f>
        <v>75</v>
      </c>
      <c r="M2289" s="18" t="str">
        <f>iferror(VLOOKUP($D2289,Details!$A$2:$C$11,3,false),vlookup($D2289,Details!$E$2:$G$11,3,false))</f>
        <v>Fruits and Vegetables</v>
      </c>
      <c r="N2289" s="18">
        <f t="shared" si="1"/>
        <v>150</v>
      </c>
      <c r="O2289" s="17"/>
      <c r="P2289" s="17"/>
      <c r="Q2289" s="17"/>
      <c r="R2289" s="17"/>
      <c r="S2289" s="17"/>
      <c r="T2289" s="17"/>
      <c r="U2289" s="17"/>
      <c r="V2289" s="17"/>
      <c r="W2289" s="17"/>
      <c r="X2289" s="17"/>
      <c r="Y2289" s="17"/>
      <c r="Z2289" s="17"/>
    </row>
    <row r="2290">
      <c r="A2290" s="18" t="str">
        <f>IFERROR(__xludf.DUMMYFUNCTION("""COMPUTED_VALUE"""),"ord_92263")</f>
        <v>ord_92263</v>
      </c>
      <c r="B2290" s="18" t="str">
        <f>IFERROR(__xludf.DUMMYFUNCTION("""COMPUTED_VALUE"""),"Tanishq Bansal")</f>
        <v>Tanishq Bansal</v>
      </c>
      <c r="C2290" s="18" t="str">
        <f>IFERROR(__xludf.DUMMYFUNCTION("""COMPUTED_VALUE"""),"Powai")</f>
        <v>Powai</v>
      </c>
      <c r="D2290" s="18" t="str">
        <f>IFERROR(__xludf.DUMMYFUNCTION("""COMPUTED_VALUE"""),"Guava")</f>
        <v>Guava</v>
      </c>
      <c r="E2290" s="18">
        <f>IFERROR(__xludf.DUMMYFUNCTION("""COMPUTED_VALUE"""),1.0)</f>
        <v>1</v>
      </c>
      <c r="F2290" s="18" t="str">
        <f>IFERROR(__xludf.DUMMYFUNCTION("""COMPUTED_VALUE"""),"Ramesh S")</f>
        <v>Ramesh S</v>
      </c>
      <c r="G2290" s="19">
        <f>IFERROR(__xludf.DUMMYFUNCTION("""COMPUTED_VALUE"""),45080.0)</f>
        <v>45080</v>
      </c>
      <c r="H2290" s="18" t="str">
        <f>IFERROR(__xludf.DUMMYFUNCTION("""COMPUTED_VALUE"""),"Credit Card")</f>
        <v>Credit Card</v>
      </c>
      <c r="I2290" s="18" t="str">
        <f>IFERROR(__xludf.DUMMYFUNCTION("""COMPUTED_VALUE"""),"Delivered")</f>
        <v>Delivered</v>
      </c>
      <c r="J2290" s="18" t="str">
        <f>IFERROR(__xludf.DUMMYFUNCTION("""COMPUTED_VALUE"""),"Satisfied with the Delivery")</f>
        <v>Satisfied with the Delivery</v>
      </c>
      <c r="K2290" s="18" t="str">
        <f>IFERROR(__xludf.DUMMYFUNCTION("""COMPUTED_VALUE"""),"Timely and quality")</f>
        <v>Timely and quality</v>
      </c>
      <c r="L2290" s="18">
        <f>iferror(VLOOKUP($D2290,Details!$A$2:$C$11,2,false),vlookup($D2290,Details!$E$2:$G$11,2,false))</f>
        <v>70</v>
      </c>
      <c r="M2290" s="18" t="str">
        <f>iferror(VLOOKUP($D2290,Details!$A$2:$C$11,3,false),vlookup($D2290,Details!$E$2:$G$11,3,false))</f>
        <v>Fruits and Vegetables</v>
      </c>
      <c r="N2290" s="18">
        <f t="shared" si="1"/>
        <v>70</v>
      </c>
      <c r="O2290" s="17"/>
      <c r="P2290" s="17"/>
      <c r="Q2290" s="17"/>
      <c r="R2290" s="17"/>
      <c r="S2290" s="17"/>
      <c r="T2290" s="17"/>
      <c r="U2290" s="17"/>
      <c r="V2290" s="17"/>
      <c r="W2290" s="17"/>
      <c r="X2290" s="17"/>
      <c r="Y2290" s="17"/>
      <c r="Z2290" s="17"/>
    </row>
    <row r="2291">
      <c r="A2291" s="18" t="str">
        <f>IFERROR(__xludf.DUMMYFUNCTION("""COMPUTED_VALUE"""),"ord_92264")</f>
        <v>ord_92264</v>
      </c>
      <c r="B2291" s="18" t="str">
        <f>IFERROR(__xludf.DUMMYFUNCTION("""COMPUTED_VALUE"""),"Aditi Iyer")</f>
        <v>Aditi Iyer</v>
      </c>
      <c r="C2291" s="18" t="str">
        <f>IFERROR(__xludf.DUMMYFUNCTION("""COMPUTED_VALUE"""),"Dadar")</f>
        <v>Dadar</v>
      </c>
      <c r="D2291" s="18" t="str">
        <f>IFERROR(__xludf.DUMMYFUNCTION("""COMPUTED_VALUE"""),"Orange")</f>
        <v>Orange</v>
      </c>
      <c r="E2291" s="18">
        <f>IFERROR(__xludf.DUMMYFUNCTION("""COMPUTED_VALUE"""),2.0)</f>
        <v>2</v>
      </c>
      <c r="F2291" s="18" t="str">
        <f>IFERROR(__xludf.DUMMYFUNCTION("""COMPUTED_VALUE"""),"Venu R")</f>
        <v>Venu R</v>
      </c>
      <c r="G2291" s="19">
        <f>IFERROR(__xludf.DUMMYFUNCTION("""COMPUTED_VALUE"""),45170.0)</f>
        <v>45170</v>
      </c>
      <c r="H2291" s="18" t="str">
        <f>IFERROR(__xludf.DUMMYFUNCTION("""COMPUTED_VALUE"""),"Online Payment")</f>
        <v>Online Payment</v>
      </c>
      <c r="I2291" s="18" t="str">
        <f>IFERROR(__xludf.DUMMYFUNCTION("""COMPUTED_VALUE"""),"Delivered")</f>
        <v>Delivered</v>
      </c>
      <c r="J2291" s="18" t="str">
        <f>IFERROR(__xludf.DUMMYFUNCTION("""COMPUTED_VALUE"""),"Customer Service")</f>
        <v>Customer Service</v>
      </c>
      <c r="K2291" s="18" t="str">
        <f>IFERROR(__xludf.DUMMYFUNCTION("""COMPUTED_VALUE"""),"Seamless and easy")</f>
        <v>Seamless and easy</v>
      </c>
      <c r="L2291" s="18">
        <f>iferror(VLOOKUP($D2291,Details!$A$2:$C$11,2,false),vlookup($D2291,Details!$E$2:$G$11,2,false))</f>
        <v>180</v>
      </c>
      <c r="M2291" s="18" t="str">
        <f>iferror(VLOOKUP($D2291,Details!$A$2:$C$11,3,false),vlookup($D2291,Details!$E$2:$G$11,3,false))</f>
        <v>Fruits and Vegetables</v>
      </c>
      <c r="N2291" s="18">
        <f t="shared" si="1"/>
        <v>360</v>
      </c>
      <c r="O2291" s="17"/>
      <c r="P2291" s="17"/>
      <c r="Q2291" s="17"/>
      <c r="R2291" s="17"/>
      <c r="S2291" s="17"/>
      <c r="T2291" s="17"/>
      <c r="U2291" s="17"/>
      <c r="V2291" s="17"/>
      <c r="W2291" s="17"/>
      <c r="X2291" s="17"/>
      <c r="Y2291" s="17"/>
      <c r="Z2291" s="17"/>
    </row>
    <row r="2292">
      <c r="A2292" s="18" t="str">
        <f>IFERROR(__xludf.DUMMYFUNCTION("""COMPUTED_VALUE"""),"ord_92265")</f>
        <v>ord_92265</v>
      </c>
      <c r="B2292" s="18" t="str">
        <f>IFERROR(__xludf.DUMMYFUNCTION("""COMPUTED_VALUE"""),"Diya Arora")</f>
        <v>Diya Arora</v>
      </c>
      <c r="C2292" s="18" t="str">
        <f>IFERROR(__xludf.DUMMYFUNCTION("""COMPUTED_VALUE"""),"Lower Parel")</f>
        <v>Lower Parel</v>
      </c>
      <c r="D2292" s="18" t="str">
        <f>IFERROR(__xludf.DUMMYFUNCTION("""COMPUTED_VALUE"""),"Sweet Corn")</f>
        <v>Sweet Corn</v>
      </c>
      <c r="E2292" s="18">
        <f>IFERROR(__xludf.DUMMYFUNCTION("""COMPUTED_VALUE"""),2.0)</f>
        <v>2</v>
      </c>
      <c r="F2292" s="18" t="str">
        <f>IFERROR(__xludf.DUMMYFUNCTION("""COMPUTED_VALUE"""),"Manju Ajay")</f>
        <v>Manju Ajay</v>
      </c>
      <c r="G2292" s="19">
        <f>IFERROR(__xludf.DUMMYFUNCTION("""COMPUTED_VALUE"""),45154.0)</f>
        <v>45154</v>
      </c>
      <c r="H2292" s="18" t="str">
        <f>IFERROR(__xludf.DUMMYFUNCTION("""COMPUTED_VALUE"""),"Online Payment")</f>
        <v>Online Payment</v>
      </c>
      <c r="I2292" s="18" t="str">
        <f>IFERROR(__xludf.DUMMYFUNCTION("""COMPUTED_VALUE"""),"Delivered")</f>
        <v>Delivered</v>
      </c>
      <c r="J2292" s="18" t="str">
        <f>IFERROR(__xludf.DUMMYFUNCTION("""COMPUTED_VALUE"""),"Delivery Experience")</f>
        <v>Delivery Experience</v>
      </c>
      <c r="K2292" s="18" t="str">
        <f>IFERROR(__xludf.DUMMYFUNCTION("""COMPUTED_VALUE"""),"Quick and professional")</f>
        <v>Quick and professional</v>
      </c>
      <c r="L2292" s="18">
        <f>iferror(VLOOKUP($D2292,Details!$A$2:$C$11,2,false),vlookup($D2292,Details!$E$2:$G$11,2,false))</f>
        <v>60</v>
      </c>
      <c r="M2292" s="18" t="str">
        <f>iferror(VLOOKUP($D2292,Details!$A$2:$C$11,3,false),vlookup($D2292,Details!$E$2:$G$11,3,false))</f>
        <v>Fruits and Vegetables</v>
      </c>
      <c r="N2292" s="18">
        <f t="shared" si="1"/>
        <v>120</v>
      </c>
      <c r="O2292" s="17"/>
      <c r="P2292" s="17"/>
      <c r="Q2292" s="17"/>
      <c r="R2292" s="17"/>
      <c r="S2292" s="17"/>
      <c r="T2292" s="17"/>
      <c r="U2292" s="17"/>
      <c r="V2292" s="17"/>
      <c r="W2292" s="17"/>
      <c r="X2292" s="17"/>
      <c r="Y2292" s="17"/>
      <c r="Z2292" s="17"/>
    </row>
    <row r="2293">
      <c r="A2293" s="18" t="str">
        <f>IFERROR(__xludf.DUMMYFUNCTION("""COMPUTED_VALUE"""),"ord_92266")</f>
        <v>ord_92266</v>
      </c>
      <c r="B2293" s="18" t="str">
        <f>IFERROR(__xludf.DUMMYFUNCTION("""COMPUTED_VALUE"""),"Parth Goel")</f>
        <v>Parth Goel</v>
      </c>
      <c r="C2293" s="18" t="str">
        <f>IFERROR(__xludf.DUMMYFUNCTION("""COMPUTED_VALUE"""),"Juhu")</f>
        <v>Juhu</v>
      </c>
      <c r="D2293" s="18" t="str">
        <f>IFERROR(__xludf.DUMMYFUNCTION("""COMPUTED_VALUE"""),"Papaya")</f>
        <v>Papaya</v>
      </c>
      <c r="E2293" s="18">
        <f>IFERROR(__xludf.DUMMYFUNCTION("""COMPUTED_VALUE"""),1.0)</f>
        <v>1</v>
      </c>
      <c r="F2293" s="18" t="str">
        <f>IFERROR(__xludf.DUMMYFUNCTION("""COMPUTED_VALUE"""),"Ram Gopal")</f>
        <v>Ram Gopal</v>
      </c>
      <c r="G2293" s="19">
        <f>IFERROR(__xludf.DUMMYFUNCTION("""COMPUTED_VALUE"""),45153.0)</f>
        <v>45153</v>
      </c>
      <c r="H2293" s="18" t="str">
        <f>IFERROR(__xludf.DUMMYFUNCTION("""COMPUTED_VALUE"""),"Online Payment")</f>
        <v>Online Payment</v>
      </c>
      <c r="I2293" s="18" t="str">
        <f>IFERROR(__xludf.DUMMYFUNCTION("""COMPUTED_VALUE"""),"Delivered")</f>
        <v>Delivered</v>
      </c>
      <c r="J2293" s="18" t="str">
        <f>IFERROR(__xludf.DUMMYFUNCTION("""COMPUTED_VALUE"""),"Quality of Items")</f>
        <v>Quality of Items</v>
      </c>
      <c r="K2293" s="18" t="str">
        <f>IFERROR(__xludf.DUMMYFUNCTION("""COMPUTED_VALUE"""),"Perfect condition")</f>
        <v>Perfect condition</v>
      </c>
      <c r="L2293" s="18">
        <f>iferror(VLOOKUP($D2293,Details!$A$2:$C$11,2,false),vlookup($D2293,Details!$E$2:$G$11,2,false))</f>
        <v>75</v>
      </c>
      <c r="M2293" s="18" t="str">
        <f>iferror(VLOOKUP($D2293,Details!$A$2:$C$11,3,false),vlookup($D2293,Details!$E$2:$G$11,3,false))</f>
        <v>Fruits and Vegetables</v>
      </c>
      <c r="N2293" s="18">
        <f t="shared" si="1"/>
        <v>75</v>
      </c>
      <c r="O2293" s="17"/>
      <c r="P2293" s="17"/>
      <c r="Q2293" s="17"/>
      <c r="R2293" s="17"/>
      <c r="S2293" s="17"/>
      <c r="T2293" s="17"/>
      <c r="U2293" s="17"/>
      <c r="V2293" s="17"/>
      <c r="W2293" s="17"/>
      <c r="X2293" s="17"/>
      <c r="Y2293" s="17"/>
      <c r="Z2293" s="17"/>
    </row>
    <row r="2294">
      <c r="A2294" s="18" t="str">
        <f>IFERROR(__xludf.DUMMYFUNCTION("""COMPUTED_VALUE"""),"ord_92267")</f>
        <v>ord_92267</v>
      </c>
      <c r="B2294" s="18" t="str">
        <f>IFERROR(__xludf.DUMMYFUNCTION("""COMPUTED_VALUE"""),"Pranav Joshi")</f>
        <v>Pranav Joshi</v>
      </c>
      <c r="C2294" s="18" t="str">
        <f>IFERROR(__xludf.DUMMYFUNCTION("""COMPUTED_VALUE"""),"Andheri")</f>
        <v>Andheri</v>
      </c>
      <c r="D2294" s="18" t="str">
        <f>IFERROR(__xludf.DUMMYFUNCTION("""COMPUTED_VALUE"""),"Apple")</f>
        <v>Apple</v>
      </c>
      <c r="E2294" s="18">
        <f>IFERROR(__xludf.DUMMYFUNCTION("""COMPUTED_VALUE"""),2.0)</f>
        <v>2</v>
      </c>
      <c r="F2294" s="18" t="str">
        <f>IFERROR(__xludf.DUMMYFUNCTION("""COMPUTED_VALUE"""),"Ramesh S")</f>
        <v>Ramesh S</v>
      </c>
      <c r="G2294" s="19">
        <f>IFERROR(__xludf.DUMMYFUNCTION("""COMPUTED_VALUE"""),45260.0)</f>
        <v>45260</v>
      </c>
      <c r="H2294" s="18" t="str">
        <f>IFERROR(__xludf.DUMMYFUNCTION("""COMPUTED_VALUE"""),"Online Payment")</f>
        <v>Online Payment</v>
      </c>
      <c r="I2294" s="18" t="str">
        <f>IFERROR(__xludf.DUMMYFUNCTION("""COMPUTED_VALUE"""),"Delivered")</f>
        <v>Delivered</v>
      </c>
      <c r="J2294" s="18" t="str">
        <f>IFERROR(__xludf.DUMMYFUNCTION("""COMPUTED_VALUE"""),"On-time Delivery")</f>
        <v>On-time Delivery</v>
      </c>
      <c r="K2294" s="18" t="str">
        <f>IFERROR(__xludf.DUMMYFUNCTION("""COMPUTED_VALUE"""),"Delivered on time")</f>
        <v>Delivered on time</v>
      </c>
      <c r="L2294" s="18">
        <f>iferror(VLOOKUP($D2294,Details!$A$2:$C$11,2,false),vlookup($D2294,Details!$E$2:$G$11,2,false))</f>
        <v>230</v>
      </c>
      <c r="M2294" s="18" t="str">
        <f>iferror(VLOOKUP($D2294,Details!$A$2:$C$11,3,false),vlookup($D2294,Details!$E$2:$G$11,3,false))</f>
        <v>Fruits and Vegetables</v>
      </c>
      <c r="N2294" s="18">
        <f t="shared" si="1"/>
        <v>460</v>
      </c>
      <c r="O2294" s="17"/>
      <c r="P2294" s="17"/>
      <c r="Q2294" s="17"/>
      <c r="R2294" s="17"/>
      <c r="S2294" s="17"/>
      <c r="T2294" s="17"/>
      <c r="U2294" s="17"/>
      <c r="V2294" s="17"/>
      <c r="W2294" s="17"/>
      <c r="X2294" s="17"/>
      <c r="Y2294" s="17"/>
      <c r="Z2294" s="17"/>
    </row>
    <row r="2295">
      <c r="A2295" s="18" t="str">
        <f>IFERROR(__xludf.DUMMYFUNCTION("""COMPUTED_VALUE"""),"ord_92268")</f>
        <v>ord_92268</v>
      </c>
      <c r="B2295" s="18" t="str">
        <f>IFERROR(__xludf.DUMMYFUNCTION("""COMPUTED_VALUE"""),"Aarohi Kapoor")</f>
        <v>Aarohi Kapoor</v>
      </c>
      <c r="C2295" s="18" t="str">
        <f>IFERROR(__xludf.DUMMYFUNCTION("""COMPUTED_VALUE"""),"Bandra")</f>
        <v>Bandra</v>
      </c>
      <c r="D2295" s="18" t="str">
        <f>IFERROR(__xludf.DUMMYFUNCTION("""COMPUTED_VALUE"""),"Guava")</f>
        <v>Guava</v>
      </c>
      <c r="E2295" s="18">
        <f>IFERROR(__xludf.DUMMYFUNCTION("""COMPUTED_VALUE"""),2.0)</f>
        <v>2</v>
      </c>
      <c r="F2295" s="18" t="str">
        <f>IFERROR(__xludf.DUMMYFUNCTION("""COMPUTED_VALUE"""),"Sita T")</f>
        <v>Sita T</v>
      </c>
      <c r="G2295" s="19">
        <f>IFERROR(__xludf.DUMMYFUNCTION("""COMPUTED_VALUE"""),45279.0)</f>
        <v>45279</v>
      </c>
      <c r="H2295" s="18" t="str">
        <f>IFERROR(__xludf.DUMMYFUNCTION("""COMPUTED_VALUE"""),"UPI")</f>
        <v>UPI</v>
      </c>
      <c r="I2295" s="18" t="str">
        <f>IFERROR(__xludf.DUMMYFUNCTION("""COMPUTED_VALUE"""),"Delivered")</f>
        <v>Delivered</v>
      </c>
      <c r="J2295" s="18" t="str">
        <f>IFERROR(__xludf.DUMMYFUNCTION("""COMPUTED_VALUE"""),"Quality of Items")</f>
        <v>Quality of Items</v>
      </c>
      <c r="K2295" s="18" t="str">
        <f>IFERROR(__xludf.DUMMYFUNCTION("""COMPUTED_VALUE"""),"Perfect condition")</f>
        <v>Perfect condition</v>
      </c>
      <c r="L2295" s="18">
        <f>iferror(VLOOKUP($D2295,Details!$A$2:$C$11,2,false),vlookup($D2295,Details!$E$2:$G$11,2,false))</f>
        <v>70</v>
      </c>
      <c r="M2295" s="18" t="str">
        <f>iferror(VLOOKUP($D2295,Details!$A$2:$C$11,3,false),vlookup($D2295,Details!$E$2:$G$11,3,false))</f>
        <v>Fruits and Vegetables</v>
      </c>
      <c r="N2295" s="18">
        <f t="shared" si="1"/>
        <v>140</v>
      </c>
      <c r="O2295" s="17"/>
      <c r="P2295" s="17"/>
      <c r="Q2295" s="17"/>
      <c r="R2295" s="17"/>
      <c r="S2295" s="17"/>
      <c r="T2295" s="17"/>
      <c r="U2295" s="17"/>
      <c r="V2295" s="17"/>
      <c r="W2295" s="17"/>
      <c r="X2295" s="17"/>
      <c r="Y2295" s="17"/>
      <c r="Z2295" s="17"/>
    </row>
    <row r="2296">
      <c r="A2296" s="18" t="str">
        <f>IFERROR(__xludf.DUMMYFUNCTION("""COMPUTED_VALUE"""),"ord_92269")</f>
        <v>ord_92269</v>
      </c>
      <c r="B2296" s="18" t="str">
        <f>IFERROR(__xludf.DUMMYFUNCTION("""COMPUTED_VALUE"""),"Parth Goel")</f>
        <v>Parth Goel</v>
      </c>
      <c r="C2296" s="18" t="str">
        <f>IFERROR(__xludf.DUMMYFUNCTION("""COMPUTED_VALUE"""),"Juhu")</f>
        <v>Juhu</v>
      </c>
      <c r="D2296" s="18" t="str">
        <f>IFERROR(__xludf.DUMMYFUNCTION("""COMPUTED_VALUE"""),"Banana")</f>
        <v>Banana</v>
      </c>
      <c r="E2296" s="18">
        <f>IFERROR(__xludf.DUMMYFUNCTION("""COMPUTED_VALUE"""),1.0)</f>
        <v>1</v>
      </c>
      <c r="F2296" s="18" t="str">
        <f>IFERROR(__xludf.DUMMYFUNCTION("""COMPUTED_VALUE"""),"Vivek Kumar")</f>
        <v>Vivek Kumar</v>
      </c>
      <c r="G2296" s="19">
        <f>IFERROR(__xludf.DUMMYFUNCTION("""COMPUTED_VALUE"""),45140.0)</f>
        <v>45140</v>
      </c>
      <c r="H2296" s="18" t="str">
        <f>IFERROR(__xludf.DUMMYFUNCTION("""COMPUTED_VALUE"""),"Online Payment")</f>
        <v>Online Payment</v>
      </c>
      <c r="I2296" s="18" t="str">
        <f>IFERROR(__xludf.DUMMYFUNCTION("""COMPUTED_VALUE"""),"Delivered")</f>
        <v>Delivered</v>
      </c>
      <c r="J2296" s="18" t="str">
        <f>IFERROR(__xludf.DUMMYFUNCTION("""COMPUTED_VALUE"""),"Packaging")</f>
        <v>Packaging</v>
      </c>
      <c r="K2296" s="18" t="str">
        <f>IFERROR(__xludf.DUMMYFUNCTION("""COMPUTED_VALUE"""),"Secure and intact")</f>
        <v>Secure and intact</v>
      </c>
      <c r="L2296" s="18">
        <f>iferror(VLOOKUP($D2296,Details!$A$2:$C$11,2,false),vlookup($D2296,Details!$E$2:$G$11,2,false))</f>
        <v>80</v>
      </c>
      <c r="M2296" s="18" t="str">
        <f>iferror(VLOOKUP($D2296,Details!$A$2:$C$11,3,false),vlookup($D2296,Details!$E$2:$G$11,3,false))</f>
        <v>Fruits and Vegetables</v>
      </c>
      <c r="N2296" s="18">
        <f t="shared" si="1"/>
        <v>80</v>
      </c>
      <c r="O2296" s="17"/>
      <c r="P2296" s="17"/>
      <c r="Q2296" s="17"/>
      <c r="R2296" s="17"/>
      <c r="S2296" s="17"/>
      <c r="T2296" s="17"/>
      <c r="U2296" s="17"/>
      <c r="V2296" s="17"/>
      <c r="W2296" s="17"/>
      <c r="X2296" s="17"/>
      <c r="Y2296" s="17"/>
      <c r="Z2296" s="17"/>
    </row>
    <row r="2297">
      <c r="A2297" s="18" t="str">
        <f>IFERROR(__xludf.DUMMYFUNCTION("""COMPUTED_VALUE"""),"ord_92270")</f>
        <v>ord_92270</v>
      </c>
      <c r="B2297" s="18" t="str">
        <f>IFERROR(__xludf.DUMMYFUNCTION("""COMPUTED_VALUE"""),"Sanjay Nair")</f>
        <v>Sanjay Nair</v>
      </c>
      <c r="C2297" s="18" t="str">
        <f>IFERROR(__xludf.DUMMYFUNCTION("""COMPUTED_VALUE"""),"Dadar")</f>
        <v>Dadar</v>
      </c>
      <c r="D2297" s="18" t="str">
        <f>IFERROR(__xludf.DUMMYFUNCTION("""COMPUTED_VALUE"""),"Potato")</f>
        <v>Potato</v>
      </c>
      <c r="E2297" s="18">
        <f>IFERROR(__xludf.DUMMYFUNCTION("""COMPUTED_VALUE"""),2.0)</f>
        <v>2</v>
      </c>
      <c r="F2297" s="18" t="str">
        <f>IFERROR(__xludf.DUMMYFUNCTION("""COMPUTED_VALUE"""),"Ramesh S")</f>
        <v>Ramesh S</v>
      </c>
      <c r="G2297" s="19">
        <f>IFERROR(__xludf.DUMMYFUNCTION("""COMPUTED_VALUE"""),45217.0)</f>
        <v>45217</v>
      </c>
      <c r="H2297" s="18" t="str">
        <f>IFERROR(__xludf.DUMMYFUNCTION("""COMPUTED_VALUE"""),"UPI")</f>
        <v>UPI</v>
      </c>
      <c r="I2297" s="18" t="str">
        <f>IFERROR(__xludf.DUMMYFUNCTION("""COMPUTED_VALUE"""),"Delivered")</f>
        <v>Delivered</v>
      </c>
      <c r="J2297" s="18" t="str">
        <f>IFERROR(__xludf.DUMMYFUNCTION("""COMPUTED_VALUE"""),"Customer Service")</f>
        <v>Customer Service</v>
      </c>
      <c r="K2297" s="18" t="str">
        <f>IFERROR(__xludf.DUMMYFUNCTION("""COMPUTED_VALUE"""),"Seamless and easy")</f>
        <v>Seamless and easy</v>
      </c>
      <c r="L2297" s="18">
        <f>iferror(VLOOKUP($D2297,Details!$A$2:$C$11,2,false),vlookup($D2297,Details!$E$2:$G$11,2,false))</f>
        <v>55</v>
      </c>
      <c r="M2297" s="18" t="str">
        <f>iferror(VLOOKUP($D2297,Details!$A$2:$C$11,3,false),vlookup($D2297,Details!$E$2:$G$11,3,false))</f>
        <v>Fruits and Vegetables</v>
      </c>
      <c r="N2297" s="18">
        <f t="shared" si="1"/>
        <v>110</v>
      </c>
      <c r="O2297" s="17"/>
      <c r="P2297" s="17"/>
      <c r="Q2297" s="17"/>
      <c r="R2297" s="17"/>
      <c r="S2297" s="17"/>
      <c r="T2297" s="17"/>
      <c r="U2297" s="17"/>
      <c r="V2297" s="17"/>
      <c r="W2297" s="17"/>
      <c r="X2297" s="17"/>
      <c r="Y2297" s="17"/>
      <c r="Z2297" s="17"/>
    </row>
    <row r="2298">
      <c r="A2298" s="18" t="str">
        <f>IFERROR(__xludf.DUMMYFUNCTION("""COMPUTED_VALUE"""),"ord_92271")</f>
        <v>ord_92271</v>
      </c>
      <c r="B2298" s="18" t="str">
        <f>IFERROR(__xludf.DUMMYFUNCTION("""COMPUTED_VALUE"""),"Tanishq Bansal")</f>
        <v>Tanishq Bansal</v>
      </c>
      <c r="C2298" s="18" t="str">
        <f>IFERROR(__xludf.DUMMYFUNCTION("""COMPUTED_VALUE"""),"Powai")</f>
        <v>Powai</v>
      </c>
      <c r="D2298" s="18" t="str">
        <f>IFERROR(__xludf.DUMMYFUNCTION("""COMPUTED_VALUE"""),"Banana")</f>
        <v>Banana</v>
      </c>
      <c r="E2298" s="18">
        <f>IFERROR(__xludf.DUMMYFUNCTION("""COMPUTED_VALUE"""),1.0)</f>
        <v>1</v>
      </c>
      <c r="F2298" s="18" t="str">
        <f>IFERROR(__xludf.DUMMYFUNCTION("""COMPUTED_VALUE"""),"Manju Ajay")</f>
        <v>Manju Ajay</v>
      </c>
      <c r="G2298" s="19">
        <f>IFERROR(__xludf.DUMMYFUNCTION("""COMPUTED_VALUE"""),45231.0)</f>
        <v>45231</v>
      </c>
      <c r="H2298" s="18" t="str">
        <f>IFERROR(__xludf.DUMMYFUNCTION("""COMPUTED_VALUE"""),"Online Payment")</f>
        <v>Online Payment</v>
      </c>
      <c r="I2298" s="18" t="str">
        <f>IFERROR(__xludf.DUMMYFUNCTION("""COMPUTED_VALUE"""),"Delivered")</f>
        <v>Delivered</v>
      </c>
      <c r="J2298" s="18" t="str">
        <f>IFERROR(__xludf.DUMMYFUNCTION("""COMPUTED_VALUE"""),"On-time Delivery")</f>
        <v>On-time Delivery</v>
      </c>
      <c r="K2298" s="18" t="str">
        <f>IFERROR(__xludf.DUMMYFUNCTION("""COMPUTED_VALUE"""),"Delivered on time")</f>
        <v>Delivered on time</v>
      </c>
      <c r="L2298" s="18">
        <f>iferror(VLOOKUP($D2298,Details!$A$2:$C$11,2,false),vlookup($D2298,Details!$E$2:$G$11,2,false))</f>
        <v>80</v>
      </c>
      <c r="M2298" s="18" t="str">
        <f>iferror(VLOOKUP($D2298,Details!$A$2:$C$11,3,false),vlookup($D2298,Details!$E$2:$G$11,3,false))</f>
        <v>Fruits and Vegetables</v>
      </c>
      <c r="N2298" s="18">
        <f t="shared" si="1"/>
        <v>80</v>
      </c>
      <c r="O2298" s="17"/>
      <c r="P2298" s="17"/>
      <c r="Q2298" s="17"/>
      <c r="R2298" s="17"/>
      <c r="S2298" s="17"/>
      <c r="T2298" s="17"/>
      <c r="U2298" s="17"/>
      <c r="V2298" s="17"/>
      <c r="W2298" s="17"/>
      <c r="X2298" s="17"/>
      <c r="Y2298" s="17"/>
      <c r="Z2298" s="17"/>
    </row>
    <row r="2299">
      <c r="A2299" s="18" t="str">
        <f>IFERROR(__xludf.DUMMYFUNCTION("""COMPUTED_VALUE"""),"ord_92272")</f>
        <v>ord_92272</v>
      </c>
      <c r="B2299" s="18" t="str">
        <f>IFERROR(__xludf.DUMMYFUNCTION("""COMPUTED_VALUE"""),"Tanishq Bansal")</f>
        <v>Tanishq Bansal</v>
      </c>
      <c r="C2299" s="18" t="str">
        <f>IFERROR(__xludf.DUMMYFUNCTION("""COMPUTED_VALUE"""),"Powai")</f>
        <v>Powai</v>
      </c>
      <c r="D2299" s="18" t="str">
        <f>IFERROR(__xludf.DUMMYFUNCTION("""COMPUTED_VALUE"""),"Papaya")</f>
        <v>Papaya</v>
      </c>
      <c r="E2299" s="18">
        <f>IFERROR(__xludf.DUMMYFUNCTION("""COMPUTED_VALUE"""),2.0)</f>
        <v>2</v>
      </c>
      <c r="F2299" s="18" t="str">
        <f>IFERROR(__xludf.DUMMYFUNCTION("""COMPUTED_VALUE"""),"Venu R")</f>
        <v>Venu R</v>
      </c>
      <c r="G2299" s="19">
        <f>IFERROR(__xludf.DUMMYFUNCTION("""COMPUTED_VALUE"""),45277.0)</f>
        <v>45277</v>
      </c>
      <c r="H2299" s="18" t="str">
        <f>IFERROR(__xludf.DUMMYFUNCTION("""COMPUTED_VALUE"""),"Online Payment")</f>
        <v>Online Payment</v>
      </c>
      <c r="I2299" s="18" t="str">
        <f>IFERROR(__xludf.DUMMYFUNCTION("""COMPUTED_VALUE"""),"Delivered")</f>
        <v>Delivered</v>
      </c>
      <c r="J2299" s="18" t="str">
        <f>IFERROR(__xludf.DUMMYFUNCTION("""COMPUTED_VALUE"""),"Delivery Experience")</f>
        <v>Delivery Experience</v>
      </c>
      <c r="K2299" s="18" t="str">
        <f>IFERROR(__xludf.DUMMYFUNCTION("""COMPUTED_VALUE"""),"Quick and professional")</f>
        <v>Quick and professional</v>
      </c>
      <c r="L2299" s="18">
        <f>iferror(VLOOKUP($D2299,Details!$A$2:$C$11,2,false),vlookup($D2299,Details!$E$2:$G$11,2,false))</f>
        <v>75</v>
      </c>
      <c r="M2299" s="18" t="str">
        <f>iferror(VLOOKUP($D2299,Details!$A$2:$C$11,3,false),vlookup($D2299,Details!$E$2:$G$11,3,false))</f>
        <v>Fruits and Vegetables</v>
      </c>
      <c r="N2299" s="18">
        <f t="shared" si="1"/>
        <v>150</v>
      </c>
      <c r="O2299" s="17"/>
      <c r="P2299" s="17"/>
      <c r="Q2299" s="17"/>
      <c r="R2299" s="17"/>
      <c r="S2299" s="17"/>
      <c r="T2299" s="17"/>
      <c r="U2299" s="17"/>
      <c r="V2299" s="17"/>
      <c r="W2299" s="17"/>
      <c r="X2299" s="17"/>
      <c r="Y2299" s="17"/>
      <c r="Z2299" s="17"/>
    </row>
    <row r="2300">
      <c r="A2300" s="18" t="str">
        <f>IFERROR(__xludf.DUMMYFUNCTION("""COMPUTED_VALUE"""),"ord_92273")</f>
        <v>ord_92273</v>
      </c>
      <c r="B2300" s="18" t="str">
        <f>IFERROR(__xludf.DUMMYFUNCTION("""COMPUTED_VALUE"""),"Omkar Mishra")</f>
        <v>Omkar Mishra</v>
      </c>
      <c r="C2300" s="18" t="str">
        <f>IFERROR(__xludf.DUMMYFUNCTION("""COMPUTED_VALUE"""),"Powai")</f>
        <v>Powai</v>
      </c>
      <c r="D2300" s="18" t="str">
        <f>IFERROR(__xludf.DUMMYFUNCTION("""COMPUTED_VALUE"""),"Guava")</f>
        <v>Guava</v>
      </c>
      <c r="E2300" s="18">
        <f>IFERROR(__xludf.DUMMYFUNCTION("""COMPUTED_VALUE"""),2.0)</f>
        <v>2</v>
      </c>
      <c r="F2300" s="18" t="str">
        <f>IFERROR(__xludf.DUMMYFUNCTION("""COMPUTED_VALUE"""),"Venu R")</f>
        <v>Venu R</v>
      </c>
      <c r="G2300" s="19">
        <f>IFERROR(__xludf.DUMMYFUNCTION("""COMPUTED_VALUE"""),45175.0)</f>
        <v>45175</v>
      </c>
      <c r="H2300" s="18" t="str">
        <f>IFERROR(__xludf.DUMMYFUNCTION("""COMPUTED_VALUE"""),"UPI")</f>
        <v>UPI</v>
      </c>
      <c r="I2300" s="18" t="str">
        <f>IFERROR(__xludf.DUMMYFUNCTION("""COMPUTED_VALUE"""),"Delivered")</f>
        <v>Delivered</v>
      </c>
      <c r="J2300" s="18" t="str">
        <f>IFERROR(__xludf.DUMMYFUNCTION("""COMPUTED_VALUE"""),"Convenience")</f>
        <v>Convenience</v>
      </c>
      <c r="K2300" s="18" t="str">
        <f>IFERROR(__xludf.DUMMYFUNCTION("""COMPUTED_VALUE"""),"Easy tracking")</f>
        <v>Easy tracking</v>
      </c>
      <c r="L2300" s="18">
        <f>iferror(VLOOKUP($D2300,Details!$A$2:$C$11,2,false),vlookup($D2300,Details!$E$2:$G$11,2,false))</f>
        <v>70</v>
      </c>
      <c r="M2300" s="18" t="str">
        <f>iferror(VLOOKUP($D2300,Details!$A$2:$C$11,3,false),vlookup($D2300,Details!$E$2:$G$11,3,false))</f>
        <v>Fruits and Vegetables</v>
      </c>
      <c r="N2300" s="18">
        <f t="shared" si="1"/>
        <v>140</v>
      </c>
      <c r="O2300" s="17"/>
      <c r="P2300" s="17"/>
      <c r="Q2300" s="17"/>
      <c r="R2300" s="17"/>
      <c r="S2300" s="17"/>
      <c r="T2300" s="17"/>
      <c r="U2300" s="17"/>
      <c r="V2300" s="17"/>
      <c r="W2300" s="17"/>
      <c r="X2300" s="17"/>
      <c r="Y2300" s="17"/>
      <c r="Z2300" s="17"/>
    </row>
    <row r="2301">
      <c r="A2301" s="18" t="str">
        <f>IFERROR(__xludf.DUMMYFUNCTION("""COMPUTED_VALUE"""),"ord_92274")</f>
        <v>ord_92274</v>
      </c>
      <c r="B2301" s="18" t="str">
        <f>IFERROR(__xludf.DUMMYFUNCTION("""COMPUTED_VALUE"""),"Omkar Mishra")</f>
        <v>Omkar Mishra</v>
      </c>
      <c r="C2301" s="18" t="str">
        <f>IFERROR(__xludf.DUMMYFUNCTION("""COMPUTED_VALUE"""),"Powai")</f>
        <v>Powai</v>
      </c>
      <c r="D2301" s="18" t="str">
        <f>IFERROR(__xludf.DUMMYFUNCTION("""COMPUTED_VALUE"""),"Banana")</f>
        <v>Banana</v>
      </c>
      <c r="E2301" s="18">
        <f>IFERROR(__xludf.DUMMYFUNCTION("""COMPUTED_VALUE"""),2.0)</f>
        <v>2</v>
      </c>
      <c r="F2301" s="18" t="str">
        <f>IFERROR(__xludf.DUMMYFUNCTION("""COMPUTED_VALUE"""),"Venu R")</f>
        <v>Venu R</v>
      </c>
      <c r="G2301" s="19">
        <f>IFERROR(__xludf.DUMMYFUNCTION("""COMPUTED_VALUE"""),45272.0)</f>
        <v>45272</v>
      </c>
      <c r="H2301" s="18" t="str">
        <f>IFERROR(__xludf.DUMMYFUNCTION("""COMPUTED_VALUE"""),"UPI")</f>
        <v>UPI</v>
      </c>
      <c r="I2301" s="18" t="str">
        <f>IFERROR(__xludf.DUMMYFUNCTION("""COMPUTED_VALUE"""),"Delivered")</f>
        <v>Delivered</v>
      </c>
      <c r="J2301" s="18" t="str">
        <f>IFERROR(__xludf.DUMMYFUNCTION("""COMPUTED_VALUE"""),"Overall Satisfaction")</f>
        <v>Overall Satisfaction</v>
      </c>
      <c r="K2301" s="18" t="str">
        <f>IFERROR(__xludf.DUMMYFUNCTION("""COMPUTED_VALUE"""),"Great service will order again")</f>
        <v>Great service will order again</v>
      </c>
      <c r="L2301" s="18">
        <f>iferror(VLOOKUP($D2301,Details!$A$2:$C$11,2,false),vlookup($D2301,Details!$E$2:$G$11,2,false))</f>
        <v>80</v>
      </c>
      <c r="M2301" s="18" t="str">
        <f>iferror(VLOOKUP($D2301,Details!$A$2:$C$11,3,false),vlookup($D2301,Details!$E$2:$G$11,3,false))</f>
        <v>Fruits and Vegetables</v>
      </c>
      <c r="N2301" s="18">
        <f t="shared" si="1"/>
        <v>160</v>
      </c>
      <c r="O2301" s="17"/>
      <c r="P2301" s="17"/>
      <c r="Q2301" s="17"/>
      <c r="R2301" s="17"/>
      <c r="S2301" s="17"/>
      <c r="T2301" s="17"/>
      <c r="U2301" s="17"/>
      <c r="V2301" s="17"/>
      <c r="W2301" s="17"/>
      <c r="X2301" s="17"/>
      <c r="Y2301" s="17"/>
      <c r="Z2301" s="17"/>
    </row>
    <row r="2302">
      <c r="A2302" s="18" t="str">
        <f>IFERROR(__xludf.DUMMYFUNCTION("""COMPUTED_VALUE"""),"ord_92275")</f>
        <v>ord_92275</v>
      </c>
      <c r="B2302" s="18" t="str">
        <f>IFERROR(__xludf.DUMMYFUNCTION("""COMPUTED_VALUE"""),"Anaya Rao")</f>
        <v>Anaya Rao</v>
      </c>
      <c r="C2302" s="18" t="str">
        <f>IFERROR(__xludf.DUMMYFUNCTION("""COMPUTED_VALUE"""),"Colaba")</f>
        <v>Colaba</v>
      </c>
      <c r="D2302" s="18" t="str">
        <f>IFERROR(__xludf.DUMMYFUNCTION("""COMPUTED_VALUE"""),"Guava")</f>
        <v>Guava</v>
      </c>
      <c r="E2302" s="18">
        <f>IFERROR(__xludf.DUMMYFUNCTION("""COMPUTED_VALUE"""),1.0)</f>
        <v>1</v>
      </c>
      <c r="F2302" s="18" t="str">
        <f>IFERROR(__xludf.DUMMYFUNCTION("""COMPUTED_VALUE"""),"Venu R")</f>
        <v>Venu R</v>
      </c>
      <c r="G2302" s="19">
        <f>IFERROR(__xludf.DUMMYFUNCTION("""COMPUTED_VALUE"""),45114.0)</f>
        <v>45114</v>
      </c>
      <c r="H2302" s="18" t="str">
        <f>IFERROR(__xludf.DUMMYFUNCTION("""COMPUTED_VALUE"""),"UPI")</f>
        <v>UPI</v>
      </c>
      <c r="I2302" s="18" t="str">
        <f>IFERROR(__xludf.DUMMYFUNCTION("""COMPUTED_VALUE"""),"Delivered")</f>
        <v>Delivered</v>
      </c>
      <c r="J2302" s="18" t="str">
        <f>IFERROR(__xludf.DUMMYFUNCTION("""COMPUTED_VALUE"""),"On-time Delivery")</f>
        <v>On-time Delivery</v>
      </c>
      <c r="K2302" s="18" t="str">
        <f>IFERROR(__xludf.DUMMYFUNCTION("""COMPUTED_VALUE"""),"Delivered on time")</f>
        <v>Delivered on time</v>
      </c>
      <c r="L2302" s="18">
        <f>iferror(VLOOKUP($D2302,Details!$A$2:$C$11,2,false),vlookup($D2302,Details!$E$2:$G$11,2,false))</f>
        <v>70</v>
      </c>
      <c r="M2302" s="18" t="str">
        <f>iferror(VLOOKUP($D2302,Details!$A$2:$C$11,3,false),vlookup($D2302,Details!$E$2:$G$11,3,false))</f>
        <v>Fruits and Vegetables</v>
      </c>
      <c r="N2302" s="18">
        <f t="shared" si="1"/>
        <v>70</v>
      </c>
      <c r="O2302" s="17"/>
      <c r="P2302" s="17"/>
      <c r="Q2302" s="17"/>
      <c r="R2302" s="17"/>
      <c r="S2302" s="17"/>
      <c r="T2302" s="17"/>
      <c r="U2302" s="17"/>
      <c r="V2302" s="17"/>
      <c r="W2302" s="17"/>
      <c r="X2302" s="17"/>
      <c r="Y2302" s="17"/>
      <c r="Z2302" s="17"/>
    </row>
    <row r="2303">
      <c r="A2303" s="18" t="str">
        <f>IFERROR(__xludf.DUMMYFUNCTION("""COMPUTED_VALUE"""),"ord_92276")</f>
        <v>ord_92276</v>
      </c>
      <c r="B2303" s="18" t="str">
        <f>IFERROR(__xludf.DUMMYFUNCTION("""COMPUTED_VALUE"""),"Dev Chauhan")</f>
        <v>Dev Chauhan</v>
      </c>
      <c r="C2303" s="18" t="str">
        <f>IFERROR(__xludf.DUMMYFUNCTION("""COMPUTED_VALUE"""),"Bandra")</f>
        <v>Bandra</v>
      </c>
      <c r="D2303" s="18" t="str">
        <f>IFERROR(__xludf.DUMMYFUNCTION("""COMPUTED_VALUE"""),"Banana")</f>
        <v>Banana</v>
      </c>
      <c r="E2303" s="18">
        <f>IFERROR(__xludf.DUMMYFUNCTION("""COMPUTED_VALUE"""),1.0)</f>
        <v>1</v>
      </c>
      <c r="F2303" s="18" t="str">
        <f>IFERROR(__xludf.DUMMYFUNCTION("""COMPUTED_VALUE"""),"Nithin Lal")</f>
        <v>Nithin Lal</v>
      </c>
      <c r="G2303" s="19">
        <f>IFERROR(__xludf.DUMMYFUNCTION("""COMPUTED_VALUE"""),45134.0)</f>
        <v>45134</v>
      </c>
      <c r="H2303" s="18" t="str">
        <f>IFERROR(__xludf.DUMMYFUNCTION("""COMPUTED_VALUE"""),"UPI")</f>
        <v>UPI</v>
      </c>
      <c r="I2303" s="18" t="str">
        <f>IFERROR(__xludf.DUMMYFUNCTION("""COMPUTED_VALUE"""),"Delivered")</f>
        <v>Delivered</v>
      </c>
      <c r="J2303" s="18" t="str">
        <f>IFERROR(__xludf.DUMMYFUNCTION("""COMPUTED_VALUE"""),"Quality of Items")</f>
        <v>Quality of Items</v>
      </c>
      <c r="K2303" s="18" t="str">
        <f>IFERROR(__xludf.DUMMYFUNCTION("""COMPUTED_VALUE"""),"Perfect condition")</f>
        <v>Perfect condition</v>
      </c>
      <c r="L2303" s="18">
        <f>iferror(VLOOKUP($D2303,Details!$A$2:$C$11,2,false),vlookup($D2303,Details!$E$2:$G$11,2,false))</f>
        <v>80</v>
      </c>
      <c r="M2303" s="18" t="str">
        <f>iferror(VLOOKUP($D2303,Details!$A$2:$C$11,3,false),vlookup($D2303,Details!$E$2:$G$11,3,false))</f>
        <v>Fruits and Vegetables</v>
      </c>
      <c r="N2303" s="18">
        <f t="shared" si="1"/>
        <v>80</v>
      </c>
      <c r="O2303" s="17"/>
      <c r="P2303" s="17"/>
      <c r="Q2303" s="17"/>
      <c r="R2303" s="17"/>
      <c r="S2303" s="17"/>
      <c r="T2303" s="17"/>
      <c r="U2303" s="17"/>
      <c r="V2303" s="17"/>
      <c r="W2303" s="17"/>
      <c r="X2303" s="17"/>
      <c r="Y2303" s="17"/>
      <c r="Z2303" s="17"/>
    </row>
    <row r="2304">
      <c r="A2304" s="18" t="str">
        <f>IFERROR(__xludf.DUMMYFUNCTION("""COMPUTED_VALUE"""),"ord_92277")</f>
        <v>ord_92277</v>
      </c>
      <c r="B2304" s="18" t="str">
        <f>IFERROR(__xludf.DUMMYFUNCTION("""COMPUTED_VALUE"""),"Kavya Menon")</f>
        <v>Kavya Menon</v>
      </c>
      <c r="C2304" s="18" t="str">
        <f>IFERROR(__xludf.DUMMYFUNCTION("""COMPUTED_VALUE"""),"Andheri")</f>
        <v>Andheri</v>
      </c>
      <c r="D2304" s="18" t="str">
        <f>IFERROR(__xludf.DUMMYFUNCTION("""COMPUTED_VALUE"""),"Tiramisu")</f>
        <v>Tiramisu</v>
      </c>
      <c r="E2304" s="18">
        <f>IFERROR(__xludf.DUMMYFUNCTION("""COMPUTED_VALUE"""),3.0)</f>
        <v>3</v>
      </c>
      <c r="F2304" s="18" t="str">
        <f>IFERROR(__xludf.DUMMYFUNCTION("""COMPUTED_VALUE"""),"Vivek Kumar")</f>
        <v>Vivek Kumar</v>
      </c>
      <c r="G2304" s="19">
        <f>IFERROR(__xludf.DUMMYFUNCTION("""COMPUTED_VALUE"""),45182.0)</f>
        <v>45182</v>
      </c>
      <c r="H2304" s="18" t="str">
        <f>IFERROR(__xludf.DUMMYFUNCTION("""COMPUTED_VALUE"""),"Credit Card")</f>
        <v>Credit Card</v>
      </c>
      <c r="I2304" s="18" t="str">
        <f>IFERROR(__xludf.DUMMYFUNCTION("""COMPUTED_VALUE"""),"Delivered")</f>
        <v>Delivered</v>
      </c>
      <c r="J2304" s="18" t="str">
        <f>IFERROR(__xludf.DUMMYFUNCTION("""COMPUTED_VALUE"""),"Quality of Items")</f>
        <v>Quality of Items</v>
      </c>
      <c r="K2304" s="18" t="str">
        <f>IFERROR(__xludf.DUMMYFUNCTION("""COMPUTED_VALUE"""),"Perfect condition")</f>
        <v>Perfect condition</v>
      </c>
      <c r="L2304" s="18">
        <f>iferror(VLOOKUP($D2304,Details!$A$2:$C$11,2,false),vlookup($D2304,Details!$E$2:$G$11,2,false))</f>
        <v>150</v>
      </c>
      <c r="M2304" s="18" t="str">
        <f>iferror(VLOOKUP($D2304,Details!$A$2:$C$11,3,false),vlookup($D2304,Details!$E$2:$G$11,3,false))</f>
        <v>Snacks and Drinks</v>
      </c>
      <c r="N2304" s="18">
        <f t="shared" si="1"/>
        <v>450</v>
      </c>
      <c r="O2304" s="17"/>
      <c r="P2304" s="17"/>
      <c r="Q2304" s="17"/>
      <c r="R2304" s="17"/>
      <c r="S2304" s="17"/>
      <c r="T2304" s="17"/>
      <c r="U2304" s="17"/>
      <c r="V2304" s="17"/>
      <c r="W2304" s="17"/>
      <c r="X2304" s="17"/>
      <c r="Y2304" s="17"/>
      <c r="Z2304" s="17"/>
    </row>
    <row r="2305">
      <c r="A2305" s="18" t="str">
        <f>IFERROR(__xludf.DUMMYFUNCTION("""COMPUTED_VALUE"""),"ord_92278")</f>
        <v>ord_92278</v>
      </c>
      <c r="B2305" s="18" t="str">
        <f>IFERROR(__xludf.DUMMYFUNCTION("""COMPUTED_VALUE"""),"Kavya Menon")</f>
        <v>Kavya Menon</v>
      </c>
      <c r="C2305" s="18" t="str">
        <f>IFERROR(__xludf.DUMMYFUNCTION("""COMPUTED_VALUE"""),"Andheri")</f>
        <v>Andheri</v>
      </c>
      <c r="D2305" s="18" t="str">
        <f>IFERROR(__xludf.DUMMYFUNCTION("""COMPUTED_VALUE"""),"Chocolate Mousse")</f>
        <v>Chocolate Mousse</v>
      </c>
      <c r="E2305" s="18">
        <f>IFERROR(__xludf.DUMMYFUNCTION("""COMPUTED_VALUE"""),3.0)</f>
        <v>3</v>
      </c>
      <c r="F2305" s="18" t="str">
        <f>IFERROR(__xludf.DUMMYFUNCTION("""COMPUTED_VALUE"""),"Sita T")</f>
        <v>Sita T</v>
      </c>
      <c r="G2305" s="19">
        <f>IFERROR(__xludf.DUMMYFUNCTION("""COMPUTED_VALUE"""),45125.0)</f>
        <v>45125</v>
      </c>
      <c r="H2305" s="18" t="str">
        <f>IFERROR(__xludf.DUMMYFUNCTION("""COMPUTED_VALUE"""),"UPI")</f>
        <v>UPI</v>
      </c>
      <c r="I2305" s="18" t="str">
        <f>IFERROR(__xludf.DUMMYFUNCTION("""COMPUTED_VALUE"""),"Delivered")</f>
        <v>Delivered</v>
      </c>
      <c r="J2305" s="18" t="str">
        <f>IFERROR(__xludf.DUMMYFUNCTION("""COMPUTED_VALUE"""),"Packaging")</f>
        <v>Packaging</v>
      </c>
      <c r="K2305" s="18" t="str">
        <f>IFERROR(__xludf.DUMMYFUNCTION("""COMPUTED_VALUE"""),"Secure and intact")</f>
        <v>Secure and intact</v>
      </c>
      <c r="L2305" s="18">
        <f>iferror(VLOOKUP($D2305,Details!$A$2:$C$11,2,false),vlookup($D2305,Details!$E$2:$G$11,2,false))</f>
        <v>145</v>
      </c>
      <c r="M2305" s="18" t="str">
        <f>iferror(VLOOKUP($D2305,Details!$A$2:$C$11,3,false),vlookup($D2305,Details!$E$2:$G$11,3,false))</f>
        <v>Snacks and Drinks</v>
      </c>
      <c r="N2305" s="18">
        <f t="shared" si="1"/>
        <v>435</v>
      </c>
      <c r="O2305" s="17"/>
      <c r="P2305" s="17"/>
      <c r="Q2305" s="17"/>
      <c r="R2305" s="17"/>
      <c r="S2305" s="17"/>
      <c r="T2305" s="17"/>
      <c r="U2305" s="17"/>
      <c r="V2305" s="17"/>
      <c r="W2305" s="17"/>
      <c r="X2305" s="17"/>
      <c r="Y2305" s="17"/>
      <c r="Z2305" s="17"/>
    </row>
    <row r="2306">
      <c r="A2306" s="18" t="str">
        <f>IFERROR(__xludf.DUMMYFUNCTION("""COMPUTED_VALUE"""),"ord_92279")</f>
        <v>ord_92279</v>
      </c>
      <c r="B2306" s="18" t="str">
        <f>IFERROR(__xludf.DUMMYFUNCTION("""COMPUTED_VALUE"""),"Anaya Rao")</f>
        <v>Anaya Rao</v>
      </c>
      <c r="C2306" s="18" t="str">
        <f>IFERROR(__xludf.DUMMYFUNCTION("""COMPUTED_VALUE"""),"Colaba")</f>
        <v>Colaba</v>
      </c>
      <c r="D2306" s="18" t="str">
        <f>IFERROR(__xludf.DUMMYFUNCTION("""COMPUTED_VALUE"""),"Apple")</f>
        <v>Apple</v>
      </c>
      <c r="E2306" s="18">
        <f>IFERROR(__xludf.DUMMYFUNCTION("""COMPUTED_VALUE"""),1.0)</f>
        <v>1</v>
      </c>
      <c r="F2306" s="18" t="str">
        <f>IFERROR(__xludf.DUMMYFUNCTION("""COMPUTED_VALUE"""),"Sita T")</f>
        <v>Sita T</v>
      </c>
      <c r="G2306" s="19">
        <f>IFERROR(__xludf.DUMMYFUNCTION("""COMPUTED_VALUE"""),45141.0)</f>
        <v>45141</v>
      </c>
      <c r="H2306" s="18" t="str">
        <f>IFERROR(__xludf.DUMMYFUNCTION("""COMPUTED_VALUE"""),"UPI")</f>
        <v>UPI</v>
      </c>
      <c r="I2306" s="18" t="str">
        <f>IFERROR(__xludf.DUMMYFUNCTION("""COMPUTED_VALUE"""),"Delivered")</f>
        <v>Delivered</v>
      </c>
      <c r="J2306" s="18" t="str">
        <f>IFERROR(__xludf.DUMMYFUNCTION("""COMPUTED_VALUE"""),"Delivery Experience")</f>
        <v>Delivery Experience</v>
      </c>
      <c r="K2306" s="18" t="str">
        <f>IFERROR(__xludf.DUMMYFUNCTION("""COMPUTED_VALUE"""),"Quick and professional")</f>
        <v>Quick and professional</v>
      </c>
      <c r="L2306" s="18">
        <f>iferror(VLOOKUP($D2306,Details!$A$2:$C$11,2,false),vlookup($D2306,Details!$E$2:$G$11,2,false))</f>
        <v>230</v>
      </c>
      <c r="M2306" s="18" t="str">
        <f>iferror(VLOOKUP($D2306,Details!$A$2:$C$11,3,false),vlookup($D2306,Details!$E$2:$G$11,3,false))</f>
        <v>Fruits and Vegetables</v>
      </c>
      <c r="N2306" s="18">
        <f t="shared" si="1"/>
        <v>230</v>
      </c>
      <c r="O2306" s="17"/>
      <c r="P2306" s="17"/>
      <c r="Q2306" s="17"/>
      <c r="R2306" s="17"/>
      <c r="S2306" s="17"/>
      <c r="T2306" s="17"/>
      <c r="U2306" s="17"/>
      <c r="V2306" s="17"/>
      <c r="W2306" s="17"/>
      <c r="X2306" s="17"/>
      <c r="Y2306" s="17"/>
      <c r="Z2306" s="17"/>
    </row>
    <row r="2307">
      <c r="A2307" s="18" t="str">
        <f>IFERROR(__xludf.DUMMYFUNCTION("""COMPUTED_VALUE"""),"ord_92280")</f>
        <v>ord_92280</v>
      </c>
      <c r="B2307" s="18" t="str">
        <f>IFERROR(__xludf.DUMMYFUNCTION("""COMPUTED_VALUE"""),"Harsh Vardhan")</f>
        <v>Harsh Vardhan</v>
      </c>
      <c r="C2307" s="18" t="str">
        <f>IFERROR(__xludf.DUMMYFUNCTION("""COMPUTED_VALUE"""),"Bandra")</f>
        <v>Bandra</v>
      </c>
      <c r="D2307" s="18" t="str">
        <f>IFERROR(__xludf.DUMMYFUNCTION("""COMPUTED_VALUE"""),"Chocolate Mousse")</f>
        <v>Chocolate Mousse</v>
      </c>
      <c r="E2307" s="18">
        <f>IFERROR(__xludf.DUMMYFUNCTION("""COMPUTED_VALUE"""),4.0)</f>
        <v>4</v>
      </c>
      <c r="F2307" s="18" t="str">
        <f>IFERROR(__xludf.DUMMYFUNCTION("""COMPUTED_VALUE"""),"Nithin Lal")</f>
        <v>Nithin Lal</v>
      </c>
      <c r="G2307" s="19">
        <f>IFERROR(__xludf.DUMMYFUNCTION("""COMPUTED_VALUE"""),45117.0)</f>
        <v>45117</v>
      </c>
      <c r="H2307" s="18" t="str">
        <f>IFERROR(__xludf.DUMMYFUNCTION("""COMPUTED_VALUE"""),"UPI")</f>
        <v>UPI</v>
      </c>
      <c r="I2307" s="18" t="str">
        <f>IFERROR(__xludf.DUMMYFUNCTION("""COMPUTED_VALUE"""),"Delivered")</f>
        <v>Delivered</v>
      </c>
      <c r="J2307" s="18" t="str">
        <f>IFERROR(__xludf.DUMMYFUNCTION("""COMPUTED_VALUE"""),"Convenience")</f>
        <v>Convenience</v>
      </c>
      <c r="K2307" s="18" t="str">
        <f>IFERROR(__xludf.DUMMYFUNCTION("""COMPUTED_VALUE"""),"Easy tracking")</f>
        <v>Easy tracking</v>
      </c>
      <c r="L2307" s="18">
        <f>iferror(VLOOKUP($D2307,Details!$A$2:$C$11,2,false),vlookup($D2307,Details!$E$2:$G$11,2,false))</f>
        <v>145</v>
      </c>
      <c r="M2307" s="18" t="str">
        <f>iferror(VLOOKUP($D2307,Details!$A$2:$C$11,3,false),vlookup($D2307,Details!$E$2:$G$11,3,false))</f>
        <v>Snacks and Drinks</v>
      </c>
      <c r="N2307" s="18">
        <f t="shared" si="1"/>
        <v>580</v>
      </c>
      <c r="O2307" s="17"/>
      <c r="P2307" s="17"/>
      <c r="Q2307" s="17"/>
      <c r="R2307" s="17"/>
      <c r="S2307" s="17"/>
      <c r="T2307" s="17"/>
      <c r="U2307" s="17"/>
      <c r="V2307" s="17"/>
      <c r="W2307" s="17"/>
      <c r="X2307" s="17"/>
      <c r="Y2307" s="17"/>
      <c r="Z2307" s="17"/>
    </row>
    <row r="2308">
      <c r="A2308" s="18" t="str">
        <f>IFERROR(__xludf.DUMMYFUNCTION("""COMPUTED_VALUE"""),"ord_92281")</f>
        <v>ord_92281</v>
      </c>
      <c r="B2308" s="18" t="str">
        <f>IFERROR(__xludf.DUMMYFUNCTION("""COMPUTED_VALUE"""),"Dev Chauhan")</f>
        <v>Dev Chauhan</v>
      </c>
      <c r="C2308" s="18" t="str">
        <f>IFERROR(__xludf.DUMMYFUNCTION("""COMPUTED_VALUE"""),"Bandra")</f>
        <v>Bandra</v>
      </c>
      <c r="D2308" s="18" t="str">
        <f>IFERROR(__xludf.DUMMYFUNCTION("""COMPUTED_VALUE"""),"Popcorn")</f>
        <v>Popcorn</v>
      </c>
      <c r="E2308" s="18">
        <f>IFERROR(__xludf.DUMMYFUNCTION("""COMPUTED_VALUE"""),5.0)</f>
        <v>5</v>
      </c>
      <c r="F2308" s="18" t="str">
        <f>IFERROR(__xludf.DUMMYFUNCTION("""COMPUTED_VALUE"""),"Vivek Kumar")</f>
        <v>Vivek Kumar</v>
      </c>
      <c r="G2308" s="19">
        <f>IFERROR(__xludf.DUMMYFUNCTION("""COMPUTED_VALUE"""),45131.0)</f>
        <v>45131</v>
      </c>
      <c r="H2308" s="18" t="str">
        <f>IFERROR(__xludf.DUMMYFUNCTION("""COMPUTED_VALUE"""),"UPI")</f>
        <v>UPI</v>
      </c>
      <c r="I2308" s="18" t="str">
        <f>IFERROR(__xludf.DUMMYFUNCTION("""COMPUTED_VALUE"""),"Delivered")</f>
        <v>Delivered</v>
      </c>
      <c r="J2308" s="18" t="str">
        <f>IFERROR(__xludf.DUMMYFUNCTION("""COMPUTED_VALUE"""),"On-time Delivery")</f>
        <v>On-time Delivery</v>
      </c>
      <c r="K2308" s="18" t="str">
        <f>IFERROR(__xludf.DUMMYFUNCTION("""COMPUTED_VALUE"""),"Delivered on time")</f>
        <v>Delivered on time</v>
      </c>
      <c r="L2308" s="18">
        <f>iferror(VLOOKUP($D2308,Details!$A$2:$C$11,2,false),vlookup($D2308,Details!$E$2:$G$11,2,false))</f>
        <v>150</v>
      </c>
      <c r="M2308" s="18" t="str">
        <f>iferror(VLOOKUP($D2308,Details!$A$2:$C$11,3,false),vlookup($D2308,Details!$E$2:$G$11,3,false))</f>
        <v>Snacks and Drinks</v>
      </c>
      <c r="N2308" s="18">
        <f t="shared" si="1"/>
        <v>750</v>
      </c>
      <c r="O2308" s="17"/>
      <c r="P2308" s="17"/>
      <c r="Q2308" s="17"/>
      <c r="R2308" s="17"/>
      <c r="S2308" s="17"/>
      <c r="T2308" s="17"/>
      <c r="U2308" s="17"/>
      <c r="V2308" s="17"/>
      <c r="W2308" s="17"/>
      <c r="X2308" s="17"/>
      <c r="Y2308" s="17"/>
      <c r="Z2308" s="17"/>
    </row>
    <row r="2309">
      <c r="A2309" s="18" t="str">
        <f>IFERROR(__xludf.DUMMYFUNCTION("""COMPUTED_VALUE"""),"ord_92282")</f>
        <v>ord_92282</v>
      </c>
      <c r="B2309" s="18" t="str">
        <f>IFERROR(__xludf.DUMMYFUNCTION("""COMPUTED_VALUE"""),"Siya Reddy")</f>
        <v>Siya Reddy</v>
      </c>
      <c r="C2309" s="18" t="str">
        <f>IFERROR(__xludf.DUMMYFUNCTION("""COMPUTED_VALUE"""),"Juhu")</f>
        <v>Juhu</v>
      </c>
      <c r="D2309" s="18" t="str">
        <f>IFERROR(__xludf.DUMMYFUNCTION("""COMPUTED_VALUE"""),"Apple")</f>
        <v>Apple</v>
      </c>
      <c r="E2309" s="18">
        <f>IFERROR(__xludf.DUMMYFUNCTION("""COMPUTED_VALUE"""),1.0)</f>
        <v>1</v>
      </c>
      <c r="F2309" s="18" t="str">
        <f>IFERROR(__xludf.DUMMYFUNCTION("""COMPUTED_VALUE"""),"Vivek Kumar")</f>
        <v>Vivek Kumar</v>
      </c>
      <c r="G2309" s="19">
        <f>IFERROR(__xludf.DUMMYFUNCTION("""COMPUTED_VALUE"""),45281.0)</f>
        <v>45281</v>
      </c>
      <c r="H2309" s="18" t="str">
        <f>IFERROR(__xludf.DUMMYFUNCTION("""COMPUTED_VALUE"""),"Online Payment")</f>
        <v>Online Payment</v>
      </c>
      <c r="I2309" s="18" t="str">
        <f>IFERROR(__xludf.DUMMYFUNCTION("""COMPUTED_VALUE"""),"Delivered")</f>
        <v>Delivered</v>
      </c>
      <c r="J2309" s="18" t="str">
        <f>IFERROR(__xludf.DUMMYFUNCTION("""COMPUTED_VALUE"""),"Quality of Items")</f>
        <v>Quality of Items</v>
      </c>
      <c r="K2309" s="18" t="str">
        <f>IFERROR(__xludf.DUMMYFUNCTION("""COMPUTED_VALUE"""),"Perfect condition")</f>
        <v>Perfect condition</v>
      </c>
      <c r="L2309" s="18">
        <f>iferror(VLOOKUP($D2309,Details!$A$2:$C$11,2,false),vlookup($D2309,Details!$E$2:$G$11,2,false))</f>
        <v>230</v>
      </c>
      <c r="M2309" s="18" t="str">
        <f>iferror(VLOOKUP($D2309,Details!$A$2:$C$11,3,false),vlookup($D2309,Details!$E$2:$G$11,3,false))</f>
        <v>Fruits and Vegetables</v>
      </c>
      <c r="N2309" s="18">
        <f t="shared" si="1"/>
        <v>230</v>
      </c>
      <c r="O2309" s="17"/>
      <c r="P2309" s="17"/>
      <c r="Q2309" s="17"/>
      <c r="R2309" s="17"/>
      <c r="S2309" s="17"/>
      <c r="T2309" s="17"/>
      <c r="U2309" s="17"/>
      <c r="V2309" s="17"/>
      <c r="W2309" s="17"/>
      <c r="X2309" s="17"/>
      <c r="Y2309" s="17"/>
      <c r="Z2309" s="17"/>
    </row>
    <row r="2310">
      <c r="A2310" s="18" t="str">
        <f>IFERROR(__xludf.DUMMYFUNCTION("""COMPUTED_VALUE"""),"ord_92283")</f>
        <v>ord_92283</v>
      </c>
      <c r="B2310" s="18" t="str">
        <f>IFERROR(__xludf.DUMMYFUNCTION("""COMPUTED_VALUE"""),"Aarav Mehta")</f>
        <v>Aarav Mehta</v>
      </c>
      <c r="C2310" s="18" t="str">
        <f>IFERROR(__xludf.DUMMYFUNCTION("""COMPUTED_VALUE"""),"Andheri")</f>
        <v>Andheri</v>
      </c>
      <c r="D2310" s="18" t="str">
        <f>IFERROR(__xludf.DUMMYFUNCTION("""COMPUTED_VALUE"""),"Cold Coffee")</f>
        <v>Cold Coffee</v>
      </c>
      <c r="E2310" s="18">
        <f>IFERROR(__xludf.DUMMYFUNCTION("""COMPUTED_VALUE"""),3.0)</f>
        <v>3</v>
      </c>
      <c r="F2310" s="18" t="str">
        <f>IFERROR(__xludf.DUMMYFUNCTION("""COMPUTED_VALUE"""),"Not Assigned")</f>
        <v>Not Assigned</v>
      </c>
      <c r="G2310" s="19">
        <f>IFERROR(__xludf.DUMMYFUNCTION("""COMPUTED_VALUE"""),45165.0)</f>
        <v>45165</v>
      </c>
      <c r="H2310" s="18" t="str">
        <f>IFERROR(__xludf.DUMMYFUNCTION("""COMPUTED_VALUE"""),"Credit Card")</f>
        <v>Credit Card</v>
      </c>
      <c r="I2310" s="18" t="str">
        <f>IFERROR(__xludf.DUMMYFUNCTION("""COMPUTED_VALUE"""),"Cancelled")</f>
        <v>Cancelled</v>
      </c>
      <c r="J2310" s="18" t="str">
        <f>IFERROR(__xludf.DUMMYFUNCTION("""COMPUTED_VALUE"""),"App Glitches")</f>
        <v>App Glitches</v>
      </c>
      <c r="K2310" s="18" t="str">
        <f>IFERROR(__xludf.DUMMYFUNCTION("""COMPUTED_VALUE"""),"Inconsistent Data Display")</f>
        <v>Inconsistent Data Display</v>
      </c>
      <c r="L2310" s="18">
        <f>iferror(VLOOKUP($D2310,Details!$A$2:$C$11,2,false),vlookup($D2310,Details!$E$2:$G$11,2,false))</f>
        <v>270</v>
      </c>
      <c r="M2310" s="18" t="str">
        <f>iferror(VLOOKUP($D2310,Details!$A$2:$C$11,3,false),vlookup($D2310,Details!$E$2:$G$11,3,false))</f>
        <v>Snacks and Drinks</v>
      </c>
      <c r="N2310" s="18">
        <f t="shared" si="1"/>
        <v>810</v>
      </c>
      <c r="O2310" s="17"/>
      <c r="P2310" s="17"/>
      <c r="Q2310" s="17"/>
      <c r="R2310" s="17"/>
      <c r="S2310" s="17"/>
      <c r="T2310" s="17"/>
      <c r="U2310" s="17"/>
      <c r="V2310" s="17"/>
      <c r="W2310" s="17"/>
      <c r="X2310" s="17"/>
      <c r="Y2310" s="17"/>
      <c r="Z2310" s="17"/>
    </row>
    <row r="2311">
      <c r="A2311" s="18" t="str">
        <f>IFERROR(__xludf.DUMMYFUNCTION("""COMPUTED_VALUE"""),"ord_92295")</f>
        <v>ord_92295</v>
      </c>
      <c r="B2311" s="18" t="str">
        <f>IFERROR(__xludf.DUMMYFUNCTION("""COMPUTED_VALUE"""),"Diya Arora")</f>
        <v>Diya Arora</v>
      </c>
      <c r="C2311" s="18" t="str">
        <f>IFERROR(__xludf.DUMMYFUNCTION("""COMPUTED_VALUE"""),"Lower Parel")</f>
        <v>Lower Parel</v>
      </c>
      <c r="D2311" s="18" t="str">
        <f>IFERROR(__xludf.DUMMYFUNCTION("""COMPUTED_VALUE"""),"Sweet Corn")</f>
        <v>Sweet Corn</v>
      </c>
      <c r="E2311" s="18">
        <f>IFERROR(__xludf.DUMMYFUNCTION("""COMPUTED_VALUE"""),2.0)</f>
        <v>2</v>
      </c>
      <c r="F2311" s="18" t="str">
        <f>IFERROR(__xludf.DUMMYFUNCTION("""COMPUTED_VALUE"""),"Sita T")</f>
        <v>Sita T</v>
      </c>
      <c r="G2311" s="19">
        <f>IFERROR(__xludf.DUMMYFUNCTION("""COMPUTED_VALUE"""),45154.0)</f>
        <v>45154</v>
      </c>
      <c r="H2311" s="18" t="str">
        <f>IFERROR(__xludf.DUMMYFUNCTION("""COMPUTED_VALUE"""),"UPI")</f>
        <v>UPI</v>
      </c>
      <c r="I2311" s="18" t="str">
        <f>IFERROR(__xludf.DUMMYFUNCTION("""COMPUTED_VALUE"""),"Delivered")</f>
        <v>Delivered</v>
      </c>
      <c r="J2311" s="18" t="str">
        <f>IFERROR(__xludf.DUMMYFUNCTION("""COMPUTED_VALUE"""),"Packaging")</f>
        <v>Packaging</v>
      </c>
      <c r="K2311" s="18" t="str">
        <f>IFERROR(__xludf.DUMMYFUNCTION("""COMPUTED_VALUE"""),"Secure and intact")</f>
        <v>Secure and intact</v>
      </c>
      <c r="L2311" s="18">
        <f>iferror(VLOOKUP($D2311,Details!$A$2:$C$11,2,false),vlookup($D2311,Details!$E$2:$G$11,2,false))</f>
        <v>60</v>
      </c>
      <c r="M2311" s="18" t="str">
        <f>iferror(VLOOKUP($D2311,Details!$A$2:$C$11,3,false),vlookup($D2311,Details!$E$2:$G$11,3,false))</f>
        <v>Fruits and Vegetables</v>
      </c>
      <c r="N2311" s="18">
        <f t="shared" si="1"/>
        <v>120</v>
      </c>
      <c r="O2311" s="17"/>
      <c r="P2311" s="17"/>
      <c r="Q2311" s="17"/>
      <c r="R2311" s="17"/>
      <c r="S2311" s="17"/>
      <c r="T2311" s="17"/>
      <c r="U2311" s="17"/>
      <c r="V2311" s="17"/>
      <c r="W2311" s="17"/>
      <c r="X2311" s="17"/>
      <c r="Y2311" s="17"/>
      <c r="Z2311" s="17"/>
    </row>
    <row r="2312">
      <c r="A2312" s="18" t="str">
        <f>IFERROR(__xludf.DUMMYFUNCTION("""COMPUTED_VALUE"""),"ord_92296")</f>
        <v>ord_92296</v>
      </c>
      <c r="B2312" s="18" t="str">
        <f>IFERROR(__xludf.DUMMYFUNCTION("""COMPUTED_VALUE"""),"Arvind Kulkarni")</f>
        <v>Arvind Kulkarni</v>
      </c>
      <c r="C2312" s="18" t="str">
        <f>IFERROR(__xludf.DUMMYFUNCTION("""COMPUTED_VALUE"""),"Juhu")</f>
        <v>Juhu</v>
      </c>
      <c r="D2312" s="18" t="str">
        <f>IFERROR(__xludf.DUMMYFUNCTION("""COMPUTED_VALUE"""),"Cucumber")</f>
        <v>Cucumber</v>
      </c>
      <c r="E2312" s="18">
        <f>IFERROR(__xludf.DUMMYFUNCTION("""COMPUTED_VALUE"""),2.0)</f>
        <v>2</v>
      </c>
      <c r="F2312" s="18" t="str">
        <f>IFERROR(__xludf.DUMMYFUNCTION("""COMPUTED_VALUE"""),"Ram Gopal")</f>
        <v>Ram Gopal</v>
      </c>
      <c r="G2312" s="19">
        <f>IFERROR(__xludf.DUMMYFUNCTION("""COMPUTED_VALUE"""),45187.0)</f>
        <v>45187</v>
      </c>
      <c r="H2312" s="18" t="str">
        <f>IFERROR(__xludf.DUMMYFUNCTION("""COMPUTED_VALUE"""),"Online Payment")</f>
        <v>Online Payment</v>
      </c>
      <c r="I2312" s="18" t="str">
        <f>IFERROR(__xludf.DUMMYFUNCTION("""COMPUTED_VALUE"""),"Delivered")</f>
        <v>Delivered</v>
      </c>
      <c r="J2312" s="18" t="str">
        <f>IFERROR(__xludf.DUMMYFUNCTION("""COMPUTED_VALUE"""),"Satisfied with the Delivery")</f>
        <v>Satisfied with the Delivery</v>
      </c>
      <c r="K2312" s="18" t="str">
        <f>IFERROR(__xludf.DUMMYFUNCTION("""COMPUTED_VALUE"""),"Timely and quality")</f>
        <v>Timely and quality</v>
      </c>
      <c r="L2312" s="18">
        <f>iferror(VLOOKUP($D2312,Details!$A$2:$C$11,2,false),vlookup($D2312,Details!$E$2:$G$11,2,false))</f>
        <v>30</v>
      </c>
      <c r="M2312" s="18" t="str">
        <f>iferror(VLOOKUP($D2312,Details!$A$2:$C$11,3,false),vlookup($D2312,Details!$E$2:$G$11,3,false))</f>
        <v>Fruits and Vegetables</v>
      </c>
      <c r="N2312" s="18">
        <f t="shared" si="1"/>
        <v>60</v>
      </c>
      <c r="O2312" s="17"/>
      <c r="P2312" s="17"/>
      <c r="Q2312" s="17"/>
      <c r="R2312" s="17"/>
      <c r="S2312" s="17"/>
      <c r="T2312" s="17"/>
      <c r="U2312" s="17"/>
      <c r="V2312" s="17"/>
      <c r="W2312" s="17"/>
      <c r="X2312" s="17"/>
      <c r="Y2312" s="17"/>
      <c r="Z2312" s="17"/>
    </row>
    <row r="2313">
      <c r="A2313" s="18" t="str">
        <f>IFERROR(__xludf.DUMMYFUNCTION("""COMPUTED_VALUE"""),"ord_92297")</f>
        <v>ord_92297</v>
      </c>
      <c r="B2313" s="18" t="str">
        <f>IFERROR(__xludf.DUMMYFUNCTION("""COMPUTED_VALUE"""),"Aarohi Kapoor")</f>
        <v>Aarohi Kapoor</v>
      </c>
      <c r="C2313" s="18" t="str">
        <f>IFERROR(__xludf.DUMMYFUNCTION("""COMPUTED_VALUE"""),"Bandra")</f>
        <v>Bandra</v>
      </c>
      <c r="D2313" s="18" t="str">
        <f>IFERROR(__xludf.DUMMYFUNCTION("""COMPUTED_VALUE"""),"Sweet Corn")</f>
        <v>Sweet Corn</v>
      </c>
      <c r="E2313" s="18">
        <f>IFERROR(__xludf.DUMMYFUNCTION("""COMPUTED_VALUE"""),1.0)</f>
        <v>1</v>
      </c>
      <c r="F2313" s="18" t="str">
        <f>IFERROR(__xludf.DUMMYFUNCTION("""COMPUTED_VALUE"""),"Ramesh S")</f>
        <v>Ramesh S</v>
      </c>
      <c r="G2313" s="19">
        <f>IFERROR(__xludf.DUMMYFUNCTION("""COMPUTED_VALUE"""),45219.0)</f>
        <v>45219</v>
      </c>
      <c r="H2313" s="18" t="str">
        <f>IFERROR(__xludf.DUMMYFUNCTION("""COMPUTED_VALUE"""),"UPI")</f>
        <v>UPI</v>
      </c>
      <c r="I2313" s="18" t="str">
        <f>IFERROR(__xludf.DUMMYFUNCTION("""COMPUTED_VALUE"""),"Delivered")</f>
        <v>Delivered</v>
      </c>
      <c r="J2313" s="18" t="str">
        <f>IFERROR(__xludf.DUMMYFUNCTION("""COMPUTED_VALUE"""),"Customer Service")</f>
        <v>Customer Service</v>
      </c>
      <c r="K2313" s="18" t="str">
        <f>IFERROR(__xludf.DUMMYFUNCTION("""COMPUTED_VALUE"""),"Seamless and easy")</f>
        <v>Seamless and easy</v>
      </c>
      <c r="L2313" s="18">
        <f>iferror(VLOOKUP($D2313,Details!$A$2:$C$11,2,false),vlookup($D2313,Details!$E$2:$G$11,2,false))</f>
        <v>60</v>
      </c>
      <c r="M2313" s="18" t="str">
        <f>iferror(VLOOKUP($D2313,Details!$A$2:$C$11,3,false),vlookup($D2313,Details!$E$2:$G$11,3,false))</f>
        <v>Fruits and Vegetables</v>
      </c>
      <c r="N2313" s="18">
        <f t="shared" si="1"/>
        <v>60</v>
      </c>
      <c r="O2313" s="17"/>
      <c r="P2313" s="17"/>
      <c r="Q2313" s="17"/>
      <c r="R2313" s="17"/>
      <c r="S2313" s="17"/>
      <c r="T2313" s="17"/>
      <c r="U2313" s="17"/>
      <c r="V2313" s="17"/>
      <c r="W2313" s="17"/>
      <c r="X2313" s="17"/>
      <c r="Y2313" s="17"/>
      <c r="Z2313" s="17"/>
    </row>
    <row r="2314">
      <c r="A2314" s="18" t="str">
        <f>IFERROR(__xludf.DUMMYFUNCTION("""COMPUTED_VALUE"""),"ord_92298")</f>
        <v>ord_92298</v>
      </c>
      <c r="B2314" s="18" t="str">
        <f>IFERROR(__xludf.DUMMYFUNCTION("""COMPUTED_VALUE"""),"Diya Arora")</f>
        <v>Diya Arora</v>
      </c>
      <c r="C2314" s="18" t="str">
        <f>IFERROR(__xludf.DUMMYFUNCTION("""COMPUTED_VALUE"""),"Lower Parel")</f>
        <v>Lower Parel</v>
      </c>
      <c r="D2314" s="18" t="str">
        <f>IFERROR(__xludf.DUMMYFUNCTION("""COMPUTED_VALUE"""),"Papaya")</f>
        <v>Papaya</v>
      </c>
      <c r="E2314" s="18">
        <f>IFERROR(__xludf.DUMMYFUNCTION("""COMPUTED_VALUE"""),2.0)</f>
        <v>2</v>
      </c>
      <c r="F2314" s="18" t="str">
        <f>IFERROR(__xludf.DUMMYFUNCTION("""COMPUTED_VALUE"""),"Vivek Kumar")</f>
        <v>Vivek Kumar</v>
      </c>
      <c r="G2314" s="19">
        <f>IFERROR(__xludf.DUMMYFUNCTION("""COMPUTED_VALUE"""),45087.0)</f>
        <v>45087</v>
      </c>
      <c r="H2314" s="18" t="str">
        <f>IFERROR(__xludf.DUMMYFUNCTION("""COMPUTED_VALUE"""),"UPI")</f>
        <v>UPI</v>
      </c>
      <c r="I2314" s="18" t="str">
        <f>IFERROR(__xludf.DUMMYFUNCTION("""COMPUTED_VALUE"""),"Delivered")</f>
        <v>Delivered</v>
      </c>
      <c r="J2314" s="18" t="str">
        <f>IFERROR(__xludf.DUMMYFUNCTION("""COMPUTED_VALUE"""),"Delivery Experience")</f>
        <v>Delivery Experience</v>
      </c>
      <c r="K2314" s="18" t="str">
        <f>IFERROR(__xludf.DUMMYFUNCTION("""COMPUTED_VALUE"""),"Quick and professional")</f>
        <v>Quick and professional</v>
      </c>
      <c r="L2314" s="18">
        <f>iferror(VLOOKUP($D2314,Details!$A$2:$C$11,2,false),vlookup($D2314,Details!$E$2:$G$11,2,false))</f>
        <v>75</v>
      </c>
      <c r="M2314" s="18" t="str">
        <f>iferror(VLOOKUP($D2314,Details!$A$2:$C$11,3,false),vlookup($D2314,Details!$E$2:$G$11,3,false))</f>
        <v>Fruits and Vegetables</v>
      </c>
      <c r="N2314" s="18">
        <f t="shared" si="1"/>
        <v>150</v>
      </c>
      <c r="O2314" s="17"/>
      <c r="P2314" s="17"/>
      <c r="Q2314" s="17"/>
      <c r="R2314" s="17"/>
      <c r="S2314" s="17"/>
      <c r="T2314" s="17"/>
      <c r="U2314" s="17"/>
      <c r="V2314" s="17"/>
      <c r="W2314" s="17"/>
      <c r="X2314" s="17"/>
      <c r="Y2314" s="17"/>
      <c r="Z2314" s="17"/>
    </row>
    <row r="2315">
      <c r="A2315" s="18" t="str">
        <f>IFERROR(__xludf.DUMMYFUNCTION("""COMPUTED_VALUE"""),"ord_92299")</f>
        <v>ord_92299</v>
      </c>
      <c r="B2315" s="18" t="str">
        <f>IFERROR(__xludf.DUMMYFUNCTION("""COMPUTED_VALUE"""),"Aarav Mehta")</f>
        <v>Aarav Mehta</v>
      </c>
      <c r="C2315" s="18" t="str">
        <f>IFERROR(__xludf.DUMMYFUNCTION("""COMPUTED_VALUE"""),"Andheri")</f>
        <v>Andheri</v>
      </c>
      <c r="D2315" s="18" t="str">
        <f>IFERROR(__xludf.DUMMYFUNCTION("""COMPUTED_VALUE"""),"Tiramisu")</f>
        <v>Tiramisu</v>
      </c>
      <c r="E2315" s="18">
        <f>IFERROR(__xludf.DUMMYFUNCTION("""COMPUTED_VALUE"""),3.0)</f>
        <v>3</v>
      </c>
      <c r="F2315" s="18" t="str">
        <f>IFERROR(__xludf.DUMMYFUNCTION("""COMPUTED_VALUE"""),"Ram Gopal")</f>
        <v>Ram Gopal</v>
      </c>
      <c r="G2315" s="19">
        <f>IFERROR(__xludf.DUMMYFUNCTION("""COMPUTED_VALUE"""),45282.0)</f>
        <v>45282</v>
      </c>
      <c r="H2315" s="18" t="str">
        <f>IFERROR(__xludf.DUMMYFUNCTION("""COMPUTED_VALUE"""),"UPI")</f>
        <v>UPI</v>
      </c>
      <c r="I2315" s="18" t="str">
        <f>IFERROR(__xludf.DUMMYFUNCTION("""COMPUTED_VALUE"""),"Delivered")</f>
        <v>Delivered</v>
      </c>
      <c r="J2315" s="18" t="str">
        <f>IFERROR(__xludf.DUMMYFUNCTION("""COMPUTED_VALUE"""),"Convenience")</f>
        <v>Convenience</v>
      </c>
      <c r="K2315" s="18" t="str">
        <f>IFERROR(__xludf.DUMMYFUNCTION("""COMPUTED_VALUE"""),"Easy tracking")</f>
        <v>Easy tracking</v>
      </c>
      <c r="L2315" s="18">
        <f>iferror(VLOOKUP($D2315,Details!$A$2:$C$11,2,false),vlookup($D2315,Details!$E$2:$G$11,2,false))</f>
        <v>150</v>
      </c>
      <c r="M2315" s="18" t="str">
        <f>iferror(VLOOKUP($D2315,Details!$A$2:$C$11,3,false),vlookup($D2315,Details!$E$2:$G$11,3,false))</f>
        <v>Snacks and Drinks</v>
      </c>
      <c r="N2315" s="18">
        <f t="shared" si="1"/>
        <v>450</v>
      </c>
      <c r="O2315" s="17"/>
      <c r="P2315" s="17"/>
      <c r="Q2315" s="17"/>
      <c r="R2315" s="17"/>
      <c r="S2315" s="17"/>
      <c r="T2315" s="17"/>
      <c r="U2315" s="17"/>
      <c r="V2315" s="17"/>
      <c r="W2315" s="17"/>
      <c r="X2315" s="17"/>
      <c r="Y2315" s="17"/>
      <c r="Z2315" s="17"/>
    </row>
    <row r="2316">
      <c r="A2316" s="18" t="str">
        <f>IFERROR(__xludf.DUMMYFUNCTION("""COMPUTED_VALUE"""),"ord_92300")</f>
        <v>ord_92300</v>
      </c>
      <c r="B2316" s="18" t="str">
        <f>IFERROR(__xludf.DUMMYFUNCTION("""COMPUTED_VALUE"""),"Parth Goel")</f>
        <v>Parth Goel</v>
      </c>
      <c r="C2316" s="18" t="str">
        <f>IFERROR(__xludf.DUMMYFUNCTION("""COMPUTED_VALUE"""),"Juhu")</f>
        <v>Juhu</v>
      </c>
      <c r="D2316" s="18" t="str">
        <f>IFERROR(__xludf.DUMMYFUNCTION("""COMPUTED_VALUE"""),"Juice")</f>
        <v>Juice</v>
      </c>
      <c r="E2316" s="18">
        <f>IFERROR(__xludf.DUMMYFUNCTION("""COMPUTED_VALUE"""),1.0)</f>
        <v>1</v>
      </c>
      <c r="F2316" s="18" t="str">
        <f>IFERROR(__xludf.DUMMYFUNCTION("""COMPUTED_VALUE"""),"Sita T")</f>
        <v>Sita T</v>
      </c>
      <c r="G2316" s="19">
        <f>IFERROR(__xludf.DUMMYFUNCTION("""COMPUTED_VALUE"""),45096.0)</f>
        <v>45096</v>
      </c>
      <c r="H2316" s="18" t="str">
        <f>IFERROR(__xludf.DUMMYFUNCTION("""COMPUTED_VALUE"""),"UPI")</f>
        <v>UPI</v>
      </c>
      <c r="I2316" s="18" t="str">
        <f>IFERROR(__xludf.DUMMYFUNCTION("""COMPUTED_VALUE"""),"Delivered")</f>
        <v>Delivered</v>
      </c>
      <c r="J2316" s="18" t="str">
        <f>IFERROR(__xludf.DUMMYFUNCTION("""COMPUTED_VALUE"""),"Overall Satisfaction")</f>
        <v>Overall Satisfaction</v>
      </c>
      <c r="K2316" s="18" t="str">
        <f>IFERROR(__xludf.DUMMYFUNCTION("""COMPUTED_VALUE"""),"Great service will order again")</f>
        <v>Great service will order again</v>
      </c>
      <c r="L2316" s="18">
        <f>iferror(VLOOKUP($D2316,Details!$A$2:$C$11,2,false),vlookup($D2316,Details!$E$2:$G$11,2,false))</f>
        <v>90</v>
      </c>
      <c r="M2316" s="18" t="str">
        <f>iferror(VLOOKUP($D2316,Details!$A$2:$C$11,3,false),vlookup($D2316,Details!$E$2:$G$11,3,false))</f>
        <v>Snacks and Drinks</v>
      </c>
      <c r="N2316" s="18">
        <f t="shared" si="1"/>
        <v>90</v>
      </c>
      <c r="O2316" s="17"/>
      <c r="P2316" s="17"/>
      <c r="Q2316" s="17"/>
      <c r="R2316" s="17"/>
      <c r="S2316" s="17"/>
      <c r="T2316" s="17"/>
      <c r="U2316" s="17"/>
      <c r="V2316" s="17"/>
      <c r="W2316" s="17"/>
      <c r="X2316" s="17"/>
      <c r="Y2316" s="17"/>
      <c r="Z2316" s="17"/>
    </row>
    <row r="2317">
      <c r="A2317" s="18" t="str">
        <f>IFERROR(__xludf.DUMMYFUNCTION("""COMPUTED_VALUE"""),"ord_92301")</f>
        <v>ord_92301</v>
      </c>
      <c r="B2317" s="18" t="str">
        <f>IFERROR(__xludf.DUMMYFUNCTION("""COMPUTED_VALUE"""),"Aditi Iyer")</f>
        <v>Aditi Iyer</v>
      </c>
      <c r="C2317" s="18" t="str">
        <f>IFERROR(__xludf.DUMMYFUNCTION("""COMPUTED_VALUE"""),"Dadar")</f>
        <v>Dadar</v>
      </c>
      <c r="D2317" s="18" t="str">
        <f>IFERROR(__xludf.DUMMYFUNCTION("""COMPUTED_VALUE"""),"Tomato")</f>
        <v>Tomato</v>
      </c>
      <c r="E2317" s="18">
        <f>IFERROR(__xludf.DUMMYFUNCTION("""COMPUTED_VALUE"""),1.0)</f>
        <v>1</v>
      </c>
      <c r="F2317" s="18" t="str">
        <f>IFERROR(__xludf.DUMMYFUNCTION("""COMPUTED_VALUE"""),"Ramesh S")</f>
        <v>Ramesh S</v>
      </c>
      <c r="G2317" s="19">
        <f>IFERROR(__xludf.DUMMYFUNCTION("""COMPUTED_VALUE"""),45141.0)</f>
        <v>45141</v>
      </c>
      <c r="H2317" s="18" t="str">
        <f>IFERROR(__xludf.DUMMYFUNCTION("""COMPUTED_VALUE"""),"UPI")</f>
        <v>UPI</v>
      </c>
      <c r="I2317" s="18" t="str">
        <f>IFERROR(__xludf.DUMMYFUNCTION("""COMPUTED_VALUE"""),"Delivered")</f>
        <v>Delivered</v>
      </c>
      <c r="J2317" s="18" t="str">
        <f>IFERROR(__xludf.DUMMYFUNCTION("""COMPUTED_VALUE"""),"On-time Delivery")</f>
        <v>On-time Delivery</v>
      </c>
      <c r="K2317" s="18" t="str">
        <f>IFERROR(__xludf.DUMMYFUNCTION("""COMPUTED_VALUE"""),"Delivered on time")</f>
        <v>Delivered on time</v>
      </c>
      <c r="L2317" s="18">
        <f>iferror(VLOOKUP($D2317,Details!$A$2:$C$11,2,false),vlookup($D2317,Details!$E$2:$G$11,2,false))</f>
        <v>25</v>
      </c>
      <c r="M2317" s="18" t="str">
        <f>iferror(VLOOKUP($D2317,Details!$A$2:$C$11,3,false),vlookup($D2317,Details!$E$2:$G$11,3,false))</f>
        <v>Fruits and Vegetables</v>
      </c>
      <c r="N2317" s="18">
        <f t="shared" si="1"/>
        <v>25</v>
      </c>
      <c r="O2317" s="17"/>
      <c r="P2317" s="17"/>
      <c r="Q2317" s="17"/>
      <c r="R2317" s="17"/>
      <c r="S2317" s="17"/>
      <c r="T2317" s="17"/>
      <c r="U2317" s="17"/>
      <c r="V2317" s="17"/>
      <c r="W2317" s="17"/>
      <c r="X2317" s="17"/>
      <c r="Y2317" s="17"/>
      <c r="Z2317" s="17"/>
    </row>
    <row r="2318">
      <c r="A2318" s="18" t="str">
        <f>IFERROR(__xludf.DUMMYFUNCTION("""COMPUTED_VALUE"""),"ord_92302")</f>
        <v>ord_92302</v>
      </c>
      <c r="B2318" s="18" t="str">
        <f>IFERROR(__xludf.DUMMYFUNCTION("""COMPUTED_VALUE"""),"Pranav Joshi")</f>
        <v>Pranav Joshi</v>
      </c>
      <c r="C2318" s="18" t="str">
        <f>IFERROR(__xludf.DUMMYFUNCTION("""COMPUTED_VALUE"""),"Andheri")</f>
        <v>Andheri</v>
      </c>
      <c r="D2318" s="18" t="str">
        <f>IFERROR(__xludf.DUMMYFUNCTION("""COMPUTED_VALUE"""),"Cucumber")</f>
        <v>Cucumber</v>
      </c>
      <c r="E2318" s="18">
        <f>IFERROR(__xludf.DUMMYFUNCTION("""COMPUTED_VALUE"""),2.0)</f>
        <v>2</v>
      </c>
      <c r="F2318" s="18" t="str">
        <f>IFERROR(__xludf.DUMMYFUNCTION("""COMPUTED_VALUE"""),"Manju Ajay")</f>
        <v>Manju Ajay</v>
      </c>
      <c r="G2318" s="19">
        <f>IFERROR(__xludf.DUMMYFUNCTION("""COMPUTED_VALUE"""),45248.0)</f>
        <v>45248</v>
      </c>
      <c r="H2318" s="18" t="str">
        <f>IFERROR(__xludf.DUMMYFUNCTION("""COMPUTED_VALUE"""),"UPI")</f>
        <v>UPI</v>
      </c>
      <c r="I2318" s="18" t="str">
        <f>IFERROR(__xludf.DUMMYFUNCTION("""COMPUTED_VALUE"""),"Delivered")</f>
        <v>Delivered</v>
      </c>
      <c r="J2318" s="18" t="str">
        <f>IFERROR(__xludf.DUMMYFUNCTION("""COMPUTED_VALUE"""),"On-time Delivery")</f>
        <v>On-time Delivery</v>
      </c>
      <c r="K2318" s="18" t="str">
        <f>IFERROR(__xludf.DUMMYFUNCTION("""COMPUTED_VALUE"""),"Delivered on time")</f>
        <v>Delivered on time</v>
      </c>
      <c r="L2318" s="18">
        <f>iferror(VLOOKUP($D2318,Details!$A$2:$C$11,2,false),vlookup($D2318,Details!$E$2:$G$11,2,false))</f>
        <v>30</v>
      </c>
      <c r="M2318" s="18" t="str">
        <f>iferror(VLOOKUP($D2318,Details!$A$2:$C$11,3,false),vlookup($D2318,Details!$E$2:$G$11,3,false))</f>
        <v>Fruits and Vegetables</v>
      </c>
      <c r="N2318" s="18">
        <f t="shared" si="1"/>
        <v>60</v>
      </c>
      <c r="O2318" s="17"/>
      <c r="P2318" s="17"/>
      <c r="Q2318" s="17"/>
      <c r="R2318" s="17"/>
      <c r="S2318" s="17"/>
      <c r="T2318" s="17"/>
      <c r="U2318" s="17"/>
      <c r="V2318" s="17"/>
      <c r="W2318" s="17"/>
      <c r="X2318" s="17"/>
      <c r="Y2318" s="17"/>
      <c r="Z2318" s="17"/>
    </row>
    <row r="2319">
      <c r="A2319" s="18" t="str">
        <f>IFERROR(__xludf.DUMMYFUNCTION("""COMPUTED_VALUE"""),"ord_92303")</f>
        <v>ord_92303</v>
      </c>
      <c r="B2319" s="18" t="str">
        <f>IFERROR(__xludf.DUMMYFUNCTION("""COMPUTED_VALUE"""),"Mohit Malhotra")</f>
        <v>Mohit Malhotra</v>
      </c>
      <c r="C2319" s="18" t="str">
        <f>IFERROR(__xludf.DUMMYFUNCTION("""COMPUTED_VALUE"""),"Lower Parel")</f>
        <v>Lower Parel</v>
      </c>
      <c r="D2319" s="18" t="str">
        <f>IFERROR(__xludf.DUMMYFUNCTION("""COMPUTED_VALUE"""),"Rasmalai")</f>
        <v>Rasmalai</v>
      </c>
      <c r="E2319" s="18">
        <f>IFERROR(__xludf.DUMMYFUNCTION("""COMPUTED_VALUE"""),3.0)</f>
        <v>3</v>
      </c>
      <c r="F2319" s="18" t="str">
        <f>IFERROR(__xludf.DUMMYFUNCTION("""COMPUTED_VALUE"""),"Sita T")</f>
        <v>Sita T</v>
      </c>
      <c r="G2319" s="19">
        <f>IFERROR(__xludf.DUMMYFUNCTION("""COMPUTED_VALUE"""),45157.0)</f>
        <v>45157</v>
      </c>
      <c r="H2319" s="18" t="str">
        <f>IFERROR(__xludf.DUMMYFUNCTION("""COMPUTED_VALUE"""),"Credit Card")</f>
        <v>Credit Card</v>
      </c>
      <c r="I2319" s="18" t="str">
        <f>IFERROR(__xludf.DUMMYFUNCTION("""COMPUTED_VALUE"""),"Delivered")</f>
        <v>Delivered</v>
      </c>
      <c r="J2319" s="18" t="str">
        <f>IFERROR(__xludf.DUMMYFUNCTION("""COMPUTED_VALUE"""),"Quality of Items")</f>
        <v>Quality of Items</v>
      </c>
      <c r="K2319" s="18" t="str">
        <f>IFERROR(__xludf.DUMMYFUNCTION("""COMPUTED_VALUE"""),"Perfect condition")</f>
        <v>Perfect condition</v>
      </c>
      <c r="L2319" s="18">
        <f>iferror(VLOOKUP($D2319,Details!$A$2:$C$11,2,false),vlookup($D2319,Details!$E$2:$G$11,2,false))</f>
        <v>110</v>
      </c>
      <c r="M2319" s="18" t="str">
        <f>iferror(VLOOKUP($D2319,Details!$A$2:$C$11,3,false),vlookup($D2319,Details!$E$2:$G$11,3,false))</f>
        <v>Snacks and Drinks</v>
      </c>
      <c r="N2319" s="18">
        <f t="shared" si="1"/>
        <v>330</v>
      </c>
      <c r="O2319" s="17"/>
      <c r="P2319" s="17"/>
      <c r="Q2319" s="17"/>
      <c r="R2319" s="17"/>
      <c r="S2319" s="17"/>
      <c r="T2319" s="17"/>
      <c r="U2319" s="17"/>
      <c r="V2319" s="17"/>
      <c r="W2319" s="17"/>
      <c r="X2319" s="17"/>
      <c r="Y2319" s="17"/>
      <c r="Z2319" s="17"/>
    </row>
    <row r="2320">
      <c r="A2320" s="18" t="str">
        <f>IFERROR(__xludf.DUMMYFUNCTION("""COMPUTED_VALUE"""),"ord_92304")</f>
        <v>ord_92304</v>
      </c>
      <c r="B2320" s="18" t="str">
        <f>IFERROR(__xludf.DUMMYFUNCTION("""COMPUTED_VALUE"""),"Arvind Kulkarni")</f>
        <v>Arvind Kulkarni</v>
      </c>
      <c r="C2320" s="18" t="str">
        <f>IFERROR(__xludf.DUMMYFUNCTION("""COMPUTED_VALUE"""),"Juhu")</f>
        <v>Juhu</v>
      </c>
      <c r="D2320" s="18" t="str">
        <f>IFERROR(__xludf.DUMMYFUNCTION("""COMPUTED_VALUE"""),"Guava")</f>
        <v>Guava</v>
      </c>
      <c r="E2320" s="18">
        <f>IFERROR(__xludf.DUMMYFUNCTION("""COMPUTED_VALUE"""),1.0)</f>
        <v>1</v>
      </c>
      <c r="F2320" s="18" t="str">
        <f>IFERROR(__xludf.DUMMYFUNCTION("""COMPUTED_VALUE"""),"Ram Gopal")</f>
        <v>Ram Gopal</v>
      </c>
      <c r="G2320" s="19">
        <f>IFERROR(__xludf.DUMMYFUNCTION("""COMPUTED_VALUE"""),45285.0)</f>
        <v>45285</v>
      </c>
      <c r="H2320" s="18" t="str">
        <f>IFERROR(__xludf.DUMMYFUNCTION("""COMPUTED_VALUE"""),"Credit Card")</f>
        <v>Credit Card</v>
      </c>
      <c r="I2320" s="18" t="str">
        <f>IFERROR(__xludf.DUMMYFUNCTION("""COMPUTED_VALUE"""),"Delivered")</f>
        <v>Delivered</v>
      </c>
      <c r="J2320" s="18" t="str">
        <f>IFERROR(__xludf.DUMMYFUNCTION("""COMPUTED_VALUE"""),"Packaging")</f>
        <v>Packaging</v>
      </c>
      <c r="K2320" s="18" t="str">
        <f>IFERROR(__xludf.DUMMYFUNCTION("""COMPUTED_VALUE"""),"Secure and intact")</f>
        <v>Secure and intact</v>
      </c>
      <c r="L2320" s="18">
        <f>iferror(VLOOKUP($D2320,Details!$A$2:$C$11,2,false),vlookup($D2320,Details!$E$2:$G$11,2,false))</f>
        <v>70</v>
      </c>
      <c r="M2320" s="18" t="str">
        <f>iferror(VLOOKUP($D2320,Details!$A$2:$C$11,3,false),vlookup($D2320,Details!$E$2:$G$11,3,false))</f>
        <v>Fruits and Vegetables</v>
      </c>
      <c r="N2320" s="18">
        <f t="shared" si="1"/>
        <v>70</v>
      </c>
      <c r="O2320" s="17"/>
      <c r="P2320" s="17"/>
      <c r="Q2320" s="17"/>
      <c r="R2320" s="17"/>
      <c r="S2320" s="17"/>
      <c r="T2320" s="17"/>
      <c r="U2320" s="17"/>
      <c r="V2320" s="17"/>
      <c r="W2320" s="17"/>
      <c r="X2320" s="17"/>
      <c r="Y2320" s="17"/>
      <c r="Z2320" s="17"/>
    </row>
    <row r="2321">
      <c r="A2321" s="18" t="str">
        <f>IFERROR(__xludf.DUMMYFUNCTION("""COMPUTED_VALUE"""),"ord_92322")</f>
        <v>ord_92322</v>
      </c>
      <c r="B2321" s="18" t="str">
        <f>IFERROR(__xludf.DUMMYFUNCTION("""COMPUTED_VALUE"""),"Arvind Kulkarni")</f>
        <v>Arvind Kulkarni</v>
      </c>
      <c r="C2321" s="18" t="str">
        <f>IFERROR(__xludf.DUMMYFUNCTION("""COMPUTED_VALUE"""),"Juhu")</f>
        <v>Juhu</v>
      </c>
      <c r="D2321" s="18" t="str">
        <f>IFERROR(__xludf.DUMMYFUNCTION("""COMPUTED_VALUE"""),"Banana")</f>
        <v>Banana</v>
      </c>
      <c r="E2321" s="18">
        <f>IFERROR(__xludf.DUMMYFUNCTION("""COMPUTED_VALUE"""),1.0)</f>
        <v>1</v>
      </c>
      <c r="F2321" s="18" t="str">
        <f>IFERROR(__xludf.DUMMYFUNCTION("""COMPUTED_VALUE"""),"Ramesh S")</f>
        <v>Ramesh S</v>
      </c>
      <c r="G2321" s="19">
        <f>IFERROR(__xludf.DUMMYFUNCTION("""COMPUTED_VALUE"""),45131.0)</f>
        <v>45131</v>
      </c>
      <c r="H2321" s="18" t="str">
        <f>IFERROR(__xludf.DUMMYFUNCTION("""COMPUTED_VALUE"""),"UPI")</f>
        <v>UPI</v>
      </c>
      <c r="I2321" s="18" t="str">
        <f>IFERROR(__xludf.DUMMYFUNCTION("""COMPUTED_VALUE"""),"Delivered")</f>
        <v>Delivered</v>
      </c>
      <c r="J2321" s="18" t="str">
        <f>IFERROR(__xludf.DUMMYFUNCTION("""COMPUTED_VALUE"""),"Satisfied with the Delivery")</f>
        <v>Satisfied with the Delivery</v>
      </c>
      <c r="K2321" s="18" t="str">
        <f>IFERROR(__xludf.DUMMYFUNCTION("""COMPUTED_VALUE"""),"Timely and quality")</f>
        <v>Timely and quality</v>
      </c>
      <c r="L2321" s="18">
        <f>iferror(VLOOKUP($D2321,Details!$A$2:$C$11,2,false),vlookup($D2321,Details!$E$2:$G$11,2,false))</f>
        <v>80</v>
      </c>
      <c r="M2321" s="18" t="str">
        <f>iferror(VLOOKUP($D2321,Details!$A$2:$C$11,3,false),vlookup($D2321,Details!$E$2:$G$11,3,false))</f>
        <v>Fruits and Vegetables</v>
      </c>
      <c r="N2321" s="18">
        <f t="shared" si="1"/>
        <v>80</v>
      </c>
      <c r="O2321" s="17"/>
      <c r="P2321" s="17"/>
      <c r="Q2321" s="17"/>
      <c r="R2321" s="17"/>
      <c r="S2321" s="17"/>
      <c r="T2321" s="17"/>
      <c r="U2321" s="17"/>
      <c r="V2321" s="17"/>
      <c r="W2321" s="17"/>
      <c r="X2321" s="17"/>
      <c r="Y2321" s="17"/>
      <c r="Z2321" s="17"/>
    </row>
    <row r="2322">
      <c r="A2322" s="18" t="str">
        <f>IFERROR(__xludf.DUMMYFUNCTION("""COMPUTED_VALUE"""),"ord_92323")</f>
        <v>ord_92323</v>
      </c>
      <c r="B2322" s="18" t="str">
        <f>IFERROR(__xludf.DUMMYFUNCTION("""COMPUTED_VALUE"""),"Arvind Kulkarni")</f>
        <v>Arvind Kulkarni</v>
      </c>
      <c r="C2322" s="18" t="str">
        <f>IFERROR(__xludf.DUMMYFUNCTION("""COMPUTED_VALUE"""),"Juhu")</f>
        <v>Juhu</v>
      </c>
      <c r="D2322" s="18" t="str">
        <f>IFERROR(__xludf.DUMMYFUNCTION("""COMPUTED_VALUE"""),"Sweet Corn")</f>
        <v>Sweet Corn</v>
      </c>
      <c r="E2322" s="18">
        <f>IFERROR(__xludf.DUMMYFUNCTION("""COMPUTED_VALUE"""),2.0)</f>
        <v>2</v>
      </c>
      <c r="F2322" s="18" t="str">
        <f>IFERROR(__xludf.DUMMYFUNCTION("""COMPUTED_VALUE"""),"Ramesh S")</f>
        <v>Ramesh S</v>
      </c>
      <c r="G2322" s="19">
        <f>IFERROR(__xludf.DUMMYFUNCTION("""COMPUTED_VALUE"""),45116.0)</f>
        <v>45116</v>
      </c>
      <c r="H2322" s="18" t="str">
        <f>IFERROR(__xludf.DUMMYFUNCTION("""COMPUTED_VALUE"""),"UPI")</f>
        <v>UPI</v>
      </c>
      <c r="I2322" s="18" t="str">
        <f>IFERROR(__xludf.DUMMYFUNCTION("""COMPUTED_VALUE"""),"Delivered")</f>
        <v>Delivered</v>
      </c>
      <c r="J2322" s="18" t="str">
        <f>IFERROR(__xludf.DUMMYFUNCTION("""COMPUTED_VALUE"""),"Customer Service")</f>
        <v>Customer Service</v>
      </c>
      <c r="K2322" s="18" t="str">
        <f>IFERROR(__xludf.DUMMYFUNCTION("""COMPUTED_VALUE"""),"Seamless and easy")</f>
        <v>Seamless and easy</v>
      </c>
      <c r="L2322" s="18">
        <f>iferror(VLOOKUP($D2322,Details!$A$2:$C$11,2,false),vlookup($D2322,Details!$E$2:$G$11,2,false))</f>
        <v>60</v>
      </c>
      <c r="M2322" s="18" t="str">
        <f>iferror(VLOOKUP($D2322,Details!$A$2:$C$11,3,false),vlookup($D2322,Details!$E$2:$G$11,3,false))</f>
        <v>Fruits and Vegetables</v>
      </c>
      <c r="N2322" s="18">
        <f t="shared" si="1"/>
        <v>120</v>
      </c>
      <c r="O2322" s="17"/>
      <c r="P2322" s="17"/>
      <c r="Q2322" s="17"/>
      <c r="R2322" s="17"/>
      <c r="S2322" s="17"/>
      <c r="T2322" s="17"/>
      <c r="U2322" s="17"/>
      <c r="V2322" s="17"/>
      <c r="W2322" s="17"/>
      <c r="X2322" s="17"/>
      <c r="Y2322" s="17"/>
      <c r="Z2322" s="17"/>
    </row>
    <row r="2323">
      <c r="A2323" s="18" t="str">
        <f>IFERROR(__xludf.DUMMYFUNCTION("""COMPUTED_VALUE"""),"ord_92324")</f>
        <v>ord_92324</v>
      </c>
      <c r="B2323" s="18" t="str">
        <f>IFERROR(__xludf.DUMMYFUNCTION("""COMPUTED_VALUE"""),"Diya Arora")</f>
        <v>Diya Arora</v>
      </c>
      <c r="C2323" s="18" t="str">
        <f>IFERROR(__xludf.DUMMYFUNCTION("""COMPUTED_VALUE"""),"Lower Parel")</f>
        <v>Lower Parel</v>
      </c>
      <c r="D2323" s="18" t="str">
        <f>IFERROR(__xludf.DUMMYFUNCTION("""COMPUTED_VALUE"""),"Chicken Puff")</f>
        <v>Chicken Puff</v>
      </c>
      <c r="E2323" s="18">
        <f>IFERROR(__xludf.DUMMYFUNCTION("""COMPUTED_VALUE"""),3.0)</f>
        <v>3</v>
      </c>
      <c r="F2323" s="18" t="str">
        <f>IFERROR(__xludf.DUMMYFUNCTION("""COMPUTED_VALUE"""),"Ramesh S")</f>
        <v>Ramesh S</v>
      </c>
      <c r="G2323" s="19">
        <f>IFERROR(__xludf.DUMMYFUNCTION("""COMPUTED_VALUE"""),45287.0)</f>
        <v>45287</v>
      </c>
      <c r="H2323" s="18" t="str">
        <f>IFERROR(__xludf.DUMMYFUNCTION("""COMPUTED_VALUE"""),"Credit Card")</f>
        <v>Credit Card</v>
      </c>
      <c r="I2323" s="18" t="str">
        <f>IFERROR(__xludf.DUMMYFUNCTION("""COMPUTED_VALUE"""),"Delivered")</f>
        <v>Delivered</v>
      </c>
      <c r="J2323" s="18" t="str">
        <f>IFERROR(__xludf.DUMMYFUNCTION("""COMPUTED_VALUE"""),"Delivery Experience")</f>
        <v>Delivery Experience</v>
      </c>
      <c r="K2323" s="18" t="str">
        <f>IFERROR(__xludf.DUMMYFUNCTION("""COMPUTED_VALUE"""),"Quick and professional")</f>
        <v>Quick and professional</v>
      </c>
      <c r="L2323" s="18">
        <f>iferror(VLOOKUP($D2323,Details!$A$2:$C$11,2,false),vlookup($D2323,Details!$E$2:$G$11,2,false))</f>
        <v>90</v>
      </c>
      <c r="M2323" s="18" t="str">
        <f>iferror(VLOOKUP($D2323,Details!$A$2:$C$11,3,false),vlookup($D2323,Details!$E$2:$G$11,3,false))</f>
        <v>Snacks and Drinks</v>
      </c>
      <c r="N2323" s="18">
        <f t="shared" si="1"/>
        <v>270</v>
      </c>
      <c r="O2323" s="17"/>
      <c r="P2323" s="17"/>
      <c r="Q2323" s="17"/>
      <c r="R2323" s="17"/>
      <c r="S2323" s="17"/>
      <c r="T2323" s="17"/>
      <c r="U2323" s="17"/>
      <c r="V2323" s="17"/>
      <c r="W2323" s="17"/>
      <c r="X2323" s="17"/>
      <c r="Y2323" s="17"/>
      <c r="Z2323" s="17"/>
    </row>
    <row r="2324">
      <c r="A2324" s="18" t="str">
        <f>IFERROR(__xludf.DUMMYFUNCTION("""COMPUTED_VALUE"""),"ord_92325")</f>
        <v>ord_92325</v>
      </c>
      <c r="B2324" s="18" t="str">
        <f>IFERROR(__xludf.DUMMYFUNCTION("""COMPUTED_VALUE"""),"Diya Arora")</f>
        <v>Diya Arora</v>
      </c>
      <c r="C2324" s="18" t="str">
        <f>IFERROR(__xludf.DUMMYFUNCTION("""COMPUTED_VALUE"""),"Lower Parel")</f>
        <v>Lower Parel</v>
      </c>
      <c r="D2324" s="18" t="str">
        <f>IFERROR(__xludf.DUMMYFUNCTION("""COMPUTED_VALUE"""),"Onion")</f>
        <v>Onion</v>
      </c>
      <c r="E2324" s="18">
        <f>IFERROR(__xludf.DUMMYFUNCTION("""COMPUTED_VALUE"""),2.0)</f>
        <v>2</v>
      </c>
      <c r="F2324" s="18" t="str">
        <f>IFERROR(__xludf.DUMMYFUNCTION("""COMPUTED_VALUE"""),"Ram Gopal")</f>
        <v>Ram Gopal</v>
      </c>
      <c r="G2324" s="19">
        <f>IFERROR(__xludf.DUMMYFUNCTION("""COMPUTED_VALUE"""),45117.0)</f>
        <v>45117</v>
      </c>
      <c r="H2324" s="18" t="str">
        <f>IFERROR(__xludf.DUMMYFUNCTION("""COMPUTED_VALUE"""),"Online Payment")</f>
        <v>Online Payment</v>
      </c>
      <c r="I2324" s="18" t="str">
        <f>IFERROR(__xludf.DUMMYFUNCTION("""COMPUTED_VALUE"""),"Delivered")</f>
        <v>Delivered</v>
      </c>
      <c r="J2324" s="18" t="str">
        <f>IFERROR(__xludf.DUMMYFUNCTION("""COMPUTED_VALUE"""),"Convenience")</f>
        <v>Convenience</v>
      </c>
      <c r="K2324" s="18" t="str">
        <f>IFERROR(__xludf.DUMMYFUNCTION("""COMPUTED_VALUE"""),"Easy tracking")</f>
        <v>Easy tracking</v>
      </c>
      <c r="L2324" s="18">
        <f>iferror(VLOOKUP($D2324,Details!$A$2:$C$11,2,false),vlookup($D2324,Details!$E$2:$G$11,2,false))</f>
        <v>84</v>
      </c>
      <c r="M2324" s="18" t="str">
        <f>iferror(VLOOKUP($D2324,Details!$A$2:$C$11,3,false),vlookup($D2324,Details!$E$2:$G$11,3,false))</f>
        <v>Fruits and Vegetables</v>
      </c>
      <c r="N2324" s="18">
        <f t="shared" si="1"/>
        <v>168</v>
      </c>
      <c r="O2324" s="17"/>
      <c r="P2324" s="17"/>
      <c r="Q2324" s="17"/>
      <c r="R2324" s="17"/>
      <c r="S2324" s="17"/>
      <c r="T2324" s="17"/>
      <c r="U2324" s="17"/>
      <c r="V2324" s="17"/>
      <c r="W2324" s="17"/>
      <c r="X2324" s="17"/>
      <c r="Y2324" s="17"/>
      <c r="Z2324" s="17"/>
    </row>
    <row r="2325">
      <c r="A2325" s="18" t="str">
        <f>IFERROR(__xludf.DUMMYFUNCTION("""COMPUTED_VALUE"""),"ord_92326")</f>
        <v>ord_92326</v>
      </c>
      <c r="B2325" s="18" t="str">
        <f>IFERROR(__xludf.DUMMYFUNCTION("""COMPUTED_VALUE"""),"Dev Chauhan")</f>
        <v>Dev Chauhan</v>
      </c>
      <c r="C2325" s="18" t="str">
        <f>IFERROR(__xludf.DUMMYFUNCTION("""COMPUTED_VALUE"""),"Bandra")</f>
        <v>Bandra</v>
      </c>
      <c r="D2325" s="18" t="str">
        <f>IFERROR(__xludf.DUMMYFUNCTION("""COMPUTED_VALUE"""),"Cucumber")</f>
        <v>Cucumber</v>
      </c>
      <c r="E2325" s="18">
        <f>IFERROR(__xludf.DUMMYFUNCTION("""COMPUTED_VALUE"""),2.0)</f>
        <v>2</v>
      </c>
      <c r="F2325" s="18" t="str">
        <f>IFERROR(__xludf.DUMMYFUNCTION("""COMPUTED_VALUE"""),"Ram Gopal")</f>
        <v>Ram Gopal</v>
      </c>
      <c r="G2325" s="19">
        <f>IFERROR(__xludf.DUMMYFUNCTION("""COMPUTED_VALUE"""),45178.0)</f>
        <v>45178</v>
      </c>
      <c r="H2325" s="18" t="str">
        <f>IFERROR(__xludf.DUMMYFUNCTION("""COMPUTED_VALUE"""),"UPI")</f>
        <v>UPI</v>
      </c>
      <c r="I2325" s="18" t="str">
        <f>IFERROR(__xludf.DUMMYFUNCTION("""COMPUTED_VALUE"""),"Delivered")</f>
        <v>Delivered</v>
      </c>
      <c r="J2325" s="18" t="str">
        <f>IFERROR(__xludf.DUMMYFUNCTION("""COMPUTED_VALUE"""),"Overall Satisfaction")</f>
        <v>Overall Satisfaction</v>
      </c>
      <c r="K2325" s="18" t="str">
        <f>IFERROR(__xludf.DUMMYFUNCTION("""COMPUTED_VALUE"""),"Great service will order again")</f>
        <v>Great service will order again</v>
      </c>
      <c r="L2325" s="18">
        <f>iferror(VLOOKUP($D2325,Details!$A$2:$C$11,2,false),vlookup($D2325,Details!$E$2:$G$11,2,false))</f>
        <v>30</v>
      </c>
      <c r="M2325" s="18" t="str">
        <f>iferror(VLOOKUP($D2325,Details!$A$2:$C$11,3,false),vlookup($D2325,Details!$E$2:$G$11,3,false))</f>
        <v>Fruits and Vegetables</v>
      </c>
      <c r="N2325" s="18">
        <f t="shared" si="1"/>
        <v>60</v>
      </c>
      <c r="O2325" s="17"/>
      <c r="P2325" s="17"/>
      <c r="Q2325" s="17"/>
      <c r="R2325" s="17"/>
      <c r="S2325" s="17"/>
      <c r="T2325" s="17"/>
      <c r="U2325" s="17"/>
      <c r="V2325" s="17"/>
      <c r="W2325" s="17"/>
      <c r="X2325" s="17"/>
      <c r="Y2325" s="17"/>
      <c r="Z2325" s="17"/>
    </row>
    <row r="2326">
      <c r="A2326" s="18" t="str">
        <f>IFERROR(__xludf.DUMMYFUNCTION("""COMPUTED_VALUE"""),"ord_92327")</f>
        <v>ord_92327</v>
      </c>
      <c r="B2326" s="18" t="str">
        <f>IFERROR(__xludf.DUMMYFUNCTION("""COMPUTED_VALUE"""),"Aarav Mehta")</f>
        <v>Aarav Mehta</v>
      </c>
      <c r="C2326" s="18" t="str">
        <f>IFERROR(__xludf.DUMMYFUNCTION("""COMPUTED_VALUE"""),"Andheri")</f>
        <v>Andheri</v>
      </c>
      <c r="D2326" s="18" t="str">
        <f>IFERROR(__xludf.DUMMYFUNCTION("""COMPUTED_VALUE"""),"Popcorn")</f>
        <v>Popcorn</v>
      </c>
      <c r="E2326" s="18">
        <f>IFERROR(__xludf.DUMMYFUNCTION("""COMPUTED_VALUE"""),4.0)</f>
        <v>4</v>
      </c>
      <c r="F2326" s="18" t="str">
        <f>IFERROR(__xludf.DUMMYFUNCTION("""COMPUTED_VALUE"""),"Vivek Kumar")</f>
        <v>Vivek Kumar</v>
      </c>
      <c r="G2326" s="19">
        <f>IFERROR(__xludf.DUMMYFUNCTION("""COMPUTED_VALUE"""),45249.0)</f>
        <v>45249</v>
      </c>
      <c r="H2326" s="18" t="str">
        <f>IFERROR(__xludf.DUMMYFUNCTION("""COMPUTED_VALUE"""),"Credit Card")</f>
        <v>Credit Card</v>
      </c>
      <c r="I2326" s="18" t="str">
        <f>IFERROR(__xludf.DUMMYFUNCTION("""COMPUTED_VALUE"""),"Delivered")</f>
        <v>Delivered</v>
      </c>
      <c r="J2326" s="18" t="str">
        <f>IFERROR(__xludf.DUMMYFUNCTION("""COMPUTED_VALUE"""),"On-time Delivery")</f>
        <v>On-time Delivery</v>
      </c>
      <c r="K2326" s="18" t="str">
        <f>IFERROR(__xludf.DUMMYFUNCTION("""COMPUTED_VALUE"""),"Delivered on time")</f>
        <v>Delivered on time</v>
      </c>
      <c r="L2326" s="18">
        <f>iferror(VLOOKUP($D2326,Details!$A$2:$C$11,2,false),vlookup($D2326,Details!$E$2:$G$11,2,false))</f>
        <v>150</v>
      </c>
      <c r="M2326" s="18" t="str">
        <f>iferror(VLOOKUP($D2326,Details!$A$2:$C$11,3,false),vlookup($D2326,Details!$E$2:$G$11,3,false))</f>
        <v>Snacks and Drinks</v>
      </c>
      <c r="N2326" s="18">
        <f t="shared" si="1"/>
        <v>600</v>
      </c>
      <c r="O2326" s="17"/>
      <c r="P2326" s="17"/>
      <c r="Q2326" s="17"/>
      <c r="R2326" s="17"/>
      <c r="S2326" s="17"/>
      <c r="T2326" s="17"/>
      <c r="U2326" s="17"/>
      <c r="V2326" s="17"/>
      <c r="W2326" s="17"/>
      <c r="X2326" s="17"/>
      <c r="Y2326" s="17"/>
      <c r="Z2326" s="17"/>
    </row>
    <row r="2327">
      <c r="A2327" s="18" t="str">
        <f>IFERROR(__xludf.DUMMYFUNCTION("""COMPUTED_VALUE"""),"ord_92328")</f>
        <v>ord_92328</v>
      </c>
      <c r="B2327" s="18" t="str">
        <f>IFERROR(__xludf.DUMMYFUNCTION("""COMPUTED_VALUE"""),"Aditya Rao")</f>
        <v>Aditya Rao</v>
      </c>
      <c r="C2327" s="18" t="str">
        <f>IFERROR(__xludf.DUMMYFUNCTION("""COMPUTED_VALUE"""),"Lower Parel")</f>
        <v>Lower Parel</v>
      </c>
      <c r="D2327" s="18" t="str">
        <f>IFERROR(__xludf.DUMMYFUNCTION("""COMPUTED_VALUE"""),"Chicken Puff")</f>
        <v>Chicken Puff</v>
      </c>
      <c r="E2327" s="18">
        <f>IFERROR(__xludf.DUMMYFUNCTION("""COMPUTED_VALUE"""),5.0)</f>
        <v>5</v>
      </c>
      <c r="F2327" s="18" t="str">
        <f>IFERROR(__xludf.DUMMYFUNCTION("""COMPUTED_VALUE"""),"Sita T")</f>
        <v>Sita T</v>
      </c>
      <c r="G2327" s="19">
        <f>IFERROR(__xludf.DUMMYFUNCTION("""COMPUTED_VALUE"""),45152.0)</f>
        <v>45152</v>
      </c>
      <c r="H2327" s="18" t="str">
        <f>IFERROR(__xludf.DUMMYFUNCTION("""COMPUTED_VALUE"""),"UPI")</f>
        <v>UPI</v>
      </c>
      <c r="I2327" s="18" t="str">
        <f>IFERROR(__xludf.DUMMYFUNCTION("""COMPUTED_VALUE"""),"Delivered")</f>
        <v>Delivered</v>
      </c>
      <c r="J2327" s="18" t="str">
        <f>IFERROR(__xludf.DUMMYFUNCTION("""COMPUTED_VALUE"""),"Quality of Items")</f>
        <v>Quality of Items</v>
      </c>
      <c r="K2327" s="18" t="str">
        <f>IFERROR(__xludf.DUMMYFUNCTION("""COMPUTED_VALUE"""),"Perfect condition")</f>
        <v>Perfect condition</v>
      </c>
      <c r="L2327" s="18">
        <f>iferror(VLOOKUP($D2327,Details!$A$2:$C$11,2,false),vlookup($D2327,Details!$E$2:$G$11,2,false))</f>
        <v>90</v>
      </c>
      <c r="M2327" s="18" t="str">
        <f>iferror(VLOOKUP($D2327,Details!$A$2:$C$11,3,false),vlookup($D2327,Details!$E$2:$G$11,3,false))</f>
        <v>Snacks and Drinks</v>
      </c>
      <c r="N2327" s="18">
        <f t="shared" si="1"/>
        <v>450</v>
      </c>
      <c r="O2327" s="17"/>
      <c r="P2327" s="17"/>
      <c r="Q2327" s="17"/>
      <c r="R2327" s="17"/>
      <c r="S2327" s="17"/>
      <c r="T2327" s="17"/>
      <c r="U2327" s="17"/>
      <c r="V2327" s="17"/>
      <c r="W2327" s="17"/>
      <c r="X2327" s="17"/>
      <c r="Y2327" s="17"/>
      <c r="Z2327" s="17"/>
    </row>
    <row r="2328">
      <c r="A2328" s="18" t="str">
        <f>IFERROR(__xludf.DUMMYFUNCTION("""COMPUTED_VALUE"""),"ord_92329")</f>
        <v>ord_92329</v>
      </c>
      <c r="B2328" s="18" t="str">
        <f>IFERROR(__xludf.DUMMYFUNCTION("""COMPUTED_VALUE"""),"Aarav Mehta")</f>
        <v>Aarav Mehta</v>
      </c>
      <c r="C2328" s="18" t="str">
        <f>IFERROR(__xludf.DUMMYFUNCTION("""COMPUTED_VALUE"""),"Andheri")</f>
        <v>Andheri</v>
      </c>
      <c r="D2328" s="18" t="str">
        <f>IFERROR(__xludf.DUMMYFUNCTION("""COMPUTED_VALUE"""),"Icecream")</f>
        <v>Icecream</v>
      </c>
      <c r="E2328" s="18">
        <f>IFERROR(__xludf.DUMMYFUNCTION("""COMPUTED_VALUE"""),2.0)</f>
        <v>2</v>
      </c>
      <c r="F2328" s="18" t="str">
        <f>IFERROR(__xludf.DUMMYFUNCTION("""COMPUTED_VALUE"""),"Not Assigned")</f>
        <v>Not Assigned</v>
      </c>
      <c r="G2328" s="19">
        <f>IFERROR(__xludf.DUMMYFUNCTION("""COMPUTED_VALUE"""),45123.0)</f>
        <v>45123</v>
      </c>
      <c r="H2328" s="18" t="str">
        <f>IFERROR(__xludf.DUMMYFUNCTION("""COMPUTED_VALUE"""),"Online Payment")</f>
        <v>Online Payment</v>
      </c>
      <c r="I2328" s="18" t="str">
        <f>IFERROR(__xludf.DUMMYFUNCTION("""COMPUTED_VALUE"""),"Cancelled")</f>
        <v>Cancelled</v>
      </c>
      <c r="J2328" s="18" t="str">
        <f>IFERROR(__xludf.DUMMYFUNCTION("""COMPUTED_VALUE"""),"App Glitches")</f>
        <v>App Glitches</v>
      </c>
      <c r="K2328" s="18" t="str">
        <f>IFERROR(__xludf.DUMMYFUNCTION("""COMPUTED_VALUE"""),"Slow Loading Time")</f>
        <v>Slow Loading Time</v>
      </c>
      <c r="L2328" s="18">
        <f>iferror(VLOOKUP($D2328,Details!$A$2:$C$11,2,false),vlookup($D2328,Details!$E$2:$G$11,2,false))</f>
        <v>90</v>
      </c>
      <c r="M2328" s="18" t="str">
        <f>iferror(VLOOKUP($D2328,Details!$A$2:$C$11,3,false),vlookup($D2328,Details!$E$2:$G$11,3,false))</f>
        <v>Snacks and Drinks</v>
      </c>
      <c r="N2328" s="18">
        <f t="shared" si="1"/>
        <v>180</v>
      </c>
      <c r="O2328" s="17"/>
      <c r="P2328" s="17"/>
      <c r="Q2328" s="17"/>
      <c r="R2328" s="17"/>
      <c r="S2328" s="17"/>
      <c r="T2328" s="17"/>
      <c r="U2328" s="17"/>
      <c r="V2328" s="17"/>
      <c r="W2328" s="17"/>
      <c r="X2328" s="17"/>
      <c r="Y2328" s="17"/>
      <c r="Z2328" s="17"/>
    </row>
    <row r="2329">
      <c r="A2329" s="18" t="str">
        <f>IFERROR(__xludf.DUMMYFUNCTION("""COMPUTED_VALUE"""),"ord_92293")</f>
        <v>ord_92293</v>
      </c>
      <c r="B2329" s="18" t="str">
        <f>IFERROR(__xludf.DUMMYFUNCTION("""COMPUTED_VALUE"""),"Pranav Joshi")</f>
        <v>Pranav Joshi</v>
      </c>
      <c r="C2329" s="18" t="str">
        <f>IFERROR(__xludf.DUMMYFUNCTION("""COMPUTED_VALUE"""),"Andheri")</f>
        <v>Andheri</v>
      </c>
      <c r="D2329" s="18" t="str">
        <f>IFERROR(__xludf.DUMMYFUNCTION("""COMPUTED_VALUE"""),"Sweet Corn")</f>
        <v>Sweet Corn</v>
      </c>
      <c r="E2329" s="18">
        <f>IFERROR(__xludf.DUMMYFUNCTION("""COMPUTED_VALUE"""),1.0)</f>
        <v>1</v>
      </c>
      <c r="F2329" s="18" t="str">
        <f>IFERROR(__xludf.DUMMYFUNCTION("""COMPUTED_VALUE"""),"Rohan Yadav")</f>
        <v>Rohan Yadav</v>
      </c>
      <c r="G2329" s="19">
        <f>IFERROR(__xludf.DUMMYFUNCTION("""COMPUTED_VALUE"""),45088.0)</f>
        <v>45088</v>
      </c>
      <c r="H2329" s="18" t="str">
        <f>IFERROR(__xludf.DUMMYFUNCTION("""COMPUTED_VALUE"""),"UPI")</f>
        <v>UPI</v>
      </c>
      <c r="I2329" s="18" t="str">
        <f>IFERROR(__xludf.DUMMYFUNCTION("""COMPUTED_VALUE"""),"Delivered")</f>
        <v>Delivered</v>
      </c>
      <c r="J2329" s="18" t="str">
        <f>IFERROR(__xludf.DUMMYFUNCTION("""COMPUTED_VALUE"""),"Packaging")</f>
        <v>Packaging</v>
      </c>
      <c r="K2329" s="18" t="str">
        <f>IFERROR(__xludf.DUMMYFUNCTION("""COMPUTED_VALUE"""),"Secure and intact")</f>
        <v>Secure and intact</v>
      </c>
      <c r="L2329" s="18">
        <f>iferror(VLOOKUP($D2329,Details!$A$2:$C$11,2,false),vlookup($D2329,Details!$E$2:$G$11,2,false))</f>
        <v>60</v>
      </c>
      <c r="M2329" s="18" t="str">
        <f>iferror(VLOOKUP($D2329,Details!$A$2:$C$11,3,false),vlookup($D2329,Details!$E$2:$G$11,3,false))</f>
        <v>Fruits and Vegetables</v>
      </c>
      <c r="N2329" s="18">
        <f t="shared" si="1"/>
        <v>60</v>
      </c>
      <c r="O2329" s="17"/>
      <c r="P2329" s="17"/>
      <c r="Q2329" s="17"/>
      <c r="R2329" s="17"/>
      <c r="S2329" s="17"/>
      <c r="T2329" s="17"/>
      <c r="U2329" s="17"/>
      <c r="V2329" s="17"/>
      <c r="W2329" s="17"/>
      <c r="X2329" s="17"/>
      <c r="Y2329" s="17"/>
      <c r="Z2329" s="17"/>
    </row>
    <row r="2330">
      <c r="A2330" s="18" t="str">
        <f>IFERROR(__xludf.DUMMYFUNCTION("""COMPUTED_VALUE"""),"ord_92294")</f>
        <v>ord_92294</v>
      </c>
      <c r="B2330" s="18" t="str">
        <f>IFERROR(__xludf.DUMMYFUNCTION("""COMPUTED_VALUE"""),"Mehul Thakkar")</f>
        <v>Mehul Thakkar</v>
      </c>
      <c r="C2330" s="18" t="str">
        <f>IFERROR(__xludf.DUMMYFUNCTION("""COMPUTED_VALUE"""),"Malad")</f>
        <v>Malad</v>
      </c>
      <c r="D2330" s="18" t="str">
        <f>IFERROR(__xludf.DUMMYFUNCTION("""COMPUTED_VALUE"""),"Potato")</f>
        <v>Potato</v>
      </c>
      <c r="E2330" s="18">
        <f>IFERROR(__xludf.DUMMYFUNCTION("""COMPUTED_VALUE"""),1.0)</f>
        <v>1</v>
      </c>
      <c r="F2330" s="18" t="str">
        <f>IFERROR(__xludf.DUMMYFUNCTION("""COMPUTED_VALUE"""),"Neha Shah")</f>
        <v>Neha Shah</v>
      </c>
      <c r="G2330" s="19">
        <f>IFERROR(__xludf.DUMMYFUNCTION("""COMPUTED_VALUE"""),45220.0)</f>
        <v>45220</v>
      </c>
      <c r="H2330" s="18" t="str">
        <f>IFERROR(__xludf.DUMMYFUNCTION("""COMPUTED_VALUE"""),"UPI")</f>
        <v>UPI</v>
      </c>
      <c r="I2330" s="18" t="str">
        <f>IFERROR(__xludf.DUMMYFUNCTION("""COMPUTED_VALUE"""),"Delivered")</f>
        <v>Delivered</v>
      </c>
      <c r="J2330" s="18" t="str">
        <f>IFERROR(__xludf.DUMMYFUNCTION("""COMPUTED_VALUE"""),"Satisfied with the Delivery")</f>
        <v>Satisfied with the Delivery</v>
      </c>
      <c r="K2330" s="18" t="str">
        <f>IFERROR(__xludf.DUMMYFUNCTION("""COMPUTED_VALUE"""),"Timely and quality")</f>
        <v>Timely and quality</v>
      </c>
      <c r="L2330" s="18">
        <f>iferror(VLOOKUP($D2330,Details!$A$2:$C$11,2,false),vlookup($D2330,Details!$E$2:$G$11,2,false))</f>
        <v>55</v>
      </c>
      <c r="M2330" s="18" t="str">
        <f>iferror(VLOOKUP($D2330,Details!$A$2:$C$11,3,false),vlookup($D2330,Details!$E$2:$G$11,3,false))</f>
        <v>Fruits and Vegetables</v>
      </c>
      <c r="N2330" s="18">
        <f t="shared" si="1"/>
        <v>55</v>
      </c>
      <c r="O2330" s="17"/>
      <c r="P2330" s="17"/>
      <c r="Q2330" s="17"/>
      <c r="R2330" s="17"/>
      <c r="S2330" s="17"/>
      <c r="T2330" s="17"/>
      <c r="U2330" s="17"/>
      <c r="V2330" s="17"/>
      <c r="W2330" s="17"/>
      <c r="X2330" s="17"/>
      <c r="Y2330" s="17"/>
      <c r="Z2330" s="17"/>
    </row>
    <row r="2331">
      <c r="A2331" s="18" t="str">
        <f>IFERROR(__xludf.DUMMYFUNCTION("""COMPUTED_VALUE"""),"ord_92184")</f>
        <v>ord_92184</v>
      </c>
      <c r="B2331" s="18" t="str">
        <f>IFERROR(__xludf.DUMMYFUNCTION("""COMPUTED_VALUE"""),"Pallavi Ghosh")</f>
        <v>Pallavi Ghosh</v>
      </c>
      <c r="C2331" s="18" t="str">
        <f>IFERROR(__xludf.DUMMYFUNCTION("""COMPUTED_VALUE"""),"Bandra")</f>
        <v>Bandra</v>
      </c>
      <c r="D2331" s="18" t="str">
        <f>IFERROR(__xludf.DUMMYFUNCTION("""COMPUTED_VALUE"""),"Guava")</f>
        <v>Guava</v>
      </c>
      <c r="E2331" s="18">
        <f>IFERROR(__xludf.DUMMYFUNCTION("""COMPUTED_VALUE"""),2.0)</f>
        <v>2</v>
      </c>
      <c r="F2331" s="18" t="str">
        <f>IFERROR(__xludf.DUMMYFUNCTION("""COMPUTED_VALUE"""),"Priya Joshi")</f>
        <v>Priya Joshi</v>
      </c>
      <c r="G2331" s="19">
        <f>IFERROR(__xludf.DUMMYFUNCTION("""COMPUTED_VALUE"""),45110.0)</f>
        <v>45110</v>
      </c>
      <c r="H2331" s="18" t="str">
        <f>IFERROR(__xludf.DUMMYFUNCTION("""COMPUTED_VALUE"""),"Online Payment")</f>
        <v>Online Payment</v>
      </c>
      <c r="I2331" s="18" t="str">
        <f>IFERROR(__xludf.DUMMYFUNCTION("""COMPUTED_VALUE"""),"Delivered")</f>
        <v>Delivered</v>
      </c>
      <c r="J2331" s="18" t="str">
        <f>IFERROR(__xludf.DUMMYFUNCTION("""COMPUTED_VALUE"""),"Customer Service")</f>
        <v>Customer Service</v>
      </c>
      <c r="K2331" s="18" t="str">
        <f>IFERROR(__xludf.DUMMYFUNCTION("""COMPUTED_VALUE"""),"Seamless and easy")</f>
        <v>Seamless and easy</v>
      </c>
      <c r="L2331" s="18">
        <f>iferror(VLOOKUP($D2331,Details!$A$2:$C$11,2,false),vlookup($D2331,Details!$E$2:$G$11,2,false))</f>
        <v>70</v>
      </c>
      <c r="M2331" s="18" t="str">
        <f>iferror(VLOOKUP($D2331,Details!$A$2:$C$11,3,false),vlookup($D2331,Details!$E$2:$G$11,3,false))</f>
        <v>Fruits and Vegetables</v>
      </c>
      <c r="N2331" s="18">
        <f t="shared" si="1"/>
        <v>140</v>
      </c>
      <c r="O2331" s="17"/>
      <c r="P2331" s="17"/>
      <c r="Q2331" s="17"/>
      <c r="R2331" s="17"/>
      <c r="S2331" s="17"/>
      <c r="T2331" s="17"/>
      <c r="U2331" s="17"/>
      <c r="V2331" s="17"/>
      <c r="W2331" s="17"/>
      <c r="X2331" s="17"/>
      <c r="Y2331" s="17"/>
      <c r="Z2331" s="17"/>
    </row>
    <row r="2332">
      <c r="A2332" s="18" t="str">
        <f>IFERROR(__xludf.DUMMYFUNCTION("""COMPUTED_VALUE"""),"ord_91285")</f>
        <v>ord_91285</v>
      </c>
      <c r="B2332" s="18" t="str">
        <f>IFERROR(__xludf.DUMMYFUNCTION("""COMPUTED_VALUE"""),"Anaya Rao")</f>
        <v>Anaya Rao</v>
      </c>
      <c r="C2332" s="18" t="str">
        <f>IFERROR(__xludf.DUMMYFUNCTION("""COMPUTED_VALUE"""),"Colaba")</f>
        <v>Colaba</v>
      </c>
      <c r="D2332" s="18" t="str">
        <f>IFERROR(__xludf.DUMMYFUNCTION("""COMPUTED_VALUE"""),"Popcorn")</f>
        <v>Popcorn</v>
      </c>
      <c r="E2332" s="18">
        <f>IFERROR(__xludf.DUMMYFUNCTION("""COMPUTED_VALUE"""),1.0)</f>
        <v>1</v>
      </c>
      <c r="F2332" s="18" t="str">
        <f>IFERROR(__xludf.DUMMYFUNCTION("""COMPUTED_VALUE"""),"Nikhil Deshmukh")</f>
        <v>Nikhil Deshmukh</v>
      </c>
      <c r="G2332" s="19">
        <f>IFERROR(__xludf.DUMMYFUNCTION("""COMPUTED_VALUE"""),45205.0)</f>
        <v>45205</v>
      </c>
      <c r="H2332" s="18" t="str">
        <f>IFERROR(__xludf.DUMMYFUNCTION("""COMPUTED_VALUE"""),"COD")</f>
        <v>COD</v>
      </c>
      <c r="I2332" s="18" t="str">
        <f>IFERROR(__xludf.DUMMYFUNCTION("""COMPUTED_VALUE"""),"Delivered")</f>
        <v>Delivered</v>
      </c>
      <c r="J2332" s="18" t="str">
        <f>IFERROR(__xludf.DUMMYFUNCTION("""COMPUTED_VALUE"""),"Delivery Experience")</f>
        <v>Delivery Experience</v>
      </c>
      <c r="K2332" s="18" t="str">
        <f>IFERROR(__xludf.DUMMYFUNCTION("""COMPUTED_VALUE"""),"Quick and professional")</f>
        <v>Quick and professional</v>
      </c>
      <c r="L2332" s="18">
        <f>iferror(VLOOKUP($D2332,Details!$A$2:$C$11,2,false),vlookup($D2332,Details!$E$2:$G$11,2,false))</f>
        <v>150</v>
      </c>
      <c r="M2332" s="18" t="str">
        <f>iferror(VLOOKUP($D2332,Details!$A$2:$C$11,3,false),vlookup($D2332,Details!$E$2:$G$11,3,false))</f>
        <v>Snacks and Drinks</v>
      </c>
      <c r="N2332" s="18">
        <f t="shared" si="1"/>
        <v>150</v>
      </c>
      <c r="O2332" s="17"/>
      <c r="P2332" s="17"/>
      <c r="Q2332" s="17"/>
      <c r="R2332" s="17"/>
      <c r="S2332" s="17"/>
      <c r="T2332" s="17"/>
      <c r="U2332" s="17"/>
      <c r="V2332" s="17"/>
      <c r="W2332" s="17"/>
      <c r="X2332" s="17"/>
      <c r="Y2332" s="17"/>
      <c r="Z2332" s="17"/>
    </row>
    <row r="2333">
      <c r="A2333" s="18" t="str">
        <f>IFERROR(__xludf.DUMMYFUNCTION("""COMPUTED_VALUE"""),"ord_92186")</f>
        <v>ord_92186</v>
      </c>
      <c r="B2333" s="18" t="str">
        <f>IFERROR(__xludf.DUMMYFUNCTION("""COMPUTED_VALUE"""),"Omkar Mishra")</f>
        <v>Omkar Mishra</v>
      </c>
      <c r="C2333" s="18" t="str">
        <f>IFERROR(__xludf.DUMMYFUNCTION("""COMPUTED_VALUE"""),"Powai")</f>
        <v>Powai</v>
      </c>
      <c r="D2333" s="18" t="str">
        <f>IFERROR(__xludf.DUMMYFUNCTION("""COMPUTED_VALUE"""),"Onion")</f>
        <v>Onion</v>
      </c>
      <c r="E2333" s="18">
        <f>IFERROR(__xludf.DUMMYFUNCTION("""COMPUTED_VALUE"""),1.0)</f>
        <v>1</v>
      </c>
      <c r="F2333" s="18" t="str">
        <f>IFERROR(__xludf.DUMMYFUNCTION("""COMPUTED_VALUE"""),"Sandeep Kumar")</f>
        <v>Sandeep Kumar</v>
      </c>
      <c r="G2333" s="19">
        <f>IFERROR(__xludf.DUMMYFUNCTION("""COMPUTED_VALUE"""),45179.0)</f>
        <v>45179</v>
      </c>
      <c r="H2333" s="18" t="str">
        <f>IFERROR(__xludf.DUMMYFUNCTION("""COMPUTED_VALUE"""),"Online Payment")</f>
        <v>Online Payment</v>
      </c>
      <c r="I2333" s="18" t="str">
        <f>IFERROR(__xludf.DUMMYFUNCTION("""COMPUTED_VALUE"""),"Delivered")</f>
        <v>Delivered</v>
      </c>
      <c r="J2333" s="18" t="str">
        <f>IFERROR(__xludf.DUMMYFUNCTION("""COMPUTED_VALUE"""),"Convenience")</f>
        <v>Convenience</v>
      </c>
      <c r="K2333" s="18" t="str">
        <f>IFERROR(__xludf.DUMMYFUNCTION("""COMPUTED_VALUE"""),"Easy tracking")</f>
        <v>Easy tracking</v>
      </c>
      <c r="L2333" s="18">
        <f>iferror(VLOOKUP($D2333,Details!$A$2:$C$11,2,false),vlookup($D2333,Details!$E$2:$G$11,2,false))</f>
        <v>84</v>
      </c>
      <c r="M2333" s="18" t="str">
        <f>iferror(VLOOKUP($D2333,Details!$A$2:$C$11,3,false),vlookup($D2333,Details!$E$2:$G$11,3,false))</f>
        <v>Fruits and Vegetables</v>
      </c>
      <c r="N2333" s="18">
        <f t="shared" si="1"/>
        <v>84</v>
      </c>
      <c r="O2333" s="17"/>
      <c r="P2333" s="17"/>
      <c r="Q2333" s="17"/>
      <c r="R2333" s="17"/>
      <c r="S2333" s="17"/>
      <c r="T2333" s="17"/>
      <c r="U2333" s="17"/>
      <c r="V2333" s="17"/>
      <c r="W2333" s="17"/>
      <c r="X2333" s="17"/>
      <c r="Y2333" s="17"/>
      <c r="Z2333" s="17"/>
    </row>
    <row r="2334">
      <c r="A2334" s="18" t="str">
        <f>IFERROR(__xludf.DUMMYFUNCTION("""COMPUTED_VALUE"""),"ord_92187")</f>
        <v>ord_92187</v>
      </c>
      <c r="B2334" s="18" t="str">
        <f>IFERROR(__xludf.DUMMYFUNCTION("""COMPUTED_VALUE"""),"Diya Arora")</f>
        <v>Diya Arora</v>
      </c>
      <c r="C2334" s="18" t="str">
        <f>IFERROR(__xludf.DUMMYFUNCTION("""COMPUTED_VALUE"""),"Lower Parel")</f>
        <v>Lower Parel</v>
      </c>
      <c r="D2334" s="18" t="str">
        <f>IFERROR(__xludf.DUMMYFUNCTION("""COMPUTED_VALUE"""),"Orange")</f>
        <v>Orange</v>
      </c>
      <c r="E2334" s="18">
        <f>IFERROR(__xludf.DUMMYFUNCTION("""COMPUTED_VALUE"""),1.0)</f>
        <v>1</v>
      </c>
      <c r="F2334" s="18" t="str">
        <f>IFERROR(__xludf.DUMMYFUNCTION("""COMPUTED_VALUE"""),"Kiran Mehta")</f>
        <v>Kiran Mehta</v>
      </c>
      <c r="G2334" s="19">
        <f>IFERROR(__xludf.DUMMYFUNCTION("""COMPUTED_VALUE"""),45240.0)</f>
        <v>45240</v>
      </c>
      <c r="H2334" s="18" t="str">
        <f>IFERROR(__xludf.DUMMYFUNCTION("""COMPUTED_VALUE"""),"Online Payment")</f>
        <v>Online Payment</v>
      </c>
      <c r="I2334" s="18" t="str">
        <f>IFERROR(__xludf.DUMMYFUNCTION("""COMPUTED_VALUE"""),"Delivered")</f>
        <v>Delivered</v>
      </c>
      <c r="J2334" s="18" t="str">
        <f>IFERROR(__xludf.DUMMYFUNCTION("""COMPUTED_VALUE"""),"Overall Satisfaction")</f>
        <v>Overall Satisfaction</v>
      </c>
      <c r="K2334" s="18" t="str">
        <f>IFERROR(__xludf.DUMMYFUNCTION("""COMPUTED_VALUE"""),"Great service will order again")</f>
        <v>Great service will order again</v>
      </c>
      <c r="L2334" s="18">
        <f>iferror(VLOOKUP($D2334,Details!$A$2:$C$11,2,false),vlookup($D2334,Details!$E$2:$G$11,2,false))</f>
        <v>180</v>
      </c>
      <c r="M2334" s="18" t="str">
        <f>iferror(VLOOKUP($D2334,Details!$A$2:$C$11,3,false),vlookup($D2334,Details!$E$2:$G$11,3,false))</f>
        <v>Fruits and Vegetables</v>
      </c>
      <c r="N2334" s="18">
        <f t="shared" si="1"/>
        <v>180</v>
      </c>
      <c r="O2334" s="17"/>
      <c r="P2334" s="17"/>
      <c r="Q2334" s="17"/>
      <c r="R2334" s="17"/>
      <c r="S2334" s="17"/>
      <c r="T2334" s="17"/>
      <c r="U2334" s="17"/>
      <c r="V2334" s="17"/>
      <c r="W2334" s="17"/>
      <c r="X2334" s="17"/>
      <c r="Y2334" s="17"/>
      <c r="Z2334" s="17"/>
    </row>
    <row r="2335">
      <c r="A2335" s="18" t="str">
        <f>IFERROR(__xludf.DUMMYFUNCTION("""COMPUTED_VALUE"""),"ord_91288")</f>
        <v>ord_91288</v>
      </c>
      <c r="B2335" s="18" t="str">
        <f>IFERROR(__xludf.DUMMYFUNCTION("""COMPUTED_VALUE"""),"Omkar Mishra")</f>
        <v>Omkar Mishra</v>
      </c>
      <c r="C2335" s="18" t="str">
        <f>IFERROR(__xludf.DUMMYFUNCTION("""COMPUTED_VALUE"""),"Powai")</f>
        <v>Powai</v>
      </c>
      <c r="D2335" s="18" t="str">
        <f>IFERROR(__xludf.DUMMYFUNCTION("""COMPUTED_VALUE"""),"Chocolate Mousse")</f>
        <v>Chocolate Mousse</v>
      </c>
      <c r="E2335" s="18">
        <f>IFERROR(__xludf.DUMMYFUNCTION("""COMPUTED_VALUE"""),3.0)</f>
        <v>3</v>
      </c>
      <c r="F2335" s="18" t="str">
        <f>IFERROR(__xludf.DUMMYFUNCTION("""COMPUTED_VALUE"""),"Sandeep Kumar")</f>
        <v>Sandeep Kumar</v>
      </c>
      <c r="G2335" s="19">
        <f>IFERROR(__xludf.DUMMYFUNCTION("""COMPUTED_VALUE"""),45183.0)</f>
        <v>45183</v>
      </c>
      <c r="H2335" s="18" t="str">
        <f>IFERROR(__xludf.DUMMYFUNCTION("""COMPUTED_VALUE"""),"COD")</f>
        <v>COD</v>
      </c>
      <c r="I2335" s="18" t="str">
        <f>IFERROR(__xludf.DUMMYFUNCTION("""COMPUTED_VALUE"""),"Delivered")</f>
        <v>Delivered</v>
      </c>
      <c r="J2335" s="18" t="str">
        <f>IFERROR(__xludf.DUMMYFUNCTION("""COMPUTED_VALUE"""),"On-time Delivery")</f>
        <v>On-time Delivery</v>
      </c>
      <c r="K2335" s="18" t="str">
        <f>IFERROR(__xludf.DUMMYFUNCTION("""COMPUTED_VALUE"""),"Delivered on time")</f>
        <v>Delivered on time</v>
      </c>
      <c r="L2335" s="18">
        <f>iferror(VLOOKUP($D2335,Details!$A$2:$C$11,2,false),vlookup($D2335,Details!$E$2:$G$11,2,false))</f>
        <v>145</v>
      </c>
      <c r="M2335" s="18" t="str">
        <f>iferror(VLOOKUP($D2335,Details!$A$2:$C$11,3,false),vlookup($D2335,Details!$E$2:$G$11,3,false))</f>
        <v>Snacks and Drinks</v>
      </c>
      <c r="N2335" s="18">
        <f t="shared" si="1"/>
        <v>435</v>
      </c>
      <c r="O2335" s="17"/>
      <c r="P2335" s="17"/>
      <c r="Q2335" s="17"/>
      <c r="R2335" s="17"/>
      <c r="S2335" s="17"/>
      <c r="T2335" s="17"/>
      <c r="U2335" s="17"/>
      <c r="V2335" s="17"/>
      <c r="W2335" s="17"/>
      <c r="X2335" s="17"/>
      <c r="Y2335" s="17"/>
      <c r="Z2335" s="17"/>
    </row>
    <row r="2336">
      <c r="A2336" s="18" t="str">
        <f>IFERROR(__xludf.DUMMYFUNCTION("""COMPUTED_VALUE"""),"ord_92189")</f>
        <v>ord_92189</v>
      </c>
      <c r="B2336" s="18" t="str">
        <f>IFERROR(__xludf.DUMMYFUNCTION("""COMPUTED_VALUE"""),"Dev Chauhan")</f>
        <v>Dev Chauhan</v>
      </c>
      <c r="C2336" s="18" t="str">
        <f>IFERROR(__xludf.DUMMYFUNCTION("""COMPUTED_VALUE"""),"Bandra")</f>
        <v>Bandra</v>
      </c>
      <c r="D2336" s="18" t="str">
        <f>IFERROR(__xludf.DUMMYFUNCTION("""COMPUTED_VALUE"""),"Chicken Puff")</f>
        <v>Chicken Puff</v>
      </c>
      <c r="E2336" s="18">
        <f>IFERROR(__xludf.DUMMYFUNCTION("""COMPUTED_VALUE"""),5.0)</f>
        <v>5</v>
      </c>
      <c r="F2336" s="18" t="str">
        <f>IFERROR(__xludf.DUMMYFUNCTION("""COMPUTED_VALUE"""),"Priya Joshi")</f>
        <v>Priya Joshi</v>
      </c>
      <c r="G2336" s="19">
        <f>IFERROR(__xludf.DUMMYFUNCTION("""COMPUTED_VALUE"""),45211.0)</f>
        <v>45211</v>
      </c>
      <c r="H2336" s="18" t="str">
        <f>IFERROR(__xludf.DUMMYFUNCTION("""COMPUTED_VALUE"""),"Online Payment")</f>
        <v>Online Payment</v>
      </c>
      <c r="I2336" s="18" t="str">
        <f>IFERROR(__xludf.DUMMYFUNCTION("""COMPUTED_VALUE"""),"Delivered")</f>
        <v>Delivered</v>
      </c>
      <c r="J2336" s="18" t="str">
        <f>IFERROR(__xludf.DUMMYFUNCTION("""COMPUTED_VALUE"""),"On-time Delivery")</f>
        <v>On-time Delivery</v>
      </c>
      <c r="K2336" s="18" t="str">
        <f>IFERROR(__xludf.DUMMYFUNCTION("""COMPUTED_VALUE"""),"Delivered on time")</f>
        <v>Delivered on time</v>
      </c>
      <c r="L2336" s="18">
        <f>iferror(VLOOKUP($D2336,Details!$A$2:$C$11,2,false),vlookup($D2336,Details!$E$2:$G$11,2,false))</f>
        <v>90</v>
      </c>
      <c r="M2336" s="18" t="str">
        <f>iferror(VLOOKUP($D2336,Details!$A$2:$C$11,3,false),vlookup($D2336,Details!$E$2:$G$11,3,false))</f>
        <v>Snacks and Drinks</v>
      </c>
      <c r="N2336" s="18">
        <f t="shared" si="1"/>
        <v>450</v>
      </c>
      <c r="O2336" s="17"/>
      <c r="P2336" s="17"/>
      <c r="Q2336" s="17"/>
      <c r="R2336" s="17"/>
      <c r="S2336" s="17"/>
      <c r="T2336" s="17"/>
      <c r="U2336" s="17"/>
      <c r="V2336" s="17"/>
      <c r="W2336" s="17"/>
      <c r="X2336" s="17"/>
      <c r="Y2336" s="17"/>
      <c r="Z2336" s="17"/>
    </row>
    <row r="2337">
      <c r="A2337" s="18" t="str">
        <f>IFERROR(__xludf.DUMMYFUNCTION("""COMPUTED_VALUE"""),"ord_91290")</f>
        <v>ord_91290</v>
      </c>
      <c r="B2337" s="18" t="str">
        <f>IFERROR(__xludf.DUMMYFUNCTION("""COMPUTED_VALUE"""),"Anaya Rao")</f>
        <v>Anaya Rao</v>
      </c>
      <c r="C2337" s="18" t="str">
        <f>IFERROR(__xludf.DUMMYFUNCTION("""COMPUTED_VALUE"""),"Colaba")</f>
        <v>Colaba</v>
      </c>
      <c r="D2337" s="18" t="str">
        <f>IFERROR(__xludf.DUMMYFUNCTION("""COMPUTED_VALUE"""),"Juice")</f>
        <v>Juice</v>
      </c>
      <c r="E2337" s="18">
        <f>IFERROR(__xludf.DUMMYFUNCTION("""COMPUTED_VALUE"""),1.0)</f>
        <v>1</v>
      </c>
      <c r="F2337" s="18" t="str">
        <f>IFERROR(__xludf.DUMMYFUNCTION("""COMPUTED_VALUE"""),"Nikhil Deshmukh")</f>
        <v>Nikhil Deshmukh</v>
      </c>
      <c r="G2337" s="19">
        <f>IFERROR(__xludf.DUMMYFUNCTION("""COMPUTED_VALUE"""),45207.0)</f>
        <v>45207</v>
      </c>
      <c r="H2337" s="18" t="str">
        <f>IFERROR(__xludf.DUMMYFUNCTION("""COMPUTED_VALUE"""),"Online Payment")</f>
        <v>Online Payment</v>
      </c>
      <c r="I2337" s="18" t="str">
        <f>IFERROR(__xludf.DUMMYFUNCTION("""COMPUTED_VALUE"""),"Delivered")</f>
        <v>Delivered</v>
      </c>
      <c r="J2337" s="18" t="str">
        <f>IFERROR(__xludf.DUMMYFUNCTION("""COMPUTED_VALUE"""),"Quality of Items")</f>
        <v>Quality of Items</v>
      </c>
      <c r="K2337" s="18" t="str">
        <f>IFERROR(__xludf.DUMMYFUNCTION("""COMPUTED_VALUE"""),"Perfect condition")</f>
        <v>Perfect condition</v>
      </c>
      <c r="L2337" s="18">
        <f>iferror(VLOOKUP($D2337,Details!$A$2:$C$11,2,false),vlookup($D2337,Details!$E$2:$G$11,2,false))</f>
        <v>90</v>
      </c>
      <c r="M2337" s="18" t="str">
        <f>iferror(VLOOKUP($D2337,Details!$A$2:$C$11,3,false),vlookup($D2337,Details!$E$2:$G$11,3,false))</f>
        <v>Snacks and Drinks</v>
      </c>
      <c r="N2337" s="18">
        <f t="shared" si="1"/>
        <v>90</v>
      </c>
      <c r="O2337" s="17"/>
      <c r="P2337" s="17"/>
      <c r="Q2337" s="17"/>
      <c r="R2337" s="17"/>
      <c r="S2337" s="17"/>
      <c r="T2337" s="17"/>
      <c r="U2337" s="17"/>
      <c r="V2337" s="17"/>
      <c r="W2337" s="17"/>
      <c r="X2337" s="17"/>
      <c r="Y2337" s="17"/>
      <c r="Z2337" s="17"/>
    </row>
    <row r="2338">
      <c r="A2338" s="18" t="str">
        <f>IFERROR(__xludf.DUMMYFUNCTION("""COMPUTED_VALUE"""),"ord_92191")</f>
        <v>ord_92191</v>
      </c>
      <c r="B2338" s="18" t="str">
        <f>IFERROR(__xludf.DUMMYFUNCTION("""COMPUTED_VALUE"""),"Parth Goel")</f>
        <v>Parth Goel</v>
      </c>
      <c r="C2338" s="18" t="str">
        <f>IFERROR(__xludf.DUMMYFUNCTION("""COMPUTED_VALUE"""),"Juhu")</f>
        <v>Juhu</v>
      </c>
      <c r="D2338" s="18" t="str">
        <f>IFERROR(__xludf.DUMMYFUNCTION("""COMPUTED_VALUE"""),"Rasmalai")</f>
        <v>Rasmalai</v>
      </c>
      <c r="E2338" s="18">
        <f>IFERROR(__xludf.DUMMYFUNCTION("""COMPUTED_VALUE"""),4.0)</f>
        <v>4</v>
      </c>
      <c r="F2338" s="18" t="str">
        <f>IFERROR(__xludf.DUMMYFUNCTION("""COMPUTED_VALUE"""),"Tanvi Jain")</f>
        <v>Tanvi Jain</v>
      </c>
      <c r="G2338" s="19">
        <f>IFERROR(__xludf.DUMMYFUNCTION("""COMPUTED_VALUE"""),45244.0)</f>
        <v>45244</v>
      </c>
      <c r="H2338" s="18" t="str">
        <f>IFERROR(__xludf.DUMMYFUNCTION("""COMPUTED_VALUE"""),"Credit Card")</f>
        <v>Credit Card</v>
      </c>
      <c r="I2338" s="18" t="str">
        <f>IFERROR(__xludf.DUMMYFUNCTION("""COMPUTED_VALUE"""),"Delivered")</f>
        <v>Delivered</v>
      </c>
      <c r="J2338" s="18" t="str">
        <f>IFERROR(__xludf.DUMMYFUNCTION("""COMPUTED_VALUE"""),"Packaging")</f>
        <v>Packaging</v>
      </c>
      <c r="K2338" s="18" t="str">
        <f>IFERROR(__xludf.DUMMYFUNCTION("""COMPUTED_VALUE"""),"Secure and intact")</f>
        <v>Secure and intact</v>
      </c>
      <c r="L2338" s="18">
        <f>iferror(VLOOKUP($D2338,Details!$A$2:$C$11,2,false),vlookup($D2338,Details!$E$2:$G$11,2,false))</f>
        <v>110</v>
      </c>
      <c r="M2338" s="18" t="str">
        <f>iferror(VLOOKUP($D2338,Details!$A$2:$C$11,3,false),vlookup($D2338,Details!$E$2:$G$11,3,false))</f>
        <v>Snacks and Drinks</v>
      </c>
      <c r="N2338" s="18">
        <f t="shared" si="1"/>
        <v>440</v>
      </c>
      <c r="O2338" s="17"/>
      <c r="P2338" s="17"/>
      <c r="Q2338" s="17"/>
      <c r="R2338" s="17"/>
      <c r="S2338" s="17"/>
      <c r="T2338" s="17"/>
      <c r="U2338" s="17"/>
      <c r="V2338" s="17"/>
      <c r="W2338" s="17"/>
      <c r="X2338" s="17"/>
      <c r="Y2338" s="17"/>
      <c r="Z2338" s="17"/>
    </row>
    <row r="2339">
      <c r="A2339" s="18" t="str">
        <f>IFERROR(__xludf.DUMMYFUNCTION("""COMPUTED_VALUE"""),"ord_91292")</f>
        <v>ord_91292</v>
      </c>
      <c r="B2339" s="18" t="str">
        <f>IFERROR(__xludf.DUMMYFUNCTION("""COMPUTED_VALUE"""),"Pranav Joshi")</f>
        <v>Pranav Joshi</v>
      </c>
      <c r="C2339" s="18" t="str">
        <f>IFERROR(__xludf.DUMMYFUNCTION("""COMPUTED_VALUE"""),"Andheri")</f>
        <v>Andheri</v>
      </c>
      <c r="D2339" s="18" t="str">
        <f>IFERROR(__xludf.DUMMYFUNCTION("""COMPUTED_VALUE"""),"Potato")</f>
        <v>Potato</v>
      </c>
      <c r="E2339" s="18">
        <f>IFERROR(__xludf.DUMMYFUNCTION("""COMPUTED_VALUE"""),1.0)</f>
        <v>1</v>
      </c>
      <c r="F2339" s="18" t="str">
        <f>IFERROR(__xludf.DUMMYFUNCTION("""COMPUTED_VALUE"""),"Rohan Yadav")</f>
        <v>Rohan Yadav</v>
      </c>
      <c r="G2339" s="19">
        <f>IFERROR(__xludf.DUMMYFUNCTION("""COMPUTED_VALUE"""),45272.0)</f>
        <v>45272</v>
      </c>
      <c r="H2339" s="18" t="str">
        <f>IFERROR(__xludf.DUMMYFUNCTION("""COMPUTED_VALUE"""),"Online Payment")</f>
        <v>Online Payment</v>
      </c>
      <c r="I2339" s="18" t="str">
        <f>IFERROR(__xludf.DUMMYFUNCTION("""COMPUTED_VALUE"""),"Delivered")</f>
        <v>Delivered</v>
      </c>
      <c r="J2339" s="18" t="str">
        <f>IFERROR(__xludf.DUMMYFUNCTION("""COMPUTED_VALUE"""),"Satisfied with the Delivery")</f>
        <v>Satisfied with the Delivery</v>
      </c>
      <c r="K2339" s="18" t="str">
        <f>IFERROR(__xludf.DUMMYFUNCTION("""COMPUTED_VALUE"""),"Timely and quality")</f>
        <v>Timely and quality</v>
      </c>
      <c r="L2339" s="18">
        <f>iferror(VLOOKUP($D2339,Details!$A$2:$C$11,2,false),vlookup($D2339,Details!$E$2:$G$11,2,false))</f>
        <v>55</v>
      </c>
      <c r="M2339" s="18" t="str">
        <f>iferror(VLOOKUP($D2339,Details!$A$2:$C$11,3,false),vlookup($D2339,Details!$E$2:$G$11,3,false))</f>
        <v>Fruits and Vegetables</v>
      </c>
      <c r="N2339" s="18">
        <f t="shared" si="1"/>
        <v>55</v>
      </c>
      <c r="O2339" s="17"/>
      <c r="P2339" s="17"/>
      <c r="Q2339" s="17"/>
      <c r="R2339" s="17"/>
      <c r="S2339" s="17"/>
      <c r="T2339" s="17"/>
      <c r="U2339" s="17"/>
      <c r="V2339" s="17"/>
      <c r="W2339" s="17"/>
      <c r="X2339" s="17"/>
      <c r="Y2339" s="17"/>
      <c r="Z2339" s="17"/>
    </row>
    <row r="2340">
      <c r="A2340" s="18" t="str">
        <f>IFERROR(__xludf.DUMMYFUNCTION("""COMPUTED_VALUE"""),"ord_91386")</f>
        <v>ord_91386</v>
      </c>
      <c r="B2340" s="18" t="str">
        <f>IFERROR(__xludf.DUMMYFUNCTION("""COMPUTED_VALUE"""),"Pallavi Ghosh")</f>
        <v>Pallavi Ghosh</v>
      </c>
      <c r="C2340" s="18" t="str">
        <f>IFERROR(__xludf.DUMMYFUNCTION("""COMPUTED_VALUE"""),"Bandra")</f>
        <v>Bandra</v>
      </c>
      <c r="D2340" s="18" t="str">
        <f>IFERROR(__xludf.DUMMYFUNCTION("""COMPUTED_VALUE"""),"Cucumber")</f>
        <v>Cucumber</v>
      </c>
      <c r="E2340" s="18">
        <f>IFERROR(__xludf.DUMMYFUNCTION("""COMPUTED_VALUE"""),2.0)</f>
        <v>2</v>
      </c>
      <c r="F2340" s="18" t="str">
        <f>IFERROR(__xludf.DUMMYFUNCTION("""COMPUTED_VALUE"""),"Priya Joshi")</f>
        <v>Priya Joshi</v>
      </c>
      <c r="G2340" s="19">
        <f>IFERROR(__xludf.DUMMYFUNCTION("""COMPUTED_VALUE"""),45238.0)</f>
        <v>45238</v>
      </c>
      <c r="H2340" s="18" t="str">
        <f>IFERROR(__xludf.DUMMYFUNCTION("""COMPUTED_VALUE"""),"Credit Card")</f>
        <v>Credit Card</v>
      </c>
      <c r="I2340" s="18" t="str">
        <f>IFERROR(__xludf.DUMMYFUNCTION("""COMPUTED_VALUE"""),"Delivered")</f>
        <v>Delivered</v>
      </c>
      <c r="J2340" s="18" t="str">
        <f>IFERROR(__xludf.DUMMYFUNCTION("""COMPUTED_VALUE"""),"Customer Service")</f>
        <v>Customer Service</v>
      </c>
      <c r="K2340" s="18" t="str">
        <f>IFERROR(__xludf.DUMMYFUNCTION("""COMPUTED_VALUE"""),"Seamless and easy")</f>
        <v>Seamless and easy</v>
      </c>
      <c r="L2340" s="18">
        <f>iferror(VLOOKUP($D2340,Details!$A$2:$C$11,2,false),vlookup($D2340,Details!$E$2:$G$11,2,false))</f>
        <v>30</v>
      </c>
      <c r="M2340" s="18" t="str">
        <f>iferror(VLOOKUP($D2340,Details!$A$2:$C$11,3,false),vlookup($D2340,Details!$E$2:$G$11,3,false))</f>
        <v>Fruits and Vegetables</v>
      </c>
      <c r="N2340" s="18">
        <f t="shared" si="1"/>
        <v>60</v>
      </c>
      <c r="O2340" s="17"/>
      <c r="P2340" s="17"/>
      <c r="Q2340" s="17"/>
      <c r="R2340" s="17"/>
      <c r="S2340" s="17"/>
      <c r="T2340" s="17"/>
      <c r="U2340" s="17"/>
      <c r="V2340" s="17"/>
      <c r="W2340" s="17"/>
      <c r="X2340" s="17"/>
      <c r="Y2340" s="17"/>
      <c r="Z2340" s="17"/>
    </row>
    <row r="2341">
      <c r="A2341" s="18" t="str">
        <f>IFERROR(__xludf.DUMMYFUNCTION("""COMPUTED_VALUE"""),"ord_92305")</f>
        <v>ord_92305</v>
      </c>
      <c r="B2341" s="18" t="str">
        <f>IFERROR(__xludf.DUMMYFUNCTION("""COMPUTED_VALUE"""),"Pallavi Ghosh")</f>
        <v>Pallavi Ghosh</v>
      </c>
      <c r="C2341" s="18" t="str">
        <f>IFERROR(__xludf.DUMMYFUNCTION("""COMPUTED_VALUE"""),"Bandra")</f>
        <v>Bandra</v>
      </c>
      <c r="D2341" s="18" t="str">
        <f>IFERROR(__xludf.DUMMYFUNCTION("""COMPUTED_VALUE"""),"Cold Coffee")</f>
        <v>Cold Coffee</v>
      </c>
      <c r="E2341" s="18">
        <f>IFERROR(__xludf.DUMMYFUNCTION("""COMPUTED_VALUE"""),4.0)</f>
        <v>4</v>
      </c>
      <c r="F2341" s="18" t="str">
        <f>IFERROR(__xludf.DUMMYFUNCTION("""COMPUTED_VALUE"""),"Priya Joshi")</f>
        <v>Priya Joshi</v>
      </c>
      <c r="G2341" s="19">
        <f>IFERROR(__xludf.DUMMYFUNCTION("""COMPUTED_VALUE"""),45153.0)</f>
        <v>45153</v>
      </c>
      <c r="H2341" s="18" t="str">
        <f>IFERROR(__xludf.DUMMYFUNCTION("""COMPUTED_VALUE"""),"COD")</f>
        <v>COD</v>
      </c>
      <c r="I2341" s="18" t="str">
        <f>IFERROR(__xludf.DUMMYFUNCTION("""COMPUTED_VALUE"""),"Delivered")</f>
        <v>Delivered</v>
      </c>
      <c r="J2341" s="18" t="str">
        <f>IFERROR(__xludf.DUMMYFUNCTION("""COMPUTED_VALUE"""),"Delivery Experience")</f>
        <v>Delivery Experience</v>
      </c>
      <c r="K2341" s="18" t="str">
        <f>IFERROR(__xludf.DUMMYFUNCTION("""COMPUTED_VALUE"""),"Quick and professional")</f>
        <v>Quick and professional</v>
      </c>
      <c r="L2341" s="18">
        <f>iferror(VLOOKUP($D2341,Details!$A$2:$C$11,2,false),vlookup($D2341,Details!$E$2:$G$11,2,false))</f>
        <v>270</v>
      </c>
      <c r="M2341" s="18" t="str">
        <f>iferror(VLOOKUP($D2341,Details!$A$2:$C$11,3,false),vlookup($D2341,Details!$E$2:$G$11,3,false))</f>
        <v>Snacks and Drinks</v>
      </c>
      <c r="N2341" s="18">
        <f t="shared" si="1"/>
        <v>1080</v>
      </c>
      <c r="O2341" s="17"/>
      <c r="P2341" s="17"/>
      <c r="Q2341" s="17"/>
      <c r="R2341" s="17"/>
      <c r="S2341" s="17"/>
      <c r="T2341" s="17"/>
      <c r="U2341" s="17"/>
      <c r="V2341" s="17"/>
      <c r="W2341" s="17"/>
      <c r="X2341" s="17"/>
      <c r="Y2341" s="17"/>
      <c r="Z2341" s="17"/>
    </row>
    <row r="2342">
      <c r="A2342" s="18" t="str">
        <f>IFERROR(__xludf.DUMMYFUNCTION("""COMPUTED_VALUE"""),"ord_92306")</f>
        <v>ord_92306</v>
      </c>
      <c r="B2342" s="18" t="str">
        <f>IFERROR(__xludf.DUMMYFUNCTION("""COMPUTED_VALUE"""),"Tanishq Bansal")</f>
        <v>Tanishq Bansal</v>
      </c>
      <c r="C2342" s="18" t="str">
        <f>IFERROR(__xludf.DUMMYFUNCTION("""COMPUTED_VALUE"""),"Bandra")</f>
        <v>Bandra</v>
      </c>
      <c r="D2342" s="18" t="str">
        <f>IFERROR(__xludf.DUMMYFUNCTION("""COMPUTED_VALUE"""),"Papaya")</f>
        <v>Papaya</v>
      </c>
      <c r="E2342" s="18">
        <f>IFERROR(__xludf.DUMMYFUNCTION("""COMPUTED_VALUE"""),2.0)</f>
        <v>2</v>
      </c>
      <c r="F2342" s="18" t="str">
        <f>IFERROR(__xludf.DUMMYFUNCTION("""COMPUTED_VALUE"""),"Priya Joshi")</f>
        <v>Priya Joshi</v>
      </c>
      <c r="G2342" s="19">
        <f>IFERROR(__xludf.DUMMYFUNCTION("""COMPUTED_VALUE"""),45254.0)</f>
        <v>45254</v>
      </c>
      <c r="H2342" s="18" t="str">
        <f>IFERROR(__xludf.DUMMYFUNCTION("""COMPUTED_VALUE"""),"Credit Card")</f>
        <v>Credit Card</v>
      </c>
      <c r="I2342" s="18" t="str">
        <f>IFERROR(__xludf.DUMMYFUNCTION("""COMPUTED_VALUE"""),"Delivered")</f>
        <v>Delivered</v>
      </c>
      <c r="J2342" s="18" t="str">
        <f>IFERROR(__xludf.DUMMYFUNCTION("""COMPUTED_VALUE"""),"Convenience")</f>
        <v>Convenience</v>
      </c>
      <c r="K2342" s="18" t="str">
        <f>IFERROR(__xludf.DUMMYFUNCTION("""COMPUTED_VALUE"""),"Easy tracking")</f>
        <v>Easy tracking</v>
      </c>
      <c r="L2342" s="18">
        <f>iferror(VLOOKUP($D2342,Details!$A$2:$C$11,2,false),vlookup($D2342,Details!$E$2:$G$11,2,false))</f>
        <v>75</v>
      </c>
      <c r="M2342" s="18" t="str">
        <f>iferror(VLOOKUP($D2342,Details!$A$2:$C$11,3,false),vlookup($D2342,Details!$E$2:$G$11,3,false))</f>
        <v>Fruits and Vegetables</v>
      </c>
      <c r="N2342" s="18">
        <f t="shared" si="1"/>
        <v>150</v>
      </c>
      <c r="O2342" s="17"/>
      <c r="P2342" s="17"/>
      <c r="Q2342" s="17"/>
      <c r="R2342" s="17"/>
      <c r="S2342" s="17"/>
      <c r="T2342" s="17"/>
      <c r="U2342" s="17"/>
      <c r="V2342" s="17"/>
      <c r="W2342" s="17"/>
      <c r="X2342" s="17"/>
      <c r="Y2342" s="17"/>
      <c r="Z2342" s="17"/>
    </row>
    <row r="2343">
      <c r="A2343" s="18" t="str">
        <f>IFERROR(__xludf.DUMMYFUNCTION("""COMPUTED_VALUE"""),"ord_92307")</f>
        <v>ord_92307</v>
      </c>
      <c r="B2343" s="18" t="str">
        <f>IFERROR(__xludf.DUMMYFUNCTION("""COMPUTED_VALUE"""),"Tanishq Bansal")</f>
        <v>Tanishq Bansal</v>
      </c>
      <c r="C2343" s="18" t="str">
        <f>IFERROR(__xludf.DUMMYFUNCTION("""COMPUTED_VALUE"""),"Bandra")</f>
        <v>Bandra</v>
      </c>
      <c r="D2343" s="18" t="str">
        <f>IFERROR(__xludf.DUMMYFUNCTION("""COMPUTED_VALUE"""),"Rasmalai")</f>
        <v>Rasmalai</v>
      </c>
      <c r="E2343" s="18">
        <f>IFERROR(__xludf.DUMMYFUNCTION("""COMPUTED_VALUE"""),5.0)</f>
        <v>5</v>
      </c>
      <c r="F2343" s="18" t="str">
        <f>IFERROR(__xludf.DUMMYFUNCTION("""COMPUTED_VALUE"""),"Priya Joshi")</f>
        <v>Priya Joshi</v>
      </c>
      <c r="G2343" s="19">
        <f>IFERROR(__xludf.DUMMYFUNCTION("""COMPUTED_VALUE"""),45189.0)</f>
        <v>45189</v>
      </c>
      <c r="H2343" s="18" t="str">
        <f>IFERROR(__xludf.DUMMYFUNCTION("""COMPUTED_VALUE"""),"UPI")</f>
        <v>UPI</v>
      </c>
      <c r="I2343" s="18" t="str">
        <f>IFERROR(__xludf.DUMMYFUNCTION("""COMPUTED_VALUE"""),"Delivered")</f>
        <v>Delivered</v>
      </c>
      <c r="J2343" s="18" t="str">
        <f>IFERROR(__xludf.DUMMYFUNCTION("""COMPUTED_VALUE"""),"Overall Satisfaction")</f>
        <v>Overall Satisfaction</v>
      </c>
      <c r="K2343" s="18" t="str">
        <f>IFERROR(__xludf.DUMMYFUNCTION("""COMPUTED_VALUE"""),"Great service will order again")</f>
        <v>Great service will order again</v>
      </c>
      <c r="L2343" s="18">
        <f>iferror(VLOOKUP($D2343,Details!$A$2:$C$11,2,false),vlookup($D2343,Details!$E$2:$G$11,2,false))</f>
        <v>110</v>
      </c>
      <c r="M2343" s="18" t="str">
        <f>iferror(VLOOKUP($D2343,Details!$A$2:$C$11,3,false),vlookup($D2343,Details!$E$2:$G$11,3,false))</f>
        <v>Snacks and Drinks</v>
      </c>
      <c r="N2343" s="18">
        <f t="shared" si="1"/>
        <v>550</v>
      </c>
      <c r="O2343" s="17"/>
      <c r="P2343" s="17"/>
      <c r="Q2343" s="17"/>
      <c r="R2343" s="17"/>
      <c r="S2343" s="17"/>
      <c r="T2343" s="17"/>
      <c r="U2343" s="17"/>
      <c r="V2343" s="17"/>
      <c r="W2343" s="17"/>
      <c r="X2343" s="17"/>
      <c r="Y2343" s="17"/>
      <c r="Z2343" s="17"/>
    </row>
    <row r="2344">
      <c r="A2344" s="18" t="str">
        <f>IFERROR(__xludf.DUMMYFUNCTION("""COMPUTED_VALUE"""),"ord_92308")</f>
        <v>ord_92308</v>
      </c>
      <c r="B2344" s="18" t="str">
        <f>IFERROR(__xludf.DUMMYFUNCTION("""COMPUTED_VALUE"""),"Dev Chauhan")</f>
        <v>Dev Chauhan</v>
      </c>
      <c r="C2344" s="18" t="str">
        <f>IFERROR(__xludf.DUMMYFUNCTION("""COMPUTED_VALUE"""),"Bandra")</f>
        <v>Bandra</v>
      </c>
      <c r="D2344" s="18" t="str">
        <f>IFERROR(__xludf.DUMMYFUNCTION("""COMPUTED_VALUE"""),"Apple")</f>
        <v>Apple</v>
      </c>
      <c r="E2344" s="18">
        <f>IFERROR(__xludf.DUMMYFUNCTION("""COMPUTED_VALUE"""),2.0)</f>
        <v>2</v>
      </c>
      <c r="F2344" s="18" t="str">
        <f>IFERROR(__xludf.DUMMYFUNCTION("""COMPUTED_VALUE"""),"Priya Joshi")</f>
        <v>Priya Joshi</v>
      </c>
      <c r="G2344" s="19">
        <f>IFERROR(__xludf.DUMMYFUNCTION("""COMPUTED_VALUE"""),45242.0)</f>
        <v>45242</v>
      </c>
      <c r="H2344" s="18" t="str">
        <f>IFERROR(__xludf.DUMMYFUNCTION("""COMPUTED_VALUE"""),"COD")</f>
        <v>COD</v>
      </c>
      <c r="I2344" s="18" t="str">
        <f>IFERROR(__xludf.DUMMYFUNCTION("""COMPUTED_VALUE"""),"Delivered")</f>
        <v>Delivered</v>
      </c>
      <c r="J2344" s="18" t="str">
        <f>IFERROR(__xludf.DUMMYFUNCTION("""COMPUTED_VALUE"""),"On-time Delivery")</f>
        <v>On-time Delivery</v>
      </c>
      <c r="K2344" s="18" t="str">
        <f>IFERROR(__xludf.DUMMYFUNCTION("""COMPUTED_VALUE"""),"Delivered on time")</f>
        <v>Delivered on time</v>
      </c>
      <c r="L2344" s="18">
        <f>iferror(VLOOKUP($D2344,Details!$A$2:$C$11,2,false),vlookup($D2344,Details!$E$2:$G$11,2,false))</f>
        <v>230</v>
      </c>
      <c r="M2344" s="18" t="str">
        <f>iferror(VLOOKUP($D2344,Details!$A$2:$C$11,3,false),vlookup($D2344,Details!$E$2:$G$11,3,false))</f>
        <v>Fruits and Vegetables</v>
      </c>
      <c r="N2344" s="18">
        <f t="shared" si="1"/>
        <v>460</v>
      </c>
      <c r="O2344" s="17"/>
      <c r="P2344" s="17"/>
      <c r="Q2344" s="17"/>
      <c r="R2344" s="17"/>
      <c r="S2344" s="17"/>
      <c r="T2344" s="17"/>
      <c r="U2344" s="17"/>
      <c r="V2344" s="17"/>
      <c r="W2344" s="17"/>
      <c r="X2344" s="17"/>
      <c r="Y2344" s="17"/>
      <c r="Z2344" s="17"/>
    </row>
    <row r="2345">
      <c r="A2345" s="18" t="str">
        <f>IFERROR(__xludf.DUMMYFUNCTION("""COMPUTED_VALUE"""),"ord_92309")</f>
        <v>ord_92309</v>
      </c>
      <c r="B2345" s="18" t="str">
        <f>IFERROR(__xludf.DUMMYFUNCTION("""COMPUTED_VALUE"""),"Arvind Kulkarni")</f>
        <v>Arvind Kulkarni</v>
      </c>
      <c r="C2345" s="18" t="str">
        <f>IFERROR(__xludf.DUMMYFUNCTION("""COMPUTED_VALUE"""),"Juhu")</f>
        <v>Juhu</v>
      </c>
      <c r="D2345" s="18" t="str">
        <f>IFERROR(__xludf.DUMMYFUNCTION("""COMPUTED_VALUE"""),"Icecream")</f>
        <v>Icecream</v>
      </c>
      <c r="E2345" s="18">
        <f>IFERROR(__xludf.DUMMYFUNCTION("""COMPUTED_VALUE"""),2.0)</f>
        <v>2</v>
      </c>
      <c r="F2345" s="18" t="str">
        <f>IFERROR(__xludf.DUMMYFUNCTION("""COMPUTED_VALUE"""),"Tanvi Jain")</f>
        <v>Tanvi Jain</v>
      </c>
      <c r="G2345" s="19">
        <f>IFERROR(__xludf.DUMMYFUNCTION("""COMPUTED_VALUE"""),45269.0)</f>
        <v>45269</v>
      </c>
      <c r="H2345" s="18" t="str">
        <f>IFERROR(__xludf.DUMMYFUNCTION("""COMPUTED_VALUE"""),"Credit Card")</f>
        <v>Credit Card</v>
      </c>
      <c r="I2345" s="18" t="str">
        <f>IFERROR(__xludf.DUMMYFUNCTION("""COMPUTED_VALUE"""),"Delivered")</f>
        <v>Delivered</v>
      </c>
      <c r="J2345" s="18" t="str">
        <f>IFERROR(__xludf.DUMMYFUNCTION("""COMPUTED_VALUE"""),"Quality of Items")</f>
        <v>Quality of Items</v>
      </c>
      <c r="K2345" s="18" t="str">
        <f>IFERROR(__xludf.DUMMYFUNCTION("""COMPUTED_VALUE"""),"Perfect condition")</f>
        <v>Perfect condition</v>
      </c>
      <c r="L2345" s="18">
        <f>iferror(VLOOKUP($D2345,Details!$A$2:$C$11,2,false),vlookup($D2345,Details!$E$2:$G$11,2,false))</f>
        <v>90</v>
      </c>
      <c r="M2345" s="18" t="str">
        <f>iferror(VLOOKUP($D2345,Details!$A$2:$C$11,3,false),vlookup($D2345,Details!$E$2:$G$11,3,false))</f>
        <v>Snacks and Drinks</v>
      </c>
      <c r="N2345" s="18">
        <f t="shared" si="1"/>
        <v>180</v>
      </c>
      <c r="O2345" s="17"/>
      <c r="P2345" s="17"/>
      <c r="Q2345" s="17"/>
      <c r="R2345" s="17"/>
      <c r="S2345" s="17"/>
      <c r="T2345" s="17"/>
      <c r="U2345" s="17"/>
      <c r="V2345" s="17"/>
      <c r="W2345" s="17"/>
      <c r="X2345" s="17"/>
      <c r="Y2345" s="17"/>
      <c r="Z2345" s="17"/>
    </row>
    <row r="2346">
      <c r="A2346" s="18" t="str">
        <f>IFERROR(__xludf.DUMMYFUNCTION("""COMPUTED_VALUE"""),"ord_92310")</f>
        <v>ord_92310</v>
      </c>
      <c r="B2346" s="18" t="str">
        <f>IFERROR(__xludf.DUMMYFUNCTION("""COMPUTED_VALUE"""),"Parth Goel")</f>
        <v>Parth Goel</v>
      </c>
      <c r="C2346" s="18" t="str">
        <f>IFERROR(__xludf.DUMMYFUNCTION("""COMPUTED_VALUE"""),"Juhu")</f>
        <v>Juhu</v>
      </c>
      <c r="D2346" s="18" t="str">
        <f>IFERROR(__xludf.DUMMYFUNCTION("""COMPUTED_VALUE"""),"Chocolate Mousse")</f>
        <v>Chocolate Mousse</v>
      </c>
      <c r="E2346" s="18">
        <f>IFERROR(__xludf.DUMMYFUNCTION("""COMPUTED_VALUE"""),4.0)</f>
        <v>4</v>
      </c>
      <c r="F2346" s="18" t="str">
        <f>IFERROR(__xludf.DUMMYFUNCTION("""COMPUTED_VALUE"""),"Not Assigned")</f>
        <v>Not Assigned</v>
      </c>
      <c r="G2346" s="19">
        <f>IFERROR(__xludf.DUMMYFUNCTION("""COMPUTED_VALUE"""),45206.0)</f>
        <v>45206</v>
      </c>
      <c r="H2346" s="18" t="str">
        <f>IFERROR(__xludf.DUMMYFUNCTION("""COMPUTED_VALUE"""),"Online Payment")</f>
        <v>Online Payment</v>
      </c>
      <c r="I2346" s="18" t="str">
        <f>IFERROR(__xludf.DUMMYFUNCTION("""COMPUTED_VALUE"""),"Cancelled")</f>
        <v>Cancelled</v>
      </c>
      <c r="J2346" s="18" t="str">
        <f>IFERROR(__xludf.DUMMYFUNCTION("""COMPUTED_VALUE"""),"App Glitches")</f>
        <v>App Glitches</v>
      </c>
      <c r="K2346" s="18" t="str">
        <f>IFERROR(__xludf.DUMMYFUNCTION("""COMPUTED_VALUE"""),"Payment Button Malfunction")</f>
        <v>Payment Button Malfunction</v>
      </c>
      <c r="L2346" s="18">
        <f>iferror(VLOOKUP($D2346,Details!$A$2:$C$11,2,false),vlookup($D2346,Details!$E$2:$G$11,2,false))</f>
        <v>145</v>
      </c>
      <c r="M2346" s="18" t="str">
        <f>iferror(VLOOKUP($D2346,Details!$A$2:$C$11,3,false),vlookup($D2346,Details!$E$2:$G$11,3,false))</f>
        <v>Snacks and Drinks</v>
      </c>
      <c r="N2346" s="18">
        <f t="shared" si="1"/>
        <v>580</v>
      </c>
      <c r="O2346" s="17"/>
      <c r="P2346" s="17"/>
      <c r="Q2346" s="17"/>
      <c r="R2346" s="17"/>
      <c r="S2346" s="17"/>
      <c r="T2346" s="17"/>
      <c r="U2346" s="17"/>
      <c r="V2346" s="17"/>
      <c r="W2346" s="17"/>
      <c r="X2346" s="17"/>
      <c r="Y2346" s="17"/>
      <c r="Z2346" s="17"/>
    </row>
    <row r="2347">
      <c r="A2347" s="18" t="str">
        <f>IFERROR(__xludf.DUMMYFUNCTION("""COMPUTED_VALUE"""),"ord_92311")</f>
        <v>ord_92311</v>
      </c>
      <c r="B2347" s="18" t="str">
        <f>IFERROR(__xludf.DUMMYFUNCTION("""COMPUTED_VALUE"""),"Mehul Thakkar")</f>
        <v>Mehul Thakkar</v>
      </c>
      <c r="C2347" s="18" t="str">
        <f>IFERROR(__xludf.DUMMYFUNCTION("""COMPUTED_VALUE"""),"Malad")</f>
        <v>Malad</v>
      </c>
      <c r="D2347" s="18" t="str">
        <f>IFERROR(__xludf.DUMMYFUNCTION("""COMPUTED_VALUE"""),"Juice")</f>
        <v>Juice</v>
      </c>
      <c r="E2347" s="18">
        <f>IFERROR(__xludf.DUMMYFUNCTION("""COMPUTED_VALUE"""),4.0)</f>
        <v>4</v>
      </c>
      <c r="F2347" s="18" t="str">
        <f>IFERROR(__xludf.DUMMYFUNCTION("""COMPUTED_VALUE"""),"Neha Shah")</f>
        <v>Neha Shah</v>
      </c>
      <c r="G2347" s="19">
        <f>IFERROR(__xludf.DUMMYFUNCTION("""COMPUTED_VALUE"""),45116.0)</f>
        <v>45116</v>
      </c>
      <c r="H2347" s="18" t="str">
        <f>IFERROR(__xludf.DUMMYFUNCTION("""COMPUTED_VALUE"""),"UPI")</f>
        <v>UPI</v>
      </c>
      <c r="I2347" s="18" t="str">
        <f>IFERROR(__xludf.DUMMYFUNCTION("""COMPUTED_VALUE"""),"Delivered")</f>
        <v>Delivered</v>
      </c>
      <c r="J2347" s="18" t="str">
        <f>IFERROR(__xludf.DUMMYFUNCTION("""COMPUTED_VALUE"""),"Packaging")</f>
        <v>Packaging</v>
      </c>
      <c r="K2347" s="18" t="str">
        <f>IFERROR(__xludf.DUMMYFUNCTION("""COMPUTED_VALUE"""),"Secure and intact")</f>
        <v>Secure and intact</v>
      </c>
      <c r="L2347" s="18">
        <f>iferror(VLOOKUP($D2347,Details!$A$2:$C$11,2,false),vlookup($D2347,Details!$E$2:$G$11,2,false))</f>
        <v>90</v>
      </c>
      <c r="M2347" s="18" t="str">
        <f>iferror(VLOOKUP($D2347,Details!$A$2:$C$11,3,false),vlookup($D2347,Details!$E$2:$G$11,3,false))</f>
        <v>Snacks and Drinks</v>
      </c>
      <c r="N2347" s="18">
        <f t="shared" si="1"/>
        <v>360</v>
      </c>
      <c r="O2347" s="17"/>
      <c r="P2347" s="17"/>
      <c r="Q2347" s="17"/>
      <c r="R2347" s="17"/>
      <c r="S2347" s="17"/>
      <c r="T2347" s="17"/>
      <c r="U2347" s="17"/>
      <c r="V2347" s="17"/>
      <c r="W2347" s="17"/>
      <c r="X2347" s="17"/>
      <c r="Y2347" s="17"/>
      <c r="Z2347" s="17"/>
    </row>
    <row r="2348">
      <c r="A2348" s="18" t="str">
        <f>IFERROR(__xludf.DUMMYFUNCTION("""COMPUTED_VALUE"""),"ord_92312")</f>
        <v>ord_92312</v>
      </c>
      <c r="B2348" s="18" t="str">
        <f>IFERROR(__xludf.DUMMYFUNCTION("""COMPUTED_VALUE"""),"Sakshi Tandon")</f>
        <v>Sakshi Tandon</v>
      </c>
      <c r="C2348" s="18" t="str">
        <f>IFERROR(__xludf.DUMMYFUNCTION("""COMPUTED_VALUE"""),"Colaba")</f>
        <v>Colaba</v>
      </c>
      <c r="D2348" s="18" t="str">
        <f>IFERROR(__xludf.DUMMYFUNCTION("""COMPUTED_VALUE"""),"Papaya")</f>
        <v>Papaya</v>
      </c>
      <c r="E2348" s="18">
        <f>IFERROR(__xludf.DUMMYFUNCTION("""COMPUTED_VALUE"""),2.0)</f>
        <v>2</v>
      </c>
      <c r="F2348" s="18" t="str">
        <f>IFERROR(__xludf.DUMMYFUNCTION("""COMPUTED_VALUE"""),"Nikhil Deshmukh")</f>
        <v>Nikhil Deshmukh</v>
      </c>
      <c r="G2348" s="19">
        <f>IFERROR(__xludf.DUMMYFUNCTION("""COMPUTED_VALUE"""),45093.0)</f>
        <v>45093</v>
      </c>
      <c r="H2348" s="18" t="str">
        <f>IFERROR(__xludf.DUMMYFUNCTION("""COMPUTED_VALUE"""),"UPI")</f>
        <v>UPI</v>
      </c>
      <c r="I2348" s="18" t="str">
        <f>IFERROR(__xludf.DUMMYFUNCTION("""COMPUTED_VALUE"""),"Delivered")</f>
        <v>Delivered</v>
      </c>
      <c r="J2348" s="18" t="str">
        <f>IFERROR(__xludf.DUMMYFUNCTION("""COMPUTED_VALUE"""),"Satisfied with the Delivery")</f>
        <v>Satisfied with the Delivery</v>
      </c>
      <c r="K2348" s="18" t="str">
        <f>IFERROR(__xludf.DUMMYFUNCTION("""COMPUTED_VALUE"""),"Timely and quality")</f>
        <v>Timely and quality</v>
      </c>
      <c r="L2348" s="18">
        <f>iferror(VLOOKUP($D2348,Details!$A$2:$C$11,2,false),vlookup($D2348,Details!$E$2:$G$11,2,false))</f>
        <v>75</v>
      </c>
      <c r="M2348" s="18" t="str">
        <f>iferror(VLOOKUP($D2348,Details!$A$2:$C$11,3,false),vlookup($D2348,Details!$E$2:$G$11,3,false))</f>
        <v>Fruits and Vegetables</v>
      </c>
      <c r="N2348" s="18">
        <f t="shared" si="1"/>
        <v>150</v>
      </c>
      <c r="O2348" s="17"/>
      <c r="P2348" s="17"/>
      <c r="Q2348" s="17"/>
      <c r="R2348" s="17"/>
      <c r="S2348" s="17"/>
      <c r="T2348" s="17"/>
      <c r="U2348" s="17"/>
      <c r="V2348" s="17"/>
      <c r="W2348" s="17"/>
      <c r="X2348" s="17"/>
      <c r="Y2348" s="17"/>
      <c r="Z2348" s="17"/>
    </row>
    <row r="2349">
      <c r="A2349" s="18" t="str">
        <f>IFERROR(__xludf.DUMMYFUNCTION("""COMPUTED_VALUE"""),"ord_92313")</f>
        <v>ord_92313</v>
      </c>
      <c r="B2349" s="18" t="str">
        <f>IFERROR(__xludf.DUMMYFUNCTION("""COMPUTED_VALUE"""),"Ishaan Chaturvedi")</f>
        <v>Ishaan Chaturvedi</v>
      </c>
      <c r="C2349" s="18" t="str">
        <f>IFERROR(__xludf.DUMMYFUNCTION("""COMPUTED_VALUE"""),"Bandra")</f>
        <v>Bandra</v>
      </c>
      <c r="D2349" s="18" t="str">
        <f>IFERROR(__xludf.DUMMYFUNCTION("""COMPUTED_VALUE"""),"Chilli Cheese Toast")</f>
        <v>Chilli Cheese Toast</v>
      </c>
      <c r="E2349" s="18">
        <f>IFERROR(__xludf.DUMMYFUNCTION("""COMPUTED_VALUE"""),1.0)</f>
        <v>1</v>
      </c>
      <c r="F2349" s="18" t="str">
        <f>IFERROR(__xludf.DUMMYFUNCTION("""COMPUTED_VALUE"""),"Priya Joshi")</f>
        <v>Priya Joshi</v>
      </c>
      <c r="G2349" s="19">
        <f>IFERROR(__xludf.DUMMYFUNCTION("""COMPUTED_VALUE"""),45176.0)</f>
        <v>45176</v>
      </c>
      <c r="H2349" s="18" t="str">
        <f>IFERROR(__xludf.DUMMYFUNCTION("""COMPUTED_VALUE"""),"UPI")</f>
        <v>UPI</v>
      </c>
      <c r="I2349" s="18" t="str">
        <f>IFERROR(__xludf.DUMMYFUNCTION("""COMPUTED_VALUE"""),"Delivered")</f>
        <v>Delivered</v>
      </c>
      <c r="J2349" s="18" t="str">
        <f>IFERROR(__xludf.DUMMYFUNCTION("""COMPUTED_VALUE"""),"Customer Service")</f>
        <v>Customer Service</v>
      </c>
      <c r="K2349" s="18" t="str">
        <f>IFERROR(__xludf.DUMMYFUNCTION("""COMPUTED_VALUE"""),"Seamless and easy")</f>
        <v>Seamless and easy</v>
      </c>
      <c r="L2349" s="18">
        <f>iferror(VLOOKUP($D2349,Details!$A$2:$C$11,2,false),vlookup($D2349,Details!$E$2:$G$11,2,false))</f>
        <v>80</v>
      </c>
      <c r="M2349" s="18" t="str">
        <f>iferror(VLOOKUP($D2349,Details!$A$2:$C$11,3,false),vlookup($D2349,Details!$E$2:$G$11,3,false))</f>
        <v>Snacks and Drinks</v>
      </c>
      <c r="N2349" s="18">
        <f t="shared" si="1"/>
        <v>80</v>
      </c>
      <c r="O2349" s="17"/>
      <c r="P2349" s="17"/>
      <c r="Q2349" s="17"/>
      <c r="R2349" s="17"/>
      <c r="S2349" s="17"/>
      <c r="T2349" s="17"/>
      <c r="U2349" s="17"/>
      <c r="V2349" s="17"/>
      <c r="W2349" s="17"/>
      <c r="X2349" s="17"/>
      <c r="Y2349" s="17"/>
      <c r="Z2349" s="17"/>
    </row>
    <row r="2350">
      <c r="A2350" s="18" t="str">
        <f>IFERROR(__xludf.DUMMYFUNCTION("""COMPUTED_VALUE"""),"ord_92314")</f>
        <v>ord_92314</v>
      </c>
      <c r="B2350" s="18" t="str">
        <f>IFERROR(__xludf.DUMMYFUNCTION("""COMPUTED_VALUE"""),"Riya Chakraborty")</f>
        <v>Riya Chakraborty</v>
      </c>
      <c r="C2350" s="18" t="str">
        <f>IFERROR(__xludf.DUMMYFUNCTION("""COMPUTED_VALUE"""),"Juhu")</f>
        <v>Juhu</v>
      </c>
      <c r="D2350" s="18" t="str">
        <f>IFERROR(__xludf.DUMMYFUNCTION("""COMPUTED_VALUE"""),"Juice")</f>
        <v>Juice</v>
      </c>
      <c r="E2350" s="18">
        <f>IFERROR(__xludf.DUMMYFUNCTION("""COMPUTED_VALUE"""),3.0)</f>
        <v>3</v>
      </c>
      <c r="F2350" s="18" t="str">
        <f>IFERROR(__xludf.DUMMYFUNCTION("""COMPUTED_VALUE"""),"Tanvi Jain")</f>
        <v>Tanvi Jain</v>
      </c>
      <c r="G2350" s="19">
        <f>IFERROR(__xludf.DUMMYFUNCTION("""COMPUTED_VALUE"""),45092.0)</f>
        <v>45092</v>
      </c>
      <c r="H2350" s="18" t="str">
        <f>IFERROR(__xludf.DUMMYFUNCTION("""COMPUTED_VALUE"""),"Credit Card")</f>
        <v>Credit Card</v>
      </c>
      <c r="I2350" s="18" t="str">
        <f>IFERROR(__xludf.DUMMYFUNCTION("""COMPUTED_VALUE"""),"Delivered")</f>
        <v>Delivered</v>
      </c>
      <c r="J2350" s="18" t="str">
        <f>IFERROR(__xludf.DUMMYFUNCTION("""COMPUTED_VALUE"""),"Delivery Experience")</f>
        <v>Delivery Experience</v>
      </c>
      <c r="K2350" s="18" t="str">
        <f>IFERROR(__xludf.DUMMYFUNCTION("""COMPUTED_VALUE"""),"Quick and professional")</f>
        <v>Quick and professional</v>
      </c>
      <c r="L2350" s="18">
        <f>iferror(VLOOKUP($D2350,Details!$A$2:$C$11,2,false),vlookup($D2350,Details!$E$2:$G$11,2,false))</f>
        <v>90</v>
      </c>
      <c r="M2350" s="18" t="str">
        <f>iferror(VLOOKUP($D2350,Details!$A$2:$C$11,3,false),vlookup($D2350,Details!$E$2:$G$11,3,false))</f>
        <v>Snacks and Drinks</v>
      </c>
      <c r="N2350" s="18">
        <f t="shared" si="1"/>
        <v>270</v>
      </c>
      <c r="O2350" s="17"/>
      <c r="P2350" s="17"/>
      <c r="Q2350" s="17"/>
      <c r="R2350" s="17"/>
      <c r="S2350" s="17"/>
      <c r="T2350" s="17"/>
      <c r="U2350" s="17"/>
      <c r="V2350" s="17"/>
      <c r="W2350" s="17"/>
      <c r="X2350" s="17"/>
      <c r="Y2350" s="17"/>
      <c r="Z2350" s="17"/>
    </row>
    <row r="2351">
      <c r="A2351" s="18" t="str">
        <f>IFERROR(__xludf.DUMMYFUNCTION("""COMPUTED_VALUE"""),"ord_92315")</f>
        <v>ord_92315</v>
      </c>
      <c r="B2351" s="18" t="str">
        <f>IFERROR(__xludf.DUMMYFUNCTION("""COMPUTED_VALUE"""),"Aarohi Kapoor")</f>
        <v>Aarohi Kapoor</v>
      </c>
      <c r="C2351" s="18" t="str">
        <f>IFERROR(__xludf.DUMMYFUNCTION("""COMPUTED_VALUE"""),"Bandra")</f>
        <v>Bandra</v>
      </c>
      <c r="D2351" s="18" t="str">
        <f>IFERROR(__xludf.DUMMYFUNCTION("""COMPUTED_VALUE"""),"Chilli Cheese Toast")</f>
        <v>Chilli Cheese Toast</v>
      </c>
      <c r="E2351" s="18">
        <f>IFERROR(__xludf.DUMMYFUNCTION("""COMPUTED_VALUE"""),5.0)</f>
        <v>5</v>
      </c>
      <c r="F2351" s="18" t="str">
        <f>IFERROR(__xludf.DUMMYFUNCTION("""COMPUTED_VALUE"""),"Ramesh S")</f>
        <v>Ramesh S</v>
      </c>
      <c r="G2351" s="19">
        <f>IFERROR(__xludf.DUMMYFUNCTION("""COMPUTED_VALUE"""),45190.0)</f>
        <v>45190</v>
      </c>
      <c r="H2351" s="18" t="str">
        <f>IFERROR(__xludf.DUMMYFUNCTION("""COMPUTED_VALUE"""),"Credit Card")</f>
        <v>Credit Card</v>
      </c>
      <c r="I2351" s="18" t="str">
        <f>IFERROR(__xludf.DUMMYFUNCTION("""COMPUTED_VALUE"""),"Delivered")</f>
        <v>Delivered</v>
      </c>
      <c r="J2351" s="18" t="str">
        <f>IFERROR(__xludf.DUMMYFUNCTION("""COMPUTED_VALUE"""),"Convenience")</f>
        <v>Convenience</v>
      </c>
      <c r="K2351" s="18" t="str">
        <f>IFERROR(__xludf.DUMMYFUNCTION("""COMPUTED_VALUE"""),"Easy tracking")</f>
        <v>Easy tracking</v>
      </c>
      <c r="L2351" s="18">
        <f>iferror(VLOOKUP($D2351,Details!$A$2:$C$11,2,false),vlookup($D2351,Details!$E$2:$G$11,2,false))</f>
        <v>80</v>
      </c>
      <c r="M2351" s="18" t="str">
        <f>iferror(VLOOKUP($D2351,Details!$A$2:$C$11,3,false),vlookup($D2351,Details!$E$2:$G$11,3,false))</f>
        <v>Snacks and Drinks</v>
      </c>
      <c r="N2351" s="18">
        <f t="shared" si="1"/>
        <v>400</v>
      </c>
      <c r="O2351" s="17"/>
      <c r="P2351" s="17"/>
      <c r="Q2351" s="17"/>
      <c r="R2351" s="17"/>
      <c r="S2351" s="17"/>
      <c r="T2351" s="17"/>
      <c r="U2351" s="17"/>
      <c r="V2351" s="17"/>
      <c r="W2351" s="17"/>
      <c r="X2351" s="17"/>
      <c r="Y2351" s="17"/>
      <c r="Z2351" s="17"/>
    </row>
    <row r="2352">
      <c r="A2352" s="18" t="str">
        <f>IFERROR(__xludf.DUMMYFUNCTION("""COMPUTED_VALUE"""),"ord_92316")</f>
        <v>ord_92316</v>
      </c>
      <c r="B2352" s="18" t="str">
        <f>IFERROR(__xludf.DUMMYFUNCTION("""COMPUTED_VALUE"""),"Mehul Thakkar")</f>
        <v>Mehul Thakkar</v>
      </c>
      <c r="C2352" s="18" t="str">
        <f>IFERROR(__xludf.DUMMYFUNCTION("""COMPUTED_VALUE"""),"Malad")</f>
        <v>Malad</v>
      </c>
      <c r="D2352" s="18" t="str">
        <f>IFERROR(__xludf.DUMMYFUNCTION("""COMPUTED_VALUE"""),"Papaya")</f>
        <v>Papaya</v>
      </c>
      <c r="E2352" s="18">
        <f>IFERROR(__xludf.DUMMYFUNCTION("""COMPUTED_VALUE"""),2.0)</f>
        <v>2</v>
      </c>
      <c r="F2352" s="18" t="str">
        <f>IFERROR(__xludf.DUMMYFUNCTION("""COMPUTED_VALUE"""),"Vivek Kumar")</f>
        <v>Vivek Kumar</v>
      </c>
      <c r="G2352" s="19">
        <f>IFERROR(__xludf.DUMMYFUNCTION("""COMPUTED_VALUE"""),45125.0)</f>
        <v>45125</v>
      </c>
      <c r="H2352" s="18" t="str">
        <f>IFERROR(__xludf.DUMMYFUNCTION("""COMPUTED_VALUE"""),"Online Payment")</f>
        <v>Online Payment</v>
      </c>
      <c r="I2352" s="18" t="str">
        <f>IFERROR(__xludf.DUMMYFUNCTION("""COMPUTED_VALUE"""),"Delivered")</f>
        <v>Delivered</v>
      </c>
      <c r="J2352" s="18" t="str">
        <f>IFERROR(__xludf.DUMMYFUNCTION("""COMPUTED_VALUE"""),"Overall Satisfaction")</f>
        <v>Overall Satisfaction</v>
      </c>
      <c r="K2352" s="18" t="str">
        <f>IFERROR(__xludf.DUMMYFUNCTION("""COMPUTED_VALUE"""),"Great service will order again")</f>
        <v>Great service will order again</v>
      </c>
      <c r="L2352" s="18">
        <f>iferror(VLOOKUP($D2352,Details!$A$2:$C$11,2,false),vlookup($D2352,Details!$E$2:$G$11,2,false))</f>
        <v>75</v>
      </c>
      <c r="M2352" s="18" t="str">
        <f>iferror(VLOOKUP($D2352,Details!$A$2:$C$11,3,false),vlookup($D2352,Details!$E$2:$G$11,3,false))</f>
        <v>Fruits and Vegetables</v>
      </c>
      <c r="N2352" s="18">
        <f t="shared" si="1"/>
        <v>150</v>
      </c>
      <c r="O2352" s="17"/>
      <c r="P2352" s="17"/>
      <c r="Q2352" s="17"/>
      <c r="R2352" s="17"/>
      <c r="S2352" s="17"/>
      <c r="T2352" s="17"/>
      <c r="U2352" s="17"/>
      <c r="V2352" s="17"/>
      <c r="W2352" s="17"/>
      <c r="X2352" s="17"/>
      <c r="Y2352" s="17"/>
      <c r="Z2352" s="17"/>
    </row>
    <row r="2353">
      <c r="A2353" s="18" t="str">
        <f>IFERROR(__xludf.DUMMYFUNCTION("""COMPUTED_VALUE"""),"ord_92317")</f>
        <v>ord_92317</v>
      </c>
      <c r="B2353" s="18" t="str">
        <f>IFERROR(__xludf.DUMMYFUNCTION("""COMPUTED_VALUE"""),"Aarohi Kapoor")</f>
        <v>Aarohi Kapoor</v>
      </c>
      <c r="C2353" s="18" t="str">
        <f>IFERROR(__xludf.DUMMYFUNCTION("""COMPUTED_VALUE"""),"Bandra")</f>
        <v>Bandra</v>
      </c>
      <c r="D2353" s="18" t="str">
        <f>IFERROR(__xludf.DUMMYFUNCTION("""COMPUTED_VALUE"""),"Apple")</f>
        <v>Apple</v>
      </c>
      <c r="E2353" s="18">
        <f>IFERROR(__xludf.DUMMYFUNCTION("""COMPUTED_VALUE"""),1.0)</f>
        <v>1</v>
      </c>
      <c r="F2353" s="18" t="str">
        <f>IFERROR(__xludf.DUMMYFUNCTION("""COMPUTED_VALUE"""),"Shine Thomas")</f>
        <v>Shine Thomas</v>
      </c>
      <c r="G2353" s="19">
        <f>IFERROR(__xludf.DUMMYFUNCTION("""COMPUTED_VALUE"""),45279.0)</f>
        <v>45279</v>
      </c>
      <c r="H2353" s="18" t="str">
        <f>IFERROR(__xludf.DUMMYFUNCTION("""COMPUTED_VALUE"""),"UPI")</f>
        <v>UPI</v>
      </c>
      <c r="I2353" s="18" t="str">
        <f>IFERROR(__xludf.DUMMYFUNCTION("""COMPUTED_VALUE"""),"Delivered")</f>
        <v>Delivered</v>
      </c>
      <c r="J2353" s="18" t="str">
        <f>IFERROR(__xludf.DUMMYFUNCTION("""COMPUTED_VALUE"""),"On-time Delivery")</f>
        <v>On-time Delivery</v>
      </c>
      <c r="K2353" s="18" t="str">
        <f>IFERROR(__xludf.DUMMYFUNCTION("""COMPUTED_VALUE"""),"Delivered on time")</f>
        <v>Delivered on time</v>
      </c>
      <c r="L2353" s="18">
        <f>iferror(VLOOKUP($D2353,Details!$A$2:$C$11,2,false),vlookup($D2353,Details!$E$2:$G$11,2,false))</f>
        <v>230</v>
      </c>
      <c r="M2353" s="18" t="str">
        <f>iferror(VLOOKUP($D2353,Details!$A$2:$C$11,3,false),vlookup($D2353,Details!$E$2:$G$11,3,false))</f>
        <v>Fruits and Vegetables</v>
      </c>
      <c r="N2353" s="18">
        <f t="shared" si="1"/>
        <v>230</v>
      </c>
      <c r="O2353" s="17"/>
      <c r="P2353" s="17"/>
      <c r="Q2353" s="17"/>
      <c r="R2353" s="17"/>
      <c r="S2353" s="17"/>
      <c r="T2353" s="17"/>
      <c r="U2353" s="17"/>
      <c r="V2353" s="17"/>
      <c r="W2353" s="17"/>
      <c r="X2353" s="17"/>
      <c r="Y2353" s="17"/>
      <c r="Z2353" s="17"/>
    </row>
    <row r="2354">
      <c r="A2354" s="18" t="str">
        <f>IFERROR(__xludf.DUMMYFUNCTION("""COMPUTED_VALUE"""),"ord_92318")</f>
        <v>ord_92318</v>
      </c>
      <c r="B2354" s="18" t="str">
        <f>IFERROR(__xludf.DUMMYFUNCTION("""COMPUTED_VALUE"""),"Mehul Thakkar")</f>
        <v>Mehul Thakkar</v>
      </c>
      <c r="C2354" s="18" t="str">
        <f>IFERROR(__xludf.DUMMYFUNCTION("""COMPUTED_VALUE"""),"Malad")</f>
        <v>Malad</v>
      </c>
      <c r="D2354" s="18" t="str">
        <f>IFERROR(__xludf.DUMMYFUNCTION("""COMPUTED_VALUE"""),"Tiramisu")</f>
        <v>Tiramisu</v>
      </c>
      <c r="E2354" s="18">
        <f>IFERROR(__xludf.DUMMYFUNCTION("""COMPUTED_VALUE"""),1.0)</f>
        <v>1</v>
      </c>
      <c r="F2354" s="18" t="str">
        <f>IFERROR(__xludf.DUMMYFUNCTION("""COMPUTED_VALUE"""),"Vivek Kumar")</f>
        <v>Vivek Kumar</v>
      </c>
      <c r="G2354" s="19">
        <f>IFERROR(__xludf.DUMMYFUNCTION("""COMPUTED_VALUE"""),45158.0)</f>
        <v>45158</v>
      </c>
      <c r="H2354" s="18" t="str">
        <f>IFERROR(__xludf.DUMMYFUNCTION("""COMPUTED_VALUE"""),"Online Payment")</f>
        <v>Online Payment</v>
      </c>
      <c r="I2354" s="18" t="str">
        <f>IFERROR(__xludf.DUMMYFUNCTION("""COMPUTED_VALUE"""),"Delivered")</f>
        <v>Delivered</v>
      </c>
      <c r="J2354" s="18" t="str">
        <f>IFERROR(__xludf.DUMMYFUNCTION("""COMPUTED_VALUE"""),"On-time Delivery")</f>
        <v>On-time Delivery</v>
      </c>
      <c r="K2354" s="18" t="str">
        <f>IFERROR(__xludf.DUMMYFUNCTION("""COMPUTED_VALUE"""),"Delivered on time")</f>
        <v>Delivered on time</v>
      </c>
      <c r="L2354" s="18">
        <f>iferror(VLOOKUP($D2354,Details!$A$2:$C$11,2,false),vlookup($D2354,Details!$E$2:$G$11,2,false))</f>
        <v>150</v>
      </c>
      <c r="M2354" s="18" t="str">
        <f>iferror(VLOOKUP($D2354,Details!$A$2:$C$11,3,false),vlookup($D2354,Details!$E$2:$G$11,3,false))</f>
        <v>Snacks and Drinks</v>
      </c>
      <c r="N2354" s="18">
        <f t="shared" si="1"/>
        <v>150</v>
      </c>
      <c r="O2354" s="17"/>
      <c r="P2354" s="17"/>
      <c r="Q2354" s="17"/>
      <c r="R2354" s="17"/>
      <c r="S2354" s="17"/>
      <c r="T2354" s="17"/>
      <c r="U2354" s="17"/>
      <c r="V2354" s="17"/>
      <c r="W2354" s="17"/>
      <c r="X2354" s="17"/>
      <c r="Y2354" s="17"/>
      <c r="Z2354" s="17"/>
    </row>
    <row r="2355">
      <c r="A2355" s="18" t="str">
        <f>IFERROR(__xludf.DUMMYFUNCTION("""COMPUTED_VALUE"""),"ord_92319")</f>
        <v>ord_92319</v>
      </c>
      <c r="B2355" s="18" t="str">
        <f>IFERROR(__xludf.DUMMYFUNCTION("""COMPUTED_VALUE"""),"Siya Reddy")</f>
        <v>Siya Reddy</v>
      </c>
      <c r="C2355" s="18" t="str">
        <f>IFERROR(__xludf.DUMMYFUNCTION("""COMPUTED_VALUE"""),"Juhu")</f>
        <v>Juhu</v>
      </c>
      <c r="D2355" s="18" t="str">
        <f>IFERROR(__xludf.DUMMYFUNCTION("""COMPUTED_VALUE"""),"Rasmalai")</f>
        <v>Rasmalai</v>
      </c>
      <c r="E2355" s="18">
        <f>IFERROR(__xludf.DUMMYFUNCTION("""COMPUTED_VALUE"""),5.0)</f>
        <v>5</v>
      </c>
      <c r="F2355" s="18" t="str">
        <f>IFERROR(__xludf.DUMMYFUNCTION("""COMPUTED_VALUE"""),"Shine Thomas")</f>
        <v>Shine Thomas</v>
      </c>
      <c r="G2355" s="19">
        <f>IFERROR(__xludf.DUMMYFUNCTION("""COMPUTED_VALUE"""),45266.0)</f>
        <v>45266</v>
      </c>
      <c r="H2355" s="18" t="str">
        <f>IFERROR(__xludf.DUMMYFUNCTION("""COMPUTED_VALUE"""),"COD")</f>
        <v>COD</v>
      </c>
      <c r="I2355" s="18" t="str">
        <f>IFERROR(__xludf.DUMMYFUNCTION("""COMPUTED_VALUE"""),"Delivered")</f>
        <v>Delivered</v>
      </c>
      <c r="J2355" s="18" t="str">
        <f>IFERROR(__xludf.DUMMYFUNCTION("""COMPUTED_VALUE"""),"Quality of Items")</f>
        <v>Quality of Items</v>
      </c>
      <c r="K2355" s="18" t="str">
        <f>IFERROR(__xludf.DUMMYFUNCTION("""COMPUTED_VALUE"""),"Perfect condition")</f>
        <v>Perfect condition</v>
      </c>
      <c r="L2355" s="18">
        <f>iferror(VLOOKUP($D2355,Details!$A$2:$C$11,2,false),vlookup($D2355,Details!$E$2:$G$11,2,false))</f>
        <v>110</v>
      </c>
      <c r="M2355" s="18" t="str">
        <f>iferror(VLOOKUP($D2355,Details!$A$2:$C$11,3,false),vlookup($D2355,Details!$E$2:$G$11,3,false))</f>
        <v>Snacks and Drinks</v>
      </c>
      <c r="N2355" s="18">
        <f t="shared" si="1"/>
        <v>550</v>
      </c>
      <c r="O2355" s="17"/>
      <c r="P2355" s="17"/>
      <c r="Q2355" s="17"/>
      <c r="R2355" s="17"/>
      <c r="S2355" s="17"/>
      <c r="T2355" s="17"/>
      <c r="U2355" s="17"/>
      <c r="V2355" s="17"/>
      <c r="W2355" s="17"/>
      <c r="X2355" s="17"/>
      <c r="Y2355" s="17"/>
      <c r="Z2355" s="17"/>
    </row>
    <row r="2356">
      <c r="A2356" s="18" t="str">
        <f>IFERROR(__xludf.DUMMYFUNCTION("""COMPUTED_VALUE"""),"ord_92320")</f>
        <v>ord_92320</v>
      </c>
      <c r="B2356" s="18" t="str">
        <f>IFERROR(__xludf.DUMMYFUNCTION("""COMPUTED_VALUE"""),"Mehul Thakkar")</f>
        <v>Mehul Thakkar</v>
      </c>
      <c r="C2356" s="18" t="str">
        <f>IFERROR(__xludf.DUMMYFUNCTION("""COMPUTED_VALUE"""),"Malad")</f>
        <v>Malad</v>
      </c>
      <c r="D2356" s="18" t="str">
        <f>IFERROR(__xludf.DUMMYFUNCTION("""COMPUTED_VALUE"""),"Cucumber")</f>
        <v>Cucumber</v>
      </c>
      <c r="E2356" s="18">
        <f>IFERROR(__xludf.DUMMYFUNCTION("""COMPUTED_VALUE"""),2.0)</f>
        <v>2</v>
      </c>
      <c r="F2356" s="18" t="str">
        <f>IFERROR(__xludf.DUMMYFUNCTION("""COMPUTED_VALUE"""),"Ramesh S")</f>
        <v>Ramesh S</v>
      </c>
      <c r="G2356" s="19">
        <f>IFERROR(__xludf.DUMMYFUNCTION("""COMPUTED_VALUE"""),45155.0)</f>
        <v>45155</v>
      </c>
      <c r="H2356" s="18" t="str">
        <f>IFERROR(__xludf.DUMMYFUNCTION("""COMPUTED_VALUE"""),"Credit Card")</f>
        <v>Credit Card</v>
      </c>
      <c r="I2356" s="18" t="str">
        <f>IFERROR(__xludf.DUMMYFUNCTION("""COMPUTED_VALUE"""),"Delivered")</f>
        <v>Delivered</v>
      </c>
      <c r="J2356" s="18" t="str">
        <f>IFERROR(__xludf.DUMMYFUNCTION("""COMPUTED_VALUE"""),"Packaging")</f>
        <v>Packaging</v>
      </c>
      <c r="K2356" s="18" t="str">
        <f>IFERROR(__xludf.DUMMYFUNCTION("""COMPUTED_VALUE"""),"Secure and intact")</f>
        <v>Secure and intact</v>
      </c>
      <c r="L2356" s="18">
        <f>iferror(VLOOKUP($D2356,Details!$A$2:$C$11,2,false),vlookup($D2356,Details!$E$2:$G$11,2,false))</f>
        <v>30</v>
      </c>
      <c r="M2356" s="18" t="str">
        <f>iferror(VLOOKUP($D2356,Details!$A$2:$C$11,3,false),vlookup($D2356,Details!$E$2:$G$11,3,false))</f>
        <v>Fruits and Vegetables</v>
      </c>
      <c r="N2356" s="18">
        <f t="shared" si="1"/>
        <v>60</v>
      </c>
      <c r="O2356" s="17"/>
      <c r="P2356" s="17"/>
      <c r="Q2356" s="17"/>
      <c r="R2356" s="17"/>
      <c r="S2356" s="17"/>
      <c r="T2356" s="17"/>
      <c r="U2356" s="17"/>
      <c r="V2356" s="17"/>
      <c r="W2356" s="17"/>
      <c r="X2356" s="17"/>
      <c r="Y2356" s="17"/>
      <c r="Z2356" s="17"/>
    </row>
    <row r="2357">
      <c r="A2357" s="18" t="str">
        <f>IFERROR(__xludf.DUMMYFUNCTION("""COMPUTED_VALUE"""),"ord_92348")</f>
        <v>ord_92348</v>
      </c>
      <c r="B2357" s="18" t="str">
        <f>IFERROR(__xludf.DUMMYFUNCTION("""COMPUTED_VALUE"""),"Aditi Iyer")</f>
        <v>Aditi Iyer</v>
      </c>
      <c r="C2357" s="18" t="str">
        <f>IFERROR(__xludf.DUMMYFUNCTION("""COMPUTED_VALUE"""),"Bandra")</f>
        <v>Bandra</v>
      </c>
      <c r="D2357" s="18" t="str">
        <f>IFERROR(__xludf.DUMMYFUNCTION("""COMPUTED_VALUE"""),"Popcorn")</f>
        <v>Popcorn</v>
      </c>
      <c r="E2357" s="18">
        <f>IFERROR(__xludf.DUMMYFUNCTION("""COMPUTED_VALUE"""),1.0)</f>
        <v>1</v>
      </c>
      <c r="F2357" s="18" t="str">
        <f>IFERROR(__xludf.DUMMYFUNCTION("""COMPUTED_VALUE"""),"Shine Thomas")</f>
        <v>Shine Thomas</v>
      </c>
      <c r="G2357" s="19">
        <f>IFERROR(__xludf.DUMMYFUNCTION("""COMPUTED_VALUE"""),45129.0)</f>
        <v>45129</v>
      </c>
      <c r="H2357" s="18" t="str">
        <f>IFERROR(__xludf.DUMMYFUNCTION("""COMPUTED_VALUE"""),"COD")</f>
        <v>COD</v>
      </c>
      <c r="I2357" s="18" t="str">
        <f>IFERROR(__xludf.DUMMYFUNCTION("""COMPUTED_VALUE"""),"Delivered")</f>
        <v>Delivered</v>
      </c>
      <c r="J2357" s="18" t="str">
        <f>IFERROR(__xludf.DUMMYFUNCTION("""COMPUTED_VALUE"""),"Satisfied with the Delivery")</f>
        <v>Satisfied with the Delivery</v>
      </c>
      <c r="K2357" s="18" t="str">
        <f>IFERROR(__xludf.DUMMYFUNCTION("""COMPUTED_VALUE"""),"Timely and quality")</f>
        <v>Timely and quality</v>
      </c>
      <c r="L2357" s="18">
        <f>iferror(VLOOKUP($D2357,Details!$A$2:$C$11,2,false),vlookup($D2357,Details!$E$2:$G$11,2,false))</f>
        <v>150</v>
      </c>
      <c r="M2357" s="18" t="str">
        <f>iferror(VLOOKUP($D2357,Details!$A$2:$C$11,3,false),vlookup($D2357,Details!$E$2:$G$11,3,false))</f>
        <v>Snacks and Drinks</v>
      </c>
      <c r="N2357" s="18">
        <f t="shared" si="1"/>
        <v>150</v>
      </c>
      <c r="O2357" s="17"/>
      <c r="P2357" s="17"/>
      <c r="Q2357" s="17"/>
      <c r="R2357" s="17"/>
      <c r="S2357" s="17"/>
      <c r="T2357" s="17"/>
      <c r="U2357" s="17"/>
      <c r="V2357" s="17"/>
      <c r="W2357" s="17"/>
      <c r="X2357" s="17"/>
      <c r="Y2357" s="17"/>
      <c r="Z2357" s="17"/>
    </row>
    <row r="2358">
      <c r="A2358" s="18" t="str">
        <f>IFERROR(__xludf.DUMMYFUNCTION("""COMPUTED_VALUE"""),"ord_92349")</f>
        <v>ord_92349</v>
      </c>
      <c r="B2358" s="18" t="str">
        <f>IFERROR(__xludf.DUMMYFUNCTION("""COMPUTED_VALUE"""),"Shruti Aggarwal")</f>
        <v>Shruti Aggarwal</v>
      </c>
      <c r="C2358" s="18" t="str">
        <f>IFERROR(__xludf.DUMMYFUNCTION("""COMPUTED_VALUE"""),"Colaba")</f>
        <v>Colaba</v>
      </c>
      <c r="D2358" s="18" t="str">
        <f>IFERROR(__xludf.DUMMYFUNCTION("""COMPUTED_VALUE"""),"Chilli Cheese Toast")</f>
        <v>Chilli Cheese Toast</v>
      </c>
      <c r="E2358" s="18">
        <f>IFERROR(__xludf.DUMMYFUNCTION("""COMPUTED_VALUE"""),5.0)</f>
        <v>5</v>
      </c>
      <c r="F2358" s="18" t="str">
        <f>IFERROR(__xludf.DUMMYFUNCTION("""COMPUTED_VALUE"""),"Vivek Kumar")</f>
        <v>Vivek Kumar</v>
      </c>
      <c r="G2358" s="19">
        <f>IFERROR(__xludf.DUMMYFUNCTION("""COMPUTED_VALUE"""),45092.0)</f>
        <v>45092</v>
      </c>
      <c r="H2358" s="18" t="str">
        <f>IFERROR(__xludf.DUMMYFUNCTION("""COMPUTED_VALUE"""),"UPI")</f>
        <v>UPI</v>
      </c>
      <c r="I2358" s="18" t="str">
        <f>IFERROR(__xludf.DUMMYFUNCTION("""COMPUTED_VALUE"""),"Delivered")</f>
        <v>Delivered</v>
      </c>
      <c r="J2358" s="18" t="str">
        <f>IFERROR(__xludf.DUMMYFUNCTION("""COMPUTED_VALUE"""),"Customer Service")</f>
        <v>Customer Service</v>
      </c>
      <c r="K2358" s="18" t="str">
        <f>IFERROR(__xludf.DUMMYFUNCTION("""COMPUTED_VALUE"""),"Seamless and easy")</f>
        <v>Seamless and easy</v>
      </c>
      <c r="L2358" s="18">
        <f>iferror(VLOOKUP($D2358,Details!$A$2:$C$11,2,false),vlookup($D2358,Details!$E$2:$G$11,2,false))</f>
        <v>80</v>
      </c>
      <c r="M2358" s="18" t="str">
        <f>iferror(VLOOKUP($D2358,Details!$A$2:$C$11,3,false),vlookup($D2358,Details!$E$2:$G$11,3,false))</f>
        <v>Snacks and Drinks</v>
      </c>
      <c r="N2358" s="18">
        <f t="shared" si="1"/>
        <v>400</v>
      </c>
      <c r="O2358" s="17"/>
      <c r="P2358" s="17"/>
      <c r="Q2358" s="17"/>
      <c r="R2358" s="17"/>
      <c r="S2358" s="17"/>
      <c r="T2358" s="17"/>
      <c r="U2358" s="17"/>
      <c r="V2358" s="17"/>
      <c r="W2358" s="17"/>
      <c r="X2358" s="17"/>
      <c r="Y2358" s="17"/>
      <c r="Z2358" s="17"/>
    </row>
    <row r="2359">
      <c r="A2359" s="18" t="str">
        <f>IFERROR(__xludf.DUMMYFUNCTION("""COMPUTED_VALUE"""),"ord_92350")</f>
        <v>ord_92350</v>
      </c>
      <c r="B2359" s="18" t="str">
        <f>IFERROR(__xludf.DUMMYFUNCTION("""COMPUTED_VALUE"""),"Sana Malik")</f>
        <v>Sana Malik</v>
      </c>
      <c r="C2359" s="18" t="str">
        <f>IFERROR(__xludf.DUMMYFUNCTION("""COMPUTED_VALUE"""),"Powai")</f>
        <v>Powai</v>
      </c>
      <c r="D2359" s="18" t="str">
        <f>IFERROR(__xludf.DUMMYFUNCTION("""COMPUTED_VALUE"""),"Tomato")</f>
        <v>Tomato</v>
      </c>
      <c r="E2359" s="18">
        <f>IFERROR(__xludf.DUMMYFUNCTION("""COMPUTED_VALUE"""),2.0)</f>
        <v>2</v>
      </c>
      <c r="F2359" s="18" t="str">
        <f>IFERROR(__xludf.DUMMYFUNCTION("""COMPUTED_VALUE"""),"Nithin Lal")</f>
        <v>Nithin Lal</v>
      </c>
      <c r="G2359" s="19">
        <f>IFERROR(__xludf.DUMMYFUNCTION("""COMPUTED_VALUE"""),45266.0)</f>
        <v>45266</v>
      </c>
      <c r="H2359" s="18" t="str">
        <f>IFERROR(__xludf.DUMMYFUNCTION("""COMPUTED_VALUE"""),"Online Payment")</f>
        <v>Online Payment</v>
      </c>
      <c r="I2359" s="18" t="str">
        <f>IFERROR(__xludf.DUMMYFUNCTION("""COMPUTED_VALUE"""),"Delivered")</f>
        <v>Delivered</v>
      </c>
      <c r="J2359" s="18" t="str">
        <f>IFERROR(__xludf.DUMMYFUNCTION("""COMPUTED_VALUE"""),"Delivery Experience")</f>
        <v>Delivery Experience</v>
      </c>
      <c r="K2359" s="18" t="str">
        <f>IFERROR(__xludf.DUMMYFUNCTION("""COMPUTED_VALUE"""),"Quick and professional")</f>
        <v>Quick and professional</v>
      </c>
      <c r="L2359" s="18">
        <f>iferror(VLOOKUP($D2359,Details!$A$2:$C$11,2,false),vlookup($D2359,Details!$E$2:$G$11,2,false))</f>
        <v>25</v>
      </c>
      <c r="M2359" s="18" t="str">
        <f>iferror(VLOOKUP($D2359,Details!$A$2:$C$11,3,false),vlookup($D2359,Details!$E$2:$G$11,3,false))</f>
        <v>Fruits and Vegetables</v>
      </c>
      <c r="N2359" s="18">
        <f t="shared" si="1"/>
        <v>50</v>
      </c>
      <c r="O2359" s="17"/>
      <c r="P2359" s="17"/>
      <c r="Q2359" s="17"/>
      <c r="R2359" s="17"/>
      <c r="S2359" s="17"/>
      <c r="T2359" s="17"/>
      <c r="U2359" s="17"/>
      <c r="V2359" s="17"/>
      <c r="W2359" s="17"/>
      <c r="X2359" s="17"/>
      <c r="Y2359" s="17"/>
      <c r="Z2359" s="17"/>
    </row>
    <row r="2360">
      <c r="A2360" s="18" t="str">
        <f>IFERROR(__xludf.DUMMYFUNCTION("""COMPUTED_VALUE"""),"ord_92351")</f>
        <v>ord_92351</v>
      </c>
      <c r="B2360" s="18" t="str">
        <f>IFERROR(__xludf.DUMMYFUNCTION("""COMPUTED_VALUE"""),"Yash Verma")</f>
        <v>Yash Verma</v>
      </c>
      <c r="C2360" s="18" t="str">
        <f>IFERROR(__xludf.DUMMYFUNCTION("""COMPUTED_VALUE"""),"Lower Parel")</f>
        <v>Lower Parel</v>
      </c>
      <c r="D2360" s="18" t="str">
        <f>IFERROR(__xludf.DUMMYFUNCTION("""COMPUTED_VALUE"""),"Icecream")</f>
        <v>Icecream</v>
      </c>
      <c r="E2360" s="18">
        <f>IFERROR(__xludf.DUMMYFUNCTION("""COMPUTED_VALUE"""),8.0)</f>
        <v>8</v>
      </c>
      <c r="F2360" s="18" t="str">
        <f>IFERROR(__xludf.DUMMYFUNCTION("""COMPUTED_VALUE"""),"Venu R")</f>
        <v>Venu R</v>
      </c>
      <c r="G2360" s="19">
        <f>IFERROR(__xludf.DUMMYFUNCTION("""COMPUTED_VALUE"""),45104.0)</f>
        <v>45104</v>
      </c>
      <c r="H2360" s="18" t="str">
        <f>IFERROR(__xludf.DUMMYFUNCTION("""COMPUTED_VALUE"""),"COD")</f>
        <v>COD</v>
      </c>
      <c r="I2360" s="18" t="str">
        <f>IFERROR(__xludf.DUMMYFUNCTION("""COMPUTED_VALUE"""),"Delivered")</f>
        <v>Delivered</v>
      </c>
      <c r="J2360" s="18" t="str">
        <f>IFERROR(__xludf.DUMMYFUNCTION("""COMPUTED_VALUE"""),"Convenience")</f>
        <v>Convenience</v>
      </c>
      <c r="K2360" s="18" t="str">
        <f>IFERROR(__xludf.DUMMYFUNCTION("""COMPUTED_VALUE"""),"Easy tracking")</f>
        <v>Easy tracking</v>
      </c>
      <c r="L2360" s="18">
        <f>iferror(VLOOKUP($D2360,Details!$A$2:$C$11,2,false),vlookup($D2360,Details!$E$2:$G$11,2,false))</f>
        <v>90</v>
      </c>
      <c r="M2360" s="18" t="str">
        <f>iferror(VLOOKUP($D2360,Details!$A$2:$C$11,3,false),vlookup($D2360,Details!$E$2:$G$11,3,false))</f>
        <v>Snacks and Drinks</v>
      </c>
      <c r="N2360" s="18">
        <f t="shared" si="1"/>
        <v>720</v>
      </c>
      <c r="O2360" s="17"/>
      <c r="P2360" s="17"/>
      <c r="Q2360" s="17"/>
      <c r="R2360" s="17"/>
      <c r="S2360" s="17"/>
      <c r="T2360" s="17"/>
      <c r="U2360" s="17"/>
      <c r="V2360" s="17"/>
      <c r="W2360" s="17"/>
      <c r="X2360" s="17"/>
      <c r="Y2360" s="17"/>
      <c r="Z2360" s="17"/>
    </row>
    <row r="2361">
      <c r="A2361" s="18" t="str">
        <f>IFERROR(__xludf.DUMMYFUNCTION("""COMPUTED_VALUE"""),"ord_92352")</f>
        <v>ord_92352</v>
      </c>
      <c r="B2361" s="18" t="str">
        <f>IFERROR(__xludf.DUMMYFUNCTION("""COMPUTED_VALUE"""),"Aarohi Kapoor")</f>
        <v>Aarohi Kapoor</v>
      </c>
      <c r="C2361" s="18" t="str">
        <f>IFERROR(__xludf.DUMMYFUNCTION("""COMPUTED_VALUE"""),"Bandra")</f>
        <v>Bandra</v>
      </c>
      <c r="D2361" s="18" t="str">
        <f>IFERROR(__xludf.DUMMYFUNCTION("""COMPUTED_VALUE"""),"Potato")</f>
        <v>Potato</v>
      </c>
      <c r="E2361" s="18">
        <f>IFERROR(__xludf.DUMMYFUNCTION("""COMPUTED_VALUE"""),1.0)</f>
        <v>1</v>
      </c>
      <c r="F2361" s="18" t="str">
        <f>IFERROR(__xludf.DUMMYFUNCTION("""COMPUTED_VALUE"""),"Ram Gopal")</f>
        <v>Ram Gopal</v>
      </c>
      <c r="G2361" s="19">
        <f>IFERROR(__xludf.DUMMYFUNCTION("""COMPUTED_VALUE"""),45086.0)</f>
        <v>45086</v>
      </c>
      <c r="H2361" s="18" t="str">
        <f>IFERROR(__xludf.DUMMYFUNCTION("""COMPUTED_VALUE"""),"UPI")</f>
        <v>UPI</v>
      </c>
      <c r="I2361" s="18" t="str">
        <f>IFERROR(__xludf.DUMMYFUNCTION("""COMPUTED_VALUE"""),"Delivered")</f>
        <v>Delivered</v>
      </c>
      <c r="J2361" s="18" t="str">
        <f>IFERROR(__xludf.DUMMYFUNCTION("""COMPUTED_VALUE"""),"Overall Satisfaction")</f>
        <v>Overall Satisfaction</v>
      </c>
      <c r="K2361" s="18" t="str">
        <f>IFERROR(__xludf.DUMMYFUNCTION("""COMPUTED_VALUE"""),"Great service will order again")</f>
        <v>Great service will order again</v>
      </c>
      <c r="L2361" s="18">
        <f>iferror(VLOOKUP($D2361,Details!$A$2:$C$11,2,false),vlookup($D2361,Details!$E$2:$G$11,2,false))</f>
        <v>55</v>
      </c>
      <c r="M2361" s="18" t="str">
        <f>iferror(VLOOKUP($D2361,Details!$A$2:$C$11,3,false),vlookup($D2361,Details!$E$2:$G$11,3,false))</f>
        <v>Fruits and Vegetables</v>
      </c>
      <c r="N2361" s="18">
        <f t="shared" si="1"/>
        <v>55</v>
      </c>
      <c r="O2361" s="17"/>
      <c r="P2361" s="17"/>
      <c r="Q2361" s="17"/>
      <c r="R2361" s="17"/>
      <c r="S2361" s="17"/>
      <c r="T2361" s="17"/>
      <c r="U2361" s="17"/>
      <c r="V2361" s="17"/>
      <c r="W2361" s="17"/>
      <c r="X2361" s="17"/>
      <c r="Y2361" s="17"/>
      <c r="Z2361" s="17"/>
    </row>
    <row r="2362">
      <c r="A2362" s="18" t="str">
        <f>IFERROR(__xludf.DUMMYFUNCTION("""COMPUTED_VALUE"""),"ord_92353")</f>
        <v>ord_92353</v>
      </c>
      <c r="B2362" s="18" t="str">
        <f>IFERROR(__xludf.DUMMYFUNCTION("""COMPUTED_VALUE"""),"Arvind Kulkarni")</f>
        <v>Arvind Kulkarni</v>
      </c>
      <c r="C2362" s="18" t="str">
        <f>IFERROR(__xludf.DUMMYFUNCTION("""COMPUTED_VALUE"""),"Juhu")</f>
        <v>Juhu</v>
      </c>
      <c r="D2362" s="18" t="str">
        <f>IFERROR(__xludf.DUMMYFUNCTION("""COMPUTED_VALUE"""),"Sweet Corn")</f>
        <v>Sweet Corn</v>
      </c>
      <c r="E2362" s="18">
        <f>IFERROR(__xludf.DUMMYFUNCTION("""COMPUTED_VALUE"""),2.0)</f>
        <v>2</v>
      </c>
      <c r="F2362" s="18" t="str">
        <f>IFERROR(__xludf.DUMMYFUNCTION("""COMPUTED_VALUE"""),"Vivek Kumar")</f>
        <v>Vivek Kumar</v>
      </c>
      <c r="G2362" s="19">
        <f>IFERROR(__xludf.DUMMYFUNCTION("""COMPUTED_VALUE"""),45268.0)</f>
        <v>45268</v>
      </c>
      <c r="H2362" s="18" t="str">
        <f>IFERROR(__xludf.DUMMYFUNCTION("""COMPUTED_VALUE"""),"COD")</f>
        <v>COD</v>
      </c>
      <c r="I2362" s="18" t="str">
        <f>IFERROR(__xludf.DUMMYFUNCTION("""COMPUTED_VALUE"""),"Delivered")</f>
        <v>Delivered</v>
      </c>
      <c r="J2362" s="18" t="str">
        <f>IFERROR(__xludf.DUMMYFUNCTION("""COMPUTED_VALUE"""),"On-time Delivery")</f>
        <v>On-time Delivery</v>
      </c>
      <c r="K2362" s="18" t="str">
        <f>IFERROR(__xludf.DUMMYFUNCTION("""COMPUTED_VALUE"""),"Delivered on time")</f>
        <v>Delivered on time</v>
      </c>
      <c r="L2362" s="18">
        <f>iferror(VLOOKUP($D2362,Details!$A$2:$C$11,2,false),vlookup($D2362,Details!$E$2:$G$11,2,false))</f>
        <v>60</v>
      </c>
      <c r="M2362" s="18" t="str">
        <f>iferror(VLOOKUP($D2362,Details!$A$2:$C$11,3,false),vlookup($D2362,Details!$E$2:$G$11,3,false))</f>
        <v>Fruits and Vegetables</v>
      </c>
      <c r="N2362" s="18">
        <f t="shared" si="1"/>
        <v>120</v>
      </c>
      <c r="O2362" s="17"/>
      <c r="P2362" s="17"/>
      <c r="Q2362" s="17"/>
      <c r="R2362" s="17"/>
      <c r="S2362" s="17"/>
      <c r="T2362" s="17"/>
      <c r="U2362" s="17"/>
      <c r="V2362" s="17"/>
      <c r="W2362" s="17"/>
      <c r="X2362" s="17"/>
      <c r="Y2362" s="17"/>
      <c r="Z2362" s="17"/>
    </row>
    <row r="2363">
      <c r="A2363" s="18" t="str">
        <f>IFERROR(__xludf.DUMMYFUNCTION("""COMPUTED_VALUE"""),"ord_92354")</f>
        <v>ord_92354</v>
      </c>
      <c r="B2363" s="18" t="str">
        <f>IFERROR(__xludf.DUMMYFUNCTION("""COMPUTED_VALUE"""),"Arvind Kulkarni")</f>
        <v>Arvind Kulkarni</v>
      </c>
      <c r="C2363" s="18" t="str">
        <f>IFERROR(__xludf.DUMMYFUNCTION("""COMPUTED_VALUE"""),"Juhu")</f>
        <v>Juhu</v>
      </c>
      <c r="D2363" s="18" t="str">
        <f>IFERROR(__xludf.DUMMYFUNCTION("""COMPUTED_VALUE"""),"Cold Coffee")</f>
        <v>Cold Coffee</v>
      </c>
      <c r="E2363" s="18">
        <f>IFERROR(__xludf.DUMMYFUNCTION("""COMPUTED_VALUE"""),4.0)</f>
        <v>4</v>
      </c>
      <c r="F2363" s="18" t="str">
        <f>IFERROR(__xludf.DUMMYFUNCTION("""COMPUTED_VALUE"""),"Ramesh S")</f>
        <v>Ramesh S</v>
      </c>
      <c r="G2363" s="19">
        <f>IFERROR(__xludf.DUMMYFUNCTION("""COMPUTED_VALUE"""),45221.0)</f>
        <v>45221</v>
      </c>
      <c r="H2363" s="18" t="str">
        <f>IFERROR(__xludf.DUMMYFUNCTION("""COMPUTED_VALUE"""),"COD")</f>
        <v>COD</v>
      </c>
      <c r="I2363" s="18" t="str">
        <f>IFERROR(__xludf.DUMMYFUNCTION("""COMPUTED_VALUE"""),"Delivered")</f>
        <v>Delivered</v>
      </c>
      <c r="J2363" s="18" t="str">
        <f>IFERROR(__xludf.DUMMYFUNCTION("""COMPUTED_VALUE"""),"Quality of Items")</f>
        <v>Quality of Items</v>
      </c>
      <c r="K2363" s="18" t="str">
        <f>IFERROR(__xludf.DUMMYFUNCTION("""COMPUTED_VALUE"""),"Perfect condition")</f>
        <v>Perfect condition</v>
      </c>
      <c r="L2363" s="18">
        <f>iferror(VLOOKUP($D2363,Details!$A$2:$C$11,2,false),vlookup($D2363,Details!$E$2:$G$11,2,false))</f>
        <v>270</v>
      </c>
      <c r="M2363" s="18" t="str">
        <f>iferror(VLOOKUP($D2363,Details!$A$2:$C$11,3,false),vlookup($D2363,Details!$E$2:$G$11,3,false))</f>
        <v>Snacks and Drinks</v>
      </c>
      <c r="N2363" s="18">
        <f t="shared" si="1"/>
        <v>1080</v>
      </c>
      <c r="O2363" s="17"/>
      <c r="P2363" s="17"/>
      <c r="Q2363" s="17"/>
      <c r="R2363" s="17"/>
      <c r="S2363" s="17"/>
      <c r="T2363" s="17"/>
      <c r="U2363" s="17"/>
      <c r="V2363" s="17"/>
      <c r="W2363" s="17"/>
      <c r="X2363" s="17"/>
      <c r="Y2363" s="17"/>
      <c r="Z2363" s="17"/>
    </row>
    <row r="2364">
      <c r="A2364" s="18" t="str">
        <f>IFERROR(__xludf.DUMMYFUNCTION("""COMPUTED_VALUE"""),"ord_92355")</f>
        <v>ord_92355</v>
      </c>
      <c r="B2364" s="18" t="str">
        <f>IFERROR(__xludf.DUMMYFUNCTION("""COMPUTED_VALUE"""),"Parth Goel")</f>
        <v>Parth Goel</v>
      </c>
      <c r="C2364" s="18" t="str">
        <f>IFERROR(__xludf.DUMMYFUNCTION("""COMPUTED_VALUE"""),"Juhu")</f>
        <v>Juhu</v>
      </c>
      <c r="D2364" s="18" t="str">
        <f>IFERROR(__xludf.DUMMYFUNCTION("""COMPUTED_VALUE"""),"Sweet Corn")</f>
        <v>Sweet Corn</v>
      </c>
      <c r="E2364" s="18">
        <f>IFERROR(__xludf.DUMMYFUNCTION("""COMPUTED_VALUE"""),1.0)</f>
        <v>1</v>
      </c>
      <c r="F2364" s="18" t="str">
        <f>IFERROR(__xludf.DUMMYFUNCTION("""COMPUTED_VALUE"""),"Not Assigned")</f>
        <v>Not Assigned</v>
      </c>
      <c r="G2364" s="19">
        <f>IFERROR(__xludf.DUMMYFUNCTION("""COMPUTED_VALUE"""),45216.0)</f>
        <v>45216</v>
      </c>
      <c r="H2364" s="18" t="str">
        <f>IFERROR(__xludf.DUMMYFUNCTION("""COMPUTED_VALUE"""),"Online Payment")</f>
        <v>Online Payment</v>
      </c>
      <c r="I2364" s="18" t="str">
        <f>IFERROR(__xludf.DUMMYFUNCTION("""COMPUTED_VALUE"""),"Cancelled")</f>
        <v>Cancelled</v>
      </c>
      <c r="J2364" s="18" t="str">
        <f>IFERROR(__xludf.DUMMYFUNCTION("""COMPUTED_VALUE"""),"App Glitches")</f>
        <v>App Glitches</v>
      </c>
      <c r="K2364" s="18" t="str">
        <f>IFERROR(__xludf.DUMMYFUNCTION("""COMPUTED_VALUE"""),"Payment Button Malfunction")</f>
        <v>Payment Button Malfunction</v>
      </c>
      <c r="L2364" s="18">
        <f>iferror(VLOOKUP($D2364,Details!$A$2:$C$11,2,false),vlookup($D2364,Details!$E$2:$G$11,2,false))</f>
        <v>60</v>
      </c>
      <c r="M2364" s="18" t="str">
        <f>iferror(VLOOKUP($D2364,Details!$A$2:$C$11,3,false),vlookup($D2364,Details!$E$2:$G$11,3,false))</f>
        <v>Fruits and Vegetables</v>
      </c>
      <c r="N2364" s="18">
        <f t="shared" si="1"/>
        <v>60</v>
      </c>
      <c r="O2364" s="17"/>
      <c r="P2364" s="17"/>
      <c r="Q2364" s="17"/>
      <c r="R2364" s="17"/>
      <c r="S2364" s="17"/>
      <c r="T2364" s="17"/>
      <c r="U2364" s="17"/>
      <c r="V2364" s="17"/>
      <c r="W2364" s="17"/>
      <c r="X2364" s="17"/>
      <c r="Y2364" s="17"/>
      <c r="Z2364" s="17"/>
    </row>
    <row r="2365">
      <c r="A2365" s="18" t="str">
        <f>IFERROR(__xludf.DUMMYFUNCTION("""COMPUTED_VALUE"""),"ord_92356")</f>
        <v>ord_92356</v>
      </c>
      <c r="B2365" s="18" t="str">
        <f>IFERROR(__xludf.DUMMYFUNCTION("""COMPUTED_VALUE"""),"Kritika Shetty")</f>
        <v>Kritika Shetty</v>
      </c>
      <c r="C2365" s="18" t="str">
        <f>IFERROR(__xludf.DUMMYFUNCTION("""COMPUTED_VALUE"""),"Malad")</f>
        <v>Malad</v>
      </c>
      <c r="D2365" s="18" t="str">
        <f>IFERROR(__xludf.DUMMYFUNCTION("""COMPUTED_VALUE"""),"Potato")</f>
        <v>Potato</v>
      </c>
      <c r="E2365" s="18">
        <f>IFERROR(__xludf.DUMMYFUNCTION("""COMPUTED_VALUE"""),2.0)</f>
        <v>2</v>
      </c>
      <c r="F2365" s="18" t="str">
        <f>IFERROR(__xludf.DUMMYFUNCTION("""COMPUTED_VALUE"""),"Ramesh S")</f>
        <v>Ramesh S</v>
      </c>
      <c r="G2365" s="19">
        <f>IFERROR(__xludf.DUMMYFUNCTION("""COMPUTED_VALUE"""),45221.0)</f>
        <v>45221</v>
      </c>
      <c r="H2365" s="18" t="str">
        <f>IFERROR(__xludf.DUMMYFUNCTION("""COMPUTED_VALUE"""),"Credit Card")</f>
        <v>Credit Card</v>
      </c>
      <c r="I2365" s="18" t="str">
        <f>IFERROR(__xludf.DUMMYFUNCTION("""COMPUTED_VALUE"""),"Delivered")</f>
        <v>Delivered</v>
      </c>
      <c r="J2365" s="18" t="str">
        <f>IFERROR(__xludf.DUMMYFUNCTION("""COMPUTED_VALUE"""),"Packaging")</f>
        <v>Packaging</v>
      </c>
      <c r="K2365" s="18" t="str">
        <f>IFERROR(__xludf.DUMMYFUNCTION("""COMPUTED_VALUE"""),"Secure and intact")</f>
        <v>Secure and intact</v>
      </c>
      <c r="L2365" s="18">
        <f>iferror(VLOOKUP($D2365,Details!$A$2:$C$11,2,false),vlookup($D2365,Details!$E$2:$G$11,2,false))</f>
        <v>55</v>
      </c>
      <c r="M2365" s="18" t="str">
        <f>iferror(VLOOKUP($D2365,Details!$A$2:$C$11,3,false),vlookup($D2365,Details!$E$2:$G$11,3,false))</f>
        <v>Fruits and Vegetables</v>
      </c>
      <c r="N2365" s="18">
        <f t="shared" si="1"/>
        <v>110</v>
      </c>
      <c r="O2365" s="17"/>
      <c r="P2365" s="17"/>
      <c r="Q2365" s="17"/>
      <c r="R2365" s="17"/>
      <c r="S2365" s="17"/>
      <c r="T2365" s="17"/>
      <c r="U2365" s="17"/>
      <c r="V2365" s="17"/>
      <c r="W2365" s="17"/>
      <c r="X2365" s="17"/>
      <c r="Y2365" s="17"/>
      <c r="Z2365" s="17"/>
    </row>
    <row r="2366">
      <c r="A2366" s="18" t="str">
        <f>IFERROR(__xludf.DUMMYFUNCTION("""COMPUTED_VALUE"""),"ord_92330")</f>
        <v>ord_92330</v>
      </c>
      <c r="B2366" s="18" t="str">
        <f>IFERROR(__xludf.DUMMYFUNCTION("""COMPUTED_VALUE"""),"Sakshi Tandon")</f>
        <v>Sakshi Tandon</v>
      </c>
      <c r="C2366" s="18" t="str">
        <f>IFERROR(__xludf.DUMMYFUNCTION("""COMPUTED_VALUE"""),"Colaba")</f>
        <v>Colaba</v>
      </c>
      <c r="D2366" s="18" t="str">
        <f>IFERROR(__xludf.DUMMYFUNCTION("""COMPUTED_VALUE"""),"Chilli Cheese Toast")</f>
        <v>Chilli Cheese Toast</v>
      </c>
      <c r="E2366" s="18">
        <f>IFERROR(__xludf.DUMMYFUNCTION("""COMPUTED_VALUE"""),2.0)</f>
        <v>2</v>
      </c>
      <c r="F2366" s="18" t="str">
        <f>IFERROR(__xludf.DUMMYFUNCTION("""COMPUTED_VALUE"""),"Shine Thomas")</f>
        <v>Shine Thomas</v>
      </c>
      <c r="G2366" s="19">
        <f>IFERROR(__xludf.DUMMYFUNCTION("""COMPUTED_VALUE"""),45203.0)</f>
        <v>45203</v>
      </c>
      <c r="H2366" s="18" t="str">
        <f>IFERROR(__xludf.DUMMYFUNCTION("""COMPUTED_VALUE"""),"COD")</f>
        <v>COD</v>
      </c>
      <c r="I2366" s="18" t="str">
        <f>IFERROR(__xludf.DUMMYFUNCTION("""COMPUTED_VALUE"""),"Delivered")</f>
        <v>Delivered</v>
      </c>
      <c r="J2366" s="18" t="str">
        <f>IFERROR(__xludf.DUMMYFUNCTION("""COMPUTED_VALUE"""),"Satisfied with the Delivery")</f>
        <v>Satisfied with the Delivery</v>
      </c>
      <c r="K2366" s="18" t="str">
        <f>IFERROR(__xludf.DUMMYFUNCTION("""COMPUTED_VALUE"""),"Timely and quality")</f>
        <v>Timely and quality</v>
      </c>
      <c r="L2366" s="18">
        <f>iferror(VLOOKUP($D2366,Details!$A$2:$C$11,2,false),vlookup($D2366,Details!$E$2:$G$11,2,false))</f>
        <v>80</v>
      </c>
      <c r="M2366" s="18" t="str">
        <f>iferror(VLOOKUP($D2366,Details!$A$2:$C$11,3,false),vlookup($D2366,Details!$E$2:$G$11,3,false))</f>
        <v>Snacks and Drinks</v>
      </c>
      <c r="N2366" s="18">
        <f t="shared" si="1"/>
        <v>160</v>
      </c>
      <c r="O2366" s="17"/>
      <c r="P2366" s="17"/>
      <c r="Q2366" s="17"/>
      <c r="R2366" s="17"/>
      <c r="S2366" s="17"/>
      <c r="T2366" s="17"/>
      <c r="U2366" s="17"/>
      <c r="V2366" s="17"/>
      <c r="W2366" s="17"/>
      <c r="X2366" s="17"/>
      <c r="Y2366" s="17"/>
      <c r="Z2366" s="17"/>
    </row>
    <row r="2367">
      <c r="A2367" s="18" t="str">
        <f>IFERROR(__xludf.DUMMYFUNCTION("""COMPUTED_VALUE"""),"ord_92331")</f>
        <v>ord_92331</v>
      </c>
      <c r="B2367" s="18" t="str">
        <f>IFERROR(__xludf.DUMMYFUNCTION("""COMPUTED_VALUE"""),"Sakshi Tandon")</f>
        <v>Sakshi Tandon</v>
      </c>
      <c r="C2367" s="18" t="str">
        <f>IFERROR(__xludf.DUMMYFUNCTION("""COMPUTED_VALUE"""),"Colaba")</f>
        <v>Colaba</v>
      </c>
      <c r="D2367" s="18" t="str">
        <f>IFERROR(__xludf.DUMMYFUNCTION("""COMPUTED_VALUE"""),"Onion")</f>
        <v>Onion</v>
      </c>
      <c r="E2367" s="18">
        <f>IFERROR(__xludf.DUMMYFUNCTION("""COMPUTED_VALUE"""),1.0)</f>
        <v>1</v>
      </c>
      <c r="F2367" s="18" t="str">
        <f>IFERROR(__xludf.DUMMYFUNCTION("""COMPUTED_VALUE"""),"Nithin Lal")</f>
        <v>Nithin Lal</v>
      </c>
      <c r="G2367" s="19">
        <f>IFERROR(__xludf.DUMMYFUNCTION("""COMPUTED_VALUE"""),45087.0)</f>
        <v>45087</v>
      </c>
      <c r="H2367" s="18" t="str">
        <f>IFERROR(__xludf.DUMMYFUNCTION("""COMPUTED_VALUE"""),"Credit Card")</f>
        <v>Credit Card</v>
      </c>
      <c r="I2367" s="18" t="str">
        <f>IFERROR(__xludf.DUMMYFUNCTION("""COMPUTED_VALUE"""),"Delivered")</f>
        <v>Delivered</v>
      </c>
      <c r="J2367" s="18" t="str">
        <f>IFERROR(__xludf.DUMMYFUNCTION("""COMPUTED_VALUE"""),"Customer Service")</f>
        <v>Customer Service</v>
      </c>
      <c r="K2367" s="18" t="str">
        <f>IFERROR(__xludf.DUMMYFUNCTION("""COMPUTED_VALUE"""),"Seamless and easy")</f>
        <v>Seamless and easy</v>
      </c>
      <c r="L2367" s="18">
        <f>iferror(VLOOKUP($D2367,Details!$A$2:$C$11,2,false),vlookup($D2367,Details!$E$2:$G$11,2,false))</f>
        <v>84</v>
      </c>
      <c r="M2367" s="18" t="str">
        <f>iferror(VLOOKUP($D2367,Details!$A$2:$C$11,3,false),vlookup($D2367,Details!$E$2:$G$11,3,false))</f>
        <v>Fruits and Vegetables</v>
      </c>
      <c r="N2367" s="18">
        <f t="shared" si="1"/>
        <v>84</v>
      </c>
      <c r="O2367" s="17"/>
      <c r="P2367" s="17"/>
      <c r="Q2367" s="17"/>
      <c r="R2367" s="17"/>
      <c r="S2367" s="17"/>
      <c r="T2367" s="17"/>
      <c r="U2367" s="17"/>
      <c r="V2367" s="17"/>
      <c r="W2367" s="17"/>
      <c r="X2367" s="17"/>
      <c r="Y2367" s="17"/>
      <c r="Z2367" s="17"/>
    </row>
    <row r="2368">
      <c r="A2368" s="18" t="str">
        <f>IFERROR(__xludf.DUMMYFUNCTION("""COMPUTED_VALUE"""),"ord_92332")</f>
        <v>ord_92332</v>
      </c>
      <c r="B2368" s="18" t="str">
        <f>IFERROR(__xludf.DUMMYFUNCTION("""COMPUTED_VALUE"""),"Omkar Mishra")</f>
        <v>Omkar Mishra</v>
      </c>
      <c r="C2368" s="18" t="str">
        <f>IFERROR(__xludf.DUMMYFUNCTION("""COMPUTED_VALUE"""),"Powai")</f>
        <v>Powai</v>
      </c>
      <c r="D2368" s="18" t="str">
        <f>IFERROR(__xludf.DUMMYFUNCTION("""COMPUTED_VALUE"""),"Rasmalai")</f>
        <v>Rasmalai</v>
      </c>
      <c r="E2368" s="18">
        <f>IFERROR(__xludf.DUMMYFUNCTION("""COMPUTED_VALUE"""),3.0)</f>
        <v>3</v>
      </c>
      <c r="F2368" s="18" t="str">
        <f>IFERROR(__xludf.DUMMYFUNCTION("""COMPUTED_VALUE"""),"Nithin Lal")</f>
        <v>Nithin Lal</v>
      </c>
      <c r="G2368" s="19">
        <f>IFERROR(__xludf.DUMMYFUNCTION("""COMPUTED_VALUE"""),45250.0)</f>
        <v>45250</v>
      </c>
      <c r="H2368" s="18" t="str">
        <f>IFERROR(__xludf.DUMMYFUNCTION("""COMPUTED_VALUE"""),"Online Payment")</f>
        <v>Online Payment</v>
      </c>
      <c r="I2368" s="18" t="str">
        <f>IFERROR(__xludf.DUMMYFUNCTION("""COMPUTED_VALUE"""),"Delivered")</f>
        <v>Delivered</v>
      </c>
      <c r="J2368" s="18" t="str">
        <f>IFERROR(__xludf.DUMMYFUNCTION("""COMPUTED_VALUE"""),"Delivery Experience")</f>
        <v>Delivery Experience</v>
      </c>
      <c r="K2368" s="18" t="str">
        <f>IFERROR(__xludf.DUMMYFUNCTION("""COMPUTED_VALUE"""),"Quick and professional")</f>
        <v>Quick and professional</v>
      </c>
      <c r="L2368" s="18">
        <f>iferror(VLOOKUP($D2368,Details!$A$2:$C$11,2,false),vlookup($D2368,Details!$E$2:$G$11,2,false))</f>
        <v>110</v>
      </c>
      <c r="M2368" s="18" t="str">
        <f>iferror(VLOOKUP($D2368,Details!$A$2:$C$11,3,false),vlookup($D2368,Details!$E$2:$G$11,3,false))</f>
        <v>Snacks and Drinks</v>
      </c>
      <c r="N2368" s="18">
        <f t="shared" si="1"/>
        <v>330</v>
      </c>
      <c r="O2368" s="17"/>
      <c r="P2368" s="17"/>
      <c r="Q2368" s="17"/>
      <c r="R2368" s="17"/>
      <c r="S2368" s="17"/>
      <c r="T2368" s="17"/>
      <c r="U2368" s="17"/>
      <c r="V2368" s="17"/>
      <c r="W2368" s="17"/>
      <c r="X2368" s="17"/>
      <c r="Y2368" s="17"/>
      <c r="Z2368" s="17"/>
    </row>
    <row r="2369">
      <c r="A2369" s="18" t="str">
        <f>IFERROR(__xludf.DUMMYFUNCTION("""COMPUTED_VALUE"""),"ord_92333")</f>
        <v>ord_92333</v>
      </c>
      <c r="B2369" s="18" t="str">
        <f>IFERROR(__xludf.DUMMYFUNCTION("""COMPUTED_VALUE"""),"Aditya Basu")</f>
        <v>Aditya Basu</v>
      </c>
      <c r="C2369" s="18" t="str">
        <f>IFERROR(__xludf.DUMMYFUNCTION("""COMPUTED_VALUE"""),"Juhu")</f>
        <v>Juhu</v>
      </c>
      <c r="D2369" s="18" t="str">
        <f>IFERROR(__xludf.DUMMYFUNCTION("""COMPUTED_VALUE"""),"Cucumber")</f>
        <v>Cucumber</v>
      </c>
      <c r="E2369" s="18">
        <f>IFERROR(__xludf.DUMMYFUNCTION("""COMPUTED_VALUE"""),3.0)</f>
        <v>3</v>
      </c>
      <c r="F2369" s="18" t="str">
        <f>IFERROR(__xludf.DUMMYFUNCTION("""COMPUTED_VALUE"""),"Venu R")</f>
        <v>Venu R</v>
      </c>
      <c r="G2369" s="19">
        <f>IFERROR(__xludf.DUMMYFUNCTION("""COMPUTED_VALUE"""),45241.0)</f>
        <v>45241</v>
      </c>
      <c r="H2369" s="18" t="str">
        <f>IFERROR(__xludf.DUMMYFUNCTION("""COMPUTED_VALUE"""),"UPI")</f>
        <v>UPI</v>
      </c>
      <c r="I2369" s="18" t="str">
        <f>IFERROR(__xludf.DUMMYFUNCTION("""COMPUTED_VALUE"""),"Delivered")</f>
        <v>Delivered</v>
      </c>
      <c r="J2369" s="18" t="str">
        <f>IFERROR(__xludf.DUMMYFUNCTION("""COMPUTED_VALUE"""),"Convenience")</f>
        <v>Convenience</v>
      </c>
      <c r="K2369" s="18" t="str">
        <f>IFERROR(__xludf.DUMMYFUNCTION("""COMPUTED_VALUE"""),"Easy tracking")</f>
        <v>Easy tracking</v>
      </c>
      <c r="L2369" s="18">
        <f>iferror(VLOOKUP($D2369,Details!$A$2:$C$11,2,false),vlookup($D2369,Details!$E$2:$G$11,2,false))</f>
        <v>30</v>
      </c>
      <c r="M2369" s="18" t="str">
        <f>iferror(VLOOKUP($D2369,Details!$A$2:$C$11,3,false),vlookup($D2369,Details!$E$2:$G$11,3,false))</f>
        <v>Fruits and Vegetables</v>
      </c>
      <c r="N2369" s="18">
        <f t="shared" si="1"/>
        <v>90</v>
      </c>
      <c r="O2369" s="17"/>
      <c r="P2369" s="17"/>
      <c r="Q2369" s="17"/>
      <c r="R2369" s="17"/>
      <c r="S2369" s="17"/>
      <c r="T2369" s="17"/>
      <c r="U2369" s="17"/>
      <c r="V2369" s="17"/>
      <c r="W2369" s="17"/>
      <c r="X2369" s="17"/>
      <c r="Y2369" s="17"/>
      <c r="Z2369" s="17"/>
    </row>
    <row r="2370">
      <c r="A2370" s="18" t="str">
        <f>IFERROR(__xludf.DUMMYFUNCTION("""COMPUTED_VALUE"""),"ord_92334")</f>
        <v>ord_92334</v>
      </c>
      <c r="B2370" s="18" t="str">
        <f>IFERROR(__xludf.DUMMYFUNCTION("""COMPUTED_VALUE"""),"Kritika Shetty")</f>
        <v>Kritika Shetty</v>
      </c>
      <c r="C2370" s="18" t="str">
        <f>IFERROR(__xludf.DUMMYFUNCTION("""COMPUTED_VALUE"""),"Malad")</f>
        <v>Malad</v>
      </c>
      <c r="D2370" s="18" t="str">
        <f>IFERROR(__xludf.DUMMYFUNCTION("""COMPUTED_VALUE"""),"Tomato")</f>
        <v>Tomato</v>
      </c>
      <c r="E2370" s="18">
        <f>IFERROR(__xludf.DUMMYFUNCTION("""COMPUTED_VALUE"""),2.0)</f>
        <v>2</v>
      </c>
      <c r="F2370" s="18" t="str">
        <f>IFERROR(__xludf.DUMMYFUNCTION("""COMPUTED_VALUE"""),"Ramesh S")</f>
        <v>Ramesh S</v>
      </c>
      <c r="G2370" s="19">
        <f>IFERROR(__xludf.DUMMYFUNCTION("""COMPUTED_VALUE"""),45098.0)</f>
        <v>45098</v>
      </c>
      <c r="H2370" s="18" t="str">
        <f>IFERROR(__xludf.DUMMYFUNCTION("""COMPUTED_VALUE"""),"Credit Card")</f>
        <v>Credit Card</v>
      </c>
      <c r="I2370" s="18" t="str">
        <f>IFERROR(__xludf.DUMMYFUNCTION("""COMPUTED_VALUE"""),"Delivered")</f>
        <v>Delivered</v>
      </c>
      <c r="J2370" s="18" t="str">
        <f>IFERROR(__xludf.DUMMYFUNCTION("""COMPUTED_VALUE"""),"Overall Satisfaction")</f>
        <v>Overall Satisfaction</v>
      </c>
      <c r="K2370" s="18" t="str">
        <f>IFERROR(__xludf.DUMMYFUNCTION("""COMPUTED_VALUE"""),"Great service will order again")</f>
        <v>Great service will order again</v>
      </c>
      <c r="L2370" s="18">
        <f>iferror(VLOOKUP($D2370,Details!$A$2:$C$11,2,false),vlookup($D2370,Details!$E$2:$G$11,2,false))</f>
        <v>25</v>
      </c>
      <c r="M2370" s="18" t="str">
        <f>iferror(VLOOKUP($D2370,Details!$A$2:$C$11,3,false),vlookup($D2370,Details!$E$2:$G$11,3,false))</f>
        <v>Fruits and Vegetables</v>
      </c>
      <c r="N2370" s="18">
        <f t="shared" si="1"/>
        <v>50</v>
      </c>
      <c r="O2370" s="17"/>
      <c r="P2370" s="17"/>
      <c r="Q2370" s="17"/>
      <c r="R2370" s="17"/>
      <c r="S2370" s="17"/>
      <c r="T2370" s="17"/>
      <c r="U2370" s="17"/>
      <c r="V2370" s="17"/>
      <c r="W2370" s="17"/>
      <c r="X2370" s="17"/>
      <c r="Y2370" s="17"/>
      <c r="Z2370" s="17"/>
    </row>
    <row r="2371">
      <c r="A2371" s="18" t="str">
        <f>IFERROR(__xludf.DUMMYFUNCTION("""COMPUTED_VALUE"""),"ord_92335")</f>
        <v>ord_92335</v>
      </c>
      <c r="B2371" s="18" t="str">
        <f>IFERROR(__xludf.DUMMYFUNCTION("""COMPUTED_VALUE"""),"Sakshi Tandon")</f>
        <v>Sakshi Tandon</v>
      </c>
      <c r="C2371" s="18" t="str">
        <f>IFERROR(__xludf.DUMMYFUNCTION("""COMPUTED_VALUE"""),"Colaba")</f>
        <v>Colaba</v>
      </c>
      <c r="D2371" s="18" t="str">
        <f>IFERROR(__xludf.DUMMYFUNCTION("""COMPUTED_VALUE"""),"Orange")</f>
        <v>Orange</v>
      </c>
      <c r="E2371" s="18">
        <f>IFERROR(__xludf.DUMMYFUNCTION("""COMPUTED_VALUE"""),2.0)</f>
        <v>2</v>
      </c>
      <c r="F2371" s="18" t="str">
        <f>IFERROR(__xludf.DUMMYFUNCTION("""COMPUTED_VALUE"""),"Shine Thomas")</f>
        <v>Shine Thomas</v>
      </c>
      <c r="G2371" s="19">
        <f>IFERROR(__xludf.DUMMYFUNCTION("""COMPUTED_VALUE"""),45179.0)</f>
        <v>45179</v>
      </c>
      <c r="H2371" s="18" t="str">
        <f>IFERROR(__xludf.DUMMYFUNCTION("""COMPUTED_VALUE"""),"UPI")</f>
        <v>UPI</v>
      </c>
      <c r="I2371" s="18" t="str">
        <f>IFERROR(__xludf.DUMMYFUNCTION("""COMPUTED_VALUE"""),"Delivered")</f>
        <v>Delivered</v>
      </c>
      <c r="J2371" s="18" t="str">
        <f>IFERROR(__xludf.DUMMYFUNCTION("""COMPUTED_VALUE"""),"On-time Delivery")</f>
        <v>On-time Delivery</v>
      </c>
      <c r="K2371" s="18" t="str">
        <f>IFERROR(__xludf.DUMMYFUNCTION("""COMPUTED_VALUE"""),"Delivered on time")</f>
        <v>Delivered on time</v>
      </c>
      <c r="L2371" s="18">
        <f>iferror(VLOOKUP($D2371,Details!$A$2:$C$11,2,false),vlookup($D2371,Details!$E$2:$G$11,2,false))</f>
        <v>180</v>
      </c>
      <c r="M2371" s="18" t="str">
        <f>iferror(VLOOKUP($D2371,Details!$A$2:$C$11,3,false),vlookup($D2371,Details!$E$2:$G$11,3,false))</f>
        <v>Fruits and Vegetables</v>
      </c>
      <c r="N2371" s="18">
        <f t="shared" si="1"/>
        <v>360</v>
      </c>
      <c r="O2371" s="17"/>
      <c r="P2371" s="17"/>
      <c r="Q2371" s="17"/>
      <c r="R2371" s="17"/>
      <c r="S2371" s="17"/>
      <c r="T2371" s="17"/>
      <c r="U2371" s="17"/>
      <c r="V2371" s="17"/>
      <c r="W2371" s="17"/>
      <c r="X2371" s="17"/>
      <c r="Y2371" s="17"/>
      <c r="Z2371" s="17"/>
    </row>
    <row r="2372">
      <c r="A2372" s="18" t="str">
        <f>IFERROR(__xludf.DUMMYFUNCTION("""COMPUTED_VALUE"""),"ord_92336")</f>
        <v>ord_92336</v>
      </c>
      <c r="B2372" s="18" t="str">
        <f>IFERROR(__xludf.DUMMYFUNCTION("""COMPUTED_VALUE"""),"Aarohi Kapoor")</f>
        <v>Aarohi Kapoor</v>
      </c>
      <c r="C2372" s="18" t="str">
        <f>IFERROR(__xludf.DUMMYFUNCTION("""COMPUTED_VALUE"""),"Bandra")</f>
        <v>Bandra</v>
      </c>
      <c r="D2372" s="18" t="str">
        <f>IFERROR(__xludf.DUMMYFUNCTION("""COMPUTED_VALUE"""),"Banana")</f>
        <v>Banana</v>
      </c>
      <c r="E2372" s="18">
        <f>IFERROR(__xludf.DUMMYFUNCTION("""COMPUTED_VALUE"""),1.0)</f>
        <v>1</v>
      </c>
      <c r="F2372" s="18" t="str">
        <f>IFERROR(__xludf.DUMMYFUNCTION("""COMPUTED_VALUE"""),"Nithin Lal")</f>
        <v>Nithin Lal</v>
      </c>
      <c r="G2372" s="19">
        <f>IFERROR(__xludf.DUMMYFUNCTION("""COMPUTED_VALUE"""),45224.0)</f>
        <v>45224</v>
      </c>
      <c r="H2372" s="18" t="str">
        <f>IFERROR(__xludf.DUMMYFUNCTION("""COMPUTED_VALUE"""),"Online Payment")</f>
        <v>Online Payment</v>
      </c>
      <c r="I2372" s="18" t="str">
        <f>IFERROR(__xludf.DUMMYFUNCTION("""COMPUTED_VALUE"""),"Delivered")</f>
        <v>Delivered</v>
      </c>
      <c r="J2372" s="18" t="str">
        <f>IFERROR(__xludf.DUMMYFUNCTION("""COMPUTED_VALUE"""),"On-time Delivery")</f>
        <v>On-time Delivery</v>
      </c>
      <c r="K2372" s="18" t="str">
        <f>IFERROR(__xludf.DUMMYFUNCTION("""COMPUTED_VALUE"""),"Delivered on time")</f>
        <v>Delivered on time</v>
      </c>
      <c r="L2372" s="18">
        <f>iferror(VLOOKUP($D2372,Details!$A$2:$C$11,2,false),vlookup($D2372,Details!$E$2:$G$11,2,false))</f>
        <v>80</v>
      </c>
      <c r="M2372" s="18" t="str">
        <f>iferror(VLOOKUP($D2372,Details!$A$2:$C$11,3,false),vlookup($D2372,Details!$E$2:$G$11,3,false))</f>
        <v>Fruits and Vegetables</v>
      </c>
      <c r="N2372" s="18">
        <f t="shared" si="1"/>
        <v>80</v>
      </c>
      <c r="O2372" s="17"/>
      <c r="P2372" s="17"/>
      <c r="Q2372" s="17"/>
      <c r="R2372" s="17"/>
      <c r="S2372" s="17"/>
      <c r="T2372" s="17"/>
      <c r="U2372" s="17"/>
      <c r="V2372" s="17"/>
      <c r="W2372" s="17"/>
      <c r="X2372" s="17"/>
      <c r="Y2372" s="17"/>
      <c r="Z2372" s="17"/>
    </row>
    <row r="2373">
      <c r="A2373" s="18" t="str">
        <f>IFERROR(__xludf.DUMMYFUNCTION("""COMPUTED_VALUE"""),"ord_92337")</f>
        <v>ord_92337</v>
      </c>
      <c r="B2373" s="18" t="str">
        <f>IFERROR(__xludf.DUMMYFUNCTION("""COMPUTED_VALUE"""),"Sanjay Nair")</f>
        <v>Sanjay Nair</v>
      </c>
      <c r="C2373" s="18" t="str">
        <f>IFERROR(__xludf.DUMMYFUNCTION("""COMPUTED_VALUE"""),"Dadar")</f>
        <v>Dadar</v>
      </c>
      <c r="D2373" s="18" t="str">
        <f>IFERROR(__xludf.DUMMYFUNCTION("""COMPUTED_VALUE"""),"Sweet Corn")</f>
        <v>Sweet Corn</v>
      </c>
      <c r="E2373" s="18">
        <f>IFERROR(__xludf.DUMMYFUNCTION("""COMPUTED_VALUE"""),1.0)</f>
        <v>1</v>
      </c>
      <c r="F2373" s="18" t="str">
        <f>IFERROR(__xludf.DUMMYFUNCTION("""COMPUTED_VALUE"""),"Vivek Kumar")</f>
        <v>Vivek Kumar</v>
      </c>
      <c r="G2373" s="19">
        <f>IFERROR(__xludf.DUMMYFUNCTION("""COMPUTED_VALUE"""),45113.0)</f>
        <v>45113</v>
      </c>
      <c r="H2373" s="18" t="str">
        <f>IFERROR(__xludf.DUMMYFUNCTION("""COMPUTED_VALUE"""),"Credit Card")</f>
        <v>Credit Card</v>
      </c>
      <c r="I2373" s="18" t="str">
        <f>IFERROR(__xludf.DUMMYFUNCTION("""COMPUTED_VALUE"""),"Delivered")</f>
        <v>Delivered</v>
      </c>
      <c r="J2373" s="18" t="str">
        <f>IFERROR(__xludf.DUMMYFUNCTION("""COMPUTED_VALUE"""),"Quality of Items")</f>
        <v>Quality of Items</v>
      </c>
      <c r="K2373" s="18" t="str">
        <f>IFERROR(__xludf.DUMMYFUNCTION("""COMPUTED_VALUE"""),"Perfect condition")</f>
        <v>Perfect condition</v>
      </c>
      <c r="L2373" s="18">
        <f>iferror(VLOOKUP($D2373,Details!$A$2:$C$11,2,false),vlookup($D2373,Details!$E$2:$G$11,2,false))</f>
        <v>60</v>
      </c>
      <c r="M2373" s="18" t="str">
        <f>iferror(VLOOKUP($D2373,Details!$A$2:$C$11,3,false),vlookup($D2373,Details!$E$2:$G$11,3,false))</f>
        <v>Fruits and Vegetables</v>
      </c>
      <c r="N2373" s="18">
        <f t="shared" si="1"/>
        <v>60</v>
      </c>
      <c r="O2373" s="17"/>
      <c r="P2373" s="17"/>
      <c r="Q2373" s="17"/>
      <c r="R2373" s="17"/>
      <c r="S2373" s="17"/>
      <c r="T2373" s="17"/>
      <c r="U2373" s="17"/>
      <c r="V2373" s="17"/>
      <c r="W2373" s="17"/>
      <c r="X2373" s="17"/>
      <c r="Y2373" s="17"/>
      <c r="Z2373" s="17"/>
    </row>
    <row r="2374">
      <c r="A2374" s="18" t="str">
        <f>IFERROR(__xludf.DUMMYFUNCTION("""COMPUTED_VALUE"""),"ord_92338")</f>
        <v>ord_92338</v>
      </c>
      <c r="B2374" s="18" t="str">
        <f>IFERROR(__xludf.DUMMYFUNCTION("""COMPUTED_VALUE"""),"Shruti Aggarwal")</f>
        <v>Shruti Aggarwal</v>
      </c>
      <c r="C2374" s="18" t="str">
        <f>IFERROR(__xludf.DUMMYFUNCTION("""COMPUTED_VALUE"""),"Colaba")</f>
        <v>Colaba</v>
      </c>
      <c r="D2374" s="18" t="str">
        <f>IFERROR(__xludf.DUMMYFUNCTION("""COMPUTED_VALUE"""),"Orange")</f>
        <v>Orange</v>
      </c>
      <c r="E2374" s="18">
        <f>IFERROR(__xludf.DUMMYFUNCTION("""COMPUTED_VALUE"""),2.0)</f>
        <v>2</v>
      </c>
      <c r="F2374" s="18" t="str">
        <f>IFERROR(__xludf.DUMMYFUNCTION("""COMPUTED_VALUE"""),"Manju Ajay")</f>
        <v>Manju Ajay</v>
      </c>
      <c r="G2374" s="19">
        <f>IFERROR(__xludf.DUMMYFUNCTION("""COMPUTED_VALUE"""),45249.0)</f>
        <v>45249</v>
      </c>
      <c r="H2374" s="18" t="str">
        <f>IFERROR(__xludf.DUMMYFUNCTION("""COMPUTED_VALUE"""),"UPI")</f>
        <v>UPI</v>
      </c>
      <c r="I2374" s="18" t="str">
        <f>IFERROR(__xludf.DUMMYFUNCTION("""COMPUTED_VALUE"""),"Delivered")</f>
        <v>Delivered</v>
      </c>
      <c r="J2374" s="18" t="str">
        <f>IFERROR(__xludf.DUMMYFUNCTION("""COMPUTED_VALUE"""),"Packaging")</f>
        <v>Packaging</v>
      </c>
      <c r="K2374" s="18" t="str">
        <f>IFERROR(__xludf.DUMMYFUNCTION("""COMPUTED_VALUE"""),"Secure and intact")</f>
        <v>Secure and intact</v>
      </c>
      <c r="L2374" s="18">
        <f>iferror(VLOOKUP($D2374,Details!$A$2:$C$11,2,false),vlookup($D2374,Details!$E$2:$G$11,2,false))</f>
        <v>180</v>
      </c>
      <c r="M2374" s="18" t="str">
        <f>iferror(VLOOKUP($D2374,Details!$A$2:$C$11,3,false),vlookup($D2374,Details!$E$2:$G$11,3,false))</f>
        <v>Fruits and Vegetables</v>
      </c>
      <c r="N2374" s="18">
        <f t="shared" si="1"/>
        <v>360</v>
      </c>
      <c r="O2374" s="17"/>
      <c r="P2374" s="17"/>
      <c r="Q2374" s="17"/>
      <c r="R2374" s="17"/>
      <c r="S2374" s="17"/>
      <c r="T2374" s="17"/>
      <c r="U2374" s="17"/>
      <c r="V2374" s="17"/>
      <c r="W2374" s="17"/>
      <c r="X2374" s="17"/>
      <c r="Y2374" s="17"/>
      <c r="Z2374" s="17"/>
    </row>
    <row r="2375">
      <c r="A2375" s="18" t="str">
        <f>IFERROR(__xludf.DUMMYFUNCTION("""COMPUTED_VALUE"""),"ord_92339")</f>
        <v>ord_92339</v>
      </c>
      <c r="B2375" s="18" t="str">
        <f>IFERROR(__xludf.DUMMYFUNCTION("""COMPUTED_VALUE"""),"Mehul Thakkar")</f>
        <v>Mehul Thakkar</v>
      </c>
      <c r="C2375" s="18" t="str">
        <f>IFERROR(__xludf.DUMMYFUNCTION("""COMPUTED_VALUE"""),"Dadar")</f>
        <v>Dadar</v>
      </c>
      <c r="D2375" s="18" t="str">
        <f>IFERROR(__xludf.DUMMYFUNCTION("""COMPUTED_VALUE"""),"Rasmalai")</f>
        <v>Rasmalai</v>
      </c>
      <c r="E2375" s="18">
        <f>IFERROR(__xludf.DUMMYFUNCTION("""COMPUTED_VALUE"""),4.0)</f>
        <v>4</v>
      </c>
      <c r="F2375" s="18" t="str">
        <f>IFERROR(__xludf.DUMMYFUNCTION("""COMPUTED_VALUE"""),"Nithin Lal")</f>
        <v>Nithin Lal</v>
      </c>
      <c r="G2375" s="19">
        <f>IFERROR(__xludf.DUMMYFUNCTION("""COMPUTED_VALUE"""),45218.0)</f>
        <v>45218</v>
      </c>
      <c r="H2375" s="18" t="str">
        <f>IFERROR(__xludf.DUMMYFUNCTION("""COMPUTED_VALUE"""),"Online Payment")</f>
        <v>Online Payment</v>
      </c>
      <c r="I2375" s="18" t="str">
        <f>IFERROR(__xludf.DUMMYFUNCTION("""COMPUTED_VALUE"""),"Delivered")</f>
        <v>Delivered</v>
      </c>
      <c r="J2375" s="18" t="str">
        <f>IFERROR(__xludf.DUMMYFUNCTION("""COMPUTED_VALUE"""),"Satisfied with the Delivery")</f>
        <v>Satisfied with the Delivery</v>
      </c>
      <c r="K2375" s="18" t="str">
        <f>IFERROR(__xludf.DUMMYFUNCTION("""COMPUTED_VALUE"""),"Timely and quality")</f>
        <v>Timely and quality</v>
      </c>
      <c r="L2375" s="18">
        <f>iferror(VLOOKUP($D2375,Details!$A$2:$C$11,2,false),vlookup($D2375,Details!$E$2:$G$11,2,false))</f>
        <v>110</v>
      </c>
      <c r="M2375" s="18" t="str">
        <f>iferror(VLOOKUP($D2375,Details!$A$2:$C$11,3,false),vlookup($D2375,Details!$E$2:$G$11,3,false))</f>
        <v>Snacks and Drinks</v>
      </c>
      <c r="N2375" s="18">
        <f t="shared" si="1"/>
        <v>440</v>
      </c>
      <c r="O2375" s="17"/>
      <c r="P2375" s="17"/>
      <c r="Q2375" s="17"/>
      <c r="R2375" s="17"/>
      <c r="S2375" s="17"/>
      <c r="T2375" s="17"/>
      <c r="U2375" s="17"/>
      <c r="V2375" s="17"/>
      <c r="W2375" s="17"/>
      <c r="X2375" s="17"/>
      <c r="Y2375" s="17"/>
      <c r="Z2375" s="17"/>
    </row>
    <row r="2376">
      <c r="A2376" s="18" t="str">
        <f>IFERROR(__xludf.DUMMYFUNCTION("""COMPUTED_VALUE"""),"ord_92340")</f>
        <v>ord_92340</v>
      </c>
      <c r="B2376" s="18" t="str">
        <f>IFERROR(__xludf.DUMMYFUNCTION("""COMPUTED_VALUE"""),"Sana Malik")</f>
        <v>Sana Malik</v>
      </c>
      <c r="C2376" s="18" t="str">
        <f>IFERROR(__xludf.DUMMYFUNCTION("""COMPUTED_VALUE"""),"Powai")</f>
        <v>Powai</v>
      </c>
      <c r="D2376" s="18" t="str">
        <f>IFERROR(__xludf.DUMMYFUNCTION("""COMPUTED_VALUE"""),"Juice")</f>
        <v>Juice</v>
      </c>
      <c r="E2376" s="18">
        <f>IFERROR(__xludf.DUMMYFUNCTION("""COMPUTED_VALUE"""),4.0)</f>
        <v>4</v>
      </c>
      <c r="F2376" s="18" t="str">
        <f>IFERROR(__xludf.DUMMYFUNCTION("""COMPUTED_VALUE"""),"Manju Ajay")</f>
        <v>Manju Ajay</v>
      </c>
      <c r="G2376" s="19">
        <f>IFERROR(__xludf.DUMMYFUNCTION("""COMPUTED_VALUE"""),45240.0)</f>
        <v>45240</v>
      </c>
      <c r="H2376" s="18" t="str">
        <f>IFERROR(__xludf.DUMMYFUNCTION("""COMPUTED_VALUE"""),"UPI")</f>
        <v>UPI</v>
      </c>
      <c r="I2376" s="18" t="str">
        <f>IFERROR(__xludf.DUMMYFUNCTION("""COMPUTED_VALUE"""),"Delivered")</f>
        <v>Delivered</v>
      </c>
      <c r="J2376" s="18" t="str">
        <f>IFERROR(__xludf.DUMMYFUNCTION("""COMPUTED_VALUE"""),"Customer Service")</f>
        <v>Customer Service</v>
      </c>
      <c r="K2376" s="18" t="str">
        <f>IFERROR(__xludf.DUMMYFUNCTION("""COMPUTED_VALUE"""),"Seamless and easy")</f>
        <v>Seamless and easy</v>
      </c>
      <c r="L2376" s="18">
        <f>iferror(VLOOKUP($D2376,Details!$A$2:$C$11,2,false),vlookup($D2376,Details!$E$2:$G$11,2,false))</f>
        <v>90</v>
      </c>
      <c r="M2376" s="18" t="str">
        <f>iferror(VLOOKUP($D2376,Details!$A$2:$C$11,3,false),vlookup($D2376,Details!$E$2:$G$11,3,false))</f>
        <v>Snacks and Drinks</v>
      </c>
      <c r="N2376" s="18">
        <f t="shared" si="1"/>
        <v>360</v>
      </c>
      <c r="O2376" s="17"/>
      <c r="P2376" s="17"/>
      <c r="Q2376" s="17"/>
      <c r="R2376" s="17"/>
      <c r="S2376" s="17"/>
      <c r="T2376" s="17"/>
      <c r="U2376" s="17"/>
      <c r="V2376" s="17"/>
      <c r="W2376" s="17"/>
      <c r="X2376" s="17"/>
      <c r="Y2376" s="17"/>
      <c r="Z2376" s="17"/>
    </row>
    <row r="2377">
      <c r="A2377" s="18" t="str">
        <f>IFERROR(__xludf.DUMMYFUNCTION("""COMPUTED_VALUE"""),"ord_92341")</f>
        <v>ord_92341</v>
      </c>
      <c r="B2377" s="18" t="str">
        <f>IFERROR(__xludf.DUMMYFUNCTION("""COMPUTED_VALUE"""),"Yash Verma")</f>
        <v>Yash Verma</v>
      </c>
      <c r="C2377" s="18" t="str">
        <f>IFERROR(__xludf.DUMMYFUNCTION("""COMPUTED_VALUE"""),"Lower Parel")</f>
        <v>Lower Parel</v>
      </c>
      <c r="D2377" s="18" t="str">
        <f>IFERROR(__xludf.DUMMYFUNCTION("""COMPUTED_VALUE"""),"Onion")</f>
        <v>Onion</v>
      </c>
      <c r="E2377" s="18">
        <f>IFERROR(__xludf.DUMMYFUNCTION("""COMPUTED_VALUE"""),3.0)</f>
        <v>3</v>
      </c>
      <c r="F2377" s="18" t="str">
        <f>IFERROR(__xludf.DUMMYFUNCTION("""COMPUTED_VALUE"""),"Venu R")</f>
        <v>Venu R</v>
      </c>
      <c r="G2377" s="19">
        <f>IFERROR(__xludf.DUMMYFUNCTION("""COMPUTED_VALUE"""),45189.0)</f>
        <v>45189</v>
      </c>
      <c r="H2377" s="18" t="str">
        <f>IFERROR(__xludf.DUMMYFUNCTION("""COMPUTED_VALUE"""),"Credit Card")</f>
        <v>Credit Card</v>
      </c>
      <c r="I2377" s="18" t="str">
        <f>IFERROR(__xludf.DUMMYFUNCTION("""COMPUTED_VALUE"""),"Delivered")</f>
        <v>Delivered</v>
      </c>
      <c r="J2377" s="18" t="str">
        <f>IFERROR(__xludf.DUMMYFUNCTION("""COMPUTED_VALUE"""),"Delivery Experience")</f>
        <v>Delivery Experience</v>
      </c>
      <c r="K2377" s="18" t="str">
        <f>IFERROR(__xludf.DUMMYFUNCTION("""COMPUTED_VALUE"""),"Quick and professional")</f>
        <v>Quick and professional</v>
      </c>
      <c r="L2377" s="18">
        <f>iferror(VLOOKUP($D2377,Details!$A$2:$C$11,2,false),vlookup($D2377,Details!$E$2:$G$11,2,false))</f>
        <v>84</v>
      </c>
      <c r="M2377" s="18" t="str">
        <f>iferror(VLOOKUP($D2377,Details!$A$2:$C$11,3,false),vlookup($D2377,Details!$E$2:$G$11,3,false))</f>
        <v>Fruits and Vegetables</v>
      </c>
      <c r="N2377" s="18">
        <f t="shared" si="1"/>
        <v>252</v>
      </c>
      <c r="O2377" s="17"/>
      <c r="P2377" s="17"/>
      <c r="Q2377" s="17"/>
      <c r="R2377" s="17"/>
      <c r="S2377" s="17"/>
      <c r="T2377" s="17"/>
      <c r="U2377" s="17"/>
      <c r="V2377" s="17"/>
      <c r="W2377" s="17"/>
      <c r="X2377" s="17"/>
      <c r="Y2377" s="17"/>
      <c r="Z2377" s="17"/>
    </row>
    <row r="2378">
      <c r="A2378" s="18" t="str">
        <f>IFERROR(__xludf.DUMMYFUNCTION("""COMPUTED_VALUE"""),"ord_92342")</f>
        <v>ord_92342</v>
      </c>
      <c r="B2378" s="18" t="str">
        <f>IFERROR(__xludf.DUMMYFUNCTION("""COMPUTED_VALUE"""),"Sana Malik")</f>
        <v>Sana Malik</v>
      </c>
      <c r="C2378" s="18" t="str">
        <f>IFERROR(__xludf.DUMMYFUNCTION("""COMPUTED_VALUE"""),"Juhu")</f>
        <v>Juhu</v>
      </c>
      <c r="D2378" s="18" t="str">
        <f>IFERROR(__xludf.DUMMYFUNCTION("""COMPUTED_VALUE"""),"Icecream")</f>
        <v>Icecream</v>
      </c>
      <c r="E2378" s="18">
        <f>IFERROR(__xludf.DUMMYFUNCTION("""COMPUTED_VALUE"""),2.0)</f>
        <v>2</v>
      </c>
      <c r="F2378" s="18" t="str">
        <f>IFERROR(__xludf.DUMMYFUNCTION("""COMPUTED_VALUE"""),"Ram Gopal")</f>
        <v>Ram Gopal</v>
      </c>
      <c r="G2378" s="19">
        <f>IFERROR(__xludf.DUMMYFUNCTION("""COMPUTED_VALUE"""),45244.0)</f>
        <v>45244</v>
      </c>
      <c r="H2378" s="18" t="str">
        <f>IFERROR(__xludf.DUMMYFUNCTION("""COMPUTED_VALUE"""),"Credit Card")</f>
        <v>Credit Card</v>
      </c>
      <c r="I2378" s="18" t="str">
        <f>IFERROR(__xludf.DUMMYFUNCTION("""COMPUTED_VALUE"""),"Delivered")</f>
        <v>Delivered</v>
      </c>
      <c r="J2378" s="18" t="str">
        <f>IFERROR(__xludf.DUMMYFUNCTION("""COMPUTED_VALUE"""),"Convenience")</f>
        <v>Convenience</v>
      </c>
      <c r="K2378" s="18" t="str">
        <f>IFERROR(__xludf.DUMMYFUNCTION("""COMPUTED_VALUE"""),"Easy tracking")</f>
        <v>Easy tracking</v>
      </c>
      <c r="L2378" s="18">
        <f>iferror(VLOOKUP($D2378,Details!$A$2:$C$11,2,false),vlookup($D2378,Details!$E$2:$G$11,2,false))</f>
        <v>90</v>
      </c>
      <c r="M2378" s="18" t="str">
        <f>iferror(VLOOKUP($D2378,Details!$A$2:$C$11,3,false),vlookup($D2378,Details!$E$2:$G$11,3,false))</f>
        <v>Snacks and Drinks</v>
      </c>
      <c r="N2378" s="18">
        <f t="shared" si="1"/>
        <v>180</v>
      </c>
      <c r="O2378" s="17"/>
      <c r="P2378" s="17"/>
      <c r="Q2378" s="17"/>
      <c r="R2378" s="17"/>
      <c r="S2378" s="17"/>
      <c r="T2378" s="17"/>
      <c r="U2378" s="17"/>
      <c r="V2378" s="17"/>
      <c r="W2378" s="17"/>
      <c r="X2378" s="17"/>
      <c r="Y2378" s="17"/>
      <c r="Z2378" s="17"/>
    </row>
    <row r="2379">
      <c r="A2379" s="18" t="str">
        <f>IFERROR(__xludf.DUMMYFUNCTION("""COMPUTED_VALUE"""),"ord_92343")</f>
        <v>ord_92343</v>
      </c>
      <c r="B2379" s="18" t="str">
        <f>IFERROR(__xludf.DUMMYFUNCTION("""COMPUTED_VALUE"""),"Harsh Vardhan")</f>
        <v>Harsh Vardhan</v>
      </c>
      <c r="C2379" s="18" t="str">
        <f>IFERROR(__xludf.DUMMYFUNCTION("""COMPUTED_VALUE"""),"Bandra")</f>
        <v>Bandra</v>
      </c>
      <c r="D2379" s="18" t="str">
        <f>IFERROR(__xludf.DUMMYFUNCTION("""COMPUTED_VALUE"""),"Tomato")</f>
        <v>Tomato</v>
      </c>
      <c r="E2379" s="18">
        <f>IFERROR(__xludf.DUMMYFUNCTION("""COMPUTED_VALUE"""),2.0)</f>
        <v>2</v>
      </c>
      <c r="F2379" s="18" t="str">
        <f>IFERROR(__xludf.DUMMYFUNCTION("""COMPUTED_VALUE"""),"Ramesh S")</f>
        <v>Ramesh S</v>
      </c>
      <c r="G2379" s="19">
        <f>IFERROR(__xludf.DUMMYFUNCTION("""COMPUTED_VALUE"""),45121.0)</f>
        <v>45121</v>
      </c>
      <c r="H2379" s="18" t="str">
        <f>IFERROR(__xludf.DUMMYFUNCTION("""COMPUTED_VALUE"""),"Online Payment")</f>
        <v>Online Payment</v>
      </c>
      <c r="I2379" s="18" t="str">
        <f>IFERROR(__xludf.DUMMYFUNCTION("""COMPUTED_VALUE"""),"Delivered")</f>
        <v>Delivered</v>
      </c>
      <c r="J2379" s="18" t="str">
        <f>IFERROR(__xludf.DUMMYFUNCTION("""COMPUTED_VALUE"""),"Overall Satisfaction")</f>
        <v>Overall Satisfaction</v>
      </c>
      <c r="K2379" s="18" t="str">
        <f>IFERROR(__xludf.DUMMYFUNCTION("""COMPUTED_VALUE"""),"Great service will order again")</f>
        <v>Great service will order again</v>
      </c>
      <c r="L2379" s="18">
        <f>iferror(VLOOKUP($D2379,Details!$A$2:$C$11,2,false),vlookup($D2379,Details!$E$2:$G$11,2,false))</f>
        <v>25</v>
      </c>
      <c r="M2379" s="18" t="str">
        <f>iferror(VLOOKUP($D2379,Details!$A$2:$C$11,3,false),vlookup($D2379,Details!$E$2:$G$11,3,false))</f>
        <v>Fruits and Vegetables</v>
      </c>
      <c r="N2379" s="18">
        <f t="shared" si="1"/>
        <v>50</v>
      </c>
      <c r="O2379" s="17"/>
      <c r="P2379" s="17"/>
      <c r="Q2379" s="17"/>
      <c r="R2379" s="17"/>
      <c r="S2379" s="17"/>
      <c r="T2379" s="17"/>
      <c r="U2379" s="17"/>
      <c r="V2379" s="17"/>
      <c r="W2379" s="17"/>
      <c r="X2379" s="17"/>
      <c r="Y2379" s="17"/>
      <c r="Z2379" s="17"/>
    </row>
    <row r="2380">
      <c r="A2380" s="18" t="str">
        <f>IFERROR(__xludf.DUMMYFUNCTION("""COMPUTED_VALUE"""),"ord_92344")</f>
        <v>ord_92344</v>
      </c>
      <c r="B2380" s="18" t="str">
        <f>IFERROR(__xludf.DUMMYFUNCTION("""COMPUTED_VALUE"""),"Sana Malik")</f>
        <v>Sana Malik</v>
      </c>
      <c r="C2380" s="18" t="str">
        <f>IFERROR(__xludf.DUMMYFUNCTION("""COMPUTED_VALUE"""),"Powai")</f>
        <v>Powai</v>
      </c>
      <c r="D2380" s="18" t="str">
        <f>IFERROR(__xludf.DUMMYFUNCTION("""COMPUTED_VALUE"""),"Potato")</f>
        <v>Potato</v>
      </c>
      <c r="E2380" s="18">
        <f>IFERROR(__xludf.DUMMYFUNCTION("""COMPUTED_VALUE"""),4.0)</f>
        <v>4</v>
      </c>
      <c r="F2380" s="18" t="str">
        <f>IFERROR(__xludf.DUMMYFUNCTION("""COMPUTED_VALUE"""),"Vivek Kumar")</f>
        <v>Vivek Kumar</v>
      </c>
      <c r="G2380" s="19">
        <f>IFERROR(__xludf.DUMMYFUNCTION("""COMPUTED_VALUE"""),45191.0)</f>
        <v>45191</v>
      </c>
      <c r="H2380" s="18" t="str">
        <f>IFERROR(__xludf.DUMMYFUNCTION("""COMPUTED_VALUE"""),"Online Payment")</f>
        <v>Online Payment</v>
      </c>
      <c r="I2380" s="18" t="str">
        <f>IFERROR(__xludf.DUMMYFUNCTION("""COMPUTED_VALUE"""),"Delivered")</f>
        <v>Delivered</v>
      </c>
      <c r="J2380" s="18" t="str">
        <f>IFERROR(__xludf.DUMMYFUNCTION("""COMPUTED_VALUE"""),"On-time Delivery")</f>
        <v>On-time Delivery</v>
      </c>
      <c r="K2380" s="18" t="str">
        <f>IFERROR(__xludf.DUMMYFUNCTION("""COMPUTED_VALUE"""),"Delivered on time")</f>
        <v>Delivered on time</v>
      </c>
      <c r="L2380" s="18">
        <f>iferror(VLOOKUP($D2380,Details!$A$2:$C$11,2,false),vlookup($D2380,Details!$E$2:$G$11,2,false))</f>
        <v>55</v>
      </c>
      <c r="M2380" s="18" t="str">
        <f>iferror(VLOOKUP($D2380,Details!$A$2:$C$11,3,false),vlookup($D2380,Details!$E$2:$G$11,3,false))</f>
        <v>Fruits and Vegetables</v>
      </c>
      <c r="N2380" s="18">
        <f t="shared" si="1"/>
        <v>220</v>
      </c>
      <c r="O2380" s="17"/>
      <c r="P2380" s="17"/>
      <c r="Q2380" s="17"/>
      <c r="R2380" s="17"/>
      <c r="S2380" s="17"/>
      <c r="T2380" s="17"/>
      <c r="U2380" s="17"/>
      <c r="V2380" s="17"/>
      <c r="W2380" s="17"/>
      <c r="X2380" s="17"/>
      <c r="Y2380" s="17"/>
      <c r="Z2380" s="17"/>
    </row>
    <row r="2381">
      <c r="A2381" s="18" t="str">
        <f>IFERROR(__xludf.DUMMYFUNCTION("""COMPUTED_VALUE"""),"ord_92345")</f>
        <v>ord_92345</v>
      </c>
      <c r="B2381" s="18" t="str">
        <f>IFERROR(__xludf.DUMMYFUNCTION("""COMPUTED_VALUE"""),"Yash Verma")</f>
        <v>Yash Verma</v>
      </c>
      <c r="C2381" s="18" t="str">
        <f>IFERROR(__xludf.DUMMYFUNCTION("""COMPUTED_VALUE"""),"Lower Parel")</f>
        <v>Lower Parel</v>
      </c>
      <c r="D2381" s="18" t="str">
        <f>IFERROR(__xludf.DUMMYFUNCTION("""COMPUTED_VALUE"""),"Chicken Puff")</f>
        <v>Chicken Puff</v>
      </c>
      <c r="E2381" s="18">
        <f>IFERROR(__xludf.DUMMYFUNCTION("""COMPUTED_VALUE"""),9.0)</f>
        <v>9</v>
      </c>
      <c r="F2381" s="18" t="str">
        <f>IFERROR(__xludf.DUMMYFUNCTION("""COMPUTED_VALUE"""),"Venu R")</f>
        <v>Venu R</v>
      </c>
      <c r="G2381" s="19">
        <f>IFERROR(__xludf.DUMMYFUNCTION("""COMPUTED_VALUE"""),45213.0)</f>
        <v>45213</v>
      </c>
      <c r="H2381" s="18" t="str">
        <f>IFERROR(__xludf.DUMMYFUNCTION("""COMPUTED_VALUE"""),"UPI")</f>
        <v>UPI</v>
      </c>
      <c r="I2381" s="18" t="str">
        <f>IFERROR(__xludf.DUMMYFUNCTION("""COMPUTED_VALUE"""),"Delivered")</f>
        <v>Delivered</v>
      </c>
      <c r="J2381" s="18" t="str">
        <f>IFERROR(__xludf.DUMMYFUNCTION("""COMPUTED_VALUE"""),"Quality of Items")</f>
        <v>Quality of Items</v>
      </c>
      <c r="K2381" s="18" t="str">
        <f>IFERROR(__xludf.DUMMYFUNCTION("""COMPUTED_VALUE"""),"Perfect condition")</f>
        <v>Perfect condition</v>
      </c>
      <c r="L2381" s="18">
        <f>iferror(VLOOKUP($D2381,Details!$A$2:$C$11,2,false),vlookup($D2381,Details!$E$2:$G$11,2,false))</f>
        <v>90</v>
      </c>
      <c r="M2381" s="18" t="str">
        <f>iferror(VLOOKUP($D2381,Details!$A$2:$C$11,3,false),vlookup($D2381,Details!$E$2:$G$11,3,false))</f>
        <v>Snacks and Drinks</v>
      </c>
      <c r="N2381" s="18">
        <f t="shared" si="1"/>
        <v>810</v>
      </c>
      <c r="O2381" s="17"/>
      <c r="P2381" s="17"/>
      <c r="Q2381" s="17"/>
      <c r="R2381" s="17"/>
      <c r="S2381" s="17"/>
      <c r="T2381" s="17"/>
      <c r="U2381" s="17"/>
      <c r="V2381" s="17"/>
      <c r="W2381" s="17"/>
      <c r="X2381" s="17"/>
      <c r="Y2381" s="17"/>
      <c r="Z2381" s="17"/>
    </row>
    <row r="2382">
      <c r="A2382" s="18" t="str">
        <f>IFERROR(__xludf.DUMMYFUNCTION("""COMPUTED_VALUE"""),"ord_92346")</f>
        <v>ord_92346</v>
      </c>
      <c r="B2382" s="18" t="str">
        <f>IFERROR(__xludf.DUMMYFUNCTION("""COMPUTED_VALUE"""),"Leena Das")</f>
        <v>Leena Das</v>
      </c>
      <c r="C2382" s="18" t="str">
        <f>IFERROR(__xludf.DUMMYFUNCTION("""COMPUTED_VALUE"""),"Andheri")</f>
        <v>Andheri</v>
      </c>
      <c r="D2382" s="18" t="str">
        <f>IFERROR(__xludf.DUMMYFUNCTION("""COMPUTED_VALUE"""),"Papaya")</f>
        <v>Papaya</v>
      </c>
      <c r="E2382" s="18">
        <f>IFERROR(__xludf.DUMMYFUNCTION("""COMPUTED_VALUE"""),2.0)</f>
        <v>2</v>
      </c>
      <c r="F2382" s="18" t="str">
        <f>IFERROR(__xludf.DUMMYFUNCTION("""COMPUTED_VALUE"""),"Priya Joshi")</f>
        <v>Priya Joshi</v>
      </c>
      <c r="G2382" s="19">
        <f>IFERROR(__xludf.DUMMYFUNCTION("""COMPUTED_VALUE"""),45192.0)</f>
        <v>45192</v>
      </c>
      <c r="H2382" s="18" t="str">
        <f>IFERROR(__xludf.DUMMYFUNCTION("""COMPUTED_VALUE"""),"Online Payment")</f>
        <v>Online Payment</v>
      </c>
      <c r="I2382" s="18" t="str">
        <f>IFERROR(__xludf.DUMMYFUNCTION("""COMPUTED_VALUE"""),"Cancelled")</f>
        <v>Cancelled</v>
      </c>
      <c r="J2382" s="18" t="str">
        <f>IFERROR(__xludf.DUMMYFUNCTION("""COMPUTED_VALUE"""),"Delayed Delivery")</f>
        <v>Delayed Delivery</v>
      </c>
      <c r="K2382" s="18" t="str">
        <f>IFERROR(__xludf.DUMMYFUNCTION("""COMPUTED_VALUE"""),"Heavy Traffic")</f>
        <v>Heavy Traffic</v>
      </c>
      <c r="L2382" s="18">
        <f>iferror(VLOOKUP($D2382,Details!$A$2:$C$11,2,false),vlookup($D2382,Details!$E$2:$G$11,2,false))</f>
        <v>75</v>
      </c>
      <c r="M2382" s="18" t="str">
        <f>iferror(VLOOKUP($D2382,Details!$A$2:$C$11,3,false),vlookup($D2382,Details!$E$2:$G$11,3,false))</f>
        <v>Fruits and Vegetables</v>
      </c>
      <c r="N2382" s="18">
        <f t="shared" si="1"/>
        <v>150</v>
      </c>
      <c r="O2382" s="17"/>
      <c r="P2382" s="17"/>
      <c r="Q2382" s="17"/>
      <c r="R2382" s="17"/>
      <c r="S2382" s="17"/>
      <c r="T2382" s="17"/>
      <c r="U2382" s="17"/>
      <c r="V2382" s="17"/>
      <c r="W2382" s="17"/>
      <c r="X2382" s="17"/>
      <c r="Y2382" s="17"/>
      <c r="Z2382" s="17"/>
    </row>
    <row r="2383">
      <c r="A2383" s="18" t="str">
        <f>IFERROR(__xludf.DUMMYFUNCTION("""COMPUTED_VALUE"""),"ord_92347")</f>
        <v>ord_92347</v>
      </c>
      <c r="B2383" s="18" t="str">
        <f>IFERROR(__xludf.DUMMYFUNCTION("""COMPUTED_VALUE"""),"Yash Verma")</f>
        <v>Yash Verma</v>
      </c>
      <c r="C2383" s="18" t="str">
        <f>IFERROR(__xludf.DUMMYFUNCTION("""COMPUTED_VALUE"""),"Colaba")</f>
        <v>Colaba</v>
      </c>
      <c r="D2383" s="18" t="str">
        <f>IFERROR(__xludf.DUMMYFUNCTION("""COMPUTED_VALUE"""),"Veg Puff")</f>
        <v>Veg Puff</v>
      </c>
      <c r="E2383" s="18">
        <f>IFERROR(__xludf.DUMMYFUNCTION("""COMPUTED_VALUE"""),8.0)</f>
        <v>8</v>
      </c>
      <c r="F2383" s="18" t="str">
        <f>IFERROR(__xludf.DUMMYFUNCTION("""COMPUTED_VALUE"""),"Sita T")</f>
        <v>Sita T</v>
      </c>
      <c r="G2383" s="19">
        <f>IFERROR(__xludf.DUMMYFUNCTION("""COMPUTED_VALUE"""),45146.0)</f>
        <v>45146</v>
      </c>
      <c r="H2383" s="18" t="str">
        <f>IFERROR(__xludf.DUMMYFUNCTION("""COMPUTED_VALUE"""),"Credit Card")</f>
        <v>Credit Card</v>
      </c>
      <c r="I2383" s="18" t="str">
        <f>IFERROR(__xludf.DUMMYFUNCTION("""COMPUTED_VALUE"""),"Delivered")</f>
        <v>Delivered</v>
      </c>
      <c r="J2383" s="18" t="str">
        <f>IFERROR(__xludf.DUMMYFUNCTION("""COMPUTED_VALUE"""),"Packaging")</f>
        <v>Packaging</v>
      </c>
      <c r="K2383" s="18" t="str">
        <f>IFERROR(__xludf.DUMMYFUNCTION("""COMPUTED_VALUE"""),"Secure and intact")</f>
        <v>Secure and intact</v>
      </c>
      <c r="L2383" s="18">
        <f>iferror(VLOOKUP($D2383,Details!$A$2:$C$11,2,false),vlookup($D2383,Details!$E$2:$G$11,2,false))</f>
        <v>80</v>
      </c>
      <c r="M2383" s="18" t="str">
        <f>iferror(VLOOKUP($D2383,Details!$A$2:$C$11,3,false),vlookup($D2383,Details!$E$2:$G$11,3,false))</f>
        <v>Snacks and Drinks</v>
      </c>
      <c r="N2383" s="18">
        <f t="shared" si="1"/>
        <v>640</v>
      </c>
      <c r="O2383" s="17"/>
      <c r="P2383" s="17"/>
      <c r="Q2383" s="17"/>
      <c r="R2383" s="17"/>
      <c r="S2383" s="17"/>
      <c r="T2383" s="17"/>
      <c r="U2383" s="17"/>
      <c r="V2383" s="17"/>
      <c r="W2383" s="17"/>
      <c r="X2383" s="17"/>
      <c r="Y2383" s="17"/>
      <c r="Z2383" s="17"/>
    </row>
    <row r="2384">
      <c r="A2384" s="18" t="str">
        <f>IFERROR(__xludf.DUMMYFUNCTION("""COMPUTED_VALUE"""),"ord_92376")</f>
        <v>ord_92376</v>
      </c>
      <c r="B2384" s="18" t="str">
        <f>IFERROR(__xludf.DUMMYFUNCTION("""COMPUTED_VALUE"""),"Sanjay Nair")</f>
        <v>Sanjay Nair</v>
      </c>
      <c r="C2384" s="18" t="str">
        <f>IFERROR(__xludf.DUMMYFUNCTION("""COMPUTED_VALUE"""),"Dadar")</f>
        <v>Dadar</v>
      </c>
      <c r="D2384" s="18" t="str">
        <f>IFERROR(__xludf.DUMMYFUNCTION("""COMPUTED_VALUE"""),"Rasmalai")</f>
        <v>Rasmalai</v>
      </c>
      <c r="E2384" s="18">
        <f>IFERROR(__xludf.DUMMYFUNCTION("""COMPUTED_VALUE"""),3.0)</f>
        <v>3</v>
      </c>
      <c r="F2384" s="18" t="str">
        <f>IFERROR(__xludf.DUMMYFUNCTION("""COMPUTED_VALUE"""),"Nithin Lal")</f>
        <v>Nithin Lal</v>
      </c>
      <c r="G2384" s="19">
        <f>IFERROR(__xludf.DUMMYFUNCTION("""COMPUTED_VALUE"""),45269.0)</f>
        <v>45269</v>
      </c>
      <c r="H2384" s="18" t="str">
        <f>IFERROR(__xludf.DUMMYFUNCTION("""COMPUTED_VALUE"""),"Online Payment")</f>
        <v>Online Payment</v>
      </c>
      <c r="I2384" s="18" t="str">
        <f>IFERROR(__xludf.DUMMYFUNCTION("""COMPUTED_VALUE"""),"Delivered")</f>
        <v>Delivered</v>
      </c>
      <c r="J2384" s="18" t="str">
        <f>IFERROR(__xludf.DUMMYFUNCTION("""COMPUTED_VALUE"""),"Satisfied with the Delivery")</f>
        <v>Satisfied with the Delivery</v>
      </c>
      <c r="K2384" s="18" t="str">
        <f>IFERROR(__xludf.DUMMYFUNCTION("""COMPUTED_VALUE"""),"Timely and quality")</f>
        <v>Timely and quality</v>
      </c>
      <c r="L2384" s="18">
        <f>iferror(VLOOKUP($D2384,Details!$A$2:$C$11,2,false),vlookup($D2384,Details!$E$2:$G$11,2,false))</f>
        <v>110</v>
      </c>
      <c r="M2384" s="18" t="str">
        <f>iferror(VLOOKUP($D2384,Details!$A$2:$C$11,3,false),vlookup($D2384,Details!$E$2:$G$11,3,false))</f>
        <v>Snacks and Drinks</v>
      </c>
      <c r="N2384" s="18">
        <f t="shared" si="1"/>
        <v>330</v>
      </c>
      <c r="O2384" s="17"/>
      <c r="P2384" s="17"/>
      <c r="Q2384" s="17"/>
      <c r="R2384" s="17"/>
      <c r="S2384" s="17"/>
      <c r="T2384" s="17"/>
      <c r="U2384" s="17"/>
      <c r="V2384" s="17"/>
      <c r="W2384" s="17"/>
      <c r="X2384" s="17"/>
      <c r="Y2384" s="17"/>
      <c r="Z2384" s="17"/>
    </row>
    <row r="2385">
      <c r="A2385" s="18" t="str">
        <f>IFERROR(__xludf.DUMMYFUNCTION("""COMPUTED_VALUE"""),"ord_92377")</f>
        <v>ord_92377</v>
      </c>
      <c r="B2385" s="18" t="str">
        <f>IFERROR(__xludf.DUMMYFUNCTION("""COMPUTED_VALUE"""),"Parth Goel")</f>
        <v>Parth Goel</v>
      </c>
      <c r="C2385" s="18" t="str">
        <f>IFERROR(__xludf.DUMMYFUNCTION("""COMPUTED_VALUE"""),"Juhu")</f>
        <v>Juhu</v>
      </c>
      <c r="D2385" s="18" t="str">
        <f>IFERROR(__xludf.DUMMYFUNCTION("""COMPUTED_VALUE"""),"Cucumber")</f>
        <v>Cucumber</v>
      </c>
      <c r="E2385" s="18">
        <f>IFERROR(__xludf.DUMMYFUNCTION("""COMPUTED_VALUE"""),2.0)</f>
        <v>2</v>
      </c>
      <c r="F2385" s="18" t="str">
        <f>IFERROR(__xludf.DUMMYFUNCTION("""COMPUTED_VALUE"""),"Manju Ajay")</f>
        <v>Manju Ajay</v>
      </c>
      <c r="G2385" s="19">
        <f>IFERROR(__xludf.DUMMYFUNCTION("""COMPUTED_VALUE"""),45225.0)</f>
        <v>45225</v>
      </c>
      <c r="H2385" s="18" t="str">
        <f>IFERROR(__xludf.DUMMYFUNCTION("""COMPUTED_VALUE"""),"Online Payment")</f>
        <v>Online Payment</v>
      </c>
      <c r="I2385" s="18" t="str">
        <f>IFERROR(__xludf.DUMMYFUNCTION("""COMPUTED_VALUE"""),"Delivered")</f>
        <v>Delivered</v>
      </c>
      <c r="J2385" s="18" t="str">
        <f>IFERROR(__xludf.DUMMYFUNCTION("""COMPUTED_VALUE"""),"Customer Service")</f>
        <v>Customer Service</v>
      </c>
      <c r="K2385" s="18" t="str">
        <f>IFERROR(__xludf.DUMMYFUNCTION("""COMPUTED_VALUE"""),"Seamless and easy")</f>
        <v>Seamless and easy</v>
      </c>
      <c r="L2385" s="18">
        <f>iferror(VLOOKUP($D2385,Details!$A$2:$C$11,2,false),vlookup($D2385,Details!$E$2:$G$11,2,false))</f>
        <v>30</v>
      </c>
      <c r="M2385" s="18" t="str">
        <f>iferror(VLOOKUP($D2385,Details!$A$2:$C$11,3,false),vlookup($D2385,Details!$E$2:$G$11,3,false))</f>
        <v>Fruits and Vegetables</v>
      </c>
      <c r="N2385" s="18">
        <f t="shared" si="1"/>
        <v>60</v>
      </c>
      <c r="O2385" s="17"/>
      <c r="P2385" s="17"/>
      <c r="Q2385" s="17"/>
      <c r="R2385" s="17"/>
      <c r="S2385" s="17"/>
      <c r="T2385" s="17"/>
      <c r="U2385" s="17"/>
      <c r="V2385" s="17"/>
      <c r="W2385" s="17"/>
      <c r="X2385" s="17"/>
      <c r="Y2385" s="17"/>
      <c r="Z2385" s="17"/>
    </row>
    <row r="2386">
      <c r="A2386" s="18" t="str">
        <f>IFERROR(__xludf.DUMMYFUNCTION("""COMPUTED_VALUE"""),"ord_92378")</f>
        <v>ord_92378</v>
      </c>
      <c r="B2386" s="18" t="str">
        <f>IFERROR(__xludf.DUMMYFUNCTION("""COMPUTED_VALUE"""),"Pranav Joshi")</f>
        <v>Pranav Joshi</v>
      </c>
      <c r="C2386" s="18" t="str">
        <f>IFERROR(__xludf.DUMMYFUNCTION("""COMPUTED_VALUE"""),"Andheri")</f>
        <v>Andheri</v>
      </c>
      <c r="D2386" s="18" t="str">
        <f>IFERROR(__xludf.DUMMYFUNCTION("""COMPUTED_VALUE"""),"Popcorn")</f>
        <v>Popcorn</v>
      </c>
      <c r="E2386" s="18">
        <f>IFERROR(__xludf.DUMMYFUNCTION("""COMPUTED_VALUE"""),2.0)</f>
        <v>2</v>
      </c>
      <c r="F2386" s="18" t="str">
        <f>IFERROR(__xludf.DUMMYFUNCTION("""COMPUTED_VALUE"""),"Ramesh S")</f>
        <v>Ramesh S</v>
      </c>
      <c r="G2386" s="19">
        <f>IFERROR(__xludf.DUMMYFUNCTION("""COMPUTED_VALUE"""),45245.0)</f>
        <v>45245</v>
      </c>
      <c r="H2386" s="18" t="str">
        <f>IFERROR(__xludf.DUMMYFUNCTION("""COMPUTED_VALUE"""),"Online Payment")</f>
        <v>Online Payment</v>
      </c>
      <c r="I2386" s="18" t="str">
        <f>IFERROR(__xludf.DUMMYFUNCTION("""COMPUTED_VALUE"""),"Delivered")</f>
        <v>Delivered</v>
      </c>
      <c r="J2386" s="18" t="str">
        <f>IFERROR(__xludf.DUMMYFUNCTION("""COMPUTED_VALUE"""),"Delivery Experience")</f>
        <v>Delivery Experience</v>
      </c>
      <c r="K2386" s="18" t="str">
        <f>IFERROR(__xludf.DUMMYFUNCTION("""COMPUTED_VALUE"""),"Quick and professional")</f>
        <v>Quick and professional</v>
      </c>
      <c r="L2386" s="18">
        <f>iferror(VLOOKUP($D2386,Details!$A$2:$C$11,2,false),vlookup($D2386,Details!$E$2:$G$11,2,false))</f>
        <v>150</v>
      </c>
      <c r="M2386" s="18" t="str">
        <f>iferror(VLOOKUP($D2386,Details!$A$2:$C$11,3,false),vlookup($D2386,Details!$E$2:$G$11,3,false))</f>
        <v>Snacks and Drinks</v>
      </c>
      <c r="N2386" s="18">
        <f t="shared" si="1"/>
        <v>300</v>
      </c>
      <c r="O2386" s="17"/>
      <c r="P2386" s="17"/>
      <c r="Q2386" s="17"/>
      <c r="R2386" s="17"/>
      <c r="S2386" s="17"/>
      <c r="T2386" s="17"/>
      <c r="U2386" s="17"/>
      <c r="V2386" s="17"/>
      <c r="W2386" s="17"/>
      <c r="X2386" s="17"/>
      <c r="Y2386" s="17"/>
      <c r="Z2386" s="17"/>
    </row>
    <row r="2387">
      <c r="A2387" s="18" t="str">
        <f>IFERROR(__xludf.DUMMYFUNCTION("""COMPUTED_VALUE"""),"ord_92379")</f>
        <v>ord_92379</v>
      </c>
      <c r="B2387" s="18" t="str">
        <f>IFERROR(__xludf.DUMMYFUNCTION("""COMPUTED_VALUE"""),"Pallavi Ghosh")</f>
        <v>Pallavi Ghosh</v>
      </c>
      <c r="C2387" s="18" t="str">
        <f>IFERROR(__xludf.DUMMYFUNCTION("""COMPUTED_VALUE"""),"Bandra")</f>
        <v>Bandra</v>
      </c>
      <c r="D2387" s="18" t="str">
        <f>IFERROR(__xludf.DUMMYFUNCTION("""COMPUTED_VALUE"""),"Guava")</f>
        <v>Guava</v>
      </c>
      <c r="E2387" s="18">
        <f>IFERROR(__xludf.DUMMYFUNCTION("""COMPUTED_VALUE"""),2.0)</f>
        <v>2</v>
      </c>
      <c r="F2387" s="18" t="str">
        <f>IFERROR(__xludf.DUMMYFUNCTION("""COMPUTED_VALUE"""),"Sita T")</f>
        <v>Sita T</v>
      </c>
      <c r="G2387" s="19">
        <f>IFERROR(__xludf.DUMMYFUNCTION("""COMPUTED_VALUE"""),45270.0)</f>
        <v>45270</v>
      </c>
      <c r="H2387" s="18" t="str">
        <f>IFERROR(__xludf.DUMMYFUNCTION("""COMPUTED_VALUE"""),"UPI")</f>
        <v>UPI</v>
      </c>
      <c r="I2387" s="18" t="str">
        <f>IFERROR(__xludf.DUMMYFUNCTION("""COMPUTED_VALUE"""),"Delivered")</f>
        <v>Delivered</v>
      </c>
      <c r="J2387" s="18" t="str">
        <f>IFERROR(__xludf.DUMMYFUNCTION("""COMPUTED_VALUE"""),"Convenience")</f>
        <v>Convenience</v>
      </c>
      <c r="K2387" s="18" t="str">
        <f>IFERROR(__xludf.DUMMYFUNCTION("""COMPUTED_VALUE"""),"Easy tracking")</f>
        <v>Easy tracking</v>
      </c>
      <c r="L2387" s="18">
        <f>iferror(VLOOKUP($D2387,Details!$A$2:$C$11,2,false),vlookup($D2387,Details!$E$2:$G$11,2,false))</f>
        <v>70</v>
      </c>
      <c r="M2387" s="18" t="str">
        <f>iferror(VLOOKUP($D2387,Details!$A$2:$C$11,3,false),vlookup($D2387,Details!$E$2:$G$11,3,false))</f>
        <v>Fruits and Vegetables</v>
      </c>
      <c r="N2387" s="18">
        <f t="shared" si="1"/>
        <v>140</v>
      </c>
      <c r="O2387" s="17"/>
      <c r="P2387" s="17"/>
      <c r="Q2387" s="17"/>
      <c r="R2387" s="17"/>
      <c r="S2387" s="17"/>
      <c r="T2387" s="17"/>
      <c r="U2387" s="17"/>
      <c r="V2387" s="17"/>
      <c r="W2387" s="17"/>
      <c r="X2387" s="17"/>
      <c r="Y2387" s="17"/>
      <c r="Z2387" s="17"/>
    </row>
    <row r="2388">
      <c r="A2388" s="18" t="str">
        <f>IFERROR(__xludf.DUMMYFUNCTION("""COMPUTED_VALUE"""),"ord_92380")</f>
        <v>ord_92380</v>
      </c>
      <c r="B2388" s="18" t="str">
        <f>IFERROR(__xludf.DUMMYFUNCTION("""COMPUTED_VALUE"""),"Sanjay Nair")</f>
        <v>Sanjay Nair</v>
      </c>
      <c r="C2388" s="18" t="str">
        <f>IFERROR(__xludf.DUMMYFUNCTION("""COMPUTED_VALUE"""),"Dadar")</f>
        <v>Dadar</v>
      </c>
      <c r="D2388" s="18" t="str">
        <f>IFERROR(__xludf.DUMMYFUNCTION("""COMPUTED_VALUE"""),"Icecream")</f>
        <v>Icecream</v>
      </c>
      <c r="E2388" s="18">
        <f>IFERROR(__xludf.DUMMYFUNCTION("""COMPUTED_VALUE"""),3.0)</f>
        <v>3</v>
      </c>
      <c r="F2388" s="18" t="str">
        <f>IFERROR(__xludf.DUMMYFUNCTION("""COMPUTED_VALUE"""),"Vivek Kumar")</f>
        <v>Vivek Kumar</v>
      </c>
      <c r="G2388" s="19">
        <f>IFERROR(__xludf.DUMMYFUNCTION("""COMPUTED_VALUE"""),45084.0)</f>
        <v>45084</v>
      </c>
      <c r="H2388" s="18" t="str">
        <f>IFERROR(__xludf.DUMMYFUNCTION("""COMPUTED_VALUE"""),"UPI")</f>
        <v>UPI</v>
      </c>
      <c r="I2388" s="18" t="str">
        <f>IFERROR(__xludf.DUMMYFUNCTION("""COMPUTED_VALUE"""),"Delivered")</f>
        <v>Delivered</v>
      </c>
      <c r="J2388" s="18" t="str">
        <f>IFERROR(__xludf.DUMMYFUNCTION("""COMPUTED_VALUE"""),"Overall Satisfaction")</f>
        <v>Overall Satisfaction</v>
      </c>
      <c r="K2388" s="18" t="str">
        <f>IFERROR(__xludf.DUMMYFUNCTION("""COMPUTED_VALUE"""),"Great service will order again")</f>
        <v>Great service will order again</v>
      </c>
      <c r="L2388" s="18">
        <f>iferror(VLOOKUP($D2388,Details!$A$2:$C$11,2,false),vlookup($D2388,Details!$E$2:$G$11,2,false))</f>
        <v>90</v>
      </c>
      <c r="M2388" s="18" t="str">
        <f>iferror(VLOOKUP($D2388,Details!$A$2:$C$11,3,false),vlookup($D2388,Details!$E$2:$G$11,3,false))</f>
        <v>Snacks and Drinks</v>
      </c>
      <c r="N2388" s="18">
        <f t="shared" si="1"/>
        <v>270</v>
      </c>
      <c r="O2388" s="17"/>
      <c r="P2388" s="17"/>
      <c r="Q2388" s="17"/>
      <c r="R2388" s="17"/>
      <c r="S2388" s="17"/>
      <c r="T2388" s="17"/>
      <c r="U2388" s="17"/>
      <c r="V2388" s="17"/>
      <c r="W2388" s="17"/>
      <c r="X2388" s="17"/>
      <c r="Y2388" s="17"/>
      <c r="Z2388" s="17"/>
    </row>
    <row r="2389">
      <c r="A2389" s="18" t="str">
        <f>IFERROR(__xludf.DUMMYFUNCTION("""COMPUTED_VALUE"""),"ord_92381")</f>
        <v>ord_92381</v>
      </c>
      <c r="B2389" s="18" t="str">
        <f>IFERROR(__xludf.DUMMYFUNCTION("""COMPUTED_VALUE"""),"Ishita Banerjee")</f>
        <v>Ishita Banerjee</v>
      </c>
      <c r="C2389" s="18" t="str">
        <f>IFERROR(__xludf.DUMMYFUNCTION("""COMPUTED_VALUE"""),"Juhu")</f>
        <v>Juhu</v>
      </c>
      <c r="D2389" s="18" t="str">
        <f>IFERROR(__xludf.DUMMYFUNCTION("""COMPUTED_VALUE"""),"Onion")</f>
        <v>Onion</v>
      </c>
      <c r="E2389" s="18">
        <f>IFERROR(__xludf.DUMMYFUNCTION("""COMPUTED_VALUE"""),1.0)</f>
        <v>1</v>
      </c>
      <c r="F2389" s="18" t="str">
        <f>IFERROR(__xludf.DUMMYFUNCTION("""COMPUTED_VALUE"""),"Manju Ajay")</f>
        <v>Manju Ajay</v>
      </c>
      <c r="G2389" s="19">
        <f>IFERROR(__xludf.DUMMYFUNCTION("""COMPUTED_VALUE"""),45196.0)</f>
        <v>45196</v>
      </c>
      <c r="H2389" s="18" t="str">
        <f>IFERROR(__xludf.DUMMYFUNCTION("""COMPUTED_VALUE"""),"Credit Card")</f>
        <v>Credit Card</v>
      </c>
      <c r="I2389" s="18" t="str">
        <f>IFERROR(__xludf.DUMMYFUNCTION("""COMPUTED_VALUE"""),"Delivered")</f>
        <v>Delivered</v>
      </c>
      <c r="J2389" s="18" t="str">
        <f>IFERROR(__xludf.DUMMYFUNCTION("""COMPUTED_VALUE"""),"On-time Delivery")</f>
        <v>On-time Delivery</v>
      </c>
      <c r="K2389" s="18" t="str">
        <f>IFERROR(__xludf.DUMMYFUNCTION("""COMPUTED_VALUE"""),"Delivered on time")</f>
        <v>Delivered on time</v>
      </c>
      <c r="L2389" s="18">
        <f>iferror(VLOOKUP($D2389,Details!$A$2:$C$11,2,false),vlookup($D2389,Details!$E$2:$G$11,2,false))</f>
        <v>84</v>
      </c>
      <c r="M2389" s="18" t="str">
        <f>iferror(VLOOKUP($D2389,Details!$A$2:$C$11,3,false),vlookup($D2389,Details!$E$2:$G$11,3,false))</f>
        <v>Fruits and Vegetables</v>
      </c>
      <c r="N2389" s="18">
        <f t="shared" si="1"/>
        <v>84</v>
      </c>
      <c r="O2389" s="17"/>
      <c r="P2389" s="17"/>
      <c r="Q2389" s="17"/>
      <c r="R2389" s="17"/>
      <c r="S2389" s="17"/>
      <c r="T2389" s="17"/>
      <c r="U2389" s="17"/>
      <c r="V2389" s="17"/>
      <c r="W2389" s="17"/>
      <c r="X2389" s="17"/>
      <c r="Y2389" s="17"/>
      <c r="Z2389" s="17"/>
    </row>
    <row r="2390">
      <c r="A2390" s="18" t="str">
        <f>IFERROR(__xludf.DUMMYFUNCTION("""COMPUTED_VALUE"""),"ord_92382")</f>
        <v>ord_92382</v>
      </c>
      <c r="B2390" s="18" t="str">
        <f>IFERROR(__xludf.DUMMYFUNCTION("""COMPUTED_VALUE"""),"Sakshi Tandon")</f>
        <v>Sakshi Tandon</v>
      </c>
      <c r="C2390" s="18" t="str">
        <f>IFERROR(__xludf.DUMMYFUNCTION("""COMPUTED_VALUE"""),"Colaba")</f>
        <v>Colaba</v>
      </c>
      <c r="D2390" s="18" t="str">
        <f>IFERROR(__xludf.DUMMYFUNCTION("""COMPUTED_VALUE"""),"Apple")</f>
        <v>Apple</v>
      </c>
      <c r="E2390" s="18">
        <f>IFERROR(__xludf.DUMMYFUNCTION("""COMPUTED_VALUE"""),2.0)</f>
        <v>2</v>
      </c>
      <c r="F2390" s="18" t="str">
        <f>IFERROR(__xludf.DUMMYFUNCTION("""COMPUTED_VALUE"""),"Ramesh S")</f>
        <v>Ramesh S</v>
      </c>
      <c r="G2390" s="19">
        <f>IFERROR(__xludf.DUMMYFUNCTION("""COMPUTED_VALUE"""),45177.0)</f>
        <v>45177</v>
      </c>
      <c r="H2390" s="18" t="str">
        <f>IFERROR(__xludf.DUMMYFUNCTION("""COMPUTED_VALUE"""),"Online Payment")</f>
        <v>Online Payment</v>
      </c>
      <c r="I2390" s="18" t="str">
        <f>IFERROR(__xludf.DUMMYFUNCTION("""COMPUTED_VALUE"""),"Delivered")</f>
        <v>Delivered</v>
      </c>
      <c r="J2390" s="18" t="str">
        <f>IFERROR(__xludf.DUMMYFUNCTION("""COMPUTED_VALUE"""),"On-time Delivery")</f>
        <v>On-time Delivery</v>
      </c>
      <c r="K2390" s="18" t="str">
        <f>IFERROR(__xludf.DUMMYFUNCTION("""COMPUTED_VALUE"""),"Delivered on time")</f>
        <v>Delivered on time</v>
      </c>
      <c r="L2390" s="18">
        <f>iferror(VLOOKUP($D2390,Details!$A$2:$C$11,2,false),vlookup($D2390,Details!$E$2:$G$11,2,false))</f>
        <v>230</v>
      </c>
      <c r="M2390" s="18" t="str">
        <f>iferror(VLOOKUP($D2390,Details!$A$2:$C$11,3,false),vlookup($D2390,Details!$E$2:$G$11,3,false))</f>
        <v>Fruits and Vegetables</v>
      </c>
      <c r="N2390" s="18">
        <f t="shared" si="1"/>
        <v>460</v>
      </c>
      <c r="O2390" s="17"/>
      <c r="P2390" s="17"/>
      <c r="Q2390" s="17"/>
      <c r="R2390" s="17"/>
      <c r="S2390" s="17"/>
      <c r="T2390" s="17"/>
      <c r="U2390" s="17"/>
      <c r="V2390" s="17"/>
      <c r="W2390" s="17"/>
      <c r="X2390" s="17"/>
      <c r="Y2390" s="17"/>
      <c r="Z2390" s="17"/>
    </row>
    <row r="2391">
      <c r="A2391" s="18" t="str">
        <f>IFERROR(__xludf.DUMMYFUNCTION("""COMPUTED_VALUE"""),"ord_92383")</f>
        <v>ord_92383</v>
      </c>
      <c r="B2391" s="18" t="str">
        <f>IFERROR(__xludf.DUMMYFUNCTION("""COMPUTED_VALUE"""),"Simran Bhatt")</f>
        <v>Simran Bhatt</v>
      </c>
      <c r="C2391" s="18" t="str">
        <f>IFERROR(__xludf.DUMMYFUNCTION("""COMPUTED_VALUE"""),"Juhu")</f>
        <v>Juhu</v>
      </c>
      <c r="D2391" s="18" t="str">
        <f>IFERROR(__xludf.DUMMYFUNCTION("""COMPUTED_VALUE"""),"Rasmalai")</f>
        <v>Rasmalai</v>
      </c>
      <c r="E2391" s="18">
        <f>IFERROR(__xludf.DUMMYFUNCTION("""COMPUTED_VALUE"""),5.0)</f>
        <v>5</v>
      </c>
      <c r="F2391" s="18" t="str">
        <f>IFERROR(__xludf.DUMMYFUNCTION("""COMPUTED_VALUE"""),"Nithin Lal")</f>
        <v>Nithin Lal</v>
      </c>
      <c r="G2391" s="19">
        <f>IFERROR(__xludf.DUMMYFUNCTION("""COMPUTED_VALUE"""),45124.0)</f>
        <v>45124</v>
      </c>
      <c r="H2391" s="18" t="str">
        <f>IFERROR(__xludf.DUMMYFUNCTION("""COMPUTED_VALUE"""),"Online Payment")</f>
        <v>Online Payment</v>
      </c>
      <c r="I2391" s="18" t="str">
        <f>IFERROR(__xludf.DUMMYFUNCTION("""COMPUTED_VALUE"""),"Delivered")</f>
        <v>Delivered</v>
      </c>
      <c r="J2391" s="18" t="str">
        <f>IFERROR(__xludf.DUMMYFUNCTION("""COMPUTED_VALUE"""),"Quality of Items")</f>
        <v>Quality of Items</v>
      </c>
      <c r="K2391" s="18" t="str">
        <f>IFERROR(__xludf.DUMMYFUNCTION("""COMPUTED_VALUE"""),"Perfect condition")</f>
        <v>Perfect condition</v>
      </c>
      <c r="L2391" s="18">
        <f>iferror(VLOOKUP($D2391,Details!$A$2:$C$11,2,false),vlookup($D2391,Details!$E$2:$G$11,2,false))</f>
        <v>110</v>
      </c>
      <c r="M2391" s="18" t="str">
        <f>iferror(VLOOKUP($D2391,Details!$A$2:$C$11,3,false),vlookup($D2391,Details!$E$2:$G$11,3,false))</f>
        <v>Snacks and Drinks</v>
      </c>
      <c r="N2391" s="18">
        <f t="shared" si="1"/>
        <v>550</v>
      </c>
      <c r="O2391" s="17"/>
      <c r="P2391" s="17"/>
      <c r="Q2391" s="17"/>
      <c r="R2391" s="17"/>
      <c r="S2391" s="17"/>
      <c r="T2391" s="17"/>
      <c r="U2391" s="17"/>
      <c r="V2391" s="17"/>
      <c r="W2391" s="17"/>
      <c r="X2391" s="17"/>
      <c r="Y2391" s="17"/>
      <c r="Z2391" s="17"/>
    </row>
    <row r="2392">
      <c r="A2392" s="18" t="str">
        <f>IFERROR(__xludf.DUMMYFUNCTION("""COMPUTED_VALUE"""),"ord_92384")</f>
        <v>ord_92384</v>
      </c>
      <c r="B2392" s="18" t="str">
        <f>IFERROR(__xludf.DUMMYFUNCTION("""COMPUTED_VALUE"""),"Ritika Dutta")</f>
        <v>Ritika Dutta</v>
      </c>
      <c r="C2392" s="18" t="str">
        <f>IFERROR(__xludf.DUMMYFUNCTION("""COMPUTED_VALUE"""),"Lower Parel")</f>
        <v>Lower Parel</v>
      </c>
      <c r="D2392" s="18" t="str">
        <f>IFERROR(__xludf.DUMMYFUNCTION("""COMPUTED_VALUE"""),"Icecream")</f>
        <v>Icecream</v>
      </c>
      <c r="E2392" s="18">
        <f>IFERROR(__xludf.DUMMYFUNCTION("""COMPUTED_VALUE"""),7.0)</f>
        <v>7</v>
      </c>
      <c r="F2392" s="18" t="str">
        <f>IFERROR(__xludf.DUMMYFUNCTION("""COMPUTED_VALUE"""),"Ramesh S")</f>
        <v>Ramesh S</v>
      </c>
      <c r="G2392" s="19">
        <f>IFERROR(__xludf.DUMMYFUNCTION("""COMPUTED_VALUE"""),45164.0)</f>
        <v>45164</v>
      </c>
      <c r="H2392" s="18" t="str">
        <f>IFERROR(__xludf.DUMMYFUNCTION("""COMPUTED_VALUE"""),"UPI")</f>
        <v>UPI</v>
      </c>
      <c r="I2392" s="18" t="str">
        <f>IFERROR(__xludf.DUMMYFUNCTION("""COMPUTED_VALUE"""),"Delivered")</f>
        <v>Delivered</v>
      </c>
      <c r="J2392" s="18" t="str">
        <f>IFERROR(__xludf.DUMMYFUNCTION("""COMPUTED_VALUE"""),"Packaging")</f>
        <v>Packaging</v>
      </c>
      <c r="K2392" s="18" t="str">
        <f>IFERROR(__xludf.DUMMYFUNCTION("""COMPUTED_VALUE"""),"Secure and intact")</f>
        <v>Secure and intact</v>
      </c>
      <c r="L2392" s="18">
        <f>iferror(VLOOKUP($D2392,Details!$A$2:$C$11,2,false),vlookup($D2392,Details!$E$2:$G$11,2,false))</f>
        <v>90</v>
      </c>
      <c r="M2392" s="18" t="str">
        <f>iferror(VLOOKUP($D2392,Details!$A$2:$C$11,3,false),vlookup($D2392,Details!$E$2:$G$11,3,false))</f>
        <v>Snacks and Drinks</v>
      </c>
      <c r="N2392" s="18">
        <f t="shared" si="1"/>
        <v>630</v>
      </c>
      <c r="O2392" s="17"/>
      <c r="P2392" s="17"/>
      <c r="Q2392" s="17"/>
      <c r="R2392" s="17"/>
      <c r="S2392" s="17"/>
      <c r="T2392" s="17"/>
      <c r="U2392" s="17"/>
      <c r="V2392" s="17"/>
      <c r="W2392" s="17"/>
      <c r="X2392" s="17"/>
      <c r="Y2392" s="17"/>
      <c r="Z2392" s="17"/>
    </row>
    <row r="2393">
      <c r="A2393" s="18" t="str">
        <f>IFERROR(__xludf.DUMMYFUNCTION("""COMPUTED_VALUE"""),"ord_92385")</f>
        <v>ord_92385</v>
      </c>
      <c r="B2393" s="18" t="str">
        <f>IFERROR(__xludf.DUMMYFUNCTION("""COMPUTED_VALUE"""),"Arvind Kulkarni")</f>
        <v>Arvind Kulkarni</v>
      </c>
      <c r="C2393" s="18" t="str">
        <f>IFERROR(__xludf.DUMMYFUNCTION("""COMPUTED_VALUE"""),"Juhu")</f>
        <v>Juhu</v>
      </c>
      <c r="D2393" s="18" t="str">
        <f>IFERROR(__xludf.DUMMYFUNCTION("""COMPUTED_VALUE"""),"Apple")</f>
        <v>Apple</v>
      </c>
      <c r="E2393" s="18">
        <f>IFERROR(__xludf.DUMMYFUNCTION("""COMPUTED_VALUE"""),1.0)</f>
        <v>1</v>
      </c>
      <c r="F2393" s="18" t="str">
        <f>IFERROR(__xludf.DUMMYFUNCTION("""COMPUTED_VALUE"""),"Ram Gopal")</f>
        <v>Ram Gopal</v>
      </c>
      <c r="G2393" s="19">
        <f>IFERROR(__xludf.DUMMYFUNCTION("""COMPUTED_VALUE"""),45220.0)</f>
        <v>45220</v>
      </c>
      <c r="H2393" s="18" t="str">
        <f>IFERROR(__xludf.DUMMYFUNCTION("""COMPUTED_VALUE"""),"Credit Card")</f>
        <v>Credit Card</v>
      </c>
      <c r="I2393" s="18" t="str">
        <f>IFERROR(__xludf.DUMMYFUNCTION("""COMPUTED_VALUE"""),"Delivered")</f>
        <v>Delivered</v>
      </c>
      <c r="J2393" s="18" t="str">
        <f>IFERROR(__xludf.DUMMYFUNCTION("""COMPUTED_VALUE"""),"Satisfied with the Delivery")</f>
        <v>Satisfied with the Delivery</v>
      </c>
      <c r="K2393" s="18" t="str">
        <f>IFERROR(__xludf.DUMMYFUNCTION("""COMPUTED_VALUE"""),"Timely and quality")</f>
        <v>Timely and quality</v>
      </c>
      <c r="L2393" s="18">
        <f>iferror(VLOOKUP($D2393,Details!$A$2:$C$11,2,false),vlookup($D2393,Details!$E$2:$G$11,2,false))</f>
        <v>230</v>
      </c>
      <c r="M2393" s="18" t="str">
        <f>iferror(VLOOKUP($D2393,Details!$A$2:$C$11,3,false),vlookup($D2393,Details!$E$2:$G$11,3,false))</f>
        <v>Fruits and Vegetables</v>
      </c>
      <c r="N2393" s="18">
        <f t="shared" si="1"/>
        <v>230</v>
      </c>
      <c r="O2393" s="17"/>
      <c r="P2393" s="17"/>
      <c r="Q2393" s="17"/>
      <c r="R2393" s="17"/>
      <c r="S2393" s="17"/>
      <c r="T2393" s="17"/>
      <c r="U2393" s="17"/>
      <c r="V2393" s="17"/>
      <c r="W2393" s="17"/>
      <c r="X2393" s="17"/>
      <c r="Y2393" s="17"/>
      <c r="Z2393" s="17"/>
    </row>
    <row r="2394">
      <c r="A2394" s="18" t="str">
        <f>IFERROR(__xludf.DUMMYFUNCTION("""COMPUTED_VALUE"""),"ord_92358")</f>
        <v>ord_92358</v>
      </c>
      <c r="B2394" s="18" t="str">
        <f>IFERROR(__xludf.DUMMYFUNCTION("""COMPUTED_VALUE"""),"Ishaan Chaturvedi")</f>
        <v>Ishaan Chaturvedi</v>
      </c>
      <c r="C2394" s="18" t="str">
        <f>IFERROR(__xludf.DUMMYFUNCTION("""COMPUTED_VALUE"""),"Bandra")</f>
        <v>Bandra</v>
      </c>
      <c r="D2394" s="18" t="str">
        <f>IFERROR(__xludf.DUMMYFUNCTION("""COMPUTED_VALUE"""),"Cold Coffee")</f>
        <v>Cold Coffee</v>
      </c>
      <c r="E2394" s="18">
        <f>IFERROR(__xludf.DUMMYFUNCTION("""COMPUTED_VALUE"""),5.0)</f>
        <v>5</v>
      </c>
      <c r="F2394" s="18" t="str">
        <f>IFERROR(__xludf.DUMMYFUNCTION("""COMPUTED_VALUE"""),"Ramesh S")</f>
        <v>Ramesh S</v>
      </c>
      <c r="G2394" s="19">
        <f>IFERROR(__xludf.DUMMYFUNCTION("""COMPUTED_VALUE"""),45134.0)</f>
        <v>45134</v>
      </c>
      <c r="H2394" s="18" t="str">
        <f>IFERROR(__xludf.DUMMYFUNCTION("""COMPUTED_VALUE"""),"Online Payment")</f>
        <v>Online Payment</v>
      </c>
      <c r="I2394" s="18" t="str">
        <f>IFERROR(__xludf.DUMMYFUNCTION("""COMPUTED_VALUE"""),"Delivered")</f>
        <v>Delivered</v>
      </c>
      <c r="J2394" s="18" t="str">
        <f>IFERROR(__xludf.DUMMYFUNCTION("""COMPUTED_VALUE"""),"Customer Service")</f>
        <v>Customer Service</v>
      </c>
      <c r="K2394" s="18" t="str">
        <f>IFERROR(__xludf.DUMMYFUNCTION("""COMPUTED_VALUE"""),"Seamless and easy")</f>
        <v>Seamless and easy</v>
      </c>
      <c r="L2394" s="18">
        <f>iferror(VLOOKUP($D2394,Details!$A$2:$C$11,2,false),vlookup($D2394,Details!$E$2:$G$11,2,false))</f>
        <v>270</v>
      </c>
      <c r="M2394" s="18" t="str">
        <f>iferror(VLOOKUP($D2394,Details!$A$2:$C$11,3,false),vlookup($D2394,Details!$E$2:$G$11,3,false))</f>
        <v>Snacks and Drinks</v>
      </c>
      <c r="N2394" s="18">
        <f t="shared" si="1"/>
        <v>1350</v>
      </c>
      <c r="O2394" s="17"/>
      <c r="P2394" s="17"/>
      <c r="Q2394" s="17"/>
      <c r="R2394" s="17"/>
      <c r="S2394" s="17"/>
      <c r="T2394" s="17"/>
      <c r="U2394" s="17"/>
      <c r="V2394" s="17"/>
      <c r="W2394" s="17"/>
      <c r="X2394" s="17"/>
      <c r="Y2394" s="17"/>
      <c r="Z2394" s="17"/>
    </row>
    <row r="2395">
      <c r="A2395" s="18" t="str">
        <f>IFERROR(__xludf.DUMMYFUNCTION("""COMPUTED_VALUE"""),"ord_92359")</f>
        <v>ord_92359</v>
      </c>
      <c r="B2395" s="18" t="str">
        <f>IFERROR(__xludf.DUMMYFUNCTION("""COMPUTED_VALUE"""),"Aarohi Kapoor")</f>
        <v>Aarohi Kapoor</v>
      </c>
      <c r="C2395" s="18" t="str">
        <f>IFERROR(__xludf.DUMMYFUNCTION("""COMPUTED_VALUE"""),"Bandra")</f>
        <v>Bandra</v>
      </c>
      <c r="D2395" s="18" t="str">
        <f>IFERROR(__xludf.DUMMYFUNCTION("""COMPUTED_VALUE"""),"Apple")</f>
        <v>Apple</v>
      </c>
      <c r="E2395" s="18">
        <f>IFERROR(__xludf.DUMMYFUNCTION("""COMPUTED_VALUE"""),2.0)</f>
        <v>2</v>
      </c>
      <c r="F2395" s="18" t="str">
        <f>IFERROR(__xludf.DUMMYFUNCTION("""COMPUTED_VALUE"""),"Vivek Kumar")</f>
        <v>Vivek Kumar</v>
      </c>
      <c r="G2395" s="19">
        <f>IFERROR(__xludf.DUMMYFUNCTION("""COMPUTED_VALUE"""),45148.0)</f>
        <v>45148</v>
      </c>
      <c r="H2395" s="18" t="str">
        <f>IFERROR(__xludf.DUMMYFUNCTION("""COMPUTED_VALUE"""),"Online Payment")</f>
        <v>Online Payment</v>
      </c>
      <c r="I2395" s="18" t="str">
        <f>IFERROR(__xludf.DUMMYFUNCTION("""COMPUTED_VALUE"""),"Delivered")</f>
        <v>Delivered</v>
      </c>
      <c r="J2395" s="18" t="str">
        <f>IFERROR(__xludf.DUMMYFUNCTION("""COMPUTED_VALUE"""),"Delivery Experience")</f>
        <v>Delivery Experience</v>
      </c>
      <c r="K2395" s="18" t="str">
        <f>IFERROR(__xludf.DUMMYFUNCTION("""COMPUTED_VALUE"""),"Quick and professional")</f>
        <v>Quick and professional</v>
      </c>
      <c r="L2395" s="18">
        <f>iferror(VLOOKUP($D2395,Details!$A$2:$C$11,2,false),vlookup($D2395,Details!$E$2:$G$11,2,false))</f>
        <v>230</v>
      </c>
      <c r="M2395" s="18" t="str">
        <f>iferror(VLOOKUP($D2395,Details!$A$2:$C$11,3,false),vlookup($D2395,Details!$E$2:$G$11,3,false))</f>
        <v>Fruits and Vegetables</v>
      </c>
      <c r="N2395" s="18">
        <f t="shared" si="1"/>
        <v>460</v>
      </c>
      <c r="O2395" s="17"/>
      <c r="P2395" s="17"/>
      <c r="Q2395" s="17"/>
      <c r="R2395" s="17"/>
      <c r="S2395" s="17"/>
      <c r="T2395" s="17"/>
      <c r="U2395" s="17"/>
      <c r="V2395" s="17"/>
      <c r="W2395" s="17"/>
      <c r="X2395" s="17"/>
      <c r="Y2395" s="17"/>
      <c r="Z2395" s="17"/>
    </row>
    <row r="2396">
      <c r="A2396" s="18" t="str">
        <f>IFERROR(__xludf.DUMMYFUNCTION("""COMPUTED_VALUE"""),"ord_92360")</f>
        <v>ord_92360</v>
      </c>
      <c r="B2396" s="18" t="str">
        <f>IFERROR(__xludf.DUMMYFUNCTION("""COMPUTED_VALUE"""),"Anaya Rao")</f>
        <v>Anaya Rao</v>
      </c>
      <c r="C2396" s="18" t="str">
        <f>IFERROR(__xludf.DUMMYFUNCTION("""COMPUTED_VALUE"""),"Colaba")</f>
        <v>Colaba</v>
      </c>
      <c r="D2396" s="18" t="str">
        <f>IFERROR(__xludf.DUMMYFUNCTION("""COMPUTED_VALUE"""),"Apple")</f>
        <v>Apple</v>
      </c>
      <c r="E2396" s="18">
        <f>IFERROR(__xludf.DUMMYFUNCTION("""COMPUTED_VALUE"""),1.0)</f>
        <v>1</v>
      </c>
      <c r="F2396" s="18" t="str">
        <f>IFERROR(__xludf.DUMMYFUNCTION("""COMPUTED_VALUE"""),"Vivek Kumar")</f>
        <v>Vivek Kumar</v>
      </c>
      <c r="G2396" s="19">
        <f>IFERROR(__xludf.DUMMYFUNCTION("""COMPUTED_VALUE"""),45088.0)</f>
        <v>45088</v>
      </c>
      <c r="H2396" s="18" t="str">
        <f>IFERROR(__xludf.DUMMYFUNCTION("""COMPUTED_VALUE"""),"Online Payment")</f>
        <v>Online Payment</v>
      </c>
      <c r="I2396" s="18" t="str">
        <f>IFERROR(__xludf.DUMMYFUNCTION("""COMPUTED_VALUE"""),"Delivered")</f>
        <v>Delivered</v>
      </c>
      <c r="J2396" s="18" t="str">
        <f>IFERROR(__xludf.DUMMYFUNCTION("""COMPUTED_VALUE"""),"Convenience")</f>
        <v>Convenience</v>
      </c>
      <c r="K2396" s="18" t="str">
        <f>IFERROR(__xludf.DUMMYFUNCTION("""COMPUTED_VALUE"""),"Easy tracking")</f>
        <v>Easy tracking</v>
      </c>
      <c r="L2396" s="18">
        <f>iferror(VLOOKUP($D2396,Details!$A$2:$C$11,2,false),vlookup($D2396,Details!$E$2:$G$11,2,false))</f>
        <v>230</v>
      </c>
      <c r="M2396" s="18" t="str">
        <f>iferror(VLOOKUP($D2396,Details!$A$2:$C$11,3,false),vlookup($D2396,Details!$E$2:$G$11,3,false))</f>
        <v>Fruits and Vegetables</v>
      </c>
      <c r="N2396" s="18">
        <f t="shared" si="1"/>
        <v>230</v>
      </c>
      <c r="O2396" s="17"/>
      <c r="P2396" s="17"/>
      <c r="Q2396" s="17"/>
      <c r="R2396" s="17"/>
      <c r="S2396" s="17"/>
      <c r="T2396" s="17"/>
      <c r="U2396" s="17"/>
      <c r="V2396" s="17"/>
      <c r="W2396" s="17"/>
      <c r="X2396" s="17"/>
      <c r="Y2396" s="17"/>
      <c r="Z2396" s="17"/>
    </row>
    <row r="2397">
      <c r="A2397" s="18" t="str">
        <f>IFERROR(__xludf.DUMMYFUNCTION("""COMPUTED_VALUE"""),"ord_92361")</f>
        <v>ord_92361</v>
      </c>
      <c r="B2397" s="18" t="str">
        <f>IFERROR(__xludf.DUMMYFUNCTION("""COMPUTED_VALUE"""),"Arvind Kulkarni")</f>
        <v>Arvind Kulkarni</v>
      </c>
      <c r="C2397" s="18" t="str">
        <f>IFERROR(__xludf.DUMMYFUNCTION("""COMPUTED_VALUE"""),"Juhu")</f>
        <v>Juhu</v>
      </c>
      <c r="D2397" s="18" t="str">
        <f>IFERROR(__xludf.DUMMYFUNCTION("""COMPUTED_VALUE"""),"Chocolate Mousse")</f>
        <v>Chocolate Mousse</v>
      </c>
      <c r="E2397" s="18">
        <f>IFERROR(__xludf.DUMMYFUNCTION("""COMPUTED_VALUE"""),5.0)</f>
        <v>5</v>
      </c>
      <c r="F2397" s="18" t="str">
        <f>IFERROR(__xludf.DUMMYFUNCTION("""COMPUTED_VALUE"""),"Nithin Lal")</f>
        <v>Nithin Lal</v>
      </c>
      <c r="G2397" s="19">
        <f>IFERROR(__xludf.DUMMYFUNCTION("""COMPUTED_VALUE"""),45184.0)</f>
        <v>45184</v>
      </c>
      <c r="H2397" s="18" t="str">
        <f>IFERROR(__xludf.DUMMYFUNCTION("""COMPUTED_VALUE"""),"UPI")</f>
        <v>UPI</v>
      </c>
      <c r="I2397" s="18" t="str">
        <f>IFERROR(__xludf.DUMMYFUNCTION("""COMPUTED_VALUE"""),"Delivered")</f>
        <v>Delivered</v>
      </c>
      <c r="J2397" s="18" t="str">
        <f>IFERROR(__xludf.DUMMYFUNCTION("""COMPUTED_VALUE"""),"Overall Satisfaction")</f>
        <v>Overall Satisfaction</v>
      </c>
      <c r="K2397" s="18" t="str">
        <f>IFERROR(__xludf.DUMMYFUNCTION("""COMPUTED_VALUE"""),"Great service will order again")</f>
        <v>Great service will order again</v>
      </c>
      <c r="L2397" s="18">
        <f>iferror(VLOOKUP($D2397,Details!$A$2:$C$11,2,false),vlookup($D2397,Details!$E$2:$G$11,2,false))</f>
        <v>145</v>
      </c>
      <c r="M2397" s="18" t="str">
        <f>iferror(VLOOKUP($D2397,Details!$A$2:$C$11,3,false),vlookup($D2397,Details!$E$2:$G$11,3,false))</f>
        <v>Snacks and Drinks</v>
      </c>
      <c r="N2397" s="18">
        <f t="shared" si="1"/>
        <v>725</v>
      </c>
      <c r="O2397" s="17"/>
      <c r="P2397" s="17"/>
      <c r="Q2397" s="17"/>
      <c r="R2397" s="17"/>
      <c r="S2397" s="17"/>
      <c r="T2397" s="17"/>
      <c r="U2397" s="17"/>
      <c r="V2397" s="17"/>
      <c r="W2397" s="17"/>
      <c r="X2397" s="17"/>
      <c r="Y2397" s="17"/>
      <c r="Z2397" s="17"/>
    </row>
    <row r="2398">
      <c r="A2398" s="18" t="str">
        <f>IFERROR(__xludf.DUMMYFUNCTION("""COMPUTED_VALUE"""),"ord_92362")</f>
        <v>ord_92362</v>
      </c>
      <c r="B2398" s="18" t="str">
        <f>IFERROR(__xludf.DUMMYFUNCTION("""COMPUTED_VALUE"""),"Pallavi Ghosh")</f>
        <v>Pallavi Ghosh</v>
      </c>
      <c r="C2398" s="18" t="str">
        <f>IFERROR(__xludf.DUMMYFUNCTION("""COMPUTED_VALUE"""),"Bandra")</f>
        <v>Bandra</v>
      </c>
      <c r="D2398" s="18" t="str">
        <f>IFERROR(__xludf.DUMMYFUNCTION("""COMPUTED_VALUE"""),"Potato")</f>
        <v>Potato</v>
      </c>
      <c r="E2398" s="18">
        <f>IFERROR(__xludf.DUMMYFUNCTION("""COMPUTED_VALUE"""),2.0)</f>
        <v>2</v>
      </c>
      <c r="F2398" s="18" t="str">
        <f>IFERROR(__xludf.DUMMYFUNCTION("""COMPUTED_VALUE"""),"Ramesh S")</f>
        <v>Ramesh S</v>
      </c>
      <c r="G2398" s="19">
        <f>IFERROR(__xludf.DUMMYFUNCTION("""COMPUTED_VALUE"""),45114.0)</f>
        <v>45114</v>
      </c>
      <c r="H2398" s="18" t="str">
        <f>IFERROR(__xludf.DUMMYFUNCTION("""COMPUTED_VALUE"""),"UPI")</f>
        <v>UPI</v>
      </c>
      <c r="I2398" s="18" t="str">
        <f>IFERROR(__xludf.DUMMYFUNCTION("""COMPUTED_VALUE"""),"Delivered")</f>
        <v>Delivered</v>
      </c>
      <c r="J2398" s="18" t="str">
        <f>IFERROR(__xludf.DUMMYFUNCTION("""COMPUTED_VALUE"""),"On-time Delivery")</f>
        <v>On-time Delivery</v>
      </c>
      <c r="K2398" s="18" t="str">
        <f>IFERROR(__xludf.DUMMYFUNCTION("""COMPUTED_VALUE"""),"Delivered on time")</f>
        <v>Delivered on time</v>
      </c>
      <c r="L2398" s="18">
        <f>iferror(VLOOKUP($D2398,Details!$A$2:$C$11,2,false),vlookup($D2398,Details!$E$2:$G$11,2,false))</f>
        <v>55</v>
      </c>
      <c r="M2398" s="18" t="str">
        <f>iferror(VLOOKUP($D2398,Details!$A$2:$C$11,3,false),vlookup($D2398,Details!$E$2:$G$11,3,false))</f>
        <v>Fruits and Vegetables</v>
      </c>
      <c r="N2398" s="18">
        <f t="shared" si="1"/>
        <v>110</v>
      </c>
      <c r="O2398" s="17"/>
      <c r="P2398" s="17"/>
      <c r="Q2398" s="17"/>
      <c r="R2398" s="17"/>
      <c r="S2398" s="17"/>
      <c r="T2398" s="17"/>
      <c r="U2398" s="17"/>
      <c r="V2398" s="17"/>
      <c r="W2398" s="17"/>
      <c r="X2398" s="17"/>
      <c r="Y2398" s="17"/>
      <c r="Z2398" s="17"/>
    </row>
    <row r="2399">
      <c r="A2399" s="18" t="str">
        <f>IFERROR(__xludf.DUMMYFUNCTION("""COMPUTED_VALUE"""),"ord_92363")</f>
        <v>ord_92363</v>
      </c>
      <c r="B2399" s="18" t="str">
        <f>IFERROR(__xludf.DUMMYFUNCTION("""COMPUTED_VALUE"""),"Ishaan Chaturvedi")</f>
        <v>Ishaan Chaturvedi</v>
      </c>
      <c r="C2399" s="18" t="str">
        <f>IFERROR(__xludf.DUMMYFUNCTION("""COMPUTED_VALUE"""),"Bandra")</f>
        <v>Bandra</v>
      </c>
      <c r="D2399" s="18" t="str">
        <f>IFERROR(__xludf.DUMMYFUNCTION("""COMPUTED_VALUE"""),"Popcorn")</f>
        <v>Popcorn</v>
      </c>
      <c r="E2399" s="18">
        <f>IFERROR(__xludf.DUMMYFUNCTION("""COMPUTED_VALUE"""),2.0)</f>
        <v>2</v>
      </c>
      <c r="F2399" s="18" t="str">
        <f>IFERROR(__xludf.DUMMYFUNCTION("""COMPUTED_VALUE"""),"Vivek Kumar")</f>
        <v>Vivek Kumar</v>
      </c>
      <c r="G2399" s="19">
        <f>IFERROR(__xludf.DUMMYFUNCTION("""COMPUTED_VALUE"""),45187.0)</f>
        <v>45187</v>
      </c>
      <c r="H2399" s="18" t="str">
        <f>IFERROR(__xludf.DUMMYFUNCTION("""COMPUTED_VALUE"""),"UPI")</f>
        <v>UPI</v>
      </c>
      <c r="I2399" s="18" t="str">
        <f>IFERROR(__xludf.DUMMYFUNCTION("""COMPUTED_VALUE"""),"Delivered")</f>
        <v>Delivered</v>
      </c>
      <c r="J2399" s="18" t="str">
        <f>IFERROR(__xludf.DUMMYFUNCTION("""COMPUTED_VALUE"""),"Quality of Items")</f>
        <v>Quality of Items</v>
      </c>
      <c r="K2399" s="18" t="str">
        <f>IFERROR(__xludf.DUMMYFUNCTION("""COMPUTED_VALUE"""),"Perfect condition")</f>
        <v>Perfect condition</v>
      </c>
      <c r="L2399" s="18">
        <f>iferror(VLOOKUP($D2399,Details!$A$2:$C$11,2,false),vlookup($D2399,Details!$E$2:$G$11,2,false))</f>
        <v>150</v>
      </c>
      <c r="M2399" s="18" t="str">
        <f>iferror(VLOOKUP($D2399,Details!$A$2:$C$11,3,false),vlookup($D2399,Details!$E$2:$G$11,3,false))</f>
        <v>Snacks and Drinks</v>
      </c>
      <c r="N2399" s="18">
        <f t="shared" si="1"/>
        <v>300</v>
      </c>
      <c r="O2399" s="17"/>
      <c r="P2399" s="17"/>
      <c r="Q2399" s="17"/>
      <c r="R2399" s="17"/>
      <c r="S2399" s="17"/>
      <c r="T2399" s="17"/>
      <c r="U2399" s="17"/>
      <c r="V2399" s="17"/>
      <c r="W2399" s="17"/>
      <c r="X2399" s="17"/>
      <c r="Y2399" s="17"/>
      <c r="Z2399" s="17"/>
    </row>
    <row r="2400">
      <c r="A2400" s="18" t="str">
        <f>IFERROR(__xludf.DUMMYFUNCTION("""COMPUTED_VALUE"""),"ord_92364")</f>
        <v>ord_92364</v>
      </c>
      <c r="B2400" s="18" t="str">
        <f>IFERROR(__xludf.DUMMYFUNCTION("""COMPUTED_VALUE"""),"Parth Goel")</f>
        <v>Parth Goel</v>
      </c>
      <c r="C2400" s="18" t="str">
        <f>IFERROR(__xludf.DUMMYFUNCTION("""COMPUTED_VALUE"""),"Juhu")</f>
        <v>Juhu</v>
      </c>
      <c r="D2400" s="18" t="str">
        <f>IFERROR(__xludf.DUMMYFUNCTION("""COMPUTED_VALUE"""),"Tiramisu")</f>
        <v>Tiramisu</v>
      </c>
      <c r="E2400" s="18">
        <f>IFERROR(__xludf.DUMMYFUNCTION("""COMPUTED_VALUE"""),5.0)</f>
        <v>5</v>
      </c>
      <c r="F2400" s="18" t="str">
        <f>IFERROR(__xludf.DUMMYFUNCTION("""COMPUTED_VALUE"""),"Vivek Kumar")</f>
        <v>Vivek Kumar</v>
      </c>
      <c r="G2400" s="19">
        <f>IFERROR(__xludf.DUMMYFUNCTION("""COMPUTED_VALUE"""),45096.0)</f>
        <v>45096</v>
      </c>
      <c r="H2400" s="18" t="str">
        <f>IFERROR(__xludf.DUMMYFUNCTION("""COMPUTED_VALUE"""),"Credit Card")</f>
        <v>Credit Card</v>
      </c>
      <c r="I2400" s="18" t="str">
        <f>IFERROR(__xludf.DUMMYFUNCTION("""COMPUTED_VALUE"""),"Cancelled")</f>
        <v>Cancelled</v>
      </c>
      <c r="J2400" s="18" t="str">
        <f>IFERROR(__xludf.DUMMYFUNCTION("""COMPUTED_VALUE"""),"Delayed Delivery")</f>
        <v>Delayed Delivery</v>
      </c>
      <c r="K2400" s="18" t="str">
        <f>IFERROR(__xludf.DUMMYFUNCTION("""COMPUTED_VALUE"""),"Bad Weather Conditions")</f>
        <v>Bad Weather Conditions</v>
      </c>
      <c r="L2400" s="18">
        <f>iferror(VLOOKUP($D2400,Details!$A$2:$C$11,2,false),vlookup($D2400,Details!$E$2:$G$11,2,false))</f>
        <v>150</v>
      </c>
      <c r="M2400" s="18" t="str">
        <f>iferror(VLOOKUP($D2400,Details!$A$2:$C$11,3,false),vlookup($D2400,Details!$E$2:$G$11,3,false))</f>
        <v>Snacks and Drinks</v>
      </c>
      <c r="N2400" s="18">
        <f t="shared" si="1"/>
        <v>750</v>
      </c>
      <c r="O2400" s="17"/>
      <c r="P2400" s="17"/>
      <c r="Q2400" s="17"/>
      <c r="R2400" s="17"/>
      <c r="S2400" s="17"/>
      <c r="T2400" s="17"/>
      <c r="U2400" s="17"/>
      <c r="V2400" s="17"/>
      <c r="W2400" s="17"/>
      <c r="X2400" s="17"/>
      <c r="Y2400" s="17"/>
      <c r="Z2400" s="17"/>
    </row>
    <row r="2401">
      <c r="A2401" s="18" t="str">
        <f>IFERROR(__xludf.DUMMYFUNCTION("""COMPUTED_VALUE"""),"ord_92365")</f>
        <v>ord_92365</v>
      </c>
      <c r="B2401" s="18" t="str">
        <f>IFERROR(__xludf.DUMMYFUNCTION("""COMPUTED_VALUE"""),"Mehul Thakkar")</f>
        <v>Mehul Thakkar</v>
      </c>
      <c r="C2401" s="18" t="str">
        <f>IFERROR(__xludf.DUMMYFUNCTION("""COMPUTED_VALUE"""),"Malad")</f>
        <v>Malad</v>
      </c>
      <c r="D2401" s="18" t="str">
        <f>IFERROR(__xludf.DUMMYFUNCTION("""COMPUTED_VALUE"""),"Popcorn")</f>
        <v>Popcorn</v>
      </c>
      <c r="E2401" s="18">
        <f>IFERROR(__xludf.DUMMYFUNCTION("""COMPUTED_VALUE"""),3.0)</f>
        <v>3</v>
      </c>
      <c r="F2401" s="18" t="str">
        <f>IFERROR(__xludf.DUMMYFUNCTION("""COMPUTED_VALUE"""),"Ramesh S")</f>
        <v>Ramesh S</v>
      </c>
      <c r="G2401" s="19">
        <f>IFERROR(__xludf.DUMMYFUNCTION("""COMPUTED_VALUE"""),45239.0)</f>
        <v>45239</v>
      </c>
      <c r="H2401" s="18" t="str">
        <f>IFERROR(__xludf.DUMMYFUNCTION("""COMPUTED_VALUE"""),"Credit Card")</f>
        <v>Credit Card</v>
      </c>
      <c r="I2401" s="18" t="str">
        <f>IFERROR(__xludf.DUMMYFUNCTION("""COMPUTED_VALUE"""),"Delivered")</f>
        <v>Delivered</v>
      </c>
      <c r="J2401" s="18" t="str">
        <f>IFERROR(__xludf.DUMMYFUNCTION("""COMPUTED_VALUE"""),"Packaging")</f>
        <v>Packaging</v>
      </c>
      <c r="K2401" s="18" t="str">
        <f>IFERROR(__xludf.DUMMYFUNCTION("""COMPUTED_VALUE"""),"Secure and intact")</f>
        <v>Secure and intact</v>
      </c>
      <c r="L2401" s="18">
        <f>iferror(VLOOKUP($D2401,Details!$A$2:$C$11,2,false),vlookup($D2401,Details!$E$2:$G$11,2,false))</f>
        <v>150</v>
      </c>
      <c r="M2401" s="18" t="str">
        <f>iferror(VLOOKUP($D2401,Details!$A$2:$C$11,3,false),vlookup($D2401,Details!$E$2:$G$11,3,false))</f>
        <v>Snacks and Drinks</v>
      </c>
      <c r="N2401" s="18">
        <f t="shared" si="1"/>
        <v>450</v>
      </c>
      <c r="O2401" s="17"/>
      <c r="P2401" s="17"/>
      <c r="Q2401" s="17"/>
      <c r="R2401" s="17"/>
      <c r="S2401" s="17"/>
      <c r="T2401" s="17"/>
      <c r="U2401" s="17"/>
      <c r="V2401" s="17"/>
      <c r="W2401" s="17"/>
      <c r="X2401" s="17"/>
      <c r="Y2401" s="17"/>
      <c r="Z2401" s="17"/>
    </row>
    <row r="2402">
      <c r="A2402" s="18" t="str">
        <f>IFERROR(__xludf.DUMMYFUNCTION("""COMPUTED_VALUE"""),"ord_92366")</f>
        <v>ord_92366</v>
      </c>
      <c r="B2402" s="18" t="str">
        <f>IFERROR(__xludf.DUMMYFUNCTION("""COMPUTED_VALUE"""),"Dev Chauhan")</f>
        <v>Dev Chauhan</v>
      </c>
      <c r="C2402" s="18" t="str">
        <f>IFERROR(__xludf.DUMMYFUNCTION("""COMPUTED_VALUE"""),"Bandra")</f>
        <v>Bandra</v>
      </c>
      <c r="D2402" s="18" t="str">
        <f>IFERROR(__xludf.DUMMYFUNCTION("""COMPUTED_VALUE"""),"Chocolate Mousse")</f>
        <v>Chocolate Mousse</v>
      </c>
      <c r="E2402" s="18">
        <f>IFERROR(__xludf.DUMMYFUNCTION("""COMPUTED_VALUE"""),5.0)</f>
        <v>5</v>
      </c>
      <c r="F2402" s="18" t="str">
        <f>IFERROR(__xludf.DUMMYFUNCTION("""COMPUTED_VALUE"""),"Shine Thomas")</f>
        <v>Shine Thomas</v>
      </c>
      <c r="G2402" s="19">
        <f>IFERROR(__xludf.DUMMYFUNCTION("""COMPUTED_VALUE"""),45123.0)</f>
        <v>45123</v>
      </c>
      <c r="H2402" s="18" t="str">
        <f>IFERROR(__xludf.DUMMYFUNCTION("""COMPUTED_VALUE"""),"Credit Card")</f>
        <v>Credit Card</v>
      </c>
      <c r="I2402" s="18" t="str">
        <f>IFERROR(__xludf.DUMMYFUNCTION("""COMPUTED_VALUE"""),"Delivered")</f>
        <v>Delivered</v>
      </c>
      <c r="J2402" s="18" t="str">
        <f>IFERROR(__xludf.DUMMYFUNCTION("""COMPUTED_VALUE"""),"Satisfied with the Delivery")</f>
        <v>Satisfied with the Delivery</v>
      </c>
      <c r="K2402" s="18" t="str">
        <f>IFERROR(__xludf.DUMMYFUNCTION("""COMPUTED_VALUE"""),"Timely and quality")</f>
        <v>Timely and quality</v>
      </c>
      <c r="L2402" s="18">
        <f>iferror(VLOOKUP($D2402,Details!$A$2:$C$11,2,false),vlookup($D2402,Details!$E$2:$G$11,2,false))</f>
        <v>145</v>
      </c>
      <c r="M2402" s="18" t="str">
        <f>iferror(VLOOKUP($D2402,Details!$A$2:$C$11,3,false),vlookup($D2402,Details!$E$2:$G$11,3,false))</f>
        <v>Snacks and Drinks</v>
      </c>
      <c r="N2402" s="18">
        <f t="shared" si="1"/>
        <v>725</v>
      </c>
      <c r="O2402" s="17"/>
      <c r="P2402" s="17"/>
      <c r="Q2402" s="17"/>
      <c r="R2402" s="17"/>
      <c r="S2402" s="17"/>
      <c r="T2402" s="17"/>
      <c r="U2402" s="17"/>
      <c r="V2402" s="17"/>
      <c r="W2402" s="17"/>
      <c r="X2402" s="17"/>
      <c r="Y2402" s="17"/>
      <c r="Z2402" s="17"/>
    </row>
    <row r="2403">
      <c r="A2403" s="18" t="str">
        <f>IFERROR(__xludf.DUMMYFUNCTION("""COMPUTED_VALUE"""),"ord_92367")</f>
        <v>ord_92367</v>
      </c>
      <c r="B2403" s="18" t="str">
        <f>IFERROR(__xludf.DUMMYFUNCTION("""COMPUTED_VALUE"""),"Aditi Iyer")</f>
        <v>Aditi Iyer</v>
      </c>
      <c r="C2403" s="18" t="str">
        <f>IFERROR(__xludf.DUMMYFUNCTION("""COMPUTED_VALUE"""),"Dadar")</f>
        <v>Dadar</v>
      </c>
      <c r="D2403" s="18" t="str">
        <f>IFERROR(__xludf.DUMMYFUNCTION("""COMPUTED_VALUE"""),"Rasmalai")</f>
        <v>Rasmalai</v>
      </c>
      <c r="E2403" s="18">
        <f>IFERROR(__xludf.DUMMYFUNCTION("""COMPUTED_VALUE"""),5.0)</f>
        <v>5</v>
      </c>
      <c r="F2403" s="18" t="str">
        <f>IFERROR(__xludf.DUMMYFUNCTION("""COMPUTED_VALUE"""),"Vivek Kumar")</f>
        <v>Vivek Kumar</v>
      </c>
      <c r="G2403" s="19">
        <f>IFERROR(__xludf.DUMMYFUNCTION("""COMPUTED_VALUE"""),45154.0)</f>
        <v>45154</v>
      </c>
      <c r="H2403" s="18" t="str">
        <f>IFERROR(__xludf.DUMMYFUNCTION("""COMPUTED_VALUE"""),"UPI")</f>
        <v>UPI</v>
      </c>
      <c r="I2403" s="18" t="str">
        <f>IFERROR(__xludf.DUMMYFUNCTION("""COMPUTED_VALUE"""),"Delivered")</f>
        <v>Delivered</v>
      </c>
      <c r="J2403" s="18" t="str">
        <f>IFERROR(__xludf.DUMMYFUNCTION("""COMPUTED_VALUE"""),"Customer Service")</f>
        <v>Customer Service</v>
      </c>
      <c r="K2403" s="18" t="str">
        <f>IFERROR(__xludf.DUMMYFUNCTION("""COMPUTED_VALUE"""),"Seamless and easy")</f>
        <v>Seamless and easy</v>
      </c>
      <c r="L2403" s="18">
        <f>iferror(VLOOKUP($D2403,Details!$A$2:$C$11,2,false),vlookup($D2403,Details!$E$2:$G$11,2,false))</f>
        <v>110</v>
      </c>
      <c r="M2403" s="18" t="str">
        <f>iferror(VLOOKUP($D2403,Details!$A$2:$C$11,3,false),vlookup($D2403,Details!$E$2:$G$11,3,false))</f>
        <v>Snacks and Drinks</v>
      </c>
      <c r="N2403" s="18">
        <f t="shared" si="1"/>
        <v>550</v>
      </c>
      <c r="O2403" s="17"/>
      <c r="P2403" s="17"/>
      <c r="Q2403" s="17"/>
      <c r="R2403" s="17"/>
      <c r="S2403" s="17"/>
      <c r="T2403" s="17"/>
      <c r="U2403" s="17"/>
      <c r="V2403" s="17"/>
      <c r="W2403" s="17"/>
      <c r="X2403" s="17"/>
      <c r="Y2403" s="17"/>
      <c r="Z2403" s="17"/>
    </row>
    <row r="2404">
      <c r="A2404" s="18" t="str">
        <f>IFERROR(__xludf.DUMMYFUNCTION("""COMPUTED_VALUE"""),"ord_92368")</f>
        <v>ord_92368</v>
      </c>
      <c r="B2404" s="18" t="str">
        <f>IFERROR(__xludf.DUMMYFUNCTION("""COMPUTED_VALUE"""),"Sakshi Tandon")</f>
        <v>Sakshi Tandon</v>
      </c>
      <c r="C2404" s="18" t="str">
        <f>IFERROR(__xludf.DUMMYFUNCTION("""COMPUTED_VALUE"""),"Colaba")</f>
        <v>Colaba</v>
      </c>
      <c r="D2404" s="18" t="str">
        <f>IFERROR(__xludf.DUMMYFUNCTION("""COMPUTED_VALUE"""),"Juice")</f>
        <v>Juice</v>
      </c>
      <c r="E2404" s="18">
        <f>IFERROR(__xludf.DUMMYFUNCTION("""COMPUTED_VALUE"""),3.0)</f>
        <v>3</v>
      </c>
      <c r="F2404" s="18" t="str">
        <f>IFERROR(__xludf.DUMMYFUNCTION("""COMPUTED_VALUE"""),"Manju Ajay")</f>
        <v>Manju Ajay</v>
      </c>
      <c r="G2404" s="19">
        <f>IFERROR(__xludf.DUMMYFUNCTION("""COMPUTED_VALUE"""),45219.0)</f>
        <v>45219</v>
      </c>
      <c r="H2404" s="18" t="str">
        <f>IFERROR(__xludf.DUMMYFUNCTION("""COMPUTED_VALUE"""),"Credit Card")</f>
        <v>Credit Card</v>
      </c>
      <c r="I2404" s="18" t="str">
        <f>IFERROR(__xludf.DUMMYFUNCTION("""COMPUTED_VALUE"""),"Delivered")</f>
        <v>Delivered</v>
      </c>
      <c r="J2404" s="18" t="str">
        <f>IFERROR(__xludf.DUMMYFUNCTION("""COMPUTED_VALUE"""),"Delivery Experience")</f>
        <v>Delivery Experience</v>
      </c>
      <c r="K2404" s="18" t="str">
        <f>IFERROR(__xludf.DUMMYFUNCTION("""COMPUTED_VALUE"""),"Quick and professional")</f>
        <v>Quick and professional</v>
      </c>
      <c r="L2404" s="18">
        <f>iferror(VLOOKUP($D2404,Details!$A$2:$C$11,2,false),vlookup($D2404,Details!$E$2:$G$11,2,false))</f>
        <v>90</v>
      </c>
      <c r="M2404" s="18" t="str">
        <f>iferror(VLOOKUP($D2404,Details!$A$2:$C$11,3,false),vlookup($D2404,Details!$E$2:$G$11,3,false))</f>
        <v>Snacks and Drinks</v>
      </c>
      <c r="N2404" s="18">
        <f t="shared" si="1"/>
        <v>270</v>
      </c>
      <c r="O2404" s="17"/>
      <c r="P2404" s="17"/>
      <c r="Q2404" s="17"/>
      <c r="R2404" s="17"/>
      <c r="S2404" s="17"/>
      <c r="T2404" s="17"/>
      <c r="U2404" s="17"/>
      <c r="V2404" s="17"/>
      <c r="W2404" s="17"/>
      <c r="X2404" s="17"/>
      <c r="Y2404" s="17"/>
      <c r="Z2404" s="17"/>
    </row>
    <row r="2405">
      <c r="A2405" s="18" t="str">
        <f>IFERROR(__xludf.DUMMYFUNCTION("""COMPUTED_VALUE"""),"ord_92369")</f>
        <v>ord_92369</v>
      </c>
      <c r="B2405" s="18" t="str">
        <f>IFERROR(__xludf.DUMMYFUNCTION("""COMPUTED_VALUE"""),"Kritika Shetty")</f>
        <v>Kritika Shetty</v>
      </c>
      <c r="C2405" s="18" t="str">
        <f>IFERROR(__xludf.DUMMYFUNCTION("""COMPUTED_VALUE"""),"Malad")</f>
        <v>Malad</v>
      </c>
      <c r="D2405" s="18" t="str">
        <f>IFERROR(__xludf.DUMMYFUNCTION("""COMPUTED_VALUE"""),"Tomato")</f>
        <v>Tomato</v>
      </c>
      <c r="E2405" s="18">
        <f>IFERROR(__xludf.DUMMYFUNCTION("""COMPUTED_VALUE"""),1.0)</f>
        <v>1</v>
      </c>
      <c r="F2405" s="18" t="str">
        <f>IFERROR(__xludf.DUMMYFUNCTION("""COMPUTED_VALUE"""),"Nithin Lal")</f>
        <v>Nithin Lal</v>
      </c>
      <c r="G2405" s="19">
        <f>IFERROR(__xludf.DUMMYFUNCTION("""COMPUTED_VALUE"""),45175.0)</f>
        <v>45175</v>
      </c>
      <c r="H2405" s="18" t="str">
        <f>IFERROR(__xludf.DUMMYFUNCTION("""COMPUTED_VALUE"""),"Credit Card")</f>
        <v>Credit Card</v>
      </c>
      <c r="I2405" s="18" t="str">
        <f>IFERROR(__xludf.DUMMYFUNCTION("""COMPUTED_VALUE"""),"Delivered")</f>
        <v>Delivered</v>
      </c>
      <c r="J2405" s="18" t="str">
        <f>IFERROR(__xludf.DUMMYFUNCTION("""COMPUTED_VALUE"""),"Convenience")</f>
        <v>Convenience</v>
      </c>
      <c r="K2405" s="18" t="str">
        <f>IFERROR(__xludf.DUMMYFUNCTION("""COMPUTED_VALUE"""),"Easy tracking")</f>
        <v>Easy tracking</v>
      </c>
      <c r="L2405" s="18">
        <f>iferror(VLOOKUP($D2405,Details!$A$2:$C$11,2,false),vlookup($D2405,Details!$E$2:$G$11,2,false))</f>
        <v>25</v>
      </c>
      <c r="M2405" s="18" t="str">
        <f>iferror(VLOOKUP($D2405,Details!$A$2:$C$11,3,false),vlookup($D2405,Details!$E$2:$G$11,3,false))</f>
        <v>Fruits and Vegetables</v>
      </c>
      <c r="N2405" s="18">
        <f t="shared" si="1"/>
        <v>25</v>
      </c>
      <c r="O2405" s="17"/>
      <c r="P2405" s="17"/>
      <c r="Q2405" s="17"/>
      <c r="R2405" s="17"/>
      <c r="S2405" s="17"/>
      <c r="T2405" s="17"/>
      <c r="U2405" s="17"/>
      <c r="V2405" s="17"/>
      <c r="W2405" s="17"/>
      <c r="X2405" s="17"/>
      <c r="Y2405" s="17"/>
      <c r="Z2405" s="17"/>
    </row>
    <row r="2406">
      <c r="A2406" s="18" t="str">
        <f>IFERROR(__xludf.DUMMYFUNCTION("""COMPUTED_VALUE"""),"ord_92370")</f>
        <v>ord_92370</v>
      </c>
      <c r="B2406" s="18" t="str">
        <f>IFERROR(__xludf.DUMMYFUNCTION("""COMPUTED_VALUE"""),"Dev Chauhan")</f>
        <v>Dev Chauhan</v>
      </c>
      <c r="C2406" s="18" t="str">
        <f>IFERROR(__xludf.DUMMYFUNCTION("""COMPUTED_VALUE"""),"Bandra")</f>
        <v>Bandra</v>
      </c>
      <c r="D2406" s="18" t="str">
        <f>IFERROR(__xludf.DUMMYFUNCTION("""COMPUTED_VALUE"""),"Potato")</f>
        <v>Potato</v>
      </c>
      <c r="E2406" s="18">
        <f>IFERROR(__xludf.DUMMYFUNCTION("""COMPUTED_VALUE"""),1.0)</f>
        <v>1</v>
      </c>
      <c r="F2406" s="18" t="str">
        <f>IFERROR(__xludf.DUMMYFUNCTION("""COMPUTED_VALUE"""),"Shine Thomas")</f>
        <v>Shine Thomas</v>
      </c>
      <c r="G2406" s="19">
        <f>IFERROR(__xludf.DUMMYFUNCTION("""COMPUTED_VALUE"""),45154.0)</f>
        <v>45154</v>
      </c>
      <c r="H2406" s="18" t="str">
        <f>IFERROR(__xludf.DUMMYFUNCTION("""COMPUTED_VALUE"""),"UPI")</f>
        <v>UPI</v>
      </c>
      <c r="I2406" s="18" t="str">
        <f>IFERROR(__xludf.DUMMYFUNCTION("""COMPUTED_VALUE"""),"Delivered")</f>
        <v>Delivered</v>
      </c>
      <c r="J2406" s="18" t="str">
        <f>IFERROR(__xludf.DUMMYFUNCTION("""COMPUTED_VALUE"""),"Overall Satisfaction")</f>
        <v>Overall Satisfaction</v>
      </c>
      <c r="K2406" s="18" t="str">
        <f>IFERROR(__xludf.DUMMYFUNCTION("""COMPUTED_VALUE"""),"Great service will order again")</f>
        <v>Great service will order again</v>
      </c>
      <c r="L2406" s="18">
        <f>iferror(VLOOKUP($D2406,Details!$A$2:$C$11,2,false),vlookup($D2406,Details!$E$2:$G$11,2,false))</f>
        <v>55</v>
      </c>
      <c r="M2406" s="18" t="str">
        <f>iferror(VLOOKUP($D2406,Details!$A$2:$C$11,3,false),vlookup($D2406,Details!$E$2:$G$11,3,false))</f>
        <v>Fruits and Vegetables</v>
      </c>
      <c r="N2406" s="18">
        <f t="shared" si="1"/>
        <v>55</v>
      </c>
      <c r="O2406" s="17"/>
      <c r="P2406" s="17"/>
      <c r="Q2406" s="17"/>
      <c r="R2406" s="17"/>
      <c r="S2406" s="17"/>
      <c r="T2406" s="17"/>
      <c r="U2406" s="17"/>
      <c r="V2406" s="17"/>
      <c r="W2406" s="17"/>
      <c r="X2406" s="17"/>
      <c r="Y2406" s="17"/>
      <c r="Z2406" s="17"/>
    </row>
    <row r="2407">
      <c r="A2407" s="18" t="str">
        <f>IFERROR(__xludf.DUMMYFUNCTION("""COMPUTED_VALUE"""),"ord_92371")</f>
        <v>ord_92371</v>
      </c>
      <c r="B2407" s="18" t="str">
        <f>IFERROR(__xludf.DUMMYFUNCTION("""COMPUTED_VALUE"""),"Ritika Dutta")</f>
        <v>Ritika Dutta</v>
      </c>
      <c r="C2407" s="18" t="str">
        <f>IFERROR(__xludf.DUMMYFUNCTION("""COMPUTED_VALUE"""),"Lower Parel")</f>
        <v>Lower Parel</v>
      </c>
      <c r="D2407" s="18" t="str">
        <f>IFERROR(__xludf.DUMMYFUNCTION("""COMPUTED_VALUE"""),"Icecream")</f>
        <v>Icecream</v>
      </c>
      <c r="E2407" s="18">
        <f>IFERROR(__xludf.DUMMYFUNCTION("""COMPUTED_VALUE"""),6.0)</f>
        <v>6</v>
      </c>
      <c r="F2407" s="18" t="str">
        <f>IFERROR(__xludf.DUMMYFUNCTION("""COMPUTED_VALUE"""),"Vivek Kumar")</f>
        <v>Vivek Kumar</v>
      </c>
      <c r="G2407" s="19">
        <f>IFERROR(__xludf.DUMMYFUNCTION("""COMPUTED_VALUE"""),45085.0)</f>
        <v>45085</v>
      </c>
      <c r="H2407" s="18" t="str">
        <f>IFERROR(__xludf.DUMMYFUNCTION("""COMPUTED_VALUE"""),"UPI")</f>
        <v>UPI</v>
      </c>
      <c r="I2407" s="18" t="str">
        <f>IFERROR(__xludf.DUMMYFUNCTION("""COMPUTED_VALUE"""),"Delivered")</f>
        <v>Delivered</v>
      </c>
      <c r="J2407" s="18" t="str">
        <f>IFERROR(__xludf.DUMMYFUNCTION("""COMPUTED_VALUE"""),"On-time Delivery")</f>
        <v>On-time Delivery</v>
      </c>
      <c r="K2407" s="18" t="str">
        <f>IFERROR(__xludf.DUMMYFUNCTION("""COMPUTED_VALUE"""),"Delivered on time")</f>
        <v>Delivered on time</v>
      </c>
      <c r="L2407" s="18">
        <f>iferror(VLOOKUP($D2407,Details!$A$2:$C$11,2,false),vlookup($D2407,Details!$E$2:$G$11,2,false))</f>
        <v>90</v>
      </c>
      <c r="M2407" s="18" t="str">
        <f>iferror(VLOOKUP($D2407,Details!$A$2:$C$11,3,false),vlookup($D2407,Details!$E$2:$G$11,3,false))</f>
        <v>Snacks and Drinks</v>
      </c>
      <c r="N2407" s="18">
        <f t="shared" si="1"/>
        <v>540</v>
      </c>
      <c r="O2407" s="17"/>
      <c r="P2407" s="17"/>
      <c r="Q2407" s="17"/>
      <c r="R2407" s="17"/>
      <c r="S2407" s="17"/>
      <c r="T2407" s="17"/>
      <c r="U2407" s="17"/>
      <c r="V2407" s="17"/>
      <c r="W2407" s="17"/>
      <c r="X2407" s="17"/>
      <c r="Y2407" s="17"/>
      <c r="Z2407" s="17"/>
    </row>
    <row r="2408">
      <c r="A2408" s="18" t="str">
        <f>IFERROR(__xludf.DUMMYFUNCTION("""COMPUTED_VALUE"""),"ord_92372")</f>
        <v>ord_92372</v>
      </c>
      <c r="B2408" s="18" t="str">
        <f>IFERROR(__xludf.DUMMYFUNCTION("""COMPUTED_VALUE"""),"Anaya Rao")</f>
        <v>Anaya Rao</v>
      </c>
      <c r="C2408" s="18" t="str">
        <f>IFERROR(__xludf.DUMMYFUNCTION("""COMPUTED_VALUE"""),"Colaba")</f>
        <v>Colaba</v>
      </c>
      <c r="D2408" s="18" t="str">
        <f>IFERROR(__xludf.DUMMYFUNCTION("""COMPUTED_VALUE"""),"Onion")</f>
        <v>Onion</v>
      </c>
      <c r="E2408" s="18">
        <f>IFERROR(__xludf.DUMMYFUNCTION("""COMPUTED_VALUE"""),2.0)</f>
        <v>2</v>
      </c>
      <c r="F2408" s="18" t="str">
        <f>IFERROR(__xludf.DUMMYFUNCTION("""COMPUTED_VALUE"""),"Ram Gopal")</f>
        <v>Ram Gopal</v>
      </c>
      <c r="G2408" s="19">
        <f>IFERROR(__xludf.DUMMYFUNCTION("""COMPUTED_VALUE"""),45290.0)</f>
        <v>45290</v>
      </c>
      <c r="H2408" s="18" t="str">
        <f>IFERROR(__xludf.DUMMYFUNCTION("""COMPUTED_VALUE"""),"UPI")</f>
        <v>UPI</v>
      </c>
      <c r="I2408" s="18" t="str">
        <f>IFERROR(__xludf.DUMMYFUNCTION("""COMPUTED_VALUE"""),"Delivered")</f>
        <v>Delivered</v>
      </c>
      <c r="J2408" s="18" t="str">
        <f>IFERROR(__xludf.DUMMYFUNCTION("""COMPUTED_VALUE"""),"On-time Delivery")</f>
        <v>On-time Delivery</v>
      </c>
      <c r="K2408" s="18" t="str">
        <f>IFERROR(__xludf.DUMMYFUNCTION("""COMPUTED_VALUE"""),"Delivered on time")</f>
        <v>Delivered on time</v>
      </c>
      <c r="L2408" s="18">
        <f>iferror(VLOOKUP($D2408,Details!$A$2:$C$11,2,false),vlookup($D2408,Details!$E$2:$G$11,2,false))</f>
        <v>84</v>
      </c>
      <c r="M2408" s="18" t="str">
        <f>iferror(VLOOKUP($D2408,Details!$A$2:$C$11,3,false),vlookup($D2408,Details!$E$2:$G$11,3,false))</f>
        <v>Fruits and Vegetables</v>
      </c>
      <c r="N2408" s="18">
        <f t="shared" si="1"/>
        <v>168</v>
      </c>
      <c r="O2408" s="17"/>
      <c r="P2408" s="17"/>
      <c r="Q2408" s="17"/>
      <c r="R2408" s="17"/>
      <c r="S2408" s="17"/>
      <c r="T2408" s="17"/>
      <c r="U2408" s="17"/>
      <c r="V2408" s="17"/>
      <c r="W2408" s="17"/>
      <c r="X2408" s="17"/>
      <c r="Y2408" s="17"/>
      <c r="Z2408" s="17"/>
    </row>
    <row r="2409">
      <c r="A2409" s="18" t="str">
        <f>IFERROR(__xludf.DUMMYFUNCTION("""COMPUTED_VALUE"""),"ord_92373")</f>
        <v>ord_92373</v>
      </c>
      <c r="B2409" s="18" t="str">
        <f>IFERROR(__xludf.DUMMYFUNCTION("""COMPUTED_VALUE"""),"Aarohi Kapoor")</f>
        <v>Aarohi Kapoor</v>
      </c>
      <c r="C2409" s="18" t="str">
        <f>IFERROR(__xludf.DUMMYFUNCTION("""COMPUTED_VALUE"""),"Bandra")</f>
        <v>Bandra</v>
      </c>
      <c r="D2409" s="18" t="str">
        <f>IFERROR(__xludf.DUMMYFUNCTION("""COMPUTED_VALUE"""),"Juice")</f>
        <v>Juice</v>
      </c>
      <c r="E2409" s="18">
        <f>IFERROR(__xludf.DUMMYFUNCTION("""COMPUTED_VALUE"""),1.0)</f>
        <v>1</v>
      </c>
      <c r="F2409" s="18" t="str">
        <f>IFERROR(__xludf.DUMMYFUNCTION("""COMPUTED_VALUE"""),"Nithin Lal")</f>
        <v>Nithin Lal</v>
      </c>
      <c r="G2409" s="19">
        <f>IFERROR(__xludf.DUMMYFUNCTION("""COMPUTED_VALUE"""),45090.0)</f>
        <v>45090</v>
      </c>
      <c r="H2409" s="18" t="str">
        <f>IFERROR(__xludf.DUMMYFUNCTION("""COMPUTED_VALUE"""),"UPI")</f>
        <v>UPI</v>
      </c>
      <c r="I2409" s="18" t="str">
        <f>IFERROR(__xludf.DUMMYFUNCTION("""COMPUTED_VALUE"""),"Delivered")</f>
        <v>Delivered</v>
      </c>
      <c r="J2409" s="18" t="str">
        <f>IFERROR(__xludf.DUMMYFUNCTION("""COMPUTED_VALUE"""),"Quality of Items")</f>
        <v>Quality of Items</v>
      </c>
      <c r="K2409" s="18" t="str">
        <f>IFERROR(__xludf.DUMMYFUNCTION("""COMPUTED_VALUE"""),"Perfect condition")</f>
        <v>Perfect condition</v>
      </c>
      <c r="L2409" s="18">
        <f>iferror(VLOOKUP($D2409,Details!$A$2:$C$11,2,false),vlookup($D2409,Details!$E$2:$G$11,2,false))</f>
        <v>90</v>
      </c>
      <c r="M2409" s="18" t="str">
        <f>iferror(VLOOKUP($D2409,Details!$A$2:$C$11,3,false),vlookup($D2409,Details!$E$2:$G$11,3,false))</f>
        <v>Snacks and Drinks</v>
      </c>
      <c r="N2409" s="18">
        <f t="shared" si="1"/>
        <v>90</v>
      </c>
      <c r="O2409" s="17"/>
      <c r="P2409" s="17"/>
      <c r="Q2409" s="17"/>
      <c r="R2409" s="17"/>
      <c r="S2409" s="17"/>
      <c r="T2409" s="17"/>
      <c r="U2409" s="17"/>
      <c r="V2409" s="17"/>
      <c r="W2409" s="17"/>
      <c r="X2409" s="17"/>
      <c r="Y2409" s="17"/>
      <c r="Z2409" s="17"/>
    </row>
    <row r="2410">
      <c r="A2410" s="18" t="str">
        <f>IFERROR(__xludf.DUMMYFUNCTION("""COMPUTED_VALUE"""),"ord_92374")</f>
        <v>ord_92374</v>
      </c>
      <c r="B2410" s="18" t="str">
        <f>IFERROR(__xludf.DUMMYFUNCTION("""COMPUTED_VALUE"""),"Diya Arora")</f>
        <v>Diya Arora</v>
      </c>
      <c r="C2410" s="18" t="str">
        <f>IFERROR(__xludf.DUMMYFUNCTION("""COMPUTED_VALUE"""),"Lower Parel")</f>
        <v>Lower Parel</v>
      </c>
      <c r="D2410" s="18" t="str">
        <f>IFERROR(__xludf.DUMMYFUNCTION("""COMPUTED_VALUE"""),"Cucumber")</f>
        <v>Cucumber</v>
      </c>
      <c r="E2410" s="18">
        <f>IFERROR(__xludf.DUMMYFUNCTION("""COMPUTED_VALUE"""),2.0)</f>
        <v>2</v>
      </c>
      <c r="F2410" s="18" t="str">
        <f>IFERROR(__xludf.DUMMYFUNCTION("""COMPUTED_VALUE"""),"Vivek Kumar")</f>
        <v>Vivek Kumar</v>
      </c>
      <c r="G2410" s="19">
        <f>IFERROR(__xludf.DUMMYFUNCTION("""COMPUTED_VALUE"""),45182.0)</f>
        <v>45182</v>
      </c>
      <c r="H2410" s="18" t="str">
        <f>IFERROR(__xludf.DUMMYFUNCTION("""COMPUTED_VALUE"""),"Credit Card")</f>
        <v>Credit Card</v>
      </c>
      <c r="I2410" s="18" t="str">
        <f>IFERROR(__xludf.DUMMYFUNCTION("""COMPUTED_VALUE"""),"Delivered")</f>
        <v>Delivered</v>
      </c>
      <c r="J2410" s="18" t="str">
        <f>IFERROR(__xludf.DUMMYFUNCTION("""COMPUTED_VALUE"""),"Packaging")</f>
        <v>Packaging</v>
      </c>
      <c r="K2410" s="18" t="str">
        <f>IFERROR(__xludf.DUMMYFUNCTION("""COMPUTED_VALUE"""),"Secure and intact")</f>
        <v>Secure and intact</v>
      </c>
      <c r="L2410" s="18">
        <f>iferror(VLOOKUP($D2410,Details!$A$2:$C$11,2,false),vlookup($D2410,Details!$E$2:$G$11,2,false))</f>
        <v>30</v>
      </c>
      <c r="M2410" s="18" t="str">
        <f>iferror(VLOOKUP($D2410,Details!$A$2:$C$11,3,false),vlookup($D2410,Details!$E$2:$G$11,3,false))</f>
        <v>Fruits and Vegetables</v>
      </c>
      <c r="N2410" s="18">
        <f t="shared" si="1"/>
        <v>60</v>
      </c>
      <c r="O2410" s="17"/>
      <c r="P2410" s="17"/>
      <c r="Q2410" s="17"/>
      <c r="R2410" s="17"/>
      <c r="S2410" s="17"/>
      <c r="T2410" s="17"/>
      <c r="U2410" s="17"/>
      <c r="V2410" s="17"/>
      <c r="W2410" s="17"/>
      <c r="X2410" s="17"/>
      <c r="Y2410" s="17"/>
      <c r="Z2410" s="17"/>
    </row>
    <row r="2411">
      <c r="A2411" s="18" t="str">
        <f>IFERROR(__xludf.DUMMYFUNCTION("""COMPUTED_VALUE"""),"ord_92375")</f>
        <v>ord_92375</v>
      </c>
      <c r="B2411" s="18" t="str">
        <f>IFERROR(__xludf.DUMMYFUNCTION("""COMPUTED_VALUE"""),"Siya Reddy")</f>
        <v>Siya Reddy</v>
      </c>
      <c r="C2411" s="18" t="str">
        <f>IFERROR(__xludf.DUMMYFUNCTION("""COMPUTED_VALUE"""),"Juhu")</f>
        <v>Juhu</v>
      </c>
      <c r="D2411" s="18" t="str">
        <f>IFERROR(__xludf.DUMMYFUNCTION("""COMPUTED_VALUE"""),"Cucumber")</f>
        <v>Cucumber</v>
      </c>
      <c r="E2411" s="18">
        <f>IFERROR(__xludf.DUMMYFUNCTION("""COMPUTED_VALUE"""),1.0)</f>
        <v>1</v>
      </c>
      <c r="F2411" s="18" t="str">
        <f>IFERROR(__xludf.DUMMYFUNCTION("""COMPUTED_VALUE"""),"Ram Gopal")</f>
        <v>Ram Gopal</v>
      </c>
      <c r="G2411" s="19">
        <f>IFERROR(__xludf.DUMMYFUNCTION("""COMPUTED_VALUE"""),45203.0)</f>
        <v>45203</v>
      </c>
      <c r="H2411" s="18" t="str">
        <f>IFERROR(__xludf.DUMMYFUNCTION("""COMPUTED_VALUE"""),"UPI")</f>
        <v>UPI</v>
      </c>
      <c r="I2411" s="18" t="str">
        <f>IFERROR(__xludf.DUMMYFUNCTION("""COMPUTED_VALUE"""),"Delivered")</f>
        <v>Delivered</v>
      </c>
      <c r="J2411" s="18" t="str">
        <f>IFERROR(__xludf.DUMMYFUNCTION("""COMPUTED_VALUE"""),"Satisfied with the Delivery")</f>
        <v>Satisfied with the Delivery</v>
      </c>
      <c r="K2411" s="18" t="str">
        <f>IFERROR(__xludf.DUMMYFUNCTION("""COMPUTED_VALUE"""),"Timely and quality")</f>
        <v>Timely and quality</v>
      </c>
      <c r="L2411" s="18">
        <f>iferror(VLOOKUP($D2411,Details!$A$2:$C$11,2,false),vlookup($D2411,Details!$E$2:$G$11,2,false))</f>
        <v>30</v>
      </c>
      <c r="M2411" s="18" t="str">
        <f>iferror(VLOOKUP($D2411,Details!$A$2:$C$11,3,false),vlookup($D2411,Details!$E$2:$G$11,3,false))</f>
        <v>Fruits and Vegetables</v>
      </c>
      <c r="N2411" s="18">
        <f t="shared" si="1"/>
        <v>30</v>
      </c>
      <c r="O2411" s="17"/>
      <c r="P2411" s="17"/>
      <c r="Q2411" s="17"/>
      <c r="R2411" s="17"/>
      <c r="S2411" s="17"/>
      <c r="T2411" s="17"/>
      <c r="U2411" s="17"/>
      <c r="V2411" s="17"/>
      <c r="W2411" s="17"/>
      <c r="X2411" s="17"/>
      <c r="Y2411" s="17"/>
      <c r="Z2411" s="17"/>
    </row>
    <row r="2412">
      <c r="A2412" s="18" t="str">
        <f>IFERROR(__xludf.DUMMYFUNCTION("""COMPUTED_VALUE"""),"ord_92284")</f>
        <v>ord_92284</v>
      </c>
      <c r="B2412" s="18" t="str">
        <f>IFERROR(__xludf.DUMMYFUNCTION("""COMPUTED_VALUE"""),"Pallavi Ghosh")</f>
        <v>Pallavi Ghosh</v>
      </c>
      <c r="C2412" s="18" t="str">
        <f>IFERROR(__xludf.DUMMYFUNCTION("""COMPUTED_VALUE"""),"Bandra")</f>
        <v>Bandra</v>
      </c>
      <c r="D2412" s="18" t="str">
        <f>IFERROR(__xludf.DUMMYFUNCTION("""COMPUTED_VALUE"""),"Guava")</f>
        <v>Guava</v>
      </c>
      <c r="E2412" s="18">
        <f>IFERROR(__xludf.DUMMYFUNCTION("""COMPUTED_VALUE"""),2.0)</f>
        <v>2</v>
      </c>
      <c r="F2412" s="18" t="str">
        <f>IFERROR(__xludf.DUMMYFUNCTION("""COMPUTED_VALUE"""),"Ramesh S")</f>
        <v>Ramesh S</v>
      </c>
      <c r="G2412" s="19">
        <f>IFERROR(__xludf.DUMMYFUNCTION("""COMPUTED_VALUE"""),45110.0)</f>
        <v>45110</v>
      </c>
      <c r="H2412" s="18" t="str">
        <f>IFERROR(__xludf.DUMMYFUNCTION("""COMPUTED_VALUE"""),"Online Payment")</f>
        <v>Online Payment</v>
      </c>
      <c r="I2412" s="18" t="str">
        <f>IFERROR(__xludf.DUMMYFUNCTION("""COMPUTED_VALUE"""),"Delivered")</f>
        <v>Delivered</v>
      </c>
      <c r="J2412" s="18" t="str">
        <f>IFERROR(__xludf.DUMMYFUNCTION("""COMPUTED_VALUE"""),"Customer Service")</f>
        <v>Customer Service</v>
      </c>
      <c r="K2412" s="18" t="str">
        <f>IFERROR(__xludf.DUMMYFUNCTION("""COMPUTED_VALUE"""),"Seamless and easy")</f>
        <v>Seamless and easy</v>
      </c>
      <c r="L2412" s="18">
        <f>iferror(VLOOKUP($D2412,Details!$A$2:$C$11,2,false),vlookup($D2412,Details!$E$2:$G$11,2,false))</f>
        <v>70</v>
      </c>
      <c r="M2412" s="18" t="str">
        <f>iferror(VLOOKUP($D2412,Details!$A$2:$C$11,3,false),vlookup($D2412,Details!$E$2:$G$11,3,false))</f>
        <v>Fruits and Vegetables</v>
      </c>
      <c r="N2412" s="18">
        <f t="shared" si="1"/>
        <v>140</v>
      </c>
      <c r="O2412" s="17"/>
      <c r="P2412" s="17"/>
      <c r="Q2412" s="17"/>
      <c r="R2412" s="17"/>
      <c r="S2412" s="17"/>
      <c r="T2412" s="17"/>
      <c r="U2412" s="17"/>
      <c r="V2412" s="17"/>
      <c r="W2412" s="17"/>
      <c r="X2412" s="17"/>
      <c r="Y2412" s="17"/>
      <c r="Z2412" s="17"/>
    </row>
    <row r="2413">
      <c r="A2413" s="18" t="str">
        <f>IFERROR(__xludf.DUMMYFUNCTION("""COMPUTED_VALUE"""),"ord_92285")</f>
        <v>ord_92285</v>
      </c>
      <c r="B2413" s="18" t="str">
        <f>IFERROR(__xludf.DUMMYFUNCTION("""COMPUTED_VALUE"""),"Anaya Rao")</f>
        <v>Anaya Rao</v>
      </c>
      <c r="C2413" s="18" t="str">
        <f>IFERROR(__xludf.DUMMYFUNCTION("""COMPUTED_VALUE"""),"Colaba")</f>
        <v>Colaba</v>
      </c>
      <c r="D2413" s="18" t="str">
        <f>IFERROR(__xludf.DUMMYFUNCTION("""COMPUTED_VALUE"""),"Popcorn")</f>
        <v>Popcorn</v>
      </c>
      <c r="E2413" s="18">
        <f>IFERROR(__xludf.DUMMYFUNCTION("""COMPUTED_VALUE"""),1.0)</f>
        <v>1</v>
      </c>
      <c r="F2413" s="18" t="str">
        <f>IFERROR(__xludf.DUMMYFUNCTION("""COMPUTED_VALUE"""),"Vivek Kumar")</f>
        <v>Vivek Kumar</v>
      </c>
      <c r="G2413" s="19">
        <f>IFERROR(__xludf.DUMMYFUNCTION("""COMPUTED_VALUE"""),45205.0)</f>
        <v>45205</v>
      </c>
      <c r="H2413" s="18" t="str">
        <f>IFERROR(__xludf.DUMMYFUNCTION("""COMPUTED_VALUE"""),"UPI")</f>
        <v>UPI</v>
      </c>
      <c r="I2413" s="18" t="str">
        <f>IFERROR(__xludf.DUMMYFUNCTION("""COMPUTED_VALUE"""),"Delivered")</f>
        <v>Delivered</v>
      </c>
      <c r="J2413" s="18" t="str">
        <f>IFERROR(__xludf.DUMMYFUNCTION("""COMPUTED_VALUE"""),"Delivery Experience")</f>
        <v>Delivery Experience</v>
      </c>
      <c r="K2413" s="18" t="str">
        <f>IFERROR(__xludf.DUMMYFUNCTION("""COMPUTED_VALUE"""),"Quick and professional")</f>
        <v>Quick and professional</v>
      </c>
      <c r="L2413" s="18">
        <f>iferror(VLOOKUP($D2413,Details!$A$2:$C$11,2,false),vlookup($D2413,Details!$E$2:$G$11,2,false))</f>
        <v>150</v>
      </c>
      <c r="M2413" s="18" t="str">
        <f>iferror(VLOOKUP($D2413,Details!$A$2:$C$11,3,false),vlookup($D2413,Details!$E$2:$G$11,3,false))</f>
        <v>Snacks and Drinks</v>
      </c>
      <c r="N2413" s="18">
        <f t="shared" si="1"/>
        <v>150</v>
      </c>
      <c r="O2413" s="17"/>
      <c r="P2413" s="17"/>
      <c r="Q2413" s="17"/>
      <c r="R2413" s="17"/>
      <c r="S2413" s="17"/>
      <c r="T2413" s="17"/>
      <c r="U2413" s="17"/>
      <c r="V2413" s="17"/>
      <c r="W2413" s="17"/>
      <c r="X2413" s="17"/>
      <c r="Y2413" s="17"/>
      <c r="Z2413" s="17"/>
    </row>
    <row r="2414">
      <c r="A2414" s="18" t="str">
        <f>IFERROR(__xludf.DUMMYFUNCTION("""COMPUTED_VALUE"""),"ord_92286")</f>
        <v>ord_92286</v>
      </c>
      <c r="B2414" s="18" t="str">
        <f>IFERROR(__xludf.DUMMYFUNCTION("""COMPUTED_VALUE"""),"Omkar Mishra")</f>
        <v>Omkar Mishra</v>
      </c>
      <c r="C2414" s="18" t="str">
        <f>IFERROR(__xludf.DUMMYFUNCTION("""COMPUTED_VALUE"""),"Powai")</f>
        <v>Powai</v>
      </c>
      <c r="D2414" s="18" t="str">
        <f>IFERROR(__xludf.DUMMYFUNCTION("""COMPUTED_VALUE"""),"Onion")</f>
        <v>Onion</v>
      </c>
      <c r="E2414" s="18">
        <f>IFERROR(__xludf.DUMMYFUNCTION("""COMPUTED_VALUE"""),1.0)</f>
        <v>1</v>
      </c>
      <c r="F2414" s="18" t="str">
        <f>IFERROR(__xludf.DUMMYFUNCTION("""COMPUTED_VALUE"""),"Nithin Lal")</f>
        <v>Nithin Lal</v>
      </c>
      <c r="G2414" s="19">
        <f>IFERROR(__xludf.DUMMYFUNCTION("""COMPUTED_VALUE"""),45179.0)</f>
        <v>45179</v>
      </c>
      <c r="H2414" s="18" t="str">
        <f>IFERROR(__xludf.DUMMYFUNCTION("""COMPUTED_VALUE"""),"Online Payment")</f>
        <v>Online Payment</v>
      </c>
      <c r="I2414" s="18" t="str">
        <f>IFERROR(__xludf.DUMMYFUNCTION("""COMPUTED_VALUE"""),"Delivered")</f>
        <v>Delivered</v>
      </c>
      <c r="J2414" s="18" t="str">
        <f>IFERROR(__xludf.DUMMYFUNCTION("""COMPUTED_VALUE"""),"Convenience")</f>
        <v>Convenience</v>
      </c>
      <c r="K2414" s="18" t="str">
        <f>IFERROR(__xludf.DUMMYFUNCTION("""COMPUTED_VALUE"""),"Easy tracking")</f>
        <v>Easy tracking</v>
      </c>
      <c r="L2414" s="18">
        <f>iferror(VLOOKUP($D2414,Details!$A$2:$C$11,2,false),vlookup($D2414,Details!$E$2:$G$11,2,false))</f>
        <v>84</v>
      </c>
      <c r="M2414" s="18" t="str">
        <f>iferror(VLOOKUP($D2414,Details!$A$2:$C$11,3,false),vlookup($D2414,Details!$E$2:$G$11,3,false))</f>
        <v>Fruits and Vegetables</v>
      </c>
      <c r="N2414" s="18">
        <f t="shared" si="1"/>
        <v>84</v>
      </c>
      <c r="O2414" s="17"/>
      <c r="P2414" s="17"/>
      <c r="Q2414" s="17"/>
      <c r="R2414" s="17"/>
      <c r="S2414" s="17"/>
      <c r="T2414" s="17"/>
      <c r="U2414" s="17"/>
      <c r="V2414" s="17"/>
      <c r="W2414" s="17"/>
      <c r="X2414" s="17"/>
      <c r="Y2414" s="17"/>
      <c r="Z2414" s="17"/>
    </row>
    <row r="2415">
      <c r="A2415" s="18" t="str">
        <f>IFERROR(__xludf.DUMMYFUNCTION("""COMPUTED_VALUE"""),"ord_92287")</f>
        <v>ord_92287</v>
      </c>
      <c r="B2415" s="18" t="str">
        <f>IFERROR(__xludf.DUMMYFUNCTION("""COMPUTED_VALUE"""),"Diya Arora")</f>
        <v>Diya Arora</v>
      </c>
      <c r="C2415" s="18" t="str">
        <f>IFERROR(__xludf.DUMMYFUNCTION("""COMPUTED_VALUE"""),"Lower Parel")</f>
        <v>Lower Parel</v>
      </c>
      <c r="D2415" s="18" t="str">
        <f>IFERROR(__xludf.DUMMYFUNCTION("""COMPUTED_VALUE"""),"Orange")</f>
        <v>Orange</v>
      </c>
      <c r="E2415" s="18">
        <f>IFERROR(__xludf.DUMMYFUNCTION("""COMPUTED_VALUE"""),1.0)</f>
        <v>1</v>
      </c>
      <c r="F2415" s="18" t="str">
        <f>IFERROR(__xludf.DUMMYFUNCTION("""COMPUTED_VALUE"""),"Venu R")</f>
        <v>Venu R</v>
      </c>
      <c r="G2415" s="19">
        <f>IFERROR(__xludf.DUMMYFUNCTION("""COMPUTED_VALUE"""),45240.0)</f>
        <v>45240</v>
      </c>
      <c r="H2415" s="18" t="str">
        <f>IFERROR(__xludf.DUMMYFUNCTION("""COMPUTED_VALUE"""),"Online Payment")</f>
        <v>Online Payment</v>
      </c>
      <c r="I2415" s="18" t="str">
        <f>IFERROR(__xludf.DUMMYFUNCTION("""COMPUTED_VALUE"""),"Delivered")</f>
        <v>Delivered</v>
      </c>
      <c r="J2415" s="18" t="str">
        <f>IFERROR(__xludf.DUMMYFUNCTION("""COMPUTED_VALUE"""),"Overall Satisfaction")</f>
        <v>Overall Satisfaction</v>
      </c>
      <c r="K2415" s="18" t="str">
        <f>IFERROR(__xludf.DUMMYFUNCTION("""COMPUTED_VALUE"""),"Great service will order again")</f>
        <v>Great service will order again</v>
      </c>
      <c r="L2415" s="18">
        <f>iferror(VLOOKUP($D2415,Details!$A$2:$C$11,2,false),vlookup($D2415,Details!$E$2:$G$11,2,false))</f>
        <v>180</v>
      </c>
      <c r="M2415" s="18" t="str">
        <f>iferror(VLOOKUP($D2415,Details!$A$2:$C$11,3,false),vlookup($D2415,Details!$E$2:$G$11,3,false))</f>
        <v>Fruits and Vegetables</v>
      </c>
      <c r="N2415" s="18">
        <f t="shared" si="1"/>
        <v>180</v>
      </c>
      <c r="O2415" s="17"/>
      <c r="P2415" s="17"/>
      <c r="Q2415" s="17"/>
      <c r="R2415" s="17"/>
      <c r="S2415" s="17"/>
      <c r="T2415" s="17"/>
      <c r="U2415" s="17"/>
      <c r="V2415" s="17"/>
      <c r="W2415" s="17"/>
      <c r="X2415" s="17"/>
      <c r="Y2415" s="17"/>
      <c r="Z2415" s="17"/>
    </row>
    <row r="2416">
      <c r="A2416" s="18" t="str">
        <f>IFERROR(__xludf.DUMMYFUNCTION("""COMPUTED_VALUE"""),"ord_92288")</f>
        <v>ord_92288</v>
      </c>
      <c r="B2416" s="18" t="str">
        <f>IFERROR(__xludf.DUMMYFUNCTION("""COMPUTED_VALUE"""),"Omkar Mishra")</f>
        <v>Omkar Mishra</v>
      </c>
      <c r="C2416" s="18" t="str">
        <f>IFERROR(__xludf.DUMMYFUNCTION("""COMPUTED_VALUE"""),"Powai")</f>
        <v>Powai</v>
      </c>
      <c r="D2416" s="18" t="str">
        <f>IFERROR(__xludf.DUMMYFUNCTION("""COMPUTED_VALUE"""),"Chocolate Mousse")</f>
        <v>Chocolate Mousse</v>
      </c>
      <c r="E2416" s="18">
        <f>IFERROR(__xludf.DUMMYFUNCTION("""COMPUTED_VALUE"""),3.0)</f>
        <v>3</v>
      </c>
      <c r="F2416" s="18" t="str">
        <f>IFERROR(__xludf.DUMMYFUNCTION("""COMPUTED_VALUE"""),"Ram Gopal")</f>
        <v>Ram Gopal</v>
      </c>
      <c r="G2416" s="19">
        <f>IFERROR(__xludf.DUMMYFUNCTION("""COMPUTED_VALUE"""),45183.0)</f>
        <v>45183</v>
      </c>
      <c r="H2416" s="18" t="str">
        <f>IFERROR(__xludf.DUMMYFUNCTION("""COMPUTED_VALUE"""),"UPI")</f>
        <v>UPI</v>
      </c>
      <c r="I2416" s="18" t="str">
        <f>IFERROR(__xludf.DUMMYFUNCTION("""COMPUTED_VALUE"""),"Delivered")</f>
        <v>Delivered</v>
      </c>
      <c r="J2416" s="18" t="str">
        <f>IFERROR(__xludf.DUMMYFUNCTION("""COMPUTED_VALUE"""),"On-time Delivery")</f>
        <v>On-time Delivery</v>
      </c>
      <c r="K2416" s="18" t="str">
        <f>IFERROR(__xludf.DUMMYFUNCTION("""COMPUTED_VALUE"""),"Delivered on time")</f>
        <v>Delivered on time</v>
      </c>
      <c r="L2416" s="18">
        <f>iferror(VLOOKUP($D2416,Details!$A$2:$C$11,2,false),vlookup($D2416,Details!$E$2:$G$11,2,false))</f>
        <v>145</v>
      </c>
      <c r="M2416" s="18" t="str">
        <f>iferror(VLOOKUP($D2416,Details!$A$2:$C$11,3,false),vlookup($D2416,Details!$E$2:$G$11,3,false))</f>
        <v>Snacks and Drinks</v>
      </c>
      <c r="N2416" s="18">
        <f t="shared" si="1"/>
        <v>435</v>
      </c>
      <c r="O2416" s="17"/>
      <c r="P2416" s="17"/>
      <c r="Q2416" s="17"/>
      <c r="R2416" s="17"/>
      <c r="S2416" s="17"/>
      <c r="T2416" s="17"/>
      <c r="U2416" s="17"/>
      <c r="V2416" s="17"/>
      <c r="W2416" s="17"/>
      <c r="X2416" s="17"/>
      <c r="Y2416" s="17"/>
      <c r="Z2416" s="17"/>
    </row>
    <row r="2417">
      <c r="A2417" s="18" t="str">
        <f>IFERROR(__xludf.DUMMYFUNCTION("""COMPUTED_VALUE"""),"ord_92289")</f>
        <v>ord_92289</v>
      </c>
      <c r="B2417" s="18" t="str">
        <f>IFERROR(__xludf.DUMMYFUNCTION("""COMPUTED_VALUE"""),"Dev Chauhan")</f>
        <v>Dev Chauhan</v>
      </c>
      <c r="C2417" s="18" t="str">
        <f>IFERROR(__xludf.DUMMYFUNCTION("""COMPUTED_VALUE"""),"Bandra")</f>
        <v>Bandra</v>
      </c>
      <c r="D2417" s="18" t="str">
        <f>IFERROR(__xludf.DUMMYFUNCTION("""COMPUTED_VALUE"""),"Chicken Puff")</f>
        <v>Chicken Puff</v>
      </c>
      <c r="E2417" s="18">
        <f>IFERROR(__xludf.DUMMYFUNCTION("""COMPUTED_VALUE"""),5.0)</f>
        <v>5</v>
      </c>
      <c r="F2417" s="18" t="str">
        <f>IFERROR(__xludf.DUMMYFUNCTION("""COMPUTED_VALUE"""),"Venu R")</f>
        <v>Venu R</v>
      </c>
      <c r="G2417" s="19">
        <f>IFERROR(__xludf.DUMMYFUNCTION("""COMPUTED_VALUE"""),45211.0)</f>
        <v>45211</v>
      </c>
      <c r="H2417" s="18" t="str">
        <f>IFERROR(__xludf.DUMMYFUNCTION("""COMPUTED_VALUE"""),"Online Payment")</f>
        <v>Online Payment</v>
      </c>
      <c r="I2417" s="18" t="str">
        <f>IFERROR(__xludf.DUMMYFUNCTION("""COMPUTED_VALUE"""),"Delivered")</f>
        <v>Delivered</v>
      </c>
      <c r="J2417" s="18" t="str">
        <f>IFERROR(__xludf.DUMMYFUNCTION("""COMPUTED_VALUE"""),"Quality of Items")</f>
        <v>Quality of Items</v>
      </c>
      <c r="K2417" s="18" t="str">
        <f>IFERROR(__xludf.DUMMYFUNCTION("""COMPUTED_VALUE"""),"Perfect condition")</f>
        <v>Perfect condition</v>
      </c>
      <c r="L2417" s="18">
        <f>iferror(VLOOKUP($D2417,Details!$A$2:$C$11,2,false),vlookup($D2417,Details!$E$2:$G$11,2,false))</f>
        <v>90</v>
      </c>
      <c r="M2417" s="18" t="str">
        <f>iferror(VLOOKUP($D2417,Details!$A$2:$C$11,3,false),vlookup($D2417,Details!$E$2:$G$11,3,false))</f>
        <v>Snacks and Drinks</v>
      </c>
      <c r="N2417" s="18">
        <f t="shared" si="1"/>
        <v>450</v>
      </c>
      <c r="O2417" s="17"/>
      <c r="P2417" s="17"/>
      <c r="Q2417" s="17"/>
      <c r="R2417" s="17"/>
      <c r="S2417" s="17"/>
      <c r="T2417" s="17"/>
      <c r="U2417" s="17"/>
      <c r="V2417" s="17"/>
      <c r="W2417" s="17"/>
      <c r="X2417" s="17"/>
      <c r="Y2417" s="17"/>
      <c r="Z2417" s="17"/>
    </row>
    <row r="2418">
      <c r="A2418" s="18" t="str">
        <f>IFERROR(__xludf.DUMMYFUNCTION("""COMPUTED_VALUE"""),"ord_92290")</f>
        <v>ord_92290</v>
      </c>
      <c r="B2418" s="18" t="str">
        <f>IFERROR(__xludf.DUMMYFUNCTION("""COMPUTED_VALUE"""),"Anaya Rao")</f>
        <v>Anaya Rao</v>
      </c>
      <c r="C2418" s="18" t="str">
        <f>IFERROR(__xludf.DUMMYFUNCTION("""COMPUTED_VALUE"""),"Colaba")</f>
        <v>Colaba</v>
      </c>
      <c r="D2418" s="18" t="str">
        <f>IFERROR(__xludf.DUMMYFUNCTION("""COMPUTED_VALUE"""),"Juice")</f>
        <v>Juice</v>
      </c>
      <c r="E2418" s="18">
        <f>IFERROR(__xludf.DUMMYFUNCTION("""COMPUTED_VALUE"""),1.0)</f>
        <v>1</v>
      </c>
      <c r="F2418" s="18" t="str">
        <f>IFERROR(__xludf.DUMMYFUNCTION("""COMPUTED_VALUE"""),"Not Assigned")</f>
        <v>Not Assigned</v>
      </c>
      <c r="G2418" s="19">
        <f>IFERROR(__xludf.DUMMYFUNCTION("""COMPUTED_VALUE"""),45207.0)</f>
        <v>45207</v>
      </c>
      <c r="H2418" s="18" t="str">
        <f>IFERROR(__xludf.DUMMYFUNCTION("""COMPUTED_VALUE"""),"Online Payment")</f>
        <v>Online Payment</v>
      </c>
      <c r="I2418" s="18" t="str">
        <f>IFERROR(__xludf.DUMMYFUNCTION("""COMPUTED_VALUE"""),"Cancelled")</f>
        <v>Cancelled</v>
      </c>
      <c r="J2418" s="18" t="str">
        <f>IFERROR(__xludf.DUMMYFUNCTION("""COMPUTED_VALUE"""),"App Glitches")</f>
        <v>App Glitches</v>
      </c>
      <c r="K2418" s="18" t="str">
        <f>IFERROR(__xludf.DUMMYFUNCTION("""COMPUTED_VALUE"""),"Payment Button Malfunction")</f>
        <v>Payment Button Malfunction</v>
      </c>
      <c r="L2418" s="18">
        <f>iferror(VLOOKUP($D2418,Details!$A$2:$C$11,2,false),vlookup($D2418,Details!$E$2:$G$11,2,false))</f>
        <v>90</v>
      </c>
      <c r="M2418" s="18" t="str">
        <f>iferror(VLOOKUP($D2418,Details!$A$2:$C$11,3,false),vlookup($D2418,Details!$E$2:$G$11,3,false))</f>
        <v>Snacks and Drinks</v>
      </c>
      <c r="N2418" s="18">
        <f t="shared" si="1"/>
        <v>90</v>
      </c>
      <c r="O2418" s="17"/>
      <c r="P2418" s="17"/>
      <c r="Q2418" s="17"/>
      <c r="R2418" s="17"/>
      <c r="S2418" s="17"/>
      <c r="T2418" s="17"/>
      <c r="U2418" s="17"/>
      <c r="V2418" s="17"/>
      <c r="W2418" s="17"/>
      <c r="X2418" s="17"/>
      <c r="Y2418" s="17"/>
      <c r="Z2418" s="17"/>
    </row>
    <row r="2419">
      <c r="A2419" s="18" t="str">
        <f>IFERROR(__xludf.DUMMYFUNCTION("""COMPUTED_VALUE"""),"ord_92291")</f>
        <v>ord_92291</v>
      </c>
      <c r="B2419" s="18" t="str">
        <f>IFERROR(__xludf.DUMMYFUNCTION("""COMPUTED_VALUE"""),"Parth Goel")</f>
        <v>Parth Goel</v>
      </c>
      <c r="C2419" s="18" t="str">
        <f>IFERROR(__xludf.DUMMYFUNCTION("""COMPUTED_VALUE"""),"Juhu")</f>
        <v>Juhu</v>
      </c>
      <c r="D2419" s="18" t="str">
        <f>IFERROR(__xludf.DUMMYFUNCTION("""COMPUTED_VALUE"""),"Rasmalai")</f>
        <v>Rasmalai</v>
      </c>
      <c r="E2419" s="18">
        <f>IFERROR(__xludf.DUMMYFUNCTION("""COMPUTED_VALUE"""),4.0)</f>
        <v>4</v>
      </c>
      <c r="F2419" s="18" t="str">
        <f>IFERROR(__xludf.DUMMYFUNCTION("""COMPUTED_VALUE"""),"Nithin Lal")</f>
        <v>Nithin Lal</v>
      </c>
      <c r="G2419" s="19">
        <f>IFERROR(__xludf.DUMMYFUNCTION("""COMPUTED_VALUE"""),45244.0)</f>
        <v>45244</v>
      </c>
      <c r="H2419" s="18" t="str">
        <f>IFERROR(__xludf.DUMMYFUNCTION("""COMPUTED_VALUE"""),"Credit Card")</f>
        <v>Credit Card</v>
      </c>
      <c r="I2419" s="18" t="str">
        <f>IFERROR(__xludf.DUMMYFUNCTION("""COMPUTED_VALUE"""),"Delivered")</f>
        <v>Delivered</v>
      </c>
      <c r="J2419" s="18" t="str">
        <f>IFERROR(__xludf.DUMMYFUNCTION("""COMPUTED_VALUE"""),"Packaging")</f>
        <v>Packaging</v>
      </c>
      <c r="K2419" s="18" t="str">
        <f>IFERROR(__xludf.DUMMYFUNCTION("""COMPUTED_VALUE"""),"Secure and intact")</f>
        <v>Secure and intact</v>
      </c>
      <c r="L2419" s="18">
        <f>iferror(VLOOKUP($D2419,Details!$A$2:$C$11,2,false),vlookup($D2419,Details!$E$2:$G$11,2,false))</f>
        <v>110</v>
      </c>
      <c r="M2419" s="18" t="str">
        <f>iferror(VLOOKUP($D2419,Details!$A$2:$C$11,3,false),vlookup($D2419,Details!$E$2:$G$11,3,false))</f>
        <v>Snacks and Drinks</v>
      </c>
      <c r="N2419" s="18">
        <f t="shared" si="1"/>
        <v>440</v>
      </c>
      <c r="O2419" s="17"/>
      <c r="P2419" s="17"/>
      <c r="Q2419" s="17"/>
      <c r="R2419" s="17"/>
      <c r="S2419" s="17"/>
      <c r="T2419" s="17"/>
      <c r="U2419" s="17"/>
      <c r="V2419" s="17"/>
      <c r="W2419" s="17"/>
      <c r="X2419" s="17"/>
      <c r="Y2419" s="17"/>
      <c r="Z2419" s="17"/>
    </row>
    <row r="2420">
      <c r="A2420" s="18" t="str">
        <f>IFERROR(__xludf.DUMMYFUNCTION("""COMPUTED_VALUE"""),"ord_92292")</f>
        <v>ord_92292</v>
      </c>
      <c r="B2420" s="18" t="str">
        <f>IFERROR(__xludf.DUMMYFUNCTION("""COMPUTED_VALUE"""),"Pranav Joshi")</f>
        <v>Pranav Joshi</v>
      </c>
      <c r="C2420" s="18" t="str">
        <f>IFERROR(__xludf.DUMMYFUNCTION("""COMPUTED_VALUE"""),"Andheri")</f>
        <v>Andheri</v>
      </c>
      <c r="D2420" s="18" t="str">
        <f>IFERROR(__xludf.DUMMYFUNCTION("""COMPUTED_VALUE"""),"Potato")</f>
        <v>Potato</v>
      </c>
      <c r="E2420" s="18">
        <f>IFERROR(__xludf.DUMMYFUNCTION("""COMPUTED_VALUE"""),1.0)</f>
        <v>1</v>
      </c>
      <c r="F2420" s="18" t="str">
        <f>IFERROR(__xludf.DUMMYFUNCTION("""COMPUTED_VALUE"""),"Ramesh S")</f>
        <v>Ramesh S</v>
      </c>
      <c r="G2420" s="19">
        <f>IFERROR(__xludf.DUMMYFUNCTION("""COMPUTED_VALUE"""),45272.0)</f>
        <v>45272</v>
      </c>
      <c r="H2420" s="18" t="str">
        <f>IFERROR(__xludf.DUMMYFUNCTION("""COMPUTED_VALUE"""),"Online Payment")</f>
        <v>Online Payment</v>
      </c>
      <c r="I2420" s="18" t="str">
        <f>IFERROR(__xludf.DUMMYFUNCTION("""COMPUTED_VALUE"""),"Delivered")</f>
        <v>Delivered</v>
      </c>
      <c r="J2420" s="18" t="str">
        <f>IFERROR(__xludf.DUMMYFUNCTION("""COMPUTED_VALUE"""),"Satisfied with the Delivery")</f>
        <v>Satisfied with the Delivery</v>
      </c>
      <c r="K2420" s="18" t="str">
        <f>IFERROR(__xludf.DUMMYFUNCTION("""COMPUTED_VALUE"""),"Timely and quality")</f>
        <v>Timely and quality</v>
      </c>
      <c r="L2420" s="18">
        <f>iferror(VLOOKUP($D2420,Details!$A$2:$C$11,2,false),vlookup($D2420,Details!$E$2:$G$11,2,false))</f>
        <v>55</v>
      </c>
      <c r="M2420" s="18" t="str">
        <f>iferror(VLOOKUP($D2420,Details!$A$2:$C$11,3,false),vlookup($D2420,Details!$E$2:$G$11,3,false))</f>
        <v>Fruits and Vegetables</v>
      </c>
      <c r="N2420" s="18">
        <f t="shared" si="1"/>
        <v>55</v>
      </c>
      <c r="O2420" s="17"/>
      <c r="P2420" s="17"/>
      <c r="Q2420" s="17"/>
      <c r="R2420" s="17"/>
      <c r="S2420" s="17"/>
      <c r="T2420" s="17"/>
      <c r="U2420" s="17"/>
      <c r="V2420" s="17"/>
      <c r="W2420" s="17"/>
      <c r="X2420" s="17"/>
      <c r="Y2420" s="17"/>
      <c r="Z2420" s="17"/>
    </row>
    <row r="2421">
      <c r="A2421" s="18" t="str">
        <f>IFERROR(__xludf.DUMMYFUNCTION("""COMPUTED_VALUE"""),"ord_92386")</f>
        <v>ord_92386</v>
      </c>
      <c r="B2421" s="18" t="str">
        <f>IFERROR(__xludf.DUMMYFUNCTION("""COMPUTED_VALUE"""),"Pallavi Ghosh")</f>
        <v>Pallavi Ghosh</v>
      </c>
      <c r="C2421" s="18" t="str">
        <f>IFERROR(__xludf.DUMMYFUNCTION("""COMPUTED_VALUE"""),"Bandra")</f>
        <v>Bandra</v>
      </c>
      <c r="D2421" s="18" t="str">
        <f>IFERROR(__xludf.DUMMYFUNCTION("""COMPUTED_VALUE"""),"Cucumber")</f>
        <v>Cucumber</v>
      </c>
      <c r="E2421" s="18">
        <f>IFERROR(__xludf.DUMMYFUNCTION("""COMPUTED_VALUE"""),2.0)</f>
        <v>2</v>
      </c>
      <c r="F2421" s="18" t="str">
        <f>IFERROR(__xludf.DUMMYFUNCTION("""COMPUTED_VALUE"""),"Sita T")</f>
        <v>Sita T</v>
      </c>
      <c r="G2421" s="19">
        <f>IFERROR(__xludf.DUMMYFUNCTION("""COMPUTED_VALUE"""),45238.0)</f>
        <v>45238</v>
      </c>
      <c r="H2421" s="18" t="str">
        <f>IFERROR(__xludf.DUMMYFUNCTION("""COMPUTED_VALUE"""),"Credit Card")</f>
        <v>Credit Card</v>
      </c>
      <c r="I2421" s="18" t="str">
        <f>IFERROR(__xludf.DUMMYFUNCTION("""COMPUTED_VALUE"""),"Delivered")</f>
        <v>Delivered</v>
      </c>
      <c r="J2421" s="18" t="str">
        <f>IFERROR(__xludf.DUMMYFUNCTION("""COMPUTED_VALUE"""),"Customer Service")</f>
        <v>Customer Service</v>
      </c>
      <c r="K2421" s="18" t="str">
        <f>IFERROR(__xludf.DUMMYFUNCTION("""COMPUTED_VALUE"""),"Seamless and easy")</f>
        <v>Seamless and easy</v>
      </c>
      <c r="L2421" s="18">
        <f>iferror(VLOOKUP($D2421,Details!$A$2:$C$11,2,false),vlookup($D2421,Details!$E$2:$G$11,2,false))</f>
        <v>30</v>
      </c>
      <c r="M2421" s="18" t="str">
        <f>iferror(VLOOKUP($D2421,Details!$A$2:$C$11,3,false),vlookup($D2421,Details!$E$2:$G$11,3,false))</f>
        <v>Fruits and Vegetables</v>
      </c>
      <c r="N2421" s="18">
        <f t="shared" si="1"/>
        <v>60</v>
      </c>
      <c r="O2421" s="17"/>
      <c r="P2421" s="17"/>
      <c r="Q2421" s="17"/>
      <c r="R2421" s="17"/>
      <c r="S2421" s="17"/>
      <c r="T2421" s="17"/>
      <c r="U2421" s="17"/>
      <c r="V2421" s="17"/>
      <c r="W2421" s="17"/>
      <c r="X2421" s="17"/>
      <c r="Y2421" s="17"/>
      <c r="Z2421" s="17"/>
    </row>
    <row r="2422">
      <c r="A2422" s="18" t="str">
        <f>IFERROR(__xludf.DUMMYFUNCTION("""COMPUTED_VALUE"""),"ord_92480")</f>
        <v>ord_92480</v>
      </c>
      <c r="B2422" s="18" t="str">
        <f>IFERROR(__xludf.DUMMYFUNCTION("""COMPUTED_VALUE"""),"Dev Chauhan")</f>
        <v>Dev Chauhan</v>
      </c>
      <c r="C2422" s="18" t="str">
        <f>IFERROR(__xludf.DUMMYFUNCTION("""COMPUTED_VALUE"""),"Bandra")</f>
        <v>Bandra</v>
      </c>
      <c r="D2422" s="18" t="str">
        <f>IFERROR(__xludf.DUMMYFUNCTION("""COMPUTED_VALUE"""),"Chilli Cheese Toast")</f>
        <v>Chilli Cheese Toast</v>
      </c>
      <c r="E2422" s="18">
        <f>IFERROR(__xludf.DUMMYFUNCTION("""COMPUTED_VALUE"""),2.0)</f>
        <v>2</v>
      </c>
      <c r="F2422" s="18" t="str">
        <f>IFERROR(__xludf.DUMMYFUNCTION("""COMPUTED_VALUE"""),"Priya Joshi")</f>
        <v>Priya Joshi</v>
      </c>
      <c r="G2422" s="19">
        <f>IFERROR(__xludf.DUMMYFUNCTION("""COMPUTED_VALUE"""),44939.0)</f>
        <v>44939</v>
      </c>
      <c r="H2422" s="18" t="str">
        <f>IFERROR(__xludf.DUMMYFUNCTION("""COMPUTED_VALUE"""),"UPI")</f>
        <v>UPI</v>
      </c>
      <c r="I2422" s="18" t="str">
        <f>IFERROR(__xludf.DUMMYFUNCTION("""COMPUTED_VALUE"""),"Delivered")</f>
        <v>Delivered</v>
      </c>
      <c r="J2422" s="18" t="str">
        <f>IFERROR(__xludf.DUMMYFUNCTION("""COMPUTED_VALUE"""),"Delivery Experience")</f>
        <v>Delivery Experience</v>
      </c>
      <c r="K2422" s="18" t="str">
        <f>IFERROR(__xludf.DUMMYFUNCTION("""COMPUTED_VALUE"""),"Quick and professional")</f>
        <v>Quick and professional</v>
      </c>
      <c r="L2422" s="18">
        <f>iferror(VLOOKUP($D2422,Details!$A$2:$C$11,2,false),vlookup($D2422,Details!$E$2:$G$11,2,false))</f>
        <v>80</v>
      </c>
      <c r="M2422" s="18" t="str">
        <f>iferror(VLOOKUP($D2422,Details!$A$2:$C$11,3,false),vlookup($D2422,Details!$E$2:$G$11,3,false))</f>
        <v>Snacks and Drinks</v>
      </c>
      <c r="N2422" s="18">
        <f t="shared" si="1"/>
        <v>160</v>
      </c>
      <c r="O2422" s="17"/>
      <c r="P2422" s="17"/>
      <c r="Q2422" s="17"/>
      <c r="R2422" s="17"/>
      <c r="S2422" s="17"/>
      <c r="T2422" s="17"/>
      <c r="U2422" s="17"/>
      <c r="V2422" s="17"/>
      <c r="W2422" s="17"/>
      <c r="X2422" s="17"/>
      <c r="Y2422" s="17"/>
      <c r="Z2422" s="17"/>
    </row>
    <row r="2423">
      <c r="A2423" s="18" t="str">
        <f>IFERROR(__xludf.DUMMYFUNCTION("""COMPUTED_VALUE"""),"ord_92574")</f>
        <v>ord_92574</v>
      </c>
      <c r="B2423" s="18" t="str">
        <f>IFERROR(__xludf.DUMMYFUNCTION("""COMPUTED_VALUE"""),"Riya Chakraborty")</f>
        <v>Riya Chakraborty</v>
      </c>
      <c r="C2423" s="18" t="str">
        <f>IFERROR(__xludf.DUMMYFUNCTION("""COMPUTED_VALUE"""),"Juhu")</f>
        <v>Juhu</v>
      </c>
      <c r="D2423" s="18" t="str">
        <f>IFERROR(__xludf.DUMMYFUNCTION("""COMPUTED_VALUE"""),"Cold Coffee")</f>
        <v>Cold Coffee</v>
      </c>
      <c r="E2423" s="18">
        <f>IFERROR(__xludf.DUMMYFUNCTION("""COMPUTED_VALUE"""),8.0)</f>
        <v>8</v>
      </c>
      <c r="F2423" s="18" t="str">
        <f>IFERROR(__xludf.DUMMYFUNCTION("""COMPUTED_VALUE"""),"Tanvi Jain")</f>
        <v>Tanvi Jain</v>
      </c>
      <c r="G2423" s="19">
        <f>IFERROR(__xludf.DUMMYFUNCTION("""COMPUTED_VALUE"""),45120.0)</f>
        <v>45120</v>
      </c>
      <c r="H2423" s="18" t="str">
        <f>IFERROR(__xludf.DUMMYFUNCTION("""COMPUTED_VALUE"""),"Credit Card")</f>
        <v>Credit Card</v>
      </c>
      <c r="I2423" s="18" t="str">
        <f>IFERROR(__xludf.DUMMYFUNCTION("""COMPUTED_VALUE"""),"Delivered")</f>
        <v>Delivered</v>
      </c>
      <c r="J2423" s="18" t="str">
        <f>IFERROR(__xludf.DUMMYFUNCTION("""COMPUTED_VALUE"""),"Convenience")</f>
        <v>Convenience</v>
      </c>
      <c r="K2423" s="18" t="str">
        <f>IFERROR(__xludf.DUMMYFUNCTION("""COMPUTED_VALUE"""),"Easy tracking")</f>
        <v>Easy tracking</v>
      </c>
      <c r="L2423" s="18">
        <f>iferror(VLOOKUP($D2423,Details!$A$2:$C$11,2,false),vlookup($D2423,Details!$E$2:$G$11,2,false))</f>
        <v>270</v>
      </c>
      <c r="M2423" s="18" t="str">
        <f>iferror(VLOOKUP($D2423,Details!$A$2:$C$11,3,false),vlookup($D2423,Details!$E$2:$G$11,3,false))</f>
        <v>Snacks and Drinks</v>
      </c>
      <c r="N2423" s="18">
        <f t="shared" si="1"/>
        <v>2160</v>
      </c>
      <c r="O2423" s="17"/>
      <c r="P2423" s="17"/>
      <c r="Q2423" s="17"/>
      <c r="R2423" s="17"/>
      <c r="S2423" s="17"/>
      <c r="T2423" s="17"/>
      <c r="U2423" s="17"/>
      <c r="V2423" s="17"/>
      <c r="W2423" s="17"/>
      <c r="X2423" s="17"/>
      <c r="Y2423" s="17"/>
      <c r="Z2423" s="17"/>
    </row>
    <row r="2424">
      <c r="A2424" s="18" t="str">
        <f>IFERROR(__xludf.DUMMYFUNCTION("""COMPUTED_VALUE"""),"ord_92668")</f>
        <v>ord_92668</v>
      </c>
      <c r="B2424" s="18" t="str">
        <f>IFERROR(__xludf.DUMMYFUNCTION("""COMPUTED_VALUE"""),"Omkar Mishra")</f>
        <v>Omkar Mishra</v>
      </c>
      <c r="C2424" s="18" t="str">
        <f>IFERROR(__xludf.DUMMYFUNCTION("""COMPUTED_VALUE"""),"Powai")</f>
        <v>Powai</v>
      </c>
      <c r="D2424" s="18" t="str">
        <f>IFERROR(__xludf.DUMMYFUNCTION("""COMPUTED_VALUE"""),"Tiramisu")</f>
        <v>Tiramisu</v>
      </c>
      <c r="E2424" s="18">
        <f>IFERROR(__xludf.DUMMYFUNCTION("""COMPUTED_VALUE"""),2.0)</f>
        <v>2</v>
      </c>
      <c r="F2424" s="18" t="str">
        <f>IFERROR(__xludf.DUMMYFUNCTION("""COMPUTED_VALUE"""),"Sandeep Kumar")</f>
        <v>Sandeep Kumar</v>
      </c>
      <c r="G2424" s="19">
        <f>IFERROR(__xludf.DUMMYFUNCTION("""COMPUTED_VALUE"""),45265.0)</f>
        <v>45265</v>
      </c>
      <c r="H2424" s="18" t="str">
        <f>IFERROR(__xludf.DUMMYFUNCTION("""COMPUTED_VALUE"""),"Online Payment")</f>
        <v>Online Payment</v>
      </c>
      <c r="I2424" s="18" t="str">
        <f>IFERROR(__xludf.DUMMYFUNCTION("""COMPUTED_VALUE"""),"Delivered")</f>
        <v>Delivered</v>
      </c>
      <c r="J2424" s="18" t="str">
        <f>IFERROR(__xludf.DUMMYFUNCTION("""COMPUTED_VALUE"""),"Overall Satisfaction")</f>
        <v>Overall Satisfaction</v>
      </c>
      <c r="K2424" s="18" t="str">
        <f>IFERROR(__xludf.DUMMYFUNCTION("""COMPUTED_VALUE"""),"Great service will order again")</f>
        <v>Great service will order again</v>
      </c>
      <c r="L2424" s="18">
        <f>iferror(VLOOKUP($D2424,Details!$A$2:$C$11,2,false),vlookup($D2424,Details!$E$2:$G$11,2,false))</f>
        <v>150</v>
      </c>
      <c r="M2424" s="18" t="str">
        <f>iferror(VLOOKUP($D2424,Details!$A$2:$C$11,3,false),vlookup($D2424,Details!$E$2:$G$11,3,false))</f>
        <v>Snacks and Drinks</v>
      </c>
      <c r="N2424" s="18">
        <f t="shared" si="1"/>
        <v>300</v>
      </c>
      <c r="O2424" s="17"/>
      <c r="P2424" s="17"/>
      <c r="Q2424" s="17"/>
      <c r="R2424" s="17"/>
      <c r="S2424" s="17"/>
      <c r="T2424" s="17"/>
      <c r="U2424" s="17"/>
      <c r="V2424" s="17"/>
      <c r="W2424" s="17"/>
      <c r="X2424" s="17"/>
      <c r="Y2424" s="17"/>
      <c r="Z2424" s="17"/>
    </row>
    <row r="2425">
      <c r="A2425" s="18" t="str">
        <f>IFERROR(__xludf.DUMMYFUNCTION("""COMPUTED_VALUE"""),"ord_92762")</f>
        <v>ord_92762</v>
      </c>
      <c r="B2425" s="18" t="str">
        <f>IFERROR(__xludf.DUMMYFUNCTION("""COMPUTED_VALUE"""),"Sanjay Nair")</f>
        <v>Sanjay Nair</v>
      </c>
      <c r="C2425" s="18" t="str">
        <f>IFERROR(__xludf.DUMMYFUNCTION("""COMPUTED_VALUE"""),"Dadar")</f>
        <v>Dadar</v>
      </c>
      <c r="D2425" s="18" t="str">
        <f>IFERROR(__xludf.DUMMYFUNCTION("""COMPUTED_VALUE"""),"Veg Puff")</f>
        <v>Veg Puff</v>
      </c>
      <c r="E2425" s="18">
        <f>IFERROR(__xludf.DUMMYFUNCTION("""COMPUTED_VALUE"""),4.0)</f>
        <v>4</v>
      </c>
      <c r="F2425" s="18" t="str">
        <f>IFERROR(__xludf.DUMMYFUNCTION("""COMPUTED_VALUE"""),"Aman Kumar")</f>
        <v>Aman Kumar</v>
      </c>
      <c r="G2425" s="19">
        <f>IFERROR(__xludf.DUMMYFUNCTION("""COMPUTED_VALUE"""),45245.0)</f>
        <v>45245</v>
      </c>
      <c r="H2425" s="18" t="str">
        <f>IFERROR(__xludf.DUMMYFUNCTION("""COMPUTED_VALUE"""),"Credit Card")</f>
        <v>Credit Card</v>
      </c>
      <c r="I2425" s="18" t="str">
        <f>IFERROR(__xludf.DUMMYFUNCTION("""COMPUTED_VALUE"""),"Delivered")</f>
        <v>Delivered</v>
      </c>
      <c r="J2425" s="18" t="str">
        <f>IFERROR(__xludf.DUMMYFUNCTION("""COMPUTED_VALUE"""),"On-time Delivery")</f>
        <v>On-time Delivery</v>
      </c>
      <c r="K2425" s="18" t="str">
        <f>IFERROR(__xludf.DUMMYFUNCTION("""COMPUTED_VALUE"""),"Delivered on time")</f>
        <v>Delivered on time</v>
      </c>
      <c r="L2425" s="18">
        <f>iferror(VLOOKUP($D2425,Details!$A$2:$C$11,2,false),vlookup($D2425,Details!$E$2:$G$11,2,false))</f>
        <v>80</v>
      </c>
      <c r="M2425" s="18" t="str">
        <f>iferror(VLOOKUP($D2425,Details!$A$2:$C$11,3,false),vlookup($D2425,Details!$E$2:$G$11,3,false))</f>
        <v>Snacks and Drinks</v>
      </c>
      <c r="N2425" s="18">
        <f t="shared" si="1"/>
        <v>320</v>
      </c>
      <c r="O2425" s="17"/>
      <c r="P2425" s="17"/>
      <c r="Q2425" s="17"/>
      <c r="R2425" s="17"/>
      <c r="S2425" s="17"/>
      <c r="T2425" s="17"/>
      <c r="U2425" s="17"/>
      <c r="V2425" s="17"/>
      <c r="W2425" s="17"/>
      <c r="X2425" s="17"/>
      <c r="Y2425" s="17"/>
      <c r="Z2425" s="17"/>
    </row>
    <row r="2426">
      <c r="A2426" s="18" t="str">
        <f>IFERROR(__xludf.DUMMYFUNCTION("""COMPUTED_VALUE"""),"ord_92856")</f>
        <v>ord_92856</v>
      </c>
      <c r="B2426" s="18" t="str">
        <f>IFERROR(__xludf.DUMMYFUNCTION("""COMPUTED_VALUE"""),"Ishita Banerjee")</f>
        <v>Ishita Banerjee</v>
      </c>
      <c r="C2426" s="18" t="str">
        <f>IFERROR(__xludf.DUMMYFUNCTION("""COMPUTED_VALUE"""),"Juhu")</f>
        <v>Juhu</v>
      </c>
      <c r="D2426" s="18" t="str">
        <f>IFERROR(__xludf.DUMMYFUNCTION("""COMPUTED_VALUE"""),"Chocolate Mousse")</f>
        <v>Chocolate Mousse</v>
      </c>
      <c r="E2426" s="18">
        <f>IFERROR(__xludf.DUMMYFUNCTION("""COMPUTED_VALUE"""),4.0)</f>
        <v>4</v>
      </c>
      <c r="F2426" s="18" t="str">
        <f>IFERROR(__xludf.DUMMYFUNCTION("""COMPUTED_VALUE"""),"Tanvi Jain")</f>
        <v>Tanvi Jain</v>
      </c>
      <c r="G2426" s="19">
        <f>IFERROR(__xludf.DUMMYFUNCTION("""COMPUTED_VALUE"""),45245.0)</f>
        <v>45245</v>
      </c>
      <c r="H2426" s="18" t="str">
        <f>IFERROR(__xludf.DUMMYFUNCTION("""COMPUTED_VALUE"""),"UPI")</f>
        <v>UPI</v>
      </c>
      <c r="I2426" s="18" t="str">
        <f>IFERROR(__xludf.DUMMYFUNCTION("""COMPUTED_VALUE"""),"Delivered")</f>
        <v>Delivered</v>
      </c>
      <c r="J2426" s="18" t="str">
        <f>IFERROR(__xludf.DUMMYFUNCTION("""COMPUTED_VALUE"""),"On-time Delivery")</f>
        <v>On-time Delivery</v>
      </c>
      <c r="K2426" s="18" t="str">
        <f>IFERROR(__xludf.DUMMYFUNCTION("""COMPUTED_VALUE"""),"Delivered on time")</f>
        <v>Delivered on time</v>
      </c>
      <c r="L2426" s="18">
        <f>iferror(VLOOKUP($D2426,Details!$A$2:$C$11,2,false),vlookup($D2426,Details!$E$2:$G$11,2,false))</f>
        <v>145</v>
      </c>
      <c r="M2426" s="18" t="str">
        <f>iferror(VLOOKUP($D2426,Details!$A$2:$C$11,3,false),vlookup($D2426,Details!$E$2:$G$11,3,false))</f>
        <v>Snacks and Drinks</v>
      </c>
      <c r="N2426" s="18">
        <f t="shared" si="1"/>
        <v>580</v>
      </c>
      <c r="O2426" s="17"/>
      <c r="P2426" s="17"/>
      <c r="Q2426" s="17"/>
      <c r="R2426" s="17"/>
      <c r="S2426" s="17"/>
      <c r="T2426" s="17"/>
      <c r="U2426" s="17"/>
      <c r="V2426" s="17"/>
      <c r="W2426" s="17"/>
      <c r="X2426" s="17"/>
      <c r="Y2426" s="17"/>
      <c r="Z2426" s="17"/>
    </row>
    <row r="2427">
      <c r="A2427" s="18" t="str">
        <f>IFERROR(__xludf.DUMMYFUNCTION("""COMPUTED_VALUE"""),"ord_92950")</f>
        <v>ord_92950</v>
      </c>
      <c r="B2427" s="18" t="str">
        <f>IFERROR(__xludf.DUMMYFUNCTION("""COMPUTED_VALUE"""),"Ishita Banerjee")</f>
        <v>Ishita Banerjee</v>
      </c>
      <c r="C2427" s="18" t="str">
        <f>IFERROR(__xludf.DUMMYFUNCTION("""COMPUTED_VALUE"""),"Juhu")</f>
        <v>Juhu</v>
      </c>
      <c r="D2427" s="18" t="str">
        <f>IFERROR(__xludf.DUMMYFUNCTION("""COMPUTED_VALUE"""),"Cold Coffee")</f>
        <v>Cold Coffee</v>
      </c>
      <c r="E2427" s="18">
        <f>IFERROR(__xludf.DUMMYFUNCTION("""COMPUTED_VALUE"""),5.0)</f>
        <v>5</v>
      </c>
      <c r="F2427" s="18" t="str">
        <f>IFERROR(__xludf.DUMMYFUNCTION("""COMPUTED_VALUE"""),"Tanvi Jain")</f>
        <v>Tanvi Jain</v>
      </c>
      <c r="G2427" s="19">
        <f>IFERROR(__xludf.DUMMYFUNCTION("""COMPUTED_VALUE"""),45034.0)</f>
        <v>45034</v>
      </c>
      <c r="H2427" s="18" t="str">
        <f>IFERROR(__xludf.DUMMYFUNCTION("""COMPUTED_VALUE"""),"Credit Card")</f>
        <v>Credit Card</v>
      </c>
      <c r="I2427" s="18" t="str">
        <f>IFERROR(__xludf.DUMMYFUNCTION("""COMPUTED_VALUE"""),"Delivered")</f>
        <v>Delivered</v>
      </c>
      <c r="J2427" s="18" t="str">
        <f>IFERROR(__xludf.DUMMYFUNCTION("""COMPUTED_VALUE"""),"Quality of Items")</f>
        <v>Quality of Items</v>
      </c>
      <c r="K2427" s="18" t="str">
        <f>IFERROR(__xludf.DUMMYFUNCTION("""COMPUTED_VALUE"""),"Perfect condition")</f>
        <v>Perfect condition</v>
      </c>
      <c r="L2427" s="18">
        <f>iferror(VLOOKUP($D2427,Details!$A$2:$C$11,2,false),vlookup($D2427,Details!$E$2:$G$11,2,false))</f>
        <v>270</v>
      </c>
      <c r="M2427" s="18" t="str">
        <f>iferror(VLOOKUP($D2427,Details!$A$2:$C$11,3,false),vlookup($D2427,Details!$E$2:$G$11,3,false))</f>
        <v>Snacks and Drinks</v>
      </c>
      <c r="N2427" s="18">
        <f t="shared" si="1"/>
        <v>1350</v>
      </c>
      <c r="O2427" s="17"/>
      <c r="P2427" s="17"/>
      <c r="Q2427" s="17"/>
      <c r="R2427" s="17"/>
      <c r="S2427" s="17"/>
      <c r="T2427" s="17"/>
      <c r="U2427" s="17"/>
      <c r="V2427" s="17"/>
      <c r="W2427" s="17"/>
      <c r="X2427" s="17"/>
      <c r="Y2427" s="17"/>
      <c r="Z2427" s="17"/>
    </row>
    <row r="2428">
      <c r="A2428" s="18" t="str">
        <f>IFERROR(__xludf.DUMMYFUNCTION("""COMPUTED_VALUE"""),"ord_93044")</f>
        <v>ord_93044</v>
      </c>
      <c r="B2428" s="18" t="str">
        <f>IFERROR(__xludf.DUMMYFUNCTION("""COMPUTED_VALUE"""),"Aarohi Kapoor")</f>
        <v>Aarohi Kapoor</v>
      </c>
      <c r="C2428" s="18" t="str">
        <f>IFERROR(__xludf.DUMMYFUNCTION("""COMPUTED_VALUE"""),"Bandra")</f>
        <v>Bandra</v>
      </c>
      <c r="D2428" s="18" t="str">
        <f>IFERROR(__xludf.DUMMYFUNCTION("""COMPUTED_VALUE"""),"Banana")</f>
        <v>Banana</v>
      </c>
      <c r="E2428" s="18">
        <f>IFERROR(__xludf.DUMMYFUNCTION("""COMPUTED_VALUE"""),1.0)</f>
        <v>1</v>
      </c>
      <c r="F2428" s="18" t="str">
        <f>IFERROR(__xludf.DUMMYFUNCTION("""COMPUTED_VALUE"""),"Priya Joshi")</f>
        <v>Priya Joshi</v>
      </c>
      <c r="G2428" s="19">
        <f>IFERROR(__xludf.DUMMYFUNCTION("""COMPUTED_VALUE"""),45096.0)</f>
        <v>45096</v>
      </c>
      <c r="H2428" s="18" t="str">
        <f>IFERROR(__xludf.DUMMYFUNCTION("""COMPUTED_VALUE"""),"UPI")</f>
        <v>UPI</v>
      </c>
      <c r="I2428" s="18" t="str">
        <f>IFERROR(__xludf.DUMMYFUNCTION("""COMPUTED_VALUE"""),"Delivered")</f>
        <v>Delivered</v>
      </c>
      <c r="J2428" s="18" t="str">
        <f>IFERROR(__xludf.DUMMYFUNCTION("""COMPUTED_VALUE"""),"Packaging")</f>
        <v>Packaging</v>
      </c>
      <c r="K2428" s="18" t="str">
        <f>IFERROR(__xludf.DUMMYFUNCTION("""COMPUTED_VALUE"""),"Secure and intact")</f>
        <v>Secure and intact</v>
      </c>
      <c r="L2428" s="18">
        <f>iferror(VLOOKUP($D2428,Details!$A$2:$C$11,2,false),vlookup($D2428,Details!$E$2:$G$11,2,false))</f>
        <v>80</v>
      </c>
      <c r="M2428" s="18" t="str">
        <f>iferror(VLOOKUP($D2428,Details!$A$2:$C$11,3,false),vlookup($D2428,Details!$E$2:$G$11,3,false))</f>
        <v>Fruits and Vegetables</v>
      </c>
      <c r="N2428" s="18">
        <f t="shared" si="1"/>
        <v>80</v>
      </c>
      <c r="O2428" s="17"/>
      <c r="P2428" s="17"/>
      <c r="Q2428" s="17"/>
      <c r="R2428" s="17"/>
      <c r="S2428" s="17"/>
      <c r="T2428" s="17"/>
      <c r="U2428" s="17"/>
      <c r="V2428" s="17"/>
      <c r="W2428" s="17"/>
      <c r="X2428" s="17"/>
      <c r="Y2428" s="17"/>
      <c r="Z2428" s="17"/>
    </row>
    <row r="2429">
      <c r="A2429" s="18" t="str">
        <f>IFERROR(__xludf.DUMMYFUNCTION("""COMPUTED_VALUE"""),"ord_93138")</f>
        <v>ord_93138</v>
      </c>
      <c r="B2429" s="18" t="str">
        <f>IFERROR(__xludf.DUMMYFUNCTION("""COMPUTED_VALUE"""),"Omkar Mishra")</f>
        <v>Omkar Mishra</v>
      </c>
      <c r="C2429" s="18" t="str">
        <f>IFERROR(__xludf.DUMMYFUNCTION("""COMPUTED_VALUE"""),"Powai")</f>
        <v>Powai</v>
      </c>
      <c r="D2429" s="18" t="str">
        <f>IFERROR(__xludf.DUMMYFUNCTION("""COMPUTED_VALUE"""),"Tiramisu")</f>
        <v>Tiramisu</v>
      </c>
      <c r="E2429" s="18">
        <f>IFERROR(__xludf.DUMMYFUNCTION("""COMPUTED_VALUE"""),5.0)</f>
        <v>5</v>
      </c>
      <c r="F2429" s="18" t="str">
        <f>IFERROR(__xludf.DUMMYFUNCTION("""COMPUTED_VALUE"""),"Sandeep Kumar")</f>
        <v>Sandeep Kumar</v>
      </c>
      <c r="G2429" s="19">
        <f>IFERROR(__xludf.DUMMYFUNCTION("""COMPUTED_VALUE"""),45206.0)</f>
        <v>45206</v>
      </c>
      <c r="H2429" s="18" t="str">
        <f>IFERROR(__xludf.DUMMYFUNCTION("""COMPUTED_VALUE"""),"Credit Card")</f>
        <v>Credit Card</v>
      </c>
      <c r="I2429" s="18" t="str">
        <f>IFERROR(__xludf.DUMMYFUNCTION("""COMPUTED_VALUE"""),"Delivered")</f>
        <v>Delivered</v>
      </c>
      <c r="J2429" s="18" t="str">
        <f>IFERROR(__xludf.DUMMYFUNCTION("""COMPUTED_VALUE"""),"Satisfied with the Delivery")</f>
        <v>Satisfied with the Delivery</v>
      </c>
      <c r="K2429" s="18" t="str">
        <f>IFERROR(__xludf.DUMMYFUNCTION("""COMPUTED_VALUE"""),"Timely and quality")</f>
        <v>Timely and quality</v>
      </c>
      <c r="L2429" s="18">
        <f>iferror(VLOOKUP($D2429,Details!$A$2:$C$11,2,false),vlookup($D2429,Details!$E$2:$G$11,2,false))</f>
        <v>150</v>
      </c>
      <c r="M2429" s="18" t="str">
        <f>iferror(VLOOKUP($D2429,Details!$A$2:$C$11,3,false),vlookup($D2429,Details!$E$2:$G$11,3,false))</f>
        <v>Snacks and Drinks</v>
      </c>
      <c r="N2429" s="18">
        <f t="shared" si="1"/>
        <v>750</v>
      </c>
      <c r="O2429" s="17"/>
      <c r="P2429" s="17"/>
      <c r="Q2429" s="17"/>
      <c r="R2429" s="17"/>
      <c r="S2429" s="17"/>
      <c r="T2429" s="17"/>
      <c r="U2429" s="17"/>
      <c r="V2429" s="17"/>
      <c r="W2429" s="17"/>
      <c r="X2429" s="17"/>
      <c r="Y2429" s="17"/>
      <c r="Z2429" s="17"/>
    </row>
    <row r="2430">
      <c r="A2430" s="18" t="str">
        <f>IFERROR(__xludf.DUMMYFUNCTION("""COMPUTED_VALUE"""),"ord_93232")</f>
        <v>ord_93232</v>
      </c>
      <c r="B2430" s="18" t="str">
        <f>IFERROR(__xludf.DUMMYFUNCTION("""COMPUTED_VALUE"""),"Aditi Iyer")</f>
        <v>Aditi Iyer</v>
      </c>
      <c r="C2430" s="18" t="str">
        <f>IFERROR(__xludf.DUMMYFUNCTION("""COMPUTED_VALUE"""),"Dadar")</f>
        <v>Dadar</v>
      </c>
      <c r="D2430" s="18" t="str">
        <f>IFERROR(__xludf.DUMMYFUNCTION("""COMPUTED_VALUE"""),"Apple")</f>
        <v>Apple</v>
      </c>
      <c r="E2430" s="18">
        <f>IFERROR(__xludf.DUMMYFUNCTION("""COMPUTED_VALUE"""),2.0)</f>
        <v>2</v>
      </c>
      <c r="F2430" s="18" t="str">
        <f>IFERROR(__xludf.DUMMYFUNCTION("""COMPUTED_VALUE"""),"Aman Kumar")</f>
        <v>Aman Kumar</v>
      </c>
      <c r="G2430" s="19">
        <f>IFERROR(__xludf.DUMMYFUNCTION("""COMPUTED_VALUE"""),45279.0)</f>
        <v>45279</v>
      </c>
      <c r="H2430" s="18" t="str">
        <f>IFERROR(__xludf.DUMMYFUNCTION("""COMPUTED_VALUE"""),"Credit Card")</f>
        <v>Credit Card</v>
      </c>
      <c r="I2430" s="18" t="str">
        <f>IFERROR(__xludf.DUMMYFUNCTION("""COMPUTED_VALUE"""),"Delivered")</f>
        <v>Delivered</v>
      </c>
      <c r="J2430" s="18" t="str">
        <f>IFERROR(__xludf.DUMMYFUNCTION("""COMPUTED_VALUE"""),"Customer Service")</f>
        <v>Customer Service</v>
      </c>
      <c r="K2430" s="18" t="str">
        <f>IFERROR(__xludf.DUMMYFUNCTION("""COMPUTED_VALUE"""),"Seamless and easy")</f>
        <v>Seamless and easy</v>
      </c>
      <c r="L2430" s="18">
        <f>iferror(VLOOKUP($D2430,Details!$A$2:$C$11,2,false),vlookup($D2430,Details!$E$2:$G$11,2,false))</f>
        <v>230</v>
      </c>
      <c r="M2430" s="18" t="str">
        <f>iferror(VLOOKUP($D2430,Details!$A$2:$C$11,3,false),vlookup($D2430,Details!$E$2:$G$11,3,false))</f>
        <v>Fruits and Vegetables</v>
      </c>
      <c r="N2430" s="18">
        <f t="shared" si="1"/>
        <v>460</v>
      </c>
      <c r="O2430" s="17"/>
      <c r="P2430" s="17"/>
      <c r="Q2430" s="17"/>
      <c r="R2430" s="17"/>
      <c r="S2430" s="17"/>
      <c r="T2430" s="17"/>
      <c r="U2430" s="17"/>
      <c r="V2430" s="17"/>
      <c r="W2430" s="17"/>
      <c r="X2430" s="17"/>
      <c r="Y2430" s="17"/>
      <c r="Z2430" s="17"/>
    </row>
    <row r="2431">
      <c r="A2431" s="18" t="str">
        <f>IFERROR(__xludf.DUMMYFUNCTION("""COMPUTED_VALUE"""),"ord_93326")</f>
        <v>ord_93326</v>
      </c>
      <c r="B2431" s="18" t="str">
        <f>IFERROR(__xludf.DUMMYFUNCTION("""COMPUTED_VALUE"""),"Omkar Mishra")</f>
        <v>Omkar Mishra</v>
      </c>
      <c r="C2431" s="18" t="str">
        <f>IFERROR(__xludf.DUMMYFUNCTION("""COMPUTED_VALUE"""),"Powai")</f>
        <v>Powai</v>
      </c>
      <c r="D2431" s="18" t="str">
        <f>IFERROR(__xludf.DUMMYFUNCTION("""COMPUTED_VALUE"""),"Orange")</f>
        <v>Orange</v>
      </c>
      <c r="E2431" s="18">
        <f>IFERROR(__xludf.DUMMYFUNCTION("""COMPUTED_VALUE"""),2.0)</f>
        <v>2</v>
      </c>
      <c r="F2431" s="18" t="str">
        <f>IFERROR(__xludf.DUMMYFUNCTION("""COMPUTED_VALUE"""),"Sandeep Kumar")</f>
        <v>Sandeep Kumar</v>
      </c>
      <c r="G2431" s="19">
        <f>IFERROR(__xludf.DUMMYFUNCTION("""COMPUTED_VALUE"""),45186.0)</f>
        <v>45186</v>
      </c>
      <c r="H2431" s="18" t="str">
        <f>IFERROR(__xludf.DUMMYFUNCTION("""COMPUTED_VALUE"""),"UPI")</f>
        <v>UPI</v>
      </c>
      <c r="I2431" s="18" t="str">
        <f>IFERROR(__xludf.DUMMYFUNCTION("""COMPUTED_VALUE"""),"Delivered")</f>
        <v>Delivered</v>
      </c>
      <c r="J2431" s="18" t="str">
        <f>IFERROR(__xludf.DUMMYFUNCTION("""COMPUTED_VALUE"""),"Delivery Experience")</f>
        <v>Delivery Experience</v>
      </c>
      <c r="K2431" s="18" t="str">
        <f>IFERROR(__xludf.DUMMYFUNCTION("""COMPUTED_VALUE"""),"Quick and professional")</f>
        <v>Quick and professional</v>
      </c>
      <c r="L2431" s="18">
        <f>iferror(VLOOKUP($D2431,Details!$A$2:$C$11,2,false),vlookup($D2431,Details!$E$2:$G$11,2,false))</f>
        <v>180</v>
      </c>
      <c r="M2431" s="18" t="str">
        <f>iferror(VLOOKUP($D2431,Details!$A$2:$C$11,3,false),vlookup($D2431,Details!$E$2:$G$11,3,false))</f>
        <v>Fruits and Vegetables</v>
      </c>
      <c r="N2431" s="18">
        <f t="shared" si="1"/>
        <v>360</v>
      </c>
      <c r="O2431" s="17"/>
      <c r="P2431" s="17"/>
      <c r="Q2431" s="17"/>
      <c r="R2431" s="17"/>
      <c r="S2431" s="17"/>
      <c r="T2431" s="17"/>
      <c r="U2431" s="17"/>
      <c r="V2431" s="17"/>
      <c r="W2431" s="17"/>
      <c r="X2431" s="17"/>
      <c r="Y2431" s="17"/>
      <c r="Z2431" s="17"/>
    </row>
    <row r="2432">
      <c r="A2432" s="18" t="str">
        <f>IFERROR(__xludf.DUMMYFUNCTION("""COMPUTED_VALUE"""),"ord_93420")</f>
        <v>ord_93420</v>
      </c>
      <c r="B2432" s="18" t="str">
        <f>IFERROR(__xludf.DUMMYFUNCTION("""COMPUTED_VALUE"""),"Siya Reddy")</f>
        <v>Siya Reddy</v>
      </c>
      <c r="C2432" s="18" t="str">
        <f>IFERROR(__xludf.DUMMYFUNCTION("""COMPUTED_VALUE"""),"Juhu")</f>
        <v>Juhu</v>
      </c>
      <c r="D2432" s="18" t="str">
        <f>IFERROR(__xludf.DUMMYFUNCTION("""COMPUTED_VALUE"""),"Cold Coffee")</f>
        <v>Cold Coffee</v>
      </c>
      <c r="E2432" s="18">
        <f>IFERROR(__xludf.DUMMYFUNCTION("""COMPUTED_VALUE"""),5.0)</f>
        <v>5</v>
      </c>
      <c r="F2432" s="18" t="str">
        <f>IFERROR(__xludf.DUMMYFUNCTION("""COMPUTED_VALUE"""),"Tanvi Jain")</f>
        <v>Tanvi Jain</v>
      </c>
      <c r="G2432" s="19">
        <f>IFERROR(__xludf.DUMMYFUNCTION("""COMPUTED_VALUE"""),45022.0)</f>
        <v>45022</v>
      </c>
      <c r="H2432" s="18" t="str">
        <f>IFERROR(__xludf.DUMMYFUNCTION("""COMPUTED_VALUE"""),"Online Payment")</f>
        <v>Online Payment</v>
      </c>
      <c r="I2432" s="18" t="str">
        <f>IFERROR(__xludf.DUMMYFUNCTION("""COMPUTED_VALUE"""),"Delivered")</f>
        <v>Delivered</v>
      </c>
      <c r="J2432" s="18" t="str">
        <f>IFERROR(__xludf.DUMMYFUNCTION("""COMPUTED_VALUE"""),"Convenience")</f>
        <v>Convenience</v>
      </c>
      <c r="K2432" s="18" t="str">
        <f>IFERROR(__xludf.DUMMYFUNCTION("""COMPUTED_VALUE"""),"Easy tracking")</f>
        <v>Easy tracking</v>
      </c>
      <c r="L2432" s="18">
        <f>iferror(VLOOKUP($D2432,Details!$A$2:$C$11,2,false),vlookup($D2432,Details!$E$2:$G$11,2,false))</f>
        <v>270</v>
      </c>
      <c r="M2432" s="18" t="str">
        <f>iferror(VLOOKUP($D2432,Details!$A$2:$C$11,3,false),vlookup($D2432,Details!$E$2:$G$11,3,false))</f>
        <v>Snacks and Drinks</v>
      </c>
      <c r="N2432" s="18">
        <f t="shared" si="1"/>
        <v>1350</v>
      </c>
      <c r="O2432" s="17"/>
      <c r="P2432" s="17"/>
      <c r="Q2432" s="17"/>
      <c r="R2432" s="17"/>
      <c r="S2432" s="17"/>
      <c r="T2432" s="17"/>
      <c r="U2432" s="17"/>
      <c r="V2432" s="17"/>
      <c r="W2432" s="17"/>
      <c r="X2432" s="17"/>
      <c r="Y2432" s="17"/>
      <c r="Z2432" s="17"/>
    </row>
    <row r="2433">
      <c r="A2433" s="18" t="str">
        <f>IFERROR(__xludf.DUMMYFUNCTION("""COMPUTED_VALUE"""),"ord_93514")</f>
        <v>ord_93514</v>
      </c>
      <c r="B2433" s="18" t="str">
        <f>IFERROR(__xludf.DUMMYFUNCTION("""COMPUTED_VALUE"""),"Arvind Kulkarni")</f>
        <v>Arvind Kulkarni</v>
      </c>
      <c r="C2433" s="18" t="str">
        <f>IFERROR(__xludf.DUMMYFUNCTION("""COMPUTED_VALUE"""),"Juhu")</f>
        <v>Juhu</v>
      </c>
      <c r="D2433" s="18" t="str">
        <f>IFERROR(__xludf.DUMMYFUNCTION("""COMPUTED_VALUE"""),"Banana")</f>
        <v>Banana</v>
      </c>
      <c r="E2433" s="18">
        <f>IFERROR(__xludf.DUMMYFUNCTION("""COMPUTED_VALUE"""),1.0)</f>
        <v>1</v>
      </c>
      <c r="F2433" s="18" t="str">
        <f>IFERROR(__xludf.DUMMYFUNCTION("""COMPUTED_VALUE"""),"Tanvi Jain")</f>
        <v>Tanvi Jain</v>
      </c>
      <c r="G2433" s="19">
        <f>IFERROR(__xludf.DUMMYFUNCTION("""COMPUTED_VALUE"""),44961.0)</f>
        <v>44961</v>
      </c>
      <c r="H2433" s="18" t="str">
        <f>IFERROR(__xludf.DUMMYFUNCTION("""COMPUTED_VALUE"""),"UPI")</f>
        <v>UPI</v>
      </c>
      <c r="I2433" s="18" t="str">
        <f>IFERROR(__xludf.DUMMYFUNCTION("""COMPUTED_VALUE"""),"Delivered")</f>
        <v>Delivered</v>
      </c>
      <c r="J2433" s="18" t="str">
        <f>IFERROR(__xludf.DUMMYFUNCTION("""COMPUTED_VALUE"""),"Overall Satisfaction")</f>
        <v>Overall Satisfaction</v>
      </c>
      <c r="K2433" s="18" t="str">
        <f>IFERROR(__xludf.DUMMYFUNCTION("""COMPUTED_VALUE"""),"Great service will order again")</f>
        <v>Great service will order again</v>
      </c>
      <c r="L2433" s="18">
        <f>iferror(VLOOKUP($D2433,Details!$A$2:$C$11,2,false),vlookup($D2433,Details!$E$2:$G$11,2,false))</f>
        <v>80</v>
      </c>
      <c r="M2433" s="18" t="str">
        <f>iferror(VLOOKUP($D2433,Details!$A$2:$C$11,3,false),vlookup($D2433,Details!$E$2:$G$11,3,false))</f>
        <v>Fruits and Vegetables</v>
      </c>
      <c r="N2433" s="18">
        <f t="shared" si="1"/>
        <v>80</v>
      </c>
      <c r="O2433" s="17"/>
      <c r="P2433" s="17"/>
      <c r="Q2433" s="17"/>
      <c r="R2433" s="17"/>
      <c r="S2433" s="17"/>
      <c r="T2433" s="17"/>
      <c r="U2433" s="17"/>
      <c r="V2433" s="17"/>
      <c r="W2433" s="17"/>
      <c r="X2433" s="17"/>
      <c r="Y2433" s="17"/>
      <c r="Z2433" s="17"/>
    </row>
    <row r="2434">
      <c r="A2434" s="18" t="str">
        <f>IFERROR(__xludf.DUMMYFUNCTION("""COMPUTED_VALUE"""),"ord_93608")</f>
        <v>ord_93608</v>
      </c>
      <c r="B2434" s="18" t="str">
        <f>IFERROR(__xludf.DUMMYFUNCTION("""COMPUTED_VALUE"""),"Pallavi Ghosh")</f>
        <v>Pallavi Ghosh</v>
      </c>
      <c r="C2434" s="18" t="str">
        <f>IFERROR(__xludf.DUMMYFUNCTION("""COMPUTED_VALUE"""),"Bandra")</f>
        <v>Bandra</v>
      </c>
      <c r="D2434" s="18" t="str">
        <f>IFERROR(__xludf.DUMMYFUNCTION("""COMPUTED_VALUE"""),"Banana")</f>
        <v>Banana</v>
      </c>
      <c r="E2434" s="18">
        <f>IFERROR(__xludf.DUMMYFUNCTION("""COMPUTED_VALUE"""),2.0)</f>
        <v>2</v>
      </c>
      <c r="F2434" s="18" t="str">
        <f>IFERROR(__xludf.DUMMYFUNCTION("""COMPUTED_VALUE"""),"Priya Joshi")</f>
        <v>Priya Joshi</v>
      </c>
      <c r="G2434" s="19">
        <f>IFERROR(__xludf.DUMMYFUNCTION("""COMPUTED_VALUE"""),44965.0)</f>
        <v>44965</v>
      </c>
      <c r="H2434" s="18" t="str">
        <f>IFERROR(__xludf.DUMMYFUNCTION("""COMPUTED_VALUE"""),"UPI")</f>
        <v>UPI</v>
      </c>
      <c r="I2434" s="18" t="str">
        <f>IFERROR(__xludf.DUMMYFUNCTION("""COMPUTED_VALUE"""),"Delivered")</f>
        <v>Delivered</v>
      </c>
      <c r="J2434" s="18" t="str">
        <f>IFERROR(__xludf.DUMMYFUNCTION("""COMPUTED_VALUE"""),"On-time Delivery")</f>
        <v>On-time Delivery</v>
      </c>
      <c r="K2434" s="18" t="str">
        <f>IFERROR(__xludf.DUMMYFUNCTION("""COMPUTED_VALUE"""),"Delivered on time")</f>
        <v>Delivered on time</v>
      </c>
      <c r="L2434" s="18">
        <f>iferror(VLOOKUP($D2434,Details!$A$2:$C$11,2,false),vlookup($D2434,Details!$E$2:$G$11,2,false))</f>
        <v>80</v>
      </c>
      <c r="M2434" s="18" t="str">
        <f>iferror(VLOOKUP($D2434,Details!$A$2:$C$11,3,false),vlookup($D2434,Details!$E$2:$G$11,3,false))</f>
        <v>Fruits and Vegetables</v>
      </c>
      <c r="N2434" s="18">
        <f t="shared" si="1"/>
        <v>160</v>
      </c>
      <c r="O2434" s="17"/>
      <c r="P2434" s="17"/>
      <c r="Q2434" s="17"/>
      <c r="R2434" s="17"/>
      <c r="S2434" s="17"/>
      <c r="T2434" s="17"/>
      <c r="U2434" s="17"/>
      <c r="V2434" s="17"/>
      <c r="W2434" s="17"/>
      <c r="X2434" s="17"/>
      <c r="Y2434" s="17"/>
      <c r="Z2434" s="17"/>
    </row>
    <row r="2435">
      <c r="A2435" s="18" t="str">
        <f>IFERROR(__xludf.DUMMYFUNCTION("""COMPUTED_VALUE"""),"ord_93702")</f>
        <v>ord_93702</v>
      </c>
      <c r="B2435" s="18" t="str">
        <f>IFERROR(__xludf.DUMMYFUNCTION("""COMPUTED_VALUE"""),"Parth Goel")</f>
        <v>Parth Goel</v>
      </c>
      <c r="C2435" s="18" t="str">
        <f>IFERROR(__xludf.DUMMYFUNCTION("""COMPUTED_VALUE"""),"Juhu")</f>
        <v>Juhu</v>
      </c>
      <c r="D2435" s="18" t="str">
        <f>IFERROR(__xludf.DUMMYFUNCTION("""COMPUTED_VALUE"""),"Orange")</f>
        <v>Orange</v>
      </c>
      <c r="E2435" s="18">
        <f>IFERROR(__xludf.DUMMYFUNCTION("""COMPUTED_VALUE"""),1.0)</f>
        <v>1</v>
      </c>
      <c r="F2435" s="18" t="str">
        <f>IFERROR(__xludf.DUMMYFUNCTION("""COMPUTED_VALUE"""),"Tanvi Jain")</f>
        <v>Tanvi Jain</v>
      </c>
      <c r="G2435" s="19">
        <f>IFERROR(__xludf.DUMMYFUNCTION("""COMPUTED_VALUE"""),44930.0)</f>
        <v>44930</v>
      </c>
      <c r="H2435" s="18" t="str">
        <f>IFERROR(__xludf.DUMMYFUNCTION("""COMPUTED_VALUE"""),"Credit Card")</f>
        <v>Credit Card</v>
      </c>
      <c r="I2435" s="18" t="str">
        <f>IFERROR(__xludf.DUMMYFUNCTION("""COMPUTED_VALUE"""),"Delivered")</f>
        <v>Delivered</v>
      </c>
      <c r="J2435" s="18" t="str">
        <f>IFERROR(__xludf.DUMMYFUNCTION("""COMPUTED_VALUE"""),"Quality of Items")</f>
        <v>Quality of Items</v>
      </c>
      <c r="K2435" s="18" t="str">
        <f>IFERROR(__xludf.DUMMYFUNCTION("""COMPUTED_VALUE"""),"Perfect condition")</f>
        <v>Perfect condition</v>
      </c>
      <c r="L2435" s="18">
        <f>iferror(VLOOKUP($D2435,Details!$A$2:$C$11,2,false),vlookup($D2435,Details!$E$2:$G$11,2,false))</f>
        <v>180</v>
      </c>
      <c r="M2435" s="18" t="str">
        <f>iferror(VLOOKUP($D2435,Details!$A$2:$C$11,3,false),vlookup($D2435,Details!$E$2:$G$11,3,false))</f>
        <v>Fruits and Vegetables</v>
      </c>
      <c r="N2435" s="18">
        <f t="shared" si="1"/>
        <v>180</v>
      </c>
      <c r="O2435" s="17"/>
      <c r="P2435" s="17"/>
      <c r="Q2435" s="17"/>
      <c r="R2435" s="17"/>
      <c r="S2435" s="17"/>
      <c r="T2435" s="17"/>
      <c r="U2435" s="17"/>
      <c r="V2435" s="17"/>
      <c r="W2435" s="17"/>
      <c r="X2435" s="17"/>
      <c r="Y2435" s="17"/>
      <c r="Z2435" s="17"/>
    </row>
    <row r="2436">
      <c r="A2436" s="18" t="str">
        <f>IFERROR(__xludf.DUMMYFUNCTION("""COMPUTED_VALUE"""),"ord_93796")</f>
        <v>ord_93796</v>
      </c>
      <c r="B2436" s="18" t="str">
        <f>IFERROR(__xludf.DUMMYFUNCTION("""COMPUTED_VALUE"""),"Arvind Kulkarni")</f>
        <v>Arvind Kulkarni</v>
      </c>
      <c r="C2436" s="18" t="str">
        <f>IFERROR(__xludf.DUMMYFUNCTION("""COMPUTED_VALUE"""),"Juhu")</f>
        <v>Juhu</v>
      </c>
      <c r="D2436" s="18" t="str">
        <f>IFERROR(__xludf.DUMMYFUNCTION("""COMPUTED_VALUE"""),"Orange")</f>
        <v>Orange</v>
      </c>
      <c r="E2436" s="18">
        <f>IFERROR(__xludf.DUMMYFUNCTION("""COMPUTED_VALUE"""),1.0)</f>
        <v>1</v>
      </c>
      <c r="F2436" s="18" t="str">
        <f>IFERROR(__xludf.DUMMYFUNCTION("""COMPUTED_VALUE"""),"Not Assigned")</f>
        <v>Not Assigned</v>
      </c>
      <c r="G2436" s="19">
        <f>IFERROR(__xludf.DUMMYFUNCTION("""COMPUTED_VALUE"""),45053.0)</f>
        <v>45053</v>
      </c>
      <c r="H2436" s="18" t="str">
        <f>IFERROR(__xludf.DUMMYFUNCTION("""COMPUTED_VALUE"""),"Credit Card")</f>
        <v>Credit Card</v>
      </c>
      <c r="I2436" s="18" t="str">
        <f>IFERROR(__xludf.DUMMYFUNCTION("""COMPUTED_VALUE"""),"Cancelled")</f>
        <v>Cancelled</v>
      </c>
      <c r="J2436" s="18" t="str">
        <f>IFERROR(__xludf.DUMMYFUNCTION("""COMPUTED_VALUE"""),"App Glitches")</f>
        <v>App Glitches</v>
      </c>
      <c r="K2436" s="18" t="str">
        <f>IFERROR(__xludf.DUMMYFUNCTION("""COMPUTED_VALUE"""),"Slow Loading Time")</f>
        <v>Slow Loading Time</v>
      </c>
      <c r="L2436" s="18">
        <f>iferror(VLOOKUP($D2436,Details!$A$2:$C$11,2,false),vlookup($D2436,Details!$E$2:$G$11,2,false))</f>
        <v>180</v>
      </c>
      <c r="M2436" s="18" t="str">
        <f>iferror(VLOOKUP($D2436,Details!$A$2:$C$11,3,false),vlookup($D2436,Details!$E$2:$G$11,3,false))</f>
        <v>Fruits and Vegetables</v>
      </c>
      <c r="N2436" s="18">
        <f t="shared" si="1"/>
        <v>180</v>
      </c>
      <c r="O2436" s="17"/>
      <c r="P2436" s="17"/>
      <c r="Q2436" s="17"/>
      <c r="R2436" s="17"/>
      <c r="S2436" s="17"/>
      <c r="T2436" s="17"/>
      <c r="U2436" s="17"/>
      <c r="V2436" s="17"/>
      <c r="W2436" s="17"/>
      <c r="X2436" s="17"/>
      <c r="Y2436" s="17"/>
      <c r="Z2436" s="17"/>
    </row>
    <row r="2437">
      <c r="A2437" s="18" t="str">
        <f>IFERROR(__xludf.DUMMYFUNCTION("""COMPUTED_VALUE"""),"ord_93890")</f>
        <v>ord_93890</v>
      </c>
      <c r="B2437" s="18" t="str">
        <f>IFERROR(__xludf.DUMMYFUNCTION("""COMPUTED_VALUE"""),"Nitin Sehgal")</f>
        <v>Nitin Sehgal</v>
      </c>
      <c r="C2437" s="18" t="str">
        <f>IFERROR(__xludf.DUMMYFUNCTION("""COMPUTED_VALUE"""),"Bandra")</f>
        <v>Bandra</v>
      </c>
      <c r="D2437" s="18" t="str">
        <f>IFERROR(__xludf.DUMMYFUNCTION("""COMPUTED_VALUE"""),"Banana")</f>
        <v>Banana</v>
      </c>
      <c r="E2437" s="18">
        <f>IFERROR(__xludf.DUMMYFUNCTION("""COMPUTED_VALUE"""),1.0)</f>
        <v>1</v>
      </c>
      <c r="F2437" s="18" t="str">
        <f>IFERROR(__xludf.DUMMYFUNCTION("""COMPUTED_VALUE"""),"Priya Joshi")</f>
        <v>Priya Joshi</v>
      </c>
      <c r="G2437" s="19">
        <f>IFERROR(__xludf.DUMMYFUNCTION("""COMPUTED_VALUE"""),45065.0)</f>
        <v>45065</v>
      </c>
      <c r="H2437" s="18" t="str">
        <f>IFERROR(__xludf.DUMMYFUNCTION("""COMPUTED_VALUE"""),"UPI")</f>
        <v>UPI</v>
      </c>
      <c r="I2437" s="18" t="str">
        <f>IFERROR(__xludf.DUMMYFUNCTION("""COMPUTED_VALUE"""),"Delivered")</f>
        <v>Delivered</v>
      </c>
      <c r="J2437" s="18" t="str">
        <f>IFERROR(__xludf.DUMMYFUNCTION("""COMPUTED_VALUE"""),"Packaging")</f>
        <v>Packaging</v>
      </c>
      <c r="K2437" s="18" t="str">
        <f>IFERROR(__xludf.DUMMYFUNCTION("""COMPUTED_VALUE"""),"Secure and intact")</f>
        <v>Secure and intact</v>
      </c>
      <c r="L2437" s="18">
        <f>iferror(VLOOKUP($D2437,Details!$A$2:$C$11,2,false),vlookup($D2437,Details!$E$2:$G$11,2,false))</f>
        <v>80</v>
      </c>
      <c r="M2437" s="18" t="str">
        <f>iferror(VLOOKUP($D2437,Details!$A$2:$C$11,3,false),vlookup($D2437,Details!$E$2:$G$11,3,false))</f>
        <v>Fruits and Vegetables</v>
      </c>
      <c r="N2437" s="18">
        <f t="shared" si="1"/>
        <v>80</v>
      </c>
      <c r="O2437" s="17"/>
      <c r="P2437" s="17"/>
      <c r="Q2437" s="17"/>
      <c r="R2437" s="17"/>
      <c r="S2437" s="17"/>
      <c r="T2437" s="17"/>
      <c r="U2437" s="17"/>
      <c r="V2437" s="17"/>
      <c r="W2437" s="17"/>
      <c r="X2437" s="17"/>
      <c r="Y2437" s="17"/>
      <c r="Z2437" s="17"/>
    </row>
    <row r="2438">
      <c r="A2438" s="18" t="str">
        <f>IFERROR(__xludf.DUMMYFUNCTION("""COMPUTED_VALUE"""),"ord_93984")</f>
        <v>ord_93984</v>
      </c>
      <c r="B2438" s="18" t="str">
        <f>IFERROR(__xludf.DUMMYFUNCTION("""COMPUTED_VALUE"""),"Anaya Rao")</f>
        <v>Anaya Rao</v>
      </c>
      <c r="C2438" s="18" t="str">
        <f>IFERROR(__xludf.DUMMYFUNCTION("""COMPUTED_VALUE"""),"Colaba")</f>
        <v>Colaba</v>
      </c>
      <c r="D2438" s="18" t="str">
        <f>IFERROR(__xludf.DUMMYFUNCTION("""COMPUTED_VALUE"""),"Banana")</f>
        <v>Banana</v>
      </c>
      <c r="E2438" s="18">
        <f>IFERROR(__xludf.DUMMYFUNCTION("""COMPUTED_VALUE"""),2.0)</f>
        <v>2</v>
      </c>
      <c r="F2438" s="18" t="str">
        <f>IFERROR(__xludf.DUMMYFUNCTION("""COMPUTED_VALUE"""),"Nikhil Deshmukh")</f>
        <v>Nikhil Deshmukh</v>
      </c>
      <c r="G2438" s="19">
        <f>IFERROR(__xludf.DUMMYFUNCTION("""COMPUTED_VALUE"""),45088.0)</f>
        <v>45088</v>
      </c>
      <c r="H2438" s="18" t="str">
        <f>IFERROR(__xludf.DUMMYFUNCTION("""COMPUTED_VALUE"""),"UPI")</f>
        <v>UPI</v>
      </c>
      <c r="I2438" s="18" t="str">
        <f>IFERROR(__xludf.DUMMYFUNCTION("""COMPUTED_VALUE"""),"Delivered")</f>
        <v>Delivered</v>
      </c>
      <c r="J2438" s="18" t="str">
        <f>IFERROR(__xludf.DUMMYFUNCTION("""COMPUTED_VALUE"""),"Satisfied with the Delivery")</f>
        <v>Satisfied with the Delivery</v>
      </c>
      <c r="K2438" s="18" t="str">
        <f>IFERROR(__xludf.DUMMYFUNCTION("""COMPUTED_VALUE"""),"Timely and quality")</f>
        <v>Timely and quality</v>
      </c>
      <c r="L2438" s="18">
        <f>iferror(VLOOKUP($D2438,Details!$A$2:$C$11,2,false),vlookup($D2438,Details!$E$2:$G$11,2,false))</f>
        <v>80</v>
      </c>
      <c r="M2438" s="18" t="str">
        <f>iferror(VLOOKUP($D2438,Details!$A$2:$C$11,3,false),vlookup($D2438,Details!$E$2:$G$11,3,false))</f>
        <v>Fruits and Vegetables</v>
      </c>
      <c r="N2438" s="18">
        <f t="shared" si="1"/>
        <v>160</v>
      </c>
      <c r="O2438" s="17"/>
      <c r="P2438" s="17"/>
      <c r="Q2438" s="17"/>
      <c r="R2438" s="17"/>
      <c r="S2438" s="17"/>
      <c r="T2438" s="17"/>
      <c r="U2438" s="17"/>
      <c r="V2438" s="17"/>
      <c r="W2438" s="17"/>
      <c r="X2438" s="17"/>
      <c r="Y2438" s="17"/>
      <c r="Z2438" s="17"/>
    </row>
    <row r="2439">
      <c r="A2439" s="18" t="str">
        <f>IFERROR(__xludf.DUMMYFUNCTION("""COMPUTED_VALUE"""),"ord_94078")</f>
        <v>ord_94078</v>
      </c>
      <c r="B2439" s="18" t="str">
        <f>IFERROR(__xludf.DUMMYFUNCTION("""COMPUTED_VALUE"""),"Kritika Shetty")</f>
        <v>Kritika Shetty</v>
      </c>
      <c r="C2439" s="18" t="str">
        <f>IFERROR(__xludf.DUMMYFUNCTION("""COMPUTED_VALUE"""),"Malad")</f>
        <v>Malad</v>
      </c>
      <c r="D2439" s="18" t="str">
        <f>IFERROR(__xludf.DUMMYFUNCTION("""COMPUTED_VALUE"""),"Apple")</f>
        <v>Apple</v>
      </c>
      <c r="E2439" s="18">
        <f>IFERROR(__xludf.DUMMYFUNCTION("""COMPUTED_VALUE"""),1.0)</f>
        <v>1</v>
      </c>
      <c r="F2439" s="18" t="str">
        <f>IFERROR(__xludf.DUMMYFUNCTION("""COMPUTED_VALUE"""),"Neha Shah")</f>
        <v>Neha Shah</v>
      </c>
      <c r="G2439" s="19">
        <f>IFERROR(__xludf.DUMMYFUNCTION("""COMPUTED_VALUE"""),44963.0)</f>
        <v>44963</v>
      </c>
      <c r="H2439" s="18" t="str">
        <f>IFERROR(__xludf.DUMMYFUNCTION("""COMPUTED_VALUE"""),"UPI")</f>
        <v>UPI</v>
      </c>
      <c r="I2439" s="18" t="str">
        <f>IFERROR(__xludf.DUMMYFUNCTION("""COMPUTED_VALUE"""),"Delivered")</f>
        <v>Delivered</v>
      </c>
      <c r="J2439" s="18" t="str">
        <f>IFERROR(__xludf.DUMMYFUNCTION("""COMPUTED_VALUE"""),"Customer Service")</f>
        <v>Customer Service</v>
      </c>
      <c r="K2439" s="18" t="str">
        <f>IFERROR(__xludf.DUMMYFUNCTION("""COMPUTED_VALUE"""),"Seamless and easy")</f>
        <v>Seamless and easy</v>
      </c>
      <c r="L2439" s="18">
        <f>iferror(VLOOKUP($D2439,Details!$A$2:$C$11,2,false),vlookup($D2439,Details!$E$2:$G$11,2,false))</f>
        <v>230</v>
      </c>
      <c r="M2439" s="18" t="str">
        <f>iferror(VLOOKUP($D2439,Details!$A$2:$C$11,3,false),vlookup($D2439,Details!$E$2:$G$11,3,false))</f>
        <v>Fruits and Vegetables</v>
      </c>
      <c r="N2439" s="18">
        <f t="shared" si="1"/>
        <v>230</v>
      </c>
      <c r="O2439" s="17"/>
      <c r="P2439" s="17"/>
      <c r="Q2439" s="17"/>
      <c r="R2439" s="17"/>
      <c r="S2439" s="17"/>
      <c r="T2439" s="17"/>
      <c r="U2439" s="17"/>
      <c r="V2439" s="17"/>
      <c r="W2439" s="17"/>
      <c r="X2439" s="17"/>
      <c r="Y2439" s="17"/>
      <c r="Z2439" s="17"/>
    </row>
    <row r="2440">
      <c r="A2440" s="18" t="str">
        <f>IFERROR(__xludf.DUMMYFUNCTION("""COMPUTED_VALUE"""),"ord_94172")</f>
        <v>ord_94172</v>
      </c>
      <c r="B2440" s="18" t="str">
        <f>IFERROR(__xludf.DUMMYFUNCTION("""COMPUTED_VALUE"""),"Diya Arora")</f>
        <v>Diya Arora</v>
      </c>
      <c r="C2440" s="18" t="str">
        <f>IFERROR(__xludf.DUMMYFUNCTION("""COMPUTED_VALUE"""),"Lower Parel")</f>
        <v>Lower Parel</v>
      </c>
      <c r="D2440" s="18" t="str">
        <f>IFERROR(__xludf.DUMMYFUNCTION("""COMPUTED_VALUE"""),"Cold Coffee")</f>
        <v>Cold Coffee</v>
      </c>
      <c r="E2440" s="18">
        <f>IFERROR(__xludf.DUMMYFUNCTION("""COMPUTED_VALUE"""),4.0)</f>
        <v>4</v>
      </c>
      <c r="F2440" s="18" t="str">
        <f>IFERROR(__xludf.DUMMYFUNCTION("""COMPUTED_VALUE"""),"Kiran Mehta")</f>
        <v>Kiran Mehta</v>
      </c>
      <c r="G2440" s="19">
        <f>IFERROR(__xludf.DUMMYFUNCTION("""COMPUTED_VALUE"""),45111.0)</f>
        <v>45111</v>
      </c>
      <c r="H2440" s="18" t="str">
        <f>IFERROR(__xludf.DUMMYFUNCTION("""COMPUTED_VALUE"""),"Credit Card")</f>
        <v>Credit Card</v>
      </c>
      <c r="I2440" s="18" t="str">
        <f>IFERROR(__xludf.DUMMYFUNCTION("""COMPUTED_VALUE"""),"Delivered")</f>
        <v>Delivered</v>
      </c>
      <c r="J2440" s="18" t="str">
        <f>IFERROR(__xludf.DUMMYFUNCTION("""COMPUTED_VALUE"""),"Delivery Experience")</f>
        <v>Delivery Experience</v>
      </c>
      <c r="K2440" s="18" t="str">
        <f>IFERROR(__xludf.DUMMYFUNCTION("""COMPUTED_VALUE"""),"Quick and professional")</f>
        <v>Quick and professional</v>
      </c>
      <c r="L2440" s="18">
        <f>iferror(VLOOKUP($D2440,Details!$A$2:$C$11,2,false),vlookup($D2440,Details!$E$2:$G$11,2,false))</f>
        <v>270</v>
      </c>
      <c r="M2440" s="18" t="str">
        <f>iferror(VLOOKUP($D2440,Details!$A$2:$C$11,3,false),vlookup($D2440,Details!$E$2:$G$11,3,false))</f>
        <v>Snacks and Drinks</v>
      </c>
      <c r="N2440" s="18">
        <f t="shared" si="1"/>
        <v>1080</v>
      </c>
      <c r="O2440" s="17"/>
      <c r="P2440" s="17"/>
      <c r="Q2440" s="17"/>
      <c r="R2440" s="17"/>
      <c r="S2440" s="17"/>
      <c r="T2440" s="17"/>
      <c r="U2440" s="17"/>
      <c r="V2440" s="17"/>
      <c r="W2440" s="17"/>
      <c r="X2440" s="17"/>
      <c r="Y2440" s="17"/>
      <c r="Z2440" s="17"/>
    </row>
    <row r="2441">
      <c r="A2441" s="18" t="str">
        <f>IFERROR(__xludf.DUMMYFUNCTION("""COMPUTED_VALUE"""),"ord_94266")</f>
        <v>ord_94266</v>
      </c>
      <c r="B2441" s="18" t="str">
        <f>IFERROR(__xludf.DUMMYFUNCTION("""COMPUTED_VALUE"""),"Pallavi Ghosh")</f>
        <v>Pallavi Ghosh</v>
      </c>
      <c r="C2441" s="18" t="str">
        <f>IFERROR(__xludf.DUMMYFUNCTION("""COMPUTED_VALUE"""),"Bandra")</f>
        <v>Bandra</v>
      </c>
      <c r="D2441" s="18" t="str">
        <f>IFERROR(__xludf.DUMMYFUNCTION("""COMPUTED_VALUE"""),"Tiramisu")</f>
        <v>Tiramisu</v>
      </c>
      <c r="E2441" s="18">
        <f>IFERROR(__xludf.DUMMYFUNCTION("""COMPUTED_VALUE"""),3.0)</f>
        <v>3</v>
      </c>
      <c r="F2441" s="18" t="str">
        <f>IFERROR(__xludf.DUMMYFUNCTION("""COMPUTED_VALUE"""),"Priya Joshi")</f>
        <v>Priya Joshi</v>
      </c>
      <c r="G2441" s="19">
        <f>IFERROR(__xludf.DUMMYFUNCTION("""COMPUTED_VALUE"""),45245.0)</f>
        <v>45245</v>
      </c>
      <c r="H2441" s="18" t="str">
        <f>IFERROR(__xludf.DUMMYFUNCTION("""COMPUTED_VALUE"""),"Credit Card")</f>
        <v>Credit Card</v>
      </c>
      <c r="I2441" s="18" t="str">
        <f>IFERROR(__xludf.DUMMYFUNCTION("""COMPUTED_VALUE"""),"Delivered")</f>
        <v>Delivered</v>
      </c>
      <c r="J2441" s="18" t="str">
        <f>IFERROR(__xludf.DUMMYFUNCTION("""COMPUTED_VALUE"""),"Convenience")</f>
        <v>Convenience</v>
      </c>
      <c r="K2441" s="18" t="str">
        <f>IFERROR(__xludf.DUMMYFUNCTION("""COMPUTED_VALUE"""),"Easy tracking")</f>
        <v>Easy tracking</v>
      </c>
      <c r="L2441" s="18">
        <f>iferror(VLOOKUP($D2441,Details!$A$2:$C$11,2,false),vlookup($D2441,Details!$E$2:$G$11,2,false))</f>
        <v>150</v>
      </c>
      <c r="M2441" s="18" t="str">
        <f>iferror(VLOOKUP($D2441,Details!$A$2:$C$11,3,false),vlookup($D2441,Details!$E$2:$G$11,3,false))</f>
        <v>Snacks and Drinks</v>
      </c>
      <c r="N2441" s="18">
        <f t="shared" si="1"/>
        <v>450</v>
      </c>
      <c r="O2441" s="17"/>
      <c r="P2441" s="17"/>
      <c r="Q2441" s="17"/>
      <c r="R2441" s="17"/>
      <c r="S2441" s="17"/>
      <c r="T2441" s="17"/>
      <c r="U2441" s="17"/>
      <c r="V2441" s="17"/>
      <c r="W2441" s="17"/>
      <c r="X2441" s="17"/>
      <c r="Y2441" s="17"/>
      <c r="Z2441" s="17"/>
    </row>
    <row r="2442">
      <c r="A2442" s="18" t="str">
        <f>IFERROR(__xludf.DUMMYFUNCTION("""COMPUTED_VALUE"""),"ord_94360")</f>
        <v>ord_94360</v>
      </c>
      <c r="B2442" s="18" t="str">
        <f>IFERROR(__xludf.DUMMYFUNCTION("""COMPUTED_VALUE"""),"Omkar Mishra")</f>
        <v>Omkar Mishra</v>
      </c>
      <c r="C2442" s="18" t="str">
        <f>IFERROR(__xludf.DUMMYFUNCTION("""COMPUTED_VALUE"""),"Powai")</f>
        <v>Powai</v>
      </c>
      <c r="D2442" s="18" t="str">
        <f>IFERROR(__xludf.DUMMYFUNCTION("""COMPUTED_VALUE"""),"Chocolate Mousse")</f>
        <v>Chocolate Mousse</v>
      </c>
      <c r="E2442" s="18">
        <f>IFERROR(__xludf.DUMMYFUNCTION("""COMPUTED_VALUE"""),5.0)</f>
        <v>5</v>
      </c>
      <c r="F2442" s="18" t="str">
        <f>IFERROR(__xludf.DUMMYFUNCTION("""COMPUTED_VALUE"""),"Sandeep Kumar")</f>
        <v>Sandeep Kumar</v>
      </c>
      <c r="G2442" s="19">
        <f>IFERROR(__xludf.DUMMYFUNCTION("""COMPUTED_VALUE"""),44994.0)</f>
        <v>44994</v>
      </c>
      <c r="H2442" s="18" t="str">
        <f>IFERROR(__xludf.DUMMYFUNCTION("""COMPUTED_VALUE"""),"UPI")</f>
        <v>UPI</v>
      </c>
      <c r="I2442" s="18" t="str">
        <f>IFERROR(__xludf.DUMMYFUNCTION("""COMPUTED_VALUE"""),"Delivered")</f>
        <v>Delivered</v>
      </c>
      <c r="J2442" s="18" t="str">
        <f>IFERROR(__xludf.DUMMYFUNCTION("""COMPUTED_VALUE"""),"Overall Satisfaction")</f>
        <v>Overall Satisfaction</v>
      </c>
      <c r="K2442" s="18" t="str">
        <f>IFERROR(__xludf.DUMMYFUNCTION("""COMPUTED_VALUE"""),"Great service will order again")</f>
        <v>Great service will order again</v>
      </c>
      <c r="L2442" s="18">
        <f>iferror(VLOOKUP($D2442,Details!$A$2:$C$11,2,false),vlookup($D2442,Details!$E$2:$G$11,2,false))</f>
        <v>145</v>
      </c>
      <c r="M2442" s="18" t="str">
        <f>iferror(VLOOKUP($D2442,Details!$A$2:$C$11,3,false),vlookup($D2442,Details!$E$2:$G$11,3,false))</f>
        <v>Snacks and Drinks</v>
      </c>
      <c r="N2442" s="18">
        <f t="shared" si="1"/>
        <v>725</v>
      </c>
      <c r="O2442" s="17"/>
      <c r="P2442" s="17"/>
      <c r="Q2442" s="17"/>
      <c r="R2442" s="17"/>
      <c r="S2442" s="17"/>
      <c r="T2442" s="17"/>
      <c r="U2442" s="17"/>
      <c r="V2442" s="17"/>
      <c r="W2442" s="17"/>
      <c r="X2442" s="17"/>
      <c r="Y2442" s="17"/>
      <c r="Z2442" s="17"/>
    </row>
    <row r="2443">
      <c r="A2443" s="18" t="str">
        <f>IFERROR(__xludf.DUMMYFUNCTION("""COMPUTED_VALUE"""),"ord_94454")</f>
        <v>ord_94454</v>
      </c>
      <c r="B2443" s="18" t="str">
        <f>IFERROR(__xludf.DUMMYFUNCTION("""COMPUTED_VALUE"""),"Ishaan Chaturvedi")</f>
        <v>Ishaan Chaturvedi</v>
      </c>
      <c r="C2443" s="18" t="str">
        <f>IFERROR(__xludf.DUMMYFUNCTION("""COMPUTED_VALUE"""),"Bandra")</f>
        <v>Bandra</v>
      </c>
      <c r="D2443" s="18" t="str">
        <f>IFERROR(__xludf.DUMMYFUNCTION("""COMPUTED_VALUE"""),"Orange")</f>
        <v>Orange</v>
      </c>
      <c r="E2443" s="18">
        <f>IFERROR(__xludf.DUMMYFUNCTION("""COMPUTED_VALUE"""),2.0)</f>
        <v>2</v>
      </c>
      <c r="F2443" s="18" t="str">
        <f>IFERROR(__xludf.DUMMYFUNCTION("""COMPUTED_VALUE"""),"Priya Joshi")</f>
        <v>Priya Joshi</v>
      </c>
      <c r="G2443" s="19">
        <f>IFERROR(__xludf.DUMMYFUNCTION("""COMPUTED_VALUE"""),45082.0)</f>
        <v>45082</v>
      </c>
      <c r="H2443" s="18" t="str">
        <f>IFERROR(__xludf.DUMMYFUNCTION("""COMPUTED_VALUE"""),"UPI")</f>
        <v>UPI</v>
      </c>
      <c r="I2443" s="18" t="str">
        <f>IFERROR(__xludf.DUMMYFUNCTION("""COMPUTED_VALUE"""),"Delivered")</f>
        <v>Delivered</v>
      </c>
      <c r="J2443" s="18" t="str">
        <f>IFERROR(__xludf.DUMMYFUNCTION("""COMPUTED_VALUE"""),"On-time Delivery")</f>
        <v>On-time Delivery</v>
      </c>
      <c r="K2443" s="18" t="str">
        <f>IFERROR(__xludf.DUMMYFUNCTION("""COMPUTED_VALUE"""),"Delivered on time")</f>
        <v>Delivered on time</v>
      </c>
      <c r="L2443" s="18">
        <f>iferror(VLOOKUP($D2443,Details!$A$2:$C$11,2,false),vlookup($D2443,Details!$E$2:$G$11,2,false))</f>
        <v>180</v>
      </c>
      <c r="M2443" s="18" t="str">
        <f>iferror(VLOOKUP($D2443,Details!$A$2:$C$11,3,false),vlookup($D2443,Details!$E$2:$G$11,3,false))</f>
        <v>Fruits and Vegetables</v>
      </c>
      <c r="N2443" s="18">
        <f t="shared" si="1"/>
        <v>360</v>
      </c>
      <c r="O2443" s="17"/>
      <c r="P2443" s="17"/>
      <c r="Q2443" s="17"/>
      <c r="R2443" s="17"/>
      <c r="S2443" s="17"/>
      <c r="T2443" s="17"/>
      <c r="U2443" s="17"/>
      <c r="V2443" s="17"/>
      <c r="W2443" s="17"/>
      <c r="X2443" s="17"/>
      <c r="Y2443" s="17"/>
      <c r="Z2443" s="17"/>
    </row>
    <row r="2444">
      <c r="A2444" s="18" t="str">
        <f>IFERROR(__xludf.DUMMYFUNCTION("""COMPUTED_VALUE"""),"ord_94548")</f>
        <v>ord_94548</v>
      </c>
      <c r="B2444" s="18" t="str">
        <f>IFERROR(__xludf.DUMMYFUNCTION("""COMPUTED_VALUE"""),"Kritika Shetty")</f>
        <v>Kritika Shetty</v>
      </c>
      <c r="C2444" s="18" t="str">
        <f>IFERROR(__xludf.DUMMYFUNCTION("""COMPUTED_VALUE"""),"Malad")</f>
        <v>Malad</v>
      </c>
      <c r="D2444" s="18" t="str">
        <f>IFERROR(__xludf.DUMMYFUNCTION("""COMPUTED_VALUE"""),"Banana")</f>
        <v>Banana</v>
      </c>
      <c r="E2444" s="18">
        <f>IFERROR(__xludf.DUMMYFUNCTION("""COMPUTED_VALUE"""),1.0)</f>
        <v>1</v>
      </c>
      <c r="F2444" s="18" t="str">
        <f>IFERROR(__xludf.DUMMYFUNCTION("""COMPUTED_VALUE"""),"Neha Shah")</f>
        <v>Neha Shah</v>
      </c>
      <c r="G2444" s="19">
        <f>IFERROR(__xludf.DUMMYFUNCTION("""COMPUTED_VALUE"""),45112.0)</f>
        <v>45112</v>
      </c>
      <c r="H2444" s="18" t="str">
        <f>IFERROR(__xludf.DUMMYFUNCTION("""COMPUTED_VALUE"""),"UPI")</f>
        <v>UPI</v>
      </c>
      <c r="I2444" s="18" t="str">
        <f>IFERROR(__xludf.DUMMYFUNCTION("""COMPUTED_VALUE"""),"Delivered")</f>
        <v>Delivered</v>
      </c>
      <c r="J2444" s="18" t="str">
        <f>IFERROR(__xludf.DUMMYFUNCTION("""COMPUTED_VALUE"""),"On-time Delivery")</f>
        <v>On-time Delivery</v>
      </c>
      <c r="K2444" s="18" t="str">
        <f>IFERROR(__xludf.DUMMYFUNCTION("""COMPUTED_VALUE"""),"Delivered on time")</f>
        <v>Delivered on time</v>
      </c>
      <c r="L2444" s="18">
        <f>iferror(VLOOKUP($D2444,Details!$A$2:$C$11,2,false),vlookup($D2444,Details!$E$2:$G$11,2,false))</f>
        <v>80</v>
      </c>
      <c r="M2444" s="18" t="str">
        <f>iferror(VLOOKUP($D2444,Details!$A$2:$C$11,3,false),vlookup($D2444,Details!$E$2:$G$11,3,false))</f>
        <v>Fruits and Vegetables</v>
      </c>
      <c r="N2444" s="18">
        <f t="shared" si="1"/>
        <v>80</v>
      </c>
      <c r="O2444" s="17"/>
      <c r="P2444" s="17"/>
      <c r="Q2444" s="17"/>
      <c r="R2444" s="17"/>
      <c r="S2444" s="17"/>
      <c r="T2444" s="17"/>
      <c r="U2444" s="17"/>
      <c r="V2444" s="17"/>
      <c r="W2444" s="17"/>
      <c r="X2444" s="17"/>
      <c r="Y2444" s="17"/>
      <c r="Z2444" s="17"/>
    </row>
    <row r="2445">
      <c r="A2445" s="18" t="str">
        <f>IFERROR(__xludf.DUMMYFUNCTION("""COMPUTED_VALUE"""),"ord_94642")</f>
        <v>ord_94642</v>
      </c>
      <c r="B2445" s="18" t="str">
        <f>IFERROR(__xludf.DUMMYFUNCTION("""COMPUTED_VALUE"""),"Siya Reddy")</f>
        <v>Siya Reddy</v>
      </c>
      <c r="C2445" s="18" t="str">
        <f>IFERROR(__xludf.DUMMYFUNCTION("""COMPUTED_VALUE"""),"Juhu")</f>
        <v>Juhu</v>
      </c>
      <c r="D2445" s="18" t="str">
        <f>IFERROR(__xludf.DUMMYFUNCTION("""COMPUTED_VALUE"""),"Banana")</f>
        <v>Banana</v>
      </c>
      <c r="E2445" s="18">
        <f>IFERROR(__xludf.DUMMYFUNCTION("""COMPUTED_VALUE"""),2.0)</f>
        <v>2</v>
      </c>
      <c r="F2445" s="18" t="str">
        <f>IFERROR(__xludf.DUMMYFUNCTION("""COMPUTED_VALUE"""),"Tanvi Jain")</f>
        <v>Tanvi Jain</v>
      </c>
      <c r="G2445" s="19">
        <f>IFERROR(__xludf.DUMMYFUNCTION("""COMPUTED_VALUE"""),45189.0)</f>
        <v>45189</v>
      </c>
      <c r="H2445" s="18" t="str">
        <f>IFERROR(__xludf.DUMMYFUNCTION("""COMPUTED_VALUE"""),"UPI")</f>
        <v>UPI</v>
      </c>
      <c r="I2445" s="18" t="str">
        <f>IFERROR(__xludf.DUMMYFUNCTION("""COMPUTED_VALUE"""),"Delivered")</f>
        <v>Delivered</v>
      </c>
      <c r="J2445" s="18" t="str">
        <f>IFERROR(__xludf.DUMMYFUNCTION("""COMPUTED_VALUE"""),"Quality of Items")</f>
        <v>Quality of Items</v>
      </c>
      <c r="K2445" s="18" t="str">
        <f>IFERROR(__xludf.DUMMYFUNCTION("""COMPUTED_VALUE"""),"Perfect condition")</f>
        <v>Perfect condition</v>
      </c>
      <c r="L2445" s="18">
        <f>iferror(VLOOKUP($D2445,Details!$A$2:$C$11,2,false),vlookup($D2445,Details!$E$2:$G$11,2,false))</f>
        <v>80</v>
      </c>
      <c r="M2445" s="18" t="str">
        <f>iferror(VLOOKUP($D2445,Details!$A$2:$C$11,3,false),vlookup($D2445,Details!$E$2:$G$11,3,false))</f>
        <v>Fruits and Vegetables</v>
      </c>
      <c r="N2445" s="18">
        <f t="shared" si="1"/>
        <v>160</v>
      </c>
      <c r="O2445" s="17"/>
      <c r="P2445" s="17"/>
      <c r="Q2445" s="17"/>
      <c r="R2445" s="17"/>
      <c r="S2445" s="17"/>
      <c r="T2445" s="17"/>
      <c r="U2445" s="17"/>
      <c r="V2445" s="17"/>
      <c r="W2445" s="17"/>
      <c r="X2445" s="17"/>
      <c r="Y2445" s="17"/>
      <c r="Z2445" s="17"/>
    </row>
    <row r="2446">
      <c r="A2446" s="18" t="str">
        <f>IFERROR(__xludf.DUMMYFUNCTION("""COMPUTED_VALUE"""),"ord_94736")</f>
        <v>ord_94736</v>
      </c>
      <c r="B2446" s="18" t="str">
        <f>IFERROR(__xludf.DUMMYFUNCTION("""COMPUTED_VALUE"""),"Sanjay Nair")</f>
        <v>Sanjay Nair</v>
      </c>
      <c r="C2446" s="18" t="str">
        <f>IFERROR(__xludf.DUMMYFUNCTION("""COMPUTED_VALUE"""),"Dadar")</f>
        <v>Dadar</v>
      </c>
      <c r="D2446" s="18" t="str">
        <f>IFERROR(__xludf.DUMMYFUNCTION("""COMPUTED_VALUE"""),"Cold Coffee")</f>
        <v>Cold Coffee</v>
      </c>
      <c r="E2446" s="18">
        <f>IFERROR(__xludf.DUMMYFUNCTION("""COMPUTED_VALUE"""),3.0)</f>
        <v>3</v>
      </c>
      <c r="F2446" s="18" t="str">
        <f>IFERROR(__xludf.DUMMYFUNCTION("""COMPUTED_VALUE"""),"Aman Kumar")</f>
        <v>Aman Kumar</v>
      </c>
      <c r="G2446" s="19">
        <f>IFERROR(__xludf.DUMMYFUNCTION("""COMPUTED_VALUE"""),45269.0)</f>
        <v>45269</v>
      </c>
      <c r="H2446" s="18" t="str">
        <f>IFERROR(__xludf.DUMMYFUNCTION("""COMPUTED_VALUE"""),"Online Payment")</f>
        <v>Online Payment</v>
      </c>
      <c r="I2446" s="18" t="str">
        <f>IFERROR(__xludf.DUMMYFUNCTION("""COMPUTED_VALUE"""),"Delivered")</f>
        <v>Delivered</v>
      </c>
      <c r="J2446" s="18" t="str">
        <f>IFERROR(__xludf.DUMMYFUNCTION("""COMPUTED_VALUE"""),"Packaging")</f>
        <v>Packaging</v>
      </c>
      <c r="K2446" s="18" t="str">
        <f>IFERROR(__xludf.DUMMYFUNCTION("""COMPUTED_VALUE"""),"Secure and intact")</f>
        <v>Secure and intact</v>
      </c>
      <c r="L2446" s="18">
        <f>iferror(VLOOKUP($D2446,Details!$A$2:$C$11,2,false),vlookup($D2446,Details!$E$2:$G$11,2,false))</f>
        <v>270</v>
      </c>
      <c r="M2446" s="18" t="str">
        <f>iferror(VLOOKUP($D2446,Details!$A$2:$C$11,3,false),vlookup($D2446,Details!$E$2:$G$11,3,false))</f>
        <v>Snacks and Drinks</v>
      </c>
      <c r="N2446" s="18">
        <f t="shared" si="1"/>
        <v>810</v>
      </c>
      <c r="O2446" s="17"/>
      <c r="P2446" s="17"/>
      <c r="Q2446" s="17"/>
      <c r="R2446" s="17"/>
      <c r="S2446" s="17"/>
      <c r="T2446" s="17"/>
      <c r="U2446" s="17"/>
      <c r="V2446" s="17"/>
      <c r="W2446" s="17"/>
      <c r="X2446" s="17"/>
      <c r="Y2446" s="17"/>
      <c r="Z2446" s="17"/>
    </row>
    <row r="2447">
      <c r="A2447" s="18" t="str">
        <f>IFERROR(__xludf.DUMMYFUNCTION("""COMPUTED_VALUE"""),"ord_94830")</f>
        <v>ord_94830</v>
      </c>
      <c r="B2447" s="18" t="str">
        <f>IFERROR(__xludf.DUMMYFUNCTION("""COMPUTED_VALUE"""),"Omkar Mishra")</f>
        <v>Omkar Mishra</v>
      </c>
      <c r="C2447" s="18" t="str">
        <f>IFERROR(__xludf.DUMMYFUNCTION("""COMPUTED_VALUE"""),"Powai")</f>
        <v>Powai</v>
      </c>
      <c r="D2447" s="18" t="str">
        <f>IFERROR(__xludf.DUMMYFUNCTION("""COMPUTED_VALUE"""),"Apple")</f>
        <v>Apple</v>
      </c>
      <c r="E2447" s="18">
        <f>IFERROR(__xludf.DUMMYFUNCTION("""COMPUTED_VALUE"""),1.0)</f>
        <v>1</v>
      </c>
      <c r="F2447" s="18" t="str">
        <f>IFERROR(__xludf.DUMMYFUNCTION("""COMPUTED_VALUE"""),"Sandeep Kumar")</f>
        <v>Sandeep Kumar</v>
      </c>
      <c r="G2447" s="19">
        <f>IFERROR(__xludf.DUMMYFUNCTION("""COMPUTED_VALUE"""),45278.0)</f>
        <v>45278</v>
      </c>
      <c r="H2447" s="18" t="str">
        <f>IFERROR(__xludf.DUMMYFUNCTION("""COMPUTED_VALUE"""),"Credit Card")</f>
        <v>Credit Card</v>
      </c>
      <c r="I2447" s="18" t="str">
        <f>IFERROR(__xludf.DUMMYFUNCTION("""COMPUTED_VALUE"""),"Delivered")</f>
        <v>Delivered</v>
      </c>
      <c r="J2447" s="18" t="str">
        <f>IFERROR(__xludf.DUMMYFUNCTION("""COMPUTED_VALUE"""),"Satisfied with the Delivery")</f>
        <v>Satisfied with the Delivery</v>
      </c>
      <c r="K2447" s="18" t="str">
        <f>IFERROR(__xludf.DUMMYFUNCTION("""COMPUTED_VALUE"""),"Timely and quality")</f>
        <v>Timely and quality</v>
      </c>
      <c r="L2447" s="18">
        <f>iferror(VLOOKUP($D2447,Details!$A$2:$C$11,2,false),vlookup($D2447,Details!$E$2:$G$11,2,false))</f>
        <v>230</v>
      </c>
      <c r="M2447" s="18" t="str">
        <f>iferror(VLOOKUP($D2447,Details!$A$2:$C$11,3,false),vlookup($D2447,Details!$E$2:$G$11,3,false))</f>
        <v>Fruits and Vegetables</v>
      </c>
      <c r="N2447" s="18">
        <f t="shared" si="1"/>
        <v>230</v>
      </c>
      <c r="O2447" s="17"/>
      <c r="P2447" s="17"/>
      <c r="Q2447" s="17"/>
      <c r="R2447" s="17"/>
      <c r="S2447" s="17"/>
      <c r="T2447" s="17"/>
      <c r="U2447" s="17"/>
      <c r="V2447" s="17"/>
      <c r="W2447" s="17"/>
      <c r="X2447" s="17"/>
      <c r="Y2447" s="17"/>
      <c r="Z2447" s="17"/>
    </row>
    <row r="2448">
      <c r="A2448" s="18" t="str">
        <f>IFERROR(__xludf.DUMMYFUNCTION("""COMPUTED_VALUE"""),"ord_94924")</f>
        <v>ord_94924</v>
      </c>
      <c r="B2448" s="18" t="str">
        <f>IFERROR(__xludf.DUMMYFUNCTION("""COMPUTED_VALUE"""),"Kritika Shetty")</f>
        <v>Kritika Shetty</v>
      </c>
      <c r="C2448" s="18" t="str">
        <f>IFERROR(__xludf.DUMMYFUNCTION("""COMPUTED_VALUE"""),"Malad")</f>
        <v>Malad</v>
      </c>
      <c r="D2448" s="18" t="str">
        <f>IFERROR(__xludf.DUMMYFUNCTION("""COMPUTED_VALUE"""),"Orange")</f>
        <v>Orange</v>
      </c>
      <c r="E2448" s="18">
        <f>IFERROR(__xludf.DUMMYFUNCTION("""COMPUTED_VALUE"""),1.0)</f>
        <v>1</v>
      </c>
      <c r="F2448" s="18" t="str">
        <f>IFERROR(__xludf.DUMMYFUNCTION("""COMPUTED_VALUE"""),"Neha Shah")</f>
        <v>Neha Shah</v>
      </c>
      <c r="G2448" s="19">
        <f>IFERROR(__xludf.DUMMYFUNCTION("""COMPUTED_VALUE"""),45145.0)</f>
        <v>45145</v>
      </c>
      <c r="H2448" s="18" t="str">
        <f>IFERROR(__xludf.DUMMYFUNCTION("""COMPUTED_VALUE"""),"Credit Card")</f>
        <v>Credit Card</v>
      </c>
      <c r="I2448" s="18" t="str">
        <f>IFERROR(__xludf.DUMMYFUNCTION("""COMPUTED_VALUE"""),"Delivered")</f>
        <v>Delivered</v>
      </c>
      <c r="J2448" s="18" t="str">
        <f>IFERROR(__xludf.DUMMYFUNCTION("""COMPUTED_VALUE"""),"Customer Service")</f>
        <v>Customer Service</v>
      </c>
      <c r="K2448" s="18" t="str">
        <f>IFERROR(__xludf.DUMMYFUNCTION("""COMPUTED_VALUE"""),"Seamless and easy")</f>
        <v>Seamless and easy</v>
      </c>
      <c r="L2448" s="18">
        <f>iferror(VLOOKUP($D2448,Details!$A$2:$C$11,2,false),vlookup($D2448,Details!$E$2:$G$11,2,false))</f>
        <v>180</v>
      </c>
      <c r="M2448" s="18" t="str">
        <f>iferror(VLOOKUP($D2448,Details!$A$2:$C$11,3,false),vlookup($D2448,Details!$E$2:$G$11,3,false))</f>
        <v>Fruits and Vegetables</v>
      </c>
      <c r="N2448" s="18">
        <f t="shared" si="1"/>
        <v>180</v>
      </c>
      <c r="O2448" s="17"/>
      <c r="P2448" s="17"/>
      <c r="Q2448" s="17"/>
      <c r="R2448" s="17"/>
      <c r="S2448" s="17"/>
      <c r="T2448" s="17"/>
      <c r="U2448" s="17"/>
      <c r="V2448" s="17"/>
      <c r="W2448" s="17"/>
      <c r="X2448" s="17"/>
      <c r="Y2448" s="17"/>
      <c r="Z2448" s="17"/>
    </row>
    <row r="2449">
      <c r="A2449" s="18" t="str">
        <f>IFERROR(__xludf.DUMMYFUNCTION("""COMPUTED_VALUE"""),"ord_95018")</f>
        <v>ord_95018</v>
      </c>
      <c r="B2449" s="18" t="str">
        <f>IFERROR(__xludf.DUMMYFUNCTION("""COMPUTED_VALUE"""),"Aarohi Kapoor")</f>
        <v>Aarohi Kapoor</v>
      </c>
      <c r="C2449" s="18" t="str">
        <f>IFERROR(__xludf.DUMMYFUNCTION("""COMPUTED_VALUE"""),"Bandra")</f>
        <v>Bandra</v>
      </c>
      <c r="D2449" s="18" t="str">
        <f>IFERROR(__xludf.DUMMYFUNCTION("""COMPUTED_VALUE"""),"Tiramisu")</f>
        <v>Tiramisu</v>
      </c>
      <c r="E2449" s="18">
        <f>IFERROR(__xludf.DUMMYFUNCTION("""COMPUTED_VALUE"""),2.0)</f>
        <v>2</v>
      </c>
      <c r="F2449" s="18" t="str">
        <f>IFERROR(__xludf.DUMMYFUNCTION("""COMPUTED_VALUE"""),"Priya Joshi")</f>
        <v>Priya Joshi</v>
      </c>
      <c r="G2449" s="19">
        <f>IFERROR(__xludf.DUMMYFUNCTION("""COMPUTED_VALUE"""),45279.0)</f>
        <v>45279</v>
      </c>
      <c r="H2449" s="18" t="str">
        <f>IFERROR(__xludf.DUMMYFUNCTION("""COMPUTED_VALUE"""),"UPI")</f>
        <v>UPI</v>
      </c>
      <c r="I2449" s="18" t="str">
        <f>IFERROR(__xludf.DUMMYFUNCTION("""COMPUTED_VALUE"""),"Delivered")</f>
        <v>Delivered</v>
      </c>
      <c r="J2449" s="18" t="str">
        <f>IFERROR(__xludf.DUMMYFUNCTION("""COMPUTED_VALUE"""),"Delivery Experience")</f>
        <v>Delivery Experience</v>
      </c>
      <c r="K2449" s="18" t="str">
        <f>IFERROR(__xludf.DUMMYFUNCTION("""COMPUTED_VALUE"""),"Quick and professional")</f>
        <v>Quick and professional</v>
      </c>
      <c r="L2449" s="18">
        <f>iferror(VLOOKUP($D2449,Details!$A$2:$C$11,2,false),vlookup($D2449,Details!$E$2:$G$11,2,false))</f>
        <v>150</v>
      </c>
      <c r="M2449" s="18" t="str">
        <f>iferror(VLOOKUP($D2449,Details!$A$2:$C$11,3,false),vlookup($D2449,Details!$E$2:$G$11,3,false))</f>
        <v>Snacks and Drinks</v>
      </c>
      <c r="N2449" s="18">
        <f t="shared" si="1"/>
        <v>300</v>
      </c>
      <c r="O2449" s="17"/>
      <c r="P2449" s="17"/>
      <c r="Q2449" s="17"/>
      <c r="R2449" s="17"/>
      <c r="S2449" s="17"/>
      <c r="T2449" s="17"/>
      <c r="U2449" s="17"/>
      <c r="V2449" s="17"/>
      <c r="W2449" s="17"/>
      <c r="X2449" s="17"/>
      <c r="Y2449" s="17"/>
      <c r="Z2449" s="17"/>
    </row>
    <row r="2450">
      <c r="A2450" s="18" t="str">
        <f>IFERROR(__xludf.DUMMYFUNCTION("""COMPUTED_VALUE"""),"ord_95112")</f>
        <v>ord_95112</v>
      </c>
      <c r="B2450" s="18" t="str">
        <f>IFERROR(__xludf.DUMMYFUNCTION("""COMPUTED_VALUE"""),"Sakshi Tandon")</f>
        <v>Sakshi Tandon</v>
      </c>
      <c r="C2450" s="18" t="str">
        <f>IFERROR(__xludf.DUMMYFUNCTION("""COMPUTED_VALUE"""),"Colaba")</f>
        <v>Colaba</v>
      </c>
      <c r="D2450" s="18" t="str">
        <f>IFERROR(__xludf.DUMMYFUNCTION("""COMPUTED_VALUE"""),"Cold Coffee")</f>
        <v>Cold Coffee</v>
      </c>
      <c r="E2450" s="18">
        <f>IFERROR(__xludf.DUMMYFUNCTION("""COMPUTED_VALUE"""),3.0)</f>
        <v>3</v>
      </c>
      <c r="F2450" s="18" t="str">
        <f>IFERROR(__xludf.DUMMYFUNCTION("""COMPUTED_VALUE"""),"Nikhil Deshmukh")</f>
        <v>Nikhil Deshmukh</v>
      </c>
      <c r="G2450" s="19">
        <f>IFERROR(__xludf.DUMMYFUNCTION("""COMPUTED_VALUE"""),45205.0)</f>
        <v>45205</v>
      </c>
      <c r="H2450" s="18" t="str">
        <f>IFERROR(__xludf.DUMMYFUNCTION("""COMPUTED_VALUE"""),"UPI")</f>
        <v>UPI</v>
      </c>
      <c r="I2450" s="18" t="str">
        <f>IFERROR(__xludf.DUMMYFUNCTION("""COMPUTED_VALUE"""),"Delivered")</f>
        <v>Delivered</v>
      </c>
      <c r="J2450" s="18" t="str">
        <f>IFERROR(__xludf.DUMMYFUNCTION("""COMPUTED_VALUE"""),"Convenience")</f>
        <v>Convenience</v>
      </c>
      <c r="K2450" s="18" t="str">
        <f>IFERROR(__xludf.DUMMYFUNCTION("""COMPUTED_VALUE"""),"Easy tracking")</f>
        <v>Easy tracking</v>
      </c>
      <c r="L2450" s="18">
        <f>iferror(VLOOKUP($D2450,Details!$A$2:$C$11,2,false),vlookup($D2450,Details!$E$2:$G$11,2,false))</f>
        <v>270</v>
      </c>
      <c r="M2450" s="18" t="str">
        <f>iferror(VLOOKUP($D2450,Details!$A$2:$C$11,3,false),vlookup($D2450,Details!$E$2:$G$11,3,false))</f>
        <v>Snacks and Drinks</v>
      </c>
      <c r="N2450" s="18">
        <f t="shared" si="1"/>
        <v>810</v>
      </c>
      <c r="O2450" s="17"/>
      <c r="P2450" s="17"/>
      <c r="Q2450" s="17"/>
      <c r="R2450" s="17"/>
      <c r="S2450" s="17"/>
      <c r="T2450" s="17"/>
      <c r="U2450" s="17"/>
      <c r="V2450" s="17"/>
      <c r="W2450" s="17"/>
      <c r="X2450" s="17"/>
      <c r="Y2450" s="17"/>
      <c r="Z2450" s="17"/>
    </row>
    <row r="2451">
      <c r="A2451" s="18" t="str">
        <f>IFERROR(__xludf.DUMMYFUNCTION("""COMPUTED_VALUE"""),"ord_95206")</f>
        <v>ord_95206</v>
      </c>
      <c r="B2451" s="18" t="str">
        <f>IFERROR(__xludf.DUMMYFUNCTION("""COMPUTED_VALUE"""),"Sanjay Nair")</f>
        <v>Sanjay Nair</v>
      </c>
      <c r="C2451" s="18" t="str">
        <f>IFERROR(__xludf.DUMMYFUNCTION("""COMPUTED_VALUE"""),"Dadar")</f>
        <v>Dadar</v>
      </c>
      <c r="D2451" s="18" t="str">
        <f>IFERROR(__xludf.DUMMYFUNCTION("""COMPUTED_VALUE"""),"Cold Coffee")</f>
        <v>Cold Coffee</v>
      </c>
      <c r="E2451" s="18">
        <f>IFERROR(__xludf.DUMMYFUNCTION("""COMPUTED_VALUE"""),1.0)</f>
        <v>1</v>
      </c>
      <c r="F2451" s="18" t="str">
        <f>IFERROR(__xludf.DUMMYFUNCTION("""COMPUTED_VALUE"""),"Aman Kumar")</f>
        <v>Aman Kumar</v>
      </c>
      <c r="G2451" s="19">
        <f>IFERROR(__xludf.DUMMYFUNCTION("""COMPUTED_VALUE"""),44974.0)</f>
        <v>44974</v>
      </c>
      <c r="H2451" s="18" t="str">
        <f>IFERROR(__xludf.DUMMYFUNCTION("""COMPUTED_VALUE"""),"Credit Card")</f>
        <v>Credit Card</v>
      </c>
      <c r="I2451" s="18" t="str">
        <f>IFERROR(__xludf.DUMMYFUNCTION("""COMPUTED_VALUE"""),"Delivered")</f>
        <v>Delivered</v>
      </c>
      <c r="J2451" s="18" t="str">
        <f>IFERROR(__xludf.DUMMYFUNCTION("""COMPUTED_VALUE"""),"Overall Satisfaction")</f>
        <v>Overall Satisfaction</v>
      </c>
      <c r="K2451" s="18" t="str">
        <f>IFERROR(__xludf.DUMMYFUNCTION("""COMPUTED_VALUE"""),"Great service will order again")</f>
        <v>Great service will order again</v>
      </c>
      <c r="L2451" s="18">
        <f>iferror(VLOOKUP($D2451,Details!$A$2:$C$11,2,false),vlookup($D2451,Details!$E$2:$G$11,2,false))</f>
        <v>270</v>
      </c>
      <c r="M2451" s="18" t="str">
        <f>iferror(VLOOKUP($D2451,Details!$A$2:$C$11,3,false),vlookup($D2451,Details!$E$2:$G$11,3,false))</f>
        <v>Snacks and Drinks</v>
      </c>
      <c r="N2451" s="18">
        <f t="shared" si="1"/>
        <v>270</v>
      </c>
      <c r="O2451" s="17"/>
      <c r="P2451" s="17"/>
      <c r="Q2451" s="17"/>
      <c r="R2451" s="17"/>
      <c r="S2451" s="17"/>
      <c r="T2451" s="17"/>
      <c r="U2451" s="17"/>
      <c r="V2451" s="17"/>
      <c r="W2451" s="17"/>
      <c r="X2451" s="17"/>
      <c r="Y2451" s="17"/>
      <c r="Z2451" s="17"/>
    </row>
    <row r="2452">
      <c r="A2452" s="18" t="str">
        <f>IFERROR(__xludf.DUMMYFUNCTION("""COMPUTED_VALUE"""),"ord_95300")</f>
        <v>ord_95300</v>
      </c>
      <c r="B2452" s="18" t="str">
        <f>IFERROR(__xludf.DUMMYFUNCTION("""COMPUTED_VALUE"""),"Mohit Malhotra")</f>
        <v>Mohit Malhotra</v>
      </c>
      <c r="C2452" s="18" t="str">
        <f>IFERROR(__xludf.DUMMYFUNCTION("""COMPUTED_VALUE"""),"Lower Parel")</f>
        <v>Lower Parel</v>
      </c>
      <c r="D2452" s="18" t="str">
        <f>IFERROR(__xludf.DUMMYFUNCTION("""COMPUTED_VALUE"""),"Tiramisu")</f>
        <v>Tiramisu</v>
      </c>
      <c r="E2452" s="18">
        <f>IFERROR(__xludf.DUMMYFUNCTION("""COMPUTED_VALUE"""),2.0)</f>
        <v>2</v>
      </c>
      <c r="F2452" s="18" t="str">
        <f>IFERROR(__xludf.DUMMYFUNCTION("""COMPUTED_VALUE"""),"Kiran Mehta")</f>
        <v>Kiran Mehta</v>
      </c>
      <c r="G2452" s="19">
        <f>IFERROR(__xludf.DUMMYFUNCTION("""COMPUTED_VALUE"""),45093.0)</f>
        <v>45093</v>
      </c>
      <c r="H2452" s="18" t="str">
        <f>IFERROR(__xludf.DUMMYFUNCTION("""COMPUTED_VALUE"""),"Credit Card")</f>
        <v>Credit Card</v>
      </c>
      <c r="I2452" s="18" t="str">
        <f>IFERROR(__xludf.DUMMYFUNCTION("""COMPUTED_VALUE"""),"Delivered")</f>
        <v>Delivered</v>
      </c>
      <c r="J2452" s="18" t="str">
        <f>IFERROR(__xludf.DUMMYFUNCTION("""COMPUTED_VALUE"""),"On-time Delivery")</f>
        <v>On-time Delivery</v>
      </c>
      <c r="K2452" s="18" t="str">
        <f>IFERROR(__xludf.DUMMYFUNCTION("""COMPUTED_VALUE"""),"Delivered on time")</f>
        <v>Delivered on time</v>
      </c>
      <c r="L2452" s="18">
        <f>iferror(VLOOKUP($D2452,Details!$A$2:$C$11,2,false),vlookup($D2452,Details!$E$2:$G$11,2,false))</f>
        <v>150</v>
      </c>
      <c r="M2452" s="18" t="str">
        <f>iferror(VLOOKUP($D2452,Details!$A$2:$C$11,3,false),vlookup($D2452,Details!$E$2:$G$11,3,false))</f>
        <v>Snacks and Drinks</v>
      </c>
      <c r="N2452" s="18">
        <f t="shared" si="1"/>
        <v>300</v>
      </c>
      <c r="O2452" s="17"/>
      <c r="P2452" s="17"/>
      <c r="Q2452" s="17"/>
      <c r="R2452" s="17"/>
      <c r="S2452" s="17"/>
      <c r="T2452" s="17"/>
      <c r="U2452" s="17"/>
      <c r="V2452" s="17"/>
      <c r="W2452" s="17"/>
      <c r="X2452" s="17"/>
      <c r="Y2452" s="17"/>
      <c r="Z2452" s="17"/>
    </row>
    <row r="2453">
      <c r="A2453" s="18" t="str">
        <f>IFERROR(__xludf.DUMMYFUNCTION("""COMPUTED_VALUE"""),"ord_95394")</f>
        <v>ord_95394</v>
      </c>
      <c r="B2453" s="18" t="str">
        <f>IFERROR(__xludf.DUMMYFUNCTION("""COMPUTED_VALUE"""),"Aarav Mehta")</f>
        <v>Aarav Mehta</v>
      </c>
      <c r="C2453" s="18" t="str">
        <f>IFERROR(__xludf.DUMMYFUNCTION("""COMPUTED_VALUE"""),"Andheri")</f>
        <v>Andheri</v>
      </c>
      <c r="D2453" s="18" t="str">
        <f>IFERROR(__xludf.DUMMYFUNCTION("""COMPUTED_VALUE"""),"Chocolate Mousse")</f>
        <v>Chocolate Mousse</v>
      </c>
      <c r="E2453" s="18">
        <f>IFERROR(__xludf.DUMMYFUNCTION("""COMPUTED_VALUE"""),3.0)</f>
        <v>3</v>
      </c>
      <c r="F2453" s="18" t="str">
        <f>IFERROR(__xludf.DUMMYFUNCTION("""COMPUTED_VALUE"""),"Rohan Yadav")</f>
        <v>Rohan Yadav</v>
      </c>
      <c r="G2453" s="19">
        <f>IFERROR(__xludf.DUMMYFUNCTION("""COMPUTED_VALUE"""),44997.0)</f>
        <v>44997</v>
      </c>
      <c r="H2453" s="18" t="str">
        <f>IFERROR(__xludf.DUMMYFUNCTION("""COMPUTED_VALUE"""),"Credit Card")</f>
        <v>Credit Card</v>
      </c>
      <c r="I2453" s="18" t="str">
        <f>IFERROR(__xludf.DUMMYFUNCTION("""COMPUTED_VALUE"""),"Delivered")</f>
        <v>Delivered</v>
      </c>
      <c r="J2453" s="18" t="str">
        <f>IFERROR(__xludf.DUMMYFUNCTION("""COMPUTED_VALUE"""),"Quality of Items")</f>
        <v>Quality of Items</v>
      </c>
      <c r="K2453" s="18" t="str">
        <f>IFERROR(__xludf.DUMMYFUNCTION("""COMPUTED_VALUE"""),"Perfect condition")</f>
        <v>Perfect condition</v>
      </c>
      <c r="L2453" s="18">
        <f>iferror(VLOOKUP($D2453,Details!$A$2:$C$11,2,false),vlookup($D2453,Details!$E$2:$G$11,2,false))</f>
        <v>145</v>
      </c>
      <c r="M2453" s="18" t="str">
        <f>iferror(VLOOKUP($D2453,Details!$A$2:$C$11,3,false),vlookup($D2453,Details!$E$2:$G$11,3,false))</f>
        <v>Snacks and Drinks</v>
      </c>
      <c r="N2453" s="18">
        <f t="shared" si="1"/>
        <v>435</v>
      </c>
      <c r="O2453" s="17"/>
      <c r="P2453" s="17"/>
      <c r="Q2453" s="17"/>
      <c r="R2453" s="17"/>
      <c r="S2453" s="17"/>
      <c r="T2453" s="17"/>
      <c r="U2453" s="17"/>
      <c r="V2453" s="17"/>
      <c r="W2453" s="17"/>
      <c r="X2453" s="17"/>
      <c r="Y2453" s="17"/>
      <c r="Z2453" s="17"/>
    </row>
    <row r="2454">
      <c r="A2454" s="18" t="str">
        <f>IFERROR(__xludf.DUMMYFUNCTION("""COMPUTED_VALUE"""),"ord_95488")</f>
        <v>ord_95488</v>
      </c>
      <c r="B2454" s="18" t="str">
        <f>IFERROR(__xludf.DUMMYFUNCTION("""COMPUTED_VALUE"""),"Simran Bhatt")</f>
        <v>Simran Bhatt</v>
      </c>
      <c r="C2454" s="18" t="str">
        <f>IFERROR(__xludf.DUMMYFUNCTION("""COMPUTED_VALUE"""),"Juhu")</f>
        <v>Juhu</v>
      </c>
      <c r="D2454" s="18" t="str">
        <f>IFERROR(__xludf.DUMMYFUNCTION("""COMPUTED_VALUE"""),"Banana")</f>
        <v>Banana</v>
      </c>
      <c r="E2454" s="18">
        <f>IFERROR(__xludf.DUMMYFUNCTION("""COMPUTED_VALUE"""),1.0)</f>
        <v>1</v>
      </c>
      <c r="F2454" s="18" t="str">
        <f>IFERROR(__xludf.DUMMYFUNCTION("""COMPUTED_VALUE"""),"Not Assigned")</f>
        <v>Not Assigned</v>
      </c>
      <c r="G2454" s="19">
        <f>IFERROR(__xludf.DUMMYFUNCTION("""COMPUTED_VALUE"""),45122.0)</f>
        <v>45122</v>
      </c>
      <c r="H2454" s="18" t="str">
        <f>IFERROR(__xludf.DUMMYFUNCTION("""COMPUTED_VALUE"""),"UPI")</f>
        <v>UPI</v>
      </c>
      <c r="I2454" s="18" t="str">
        <f>IFERROR(__xludf.DUMMYFUNCTION("""COMPUTED_VALUE"""),"Cancelled")</f>
        <v>Cancelled</v>
      </c>
      <c r="J2454" s="18" t="str">
        <f>IFERROR(__xludf.DUMMYFUNCTION("""COMPUTED_VALUE"""),"App Glitches")</f>
        <v>App Glitches</v>
      </c>
      <c r="K2454" s="18" t="str">
        <f>IFERROR(__xludf.DUMMYFUNCTION("""COMPUTED_VALUE"""),"Slow Loading Time")</f>
        <v>Slow Loading Time</v>
      </c>
      <c r="L2454" s="18">
        <f>iferror(VLOOKUP($D2454,Details!$A$2:$C$11,2,false),vlookup($D2454,Details!$E$2:$G$11,2,false))</f>
        <v>80</v>
      </c>
      <c r="M2454" s="18" t="str">
        <f>iferror(VLOOKUP($D2454,Details!$A$2:$C$11,3,false),vlookup($D2454,Details!$E$2:$G$11,3,false))</f>
        <v>Fruits and Vegetables</v>
      </c>
      <c r="N2454" s="18">
        <f t="shared" si="1"/>
        <v>80</v>
      </c>
      <c r="O2454" s="17"/>
      <c r="P2454" s="17"/>
      <c r="Q2454" s="17"/>
      <c r="R2454" s="17"/>
      <c r="S2454" s="17"/>
      <c r="T2454" s="17"/>
      <c r="U2454" s="17"/>
      <c r="V2454" s="17"/>
      <c r="W2454" s="17"/>
      <c r="X2454" s="17"/>
      <c r="Y2454" s="17"/>
      <c r="Z2454" s="17"/>
    </row>
    <row r="2455">
      <c r="A2455" s="18" t="str">
        <f>IFERROR(__xludf.DUMMYFUNCTION("""COMPUTED_VALUE"""),"ord_95582")</f>
        <v>ord_95582</v>
      </c>
      <c r="B2455" s="18" t="str">
        <f>IFERROR(__xludf.DUMMYFUNCTION("""COMPUTED_VALUE"""),"Simran Bhatt")</f>
        <v>Simran Bhatt</v>
      </c>
      <c r="C2455" s="18" t="str">
        <f>IFERROR(__xludf.DUMMYFUNCTION("""COMPUTED_VALUE"""),"Juhu")</f>
        <v>Juhu</v>
      </c>
      <c r="D2455" s="18" t="str">
        <f>IFERROR(__xludf.DUMMYFUNCTION("""COMPUTED_VALUE"""),"Orange")</f>
        <v>Orange</v>
      </c>
      <c r="E2455" s="18">
        <f>IFERROR(__xludf.DUMMYFUNCTION("""COMPUTED_VALUE"""),2.0)</f>
        <v>2</v>
      </c>
      <c r="F2455" s="18" t="str">
        <f>IFERROR(__xludf.DUMMYFUNCTION("""COMPUTED_VALUE"""),"Tanvi Jain")</f>
        <v>Tanvi Jain</v>
      </c>
      <c r="G2455" s="19">
        <f>IFERROR(__xludf.DUMMYFUNCTION("""COMPUTED_VALUE"""),44993.0)</f>
        <v>44993</v>
      </c>
      <c r="H2455" s="18" t="str">
        <f>IFERROR(__xludf.DUMMYFUNCTION("""COMPUTED_VALUE"""),"UPI")</f>
        <v>UPI</v>
      </c>
      <c r="I2455" s="18" t="str">
        <f>IFERROR(__xludf.DUMMYFUNCTION("""COMPUTED_VALUE"""),"Delivered")</f>
        <v>Delivered</v>
      </c>
      <c r="J2455" s="18" t="str">
        <f>IFERROR(__xludf.DUMMYFUNCTION("""COMPUTED_VALUE"""),"Packaging")</f>
        <v>Packaging</v>
      </c>
      <c r="K2455" s="18" t="str">
        <f>IFERROR(__xludf.DUMMYFUNCTION("""COMPUTED_VALUE"""),"Secure and intact")</f>
        <v>Secure and intact</v>
      </c>
      <c r="L2455" s="18">
        <f>iferror(VLOOKUP($D2455,Details!$A$2:$C$11,2,false),vlookup($D2455,Details!$E$2:$G$11,2,false))</f>
        <v>180</v>
      </c>
      <c r="M2455" s="18" t="str">
        <f>iferror(VLOOKUP($D2455,Details!$A$2:$C$11,3,false),vlookup($D2455,Details!$E$2:$G$11,3,false))</f>
        <v>Fruits and Vegetables</v>
      </c>
      <c r="N2455" s="18">
        <f t="shared" si="1"/>
        <v>360</v>
      </c>
      <c r="O2455" s="17"/>
      <c r="P2455" s="17"/>
      <c r="Q2455" s="17"/>
      <c r="R2455" s="17"/>
      <c r="S2455" s="17"/>
      <c r="T2455" s="17"/>
      <c r="U2455" s="17"/>
      <c r="V2455" s="17"/>
      <c r="W2455" s="17"/>
      <c r="X2455" s="17"/>
      <c r="Y2455" s="17"/>
      <c r="Z2455" s="17"/>
    </row>
    <row r="2456">
      <c r="A2456" s="18" t="str">
        <f>IFERROR(__xludf.DUMMYFUNCTION("""COMPUTED_VALUE"""),"ord_95676")</f>
        <v>ord_95676</v>
      </c>
      <c r="B2456" s="18" t="str">
        <f>IFERROR(__xludf.DUMMYFUNCTION("""COMPUTED_VALUE"""),"Siya Reddy")</f>
        <v>Siya Reddy</v>
      </c>
      <c r="C2456" s="18" t="str">
        <f>IFERROR(__xludf.DUMMYFUNCTION("""COMPUTED_VALUE"""),"Juhu")</f>
        <v>Juhu</v>
      </c>
      <c r="D2456" s="18" t="str">
        <f>IFERROR(__xludf.DUMMYFUNCTION("""COMPUTED_VALUE"""),"Apple")</f>
        <v>Apple</v>
      </c>
      <c r="E2456" s="18">
        <f>IFERROR(__xludf.DUMMYFUNCTION("""COMPUTED_VALUE"""),2.0)</f>
        <v>2</v>
      </c>
      <c r="F2456" s="18" t="str">
        <f>IFERROR(__xludf.DUMMYFUNCTION("""COMPUTED_VALUE"""),"Tanvi Jain")</f>
        <v>Tanvi Jain</v>
      </c>
      <c r="G2456" s="19">
        <f>IFERROR(__xludf.DUMMYFUNCTION("""COMPUTED_VALUE"""),44989.0)</f>
        <v>44989</v>
      </c>
      <c r="H2456" s="18" t="str">
        <f>IFERROR(__xludf.DUMMYFUNCTION("""COMPUTED_VALUE"""),"Credit Card")</f>
        <v>Credit Card</v>
      </c>
      <c r="I2456" s="18" t="str">
        <f>IFERROR(__xludf.DUMMYFUNCTION("""COMPUTED_VALUE"""),"Delivered")</f>
        <v>Delivered</v>
      </c>
      <c r="J2456" s="18" t="str">
        <f>IFERROR(__xludf.DUMMYFUNCTION("""COMPUTED_VALUE"""),"Satisfied with the Delivery")</f>
        <v>Satisfied with the Delivery</v>
      </c>
      <c r="K2456" s="18" t="str">
        <f>IFERROR(__xludf.DUMMYFUNCTION("""COMPUTED_VALUE"""),"Timely and quality")</f>
        <v>Timely and quality</v>
      </c>
      <c r="L2456" s="18">
        <f>iferror(VLOOKUP($D2456,Details!$A$2:$C$11,2,false),vlookup($D2456,Details!$E$2:$G$11,2,false))</f>
        <v>230</v>
      </c>
      <c r="M2456" s="18" t="str">
        <f>iferror(VLOOKUP($D2456,Details!$A$2:$C$11,3,false),vlookup($D2456,Details!$E$2:$G$11,3,false))</f>
        <v>Fruits and Vegetables</v>
      </c>
      <c r="N2456" s="18">
        <f t="shared" si="1"/>
        <v>460</v>
      </c>
      <c r="O2456" s="17"/>
      <c r="P2456" s="17"/>
      <c r="Q2456" s="17"/>
      <c r="R2456" s="17"/>
      <c r="S2456" s="17"/>
      <c r="T2456" s="17"/>
      <c r="U2456" s="17"/>
      <c r="V2456" s="17"/>
      <c r="W2456" s="17"/>
      <c r="X2456" s="17"/>
      <c r="Y2456" s="17"/>
      <c r="Z2456" s="17"/>
    </row>
    <row r="2457">
      <c r="A2457" s="18" t="str">
        <f>IFERROR(__xludf.DUMMYFUNCTION("""COMPUTED_VALUE"""),"ord_95770")</f>
        <v>ord_95770</v>
      </c>
      <c r="B2457" s="18" t="str">
        <f>IFERROR(__xludf.DUMMYFUNCTION("""COMPUTED_VALUE"""),"Aditi Iyer")</f>
        <v>Aditi Iyer</v>
      </c>
      <c r="C2457" s="18" t="str">
        <f>IFERROR(__xludf.DUMMYFUNCTION("""COMPUTED_VALUE"""),"Dadar")</f>
        <v>Dadar</v>
      </c>
      <c r="D2457" s="18" t="str">
        <f>IFERROR(__xludf.DUMMYFUNCTION("""COMPUTED_VALUE"""),"Orange")</f>
        <v>Orange</v>
      </c>
      <c r="E2457" s="18">
        <f>IFERROR(__xludf.DUMMYFUNCTION("""COMPUTED_VALUE"""),2.0)</f>
        <v>2</v>
      </c>
      <c r="F2457" s="18" t="str">
        <f>IFERROR(__xludf.DUMMYFUNCTION("""COMPUTED_VALUE"""),"Aman Kumar")</f>
        <v>Aman Kumar</v>
      </c>
      <c r="G2457" s="19">
        <f>IFERROR(__xludf.DUMMYFUNCTION("""COMPUTED_VALUE"""),45065.0)</f>
        <v>45065</v>
      </c>
      <c r="H2457" s="18" t="str">
        <f>IFERROR(__xludf.DUMMYFUNCTION("""COMPUTED_VALUE"""),"Credit Card")</f>
        <v>Credit Card</v>
      </c>
      <c r="I2457" s="18" t="str">
        <f>IFERROR(__xludf.DUMMYFUNCTION("""COMPUTED_VALUE"""),"Delivered")</f>
        <v>Delivered</v>
      </c>
      <c r="J2457" s="18" t="str">
        <f>IFERROR(__xludf.DUMMYFUNCTION("""COMPUTED_VALUE"""),"Customer Service")</f>
        <v>Customer Service</v>
      </c>
      <c r="K2457" s="18" t="str">
        <f>IFERROR(__xludf.DUMMYFUNCTION("""COMPUTED_VALUE"""),"Seamless and easy")</f>
        <v>Seamless and easy</v>
      </c>
      <c r="L2457" s="18">
        <f>iferror(VLOOKUP($D2457,Details!$A$2:$C$11,2,false),vlookup($D2457,Details!$E$2:$G$11,2,false))</f>
        <v>180</v>
      </c>
      <c r="M2457" s="18" t="str">
        <f>iferror(VLOOKUP($D2457,Details!$A$2:$C$11,3,false),vlookup($D2457,Details!$E$2:$G$11,3,false))</f>
        <v>Fruits and Vegetables</v>
      </c>
      <c r="N2457" s="18">
        <f t="shared" si="1"/>
        <v>360</v>
      </c>
      <c r="O2457" s="17"/>
      <c r="P2457" s="17"/>
      <c r="Q2457" s="17"/>
      <c r="R2457" s="17"/>
      <c r="S2457" s="17"/>
      <c r="T2457" s="17"/>
      <c r="U2457" s="17"/>
      <c r="V2457" s="17"/>
      <c r="W2457" s="17"/>
      <c r="X2457" s="17"/>
      <c r="Y2457" s="17"/>
      <c r="Z2457" s="17"/>
    </row>
    <row r="2458">
      <c r="A2458" s="18" t="str">
        <f>IFERROR(__xludf.DUMMYFUNCTION("""COMPUTED_VALUE"""),"ord_95864")</f>
        <v>ord_95864</v>
      </c>
      <c r="B2458" s="18" t="str">
        <f>IFERROR(__xludf.DUMMYFUNCTION("""COMPUTED_VALUE"""),"Aarav Mehta")</f>
        <v>Aarav Mehta</v>
      </c>
      <c r="C2458" s="18" t="str">
        <f>IFERROR(__xludf.DUMMYFUNCTION("""COMPUTED_VALUE"""),"Andheri")</f>
        <v>Andheri</v>
      </c>
      <c r="D2458" s="18" t="str">
        <f>IFERROR(__xludf.DUMMYFUNCTION("""COMPUTED_VALUE"""),"Cold Coffee")</f>
        <v>Cold Coffee</v>
      </c>
      <c r="E2458" s="18">
        <f>IFERROR(__xludf.DUMMYFUNCTION("""COMPUTED_VALUE"""),5.0)</f>
        <v>5</v>
      </c>
      <c r="F2458" s="18" t="str">
        <f>IFERROR(__xludf.DUMMYFUNCTION("""COMPUTED_VALUE"""),"Rohan Yadav")</f>
        <v>Rohan Yadav</v>
      </c>
      <c r="G2458" s="19">
        <f>IFERROR(__xludf.DUMMYFUNCTION("""COMPUTED_VALUE"""),45026.0)</f>
        <v>45026</v>
      </c>
      <c r="H2458" s="18" t="str">
        <f>IFERROR(__xludf.DUMMYFUNCTION("""COMPUTED_VALUE"""),"Online Payment")</f>
        <v>Online Payment</v>
      </c>
      <c r="I2458" s="18" t="str">
        <f>IFERROR(__xludf.DUMMYFUNCTION("""COMPUTED_VALUE"""),"Delivered")</f>
        <v>Delivered</v>
      </c>
      <c r="J2458" s="18" t="str">
        <f>IFERROR(__xludf.DUMMYFUNCTION("""COMPUTED_VALUE"""),"Delivery Experience")</f>
        <v>Delivery Experience</v>
      </c>
      <c r="K2458" s="18" t="str">
        <f>IFERROR(__xludf.DUMMYFUNCTION("""COMPUTED_VALUE"""),"Quick and professional")</f>
        <v>Quick and professional</v>
      </c>
      <c r="L2458" s="18">
        <f>iferror(VLOOKUP($D2458,Details!$A$2:$C$11,2,false),vlookup($D2458,Details!$E$2:$G$11,2,false))</f>
        <v>270</v>
      </c>
      <c r="M2458" s="18" t="str">
        <f>iferror(VLOOKUP($D2458,Details!$A$2:$C$11,3,false),vlookup($D2458,Details!$E$2:$G$11,3,false))</f>
        <v>Snacks and Drinks</v>
      </c>
      <c r="N2458" s="18">
        <f t="shared" si="1"/>
        <v>1350</v>
      </c>
      <c r="O2458" s="17"/>
      <c r="P2458" s="17"/>
      <c r="Q2458" s="17"/>
      <c r="R2458" s="17"/>
      <c r="S2458" s="17"/>
      <c r="T2458" s="17"/>
      <c r="U2458" s="17"/>
      <c r="V2458" s="17"/>
      <c r="W2458" s="17"/>
      <c r="X2458" s="17"/>
      <c r="Y2458" s="17"/>
      <c r="Z2458" s="17"/>
    </row>
    <row r="2459">
      <c r="A2459" s="18" t="str">
        <f>IFERROR(__xludf.DUMMYFUNCTION("""COMPUTED_VALUE"""),"ord_95958")</f>
        <v>ord_95958</v>
      </c>
      <c r="B2459" s="18" t="str">
        <f>IFERROR(__xludf.DUMMYFUNCTION("""COMPUTED_VALUE"""),"Ishaan Chaturvedi")</f>
        <v>Ishaan Chaturvedi</v>
      </c>
      <c r="C2459" s="18" t="str">
        <f>IFERROR(__xludf.DUMMYFUNCTION("""COMPUTED_VALUE"""),"Bandra")</f>
        <v>Bandra</v>
      </c>
      <c r="D2459" s="18" t="str">
        <f>IFERROR(__xludf.DUMMYFUNCTION("""COMPUTED_VALUE"""),"Banana")</f>
        <v>Banana</v>
      </c>
      <c r="E2459" s="18">
        <f>IFERROR(__xludf.DUMMYFUNCTION("""COMPUTED_VALUE"""),1.0)</f>
        <v>1</v>
      </c>
      <c r="F2459" s="18" t="str">
        <f>IFERROR(__xludf.DUMMYFUNCTION("""COMPUTED_VALUE"""),"Priya Joshi")</f>
        <v>Priya Joshi</v>
      </c>
      <c r="G2459" s="19">
        <f>IFERROR(__xludf.DUMMYFUNCTION("""COMPUTED_VALUE"""),45205.0)</f>
        <v>45205</v>
      </c>
      <c r="H2459" s="18" t="str">
        <f>IFERROR(__xludf.DUMMYFUNCTION("""COMPUTED_VALUE"""),"Credit Card")</f>
        <v>Credit Card</v>
      </c>
      <c r="I2459" s="18" t="str">
        <f>IFERROR(__xludf.DUMMYFUNCTION("""COMPUTED_VALUE"""),"Delivered")</f>
        <v>Delivered</v>
      </c>
      <c r="J2459" s="18" t="str">
        <f>IFERROR(__xludf.DUMMYFUNCTION("""COMPUTED_VALUE"""),"Convenience")</f>
        <v>Convenience</v>
      </c>
      <c r="K2459" s="18" t="str">
        <f>IFERROR(__xludf.DUMMYFUNCTION("""COMPUTED_VALUE"""),"Easy tracking")</f>
        <v>Easy tracking</v>
      </c>
      <c r="L2459" s="18">
        <f>iferror(VLOOKUP($D2459,Details!$A$2:$C$11,2,false),vlookup($D2459,Details!$E$2:$G$11,2,false))</f>
        <v>80</v>
      </c>
      <c r="M2459" s="18" t="str">
        <f>iferror(VLOOKUP($D2459,Details!$A$2:$C$11,3,false),vlookup($D2459,Details!$E$2:$G$11,3,false))</f>
        <v>Fruits and Vegetables</v>
      </c>
      <c r="N2459" s="18">
        <f t="shared" si="1"/>
        <v>80</v>
      </c>
      <c r="O2459" s="17"/>
      <c r="P2459" s="17"/>
      <c r="Q2459" s="17"/>
      <c r="R2459" s="17"/>
      <c r="S2459" s="17"/>
      <c r="T2459" s="17"/>
      <c r="U2459" s="17"/>
      <c r="V2459" s="17"/>
      <c r="W2459" s="17"/>
      <c r="X2459" s="17"/>
      <c r="Y2459" s="17"/>
      <c r="Z2459" s="17"/>
    </row>
    <row r="2460">
      <c r="A2460" s="18" t="str">
        <f>IFERROR(__xludf.DUMMYFUNCTION("""COMPUTED_VALUE"""),"ord_96052")</f>
        <v>ord_96052</v>
      </c>
      <c r="B2460" s="18" t="str">
        <f>IFERROR(__xludf.DUMMYFUNCTION("""COMPUTED_VALUE"""),"Aarav Mehta")</f>
        <v>Aarav Mehta</v>
      </c>
      <c r="C2460" s="18" t="str">
        <f>IFERROR(__xludf.DUMMYFUNCTION("""COMPUTED_VALUE"""),"Andheri")</f>
        <v>Andheri</v>
      </c>
      <c r="D2460" s="18" t="str">
        <f>IFERROR(__xludf.DUMMYFUNCTION("""COMPUTED_VALUE"""),"Banana")</f>
        <v>Banana</v>
      </c>
      <c r="E2460" s="18">
        <f>IFERROR(__xludf.DUMMYFUNCTION("""COMPUTED_VALUE"""),1.0)</f>
        <v>1</v>
      </c>
      <c r="F2460" s="18" t="str">
        <f>IFERROR(__xludf.DUMMYFUNCTION("""COMPUTED_VALUE"""),"Vivek Kumar")</f>
        <v>Vivek Kumar</v>
      </c>
      <c r="G2460" s="19">
        <f>IFERROR(__xludf.DUMMYFUNCTION("""COMPUTED_VALUE"""),45144.0)</f>
        <v>45144</v>
      </c>
      <c r="H2460" s="18" t="str">
        <f>IFERROR(__xludf.DUMMYFUNCTION("""COMPUTED_VALUE"""),"UPI")</f>
        <v>UPI</v>
      </c>
      <c r="I2460" s="18" t="str">
        <f>IFERROR(__xludf.DUMMYFUNCTION("""COMPUTED_VALUE"""),"Delivered")</f>
        <v>Delivered</v>
      </c>
      <c r="J2460" s="18" t="str">
        <f>IFERROR(__xludf.DUMMYFUNCTION("""COMPUTED_VALUE"""),"Overall Satisfaction")</f>
        <v>Overall Satisfaction</v>
      </c>
      <c r="K2460" s="18" t="str">
        <f>IFERROR(__xludf.DUMMYFUNCTION("""COMPUTED_VALUE"""),"Great service will order again")</f>
        <v>Great service will order again</v>
      </c>
      <c r="L2460" s="18">
        <f>iferror(VLOOKUP($D2460,Details!$A$2:$C$11,2,false),vlookup($D2460,Details!$E$2:$G$11,2,false))</f>
        <v>80</v>
      </c>
      <c r="M2460" s="18" t="str">
        <f>iferror(VLOOKUP($D2460,Details!$A$2:$C$11,3,false),vlookup($D2460,Details!$E$2:$G$11,3,false))</f>
        <v>Fruits and Vegetables</v>
      </c>
      <c r="N2460" s="18">
        <f t="shared" si="1"/>
        <v>80</v>
      </c>
      <c r="O2460" s="17"/>
      <c r="P2460" s="17"/>
      <c r="Q2460" s="17"/>
      <c r="R2460" s="17"/>
      <c r="S2460" s="17"/>
      <c r="T2460" s="17"/>
      <c r="U2460" s="17"/>
      <c r="V2460" s="17"/>
      <c r="W2460" s="17"/>
      <c r="X2460" s="17"/>
      <c r="Y2460" s="17"/>
      <c r="Z2460" s="17"/>
    </row>
    <row r="2461">
      <c r="A2461" s="18" t="str">
        <f>IFERROR(__xludf.DUMMYFUNCTION("""COMPUTED_VALUE"""),"ord_96146")</f>
        <v>ord_96146</v>
      </c>
      <c r="B2461" s="18" t="str">
        <f>IFERROR(__xludf.DUMMYFUNCTION("""COMPUTED_VALUE"""),"Sanjay Nair")</f>
        <v>Sanjay Nair</v>
      </c>
      <c r="C2461" s="18" t="str">
        <f>IFERROR(__xludf.DUMMYFUNCTION("""COMPUTED_VALUE"""),"Dadar")</f>
        <v>Dadar</v>
      </c>
      <c r="D2461" s="18" t="str">
        <f>IFERROR(__xludf.DUMMYFUNCTION("""COMPUTED_VALUE"""),"Apple")</f>
        <v>Apple</v>
      </c>
      <c r="E2461" s="18">
        <f>IFERROR(__xludf.DUMMYFUNCTION("""COMPUTED_VALUE"""),2.0)</f>
        <v>2</v>
      </c>
      <c r="F2461" s="18" t="str">
        <f>IFERROR(__xludf.DUMMYFUNCTION("""COMPUTED_VALUE"""),"Sita T")</f>
        <v>Sita T</v>
      </c>
      <c r="G2461" s="19">
        <f>IFERROR(__xludf.DUMMYFUNCTION("""COMPUTED_VALUE"""),45213.0)</f>
        <v>45213</v>
      </c>
      <c r="H2461" s="18" t="str">
        <f>IFERROR(__xludf.DUMMYFUNCTION("""COMPUTED_VALUE"""),"Online Payment")</f>
        <v>Online Payment</v>
      </c>
      <c r="I2461" s="18" t="str">
        <f>IFERROR(__xludf.DUMMYFUNCTION("""COMPUTED_VALUE"""),"Delivered")</f>
        <v>Delivered</v>
      </c>
      <c r="J2461" s="18" t="str">
        <f>IFERROR(__xludf.DUMMYFUNCTION("""COMPUTED_VALUE"""),"On-time Delivery")</f>
        <v>On-time Delivery</v>
      </c>
      <c r="K2461" s="18" t="str">
        <f>IFERROR(__xludf.DUMMYFUNCTION("""COMPUTED_VALUE"""),"Delivered on time")</f>
        <v>Delivered on time</v>
      </c>
      <c r="L2461" s="18">
        <f>iferror(VLOOKUP($D2461,Details!$A$2:$C$11,2,false),vlookup($D2461,Details!$E$2:$G$11,2,false))</f>
        <v>230</v>
      </c>
      <c r="M2461" s="18" t="str">
        <f>iferror(VLOOKUP($D2461,Details!$A$2:$C$11,3,false),vlookup($D2461,Details!$E$2:$G$11,3,false))</f>
        <v>Fruits and Vegetables</v>
      </c>
      <c r="N2461" s="18">
        <f t="shared" si="1"/>
        <v>460</v>
      </c>
      <c r="O2461" s="17"/>
      <c r="P2461" s="17"/>
      <c r="Q2461" s="17"/>
      <c r="R2461" s="17"/>
      <c r="S2461" s="17"/>
      <c r="T2461" s="17"/>
      <c r="U2461" s="17"/>
      <c r="V2461" s="17"/>
      <c r="W2461" s="17"/>
      <c r="X2461" s="17"/>
      <c r="Y2461" s="17"/>
      <c r="Z2461" s="17"/>
    </row>
    <row r="2462">
      <c r="A2462" s="18" t="str">
        <f>IFERROR(__xludf.DUMMYFUNCTION("""COMPUTED_VALUE"""),"ord_96240")</f>
        <v>ord_96240</v>
      </c>
      <c r="B2462" s="18" t="str">
        <f>IFERROR(__xludf.DUMMYFUNCTION("""COMPUTED_VALUE"""),"Ishita Banerjee")</f>
        <v>Ishita Banerjee</v>
      </c>
      <c r="C2462" s="18" t="str">
        <f>IFERROR(__xludf.DUMMYFUNCTION("""COMPUTED_VALUE"""),"Juhu")</f>
        <v>Juhu</v>
      </c>
      <c r="D2462" s="18" t="str">
        <f>IFERROR(__xludf.DUMMYFUNCTION("""COMPUTED_VALUE"""),"Cold Coffee")</f>
        <v>Cold Coffee</v>
      </c>
      <c r="E2462" s="18">
        <f>IFERROR(__xludf.DUMMYFUNCTION("""COMPUTED_VALUE"""),2.0)</f>
        <v>2</v>
      </c>
      <c r="F2462" s="18" t="str">
        <f>IFERROR(__xludf.DUMMYFUNCTION("""COMPUTED_VALUE"""),"Manju Ajay")</f>
        <v>Manju Ajay</v>
      </c>
      <c r="G2462" s="19">
        <f>IFERROR(__xludf.DUMMYFUNCTION("""COMPUTED_VALUE"""),45061.0)</f>
        <v>45061</v>
      </c>
      <c r="H2462" s="18" t="str">
        <f>IFERROR(__xludf.DUMMYFUNCTION("""COMPUTED_VALUE"""),"Credit Card")</f>
        <v>Credit Card</v>
      </c>
      <c r="I2462" s="18" t="str">
        <f>IFERROR(__xludf.DUMMYFUNCTION("""COMPUTED_VALUE"""),"Delivered")</f>
        <v>Delivered</v>
      </c>
      <c r="J2462" s="18" t="str">
        <f>IFERROR(__xludf.DUMMYFUNCTION("""COMPUTED_VALUE"""),"On-time Delivery")</f>
        <v>On-time Delivery</v>
      </c>
      <c r="K2462" s="18" t="str">
        <f>IFERROR(__xludf.DUMMYFUNCTION("""COMPUTED_VALUE"""),"Delivered on time")</f>
        <v>Delivered on time</v>
      </c>
      <c r="L2462" s="18">
        <f>iferror(VLOOKUP($D2462,Details!$A$2:$C$11,2,false),vlookup($D2462,Details!$E$2:$G$11,2,false))</f>
        <v>270</v>
      </c>
      <c r="M2462" s="18" t="str">
        <f>iferror(VLOOKUP($D2462,Details!$A$2:$C$11,3,false),vlookup($D2462,Details!$E$2:$G$11,3,false))</f>
        <v>Snacks and Drinks</v>
      </c>
      <c r="N2462" s="18">
        <f t="shared" si="1"/>
        <v>540</v>
      </c>
      <c r="O2462" s="17"/>
      <c r="P2462" s="17"/>
      <c r="Q2462" s="17"/>
      <c r="R2462" s="17"/>
      <c r="S2462" s="17"/>
      <c r="T2462" s="17"/>
      <c r="U2462" s="17"/>
      <c r="V2462" s="17"/>
      <c r="W2462" s="17"/>
      <c r="X2462" s="17"/>
      <c r="Y2462" s="17"/>
      <c r="Z2462" s="17"/>
    </row>
    <row r="2463">
      <c r="A2463" s="18" t="str">
        <f>IFERROR(__xludf.DUMMYFUNCTION("""COMPUTED_VALUE"""),"ord_97274")</f>
        <v>ord_97274</v>
      </c>
      <c r="B2463" s="18" t="str">
        <f>IFERROR(__xludf.DUMMYFUNCTION("""COMPUTED_VALUE"""),"Sanjay Nair")</f>
        <v>Sanjay Nair</v>
      </c>
      <c r="C2463" s="18" t="str">
        <f>IFERROR(__xludf.DUMMYFUNCTION("""COMPUTED_VALUE"""),"Dadar")</f>
        <v>Dadar</v>
      </c>
      <c r="D2463" s="18" t="str">
        <f>IFERROR(__xludf.DUMMYFUNCTION("""COMPUTED_VALUE"""),"Chocolate Mousse")</f>
        <v>Chocolate Mousse</v>
      </c>
      <c r="E2463" s="18">
        <f>IFERROR(__xludf.DUMMYFUNCTION("""COMPUTED_VALUE"""),3.0)</f>
        <v>3</v>
      </c>
      <c r="F2463" s="18" t="str">
        <f>IFERROR(__xludf.DUMMYFUNCTION("""COMPUTED_VALUE"""),"Ramesh S")</f>
        <v>Ramesh S</v>
      </c>
      <c r="G2463" s="19">
        <f>IFERROR(__xludf.DUMMYFUNCTION("""COMPUTED_VALUE"""),45210.0)</f>
        <v>45210</v>
      </c>
      <c r="H2463" s="18" t="str">
        <f>IFERROR(__xludf.DUMMYFUNCTION("""COMPUTED_VALUE"""),"Online Payment")</f>
        <v>Online Payment</v>
      </c>
      <c r="I2463" s="18" t="str">
        <f>IFERROR(__xludf.DUMMYFUNCTION("""COMPUTED_VALUE"""),"Delivered")</f>
        <v>Delivered</v>
      </c>
      <c r="J2463" s="18" t="str">
        <f>IFERROR(__xludf.DUMMYFUNCTION("""COMPUTED_VALUE"""),"Quality of Items")</f>
        <v>Quality of Items</v>
      </c>
      <c r="K2463" s="18" t="str">
        <f>IFERROR(__xludf.DUMMYFUNCTION("""COMPUTED_VALUE"""),"Perfect condition")</f>
        <v>Perfect condition</v>
      </c>
      <c r="L2463" s="18">
        <f>iferror(VLOOKUP($D2463,Details!$A$2:$C$11,2,false),vlookup($D2463,Details!$E$2:$G$11,2,false))</f>
        <v>145</v>
      </c>
      <c r="M2463" s="18" t="str">
        <f>iferror(VLOOKUP($D2463,Details!$A$2:$C$11,3,false),vlookup($D2463,Details!$E$2:$G$11,3,false))</f>
        <v>Snacks and Drinks</v>
      </c>
      <c r="N2463" s="18">
        <f t="shared" si="1"/>
        <v>435</v>
      </c>
      <c r="O2463" s="17"/>
      <c r="P2463" s="17"/>
      <c r="Q2463" s="17"/>
      <c r="R2463" s="17"/>
      <c r="S2463" s="17"/>
      <c r="T2463" s="17"/>
      <c r="U2463" s="17"/>
      <c r="V2463" s="17"/>
      <c r="W2463" s="17"/>
      <c r="X2463" s="17"/>
      <c r="Y2463" s="17"/>
      <c r="Z2463" s="17"/>
    </row>
    <row r="2464">
      <c r="A2464" s="18" t="str">
        <f>IFERROR(__xludf.DUMMYFUNCTION("""COMPUTED_VALUE"""),"ord_97368")</f>
        <v>ord_97368</v>
      </c>
      <c r="B2464" s="18" t="str">
        <f>IFERROR(__xludf.DUMMYFUNCTION("""COMPUTED_VALUE"""),"Simran Bhatt")</f>
        <v>Simran Bhatt</v>
      </c>
      <c r="C2464" s="18" t="str">
        <f>IFERROR(__xludf.DUMMYFUNCTION("""COMPUTED_VALUE"""),"Juhu")</f>
        <v>Juhu</v>
      </c>
      <c r="D2464" s="18" t="str">
        <f>IFERROR(__xludf.DUMMYFUNCTION("""COMPUTED_VALUE"""),"Cold Coffee")</f>
        <v>Cold Coffee</v>
      </c>
      <c r="E2464" s="18">
        <f>IFERROR(__xludf.DUMMYFUNCTION("""COMPUTED_VALUE"""),5.0)</f>
        <v>5</v>
      </c>
      <c r="F2464" s="18" t="str">
        <f>IFERROR(__xludf.DUMMYFUNCTION("""COMPUTED_VALUE"""),"Manju Ajay")</f>
        <v>Manju Ajay</v>
      </c>
      <c r="G2464" s="19">
        <f>IFERROR(__xludf.DUMMYFUNCTION("""COMPUTED_VALUE"""),45265.0)</f>
        <v>45265</v>
      </c>
      <c r="H2464" s="18" t="str">
        <f>IFERROR(__xludf.DUMMYFUNCTION("""COMPUTED_VALUE"""),"Credit Card")</f>
        <v>Credit Card</v>
      </c>
      <c r="I2464" s="18" t="str">
        <f>IFERROR(__xludf.DUMMYFUNCTION("""COMPUTED_VALUE"""),"Delivered")</f>
        <v>Delivered</v>
      </c>
      <c r="J2464" s="18" t="str">
        <f>IFERROR(__xludf.DUMMYFUNCTION("""COMPUTED_VALUE"""),"Packaging")</f>
        <v>Packaging</v>
      </c>
      <c r="K2464" s="18" t="str">
        <f>IFERROR(__xludf.DUMMYFUNCTION("""COMPUTED_VALUE"""),"Secure and intact")</f>
        <v>Secure and intact</v>
      </c>
      <c r="L2464" s="18">
        <f>iferror(VLOOKUP($D2464,Details!$A$2:$C$11,2,false),vlookup($D2464,Details!$E$2:$G$11,2,false))</f>
        <v>270</v>
      </c>
      <c r="M2464" s="18" t="str">
        <f>iferror(VLOOKUP($D2464,Details!$A$2:$C$11,3,false),vlookup($D2464,Details!$E$2:$G$11,3,false))</f>
        <v>Snacks and Drinks</v>
      </c>
      <c r="N2464" s="18">
        <f t="shared" si="1"/>
        <v>1350</v>
      </c>
      <c r="O2464" s="17"/>
      <c r="P2464" s="17"/>
      <c r="Q2464" s="17"/>
      <c r="R2464" s="17"/>
      <c r="S2464" s="17"/>
      <c r="T2464" s="17"/>
      <c r="U2464" s="17"/>
      <c r="V2464" s="17"/>
      <c r="W2464" s="17"/>
      <c r="X2464" s="17"/>
      <c r="Y2464" s="17"/>
      <c r="Z2464" s="17"/>
    </row>
    <row r="2465">
      <c r="A2465" s="18" t="str">
        <f>IFERROR(__xludf.DUMMYFUNCTION("""COMPUTED_VALUE"""),"ord_97462")</f>
        <v>ord_97462</v>
      </c>
      <c r="B2465" s="18" t="str">
        <f>IFERROR(__xludf.DUMMYFUNCTION("""COMPUTED_VALUE"""),"Pranav Joshi")</f>
        <v>Pranav Joshi</v>
      </c>
      <c r="C2465" s="18" t="str">
        <f>IFERROR(__xludf.DUMMYFUNCTION("""COMPUTED_VALUE"""),"Andheri")</f>
        <v>Andheri</v>
      </c>
      <c r="D2465" s="18" t="str">
        <f>IFERROR(__xludf.DUMMYFUNCTION("""COMPUTED_VALUE"""),"Apple")</f>
        <v>Apple</v>
      </c>
      <c r="E2465" s="18">
        <f>IFERROR(__xludf.DUMMYFUNCTION("""COMPUTED_VALUE"""),2.0)</f>
        <v>2</v>
      </c>
      <c r="F2465" s="18" t="str">
        <f>IFERROR(__xludf.DUMMYFUNCTION("""COMPUTED_VALUE"""),"Ramesh S")</f>
        <v>Ramesh S</v>
      </c>
      <c r="G2465" s="19">
        <f>IFERROR(__xludf.DUMMYFUNCTION("""COMPUTED_VALUE"""),45179.0)</f>
        <v>45179</v>
      </c>
      <c r="H2465" s="18" t="str">
        <f>IFERROR(__xludf.DUMMYFUNCTION("""COMPUTED_VALUE"""),"UPI")</f>
        <v>UPI</v>
      </c>
      <c r="I2465" s="18" t="str">
        <f>IFERROR(__xludf.DUMMYFUNCTION("""COMPUTED_VALUE"""),"Delivered")</f>
        <v>Delivered</v>
      </c>
      <c r="J2465" s="18" t="str">
        <f>IFERROR(__xludf.DUMMYFUNCTION("""COMPUTED_VALUE"""),"Satisfied with the Delivery")</f>
        <v>Satisfied with the Delivery</v>
      </c>
      <c r="K2465" s="18" t="str">
        <f>IFERROR(__xludf.DUMMYFUNCTION("""COMPUTED_VALUE"""),"Timely and quality")</f>
        <v>Timely and quality</v>
      </c>
      <c r="L2465" s="18">
        <f>iferror(VLOOKUP($D2465,Details!$A$2:$C$11,2,false),vlookup($D2465,Details!$E$2:$G$11,2,false))</f>
        <v>230</v>
      </c>
      <c r="M2465" s="18" t="str">
        <f>iferror(VLOOKUP($D2465,Details!$A$2:$C$11,3,false),vlookup($D2465,Details!$E$2:$G$11,3,false))</f>
        <v>Fruits and Vegetables</v>
      </c>
      <c r="N2465" s="18">
        <f t="shared" si="1"/>
        <v>460</v>
      </c>
      <c r="O2465" s="17"/>
      <c r="P2465" s="17"/>
      <c r="Q2465" s="17"/>
      <c r="R2465" s="17"/>
      <c r="S2465" s="17"/>
      <c r="T2465" s="17"/>
      <c r="U2465" s="17"/>
      <c r="V2465" s="17"/>
      <c r="W2465" s="17"/>
      <c r="X2465" s="17"/>
      <c r="Y2465" s="17"/>
      <c r="Z2465" s="17"/>
    </row>
    <row r="2466">
      <c r="A2466" s="18" t="str">
        <f>IFERROR(__xludf.DUMMYFUNCTION("""COMPUTED_VALUE"""),"ord_97556")</f>
        <v>ord_97556</v>
      </c>
      <c r="B2466" s="18" t="str">
        <f>IFERROR(__xludf.DUMMYFUNCTION("""COMPUTED_VALUE"""),"Anaya Rao")</f>
        <v>Anaya Rao</v>
      </c>
      <c r="C2466" s="18" t="str">
        <f>IFERROR(__xludf.DUMMYFUNCTION("""COMPUTED_VALUE"""),"Colaba")</f>
        <v>Colaba</v>
      </c>
      <c r="D2466" s="18" t="str">
        <f>IFERROR(__xludf.DUMMYFUNCTION("""COMPUTED_VALUE"""),"Tiramisu")</f>
        <v>Tiramisu</v>
      </c>
      <c r="E2466" s="18">
        <f>IFERROR(__xludf.DUMMYFUNCTION("""COMPUTED_VALUE"""),4.0)</f>
        <v>4</v>
      </c>
      <c r="F2466" s="18" t="str">
        <f>IFERROR(__xludf.DUMMYFUNCTION("""COMPUTED_VALUE"""),"Sita T")</f>
        <v>Sita T</v>
      </c>
      <c r="G2466" s="19">
        <f>IFERROR(__xludf.DUMMYFUNCTION("""COMPUTED_VALUE"""),45000.0)</f>
        <v>45000</v>
      </c>
      <c r="H2466" s="18" t="str">
        <f>IFERROR(__xludf.DUMMYFUNCTION("""COMPUTED_VALUE"""),"Online Payment")</f>
        <v>Online Payment</v>
      </c>
      <c r="I2466" s="18" t="str">
        <f>IFERROR(__xludf.DUMMYFUNCTION("""COMPUTED_VALUE"""),"Delivered")</f>
        <v>Delivered</v>
      </c>
      <c r="J2466" s="18" t="str">
        <f>IFERROR(__xludf.DUMMYFUNCTION("""COMPUTED_VALUE"""),"Customer Service")</f>
        <v>Customer Service</v>
      </c>
      <c r="K2466" s="18" t="str">
        <f>IFERROR(__xludf.DUMMYFUNCTION("""COMPUTED_VALUE"""),"Seamless and easy")</f>
        <v>Seamless and easy</v>
      </c>
      <c r="L2466" s="18">
        <f>iferror(VLOOKUP($D2466,Details!$A$2:$C$11,2,false),vlookup($D2466,Details!$E$2:$G$11,2,false))</f>
        <v>150</v>
      </c>
      <c r="M2466" s="18" t="str">
        <f>iferror(VLOOKUP($D2466,Details!$A$2:$C$11,3,false),vlookup($D2466,Details!$E$2:$G$11,3,false))</f>
        <v>Snacks and Drinks</v>
      </c>
      <c r="N2466" s="18">
        <f t="shared" si="1"/>
        <v>600</v>
      </c>
      <c r="O2466" s="17"/>
      <c r="P2466" s="17"/>
      <c r="Q2466" s="17"/>
      <c r="R2466" s="17"/>
      <c r="S2466" s="17"/>
      <c r="T2466" s="17"/>
      <c r="U2466" s="17"/>
      <c r="V2466" s="17"/>
      <c r="W2466" s="17"/>
      <c r="X2466" s="17"/>
      <c r="Y2466" s="17"/>
      <c r="Z2466" s="17"/>
    </row>
    <row r="2467">
      <c r="A2467" s="18" t="str">
        <f>IFERROR(__xludf.DUMMYFUNCTION("""COMPUTED_VALUE"""),"ord_97650")</f>
        <v>ord_97650</v>
      </c>
      <c r="B2467" s="18" t="str">
        <f>IFERROR(__xludf.DUMMYFUNCTION("""COMPUTED_VALUE"""),"Tanishq Bansal")</f>
        <v>Tanishq Bansal</v>
      </c>
      <c r="C2467" s="18" t="str">
        <f>IFERROR(__xludf.DUMMYFUNCTION("""COMPUTED_VALUE"""),"Powai")</f>
        <v>Powai</v>
      </c>
      <c r="D2467" s="18" t="str">
        <f>IFERROR(__xludf.DUMMYFUNCTION("""COMPUTED_VALUE"""),"Orange")</f>
        <v>Orange</v>
      </c>
      <c r="E2467" s="18">
        <f>IFERROR(__xludf.DUMMYFUNCTION("""COMPUTED_VALUE"""),2.0)</f>
        <v>2</v>
      </c>
      <c r="F2467" s="18" t="str">
        <f>IFERROR(__xludf.DUMMYFUNCTION("""COMPUTED_VALUE"""),"Nithin Lal")</f>
        <v>Nithin Lal</v>
      </c>
      <c r="G2467" s="19">
        <f>IFERROR(__xludf.DUMMYFUNCTION("""COMPUTED_VALUE"""),45211.0)</f>
        <v>45211</v>
      </c>
      <c r="H2467" s="18" t="str">
        <f>IFERROR(__xludf.DUMMYFUNCTION("""COMPUTED_VALUE"""),"UPI")</f>
        <v>UPI</v>
      </c>
      <c r="I2467" s="18" t="str">
        <f>IFERROR(__xludf.DUMMYFUNCTION("""COMPUTED_VALUE"""),"Delivered")</f>
        <v>Delivered</v>
      </c>
      <c r="J2467" s="18" t="str">
        <f>IFERROR(__xludf.DUMMYFUNCTION("""COMPUTED_VALUE"""),"Delivery Experience")</f>
        <v>Delivery Experience</v>
      </c>
      <c r="K2467" s="18" t="str">
        <f>IFERROR(__xludf.DUMMYFUNCTION("""COMPUTED_VALUE"""),"Quick and professional")</f>
        <v>Quick and professional</v>
      </c>
      <c r="L2467" s="18">
        <f>iferror(VLOOKUP($D2467,Details!$A$2:$C$11,2,false),vlookup($D2467,Details!$E$2:$G$11,2,false))</f>
        <v>180</v>
      </c>
      <c r="M2467" s="18" t="str">
        <f>iferror(VLOOKUP($D2467,Details!$A$2:$C$11,3,false),vlookup($D2467,Details!$E$2:$G$11,3,false))</f>
        <v>Fruits and Vegetables</v>
      </c>
      <c r="N2467" s="18">
        <f t="shared" si="1"/>
        <v>360</v>
      </c>
      <c r="O2467" s="17"/>
      <c r="P2467" s="17"/>
      <c r="Q2467" s="17"/>
      <c r="R2467" s="17"/>
      <c r="S2467" s="17"/>
      <c r="T2467" s="17"/>
      <c r="U2467" s="17"/>
      <c r="V2467" s="17"/>
      <c r="W2467" s="17"/>
      <c r="X2467" s="17"/>
      <c r="Y2467" s="17"/>
      <c r="Z2467" s="17"/>
    </row>
    <row r="2468">
      <c r="A2468" s="18" t="str">
        <f>IFERROR(__xludf.DUMMYFUNCTION("""COMPUTED_VALUE"""),"ord_97744")</f>
        <v>ord_97744</v>
      </c>
      <c r="B2468" s="18" t="str">
        <f>IFERROR(__xludf.DUMMYFUNCTION("""COMPUTED_VALUE"""),"Omkar Mishra")</f>
        <v>Omkar Mishra</v>
      </c>
      <c r="C2468" s="18" t="str">
        <f>IFERROR(__xludf.DUMMYFUNCTION("""COMPUTED_VALUE"""),"Powai")</f>
        <v>Powai</v>
      </c>
      <c r="D2468" s="18" t="str">
        <f>IFERROR(__xludf.DUMMYFUNCTION("""COMPUTED_VALUE"""),"Banana")</f>
        <v>Banana</v>
      </c>
      <c r="E2468" s="18">
        <f>IFERROR(__xludf.DUMMYFUNCTION("""COMPUTED_VALUE"""),1.0)</f>
        <v>1</v>
      </c>
      <c r="F2468" s="18" t="str">
        <f>IFERROR(__xludf.DUMMYFUNCTION("""COMPUTED_VALUE"""),"Venu R")</f>
        <v>Venu R</v>
      </c>
      <c r="G2468" s="19">
        <f>IFERROR(__xludf.DUMMYFUNCTION("""COMPUTED_VALUE"""),45276.0)</f>
        <v>45276</v>
      </c>
      <c r="H2468" s="18" t="str">
        <f>IFERROR(__xludf.DUMMYFUNCTION("""COMPUTED_VALUE"""),"UPI")</f>
        <v>UPI</v>
      </c>
      <c r="I2468" s="18" t="str">
        <f>IFERROR(__xludf.DUMMYFUNCTION("""COMPUTED_VALUE"""),"Delivered")</f>
        <v>Delivered</v>
      </c>
      <c r="J2468" s="18" t="str">
        <f>IFERROR(__xludf.DUMMYFUNCTION("""COMPUTED_VALUE"""),"Convenience")</f>
        <v>Convenience</v>
      </c>
      <c r="K2468" s="18" t="str">
        <f>IFERROR(__xludf.DUMMYFUNCTION("""COMPUTED_VALUE"""),"Easy tracking")</f>
        <v>Easy tracking</v>
      </c>
      <c r="L2468" s="18">
        <f>iferror(VLOOKUP($D2468,Details!$A$2:$C$11,2,false),vlookup($D2468,Details!$E$2:$G$11,2,false))</f>
        <v>80</v>
      </c>
      <c r="M2468" s="18" t="str">
        <f>iferror(VLOOKUP($D2468,Details!$A$2:$C$11,3,false),vlookup($D2468,Details!$E$2:$G$11,3,false))</f>
        <v>Fruits and Vegetables</v>
      </c>
      <c r="N2468" s="18">
        <f t="shared" si="1"/>
        <v>80</v>
      </c>
      <c r="O2468" s="17"/>
      <c r="P2468" s="17"/>
      <c r="Q2468" s="17"/>
      <c r="R2468" s="17"/>
      <c r="S2468" s="17"/>
      <c r="T2468" s="17"/>
      <c r="U2468" s="17"/>
      <c r="V2468" s="17"/>
      <c r="W2468" s="17"/>
      <c r="X2468" s="17"/>
      <c r="Y2468" s="17"/>
      <c r="Z2468" s="17"/>
    </row>
    <row r="2469">
      <c r="A2469" s="18" t="str">
        <f>IFERROR(__xludf.DUMMYFUNCTION("""COMPUTED_VALUE"""),"ord_97838")</f>
        <v>ord_97838</v>
      </c>
      <c r="B2469" s="18" t="str">
        <f>IFERROR(__xludf.DUMMYFUNCTION("""COMPUTED_VALUE"""),"Aarav Mehta")</f>
        <v>Aarav Mehta</v>
      </c>
      <c r="C2469" s="18" t="str">
        <f>IFERROR(__xludf.DUMMYFUNCTION("""COMPUTED_VALUE"""),"Andheri")</f>
        <v>Andheri</v>
      </c>
      <c r="D2469" s="18" t="str">
        <f>IFERROR(__xludf.DUMMYFUNCTION("""COMPUTED_VALUE"""),"Orange")</f>
        <v>Orange</v>
      </c>
      <c r="E2469" s="18">
        <f>IFERROR(__xludf.DUMMYFUNCTION("""COMPUTED_VALUE"""),2.0)</f>
        <v>2</v>
      </c>
      <c r="F2469" s="18" t="str">
        <f>IFERROR(__xludf.DUMMYFUNCTION("""COMPUTED_VALUE"""),"Venu R")</f>
        <v>Venu R</v>
      </c>
      <c r="G2469" s="19">
        <f>IFERROR(__xludf.DUMMYFUNCTION("""COMPUTED_VALUE"""),44963.0)</f>
        <v>44963</v>
      </c>
      <c r="H2469" s="18" t="str">
        <f>IFERROR(__xludf.DUMMYFUNCTION("""COMPUTED_VALUE"""),"Credit Card")</f>
        <v>Credit Card</v>
      </c>
      <c r="I2469" s="18" t="str">
        <f>IFERROR(__xludf.DUMMYFUNCTION("""COMPUTED_VALUE"""),"Delivered")</f>
        <v>Delivered</v>
      </c>
      <c r="J2469" s="18" t="str">
        <f>IFERROR(__xludf.DUMMYFUNCTION("""COMPUTED_VALUE"""),"Overall Satisfaction")</f>
        <v>Overall Satisfaction</v>
      </c>
      <c r="K2469" s="18" t="str">
        <f>IFERROR(__xludf.DUMMYFUNCTION("""COMPUTED_VALUE"""),"Great service will order again")</f>
        <v>Great service will order again</v>
      </c>
      <c r="L2469" s="18">
        <f>iferror(VLOOKUP($D2469,Details!$A$2:$C$11,2,false),vlookup($D2469,Details!$E$2:$G$11,2,false))</f>
        <v>180</v>
      </c>
      <c r="M2469" s="18" t="str">
        <f>iferror(VLOOKUP($D2469,Details!$A$2:$C$11,3,false),vlookup($D2469,Details!$E$2:$G$11,3,false))</f>
        <v>Fruits and Vegetables</v>
      </c>
      <c r="N2469" s="18">
        <f t="shared" si="1"/>
        <v>360</v>
      </c>
      <c r="O2469" s="17"/>
      <c r="P2469" s="17"/>
      <c r="Q2469" s="17"/>
      <c r="R2469" s="17"/>
      <c r="S2469" s="17"/>
      <c r="T2469" s="17"/>
      <c r="U2469" s="17"/>
      <c r="V2469" s="17"/>
      <c r="W2469" s="17"/>
      <c r="X2469" s="17"/>
      <c r="Y2469" s="17"/>
      <c r="Z2469" s="17"/>
    </row>
    <row r="2470">
      <c r="A2470" s="18" t="str">
        <f>IFERROR(__xludf.DUMMYFUNCTION("""COMPUTED_VALUE"""),"ord_97932")</f>
        <v>ord_97932</v>
      </c>
      <c r="B2470" s="18" t="str">
        <f>IFERROR(__xludf.DUMMYFUNCTION("""COMPUTED_VALUE"""),"Sakshi Tandon")</f>
        <v>Sakshi Tandon</v>
      </c>
      <c r="C2470" s="18" t="str">
        <f>IFERROR(__xludf.DUMMYFUNCTION("""COMPUTED_VALUE"""),"Colaba")</f>
        <v>Colaba</v>
      </c>
      <c r="D2470" s="18" t="str">
        <f>IFERROR(__xludf.DUMMYFUNCTION("""COMPUTED_VALUE"""),"Veg Puff")</f>
        <v>Veg Puff</v>
      </c>
      <c r="E2470" s="18">
        <f>IFERROR(__xludf.DUMMYFUNCTION("""COMPUTED_VALUE"""),3.0)</f>
        <v>3</v>
      </c>
      <c r="F2470" s="18" t="str">
        <f>IFERROR(__xludf.DUMMYFUNCTION("""COMPUTED_VALUE"""),"Sita T")</f>
        <v>Sita T</v>
      </c>
      <c r="G2470" s="19">
        <f>IFERROR(__xludf.DUMMYFUNCTION("""COMPUTED_VALUE"""),45089.0)</f>
        <v>45089</v>
      </c>
      <c r="H2470" s="18" t="str">
        <f>IFERROR(__xludf.DUMMYFUNCTION("""COMPUTED_VALUE"""),"Credit Card")</f>
        <v>Credit Card</v>
      </c>
      <c r="I2470" s="18" t="str">
        <f>IFERROR(__xludf.DUMMYFUNCTION("""COMPUTED_VALUE"""),"Delivered")</f>
        <v>Delivered</v>
      </c>
      <c r="J2470" s="18" t="str">
        <f>IFERROR(__xludf.DUMMYFUNCTION("""COMPUTED_VALUE"""),"On-time Delivery")</f>
        <v>On-time Delivery</v>
      </c>
      <c r="K2470" s="18" t="str">
        <f>IFERROR(__xludf.DUMMYFUNCTION("""COMPUTED_VALUE"""),"Delivered on time")</f>
        <v>Delivered on time</v>
      </c>
      <c r="L2470" s="18">
        <f>iferror(VLOOKUP($D2470,Details!$A$2:$C$11,2,false),vlookup($D2470,Details!$E$2:$G$11,2,false))</f>
        <v>80</v>
      </c>
      <c r="M2470" s="18" t="str">
        <f>iferror(VLOOKUP($D2470,Details!$A$2:$C$11,3,false),vlookup($D2470,Details!$E$2:$G$11,3,false))</f>
        <v>Snacks and Drinks</v>
      </c>
      <c r="N2470" s="18">
        <f t="shared" si="1"/>
        <v>240</v>
      </c>
      <c r="O2470" s="17"/>
      <c r="P2470" s="17"/>
      <c r="Q2470" s="17"/>
      <c r="R2470" s="17"/>
      <c r="S2470" s="17"/>
      <c r="T2470" s="17"/>
      <c r="U2470" s="17"/>
      <c r="V2470" s="17"/>
      <c r="W2470" s="17"/>
      <c r="X2470" s="17"/>
      <c r="Y2470" s="17"/>
      <c r="Z2470" s="17"/>
    </row>
    <row r="2471">
      <c r="A2471" s="18" t="str">
        <f>IFERROR(__xludf.DUMMYFUNCTION("""COMPUTED_VALUE"""),"ord_98026")</f>
        <v>ord_98026</v>
      </c>
      <c r="B2471" s="18" t="str">
        <f>IFERROR(__xludf.DUMMYFUNCTION("""COMPUTED_VALUE"""),"Aarav Mehta")</f>
        <v>Aarav Mehta</v>
      </c>
      <c r="C2471" s="18" t="str">
        <f>IFERROR(__xludf.DUMMYFUNCTION("""COMPUTED_VALUE"""),"Andheri")</f>
        <v>Andheri</v>
      </c>
      <c r="D2471" s="18" t="str">
        <f>IFERROR(__xludf.DUMMYFUNCTION("""COMPUTED_VALUE"""),"Chocolate Mousse")</f>
        <v>Chocolate Mousse</v>
      </c>
      <c r="E2471" s="18">
        <f>IFERROR(__xludf.DUMMYFUNCTION("""COMPUTED_VALUE"""),1.0)</f>
        <v>1</v>
      </c>
      <c r="F2471" s="18" t="str">
        <f>IFERROR(__xludf.DUMMYFUNCTION("""COMPUTED_VALUE"""),"Nithin Lal")</f>
        <v>Nithin Lal</v>
      </c>
      <c r="G2471" s="19">
        <f>IFERROR(__xludf.DUMMYFUNCTION("""COMPUTED_VALUE"""),45184.0)</f>
        <v>45184</v>
      </c>
      <c r="H2471" s="18" t="str">
        <f>IFERROR(__xludf.DUMMYFUNCTION("""COMPUTED_VALUE"""),"Credit Card")</f>
        <v>Credit Card</v>
      </c>
      <c r="I2471" s="18" t="str">
        <f>IFERROR(__xludf.DUMMYFUNCTION("""COMPUTED_VALUE"""),"Delivered")</f>
        <v>Delivered</v>
      </c>
      <c r="J2471" s="18" t="str">
        <f>IFERROR(__xludf.DUMMYFUNCTION("""COMPUTED_VALUE"""),"Quality of Items")</f>
        <v>Quality of Items</v>
      </c>
      <c r="K2471" s="18" t="str">
        <f>IFERROR(__xludf.DUMMYFUNCTION("""COMPUTED_VALUE"""),"Perfect condition")</f>
        <v>Perfect condition</v>
      </c>
      <c r="L2471" s="18">
        <f>iferror(VLOOKUP($D2471,Details!$A$2:$C$11,2,false),vlookup($D2471,Details!$E$2:$G$11,2,false))</f>
        <v>145</v>
      </c>
      <c r="M2471" s="18" t="str">
        <f>iferror(VLOOKUP($D2471,Details!$A$2:$C$11,3,false),vlookup($D2471,Details!$E$2:$G$11,3,false))</f>
        <v>Snacks and Drinks</v>
      </c>
      <c r="N2471" s="18">
        <f t="shared" si="1"/>
        <v>145</v>
      </c>
      <c r="O2471" s="17"/>
      <c r="P2471" s="17"/>
      <c r="Q2471" s="17"/>
      <c r="R2471" s="17"/>
      <c r="S2471" s="17"/>
      <c r="T2471" s="17"/>
      <c r="U2471" s="17"/>
      <c r="V2471" s="17"/>
      <c r="W2471" s="17"/>
      <c r="X2471" s="17"/>
      <c r="Y2471" s="17"/>
      <c r="Z2471" s="17"/>
    </row>
    <row r="2472">
      <c r="A2472" s="18" t="str">
        <f>IFERROR(__xludf.DUMMYFUNCTION("""COMPUTED_VALUE"""),"ord_98120")</f>
        <v>ord_98120</v>
      </c>
      <c r="B2472" s="18" t="str">
        <f>IFERROR(__xludf.DUMMYFUNCTION("""COMPUTED_VALUE"""),"Sakshi Tandon")</f>
        <v>Sakshi Tandon</v>
      </c>
      <c r="C2472" s="18" t="str">
        <f>IFERROR(__xludf.DUMMYFUNCTION("""COMPUTED_VALUE"""),"Colaba")</f>
        <v>Colaba</v>
      </c>
      <c r="D2472" s="18" t="str">
        <f>IFERROR(__xludf.DUMMYFUNCTION("""COMPUTED_VALUE"""),"Veg Puff")</f>
        <v>Veg Puff</v>
      </c>
      <c r="E2472" s="18">
        <f>IFERROR(__xludf.DUMMYFUNCTION("""COMPUTED_VALUE"""),5.0)</f>
        <v>5</v>
      </c>
      <c r="F2472" s="18" t="str">
        <f>IFERROR(__xludf.DUMMYFUNCTION("""COMPUTED_VALUE"""),"Not Assigned")</f>
        <v>Not Assigned</v>
      </c>
      <c r="G2472" s="19">
        <f>IFERROR(__xludf.DUMMYFUNCTION("""COMPUTED_VALUE"""),45246.0)</f>
        <v>45246</v>
      </c>
      <c r="H2472" s="18" t="str">
        <f>IFERROR(__xludf.DUMMYFUNCTION("""COMPUTED_VALUE"""),"Online Payment")</f>
        <v>Online Payment</v>
      </c>
      <c r="I2472" s="18" t="str">
        <f>IFERROR(__xludf.DUMMYFUNCTION("""COMPUTED_VALUE"""),"Cancelled")</f>
        <v>Cancelled</v>
      </c>
      <c r="J2472" s="18" t="str">
        <f>IFERROR(__xludf.DUMMYFUNCTION("""COMPUTED_VALUE"""),"App Glitches")</f>
        <v>App Glitches</v>
      </c>
      <c r="K2472" s="18" t="str">
        <f>IFERROR(__xludf.DUMMYFUNCTION("""COMPUTED_VALUE"""),"Payment Button Malfunction")</f>
        <v>Payment Button Malfunction</v>
      </c>
      <c r="L2472" s="18">
        <f>iferror(VLOOKUP($D2472,Details!$A$2:$C$11,2,false),vlookup($D2472,Details!$E$2:$G$11,2,false))</f>
        <v>80</v>
      </c>
      <c r="M2472" s="18" t="str">
        <f>iferror(VLOOKUP($D2472,Details!$A$2:$C$11,3,false),vlookup($D2472,Details!$E$2:$G$11,3,false))</f>
        <v>Snacks and Drinks</v>
      </c>
      <c r="N2472" s="18">
        <f t="shared" si="1"/>
        <v>400</v>
      </c>
      <c r="O2472" s="17"/>
      <c r="P2472" s="17"/>
      <c r="Q2472" s="17"/>
      <c r="R2472" s="17"/>
      <c r="S2472" s="17"/>
      <c r="T2472" s="17"/>
      <c r="U2472" s="17"/>
      <c r="V2472" s="17"/>
      <c r="W2472" s="17"/>
      <c r="X2472" s="17"/>
      <c r="Y2472" s="17"/>
      <c r="Z2472" s="17"/>
    </row>
    <row r="2473">
      <c r="A2473" s="18" t="str">
        <f>IFERROR(__xludf.DUMMYFUNCTION("""COMPUTED_VALUE"""),"ord_98214")</f>
        <v>ord_98214</v>
      </c>
      <c r="B2473" s="18" t="str">
        <f>IFERROR(__xludf.DUMMYFUNCTION("""COMPUTED_VALUE"""),"Anaya Rao")</f>
        <v>Anaya Rao</v>
      </c>
      <c r="C2473" s="18" t="str">
        <f>IFERROR(__xludf.DUMMYFUNCTION("""COMPUTED_VALUE"""),"Colaba")</f>
        <v>Colaba</v>
      </c>
      <c r="D2473" s="18" t="str">
        <f>IFERROR(__xludf.DUMMYFUNCTION("""COMPUTED_VALUE"""),"Cold Coffee")</f>
        <v>Cold Coffee</v>
      </c>
      <c r="E2473" s="18">
        <f>IFERROR(__xludf.DUMMYFUNCTION("""COMPUTED_VALUE"""),4.0)</f>
        <v>4</v>
      </c>
      <c r="F2473" s="18" t="str">
        <f>IFERROR(__xludf.DUMMYFUNCTION("""COMPUTED_VALUE"""),"Nithin Lal")</f>
        <v>Nithin Lal</v>
      </c>
      <c r="G2473" s="19">
        <f>IFERROR(__xludf.DUMMYFUNCTION("""COMPUTED_VALUE"""),45032.0)</f>
        <v>45032</v>
      </c>
      <c r="H2473" s="18" t="str">
        <f>IFERROR(__xludf.DUMMYFUNCTION("""COMPUTED_VALUE"""),"Credit Card")</f>
        <v>Credit Card</v>
      </c>
      <c r="I2473" s="18" t="str">
        <f>IFERROR(__xludf.DUMMYFUNCTION("""COMPUTED_VALUE"""),"Delivered")</f>
        <v>Delivered</v>
      </c>
      <c r="J2473" s="18" t="str">
        <f>IFERROR(__xludf.DUMMYFUNCTION("""COMPUTED_VALUE"""),"Packaging")</f>
        <v>Packaging</v>
      </c>
      <c r="K2473" s="18" t="str">
        <f>IFERROR(__xludf.DUMMYFUNCTION("""COMPUTED_VALUE"""),"Secure and intact")</f>
        <v>Secure and intact</v>
      </c>
      <c r="L2473" s="18">
        <f>iferror(VLOOKUP($D2473,Details!$A$2:$C$11,2,false),vlookup($D2473,Details!$E$2:$G$11,2,false))</f>
        <v>270</v>
      </c>
      <c r="M2473" s="18" t="str">
        <f>iferror(VLOOKUP($D2473,Details!$A$2:$C$11,3,false),vlookup($D2473,Details!$E$2:$G$11,3,false))</f>
        <v>Snacks and Drinks</v>
      </c>
      <c r="N2473" s="18">
        <f t="shared" si="1"/>
        <v>1080</v>
      </c>
      <c r="O2473" s="17"/>
      <c r="P2473" s="17"/>
      <c r="Q2473" s="17"/>
      <c r="R2473" s="17"/>
      <c r="S2473" s="17"/>
      <c r="T2473" s="17"/>
      <c r="U2473" s="17"/>
      <c r="V2473" s="17"/>
      <c r="W2473" s="17"/>
      <c r="X2473" s="17"/>
      <c r="Y2473" s="17"/>
      <c r="Z2473" s="17"/>
    </row>
    <row r="2474">
      <c r="A2474" s="18" t="str">
        <f>IFERROR(__xludf.DUMMYFUNCTION("""COMPUTED_VALUE"""),"ord_98308")</f>
        <v>ord_98308</v>
      </c>
      <c r="B2474" s="18" t="str">
        <f>IFERROR(__xludf.DUMMYFUNCTION("""COMPUTED_VALUE"""),"Omkar Mishra")</f>
        <v>Omkar Mishra</v>
      </c>
      <c r="C2474" s="18" t="str">
        <f>IFERROR(__xludf.DUMMYFUNCTION("""COMPUTED_VALUE"""),"Powai")</f>
        <v>Powai</v>
      </c>
      <c r="D2474" s="18" t="str">
        <f>IFERROR(__xludf.DUMMYFUNCTION("""COMPUTED_VALUE"""),"Tiramisu")</f>
        <v>Tiramisu</v>
      </c>
      <c r="E2474" s="18">
        <f>IFERROR(__xludf.DUMMYFUNCTION("""COMPUTED_VALUE"""),5.0)</f>
        <v>5</v>
      </c>
      <c r="F2474" s="18" t="str">
        <f>IFERROR(__xludf.DUMMYFUNCTION("""COMPUTED_VALUE"""),"Nithin Lal")</f>
        <v>Nithin Lal</v>
      </c>
      <c r="G2474" s="19">
        <f>IFERROR(__xludf.DUMMYFUNCTION("""COMPUTED_VALUE"""),45091.0)</f>
        <v>45091</v>
      </c>
      <c r="H2474" s="18" t="str">
        <f>IFERROR(__xludf.DUMMYFUNCTION("""COMPUTED_VALUE"""),"Credit Card")</f>
        <v>Credit Card</v>
      </c>
      <c r="I2474" s="18" t="str">
        <f>IFERROR(__xludf.DUMMYFUNCTION("""COMPUTED_VALUE"""),"Delivered")</f>
        <v>Delivered</v>
      </c>
      <c r="J2474" s="18" t="str">
        <f>IFERROR(__xludf.DUMMYFUNCTION("""COMPUTED_VALUE"""),"Satisfied with the Delivery")</f>
        <v>Satisfied with the Delivery</v>
      </c>
      <c r="K2474" s="18" t="str">
        <f>IFERROR(__xludf.DUMMYFUNCTION("""COMPUTED_VALUE"""),"Timely and quality")</f>
        <v>Timely and quality</v>
      </c>
      <c r="L2474" s="18">
        <f>iferror(VLOOKUP($D2474,Details!$A$2:$C$11,2,false),vlookup($D2474,Details!$E$2:$G$11,2,false))</f>
        <v>150</v>
      </c>
      <c r="M2474" s="18" t="str">
        <f>iferror(VLOOKUP($D2474,Details!$A$2:$C$11,3,false),vlookup($D2474,Details!$E$2:$G$11,3,false))</f>
        <v>Snacks and Drinks</v>
      </c>
      <c r="N2474" s="18">
        <f t="shared" si="1"/>
        <v>750</v>
      </c>
      <c r="O2474" s="17"/>
      <c r="P2474" s="17"/>
      <c r="Q2474" s="17"/>
      <c r="R2474" s="17"/>
      <c r="S2474" s="17"/>
      <c r="T2474" s="17"/>
      <c r="U2474" s="17"/>
      <c r="V2474" s="17"/>
      <c r="W2474" s="17"/>
      <c r="X2474" s="17"/>
      <c r="Y2474" s="17"/>
      <c r="Z2474" s="17"/>
    </row>
    <row r="2475">
      <c r="A2475" s="18" t="str">
        <f>IFERROR(__xludf.DUMMYFUNCTION("""COMPUTED_VALUE"""),"ord_98402")</f>
        <v>ord_98402</v>
      </c>
      <c r="B2475" s="18" t="str">
        <f>IFERROR(__xludf.DUMMYFUNCTION("""COMPUTED_VALUE"""),"Nitin Sehgal")</f>
        <v>Nitin Sehgal</v>
      </c>
      <c r="C2475" s="18" t="str">
        <f>IFERROR(__xludf.DUMMYFUNCTION("""COMPUTED_VALUE"""),"Bandra")</f>
        <v>Bandra</v>
      </c>
      <c r="D2475" s="18" t="str">
        <f>IFERROR(__xludf.DUMMYFUNCTION("""COMPUTED_VALUE"""),"Chocolate Mousse")</f>
        <v>Chocolate Mousse</v>
      </c>
      <c r="E2475" s="18">
        <f>IFERROR(__xludf.DUMMYFUNCTION("""COMPUTED_VALUE"""),5.0)</f>
        <v>5</v>
      </c>
      <c r="F2475" s="18" t="str">
        <f>IFERROR(__xludf.DUMMYFUNCTION("""COMPUTED_VALUE"""),"Venu R")</f>
        <v>Venu R</v>
      </c>
      <c r="G2475" s="19">
        <f>IFERROR(__xludf.DUMMYFUNCTION("""COMPUTED_VALUE"""),45153.0)</f>
        <v>45153</v>
      </c>
      <c r="H2475" s="18" t="str">
        <f>IFERROR(__xludf.DUMMYFUNCTION("""COMPUTED_VALUE"""),"Online Payment")</f>
        <v>Online Payment</v>
      </c>
      <c r="I2475" s="18" t="str">
        <f>IFERROR(__xludf.DUMMYFUNCTION("""COMPUTED_VALUE"""),"Delivered")</f>
        <v>Delivered</v>
      </c>
      <c r="J2475" s="18" t="str">
        <f>IFERROR(__xludf.DUMMYFUNCTION("""COMPUTED_VALUE"""),"Customer Service")</f>
        <v>Customer Service</v>
      </c>
      <c r="K2475" s="18" t="str">
        <f>IFERROR(__xludf.DUMMYFUNCTION("""COMPUTED_VALUE"""),"Seamless and easy")</f>
        <v>Seamless and easy</v>
      </c>
      <c r="L2475" s="18">
        <f>iferror(VLOOKUP($D2475,Details!$A$2:$C$11,2,false),vlookup($D2475,Details!$E$2:$G$11,2,false))</f>
        <v>145</v>
      </c>
      <c r="M2475" s="18" t="str">
        <f>iferror(VLOOKUP($D2475,Details!$A$2:$C$11,3,false),vlookup($D2475,Details!$E$2:$G$11,3,false))</f>
        <v>Snacks and Drinks</v>
      </c>
      <c r="N2475" s="18">
        <f t="shared" si="1"/>
        <v>725</v>
      </c>
      <c r="O2475" s="17"/>
      <c r="P2475" s="17"/>
      <c r="Q2475" s="17"/>
      <c r="R2475" s="17"/>
      <c r="S2475" s="17"/>
      <c r="T2475" s="17"/>
      <c r="U2475" s="17"/>
      <c r="V2475" s="17"/>
      <c r="W2475" s="17"/>
      <c r="X2475" s="17"/>
      <c r="Y2475" s="17"/>
      <c r="Z2475" s="17"/>
    </row>
    <row r="2476">
      <c r="A2476" s="18" t="str">
        <f>IFERROR(__xludf.DUMMYFUNCTION("""COMPUTED_VALUE"""),"ord_98496")</f>
        <v>ord_98496</v>
      </c>
      <c r="B2476" s="18" t="str">
        <f>IFERROR(__xludf.DUMMYFUNCTION("""COMPUTED_VALUE"""),"Kritika Shetty")</f>
        <v>Kritika Shetty</v>
      </c>
      <c r="C2476" s="18" t="str">
        <f>IFERROR(__xludf.DUMMYFUNCTION("""COMPUTED_VALUE"""),"Malad")</f>
        <v>Malad</v>
      </c>
      <c r="D2476" s="18" t="str">
        <f>IFERROR(__xludf.DUMMYFUNCTION("""COMPUTED_VALUE"""),"Apple")</f>
        <v>Apple</v>
      </c>
      <c r="E2476" s="18">
        <f>IFERROR(__xludf.DUMMYFUNCTION("""COMPUTED_VALUE"""),1.0)</f>
        <v>1</v>
      </c>
      <c r="F2476" s="18" t="str">
        <f>IFERROR(__xludf.DUMMYFUNCTION("""COMPUTED_VALUE"""),"Vivek Kumar")</f>
        <v>Vivek Kumar</v>
      </c>
      <c r="G2476" s="19">
        <f>IFERROR(__xludf.DUMMYFUNCTION("""COMPUTED_VALUE"""),45262.0)</f>
        <v>45262</v>
      </c>
      <c r="H2476" s="18" t="str">
        <f>IFERROR(__xludf.DUMMYFUNCTION("""COMPUTED_VALUE"""),"UPI")</f>
        <v>UPI</v>
      </c>
      <c r="I2476" s="18" t="str">
        <f>IFERROR(__xludf.DUMMYFUNCTION("""COMPUTED_VALUE"""),"Delivered")</f>
        <v>Delivered</v>
      </c>
      <c r="J2476" s="18" t="str">
        <f>IFERROR(__xludf.DUMMYFUNCTION("""COMPUTED_VALUE"""),"Delivery Experience")</f>
        <v>Delivery Experience</v>
      </c>
      <c r="K2476" s="18" t="str">
        <f>IFERROR(__xludf.DUMMYFUNCTION("""COMPUTED_VALUE"""),"Quick and professional")</f>
        <v>Quick and professional</v>
      </c>
      <c r="L2476" s="18">
        <f>iferror(VLOOKUP($D2476,Details!$A$2:$C$11,2,false),vlookup($D2476,Details!$E$2:$G$11,2,false))</f>
        <v>230</v>
      </c>
      <c r="M2476" s="18" t="str">
        <f>iferror(VLOOKUP($D2476,Details!$A$2:$C$11,3,false),vlookup($D2476,Details!$E$2:$G$11,3,false))</f>
        <v>Fruits and Vegetables</v>
      </c>
      <c r="N2476" s="18">
        <f t="shared" si="1"/>
        <v>230</v>
      </c>
      <c r="O2476" s="17"/>
      <c r="P2476" s="17"/>
      <c r="Q2476" s="17"/>
      <c r="R2476" s="17"/>
      <c r="S2476" s="17"/>
      <c r="T2476" s="17"/>
      <c r="U2476" s="17"/>
      <c r="V2476" s="17"/>
      <c r="W2476" s="17"/>
      <c r="X2476" s="17"/>
      <c r="Y2476" s="17"/>
      <c r="Z2476" s="17"/>
    </row>
    <row r="2477">
      <c r="A2477" s="18" t="str">
        <f>IFERROR(__xludf.DUMMYFUNCTION("""COMPUTED_VALUE"""),"ord_98590")</f>
        <v>ord_98590</v>
      </c>
      <c r="B2477" s="18" t="str">
        <f>IFERROR(__xludf.DUMMYFUNCTION("""COMPUTED_VALUE"""),"Pranav Joshi")</f>
        <v>Pranav Joshi</v>
      </c>
      <c r="C2477" s="18" t="str">
        <f>IFERROR(__xludf.DUMMYFUNCTION("""COMPUTED_VALUE"""),"Andheri")</f>
        <v>Andheri</v>
      </c>
      <c r="D2477" s="18" t="str">
        <f>IFERROR(__xludf.DUMMYFUNCTION("""COMPUTED_VALUE"""),"Orange")</f>
        <v>Orange</v>
      </c>
      <c r="E2477" s="18">
        <f>IFERROR(__xludf.DUMMYFUNCTION("""COMPUTED_VALUE"""),2.0)</f>
        <v>2</v>
      </c>
      <c r="F2477" s="18" t="str">
        <f>IFERROR(__xludf.DUMMYFUNCTION("""COMPUTED_VALUE"""),"Shine Thomas")</f>
        <v>Shine Thomas</v>
      </c>
      <c r="G2477" s="19">
        <f>IFERROR(__xludf.DUMMYFUNCTION("""COMPUTED_VALUE"""),45275.0)</f>
        <v>45275</v>
      </c>
      <c r="H2477" s="18" t="str">
        <f>IFERROR(__xludf.DUMMYFUNCTION("""COMPUTED_VALUE"""),"UPI")</f>
        <v>UPI</v>
      </c>
      <c r="I2477" s="18" t="str">
        <f>IFERROR(__xludf.DUMMYFUNCTION("""COMPUTED_VALUE"""),"Delivered")</f>
        <v>Delivered</v>
      </c>
      <c r="J2477" s="18" t="str">
        <f>IFERROR(__xludf.DUMMYFUNCTION("""COMPUTED_VALUE"""),"Convenience")</f>
        <v>Convenience</v>
      </c>
      <c r="K2477" s="18" t="str">
        <f>IFERROR(__xludf.DUMMYFUNCTION("""COMPUTED_VALUE"""),"Easy tracking")</f>
        <v>Easy tracking</v>
      </c>
      <c r="L2477" s="18">
        <f>iferror(VLOOKUP($D2477,Details!$A$2:$C$11,2,false),vlookup($D2477,Details!$E$2:$G$11,2,false))</f>
        <v>180</v>
      </c>
      <c r="M2477" s="18" t="str">
        <f>iferror(VLOOKUP($D2477,Details!$A$2:$C$11,3,false),vlookup($D2477,Details!$E$2:$G$11,3,false))</f>
        <v>Fruits and Vegetables</v>
      </c>
      <c r="N2477" s="18">
        <f t="shared" si="1"/>
        <v>360</v>
      </c>
      <c r="O2477" s="17"/>
      <c r="P2477" s="17"/>
      <c r="Q2477" s="17"/>
      <c r="R2477" s="17"/>
      <c r="S2477" s="17"/>
      <c r="T2477" s="17"/>
      <c r="U2477" s="17"/>
      <c r="V2477" s="17"/>
      <c r="W2477" s="17"/>
      <c r="X2477" s="17"/>
      <c r="Y2477" s="17"/>
      <c r="Z2477" s="17"/>
    </row>
    <row r="2478">
      <c r="A2478" s="18" t="str">
        <f>IFERROR(__xludf.DUMMYFUNCTION("""COMPUTED_VALUE"""),"ord_98684")</f>
        <v>ord_98684</v>
      </c>
      <c r="B2478" s="18" t="str">
        <f>IFERROR(__xludf.DUMMYFUNCTION("""COMPUTED_VALUE"""),"Ishita Banerjee")</f>
        <v>Ishita Banerjee</v>
      </c>
      <c r="C2478" s="18" t="str">
        <f>IFERROR(__xludf.DUMMYFUNCTION("""COMPUTED_VALUE"""),"Juhu")</f>
        <v>Juhu</v>
      </c>
      <c r="D2478" s="18" t="str">
        <f>IFERROR(__xludf.DUMMYFUNCTION("""COMPUTED_VALUE"""),"Veg Puff")</f>
        <v>Veg Puff</v>
      </c>
      <c r="E2478" s="18">
        <f>IFERROR(__xludf.DUMMYFUNCTION("""COMPUTED_VALUE"""),4.0)</f>
        <v>4</v>
      </c>
      <c r="F2478" s="18" t="str">
        <f>IFERROR(__xludf.DUMMYFUNCTION("""COMPUTED_VALUE"""),"Sita T")</f>
        <v>Sita T</v>
      </c>
      <c r="G2478" s="19">
        <f>IFERROR(__xludf.DUMMYFUNCTION("""COMPUTED_VALUE"""),45062.0)</f>
        <v>45062</v>
      </c>
      <c r="H2478" s="18" t="str">
        <f>IFERROR(__xludf.DUMMYFUNCTION("""COMPUTED_VALUE"""),"UPI")</f>
        <v>UPI</v>
      </c>
      <c r="I2478" s="18" t="str">
        <f>IFERROR(__xludf.DUMMYFUNCTION("""COMPUTED_VALUE"""),"Delivered")</f>
        <v>Delivered</v>
      </c>
      <c r="J2478" s="18" t="str">
        <f>IFERROR(__xludf.DUMMYFUNCTION("""COMPUTED_VALUE"""),"Overall Satisfaction")</f>
        <v>Overall Satisfaction</v>
      </c>
      <c r="K2478" s="18" t="str">
        <f>IFERROR(__xludf.DUMMYFUNCTION("""COMPUTED_VALUE"""),"Great service will order again")</f>
        <v>Great service will order again</v>
      </c>
      <c r="L2478" s="18">
        <f>iferror(VLOOKUP($D2478,Details!$A$2:$C$11,2,false),vlookup($D2478,Details!$E$2:$G$11,2,false))</f>
        <v>80</v>
      </c>
      <c r="M2478" s="18" t="str">
        <f>iferror(VLOOKUP($D2478,Details!$A$2:$C$11,3,false),vlookup($D2478,Details!$E$2:$G$11,3,false))</f>
        <v>Snacks and Drinks</v>
      </c>
      <c r="N2478" s="18">
        <f t="shared" si="1"/>
        <v>320</v>
      </c>
      <c r="O2478" s="17"/>
      <c r="P2478" s="17"/>
      <c r="Q2478" s="17"/>
      <c r="R2478" s="17"/>
      <c r="S2478" s="17"/>
      <c r="T2478" s="17"/>
      <c r="U2478" s="17"/>
      <c r="V2478" s="17"/>
      <c r="W2478" s="17"/>
      <c r="X2478" s="17"/>
      <c r="Y2478" s="17"/>
      <c r="Z2478" s="17"/>
    </row>
    <row r="2479">
      <c r="A2479" s="18" t="str">
        <f>IFERROR(__xludf.DUMMYFUNCTION("""COMPUTED_VALUE"""),"ord_98778")</f>
        <v>ord_98778</v>
      </c>
      <c r="B2479" s="18" t="str">
        <f>IFERROR(__xludf.DUMMYFUNCTION("""COMPUTED_VALUE"""),"Sanjay Nair")</f>
        <v>Sanjay Nair</v>
      </c>
      <c r="C2479" s="18" t="str">
        <f>IFERROR(__xludf.DUMMYFUNCTION("""COMPUTED_VALUE"""),"Dadar")</f>
        <v>Dadar</v>
      </c>
      <c r="D2479" s="18" t="str">
        <f>IFERROR(__xludf.DUMMYFUNCTION("""COMPUTED_VALUE"""),"Cold Coffee")</f>
        <v>Cold Coffee</v>
      </c>
      <c r="E2479" s="18">
        <f>IFERROR(__xludf.DUMMYFUNCTION("""COMPUTED_VALUE"""),3.0)</f>
        <v>3</v>
      </c>
      <c r="F2479" s="18" t="str">
        <f>IFERROR(__xludf.DUMMYFUNCTION("""COMPUTED_VALUE"""),"Ramesh S")</f>
        <v>Ramesh S</v>
      </c>
      <c r="G2479" s="19">
        <f>IFERROR(__xludf.DUMMYFUNCTION("""COMPUTED_VALUE"""),45245.0)</f>
        <v>45245</v>
      </c>
      <c r="H2479" s="18" t="str">
        <f>IFERROR(__xludf.DUMMYFUNCTION("""COMPUTED_VALUE"""),"UPI")</f>
        <v>UPI</v>
      </c>
      <c r="I2479" s="18" t="str">
        <f>IFERROR(__xludf.DUMMYFUNCTION("""COMPUTED_VALUE"""),"Delivered")</f>
        <v>Delivered</v>
      </c>
      <c r="J2479" s="18" t="str">
        <f>IFERROR(__xludf.DUMMYFUNCTION("""COMPUTED_VALUE"""),"On-time Delivery")</f>
        <v>On-time Delivery</v>
      </c>
      <c r="K2479" s="18" t="str">
        <f>IFERROR(__xludf.DUMMYFUNCTION("""COMPUTED_VALUE"""),"Delivered on time")</f>
        <v>Delivered on time</v>
      </c>
      <c r="L2479" s="18">
        <f>iferror(VLOOKUP($D2479,Details!$A$2:$C$11,2,false),vlookup($D2479,Details!$E$2:$G$11,2,false))</f>
        <v>270</v>
      </c>
      <c r="M2479" s="18" t="str">
        <f>iferror(VLOOKUP($D2479,Details!$A$2:$C$11,3,false),vlookup($D2479,Details!$E$2:$G$11,3,false))</f>
        <v>Snacks and Drinks</v>
      </c>
      <c r="N2479" s="18">
        <f t="shared" si="1"/>
        <v>810</v>
      </c>
      <c r="O2479" s="17"/>
      <c r="P2479" s="17"/>
      <c r="Q2479" s="17"/>
      <c r="R2479" s="17"/>
      <c r="S2479" s="17"/>
      <c r="T2479" s="17"/>
      <c r="U2479" s="17"/>
      <c r="V2479" s="17"/>
      <c r="W2479" s="17"/>
      <c r="X2479" s="17"/>
      <c r="Y2479" s="17"/>
      <c r="Z2479" s="17"/>
    </row>
    <row r="2480">
      <c r="A2480" s="18" t="str">
        <f>IFERROR(__xludf.DUMMYFUNCTION("""COMPUTED_VALUE"""),"ord_98872")</f>
        <v>ord_98872</v>
      </c>
      <c r="B2480" s="18" t="str">
        <f>IFERROR(__xludf.DUMMYFUNCTION("""COMPUTED_VALUE"""),"Tanishq Bansal")</f>
        <v>Tanishq Bansal</v>
      </c>
      <c r="C2480" s="18" t="str">
        <f>IFERROR(__xludf.DUMMYFUNCTION("""COMPUTED_VALUE"""),"Powai")</f>
        <v>Powai</v>
      </c>
      <c r="D2480" s="18" t="str">
        <f>IFERROR(__xludf.DUMMYFUNCTION("""COMPUTED_VALUE"""),"Veg Puff")</f>
        <v>Veg Puff</v>
      </c>
      <c r="E2480" s="18">
        <f>IFERROR(__xludf.DUMMYFUNCTION("""COMPUTED_VALUE"""),2.0)</f>
        <v>2</v>
      </c>
      <c r="F2480" s="18" t="str">
        <f>IFERROR(__xludf.DUMMYFUNCTION("""COMPUTED_VALUE"""),"Manju Ajay")</f>
        <v>Manju Ajay</v>
      </c>
      <c r="G2480" s="19">
        <f>IFERROR(__xludf.DUMMYFUNCTION("""COMPUTED_VALUE"""),45049.0)</f>
        <v>45049</v>
      </c>
      <c r="H2480" s="18" t="str">
        <f>IFERROR(__xludf.DUMMYFUNCTION("""COMPUTED_VALUE"""),"UPI")</f>
        <v>UPI</v>
      </c>
      <c r="I2480" s="18" t="str">
        <f>IFERROR(__xludf.DUMMYFUNCTION("""COMPUTED_VALUE"""),"Delivered")</f>
        <v>Delivered</v>
      </c>
      <c r="J2480" s="18" t="str">
        <f>IFERROR(__xludf.DUMMYFUNCTION("""COMPUTED_VALUE"""),"On-time Delivery")</f>
        <v>On-time Delivery</v>
      </c>
      <c r="K2480" s="18" t="str">
        <f>IFERROR(__xludf.DUMMYFUNCTION("""COMPUTED_VALUE"""),"Delivered on time")</f>
        <v>Delivered on time</v>
      </c>
      <c r="L2480" s="18">
        <f>iferror(VLOOKUP($D2480,Details!$A$2:$C$11,2,false),vlookup($D2480,Details!$E$2:$G$11,2,false))</f>
        <v>80</v>
      </c>
      <c r="M2480" s="18" t="str">
        <f>iferror(VLOOKUP($D2480,Details!$A$2:$C$11,3,false),vlookup($D2480,Details!$E$2:$G$11,3,false))</f>
        <v>Snacks and Drinks</v>
      </c>
      <c r="N2480" s="18">
        <f t="shared" si="1"/>
        <v>160</v>
      </c>
      <c r="O2480" s="17"/>
      <c r="P2480" s="17"/>
      <c r="Q2480" s="17"/>
      <c r="R2480" s="17"/>
      <c r="S2480" s="17"/>
      <c r="T2480" s="17"/>
      <c r="U2480" s="17"/>
      <c r="V2480" s="17"/>
      <c r="W2480" s="17"/>
      <c r="X2480" s="17"/>
      <c r="Y2480" s="17"/>
      <c r="Z2480" s="17"/>
    </row>
    <row r="2481">
      <c r="A2481" s="18" t="str">
        <f>IFERROR(__xludf.DUMMYFUNCTION("""COMPUTED_VALUE"""),"ord_98966")</f>
        <v>ord_98966</v>
      </c>
      <c r="B2481" s="18" t="str">
        <f>IFERROR(__xludf.DUMMYFUNCTION("""COMPUTED_VALUE"""),"Aarav Mehta")</f>
        <v>Aarav Mehta</v>
      </c>
      <c r="C2481" s="18" t="str">
        <f>IFERROR(__xludf.DUMMYFUNCTION("""COMPUTED_VALUE"""),"Andheri")</f>
        <v>Andheri</v>
      </c>
      <c r="D2481" s="18" t="str">
        <f>IFERROR(__xludf.DUMMYFUNCTION("""COMPUTED_VALUE"""),"Tiramisu")</f>
        <v>Tiramisu</v>
      </c>
      <c r="E2481" s="18">
        <f>IFERROR(__xludf.DUMMYFUNCTION("""COMPUTED_VALUE"""),4.0)</f>
        <v>4</v>
      </c>
      <c r="F2481" s="18" t="str">
        <f>IFERROR(__xludf.DUMMYFUNCTION("""COMPUTED_VALUE"""),"Venu R")</f>
        <v>Venu R</v>
      </c>
      <c r="G2481" s="19">
        <f>IFERROR(__xludf.DUMMYFUNCTION("""COMPUTED_VALUE"""),45091.0)</f>
        <v>45091</v>
      </c>
      <c r="H2481" s="18" t="str">
        <f>IFERROR(__xludf.DUMMYFUNCTION("""COMPUTED_VALUE"""),"UPI")</f>
        <v>UPI</v>
      </c>
      <c r="I2481" s="18" t="str">
        <f>IFERROR(__xludf.DUMMYFUNCTION("""COMPUTED_VALUE"""),"Delivered")</f>
        <v>Delivered</v>
      </c>
      <c r="J2481" s="18" t="str">
        <f>IFERROR(__xludf.DUMMYFUNCTION("""COMPUTED_VALUE"""),"Quality of Items")</f>
        <v>Quality of Items</v>
      </c>
      <c r="K2481" s="18" t="str">
        <f>IFERROR(__xludf.DUMMYFUNCTION("""COMPUTED_VALUE"""),"Perfect condition")</f>
        <v>Perfect condition</v>
      </c>
      <c r="L2481" s="18">
        <f>iferror(VLOOKUP($D2481,Details!$A$2:$C$11,2,false),vlookup($D2481,Details!$E$2:$G$11,2,false))</f>
        <v>150</v>
      </c>
      <c r="M2481" s="18" t="str">
        <f>iferror(VLOOKUP($D2481,Details!$A$2:$C$11,3,false),vlookup($D2481,Details!$E$2:$G$11,3,false))</f>
        <v>Snacks and Drinks</v>
      </c>
      <c r="N2481" s="18">
        <f t="shared" si="1"/>
        <v>600</v>
      </c>
      <c r="O2481" s="17"/>
      <c r="P2481" s="17"/>
      <c r="Q2481" s="17"/>
      <c r="R2481" s="17"/>
      <c r="S2481" s="17"/>
      <c r="T2481" s="17"/>
      <c r="U2481" s="17"/>
      <c r="V2481" s="17"/>
      <c r="W2481" s="17"/>
      <c r="X2481" s="17"/>
      <c r="Y2481" s="17"/>
      <c r="Z2481" s="17"/>
    </row>
    <row r="2482">
      <c r="A2482" s="18" t="str">
        <f>IFERROR(__xludf.DUMMYFUNCTION("""COMPUTED_VALUE"""),"ord_99060")</f>
        <v>ord_99060</v>
      </c>
      <c r="B2482" s="18" t="str">
        <f>IFERROR(__xludf.DUMMYFUNCTION("""COMPUTED_VALUE"""),"Sahil Desai")</f>
        <v>Sahil Desai</v>
      </c>
      <c r="C2482" s="18" t="str">
        <f>IFERROR(__xludf.DUMMYFUNCTION("""COMPUTED_VALUE"""),"Lower Parel")</f>
        <v>Lower Parel</v>
      </c>
      <c r="D2482" s="18" t="str">
        <f>IFERROR(__xludf.DUMMYFUNCTION("""COMPUTED_VALUE"""),"Veg Puff")</f>
        <v>Veg Puff</v>
      </c>
      <c r="E2482" s="18">
        <f>IFERROR(__xludf.DUMMYFUNCTION("""COMPUTED_VALUE"""),9.0)</f>
        <v>9</v>
      </c>
      <c r="F2482" s="18" t="str">
        <f>IFERROR(__xludf.DUMMYFUNCTION("""COMPUTED_VALUE"""),"Sita T")</f>
        <v>Sita T</v>
      </c>
      <c r="G2482" s="19">
        <f>IFERROR(__xludf.DUMMYFUNCTION("""COMPUTED_VALUE"""),44995.0)</f>
        <v>44995</v>
      </c>
      <c r="H2482" s="18" t="str">
        <f>IFERROR(__xludf.DUMMYFUNCTION("""COMPUTED_VALUE"""),"Online Payment")</f>
        <v>Online Payment</v>
      </c>
      <c r="I2482" s="18" t="str">
        <f>IFERROR(__xludf.DUMMYFUNCTION("""COMPUTED_VALUE"""),"Delivered")</f>
        <v>Delivered</v>
      </c>
      <c r="J2482" s="18" t="str">
        <f>IFERROR(__xludf.DUMMYFUNCTION("""COMPUTED_VALUE"""),"Packaging")</f>
        <v>Packaging</v>
      </c>
      <c r="K2482" s="18" t="str">
        <f>IFERROR(__xludf.DUMMYFUNCTION("""COMPUTED_VALUE"""),"Secure and intact")</f>
        <v>Secure and intact</v>
      </c>
      <c r="L2482" s="18">
        <f>iferror(VLOOKUP($D2482,Details!$A$2:$C$11,2,false),vlookup($D2482,Details!$E$2:$G$11,2,false))</f>
        <v>80</v>
      </c>
      <c r="M2482" s="18" t="str">
        <f>iferror(VLOOKUP($D2482,Details!$A$2:$C$11,3,false),vlookup($D2482,Details!$E$2:$G$11,3,false))</f>
        <v>Snacks and Drinks</v>
      </c>
      <c r="N2482" s="18">
        <f t="shared" si="1"/>
        <v>720</v>
      </c>
      <c r="O2482" s="17"/>
      <c r="P2482" s="17"/>
      <c r="Q2482" s="17"/>
      <c r="R2482" s="17"/>
      <c r="S2482" s="17"/>
      <c r="T2482" s="17"/>
      <c r="U2482" s="17"/>
      <c r="V2482" s="17"/>
      <c r="W2482" s="17"/>
      <c r="X2482" s="17"/>
      <c r="Y2482" s="17"/>
      <c r="Z2482" s="17"/>
    </row>
    <row r="2483">
      <c r="A2483" s="18" t="str">
        <f>IFERROR(__xludf.DUMMYFUNCTION("""COMPUTED_VALUE"""),"ord_99154")</f>
        <v>ord_99154</v>
      </c>
      <c r="B2483" s="18" t="str">
        <f>IFERROR(__xludf.DUMMYFUNCTION("""COMPUTED_VALUE"""),"Tanishq Bansal")</f>
        <v>Tanishq Bansal</v>
      </c>
      <c r="C2483" s="18" t="str">
        <f>IFERROR(__xludf.DUMMYFUNCTION("""COMPUTED_VALUE"""),"Powai")</f>
        <v>Powai</v>
      </c>
      <c r="D2483" s="18" t="str">
        <f>IFERROR(__xludf.DUMMYFUNCTION("""COMPUTED_VALUE"""),"Cold Coffee")</f>
        <v>Cold Coffee</v>
      </c>
      <c r="E2483" s="18">
        <f>IFERROR(__xludf.DUMMYFUNCTION("""COMPUTED_VALUE"""),1.0)</f>
        <v>1</v>
      </c>
      <c r="F2483" s="18" t="str">
        <f>IFERROR(__xludf.DUMMYFUNCTION("""COMPUTED_VALUE"""),"Ram Gopal")</f>
        <v>Ram Gopal</v>
      </c>
      <c r="G2483" s="19">
        <f>IFERROR(__xludf.DUMMYFUNCTION("""COMPUTED_VALUE"""),45216.0)</f>
        <v>45216</v>
      </c>
      <c r="H2483" s="18" t="str">
        <f>IFERROR(__xludf.DUMMYFUNCTION("""COMPUTED_VALUE"""),"UPI")</f>
        <v>UPI</v>
      </c>
      <c r="I2483" s="18" t="str">
        <f>IFERROR(__xludf.DUMMYFUNCTION("""COMPUTED_VALUE"""),"Delivered")</f>
        <v>Delivered</v>
      </c>
      <c r="J2483" s="18" t="str">
        <f>IFERROR(__xludf.DUMMYFUNCTION("""COMPUTED_VALUE"""),"Satisfied with the Delivery")</f>
        <v>Satisfied with the Delivery</v>
      </c>
      <c r="K2483" s="18" t="str">
        <f>IFERROR(__xludf.DUMMYFUNCTION("""COMPUTED_VALUE"""),"Timely and quality")</f>
        <v>Timely and quality</v>
      </c>
      <c r="L2483" s="18">
        <f>iferror(VLOOKUP($D2483,Details!$A$2:$C$11,2,false),vlookup($D2483,Details!$E$2:$G$11,2,false))</f>
        <v>270</v>
      </c>
      <c r="M2483" s="18" t="str">
        <f>iferror(VLOOKUP($D2483,Details!$A$2:$C$11,3,false),vlookup($D2483,Details!$E$2:$G$11,3,false))</f>
        <v>Snacks and Drinks</v>
      </c>
      <c r="N2483" s="18">
        <f t="shared" si="1"/>
        <v>270</v>
      </c>
      <c r="O2483" s="17"/>
      <c r="P2483" s="17"/>
      <c r="Q2483" s="17"/>
      <c r="R2483" s="17"/>
      <c r="S2483" s="17"/>
      <c r="T2483" s="17"/>
      <c r="U2483" s="17"/>
      <c r="V2483" s="17"/>
      <c r="W2483" s="17"/>
      <c r="X2483" s="17"/>
      <c r="Y2483" s="17"/>
      <c r="Z2483" s="17"/>
    </row>
    <row r="2484">
      <c r="A2484" s="18" t="str">
        <f>IFERROR(__xludf.DUMMYFUNCTION("""COMPUTED_VALUE"""),"ord_99248")</f>
        <v>ord_99248</v>
      </c>
      <c r="B2484" s="18" t="str">
        <f>IFERROR(__xludf.DUMMYFUNCTION("""COMPUTED_VALUE"""),"Pallavi Ghosh")</f>
        <v>Pallavi Ghosh</v>
      </c>
      <c r="C2484" s="18" t="str">
        <f>IFERROR(__xludf.DUMMYFUNCTION("""COMPUTED_VALUE"""),"Bandra")</f>
        <v>Bandra</v>
      </c>
      <c r="D2484" s="18" t="str">
        <f>IFERROR(__xludf.DUMMYFUNCTION("""COMPUTED_VALUE"""),"Cold Coffee")</f>
        <v>Cold Coffee</v>
      </c>
      <c r="E2484" s="18">
        <f>IFERROR(__xludf.DUMMYFUNCTION("""COMPUTED_VALUE"""),4.0)</f>
        <v>4</v>
      </c>
      <c r="F2484" s="18" t="str">
        <f>IFERROR(__xludf.DUMMYFUNCTION("""COMPUTED_VALUE"""),"Venu R")</f>
        <v>Venu R</v>
      </c>
      <c r="G2484" s="19">
        <f>IFERROR(__xludf.DUMMYFUNCTION("""COMPUTED_VALUE"""),45002.0)</f>
        <v>45002</v>
      </c>
      <c r="H2484" s="18" t="str">
        <f>IFERROR(__xludf.DUMMYFUNCTION("""COMPUTED_VALUE"""),"UPI")</f>
        <v>UPI</v>
      </c>
      <c r="I2484" s="18" t="str">
        <f>IFERROR(__xludf.DUMMYFUNCTION("""COMPUTED_VALUE"""),"Delivered")</f>
        <v>Delivered</v>
      </c>
      <c r="J2484" s="18" t="str">
        <f>IFERROR(__xludf.DUMMYFUNCTION("""COMPUTED_VALUE"""),"Customer Service")</f>
        <v>Customer Service</v>
      </c>
      <c r="K2484" s="18" t="str">
        <f>IFERROR(__xludf.DUMMYFUNCTION("""COMPUTED_VALUE"""),"Seamless and easy")</f>
        <v>Seamless and easy</v>
      </c>
      <c r="L2484" s="18">
        <f>iferror(VLOOKUP($D2484,Details!$A$2:$C$11,2,false),vlookup($D2484,Details!$E$2:$G$11,2,false))</f>
        <v>270</v>
      </c>
      <c r="M2484" s="18" t="str">
        <f>iferror(VLOOKUP($D2484,Details!$A$2:$C$11,3,false),vlookup($D2484,Details!$E$2:$G$11,3,false))</f>
        <v>Snacks and Drinks</v>
      </c>
      <c r="N2484" s="18">
        <f t="shared" si="1"/>
        <v>1080</v>
      </c>
      <c r="O2484" s="17"/>
      <c r="P2484" s="17"/>
      <c r="Q2484" s="17"/>
      <c r="R2484" s="17"/>
      <c r="S2484" s="17"/>
      <c r="T2484" s="17"/>
      <c r="U2484" s="17"/>
      <c r="V2484" s="17"/>
      <c r="W2484" s="17"/>
      <c r="X2484" s="17"/>
      <c r="Y2484" s="17"/>
      <c r="Z2484" s="17"/>
    </row>
    <row r="2485">
      <c r="A2485" s="18" t="str">
        <f>IFERROR(__xludf.DUMMYFUNCTION("""COMPUTED_VALUE"""),"ord_99342")</f>
        <v>ord_99342</v>
      </c>
      <c r="B2485" s="18" t="str">
        <f>IFERROR(__xludf.DUMMYFUNCTION("""COMPUTED_VALUE"""),"Aditi Iyer")</f>
        <v>Aditi Iyer</v>
      </c>
      <c r="C2485" s="18" t="str">
        <f>IFERROR(__xludf.DUMMYFUNCTION("""COMPUTED_VALUE"""),"Dadar")</f>
        <v>Dadar</v>
      </c>
      <c r="D2485" s="18" t="str">
        <f>IFERROR(__xludf.DUMMYFUNCTION("""COMPUTED_VALUE"""),"Banana")</f>
        <v>Banana</v>
      </c>
      <c r="E2485" s="18">
        <f>IFERROR(__xludf.DUMMYFUNCTION("""COMPUTED_VALUE"""),2.0)</f>
        <v>2</v>
      </c>
      <c r="F2485" s="18" t="str">
        <f>IFERROR(__xludf.DUMMYFUNCTION("""COMPUTED_VALUE"""),"Vivek Kumar")</f>
        <v>Vivek Kumar</v>
      </c>
      <c r="G2485" s="19">
        <f>IFERROR(__xludf.DUMMYFUNCTION("""COMPUTED_VALUE"""),45064.0)</f>
        <v>45064</v>
      </c>
      <c r="H2485" s="18" t="str">
        <f>IFERROR(__xludf.DUMMYFUNCTION("""COMPUTED_VALUE"""),"UPI")</f>
        <v>UPI</v>
      </c>
      <c r="I2485" s="18" t="str">
        <f>IFERROR(__xludf.DUMMYFUNCTION("""COMPUTED_VALUE"""),"Delivered")</f>
        <v>Delivered</v>
      </c>
      <c r="J2485" s="18" t="str">
        <f>IFERROR(__xludf.DUMMYFUNCTION("""COMPUTED_VALUE"""),"Delivery Experience")</f>
        <v>Delivery Experience</v>
      </c>
      <c r="K2485" s="18" t="str">
        <f>IFERROR(__xludf.DUMMYFUNCTION("""COMPUTED_VALUE"""),"Quick and professional")</f>
        <v>Quick and professional</v>
      </c>
      <c r="L2485" s="18">
        <f>iferror(VLOOKUP($D2485,Details!$A$2:$C$11,2,false),vlookup($D2485,Details!$E$2:$G$11,2,false))</f>
        <v>80</v>
      </c>
      <c r="M2485" s="18" t="str">
        <f>iferror(VLOOKUP($D2485,Details!$A$2:$C$11,3,false),vlookup($D2485,Details!$E$2:$G$11,3,false))</f>
        <v>Fruits and Vegetables</v>
      </c>
      <c r="N2485" s="18">
        <f t="shared" si="1"/>
        <v>160</v>
      </c>
      <c r="O2485" s="17"/>
      <c r="P2485" s="17"/>
      <c r="Q2485" s="17"/>
      <c r="R2485" s="17"/>
      <c r="S2485" s="17"/>
      <c r="T2485" s="17"/>
      <c r="U2485" s="17"/>
      <c r="V2485" s="17"/>
      <c r="W2485" s="17"/>
      <c r="X2485" s="17"/>
      <c r="Y2485" s="17"/>
      <c r="Z2485" s="17"/>
    </row>
    <row r="2486">
      <c r="A2486" s="18" t="str">
        <f>IFERROR(__xludf.DUMMYFUNCTION("""COMPUTED_VALUE"""),"ord_99436")</f>
        <v>ord_99436</v>
      </c>
      <c r="B2486" s="18" t="str">
        <f>IFERROR(__xludf.DUMMYFUNCTION("""COMPUTED_VALUE"""),"Parth Goel")</f>
        <v>Parth Goel</v>
      </c>
      <c r="C2486" s="18" t="str">
        <f>IFERROR(__xludf.DUMMYFUNCTION("""COMPUTED_VALUE"""),"Juhu")</f>
        <v>Juhu</v>
      </c>
      <c r="D2486" s="18" t="str">
        <f>IFERROR(__xludf.DUMMYFUNCTION("""COMPUTED_VALUE"""),"Banana")</f>
        <v>Banana</v>
      </c>
      <c r="E2486" s="18">
        <f>IFERROR(__xludf.DUMMYFUNCTION("""COMPUTED_VALUE"""),2.0)</f>
        <v>2</v>
      </c>
      <c r="F2486" s="18" t="str">
        <f>IFERROR(__xludf.DUMMYFUNCTION("""COMPUTED_VALUE"""),"Tanvi Jain")</f>
        <v>Tanvi Jain</v>
      </c>
      <c r="G2486" s="19">
        <f>IFERROR(__xludf.DUMMYFUNCTION("""COMPUTED_VALUE"""),45241.0)</f>
        <v>45241</v>
      </c>
      <c r="H2486" s="18" t="str">
        <f>IFERROR(__xludf.DUMMYFUNCTION("""COMPUTED_VALUE"""),"UPI")</f>
        <v>UPI</v>
      </c>
      <c r="I2486" s="18" t="str">
        <f>IFERROR(__xludf.DUMMYFUNCTION("""COMPUTED_VALUE"""),"Delivered")</f>
        <v>Delivered</v>
      </c>
      <c r="J2486" s="18" t="str">
        <f>IFERROR(__xludf.DUMMYFUNCTION("""COMPUTED_VALUE"""),"Convenience")</f>
        <v>Convenience</v>
      </c>
      <c r="K2486" s="18" t="str">
        <f>IFERROR(__xludf.DUMMYFUNCTION("""COMPUTED_VALUE"""),"Easy tracking")</f>
        <v>Easy tracking</v>
      </c>
      <c r="L2486" s="18">
        <f>iferror(VLOOKUP($D2486,Details!$A$2:$C$11,2,false),vlookup($D2486,Details!$E$2:$G$11,2,false))</f>
        <v>80</v>
      </c>
      <c r="M2486" s="18" t="str">
        <f>iferror(VLOOKUP($D2486,Details!$A$2:$C$11,3,false),vlookup($D2486,Details!$E$2:$G$11,3,false))</f>
        <v>Fruits and Vegetables</v>
      </c>
      <c r="N2486" s="18">
        <f t="shared" si="1"/>
        <v>160</v>
      </c>
      <c r="O2486" s="17"/>
      <c r="P2486" s="17"/>
      <c r="Q2486" s="17"/>
      <c r="R2486" s="17"/>
      <c r="S2486" s="17"/>
      <c r="T2486" s="17"/>
      <c r="U2486" s="17"/>
      <c r="V2486" s="17"/>
      <c r="W2486" s="17"/>
      <c r="X2486" s="17"/>
      <c r="Y2486" s="17"/>
      <c r="Z2486" s="17"/>
    </row>
    <row r="2487">
      <c r="A2487" s="18" t="str">
        <f>IFERROR(__xludf.DUMMYFUNCTION("""COMPUTED_VALUE"""),"ord_99530")</f>
        <v>ord_99530</v>
      </c>
      <c r="B2487" s="18" t="str">
        <f>IFERROR(__xludf.DUMMYFUNCTION("""COMPUTED_VALUE"""),"Dev Chauhan")</f>
        <v>Dev Chauhan</v>
      </c>
      <c r="C2487" s="18" t="str">
        <f>IFERROR(__xludf.DUMMYFUNCTION("""COMPUTED_VALUE"""),"Bandra")</f>
        <v>Bandra</v>
      </c>
      <c r="D2487" s="18" t="str">
        <f>IFERROR(__xludf.DUMMYFUNCTION("""COMPUTED_VALUE"""),"Tiramisu")</f>
        <v>Tiramisu</v>
      </c>
      <c r="E2487" s="18">
        <f>IFERROR(__xludf.DUMMYFUNCTION("""COMPUTED_VALUE"""),5.0)</f>
        <v>5</v>
      </c>
      <c r="F2487" s="18" t="str">
        <f>IFERROR(__xludf.DUMMYFUNCTION("""COMPUTED_VALUE"""),"Priya Joshi")</f>
        <v>Priya Joshi</v>
      </c>
      <c r="G2487" s="19">
        <f>IFERROR(__xludf.DUMMYFUNCTION("""COMPUTED_VALUE"""),45003.0)</f>
        <v>45003</v>
      </c>
      <c r="H2487" s="18" t="str">
        <f>IFERROR(__xludf.DUMMYFUNCTION("""COMPUTED_VALUE"""),"UPI")</f>
        <v>UPI</v>
      </c>
      <c r="I2487" s="18" t="str">
        <f>IFERROR(__xludf.DUMMYFUNCTION("""COMPUTED_VALUE"""),"Delivered")</f>
        <v>Delivered</v>
      </c>
      <c r="J2487" s="18" t="str">
        <f>IFERROR(__xludf.DUMMYFUNCTION("""COMPUTED_VALUE"""),"Overall Satisfaction")</f>
        <v>Overall Satisfaction</v>
      </c>
      <c r="K2487" s="18" t="str">
        <f>IFERROR(__xludf.DUMMYFUNCTION("""COMPUTED_VALUE"""),"Great service will order again")</f>
        <v>Great service will order again</v>
      </c>
      <c r="L2487" s="18">
        <f>iferror(VLOOKUP($D2487,Details!$A$2:$C$11,2,false),vlookup($D2487,Details!$E$2:$G$11,2,false))</f>
        <v>150</v>
      </c>
      <c r="M2487" s="18" t="str">
        <f>iferror(VLOOKUP($D2487,Details!$A$2:$C$11,3,false),vlookup($D2487,Details!$E$2:$G$11,3,false))</f>
        <v>Snacks and Drinks</v>
      </c>
      <c r="N2487" s="18">
        <f t="shared" si="1"/>
        <v>750</v>
      </c>
      <c r="O2487" s="17"/>
      <c r="P2487" s="17"/>
      <c r="Q2487" s="17"/>
      <c r="R2487" s="17"/>
      <c r="S2487" s="17"/>
      <c r="T2487" s="17"/>
      <c r="U2487" s="17"/>
      <c r="V2487" s="17"/>
      <c r="W2487" s="17"/>
      <c r="X2487" s="17"/>
      <c r="Y2487" s="17"/>
      <c r="Z2487" s="17"/>
    </row>
    <row r="2488">
      <c r="A2488" s="18" t="str">
        <f>IFERROR(__xludf.DUMMYFUNCTION("""COMPUTED_VALUE"""),"ord_99624")</f>
        <v>ord_99624</v>
      </c>
      <c r="B2488" s="18" t="str">
        <f>IFERROR(__xludf.DUMMYFUNCTION("""COMPUTED_VALUE"""),"Mohit Malhotra")</f>
        <v>Mohit Malhotra</v>
      </c>
      <c r="C2488" s="18" t="str">
        <f>IFERROR(__xludf.DUMMYFUNCTION("""COMPUTED_VALUE"""),"Lower Parel")</f>
        <v>Lower Parel</v>
      </c>
      <c r="D2488" s="18" t="str">
        <f>IFERROR(__xludf.DUMMYFUNCTION("""COMPUTED_VALUE"""),"Chocolate Mousse")</f>
        <v>Chocolate Mousse</v>
      </c>
      <c r="E2488" s="18">
        <f>IFERROR(__xludf.DUMMYFUNCTION("""COMPUTED_VALUE"""),2.0)</f>
        <v>2</v>
      </c>
      <c r="F2488" s="18" t="str">
        <f>IFERROR(__xludf.DUMMYFUNCTION("""COMPUTED_VALUE"""),"Kiran Mehta")</f>
        <v>Kiran Mehta</v>
      </c>
      <c r="G2488" s="19">
        <f>IFERROR(__xludf.DUMMYFUNCTION("""COMPUTED_VALUE"""),45149.0)</f>
        <v>45149</v>
      </c>
      <c r="H2488" s="18" t="str">
        <f>IFERROR(__xludf.DUMMYFUNCTION("""COMPUTED_VALUE"""),"Credit Card")</f>
        <v>Credit Card</v>
      </c>
      <c r="I2488" s="18" t="str">
        <f>IFERROR(__xludf.DUMMYFUNCTION("""COMPUTED_VALUE"""),"Delivered")</f>
        <v>Delivered</v>
      </c>
      <c r="J2488" s="18" t="str">
        <f>IFERROR(__xludf.DUMMYFUNCTION("""COMPUTED_VALUE"""),"On-time Delivery")</f>
        <v>On-time Delivery</v>
      </c>
      <c r="K2488" s="18" t="str">
        <f>IFERROR(__xludf.DUMMYFUNCTION("""COMPUTED_VALUE"""),"Delivered on time")</f>
        <v>Delivered on time</v>
      </c>
      <c r="L2488" s="18">
        <f>iferror(VLOOKUP($D2488,Details!$A$2:$C$11,2,false),vlookup($D2488,Details!$E$2:$G$11,2,false))</f>
        <v>145</v>
      </c>
      <c r="M2488" s="18" t="str">
        <f>iferror(VLOOKUP($D2488,Details!$A$2:$C$11,3,false),vlookup($D2488,Details!$E$2:$G$11,3,false))</f>
        <v>Snacks and Drinks</v>
      </c>
      <c r="N2488" s="18">
        <f t="shared" si="1"/>
        <v>290</v>
      </c>
      <c r="O2488" s="17"/>
      <c r="P2488" s="17"/>
      <c r="Q2488" s="17"/>
      <c r="R2488" s="17"/>
      <c r="S2488" s="17"/>
      <c r="T2488" s="17"/>
      <c r="U2488" s="17"/>
      <c r="V2488" s="17"/>
      <c r="W2488" s="17"/>
      <c r="X2488" s="17"/>
      <c r="Y2488" s="17"/>
      <c r="Z2488" s="17"/>
    </row>
    <row r="2489">
      <c r="A2489" s="18" t="str">
        <f>IFERROR(__xludf.DUMMYFUNCTION("""COMPUTED_VALUE"""),"ord_99718")</f>
        <v>ord_99718</v>
      </c>
      <c r="B2489" s="18" t="str">
        <f>IFERROR(__xludf.DUMMYFUNCTION("""COMPUTED_VALUE"""),"Aarohi Kapoor")</f>
        <v>Aarohi Kapoor</v>
      </c>
      <c r="C2489" s="18" t="str">
        <f>IFERROR(__xludf.DUMMYFUNCTION("""COMPUTED_VALUE"""),"Bandra")</f>
        <v>Bandra</v>
      </c>
      <c r="D2489" s="18" t="str">
        <f>IFERROR(__xludf.DUMMYFUNCTION("""COMPUTED_VALUE"""),"Cold Coffee")</f>
        <v>Cold Coffee</v>
      </c>
      <c r="E2489" s="18">
        <f>IFERROR(__xludf.DUMMYFUNCTION("""COMPUTED_VALUE"""),5.0)</f>
        <v>5</v>
      </c>
      <c r="F2489" s="18" t="str">
        <f>IFERROR(__xludf.DUMMYFUNCTION("""COMPUTED_VALUE"""),"Priya Joshi")</f>
        <v>Priya Joshi</v>
      </c>
      <c r="G2489" s="19">
        <f>IFERROR(__xludf.DUMMYFUNCTION("""COMPUTED_VALUE"""),44932.0)</f>
        <v>44932</v>
      </c>
      <c r="H2489" s="18" t="str">
        <f>IFERROR(__xludf.DUMMYFUNCTION("""COMPUTED_VALUE"""),"Online Payment")</f>
        <v>Online Payment</v>
      </c>
      <c r="I2489" s="18" t="str">
        <f>IFERROR(__xludf.DUMMYFUNCTION("""COMPUTED_VALUE"""),"Delivered")</f>
        <v>Delivered</v>
      </c>
      <c r="J2489" s="18" t="str">
        <f>IFERROR(__xludf.DUMMYFUNCTION("""COMPUTED_VALUE"""),"Quality of Items")</f>
        <v>Quality of Items</v>
      </c>
      <c r="K2489" s="18" t="str">
        <f>IFERROR(__xludf.DUMMYFUNCTION("""COMPUTED_VALUE"""),"Perfect condition")</f>
        <v>Perfect condition</v>
      </c>
      <c r="L2489" s="18">
        <f>iferror(VLOOKUP($D2489,Details!$A$2:$C$11,2,false),vlookup($D2489,Details!$E$2:$G$11,2,false))</f>
        <v>270</v>
      </c>
      <c r="M2489" s="18" t="str">
        <f>iferror(VLOOKUP($D2489,Details!$A$2:$C$11,3,false),vlookup($D2489,Details!$E$2:$G$11,3,false))</f>
        <v>Snacks and Drinks</v>
      </c>
      <c r="N2489" s="18">
        <f t="shared" si="1"/>
        <v>1350</v>
      </c>
      <c r="O2489" s="17"/>
      <c r="P2489" s="17"/>
      <c r="Q2489" s="17"/>
      <c r="R2489" s="17"/>
      <c r="S2489" s="17"/>
      <c r="T2489" s="17"/>
      <c r="U2489" s="17"/>
      <c r="V2489" s="17"/>
      <c r="W2489" s="17"/>
      <c r="X2489" s="17"/>
      <c r="Y2489" s="17"/>
      <c r="Z2489" s="17"/>
    </row>
    <row r="2490">
      <c r="A2490" s="18" t="str">
        <f>IFERROR(__xludf.DUMMYFUNCTION("""COMPUTED_VALUE"""),"ord_99812")</f>
        <v>ord_99812</v>
      </c>
      <c r="B2490" s="18" t="str">
        <f>IFERROR(__xludf.DUMMYFUNCTION("""COMPUTED_VALUE"""),"Aarohi Kapoor")</f>
        <v>Aarohi Kapoor</v>
      </c>
      <c r="C2490" s="18" t="str">
        <f>IFERROR(__xludf.DUMMYFUNCTION("""COMPUTED_VALUE"""),"Bandra")</f>
        <v>Bandra</v>
      </c>
      <c r="D2490" s="18" t="str">
        <f>IFERROR(__xludf.DUMMYFUNCTION("""COMPUTED_VALUE"""),"Orange")</f>
        <v>Orange</v>
      </c>
      <c r="E2490" s="18">
        <f>IFERROR(__xludf.DUMMYFUNCTION("""COMPUTED_VALUE"""),2.0)</f>
        <v>2</v>
      </c>
      <c r="F2490" s="18" t="str">
        <f>IFERROR(__xludf.DUMMYFUNCTION("""COMPUTED_VALUE"""),"Not Assigned")</f>
        <v>Not Assigned</v>
      </c>
      <c r="G2490" s="19">
        <f>IFERROR(__xludf.DUMMYFUNCTION("""COMPUTED_VALUE"""),45064.0)</f>
        <v>45064</v>
      </c>
      <c r="H2490" s="18" t="str">
        <f>IFERROR(__xludf.DUMMYFUNCTION("""COMPUTED_VALUE"""),"UPI")</f>
        <v>UPI</v>
      </c>
      <c r="I2490" s="18" t="str">
        <f>IFERROR(__xludf.DUMMYFUNCTION("""COMPUTED_VALUE"""),"Cancelled")</f>
        <v>Cancelled</v>
      </c>
      <c r="J2490" s="18" t="str">
        <f>IFERROR(__xludf.DUMMYFUNCTION("""COMPUTED_VALUE"""),"App Glitches")</f>
        <v>App Glitches</v>
      </c>
      <c r="K2490" s="18" t="str">
        <f>IFERROR(__xludf.DUMMYFUNCTION("""COMPUTED_VALUE"""),"App Freezes")</f>
        <v>App Freezes</v>
      </c>
      <c r="L2490" s="18">
        <f>iferror(VLOOKUP($D2490,Details!$A$2:$C$11,2,false),vlookup($D2490,Details!$E$2:$G$11,2,false))</f>
        <v>180</v>
      </c>
      <c r="M2490" s="18" t="str">
        <f>iferror(VLOOKUP($D2490,Details!$A$2:$C$11,3,false),vlookup($D2490,Details!$E$2:$G$11,3,false))</f>
        <v>Fruits and Vegetables</v>
      </c>
      <c r="N2490" s="18">
        <f t="shared" si="1"/>
        <v>360</v>
      </c>
      <c r="O2490" s="17"/>
      <c r="P2490" s="17"/>
      <c r="Q2490" s="17"/>
      <c r="R2490" s="17"/>
      <c r="S2490" s="17"/>
      <c r="T2490" s="17"/>
      <c r="U2490" s="17"/>
      <c r="V2490" s="17"/>
      <c r="W2490" s="17"/>
      <c r="X2490" s="17"/>
      <c r="Y2490" s="17"/>
      <c r="Z2490" s="17"/>
    </row>
    <row r="2491">
      <c r="A2491" s="18" t="str">
        <f>IFERROR(__xludf.DUMMYFUNCTION("""COMPUTED_VALUE"""),"ord_99906")</f>
        <v>ord_99906</v>
      </c>
      <c r="B2491" s="18" t="str">
        <f>IFERROR(__xludf.DUMMYFUNCTION("""COMPUTED_VALUE"""),"Aditi Iyer")</f>
        <v>Aditi Iyer</v>
      </c>
      <c r="C2491" s="18" t="str">
        <f>IFERROR(__xludf.DUMMYFUNCTION("""COMPUTED_VALUE"""),"Dadar")</f>
        <v>Dadar</v>
      </c>
      <c r="D2491" s="18" t="str">
        <f>IFERROR(__xludf.DUMMYFUNCTION("""COMPUTED_VALUE"""),"Orange")</f>
        <v>Orange</v>
      </c>
      <c r="E2491" s="18">
        <f>IFERROR(__xludf.DUMMYFUNCTION("""COMPUTED_VALUE"""),1.0)</f>
        <v>1</v>
      </c>
      <c r="F2491" s="18" t="str">
        <f>IFERROR(__xludf.DUMMYFUNCTION("""COMPUTED_VALUE"""),"Aman Kumar")</f>
        <v>Aman Kumar</v>
      </c>
      <c r="G2491" s="19">
        <f>IFERROR(__xludf.DUMMYFUNCTION("""COMPUTED_VALUE"""),45118.0)</f>
        <v>45118</v>
      </c>
      <c r="H2491" s="18" t="str">
        <f>IFERROR(__xludf.DUMMYFUNCTION("""COMPUTED_VALUE"""),"UPI")</f>
        <v>UPI</v>
      </c>
      <c r="I2491" s="18" t="str">
        <f>IFERROR(__xludf.DUMMYFUNCTION("""COMPUTED_VALUE"""),"Delivered")</f>
        <v>Delivered</v>
      </c>
      <c r="J2491" s="18" t="str">
        <f>IFERROR(__xludf.DUMMYFUNCTION("""COMPUTED_VALUE"""),"Packaging")</f>
        <v>Packaging</v>
      </c>
      <c r="K2491" s="18" t="str">
        <f>IFERROR(__xludf.DUMMYFUNCTION("""COMPUTED_VALUE"""),"Secure and intact")</f>
        <v>Secure and intact</v>
      </c>
      <c r="L2491" s="18">
        <f>iferror(VLOOKUP($D2491,Details!$A$2:$C$11,2,false),vlookup($D2491,Details!$E$2:$G$11,2,false))</f>
        <v>180</v>
      </c>
      <c r="M2491" s="18" t="str">
        <f>iferror(VLOOKUP($D2491,Details!$A$2:$C$11,3,false),vlookup($D2491,Details!$E$2:$G$11,3,false))</f>
        <v>Fruits and Vegetables</v>
      </c>
      <c r="N2491" s="18">
        <f t="shared" si="1"/>
        <v>180</v>
      </c>
      <c r="O2491" s="17"/>
      <c r="P2491" s="17"/>
      <c r="Q2491" s="17"/>
      <c r="R2491" s="17"/>
      <c r="S2491" s="17"/>
      <c r="T2491" s="17"/>
      <c r="U2491" s="17"/>
      <c r="V2491" s="17"/>
      <c r="W2491" s="17"/>
      <c r="X2491" s="17"/>
      <c r="Y2491" s="17"/>
      <c r="Z2491" s="17"/>
    </row>
    <row r="2492">
      <c r="A2492" s="18" t="str">
        <f>IFERROR(__xludf.DUMMYFUNCTION("""COMPUTED_VALUE"""),"ord_10000")</f>
        <v>ord_10000</v>
      </c>
      <c r="B2492" s="18" t="str">
        <f>IFERROR(__xludf.DUMMYFUNCTION("""COMPUTED_VALUE"""),"Dev Chauhan")</f>
        <v>Dev Chauhan</v>
      </c>
      <c r="C2492" s="18" t="str">
        <f>IFERROR(__xludf.DUMMYFUNCTION("""COMPUTED_VALUE"""),"Bandra")</f>
        <v>Bandra</v>
      </c>
      <c r="D2492" s="18" t="str">
        <f>IFERROR(__xludf.DUMMYFUNCTION("""COMPUTED_VALUE"""),"Cold Coffee")</f>
        <v>Cold Coffee</v>
      </c>
      <c r="E2492" s="18">
        <f>IFERROR(__xludf.DUMMYFUNCTION("""COMPUTED_VALUE"""),2.0)</f>
        <v>2</v>
      </c>
      <c r="F2492" s="18" t="str">
        <f>IFERROR(__xludf.DUMMYFUNCTION("""COMPUTED_VALUE"""),"Priya Joshi")</f>
        <v>Priya Joshi</v>
      </c>
      <c r="G2492" s="19">
        <f>IFERROR(__xludf.DUMMYFUNCTION("""COMPUTED_VALUE"""),45273.0)</f>
        <v>45273</v>
      </c>
      <c r="H2492" s="18" t="str">
        <f>IFERROR(__xludf.DUMMYFUNCTION("""COMPUTED_VALUE"""),"UPI")</f>
        <v>UPI</v>
      </c>
      <c r="I2492" s="18" t="str">
        <f>IFERROR(__xludf.DUMMYFUNCTION("""COMPUTED_VALUE"""),"Delivered")</f>
        <v>Delivered</v>
      </c>
      <c r="J2492" s="18" t="str">
        <f>IFERROR(__xludf.DUMMYFUNCTION("""COMPUTED_VALUE"""),"Satisfied with the Delivery")</f>
        <v>Satisfied with the Delivery</v>
      </c>
      <c r="K2492" s="18" t="str">
        <f>IFERROR(__xludf.DUMMYFUNCTION("""COMPUTED_VALUE"""),"Timely and quality")</f>
        <v>Timely and quality</v>
      </c>
      <c r="L2492" s="18">
        <f>iferror(VLOOKUP($D2492,Details!$A$2:$C$11,2,false),vlookup($D2492,Details!$E$2:$G$11,2,false))</f>
        <v>270</v>
      </c>
      <c r="M2492" s="18" t="str">
        <f>iferror(VLOOKUP($D2492,Details!$A$2:$C$11,3,false),vlookup($D2492,Details!$E$2:$G$11,3,false))</f>
        <v>Snacks and Drinks</v>
      </c>
      <c r="N2492" s="18">
        <f t="shared" si="1"/>
        <v>540</v>
      </c>
      <c r="O2492" s="17"/>
      <c r="P2492" s="17"/>
      <c r="Q2492" s="17"/>
      <c r="R2492" s="17"/>
      <c r="S2492" s="17"/>
      <c r="T2492" s="17"/>
      <c r="U2492" s="17"/>
      <c r="V2492" s="17"/>
      <c r="W2492" s="17"/>
      <c r="X2492" s="17"/>
      <c r="Y2492" s="17"/>
      <c r="Z2492" s="17"/>
    </row>
    <row r="2493">
      <c r="A2493" s="18" t="str">
        <f>IFERROR(__xludf.DUMMYFUNCTION("""COMPUTED_VALUE"""),"ord_10009")</f>
        <v>ord_10009</v>
      </c>
      <c r="B2493" s="18" t="str">
        <f>IFERROR(__xludf.DUMMYFUNCTION("""COMPUTED_VALUE"""),"Aarohi Kapoor")</f>
        <v>Aarohi Kapoor</v>
      </c>
      <c r="C2493" s="18" t="str">
        <f>IFERROR(__xludf.DUMMYFUNCTION("""COMPUTED_VALUE"""),"Bandra")</f>
        <v>Bandra</v>
      </c>
      <c r="D2493" s="18" t="str">
        <f>IFERROR(__xludf.DUMMYFUNCTION("""COMPUTED_VALUE"""),"Chocolate Mousse")</f>
        <v>Chocolate Mousse</v>
      </c>
      <c r="E2493" s="18">
        <f>IFERROR(__xludf.DUMMYFUNCTION("""COMPUTED_VALUE"""),1.0)</f>
        <v>1</v>
      </c>
      <c r="F2493" s="18" t="str">
        <f>IFERROR(__xludf.DUMMYFUNCTION("""COMPUTED_VALUE"""),"Priya Joshi")</f>
        <v>Priya Joshi</v>
      </c>
      <c r="G2493" s="19">
        <f>IFERROR(__xludf.DUMMYFUNCTION("""COMPUTED_VALUE"""),45250.0)</f>
        <v>45250</v>
      </c>
      <c r="H2493" s="18" t="str">
        <f>IFERROR(__xludf.DUMMYFUNCTION("""COMPUTED_VALUE"""),"Credit Card")</f>
        <v>Credit Card</v>
      </c>
      <c r="I2493" s="18" t="str">
        <f>IFERROR(__xludf.DUMMYFUNCTION("""COMPUTED_VALUE"""),"Delivered")</f>
        <v>Delivered</v>
      </c>
      <c r="J2493" s="18" t="str">
        <f>IFERROR(__xludf.DUMMYFUNCTION("""COMPUTED_VALUE"""),"Customer Service")</f>
        <v>Customer Service</v>
      </c>
      <c r="K2493" s="18" t="str">
        <f>IFERROR(__xludf.DUMMYFUNCTION("""COMPUTED_VALUE"""),"Seamless and easy")</f>
        <v>Seamless and easy</v>
      </c>
      <c r="L2493" s="18">
        <f>iferror(VLOOKUP($D2493,Details!$A$2:$C$11,2,false),vlookup($D2493,Details!$E$2:$G$11,2,false))</f>
        <v>145</v>
      </c>
      <c r="M2493" s="18" t="str">
        <f>iferror(VLOOKUP($D2493,Details!$A$2:$C$11,3,false),vlookup($D2493,Details!$E$2:$G$11,3,false))</f>
        <v>Snacks and Drinks</v>
      </c>
      <c r="N2493" s="18">
        <f t="shared" si="1"/>
        <v>145</v>
      </c>
      <c r="O2493" s="17"/>
      <c r="P2493" s="17"/>
      <c r="Q2493" s="17"/>
      <c r="R2493" s="17"/>
      <c r="S2493" s="17"/>
      <c r="T2493" s="17"/>
      <c r="U2493" s="17"/>
      <c r="V2493" s="17"/>
      <c r="W2493" s="17"/>
      <c r="X2493" s="17"/>
      <c r="Y2493" s="17"/>
      <c r="Z2493" s="17"/>
    </row>
    <row r="2494">
      <c r="A2494" s="17"/>
      <c r="B2494" s="17"/>
      <c r="C2494" s="17"/>
      <c r="D2494" s="17"/>
      <c r="E2494" s="17"/>
      <c r="F2494" s="17"/>
      <c r="G2494" s="17"/>
      <c r="H2494" s="17"/>
      <c r="I2494" s="17"/>
      <c r="J2494" s="17"/>
      <c r="K2494" s="17"/>
      <c r="L2494" s="17"/>
      <c r="M2494" s="17"/>
      <c r="N2494" s="17"/>
      <c r="O2494" s="17"/>
      <c r="P2494" s="17"/>
      <c r="Q2494" s="17"/>
      <c r="R2494" s="17"/>
      <c r="S2494" s="17"/>
      <c r="T2494" s="17"/>
      <c r="U2494" s="17"/>
      <c r="V2494" s="17"/>
      <c r="W2494" s="17"/>
      <c r="X2494" s="17"/>
      <c r="Y2494" s="17"/>
      <c r="Z2494" s="17"/>
    </row>
    <row r="2495">
      <c r="A2495" s="17"/>
      <c r="B2495" s="17"/>
      <c r="C2495" s="17"/>
      <c r="D2495" s="17"/>
      <c r="E2495" s="17"/>
      <c r="F2495" s="17"/>
      <c r="G2495" s="17"/>
      <c r="H2495" s="17"/>
      <c r="I2495" s="17"/>
      <c r="J2495" s="17"/>
      <c r="K2495" s="17"/>
      <c r="L2495" s="17"/>
      <c r="M2495" s="17"/>
      <c r="N2495" s="17"/>
      <c r="O2495" s="17"/>
      <c r="P2495" s="17"/>
      <c r="Q2495" s="17"/>
      <c r="R2495" s="17"/>
      <c r="S2495" s="17"/>
      <c r="T2495" s="17"/>
      <c r="U2495" s="17"/>
      <c r="V2495" s="17"/>
      <c r="W2495" s="17"/>
      <c r="X2495" s="17"/>
      <c r="Y2495" s="17"/>
      <c r="Z2495" s="17"/>
    </row>
    <row r="2496">
      <c r="A2496" s="17"/>
      <c r="B2496" s="17"/>
      <c r="C2496" s="17"/>
      <c r="D2496" s="17"/>
      <c r="E2496" s="17"/>
      <c r="F2496" s="17"/>
      <c r="G2496" s="17"/>
      <c r="H2496" s="17"/>
      <c r="I2496" s="17"/>
      <c r="J2496" s="17"/>
      <c r="K2496" s="17"/>
      <c r="L2496" s="17"/>
      <c r="M2496" s="17"/>
      <c r="N2496" s="17"/>
      <c r="O2496" s="17"/>
      <c r="P2496" s="17"/>
      <c r="Q2496" s="17"/>
      <c r="R2496" s="17"/>
      <c r="S2496" s="17"/>
      <c r="T2496" s="17"/>
      <c r="U2496" s="17"/>
      <c r="V2496" s="17"/>
      <c r="W2496" s="17"/>
      <c r="X2496" s="17"/>
      <c r="Y2496" s="17"/>
      <c r="Z2496" s="17"/>
    </row>
    <row r="2497">
      <c r="A2497" s="17"/>
      <c r="B2497" s="17"/>
      <c r="C2497" s="17"/>
      <c r="D2497" s="17"/>
      <c r="E2497" s="17"/>
      <c r="F2497" s="17"/>
      <c r="G2497" s="17"/>
      <c r="H2497" s="17"/>
      <c r="I2497" s="17"/>
      <c r="J2497" s="17"/>
      <c r="K2497" s="17"/>
      <c r="L2497" s="17"/>
      <c r="M2497" s="17"/>
      <c r="N2497" s="17"/>
      <c r="O2497" s="17"/>
      <c r="P2497" s="17"/>
      <c r="Q2497" s="17"/>
      <c r="R2497" s="17"/>
      <c r="S2497" s="17"/>
      <c r="T2497" s="17"/>
      <c r="U2497" s="17"/>
      <c r="V2497" s="17"/>
      <c r="W2497" s="17"/>
      <c r="X2497" s="17"/>
      <c r="Y2497" s="17"/>
      <c r="Z2497" s="17"/>
    </row>
    <row r="2498">
      <c r="A2498" s="17"/>
      <c r="B2498" s="17"/>
      <c r="C2498" s="17"/>
      <c r="D2498" s="17"/>
      <c r="E2498" s="17"/>
      <c r="F2498" s="17"/>
      <c r="G2498" s="17"/>
      <c r="H2498" s="17"/>
      <c r="I2498" s="17"/>
      <c r="J2498" s="17"/>
      <c r="K2498" s="17"/>
      <c r="L2498" s="17"/>
      <c r="M2498" s="17"/>
      <c r="N2498" s="17"/>
      <c r="O2498" s="17"/>
      <c r="P2498" s="17"/>
      <c r="Q2498" s="17"/>
      <c r="R2498" s="17"/>
      <c r="S2498" s="17"/>
      <c r="T2498" s="17"/>
      <c r="U2498" s="17"/>
      <c r="V2498" s="17"/>
      <c r="W2498" s="17"/>
      <c r="X2498" s="17"/>
      <c r="Y2498" s="17"/>
      <c r="Z2498" s="17"/>
    </row>
    <row r="2499">
      <c r="A2499" s="17"/>
      <c r="B2499" s="17"/>
      <c r="C2499" s="17"/>
      <c r="D2499" s="17"/>
      <c r="E2499" s="17"/>
      <c r="F2499" s="17"/>
      <c r="G2499" s="17"/>
      <c r="H2499" s="17"/>
      <c r="I2499" s="17"/>
      <c r="J2499" s="17"/>
      <c r="K2499" s="17"/>
      <c r="L2499" s="17"/>
      <c r="M2499" s="17"/>
      <c r="N2499" s="17"/>
      <c r="O2499" s="17"/>
      <c r="P2499" s="17"/>
      <c r="Q2499" s="17"/>
      <c r="R2499" s="17"/>
      <c r="S2499" s="17"/>
      <c r="T2499" s="17"/>
      <c r="U2499" s="17"/>
      <c r="V2499" s="17"/>
      <c r="W2499" s="17"/>
      <c r="X2499" s="17"/>
      <c r="Y2499" s="17"/>
      <c r="Z2499" s="17"/>
    </row>
    <row r="2500">
      <c r="A2500" s="17"/>
      <c r="B2500" s="17"/>
      <c r="C2500" s="17"/>
      <c r="D2500" s="17"/>
      <c r="E2500" s="17"/>
      <c r="F2500" s="17"/>
      <c r="G2500" s="17"/>
      <c r="H2500" s="17"/>
      <c r="I2500" s="17"/>
      <c r="J2500" s="17"/>
      <c r="K2500" s="17"/>
      <c r="L2500" s="17"/>
      <c r="M2500" s="17"/>
      <c r="N2500" s="17"/>
      <c r="O2500" s="17"/>
      <c r="P2500" s="17"/>
      <c r="Q2500" s="17"/>
      <c r="R2500" s="17"/>
      <c r="S2500" s="17"/>
      <c r="T2500" s="17"/>
      <c r="U2500" s="17"/>
      <c r="V2500" s="17"/>
      <c r="W2500" s="17"/>
      <c r="X2500" s="17"/>
      <c r="Y2500" s="17"/>
      <c r="Z2500" s="17"/>
    </row>
    <row r="2501">
      <c r="A2501" s="17"/>
      <c r="B2501" s="17"/>
      <c r="C2501" s="17"/>
      <c r="D2501" s="17"/>
      <c r="E2501" s="17"/>
      <c r="F2501" s="17"/>
      <c r="G2501" s="17"/>
      <c r="H2501" s="17"/>
      <c r="I2501" s="17"/>
      <c r="J2501" s="17"/>
      <c r="K2501" s="17"/>
      <c r="L2501" s="17"/>
      <c r="M2501" s="17"/>
      <c r="N2501" s="17"/>
      <c r="O2501" s="17"/>
      <c r="P2501" s="17"/>
      <c r="Q2501" s="17"/>
      <c r="R2501" s="17"/>
      <c r="S2501" s="17"/>
      <c r="T2501" s="17"/>
      <c r="U2501" s="17"/>
      <c r="V2501" s="17"/>
      <c r="W2501" s="17"/>
      <c r="X2501" s="17"/>
      <c r="Y2501" s="17"/>
      <c r="Z2501" s="17"/>
    </row>
    <row r="2502">
      <c r="A2502" s="17"/>
      <c r="B2502" s="17"/>
      <c r="C2502" s="17"/>
      <c r="D2502" s="17"/>
      <c r="E2502" s="17"/>
      <c r="F2502" s="17"/>
      <c r="G2502" s="17"/>
      <c r="H2502" s="17"/>
      <c r="I2502" s="17"/>
      <c r="J2502" s="17"/>
      <c r="K2502" s="17"/>
      <c r="L2502" s="17"/>
      <c r="M2502" s="17"/>
      <c r="N2502" s="17"/>
      <c r="O2502" s="17"/>
      <c r="P2502" s="17"/>
      <c r="Q2502" s="17"/>
      <c r="R2502" s="17"/>
      <c r="S2502" s="17"/>
      <c r="T2502" s="17"/>
      <c r="U2502" s="17"/>
      <c r="V2502" s="17"/>
      <c r="W2502" s="17"/>
      <c r="X2502" s="17"/>
      <c r="Y2502" s="17"/>
      <c r="Z2502" s="17"/>
    </row>
    <row r="2503">
      <c r="A2503" s="17"/>
      <c r="B2503" s="17"/>
      <c r="C2503" s="17"/>
      <c r="D2503" s="17"/>
      <c r="E2503" s="17"/>
      <c r="F2503" s="17"/>
      <c r="G2503" s="17"/>
      <c r="H2503" s="17"/>
      <c r="I2503" s="17"/>
      <c r="J2503" s="17"/>
      <c r="K2503" s="17"/>
      <c r="L2503" s="17"/>
      <c r="M2503" s="17"/>
      <c r="N2503" s="17"/>
      <c r="O2503" s="17"/>
      <c r="P2503" s="17"/>
      <c r="Q2503" s="17"/>
      <c r="R2503" s="17"/>
      <c r="S2503" s="17"/>
      <c r="T2503" s="17"/>
      <c r="U2503" s="17"/>
      <c r="V2503" s="17"/>
      <c r="W2503" s="17"/>
      <c r="X2503" s="17"/>
      <c r="Y2503" s="17"/>
      <c r="Z2503" s="17"/>
    </row>
    <row r="2504">
      <c r="A2504" s="17"/>
      <c r="B2504" s="17"/>
      <c r="C2504" s="17"/>
      <c r="D2504" s="17"/>
      <c r="E2504" s="17"/>
      <c r="F2504" s="17"/>
      <c r="G2504" s="17"/>
      <c r="H2504" s="17"/>
      <c r="I2504" s="17"/>
      <c r="J2504" s="17"/>
      <c r="K2504" s="17"/>
      <c r="L2504" s="17"/>
      <c r="M2504" s="17"/>
      <c r="N2504" s="17"/>
      <c r="O2504" s="17"/>
      <c r="P2504" s="17"/>
      <c r="Q2504" s="17"/>
      <c r="R2504" s="17"/>
      <c r="S2504" s="17"/>
      <c r="T2504" s="17"/>
      <c r="U2504" s="17"/>
      <c r="V2504" s="17"/>
      <c r="W2504" s="17"/>
      <c r="X2504" s="17"/>
      <c r="Y2504" s="17"/>
      <c r="Z2504" s="17"/>
    </row>
    <row r="2505">
      <c r="A2505" s="17"/>
      <c r="B2505" s="17"/>
      <c r="C2505" s="17"/>
      <c r="D2505" s="17"/>
      <c r="E2505" s="17"/>
      <c r="F2505" s="17"/>
      <c r="G2505" s="17"/>
      <c r="H2505" s="17"/>
      <c r="I2505" s="17"/>
      <c r="J2505" s="17"/>
      <c r="K2505" s="17"/>
      <c r="L2505" s="17"/>
      <c r="M2505" s="17"/>
      <c r="N2505" s="17"/>
      <c r="O2505" s="17"/>
      <c r="P2505" s="17"/>
      <c r="Q2505" s="17"/>
      <c r="R2505" s="17"/>
      <c r="S2505" s="17"/>
      <c r="T2505" s="17"/>
      <c r="U2505" s="17"/>
      <c r="V2505" s="17"/>
      <c r="W2505" s="17"/>
      <c r="X2505" s="17"/>
      <c r="Y2505" s="17"/>
      <c r="Z2505" s="17"/>
    </row>
    <row r="2506">
      <c r="A2506" s="17"/>
      <c r="B2506" s="17"/>
      <c r="C2506" s="17"/>
      <c r="D2506" s="17"/>
      <c r="E2506" s="17"/>
      <c r="F2506" s="17"/>
      <c r="G2506" s="17"/>
      <c r="H2506" s="17"/>
      <c r="I2506" s="17"/>
      <c r="J2506" s="17"/>
      <c r="K2506" s="17"/>
      <c r="L2506" s="17"/>
      <c r="M2506" s="17"/>
      <c r="N2506" s="17"/>
      <c r="O2506" s="17"/>
      <c r="P2506" s="17"/>
      <c r="Q2506" s="17"/>
      <c r="R2506" s="17"/>
      <c r="S2506" s="17"/>
      <c r="T2506" s="17"/>
      <c r="U2506" s="17"/>
      <c r="V2506" s="17"/>
      <c r="W2506" s="17"/>
      <c r="X2506" s="17"/>
      <c r="Y2506" s="17"/>
      <c r="Z2506" s="17"/>
    </row>
    <row r="2507">
      <c r="A2507" s="17"/>
      <c r="B2507" s="17"/>
      <c r="C2507" s="17"/>
      <c r="D2507" s="17"/>
      <c r="E2507" s="17"/>
      <c r="F2507" s="17"/>
      <c r="G2507" s="17"/>
      <c r="H2507" s="17"/>
      <c r="I2507" s="17"/>
      <c r="J2507" s="17"/>
      <c r="K2507" s="17"/>
      <c r="L2507" s="17"/>
      <c r="M2507" s="17"/>
      <c r="N2507" s="17"/>
      <c r="O2507" s="17"/>
      <c r="P2507" s="17"/>
      <c r="Q2507" s="17"/>
      <c r="R2507" s="17"/>
      <c r="S2507" s="17"/>
      <c r="T2507" s="17"/>
      <c r="U2507" s="17"/>
      <c r="V2507" s="17"/>
      <c r="W2507" s="17"/>
      <c r="X2507" s="17"/>
      <c r="Y2507" s="17"/>
      <c r="Z2507" s="17"/>
    </row>
    <row r="2508">
      <c r="A2508" s="17"/>
      <c r="B2508" s="17"/>
      <c r="C2508" s="17"/>
      <c r="D2508" s="17"/>
      <c r="E2508" s="17"/>
      <c r="F2508" s="17"/>
      <c r="G2508" s="17"/>
      <c r="H2508" s="17"/>
      <c r="I2508" s="17"/>
      <c r="J2508" s="17"/>
      <c r="K2508" s="17"/>
      <c r="L2508" s="17"/>
      <c r="M2508" s="17"/>
      <c r="N2508" s="17"/>
      <c r="O2508" s="17"/>
      <c r="P2508" s="17"/>
      <c r="Q2508" s="17"/>
      <c r="R2508" s="17"/>
      <c r="S2508" s="17"/>
      <c r="T2508" s="17"/>
      <c r="U2508" s="17"/>
      <c r="V2508" s="17"/>
      <c r="W2508" s="17"/>
      <c r="X2508" s="17"/>
      <c r="Y2508" s="17"/>
      <c r="Z2508" s="17"/>
    </row>
    <row r="2509">
      <c r="A2509" s="17"/>
      <c r="B2509" s="17"/>
      <c r="C2509" s="17"/>
      <c r="D2509" s="17"/>
      <c r="E2509" s="17"/>
      <c r="F2509" s="17"/>
      <c r="G2509" s="17"/>
      <c r="H2509" s="17"/>
      <c r="I2509" s="17"/>
      <c r="J2509" s="17"/>
      <c r="K2509" s="17"/>
      <c r="L2509" s="17"/>
      <c r="M2509" s="17"/>
      <c r="N2509" s="17"/>
      <c r="O2509" s="17"/>
      <c r="P2509" s="17"/>
      <c r="Q2509" s="17"/>
      <c r="R2509" s="17"/>
      <c r="S2509" s="17"/>
      <c r="T2509" s="17"/>
      <c r="U2509" s="17"/>
      <c r="V2509" s="17"/>
      <c r="W2509" s="17"/>
      <c r="X2509" s="17"/>
      <c r="Y2509" s="17"/>
      <c r="Z2509" s="17"/>
    </row>
    <row r="2510">
      <c r="A2510" s="17"/>
      <c r="B2510" s="17"/>
      <c r="C2510" s="17"/>
      <c r="D2510" s="17"/>
      <c r="E2510" s="17"/>
      <c r="F2510" s="17"/>
      <c r="G2510" s="17"/>
      <c r="H2510" s="17"/>
      <c r="I2510" s="17"/>
      <c r="J2510" s="17"/>
      <c r="K2510" s="17"/>
      <c r="L2510" s="17"/>
      <c r="M2510" s="17"/>
      <c r="N2510" s="17"/>
      <c r="O2510" s="17"/>
      <c r="P2510" s="17"/>
      <c r="Q2510" s="17"/>
      <c r="R2510" s="17"/>
      <c r="S2510" s="17"/>
      <c r="T2510" s="17"/>
      <c r="U2510" s="17"/>
      <c r="V2510" s="17"/>
      <c r="W2510" s="17"/>
      <c r="X2510" s="17"/>
      <c r="Y2510" s="17"/>
      <c r="Z2510" s="17"/>
    </row>
    <row r="2511">
      <c r="A2511" s="17"/>
      <c r="B2511" s="17"/>
      <c r="C2511" s="17"/>
      <c r="D2511" s="17"/>
      <c r="E2511" s="17"/>
      <c r="F2511" s="17"/>
      <c r="G2511" s="17"/>
      <c r="H2511" s="17"/>
      <c r="I2511" s="17"/>
      <c r="J2511" s="17"/>
      <c r="K2511" s="17"/>
      <c r="L2511" s="17"/>
      <c r="M2511" s="17"/>
      <c r="N2511" s="17"/>
      <c r="O2511" s="17"/>
      <c r="P2511" s="17"/>
      <c r="Q2511" s="17"/>
      <c r="R2511" s="17"/>
      <c r="S2511" s="17"/>
      <c r="T2511" s="17"/>
      <c r="U2511" s="17"/>
      <c r="V2511" s="17"/>
      <c r="W2511" s="17"/>
      <c r="X2511" s="17"/>
      <c r="Y2511" s="17"/>
      <c r="Z2511" s="17"/>
    </row>
    <row r="2512">
      <c r="A2512" s="17"/>
      <c r="B2512" s="17"/>
      <c r="C2512" s="17"/>
      <c r="D2512" s="17"/>
      <c r="E2512" s="17"/>
      <c r="F2512" s="17"/>
      <c r="G2512" s="17"/>
      <c r="H2512" s="17"/>
      <c r="I2512" s="17"/>
      <c r="J2512" s="17"/>
      <c r="K2512" s="17"/>
      <c r="L2512" s="17"/>
      <c r="M2512" s="17"/>
      <c r="N2512" s="17"/>
      <c r="O2512" s="17"/>
      <c r="P2512" s="17"/>
      <c r="Q2512" s="17"/>
      <c r="R2512" s="17"/>
      <c r="S2512" s="17"/>
      <c r="T2512" s="17"/>
      <c r="U2512" s="17"/>
      <c r="V2512" s="17"/>
      <c r="W2512" s="17"/>
      <c r="X2512" s="17"/>
      <c r="Y2512" s="17"/>
      <c r="Z2512" s="17"/>
    </row>
    <row r="2513">
      <c r="A2513" s="17"/>
      <c r="B2513" s="17"/>
      <c r="C2513" s="17"/>
      <c r="D2513" s="17"/>
      <c r="E2513" s="17"/>
      <c r="F2513" s="17"/>
      <c r="G2513" s="17"/>
      <c r="H2513" s="17"/>
      <c r="I2513" s="17"/>
      <c r="J2513" s="17"/>
      <c r="K2513" s="17"/>
      <c r="L2513" s="17"/>
      <c r="M2513" s="17"/>
      <c r="N2513" s="17"/>
      <c r="O2513" s="17"/>
      <c r="P2513" s="17"/>
      <c r="Q2513" s="17"/>
      <c r="R2513" s="17"/>
      <c r="S2513" s="17"/>
      <c r="T2513" s="17"/>
      <c r="U2513" s="17"/>
      <c r="V2513" s="17"/>
      <c r="W2513" s="17"/>
      <c r="X2513" s="17"/>
      <c r="Y2513" s="17"/>
      <c r="Z2513" s="17"/>
    </row>
    <row r="2514">
      <c r="A2514" s="17"/>
      <c r="B2514" s="17"/>
      <c r="C2514" s="17"/>
      <c r="D2514" s="17"/>
      <c r="E2514" s="17"/>
      <c r="F2514" s="17"/>
      <c r="G2514" s="17"/>
      <c r="H2514" s="17"/>
      <c r="I2514" s="17"/>
      <c r="J2514" s="17"/>
      <c r="K2514" s="17"/>
      <c r="L2514" s="17"/>
      <c r="M2514" s="17"/>
      <c r="N2514" s="17"/>
      <c r="O2514" s="17"/>
      <c r="P2514" s="17"/>
      <c r="Q2514" s="17"/>
      <c r="R2514" s="17"/>
      <c r="S2514" s="17"/>
      <c r="T2514" s="17"/>
      <c r="U2514" s="17"/>
      <c r="V2514" s="17"/>
      <c r="W2514" s="17"/>
      <c r="X2514" s="17"/>
      <c r="Y2514" s="17"/>
      <c r="Z2514" s="17"/>
    </row>
    <row r="2515">
      <c r="A2515" s="17"/>
      <c r="B2515" s="17"/>
      <c r="C2515" s="17"/>
      <c r="D2515" s="17"/>
      <c r="E2515" s="17"/>
      <c r="F2515" s="17"/>
      <c r="G2515" s="17"/>
      <c r="H2515" s="17"/>
      <c r="I2515" s="17"/>
      <c r="J2515" s="17"/>
      <c r="K2515" s="17"/>
      <c r="L2515" s="17"/>
      <c r="M2515" s="17"/>
      <c r="N2515" s="17"/>
      <c r="O2515" s="17"/>
      <c r="P2515" s="17"/>
      <c r="Q2515" s="17"/>
      <c r="R2515" s="17"/>
      <c r="S2515" s="17"/>
      <c r="T2515" s="17"/>
      <c r="U2515" s="17"/>
      <c r="V2515" s="17"/>
      <c r="W2515" s="17"/>
      <c r="X2515" s="17"/>
      <c r="Y2515" s="17"/>
      <c r="Z2515" s="17"/>
    </row>
    <row r="2516">
      <c r="A2516" s="17"/>
      <c r="B2516" s="17"/>
      <c r="C2516" s="17"/>
      <c r="D2516" s="17"/>
      <c r="E2516" s="17"/>
      <c r="F2516" s="17"/>
      <c r="G2516" s="17"/>
      <c r="H2516" s="17"/>
      <c r="I2516" s="17"/>
      <c r="J2516" s="17"/>
      <c r="K2516" s="17"/>
      <c r="L2516" s="17"/>
      <c r="M2516" s="17"/>
      <c r="N2516" s="17"/>
      <c r="O2516" s="17"/>
      <c r="P2516" s="17"/>
      <c r="Q2516" s="17"/>
      <c r="R2516" s="17"/>
      <c r="S2516" s="17"/>
      <c r="T2516" s="17"/>
      <c r="U2516" s="17"/>
      <c r="V2516" s="17"/>
      <c r="W2516" s="17"/>
      <c r="X2516" s="17"/>
      <c r="Y2516" s="17"/>
      <c r="Z2516" s="17"/>
    </row>
    <row r="2517">
      <c r="A2517" s="17"/>
      <c r="B2517" s="17"/>
      <c r="C2517" s="17"/>
      <c r="D2517" s="17"/>
      <c r="E2517" s="17"/>
      <c r="F2517" s="17"/>
      <c r="G2517" s="17"/>
      <c r="H2517" s="17"/>
      <c r="I2517" s="17"/>
      <c r="J2517" s="17"/>
      <c r="K2517" s="17"/>
      <c r="L2517" s="17"/>
      <c r="M2517" s="17"/>
      <c r="N2517" s="17"/>
      <c r="O2517" s="17"/>
      <c r="P2517" s="17"/>
      <c r="Q2517" s="17"/>
      <c r="R2517" s="17"/>
      <c r="S2517" s="17"/>
      <c r="T2517" s="17"/>
      <c r="U2517" s="17"/>
      <c r="V2517" s="17"/>
      <c r="W2517" s="17"/>
      <c r="X2517" s="17"/>
      <c r="Y2517" s="17"/>
      <c r="Z2517" s="17"/>
    </row>
    <row r="2518">
      <c r="A2518" s="17"/>
      <c r="B2518" s="17"/>
      <c r="C2518" s="17"/>
      <c r="D2518" s="17"/>
      <c r="E2518" s="17"/>
      <c r="F2518" s="17"/>
      <c r="G2518" s="17"/>
      <c r="H2518" s="17"/>
      <c r="I2518" s="17"/>
      <c r="J2518" s="17"/>
      <c r="K2518" s="17"/>
      <c r="L2518" s="17"/>
      <c r="M2518" s="17"/>
      <c r="N2518" s="17"/>
      <c r="O2518" s="17"/>
      <c r="P2518" s="17"/>
      <c r="Q2518" s="17"/>
      <c r="R2518" s="17"/>
      <c r="S2518" s="17"/>
      <c r="T2518" s="17"/>
      <c r="U2518" s="17"/>
      <c r="V2518" s="17"/>
      <c r="W2518" s="17"/>
      <c r="X2518" s="17"/>
      <c r="Y2518" s="17"/>
      <c r="Z2518" s="17"/>
    </row>
    <row r="2519">
      <c r="A2519" s="17"/>
      <c r="B2519" s="17"/>
      <c r="C2519" s="17"/>
      <c r="D2519" s="17"/>
      <c r="E2519" s="17"/>
      <c r="F2519" s="17"/>
      <c r="G2519" s="17"/>
      <c r="H2519" s="17"/>
      <c r="I2519" s="17"/>
      <c r="J2519" s="17"/>
      <c r="K2519" s="17"/>
      <c r="L2519" s="17"/>
      <c r="M2519" s="17"/>
      <c r="N2519" s="17"/>
      <c r="O2519" s="17"/>
      <c r="P2519" s="17"/>
      <c r="Q2519" s="17"/>
      <c r="R2519" s="17"/>
      <c r="S2519" s="17"/>
      <c r="T2519" s="17"/>
      <c r="U2519" s="17"/>
      <c r="V2519" s="17"/>
      <c r="W2519" s="17"/>
      <c r="X2519" s="17"/>
      <c r="Y2519" s="17"/>
      <c r="Z2519" s="17"/>
    </row>
    <row r="2520">
      <c r="A2520" s="17"/>
      <c r="B2520" s="17"/>
      <c r="C2520" s="17"/>
      <c r="D2520" s="17"/>
      <c r="E2520" s="17"/>
      <c r="F2520" s="17"/>
      <c r="G2520" s="17"/>
      <c r="H2520" s="17"/>
      <c r="I2520" s="17"/>
      <c r="J2520" s="17"/>
      <c r="K2520" s="17"/>
      <c r="L2520" s="17"/>
      <c r="M2520" s="17"/>
      <c r="N2520" s="17"/>
      <c r="O2520" s="17"/>
      <c r="P2520" s="17"/>
      <c r="Q2520" s="17"/>
      <c r="R2520" s="17"/>
      <c r="S2520" s="17"/>
      <c r="T2520" s="17"/>
      <c r="U2520" s="17"/>
      <c r="V2520" s="17"/>
      <c r="W2520" s="17"/>
      <c r="X2520" s="17"/>
      <c r="Y2520" s="17"/>
      <c r="Z2520" s="17"/>
    </row>
    <row r="2521">
      <c r="A2521" s="17"/>
      <c r="B2521" s="17"/>
      <c r="C2521" s="17"/>
      <c r="D2521" s="17"/>
      <c r="E2521" s="17"/>
      <c r="F2521" s="17"/>
      <c r="G2521" s="17"/>
      <c r="H2521" s="17"/>
      <c r="I2521" s="17"/>
      <c r="J2521" s="17"/>
      <c r="K2521" s="17"/>
      <c r="L2521" s="17"/>
      <c r="M2521" s="17"/>
      <c r="N2521" s="17"/>
      <c r="O2521" s="17"/>
      <c r="P2521" s="17"/>
      <c r="Q2521" s="17"/>
      <c r="R2521" s="17"/>
      <c r="S2521" s="17"/>
      <c r="T2521" s="17"/>
      <c r="U2521" s="17"/>
      <c r="V2521" s="17"/>
      <c r="W2521" s="17"/>
      <c r="X2521" s="17"/>
      <c r="Y2521" s="17"/>
      <c r="Z2521" s="17"/>
    </row>
    <row r="2522">
      <c r="A2522" s="17"/>
      <c r="B2522" s="17"/>
      <c r="C2522" s="17"/>
      <c r="D2522" s="17"/>
      <c r="E2522" s="17"/>
      <c r="F2522" s="17"/>
      <c r="G2522" s="17"/>
      <c r="H2522" s="17"/>
      <c r="I2522" s="17"/>
      <c r="J2522" s="17"/>
      <c r="K2522" s="17"/>
      <c r="L2522" s="17"/>
      <c r="M2522" s="17"/>
      <c r="N2522" s="17"/>
      <c r="O2522" s="17"/>
      <c r="P2522" s="17"/>
      <c r="Q2522" s="17"/>
      <c r="R2522" s="17"/>
      <c r="S2522" s="17"/>
      <c r="T2522" s="17"/>
      <c r="U2522" s="17"/>
      <c r="V2522" s="17"/>
      <c r="W2522" s="17"/>
      <c r="X2522" s="17"/>
      <c r="Y2522" s="17"/>
      <c r="Z2522" s="17"/>
    </row>
    <row r="2523">
      <c r="A2523" s="17"/>
      <c r="B2523" s="17"/>
      <c r="C2523" s="17"/>
      <c r="D2523" s="17"/>
      <c r="E2523" s="17"/>
      <c r="F2523" s="17"/>
      <c r="G2523" s="17"/>
      <c r="H2523" s="17"/>
      <c r="I2523" s="17"/>
      <c r="J2523" s="17"/>
      <c r="K2523" s="17"/>
      <c r="L2523" s="17"/>
      <c r="M2523" s="17"/>
      <c r="N2523" s="17"/>
      <c r="O2523" s="17"/>
      <c r="P2523" s="17"/>
      <c r="Q2523" s="17"/>
      <c r="R2523" s="17"/>
      <c r="S2523" s="17"/>
      <c r="T2523" s="17"/>
      <c r="U2523" s="17"/>
      <c r="V2523" s="17"/>
      <c r="W2523" s="17"/>
      <c r="X2523" s="17"/>
      <c r="Y2523" s="17"/>
      <c r="Z2523" s="17"/>
    </row>
    <row r="2524">
      <c r="A2524" s="17"/>
      <c r="B2524" s="17"/>
      <c r="C2524" s="17"/>
      <c r="D2524" s="17"/>
      <c r="E2524" s="17"/>
      <c r="F2524" s="17"/>
      <c r="G2524" s="17"/>
      <c r="H2524" s="17"/>
      <c r="I2524" s="17"/>
      <c r="J2524" s="17"/>
      <c r="K2524" s="17"/>
      <c r="L2524" s="17"/>
      <c r="M2524" s="17"/>
      <c r="N2524" s="17"/>
      <c r="O2524" s="17"/>
      <c r="P2524" s="17"/>
      <c r="Q2524" s="17"/>
      <c r="R2524" s="17"/>
      <c r="S2524" s="17"/>
      <c r="T2524" s="17"/>
      <c r="U2524" s="17"/>
      <c r="V2524" s="17"/>
      <c r="W2524" s="17"/>
      <c r="X2524" s="17"/>
      <c r="Y2524" s="17"/>
      <c r="Z2524" s="17"/>
    </row>
    <row r="2525">
      <c r="A2525" s="17"/>
      <c r="B2525" s="17"/>
      <c r="C2525" s="17"/>
      <c r="D2525" s="17"/>
      <c r="E2525" s="17"/>
      <c r="F2525" s="17"/>
      <c r="G2525" s="17"/>
      <c r="H2525" s="17"/>
      <c r="I2525" s="17"/>
      <c r="J2525" s="17"/>
      <c r="K2525" s="17"/>
      <c r="L2525" s="17"/>
      <c r="M2525" s="17"/>
      <c r="N2525" s="17"/>
      <c r="O2525" s="17"/>
      <c r="P2525" s="17"/>
      <c r="Q2525" s="17"/>
      <c r="R2525" s="17"/>
      <c r="S2525" s="17"/>
      <c r="T2525" s="17"/>
      <c r="U2525" s="17"/>
      <c r="V2525" s="17"/>
      <c r="W2525" s="17"/>
      <c r="X2525" s="17"/>
      <c r="Y2525" s="17"/>
      <c r="Z2525" s="17"/>
    </row>
    <row r="2526">
      <c r="A2526" s="17"/>
      <c r="B2526" s="17"/>
      <c r="C2526" s="17"/>
      <c r="D2526" s="17"/>
      <c r="E2526" s="17"/>
      <c r="F2526" s="17"/>
      <c r="G2526" s="17"/>
      <c r="H2526" s="17"/>
      <c r="I2526" s="17"/>
      <c r="J2526" s="17"/>
      <c r="K2526" s="17"/>
      <c r="L2526" s="17"/>
      <c r="M2526" s="17"/>
      <c r="N2526" s="17"/>
      <c r="O2526" s="17"/>
      <c r="P2526" s="17"/>
      <c r="Q2526" s="17"/>
      <c r="R2526" s="17"/>
      <c r="S2526" s="17"/>
      <c r="T2526" s="17"/>
      <c r="U2526" s="17"/>
      <c r="V2526" s="17"/>
      <c r="W2526" s="17"/>
      <c r="X2526" s="17"/>
      <c r="Y2526" s="17"/>
      <c r="Z2526" s="17"/>
    </row>
    <row r="2527">
      <c r="A2527" s="17"/>
      <c r="B2527" s="17"/>
      <c r="C2527" s="17"/>
      <c r="D2527" s="17"/>
      <c r="E2527" s="17"/>
      <c r="F2527" s="17"/>
      <c r="G2527" s="17"/>
      <c r="H2527" s="17"/>
      <c r="I2527" s="17"/>
      <c r="J2527" s="17"/>
      <c r="K2527" s="17"/>
      <c r="L2527" s="17"/>
      <c r="M2527" s="17"/>
      <c r="N2527" s="17"/>
      <c r="O2527" s="17"/>
      <c r="P2527" s="17"/>
      <c r="Q2527" s="17"/>
      <c r="R2527" s="17"/>
      <c r="S2527" s="17"/>
      <c r="T2527" s="17"/>
      <c r="U2527" s="17"/>
      <c r="V2527" s="17"/>
      <c r="W2527" s="17"/>
      <c r="X2527" s="17"/>
      <c r="Y2527" s="17"/>
      <c r="Z2527" s="17"/>
    </row>
    <row r="2528">
      <c r="A2528" s="17"/>
      <c r="B2528" s="17"/>
      <c r="C2528" s="17"/>
      <c r="D2528" s="17"/>
      <c r="E2528" s="17"/>
      <c r="F2528" s="17"/>
      <c r="G2528" s="17"/>
      <c r="H2528" s="17"/>
      <c r="I2528" s="17"/>
      <c r="J2528" s="17"/>
      <c r="K2528" s="17"/>
      <c r="L2528" s="17"/>
      <c r="M2528" s="17"/>
      <c r="N2528" s="17"/>
      <c r="O2528" s="17"/>
      <c r="P2528" s="17"/>
      <c r="Q2528" s="17"/>
      <c r="R2528" s="17"/>
      <c r="S2528" s="17"/>
      <c r="T2528" s="17"/>
      <c r="U2528" s="17"/>
      <c r="V2528" s="17"/>
      <c r="W2528" s="17"/>
      <c r="X2528" s="17"/>
      <c r="Y2528" s="17"/>
      <c r="Z2528" s="17"/>
    </row>
    <row r="2529">
      <c r="A2529" s="17"/>
      <c r="B2529" s="17"/>
      <c r="C2529" s="17"/>
      <c r="D2529" s="17"/>
      <c r="E2529" s="17"/>
      <c r="F2529" s="17"/>
      <c r="G2529" s="17"/>
      <c r="H2529" s="17"/>
      <c r="I2529" s="17"/>
      <c r="J2529" s="17"/>
      <c r="K2529" s="17"/>
      <c r="L2529" s="17"/>
      <c r="M2529" s="17"/>
      <c r="N2529" s="17"/>
      <c r="O2529" s="17"/>
      <c r="P2529" s="17"/>
      <c r="Q2529" s="17"/>
      <c r="R2529" s="17"/>
      <c r="S2529" s="17"/>
      <c r="T2529" s="17"/>
      <c r="U2529" s="17"/>
      <c r="V2529" s="17"/>
      <c r="W2529" s="17"/>
      <c r="X2529" s="17"/>
      <c r="Y2529" s="17"/>
      <c r="Z2529" s="17"/>
    </row>
    <row r="2530">
      <c r="A2530" s="17"/>
      <c r="B2530" s="17"/>
      <c r="C2530" s="17"/>
      <c r="D2530" s="17"/>
      <c r="E2530" s="17"/>
      <c r="F2530" s="17"/>
      <c r="G2530" s="17"/>
      <c r="H2530" s="17"/>
      <c r="I2530" s="17"/>
      <c r="J2530" s="17"/>
      <c r="K2530" s="17"/>
      <c r="L2530" s="17"/>
      <c r="M2530" s="17"/>
      <c r="N2530" s="17"/>
      <c r="O2530" s="17"/>
      <c r="P2530" s="17"/>
      <c r="Q2530" s="17"/>
      <c r="R2530" s="17"/>
      <c r="S2530" s="17"/>
      <c r="T2530" s="17"/>
      <c r="U2530" s="17"/>
      <c r="V2530" s="17"/>
      <c r="W2530" s="17"/>
      <c r="X2530" s="17"/>
      <c r="Y2530" s="17"/>
      <c r="Z2530" s="17"/>
    </row>
    <row r="2531">
      <c r="A2531" s="17"/>
      <c r="B2531" s="17"/>
      <c r="C2531" s="17"/>
      <c r="D2531" s="17"/>
      <c r="E2531" s="17"/>
      <c r="F2531" s="17"/>
      <c r="G2531" s="17"/>
      <c r="H2531" s="17"/>
      <c r="I2531" s="17"/>
      <c r="J2531" s="17"/>
      <c r="K2531" s="17"/>
      <c r="L2531" s="17"/>
      <c r="M2531" s="17"/>
      <c r="N2531" s="17"/>
      <c r="O2531" s="17"/>
      <c r="P2531" s="17"/>
      <c r="Q2531" s="17"/>
      <c r="R2531" s="17"/>
      <c r="S2531" s="17"/>
      <c r="T2531" s="17"/>
      <c r="U2531" s="17"/>
      <c r="V2531" s="17"/>
      <c r="W2531" s="17"/>
      <c r="X2531" s="17"/>
      <c r="Y2531" s="17"/>
      <c r="Z2531" s="17"/>
    </row>
    <row r="2532">
      <c r="A2532" s="17"/>
      <c r="B2532" s="17"/>
      <c r="C2532" s="17"/>
      <c r="D2532" s="17"/>
      <c r="E2532" s="17"/>
      <c r="F2532" s="17"/>
      <c r="G2532" s="17"/>
      <c r="H2532" s="17"/>
      <c r="I2532" s="17"/>
      <c r="J2532" s="17"/>
      <c r="K2532" s="17"/>
      <c r="L2532" s="17"/>
      <c r="M2532" s="17"/>
      <c r="N2532" s="17"/>
      <c r="O2532" s="17"/>
      <c r="P2532" s="17"/>
      <c r="Q2532" s="17"/>
      <c r="R2532" s="17"/>
      <c r="S2532" s="17"/>
      <c r="T2532" s="17"/>
      <c r="U2532" s="17"/>
      <c r="V2532" s="17"/>
      <c r="W2532" s="17"/>
      <c r="X2532" s="17"/>
      <c r="Y2532" s="17"/>
      <c r="Z2532" s="17"/>
    </row>
    <row r="2533">
      <c r="A2533" s="17"/>
      <c r="B2533" s="17"/>
      <c r="C2533" s="17"/>
      <c r="D2533" s="17"/>
      <c r="E2533" s="17"/>
      <c r="F2533" s="17"/>
      <c r="G2533" s="17"/>
      <c r="H2533" s="17"/>
      <c r="I2533" s="17"/>
      <c r="J2533" s="17"/>
      <c r="K2533" s="17"/>
      <c r="L2533" s="17"/>
      <c r="M2533" s="17"/>
      <c r="N2533" s="17"/>
      <c r="O2533" s="17"/>
      <c r="P2533" s="17"/>
      <c r="Q2533" s="17"/>
      <c r="R2533" s="17"/>
      <c r="S2533" s="17"/>
      <c r="T2533" s="17"/>
      <c r="U2533" s="17"/>
      <c r="V2533" s="17"/>
      <c r="W2533" s="17"/>
      <c r="X2533" s="17"/>
      <c r="Y2533" s="17"/>
      <c r="Z2533" s="17"/>
    </row>
    <row r="2534">
      <c r="A2534" s="17"/>
      <c r="B2534" s="17"/>
      <c r="C2534" s="17"/>
      <c r="D2534" s="17"/>
      <c r="E2534" s="17"/>
      <c r="F2534" s="17"/>
      <c r="G2534" s="17"/>
      <c r="H2534" s="17"/>
      <c r="I2534" s="17"/>
      <c r="J2534" s="17"/>
      <c r="K2534" s="17"/>
      <c r="L2534" s="17"/>
      <c r="M2534" s="17"/>
      <c r="N2534" s="17"/>
      <c r="O2534" s="17"/>
      <c r="P2534" s="17"/>
      <c r="Q2534" s="17"/>
      <c r="R2534" s="17"/>
      <c r="S2534" s="17"/>
      <c r="T2534" s="17"/>
      <c r="U2534" s="17"/>
      <c r="V2534" s="17"/>
      <c r="W2534" s="17"/>
      <c r="X2534" s="17"/>
      <c r="Y2534" s="17"/>
      <c r="Z2534" s="17"/>
    </row>
    <row r="2535">
      <c r="A2535" s="17"/>
      <c r="B2535" s="17"/>
      <c r="C2535" s="17"/>
      <c r="D2535" s="17"/>
      <c r="E2535" s="17"/>
      <c r="F2535" s="17"/>
      <c r="G2535" s="17"/>
      <c r="H2535" s="17"/>
      <c r="I2535" s="17"/>
      <c r="J2535" s="17"/>
      <c r="K2535" s="17"/>
      <c r="L2535" s="17"/>
      <c r="M2535" s="17"/>
      <c r="N2535" s="17"/>
      <c r="O2535" s="17"/>
      <c r="P2535" s="17"/>
      <c r="Q2535" s="17"/>
      <c r="R2535" s="17"/>
      <c r="S2535" s="17"/>
      <c r="T2535" s="17"/>
      <c r="U2535" s="17"/>
      <c r="V2535" s="17"/>
      <c r="W2535" s="17"/>
      <c r="X2535" s="17"/>
      <c r="Y2535" s="17"/>
      <c r="Z2535" s="17"/>
    </row>
    <row r="2536">
      <c r="A2536" s="17"/>
      <c r="B2536" s="17"/>
      <c r="C2536" s="17"/>
      <c r="D2536" s="17"/>
      <c r="E2536" s="17"/>
      <c r="F2536" s="17"/>
      <c r="G2536" s="17"/>
      <c r="H2536" s="17"/>
      <c r="I2536" s="17"/>
      <c r="J2536" s="17"/>
      <c r="K2536" s="17"/>
      <c r="L2536" s="17"/>
      <c r="M2536" s="17"/>
      <c r="N2536" s="17"/>
      <c r="O2536" s="17"/>
      <c r="P2536" s="17"/>
      <c r="Q2536" s="17"/>
      <c r="R2536" s="17"/>
      <c r="S2536" s="17"/>
      <c r="T2536" s="17"/>
      <c r="U2536" s="17"/>
      <c r="V2536" s="17"/>
      <c r="W2536" s="17"/>
      <c r="X2536" s="17"/>
      <c r="Y2536" s="17"/>
      <c r="Z2536" s="17"/>
    </row>
    <row r="2537">
      <c r="A2537" s="17"/>
      <c r="B2537" s="17"/>
      <c r="C2537" s="17"/>
      <c r="D2537" s="17"/>
      <c r="E2537" s="17"/>
      <c r="F2537" s="17"/>
      <c r="G2537" s="17"/>
      <c r="H2537" s="17"/>
      <c r="I2537" s="17"/>
      <c r="J2537" s="17"/>
      <c r="K2537" s="17"/>
      <c r="L2537" s="17"/>
      <c r="M2537" s="17"/>
      <c r="N2537" s="17"/>
      <c r="O2537" s="17"/>
      <c r="P2537" s="17"/>
      <c r="Q2537" s="17"/>
      <c r="R2537" s="17"/>
      <c r="S2537" s="17"/>
      <c r="T2537" s="17"/>
      <c r="U2537" s="17"/>
      <c r="V2537" s="17"/>
      <c r="W2537" s="17"/>
      <c r="X2537" s="17"/>
      <c r="Y2537" s="17"/>
      <c r="Z2537" s="17"/>
    </row>
    <row r="2538">
      <c r="A2538" s="17"/>
      <c r="B2538" s="17"/>
      <c r="C2538" s="17"/>
      <c r="D2538" s="17"/>
      <c r="E2538" s="17"/>
      <c r="F2538" s="17"/>
      <c r="G2538" s="17"/>
      <c r="H2538" s="17"/>
      <c r="I2538" s="17"/>
      <c r="J2538" s="17"/>
      <c r="K2538" s="17"/>
      <c r="L2538" s="17"/>
      <c r="M2538" s="17"/>
      <c r="N2538" s="17"/>
      <c r="O2538" s="17"/>
      <c r="P2538" s="17"/>
      <c r="Q2538" s="17"/>
      <c r="R2538" s="17"/>
      <c r="S2538" s="17"/>
      <c r="T2538" s="17"/>
      <c r="U2538" s="17"/>
      <c r="V2538" s="17"/>
      <c r="W2538" s="17"/>
      <c r="X2538" s="17"/>
      <c r="Y2538" s="17"/>
      <c r="Z2538" s="17"/>
    </row>
    <row r="2539">
      <c r="A2539" s="17"/>
      <c r="B2539" s="17"/>
      <c r="C2539" s="17"/>
      <c r="D2539" s="17"/>
      <c r="E2539" s="17"/>
      <c r="F2539" s="17"/>
      <c r="G2539" s="17"/>
      <c r="H2539" s="17"/>
      <c r="I2539" s="17"/>
      <c r="J2539" s="17"/>
      <c r="K2539" s="17"/>
      <c r="L2539" s="17"/>
      <c r="M2539" s="17"/>
      <c r="N2539" s="17"/>
      <c r="O2539" s="17"/>
      <c r="P2539" s="17"/>
      <c r="Q2539" s="17"/>
      <c r="R2539" s="17"/>
      <c r="S2539" s="17"/>
      <c r="T2539" s="17"/>
      <c r="U2539" s="17"/>
      <c r="V2539" s="17"/>
      <c r="W2539" s="17"/>
      <c r="X2539" s="17"/>
      <c r="Y2539" s="17"/>
      <c r="Z2539" s="17"/>
    </row>
    <row r="2540">
      <c r="A2540" s="17"/>
      <c r="B2540" s="17"/>
      <c r="C2540" s="17"/>
      <c r="D2540" s="17"/>
      <c r="E2540" s="17"/>
      <c r="F2540" s="17"/>
      <c r="G2540" s="17"/>
      <c r="H2540" s="17"/>
      <c r="I2540" s="17"/>
      <c r="J2540" s="17"/>
      <c r="K2540" s="17"/>
      <c r="L2540" s="17"/>
      <c r="M2540" s="17"/>
      <c r="N2540" s="17"/>
      <c r="O2540" s="17"/>
      <c r="P2540" s="17"/>
      <c r="Q2540" s="17"/>
      <c r="R2540" s="17"/>
      <c r="S2540" s="17"/>
      <c r="T2540" s="17"/>
      <c r="U2540" s="17"/>
      <c r="V2540" s="17"/>
      <c r="W2540" s="17"/>
      <c r="X2540" s="17"/>
      <c r="Y2540" s="17"/>
      <c r="Z2540" s="17"/>
    </row>
    <row r="2541">
      <c r="A2541" s="17"/>
      <c r="B2541" s="17"/>
      <c r="C2541" s="17"/>
      <c r="D2541" s="17"/>
      <c r="E2541" s="17"/>
      <c r="F2541" s="17"/>
      <c r="G2541" s="17"/>
      <c r="H2541" s="17"/>
      <c r="I2541" s="17"/>
      <c r="J2541" s="17"/>
      <c r="K2541" s="17"/>
      <c r="L2541" s="17"/>
      <c r="M2541" s="17"/>
      <c r="N2541" s="17"/>
      <c r="O2541" s="17"/>
      <c r="P2541" s="17"/>
      <c r="Q2541" s="17"/>
      <c r="R2541" s="17"/>
      <c r="S2541" s="17"/>
      <c r="T2541" s="17"/>
      <c r="U2541" s="17"/>
      <c r="V2541" s="17"/>
      <c r="W2541" s="17"/>
      <c r="X2541" s="17"/>
      <c r="Y2541" s="17"/>
      <c r="Z2541" s="17"/>
    </row>
    <row r="2542">
      <c r="A2542" s="17"/>
      <c r="B2542" s="17"/>
      <c r="C2542" s="17"/>
      <c r="D2542" s="17"/>
      <c r="E2542" s="17"/>
      <c r="F2542" s="17"/>
      <c r="G2542" s="17"/>
      <c r="H2542" s="17"/>
      <c r="I2542" s="17"/>
      <c r="J2542" s="17"/>
      <c r="K2542" s="17"/>
      <c r="L2542" s="17"/>
      <c r="M2542" s="17"/>
      <c r="N2542" s="17"/>
      <c r="O2542" s="17"/>
      <c r="P2542" s="17"/>
      <c r="Q2542" s="17"/>
      <c r="R2542" s="17"/>
      <c r="S2542" s="17"/>
      <c r="T2542" s="17"/>
      <c r="U2542" s="17"/>
      <c r="V2542" s="17"/>
      <c r="W2542" s="17"/>
      <c r="X2542" s="17"/>
      <c r="Y2542" s="17"/>
      <c r="Z2542" s="17"/>
    </row>
    <row r="2543">
      <c r="A2543" s="17"/>
      <c r="B2543" s="17"/>
      <c r="C2543" s="17"/>
      <c r="D2543" s="17"/>
      <c r="E2543" s="17"/>
      <c r="F2543" s="17"/>
      <c r="G2543" s="17"/>
      <c r="H2543" s="17"/>
      <c r="I2543" s="17"/>
      <c r="J2543" s="17"/>
      <c r="K2543" s="17"/>
      <c r="L2543" s="17"/>
      <c r="M2543" s="17"/>
      <c r="N2543" s="17"/>
      <c r="O2543" s="17"/>
      <c r="P2543" s="17"/>
      <c r="Q2543" s="17"/>
      <c r="R2543" s="17"/>
      <c r="S2543" s="17"/>
      <c r="T2543" s="17"/>
      <c r="U2543" s="17"/>
      <c r="V2543" s="17"/>
      <c r="W2543" s="17"/>
      <c r="X2543" s="17"/>
      <c r="Y2543" s="17"/>
      <c r="Z2543" s="17"/>
    </row>
    <row r="2544">
      <c r="A2544" s="17"/>
      <c r="B2544" s="17"/>
      <c r="C2544" s="17"/>
      <c r="D2544" s="17"/>
      <c r="E2544" s="17"/>
      <c r="F2544" s="17"/>
      <c r="G2544" s="17"/>
      <c r="H2544" s="17"/>
      <c r="I2544" s="17"/>
      <c r="J2544" s="17"/>
      <c r="K2544" s="17"/>
      <c r="L2544" s="17"/>
      <c r="M2544" s="17"/>
      <c r="N2544" s="17"/>
      <c r="O2544" s="17"/>
      <c r="P2544" s="17"/>
      <c r="Q2544" s="17"/>
      <c r="R2544" s="17"/>
      <c r="S2544" s="17"/>
      <c r="T2544" s="17"/>
      <c r="U2544" s="17"/>
      <c r="V2544" s="17"/>
      <c r="W2544" s="17"/>
      <c r="X2544" s="17"/>
      <c r="Y2544" s="17"/>
      <c r="Z2544" s="17"/>
    </row>
    <row r="2545">
      <c r="A2545" s="17"/>
      <c r="B2545" s="17"/>
      <c r="C2545" s="17"/>
      <c r="D2545" s="17"/>
      <c r="E2545" s="17"/>
      <c r="F2545" s="17"/>
      <c r="G2545" s="17"/>
      <c r="H2545" s="17"/>
      <c r="I2545" s="17"/>
      <c r="J2545" s="17"/>
      <c r="K2545" s="17"/>
      <c r="L2545" s="17"/>
      <c r="M2545" s="17"/>
      <c r="N2545" s="17"/>
      <c r="O2545" s="17"/>
      <c r="P2545" s="17"/>
      <c r="Q2545" s="17"/>
      <c r="R2545" s="17"/>
      <c r="S2545" s="17"/>
      <c r="T2545" s="17"/>
      <c r="U2545" s="17"/>
      <c r="V2545" s="17"/>
      <c r="W2545" s="17"/>
      <c r="X2545" s="17"/>
      <c r="Y2545" s="17"/>
      <c r="Z2545" s="17"/>
    </row>
    <row r="2546">
      <c r="A2546" s="17"/>
      <c r="B2546" s="17"/>
      <c r="C2546" s="17"/>
      <c r="D2546" s="17"/>
      <c r="E2546" s="17"/>
      <c r="F2546" s="17"/>
      <c r="G2546" s="17"/>
      <c r="H2546" s="17"/>
      <c r="I2546" s="17"/>
      <c r="J2546" s="17"/>
      <c r="K2546" s="17"/>
      <c r="L2546" s="17"/>
      <c r="M2546" s="17"/>
      <c r="N2546" s="17"/>
      <c r="O2546" s="17"/>
      <c r="P2546" s="17"/>
      <c r="Q2546" s="17"/>
      <c r="R2546" s="17"/>
      <c r="S2546" s="17"/>
      <c r="T2546" s="17"/>
      <c r="U2546" s="17"/>
      <c r="V2546" s="17"/>
      <c r="W2546" s="17"/>
      <c r="X2546" s="17"/>
      <c r="Y2546" s="17"/>
      <c r="Z2546" s="17"/>
    </row>
    <row r="2547">
      <c r="A2547" s="17"/>
      <c r="B2547" s="17"/>
      <c r="C2547" s="17"/>
      <c r="D2547" s="17"/>
      <c r="E2547" s="17"/>
      <c r="F2547" s="17"/>
      <c r="G2547" s="17"/>
      <c r="H2547" s="17"/>
      <c r="I2547" s="17"/>
      <c r="J2547" s="17"/>
      <c r="K2547" s="17"/>
      <c r="L2547" s="17"/>
      <c r="M2547" s="17"/>
      <c r="N2547" s="17"/>
      <c r="O2547" s="17"/>
      <c r="P2547" s="17"/>
      <c r="Q2547" s="17"/>
      <c r="R2547" s="17"/>
      <c r="S2547" s="17"/>
      <c r="T2547" s="17"/>
      <c r="U2547" s="17"/>
      <c r="V2547" s="17"/>
      <c r="W2547" s="17"/>
      <c r="X2547" s="17"/>
      <c r="Y2547" s="17"/>
      <c r="Z2547" s="17"/>
    </row>
    <row r="2548">
      <c r="A2548" s="17"/>
      <c r="B2548" s="17"/>
      <c r="C2548" s="17"/>
      <c r="D2548" s="17"/>
      <c r="E2548" s="17"/>
      <c r="F2548" s="17"/>
      <c r="G2548" s="17"/>
      <c r="H2548" s="17"/>
      <c r="I2548" s="17"/>
      <c r="J2548" s="17"/>
      <c r="K2548" s="17"/>
      <c r="L2548" s="17"/>
      <c r="M2548" s="17"/>
      <c r="N2548" s="17"/>
      <c r="O2548" s="17"/>
      <c r="P2548" s="17"/>
      <c r="Q2548" s="17"/>
      <c r="R2548" s="17"/>
      <c r="S2548" s="17"/>
      <c r="T2548" s="17"/>
      <c r="U2548" s="17"/>
      <c r="V2548" s="17"/>
      <c r="W2548" s="17"/>
      <c r="X2548" s="17"/>
      <c r="Y2548" s="17"/>
      <c r="Z2548" s="17"/>
    </row>
    <row r="2549">
      <c r="A2549" s="17"/>
      <c r="B2549" s="17"/>
      <c r="C2549" s="17"/>
      <c r="D2549" s="17"/>
      <c r="E2549" s="17"/>
      <c r="F2549" s="17"/>
      <c r="G2549" s="17"/>
      <c r="H2549" s="17"/>
      <c r="I2549" s="17"/>
      <c r="J2549" s="17"/>
      <c r="K2549" s="17"/>
      <c r="L2549" s="17"/>
      <c r="M2549" s="17"/>
      <c r="N2549" s="17"/>
      <c r="O2549" s="17"/>
      <c r="P2549" s="17"/>
      <c r="Q2549" s="17"/>
      <c r="R2549" s="17"/>
      <c r="S2549" s="17"/>
      <c r="T2549" s="17"/>
      <c r="U2549" s="17"/>
      <c r="V2549" s="17"/>
      <c r="W2549" s="17"/>
      <c r="X2549" s="17"/>
      <c r="Y2549" s="17"/>
      <c r="Z2549" s="17"/>
    </row>
    <row r="2550">
      <c r="A2550" s="17"/>
      <c r="B2550" s="17"/>
      <c r="C2550" s="17"/>
      <c r="D2550" s="17"/>
      <c r="E2550" s="17"/>
      <c r="F2550" s="17"/>
      <c r="G2550" s="17"/>
      <c r="H2550" s="17"/>
      <c r="I2550" s="17"/>
      <c r="J2550" s="17"/>
      <c r="K2550" s="17"/>
      <c r="L2550" s="17"/>
      <c r="M2550" s="17"/>
      <c r="N2550" s="17"/>
      <c r="O2550" s="17"/>
      <c r="P2550" s="17"/>
      <c r="Q2550" s="17"/>
      <c r="R2550" s="17"/>
      <c r="S2550" s="17"/>
      <c r="T2550" s="17"/>
      <c r="U2550" s="17"/>
      <c r="V2550" s="17"/>
      <c r="W2550" s="17"/>
      <c r="X2550" s="17"/>
      <c r="Y2550" s="17"/>
      <c r="Z2550" s="17"/>
    </row>
    <row r="2551">
      <c r="A2551" s="17"/>
      <c r="B2551" s="17"/>
      <c r="C2551" s="17"/>
      <c r="D2551" s="17"/>
      <c r="E2551" s="17"/>
      <c r="F2551" s="17"/>
      <c r="G2551" s="17"/>
      <c r="H2551" s="17"/>
      <c r="I2551" s="17"/>
      <c r="J2551" s="17"/>
      <c r="K2551" s="17"/>
      <c r="L2551" s="17"/>
      <c r="M2551" s="17"/>
      <c r="N2551" s="17"/>
      <c r="O2551" s="17"/>
      <c r="P2551" s="17"/>
      <c r="Q2551" s="17"/>
      <c r="R2551" s="17"/>
      <c r="S2551" s="17"/>
      <c r="T2551" s="17"/>
      <c r="U2551" s="17"/>
      <c r="V2551" s="17"/>
      <c r="W2551" s="17"/>
      <c r="X2551" s="17"/>
      <c r="Y2551" s="17"/>
      <c r="Z2551" s="17"/>
    </row>
    <row r="2552">
      <c r="A2552" s="17"/>
      <c r="B2552" s="17"/>
      <c r="C2552" s="17"/>
      <c r="D2552" s="17"/>
      <c r="E2552" s="17"/>
      <c r="F2552" s="17"/>
      <c r="G2552" s="17"/>
      <c r="H2552" s="17"/>
      <c r="I2552" s="17"/>
      <c r="J2552" s="17"/>
      <c r="K2552" s="17"/>
      <c r="L2552" s="17"/>
      <c r="M2552" s="17"/>
      <c r="N2552" s="17"/>
      <c r="O2552" s="17"/>
      <c r="P2552" s="17"/>
      <c r="Q2552" s="17"/>
      <c r="R2552" s="17"/>
      <c r="S2552" s="17"/>
      <c r="T2552" s="17"/>
      <c r="U2552" s="17"/>
      <c r="V2552" s="17"/>
      <c r="W2552" s="17"/>
      <c r="X2552" s="17"/>
      <c r="Y2552" s="17"/>
      <c r="Z2552" s="17"/>
    </row>
    <row r="2553">
      <c r="A2553" s="17"/>
      <c r="B2553" s="17"/>
      <c r="C2553" s="17"/>
      <c r="D2553" s="17"/>
      <c r="E2553" s="17"/>
      <c r="F2553" s="17"/>
      <c r="G2553" s="17"/>
      <c r="H2553" s="17"/>
      <c r="I2553" s="17"/>
      <c r="J2553" s="17"/>
      <c r="K2553" s="17"/>
      <c r="L2553" s="17"/>
      <c r="M2553" s="17"/>
      <c r="N2553" s="17"/>
      <c r="O2553" s="17"/>
      <c r="P2553" s="17"/>
      <c r="Q2553" s="17"/>
      <c r="R2553" s="17"/>
      <c r="S2553" s="17"/>
      <c r="T2553" s="17"/>
      <c r="U2553" s="17"/>
      <c r="V2553" s="17"/>
      <c r="W2553" s="17"/>
      <c r="X2553" s="17"/>
      <c r="Y2553" s="17"/>
      <c r="Z2553" s="17"/>
    </row>
    <row r="2554">
      <c r="A2554" s="17"/>
      <c r="B2554" s="17"/>
      <c r="C2554" s="17"/>
      <c r="D2554" s="17"/>
      <c r="E2554" s="17"/>
      <c r="F2554" s="17"/>
      <c r="G2554" s="17"/>
      <c r="H2554" s="17"/>
      <c r="I2554" s="17"/>
      <c r="J2554" s="17"/>
      <c r="K2554" s="17"/>
      <c r="L2554" s="17"/>
      <c r="M2554" s="17"/>
      <c r="N2554" s="17"/>
      <c r="O2554" s="17"/>
      <c r="P2554" s="17"/>
      <c r="Q2554" s="17"/>
      <c r="R2554" s="17"/>
      <c r="S2554" s="17"/>
      <c r="T2554" s="17"/>
      <c r="U2554" s="17"/>
      <c r="V2554" s="17"/>
      <c r="W2554" s="17"/>
      <c r="X2554" s="17"/>
      <c r="Y2554" s="17"/>
      <c r="Z2554" s="17"/>
    </row>
    <row r="2555">
      <c r="A2555" s="17"/>
      <c r="B2555" s="17"/>
      <c r="C2555" s="17"/>
      <c r="D2555" s="17"/>
      <c r="E2555" s="17"/>
      <c r="F2555" s="17"/>
      <c r="G2555" s="17"/>
      <c r="H2555" s="17"/>
      <c r="I2555" s="17"/>
      <c r="J2555" s="17"/>
      <c r="K2555" s="17"/>
      <c r="L2555" s="17"/>
      <c r="M2555" s="17"/>
      <c r="N2555" s="17"/>
      <c r="O2555" s="17"/>
      <c r="P2555" s="17"/>
      <c r="Q2555" s="17"/>
      <c r="R2555" s="17"/>
      <c r="S2555" s="17"/>
      <c r="T2555" s="17"/>
      <c r="U2555" s="17"/>
      <c r="V2555" s="17"/>
      <c r="W2555" s="17"/>
      <c r="X2555" s="17"/>
      <c r="Y2555" s="17"/>
      <c r="Z2555" s="17"/>
    </row>
    <row r="2556">
      <c r="A2556" s="17"/>
      <c r="B2556" s="17"/>
      <c r="C2556" s="17"/>
      <c r="D2556" s="17"/>
      <c r="E2556" s="17"/>
      <c r="F2556" s="17"/>
      <c r="G2556" s="17"/>
      <c r="H2556" s="17"/>
      <c r="I2556" s="17"/>
      <c r="J2556" s="17"/>
      <c r="K2556" s="17"/>
      <c r="L2556" s="17"/>
      <c r="M2556" s="17"/>
      <c r="N2556" s="17"/>
      <c r="O2556" s="17"/>
      <c r="P2556" s="17"/>
      <c r="Q2556" s="17"/>
      <c r="R2556" s="17"/>
      <c r="S2556" s="17"/>
      <c r="T2556" s="17"/>
      <c r="U2556" s="17"/>
      <c r="V2556" s="17"/>
      <c r="W2556" s="17"/>
      <c r="X2556" s="17"/>
      <c r="Y2556" s="17"/>
      <c r="Z2556" s="17"/>
    </row>
    <row r="2557">
      <c r="A2557" s="17"/>
      <c r="B2557" s="17"/>
      <c r="C2557" s="17"/>
      <c r="D2557" s="17"/>
      <c r="E2557" s="17"/>
      <c r="F2557" s="17"/>
      <c r="G2557" s="17"/>
      <c r="H2557" s="17"/>
      <c r="I2557" s="17"/>
      <c r="J2557" s="17"/>
      <c r="K2557" s="17"/>
      <c r="L2557" s="17"/>
      <c r="M2557" s="17"/>
      <c r="N2557" s="17"/>
      <c r="O2557" s="17"/>
      <c r="P2557" s="17"/>
      <c r="Q2557" s="17"/>
      <c r="R2557" s="17"/>
      <c r="S2557" s="17"/>
      <c r="T2557" s="17"/>
      <c r="U2557" s="17"/>
      <c r="V2557" s="17"/>
      <c r="W2557" s="17"/>
      <c r="X2557" s="17"/>
      <c r="Y2557" s="17"/>
      <c r="Z2557" s="17"/>
    </row>
    <row r="2558">
      <c r="A2558" s="17"/>
      <c r="B2558" s="17"/>
      <c r="C2558" s="17"/>
      <c r="D2558" s="17"/>
      <c r="E2558" s="17"/>
      <c r="F2558" s="17"/>
      <c r="G2558" s="17"/>
      <c r="H2558" s="17"/>
      <c r="I2558" s="17"/>
      <c r="J2558" s="17"/>
      <c r="K2558" s="17"/>
      <c r="L2558" s="17"/>
      <c r="M2558" s="17"/>
      <c r="N2558" s="17"/>
      <c r="O2558" s="17"/>
      <c r="P2558" s="17"/>
      <c r="Q2558" s="17"/>
      <c r="R2558" s="17"/>
      <c r="S2558" s="17"/>
      <c r="T2558" s="17"/>
      <c r="U2558" s="17"/>
      <c r="V2558" s="17"/>
      <c r="W2558" s="17"/>
      <c r="X2558" s="17"/>
      <c r="Y2558" s="17"/>
      <c r="Z2558" s="17"/>
    </row>
    <row r="2559">
      <c r="A2559" s="17"/>
      <c r="B2559" s="17"/>
      <c r="C2559" s="17"/>
      <c r="D2559" s="17"/>
      <c r="E2559" s="17"/>
      <c r="F2559" s="17"/>
      <c r="G2559" s="17"/>
      <c r="H2559" s="17"/>
      <c r="I2559" s="17"/>
      <c r="J2559" s="17"/>
      <c r="K2559" s="17"/>
      <c r="L2559" s="17"/>
      <c r="M2559" s="17"/>
      <c r="N2559" s="17"/>
      <c r="O2559" s="17"/>
      <c r="P2559" s="17"/>
      <c r="Q2559" s="17"/>
      <c r="R2559" s="17"/>
      <c r="S2559" s="17"/>
      <c r="T2559" s="17"/>
      <c r="U2559" s="17"/>
      <c r="V2559" s="17"/>
      <c r="W2559" s="17"/>
      <c r="X2559" s="17"/>
      <c r="Y2559" s="17"/>
      <c r="Z2559" s="17"/>
    </row>
    <row r="2560">
      <c r="A2560" s="17"/>
      <c r="B2560" s="17"/>
      <c r="C2560" s="17"/>
      <c r="D2560" s="17"/>
      <c r="E2560" s="17"/>
      <c r="F2560" s="17"/>
      <c r="G2560" s="17"/>
      <c r="H2560" s="17"/>
      <c r="I2560" s="17"/>
      <c r="J2560" s="17"/>
      <c r="K2560" s="17"/>
      <c r="L2560" s="17"/>
      <c r="M2560" s="17"/>
      <c r="N2560" s="17"/>
      <c r="O2560" s="17"/>
      <c r="P2560" s="17"/>
      <c r="Q2560" s="17"/>
      <c r="R2560" s="17"/>
      <c r="S2560" s="17"/>
      <c r="T2560" s="17"/>
      <c r="U2560" s="17"/>
      <c r="V2560" s="17"/>
      <c r="W2560" s="17"/>
      <c r="X2560" s="17"/>
      <c r="Y2560" s="17"/>
      <c r="Z2560" s="17"/>
    </row>
    <row r="2561">
      <c r="A2561" s="17"/>
      <c r="B2561" s="17"/>
      <c r="C2561" s="17"/>
      <c r="D2561" s="17"/>
      <c r="E2561" s="17"/>
      <c r="F2561" s="17"/>
      <c r="G2561" s="17"/>
      <c r="H2561" s="17"/>
      <c r="I2561" s="17"/>
      <c r="J2561" s="17"/>
      <c r="K2561" s="17"/>
      <c r="L2561" s="17"/>
      <c r="M2561" s="17"/>
      <c r="N2561" s="17"/>
      <c r="O2561" s="17"/>
      <c r="P2561" s="17"/>
      <c r="Q2561" s="17"/>
      <c r="R2561" s="17"/>
      <c r="S2561" s="17"/>
      <c r="T2561" s="17"/>
      <c r="U2561" s="17"/>
      <c r="V2561" s="17"/>
      <c r="W2561" s="17"/>
      <c r="X2561" s="17"/>
      <c r="Y2561" s="17"/>
      <c r="Z2561" s="17"/>
    </row>
    <row r="2562">
      <c r="A2562" s="17"/>
      <c r="B2562" s="17"/>
      <c r="C2562" s="17"/>
      <c r="D2562" s="17"/>
      <c r="E2562" s="17"/>
      <c r="F2562" s="17"/>
      <c r="G2562" s="17"/>
      <c r="H2562" s="17"/>
      <c r="I2562" s="17"/>
      <c r="J2562" s="17"/>
      <c r="K2562" s="17"/>
      <c r="L2562" s="17"/>
      <c r="M2562" s="17"/>
      <c r="N2562" s="17"/>
      <c r="O2562" s="17"/>
      <c r="P2562" s="17"/>
      <c r="Q2562" s="17"/>
      <c r="R2562" s="17"/>
      <c r="S2562" s="17"/>
      <c r="T2562" s="17"/>
      <c r="U2562" s="17"/>
      <c r="V2562" s="17"/>
      <c r="W2562" s="17"/>
      <c r="X2562" s="17"/>
      <c r="Y2562" s="17"/>
      <c r="Z2562" s="17"/>
    </row>
    <row r="2563">
      <c r="A2563" s="17"/>
      <c r="B2563" s="17"/>
      <c r="C2563" s="17"/>
      <c r="D2563" s="17"/>
      <c r="E2563" s="17"/>
      <c r="F2563" s="17"/>
      <c r="G2563" s="17"/>
      <c r="H2563" s="17"/>
      <c r="I2563" s="17"/>
      <c r="J2563" s="17"/>
      <c r="K2563" s="17"/>
      <c r="L2563" s="17"/>
      <c r="M2563" s="17"/>
      <c r="N2563" s="17"/>
      <c r="O2563" s="17"/>
      <c r="P2563" s="17"/>
      <c r="Q2563" s="17"/>
      <c r="R2563" s="17"/>
      <c r="S2563" s="17"/>
      <c r="T2563" s="17"/>
      <c r="U2563" s="17"/>
      <c r="V2563" s="17"/>
      <c r="W2563" s="17"/>
      <c r="X2563" s="17"/>
      <c r="Y2563" s="17"/>
      <c r="Z2563" s="17"/>
    </row>
    <row r="2564">
      <c r="A2564" s="17"/>
      <c r="B2564" s="17"/>
      <c r="C2564" s="17"/>
      <c r="D2564" s="17"/>
      <c r="E2564" s="17"/>
      <c r="F2564" s="17"/>
      <c r="G2564" s="17"/>
      <c r="H2564" s="17"/>
      <c r="I2564" s="17"/>
      <c r="J2564" s="17"/>
      <c r="K2564" s="17"/>
      <c r="L2564" s="17"/>
      <c r="M2564" s="17"/>
      <c r="N2564" s="17"/>
      <c r="O2564" s="17"/>
      <c r="P2564" s="17"/>
      <c r="Q2564" s="17"/>
      <c r="R2564" s="17"/>
      <c r="S2564" s="17"/>
      <c r="T2564" s="17"/>
      <c r="U2564" s="17"/>
      <c r="V2564" s="17"/>
      <c r="W2564" s="17"/>
      <c r="X2564" s="17"/>
      <c r="Y2564" s="17"/>
      <c r="Z2564" s="17"/>
    </row>
    <row r="2565">
      <c r="A2565" s="17"/>
      <c r="B2565" s="17"/>
      <c r="C2565" s="17"/>
      <c r="D2565" s="17"/>
      <c r="E2565" s="17"/>
      <c r="F2565" s="17"/>
      <c r="G2565" s="17"/>
      <c r="H2565" s="17"/>
      <c r="I2565" s="17"/>
      <c r="J2565" s="17"/>
      <c r="K2565" s="17"/>
      <c r="L2565" s="17"/>
      <c r="M2565" s="17"/>
      <c r="N2565" s="17"/>
      <c r="O2565" s="17"/>
      <c r="P2565" s="17"/>
      <c r="Q2565" s="17"/>
      <c r="R2565" s="17"/>
      <c r="S2565" s="17"/>
      <c r="T2565" s="17"/>
      <c r="U2565" s="17"/>
      <c r="V2565" s="17"/>
      <c r="W2565" s="17"/>
      <c r="X2565" s="17"/>
      <c r="Y2565" s="17"/>
      <c r="Z2565" s="17"/>
    </row>
    <row r="2566">
      <c r="A2566" s="17"/>
      <c r="B2566" s="17"/>
      <c r="C2566" s="17"/>
      <c r="D2566" s="17"/>
      <c r="E2566" s="17"/>
      <c r="F2566" s="17"/>
      <c r="G2566" s="17"/>
      <c r="H2566" s="17"/>
      <c r="I2566" s="17"/>
      <c r="J2566" s="17"/>
      <c r="K2566" s="17"/>
      <c r="L2566" s="17"/>
      <c r="M2566" s="17"/>
      <c r="N2566" s="17"/>
      <c r="O2566" s="17"/>
      <c r="P2566" s="17"/>
      <c r="Q2566" s="17"/>
      <c r="R2566" s="17"/>
      <c r="S2566" s="17"/>
      <c r="T2566" s="17"/>
      <c r="U2566" s="17"/>
      <c r="V2566" s="17"/>
      <c r="W2566" s="17"/>
      <c r="X2566" s="17"/>
      <c r="Y2566" s="17"/>
      <c r="Z2566" s="17"/>
    </row>
    <row r="2567">
      <c r="A2567" s="17"/>
      <c r="B2567" s="17"/>
      <c r="C2567" s="17"/>
      <c r="D2567" s="17"/>
      <c r="E2567" s="17"/>
      <c r="F2567" s="17"/>
      <c r="G2567" s="17"/>
      <c r="H2567" s="17"/>
      <c r="I2567" s="17"/>
      <c r="J2567" s="17"/>
      <c r="K2567" s="17"/>
      <c r="L2567" s="17"/>
      <c r="M2567" s="17"/>
      <c r="N2567" s="17"/>
      <c r="O2567" s="17"/>
      <c r="P2567" s="17"/>
      <c r="Q2567" s="17"/>
      <c r="R2567" s="17"/>
      <c r="S2567" s="17"/>
      <c r="T2567" s="17"/>
      <c r="U2567" s="17"/>
      <c r="V2567" s="17"/>
      <c r="W2567" s="17"/>
      <c r="X2567" s="17"/>
      <c r="Y2567" s="17"/>
      <c r="Z2567" s="17"/>
    </row>
    <row r="2568">
      <c r="A2568" s="17"/>
      <c r="B2568" s="17"/>
      <c r="C2568" s="17"/>
      <c r="D2568" s="17"/>
      <c r="E2568" s="17"/>
      <c r="F2568" s="17"/>
      <c r="G2568" s="17"/>
      <c r="H2568" s="17"/>
      <c r="I2568" s="17"/>
      <c r="J2568" s="17"/>
      <c r="K2568" s="17"/>
      <c r="L2568" s="17"/>
      <c r="M2568" s="17"/>
      <c r="N2568" s="17"/>
      <c r="O2568" s="17"/>
      <c r="P2568" s="17"/>
      <c r="Q2568" s="17"/>
      <c r="R2568" s="17"/>
      <c r="S2568" s="17"/>
      <c r="T2568" s="17"/>
      <c r="U2568" s="17"/>
      <c r="V2568" s="17"/>
      <c r="W2568" s="17"/>
      <c r="X2568" s="17"/>
      <c r="Y2568" s="17"/>
      <c r="Z2568" s="17"/>
    </row>
    <row r="2569">
      <c r="A2569" s="17"/>
      <c r="B2569" s="17"/>
      <c r="C2569" s="17"/>
      <c r="D2569" s="17"/>
      <c r="E2569" s="17"/>
      <c r="F2569" s="17"/>
      <c r="G2569" s="17"/>
      <c r="H2569" s="17"/>
      <c r="I2569" s="17"/>
      <c r="J2569" s="17"/>
      <c r="K2569" s="17"/>
      <c r="L2569" s="17"/>
      <c r="M2569" s="17"/>
      <c r="N2569" s="17"/>
      <c r="O2569" s="17"/>
      <c r="P2569" s="17"/>
      <c r="Q2569" s="17"/>
      <c r="R2569" s="17"/>
      <c r="S2569" s="17"/>
      <c r="T2569" s="17"/>
      <c r="U2569" s="17"/>
      <c r="V2569" s="17"/>
      <c r="W2569" s="17"/>
      <c r="X2569" s="17"/>
      <c r="Y2569" s="17"/>
      <c r="Z2569" s="17"/>
    </row>
    <row r="2570">
      <c r="A2570" s="17"/>
      <c r="B2570" s="17"/>
      <c r="C2570" s="17"/>
      <c r="D2570" s="17"/>
      <c r="E2570" s="17"/>
      <c r="F2570" s="17"/>
      <c r="G2570" s="17"/>
      <c r="H2570" s="17"/>
      <c r="I2570" s="17"/>
      <c r="J2570" s="17"/>
      <c r="K2570" s="17"/>
      <c r="L2570" s="17"/>
      <c r="M2570" s="17"/>
      <c r="N2570" s="17"/>
      <c r="O2570" s="17"/>
      <c r="P2570" s="17"/>
      <c r="Q2570" s="17"/>
      <c r="R2570" s="17"/>
      <c r="S2570" s="17"/>
      <c r="T2570" s="17"/>
      <c r="U2570" s="17"/>
      <c r="V2570" s="17"/>
      <c r="W2570" s="17"/>
      <c r="X2570" s="17"/>
      <c r="Y2570" s="17"/>
      <c r="Z2570" s="17"/>
    </row>
    <row r="2571">
      <c r="A2571" s="17"/>
      <c r="B2571" s="17"/>
      <c r="C2571" s="17"/>
      <c r="D2571" s="17"/>
      <c r="E2571" s="17"/>
      <c r="F2571" s="17"/>
      <c r="G2571" s="17"/>
      <c r="H2571" s="17"/>
      <c r="I2571" s="17"/>
      <c r="J2571" s="17"/>
      <c r="K2571" s="17"/>
      <c r="L2571" s="17"/>
      <c r="M2571" s="17"/>
      <c r="N2571" s="17"/>
      <c r="O2571" s="17"/>
      <c r="P2571" s="17"/>
      <c r="Q2571" s="17"/>
      <c r="R2571" s="17"/>
      <c r="S2571" s="17"/>
      <c r="T2571" s="17"/>
      <c r="U2571" s="17"/>
      <c r="V2571" s="17"/>
      <c r="W2571" s="17"/>
      <c r="X2571" s="17"/>
      <c r="Y2571" s="17"/>
      <c r="Z2571" s="17"/>
    </row>
    <row r="2572">
      <c r="A2572" s="17"/>
      <c r="B2572" s="17"/>
      <c r="C2572" s="17"/>
      <c r="D2572" s="17"/>
      <c r="E2572" s="17"/>
      <c r="F2572" s="17"/>
      <c r="G2572" s="17"/>
      <c r="H2572" s="17"/>
      <c r="I2572" s="17"/>
      <c r="J2572" s="17"/>
      <c r="K2572" s="17"/>
      <c r="L2572" s="17"/>
      <c r="M2572" s="17"/>
      <c r="N2572" s="17"/>
      <c r="O2572" s="17"/>
      <c r="P2572" s="17"/>
      <c r="Q2572" s="17"/>
      <c r="R2572" s="17"/>
      <c r="S2572" s="17"/>
      <c r="T2572" s="17"/>
      <c r="U2572" s="17"/>
      <c r="V2572" s="17"/>
      <c r="W2572" s="17"/>
      <c r="X2572" s="17"/>
      <c r="Y2572" s="17"/>
      <c r="Z2572" s="17"/>
    </row>
    <row r="2573">
      <c r="A2573" s="17"/>
      <c r="B2573" s="17"/>
      <c r="C2573" s="17"/>
      <c r="D2573" s="17"/>
      <c r="E2573" s="17"/>
      <c r="F2573" s="17"/>
      <c r="G2573" s="17"/>
      <c r="H2573" s="17"/>
      <c r="I2573" s="17"/>
      <c r="J2573" s="17"/>
      <c r="K2573" s="17"/>
      <c r="L2573" s="17"/>
      <c r="M2573" s="17"/>
      <c r="N2573" s="17"/>
      <c r="O2573" s="17"/>
      <c r="P2573" s="17"/>
      <c r="Q2573" s="17"/>
      <c r="R2573" s="17"/>
      <c r="S2573" s="17"/>
      <c r="T2573" s="17"/>
      <c r="U2573" s="17"/>
      <c r="V2573" s="17"/>
      <c r="W2573" s="17"/>
      <c r="X2573" s="17"/>
      <c r="Y2573" s="17"/>
      <c r="Z2573" s="17"/>
    </row>
    <row r="2574">
      <c r="A2574" s="17"/>
      <c r="B2574" s="17"/>
      <c r="C2574" s="17"/>
      <c r="D2574" s="17"/>
      <c r="E2574" s="17"/>
      <c r="F2574" s="17"/>
      <c r="G2574" s="17"/>
      <c r="H2574" s="17"/>
      <c r="I2574" s="17"/>
      <c r="J2574" s="17"/>
      <c r="K2574" s="17"/>
      <c r="L2574" s="17"/>
      <c r="M2574" s="17"/>
      <c r="N2574" s="17"/>
      <c r="O2574" s="17"/>
      <c r="P2574" s="17"/>
      <c r="Q2574" s="17"/>
      <c r="R2574" s="17"/>
      <c r="S2574" s="17"/>
      <c r="T2574" s="17"/>
      <c r="U2574" s="17"/>
      <c r="V2574" s="17"/>
      <c r="W2574" s="17"/>
      <c r="X2574" s="17"/>
      <c r="Y2574" s="17"/>
      <c r="Z2574" s="17"/>
    </row>
    <row r="2575">
      <c r="A2575" s="17"/>
      <c r="B2575" s="17"/>
      <c r="C2575" s="17"/>
      <c r="D2575" s="17"/>
      <c r="E2575" s="17"/>
      <c r="F2575" s="17"/>
      <c r="G2575" s="17"/>
      <c r="H2575" s="17"/>
      <c r="I2575" s="17"/>
      <c r="J2575" s="17"/>
      <c r="K2575" s="17"/>
      <c r="L2575" s="17"/>
      <c r="M2575" s="17"/>
      <c r="N2575" s="17"/>
      <c r="O2575" s="17"/>
      <c r="P2575" s="17"/>
      <c r="Q2575" s="17"/>
      <c r="R2575" s="17"/>
      <c r="S2575" s="17"/>
      <c r="T2575" s="17"/>
      <c r="U2575" s="17"/>
      <c r="V2575" s="17"/>
      <c r="W2575" s="17"/>
      <c r="X2575" s="17"/>
      <c r="Y2575" s="17"/>
      <c r="Z2575" s="17"/>
    </row>
    <row r="2576">
      <c r="A2576" s="17"/>
      <c r="B2576" s="17"/>
      <c r="C2576" s="17"/>
      <c r="D2576" s="17"/>
      <c r="E2576" s="17"/>
      <c r="F2576" s="17"/>
      <c r="G2576" s="17"/>
      <c r="H2576" s="17"/>
      <c r="I2576" s="17"/>
      <c r="J2576" s="17"/>
      <c r="K2576" s="17"/>
      <c r="L2576" s="17"/>
      <c r="M2576" s="17"/>
      <c r="N2576" s="17"/>
      <c r="O2576" s="17"/>
      <c r="P2576" s="17"/>
      <c r="Q2576" s="17"/>
      <c r="R2576" s="17"/>
      <c r="S2576" s="17"/>
      <c r="T2576" s="17"/>
      <c r="U2576" s="17"/>
      <c r="V2576" s="17"/>
      <c r="W2576" s="17"/>
      <c r="X2576" s="17"/>
      <c r="Y2576" s="17"/>
      <c r="Z2576" s="17"/>
    </row>
    <row r="2577">
      <c r="A2577" s="17"/>
      <c r="B2577" s="17"/>
      <c r="C2577" s="17"/>
      <c r="D2577" s="17"/>
      <c r="E2577" s="17"/>
      <c r="F2577" s="17"/>
      <c r="G2577" s="17"/>
      <c r="H2577" s="17"/>
      <c r="I2577" s="17"/>
      <c r="J2577" s="17"/>
      <c r="K2577" s="17"/>
      <c r="L2577" s="17"/>
      <c r="M2577" s="17"/>
      <c r="N2577" s="17"/>
      <c r="O2577" s="17"/>
      <c r="P2577" s="17"/>
      <c r="Q2577" s="17"/>
      <c r="R2577" s="17"/>
      <c r="S2577" s="17"/>
      <c r="T2577" s="17"/>
      <c r="U2577" s="17"/>
      <c r="V2577" s="17"/>
      <c r="W2577" s="17"/>
      <c r="X2577" s="17"/>
      <c r="Y2577" s="17"/>
      <c r="Z2577" s="17"/>
    </row>
    <row r="2578">
      <c r="A2578" s="17"/>
      <c r="B2578" s="17"/>
      <c r="C2578" s="17"/>
      <c r="D2578" s="17"/>
      <c r="E2578" s="17"/>
      <c r="F2578" s="17"/>
      <c r="G2578" s="17"/>
      <c r="H2578" s="17"/>
      <c r="I2578" s="17"/>
      <c r="J2578" s="17"/>
      <c r="K2578" s="17"/>
      <c r="L2578" s="17"/>
      <c r="M2578" s="17"/>
      <c r="N2578" s="17"/>
      <c r="O2578" s="17"/>
      <c r="P2578" s="17"/>
      <c r="Q2578" s="17"/>
      <c r="R2578" s="17"/>
      <c r="S2578" s="17"/>
      <c r="T2578" s="17"/>
      <c r="U2578" s="17"/>
      <c r="V2578" s="17"/>
      <c r="W2578" s="17"/>
      <c r="X2578" s="17"/>
      <c r="Y2578" s="17"/>
      <c r="Z2578" s="17"/>
    </row>
    <row r="2579">
      <c r="A2579" s="17"/>
      <c r="B2579" s="17"/>
      <c r="C2579" s="17"/>
      <c r="D2579" s="17"/>
      <c r="E2579" s="17"/>
      <c r="F2579" s="17"/>
      <c r="G2579" s="17"/>
      <c r="H2579" s="17"/>
      <c r="I2579" s="17"/>
      <c r="J2579" s="17"/>
      <c r="K2579" s="17"/>
      <c r="L2579" s="17"/>
      <c r="M2579" s="17"/>
      <c r="N2579" s="17"/>
      <c r="O2579" s="17"/>
      <c r="P2579" s="17"/>
      <c r="Q2579" s="17"/>
      <c r="R2579" s="17"/>
      <c r="S2579" s="17"/>
      <c r="T2579" s="17"/>
      <c r="U2579" s="17"/>
      <c r="V2579" s="17"/>
      <c r="W2579" s="17"/>
      <c r="X2579" s="17"/>
      <c r="Y2579" s="17"/>
      <c r="Z2579" s="17"/>
    </row>
    <row r="2580">
      <c r="A2580" s="17"/>
      <c r="B2580" s="17"/>
      <c r="C2580" s="17"/>
      <c r="D2580" s="17"/>
      <c r="E2580" s="17"/>
      <c r="F2580" s="17"/>
      <c r="G2580" s="17"/>
      <c r="H2580" s="17"/>
      <c r="I2580" s="17"/>
      <c r="J2580" s="17"/>
      <c r="K2580" s="17"/>
      <c r="L2580" s="17"/>
      <c r="M2580" s="17"/>
      <c r="N2580" s="17"/>
      <c r="O2580" s="17"/>
      <c r="P2580" s="17"/>
      <c r="Q2580" s="17"/>
      <c r="R2580" s="17"/>
      <c r="S2580" s="17"/>
      <c r="T2580" s="17"/>
      <c r="U2580" s="17"/>
      <c r="V2580" s="17"/>
      <c r="W2580" s="17"/>
      <c r="X2580" s="17"/>
      <c r="Y2580" s="17"/>
      <c r="Z2580" s="17"/>
    </row>
    <row r="2581">
      <c r="A2581" s="17"/>
      <c r="B2581" s="17"/>
      <c r="C2581" s="17"/>
      <c r="D2581" s="17"/>
      <c r="E2581" s="17"/>
      <c r="F2581" s="17"/>
      <c r="G2581" s="17"/>
      <c r="H2581" s="17"/>
      <c r="I2581" s="17"/>
      <c r="J2581" s="17"/>
      <c r="K2581" s="17"/>
      <c r="L2581" s="17"/>
      <c r="M2581" s="17"/>
      <c r="N2581" s="17"/>
      <c r="O2581" s="17"/>
      <c r="P2581" s="17"/>
      <c r="Q2581" s="17"/>
      <c r="R2581" s="17"/>
      <c r="S2581" s="17"/>
      <c r="T2581" s="17"/>
      <c r="U2581" s="17"/>
      <c r="V2581" s="17"/>
      <c r="W2581" s="17"/>
      <c r="X2581" s="17"/>
      <c r="Y2581" s="17"/>
      <c r="Z2581" s="17"/>
    </row>
    <row r="2582">
      <c r="A2582" s="17"/>
      <c r="B2582" s="17"/>
      <c r="C2582" s="17"/>
      <c r="D2582" s="17"/>
      <c r="E2582" s="17"/>
      <c r="F2582" s="17"/>
      <c r="G2582" s="17"/>
      <c r="H2582" s="17"/>
      <c r="I2582" s="17"/>
      <c r="J2582" s="17"/>
      <c r="K2582" s="17"/>
      <c r="L2582" s="17"/>
      <c r="M2582" s="17"/>
      <c r="N2582" s="17"/>
      <c r="O2582" s="17"/>
      <c r="P2582" s="17"/>
      <c r="Q2582" s="17"/>
      <c r="R2582" s="17"/>
      <c r="S2582" s="17"/>
      <c r="T2582" s="17"/>
      <c r="U2582" s="17"/>
      <c r="V2582" s="17"/>
      <c r="W2582" s="17"/>
      <c r="X2582" s="17"/>
      <c r="Y2582" s="17"/>
      <c r="Z2582" s="17"/>
    </row>
    <row r="2583">
      <c r="A2583" s="17"/>
      <c r="B2583" s="17"/>
      <c r="C2583" s="17"/>
      <c r="D2583" s="17"/>
      <c r="E2583" s="17"/>
      <c r="F2583" s="17"/>
      <c r="G2583" s="17"/>
      <c r="H2583" s="17"/>
      <c r="I2583" s="17"/>
      <c r="J2583" s="17"/>
      <c r="K2583" s="17"/>
      <c r="L2583" s="17"/>
      <c r="M2583" s="17"/>
      <c r="N2583" s="17"/>
      <c r="O2583" s="17"/>
      <c r="P2583" s="17"/>
      <c r="Q2583" s="17"/>
      <c r="R2583" s="17"/>
      <c r="S2583" s="17"/>
      <c r="T2583" s="17"/>
      <c r="U2583" s="17"/>
      <c r="V2583" s="17"/>
      <c r="W2583" s="17"/>
      <c r="X2583" s="17"/>
      <c r="Y2583" s="17"/>
      <c r="Z2583" s="17"/>
    </row>
    <row r="2584">
      <c r="A2584" s="17"/>
      <c r="B2584" s="17"/>
      <c r="C2584" s="17"/>
      <c r="D2584" s="17"/>
      <c r="E2584" s="17"/>
      <c r="F2584" s="17"/>
      <c r="G2584" s="17"/>
      <c r="H2584" s="17"/>
      <c r="I2584" s="17"/>
      <c r="J2584" s="17"/>
      <c r="K2584" s="17"/>
      <c r="L2584" s="17"/>
      <c r="M2584" s="17"/>
      <c r="N2584" s="17"/>
      <c r="O2584" s="17"/>
      <c r="P2584" s="17"/>
      <c r="Q2584" s="17"/>
      <c r="R2584" s="17"/>
      <c r="S2584" s="17"/>
      <c r="T2584" s="17"/>
      <c r="U2584" s="17"/>
      <c r="V2584" s="17"/>
      <c r="W2584" s="17"/>
      <c r="X2584" s="17"/>
      <c r="Y2584" s="17"/>
      <c r="Z2584" s="17"/>
    </row>
    <row r="2585">
      <c r="A2585" s="17"/>
      <c r="B2585" s="17"/>
      <c r="C2585" s="17"/>
      <c r="D2585" s="17"/>
      <c r="E2585" s="17"/>
      <c r="F2585" s="17"/>
      <c r="G2585" s="17"/>
      <c r="H2585" s="17"/>
      <c r="I2585" s="17"/>
      <c r="J2585" s="17"/>
      <c r="K2585" s="17"/>
      <c r="L2585" s="17"/>
      <c r="M2585" s="17"/>
      <c r="N2585" s="17"/>
      <c r="O2585" s="17"/>
      <c r="P2585" s="17"/>
      <c r="Q2585" s="17"/>
      <c r="R2585" s="17"/>
      <c r="S2585" s="17"/>
      <c r="T2585" s="17"/>
      <c r="U2585" s="17"/>
      <c r="V2585" s="17"/>
      <c r="W2585" s="17"/>
      <c r="X2585" s="17"/>
      <c r="Y2585" s="17"/>
      <c r="Z2585" s="17"/>
    </row>
    <row r="2586">
      <c r="A2586" s="17"/>
      <c r="B2586" s="17"/>
      <c r="C2586" s="17"/>
      <c r="D2586" s="17"/>
      <c r="E2586" s="17"/>
      <c r="F2586" s="17"/>
      <c r="G2586" s="17"/>
      <c r="H2586" s="17"/>
      <c r="I2586" s="17"/>
      <c r="J2586" s="17"/>
      <c r="K2586" s="17"/>
      <c r="L2586" s="17"/>
      <c r="M2586" s="17"/>
      <c r="N2586" s="17"/>
      <c r="O2586" s="17"/>
      <c r="P2586" s="17"/>
      <c r="Q2586" s="17"/>
      <c r="R2586" s="17"/>
      <c r="S2586" s="17"/>
      <c r="T2586" s="17"/>
      <c r="U2586" s="17"/>
      <c r="V2586" s="17"/>
      <c r="W2586" s="17"/>
      <c r="X2586" s="17"/>
      <c r="Y2586" s="17"/>
      <c r="Z2586" s="17"/>
    </row>
    <row r="2587">
      <c r="A2587" s="17"/>
      <c r="B2587" s="17"/>
      <c r="C2587" s="17"/>
      <c r="D2587" s="17"/>
      <c r="E2587" s="17"/>
      <c r="F2587" s="17"/>
      <c r="G2587" s="17"/>
      <c r="H2587" s="17"/>
      <c r="I2587" s="17"/>
      <c r="J2587" s="17"/>
      <c r="K2587" s="17"/>
      <c r="L2587" s="17"/>
      <c r="M2587" s="17"/>
      <c r="N2587" s="17"/>
      <c r="O2587" s="17"/>
      <c r="P2587" s="17"/>
      <c r="Q2587" s="17"/>
      <c r="R2587" s="17"/>
      <c r="S2587" s="17"/>
      <c r="T2587" s="17"/>
      <c r="U2587" s="17"/>
      <c r="V2587" s="17"/>
      <c r="W2587" s="17"/>
      <c r="X2587" s="17"/>
      <c r="Y2587" s="17"/>
      <c r="Z2587" s="17"/>
    </row>
    <row r="2588">
      <c r="A2588" s="17"/>
      <c r="B2588" s="17"/>
      <c r="C2588" s="17"/>
      <c r="D2588" s="17"/>
      <c r="E2588" s="17"/>
      <c r="F2588" s="17"/>
      <c r="G2588" s="17"/>
      <c r="H2588" s="17"/>
      <c r="I2588" s="17"/>
      <c r="J2588" s="17"/>
      <c r="K2588" s="17"/>
      <c r="L2588" s="17"/>
      <c r="M2588" s="17"/>
      <c r="N2588" s="17"/>
      <c r="O2588" s="17"/>
      <c r="P2588" s="17"/>
      <c r="Q2588" s="17"/>
      <c r="R2588" s="17"/>
      <c r="S2588" s="17"/>
      <c r="T2588" s="17"/>
      <c r="U2588" s="17"/>
      <c r="V2588" s="17"/>
      <c r="W2588" s="17"/>
      <c r="X2588" s="17"/>
      <c r="Y2588" s="17"/>
      <c r="Z2588" s="17"/>
    </row>
    <row r="2589">
      <c r="A2589" s="17"/>
      <c r="B2589" s="17"/>
      <c r="C2589" s="17"/>
      <c r="D2589" s="17"/>
      <c r="E2589" s="17"/>
      <c r="F2589" s="17"/>
      <c r="G2589" s="17"/>
      <c r="H2589" s="17"/>
      <c r="I2589" s="17"/>
      <c r="J2589" s="17"/>
      <c r="K2589" s="17"/>
      <c r="L2589" s="17"/>
      <c r="M2589" s="17"/>
      <c r="N2589" s="17"/>
      <c r="O2589" s="17"/>
      <c r="P2589" s="17"/>
      <c r="Q2589" s="17"/>
      <c r="R2589" s="17"/>
      <c r="S2589" s="17"/>
      <c r="T2589" s="17"/>
      <c r="U2589" s="17"/>
      <c r="V2589" s="17"/>
      <c r="W2589" s="17"/>
      <c r="X2589" s="17"/>
      <c r="Y2589" s="17"/>
      <c r="Z2589" s="17"/>
    </row>
    <row r="2590">
      <c r="A2590" s="17"/>
      <c r="B2590" s="17"/>
      <c r="C2590" s="17"/>
      <c r="D2590" s="17"/>
      <c r="E2590" s="17"/>
      <c r="F2590" s="17"/>
      <c r="G2590" s="17"/>
      <c r="H2590" s="17"/>
      <c r="I2590" s="17"/>
      <c r="J2590" s="17"/>
      <c r="K2590" s="17"/>
      <c r="L2590" s="17"/>
      <c r="M2590" s="17"/>
      <c r="N2590" s="17"/>
      <c r="O2590" s="17"/>
      <c r="P2590" s="17"/>
      <c r="Q2590" s="17"/>
      <c r="R2590" s="17"/>
      <c r="S2590" s="17"/>
      <c r="T2590" s="17"/>
      <c r="U2590" s="17"/>
      <c r="V2590" s="17"/>
      <c r="W2590" s="17"/>
      <c r="X2590" s="17"/>
      <c r="Y2590" s="17"/>
      <c r="Z2590" s="17"/>
    </row>
    <row r="2591">
      <c r="A2591" s="17"/>
      <c r="B2591" s="17"/>
      <c r="C2591" s="17"/>
      <c r="D2591" s="17"/>
      <c r="E2591" s="17"/>
      <c r="F2591" s="17"/>
      <c r="G2591" s="17"/>
      <c r="H2591" s="17"/>
      <c r="I2591" s="17"/>
      <c r="J2591" s="17"/>
      <c r="K2591" s="17"/>
      <c r="L2591" s="17"/>
      <c r="M2591" s="17"/>
      <c r="N2591" s="17"/>
      <c r="O2591" s="17"/>
      <c r="P2591" s="17"/>
      <c r="Q2591" s="17"/>
      <c r="R2591" s="17"/>
      <c r="S2591" s="17"/>
      <c r="T2591" s="17"/>
      <c r="U2591" s="17"/>
      <c r="V2591" s="17"/>
      <c r="W2591" s="17"/>
      <c r="X2591" s="17"/>
      <c r="Y2591" s="17"/>
      <c r="Z2591" s="17"/>
    </row>
    <row r="2592">
      <c r="A2592" s="17"/>
      <c r="B2592" s="17"/>
      <c r="C2592" s="17"/>
      <c r="D2592" s="17"/>
      <c r="E2592" s="17"/>
      <c r="F2592" s="17"/>
      <c r="G2592" s="17"/>
      <c r="H2592" s="17"/>
      <c r="I2592" s="17"/>
      <c r="J2592" s="17"/>
      <c r="K2592" s="17"/>
      <c r="L2592" s="17"/>
      <c r="M2592" s="17"/>
      <c r="N2592" s="17"/>
      <c r="O2592" s="17"/>
      <c r="P2592" s="17"/>
      <c r="Q2592" s="17"/>
      <c r="R2592" s="17"/>
      <c r="S2592" s="17"/>
      <c r="T2592" s="17"/>
      <c r="U2592" s="17"/>
      <c r="V2592" s="17"/>
      <c r="W2592" s="17"/>
      <c r="X2592" s="17"/>
      <c r="Y2592" s="17"/>
      <c r="Z2592" s="17"/>
    </row>
    <row r="2593">
      <c r="A2593" s="17"/>
      <c r="B2593" s="17"/>
      <c r="C2593" s="17"/>
      <c r="D2593" s="17"/>
      <c r="E2593" s="17"/>
      <c r="F2593" s="17"/>
      <c r="G2593" s="17"/>
      <c r="H2593" s="17"/>
      <c r="I2593" s="17"/>
      <c r="J2593" s="17"/>
      <c r="K2593" s="17"/>
      <c r="L2593" s="17"/>
      <c r="M2593" s="17"/>
      <c r="N2593" s="17"/>
      <c r="O2593" s="17"/>
      <c r="P2593" s="17"/>
      <c r="Q2593" s="17"/>
      <c r="R2593" s="17"/>
      <c r="S2593" s="17"/>
      <c r="T2593" s="17"/>
      <c r="U2593" s="17"/>
      <c r="V2593" s="17"/>
      <c r="W2593" s="17"/>
      <c r="X2593" s="17"/>
      <c r="Y2593" s="17"/>
      <c r="Z2593" s="17"/>
    </row>
    <row r="2594">
      <c r="A2594" s="17"/>
      <c r="B2594" s="17"/>
      <c r="C2594" s="17"/>
      <c r="D2594" s="17"/>
      <c r="E2594" s="17"/>
      <c r="F2594" s="17"/>
      <c r="G2594" s="17"/>
      <c r="H2594" s="17"/>
      <c r="I2594" s="17"/>
      <c r="J2594" s="17"/>
      <c r="K2594" s="17"/>
      <c r="L2594" s="17"/>
      <c r="M2594" s="17"/>
      <c r="N2594" s="17"/>
      <c r="O2594" s="17"/>
      <c r="P2594" s="17"/>
      <c r="Q2594" s="17"/>
      <c r="R2594" s="17"/>
      <c r="S2594" s="17"/>
      <c r="T2594" s="17"/>
      <c r="U2594" s="17"/>
      <c r="V2594" s="17"/>
      <c r="W2594" s="17"/>
      <c r="X2594" s="17"/>
      <c r="Y2594" s="17"/>
      <c r="Z2594" s="17"/>
    </row>
    <row r="2595">
      <c r="A2595" s="17"/>
      <c r="B2595" s="17"/>
      <c r="C2595" s="17"/>
      <c r="D2595" s="17"/>
      <c r="E2595" s="17"/>
      <c r="F2595" s="17"/>
      <c r="G2595" s="17"/>
      <c r="H2595" s="17"/>
      <c r="I2595" s="17"/>
      <c r="J2595" s="17"/>
      <c r="K2595" s="17"/>
      <c r="L2595" s="17"/>
      <c r="M2595" s="17"/>
      <c r="N2595" s="17"/>
      <c r="O2595" s="17"/>
      <c r="P2595" s="17"/>
      <c r="Q2595" s="17"/>
      <c r="R2595" s="17"/>
      <c r="S2595" s="17"/>
      <c r="T2595" s="17"/>
      <c r="U2595" s="17"/>
      <c r="V2595" s="17"/>
      <c r="W2595" s="17"/>
      <c r="X2595" s="17"/>
      <c r="Y2595" s="17"/>
      <c r="Z2595" s="17"/>
    </row>
    <row r="2596">
      <c r="A2596" s="17"/>
      <c r="B2596" s="17"/>
      <c r="C2596" s="17"/>
      <c r="D2596" s="17"/>
      <c r="E2596" s="17"/>
      <c r="F2596" s="17"/>
      <c r="G2596" s="17"/>
      <c r="H2596" s="17"/>
      <c r="I2596" s="17"/>
      <c r="J2596" s="17"/>
      <c r="K2596" s="17"/>
      <c r="L2596" s="17"/>
      <c r="M2596" s="17"/>
      <c r="N2596" s="17"/>
      <c r="O2596" s="17"/>
      <c r="P2596" s="17"/>
      <c r="Q2596" s="17"/>
      <c r="R2596" s="17"/>
      <c r="S2596" s="17"/>
      <c r="T2596" s="17"/>
      <c r="U2596" s="17"/>
      <c r="V2596" s="17"/>
      <c r="W2596" s="17"/>
      <c r="X2596" s="17"/>
      <c r="Y2596" s="17"/>
      <c r="Z2596" s="17"/>
    </row>
    <row r="2597">
      <c r="A2597" s="17"/>
      <c r="B2597" s="17"/>
      <c r="C2597" s="17"/>
      <c r="D2597" s="17"/>
      <c r="E2597" s="17"/>
      <c r="F2597" s="17"/>
      <c r="G2597" s="17"/>
      <c r="H2597" s="17"/>
      <c r="I2597" s="17"/>
      <c r="J2597" s="17"/>
      <c r="K2597" s="17"/>
      <c r="L2597" s="17"/>
      <c r="M2597" s="17"/>
      <c r="N2597" s="17"/>
      <c r="O2597" s="17"/>
      <c r="P2597" s="17"/>
      <c r="Q2597" s="17"/>
      <c r="R2597" s="17"/>
      <c r="S2597" s="17"/>
      <c r="T2597" s="17"/>
      <c r="U2597" s="17"/>
      <c r="V2597" s="17"/>
      <c r="W2597" s="17"/>
      <c r="X2597" s="17"/>
      <c r="Y2597" s="17"/>
      <c r="Z2597" s="17"/>
    </row>
    <row r="2598">
      <c r="A2598" s="17"/>
      <c r="B2598" s="17"/>
      <c r="C2598" s="17"/>
      <c r="D2598" s="17"/>
      <c r="E2598" s="17"/>
      <c r="F2598" s="17"/>
      <c r="G2598" s="17"/>
      <c r="H2598" s="17"/>
      <c r="I2598" s="17"/>
      <c r="J2598" s="17"/>
      <c r="K2598" s="17"/>
      <c r="L2598" s="17"/>
      <c r="M2598" s="17"/>
      <c r="N2598" s="17"/>
      <c r="O2598" s="17"/>
      <c r="P2598" s="17"/>
      <c r="Q2598" s="17"/>
      <c r="R2598" s="17"/>
      <c r="S2598" s="17"/>
      <c r="T2598" s="17"/>
      <c r="U2598" s="17"/>
      <c r="V2598" s="17"/>
      <c r="W2598" s="17"/>
      <c r="X2598" s="17"/>
      <c r="Y2598" s="17"/>
      <c r="Z2598" s="17"/>
    </row>
    <row r="2599">
      <c r="A2599" s="17"/>
      <c r="B2599" s="17"/>
      <c r="C2599" s="17"/>
      <c r="D2599" s="17"/>
      <c r="E2599" s="17"/>
      <c r="F2599" s="17"/>
      <c r="G2599" s="17"/>
      <c r="H2599" s="17"/>
      <c r="I2599" s="17"/>
      <c r="J2599" s="17"/>
      <c r="K2599" s="17"/>
      <c r="L2599" s="17"/>
      <c r="M2599" s="17"/>
      <c r="N2599" s="17"/>
      <c r="O2599" s="17"/>
      <c r="P2599" s="17"/>
      <c r="Q2599" s="17"/>
      <c r="R2599" s="17"/>
      <c r="S2599" s="17"/>
      <c r="T2599" s="17"/>
      <c r="U2599" s="17"/>
      <c r="V2599" s="17"/>
      <c r="W2599" s="17"/>
      <c r="X2599" s="17"/>
      <c r="Y2599" s="17"/>
      <c r="Z2599" s="17"/>
    </row>
    <row r="2600">
      <c r="A2600" s="17"/>
      <c r="B2600" s="17"/>
      <c r="C2600" s="17"/>
      <c r="D2600" s="17"/>
      <c r="E2600" s="17"/>
      <c r="F2600" s="17"/>
      <c r="G2600" s="17"/>
      <c r="H2600" s="17"/>
      <c r="I2600" s="17"/>
      <c r="J2600" s="17"/>
      <c r="K2600" s="17"/>
      <c r="L2600" s="17"/>
      <c r="M2600" s="17"/>
      <c r="N2600" s="17"/>
      <c r="O2600" s="17"/>
      <c r="P2600" s="17"/>
      <c r="Q2600" s="17"/>
      <c r="R2600" s="17"/>
      <c r="S2600" s="17"/>
      <c r="T2600" s="17"/>
      <c r="U2600" s="17"/>
      <c r="V2600" s="17"/>
      <c r="W2600" s="17"/>
      <c r="X2600" s="17"/>
      <c r="Y2600" s="17"/>
      <c r="Z2600" s="17"/>
    </row>
    <row r="2601">
      <c r="A2601" s="17"/>
      <c r="B2601" s="17"/>
      <c r="C2601" s="17"/>
      <c r="D2601" s="17"/>
      <c r="E2601" s="17"/>
      <c r="F2601" s="17"/>
      <c r="G2601" s="17"/>
      <c r="H2601" s="17"/>
      <c r="I2601" s="17"/>
      <c r="J2601" s="17"/>
      <c r="K2601" s="17"/>
      <c r="L2601" s="17"/>
      <c r="M2601" s="17"/>
      <c r="N2601" s="17"/>
      <c r="O2601" s="17"/>
      <c r="P2601" s="17"/>
      <c r="Q2601" s="17"/>
      <c r="R2601" s="17"/>
      <c r="S2601" s="17"/>
      <c r="T2601" s="17"/>
      <c r="U2601" s="17"/>
      <c r="V2601" s="17"/>
      <c r="W2601" s="17"/>
      <c r="X2601" s="17"/>
      <c r="Y2601" s="17"/>
      <c r="Z2601" s="17"/>
    </row>
    <row r="2602">
      <c r="A2602" s="17"/>
      <c r="B2602" s="17"/>
      <c r="C2602" s="17"/>
      <c r="D2602" s="17"/>
      <c r="E2602" s="17"/>
      <c r="F2602" s="17"/>
      <c r="G2602" s="17"/>
      <c r="H2602" s="17"/>
      <c r="I2602" s="17"/>
      <c r="J2602" s="17"/>
      <c r="K2602" s="17"/>
      <c r="L2602" s="17"/>
      <c r="M2602" s="17"/>
      <c r="N2602" s="17"/>
      <c r="O2602" s="17"/>
      <c r="P2602" s="17"/>
      <c r="Q2602" s="17"/>
      <c r="R2602" s="17"/>
      <c r="S2602" s="17"/>
      <c r="T2602" s="17"/>
      <c r="U2602" s="17"/>
      <c r="V2602" s="17"/>
      <c r="W2602" s="17"/>
      <c r="X2602" s="17"/>
      <c r="Y2602" s="17"/>
      <c r="Z2602" s="17"/>
    </row>
    <row r="2603">
      <c r="A2603" s="17"/>
      <c r="B2603" s="17"/>
      <c r="C2603" s="17"/>
      <c r="D2603" s="17"/>
      <c r="E2603" s="17"/>
      <c r="F2603" s="17"/>
      <c r="G2603" s="17"/>
      <c r="H2603" s="17"/>
      <c r="I2603" s="17"/>
      <c r="J2603" s="17"/>
      <c r="K2603" s="17"/>
      <c r="L2603" s="17"/>
      <c r="M2603" s="17"/>
      <c r="N2603" s="17"/>
      <c r="O2603" s="17"/>
      <c r="P2603" s="17"/>
      <c r="Q2603" s="17"/>
      <c r="R2603" s="17"/>
      <c r="S2603" s="17"/>
      <c r="T2603" s="17"/>
      <c r="U2603" s="17"/>
      <c r="V2603" s="17"/>
      <c r="W2603" s="17"/>
      <c r="X2603" s="17"/>
      <c r="Y2603" s="17"/>
      <c r="Z2603" s="17"/>
    </row>
    <row r="2604">
      <c r="A2604" s="17"/>
      <c r="B2604" s="17"/>
      <c r="C2604" s="17"/>
      <c r="D2604" s="17"/>
      <c r="E2604" s="17"/>
      <c r="F2604" s="17"/>
      <c r="G2604" s="17"/>
      <c r="H2604" s="17"/>
      <c r="I2604" s="17"/>
      <c r="J2604" s="17"/>
      <c r="K2604" s="17"/>
      <c r="L2604" s="17"/>
      <c r="M2604" s="17"/>
      <c r="N2604" s="17"/>
      <c r="O2604" s="17"/>
      <c r="P2604" s="17"/>
      <c r="Q2604" s="17"/>
      <c r="R2604" s="17"/>
      <c r="S2604" s="17"/>
      <c r="T2604" s="17"/>
      <c r="U2604" s="17"/>
      <c r="V2604" s="17"/>
      <c r="W2604" s="17"/>
      <c r="X2604" s="17"/>
      <c r="Y2604" s="17"/>
      <c r="Z2604" s="17"/>
    </row>
    <row r="2605">
      <c r="A2605" s="17"/>
      <c r="B2605" s="17"/>
      <c r="C2605" s="17"/>
      <c r="D2605" s="17"/>
      <c r="E2605" s="17"/>
      <c r="F2605" s="17"/>
      <c r="G2605" s="17"/>
      <c r="H2605" s="17"/>
      <c r="I2605" s="17"/>
      <c r="J2605" s="17"/>
      <c r="K2605" s="17"/>
      <c r="L2605" s="17"/>
      <c r="M2605" s="17"/>
      <c r="N2605" s="17"/>
      <c r="O2605" s="17"/>
      <c r="P2605" s="17"/>
      <c r="Q2605" s="17"/>
      <c r="R2605" s="17"/>
      <c r="S2605" s="17"/>
      <c r="T2605" s="17"/>
      <c r="U2605" s="17"/>
      <c r="V2605" s="17"/>
      <c r="W2605" s="17"/>
      <c r="X2605" s="17"/>
      <c r="Y2605" s="17"/>
      <c r="Z2605" s="17"/>
    </row>
    <row r="2606">
      <c r="A2606" s="17"/>
      <c r="B2606" s="17"/>
      <c r="C2606" s="17"/>
      <c r="D2606" s="17"/>
      <c r="E2606" s="17"/>
      <c r="F2606" s="17"/>
      <c r="G2606" s="17"/>
      <c r="H2606" s="17"/>
      <c r="I2606" s="17"/>
      <c r="J2606" s="17"/>
      <c r="K2606" s="17"/>
      <c r="L2606" s="17"/>
      <c r="M2606" s="17"/>
      <c r="N2606" s="17"/>
      <c r="O2606" s="17"/>
      <c r="P2606" s="17"/>
      <c r="Q2606" s="17"/>
      <c r="R2606" s="17"/>
      <c r="S2606" s="17"/>
      <c r="T2606" s="17"/>
      <c r="U2606" s="17"/>
      <c r="V2606" s="17"/>
      <c r="W2606" s="17"/>
      <c r="X2606" s="17"/>
      <c r="Y2606" s="17"/>
      <c r="Z2606" s="17"/>
    </row>
    <row r="2607">
      <c r="A2607" s="17"/>
      <c r="B2607" s="17"/>
      <c r="C2607" s="17"/>
      <c r="D2607" s="17"/>
      <c r="E2607" s="17"/>
      <c r="F2607" s="17"/>
      <c r="G2607" s="17"/>
      <c r="H2607" s="17"/>
      <c r="I2607" s="17"/>
      <c r="J2607" s="17"/>
      <c r="K2607" s="17"/>
      <c r="L2607" s="17"/>
      <c r="M2607" s="17"/>
      <c r="N2607" s="17"/>
      <c r="O2607" s="17"/>
      <c r="P2607" s="17"/>
      <c r="Q2607" s="17"/>
      <c r="R2607" s="17"/>
      <c r="S2607" s="17"/>
      <c r="T2607" s="17"/>
      <c r="U2607" s="17"/>
      <c r="V2607" s="17"/>
      <c r="W2607" s="17"/>
      <c r="X2607" s="17"/>
      <c r="Y2607" s="17"/>
      <c r="Z2607" s="17"/>
    </row>
    <row r="2608">
      <c r="A2608" s="17"/>
      <c r="B2608" s="17"/>
      <c r="C2608" s="17"/>
      <c r="D2608" s="17"/>
      <c r="E2608" s="17"/>
      <c r="F2608" s="17"/>
      <c r="G2608" s="17"/>
      <c r="H2608" s="17"/>
      <c r="I2608" s="17"/>
      <c r="J2608" s="17"/>
      <c r="K2608" s="17"/>
      <c r="L2608" s="17"/>
      <c r="M2608" s="17"/>
      <c r="N2608" s="17"/>
      <c r="O2608" s="17"/>
      <c r="P2608" s="17"/>
      <c r="Q2608" s="17"/>
      <c r="R2608" s="17"/>
      <c r="S2608" s="17"/>
      <c r="T2608" s="17"/>
      <c r="U2608" s="17"/>
      <c r="V2608" s="17"/>
      <c r="W2608" s="17"/>
      <c r="X2608" s="17"/>
      <c r="Y2608" s="17"/>
      <c r="Z2608" s="17"/>
    </row>
    <row r="2609">
      <c r="A2609" s="17"/>
      <c r="B2609" s="17"/>
      <c r="C2609" s="17"/>
      <c r="D2609" s="17"/>
      <c r="E2609" s="17"/>
      <c r="F2609" s="17"/>
      <c r="G2609" s="17"/>
      <c r="H2609" s="17"/>
      <c r="I2609" s="17"/>
      <c r="J2609" s="17"/>
      <c r="K2609" s="17"/>
      <c r="L2609" s="17"/>
      <c r="M2609" s="17"/>
      <c r="N2609" s="17"/>
      <c r="O2609" s="17"/>
      <c r="P2609" s="17"/>
      <c r="Q2609" s="17"/>
      <c r="R2609" s="17"/>
      <c r="S2609" s="17"/>
      <c r="T2609" s="17"/>
      <c r="U2609" s="17"/>
      <c r="V2609" s="17"/>
      <c r="W2609" s="17"/>
      <c r="X2609" s="17"/>
      <c r="Y2609" s="17"/>
      <c r="Z2609" s="17"/>
    </row>
    <row r="2610">
      <c r="A2610" s="17"/>
      <c r="B2610" s="17"/>
      <c r="C2610" s="17"/>
      <c r="D2610" s="17"/>
      <c r="E2610" s="17"/>
      <c r="F2610" s="17"/>
      <c r="G2610" s="17"/>
      <c r="H2610" s="17"/>
      <c r="I2610" s="17"/>
      <c r="J2610" s="17"/>
      <c r="K2610" s="17"/>
      <c r="L2610" s="17"/>
      <c r="M2610" s="17"/>
      <c r="N2610" s="17"/>
      <c r="O2610" s="17"/>
      <c r="P2610" s="17"/>
      <c r="Q2610" s="17"/>
      <c r="R2610" s="17"/>
      <c r="S2610" s="17"/>
      <c r="T2610" s="17"/>
      <c r="U2610" s="17"/>
      <c r="V2610" s="17"/>
      <c r="W2610" s="17"/>
      <c r="X2610" s="17"/>
      <c r="Y2610" s="17"/>
      <c r="Z2610" s="17"/>
    </row>
    <row r="2611">
      <c r="A2611" s="17"/>
      <c r="B2611" s="17"/>
      <c r="C2611" s="17"/>
      <c r="D2611" s="17"/>
      <c r="E2611" s="17"/>
      <c r="F2611" s="17"/>
      <c r="G2611" s="17"/>
      <c r="H2611" s="17"/>
      <c r="I2611" s="17"/>
      <c r="J2611" s="17"/>
      <c r="K2611" s="17"/>
      <c r="L2611" s="17"/>
      <c r="M2611" s="17"/>
      <c r="N2611" s="17"/>
      <c r="O2611" s="17"/>
      <c r="P2611" s="17"/>
      <c r="Q2611" s="17"/>
      <c r="R2611" s="17"/>
      <c r="S2611" s="17"/>
      <c r="T2611" s="17"/>
      <c r="U2611" s="17"/>
      <c r="V2611" s="17"/>
      <c r="W2611" s="17"/>
      <c r="X2611" s="17"/>
      <c r="Y2611" s="17"/>
      <c r="Z2611" s="17"/>
    </row>
    <row r="2612">
      <c r="A2612" s="17"/>
      <c r="B2612" s="17"/>
      <c r="C2612" s="17"/>
      <c r="D2612" s="17"/>
      <c r="E2612" s="17"/>
      <c r="F2612" s="17"/>
      <c r="G2612" s="17"/>
      <c r="H2612" s="17"/>
      <c r="I2612" s="17"/>
      <c r="J2612" s="17"/>
      <c r="K2612" s="17"/>
      <c r="L2612" s="17"/>
      <c r="M2612" s="17"/>
      <c r="N2612" s="17"/>
      <c r="O2612" s="17"/>
      <c r="P2612" s="17"/>
      <c r="Q2612" s="17"/>
      <c r="R2612" s="17"/>
      <c r="S2612" s="17"/>
      <c r="T2612" s="17"/>
      <c r="U2612" s="17"/>
      <c r="V2612" s="17"/>
      <c r="W2612" s="17"/>
      <c r="X2612" s="17"/>
      <c r="Y2612" s="17"/>
      <c r="Z2612" s="17"/>
    </row>
    <row r="2613">
      <c r="A2613" s="17"/>
      <c r="B2613" s="17"/>
      <c r="C2613" s="17"/>
      <c r="D2613" s="17"/>
      <c r="E2613" s="17"/>
      <c r="F2613" s="17"/>
      <c r="G2613" s="17"/>
      <c r="H2613" s="17"/>
      <c r="I2613" s="17"/>
      <c r="J2613" s="17"/>
      <c r="K2613" s="17"/>
      <c r="L2613" s="17"/>
      <c r="M2613" s="17"/>
      <c r="N2613" s="17"/>
      <c r="O2613" s="17"/>
      <c r="P2613" s="17"/>
      <c r="Q2613" s="17"/>
      <c r="R2613" s="17"/>
      <c r="S2613" s="17"/>
      <c r="T2613" s="17"/>
      <c r="U2613" s="17"/>
      <c r="V2613" s="17"/>
      <c r="W2613" s="17"/>
      <c r="X2613" s="17"/>
      <c r="Y2613" s="17"/>
      <c r="Z2613" s="17"/>
    </row>
    <row r="2614">
      <c r="A2614" s="17"/>
      <c r="B2614" s="17"/>
      <c r="C2614" s="17"/>
      <c r="D2614" s="17"/>
      <c r="E2614" s="17"/>
      <c r="F2614" s="17"/>
      <c r="G2614" s="17"/>
      <c r="H2614" s="17"/>
      <c r="I2614" s="17"/>
      <c r="J2614" s="17"/>
      <c r="K2614" s="17"/>
      <c r="L2614" s="17"/>
      <c r="M2614" s="17"/>
      <c r="N2614" s="17"/>
      <c r="O2614" s="17"/>
      <c r="P2614" s="17"/>
      <c r="Q2614" s="17"/>
      <c r="R2614" s="17"/>
      <c r="S2614" s="17"/>
      <c r="T2614" s="17"/>
      <c r="U2614" s="17"/>
      <c r="V2614" s="17"/>
      <c r="W2614" s="17"/>
      <c r="X2614" s="17"/>
      <c r="Y2614" s="17"/>
      <c r="Z2614" s="17"/>
    </row>
    <row r="2615">
      <c r="A2615" s="17"/>
      <c r="B2615" s="17"/>
      <c r="C2615" s="17"/>
      <c r="D2615" s="17"/>
      <c r="E2615" s="17"/>
      <c r="F2615" s="17"/>
      <c r="G2615" s="17"/>
      <c r="H2615" s="17"/>
      <c r="I2615" s="17"/>
      <c r="J2615" s="17"/>
      <c r="K2615" s="17"/>
      <c r="L2615" s="17"/>
      <c r="M2615" s="17"/>
      <c r="N2615" s="17"/>
      <c r="O2615" s="17"/>
      <c r="P2615" s="17"/>
      <c r="Q2615" s="17"/>
      <c r="R2615" s="17"/>
      <c r="S2615" s="17"/>
      <c r="T2615" s="17"/>
      <c r="U2615" s="17"/>
      <c r="V2615" s="17"/>
      <c r="W2615" s="17"/>
      <c r="X2615" s="17"/>
      <c r="Y2615" s="17"/>
      <c r="Z2615" s="17"/>
    </row>
    <row r="2616">
      <c r="A2616" s="17"/>
      <c r="B2616" s="17"/>
      <c r="C2616" s="17"/>
      <c r="D2616" s="17"/>
      <c r="E2616" s="17"/>
      <c r="F2616" s="17"/>
      <c r="G2616" s="17"/>
      <c r="H2616" s="17"/>
      <c r="I2616" s="17"/>
      <c r="J2616" s="17"/>
      <c r="K2616" s="17"/>
      <c r="L2616" s="17"/>
      <c r="M2616" s="17"/>
      <c r="N2616" s="17"/>
      <c r="O2616" s="17"/>
      <c r="P2616" s="17"/>
      <c r="Q2616" s="17"/>
      <c r="R2616" s="17"/>
      <c r="S2616" s="17"/>
      <c r="T2616" s="17"/>
      <c r="U2616" s="17"/>
      <c r="V2616" s="17"/>
      <c r="W2616" s="17"/>
      <c r="X2616" s="17"/>
      <c r="Y2616" s="17"/>
      <c r="Z2616" s="17"/>
    </row>
    <row r="2617">
      <c r="A2617" s="17"/>
      <c r="B2617" s="17"/>
      <c r="C2617" s="17"/>
      <c r="D2617" s="17"/>
      <c r="E2617" s="17"/>
      <c r="F2617" s="17"/>
      <c r="G2617" s="17"/>
      <c r="H2617" s="17"/>
      <c r="I2617" s="17"/>
      <c r="J2617" s="17"/>
      <c r="K2617" s="17"/>
      <c r="L2617" s="17"/>
      <c r="M2617" s="17"/>
      <c r="N2617" s="17"/>
      <c r="O2617" s="17"/>
      <c r="P2617" s="17"/>
      <c r="Q2617" s="17"/>
      <c r="R2617" s="17"/>
      <c r="S2617" s="17"/>
      <c r="T2617" s="17"/>
      <c r="U2617" s="17"/>
      <c r="V2617" s="17"/>
      <c r="W2617" s="17"/>
      <c r="X2617" s="17"/>
      <c r="Y2617" s="17"/>
      <c r="Z2617" s="17"/>
    </row>
    <row r="2618">
      <c r="A2618" s="17"/>
      <c r="B2618" s="17"/>
      <c r="C2618" s="17"/>
      <c r="D2618" s="17"/>
      <c r="E2618" s="17"/>
      <c r="F2618" s="17"/>
      <c r="G2618" s="17"/>
      <c r="H2618" s="17"/>
      <c r="I2618" s="17"/>
      <c r="J2618" s="17"/>
      <c r="K2618" s="17"/>
      <c r="L2618" s="17"/>
      <c r="M2618" s="17"/>
      <c r="N2618" s="17"/>
      <c r="O2618" s="17"/>
      <c r="P2618" s="17"/>
      <c r="Q2618" s="17"/>
      <c r="R2618" s="17"/>
      <c r="S2618" s="17"/>
      <c r="T2618" s="17"/>
      <c r="U2618" s="17"/>
      <c r="V2618" s="17"/>
      <c r="W2618" s="17"/>
      <c r="X2618" s="17"/>
      <c r="Y2618" s="17"/>
      <c r="Z2618" s="17"/>
    </row>
    <row r="2619">
      <c r="A2619" s="17"/>
      <c r="B2619" s="17"/>
      <c r="C2619" s="17"/>
      <c r="D2619" s="17"/>
      <c r="E2619" s="17"/>
      <c r="F2619" s="17"/>
      <c r="G2619" s="17"/>
      <c r="H2619" s="17"/>
      <c r="I2619" s="17"/>
      <c r="J2619" s="17"/>
      <c r="K2619" s="17"/>
      <c r="L2619" s="17"/>
      <c r="M2619" s="17"/>
      <c r="N2619" s="17"/>
      <c r="O2619" s="17"/>
      <c r="P2619" s="17"/>
      <c r="Q2619" s="17"/>
      <c r="R2619" s="17"/>
      <c r="S2619" s="17"/>
      <c r="T2619" s="17"/>
      <c r="U2619" s="17"/>
      <c r="V2619" s="17"/>
      <c r="W2619" s="17"/>
      <c r="X2619" s="17"/>
      <c r="Y2619" s="17"/>
      <c r="Z2619" s="17"/>
    </row>
    <row r="2620">
      <c r="A2620" s="17"/>
      <c r="B2620" s="17"/>
      <c r="C2620" s="17"/>
      <c r="D2620" s="17"/>
      <c r="E2620" s="17"/>
      <c r="F2620" s="17"/>
      <c r="G2620" s="17"/>
      <c r="H2620" s="17"/>
      <c r="I2620" s="17"/>
      <c r="J2620" s="17"/>
      <c r="K2620" s="17"/>
      <c r="L2620" s="17"/>
      <c r="M2620" s="17"/>
      <c r="N2620" s="17"/>
      <c r="O2620" s="17"/>
      <c r="P2620" s="17"/>
      <c r="Q2620" s="17"/>
      <c r="R2620" s="17"/>
      <c r="S2620" s="17"/>
      <c r="T2620" s="17"/>
      <c r="U2620" s="17"/>
      <c r="V2620" s="17"/>
      <c r="W2620" s="17"/>
      <c r="X2620" s="17"/>
      <c r="Y2620" s="17"/>
      <c r="Z2620" s="17"/>
    </row>
    <row r="2621">
      <c r="A2621" s="17"/>
      <c r="B2621" s="17"/>
      <c r="C2621" s="17"/>
      <c r="D2621" s="17"/>
      <c r="E2621" s="17"/>
      <c r="F2621" s="17"/>
      <c r="G2621" s="17"/>
      <c r="H2621" s="17"/>
      <c r="I2621" s="17"/>
      <c r="J2621" s="17"/>
      <c r="K2621" s="17"/>
      <c r="L2621" s="17"/>
      <c r="M2621" s="17"/>
      <c r="N2621" s="17"/>
      <c r="O2621" s="17"/>
      <c r="P2621" s="17"/>
      <c r="Q2621" s="17"/>
      <c r="R2621" s="17"/>
      <c r="S2621" s="17"/>
      <c r="T2621" s="17"/>
      <c r="U2621" s="17"/>
      <c r="V2621" s="17"/>
      <c r="W2621" s="17"/>
      <c r="X2621" s="17"/>
      <c r="Y2621" s="17"/>
      <c r="Z2621" s="17"/>
    </row>
    <row r="2622">
      <c r="A2622" s="17"/>
      <c r="B2622" s="17"/>
      <c r="C2622" s="17"/>
      <c r="D2622" s="17"/>
      <c r="E2622" s="17"/>
      <c r="F2622" s="17"/>
      <c r="G2622" s="17"/>
      <c r="H2622" s="17"/>
      <c r="I2622" s="17"/>
      <c r="J2622" s="17"/>
      <c r="K2622" s="17"/>
      <c r="L2622" s="17"/>
      <c r="M2622" s="17"/>
      <c r="N2622" s="17"/>
      <c r="O2622" s="17"/>
      <c r="P2622" s="17"/>
      <c r="Q2622" s="17"/>
      <c r="R2622" s="17"/>
      <c r="S2622" s="17"/>
      <c r="T2622" s="17"/>
      <c r="U2622" s="17"/>
      <c r="V2622" s="17"/>
      <c r="W2622" s="17"/>
      <c r="X2622" s="17"/>
      <c r="Y2622" s="17"/>
      <c r="Z2622" s="17"/>
    </row>
    <row r="2623">
      <c r="A2623" s="17"/>
      <c r="B2623" s="17"/>
      <c r="C2623" s="17"/>
      <c r="D2623" s="17"/>
      <c r="E2623" s="17"/>
      <c r="F2623" s="17"/>
      <c r="G2623" s="17"/>
      <c r="H2623" s="17"/>
      <c r="I2623" s="17"/>
      <c r="J2623" s="17"/>
      <c r="K2623" s="17"/>
      <c r="L2623" s="17"/>
      <c r="M2623" s="17"/>
      <c r="N2623" s="17"/>
      <c r="O2623" s="17"/>
      <c r="P2623" s="17"/>
      <c r="Q2623" s="17"/>
      <c r="R2623" s="17"/>
      <c r="S2623" s="17"/>
      <c r="T2623" s="17"/>
      <c r="U2623" s="17"/>
      <c r="V2623" s="17"/>
      <c r="W2623" s="17"/>
      <c r="X2623" s="17"/>
      <c r="Y2623" s="17"/>
      <c r="Z2623" s="17"/>
    </row>
    <row r="2624">
      <c r="A2624" s="17"/>
      <c r="B2624" s="17"/>
      <c r="C2624" s="17"/>
      <c r="D2624" s="17"/>
      <c r="E2624" s="17"/>
      <c r="F2624" s="17"/>
      <c r="G2624" s="17"/>
      <c r="H2624" s="17"/>
      <c r="I2624" s="17"/>
      <c r="J2624" s="17"/>
      <c r="K2624" s="17"/>
      <c r="L2624" s="17"/>
      <c r="M2624" s="17"/>
      <c r="N2624" s="17"/>
      <c r="O2624" s="17"/>
      <c r="P2624" s="17"/>
      <c r="Q2624" s="17"/>
      <c r="R2624" s="17"/>
      <c r="S2624" s="17"/>
      <c r="T2624" s="17"/>
      <c r="U2624" s="17"/>
      <c r="V2624" s="17"/>
      <c r="W2624" s="17"/>
      <c r="X2624" s="17"/>
      <c r="Y2624" s="17"/>
      <c r="Z2624" s="17"/>
    </row>
    <row r="2625">
      <c r="A2625" s="17"/>
      <c r="B2625" s="17"/>
      <c r="C2625" s="17"/>
      <c r="D2625" s="17"/>
      <c r="E2625" s="17"/>
      <c r="F2625" s="17"/>
      <c r="G2625" s="17"/>
      <c r="H2625" s="17"/>
      <c r="I2625" s="17"/>
      <c r="J2625" s="17"/>
      <c r="K2625" s="17"/>
      <c r="L2625" s="17"/>
      <c r="M2625" s="17"/>
      <c r="N2625" s="17"/>
      <c r="O2625" s="17"/>
      <c r="P2625" s="17"/>
      <c r="Q2625" s="17"/>
      <c r="R2625" s="17"/>
      <c r="S2625" s="17"/>
      <c r="T2625" s="17"/>
      <c r="U2625" s="17"/>
      <c r="V2625" s="17"/>
      <c r="W2625" s="17"/>
      <c r="X2625" s="17"/>
      <c r="Y2625" s="17"/>
      <c r="Z2625" s="17"/>
    </row>
    <row r="2626">
      <c r="A2626" s="17"/>
      <c r="B2626" s="17"/>
      <c r="C2626" s="17"/>
      <c r="D2626" s="17"/>
      <c r="E2626" s="17"/>
      <c r="F2626" s="17"/>
      <c r="G2626" s="17"/>
      <c r="H2626" s="17"/>
      <c r="I2626" s="17"/>
      <c r="J2626" s="17"/>
      <c r="K2626" s="17"/>
      <c r="L2626" s="17"/>
      <c r="M2626" s="17"/>
      <c r="N2626" s="17"/>
      <c r="O2626" s="17"/>
      <c r="P2626" s="17"/>
      <c r="Q2626" s="17"/>
      <c r="R2626" s="17"/>
      <c r="S2626" s="17"/>
      <c r="T2626" s="17"/>
      <c r="U2626" s="17"/>
      <c r="V2626" s="17"/>
      <c r="W2626" s="17"/>
      <c r="X2626" s="17"/>
      <c r="Y2626" s="17"/>
      <c r="Z2626" s="17"/>
    </row>
    <row r="2627">
      <c r="A2627" s="17"/>
      <c r="B2627" s="17"/>
      <c r="C2627" s="17"/>
      <c r="D2627" s="17"/>
      <c r="E2627" s="17"/>
      <c r="F2627" s="17"/>
      <c r="G2627" s="17"/>
      <c r="H2627" s="17"/>
      <c r="I2627" s="17"/>
      <c r="J2627" s="17"/>
      <c r="K2627" s="17"/>
      <c r="L2627" s="17"/>
      <c r="M2627" s="17"/>
      <c r="N2627" s="17"/>
      <c r="O2627" s="17"/>
      <c r="P2627" s="17"/>
      <c r="Q2627" s="17"/>
      <c r="R2627" s="17"/>
      <c r="S2627" s="17"/>
      <c r="T2627" s="17"/>
      <c r="U2627" s="17"/>
      <c r="V2627" s="17"/>
      <c r="W2627" s="17"/>
      <c r="X2627" s="17"/>
      <c r="Y2627" s="17"/>
      <c r="Z2627" s="17"/>
    </row>
    <row r="2628">
      <c r="A2628" s="17"/>
      <c r="B2628" s="17"/>
      <c r="C2628" s="17"/>
      <c r="D2628" s="17"/>
      <c r="E2628" s="17"/>
      <c r="F2628" s="17"/>
      <c r="G2628" s="17"/>
      <c r="H2628" s="17"/>
      <c r="I2628" s="17"/>
      <c r="J2628" s="17"/>
      <c r="K2628" s="17"/>
      <c r="L2628" s="17"/>
      <c r="M2628" s="17"/>
      <c r="N2628" s="17"/>
      <c r="O2628" s="17"/>
      <c r="P2628" s="17"/>
      <c r="Q2628" s="17"/>
      <c r="R2628" s="17"/>
      <c r="S2628" s="17"/>
      <c r="T2628" s="17"/>
      <c r="U2628" s="17"/>
      <c r="V2628" s="17"/>
      <c r="W2628" s="17"/>
      <c r="X2628" s="17"/>
      <c r="Y2628" s="17"/>
      <c r="Z2628" s="17"/>
    </row>
    <row r="2629">
      <c r="A2629" s="17"/>
      <c r="B2629" s="17"/>
      <c r="C2629" s="17"/>
      <c r="D2629" s="17"/>
      <c r="E2629" s="17"/>
      <c r="F2629" s="17"/>
      <c r="G2629" s="17"/>
      <c r="H2629" s="17"/>
      <c r="I2629" s="17"/>
      <c r="J2629" s="17"/>
      <c r="K2629" s="17"/>
      <c r="L2629" s="17"/>
      <c r="M2629" s="17"/>
      <c r="N2629" s="17"/>
      <c r="O2629" s="17"/>
      <c r="P2629" s="17"/>
      <c r="Q2629" s="17"/>
      <c r="R2629" s="17"/>
      <c r="S2629" s="17"/>
      <c r="T2629" s="17"/>
      <c r="U2629" s="17"/>
      <c r="V2629" s="17"/>
      <c r="W2629" s="17"/>
      <c r="X2629" s="17"/>
      <c r="Y2629" s="17"/>
      <c r="Z2629" s="17"/>
    </row>
    <row r="2630">
      <c r="A2630" s="17"/>
      <c r="B2630" s="17"/>
      <c r="C2630" s="17"/>
      <c r="D2630" s="17"/>
      <c r="E2630" s="17"/>
      <c r="F2630" s="17"/>
      <c r="G2630" s="17"/>
      <c r="H2630" s="17"/>
      <c r="I2630" s="17"/>
      <c r="J2630" s="17"/>
      <c r="K2630" s="17"/>
      <c r="L2630" s="17"/>
      <c r="M2630" s="17"/>
      <c r="N2630" s="17"/>
      <c r="O2630" s="17"/>
      <c r="P2630" s="17"/>
      <c r="Q2630" s="17"/>
      <c r="R2630" s="17"/>
      <c r="S2630" s="17"/>
      <c r="T2630" s="17"/>
      <c r="U2630" s="17"/>
      <c r="V2630" s="17"/>
      <c r="W2630" s="17"/>
      <c r="X2630" s="17"/>
      <c r="Y2630" s="17"/>
      <c r="Z2630" s="17"/>
    </row>
    <row r="2631">
      <c r="A2631" s="17"/>
      <c r="B2631" s="17"/>
      <c r="C2631" s="17"/>
      <c r="D2631" s="17"/>
      <c r="E2631" s="17"/>
      <c r="F2631" s="17"/>
      <c r="G2631" s="17"/>
      <c r="H2631" s="17"/>
      <c r="I2631" s="17"/>
      <c r="J2631" s="17"/>
      <c r="K2631" s="17"/>
      <c r="L2631" s="17"/>
      <c r="M2631" s="17"/>
      <c r="N2631" s="17"/>
      <c r="O2631" s="17"/>
      <c r="P2631" s="17"/>
      <c r="Q2631" s="17"/>
      <c r="R2631" s="17"/>
      <c r="S2631" s="17"/>
      <c r="T2631" s="17"/>
      <c r="U2631" s="17"/>
      <c r="V2631" s="17"/>
      <c r="W2631" s="17"/>
      <c r="X2631" s="17"/>
      <c r="Y2631" s="17"/>
      <c r="Z2631" s="17"/>
    </row>
    <row r="2632">
      <c r="A2632" s="17"/>
      <c r="B2632" s="17"/>
      <c r="C2632" s="17"/>
      <c r="D2632" s="17"/>
      <c r="E2632" s="17"/>
      <c r="F2632" s="17"/>
      <c r="G2632" s="17"/>
      <c r="H2632" s="17"/>
      <c r="I2632" s="17"/>
      <c r="J2632" s="17"/>
      <c r="K2632" s="17"/>
      <c r="L2632" s="17"/>
      <c r="M2632" s="17"/>
      <c r="N2632" s="17"/>
      <c r="O2632" s="17"/>
      <c r="P2632" s="17"/>
      <c r="Q2632" s="17"/>
      <c r="R2632" s="17"/>
      <c r="S2632" s="17"/>
      <c r="T2632" s="17"/>
      <c r="U2632" s="17"/>
      <c r="V2632" s="17"/>
      <c r="W2632" s="17"/>
      <c r="X2632" s="17"/>
      <c r="Y2632" s="17"/>
      <c r="Z2632" s="17"/>
    </row>
    <row r="2633">
      <c r="A2633" s="17"/>
      <c r="B2633" s="17"/>
      <c r="C2633" s="17"/>
      <c r="D2633" s="17"/>
      <c r="E2633" s="17"/>
      <c r="F2633" s="17"/>
      <c r="G2633" s="17"/>
      <c r="H2633" s="17"/>
      <c r="I2633" s="17"/>
      <c r="J2633" s="17"/>
      <c r="K2633" s="17"/>
      <c r="L2633" s="17"/>
      <c r="M2633" s="17"/>
      <c r="N2633" s="17"/>
      <c r="O2633" s="17"/>
      <c r="P2633" s="17"/>
      <c r="Q2633" s="17"/>
      <c r="R2633" s="17"/>
      <c r="S2633" s="17"/>
      <c r="T2633" s="17"/>
      <c r="U2633" s="17"/>
      <c r="V2633" s="17"/>
      <c r="W2633" s="17"/>
      <c r="X2633" s="17"/>
      <c r="Y2633" s="17"/>
      <c r="Z2633" s="17"/>
    </row>
    <row r="2634">
      <c r="A2634" s="17"/>
      <c r="B2634" s="17"/>
      <c r="C2634" s="17"/>
      <c r="D2634" s="17"/>
      <c r="E2634" s="17"/>
      <c r="F2634" s="17"/>
      <c r="G2634" s="17"/>
      <c r="H2634" s="17"/>
      <c r="I2634" s="17"/>
      <c r="J2634" s="17"/>
      <c r="K2634" s="17"/>
      <c r="L2634" s="17"/>
      <c r="M2634" s="17"/>
      <c r="N2634" s="17"/>
      <c r="O2634" s="17"/>
      <c r="P2634" s="17"/>
      <c r="Q2634" s="17"/>
      <c r="R2634" s="17"/>
      <c r="S2634" s="17"/>
      <c r="T2634" s="17"/>
      <c r="U2634" s="17"/>
      <c r="V2634" s="17"/>
      <c r="W2634" s="17"/>
      <c r="X2634" s="17"/>
      <c r="Y2634" s="17"/>
      <c r="Z2634" s="17"/>
    </row>
    <row r="2635">
      <c r="A2635" s="17"/>
      <c r="B2635" s="17"/>
      <c r="C2635" s="17"/>
      <c r="D2635" s="17"/>
      <c r="E2635" s="17"/>
      <c r="F2635" s="17"/>
      <c r="G2635" s="17"/>
      <c r="H2635" s="17"/>
      <c r="I2635" s="17"/>
      <c r="J2635" s="17"/>
      <c r="K2635" s="17"/>
      <c r="L2635" s="17"/>
      <c r="M2635" s="17"/>
      <c r="N2635" s="17"/>
      <c r="O2635" s="17"/>
      <c r="P2635" s="17"/>
      <c r="Q2635" s="17"/>
      <c r="R2635" s="17"/>
      <c r="S2635" s="17"/>
      <c r="T2635" s="17"/>
      <c r="U2635" s="17"/>
      <c r="V2635" s="17"/>
      <c r="W2635" s="17"/>
      <c r="X2635" s="17"/>
      <c r="Y2635" s="17"/>
      <c r="Z2635" s="17"/>
    </row>
    <row r="2636">
      <c r="A2636" s="17"/>
      <c r="B2636" s="17"/>
      <c r="C2636" s="17"/>
      <c r="D2636" s="17"/>
      <c r="E2636" s="17"/>
      <c r="F2636" s="17"/>
      <c r="G2636" s="17"/>
      <c r="H2636" s="17"/>
      <c r="I2636" s="17"/>
      <c r="J2636" s="17"/>
      <c r="K2636" s="17"/>
      <c r="L2636" s="17"/>
      <c r="M2636" s="17"/>
      <c r="N2636" s="17"/>
      <c r="O2636" s="17"/>
      <c r="P2636" s="17"/>
      <c r="Q2636" s="17"/>
      <c r="R2636" s="17"/>
      <c r="S2636" s="17"/>
      <c r="T2636" s="17"/>
      <c r="U2636" s="17"/>
      <c r="V2636" s="17"/>
      <c r="W2636" s="17"/>
      <c r="X2636" s="17"/>
      <c r="Y2636" s="17"/>
      <c r="Z2636" s="17"/>
    </row>
    <row r="2637">
      <c r="A2637" s="17"/>
      <c r="B2637" s="17"/>
      <c r="C2637" s="17"/>
      <c r="D2637" s="17"/>
      <c r="E2637" s="17"/>
      <c r="F2637" s="17"/>
      <c r="G2637" s="17"/>
      <c r="H2637" s="17"/>
      <c r="I2637" s="17"/>
      <c r="J2637" s="17"/>
      <c r="K2637" s="17"/>
      <c r="L2637" s="17"/>
      <c r="M2637" s="17"/>
      <c r="N2637" s="17"/>
      <c r="O2637" s="17"/>
      <c r="P2637" s="17"/>
      <c r="Q2637" s="17"/>
      <c r="R2637" s="17"/>
      <c r="S2637" s="17"/>
      <c r="T2637" s="17"/>
      <c r="U2637" s="17"/>
      <c r="V2637" s="17"/>
      <c r="W2637" s="17"/>
      <c r="X2637" s="17"/>
      <c r="Y2637" s="17"/>
      <c r="Z2637" s="17"/>
    </row>
    <row r="2638">
      <c r="A2638" s="17"/>
      <c r="B2638" s="17"/>
      <c r="C2638" s="17"/>
      <c r="D2638" s="17"/>
      <c r="E2638" s="17"/>
      <c r="F2638" s="17"/>
      <c r="G2638" s="17"/>
      <c r="H2638" s="17"/>
      <c r="I2638" s="17"/>
      <c r="J2638" s="17"/>
      <c r="K2638" s="17"/>
      <c r="L2638" s="17"/>
      <c r="M2638" s="17"/>
      <c r="N2638" s="17"/>
      <c r="O2638" s="17"/>
      <c r="P2638" s="17"/>
      <c r="Q2638" s="17"/>
      <c r="R2638" s="17"/>
      <c r="S2638" s="17"/>
      <c r="T2638" s="17"/>
      <c r="U2638" s="17"/>
      <c r="V2638" s="17"/>
      <c r="W2638" s="17"/>
      <c r="X2638" s="17"/>
      <c r="Y2638" s="17"/>
      <c r="Z2638" s="17"/>
    </row>
    <row r="2639">
      <c r="A2639" s="17"/>
      <c r="B2639" s="17"/>
      <c r="C2639" s="17"/>
      <c r="D2639" s="17"/>
      <c r="E2639" s="17"/>
      <c r="F2639" s="17"/>
      <c r="G2639" s="17"/>
      <c r="H2639" s="17"/>
      <c r="I2639" s="17"/>
      <c r="J2639" s="17"/>
      <c r="K2639" s="17"/>
      <c r="L2639" s="17"/>
      <c r="M2639" s="17"/>
      <c r="N2639" s="17"/>
      <c r="O2639" s="17"/>
      <c r="P2639" s="17"/>
      <c r="Q2639" s="17"/>
      <c r="R2639" s="17"/>
      <c r="S2639" s="17"/>
      <c r="T2639" s="17"/>
      <c r="U2639" s="17"/>
      <c r="V2639" s="17"/>
      <c r="W2639" s="17"/>
      <c r="X2639" s="17"/>
      <c r="Y2639" s="17"/>
      <c r="Z2639" s="17"/>
    </row>
    <row r="2640">
      <c r="A2640" s="17"/>
      <c r="B2640" s="17"/>
      <c r="C2640" s="17"/>
      <c r="D2640" s="17"/>
      <c r="E2640" s="17"/>
      <c r="F2640" s="17"/>
      <c r="G2640" s="17"/>
      <c r="H2640" s="17"/>
      <c r="I2640" s="17"/>
      <c r="J2640" s="17"/>
      <c r="K2640" s="17"/>
      <c r="L2640" s="17"/>
      <c r="M2640" s="17"/>
      <c r="N2640" s="17"/>
      <c r="O2640" s="17"/>
      <c r="P2640" s="17"/>
      <c r="Q2640" s="17"/>
      <c r="R2640" s="17"/>
      <c r="S2640" s="17"/>
      <c r="T2640" s="17"/>
      <c r="U2640" s="17"/>
      <c r="V2640" s="17"/>
      <c r="W2640" s="17"/>
      <c r="X2640" s="17"/>
      <c r="Y2640" s="17"/>
      <c r="Z2640" s="17"/>
    </row>
    <row r="2641">
      <c r="A2641" s="17"/>
      <c r="B2641" s="17"/>
      <c r="C2641" s="17"/>
      <c r="D2641" s="17"/>
      <c r="E2641" s="17"/>
      <c r="F2641" s="17"/>
      <c r="G2641" s="17"/>
      <c r="H2641" s="17"/>
      <c r="I2641" s="17"/>
      <c r="J2641" s="17"/>
      <c r="K2641" s="17"/>
      <c r="L2641" s="17"/>
      <c r="M2641" s="17"/>
      <c r="N2641" s="17"/>
      <c r="O2641" s="17"/>
      <c r="P2641" s="17"/>
      <c r="Q2641" s="17"/>
      <c r="R2641" s="17"/>
      <c r="S2641" s="17"/>
      <c r="T2641" s="17"/>
      <c r="U2641" s="17"/>
      <c r="V2641" s="17"/>
      <c r="W2641" s="17"/>
      <c r="X2641" s="17"/>
      <c r="Y2641" s="17"/>
      <c r="Z2641" s="17"/>
    </row>
    <row r="2642">
      <c r="A2642" s="17"/>
      <c r="B2642" s="17"/>
      <c r="C2642" s="17"/>
      <c r="D2642" s="17"/>
      <c r="E2642" s="17"/>
      <c r="F2642" s="17"/>
      <c r="G2642" s="17"/>
      <c r="H2642" s="17"/>
      <c r="I2642" s="17"/>
      <c r="J2642" s="17"/>
      <c r="K2642" s="17"/>
      <c r="L2642" s="17"/>
      <c r="M2642" s="17"/>
      <c r="N2642" s="17"/>
      <c r="O2642" s="17"/>
      <c r="P2642" s="17"/>
      <c r="Q2642" s="17"/>
      <c r="R2642" s="17"/>
      <c r="S2642" s="17"/>
      <c r="T2642" s="17"/>
      <c r="U2642" s="17"/>
      <c r="V2642" s="17"/>
      <c r="W2642" s="17"/>
      <c r="X2642" s="17"/>
      <c r="Y2642" s="17"/>
      <c r="Z2642" s="17"/>
    </row>
    <row r="2643">
      <c r="A2643" s="17"/>
      <c r="B2643" s="17"/>
      <c r="C2643" s="17"/>
      <c r="D2643" s="17"/>
      <c r="E2643" s="17"/>
      <c r="F2643" s="17"/>
      <c r="G2643" s="17"/>
      <c r="H2643" s="17"/>
      <c r="I2643" s="17"/>
      <c r="J2643" s="17"/>
      <c r="K2643" s="17"/>
      <c r="L2643" s="17"/>
      <c r="M2643" s="17"/>
      <c r="N2643" s="17"/>
      <c r="O2643" s="17"/>
      <c r="P2643" s="17"/>
      <c r="Q2643" s="17"/>
      <c r="R2643" s="17"/>
      <c r="S2643" s="17"/>
      <c r="T2643" s="17"/>
      <c r="U2643" s="17"/>
      <c r="V2643" s="17"/>
      <c r="W2643" s="17"/>
      <c r="X2643" s="17"/>
      <c r="Y2643" s="17"/>
      <c r="Z2643" s="17"/>
    </row>
    <row r="2644">
      <c r="A2644" s="17"/>
      <c r="B2644" s="17"/>
      <c r="C2644" s="17"/>
      <c r="D2644" s="17"/>
      <c r="E2644" s="17"/>
      <c r="F2644" s="17"/>
      <c r="G2644" s="17"/>
      <c r="H2644" s="17"/>
      <c r="I2644" s="17"/>
      <c r="J2644" s="17"/>
      <c r="K2644" s="17"/>
      <c r="L2644" s="17"/>
      <c r="M2644" s="17"/>
      <c r="N2644" s="17"/>
      <c r="O2644" s="17"/>
      <c r="P2644" s="17"/>
      <c r="Q2644" s="17"/>
      <c r="R2644" s="17"/>
      <c r="S2644" s="17"/>
      <c r="T2644" s="17"/>
      <c r="U2644" s="17"/>
      <c r="V2644" s="17"/>
      <c r="W2644" s="17"/>
      <c r="X2644" s="17"/>
      <c r="Y2644" s="17"/>
      <c r="Z2644" s="17"/>
    </row>
    <row r="2645">
      <c r="A2645" s="17"/>
      <c r="B2645" s="17"/>
      <c r="C2645" s="17"/>
      <c r="D2645" s="17"/>
      <c r="E2645" s="17"/>
      <c r="F2645" s="17"/>
      <c r="G2645" s="17"/>
      <c r="H2645" s="17"/>
      <c r="I2645" s="17"/>
      <c r="J2645" s="17"/>
      <c r="K2645" s="17"/>
      <c r="L2645" s="17"/>
      <c r="M2645" s="17"/>
      <c r="N2645" s="17"/>
      <c r="O2645" s="17"/>
      <c r="P2645" s="17"/>
      <c r="Q2645" s="17"/>
      <c r="R2645" s="17"/>
      <c r="S2645" s="17"/>
      <c r="T2645" s="17"/>
      <c r="U2645" s="17"/>
      <c r="V2645" s="17"/>
      <c r="W2645" s="17"/>
      <c r="X2645" s="17"/>
      <c r="Y2645" s="17"/>
      <c r="Z2645" s="17"/>
    </row>
    <row r="2646">
      <c r="A2646" s="17"/>
      <c r="B2646" s="17"/>
      <c r="C2646" s="17"/>
      <c r="D2646" s="17"/>
      <c r="E2646" s="17"/>
      <c r="F2646" s="17"/>
      <c r="G2646" s="17"/>
      <c r="H2646" s="17"/>
      <c r="I2646" s="17"/>
      <c r="J2646" s="17"/>
      <c r="K2646" s="17"/>
      <c r="L2646" s="17"/>
      <c r="M2646" s="17"/>
      <c r="N2646" s="17"/>
      <c r="O2646" s="17"/>
      <c r="P2646" s="17"/>
      <c r="Q2646" s="17"/>
      <c r="R2646" s="17"/>
      <c r="S2646" s="17"/>
      <c r="T2646" s="17"/>
      <c r="U2646" s="17"/>
      <c r="V2646" s="17"/>
      <c r="W2646" s="17"/>
      <c r="X2646" s="17"/>
      <c r="Y2646" s="17"/>
      <c r="Z2646" s="17"/>
    </row>
    <row r="2647">
      <c r="A2647" s="17"/>
      <c r="B2647" s="17"/>
      <c r="C2647" s="17"/>
      <c r="D2647" s="17"/>
      <c r="E2647" s="17"/>
      <c r="F2647" s="17"/>
      <c r="G2647" s="17"/>
      <c r="H2647" s="17"/>
      <c r="I2647" s="17"/>
      <c r="J2647" s="17"/>
      <c r="K2647" s="17"/>
      <c r="L2647" s="17"/>
      <c r="M2647" s="17"/>
      <c r="N2647" s="17"/>
      <c r="O2647" s="17"/>
      <c r="P2647" s="17"/>
      <c r="Q2647" s="17"/>
      <c r="R2647" s="17"/>
      <c r="S2647" s="17"/>
      <c r="T2647" s="17"/>
      <c r="U2647" s="17"/>
      <c r="V2647" s="17"/>
      <c r="W2647" s="17"/>
      <c r="X2647" s="17"/>
      <c r="Y2647" s="17"/>
      <c r="Z2647" s="17"/>
    </row>
    <row r="2648">
      <c r="A2648" s="17"/>
      <c r="B2648" s="17"/>
      <c r="C2648" s="17"/>
      <c r="D2648" s="17"/>
      <c r="E2648" s="17"/>
      <c r="F2648" s="17"/>
      <c r="G2648" s="17"/>
      <c r="H2648" s="17"/>
      <c r="I2648" s="17"/>
      <c r="J2648" s="17"/>
      <c r="K2648" s="17"/>
      <c r="L2648" s="17"/>
      <c r="M2648" s="17"/>
      <c r="N2648" s="17"/>
      <c r="O2648" s="17"/>
      <c r="P2648" s="17"/>
      <c r="Q2648" s="17"/>
      <c r="R2648" s="17"/>
      <c r="S2648" s="17"/>
      <c r="T2648" s="17"/>
      <c r="U2648" s="17"/>
      <c r="V2648" s="17"/>
      <c r="W2648" s="17"/>
      <c r="X2648" s="17"/>
      <c r="Y2648" s="17"/>
      <c r="Z2648" s="17"/>
    </row>
    <row r="2649">
      <c r="A2649" s="17"/>
      <c r="B2649" s="17"/>
      <c r="C2649" s="17"/>
      <c r="D2649" s="17"/>
      <c r="E2649" s="17"/>
      <c r="F2649" s="17"/>
      <c r="G2649" s="17"/>
      <c r="H2649" s="17"/>
      <c r="I2649" s="17"/>
      <c r="J2649" s="17"/>
      <c r="K2649" s="17"/>
      <c r="L2649" s="17"/>
      <c r="M2649" s="17"/>
      <c r="N2649" s="17"/>
      <c r="O2649" s="17"/>
      <c r="P2649" s="17"/>
      <c r="Q2649" s="17"/>
      <c r="R2649" s="17"/>
      <c r="S2649" s="17"/>
      <c r="T2649" s="17"/>
      <c r="U2649" s="17"/>
      <c r="V2649" s="17"/>
      <c r="W2649" s="17"/>
      <c r="X2649" s="17"/>
      <c r="Y2649" s="17"/>
      <c r="Z2649" s="17"/>
    </row>
    <row r="2650">
      <c r="A2650" s="17"/>
      <c r="B2650" s="17"/>
      <c r="C2650" s="17"/>
      <c r="D2650" s="17"/>
      <c r="E2650" s="17"/>
      <c r="F2650" s="17"/>
      <c r="G2650" s="17"/>
      <c r="H2650" s="17"/>
      <c r="I2650" s="17"/>
      <c r="J2650" s="17"/>
      <c r="K2650" s="17"/>
      <c r="L2650" s="17"/>
      <c r="M2650" s="17"/>
      <c r="N2650" s="17"/>
      <c r="O2650" s="17"/>
      <c r="P2650" s="17"/>
      <c r="Q2650" s="17"/>
      <c r="R2650" s="17"/>
      <c r="S2650" s="17"/>
      <c r="T2650" s="17"/>
      <c r="U2650" s="17"/>
      <c r="V2650" s="17"/>
      <c r="W2650" s="17"/>
      <c r="X2650" s="17"/>
      <c r="Y2650" s="17"/>
      <c r="Z2650" s="17"/>
    </row>
    <row r="2651">
      <c r="A2651" s="17"/>
      <c r="B2651" s="17"/>
      <c r="C2651" s="17"/>
      <c r="D2651" s="17"/>
      <c r="E2651" s="17"/>
      <c r="F2651" s="17"/>
      <c r="G2651" s="17"/>
      <c r="H2651" s="17"/>
      <c r="I2651" s="17"/>
      <c r="J2651" s="17"/>
      <c r="K2651" s="17"/>
      <c r="L2651" s="17"/>
      <c r="M2651" s="17"/>
      <c r="N2651" s="17"/>
      <c r="O2651" s="17"/>
      <c r="P2651" s="17"/>
      <c r="Q2651" s="17"/>
      <c r="R2651" s="17"/>
      <c r="S2651" s="17"/>
      <c r="T2651" s="17"/>
      <c r="U2651" s="17"/>
      <c r="V2651" s="17"/>
      <c r="W2651" s="17"/>
      <c r="X2651" s="17"/>
      <c r="Y2651" s="17"/>
      <c r="Z2651" s="17"/>
    </row>
    <row r="2652">
      <c r="A2652" s="17"/>
      <c r="B2652" s="17"/>
      <c r="C2652" s="17"/>
      <c r="D2652" s="17"/>
      <c r="E2652" s="17"/>
      <c r="F2652" s="17"/>
      <c r="G2652" s="17"/>
      <c r="H2652" s="17"/>
      <c r="I2652" s="17"/>
      <c r="J2652" s="17"/>
      <c r="K2652" s="17"/>
      <c r="L2652" s="17"/>
      <c r="M2652" s="17"/>
      <c r="N2652" s="17"/>
      <c r="O2652" s="17"/>
      <c r="P2652" s="17"/>
      <c r="Q2652" s="17"/>
      <c r="R2652" s="17"/>
      <c r="S2652" s="17"/>
      <c r="T2652" s="17"/>
      <c r="U2652" s="17"/>
      <c r="V2652" s="17"/>
      <c r="W2652" s="17"/>
      <c r="X2652" s="17"/>
      <c r="Y2652" s="17"/>
      <c r="Z2652" s="17"/>
    </row>
    <row r="2653">
      <c r="A2653" s="17"/>
      <c r="B2653" s="17"/>
      <c r="C2653" s="17"/>
      <c r="D2653" s="17"/>
      <c r="E2653" s="17"/>
      <c r="F2653" s="17"/>
      <c r="G2653" s="17"/>
      <c r="H2653" s="17"/>
      <c r="I2653" s="17"/>
      <c r="J2653" s="17"/>
      <c r="K2653" s="17"/>
      <c r="L2653" s="17"/>
      <c r="M2653" s="17"/>
      <c r="N2653" s="17"/>
      <c r="O2653" s="17"/>
      <c r="P2653" s="17"/>
      <c r="Q2653" s="17"/>
      <c r="R2653" s="17"/>
      <c r="S2653" s="17"/>
      <c r="T2653" s="17"/>
      <c r="U2653" s="17"/>
      <c r="V2653" s="17"/>
      <c r="W2653" s="17"/>
      <c r="X2653" s="17"/>
      <c r="Y2653" s="17"/>
      <c r="Z2653" s="17"/>
    </row>
    <row r="2654">
      <c r="A2654" s="17"/>
      <c r="B2654" s="17"/>
      <c r="C2654" s="17"/>
      <c r="D2654" s="17"/>
      <c r="E2654" s="17"/>
      <c r="F2654" s="17"/>
      <c r="G2654" s="17"/>
      <c r="H2654" s="17"/>
      <c r="I2654" s="17"/>
      <c r="J2654" s="17"/>
      <c r="K2654" s="17"/>
      <c r="L2654" s="17"/>
      <c r="M2654" s="17"/>
      <c r="N2654" s="17"/>
      <c r="O2654" s="17"/>
      <c r="P2654" s="17"/>
      <c r="Q2654" s="17"/>
      <c r="R2654" s="17"/>
      <c r="S2654" s="17"/>
      <c r="T2654" s="17"/>
      <c r="U2654" s="17"/>
      <c r="V2654" s="17"/>
      <c r="W2654" s="17"/>
      <c r="X2654" s="17"/>
      <c r="Y2654" s="17"/>
      <c r="Z2654" s="17"/>
    </row>
    <row r="2655">
      <c r="A2655" s="17"/>
      <c r="B2655" s="17"/>
      <c r="C2655" s="17"/>
      <c r="D2655" s="17"/>
      <c r="E2655" s="17"/>
      <c r="F2655" s="17"/>
      <c r="G2655" s="17"/>
      <c r="H2655" s="17"/>
      <c r="I2655" s="17"/>
      <c r="J2655" s="17"/>
      <c r="K2655" s="17"/>
      <c r="L2655" s="17"/>
      <c r="M2655" s="17"/>
      <c r="N2655" s="17"/>
      <c r="O2655" s="17"/>
      <c r="P2655" s="17"/>
      <c r="Q2655" s="17"/>
      <c r="R2655" s="17"/>
      <c r="S2655" s="17"/>
      <c r="T2655" s="17"/>
      <c r="U2655" s="17"/>
      <c r="V2655" s="17"/>
      <c r="W2655" s="17"/>
      <c r="X2655" s="17"/>
      <c r="Y2655" s="17"/>
      <c r="Z2655" s="17"/>
    </row>
    <row r="2656">
      <c r="A2656" s="17"/>
      <c r="B2656" s="17"/>
      <c r="C2656" s="17"/>
      <c r="D2656" s="17"/>
      <c r="E2656" s="17"/>
      <c r="F2656" s="17"/>
      <c r="G2656" s="17"/>
      <c r="H2656" s="17"/>
      <c r="I2656" s="17"/>
      <c r="J2656" s="17"/>
      <c r="K2656" s="17"/>
      <c r="L2656" s="17"/>
      <c r="M2656" s="17"/>
      <c r="N2656" s="17"/>
      <c r="O2656" s="17"/>
      <c r="P2656" s="17"/>
      <c r="Q2656" s="17"/>
      <c r="R2656" s="17"/>
      <c r="S2656" s="17"/>
      <c r="T2656" s="17"/>
      <c r="U2656" s="17"/>
      <c r="V2656" s="17"/>
      <c r="W2656" s="17"/>
      <c r="X2656" s="17"/>
      <c r="Y2656" s="17"/>
      <c r="Z2656" s="17"/>
    </row>
    <row r="2657">
      <c r="A2657" s="17"/>
      <c r="B2657" s="17"/>
      <c r="C2657" s="17"/>
      <c r="D2657" s="17"/>
      <c r="E2657" s="17"/>
      <c r="F2657" s="17"/>
      <c r="G2657" s="17"/>
      <c r="H2657" s="17"/>
      <c r="I2657" s="17"/>
      <c r="J2657" s="17"/>
      <c r="K2657" s="17"/>
      <c r="L2657" s="17"/>
      <c r="M2657" s="17"/>
      <c r="N2657" s="17"/>
      <c r="O2657" s="17"/>
      <c r="P2657" s="17"/>
      <c r="Q2657" s="17"/>
      <c r="R2657" s="17"/>
      <c r="S2657" s="17"/>
      <c r="T2657" s="17"/>
      <c r="U2657" s="17"/>
      <c r="V2657" s="17"/>
      <c r="W2657" s="17"/>
      <c r="X2657" s="17"/>
      <c r="Y2657" s="17"/>
      <c r="Z2657" s="17"/>
    </row>
    <row r="2658">
      <c r="A2658" s="17"/>
      <c r="B2658" s="17"/>
      <c r="C2658" s="17"/>
      <c r="D2658" s="17"/>
      <c r="E2658" s="17"/>
      <c r="F2658" s="17"/>
      <c r="G2658" s="17"/>
      <c r="H2658" s="17"/>
      <c r="I2658" s="17"/>
      <c r="J2658" s="17"/>
      <c r="K2658" s="17"/>
      <c r="L2658" s="17"/>
      <c r="M2658" s="17"/>
      <c r="N2658" s="17"/>
      <c r="O2658" s="17"/>
      <c r="P2658" s="17"/>
      <c r="Q2658" s="17"/>
      <c r="R2658" s="17"/>
      <c r="S2658" s="17"/>
      <c r="T2658" s="17"/>
      <c r="U2658" s="17"/>
      <c r="V2658" s="17"/>
      <c r="W2658" s="17"/>
      <c r="X2658" s="17"/>
      <c r="Y2658" s="17"/>
      <c r="Z2658" s="17"/>
    </row>
    <row r="2659">
      <c r="A2659" s="17"/>
      <c r="B2659" s="17"/>
      <c r="C2659" s="17"/>
      <c r="D2659" s="17"/>
      <c r="E2659" s="17"/>
      <c r="F2659" s="17"/>
      <c r="G2659" s="17"/>
      <c r="H2659" s="17"/>
      <c r="I2659" s="17"/>
      <c r="J2659" s="17"/>
      <c r="K2659" s="17"/>
      <c r="L2659" s="17"/>
      <c r="M2659" s="17"/>
      <c r="N2659" s="17"/>
      <c r="O2659" s="17"/>
      <c r="P2659" s="17"/>
      <c r="Q2659" s="17"/>
      <c r="R2659" s="17"/>
      <c r="S2659" s="17"/>
      <c r="T2659" s="17"/>
      <c r="U2659" s="17"/>
      <c r="V2659" s="17"/>
      <c r="W2659" s="17"/>
      <c r="X2659" s="17"/>
      <c r="Y2659" s="17"/>
      <c r="Z2659" s="17"/>
    </row>
    <row r="2660">
      <c r="A2660" s="17"/>
      <c r="B2660" s="17"/>
      <c r="C2660" s="17"/>
      <c r="D2660" s="17"/>
      <c r="E2660" s="17"/>
      <c r="F2660" s="17"/>
      <c r="G2660" s="17"/>
      <c r="H2660" s="17"/>
      <c r="I2660" s="17"/>
      <c r="J2660" s="17"/>
      <c r="K2660" s="17"/>
      <c r="L2660" s="17"/>
      <c r="M2660" s="17"/>
      <c r="N2660" s="17"/>
      <c r="O2660" s="17"/>
      <c r="P2660" s="17"/>
      <c r="Q2660" s="17"/>
      <c r="R2660" s="17"/>
      <c r="S2660" s="17"/>
      <c r="T2660" s="17"/>
      <c r="U2660" s="17"/>
      <c r="V2660" s="17"/>
      <c r="W2660" s="17"/>
      <c r="X2660" s="17"/>
      <c r="Y2660" s="17"/>
      <c r="Z2660" s="17"/>
    </row>
    <row r="2661">
      <c r="A2661" s="17"/>
      <c r="B2661" s="17"/>
      <c r="C2661" s="17"/>
      <c r="D2661" s="17"/>
      <c r="E2661" s="17"/>
      <c r="F2661" s="17"/>
      <c r="G2661" s="17"/>
      <c r="H2661" s="17"/>
      <c r="I2661" s="17"/>
      <c r="J2661" s="17"/>
      <c r="K2661" s="17"/>
      <c r="L2661" s="17"/>
      <c r="M2661" s="17"/>
      <c r="N2661" s="17"/>
      <c r="O2661" s="17"/>
      <c r="P2661" s="17"/>
      <c r="Q2661" s="17"/>
      <c r="R2661" s="17"/>
      <c r="S2661" s="17"/>
      <c r="T2661" s="17"/>
      <c r="U2661" s="17"/>
      <c r="V2661" s="17"/>
      <c r="W2661" s="17"/>
      <c r="X2661" s="17"/>
      <c r="Y2661" s="17"/>
      <c r="Z2661" s="17"/>
    </row>
    <row r="2662">
      <c r="A2662" s="17"/>
      <c r="B2662" s="17"/>
      <c r="C2662" s="17"/>
      <c r="D2662" s="17"/>
      <c r="E2662" s="17"/>
      <c r="F2662" s="17"/>
      <c r="G2662" s="17"/>
      <c r="H2662" s="17"/>
      <c r="I2662" s="17"/>
      <c r="J2662" s="17"/>
      <c r="K2662" s="17"/>
      <c r="L2662" s="17"/>
      <c r="M2662" s="17"/>
      <c r="N2662" s="17"/>
      <c r="O2662" s="17"/>
      <c r="P2662" s="17"/>
      <c r="Q2662" s="17"/>
      <c r="R2662" s="17"/>
      <c r="S2662" s="17"/>
      <c r="T2662" s="17"/>
      <c r="U2662" s="17"/>
      <c r="V2662" s="17"/>
      <c r="W2662" s="17"/>
      <c r="X2662" s="17"/>
      <c r="Y2662" s="17"/>
      <c r="Z2662" s="17"/>
    </row>
    <row r="2663">
      <c r="A2663" s="17"/>
      <c r="B2663" s="17"/>
      <c r="C2663" s="17"/>
      <c r="D2663" s="17"/>
      <c r="E2663" s="17"/>
      <c r="F2663" s="17"/>
      <c r="G2663" s="17"/>
      <c r="H2663" s="17"/>
      <c r="I2663" s="17"/>
      <c r="J2663" s="17"/>
      <c r="K2663" s="17"/>
      <c r="L2663" s="17"/>
      <c r="M2663" s="17"/>
      <c r="N2663" s="17"/>
      <c r="O2663" s="17"/>
      <c r="P2663" s="17"/>
      <c r="Q2663" s="17"/>
      <c r="R2663" s="17"/>
      <c r="S2663" s="17"/>
      <c r="T2663" s="17"/>
      <c r="U2663" s="17"/>
      <c r="V2663" s="17"/>
      <c r="W2663" s="17"/>
      <c r="X2663" s="17"/>
      <c r="Y2663" s="17"/>
      <c r="Z2663" s="17"/>
    </row>
    <row r="2664">
      <c r="A2664" s="17"/>
      <c r="B2664" s="17"/>
      <c r="C2664" s="17"/>
      <c r="D2664" s="17"/>
      <c r="E2664" s="17"/>
      <c r="F2664" s="17"/>
      <c r="G2664" s="17"/>
      <c r="H2664" s="17"/>
      <c r="I2664" s="17"/>
      <c r="J2664" s="17"/>
      <c r="K2664" s="17"/>
      <c r="L2664" s="17"/>
      <c r="M2664" s="17"/>
      <c r="N2664" s="17"/>
      <c r="O2664" s="17"/>
      <c r="P2664" s="17"/>
      <c r="Q2664" s="17"/>
      <c r="R2664" s="17"/>
      <c r="S2664" s="17"/>
      <c r="T2664" s="17"/>
      <c r="U2664" s="17"/>
      <c r="V2664" s="17"/>
      <c r="W2664" s="17"/>
      <c r="X2664" s="17"/>
      <c r="Y2664" s="17"/>
      <c r="Z2664" s="17"/>
    </row>
    <row r="2665">
      <c r="A2665" s="17"/>
      <c r="B2665" s="17"/>
      <c r="C2665" s="17"/>
      <c r="D2665" s="17"/>
      <c r="E2665" s="17"/>
      <c r="F2665" s="17"/>
      <c r="G2665" s="17"/>
      <c r="H2665" s="17"/>
      <c r="I2665" s="17"/>
      <c r="J2665" s="17"/>
      <c r="K2665" s="17"/>
      <c r="L2665" s="17"/>
      <c r="M2665" s="17"/>
      <c r="N2665" s="17"/>
      <c r="O2665" s="17"/>
      <c r="P2665" s="17"/>
      <c r="Q2665" s="17"/>
      <c r="R2665" s="17"/>
      <c r="S2665" s="17"/>
      <c r="T2665" s="17"/>
      <c r="U2665" s="17"/>
      <c r="V2665" s="17"/>
      <c r="W2665" s="17"/>
      <c r="X2665" s="17"/>
      <c r="Y2665" s="17"/>
      <c r="Z2665" s="17"/>
    </row>
    <row r="2666">
      <c r="A2666" s="17"/>
      <c r="B2666" s="17"/>
      <c r="C2666" s="17"/>
      <c r="D2666" s="17"/>
      <c r="E2666" s="17"/>
      <c r="F2666" s="17"/>
      <c r="G2666" s="17"/>
      <c r="H2666" s="17"/>
      <c r="I2666" s="17"/>
      <c r="J2666" s="17"/>
      <c r="K2666" s="17"/>
      <c r="L2666" s="17"/>
      <c r="M2666" s="17"/>
      <c r="N2666" s="17"/>
      <c r="O2666" s="17"/>
      <c r="P2666" s="17"/>
      <c r="Q2666" s="17"/>
      <c r="R2666" s="17"/>
      <c r="S2666" s="17"/>
      <c r="T2666" s="17"/>
      <c r="U2666" s="17"/>
      <c r="V2666" s="17"/>
      <c r="W2666" s="17"/>
      <c r="X2666" s="17"/>
      <c r="Y2666" s="17"/>
      <c r="Z2666" s="17"/>
    </row>
    <row r="2667">
      <c r="A2667" s="17"/>
      <c r="B2667" s="17"/>
      <c r="C2667" s="17"/>
      <c r="D2667" s="17"/>
      <c r="E2667" s="17"/>
      <c r="F2667" s="17"/>
      <c r="G2667" s="17"/>
      <c r="H2667" s="17"/>
      <c r="I2667" s="17"/>
      <c r="J2667" s="17"/>
      <c r="K2667" s="17"/>
      <c r="L2667" s="17"/>
      <c r="M2667" s="17"/>
      <c r="N2667" s="17"/>
      <c r="O2667" s="17"/>
      <c r="P2667" s="17"/>
      <c r="Q2667" s="17"/>
      <c r="R2667" s="17"/>
      <c r="S2667" s="17"/>
      <c r="T2667" s="17"/>
      <c r="U2667" s="17"/>
      <c r="V2667" s="17"/>
      <c r="W2667" s="17"/>
      <c r="X2667" s="17"/>
      <c r="Y2667" s="17"/>
      <c r="Z2667" s="17"/>
    </row>
    <row r="2668">
      <c r="A2668" s="17"/>
      <c r="B2668" s="17"/>
      <c r="C2668" s="17"/>
      <c r="D2668" s="17"/>
      <c r="E2668" s="17"/>
      <c r="F2668" s="17"/>
      <c r="G2668" s="17"/>
      <c r="H2668" s="17"/>
      <c r="I2668" s="17"/>
      <c r="J2668" s="17"/>
      <c r="K2668" s="17"/>
      <c r="L2668" s="17"/>
      <c r="M2668" s="17"/>
      <c r="N2668" s="17"/>
      <c r="O2668" s="17"/>
      <c r="P2668" s="17"/>
      <c r="Q2668" s="17"/>
      <c r="R2668" s="17"/>
      <c r="S2668" s="17"/>
      <c r="T2668" s="17"/>
      <c r="U2668" s="17"/>
      <c r="V2668" s="17"/>
      <c r="W2668" s="17"/>
      <c r="X2668" s="17"/>
      <c r="Y2668" s="17"/>
      <c r="Z2668" s="17"/>
    </row>
    <row r="2669">
      <c r="A2669" s="17"/>
      <c r="B2669" s="17"/>
      <c r="C2669" s="17"/>
      <c r="D2669" s="17"/>
      <c r="E2669" s="17"/>
      <c r="F2669" s="17"/>
      <c r="G2669" s="17"/>
      <c r="H2669" s="17"/>
      <c r="I2669" s="17"/>
      <c r="J2669" s="17"/>
      <c r="K2669" s="17"/>
      <c r="L2669" s="17"/>
      <c r="M2669" s="17"/>
      <c r="N2669" s="17"/>
      <c r="O2669" s="17"/>
      <c r="P2669" s="17"/>
      <c r="Q2669" s="17"/>
      <c r="R2669" s="17"/>
      <c r="S2669" s="17"/>
      <c r="T2669" s="17"/>
      <c r="U2669" s="17"/>
      <c r="V2669" s="17"/>
      <c r="W2669" s="17"/>
      <c r="X2669" s="17"/>
      <c r="Y2669" s="17"/>
      <c r="Z2669" s="17"/>
    </row>
    <row r="2670">
      <c r="A2670" s="17"/>
      <c r="B2670" s="17"/>
      <c r="C2670" s="17"/>
      <c r="D2670" s="17"/>
      <c r="E2670" s="17"/>
      <c r="F2670" s="17"/>
      <c r="G2670" s="17"/>
      <c r="H2670" s="17"/>
      <c r="I2670" s="17"/>
      <c r="J2670" s="17"/>
      <c r="K2670" s="17"/>
      <c r="L2670" s="17"/>
      <c r="M2670" s="17"/>
      <c r="N2670" s="17"/>
      <c r="O2670" s="17"/>
      <c r="P2670" s="17"/>
      <c r="Q2670" s="17"/>
      <c r="R2670" s="17"/>
      <c r="S2670" s="17"/>
      <c r="T2670" s="17"/>
      <c r="U2670" s="17"/>
      <c r="V2670" s="17"/>
      <c r="W2670" s="17"/>
      <c r="X2670" s="17"/>
      <c r="Y2670" s="17"/>
      <c r="Z2670" s="17"/>
    </row>
    <row r="2671">
      <c r="A2671" s="17"/>
      <c r="B2671" s="17"/>
      <c r="C2671" s="17"/>
      <c r="D2671" s="17"/>
      <c r="E2671" s="17"/>
      <c r="F2671" s="17"/>
      <c r="G2671" s="17"/>
      <c r="H2671" s="17"/>
      <c r="I2671" s="17"/>
      <c r="J2671" s="17"/>
      <c r="K2671" s="17"/>
      <c r="L2671" s="17"/>
      <c r="M2671" s="17"/>
      <c r="N2671" s="17"/>
      <c r="O2671" s="17"/>
      <c r="P2671" s="17"/>
      <c r="Q2671" s="17"/>
      <c r="R2671" s="17"/>
      <c r="S2671" s="17"/>
      <c r="T2671" s="17"/>
      <c r="U2671" s="17"/>
      <c r="V2671" s="17"/>
      <c r="W2671" s="17"/>
      <c r="X2671" s="17"/>
      <c r="Y2671" s="17"/>
      <c r="Z2671" s="17"/>
    </row>
    <row r="2672">
      <c r="A2672" s="17"/>
      <c r="B2672" s="17"/>
      <c r="C2672" s="17"/>
      <c r="D2672" s="17"/>
      <c r="E2672" s="17"/>
      <c r="F2672" s="17"/>
      <c r="G2672" s="17"/>
      <c r="H2672" s="17"/>
      <c r="I2672" s="17"/>
      <c r="J2672" s="17"/>
      <c r="K2672" s="17"/>
      <c r="L2672" s="17"/>
      <c r="M2672" s="17"/>
      <c r="N2672" s="17"/>
      <c r="O2672" s="17"/>
      <c r="P2672" s="17"/>
      <c r="Q2672" s="17"/>
      <c r="R2672" s="17"/>
      <c r="S2672" s="17"/>
      <c r="T2672" s="17"/>
      <c r="U2672" s="17"/>
      <c r="V2672" s="17"/>
      <c r="W2672" s="17"/>
      <c r="X2672" s="17"/>
      <c r="Y2672" s="17"/>
      <c r="Z2672" s="17"/>
    </row>
    <row r="2673">
      <c r="A2673" s="17"/>
      <c r="B2673" s="17"/>
      <c r="C2673" s="17"/>
      <c r="D2673" s="17"/>
      <c r="E2673" s="17"/>
      <c r="F2673" s="17"/>
      <c r="G2673" s="17"/>
      <c r="H2673" s="17"/>
      <c r="I2673" s="17"/>
      <c r="J2673" s="17"/>
      <c r="K2673" s="17"/>
      <c r="L2673" s="17"/>
      <c r="M2673" s="17"/>
      <c r="N2673" s="17"/>
      <c r="O2673" s="17"/>
      <c r="P2673" s="17"/>
      <c r="Q2673" s="17"/>
      <c r="R2673" s="17"/>
      <c r="S2673" s="17"/>
      <c r="T2673" s="17"/>
      <c r="U2673" s="17"/>
      <c r="V2673" s="17"/>
      <c r="W2673" s="17"/>
      <c r="X2673" s="17"/>
      <c r="Y2673" s="17"/>
      <c r="Z2673" s="17"/>
    </row>
    <row r="2674">
      <c r="A2674" s="17"/>
      <c r="B2674" s="17"/>
      <c r="C2674" s="17"/>
      <c r="D2674" s="17"/>
      <c r="E2674" s="17"/>
      <c r="F2674" s="17"/>
      <c r="G2674" s="17"/>
      <c r="H2674" s="17"/>
      <c r="I2674" s="17"/>
      <c r="J2674" s="17"/>
      <c r="K2674" s="17"/>
      <c r="L2674" s="17"/>
      <c r="M2674" s="17"/>
      <c r="N2674" s="17"/>
      <c r="O2674" s="17"/>
      <c r="P2674" s="17"/>
      <c r="Q2674" s="17"/>
      <c r="R2674" s="17"/>
      <c r="S2674" s="17"/>
      <c r="T2674" s="17"/>
      <c r="U2674" s="17"/>
      <c r="V2674" s="17"/>
      <c r="W2674" s="17"/>
      <c r="X2674" s="17"/>
      <c r="Y2674" s="17"/>
      <c r="Z2674" s="17"/>
    </row>
    <row r="2675">
      <c r="A2675" s="17"/>
      <c r="B2675" s="17"/>
      <c r="C2675" s="17"/>
      <c r="D2675" s="17"/>
      <c r="E2675" s="17"/>
      <c r="F2675" s="17"/>
      <c r="G2675" s="17"/>
      <c r="H2675" s="17"/>
      <c r="I2675" s="17"/>
      <c r="J2675" s="17"/>
      <c r="K2675" s="17"/>
      <c r="L2675" s="17"/>
      <c r="M2675" s="17"/>
      <c r="N2675" s="17"/>
      <c r="O2675" s="17"/>
      <c r="P2675" s="17"/>
      <c r="Q2675" s="17"/>
      <c r="R2675" s="17"/>
      <c r="S2675" s="17"/>
      <c r="T2675" s="17"/>
      <c r="U2675" s="17"/>
      <c r="V2675" s="17"/>
      <c r="W2675" s="17"/>
      <c r="X2675" s="17"/>
      <c r="Y2675" s="17"/>
      <c r="Z2675" s="17"/>
    </row>
    <row r="2676">
      <c r="A2676" s="17"/>
      <c r="B2676" s="17"/>
      <c r="C2676" s="17"/>
      <c r="D2676" s="17"/>
      <c r="E2676" s="17"/>
      <c r="F2676" s="17"/>
      <c r="G2676" s="17"/>
      <c r="H2676" s="17"/>
      <c r="I2676" s="17"/>
      <c r="J2676" s="17"/>
      <c r="K2676" s="17"/>
      <c r="L2676" s="17"/>
      <c r="M2676" s="17"/>
      <c r="N2676" s="17"/>
      <c r="O2676" s="17"/>
      <c r="P2676" s="17"/>
      <c r="Q2676" s="17"/>
      <c r="R2676" s="17"/>
      <c r="S2676" s="17"/>
      <c r="T2676" s="17"/>
      <c r="U2676" s="17"/>
      <c r="V2676" s="17"/>
      <c r="W2676" s="17"/>
      <c r="X2676" s="17"/>
      <c r="Y2676" s="17"/>
      <c r="Z2676" s="17"/>
    </row>
    <row r="2677">
      <c r="A2677" s="17"/>
      <c r="B2677" s="17"/>
      <c r="C2677" s="17"/>
      <c r="D2677" s="17"/>
      <c r="E2677" s="17"/>
      <c r="F2677" s="17"/>
      <c r="G2677" s="17"/>
      <c r="H2677" s="17"/>
      <c r="I2677" s="17"/>
      <c r="J2677" s="17"/>
      <c r="K2677" s="17"/>
      <c r="L2677" s="17"/>
      <c r="M2677" s="17"/>
      <c r="N2677" s="17"/>
      <c r="O2677" s="17"/>
      <c r="P2677" s="17"/>
      <c r="Q2677" s="17"/>
      <c r="R2677" s="17"/>
      <c r="S2677" s="17"/>
      <c r="T2677" s="17"/>
      <c r="U2677" s="17"/>
      <c r="V2677" s="17"/>
      <c r="W2677" s="17"/>
      <c r="X2677" s="17"/>
      <c r="Y2677" s="17"/>
      <c r="Z2677" s="17"/>
    </row>
    <row r="2678">
      <c r="A2678" s="17"/>
      <c r="B2678" s="17"/>
      <c r="C2678" s="17"/>
      <c r="D2678" s="17"/>
      <c r="E2678" s="17"/>
      <c r="F2678" s="17"/>
      <c r="G2678" s="17"/>
      <c r="H2678" s="17"/>
      <c r="I2678" s="17"/>
      <c r="J2678" s="17"/>
      <c r="K2678" s="17"/>
      <c r="L2678" s="17"/>
      <c r="M2678" s="17"/>
      <c r="N2678" s="17"/>
      <c r="O2678" s="17"/>
      <c r="P2678" s="17"/>
      <c r="Q2678" s="17"/>
      <c r="R2678" s="17"/>
      <c r="S2678" s="17"/>
      <c r="T2678" s="17"/>
      <c r="U2678" s="17"/>
      <c r="V2678" s="17"/>
      <c r="W2678" s="17"/>
      <c r="X2678" s="17"/>
      <c r="Y2678" s="17"/>
      <c r="Z2678" s="17"/>
    </row>
    <row r="2679">
      <c r="A2679" s="17"/>
      <c r="B2679" s="17"/>
      <c r="C2679" s="17"/>
      <c r="D2679" s="17"/>
      <c r="E2679" s="17"/>
      <c r="F2679" s="17"/>
      <c r="G2679" s="17"/>
      <c r="H2679" s="17"/>
      <c r="I2679" s="17"/>
      <c r="J2679" s="17"/>
      <c r="K2679" s="17"/>
      <c r="L2679" s="17"/>
      <c r="M2679" s="17"/>
      <c r="N2679" s="17"/>
      <c r="O2679" s="17"/>
      <c r="P2679" s="17"/>
      <c r="Q2679" s="17"/>
      <c r="R2679" s="17"/>
      <c r="S2679" s="17"/>
      <c r="T2679" s="17"/>
      <c r="U2679" s="17"/>
      <c r="V2679" s="17"/>
      <c r="W2679" s="17"/>
      <c r="X2679" s="17"/>
      <c r="Y2679" s="17"/>
      <c r="Z2679" s="17"/>
    </row>
    <row r="2680">
      <c r="A2680" s="17"/>
      <c r="B2680" s="17"/>
      <c r="C2680" s="17"/>
      <c r="D2680" s="17"/>
      <c r="E2680" s="17"/>
      <c r="F2680" s="17"/>
      <c r="G2680" s="17"/>
      <c r="H2680" s="17"/>
      <c r="I2680" s="17"/>
      <c r="J2680" s="17"/>
      <c r="K2680" s="17"/>
      <c r="L2680" s="17"/>
      <c r="M2680" s="17"/>
      <c r="N2680" s="17"/>
      <c r="O2680" s="17"/>
      <c r="P2680" s="17"/>
      <c r="Q2680" s="17"/>
      <c r="R2680" s="17"/>
      <c r="S2680" s="17"/>
      <c r="T2680" s="17"/>
      <c r="U2680" s="17"/>
      <c r="V2680" s="17"/>
      <c r="W2680" s="17"/>
      <c r="X2680" s="17"/>
      <c r="Y2680" s="17"/>
      <c r="Z2680" s="17"/>
    </row>
    <row r="2681">
      <c r="A2681" s="17"/>
      <c r="B2681" s="17"/>
      <c r="C2681" s="17"/>
      <c r="D2681" s="17"/>
      <c r="E2681" s="17"/>
      <c r="F2681" s="17"/>
      <c r="G2681" s="17"/>
      <c r="H2681" s="17"/>
      <c r="I2681" s="17"/>
      <c r="J2681" s="17"/>
      <c r="K2681" s="17"/>
      <c r="L2681" s="17"/>
      <c r="M2681" s="17"/>
      <c r="N2681" s="17"/>
      <c r="O2681" s="17"/>
      <c r="P2681" s="17"/>
      <c r="Q2681" s="17"/>
      <c r="R2681" s="17"/>
      <c r="S2681" s="17"/>
      <c r="T2681" s="17"/>
      <c r="U2681" s="17"/>
      <c r="V2681" s="17"/>
      <c r="W2681" s="17"/>
      <c r="X2681" s="17"/>
      <c r="Y2681" s="17"/>
      <c r="Z2681" s="17"/>
    </row>
    <row r="2682">
      <c r="A2682" s="17"/>
      <c r="B2682" s="17"/>
      <c r="C2682" s="17"/>
      <c r="D2682" s="17"/>
      <c r="E2682" s="17"/>
      <c r="F2682" s="17"/>
      <c r="G2682" s="17"/>
      <c r="H2682" s="17"/>
      <c r="I2682" s="17"/>
      <c r="J2682" s="17"/>
      <c r="K2682" s="17"/>
      <c r="L2682" s="17"/>
      <c r="M2682" s="17"/>
      <c r="N2682" s="17"/>
      <c r="O2682" s="17"/>
      <c r="P2682" s="17"/>
      <c r="Q2682" s="17"/>
      <c r="R2682" s="17"/>
      <c r="S2682" s="17"/>
      <c r="T2682" s="17"/>
      <c r="U2682" s="17"/>
      <c r="V2682" s="17"/>
      <c r="W2682" s="17"/>
      <c r="X2682" s="17"/>
      <c r="Y2682" s="17"/>
      <c r="Z2682" s="17"/>
    </row>
    <row r="2683">
      <c r="A2683" s="17"/>
      <c r="B2683" s="17"/>
      <c r="C2683" s="17"/>
      <c r="D2683" s="17"/>
      <c r="E2683" s="17"/>
      <c r="F2683" s="17"/>
      <c r="G2683" s="17"/>
      <c r="H2683" s="17"/>
      <c r="I2683" s="17"/>
      <c r="J2683" s="17"/>
      <c r="K2683" s="17"/>
      <c r="L2683" s="17"/>
      <c r="M2683" s="17"/>
      <c r="N2683" s="17"/>
      <c r="O2683" s="17"/>
      <c r="P2683" s="17"/>
      <c r="Q2683" s="17"/>
      <c r="R2683" s="17"/>
      <c r="S2683" s="17"/>
      <c r="T2683" s="17"/>
      <c r="U2683" s="17"/>
      <c r="V2683" s="17"/>
      <c r="W2683" s="17"/>
      <c r="X2683" s="17"/>
      <c r="Y2683" s="17"/>
      <c r="Z2683" s="17"/>
    </row>
    <row r="2684">
      <c r="A2684" s="17"/>
      <c r="B2684" s="17"/>
      <c r="C2684" s="17"/>
      <c r="D2684" s="17"/>
      <c r="E2684" s="17"/>
      <c r="F2684" s="17"/>
      <c r="G2684" s="17"/>
      <c r="H2684" s="17"/>
      <c r="I2684" s="17"/>
      <c r="J2684" s="17"/>
      <c r="K2684" s="17"/>
      <c r="L2684" s="17"/>
      <c r="M2684" s="17"/>
      <c r="N2684" s="17"/>
      <c r="O2684" s="17"/>
      <c r="P2684" s="17"/>
      <c r="Q2684" s="17"/>
      <c r="R2684" s="17"/>
      <c r="S2684" s="17"/>
      <c r="T2684" s="17"/>
      <c r="U2684" s="17"/>
      <c r="V2684" s="17"/>
      <c r="W2684" s="17"/>
      <c r="X2684" s="17"/>
      <c r="Y2684" s="17"/>
      <c r="Z2684" s="17"/>
    </row>
    <row r="2685">
      <c r="A2685" s="17"/>
      <c r="B2685" s="17"/>
      <c r="C2685" s="17"/>
      <c r="D2685" s="17"/>
      <c r="E2685" s="17"/>
      <c r="F2685" s="17"/>
      <c r="G2685" s="17"/>
      <c r="H2685" s="17"/>
      <c r="I2685" s="17"/>
      <c r="J2685" s="17"/>
      <c r="K2685" s="17"/>
      <c r="L2685" s="17"/>
      <c r="M2685" s="17"/>
      <c r="N2685" s="17"/>
      <c r="O2685" s="17"/>
      <c r="P2685" s="17"/>
      <c r="Q2685" s="17"/>
      <c r="R2685" s="17"/>
      <c r="S2685" s="17"/>
      <c r="T2685" s="17"/>
      <c r="U2685" s="17"/>
      <c r="V2685" s="17"/>
      <c r="W2685" s="17"/>
      <c r="X2685" s="17"/>
      <c r="Y2685" s="17"/>
      <c r="Z2685" s="17"/>
    </row>
    <row r="2686">
      <c r="A2686" s="17"/>
      <c r="B2686" s="17"/>
      <c r="C2686" s="17"/>
      <c r="D2686" s="17"/>
      <c r="E2686" s="17"/>
      <c r="F2686" s="17"/>
      <c r="G2686" s="17"/>
      <c r="H2686" s="17"/>
      <c r="I2686" s="17"/>
      <c r="J2686" s="17"/>
      <c r="K2686" s="17"/>
      <c r="L2686" s="17"/>
      <c r="M2686" s="17"/>
      <c r="N2686" s="17"/>
      <c r="O2686" s="17"/>
      <c r="P2686" s="17"/>
      <c r="Q2686" s="17"/>
      <c r="R2686" s="17"/>
      <c r="S2686" s="17"/>
      <c r="T2686" s="17"/>
      <c r="U2686" s="17"/>
      <c r="V2686" s="17"/>
      <c r="W2686" s="17"/>
      <c r="X2686" s="17"/>
      <c r="Y2686" s="17"/>
      <c r="Z2686" s="17"/>
    </row>
    <row r="2687">
      <c r="A2687" s="17"/>
      <c r="B2687" s="17"/>
      <c r="C2687" s="17"/>
      <c r="D2687" s="17"/>
      <c r="E2687" s="17"/>
      <c r="F2687" s="17"/>
      <c r="G2687" s="17"/>
      <c r="H2687" s="17"/>
      <c r="I2687" s="17"/>
      <c r="J2687" s="17"/>
      <c r="K2687" s="17"/>
      <c r="L2687" s="17"/>
      <c r="M2687" s="17"/>
      <c r="N2687" s="17"/>
      <c r="O2687" s="17"/>
      <c r="P2687" s="17"/>
      <c r="Q2687" s="17"/>
      <c r="R2687" s="17"/>
      <c r="S2687" s="17"/>
      <c r="T2687" s="17"/>
      <c r="U2687" s="17"/>
      <c r="V2687" s="17"/>
      <c r="W2687" s="17"/>
      <c r="X2687" s="17"/>
      <c r="Y2687" s="17"/>
      <c r="Z2687" s="17"/>
    </row>
    <row r="2688">
      <c r="A2688" s="17"/>
      <c r="B2688" s="17"/>
      <c r="C2688" s="17"/>
      <c r="D2688" s="17"/>
      <c r="E2688" s="17"/>
      <c r="F2688" s="17"/>
      <c r="G2688" s="17"/>
      <c r="H2688" s="17"/>
      <c r="I2688" s="17"/>
      <c r="J2688" s="17"/>
      <c r="K2688" s="17"/>
      <c r="L2688" s="17"/>
      <c r="M2688" s="17"/>
      <c r="N2688" s="17"/>
      <c r="O2688" s="17"/>
      <c r="P2688" s="17"/>
      <c r="Q2688" s="17"/>
      <c r="R2688" s="17"/>
      <c r="S2688" s="17"/>
      <c r="T2688" s="17"/>
      <c r="U2688" s="17"/>
      <c r="V2688" s="17"/>
      <c r="W2688" s="17"/>
      <c r="X2688" s="17"/>
      <c r="Y2688" s="17"/>
      <c r="Z2688" s="17"/>
    </row>
    <row r="2689">
      <c r="A2689" s="17"/>
      <c r="B2689" s="17"/>
      <c r="C2689" s="17"/>
      <c r="D2689" s="17"/>
      <c r="E2689" s="17"/>
      <c r="F2689" s="17"/>
      <c r="G2689" s="17"/>
      <c r="H2689" s="17"/>
      <c r="I2689" s="17"/>
      <c r="J2689" s="17"/>
      <c r="K2689" s="17"/>
      <c r="L2689" s="17"/>
      <c r="M2689" s="17"/>
      <c r="N2689" s="17"/>
      <c r="O2689" s="17"/>
      <c r="P2689" s="17"/>
      <c r="Q2689" s="17"/>
      <c r="R2689" s="17"/>
      <c r="S2689" s="17"/>
      <c r="T2689" s="17"/>
      <c r="U2689" s="17"/>
      <c r="V2689" s="17"/>
      <c r="W2689" s="17"/>
      <c r="X2689" s="17"/>
      <c r="Y2689" s="17"/>
      <c r="Z2689" s="17"/>
    </row>
    <row r="2690">
      <c r="A2690" s="17"/>
      <c r="B2690" s="17"/>
      <c r="C2690" s="17"/>
      <c r="D2690" s="17"/>
      <c r="E2690" s="17"/>
      <c r="F2690" s="17"/>
      <c r="G2690" s="17"/>
      <c r="H2690" s="17"/>
      <c r="I2690" s="17"/>
      <c r="J2690" s="17"/>
      <c r="K2690" s="17"/>
      <c r="L2690" s="17"/>
      <c r="M2690" s="17"/>
      <c r="N2690" s="17"/>
      <c r="O2690" s="17"/>
      <c r="P2690" s="17"/>
      <c r="Q2690" s="17"/>
      <c r="R2690" s="17"/>
      <c r="S2690" s="17"/>
      <c r="T2690" s="17"/>
      <c r="U2690" s="17"/>
      <c r="V2690" s="17"/>
      <c r="W2690" s="17"/>
      <c r="X2690" s="17"/>
      <c r="Y2690" s="17"/>
      <c r="Z2690" s="17"/>
    </row>
    <row r="2691">
      <c r="A2691" s="17"/>
      <c r="B2691" s="17"/>
      <c r="C2691" s="17"/>
      <c r="D2691" s="17"/>
      <c r="E2691" s="17"/>
      <c r="F2691" s="17"/>
      <c r="G2691" s="17"/>
      <c r="H2691" s="17"/>
      <c r="I2691" s="17"/>
      <c r="J2691" s="17"/>
      <c r="K2691" s="17"/>
      <c r="L2691" s="17"/>
      <c r="M2691" s="17"/>
      <c r="N2691" s="17"/>
      <c r="O2691" s="17"/>
      <c r="P2691" s="17"/>
      <c r="Q2691" s="17"/>
      <c r="R2691" s="17"/>
      <c r="S2691" s="17"/>
      <c r="T2691" s="17"/>
      <c r="U2691" s="17"/>
      <c r="V2691" s="17"/>
      <c r="W2691" s="17"/>
      <c r="X2691" s="17"/>
      <c r="Y2691" s="17"/>
      <c r="Z2691" s="17"/>
    </row>
    <row r="2692">
      <c r="A2692" s="17"/>
      <c r="B2692" s="17"/>
      <c r="C2692" s="17"/>
      <c r="D2692" s="17"/>
      <c r="E2692" s="17"/>
      <c r="F2692" s="17"/>
      <c r="G2692" s="17"/>
      <c r="H2692" s="17"/>
      <c r="I2692" s="17"/>
      <c r="J2692" s="17"/>
      <c r="K2692" s="17"/>
      <c r="L2692" s="17"/>
      <c r="M2692" s="17"/>
      <c r="N2692" s="17"/>
      <c r="O2692" s="17"/>
      <c r="P2692" s="17"/>
      <c r="Q2692" s="17"/>
      <c r="R2692" s="17"/>
      <c r="S2692" s="17"/>
      <c r="T2692" s="17"/>
      <c r="U2692" s="17"/>
      <c r="V2692" s="17"/>
      <c r="W2692" s="17"/>
      <c r="X2692" s="17"/>
      <c r="Y2692" s="17"/>
      <c r="Z2692" s="17"/>
    </row>
    <row r="2693">
      <c r="A2693" s="17"/>
      <c r="B2693" s="17"/>
      <c r="C2693" s="17"/>
      <c r="D2693" s="17"/>
      <c r="E2693" s="17"/>
      <c r="F2693" s="17"/>
      <c r="G2693" s="17"/>
      <c r="H2693" s="17"/>
      <c r="I2693" s="17"/>
      <c r="J2693" s="17"/>
      <c r="K2693" s="17"/>
      <c r="L2693" s="17"/>
      <c r="M2693" s="17"/>
      <c r="N2693" s="17"/>
      <c r="O2693" s="17"/>
      <c r="P2693" s="17"/>
      <c r="Q2693" s="17"/>
      <c r="R2693" s="17"/>
      <c r="S2693" s="17"/>
      <c r="T2693" s="17"/>
      <c r="U2693" s="17"/>
      <c r="V2693" s="17"/>
      <c r="W2693" s="17"/>
      <c r="X2693" s="17"/>
      <c r="Y2693" s="17"/>
      <c r="Z2693" s="17"/>
    </row>
    <row r="2694">
      <c r="A2694" s="17"/>
      <c r="B2694" s="17"/>
      <c r="C2694" s="17"/>
      <c r="D2694" s="17"/>
      <c r="E2694" s="17"/>
      <c r="F2694" s="17"/>
      <c r="G2694" s="17"/>
      <c r="H2694" s="17"/>
      <c r="I2694" s="17"/>
      <c r="J2694" s="17"/>
      <c r="K2694" s="17"/>
      <c r="L2694" s="17"/>
      <c r="M2694" s="17"/>
      <c r="N2694" s="17"/>
      <c r="O2694" s="17"/>
      <c r="P2694" s="17"/>
      <c r="Q2694" s="17"/>
      <c r="R2694" s="17"/>
      <c r="S2694" s="17"/>
      <c r="T2694" s="17"/>
      <c r="U2694" s="17"/>
      <c r="V2694" s="17"/>
      <c r="W2694" s="17"/>
      <c r="X2694" s="17"/>
      <c r="Y2694" s="17"/>
      <c r="Z2694" s="17"/>
    </row>
    <row r="2695">
      <c r="A2695" s="17"/>
      <c r="B2695" s="17"/>
      <c r="C2695" s="17"/>
      <c r="D2695" s="17"/>
      <c r="E2695" s="17"/>
      <c r="F2695" s="17"/>
      <c r="G2695" s="17"/>
      <c r="H2695" s="17"/>
      <c r="I2695" s="17"/>
      <c r="J2695" s="17"/>
      <c r="K2695" s="17"/>
      <c r="L2695" s="17"/>
      <c r="M2695" s="17"/>
      <c r="N2695" s="17"/>
      <c r="O2695" s="17"/>
      <c r="P2695" s="17"/>
      <c r="Q2695" s="17"/>
      <c r="R2695" s="17"/>
      <c r="S2695" s="17"/>
      <c r="T2695" s="17"/>
      <c r="U2695" s="17"/>
      <c r="V2695" s="17"/>
      <c r="W2695" s="17"/>
      <c r="X2695" s="17"/>
      <c r="Y2695" s="17"/>
      <c r="Z2695" s="17"/>
    </row>
    <row r="2696">
      <c r="A2696" s="17"/>
      <c r="B2696" s="17"/>
      <c r="C2696" s="17"/>
      <c r="D2696" s="17"/>
      <c r="E2696" s="17"/>
      <c r="F2696" s="17"/>
      <c r="G2696" s="17"/>
      <c r="H2696" s="17"/>
      <c r="I2696" s="17"/>
      <c r="J2696" s="17"/>
      <c r="K2696" s="17"/>
      <c r="L2696" s="17"/>
      <c r="M2696" s="17"/>
      <c r="N2696" s="17"/>
      <c r="O2696" s="17"/>
      <c r="P2696" s="17"/>
      <c r="Q2696" s="17"/>
      <c r="R2696" s="17"/>
      <c r="S2696" s="17"/>
      <c r="T2696" s="17"/>
      <c r="U2696" s="17"/>
      <c r="V2696" s="17"/>
      <c r="W2696" s="17"/>
      <c r="X2696" s="17"/>
      <c r="Y2696" s="17"/>
      <c r="Z2696" s="17"/>
    </row>
    <row r="2697">
      <c r="A2697" s="17"/>
      <c r="B2697" s="17"/>
      <c r="C2697" s="17"/>
      <c r="D2697" s="17"/>
      <c r="E2697" s="17"/>
      <c r="F2697" s="17"/>
      <c r="G2697" s="17"/>
      <c r="H2697" s="17"/>
      <c r="I2697" s="17"/>
      <c r="J2697" s="17"/>
      <c r="K2697" s="17"/>
      <c r="L2697" s="17"/>
      <c r="M2697" s="17"/>
      <c r="N2697" s="17"/>
      <c r="O2697" s="17"/>
      <c r="P2697" s="17"/>
      <c r="Q2697" s="17"/>
      <c r="R2697" s="17"/>
      <c r="S2697" s="17"/>
      <c r="T2697" s="17"/>
      <c r="U2697" s="17"/>
      <c r="V2697" s="17"/>
      <c r="W2697" s="17"/>
      <c r="X2697" s="17"/>
      <c r="Y2697" s="17"/>
      <c r="Z2697" s="17"/>
    </row>
    <row r="2698">
      <c r="A2698" s="17"/>
      <c r="B2698" s="17"/>
      <c r="C2698" s="17"/>
      <c r="D2698" s="17"/>
      <c r="E2698" s="17"/>
      <c r="F2698" s="17"/>
      <c r="G2698" s="17"/>
      <c r="H2698" s="17"/>
      <c r="I2698" s="17"/>
      <c r="J2698" s="17"/>
      <c r="K2698" s="17"/>
      <c r="L2698" s="17"/>
      <c r="M2698" s="17"/>
      <c r="N2698" s="17"/>
      <c r="O2698" s="17"/>
      <c r="P2698" s="17"/>
      <c r="Q2698" s="17"/>
      <c r="R2698" s="17"/>
      <c r="S2698" s="17"/>
      <c r="T2698" s="17"/>
      <c r="U2698" s="17"/>
      <c r="V2698" s="17"/>
      <c r="W2698" s="17"/>
      <c r="X2698" s="17"/>
      <c r="Y2698" s="17"/>
      <c r="Z2698" s="17"/>
    </row>
    <row r="2699">
      <c r="A2699" s="17"/>
      <c r="B2699" s="17"/>
      <c r="C2699" s="17"/>
      <c r="D2699" s="17"/>
      <c r="E2699" s="17"/>
      <c r="F2699" s="17"/>
      <c r="G2699" s="17"/>
      <c r="H2699" s="17"/>
      <c r="I2699" s="17"/>
      <c r="J2699" s="17"/>
      <c r="K2699" s="17"/>
      <c r="L2699" s="17"/>
      <c r="M2699" s="17"/>
      <c r="N2699" s="17"/>
      <c r="O2699" s="17"/>
      <c r="P2699" s="17"/>
      <c r="Q2699" s="17"/>
      <c r="R2699" s="17"/>
      <c r="S2699" s="17"/>
      <c r="T2699" s="17"/>
      <c r="U2699" s="17"/>
      <c r="V2699" s="17"/>
      <c r="W2699" s="17"/>
      <c r="X2699" s="17"/>
      <c r="Y2699" s="17"/>
      <c r="Z2699" s="17"/>
    </row>
    <row r="2700">
      <c r="A2700" s="17"/>
      <c r="B2700" s="17"/>
      <c r="C2700" s="17"/>
      <c r="D2700" s="17"/>
      <c r="E2700" s="17"/>
      <c r="F2700" s="17"/>
      <c r="G2700" s="17"/>
      <c r="H2700" s="17"/>
      <c r="I2700" s="17"/>
      <c r="J2700" s="17"/>
      <c r="K2700" s="17"/>
      <c r="L2700" s="17"/>
      <c r="M2700" s="17"/>
      <c r="N2700" s="17"/>
      <c r="O2700" s="17"/>
      <c r="P2700" s="17"/>
      <c r="Q2700" s="17"/>
      <c r="R2700" s="17"/>
      <c r="S2700" s="17"/>
      <c r="T2700" s="17"/>
      <c r="U2700" s="17"/>
      <c r="V2700" s="17"/>
      <c r="W2700" s="17"/>
      <c r="X2700" s="17"/>
      <c r="Y2700" s="17"/>
      <c r="Z2700" s="17"/>
    </row>
    <row r="2701">
      <c r="A2701" s="17"/>
      <c r="B2701" s="17"/>
      <c r="C2701" s="17"/>
      <c r="D2701" s="17"/>
      <c r="E2701" s="17"/>
      <c r="F2701" s="17"/>
      <c r="G2701" s="17"/>
      <c r="H2701" s="17"/>
      <c r="I2701" s="17"/>
      <c r="J2701" s="17"/>
      <c r="K2701" s="17"/>
      <c r="L2701" s="17"/>
      <c r="M2701" s="17"/>
      <c r="N2701" s="17"/>
      <c r="O2701" s="17"/>
      <c r="P2701" s="17"/>
      <c r="Q2701" s="17"/>
      <c r="R2701" s="17"/>
      <c r="S2701" s="17"/>
      <c r="T2701" s="17"/>
      <c r="U2701" s="17"/>
      <c r="V2701" s="17"/>
      <c r="W2701" s="17"/>
      <c r="X2701" s="17"/>
      <c r="Y2701" s="17"/>
      <c r="Z2701" s="17"/>
    </row>
    <row r="2702">
      <c r="A2702" s="17"/>
      <c r="B2702" s="17"/>
      <c r="C2702" s="17"/>
      <c r="D2702" s="17"/>
      <c r="E2702" s="17"/>
      <c r="F2702" s="17"/>
      <c r="G2702" s="17"/>
      <c r="H2702" s="17"/>
      <c r="I2702" s="17"/>
      <c r="J2702" s="17"/>
      <c r="K2702" s="17"/>
      <c r="L2702" s="17"/>
      <c r="M2702" s="17"/>
      <c r="N2702" s="17"/>
      <c r="O2702" s="17"/>
      <c r="P2702" s="17"/>
      <c r="Q2702" s="17"/>
      <c r="R2702" s="17"/>
      <c r="S2702" s="17"/>
      <c r="T2702" s="17"/>
      <c r="U2702" s="17"/>
      <c r="V2702" s="17"/>
      <c r="W2702" s="17"/>
      <c r="X2702" s="17"/>
      <c r="Y2702" s="17"/>
      <c r="Z2702" s="17"/>
    </row>
    <row r="2703">
      <c r="A2703" s="17"/>
      <c r="B2703" s="17"/>
      <c r="C2703" s="17"/>
      <c r="D2703" s="17"/>
      <c r="E2703" s="17"/>
      <c r="F2703" s="17"/>
      <c r="G2703" s="17"/>
      <c r="H2703" s="17"/>
      <c r="I2703" s="17"/>
      <c r="J2703" s="17"/>
      <c r="K2703" s="17"/>
      <c r="L2703" s="17"/>
      <c r="M2703" s="17"/>
      <c r="N2703" s="17"/>
      <c r="O2703" s="17"/>
      <c r="P2703" s="17"/>
      <c r="Q2703" s="17"/>
      <c r="R2703" s="17"/>
      <c r="S2703" s="17"/>
      <c r="T2703" s="17"/>
      <c r="U2703" s="17"/>
      <c r="V2703" s="17"/>
      <c r="W2703" s="17"/>
      <c r="X2703" s="17"/>
      <c r="Y2703" s="17"/>
      <c r="Z2703" s="17"/>
    </row>
    <row r="2704">
      <c r="A2704" s="17"/>
      <c r="B2704" s="17"/>
      <c r="C2704" s="17"/>
      <c r="D2704" s="17"/>
      <c r="E2704" s="17"/>
      <c r="F2704" s="17"/>
      <c r="G2704" s="17"/>
      <c r="H2704" s="17"/>
      <c r="I2704" s="17"/>
      <c r="J2704" s="17"/>
      <c r="K2704" s="17"/>
      <c r="L2704" s="17"/>
      <c r="M2704" s="17"/>
      <c r="N2704" s="17"/>
      <c r="O2704" s="17"/>
      <c r="P2704" s="17"/>
      <c r="Q2704" s="17"/>
      <c r="R2704" s="17"/>
      <c r="S2704" s="17"/>
      <c r="T2704" s="17"/>
      <c r="U2704" s="17"/>
      <c r="V2704" s="17"/>
      <c r="W2704" s="17"/>
      <c r="X2704" s="17"/>
      <c r="Y2704" s="17"/>
      <c r="Z2704" s="17"/>
    </row>
    <row r="2705">
      <c r="A2705" s="17"/>
      <c r="B2705" s="17"/>
      <c r="C2705" s="17"/>
      <c r="D2705" s="17"/>
      <c r="E2705" s="17"/>
      <c r="F2705" s="17"/>
      <c r="G2705" s="17"/>
      <c r="H2705" s="17"/>
      <c r="I2705" s="17"/>
      <c r="J2705" s="17"/>
      <c r="K2705" s="17"/>
      <c r="L2705" s="17"/>
      <c r="M2705" s="17"/>
      <c r="N2705" s="17"/>
      <c r="O2705" s="17"/>
      <c r="P2705" s="17"/>
      <c r="Q2705" s="17"/>
      <c r="R2705" s="17"/>
      <c r="S2705" s="17"/>
      <c r="T2705" s="17"/>
      <c r="U2705" s="17"/>
      <c r="V2705" s="17"/>
      <c r="W2705" s="17"/>
      <c r="X2705" s="17"/>
      <c r="Y2705" s="17"/>
      <c r="Z2705" s="17"/>
    </row>
    <row r="2706">
      <c r="A2706" s="17"/>
      <c r="B2706" s="17"/>
      <c r="C2706" s="17"/>
      <c r="D2706" s="17"/>
      <c r="E2706" s="17"/>
      <c r="F2706" s="17"/>
      <c r="G2706" s="17"/>
      <c r="H2706" s="17"/>
      <c r="I2706" s="17"/>
      <c r="J2706" s="17"/>
      <c r="K2706" s="17"/>
      <c r="L2706" s="17"/>
      <c r="M2706" s="17"/>
      <c r="N2706" s="17"/>
      <c r="O2706" s="17"/>
      <c r="P2706" s="17"/>
      <c r="Q2706" s="17"/>
      <c r="R2706" s="17"/>
      <c r="S2706" s="17"/>
      <c r="T2706" s="17"/>
      <c r="U2706" s="17"/>
      <c r="V2706" s="17"/>
      <c r="W2706" s="17"/>
      <c r="X2706" s="17"/>
      <c r="Y2706" s="17"/>
      <c r="Z2706" s="17"/>
    </row>
    <row r="2707">
      <c r="A2707" s="17"/>
      <c r="B2707" s="17"/>
      <c r="C2707" s="17"/>
      <c r="D2707" s="17"/>
      <c r="E2707" s="17"/>
      <c r="F2707" s="17"/>
      <c r="G2707" s="17"/>
      <c r="H2707" s="17"/>
      <c r="I2707" s="17"/>
      <c r="J2707" s="17"/>
      <c r="K2707" s="17"/>
      <c r="L2707" s="17"/>
      <c r="M2707" s="17"/>
      <c r="N2707" s="17"/>
      <c r="O2707" s="17"/>
      <c r="P2707" s="17"/>
      <c r="Q2707" s="17"/>
      <c r="R2707" s="17"/>
      <c r="S2707" s="17"/>
      <c r="T2707" s="17"/>
      <c r="U2707" s="17"/>
      <c r="V2707" s="17"/>
      <c r="W2707" s="17"/>
      <c r="X2707" s="17"/>
      <c r="Y2707" s="17"/>
      <c r="Z2707" s="17"/>
    </row>
    <row r="2708">
      <c r="A2708" s="17"/>
      <c r="B2708" s="17"/>
      <c r="C2708" s="17"/>
      <c r="D2708" s="17"/>
      <c r="E2708" s="17"/>
      <c r="F2708" s="17"/>
      <c r="G2708" s="17"/>
      <c r="H2708" s="17"/>
      <c r="I2708" s="17"/>
      <c r="J2708" s="17"/>
      <c r="K2708" s="17"/>
      <c r="L2708" s="17"/>
      <c r="M2708" s="17"/>
      <c r="N2708" s="17"/>
      <c r="O2708" s="17"/>
      <c r="P2708" s="17"/>
      <c r="Q2708" s="17"/>
      <c r="R2708" s="17"/>
      <c r="S2708" s="17"/>
      <c r="T2708" s="17"/>
      <c r="U2708" s="17"/>
      <c r="V2708" s="17"/>
      <c r="W2708" s="17"/>
      <c r="X2708" s="17"/>
      <c r="Y2708" s="17"/>
      <c r="Z2708" s="17"/>
    </row>
    <row r="2709">
      <c r="A2709" s="17"/>
      <c r="B2709" s="17"/>
      <c r="C2709" s="17"/>
      <c r="D2709" s="17"/>
      <c r="E2709" s="17"/>
      <c r="F2709" s="17"/>
      <c r="G2709" s="17"/>
      <c r="H2709" s="17"/>
      <c r="I2709" s="17"/>
      <c r="J2709" s="17"/>
      <c r="K2709" s="17"/>
      <c r="L2709" s="17"/>
      <c r="M2709" s="17"/>
      <c r="N2709" s="17"/>
      <c r="O2709" s="17"/>
      <c r="P2709" s="17"/>
      <c r="Q2709" s="17"/>
      <c r="R2709" s="17"/>
      <c r="S2709" s="17"/>
      <c r="T2709" s="17"/>
      <c r="U2709" s="17"/>
      <c r="V2709" s="17"/>
      <c r="W2709" s="17"/>
      <c r="X2709" s="17"/>
      <c r="Y2709" s="17"/>
      <c r="Z2709" s="17"/>
    </row>
    <row r="2710">
      <c r="A2710" s="17"/>
      <c r="B2710" s="17"/>
      <c r="C2710" s="17"/>
      <c r="D2710" s="17"/>
      <c r="E2710" s="17"/>
      <c r="F2710" s="17"/>
      <c r="G2710" s="17"/>
      <c r="H2710" s="17"/>
      <c r="I2710" s="17"/>
      <c r="J2710" s="17"/>
      <c r="K2710" s="17"/>
      <c r="L2710" s="17"/>
      <c r="M2710" s="17"/>
      <c r="N2710" s="17"/>
      <c r="O2710" s="17"/>
      <c r="P2710" s="17"/>
      <c r="Q2710" s="17"/>
      <c r="R2710" s="17"/>
      <c r="S2710" s="17"/>
      <c r="T2710" s="17"/>
      <c r="U2710" s="17"/>
      <c r="V2710" s="17"/>
      <c r="W2710" s="17"/>
      <c r="X2710" s="17"/>
      <c r="Y2710" s="17"/>
      <c r="Z2710" s="17"/>
    </row>
    <row r="2711">
      <c r="A2711" s="17"/>
      <c r="B2711" s="17"/>
      <c r="C2711" s="17"/>
      <c r="D2711" s="17"/>
      <c r="E2711" s="17"/>
      <c r="F2711" s="17"/>
      <c r="G2711" s="17"/>
      <c r="H2711" s="17"/>
      <c r="I2711" s="17"/>
      <c r="J2711" s="17"/>
      <c r="K2711" s="17"/>
      <c r="L2711" s="17"/>
      <c r="M2711" s="17"/>
      <c r="N2711" s="17"/>
      <c r="O2711" s="17"/>
      <c r="P2711" s="17"/>
      <c r="Q2711" s="17"/>
      <c r="R2711" s="17"/>
      <c r="S2711" s="17"/>
      <c r="T2711" s="17"/>
      <c r="U2711" s="17"/>
      <c r="V2711" s="17"/>
      <c r="W2711" s="17"/>
      <c r="X2711" s="17"/>
      <c r="Y2711" s="17"/>
      <c r="Z2711" s="17"/>
    </row>
    <row r="2712">
      <c r="A2712" s="17"/>
      <c r="B2712" s="17"/>
      <c r="C2712" s="17"/>
      <c r="D2712" s="17"/>
      <c r="E2712" s="17"/>
      <c r="F2712" s="17"/>
      <c r="G2712" s="17"/>
      <c r="H2712" s="17"/>
      <c r="I2712" s="17"/>
      <c r="J2712" s="17"/>
      <c r="K2712" s="17"/>
      <c r="L2712" s="17"/>
      <c r="M2712" s="17"/>
      <c r="N2712" s="17"/>
      <c r="O2712" s="17"/>
      <c r="P2712" s="17"/>
      <c r="Q2712" s="17"/>
      <c r="R2712" s="17"/>
      <c r="S2712" s="17"/>
      <c r="T2712" s="17"/>
      <c r="U2712" s="17"/>
      <c r="V2712" s="17"/>
      <c r="W2712" s="17"/>
      <c r="X2712" s="17"/>
      <c r="Y2712" s="17"/>
      <c r="Z2712" s="17"/>
    </row>
    <row r="2713">
      <c r="A2713" s="17"/>
      <c r="B2713" s="17"/>
      <c r="C2713" s="17"/>
      <c r="D2713" s="17"/>
      <c r="E2713" s="17"/>
      <c r="F2713" s="17"/>
      <c r="G2713" s="17"/>
      <c r="H2713" s="17"/>
      <c r="I2713" s="17"/>
      <c r="J2713" s="17"/>
      <c r="K2713" s="17"/>
      <c r="L2713" s="17"/>
      <c r="M2713" s="17"/>
      <c r="N2713" s="17"/>
      <c r="O2713" s="17"/>
      <c r="P2713" s="17"/>
      <c r="Q2713" s="17"/>
      <c r="R2713" s="17"/>
      <c r="S2713" s="17"/>
      <c r="T2713" s="17"/>
      <c r="U2713" s="17"/>
      <c r="V2713" s="17"/>
      <c r="W2713" s="17"/>
      <c r="X2713" s="17"/>
      <c r="Y2713" s="17"/>
      <c r="Z2713" s="17"/>
    </row>
    <row r="2714">
      <c r="A2714" s="17"/>
      <c r="B2714" s="17"/>
      <c r="C2714" s="17"/>
      <c r="D2714" s="17"/>
      <c r="E2714" s="17"/>
      <c r="F2714" s="17"/>
      <c r="G2714" s="17"/>
      <c r="H2714" s="17"/>
      <c r="I2714" s="17"/>
      <c r="J2714" s="17"/>
      <c r="K2714" s="17"/>
      <c r="L2714" s="17"/>
      <c r="M2714" s="17"/>
      <c r="N2714" s="17"/>
      <c r="O2714" s="17"/>
      <c r="P2714" s="17"/>
      <c r="Q2714" s="17"/>
      <c r="R2714" s="17"/>
      <c r="S2714" s="17"/>
      <c r="T2714" s="17"/>
      <c r="U2714" s="17"/>
      <c r="V2714" s="17"/>
      <c r="W2714" s="17"/>
      <c r="X2714" s="17"/>
      <c r="Y2714" s="17"/>
      <c r="Z2714" s="17"/>
    </row>
    <row r="2715">
      <c r="A2715" s="17"/>
      <c r="B2715" s="17"/>
      <c r="C2715" s="17"/>
      <c r="D2715" s="17"/>
      <c r="E2715" s="17"/>
      <c r="F2715" s="17"/>
      <c r="G2715" s="17"/>
      <c r="H2715" s="17"/>
      <c r="I2715" s="17"/>
      <c r="J2715" s="17"/>
      <c r="K2715" s="17"/>
      <c r="L2715" s="17"/>
      <c r="M2715" s="17"/>
      <c r="N2715" s="17"/>
      <c r="O2715" s="17"/>
      <c r="P2715" s="17"/>
      <c r="Q2715" s="17"/>
      <c r="R2715" s="17"/>
      <c r="S2715" s="17"/>
      <c r="T2715" s="17"/>
      <c r="U2715" s="17"/>
      <c r="V2715" s="17"/>
      <c r="W2715" s="17"/>
      <c r="X2715" s="17"/>
      <c r="Y2715" s="17"/>
      <c r="Z2715" s="17"/>
    </row>
    <row r="2716">
      <c r="A2716" s="17"/>
      <c r="B2716" s="17"/>
      <c r="C2716" s="17"/>
      <c r="D2716" s="17"/>
      <c r="E2716" s="17"/>
      <c r="F2716" s="17"/>
      <c r="G2716" s="17"/>
      <c r="H2716" s="17"/>
      <c r="I2716" s="17"/>
      <c r="J2716" s="17"/>
      <c r="K2716" s="17"/>
      <c r="L2716" s="17"/>
      <c r="M2716" s="17"/>
      <c r="N2716" s="17"/>
      <c r="O2716" s="17"/>
      <c r="P2716" s="17"/>
      <c r="Q2716" s="17"/>
      <c r="R2716" s="17"/>
      <c r="S2716" s="17"/>
      <c r="T2716" s="17"/>
      <c r="U2716" s="17"/>
      <c r="V2716" s="17"/>
      <c r="W2716" s="17"/>
      <c r="X2716" s="17"/>
      <c r="Y2716" s="17"/>
      <c r="Z2716" s="17"/>
    </row>
    <row r="2717">
      <c r="A2717" s="17"/>
      <c r="B2717" s="17"/>
      <c r="C2717" s="17"/>
      <c r="D2717" s="17"/>
      <c r="E2717" s="17"/>
      <c r="F2717" s="17"/>
      <c r="G2717" s="17"/>
      <c r="H2717" s="17"/>
      <c r="I2717" s="17"/>
      <c r="J2717" s="17"/>
      <c r="K2717" s="17"/>
      <c r="L2717" s="17"/>
      <c r="M2717" s="17"/>
      <c r="N2717" s="17"/>
      <c r="O2717" s="17"/>
      <c r="P2717" s="17"/>
      <c r="Q2717" s="17"/>
      <c r="R2717" s="17"/>
      <c r="S2717" s="17"/>
      <c r="T2717" s="17"/>
      <c r="U2717" s="17"/>
      <c r="V2717" s="17"/>
      <c r="W2717" s="17"/>
      <c r="X2717" s="17"/>
      <c r="Y2717" s="17"/>
      <c r="Z2717" s="17"/>
    </row>
    <row r="2718">
      <c r="A2718" s="17"/>
      <c r="B2718" s="17"/>
      <c r="C2718" s="17"/>
      <c r="D2718" s="17"/>
      <c r="E2718" s="17"/>
      <c r="F2718" s="17"/>
      <c r="G2718" s="17"/>
      <c r="H2718" s="17"/>
      <c r="I2718" s="17"/>
      <c r="J2718" s="17"/>
      <c r="K2718" s="17"/>
      <c r="L2718" s="17"/>
      <c r="M2718" s="17"/>
      <c r="N2718" s="17"/>
      <c r="O2718" s="17"/>
      <c r="P2718" s="17"/>
      <c r="Q2718" s="17"/>
      <c r="R2718" s="17"/>
      <c r="S2718" s="17"/>
      <c r="T2718" s="17"/>
      <c r="U2718" s="17"/>
      <c r="V2718" s="17"/>
      <c r="W2718" s="17"/>
      <c r="X2718" s="17"/>
      <c r="Y2718" s="17"/>
      <c r="Z2718" s="17"/>
    </row>
    <row r="2719">
      <c r="A2719" s="17"/>
      <c r="B2719" s="17"/>
      <c r="C2719" s="17"/>
      <c r="D2719" s="17"/>
      <c r="E2719" s="17"/>
      <c r="F2719" s="17"/>
      <c r="G2719" s="17"/>
      <c r="H2719" s="17"/>
      <c r="I2719" s="17"/>
      <c r="J2719" s="17"/>
      <c r="K2719" s="17"/>
      <c r="L2719" s="17"/>
      <c r="M2719" s="17"/>
      <c r="N2719" s="17"/>
      <c r="O2719" s="17"/>
      <c r="P2719" s="17"/>
      <c r="Q2719" s="17"/>
      <c r="R2719" s="17"/>
      <c r="S2719" s="17"/>
      <c r="T2719" s="17"/>
      <c r="U2719" s="17"/>
      <c r="V2719" s="17"/>
      <c r="W2719" s="17"/>
      <c r="X2719" s="17"/>
      <c r="Y2719" s="17"/>
      <c r="Z2719" s="17"/>
    </row>
    <row r="2720">
      <c r="A2720" s="17"/>
      <c r="B2720" s="17"/>
      <c r="C2720" s="17"/>
      <c r="D2720" s="17"/>
      <c r="E2720" s="17"/>
      <c r="F2720" s="17"/>
      <c r="G2720" s="17"/>
      <c r="H2720" s="17"/>
      <c r="I2720" s="17"/>
      <c r="J2720" s="17"/>
      <c r="K2720" s="17"/>
      <c r="L2720" s="17"/>
      <c r="M2720" s="17"/>
      <c r="N2720" s="17"/>
      <c r="O2720" s="17"/>
      <c r="P2720" s="17"/>
      <c r="Q2720" s="17"/>
      <c r="R2720" s="17"/>
      <c r="S2720" s="17"/>
      <c r="T2720" s="17"/>
      <c r="U2720" s="17"/>
      <c r="V2720" s="17"/>
      <c r="W2720" s="17"/>
      <c r="X2720" s="17"/>
      <c r="Y2720" s="17"/>
      <c r="Z2720" s="17"/>
    </row>
    <row r="2721">
      <c r="A2721" s="17"/>
      <c r="B2721" s="17"/>
      <c r="C2721" s="17"/>
      <c r="D2721" s="17"/>
      <c r="E2721" s="17"/>
      <c r="F2721" s="17"/>
      <c r="G2721" s="17"/>
      <c r="H2721" s="17"/>
      <c r="I2721" s="17"/>
      <c r="J2721" s="17"/>
      <c r="K2721" s="17"/>
      <c r="L2721" s="17"/>
      <c r="M2721" s="17"/>
      <c r="N2721" s="17"/>
      <c r="O2721" s="17"/>
      <c r="P2721" s="17"/>
      <c r="Q2721" s="17"/>
      <c r="R2721" s="17"/>
      <c r="S2721" s="17"/>
      <c r="T2721" s="17"/>
      <c r="U2721" s="17"/>
      <c r="V2721" s="17"/>
      <c r="W2721" s="17"/>
      <c r="X2721" s="17"/>
      <c r="Y2721" s="17"/>
      <c r="Z2721" s="17"/>
    </row>
    <row r="2722">
      <c r="A2722" s="17"/>
      <c r="B2722" s="17"/>
      <c r="C2722" s="17"/>
      <c r="D2722" s="17"/>
      <c r="E2722" s="17"/>
      <c r="F2722" s="17"/>
      <c r="G2722" s="17"/>
      <c r="H2722" s="17"/>
      <c r="I2722" s="17"/>
      <c r="J2722" s="17"/>
      <c r="K2722" s="17"/>
      <c r="L2722" s="17"/>
      <c r="M2722" s="17"/>
      <c r="N2722" s="17"/>
      <c r="O2722" s="17"/>
      <c r="P2722" s="17"/>
      <c r="Q2722" s="17"/>
      <c r="R2722" s="17"/>
      <c r="S2722" s="17"/>
      <c r="T2722" s="17"/>
      <c r="U2722" s="17"/>
      <c r="V2722" s="17"/>
      <c r="W2722" s="17"/>
      <c r="X2722" s="17"/>
      <c r="Y2722" s="17"/>
      <c r="Z2722" s="17"/>
    </row>
    <row r="2723">
      <c r="A2723" s="17"/>
      <c r="B2723" s="17"/>
      <c r="C2723" s="17"/>
      <c r="D2723" s="17"/>
      <c r="E2723" s="17"/>
      <c r="F2723" s="17"/>
      <c r="G2723" s="17"/>
      <c r="H2723" s="17"/>
      <c r="I2723" s="17"/>
      <c r="J2723" s="17"/>
      <c r="K2723" s="17"/>
      <c r="L2723" s="17"/>
      <c r="M2723" s="17"/>
      <c r="N2723" s="17"/>
      <c r="O2723" s="17"/>
      <c r="P2723" s="17"/>
      <c r="Q2723" s="17"/>
      <c r="R2723" s="17"/>
      <c r="S2723" s="17"/>
      <c r="T2723" s="17"/>
      <c r="U2723" s="17"/>
      <c r="V2723" s="17"/>
      <c r="W2723" s="17"/>
      <c r="X2723" s="17"/>
      <c r="Y2723" s="17"/>
      <c r="Z2723" s="17"/>
    </row>
    <row r="2724">
      <c r="A2724" s="17"/>
      <c r="B2724" s="17"/>
      <c r="C2724" s="17"/>
      <c r="D2724" s="17"/>
      <c r="E2724" s="17"/>
      <c r="F2724" s="17"/>
      <c r="G2724" s="17"/>
      <c r="H2724" s="17"/>
      <c r="I2724" s="17"/>
      <c r="J2724" s="17"/>
      <c r="K2724" s="17"/>
      <c r="L2724" s="17"/>
      <c r="M2724" s="17"/>
      <c r="N2724" s="17"/>
      <c r="O2724" s="17"/>
      <c r="P2724" s="17"/>
      <c r="Q2724" s="17"/>
      <c r="R2724" s="17"/>
      <c r="S2724" s="17"/>
      <c r="T2724" s="17"/>
      <c r="U2724" s="17"/>
      <c r="V2724" s="17"/>
      <c r="W2724" s="17"/>
      <c r="X2724" s="17"/>
      <c r="Y2724" s="17"/>
      <c r="Z2724" s="17"/>
    </row>
    <row r="2725">
      <c r="A2725" s="17"/>
      <c r="B2725" s="17"/>
      <c r="C2725" s="17"/>
      <c r="D2725" s="17"/>
      <c r="E2725" s="17"/>
      <c r="F2725" s="17"/>
      <c r="G2725" s="17"/>
      <c r="H2725" s="17"/>
      <c r="I2725" s="17"/>
      <c r="J2725" s="17"/>
      <c r="K2725" s="17"/>
      <c r="L2725" s="17"/>
      <c r="M2725" s="17"/>
      <c r="N2725" s="17"/>
      <c r="O2725" s="17"/>
      <c r="P2725" s="17"/>
      <c r="Q2725" s="17"/>
      <c r="R2725" s="17"/>
      <c r="S2725" s="17"/>
      <c r="T2725" s="17"/>
      <c r="U2725" s="17"/>
      <c r="V2725" s="17"/>
      <c r="W2725" s="17"/>
      <c r="X2725" s="17"/>
      <c r="Y2725" s="17"/>
      <c r="Z2725" s="17"/>
    </row>
    <row r="2726">
      <c r="A2726" s="17"/>
      <c r="B2726" s="17"/>
      <c r="C2726" s="17"/>
      <c r="D2726" s="17"/>
      <c r="E2726" s="17"/>
      <c r="F2726" s="17"/>
      <c r="G2726" s="17"/>
      <c r="H2726" s="17"/>
      <c r="I2726" s="17"/>
      <c r="J2726" s="17"/>
      <c r="K2726" s="17"/>
      <c r="L2726" s="17"/>
      <c r="M2726" s="17"/>
      <c r="N2726" s="17"/>
      <c r="O2726" s="17"/>
      <c r="P2726" s="17"/>
      <c r="Q2726" s="17"/>
      <c r="R2726" s="17"/>
      <c r="S2726" s="17"/>
      <c r="T2726" s="17"/>
      <c r="U2726" s="17"/>
      <c r="V2726" s="17"/>
      <c r="W2726" s="17"/>
      <c r="X2726" s="17"/>
      <c r="Y2726" s="17"/>
      <c r="Z2726" s="17"/>
    </row>
    <row r="2727">
      <c r="A2727" s="17"/>
      <c r="B2727" s="17"/>
      <c r="C2727" s="17"/>
      <c r="D2727" s="17"/>
      <c r="E2727" s="17"/>
      <c r="F2727" s="17"/>
      <c r="G2727" s="17"/>
      <c r="H2727" s="17"/>
      <c r="I2727" s="17"/>
      <c r="J2727" s="17"/>
      <c r="K2727" s="17"/>
      <c r="L2727" s="17"/>
      <c r="M2727" s="17"/>
      <c r="N2727" s="17"/>
      <c r="O2727" s="17"/>
      <c r="P2727" s="17"/>
      <c r="Q2727" s="17"/>
      <c r="R2727" s="17"/>
      <c r="S2727" s="17"/>
      <c r="T2727" s="17"/>
      <c r="U2727" s="17"/>
      <c r="V2727" s="17"/>
      <c r="W2727" s="17"/>
      <c r="X2727" s="17"/>
      <c r="Y2727" s="17"/>
      <c r="Z2727" s="17"/>
    </row>
    <row r="2728">
      <c r="A2728" s="17"/>
      <c r="B2728" s="17"/>
      <c r="C2728" s="17"/>
      <c r="D2728" s="17"/>
      <c r="E2728" s="17"/>
      <c r="F2728" s="17"/>
      <c r="G2728" s="17"/>
      <c r="H2728" s="17"/>
      <c r="I2728" s="17"/>
      <c r="J2728" s="17"/>
      <c r="K2728" s="17"/>
      <c r="L2728" s="17"/>
      <c r="M2728" s="17"/>
      <c r="N2728" s="17"/>
      <c r="O2728" s="17"/>
      <c r="P2728" s="17"/>
      <c r="Q2728" s="17"/>
      <c r="R2728" s="17"/>
      <c r="S2728" s="17"/>
      <c r="T2728" s="17"/>
      <c r="U2728" s="17"/>
      <c r="V2728" s="17"/>
      <c r="W2728" s="17"/>
      <c r="X2728" s="17"/>
      <c r="Y2728" s="17"/>
      <c r="Z2728" s="17"/>
    </row>
    <row r="2729">
      <c r="A2729" s="17"/>
      <c r="B2729" s="17"/>
      <c r="C2729" s="17"/>
      <c r="D2729" s="17"/>
      <c r="E2729" s="17"/>
      <c r="F2729" s="17"/>
      <c r="G2729" s="17"/>
      <c r="H2729" s="17"/>
      <c r="I2729" s="17"/>
      <c r="J2729" s="17"/>
      <c r="K2729" s="17"/>
      <c r="L2729" s="17"/>
      <c r="M2729" s="17"/>
      <c r="N2729" s="17"/>
      <c r="O2729" s="17"/>
      <c r="P2729" s="17"/>
      <c r="Q2729" s="17"/>
      <c r="R2729" s="17"/>
      <c r="S2729" s="17"/>
      <c r="T2729" s="17"/>
      <c r="U2729" s="17"/>
      <c r="V2729" s="17"/>
      <c r="W2729" s="17"/>
      <c r="X2729" s="17"/>
      <c r="Y2729" s="17"/>
      <c r="Z2729" s="17"/>
    </row>
    <row r="2730">
      <c r="A2730" s="17"/>
      <c r="B2730" s="17"/>
      <c r="C2730" s="17"/>
      <c r="D2730" s="17"/>
      <c r="E2730" s="17"/>
      <c r="F2730" s="17"/>
      <c r="G2730" s="17"/>
      <c r="H2730" s="17"/>
      <c r="I2730" s="17"/>
      <c r="J2730" s="17"/>
      <c r="K2730" s="17"/>
      <c r="L2730" s="17"/>
      <c r="M2730" s="17"/>
      <c r="N2730" s="17"/>
      <c r="O2730" s="17"/>
      <c r="P2730" s="17"/>
      <c r="Q2730" s="17"/>
      <c r="R2730" s="17"/>
      <c r="S2730" s="17"/>
      <c r="T2730" s="17"/>
      <c r="U2730" s="17"/>
      <c r="V2730" s="17"/>
      <c r="W2730" s="17"/>
      <c r="X2730" s="17"/>
      <c r="Y2730" s="17"/>
      <c r="Z2730" s="17"/>
    </row>
    <row r="2731">
      <c r="A2731" s="17"/>
      <c r="B2731" s="17"/>
      <c r="C2731" s="17"/>
      <c r="D2731" s="17"/>
      <c r="E2731" s="17"/>
      <c r="F2731" s="17"/>
      <c r="G2731" s="17"/>
      <c r="H2731" s="17"/>
      <c r="I2731" s="17"/>
      <c r="J2731" s="17"/>
      <c r="K2731" s="17"/>
      <c r="L2731" s="17"/>
      <c r="M2731" s="17"/>
      <c r="N2731" s="17"/>
      <c r="O2731" s="17"/>
      <c r="P2731" s="17"/>
      <c r="Q2731" s="17"/>
      <c r="R2731" s="17"/>
      <c r="S2731" s="17"/>
      <c r="T2731" s="17"/>
      <c r="U2731" s="17"/>
      <c r="V2731" s="17"/>
      <c r="W2731" s="17"/>
      <c r="X2731" s="17"/>
      <c r="Y2731" s="17"/>
      <c r="Z2731" s="17"/>
    </row>
    <row r="2732">
      <c r="A2732" s="17"/>
      <c r="B2732" s="17"/>
      <c r="C2732" s="17"/>
      <c r="D2732" s="17"/>
      <c r="E2732" s="17"/>
      <c r="F2732" s="17"/>
      <c r="G2732" s="17"/>
      <c r="H2732" s="17"/>
      <c r="I2732" s="17"/>
      <c r="J2732" s="17"/>
      <c r="K2732" s="17"/>
      <c r="L2732" s="17"/>
      <c r="M2732" s="17"/>
      <c r="N2732" s="17"/>
      <c r="O2732" s="17"/>
      <c r="P2732" s="17"/>
      <c r="Q2732" s="17"/>
      <c r="R2732" s="17"/>
      <c r="S2732" s="17"/>
      <c r="T2732" s="17"/>
      <c r="U2732" s="17"/>
      <c r="V2732" s="17"/>
      <c r="W2732" s="17"/>
      <c r="X2732" s="17"/>
      <c r="Y2732" s="17"/>
      <c r="Z2732" s="17"/>
    </row>
    <row r="2733">
      <c r="A2733" s="17"/>
      <c r="B2733" s="17"/>
      <c r="C2733" s="17"/>
      <c r="D2733" s="17"/>
      <c r="E2733" s="17"/>
      <c r="F2733" s="17"/>
      <c r="G2733" s="17"/>
      <c r="H2733" s="17"/>
      <c r="I2733" s="17"/>
      <c r="J2733" s="17"/>
      <c r="K2733" s="17"/>
      <c r="L2733" s="17"/>
      <c r="M2733" s="17"/>
      <c r="N2733" s="17"/>
      <c r="O2733" s="17"/>
      <c r="P2733" s="17"/>
      <c r="Q2733" s="17"/>
      <c r="R2733" s="17"/>
      <c r="S2733" s="17"/>
      <c r="T2733" s="17"/>
      <c r="U2733" s="17"/>
      <c r="V2733" s="17"/>
      <c r="W2733" s="17"/>
      <c r="X2733" s="17"/>
      <c r="Y2733" s="17"/>
      <c r="Z2733" s="17"/>
    </row>
    <row r="2734">
      <c r="A2734" s="17"/>
      <c r="B2734" s="17"/>
      <c r="C2734" s="17"/>
      <c r="D2734" s="17"/>
      <c r="E2734" s="17"/>
      <c r="F2734" s="17"/>
      <c r="G2734" s="17"/>
      <c r="H2734" s="17"/>
      <c r="I2734" s="17"/>
      <c r="J2734" s="17"/>
      <c r="K2734" s="17"/>
      <c r="L2734" s="17"/>
      <c r="M2734" s="17"/>
      <c r="N2734" s="17"/>
      <c r="O2734" s="17"/>
      <c r="P2734" s="17"/>
      <c r="Q2734" s="17"/>
      <c r="R2734" s="17"/>
      <c r="S2734" s="17"/>
      <c r="T2734" s="17"/>
      <c r="U2734" s="17"/>
      <c r="V2734" s="17"/>
      <c r="W2734" s="17"/>
      <c r="X2734" s="17"/>
      <c r="Y2734" s="17"/>
      <c r="Z2734" s="17"/>
    </row>
    <row r="2735">
      <c r="A2735" s="17"/>
      <c r="B2735" s="17"/>
      <c r="C2735" s="17"/>
      <c r="D2735" s="17"/>
      <c r="E2735" s="17"/>
      <c r="F2735" s="17"/>
      <c r="G2735" s="17"/>
      <c r="H2735" s="17"/>
      <c r="I2735" s="17"/>
      <c r="J2735" s="17"/>
      <c r="K2735" s="17"/>
      <c r="L2735" s="17"/>
      <c r="M2735" s="17"/>
      <c r="N2735" s="17"/>
      <c r="O2735" s="17"/>
      <c r="P2735" s="17"/>
      <c r="Q2735" s="17"/>
      <c r="R2735" s="17"/>
      <c r="S2735" s="17"/>
      <c r="T2735" s="17"/>
      <c r="U2735" s="17"/>
      <c r="V2735" s="17"/>
      <c r="W2735" s="17"/>
      <c r="X2735" s="17"/>
      <c r="Y2735" s="17"/>
      <c r="Z2735" s="17"/>
    </row>
    <row r="2736">
      <c r="A2736" s="17"/>
      <c r="B2736" s="17"/>
      <c r="C2736" s="17"/>
      <c r="D2736" s="17"/>
      <c r="E2736" s="17"/>
      <c r="F2736" s="17"/>
      <c r="G2736" s="17"/>
      <c r="H2736" s="17"/>
      <c r="I2736" s="17"/>
      <c r="J2736" s="17"/>
      <c r="K2736" s="17"/>
      <c r="L2736" s="17"/>
      <c r="M2736" s="17"/>
      <c r="N2736" s="17"/>
      <c r="O2736" s="17"/>
      <c r="P2736" s="17"/>
      <c r="Q2736" s="17"/>
      <c r="R2736" s="17"/>
      <c r="S2736" s="17"/>
      <c r="T2736" s="17"/>
      <c r="U2736" s="17"/>
      <c r="V2736" s="17"/>
      <c r="W2736" s="17"/>
      <c r="X2736" s="17"/>
      <c r="Y2736" s="17"/>
      <c r="Z2736" s="17"/>
    </row>
    <row r="2737">
      <c r="A2737" s="17"/>
      <c r="B2737" s="17"/>
      <c r="C2737" s="17"/>
      <c r="D2737" s="17"/>
      <c r="E2737" s="17"/>
      <c r="F2737" s="17"/>
      <c r="G2737" s="17"/>
      <c r="H2737" s="17"/>
      <c r="I2737" s="17"/>
      <c r="J2737" s="17"/>
      <c r="K2737" s="17"/>
      <c r="L2737" s="17"/>
      <c r="M2737" s="17"/>
      <c r="N2737" s="17"/>
      <c r="O2737" s="17"/>
      <c r="P2737" s="17"/>
      <c r="Q2737" s="17"/>
      <c r="R2737" s="17"/>
      <c r="S2737" s="17"/>
      <c r="T2737" s="17"/>
      <c r="U2737" s="17"/>
      <c r="V2737" s="17"/>
      <c r="W2737" s="17"/>
      <c r="X2737" s="17"/>
      <c r="Y2737" s="17"/>
      <c r="Z2737" s="17"/>
    </row>
    <row r="2738">
      <c r="A2738" s="17"/>
      <c r="B2738" s="17"/>
      <c r="C2738" s="17"/>
      <c r="D2738" s="17"/>
      <c r="E2738" s="17"/>
      <c r="F2738" s="17"/>
      <c r="G2738" s="17"/>
      <c r="H2738" s="17"/>
      <c r="I2738" s="17"/>
      <c r="J2738" s="17"/>
      <c r="K2738" s="17"/>
      <c r="L2738" s="17"/>
      <c r="M2738" s="17"/>
      <c r="N2738" s="17"/>
      <c r="O2738" s="17"/>
      <c r="P2738" s="17"/>
      <c r="Q2738" s="17"/>
      <c r="R2738" s="17"/>
      <c r="S2738" s="17"/>
      <c r="T2738" s="17"/>
      <c r="U2738" s="17"/>
      <c r="V2738" s="17"/>
      <c r="W2738" s="17"/>
      <c r="X2738" s="17"/>
      <c r="Y2738" s="17"/>
      <c r="Z2738" s="17"/>
    </row>
    <row r="2739">
      <c r="A2739" s="17"/>
      <c r="B2739" s="17"/>
      <c r="C2739" s="17"/>
      <c r="D2739" s="17"/>
      <c r="E2739" s="17"/>
      <c r="F2739" s="17"/>
      <c r="G2739" s="17"/>
      <c r="H2739" s="17"/>
      <c r="I2739" s="17"/>
      <c r="J2739" s="17"/>
      <c r="K2739" s="17"/>
      <c r="L2739" s="17"/>
      <c r="M2739" s="17"/>
      <c r="N2739" s="17"/>
      <c r="O2739" s="17"/>
      <c r="P2739" s="17"/>
      <c r="Q2739" s="17"/>
      <c r="R2739" s="17"/>
      <c r="S2739" s="17"/>
      <c r="T2739" s="17"/>
      <c r="U2739" s="17"/>
      <c r="V2739" s="17"/>
      <c r="W2739" s="17"/>
      <c r="X2739" s="17"/>
      <c r="Y2739" s="17"/>
      <c r="Z2739" s="17"/>
    </row>
    <row r="2740">
      <c r="A2740" s="17"/>
      <c r="B2740" s="17"/>
      <c r="C2740" s="17"/>
      <c r="D2740" s="17"/>
      <c r="E2740" s="17"/>
      <c r="F2740" s="17"/>
      <c r="G2740" s="17"/>
      <c r="H2740" s="17"/>
      <c r="I2740" s="17"/>
      <c r="J2740" s="17"/>
      <c r="K2740" s="17"/>
      <c r="L2740" s="17"/>
      <c r="M2740" s="17"/>
      <c r="N2740" s="17"/>
      <c r="O2740" s="17"/>
      <c r="P2740" s="17"/>
      <c r="Q2740" s="17"/>
      <c r="R2740" s="17"/>
      <c r="S2740" s="17"/>
      <c r="T2740" s="17"/>
      <c r="U2740" s="17"/>
      <c r="V2740" s="17"/>
      <c r="W2740" s="17"/>
      <c r="X2740" s="17"/>
      <c r="Y2740" s="17"/>
      <c r="Z2740" s="17"/>
    </row>
    <row r="2741">
      <c r="A2741" s="17"/>
      <c r="B2741" s="17"/>
      <c r="C2741" s="17"/>
      <c r="D2741" s="17"/>
      <c r="E2741" s="17"/>
      <c r="F2741" s="17"/>
      <c r="G2741" s="17"/>
      <c r="H2741" s="17"/>
      <c r="I2741" s="17"/>
      <c r="J2741" s="17"/>
      <c r="K2741" s="17"/>
      <c r="L2741" s="17"/>
      <c r="M2741" s="17"/>
      <c r="N2741" s="17"/>
      <c r="O2741" s="17"/>
      <c r="P2741" s="17"/>
      <c r="Q2741" s="17"/>
      <c r="R2741" s="17"/>
      <c r="S2741" s="17"/>
      <c r="T2741" s="17"/>
      <c r="U2741" s="17"/>
      <c r="V2741" s="17"/>
      <c r="W2741" s="17"/>
      <c r="X2741" s="17"/>
      <c r="Y2741" s="17"/>
      <c r="Z2741" s="17"/>
    </row>
    <row r="2742">
      <c r="A2742" s="17"/>
      <c r="B2742" s="17"/>
      <c r="C2742" s="17"/>
      <c r="D2742" s="17"/>
      <c r="E2742" s="17"/>
      <c r="F2742" s="17"/>
      <c r="G2742" s="17"/>
      <c r="H2742" s="17"/>
      <c r="I2742" s="17"/>
      <c r="J2742" s="17"/>
      <c r="K2742" s="17"/>
      <c r="L2742" s="17"/>
      <c r="M2742" s="17"/>
      <c r="N2742" s="17"/>
      <c r="O2742" s="17"/>
      <c r="P2742" s="17"/>
      <c r="Q2742" s="17"/>
      <c r="R2742" s="17"/>
      <c r="S2742" s="17"/>
      <c r="T2742" s="17"/>
      <c r="U2742" s="17"/>
      <c r="V2742" s="17"/>
      <c r="W2742" s="17"/>
      <c r="X2742" s="17"/>
      <c r="Y2742" s="17"/>
      <c r="Z2742" s="17"/>
    </row>
    <row r="2743">
      <c r="A2743" s="17"/>
      <c r="B2743" s="17"/>
      <c r="C2743" s="17"/>
      <c r="D2743" s="17"/>
      <c r="E2743" s="17"/>
      <c r="F2743" s="17"/>
      <c r="G2743" s="17"/>
      <c r="H2743" s="17"/>
      <c r="I2743" s="17"/>
      <c r="J2743" s="17"/>
      <c r="K2743" s="17"/>
      <c r="L2743" s="17"/>
      <c r="M2743" s="17"/>
      <c r="N2743" s="17"/>
      <c r="O2743" s="17"/>
      <c r="P2743" s="17"/>
      <c r="Q2743" s="17"/>
      <c r="R2743" s="17"/>
      <c r="S2743" s="17"/>
      <c r="T2743" s="17"/>
      <c r="U2743" s="17"/>
      <c r="V2743" s="17"/>
      <c r="W2743" s="17"/>
      <c r="X2743" s="17"/>
      <c r="Y2743" s="17"/>
      <c r="Z2743" s="17"/>
    </row>
    <row r="2744">
      <c r="A2744" s="17"/>
      <c r="B2744" s="17"/>
      <c r="C2744" s="17"/>
      <c r="D2744" s="17"/>
      <c r="E2744" s="17"/>
      <c r="F2744" s="17"/>
      <c r="G2744" s="17"/>
      <c r="H2744" s="17"/>
      <c r="I2744" s="17"/>
      <c r="J2744" s="17"/>
      <c r="K2744" s="17"/>
      <c r="L2744" s="17"/>
      <c r="M2744" s="17"/>
      <c r="N2744" s="17"/>
      <c r="O2744" s="17"/>
      <c r="P2744" s="17"/>
      <c r="Q2744" s="17"/>
      <c r="R2744" s="17"/>
      <c r="S2744" s="17"/>
      <c r="T2744" s="17"/>
      <c r="U2744" s="17"/>
      <c r="V2744" s="17"/>
      <c r="W2744" s="17"/>
      <c r="X2744" s="17"/>
      <c r="Y2744" s="17"/>
      <c r="Z2744" s="17"/>
    </row>
    <row r="2745">
      <c r="A2745" s="17"/>
      <c r="B2745" s="17"/>
      <c r="C2745" s="17"/>
      <c r="D2745" s="17"/>
      <c r="E2745" s="17"/>
      <c r="F2745" s="17"/>
      <c r="G2745" s="17"/>
      <c r="H2745" s="17"/>
      <c r="I2745" s="17"/>
      <c r="J2745" s="17"/>
      <c r="K2745" s="17"/>
      <c r="L2745" s="17"/>
      <c r="M2745" s="17"/>
      <c r="N2745" s="17"/>
      <c r="O2745" s="17"/>
      <c r="P2745" s="17"/>
      <c r="Q2745" s="17"/>
      <c r="R2745" s="17"/>
      <c r="S2745" s="17"/>
      <c r="T2745" s="17"/>
      <c r="U2745" s="17"/>
      <c r="V2745" s="17"/>
      <c r="W2745" s="17"/>
      <c r="X2745" s="17"/>
      <c r="Y2745" s="17"/>
      <c r="Z2745" s="17"/>
    </row>
    <row r="2746">
      <c r="A2746" s="17"/>
      <c r="B2746" s="17"/>
      <c r="C2746" s="17"/>
      <c r="D2746" s="17"/>
      <c r="E2746" s="17"/>
      <c r="F2746" s="17"/>
      <c r="G2746" s="17"/>
      <c r="H2746" s="17"/>
      <c r="I2746" s="17"/>
      <c r="J2746" s="17"/>
      <c r="K2746" s="17"/>
      <c r="L2746" s="17"/>
      <c r="M2746" s="17"/>
      <c r="N2746" s="17"/>
      <c r="O2746" s="17"/>
      <c r="P2746" s="17"/>
      <c r="Q2746" s="17"/>
      <c r="R2746" s="17"/>
      <c r="S2746" s="17"/>
      <c r="T2746" s="17"/>
      <c r="U2746" s="17"/>
      <c r="V2746" s="17"/>
      <c r="W2746" s="17"/>
      <c r="X2746" s="17"/>
      <c r="Y2746" s="17"/>
      <c r="Z2746" s="17"/>
    </row>
    <row r="2747">
      <c r="A2747" s="17"/>
      <c r="B2747" s="17"/>
      <c r="C2747" s="17"/>
      <c r="D2747" s="17"/>
      <c r="E2747" s="17"/>
      <c r="F2747" s="17"/>
      <c r="G2747" s="17"/>
      <c r="H2747" s="17"/>
      <c r="I2747" s="17"/>
      <c r="J2747" s="17"/>
      <c r="K2747" s="17"/>
      <c r="L2747" s="17"/>
      <c r="M2747" s="17"/>
      <c r="N2747" s="17"/>
      <c r="O2747" s="17"/>
      <c r="P2747" s="17"/>
      <c r="Q2747" s="17"/>
      <c r="R2747" s="17"/>
      <c r="S2747" s="17"/>
      <c r="T2747" s="17"/>
      <c r="U2747" s="17"/>
      <c r="V2747" s="17"/>
      <c r="W2747" s="17"/>
      <c r="X2747" s="17"/>
      <c r="Y2747" s="17"/>
      <c r="Z2747" s="17"/>
    </row>
    <row r="2748">
      <c r="A2748" s="17"/>
      <c r="B2748" s="17"/>
      <c r="C2748" s="17"/>
      <c r="D2748" s="17"/>
      <c r="E2748" s="17"/>
      <c r="F2748" s="17"/>
      <c r="G2748" s="17"/>
      <c r="H2748" s="17"/>
      <c r="I2748" s="17"/>
      <c r="J2748" s="17"/>
      <c r="K2748" s="17"/>
      <c r="L2748" s="17"/>
      <c r="M2748" s="17"/>
      <c r="N2748" s="17"/>
      <c r="O2748" s="17"/>
      <c r="P2748" s="17"/>
      <c r="Q2748" s="17"/>
      <c r="R2748" s="17"/>
      <c r="S2748" s="17"/>
      <c r="T2748" s="17"/>
      <c r="U2748" s="17"/>
      <c r="V2748" s="17"/>
      <c r="W2748" s="17"/>
      <c r="X2748" s="17"/>
      <c r="Y2748" s="17"/>
      <c r="Z2748" s="17"/>
    </row>
    <row r="2749">
      <c r="A2749" s="17"/>
      <c r="B2749" s="17"/>
      <c r="C2749" s="17"/>
      <c r="D2749" s="17"/>
      <c r="E2749" s="17"/>
      <c r="F2749" s="17"/>
      <c r="G2749" s="17"/>
      <c r="H2749" s="17"/>
      <c r="I2749" s="17"/>
      <c r="J2749" s="17"/>
      <c r="K2749" s="17"/>
      <c r="L2749" s="17"/>
      <c r="M2749" s="17"/>
      <c r="N2749" s="17"/>
      <c r="O2749" s="17"/>
      <c r="P2749" s="17"/>
      <c r="Q2749" s="17"/>
      <c r="R2749" s="17"/>
      <c r="S2749" s="17"/>
      <c r="T2749" s="17"/>
      <c r="U2749" s="17"/>
      <c r="V2749" s="17"/>
      <c r="W2749" s="17"/>
      <c r="X2749" s="17"/>
      <c r="Y2749" s="17"/>
      <c r="Z2749" s="17"/>
    </row>
    <row r="2750">
      <c r="A2750" s="17"/>
      <c r="B2750" s="17"/>
      <c r="C2750" s="17"/>
      <c r="D2750" s="17"/>
      <c r="E2750" s="17"/>
      <c r="F2750" s="17"/>
      <c r="G2750" s="17"/>
      <c r="H2750" s="17"/>
      <c r="I2750" s="17"/>
      <c r="J2750" s="17"/>
      <c r="K2750" s="17"/>
      <c r="L2750" s="17"/>
      <c r="M2750" s="17"/>
      <c r="N2750" s="17"/>
      <c r="O2750" s="17"/>
      <c r="P2750" s="17"/>
      <c r="Q2750" s="17"/>
      <c r="R2750" s="17"/>
      <c r="S2750" s="17"/>
      <c r="T2750" s="17"/>
      <c r="U2750" s="17"/>
      <c r="V2750" s="17"/>
      <c r="W2750" s="17"/>
      <c r="X2750" s="17"/>
      <c r="Y2750" s="17"/>
      <c r="Z2750" s="17"/>
    </row>
    <row r="2751">
      <c r="A2751" s="17"/>
      <c r="B2751" s="17"/>
      <c r="C2751" s="17"/>
      <c r="D2751" s="17"/>
      <c r="E2751" s="17"/>
      <c r="F2751" s="17"/>
      <c r="G2751" s="17"/>
      <c r="H2751" s="17"/>
      <c r="I2751" s="17"/>
      <c r="J2751" s="17"/>
      <c r="K2751" s="17"/>
      <c r="L2751" s="17"/>
      <c r="M2751" s="17"/>
      <c r="N2751" s="17"/>
      <c r="O2751" s="17"/>
      <c r="P2751" s="17"/>
      <c r="Q2751" s="17"/>
      <c r="R2751" s="17"/>
      <c r="S2751" s="17"/>
      <c r="T2751" s="17"/>
      <c r="U2751" s="17"/>
      <c r="V2751" s="17"/>
      <c r="W2751" s="17"/>
      <c r="X2751" s="17"/>
      <c r="Y2751" s="17"/>
      <c r="Z2751" s="17"/>
    </row>
    <row r="2752">
      <c r="A2752" s="17"/>
      <c r="B2752" s="17"/>
      <c r="C2752" s="17"/>
      <c r="D2752" s="17"/>
      <c r="E2752" s="17"/>
      <c r="F2752" s="17"/>
      <c r="G2752" s="17"/>
      <c r="H2752" s="17"/>
      <c r="I2752" s="17"/>
      <c r="J2752" s="17"/>
      <c r="K2752" s="17"/>
      <c r="L2752" s="17"/>
      <c r="M2752" s="17"/>
      <c r="N2752" s="17"/>
      <c r="O2752" s="17"/>
      <c r="P2752" s="17"/>
      <c r="Q2752" s="17"/>
      <c r="R2752" s="17"/>
      <c r="S2752" s="17"/>
      <c r="T2752" s="17"/>
      <c r="U2752" s="17"/>
      <c r="V2752" s="17"/>
      <c r="W2752" s="17"/>
      <c r="X2752" s="17"/>
      <c r="Y2752" s="17"/>
      <c r="Z2752" s="17"/>
    </row>
    <row r="2753">
      <c r="A2753" s="17"/>
      <c r="B2753" s="17"/>
      <c r="C2753" s="17"/>
      <c r="D2753" s="17"/>
      <c r="E2753" s="17"/>
      <c r="F2753" s="17"/>
      <c r="G2753" s="17"/>
      <c r="H2753" s="17"/>
      <c r="I2753" s="17"/>
      <c r="J2753" s="17"/>
      <c r="K2753" s="17"/>
      <c r="L2753" s="17"/>
      <c r="M2753" s="17"/>
      <c r="N2753" s="17"/>
      <c r="O2753" s="17"/>
      <c r="P2753" s="17"/>
      <c r="Q2753" s="17"/>
      <c r="R2753" s="17"/>
      <c r="S2753" s="17"/>
      <c r="T2753" s="17"/>
      <c r="U2753" s="17"/>
      <c r="V2753" s="17"/>
      <c r="W2753" s="17"/>
      <c r="X2753" s="17"/>
      <c r="Y2753" s="17"/>
      <c r="Z2753" s="17"/>
    </row>
    <row r="2754">
      <c r="A2754" s="17"/>
      <c r="B2754" s="17"/>
      <c r="C2754" s="17"/>
      <c r="D2754" s="17"/>
      <c r="E2754" s="17"/>
      <c r="F2754" s="17"/>
      <c r="G2754" s="17"/>
      <c r="H2754" s="17"/>
      <c r="I2754" s="17"/>
      <c r="J2754" s="17"/>
      <c r="K2754" s="17"/>
      <c r="L2754" s="17"/>
      <c r="M2754" s="17"/>
      <c r="N2754" s="17"/>
      <c r="O2754" s="17"/>
      <c r="P2754" s="17"/>
      <c r="Q2754" s="17"/>
      <c r="R2754" s="17"/>
      <c r="S2754" s="17"/>
      <c r="T2754" s="17"/>
      <c r="U2754" s="17"/>
      <c r="V2754" s="17"/>
      <c r="W2754" s="17"/>
      <c r="X2754" s="17"/>
      <c r="Y2754" s="17"/>
      <c r="Z2754" s="17"/>
    </row>
    <row r="2755">
      <c r="A2755" s="17"/>
      <c r="B2755" s="17"/>
      <c r="C2755" s="17"/>
      <c r="D2755" s="17"/>
      <c r="E2755" s="17"/>
      <c r="F2755" s="17"/>
      <c r="G2755" s="17"/>
      <c r="H2755" s="17"/>
      <c r="I2755" s="17"/>
      <c r="J2755" s="17"/>
      <c r="K2755" s="17"/>
      <c r="L2755" s="17"/>
      <c r="M2755" s="17"/>
      <c r="N2755" s="17"/>
      <c r="O2755" s="17"/>
      <c r="P2755" s="17"/>
      <c r="Q2755" s="17"/>
      <c r="R2755" s="17"/>
      <c r="S2755" s="17"/>
      <c r="T2755" s="17"/>
      <c r="U2755" s="17"/>
      <c r="V2755" s="17"/>
      <c r="W2755" s="17"/>
      <c r="X2755" s="17"/>
      <c r="Y2755" s="17"/>
      <c r="Z2755" s="17"/>
    </row>
    <row r="2756">
      <c r="A2756" s="17"/>
      <c r="B2756" s="17"/>
      <c r="C2756" s="17"/>
      <c r="D2756" s="17"/>
      <c r="E2756" s="17"/>
      <c r="F2756" s="17"/>
      <c r="G2756" s="17"/>
      <c r="H2756" s="17"/>
      <c r="I2756" s="17"/>
      <c r="J2756" s="17"/>
      <c r="K2756" s="17"/>
      <c r="L2756" s="17"/>
      <c r="M2756" s="17"/>
      <c r="N2756" s="17"/>
      <c r="O2756" s="17"/>
      <c r="P2756" s="17"/>
      <c r="Q2756" s="17"/>
      <c r="R2756" s="17"/>
      <c r="S2756" s="17"/>
      <c r="T2756" s="17"/>
      <c r="U2756" s="17"/>
      <c r="V2756" s="17"/>
      <c r="W2756" s="17"/>
      <c r="X2756" s="17"/>
      <c r="Y2756" s="17"/>
      <c r="Z2756" s="17"/>
    </row>
    <row r="2757">
      <c r="A2757" s="17"/>
      <c r="B2757" s="17"/>
      <c r="C2757" s="17"/>
      <c r="D2757" s="17"/>
      <c r="E2757" s="17"/>
      <c r="F2757" s="17"/>
      <c r="G2757" s="17"/>
      <c r="H2757" s="17"/>
      <c r="I2757" s="17"/>
      <c r="J2757" s="17"/>
      <c r="K2757" s="17"/>
      <c r="L2757" s="17"/>
      <c r="M2757" s="17"/>
      <c r="N2757" s="17"/>
      <c r="O2757" s="17"/>
      <c r="P2757" s="17"/>
      <c r="Q2757" s="17"/>
      <c r="R2757" s="17"/>
      <c r="S2757" s="17"/>
      <c r="T2757" s="17"/>
      <c r="U2757" s="17"/>
      <c r="V2757" s="17"/>
      <c r="W2757" s="17"/>
      <c r="X2757" s="17"/>
      <c r="Y2757" s="17"/>
      <c r="Z2757" s="17"/>
    </row>
    <row r="2758">
      <c r="A2758" s="17"/>
      <c r="B2758" s="17"/>
      <c r="C2758" s="17"/>
      <c r="D2758" s="17"/>
      <c r="E2758" s="17"/>
      <c r="F2758" s="17"/>
      <c r="G2758" s="17"/>
      <c r="H2758" s="17"/>
      <c r="I2758" s="17"/>
      <c r="J2758" s="17"/>
      <c r="K2758" s="17"/>
      <c r="L2758" s="17"/>
      <c r="M2758" s="17"/>
      <c r="N2758" s="17"/>
      <c r="O2758" s="17"/>
      <c r="P2758" s="17"/>
      <c r="Q2758" s="17"/>
      <c r="R2758" s="17"/>
      <c r="S2758" s="17"/>
      <c r="T2758" s="17"/>
      <c r="U2758" s="17"/>
      <c r="V2758" s="17"/>
      <c r="W2758" s="17"/>
      <c r="X2758" s="17"/>
      <c r="Y2758" s="17"/>
      <c r="Z2758" s="17"/>
    </row>
    <row r="2759">
      <c r="A2759" s="17"/>
      <c r="B2759" s="17"/>
      <c r="C2759" s="17"/>
      <c r="D2759" s="17"/>
      <c r="E2759" s="17"/>
      <c r="F2759" s="17"/>
      <c r="G2759" s="17"/>
      <c r="H2759" s="17"/>
      <c r="I2759" s="17"/>
      <c r="J2759" s="17"/>
      <c r="K2759" s="17"/>
      <c r="L2759" s="17"/>
      <c r="M2759" s="17"/>
      <c r="N2759" s="17"/>
      <c r="O2759" s="17"/>
      <c r="P2759" s="17"/>
      <c r="Q2759" s="17"/>
      <c r="R2759" s="17"/>
      <c r="S2759" s="17"/>
      <c r="T2759" s="17"/>
      <c r="U2759" s="17"/>
      <c r="V2759" s="17"/>
      <c r="W2759" s="17"/>
      <c r="X2759" s="17"/>
      <c r="Y2759" s="17"/>
      <c r="Z2759" s="17"/>
    </row>
    <row r="2760">
      <c r="A2760" s="17"/>
      <c r="B2760" s="17"/>
      <c r="C2760" s="17"/>
      <c r="D2760" s="17"/>
      <c r="E2760" s="17"/>
      <c r="F2760" s="17"/>
      <c r="G2760" s="17"/>
      <c r="H2760" s="17"/>
      <c r="I2760" s="17"/>
      <c r="J2760" s="17"/>
      <c r="K2760" s="17"/>
      <c r="L2760" s="17"/>
      <c r="M2760" s="17"/>
      <c r="N2760" s="17"/>
      <c r="O2760" s="17"/>
      <c r="P2760" s="17"/>
      <c r="Q2760" s="17"/>
      <c r="R2760" s="17"/>
      <c r="S2760" s="17"/>
      <c r="T2760" s="17"/>
      <c r="U2760" s="17"/>
      <c r="V2760" s="17"/>
      <c r="W2760" s="17"/>
      <c r="X2760" s="17"/>
      <c r="Y2760" s="17"/>
      <c r="Z2760" s="17"/>
    </row>
    <row r="2761">
      <c r="A2761" s="17"/>
      <c r="B2761" s="17"/>
      <c r="C2761" s="17"/>
      <c r="D2761" s="17"/>
      <c r="E2761" s="17"/>
      <c r="F2761" s="17"/>
      <c r="G2761" s="17"/>
      <c r="H2761" s="17"/>
      <c r="I2761" s="17"/>
      <c r="J2761" s="17"/>
      <c r="K2761" s="17"/>
      <c r="L2761" s="17"/>
      <c r="M2761" s="17"/>
      <c r="N2761" s="17"/>
      <c r="O2761" s="17"/>
      <c r="P2761" s="17"/>
      <c r="Q2761" s="17"/>
      <c r="R2761" s="17"/>
      <c r="S2761" s="17"/>
      <c r="T2761" s="17"/>
      <c r="U2761" s="17"/>
      <c r="V2761" s="17"/>
      <c r="W2761" s="17"/>
      <c r="X2761" s="17"/>
      <c r="Y2761" s="17"/>
      <c r="Z2761" s="17"/>
    </row>
    <row r="2762">
      <c r="A2762" s="17"/>
      <c r="B2762" s="17"/>
      <c r="C2762" s="17"/>
      <c r="D2762" s="17"/>
      <c r="E2762" s="17"/>
      <c r="F2762" s="17"/>
      <c r="G2762" s="17"/>
      <c r="H2762" s="17"/>
      <c r="I2762" s="17"/>
      <c r="J2762" s="17"/>
      <c r="K2762" s="17"/>
      <c r="L2762" s="17"/>
      <c r="M2762" s="17"/>
      <c r="N2762" s="17"/>
      <c r="O2762" s="17"/>
      <c r="P2762" s="17"/>
      <c r="Q2762" s="17"/>
      <c r="R2762" s="17"/>
      <c r="S2762" s="17"/>
      <c r="T2762" s="17"/>
      <c r="U2762" s="17"/>
      <c r="V2762" s="17"/>
      <c r="W2762" s="17"/>
      <c r="X2762" s="17"/>
      <c r="Y2762" s="17"/>
      <c r="Z2762" s="17"/>
    </row>
    <row r="2763">
      <c r="A2763" s="17"/>
      <c r="B2763" s="17"/>
      <c r="C2763" s="17"/>
      <c r="D2763" s="17"/>
      <c r="E2763" s="17"/>
      <c r="F2763" s="17"/>
      <c r="G2763" s="17"/>
      <c r="H2763" s="17"/>
      <c r="I2763" s="17"/>
      <c r="J2763" s="17"/>
      <c r="K2763" s="17"/>
      <c r="L2763" s="17"/>
      <c r="M2763" s="17"/>
      <c r="N2763" s="17"/>
      <c r="O2763" s="17"/>
      <c r="P2763" s="17"/>
      <c r="Q2763" s="17"/>
      <c r="R2763" s="17"/>
      <c r="S2763" s="17"/>
      <c r="T2763" s="17"/>
      <c r="U2763" s="17"/>
      <c r="V2763" s="17"/>
      <c r="W2763" s="17"/>
      <c r="X2763" s="17"/>
      <c r="Y2763" s="17"/>
      <c r="Z2763" s="17"/>
    </row>
    <row r="2764">
      <c r="A2764" s="17"/>
      <c r="B2764" s="17"/>
      <c r="C2764" s="17"/>
      <c r="D2764" s="17"/>
      <c r="E2764" s="17"/>
      <c r="F2764" s="17"/>
      <c r="G2764" s="17"/>
      <c r="H2764" s="17"/>
      <c r="I2764" s="17"/>
      <c r="J2764" s="17"/>
      <c r="K2764" s="17"/>
      <c r="L2764" s="17"/>
      <c r="M2764" s="17"/>
      <c r="N2764" s="17"/>
      <c r="O2764" s="17"/>
      <c r="P2764" s="17"/>
      <c r="Q2764" s="17"/>
      <c r="R2764" s="17"/>
      <c r="S2764" s="17"/>
      <c r="T2764" s="17"/>
      <c r="U2764" s="17"/>
      <c r="V2764" s="17"/>
      <c r="W2764" s="17"/>
      <c r="X2764" s="17"/>
      <c r="Y2764" s="17"/>
      <c r="Z2764" s="17"/>
    </row>
    <row r="2765">
      <c r="A2765" s="17"/>
      <c r="B2765" s="17"/>
      <c r="C2765" s="17"/>
      <c r="D2765" s="17"/>
      <c r="E2765" s="17"/>
      <c r="F2765" s="17"/>
      <c r="G2765" s="17"/>
      <c r="H2765" s="17"/>
      <c r="I2765" s="17"/>
      <c r="J2765" s="17"/>
      <c r="K2765" s="17"/>
      <c r="L2765" s="17"/>
      <c r="M2765" s="17"/>
      <c r="N2765" s="17"/>
      <c r="O2765" s="17"/>
      <c r="P2765" s="17"/>
      <c r="Q2765" s="17"/>
      <c r="R2765" s="17"/>
      <c r="S2765" s="17"/>
      <c r="T2765" s="17"/>
      <c r="U2765" s="17"/>
      <c r="V2765" s="17"/>
      <c r="W2765" s="17"/>
      <c r="X2765" s="17"/>
      <c r="Y2765" s="17"/>
      <c r="Z2765" s="17"/>
    </row>
    <row r="2766">
      <c r="A2766" s="17"/>
      <c r="B2766" s="17"/>
      <c r="C2766" s="17"/>
      <c r="D2766" s="17"/>
      <c r="E2766" s="17"/>
      <c r="F2766" s="17"/>
      <c r="G2766" s="17"/>
      <c r="H2766" s="17"/>
      <c r="I2766" s="17"/>
      <c r="J2766" s="17"/>
      <c r="K2766" s="17"/>
      <c r="L2766" s="17"/>
      <c r="M2766" s="17"/>
      <c r="N2766" s="17"/>
      <c r="O2766" s="17"/>
      <c r="P2766" s="17"/>
      <c r="Q2766" s="17"/>
      <c r="R2766" s="17"/>
      <c r="S2766" s="17"/>
      <c r="T2766" s="17"/>
      <c r="U2766" s="17"/>
      <c r="V2766" s="17"/>
      <c r="W2766" s="17"/>
      <c r="X2766" s="17"/>
      <c r="Y2766" s="17"/>
      <c r="Z2766" s="17"/>
    </row>
    <row r="2767">
      <c r="A2767" s="17"/>
      <c r="B2767" s="17"/>
      <c r="C2767" s="17"/>
      <c r="D2767" s="17"/>
      <c r="E2767" s="17"/>
      <c r="F2767" s="17"/>
      <c r="G2767" s="17"/>
      <c r="H2767" s="17"/>
      <c r="I2767" s="17"/>
      <c r="J2767" s="17"/>
      <c r="K2767" s="17"/>
      <c r="L2767" s="17"/>
      <c r="M2767" s="17"/>
      <c r="N2767" s="17"/>
      <c r="O2767" s="17"/>
      <c r="P2767" s="17"/>
      <c r="Q2767" s="17"/>
      <c r="R2767" s="17"/>
      <c r="S2767" s="17"/>
      <c r="T2767" s="17"/>
      <c r="U2767" s="17"/>
      <c r="V2767" s="17"/>
      <c r="W2767" s="17"/>
      <c r="X2767" s="17"/>
      <c r="Y2767" s="17"/>
      <c r="Z2767" s="17"/>
    </row>
    <row r="2768">
      <c r="A2768" s="17"/>
      <c r="B2768" s="17"/>
      <c r="C2768" s="17"/>
      <c r="D2768" s="17"/>
      <c r="E2768" s="17"/>
      <c r="F2768" s="17"/>
      <c r="G2768" s="17"/>
      <c r="H2768" s="17"/>
      <c r="I2768" s="17"/>
      <c r="J2768" s="17"/>
      <c r="K2768" s="17"/>
      <c r="L2768" s="17"/>
      <c r="M2768" s="17"/>
      <c r="N2768" s="17"/>
      <c r="O2768" s="17"/>
      <c r="P2768" s="17"/>
      <c r="Q2768" s="17"/>
      <c r="R2768" s="17"/>
      <c r="S2768" s="17"/>
      <c r="T2768" s="17"/>
      <c r="U2768" s="17"/>
      <c r="V2768" s="17"/>
      <c r="W2768" s="17"/>
      <c r="X2768" s="17"/>
      <c r="Y2768" s="17"/>
      <c r="Z2768" s="17"/>
    </row>
    <row r="2769">
      <c r="A2769" s="17"/>
      <c r="B2769" s="17"/>
      <c r="C2769" s="17"/>
      <c r="D2769" s="17"/>
      <c r="E2769" s="17"/>
      <c r="F2769" s="17"/>
      <c r="G2769" s="17"/>
      <c r="H2769" s="17"/>
      <c r="I2769" s="17"/>
      <c r="J2769" s="17"/>
      <c r="K2769" s="17"/>
      <c r="L2769" s="17"/>
      <c r="M2769" s="17"/>
      <c r="N2769" s="17"/>
      <c r="O2769" s="17"/>
      <c r="P2769" s="17"/>
      <c r="Q2769" s="17"/>
      <c r="R2769" s="17"/>
      <c r="S2769" s="17"/>
      <c r="T2769" s="17"/>
      <c r="U2769" s="17"/>
      <c r="V2769" s="17"/>
      <c r="W2769" s="17"/>
      <c r="X2769" s="17"/>
      <c r="Y2769" s="17"/>
      <c r="Z2769" s="17"/>
    </row>
    <row r="2770">
      <c r="A2770" s="17"/>
      <c r="B2770" s="17"/>
      <c r="C2770" s="17"/>
      <c r="D2770" s="17"/>
      <c r="E2770" s="17"/>
      <c r="F2770" s="17"/>
      <c r="G2770" s="17"/>
      <c r="H2770" s="17"/>
      <c r="I2770" s="17"/>
      <c r="J2770" s="17"/>
      <c r="K2770" s="17"/>
      <c r="L2770" s="17"/>
      <c r="M2770" s="17"/>
      <c r="N2770" s="17"/>
      <c r="O2770" s="17"/>
      <c r="P2770" s="17"/>
      <c r="Q2770" s="17"/>
      <c r="R2770" s="17"/>
      <c r="S2770" s="17"/>
      <c r="T2770" s="17"/>
      <c r="U2770" s="17"/>
      <c r="V2770" s="17"/>
      <c r="W2770" s="17"/>
      <c r="X2770" s="17"/>
      <c r="Y2770" s="17"/>
      <c r="Z2770" s="17"/>
    </row>
    <row r="2771">
      <c r="A2771" s="17"/>
      <c r="B2771" s="17"/>
      <c r="C2771" s="17"/>
      <c r="D2771" s="17"/>
      <c r="E2771" s="17"/>
      <c r="F2771" s="17"/>
      <c r="G2771" s="17"/>
      <c r="H2771" s="17"/>
      <c r="I2771" s="17"/>
      <c r="J2771" s="17"/>
      <c r="K2771" s="17"/>
      <c r="L2771" s="17"/>
      <c r="M2771" s="17"/>
      <c r="N2771" s="17"/>
      <c r="O2771" s="17"/>
      <c r="P2771" s="17"/>
      <c r="Q2771" s="17"/>
      <c r="R2771" s="17"/>
      <c r="S2771" s="17"/>
      <c r="T2771" s="17"/>
      <c r="U2771" s="17"/>
      <c r="V2771" s="17"/>
      <c r="W2771" s="17"/>
      <c r="X2771" s="17"/>
      <c r="Y2771" s="17"/>
      <c r="Z2771" s="17"/>
    </row>
    <row r="2772">
      <c r="A2772" s="17"/>
      <c r="B2772" s="17"/>
      <c r="C2772" s="17"/>
      <c r="D2772" s="17"/>
      <c r="E2772" s="17"/>
      <c r="F2772" s="17"/>
      <c r="G2772" s="17"/>
      <c r="H2772" s="17"/>
      <c r="I2772" s="17"/>
      <c r="J2772" s="17"/>
      <c r="K2772" s="17"/>
      <c r="L2772" s="17"/>
      <c r="M2772" s="17"/>
      <c r="N2772" s="17"/>
      <c r="O2772" s="17"/>
      <c r="P2772" s="17"/>
      <c r="Q2772" s="17"/>
      <c r="R2772" s="17"/>
      <c r="S2772" s="17"/>
      <c r="T2772" s="17"/>
      <c r="U2772" s="17"/>
      <c r="V2772" s="17"/>
      <c r="W2772" s="17"/>
      <c r="X2772" s="17"/>
      <c r="Y2772" s="17"/>
      <c r="Z2772" s="17"/>
    </row>
    <row r="2773">
      <c r="A2773" s="17"/>
      <c r="B2773" s="17"/>
      <c r="C2773" s="17"/>
      <c r="D2773" s="17"/>
      <c r="E2773" s="17"/>
      <c r="F2773" s="17"/>
      <c r="G2773" s="17"/>
      <c r="H2773" s="17"/>
      <c r="I2773" s="17"/>
      <c r="J2773" s="17"/>
      <c r="K2773" s="17"/>
      <c r="L2773" s="17"/>
      <c r="M2773" s="17"/>
      <c r="N2773" s="17"/>
      <c r="O2773" s="17"/>
      <c r="P2773" s="17"/>
      <c r="Q2773" s="17"/>
      <c r="R2773" s="17"/>
      <c r="S2773" s="17"/>
      <c r="T2773" s="17"/>
      <c r="U2773" s="17"/>
      <c r="V2773" s="17"/>
      <c r="W2773" s="17"/>
      <c r="X2773" s="17"/>
      <c r="Y2773" s="17"/>
      <c r="Z2773" s="17"/>
    </row>
    <row r="2774">
      <c r="A2774" s="17"/>
      <c r="B2774" s="17"/>
      <c r="C2774" s="17"/>
      <c r="D2774" s="17"/>
      <c r="E2774" s="17"/>
      <c r="F2774" s="17"/>
      <c r="G2774" s="17"/>
      <c r="H2774" s="17"/>
      <c r="I2774" s="17"/>
      <c r="J2774" s="17"/>
      <c r="K2774" s="17"/>
      <c r="L2774" s="17"/>
      <c r="M2774" s="17"/>
      <c r="N2774" s="17"/>
      <c r="O2774" s="17"/>
      <c r="P2774" s="17"/>
      <c r="Q2774" s="17"/>
      <c r="R2774" s="17"/>
      <c r="S2774" s="17"/>
      <c r="T2774" s="17"/>
      <c r="U2774" s="17"/>
      <c r="V2774" s="17"/>
      <c r="W2774" s="17"/>
      <c r="X2774" s="17"/>
      <c r="Y2774" s="17"/>
      <c r="Z2774" s="17"/>
    </row>
    <row r="2775">
      <c r="A2775" s="17"/>
      <c r="B2775" s="17"/>
      <c r="C2775" s="17"/>
      <c r="D2775" s="17"/>
      <c r="E2775" s="17"/>
      <c r="F2775" s="17"/>
      <c r="G2775" s="17"/>
      <c r="H2775" s="17"/>
      <c r="I2775" s="17"/>
      <c r="J2775" s="17"/>
      <c r="K2775" s="17"/>
      <c r="L2775" s="17"/>
      <c r="M2775" s="17"/>
      <c r="N2775" s="17"/>
      <c r="O2775" s="17"/>
      <c r="P2775" s="17"/>
      <c r="Q2775" s="17"/>
      <c r="R2775" s="17"/>
      <c r="S2775" s="17"/>
      <c r="T2775" s="17"/>
      <c r="U2775" s="17"/>
      <c r="V2775" s="17"/>
      <c r="W2775" s="17"/>
      <c r="X2775" s="17"/>
      <c r="Y2775" s="17"/>
      <c r="Z2775" s="17"/>
    </row>
    <row r="2776">
      <c r="A2776" s="17"/>
      <c r="B2776" s="17"/>
      <c r="C2776" s="17"/>
      <c r="D2776" s="17"/>
      <c r="E2776" s="17"/>
      <c r="F2776" s="17"/>
      <c r="G2776" s="17"/>
      <c r="H2776" s="17"/>
      <c r="I2776" s="17"/>
      <c r="J2776" s="17"/>
      <c r="K2776" s="17"/>
      <c r="L2776" s="17"/>
      <c r="M2776" s="17"/>
      <c r="N2776" s="17"/>
      <c r="O2776" s="17"/>
      <c r="P2776" s="17"/>
      <c r="Q2776" s="17"/>
      <c r="R2776" s="17"/>
      <c r="S2776" s="17"/>
      <c r="T2776" s="17"/>
      <c r="U2776" s="17"/>
      <c r="V2776" s="17"/>
      <c r="W2776" s="17"/>
      <c r="X2776" s="17"/>
      <c r="Y2776" s="17"/>
      <c r="Z2776" s="17"/>
    </row>
    <row r="2777">
      <c r="A2777" s="17"/>
      <c r="B2777" s="17"/>
      <c r="C2777" s="17"/>
      <c r="D2777" s="17"/>
      <c r="E2777" s="17"/>
      <c r="F2777" s="17"/>
      <c r="G2777" s="17"/>
      <c r="H2777" s="17"/>
      <c r="I2777" s="17"/>
      <c r="J2777" s="17"/>
      <c r="K2777" s="17"/>
      <c r="L2777" s="17"/>
      <c r="M2777" s="17"/>
      <c r="N2777" s="17"/>
      <c r="O2777" s="17"/>
      <c r="P2777" s="17"/>
      <c r="Q2777" s="17"/>
      <c r="R2777" s="17"/>
      <c r="S2777" s="17"/>
      <c r="T2777" s="17"/>
      <c r="U2777" s="17"/>
      <c r="V2777" s="17"/>
      <c r="W2777" s="17"/>
      <c r="X2777" s="17"/>
      <c r="Y2777" s="17"/>
      <c r="Z2777" s="17"/>
    </row>
    <row r="2778">
      <c r="A2778" s="17"/>
      <c r="B2778" s="17"/>
      <c r="C2778" s="17"/>
      <c r="D2778" s="17"/>
      <c r="E2778" s="17"/>
      <c r="F2778" s="17"/>
      <c r="G2778" s="17"/>
      <c r="H2778" s="17"/>
      <c r="I2778" s="17"/>
      <c r="J2778" s="17"/>
      <c r="K2778" s="17"/>
      <c r="L2778" s="17"/>
      <c r="M2778" s="17"/>
      <c r="N2778" s="17"/>
      <c r="O2778" s="17"/>
      <c r="P2778" s="17"/>
      <c r="Q2778" s="17"/>
      <c r="R2778" s="17"/>
      <c r="S2778" s="17"/>
      <c r="T2778" s="17"/>
      <c r="U2778" s="17"/>
      <c r="V2778" s="17"/>
      <c r="W2778" s="17"/>
      <c r="X2778" s="17"/>
      <c r="Y2778" s="17"/>
      <c r="Z2778" s="17"/>
    </row>
    <row r="2779">
      <c r="A2779" s="17"/>
      <c r="B2779" s="17"/>
      <c r="C2779" s="17"/>
      <c r="D2779" s="17"/>
      <c r="E2779" s="17"/>
      <c r="F2779" s="17"/>
      <c r="G2779" s="17"/>
      <c r="H2779" s="17"/>
      <c r="I2779" s="17"/>
      <c r="J2779" s="17"/>
      <c r="K2779" s="17"/>
      <c r="L2779" s="17"/>
      <c r="M2779" s="17"/>
      <c r="N2779" s="17"/>
      <c r="O2779" s="17"/>
      <c r="P2779" s="17"/>
      <c r="Q2779" s="17"/>
      <c r="R2779" s="17"/>
      <c r="S2779" s="17"/>
      <c r="T2779" s="17"/>
      <c r="U2779" s="17"/>
      <c r="V2779" s="17"/>
      <c r="W2779" s="17"/>
      <c r="X2779" s="17"/>
      <c r="Y2779" s="17"/>
      <c r="Z2779" s="17"/>
    </row>
    <row r="2780">
      <c r="A2780" s="17"/>
      <c r="B2780" s="17"/>
      <c r="C2780" s="17"/>
      <c r="D2780" s="17"/>
      <c r="E2780" s="17"/>
      <c r="F2780" s="17"/>
      <c r="G2780" s="17"/>
      <c r="H2780" s="17"/>
      <c r="I2780" s="17"/>
      <c r="J2780" s="17"/>
      <c r="K2780" s="17"/>
      <c r="L2780" s="17"/>
      <c r="M2780" s="17"/>
      <c r="N2780" s="17"/>
      <c r="O2780" s="17"/>
      <c r="P2780" s="17"/>
      <c r="Q2780" s="17"/>
      <c r="R2780" s="17"/>
      <c r="S2780" s="17"/>
      <c r="T2780" s="17"/>
      <c r="U2780" s="17"/>
      <c r="V2780" s="17"/>
      <c r="W2780" s="17"/>
      <c r="X2780" s="17"/>
      <c r="Y2780" s="17"/>
      <c r="Z2780" s="17"/>
    </row>
    <row r="2781">
      <c r="A2781" s="17"/>
      <c r="B2781" s="17"/>
      <c r="C2781" s="17"/>
      <c r="D2781" s="17"/>
      <c r="E2781" s="17"/>
      <c r="F2781" s="17"/>
      <c r="G2781" s="17"/>
      <c r="H2781" s="17"/>
      <c r="I2781" s="17"/>
      <c r="J2781" s="17"/>
      <c r="K2781" s="17"/>
      <c r="L2781" s="17"/>
      <c r="M2781" s="17"/>
      <c r="N2781" s="17"/>
      <c r="O2781" s="17"/>
      <c r="P2781" s="17"/>
      <c r="Q2781" s="17"/>
      <c r="R2781" s="17"/>
      <c r="S2781" s="17"/>
      <c r="T2781" s="17"/>
      <c r="U2781" s="17"/>
      <c r="V2781" s="17"/>
      <c r="W2781" s="17"/>
      <c r="X2781" s="17"/>
      <c r="Y2781" s="17"/>
      <c r="Z2781" s="17"/>
    </row>
    <row r="2782">
      <c r="A2782" s="17"/>
      <c r="B2782" s="17"/>
      <c r="C2782" s="17"/>
      <c r="D2782" s="17"/>
      <c r="E2782" s="17"/>
      <c r="F2782" s="17"/>
      <c r="G2782" s="17"/>
      <c r="H2782" s="17"/>
      <c r="I2782" s="17"/>
      <c r="J2782" s="17"/>
      <c r="K2782" s="17"/>
      <c r="L2782" s="17"/>
      <c r="M2782" s="17"/>
      <c r="N2782" s="17"/>
      <c r="O2782" s="17"/>
      <c r="P2782" s="17"/>
      <c r="Q2782" s="17"/>
      <c r="R2782" s="17"/>
      <c r="S2782" s="17"/>
      <c r="T2782" s="17"/>
      <c r="U2782" s="17"/>
      <c r="V2782" s="17"/>
      <c r="W2782" s="17"/>
      <c r="X2782" s="17"/>
      <c r="Y2782" s="17"/>
      <c r="Z2782" s="17"/>
    </row>
    <row r="2783">
      <c r="A2783" s="17"/>
      <c r="B2783" s="17"/>
      <c r="C2783" s="17"/>
      <c r="D2783" s="17"/>
      <c r="E2783" s="17"/>
      <c r="F2783" s="17"/>
      <c r="G2783" s="17"/>
      <c r="H2783" s="17"/>
      <c r="I2783" s="17"/>
      <c r="J2783" s="17"/>
      <c r="K2783" s="17"/>
      <c r="L2783" s="17"/>
      <c r="M2783" s="17"/>
      <c r="N2783" s="17"/>
      <c r="O2783" s="17"/>
      <c r="P2783" s="17"/>
      <c r="Q2783" s="17"/>
      <c r="R2783" s="17"/>
      <c r="S2783" s="17"/>
      <c r="T2783" s="17"/>
      <c r="U2783" s="17"/>
      <c r="V2783" s="17"/>
      <c r="W2783" s="17"/>
      <c r="X2783" s="17"/>
      <c r="Y2783" s="17"/>
      <c r="Z2783" s="17"/>
    </row>
    <row r="2784">
      <c r="A2784" s="17"/>
      <c r="B2784" s="17"/>
      <c r="C2784" s="17"/>
      <c r="D2784" s="17"/>
      <c r="E2784" s="17"/>
      <c r="F2784" s="17"/>
      <c r="G2784" s="17"/>
      <c r="H2784" s="17"/>
      <c r="I2784" s="17"/>
      <c r="J2784" s="17"/>
      <c r="K2784" s="17"/>
      <c r="L2784" s="17"/>
      <c r="M2784" s="17"/>
      <c r="N2784" s="17"/>
      <c r="O2784" s="17"/>
      <c r="P2784" s="17"/>
      <c r="Q2784" s="17"/>
      <c r="R2784" s="17"/>
      <c r="S2784" s="17"/>
      <c r="T2784" s="17"/>
      <c r="U2784" s="17"/>
      <c r="V2784" s="17"/>
      <c r="W2784" s="17"/>
      <c r="X2784" s="17"/>
      <c r="Y2784" s="17"/>
      <c r="Z2784" s="17"/>
    </row>
    <row r="2785">
      <c r="A2785" s="17"/>
      <c r="B2785" s="17"/>
      <c r="C2785" s="17"/>
      <c r="D2785" s="17"/>
      <c r="E2785" s="17"/>
      <c r="F2785" s="17"/>
      <c r="G2785" s="17"/>
      <c r="H2785" s="17"/>
      <c r="I2785" s="17"/>
      <c r="J2785" s="17"/>
      <c r="K2785" s="17"/>
      <c r="L2785" s="17"/>
      <c r="M2785" s="17"/>
      <c r="N2785" s="17"/>
      <c r="O2785" s="17"/>
      <c r="P2785" s="17"/>
      <c r="Q2785" s="17"/>
      <c r="R2785" s="17"/>
      <c r="S2785" s="17"/>
      <c r="T2785" s="17"/>
      <c r="U2785" s="17"/>
      <c r="V2785" s="17"/>
      <c r="W2785" s="17"/>
      <c r="X2785" s="17"/>
      <c r="Y2785" s="17"/>
      <c r="Z2785" s="17"/>
    </row>
    <row r="2786">
      <c r="A2786" s="17"/>
      <c r="B2786" s="17"/>
      <c r="C2786" s="17"/>
      <c r="D2786" s="17"/>
      <c r="E2786" s="17"/>
      <c r="F2786" s="17"/>
      <c r="G2786" s="17"/>
      <c r="H2786" s="17"/>
      <c r="I2786" s="17"/>
      <c r="J2786" s="17"/>
      <c r="K2786" s="17"/>
      <c r="L2786" s="17"/>
      <c r="M2786" s="17"/>
      <c r="N2786" s="17"/>
      <c r="O2786" s="17"/>
      <c r="P2786" s="17"/>
      <c r="Q2786" s="17"/>
      <c r="R2786" s="17"/>
      <c r="S2786" s="17"/>
      <c r="T2786" s="17"/>
      <c r="U2786" s="17"/>
      <c r="V2786" s="17"/>
      <c r="W2786" s="17"/>
      <c r="X2786" s="17"/>
      <c r="Y2786" s="17"/>
      <c r="Z2786" s="17"/>
    </row>
    <row r="2787">
      <c r="A2787" s="17"/>
      <c r="B2787" s="17"/>
      <c r="C2787" s="17"/>
      <c r="D2787" s="17"/>
      <c r="E2787" s="17"/>
      <c r="F2787" s="17"/>
      <c r="G2787" s="17"/>
      <c r="H2787" s="17"/>
      <c r="I2787" s="17"/>
      <c r="J2787" s="17"/>
      <c r="K2787" s="17"/>
      <c r="L2787" s="17"/>
      <c r="M2787" s="17"/>
      <c r="N2787" s="17"/>
      <c r="O2787" s="17"/>
      <c r="P2787" s="17"/>
      <c r="Q2787" s="17"/>
      <c r="R2787" s="17"/>
      <c r="S2787" s="17"/>
      <c r="T2787" s="17"/>
      <c r="U2787" s="17"/>
      <c r="V2787" s="17"/>
      <c r="W2787" s="17"/>
      <c r="X2787" s="17"/>
      <c r="Y2787" s="17"/>
      <c r="Z2787" s="17"/>
    </row>
    <row r="2788">
      <c r="A2788" s="17"/>
      <c r="B2788" s="17"/>
      <c r="C2788" s="17"/>
      <c r="D2788" s="17"/>
      <c r="E2788" s="17"/>
      <c r="F2788" s="17"/>
      <c r="G2788" s="17"/>
      <c r="H2788" s="17"/>
      <c r="I2788" s="17"/>
      <c r="J2788" s="17"/>
      <c r="K2788" s="17"/>
      <c r="L2788" s="17"/>
      <c r="M2788" s="17"/>
      <c r="N2788" s="17"/>
      <c r="O2788" s="17"/>
      <c r="P2788" s="17"/>
      <c r="Q2788" s="17"/>
      <c r="R2788" s="17"/>
      <c r="S2788" s="17"/>
      <c r="T2788" s="17"/>
      <c r="U2788" s="17"/>
      <c r="V2788" s="17"/>
      <c r="W2788" s="17"/>
      <c r="X2788" s="17"/>
      <c r="Y2788" s="17"/>
      <c r="Z2788" s="17"/>
    </row>
    <row r="2789">
      <c r="A2789" s="17"/>
      <c r="B2789" s="17"/>
      <c r="C2789" s="17"/>
      <c r="D2789" s="17"/>
      <c r="E2789" s="17"/>
      <c r="F2789" s="17"/>
      <c r="G2789" s="17"/>
      <c r="H2789" s="17"/>
      <c r="I2789" s="17"/>
      <c r="J2789" s="17"/>
      <c r="K2789" s="17"/>
      <c r="L2789" s="17"/>
      <c r="M2789" s="17"/>
      <c r="N2789" s="17"/>
      <c r="O2789" s="17"/>
      <c r="P2789" s="17"/>
      <c r="Q2789" s="17"/>
      <c r="R2789" s="17"/>
      <c r="S2789" s="17"/>
      <c r="T2789" s="17"/>
      <c r="U2789" s="17"/>
      <c r="V2789" s="17"/>
      <c r="W2789" s="17"/>
      <c r="X2789" s="17"/>
      <c r="Y2789" s="17"/>
      <c r="Z2789" s="17"/>
    </row>
    <row r="2790">
      <c r="A2790" s="17"/>
      <c r="B2790" s="17"/>
      <c r="C2790" s="17"/>
      <c r="D2790" s="17"/>
      <c r="E2790" s="17"/>
      <c r="F2790" s="17"/>
      <c r="G2790" s="17"/>
      <c r="H2790" s="17"/>
      <c r="I2790" s="17"/>
      <c r="J2790" s="17"/>
      <c r="K2790" s="17"/>
      <c r="L2790" s="17"/>
      <c r="M2790" s="17"/>
      <c r="N2790" s="17"/>
      <c r="O2790" s="17"/>
      <c r="P2790" s="17"/>
      <c r="Q2790" s="17"/>
      <c r="R2790" s="17"/>
      <c r="S2790" s="17"/>
      <c r="T2790" s="17"/>
      <c r="U2790" s="17"/>
      <c r="V2790" s="17"/>
      <c r="W2790" s="17"/>
      <c r="X2790" s="17"/>
      <c r="Y2790" s="17"/>
      <c r="Z2790" s="17"/>
    </row>
    <row r="2791">
      <c r="A2791" s="17"/>
      <c r="B2791" s="17"/>
      <c r="C2791" s="17"/>
      <c r="D2791" s="17"/>
      <c r="E2791" s="17"/>
      <c r="F2791" s="17"/>
      <c r="G2791" s="17"/>
      <c r="H2791" s="17"/>
      <c r="I2791" s="17"/>
      <c r="J2791" s="17"/>
      <c r="K2791" s="17"/>
      <c r="L2791" s="17"/>
      <c r="M2791" s="17"/>
      <c r="N2791" s="17"/>
      <c r="O2791" s="17"/>
      <c r="P2791" s="17"/>
      <c r="Q2791" s="17"/>
      <c r="R2791" s="17"/>
      <c r="S2791" s="17"/>
      <c r="T2791" s="17"/>
      <c r="U2791" s="17"/>
      <c r="V2791" s="17"/>
      <c r="W2791" s="17"/>
      <c r="X2791" s="17"/>
      <c r="Y2791" s="17"/>
      <c r="Z2791" s="17"/>
    </row>
    <row r="2792">
      <c r="A2792" s="17"/>
      <c r="B2792" s="17"/>
      <c r="C2792" s="17"/>
      <c r="D2792" s="17"/>
      <c r="E2792" s="17"/>
      <c r="F2792" s="17"/>
      <c r="G2792" s="17"/>
      <c r="H2792" s="17"/>
      <c r="I2792" s="17"/>
      <c r="J2792" s="17"/>
      <c r="K2792" s="17"/>
      <c r="L2792" s="17"/>
      <c r="M2792" s="17"/>
      <c r="N2792" s="17"/>
      <c r="O2792" s="17"/>
      <c r="P2792" s="17"/>
      <c r="Q2792" s="17"/>
      <c r="R2792" s="17"/>
      <c r="S2792" s="17"/>
      <c r="T2792" s="17"/>
      <c r="U2792" s="17"/>
      <c r="V2792" s="17"/>
      <c r="W2792" s="17"/>
      <c r="X2792" s="17"/>
      <c r="Y2792" s="17"/>
      <c r="Z2792" s="17"/>
    </row>
    <row r="2793">
      <c r="A2793" s="17"/>
      <c r="B2793" s="17"/>
      <c r="C2793" s="17"/>
      <c r="D2793" s="17"/>
      <c r="E2793" s="17"/>
      <c r="F2793" s="17"/>
      <c r="G2793" s="17"/>
      <c r="H2793" s="17"/>
      <c r="I2793" s="17"/>
      <c r="J2793" s="17"/>
      <c r="K2793" s="17"/>
      <c r="L2793" s="17"/>
      <c r="M2793" s="17"/>
      <c r="N2793" s="17"/>
      <c r="O2793" s="17"/>
      <c r="P2793" s="17"/>
      <c r="Q2793" s="17"/>
      <c r="R2793" s="17"/>
      <c r="S2793" s="17"/>
      <c r="T2793" s="17"/>
      <c r="U2793" s="17"/>
      <c r="V2793" s="17"/>
      <c r="W2793" s="17"/>
      <c r="X2793" s="17"/>
      <c r="Y2793" s="17"/>
      <c r="Z2793" s="17"/>
    </row>
    <row r="2794">
      <c r="A2794" s="17"/>
      <c r="B2794" s="17"/>
      <c r="C2794" s="17"/>
      <c r="D2794" s="17"/>
      <c r="E2794" s="17"/>
      <c r="F2794" s="17"/>
      <c r="G2794" s="17"/>
      <c r="H2794" s="17"/>
      <c r="I2794" s="17"/>
      <c r="J2794" s="17"/>
      <c r="K2794" s="17"/>
      <c r="L2794" s="17"/>
      <c r="M2794" s="17"/>
      <c r="N2794" s="17"/>
      <c r="O2794" s="17"/>
      <c r="P2794" s="17"/>
      <c r="Q2794" s="17"/>
      <c r="R2794" s="17"/>
      <c r="S2794" s="17"/>
      <c r="T2794" s="17"/>
      <c r="U2794" s="17"/>
      <c r="V2794" s="17"/>
      <c r="W2794" s="17"/>
      <c r="X2794" s="17"/>
      <c r="Y2794" s="17"/>
      <c r="Z2794" s="17"/>
    </row>
    <row r="2795">
      <c r="A2795" s="17"/>
      <c r="B2795" s="17"/>
      <c r="C2795" s="17"/>
      <c r="D2795" s="17"/>
      <c r="E2795" s="17"/>
      <c r="F2795" s="17"/>
      <c r="G2795" s="17"/>
      <c r="H2795" s="17"/>
      <c r="I2795" s="17"/>
      <c r="J2795" s="17"/>
      <c r="K2795" s="17"/>
      <c r="L2795" s="17"/>
      <c r="M2795" s="17"/>
      <c r="N2795" s="17"/>
      <c r="O2795" s="17"/>
      <c r="P2795" s="17"/>
      <c r="Q2795" s="17"/>
      <c r="R2795" s="17"/>
      <c r="S2795" s="17"/>
      <c r="T2795" s="17"/>
      <c r="U2795" s="17"/>
      <c r="V2795" s="17"/>
      <c r="W2795" s="17"/>
      <c r="X2795" s="17"/>
      <c r="Y2795" s="17"/>
      <c r="Z2795" s="17"/>
    </row>
    <row r="2796">
      <c r="A2796" s="17"/>
      <c r="B2796" s="17"/>
      <c r="C2796" s="17"/>
      <c r="D2796" s="17"/>
      <c r="E2796" s="17"/>
      <c r="F2796" s="17"/>
      <c r="G2796" s="17"/>
      <c r="H2796" s="17"/>
      <c r="I2796" s="17"/>
      <c r="J2796" s="17"/>
      <c r="K2796" s="17"/>
      <c r="L2796" s="17"/>
      <c r="M2796" s="17"/>
      <c r="N2796" s="17"/>
      <c r="O2796" s="17"/>
      <c r="P2796" s="17"/>
      <c r="Q2796" s="17"/>
      <c r="R2796" s="17"/>
      <c r="S2796" s="17"/>
      <c r="T2796" s="17"/>
      <c r="U2796" s="17"/>
      <c r="V2796" s="17"/>
      <c r="W2796" s="17"/>
      <c r="X2796" s="17"/>
      <c r="Y2796" s="17"/>
      <c r="Z2796" s="17"/>
    </row>
    <row r="2797">
      <c r="A2797" s="17"/>
      <c r="B2797" s="17"/>
      <c r="C2797" s="17"/>
      <c r="D2797" s="17"/>
      <c r="E2797" s="17"/>
      <c r="F2797" s="17"/>
      <c r="G2797" s="17"/>
      <c r="H2797" s="17"/>
      <c r="I2797" s="17"/>
      <c r="J2797" s="17"/>
      <c r="K2797" s="17"/>
      <c r="L2797" s="17"/>
      <c r="M2797" s="17"/>
      <c r="N2797" s="17"/>
      <c r="O2797" s="17"/>
      <c r="P2797" s="17"/>
      <c r="Q2797" s="17"/>
      <c r="R2797" s="17"/>
      <c r="S2797" s="17"/>
      <c r="T2797" s="17"/>
      <c r="U2797" s="17"/>
      <c r="V2797" s="17"/>
      <c r="W2797" s="17"/>
      <c r="X2797" s="17"/>
      <c r="Y2797" s="17"/>
      <c r="Z2797" s="17"/>
    </row>
    <row r="2798">
      <c r="A2798" s="17"/>
      <c r="B2798" s="17"/>
      <c r="C2798" s="17"/>
      <c r="D2798" s="17"/>
      <c r="E2798" s="17"/>
      <c r="F2798" s="17"/>
      <c r="G2798" s="17"/>
      <c r="H2798" s="17"/>
      <c r="I2798" s="17"/>
      <c r="J2798" s="17"/>
      <c r="K2798" s="17"/>
      <c r="L2798" s="17"/>
      <c r="M2798" s="17"/>
      <c r="N2798" s="17"/>
      <c r="O2798" s="17"/>
      <c r="P2798" s="17"/>
      <c r="Q2798" s="17"/>
      <c r="R2798" s="17"/>
      <c r="S2798" s="17"/>
      <c r="T2798" s="17"/>
      <c r="U2798" s="17"/>
      <c r="V2798" s="17"/>
      <c r="W2798" s="17"/>
      <c r="X2798" s="17"/>
      <c r="Y2798" s="17"/>
      <c r="Z2798" s="17"/>
    </row>
    <row r="2799">
      <c r="A2799" s="17"/>
      <c r="B2799" s="17"/>
      <c r="C2799" s="17"/>
      <c r="D2799" s="17"/>
      <c r="E2799" s="17"/>
      <c r="F2799" s="17"/>
      <c r="G2799" s="17"/>
      <c r="H2799" s="17"/>
      <c r="I2799" s="17"/>
      <c r="J2799" s="17"/>
      <c r="K2799" s="17"/>
      <c r="L2799" s="17"/>
      <c r="M2799" s="17"/>
      <c r="N2799" s="17"/>
      <c r="O2799" s="17"/>
      <c r="P2799" s="17"/>
      <c r="Q2799" s="17"/>
      <c r="R2799" s="17"/>
      <c r="S2799" s="17"/>
      <c r="T2799" s="17"/>
      <c r="U2799" s="17"/>
      <c r="V2799" s="17"/>
      <c r="W2799" s="17"/>
      <c r="X2799" s="17"/>
      <c r="Y2799" s="17"/>
      <c r="Z2799" s="17"/>
    </row>
    <row r="2800">
      <c r="A2800" s="17"/>
      <c r="B2800" s="17"/>
      <c r="C2800" s="17"/>
      <c r="D2800" s="17"/>
      <c r="E2800" s="17"/>
      <c r="F2800" s="17"/>
      <c r="G2800" s="17"/>
      <c r="H2800" s="17"/>
      <c r="I2800" s="17"/>
      <c r="J2800" s="17"/>
      <c r="K2800" s="17"/>
      <c r="L2800" s="17"/>
      <c r="M2800" s="17"/>
      <c r="N2800" s="17"/>
      <c r="O2800" s="17"/>
      <c r="P2800" s="17"/>
      <c r="Q2800" s="17"/>
      <c r="R2800" s="17"/>
      <c r="S2800" s="17"/>
      <c r="T2800" s="17"/>
      <c r="U2800" s="17"/>
      <c r="V2800" s="17"/>
      <c r="W2800" s="17"/>
      <c r="X2800" s="17"/>
      <c r="Y2800" s="17"/>
      <c r="Z2800" s="17"/>
    </row>
    <row r="2801">
      <c r="A2801" s="17"/>
      <c r="B2801" s="17"/>
      <c r="C2801" s="17"/>
      <c r="D2801" s="17"/>
      <c r="E2801" s="17"/>
      <c r="F2801" s="17"/>
      <c r="G2801" s="17"/>
      <c r="H2801" s="17"/>
      <c r="I2801" s="17"/>
      <c r="J2801" s="17"/>
      <c r="K2801" s="17"/>
      <c r="L2801" s="17"/>
      <c r="M2801" s="17"/>
      <c r="N2801" s="17"/>
      <c r="O2801" s="17"/>
      <c r="P2801" s="17"/>
      <c r="Q2801" s="17"/>
      <c r="R2801" s="17"/>
      <c r="S2801" s="17"/>
      <c r="T2801" s="17"/>
      <c r="U2801" s="17"/>
      <c r="V2801" s="17"/>
      <c r="W2801" s="17"/>
      <c r="X2801" s="17"/>
      <c r="Y2801" s="17"/>
      <c r="Z2801" s="17"/>
    </row>
    <row r="2802">
      <c r="A2802" s="17"/>
      <c r="B2802" s="17"/>
      <c r="C2802" s="17"/>
      <c r="D2802" s="17"/>
      <c r="E2802" s="17"/>
      <c r="F2802" s="17"/>
      <c r="G2802" s="17"/>
      <c r="H2802" s="17"/>
      <c r="I2802" s="17"/>
      <c r="J2802" s="17"/>
      <c r="K2802" s="17"/>
      <c r="L2802" s="17"/>
      <c r="M2802" s="17"/>
      <c r="N2802" s="17"/>
      <c r="O2802" s="17"/>
      <c r="P2802" s="17"/>
      <c r="Q2802" s="17"/>
      <c r="R2802" s="17"/>
      <c r="S2802" s="17"/>
      <c r="T2802" s="17"/>
      <c r="U2802" s="17"/>
      <c r="V2802" s="17"/>
      <c r="W2802" s="17"/>
      <c r="X2802" s="17"/>
      <c r="Y2802" s="17"/>
      <c r="Z2802" s="17"/>
    </row>
    <row r="2803">
      <c r="A2803" s="17"/>
      <c r="B2803" s="17"/>
      <c r="C2803" s="17"/>
      <c r="D2803" s="17"/>
      <c r="E2803" s="17"/>
      <c r="F2803" s="17"/>
      <c r="G2803" s="17"/>
      <c r="H2803" s="17"/>
      <c r="I2803" s="17"/>
      <c r="J2803" s="17"/>
      <c r="K2803" s="17"/>
      <c r="L2803" s="17"/>
      <c r="M2803" s="17"/>
      <c r="N2803" s="17"/>
      <c r="O2803" s="17"/>
      <c r="P2803" s="17"/>
      <c r="Q2803" s="17"/>
      <c r="R2803" s="17"/>
      <c r="S2803" s="17"/>
      <c r="T2803" s="17"/>
      <c r="U2803" s="17"/>
      <c r="V2803" s="17"/>
      <c r="W2803" s="17"/>
      <c r="X2803" s="17"/>
      <c r="Y2803" s="17"/>
      <c r="Z2803" s="17"/>
    </row>
    <row r="2804">
      <c r="A2804" s="17"/>
      <c r="B2804" s="17"/>
      <c r="C2804" s="17"/>
      <c r="D2804" s="17"/>
      <c r="E2804" s="17"/>
      <c r="F2804" s="17"/>
      <c r="G2804" s="17"/>
      <c r="H2804" s="17"/>
      <c r="I2804" s="17"/>
      <c r="J2804" s="17"/>
      <c r="K2804" s="17"/>
      <c r="L2804" s="17"/>
      <c r="M2804" s="17"/>
      <c r="N2804" s="17"/>
      <c r="O2804" s="17"/>
      <c r="P2804" s="17"/>
      <c r="Q2804" s="17"/>
      <c r="R2804" s="17"/>
      <c r="S2804" s="17"/>
      <c r="T2804" s="17"/>
      <c r="U2804" s="17"/>
      <c r="V2804" s="17"/>
      <c r="W2804" s="17"/>
      <c r="X2804" s="17"/>
      <c r="Y2804" s="17"/>
      <c r="Z2804" s="17"/>
    </row>
    <row r="2805">
      <c r="A2805" s="17"/>
      <c r="B2805" s="17"/>
      <c r="C2805" s="17"/>
      <c r="D2805" s="17"/>
      <c r="E2805" s="17"/>
      <c r="F2805" s="17"/>
      <c r="G2805" s="17"/>
      <c r="H2805" s="17"/>
      <c r="I2805" s="17"/>
      <c r="J2805" s="17"/>
      <c r="K2805" s="17"/>
      <c r="L2805" s="17"/>
      <c r="M2805" s="17"/>
      <c r="N2805" s="17"/>
      <c r="O2805" s="17"/>
      <c r="P2805" s="17"/>
      <c r="Q2805" s="17"/>
      <c r="R2805" s="17"/>
      <c r="S2805" s="17"/>
      <c r="T2805" s="17"/>
      <c r="U2805" s="17"/>
      <c r="V2805" s="17"/>
      <c r="W2805" s="17"/>
      <c r="X2805" s="17"/>
      <c r="Y2805" s="17"/>
      <c r="Z2805" s="17"/>
    </row>
    <row r="2806">
      <c r="A2806" s="17"/>
      <c r="B2806" s="17"/>
      <c r="C2806" s="17"/>
      <c r="D2806" s="17"/>
      <c r="E2806" s="17"/>
      <c r="F2806" s="17"/>
      <c r="G2806" s="17"/>
      <c r="H2806" s="17"/>
      <c r="I2806" s="17"/>
      <c r="J2806" s="17"/>
      <c r="K2806" s="17"/>
      <c r="L2806" s="17"/>
      <c r="M2806" s="17"/>
      <c r="N2806" s="17"/>
      <c r="O2806" s="17"/>
      <c r="P2806" s="17"/>
      <c r="Q2806" s="17"/>
      <c r="R2806" s="17"/>
      <c r="S2806" s="17"/>
      <c r="T2806" s="17"/>
      <c r="U2806" s="17"/>
      <c r="V2806" s="17"/>
      <c r="W2806" s="17"/>
      <c r="X2806" s="17"/>
      <c r="Y2806" s="17"/>
      <c r="Z2806" s="17"/>
    </row>
    <row r="2807">
      <c r="A2807" s="17"/>
      <c r="B2807" s="17"/>
      <c r="C2807" s="17"/>
      <c r="D2807" s="17"/>
      <c r="E2807" s="17"/>
      <c r="F2807" s="17"/>
      <c r="G2807" s="17"/>
      <c r="H2807" s="17"/>
      <c r="I2807" s="17"/>
      <c r="J2807" s="17"/>
      <c r="K2807" s="17"/>
      <c r="L2807" s="17"/>
      <c r="M2807" s="17"/>
      <c r="N2807" s="17"/>
      <c r="O2807" s="17"/>
      <c r="P2807" s="17"/>
      <c r="Q2807" s="17"/>
      <c r="R2807" s="17"/>
      <c r="S2807" s="17"/>
      <c r="T2807" s="17"/>
      <c r="U2807" s="17"/>
      <c r="V2807" s="17"/>
      <c r="W2807" s="17"/>
      <c r="X2807" s="17"/>
      <c r="Y2807" s="17"/>
      <c r="Z2807" s="17"/>
    </row>
    <row r="2808">
      <c r="A2808" s="17"/>
      <c r="B2808" s="17"/>
      <c r="C2808" s="17"/>
      <c r="D2808" s="17"/>
      <c r="E2808" s="17"/>
      <c r="F2808" s="17"/>
      <c r="G2808" s="17"/>
      <c r="H2808" s="17"/>
      <c r="I2808" s="17"/>
      <c r="J2808" s="17"/>
      <c r="K2808" s="17"/>
      <c r="L2808" s="17"/>
      <c r="M2808" s="17"/>
      <c r="N2808" s="17"/>
      <c r="O2808" s="17"/>
      <c r="P2808" s="17"/>
      <c r="Q2808" s="17"/>
      <c r="R2808" s="17"/>
      <c r="S2808" s="17"/>
      <c r="T2808" s="17"/>
      <c r="U2808" s="17"/>
      <c r="V2808" s="17"/>
      <c r="W2808" s="17"/>
      <c r="X2808" s="17"/>
      <c r="Y2808" s="17"/>
      <c r="Z2808" s="17"/>
    </row>
    <row r="2809">
      <c r="A2809" s="17"/>
      <c r="B2809" s="17"/>
      <c r="C2809" s="17"/>
      <c r="D2809" s="17"/>
      <c r="E2809" s="17"/>
      <c r="F2809" s="17"/>
      <c r="G2809" s="17"/>
      <c r="H2809" s="17"/>
      <c r="I2809" s="17"/>
      <c r="J2809" s="17"/>
      <c r="K2809" s="17"/>
      <c r="L2809" s="17"/>
      <c r="M2809" s="17"/>
      <c r="N2809" s="17"/>
      <c r="O2809" s="17"/>
      <c r="P2809" s="17"/>
      <c r="Q2809" s="17"/>
      <c r="R2809" s="17"/>
      <c r="S2809" s="17"/>
      <c r="T2809" s="17"/>
      <c r="U2809" s="17"/>
      <c r="V2809" s="17"/>
      <c r="W2809" s="17"/>
      <c r="X2809" s="17"/>
      <c r="Y2809" s="17"/>
      <c r="Z2809" s="17"/>
    </row>
    <row r="2810">
      <c r="A2810" s="17"/>
      <c r="B2810" s="17"/>
      <c r="C2810" s="17"/>
      <c r="D2810" s="17"/>
      <c r="E2810" s="17"/>
      <c r="F2810" s="17"/>
      <c r="G2810" s="17"/>
      <c r="H2810" s="17"/>
      <c r="I2810" s="17"/>
      <c r="J2810" s="17"/>
      <c r="K2810" s="17"/>
      <c r="L2810" s="17"/>
      <c r="M2810" s="17"/>
      <c r="N2810" s="17"/>
      <c r="O2810" s="17"/>
      <c r="P2810" s="17"/>
      <c r="Q2810" s="17"/>
      <c r="R2810" s="17"/>
      <c r="S2810" s="17"/>
      <c r="T2810" s="17"/>
      <c r="U2810" s="17"/>
      <c r="V2810" s="17"/>
      <c r="W2810" s="17"/>
      <c r="X2810" s="17"/>
      <c r="Y2810" s="17"/>
      <c r="Z2810" s="17"/>
    </row>
    <row r="2811">
      <c r="A2811" s="17"/>
      <c r="B2811" s="17"/>
      <c r="C2811" s="17"/>
      <c r="D2811" s="17"/>
      <c r="E2811" s="17"/>
      <c r="F2811" s="17"/>
      <c r="G2811" s="17"/>
      <c r="H2811" s="17"/>
      <c r="I2811" s="17"/>
      <c r="J2811" s="17"/>
      <c r="K2811" s="17"/>
      <c r="L2811" s="17"/>
      <c r="M2811" s="17"/>
      <c r="N2811" s="17"/>
      <c r="O2811" s="17"/>
      <c r="P2811" s="17"/>
      <c r="Q2811" s="17"/>
      <c r="R2811" s="17"/>
      <c r="S2811" s="17"/>
      <c r="T2811" s="17"/>
      <c r="U2811" s="17"/>
      <c r="V2811" s="17"/>
      <c r="W2811" s="17"/>
      <c r="X2811" s="17"/>
      <c r="Y2811" s="17"/>
      <c r="Z2811" s="17"/>
    </row>
    <row r="2812">
      <c r="A2812" s="17"/>
      <c r="B2812" s="17"/>
      <c r="C2812" s="17"/>
      <c r="D2812" s="17"/>
      <c r="E2812" s="17"/>
      <c r="F2812" s="17"/>
      <c r="G2812" s="17"/>
      <c r="H2812" s="17"/>
      <c r="I2812" s="17"/>
      <c r="J2812" s="17"/>
      <c r="K2812" s="17"/>
      <c r="L2812" s="17"/>
      <c r="M2812" s="17"/>
      <c r="N2812" s="17"/>
      <c r="O2812" s="17"/>
      <c r="P2812" s="17"/>
      <c r="Q2812" s="17"/>
      <c r="R2812" s="17"/>
      <c r="S2812" s="17"/>
      <c r="T2812" s="17"/>
      <c r="U2812" s="17"/>
      <c r="V2812" s="17"/>
      <c r="W2812" s="17"/>
      <c r="X2812" s="17"/>
      <c r="Y2812" s="17"/>
      <c r="Z2812" s="17"/>
    </row>
    <row r="2813">
      <c r="A2813" s="17"/>
      <c r="B2813" s="17"/>
      <c r="C2813" s="17"/>
      <c r="D2813" s="17"/>
      <c r="E2813" s="17"/>
      <c r="F2813" s="17"/>
      <c r="G2813" s="17"/>
      <c r="H2813" s="17"/>
      <c r="I2813" s="17"/>
      <c r="J2813" s="17"/>
      <c r="K2813" s="17"/>
      <c r="L2813" s="17"/>
      <c r="M2813" s="17"/>
      <c r="N2813" s="17"/>
      <c r="O2813" s="17"/>
      <c r="P2813" s="17"/>
      <c r="Q2813" s="17"/>
      <c r="R2813" s="17"/>
      <c r="S2813" s="17"/>
      <c r="T2813" s="17"/>
      <c r="U2813" s="17"/>
      <c r="V2813" s="17"/>
      <c r="W2813" s="17"/>
      <c r="X2813" s="17"/>
      <c r="Y2813" s="17"/>
      <c r="Z2813" s="17"/>
    </row>
    <row r="2814">
      <c r="A2814" s="17"/>
      <c r="B2814" s="17"/>
      <c r="C2814" s="17"/>
      <c r="D2814" s="17"/>
      <c r="E2814" s="17"/>
      <c r="F2814" s="17"/>
      <c r="G2814" s="17"/>
      <c r="H2814" s="17"/>
      <c r="I2814" s="17"/>
      <c r="J2814" s="17"/>
      <c r="K2814" s="17"/>
      <c r="L2814" s="17"/>
      <c r="M2814" s="17"/>
      <c r="N2814" s="17"/>
      <c r="O2814" s="17"/>
      <c r="P2814" s="17"/>
      <c r="Q2814" s="17"/>
      <c r="R2814" s="17"/>
      <c r="S2814" s="17"/>
      <c r="T2814" s="17"/>
      <c r="U2814" s="17"/>
      <c r="V2814" s="17"/>
      <c r="W2814" s="17"/>
      <c r="X2814" s="17"/>
      <c r="Y2814" s="17"/>
      <c r="Z2814" s="17"/>
    </row>
    <row r="2815">
      <c r="A2815" s="17"/>
      <c r="B2815" s="17"/>
      <c r="C2815" s="17"/>
      <c r="D2815" s="17"/>
      <c r="E2815" s="17"/>
      <c r="F2815" s="17"/>
      <c r="G2815" s="17"/>
      <c r="H2815" s="17"/>
      <c r="I2815" s="17"/>
      <c r="J2815" s="17"/>
      <c r="K2815" s="17"/>
      <c r="L2815" s="17"/>
      <c r="M2815" s="17"/>
      <c r="N2815" s="17"/>
      <c r="O2815" s="17"/>
      <c r="P2815" s="17"/>
      <c r="Q2815" s="17"/>
      <c r="R2815" s="17"/>
      <c r="S2815" s="17"/>
      <c r="T2815" s="17"/>
      <c r="U2815" s="17"/>
      <c r="V2815" s="17"/>
      <c r="W2815" s="17"/>
      <c r="X2815" s="17"/>
      <c r="Y2815" s="17"/>
      <c r="Z2815" s="17"/>
    </row>
    <row r="2816">
      <c r="A2816" s="17"/>
      <c r="B2816" s="17"/>
      <c r="C2816" s="17"/>
      <c r="D2816" s="17"/>
      <c r="E2816" s="17"/>
      <c r="F2816" s="17"/>
      <c r="G2816" s="17"/>
      <c r="H2816" s="17"/>
      <c r="I2816" s="17"/>
      <c r="J2816" s="17"/>
      <c r="K2816" s="17"/>
      <c r="L2816" s="17"/>
      <c r="M2816" s="17"/>
      <c r="N2816" s="17"/>
      <c r="O2816" s="17"/>
      <c r="P2816" s="17"/>
      <c r="Q2816" s="17"/>
      <c r="R2816" s="17"/>
      <c r="S2816" s="17"/>
      <c r="T2816" s="17"/>
      <c r="U2816" s="17"/>
      <c r="V2816" s="17"/>
      <c r="W2816" s="17"/>
      <c r="X2816" s="17"/>
      <c r="Y2816" s="17"/>
      <c r="Z2816" s="17"/>
    </row>
    <row r="2817">
      <c r="A2817" s="17"/>
      <c r="B2817" s="17"/>
      <c r="C2817" s="17"/>
      <c r="D2817" s="17"/>
      <c r="E2817" s="17"/>
      <c r="F2817" s="17"/>
      <c r="G2817" s="17"/>
      <c r="H2817" s="17"/>
      <c r="I2817" s="17"/>
      <c r="J2817" s="17"/>
      <c r="K2817" s="17"/>
      <c r="L2817" s="17"/>
      <c r="M2817" s="17"/>
      <c r="N2817" s="17"/>
      <c r="O2817" s="17"/>
      <c r="P2817" s="17"/>
      <c r="Q2817" s="17"/>
      <c r="R2817" s="17"/>
      <c r="S2817" s="17"/>
      <c r="T2817" s="17"/>
      <c r="U2817" s="17"/>
      <c r="V2817" s="17"/>
      <c r="W2817" s="17"/>
      <c r="X2817" s="17"/>
      <c r="Y2817" s="17"/>
      <c r="Z2817" s="17"/>
    </row>
    <row r="2818">
      <c r="A2818" s="17"/>
      <c r="B2818" s="17"/>
      <c r="C2818" s="17"/>
      <c r="D2818" s="17"/>
      <c r="E2818" s="17"/>
      <c r="F2818" s="17"/>
      <c r="G2818" s="17"/>
      <c r="H2818" s="17"/>
      <c r="I2818" s="17"/>
      <c r="J2818" s="17"/>
      <c r="K2818" s="17"/>
      <c r="L2818" s="17"/>
      <c r="M2818" s="17"/>
      <c r="N2818" s="17"/>
      <c r="O2818" s="17"/>
      <c r="P2818" s="17"/>
      <c r="Q2818" s="17"/>
      <c r="R2818" s="17"/>
      <c r="S2818" s="17"/>
      <c r="T2818" s="17"/>
      <c r="U2818" s="17"/>
      <c r="V2818" s="17"/>
      <c r="W2818" s="17"/>
      <c r="X2818" s="17"/>
      <c r="Y2818" s="17"/>
      <c r="Z2818" s="17"/>
    </row>
    <row r="2819">
      <c r="A2819" s="17"/>
      <c r="B2819" s="17"/>
      <c r="C2819" s="17"/>
      <c r="D2819" s="17"/>
      <c r="E2819" s="17"/>
      <c r="F2819" s="17"/>
      <c r="G2819" s="17"/>
      <c r="H2819" s="17"/>
      <c r="I2819" s="17"/>
      <c r="J2819" s="17"/>
      <c r="K2819" s="17"/>
      <c r="L2819" s="17"/>
      <c r="M2819" s="17"/>
      <c r="N2819" s="17"/>
      <c r="O2819" s="17"/>
      <c r="P2819" s="17"/>
      <c r="Q2819" s="17"/>
      <c r="R2819" s="17"/>
      <c r="S2819" s="17"/>
      <c r="T2819" s="17"/>
      <c r="U2819" s="17"/>
      <c r="V2819" s="17"/>
      <c r="W2819" s="17"/>
      <c r="X2819" s="17"/>
      <c r="Y2819" s="17"/>
      <c r="Z2819" s="17"/>
    </row>
    <row r="2820">
      <c r="A2820" s="17"/>
      <c r="B2820" s="17"/>
      <c r="C2820" s="17"/>
      <c r="D2820" s="17"/>
      <c r="E2820" s="17"/>
      <c r="F2820" s="17"/>
      <c r="G2820" s="17"/>
      <c r="H2820" s="17"/>
      <c r="I2820" s="17"/>
      <c r="J2820" s="17"/>
      <c r="K2820" s="17"/>
      <c r="L2820" s="17"/>
      <c r="M2820" s="17"/>
      <c r="N2820" s="17"/>
      <c r="O2820" s="17"/>
      <c r="P2820" s="17"/>
      <c r="Q2820" s="17"/>
      <c r="R2820" s="17"/>
      <c r="S2820" s="17"/>
      <c r="T2820" s="17"/>
      <c r="U2820" s="17"/>
      <c r="V2820" s="17"/>
      <c r="W2820" s="17"/>
      <c r="X2820" s="17"/>
      <c r="Y2820" s="17"/>
      <c r="Z2820" s="17"/>
    </row>
    <row r="2821">
      <c r="A2821" s="17"/>
      <c r="B2821" s="17"/>
      <c r="C2821" s="17"/>
      <c r="D2821" s="17"/>
      <c r="E2821" s="17"/>
      <c r="F2821" s="17"/>
      <c r="G2821" s="17"/>
      <c r="H2821" s="17"/>
      <c r="I2821" s="17"/>
      <c r="J2821" s="17"/>
      <c r="K2821" s="17"/>
      <c r="L2821" s="17"/>
      <c r="M2821" s="17"/>
      <c r="N2821" s="17"/>
      <c r="O2821" s="17"/>
      <c r="P2821" s="17"/>
      <c r="Q2821" s="17"/>
      <c r="R2821" s="17"/>
      <c r="S2821" s="17"/>
      <c r="T2821" s="17"/>
      <c r="U2821" s="17"/>
      <c r="V2821" s="17"/>
      <c r="W2821" s="17"/>
      <c r="X2821" s="17"/>
      <c r="Y2821" s="17"/>
      <c r="Z2821" s="17"/>
    </row>
    <row r="2822">
      <c r="A2822" s="17"/>
      <c r="B2822" s="17"/>
      <c r="C2822" s="17"/>
      <c r="D2822" s="17"/>
      <c r="E2822" s="17"/>
      <c r="F2822" s="17"/>
      <c r="G2822" s="17"/>
      <c r="H2822" s="17"/>
      <c r="I2822" s="17"/>
      <c r="J2822" s="17"/>
      <c r="K2822" s="17"/>
      <c r="L2822" s="17"/>
      <c r="M2822" s="17"/>
      <c r="N2822" s="17"/>
      <c r="O2822" s="17"/>
      <c r="P2822" s="17"/>
      <c r="Q2822" s="17"/>
      <c r="R2822" s="17"/>
      <c r="S2822" s="17"/>
      <c r="T2822" s="17"/>
      <c r="U2822" s="17"/>
      <c r="V2822" s="17"/>
      <c r="W2822" s="17"/>
      <c r="X2822" s="17"/>
      <c r="Y2822" s="17"/>
      <c r="Z2822" s="17"/>
    </row>
    <row r="2823">
      <c r="A2823" s="17"/>
      <c r="B2823" s="17"/>
      <c r="C2823" s="17"/>
      <c r="D2823" s="17"/>
      <c r="E2823" s="17"/>
      <c r="F2823" s="17"/>
      <c r="G2823" s="17"/>
      <c r="H2823" s="17"/>
      <c r="I2823" s="17"/>
      <c r="J2823" s="17"/>
      <c r="K2823" s="17"/>
      <c r="L2823" s="17"/>
      <c r="M2823" s="17"/>
      <c r="N2823" s="17"/>
      <c r="O2823" s="17"/>
      <c r="P2823" s="17"/>
      <c r="Q2823" s="17"/>
      <c r="R2823" s="17"/>
      <c r="S2823" s="17"/>
      <c r="T2823" s="17"/>
      <c r="U2823" s="17"/>
      <c r="V2823" s="17"/>
      <c r="W2823" s="17"/>
      <c r="X2823" s="17"/>
      <c r="Y2823" s="17"/>
      <c r="Z2823" s="17"/>
    </row>
    <row r="2824">
      <c r="A2824" s="17"/>
      <c r="B2824" s="17"/>
      <c r="C2824" s="17"/>
      <c r="D2824" s="17"/>
      <c r="E2824" s="17"/>
      <c r="F2824" s="17"/>
      <c r="G2824" s="17"/>
      <c r="H2824" s="17"/>
      <c r="I2824" s="17"/>
      <c r="J2824" s="17"/>
      <c r="K2824" s="17"/>
      <c r="L2824" s="17"/>
      <c r="M2824" s="17"/>
      <c r="N2824" s="17"/>
      <c r="O2824" s="17"/>
      <c r="P2824" s="17"/>
      <c r="Q2824" s="17"/>
      <c r="R2824" s="17"/>
      <c r="S2824" s="17"/>
      <c r="T2824" s="17"/>
      <c r="U2824" s="17"/>
      <c r="V2824" s="17"/>
      <c r="W2824" s="17"/>
      <c r="X2824" s="17"/>
      <c r="Y2824" s="17"/>
      <c r="Z2824" s="17"/>
    </row>
    <row r="2825">
      <c r="A2825" s="17"/>
      <c r="B2825" s="17"/>
      <c r="C2825" s="17"/>
      <c r="D2825" s="17"/>
      <c r="E2825" s="17"/>
      <c r="F2825" s="17"/>
      <c r="G2825" s="17"/>
      <c r="H2825" s="17"/>
      <c r="I2825" s="17"/>
      <c r="J2825" s="17"/>
      <c r="K2825" s="17"/>
      <c r="L2825" s="17"/>
      <c r="M2825" s="17"/>
      <c r="N2825" s="17"/>
      <c r="O2825" s="17"/>
      <c r="P2825" s="17"/>
      <c r="Q2825" s="17"/>
      <c r="R2825" s="17"/>
      <c r="S2825" s="17"/>
      <c r="T2825" s="17"/>
      <c r="U2825" s="17"/>
      <c r="V2825" s="17"/>
      <c r="W2825" s="17"/>
      <c r="X2825" s="17"/>
      <c r="Y2825" s="17"/>
      <c r="Z2825" s="17"/>
    </row>
    <row r="2826">
      <c r="A2826" s="17"/>
      <c r="B2826" s="17"/>
      <c r="C2826" s="17"/>
      <c r="D2826" s="17"/>
      <c r="E2826" s="17"/>
      <c r="F2826" s="17"/>
      <c r="G2826" s="17"/>
      <c r="H2826" s="17"/>
      <c r="I2826" s="17"/>
      <c r="J2826" s="17"/>
      <c r="K2826" s="17"/>
      <c r="L2826" s="17"/>
      <c r="M2826" s="17"/>
      <c r="N2826" s="17"/>
      <c r="O2826" s="17"/>
      <c r="P2826" s="17"/>
      <c r="Q2826" s="17"/>
      <c r="R2826" s="17"/>
      <c r="S2826" s="17"/>
      <c r="T2826" s="17"/>
      <c r="U2826" s="17"/>
      <c r="V2826" s="17"/>
      <c r="W2826" s="17"/>
      <c r="X2826" s="17"/>
      <c r="Y2826" s="17"/>
      <c r="Z2826" s="17"/>
    </row>
    <row r="2827">
      <c r="A2827" s="17"/>
      <c r="B2827" s="17"/>
      <c r="C2827" s="17"/>
      <c r="D2827" s="17"/>
      <c r="E2827" s="17"/>
      <c r="F2827" s="17"/>
      <c r="G2827" s="17"/>
      <c r="H2827" s="17"/>
      <c r="I2827" s="17"/>
      <c r="J2827" s="17"/>
      <c r="K2827" s="17"/>
      <c r="L2827" s="17"/>
      <c r="M2827" s="17"/>
      <c r="N2827" s="17"/>
      <c r="O2827" s="17"/>
      <c r="P2827" s="17"/>
      <c r="Q2827" s="17"/>
      <c r="R2827" s="17"/>
      <c r="S2827" s="17"/>
      <c r="T2827" s="17"/>
      <c r="U2827" s="17"/>
      <c r="V2827" s="17"/>
      <c r="W2827" s="17"/>
      <c r="X2827" s="17"/>
      <c r="Y2827" s="17"/>
      <c r="Z2827" s="17"/>
    </row>
    <row r="2828">
      <c r="A2828" s="17"/>
      <c r="B2828" s="17"/>
      <c r="C2828" s="17"/>
      <c r="D2828" s="17"/>
      <c r="E2828" s="17"/>
      <c r="F2828" s="17"/>
      <c r="G2828" s="17"/>
      <c r="H2828" s="17"/>
      <c r="I2828" s="17"/>
      <c r="J2828" s="17"/>
      <c r="K2828" s="17"/>
      <c r="L2828" s="17"/>
      <c r="M2828" s="17"/>
      <c r="N2828" s="17"/>
      <c r="O2828" s="17"/>
      <c r="P2828" s="17"/>
      <c r="Q2828" s="17"/>
      <c r="R2828" s="17"/>
      <c r="S2828" s="17"/>
      <c r="T2828" s="17"/>
      <c r="U2828" s="17"/>
      <c r="V2828" s="17"/>
      <c r="W2828" s="17"/>
      <c r="X2828" s="17"/>
      <c r="Y2828" s="17"/>
      <c r="Z2828" s="17"/>
    </row>
    <row r="2829">
      <c r="A2829" s="17"/>
      <c r="B2829" s="17"/>
      <c r="C2829" s="17"/>
      <c r="D2829" s="17"/>
      <c r="E2829" s="17"/>
      <c r="F2829" s="17"/>
      <c r="G2829" s="17"/>
      <c r="H2829" s="17"/>
      <c r="I2829" s="17"/>
      <c r="J2829" s="17"/>
      <c r="K2829" s="17"/>
      <c r="L2829" s="17"/>
      <c r="M2829" s="17"/>
      <c r="N2829" s="17"/>
      <c r="O2829" s="17"/>
      <c r="P2829" s="17"/>
      <c r="Q2829" s="17"/>
      <c r="R2829" s="17"/>
      <c r="S2829" s="17"/>
      <c r="T2829" s="17"/>
      <c r="U2829" s="17"/>
      <c r="V2829" s="17"/>
      <c r="W2829" s="17"/>
      <c r="X2829" s="17"/>
      <c r="Y2829" s="17"/>
      <c r="Z2829" s="17"/>
    </row>
    <row r="2830">
      <c r="A2830" s="17"/>
      <c r="B2830" s="17"/>
      <c r="C2830" s="17"/>
      <c r="D2830" s="17"/>
      <c r="E2830" s="17"/>
      <c r="F2830" s="17"/>
      <c r="G2830" s="17"/>
      <c r="H2830" s="17"/>
      <c r="I2830" s="17"/>
      <c r="J2830" s="17"/>
      <c r="K2830" s="17"/>
      <c r="L2830" s="17"/>
      <c r="M2830" s="17"/>
      <c r="N2830" s="17"/>
      <c r="O2830" s="17"/>
      <c r="P2830" s="17"/>
      <c r="Q2830" s="17"/>
      <c r="R2830" s="17"/>
      <c r="S2830" s="17"/>
      <c r="T2830" s="17"/>
      <c r="U2830" s="17"/>
      <c r="V2830" s="17"/>
      <c r="W2830" s="17"/>
      <c r="X2830" s="17"/>
      <c r="Y2830" s="17"/>
      <c r="Z2830" s="17"/>
    </row>
    <row r="2831">
      <c r="A2831" s="17"/>
      <c r="B2831" s="17"/>
      <c r="C2831" s="17"/>
      <c r="D2831" s="17"/>
      <c r="E2831" s="17"/>
      <c r="F2831" s="17"/>
      <c r="G2831" s="17"/>
      <c r="H2831" s="17"/>
      <c r="I2831" s="17"/>
      <c r="J2831" s="17"/>
      <c r="K2831" s="17"/>
      <c r="L2831" s="17"/>
      <c r="M2831" s="17"/>
      <c r="N2831" s="17"/>
      <c r="O2831" s="17"/>
      <c r="P2831" s="17"/>
      <c r="Q2831" s="17"/>
      <c r="R2831" s="17"/>
      <c r="S2831" s="17"/>
      <c r="T2831" s="17"/>
      <c r="U2831" s="17"/>
      <c r="V2831" s="17"/>
      <c r="W2831" s="17"/>
      <c r="X2831" s="17"/>
      <c r="Y2831" s="17"/>
      <c r="Z2831" s="17"/>
    </row>
    <row r="2832">
      <c r="A2832" s="17"/>
      <c r="B2832" s="17"/>
      <c r="C2832" s="17"/>
      <c r="D2832" s="17"/>
      <c r="E2832" s="17"/>
      <c r="F2832" s="17"/>
      <c r="G2832" s="17"/>
      <c r="H2832" s="17"/>
      <c r="I2832" s="17"/>
      <c r="J2832" s="17"/>
      <c r="K2832" s="17"/>
      <c r="L2832" s="17"/>
      <c r="M2832" s="17"/>
      <c r="N2832" s="17"/>
      <c r="O2832" s="17"/>
      <c r="P2832" s="17"/>
      <c r="Q2832" s="17"/>
      <c r="R2832" s="17"/>
      <c r="S2832" s="17"/>
      <c r="T2832" s="17"/>
      <c r="U2832" s="17"/>
      <c r="V2832" s="17"/>
      <c r="W2832" s="17"/>
      <c r="X2832" s="17"/>
      <c r="Y2832" s="17"/>
      <c r="Z2832" s="17"/>
    </row>
    <row r="2833">
      <c r="A2833" s="17"/>
      <c r="B2833" s="17"/>
      <c r="C2833" s="17"/>
      <c r="D2833" s="17"/>
      <c r="E2833" s="17"/>
      <c r="F2833" s="17"/>
      <c r="G2833" s="17"/>
      <c r="H2833" s="17"/>
      <c r="I2833" s="17"/>
      <c r="J2833" s="17"/>
      <c r="K2833" s="17"/>
      <c r="L2833" s="17"/>
      <c r="M2833" s="17"/>
      <c r="N2833" s="17"/>
      <c r="O2833" s="17"/>
      <c r="P2833" s="17"/>
      <c r="Q2833" s="17"/>
      <c r="R2833" s="17"/>
      <c r="S2833" s="17"/>
      <c r="T2833" s="17"/>
      <c r="U2833" s="17"/>
      <c r="V2833" s="17"/>
      <c r="W2833" s="17"/>
      <c r="X2833" s="17"/>
      <c r="Y2833" s="17"/>
      <c r="Z2833" s="17"/>
    </row>
    <row r="2834">
      <c r="A2834" s="17"/>
      <c r="B2834" s="17"/>
      <c r="C2834" s="17"/>
      <c r="D2834" s="17"/>
      <c r="E2834" s="17"/>
      <c r="F2834" s="17"/>
      <c r="G2834" s="17"/>
      <c r="H2834" s="17"/>
      <c r="I2834" s="17"/>
      <c r="J2834" s="17"/>
      <c r="K2834" s="17"/>
      <c r="L2834" s="17"/>
      <c r="M2834" s="17"/>
      <c r="N2834" s="17"/>
      <c r="O2834" s="17"/>
      <c r="P2834" s="17"/>
      <c r="Q2834" s="17"/>
      <c r="R2834" s="17"/>
      <c r="S2834" s="17"/>
      <c r="T2834" s="17"/>
      <c r="U2834" s="17"/>
      <c r="V2834" s="17"/>
      <c r="W2834" s="17"/>
      <c r="X2834" s="17"/>
      <c r="Y2834" s="17"/>
      <c r="Z2834" s="17"/>
    </row>
    <row r="2835">
      <c r="A2835" s="17"/>
      <c r="B2835" s="17"/>
      <c r="C2835" s="17"/>
      <c r="D2835" s="17"/>
      <c r="E2835" s="17"/>
      <c r="F2835" s="17"/>
      <c r="G2835" s="17"/>
      <c r="H2835" s="17"/>
      <c r="I2835" s="17"/>
      <c r="J2835" s="17"/>
      <c r="K2835" s="17"/>
      <c r="L2835" s="17"/>
      <c r="M2835" s="17"/>
      <c r="N2835" s="17"/>
      <c r="O2835" s="17"/>
      <c r="P2835" s="17"/>
      <c r="Q2835" s="17"/>
      <c r="R2835" s="17"/>
      <c r="S2835" s="17"/>
      <c r="T2835" s="17"/>
      <c r="U2835" s="17"/>
      <c r="V2835" s="17"/>
      <c r="W2835" s="17"/>
      <c r="X2835" s="17"/>
      <c r="Y2835" s="17"/>
      <c r="Z2835" s="17"/>
    </row>
    <row r="2836">
      <c r="A2836" s="17"/>
      <c r="B2836" s="17"/>
      <c r="C2836" s="17"/>
      <c r="D2836" s="17"/>
      <c r="E2836" s="17"/>
      <c r="F2836" s="17"/>
      <c r="G2836" s="17"/>
      <c r="H2836" s="17"/>
      <c r="I2836" s="17"/>
      <c r="J2836" s="17"/>
      <c r="K2836" s="17"/>
      <c r="L2836" s="17"/>
      <c r="M2836" s="17"/>
      <c r="N2836" s="17"/>
      <c r="O2836" s="17"/>
      <c r="P2836" s="17"/>
      <c r="Q2836" s="17"/>
      <c r="R2836" s="17"/>
      <c r="S2836" s="17"/>
      <c r="T2836" s="17"/>
      <c r="U2836" s="17"/>
      <c r="V2836" s="17"/>
      <c r="W2836" s="17"/>
      <c r="X2836" s="17"/>
      <c r="Y2836" s="17"/>
      <c r="Z2836" s="17"/>
    </row>
    <row r="2837">
      <c r="A2837" s="17"/>
      <c r="B2837" s="17"/>
      <c r="C2837" s="17"/>
      <c r="D2837" s="17"/>
      <c r="E2837" s="17"/>
      <c r="F2837" s="17"/>
      <c r="G2837" s="17"/>
      <c r="H2837" s="17"/>
      <c r="I2837" s="17"/>
      <c r="J2837" s="17"/>
      <c r="K2837" s="17"/>
      <c r="L2837" s="17"/>
      <c r="M2837" s="17"/>
      <c r="N2837" s="17"/>
      <c r="O2837" s="17"/>
      <c r="P2837" s="17"/>
      <c r="Q2837" s="17"/>
      <c r="R2837" s="17"/>
      <c r="S2837" s="17"/>
      <c r="T2837" s="17"/>
      <c r="U2837" s="17"/>
      <c r="V2837" s="17"/>
      <c r="W2837" s="17"/>
      <c r="X2837" s="17"/>
      <c r="Y2837" s="17"/>
      <c r="Z2837" s="17"/>
    </row>
    <row r="2838">
      <c r="A2838" s="17"/>
      <c r="B2838" s="17"/>
      <c r="C2838" s="17"/>
      <c r="D2838" s="17"/>
      <c r="E2838" s="17"/>
      <c r="F2838" s="17"/>
      <c r="G2838" s="17"/>
      <c r="H2838" s="17"/>
      <c r="I2838" s="17"/>
      <c r="J2838" s="17"/>
      <c r="K2838" s="17"/>
      <c r="L2838" s="17"/>
      <c r="M2838" s="17"/>
      <c r="N2838" s="17"/>
      <c r="O2838" s="17"/>
      <c r="P2838" s="17"/>
      <c r="Q2838" s="17"/>
      <c r="R2838" s="17"/>
      <c r="S2838" s="17"/>
      <c r="T2838" s="17"/>
      <c r="U2838" s="17"/>
      <c r="V2838" s="17"/>
      <c r="W2838" s="17"/>
      <c r="X2838" s="17"/>
      <c r="Y2838" s="17"/>
      <c r="Z2838" s="17"/>
    </row>
    <row r="2839">
      <c r="A2839" s="17"/>
      <c r="B2839" s="17"/>
      <c r="C2839" s="17"/>
      <c r="D2839" s="17"/>
      <c r="E2839" s="17"/>
      <c r="F2839" s="17"/>
      <c r="G2839" s="17"/>
      <c r="H2839" s="17"/>
      <c r="I2839" s="17"/>
      <c r="J2839" s="17"/>
      <c r="K2839" s="17"/>
      <c r="L2839" s="17"/>
      <c r="M2839" s="17"/>
      <c r="N2839" s="17"/>
      <c r="O2839" s="17"/>
      <c r="P2839" s="17"/>
      <c r="Q2839" s="17"/>
      <c r="R2839" s="17"/>
      <c r="S2839" s="17"/>
      <c r="T2839" s="17"/>
      <c r="U2839" s="17"/>
      <c r="V2839" s="17"/>
      <c r="W2839" s="17"/>
      <c r="X2839" s="17"/>
      <c r="Y2839" s="17"/>
      <c r="Z2839" s="17"/>
    </row>
    <row r="2840">
      <c r="A2840" s="17"/>
      <c r="B2840" s="17"/>
      <c r="C2840" s="17"/>
      <c r="D2840" s="17"/>
      <c r="E2840" s="17"/>
      <c r="F2840" s="17"/>
      <c r="G2840" s="17"/>
      <c r="H2840" s="17"/>
      <c r="I2840" s="17"/>
      <c r="J2840" s="17"/>
      <c r="K2840" s="17"/>
      <c r="L2840" s="17"/>
      <c r="M2840" s="17"/>
      <c r="N2840" s="17"/>
      <c r="O2840" s="17"/>
      <c r="P2840" s="17"/>
      <c r="Q2840" s="17"/>
      <c r="R2840" s="17"/>
      <c r="S2840" s="17"/>
      <c r="T2840" s="17"/>
      <c r="U2840" s="17"/>
      <c r="V2840" s="17"/>
      <c r="W2840" s="17"/>
      <c r="X2840" s="17"/>
      <c r="Y2840" s="17"/>
      <c r="Z2840" s="17"/>
    </row>
    <row r="2841">
      <c r="A2841" s="17"/>
      <c r="B2841" s="17"/>
      <c r="C2841" s="17"/>
      <c r="D2841" s="17"/>
      <c r="E2841" s="17"/>
      <c r="F2841" s="17"/>
      <c r="G2841" s="17"/>
      <c r="H2841" s="17"/>
      <c r="I2841" s="17"/>
      <c r="J2841" s="17"/>
      <c r="K2841" s="17"/>
      <c r="L2841" s="17"/>
      <c r="M2841" s="17"/>
      <c r="N2841" s="17"/>
      <c r="O2841" s="17"/>
      <c r="P2841" s="17"/>
      <c r="Q2841" s="17"/>
      <c r="R2841" s="17"/>
      <c r="S2841" s="17"/>
      <c r="T2841" s="17"/>
      <c r="U2841" s="17"/>
      <c r="V2841" s="17"/>
      <c r="W2841" s="17"/>
      <c r="X2841" s="17"/>
      <c r="Y2841" s="17"/>
      <c r="Z2841" s="17"/>
    </row>
    <row r="2842">
      <c r="A2842" s="17"/>
      <c r="B2842" s="17"/>
      <c r="C2842" s="17"/>
      <c r="D2842" s="17"/>
      <c r="E2842" s="17"/>
      <c r="F2842" s="17"/>
      <c r="G2842" s="17"/>
      <c r="H2842" s="17"/>
      <c r="I2842" s="17"/>
      <c r="J2842" s="17"/>
      <c r="K2842" s="17"/>
      <c r="L2842" s="17"/>
      <c r="M2842" s="17"/>
      <c r="N2842" s="17"/>
      <c r="O2842" s="17"/>
      <c r="P2842" s="17"/>
      <c r="Q2842" s="17"/>
      <c r="R2842" s="17"/>
      <c r="S2842" s="17"/>
      <c r="T2842" s="17"/>
      <c r="U2842" s="17"/>
      <c r="V2842" s="17"/>
      <c r="W2842" s="17"/>
      <c r="X2842" s="17"/>
      <c r="Y2842" s="17"/>
      <c r="Z2842" s="17"/>
    </row>
    <row r="2843">
      <c r="A2843" s="17"/>
      <c r="B2843" s="17"/>
      <c r="C2843" s="17"/>
      <c r="D2843" s="17"/>
      <c r="E2843" s="17"/>
      <c r="F2843" s="17"/>
      <c r="G2843" s="17"/>
      <c r="H2843" s="17"/>
      <c r="I2843" s="17"/>
      <c r="J2843" s="17"/>
      <c r="K2843" s="17"/>
      <c r="L2843" s="17"/>
      <c r="M2843" s="17"/>
      <c r="N2843" s="17"/>
      <c r="O2843" s="17"/>
      <c r="P2843" s="17"/>
      <c r="Q2843" s="17"/>
      <c r="R2843" s="17"/>
      <c r="S2843" s="17"/>
      <c r="T2843" s="17"/>
      <c r="U2843" s="17"/>
      <c r="V2843" s="17"/>
      <c r="W2843" s="17"/>
      <c r="X2843" s="17"/>
      <c r="Y2843" s="17"/>
      <c r="Z2843" s="17"/>
    </row>
    <row r="2844">
      <c r="A2844" s="17"/>
      <c r="B2844" s="17"/>
      <c r="C2844" s="17"/>
      <c r="D2844" s="17"/>
      <c r="E2844" s="17"/>
      <c r="F2844" s="17"/>
      <c r="G2844" s="17"/>
      <c r="H2844" s="17"/>
      <c r="I2844" s="17"/>
      <c r="J2844" s="17"/>
      <c r="K2844" s="17"/>
      <c r="L2844" s="17"/>
      <c r="M2844" s="17"/>
      <c r="N2844" s="17"/>
      <c r="O2844" s="17"/>
      <c r="P2844" s="17"/>
      <c r="Q2844" s="17"/>
      <c r="R2844" s="17"/>
      <c r="S2844" s="17"/>
      <c r="T2844" s="17"/>
      <c r="U2844" s="17"/>
      <c r="V2844" s="17"/>
      <c r="W2844" s="17"/>
      <c r="X2844" s="17"/>
      <c r="Y2844" s="17"/>
      <c r="Z2844" s="17"/>
    </row>
    <row r="2845">
      <c r="A2845" s="17"/>
      <c r="B2845" s="17"/>
      <c r="C2845" s="17"/>
      <c r="D2845" s="17"/>
      <c r="E2845" s="17"/>
      <c r="F2845" s="17"/>
      <c r="G2845" s="17"/>
      <c r="H2845" s="17"/>
      <c r="I2845" s="17"/>
      <c r="J2845" s="17"/>
      <c r="K2845" s="17"/>
      <c r="L2845" s="17"/>
      <c r="M2845" s="17"/>
      <c r="N2845" s="17"/>
      <c r="O2845" s="17"/>
      <c r="P2845" s="17"/>
      <c r="Q2845" s="17"/>
      <c r="R2845" s="17"/>
      <c r="S2845" s="17"/>
      <c r="T2845" s="17"/>
      <c r="U2845" s="17"/>
      <c r="V2845" s="17"/>
      <c r="W2845" s="17"/>
      <c r="X2845" s="17"/>
      <c r="Y2845" s="17"/>
      <c r="Z2845" s="17"/>
    </row>
    <row r="2846">
      <c r="A2846" s="17"/>
      <c r="B2846" s="17"/>
      <c r="C2846" s="17"/>
      <c r="D2846" s="17"/>
      <c r="E2846" s="17"/>
      <c r="F2846" s="17"/>
      <c r="G2846" s="17"/>
      <c r="H2846" s="17"/>
      <c r="I2846" s="17"/>
      <c r="J2846" s="17"/>
      <c r="K2846" s="17"/>
      <c r="L2846" s="17"/>
      <c r="M2846" s="17"/>
      <c r="N2846" s="17"/>
      <c r="O2846" s="17"/>
      <c r="P2846" s="17"/>
      <c r="Q2846" s="17"/>
      <c r="R2846" s="17"/>
      <c r="S2846" s="17"/>
      <c r="T2846" s="17"/>
      <c r="U2846" s="17"/>
      <c r="V2846" s="17"/>
      <c r="W2846" s="17"/>
      <c r="X2846" s="17"/>
      <c r="Y2846" s="17"/>
      <c r="Z2846" s="17"/>
    </row>
    <row r="2847">
      <c r="A2847" s="17"/>
      <c r="B2847" s="17"/>
      <c r="C2847" s="17"/>
      <c r="D2847" s="17"/>
      <c r="E2847" s="17"/>
      <c r="F2847" s="17"/>
      <c r="G2847" s="17"/>
      <c r="H2847" s="17"/>
      <c r="I2847" s="17"/>
      <c r="J2847" s="17"/>
      <c r="K2847" s="17"/>
      <c r="L2847" s="17"/>
      <c r="M2847" s="17"/>
      <c r="N2847" s="17"/>
      <c r="O2847" s="17"/>
      <c r="P2847" s="17"/>
      <c r="Q2847" s="17"/>
      <c r="R2847" s="17"/>
      <c r="S2847" s="17"/>
      <c r="T2847" s="17"/>
      <c r="U2847" s="17"/>
      <c r="V2847" s="17"/>
      <c r="W2847" s="17"/>
      <c r="X2847" s="17"/>
      <c r="Y2847" s="17"/>
      <c r="Z2847" s="17"/>
    </row>
    <row r="2848">
      <c r="A2848" s="17"/>
      <c r="B2848" s="17"/>
      <c r="C2848" s="17"/>
      <c r="D2848" s="17"/>
      <c r="E2848" s="17"/>
      <c r="F2848" s="17"/>
      <c r="G2848" s="17"/>
      <c r="H2848" s="17"/>
      <c r="I2848" s="17"/>
      <c r="J2848" s="17"/>
      <c r="K2848" s="17"/>
      <c r="L2848" s="17"/>
      <c r="M2848" s="17"/>
      <c r="N2848" s="17"/>
      <c r="O2848" s="17"/>
      <c r="P2848" s="17"/>
      <c r="Q2848" s="17"/>
      <c r="R2848" s="17"/>
      <c r="S2848" s="17"/>
      <c r="T2848" s="17"/>
      <c r="U2848" s="17"/>
      <c r="V2848" s="17"/>
      <c r="W2848" s="17"/>
      <c r="X2848" s="17"/>
      <c r="Y2848" s="17"/>
      <c r="Z2848" s="17"/>
    </row>
    <row r="2849">
      <c r="A2849" s="17"/>
      <c r="B2849" s="17"/>
      <c r="C2849" s="17"/>
      <c r="D2849" s="17"/>
      <c r="E2849" s="17"/>
      <c r="F2849" s="17"/>
      <c r="G2849" s="17"/>
      <c r="H2849" s="17"/>
      <c r="I2849" s="17"/>
      <c r="J2849" s="17"/>
      <c r="K2849" s="17"/>
      <c r="L2849" s="17"/>
      <c r="M2849" s="17"/>
      <c r="N2849" s="17"/>
      <c r="O2849" s="17"/>
      <c r="P2849" s="17"/>
      <c r="Q2849" s="17"/>
      <c r="R2849" s="17"/>
      <c r="S2849" s="17"/>
      <c r="T2849" s="17"/>
      <c r="U2849" s="17"/>
      <c r="V2849" s="17"/>
      <c r="W2849" s="17"/>
      <c r="X2849" s="17"/>
      <c r="Y2849" s="17"/>
      <c r="Z2849" s="17"/>
    </row>
    <row r="2850">
      <c r="A2850" s="17"/>
      <c r="B2850" s="17"/>
      <c r="C2850" s="17"/>
      <c r="D2850" s="17"/>
      <c r="E2850" s="17"/>
      <c r="F2850" s="17"/>
      <c r="G2850" s="17"/>
      <c r="H2850" s="17"/>
      <c r="I2850" s="17"/>
      <c r="J2850" s="17"/>
      <c r="K2850" s="17"/>
      <c r="L2850" s="17"/>
      <c r="M2850" s="17"/>
      <c r="N2850" s="17"/>
      <c r="O2850" s="17"/>
      <c r="P2850" s="17"/>
      <c r="Q2850" s="17"/>
      <c r="R2850" s="17"/>
      <c r="S2850" s="17"/>
      <c r="T2850" s="17"/>
      <c r="U2850" s="17"/>
      <c r="V2850" s="17"/>
      <c r="W2850" s="17"/>
      <c r="X2850" s="17"/>
      <c r="Y2850" s="17"/>
      <c r="Z2850" s="17"/>
    </row>
    <row r="2851">
      <c r="A2851" s="17"/>
      <c r="B2851" s="17"/>
      <c r="C2851" s="17"/>
      <c r="D2851" s="17"/>
      <c r="E2851" s="17"/>
      <c r="F2851" s="17"/>
      <c r="G2851" s="17"/>
      <c r="H2851" s="17"/>
      <c r="I2851" s="17"/>
      <c r="J2851" s="17"/>
      <c r="K2851" s="17"/>
      <c r="L2851" s="17"/>
      <c r="M2851" s="17"/>
      <c r="N2851" s="17"/>
      <c r="O2851" s="17"/>
      <c r="P2851" s="17"/>
      <c r="Q2851" s="17"/>
      <c r="R2851" s="17"/>
      <c r="S2851" s="17"/>
      <c r="T2851" s="17"/>
      <c r="U2851" s="17"/>
      <c r="V2851" s="17"/>
      <c r="W2851" s="17"/>
      <c r="X2851" s="17"/>
      <c r="Y2851" s="17"/>
      <c r="Z2851" s="17"/>
    </row>
    <row r="2852">
      <c r="A2852" s="17"/>
      <c r="B2852" s="17"/>
      <c r="C2852" s="17"/>
      <c r="D2852" s="17"/>
      <c r="E2852" s="17"/>
      <c r="F2852" s="17"/>
      <c r="G2852" s="17"/>
      <c r="H2852" s="17"/>
      <c r="I2852" s="17"/>
      <c r="J2852" s="17"/>
      <c r="K2852" s="17"/>
      <c r="L2852" s="17"/>
      <c r="M2852" s="17"/>
      <c r="N2852" s="17"/>
      <c r="O2852" s="17"/>
      <c r="P2852" s="17"/>
      <c r="Q2852" s="17"/>
      <c r="R2852" s="17"/>
      <c r="S2852" s="17"/>
      <c r="T2852" s="17"/>
      <c r="U2852" s="17"/>
      <c r="V2852" s="17"/>
      <c r="W2852" s="17"/>
      <c r="X2852" s="17"/>
      <c r="Y2852" s="17"/>
      <c r="Z2852" s="17"/>
    </row>
    <row r="2853">
      <c r="A2853" s="17"/>
      <c r="B2853" s="17"/>
      <c r="C2853" s="17"/>
      <c r="D2853" s="17"/>
      <c r="E2853" s="17"/>
      <c r="F2853" s="17"/>
      <c r="G2853" s="17"/>
      <c r="H2853" s="17"/>
      <c r="I2853" s="17"/>
      <c r="J2853" s="17"/>
      <c r="K2853" s="17"/>
      <c r="L2853" s="17"/>
      <c r="M2853" s="17"/>
      <c r="N2853" s="17"/>
      <c r="O2853" s="17"/>
      <c r="P2853" s="17"/>
      <c r="Q2853" s="17"/>
      <c r="R2853" s="17"/>
      <c r="S2853" s="17"/>
      <c r="T2853" s="17"/>
      <c r="U2853" s="17"/>
      <c r="V2853" s="17"/>
      <c r="W2853" s="17"/>
      <c r="X2853" s="17"/>
      <c r="Y2853" s="17"/>
      <c r="Z2853" s="17"/>
    </row>
    <row r="2854">
      <c r="A2854" s="17"/>
      <c r="B2854" s="17"/>
      <c r="C2854" s="17"/>
      <c r="D2854" s="17"/>
      <c r="E2854" s="17"/>
      <c r="F2854" s="17"/>
      <c r="G2854" s="17"/>
      <c r="H2854" s="17"/>
      <c r="I2854" s="17"/>
      <c r="J2854" s="17"/>
      <c r="K2854" s="17"/>
      <c r="L2854" s="17"/>
      <c r="M2854" s="17"/>
      <c r="N2854" s="17"/>
      <c r="O2854" s="17"/>
      <c r="P2854" s="17"/>
      <c r="Q2854" s="17"/>
      <c r="R2854" s="17"/>
      <c r="S2854" s="17"/>
      <c r="T2854" s="17"/>
      <c r="U2854" s="17"/>
      <c r="V2854" s="17"/>
      <c r="W2854" s="17"/>
      <c r="X2854" s="17"/>
      <c r="Y2854" s="17"/>
      <c r="Z2854" s="17"/>
    </row>
    <row r="2855">
      <c r="A2855" s="17"/>
      <c r="B2855" s="17"/>
      <c r="C2855" s="17"/>
      <c r="D2855" s="17"/>
      <c r="E2855" s="17"/>
      <c r="F2855" s="17"/>
      <c r="G2855" s="17"/>
      <c r="H2855" s="17"/>
      <c r="I2855" s="17"/>
      <c r="J2855" s="17"/>
      <c r="K2855" s="17"/>
      <c r="L2855" s="17"/>
      <c r="M2855" s="17"/>
      <c r="N2855" s="17"/>
      <c r="O2855" s="17"/>
      <c r="P2855" s="17"/>
      <c r="Q2855" s="17"/>
      <c r="R2855" s="17"/>
      <c r="S2855" s="17"/>
      <c r="T2855" s="17"/>
      <c r="U2855" s="17"/>
      <c r="V2855" s="17"/>
      <c r="W2855" s="17"/>
      <c r="X2855" s="17"/>
      <c r="Y2855" s="17"/>
      <c r="Z2855" s="17"/>
    </row>
    <row r="2856">
      <c r="A2856" s="17"/>
      <c r="B2856" s="17"/>
      <c r="C2856" s="17"/>
      <c r="D2856" s="17"/>
      <c r="E2856" s="17"/>
      <c r="F2856" s="17"/>
      <c r="G2856" s="17"/>
      <c r="H2856" s="17"/>
      <c r="I2856" s="17"/>
      <c r="J2856" s="17"/>
      <c r="K2856" s="17"/>
      <c r="L2856" s="17"/>
      <c r="M2856" s="17"/>
      <c r="N2856" s="17"/>
      <c r="O2856" s="17"/>
      <c r="P2856" s="17"/>
      <c r="Q2856" s="17"/>
      <c r="R2856" s="17"/>
      <c r="S2856" s="17"/>
      <c r="T2856" s="17"/>
      <c r="U2856" s="17"/>
      <c r="V2856" s="17"/>
      <c r="W2856" s="17"/>
      <c r="X2856" s="17"/>
      <c r="Y2856" s="17"/>
      <c r="Z2856" s="17"/>
    </row>
    <row r="2857">
      <c r="A2857" s="17"/>
      <c r="B2857" s="17"/>
      <c r="C2857" s="17"/>
      <c r="D2857" s="17"/>
      <c r="E2857" s="17"/>
      <c r="F2857" s="17"/>
      <c r="G2857" s="17"/>
      <c r="H2857" s="17"/>
      <c r="I2857" s="17"/>
      <c r="J2857" s="17"/>
      <c r="K2857" s="17"/>
      <c r="L2857" s="17"/>
      <c r="M2857" s="17"/>
      <c r="N2857" s="17"/>
      <c r="O2857" s="17"/>
      <c r="P2857" s="17"/>
      <c r="Q2857" s="17"/>
      <c r="R2857" s="17"/>
      <c r="S2857" s="17"/>
      <c r="T2857" s="17"/>
      <c r="U2857" s="17"/>
      <c r="V2857" s="17"/>
      <c r="W2857" s="17"/>
      <c r="X2857" s="17"/>
      <c r="Y2857" s="17"/>
      <c r="Z2857" s="17"/>
    </row>
    <row r="2858">
      <c r="A2858" s="17"/>
      <c r="B2858" s="17"/>
      <c r="C2858" s="17"/>
      <c r="D2858" s="17"/>
      <c r="E2858" s="17"/>
      <c r="F2858" s="17"/>
      <c r="G2858" s="17"/>
      <c r="H2858" s="17"/>
      <c r="I2858" s="17"/>
      <c r="J2858" s="17"/>
      <c r="K2858" s="17"/>
      <c r="L2858" s="17"/>
      <c r="M2858" s="17"/>
      <c r="N2858" s="17"/>
      <c r="O2858" s="17"/>
      <c r="P2858" s="17"/>
      <c r="Q2858" s="17"/>
      <c r="R2858" s="17"/>
      <c r="S2858" s="17"/>
      <c r="T2858" s="17"/>
      <c r="U2858" s="17"/>
      <c r="V2858" s="17"/>
      <c r="W2858" s="17"/>
      <c r="X2858" s="17"/>
      <c r="Y2858" s="17"/>
      <c r="Z2858" s="17"/>
    </row>
    <row r="2859">
      <c r="A2859" s="17"/>
      <c r="B2859" s="17"/>
      <c r="C2859" s="17"/>
      <c r="D2859" s="17"/>
      <c r="E2859" s="17"/>
      <c r="F2859" s="17"/>
      <c r="G2859" s="17"/>
      <c r="H2859" s="17"/>
      <c r="I2859" s="17"/>
      <c r="J2859" s="17"/>
      <c r="K2859" s="17"/>
      <c r="L2859" s="17"/>
      <c r="M2859" s="17"/>
      <c r="N2859" s="17"/>
      <c r="O2859" s="17"/>
      <c r="P2859" s="17"/>
      <c r="Q2859" s="17"/>
      <c r="R2859" s="17"/>
      <c r="S2859" s="17"/>
      <c r="T2859" s="17"/>
      <c r="U2859" s="17"/>
      <c r="V2859" s="17"/>
      <c r="W2859" s="17"/>
      <c r="X2859" s="17"/>
      <c r="Y2859" s="17"/>
      <c r="Z2859" s="17"/>
    </row>
    <row r="2860">
      <c r="A2860" s="17"/>
      <c r="B2860" s="17"/>
      <c r="C2860" s="17"/>
      <c r="D2860" s="17"/>
      <c r="E2860" s="17"/>
      <c r="F2860" s="17"/>
      <c r="G2860" s="17"/>
      <c r="H2860" s="17"/>
      <c r="I2860" s="17"/>
      <c r="J2860" s="17"/>
      <c r="K2860" s="17"/>
      <c r="L2860" s="17"/>
      <c r="M2860" s="17"/>
      <c r="N2860" s="17"/>
      <c r="O2860" s="17"/>
      <c r="P2860" s="17"/>
      <c r="Q2860" s="17"/>
      <c r="R2860" s="17"/>
      <c r="S2860" s="17"/>
      <c r="T2860" s="17"/>
      <c r="U2860" s="17"/>
      <c r="V2860" s="17"/>
      <c r="W2860" s="17"/>
      <c r="X2860" s="17"/>
      <c r="Y2860" s="17"/>
      <c r="Z2860" s="17"/>
    </row>
    <row r="2861">
      <c r="A2861" s="17"/>
      <c r="B2861" s="17"/>
      <c r="C2861" s="17"/>
      <c r="D2861" s="17"/>
      <c r="E2861" s="17"/>
      <c r="F2861" s="17"/>
      <c r="G2861" s="17"/>
      <c r="H2861" s="17"/>
      <c r="I2861" s="17"/>
      <c r="J2861" s="17"/>
      <c r="K2861" s="17"/>
      <c r="L2861" s="17"/>
      <c r="M2861" s="17"/>
      <c r="N2861" s="17"/>
      <c r="O2861" s="17"/>
      <c r="P2861" s="17"/>
      <c r="Q2861" s="17"/>
      <c r="R2861" s="17"/>
      <c r="S2861" s="17"/>
      <c r="T2861" s="17"/>
      <c r="U2861" s="17"/>
      <c r="V2861" s="17"/>
      <c r="W2861" s="17"/>
      <c r="X2861" s="17"/>
      <c r="Y2861" s="17"/>
      <c r="Z2861" s="17"/>
    </row>
    <row r="2862">
      <c r="A2862" s="17"/>
      <c r="B2862" s="17"/>
      <c r="C2862" s="17"/>
      <c r="D2862" s="17"/>
      <c r="E2862" s="17"/>
      <c r="F2862" s="17"/>
      <c r="G2862" s="17"/>
      <c r="H2862" s="17"/>
      <c r="I2862" s="17"/>
      <c r="J2862" s="17"/>
      <c r="K2862" s="17"/>
      <c r="L2862" s="17"/>
      <c r="M2862" s="17"/>
      <c r="N2862" s="17"/>
      <c r="O2862" s="17"/>
      <c r="P2862" s="17"/>
      <c r="Q2862" s="17"/>
      <c r="R2862" s="17"/>
      <c r="S2862" s="17"/>
      <c r="T2862" s="17"/>
      <c r="U2862" s="17"/>
      <c r="V2862" s="17"/>
      <c r="W2862" s="17"/>
      <c r="X2862" s="17"/>
      <c r="Y2862" s="17"/>
      <c r="Z2862" s="17"/>
    </row>
    <row r="2863">
      <c r="A2863" s="17"/>
      <c r="B2863" s="17"/>
      <c r="C2863" s="17"/>
      <c r="D2863" s="17"/>
      <c r="E2863" s="17"/>
      <c r="F2863" s="17"/>
      <c r="G2863" s="17"/>
      <c r="H2863" s="17"/>
      <c r="I2863" s="17"/>
      <c r="J2863" s="17"/>
      <c r="K2863" s="17"/>
      <c r="L2863" s="17"/>
      <c r="M2863" s="17"/>
      <c r="N2863" s="17"/>
      <c r="O2863" s="17"/>
      <c r="P2863" s="17"/>
      <c r="Q2863" s="17"/>
      <c r="R2863" s="17"/>
      <c r="S2863" s="17"/>
      <c r="T2863" s="17"/>
      <c r="U2863" s="17"/>
      <c r="V2863" s="17"/>
      <c r="W2863" s="17"/>
      <c r="X2863" s="17"/>
      <c r="Y2863" s="17"/>
      <c r="Z2863" s="17"/>
    </row>
    <row r="2864">
      <c r="A2864" s="17"/>
      <c r="B2864" s="17"/>
      <c r="C2864" s="17"/>
      <c r="D2864" s="17"/>
      <c r="E2864" s="17"/>
      <c r="F2864" s="17"/>
      <c r="G2864" s="17"/>
      <c r="H2864" s="17"/>
      <c r="I2864" s="17"/>
      <c r="J2864" s="17"/>
      <c r="K2864" s="17"/>
      <c r="L2864" s="17"/>
      <c r="M2864" s="17"/>
      <c r="N2864" s="17"/>
      <c r="O2864" s="17"/>
      <c r="P2864" s="17"/>
      <c r="Q2864" s="17"/>
      <c r="R2864" s="17"/>
      <c r="S2864" s="17"/>
      <c r="T2864" s="17"/>
      <c r="U2864" s="17"/>
      <c r="V2864" s="17"/>
      <c r="W2864" s="17"/>
      <c r="X2864" s="17"/>
      <c r="Y2864" s="17"/>
      <c r="Z2864" s="17"/>
    </row>
    <row r="2865">
      <c r="A2865" s="17"/>
      <c r="B2865" s="17"/>
      <c r="C2865" s="17"/>
      <c r="D2865" s="17"/>
      <c r="E2865" s="17"/>
      <c r="F2865" s="17"/>
      <c r="G2865" s="17"/>
      <c r="H2865" s="17"/>
      <c r="I2865" s="17"/>
      <c r="J2865" s="17"/>
      <c r="K2865" s="17"/>
      <c r="L2865" s="17"/>
      <c r="M2865" s="17"/>
      <c r="N2865" s="17"/>
      <c r="O2865" s="17"/>
      <c r="P2865" s="17"/>
      <c r="Q2865" s="17"/>
      <c r="R2865" s="17"/>
      <c r="S2865" s="17"/>
      <c r="T2865" s="17"/>
      <c r="U2865" s="17"/>
      <c r="V2865" s="17"/>
      <c r="W2865" s="17"/>
      <c r="X2865" s="17"/>
      <c r="Y2865" s="17"/>
      <c r="Z2865" s="17"/>
    </row>
    <row r="2866">
      <c r="A2866" s="17"/>
      <c r="B2866" s="17"/>
      <c r="C2866" s="17"/>
      <c r="D2866" s="17"/>
      <c r="E2866" s="17"/>
      <c r="F2866" s="17"/>
      <c r="G2866" s="17"/>
      <c r="H2866" s="17"/>
      <c r="I2866" s="17"/>
      <c r="J2866" s="17"/>
      <c r="K2866" s="17"/>
      <c r="L2866" s="17"/>
      <c r="M2866" s="17"/>
      <c r="N2866" s="17"/>
      <c r="O2866" s="17"/>
      <c r="P2866" s="17"/>
      <c r="Q2866" s="17"/>
      <c r="R2866" s="17"/>
      <c r="S2866" s="17"/>
      <c r="T2866" s="17"/>
      <c r="U2866" s="17"/>
      <c r="V2866" s="17"/>
      <c r="W2866" s="17"/>
      <c r="X2866" s="17"/>
      <c r="Y2866" s="17"/>
      <c r="Z2866" s="17"/>
    </row>
    <row r="2867">
      <c r="A2867" s="17"/>
      <c r="B2867" s="17"/>
      <c r="C2867" s="17"/>
      <c r="D2867" s="17"/>
      <c r="E2867" s="17"/>
      <c r="F2867" s="17"/>
      <c r="G2867" s="17"/>
      <c r="H2867" s="17"/>
      <c r="I2867" s="17"/>
      <c r="J2867" s="17"/>
      <c r="K2867" s="17"/>
      <c r="L2867" s="17"/>
      <c r="M2867" s="17"/>
      <c r="N2867" s="17"/>
      <c r="O2867" s="17"/>
      <c r="P2867" s="17"/>
      <c r="Q2867" s="17"/>
      <c r="R2867" s="17"/>
      <c r="S2867" s="17"/>
      <c r="T2867" s="17"/>
      <c r="U2867" s="17"/>
      <c r="V2867" s="17"/>
      <c r="W2867" s="17"/>
      <c r="X2867" s="17"/>
      <c r="Y2867" s="17"/>
      <c r="Z2867" s="17"/>
    </row>
    <row r="2868">
      <c r="A2868" s="17"/>
      <c r="B2868" s="17"/>
      <c r="C2868" s="17"/>
      <c r="D2868" s="17"/>
      <c r="E2868" s="17"/>
      <c r="F2868" s="17"/>
      <c r="G2868" s="17"/>
      <c r="H2868" s="17"/>
      <c r="I2868" s="17"/>
      <c r="J2868" s="17"/>
      <c r="K2868" s="17"/>
      <c r="L2868" s="17"/>
      <c r="M2868" s="17"/>
      <c r="N2868" s="17"/>
      <c r="O2868" s="17"/>
      <c r="P2868" s="17"/>
      <c r="Q2868" s="17"/>
      <c r="R2868" s="17"/>
      <c r="S2868" s="17"/>
      <c r="T2868" s="17"/>
      <c r="U2868" s="17"/>
      <c r="V2868" s="17"/>
      <c r="W2868" s="17"/>
      <c r="X2868" s="17"/>
      <c r="Y2868" s="17"/>
      <c r="Z2868" s="17"/>
    </row>
    <row r="2869">
      <c r="A2869" s="17"/>
      <c r="B2869" s="17"/>
      <c r="C2869" s="17"/>
      <c r="D2869" s="17"/>
      <c r="E2869" s="17"/>
      <c r="F2869" s="17"/>
      <c r="G2869" s="17"/>
      <c r="H2869" s="17"/>
      <c r="I2869" s="17"/>
      <c r="J2869" s="17"/>
      <c r="K2869" s="17"/>
      <c r="L2869" s="17"/>
      <c r="M2869" s="17"/>
      <c r="N2869" s="17"/>
      <c r="O2869" s="17"/>
      <c r="P2869" s="17"/>
      <c r="Q2869" s="17"/>
      <c r="R2869" s="17"/>
      <c r="S2869" s="17"/>
      <c r="T2869" s="17"/>
      <c r="U2869" s="17"/>
      <c r="V2869" s="17"/>
      <c r="W2869" s="17"/>
      <c r="X2869" s="17"/>
      <c r="Y2869" s="17"/>
      <c r="Z2869" s="17"/>
    </row>
    <row r="2870">
      <c r="A2870" s="17"/>
      <c r="B2870" s="17"/>
      <c r="C2870" s="17"/>
      <c r="D2870" s="17"/>
      <c r="E2870" s="17"/>
      <c r="F2870" s="17"/>
      <c r="G2870" s="17"/>
      <c r="H2870" s="17"/>
      <c r="I2870" s="17"/>
      <c r="J2870" s="17"/>
      <c r="K2870" s="17"/>
      <c r="L2870" s="17"/>
      <c r="M2870" s="17"/>
      <c r="N2870" s="17"/>
      <c r="O2870" s="17"/>
      <c r="P2870" s="17"/>
      <c r="Q2870" s="17"/>
      <c r="R2870" s="17"/>
      <c r="S2870" s="17"/>
      <c r="T2870" s="17"/>
      <c r="U2870" s="17"/>
      <c r="V2870" s="17"/>
      <c r="W2870" s="17"/>
      <c r="X2870" s="17"/>
      <c r="Y2870" s="17"/>
      <c r="Z2870" s="17"/>
    </row>
    <row r="2871">
      <c r="A2871" s="17"/>
      <c r="B2871" s="17"/>
      <c r="C2871" s="17"/>
      <c r="D2871" s="17"/>
      <c r="E2871" s="17"/>
      <c r="F2871" s="17"/>
      <c r="G2871" s="17"/>
      <c r="H2871" s="17"/>
      <c r="I2871" s="17"/>
      <c r="J2871" s="17"/>
      <c r="K2871" s="17"/>
      <c r="L2871" s="17"/>
      <c r="M2871" s="17"/>
      <c r="N2871" s="17"/>
      <c r="O2871" s="17"/>
      <c r="P2871" s="17"/>
      <c r="Q2871" s="17"/>
      <c r="R2871" s="17"/>
      <c r="S2871" s="17"/>
      <c r="T2871" s="17"/>
      <c r="U2871" s="17"/>
      <c r="V2871" s="17"/>
      <c r="W2871" s="17"/>
      <c r="X2871" s="17"/>
      <c r="Y2871" s="17"/>
      <c r="Z2871" s="17"/>
    </row>
    <row r="2872">
      <c r="A2872" s="17"/>
      <c r="B2872" s="17"/>
      <c r="C2872" s="17"/>
      <c r="D2872" s="17"/>
      <c r="E2872" s="17"/>
      <c r="F2872" s="17"/>
      <c r="G2872" s="17"/>
      <c r="H2872" s="17"/>
      <c r="I2872" s="17"/>
      <c r="J2872" s="17"/>
      <c r="K2872" s="17"/>
      <c r="L2872" s="17"/>
      <c r="M2872" s="17"/>
      <c r="N2872" s="17"/>
      <c r="O2872" s="17"/>
      <c r="P2872" s="17"/>
      <c r="Q2872" s="17"/>
      <c r="R2872" s="17"/>
      <c r="S2872" s="17"/>
      <c r="T2872" s="17"/>
      <c r="U2872" s="17"/>
      <c r="V2872" s="17"/>
      <c r="W2872" s="17"/>
      <c r="X2872" s="17"/>
      <c r="Y2872" s="17"/>
      <c r="Z2872" s="17"/>
    </row>
    <row r="2873">
      <c r="A2873" s="17"/>
      <c r="B2873" s="17"/>
      <c r="C2873" s="17"/>
      <c r="D2873" s="17"/>
      <c r="E2873" s="17"/>
      <c r="F2873" s="17"/>
      <c r="G2873" s="17"/>
      <c r="H2873" s="17"/>
      <c r="I2873" s="17"/>
      <c r="J2873" s="17"/>
      <c r="K2873" s="17"/>
      <c r="L2873" s="17"/>
      <c r="M2873" s="17"/>
      <c r="N2873" s="17"/>
      <c r="O2873" s="17"/>
      <c r="P2873" s="17"/>
      <c r="Q2873" s="17"/>
      <c r="R2873" s="17"/>
      <c r="S2873" s="17"/>
      <c r="T2873" s="17"/>
      <c r="U2873" s="17"/>
      <c r="V2873" s="17"/>
      <c r="W2873" s="17"/>
      <c r="X2873" s="17"/>
      <c r="Y2873" s="17"/>
      <c r="Z2873" s="17"/>
    </row>
    <row r="2874">
      <c r="A2874" s="17"/>
      <c r="B2874" s="17"/>
      <c r="C2874" s="17"/>
      <c r="D2874" s="17"/>
      <c r="E2874" s="17"/>
      <c r="F2874" s="17"/>
      <c r="G2874" s="17"/>
      <c r="H2874" s="17"/>
      <c r="I2874" s="17"/>
      <c r="J2874" s="17"/>
      <c r="K2874" s="17"/>
      <c r="L2874" s="17"/>
      <c r="M2874" s="17"/>
      <c r="N2874" s="17"/>
      <c r="O2874" s="17"/>
      <c r="P2874" s="17"/>
      <c r="Q2874" s="17"/>
      <c r="R2874" s="17"/>
      <c r="S2874" s="17"/>
      <c r="T2874" s="17"/>
      <c r="U2874" s="17"/>
      <c r="V2874" s="17"/>
      <c r="W2874" s="17"/>
      <c r="X2874" s="17"/>
      <c r="Y2874" s="17"/>
      <c r="Z2874" s="17"/>
    </row>
    <row r="2875">
      <c r="A2875" s="17"/>
      <c r="B2875" s="17"/>
      <c r="C2875" s="17"/>
      <c r="D2875" s="17"/>
      <c r="E2875" s="17"/>
      <c r="F2875" s="17"/>
      <c r="G2875" s="17"/>
      <c r="H2875" s="17"/>
      <c r="I2875" s="17"/>
      <c r="J2875" s="17"/>
      <c r="K2875" s="17"/>
      <c r="L2875" s="17"/>
      <c r="M2875" s="17"/>
      <c r="N2875" s="17"/>
      <c r="O2875" s="17"/>
      <c r="P2875" s="17"/>
      <c r="Q2875" s="17"/>
      <c r="R2875" s="17"/>
      <c r="S2875" s="17"/>
      <c r="T2875" s="17"/>
      <c r="U2875" s="17"/>
      <c r="V2875" s="17"/>
      <c r="W2875" s="17"/>
      <c r="X2875" s="17"/>
      <c r="Y2875" s="17"/>
      <c r="Z2875" s="17"/>
    </row>
    <row r="2876">
      <c r="A2876" s="17"/>
      <c r="B2876" s="17"/>
      <c r="C2876" s="17"/>
      <c r="D2876" s="17"/>
      <c r="E2876" s="17"/>
      <c r="F2876" s="17"/>
      <c r="G2876" s="17"/>
      <c r="H2876" s="17"/>
      <c r="I2876" s="17"/>
      <c r="J2876" s="17"/>
      <c r="K2876" s="17"/>
      <c r="L2876" s="17"/>
      <c r="M2876" s="17"/>
      <c r="N2876" s="17"/>
      <c r="O2876" s="17"/>
      <c r="P2876" s="17"/>
      <c r="Q2876" s="17"/>
      <c r="R2876" s="17"/>
      <c r="S2876" s="17"/>
      <c r="T2876" s="17"/>
      <c r="U2876" s="17"/>
      <c r="V2876" s="17"/>
      <c r="W2876" s="17"/>
      <c r="X2876" s="17"/>
      <c r="Y2876" s="17"/>
      <c r="Z2876" s="17"/>
    </row>
    <row r="2877">
      <c r="A2877" s="17"/>
      <c r="B2877" s="17"/>
      <c r="C2877" s="17"/>
      <c r="D2877" s="17"/>
      <c r="E2877" s="17"/>
      <c r="F2877" s="17"/>
      <c r="G2877" s="17"/>
      <c r="H2877" s="17"/>
      <c r="I2877" s="17"/>
      <c r="J2877" s="17"/>
      <c r="K2877" s="17"/>
      <c r="L2877" s="17"/>
      <c r="M2877" s="17"/>
      <c r="N2877" s="17"/>
      <c r="O2877" s="17"/>
      <c r="P2877" s="17"/>
      <c r="Q2877" s="17"/>
      <c r="R2877" s="17"/>
      <c r="S2877" s="17"/>
      <c r="T2877" s="17"/>
      <c r="U2877" s="17"/>
      <c r="V2877" s="17"/>
      <c r="W2877" s="17"/>
      <c r="X2877" s="17"/>
      <c r="Y2877" s="17"/>
      <c r="Z2877" s="17"/>
    </row>
    <row r="2878">
      <c r="A2878" s="17"/>
      <c r="B2878" s="17"/>
      <c r="C2878" s="17"/>
      <c r="D2878" s="17"/>
      <c r="E2878" s="17"/>
      <c r="F2878" s="17"/>
      <c r="G2878" s="17"/>
      <c r="H2878" s="17"/>
      <c r="I2878" s="17"/>
      <c r="J2878" s="17"/>
      <c r="K2878" s="17"/>
      <c r="L2878" s="17"/>
      <c r="M2878" s="17"/>
      <c r="N2878" s="17"/>
      <c r="O2878" s="17"/>
      <c r="P2878" s="17"/>
      <c r="Q2878" s="17"/>
      <c r="R2878" s="17"/>
      <c r="S2878" s="17"/>
      <c r="T2878" s="17"/>
      <c r="U2878" s="17"/>
      <c r="V2878" s="17"/>
      <c r="W2878" s="17"/>
      <c r="X2878" s="17"/>
      <c r="Y2878" s="17"/>
      <c r="Z2878" s="17"/>
    </row>
    <row r="2879">
      <c r="A2879" s="17"/>
      <c r="B2879" s="17"/>
      <c r="C2879" s="17"/>
      <c r="D2879" s="17"/>
      <c r="E2879" s="17"/>
      <c r="F2879" s="17"/>
      <c r="G2879" s="17"/>
      <c r="H2879" s="17"/>
      <c r="I2879" s="17"/>
      <c r="J2879" s="17"/>
      <c r="K2879" s="17"/>
      <c r="L2879" s="17"/>
      <c r="M2879" s="17"/>
      <c r="N2879" s="17"/>
      <c r="O2879" s="17"/>
      <c r="P2879" s="17"/>
      <c r="Q2879" s="17"/>
      <c r="R2879" s="17"/>
      <c r="S2879" s="17"/>
      <c r="T2879" s="17"/>
      <c r="U2879" s="17"/>
      <c r="V2879" s="17"/>
      <c r="W2879" s="17"/>
      <c r="X2879" s="17"/>
      <c r="Y2879" s="17"/>
      <c r="Z2879" s="17"/>
    </row>
    <row r="2880">
      <c r="A2880" s="17"/>
      <c r="B2880" s="17"/>
      <c r="C2880" s="17"/>
      <c r="D2880" s="17"/>
      <c r="E2880" s="17"/>
      <c r="F2880" s="17"/>
      <c r="G2880" s="17"/>
      <c r="H2880" s="17"/>
      <c r="I2880" s="17"/>
      <c r="J2880" s="17"/>
      <c r="K2880" s="17"/>
      <c r="L2880" s="17"/>
      <c r="M2880" s="17"/>
      <c r="N2880" s="17"/>
      <c r="O2880" s="17"/>
      <c r="P2880" s="17"/>
      <c r="Q2880" s="17"/>
      <c r="R2880" s="17"/>
      <c r="S2880" s="17"/>
      <c r="T2880" s="17"/>
      <c r="U2880" s="17"/>
      <c r="V2880" s="17"/>
      <c r="W2880" s="17"/>
      <c r="X2880" s="17"/>
      <c r="Y2880" s="17"/>
      <c r="Z2880" s="17"/>
    </row>
    <row r="2881">
      <c r="A2881" s="17"/>
      <c r="B2881" s="17"/>
      <c r="C2881" s="17"/>
      <c r="D2881" s="17"/>
      <c r="E2881" s="17"/>
      <c r="F2881" s="17"/>
      <c r="G2881" s="17"/>
      <c r="H2881" s="17"/>
      <c r="I2881" s="17"/>
      <c r="J2881" s="17"/>
      <c r="K2881" s="17"/>
      <c r="L2881" s="17"/>
      <c r="M2881" s="17"/>
      <c r="N2881" s="17"/>
      <c r="O2881" s="17"/>
      <c r="P2881" s="17"/>
      <c r="Q2881" s="17"/>
      <c r="R2881" s="17"/>
      <c r="S2881" s="17"/>
      <c r="T2881" s="17"/>
      <c r="U2881" s="17"/>
      <c r="V2881" s="17"/>
      <c r="W2881" s="17"/>
      <c r="X2881" s="17"/>
      <c r="Y2881" s="17"/>
      <c r="Z2881" s="17"/>
    </row>
    <row r="2882">
      <c r="A2882" s="17"/>
      <c r="B2882" s="17"/>
      <c r="C2882" s="17"/>
      <c r="D2882" s="17"/>
      <c r="E2882" s="17"/>
      <c r="F2882" s="17"/>
      <c r="G2882" s="17"/>
      <c r="H2882" s="17"/>
      <c r="I2882" s="17"/>
      <c r="J2882" s="17"/>
      <c r="K2882" s="17"/>
      <c r="L2882" s="17"/>
      <c r="M2882" s="17"/>
      <c r="N2882" s="17"/>
      <c r="O2882" s="17"/>
      <c r="P2882" s="17"/>
      <c r="Q2882" s="17"/>
      <c r="R2882" s="17"/>
      <c r="S2882" s="17"/>
      <c r="T2882" s="17"/>
      <c r="U2882" s="17"/>
      <c r="V2882" s="17"/>
      <c r="W2882" s="17"/>
      <c r="X2882" s="17"/>
      <c r="Y2882" s="17"/>
      <c r="Z2882" s="17"/>
    </row>
    <row r="2883">
      <c r="A2883" s="17"/>
      <c r="B2883" s="17"/>
      <c r="C2883" s="17"/>
      <c r="D2883" s="17"/>
      <c r="E2883" s="17"/>
      <c r="F2883" s="17"/>
      <c r="G2883" s="17"/>
      <c r="H2883" s="17"/>
      <c r="I2883" s="17"/>
      <c r="J2883" s="17"/>
      <c r="K2883" s="17"/>
      <c r="L2883" s="17"/>
      <c r="M2883" s="17"/>
      <c r="N2883" s="17"/>
      <c r="O2883" s="17"/>
      <c r="P2883" s="17"/>
      <c r="Q2883" s="17"/>
      <c r="R2883" s="17"/>
      <c r="S2883" s="17"/>
      <c r="T2883" s="17"/>
      <c r="U2883" s="17"/>
      <c r="V2883" s="17"/>
      <c r="W2883" s="17"/>
      <c r="X2883" s="17"/>
      <c r="Y2883" s="17"/>
      <c r="Z2883" s="17"/>
    </row>
    <row r="2884">
      <c r="A2884" s="17"/>
      <c r="B2884" s="17"/>
      <c r="C2884" s="17"/>
      <c r="D2884" s="17"/>
      <c r="E2884" s="17"/>
      <c r="F2884" s="17"/>
      <c r="G2884" s="17"/>
      <c r="H2884" s="17"/>
      <c r="I2884" s="17"/>
      <c r="J2884" s="17"/>
      <c r="K2884" s="17"/>
      <c r="L2884" s="17"/>
      <c r="M2884" s="17"/>
      <c r="N2884" s="17"/>
      <c r="O2884" s="17"/>
      <c r="P2884" s="17"/>
      <c r="Q2884" s="17"/>
      <c r="R2884" s="17"/>
      <c r="S2884" s="17"/>
      <c r="T2884" s="17"/>
      <c r="U2884" s="17"/>
      <c r="V2884" s="17"/>
      <c r="W2884" s="17"/>
      <c r="X2884" s="17"/>
      <c r="Y2884" s="17"/>
      <c r="Z2884" s="17"/>
    </row>
    <row r="2885">
      <c r="A2885" s="17"/>
      <c r="B2885" s="17"/>
      <c r="C2885" s="17"/>
      <c r="D2885" s="17"/>
      <c r="E2885" s="17"/>
      <c r="F2885" s="17"/>
      <c r="G2885" s="17"/>
      <c r="H2885" s="17"/>
      <c r="I2885" s="17"/>
      <c r="J2885" s="17"/>
      <c r="K2885" s="17"/>
      <c r="L2885" s="17"/>
      <c r="M2885" s="17"/>
      <c r="N2885" s="17"/>
      <c r="O2885" s="17"/>
      <c r="P2885" s="17"/>
      <c r="Q2885" s="17"/>
      <c r="R2885" s="17"/>
      <c r="S2885" s="17"/>
      <c r="T2885" s="17"/>
      <c r="U2885" s="17"/>
      <c r="V2885" s="17"/>
      <c r="W2885" s="17"/>
      <c r="X2885" s="17"/>
      <c r="Y2885" s="17"/>
      <c r="Z2885" s="17"/>
    </row>
    <row r="2886">
      <c r="A2886" s="17"/>
      <c r="B2886" s="17"/>
      <c r="C2886" s="17"/>
      <c r="D2886" s="17"/>
      <c r="E2886" s="17"/>
      <c r="F2886" s="17"/>
      <c r="G2886" s="17"/>
      <c r="H2886" s="17"/>
      <c r="I2886" s="17"/>
      <c r="J2886" s="17"/>
      <c r="K2886" s="17"/>
      <c r="L2886" s="17"/>
      <c r="M2886" s="17"/>
      <c r="N2886" s="17"/>
      <c r="O2886" s="17"/>
      <c r="P2886" s="17"/>
      <c r="Q2886" s="17"/>
      <c r="R2886" s="17"/>
      <c r="S2886" s="17"/>
      <c r="T2886" s="17"/>
      <c r="U2886" s="17"/>
      <c r="V2886" s="17"/>
      <c r="W2886" s="17"/>
      <c r="X2886" s="17"/>
      <c r="Y2886" s="17"/>
      <c r="Z2886" s="17"/>
    </row>
    <row r="2887">
      <c r="A2887" s="17"/>
      <c r="B2887" s="17"/>
      <c r="C2887" s="17"/>
      <c r="D2887" s="17"/>
      <c r="E2887" s="17"/>
      <c r="F2887" s="17"/>
      <c r="G2887" s="17"/>
      <c r="H2887" s="17"/>
      <c r="I2887" s="17"/>
      <c r="J2887" s="17"/>
      <c r="K2887" s="17"/>
      <c r="L2887" s="17"/>
      <c r="M2887" s="17"/>
      <c r="N2887" s="17"/>
      <c r="O2887" s="17"/>
      <c r="P2887" s="17"/>
      <c r="Q2887" s="17"/>
      <c r="R2887" s="17"/>
      <c r="S2887" s="17"/>
      <c r="T2887" s="17"/>
      <c r="U2887" s="17"/>
      <c r="V2887" s="17"/>
      <c r="W2887" s="17"/>
      <c r="X2887" s="17"/>
      <c r="Y2887" s="17"/>
      <c r="Z2887" s="17"/>
    </row>
    <row r="2888">
      <c r="A2888" s="17"/>
      <c r="B2888" s="17"/>
      <c r="C2888" s="17"/>
      <c r="D2888" s="17"/>
      <c r="E2888" s="17"/>
      <c r="F2888" s="17"/>
      <c r="G2888" s="17"/>
      <c r="H2888" s="17"/>
      <c r="I2888" s="17"/>
      <c r="J2888" s="17"/>
      <c r="K2888" s="17"/>
      <c r="L2888" s="17"/>
      <c r="M2888" s="17"/>
      <c r="N2888" s="17"/>
      <c r="O2888" s="17"/>
      <c r="P2888" s="17"/>
      <c r="Q2888" s="17"/>
      <c r="R2888" s="17"/>
      <c r="S2888" s="17"/>
      <c r="T2888" s="17"/>
      <c r="U2888" s="17"/>
      <c r="V2888" s="17"/>
      <c r="W2888" s="17"/>
      <c r="X2888" s="17"/>
      <c r="Y2888" s="17"/>
      <c r="Z2888" s="17"/>
    </row>
    <row r="2889">
      <c r="A2889" s="17"/>
      <c r="B2889" s="17"/>
      <c r="C2889" s="17"/>
      <c r="D2889" s="17"/>
      <c r="E2889" s="17"/>
      <c r="F2889" s="17"/>
      <c r="G2889" s="17"/>
      <c r="H2889" s="17"/>
      <c r="I2889" s="17"/>
      <c r="J2889" s="17"/>
      <c r="K2889" s="17"/>
      <c r="L2889" s="17"/>
      <c r="M2889" s="17"/>
      <c r="N2889" s="17"/>
      <c r="O2889" s="17"/>
      <c r="P2889" s="17"/>
      <c r="Q2889" s="17"/>
      <c r="R2889" s="17"/>
      <c r="S2889" s="17"/>
      <c r="T2889" s="17"/>
      <c r="U2889" s="17"/>
      <c r="V2889" s="17"/>
      <c r="W2889" s="17"/>
      <c r="X2889" s="17"/>
      <c r="Y2889" s="17"/>
      <c r="Z2889" s="17"/>
    </row>
    <row r="2890">
      <c r="A2890" s="17"/>
      <c r="B2890" s="17"/>
      <c r="C2890" s="17"/>
      <c r="D2890" s="17"/>
      <c r="E2890" s="17"/>
      <c r="F2890" s="17"/>
      <c r="G2890" s="17"/>
      <c r="H2890" s="17"/>
      <c r="I2890" s="17"/>
      <c r="J2890" s="17"/>
      <c r="K2890" s="17"/>
      <c r="L2890" s="17"/>
      <c r="M2890" s="17"/>
      <c r="N2890" s="17"/>
      <c r="O2890" s="17"/>
      <c r="P2890" s="17"/>
      <c r="Q2890" s="17"/>
      <c r="R2890" s="17"/>
      <c r="S2890" s="17"/>
      <c r="T2890" s="17"/>
      <c r="U2890" s="17"/>
      <c r="V2890" s="17"/>
      <c r="W2890" s="17"/>
      <c r="X2890" s="17"/>
      <c r="Y2890" s="17"/>
      <c r="Z2890" s="17"/>
    </row>
    <row r="2891">
      <c r="A2891" s="17"/>
      <c r="B2891" s="17"/>
      <c r="C2891" s="17"/>
      <c r="D2891" s="17"/>
      <c r="E2891" s="17"/>
      <c r="F2891" s="17"/>
      <c r="G2891" s="17"/>
      <c r="H2891" s="17"/>
      <c r="I2891" s="17"/>
      <c r="J2891" s="17"/>
      <c r="K2891" s="17"/>
      <c r="L2891" s="17"/>
      <c r="M2891" s="17"/>
      <c r="N2891" s="17"/>
      <c r="O2891" s="17"/>
      <c r="P2891" s="17"/>
      <c r="Q2891" s="17"/>
      <c r="R2891" s="17"/>
      <c r="S2891" s="17"/>
      <c r="T2891" s="17"/>
      <c r="U2891" s="17"/>
      <c r="V2891" s="17"/>
      <c r="W2891" s="17"/>
      <c r="X2891" s="17"/>
      <c r="Y2891" s="17"/>
      <c r="Z2891" s="17"/>
    </row>
    <row r="2892">
      <c r="A2892" s="17"/>
      <c r="B2892" s="17"/>
      <c r="C2892" s="17"/>
      <c r="D2892" s="17"/>
      <c r="E2892" s="17"/>
      <c r="F2892" s="17"/>
      <c r="G2892" s="17"/>
      <c r="H2892" s="17"/>
      <c r="I2892" s="17"/>
      <c r="J2892" s="17"/>
      <c r="K2892" s="17"/>
      <c r="L2892" s="17"/>
      <c r="M2892" s="17"/>
      <c r="N2892" s="17"/>
      <c r="O2892" s="17"/>
      <c r="P2892" s="17"/>
      <c r="Q2892" s="17"/>
      <c r="R2892" s="17"/>
      <c r="S2892" s="17"/>
      <c r="T2892" s="17"/>
      <c r="U2892" s="17"/>
      <c r="V2892" s="17"/>
      <c r="W2892" s="17"/>
      <c r="X2892" s="17"/>
      <c r="Y2892" s="17"/>
      <c r="Z2892" s="17"/>
    </row>
    <row r="2893">
      <c r="A2893" s="17"/>
      <c r="B2893" s="17"/>
      <c r="C2893" s="17"/>
      <c r="D2893" s="17"/>
      <c r="E2893" s="17"/>
      <c r="F2893" s="17"/>
      <c r="G2893" s="17"/>
      <c r="H2893" s="17"/>
      <c r="I2893" s="17"/>
      <c r="J2893" s="17"/>
      <c r="K2893" s="17"/>
      <c r="L2893" s="17"/>
      <c r="M2893" s="17"/>
      <c r="N2893" s="17"/>
      <c r="O2893" s="17"/>
      <c r="P2893" s="17"/>
      <c r="Q2893" s="17"/>
      <c r="R2893" s="17"/>
      <c r="S2893" s="17"/>
      <c r="T2893" s="17"/>
      <c r="U2893" s="17"/>
      <c r="V2893" s="17"/>
      <c r="W2893" s="17"/>
      <c r="X2893" s="17"/>
      <c r="Y2893" s="17"/>
      <c r="Z2893" s="17"/>
    </row>
    <row r="2894">
      <c r="A2894" s="17"/>
      <c r="B2894" s="17"/>
      <c r="C2894" s="17"/>
      <c r="D2894" s="17"/>
      <c r="E2894" s="17"/>
      <c r="F2894" s="17"/>
      <c r="G2894" s="17"/>
      <c r="H2894" s="17"/>
      <c r="I2894" s="17"/>
      <c r="J2894" s="17"/>
      <c r="K2894" s="17"/>
      <c r="L2894" s="17"/>
      <c r="M2894" s="17"/>
      <c r="N2894" s="17"/>
      <c r="O2894" s="17"/>
      <c r="P2894" s="17"/>
      <c r="Q2894" s="17"/>
      <c r="R2894" s="17"/>
      <c r="S2894" s="17"/>
      <c r="T2894" s="17"/>
      <c r="U2894" s="17"/>
      <c r="V2894" s="17"/>
      <c r="W2894" s="17"/>
      <c r="X2894" s="17"/>
      <c r="Y2894" s="17"/>
      <c r="Z2894" s="17"/>
    </row>
    <row r="2895">
      <c r="A2895" s="17"/>
      <c r="B2895" s="17"/>
      <c r="C2895" s="17"/>
      <c r="D2895" s="17"/>
      <c r="E2895" s="17"/>
      <c r="F2895" s="17"/>
      <c r="G2895" s="17"/>
      <c r="H2895" s="17"/>
      <c r="I2895" s="17"/>
      <c r="J2895" s="17"/>
      <c r="K2895" s="17"/>
      <c r="L2895" s="17"/>
      <c r="M2895" s="17"/>
      <c r="N2895" s="17"/>
      <c r="O2895" s="17"/>
      <c r="P2895" s="17"/>
      <c r="Q2895" s="17"/>
      <c r="R2895" s="17"/>
      <c r="S2895" s="17"/>
      <c r="T2895" s="17"/>
      <c r="U2895" s="17"/>
      <c r="V2895" s="17"/>
      <c r="W2895" s="17"/>
      <c r="X2895" s="17"/>
      <c r="Y2895" s="17"/>
      <c r="Z2895" s="17"/>
    </row>
    <row r="2896">
      <c r="A2896" s="17"/>
      <c r="B2896" s="17"/>
      <c r="C2896" s="17"/>
      <c r="D2896" s="17"/>
      <c r="E2896" s="17"/>
      <c r="F2896" s="17"/>
      <c r="G2896" s="17"/>
      <c r="H2896" s="17"/>
      <c r="I2896" s="17"/>
      <c r="J2896" s="17"/>
      <c r="K2896" s="17"/>
      <c r="L2896" s="17"/>
      <c r="M2896" s="17"/>
      <c r="N2896" s="17"/>
      <c r="O2896" s="17"/>
      <c r="P2896" s="17"/>
      <c r="Q2896" s="17"/>
      <c r="R2896" s="17"/>
      <c r="S2896" s="17"/>
      <c r="T2896" s="17"/>
      <c r="U2896" s="17"/>
      <c r="V2896" s="17"/>
      <c r="W2896" s="17"/>
      <c r="X2896" s="17"/>
      <c r="Y2896" s="17"/>
      <c r="Z2896" s="17"/>
    </row>
    <row r="2897">
      <c r="A2897" s="17"/>
      <c r="B2897" s="17"/>
      <c r="C2897" s="17"/>
      <c r="D2897" s="17"/>
      <c r="E2897" s="17"/>
      <c r="F2897" s="17"/>
      <c r="G2897" s="17"/>
      <c r="H2897" s="17"/>
      <c r="I2897" s="17"/>
      <c r="J2897" s="17"/>
      <c r="K2897" s="17"/>
      <c r="L2897" s="17"/>
      <c r="M2897" s="17"/>
      <c r="N2897" s="17"/>
      <c r="O2897" s="17"/>
      <c r="P2897" s="17"/>
      <c r="Q2897" s="17"/>
      <c r="R2897" s="17"/>
      <c r="S2897" s="17"/>
      <c r="T2897" s="17"/>
      <c r="U2897" s="17"/>
      <c r="V2897" s="17"/>
      <c r="W2897" s="17"/>
      <c r="X2897" s="17"/>
      <c r="Y2897" s="17"/>
      <c r="Z2897" s="17"/>
    </row>
    <row r="2898">
      <c r="A2898" s="17"/>
      <c r="B2898" s="17"/>
      <c r="C2898" s="17"/>
      <c r="D2898" s="17"/>
      <c r="E2898" s="17"/>
      <c r="F2898" s="17"/>
      <c r="G2898" s="17"/>
      <c r="H2898" s="17"/>
      <c r="I2898" s="17"/>
      <c r="J2898" s="17"/>
      <c r="K2898" s="17"/>
      <c r="L2898" s="17"/>
      <c r="M2898" s="17"/>
      <c r="N2898" s="17"/>
      <c r="O2898" s="17"/>
      <c r="P2898" s="17"/>
      <c r="Q2898" s="17"/>
      <c r="R2898" s="17"/>
      <c r="S2898" s="17"/>
      <c r="T2898" s="17"/>
      <c r="U2898" s="17"/>
      <c r="V2898" s="17"/>
      <c r="W2898" s="17"/>
      <c r="X2898" s="17"/>
      <c r="Y2898" s="17"/>
      <c r="Z2898" s="17"/>
    </row>
    <row r="2899">
      <c r="A2899" s="17"/>
      <c r="B2899" s="17"/>
      <c r="C2899" s="17"/>
      <c r="D2899" s="17"/>
      <c r="E2899" s="17"/>
      <c r="F2899" s="17"/>
      <c r="G2899" s="17"/>
      <c r="H2899" s="17"/>
      <c r="I2899" s="17"/>
      <c r="J2899" s="17"/>
      <c r="K2899" s="17"/>
      <c r="L2899" s="17"/>
      <c r="M2899" s="17"/>
      <c r="N2899" s="17"/>
      <c r="O2899" s="17"/>
      <c r="P2899" s="17"/>
      <c r="Q2899" s="17"/>
      <c r="R2899" s="17"/>
      <c r="S2899" s="17"/>
      <c r="T2899" s="17"/>
      <c r="U2899" s="17"/>
      <c r="V2899" s="17"/>
      <c r="W2899" s="17"/>
      <c r="X2899" s="17"/>
      <c r="Y2899" s="17"/>
      <c r="Z2899" s="17"/>
    </row>
    <row r="2900">
      <c r="A2900" s="17"/>
      <c r="B2900" s="17"/>
      <c r="C2900" s="17"/>
      <c r="D2900" s="17"/>
      <c r="E2900" s="17"/>
      <c r="F2900" s="17"/>
      <c r="G2900" s="17"/>
      <c r="H2900" s="17"/>
      <c r="I2900" s="17"/>
      <c r="J2900" s="17"/>
      <c r="K2900" s="17"/>
      <c r="L2900" s="17"/>
      <c r="M2900" s="17"/>
      <c r="N2900" s="17"/>
      <c r="O2900" s="17"/>
      <c r="P2900" s="17"/>
      <c r="Q2900" s="17"/>
      <c r="R2900" s="17"/>
      <c r="S2900" s="17"/>
      <c r="T2900" s="17"/>
      <c r="U2900" s="17"/>
      <c r="V2900" s="17"/>
      <c r="W2900" s="17"/>
      <c r="X2900" s="17"/>
      <c r="Y2900" s="17"/>
      <c r="Z2900" s="17"/>
    </row>
    <row r="2901">
      <c r="A2901" s="17"/>
      <c r="B2901" s="17"/>
      <c r="C2901" s="17"/>
      <c r="D2901" s="17"/>
      <c r="E2901" s="17"/>
      <c r="F2901" s="17"/>
      <c r="G2901" s="17"/>
      <c r="H2901" s="17"/>
      <c r="I2901" s="17"/>
      <c r="J2901" s="17"/>
      <c r="K2901" s="17"/>
      <c r="L2901" s="17"/>
      <c r="M2901" s="17"/>
      <c r="N2901" s="17"/>
      <c r="O2901" s="17"/>
      <c r="P2901" s="17"/>
      <c r="Q2901" s="17"/>
      <c r="R2901" s="17"/>
      <c r="S2901" s="17"/>
      <c r="T2901" s="17"/>
      <c r="U2901" s="17"/>
      <c r="V2901" s="17"/>
      <c r="W2901" s="17"/>
      <c r="X2901" s="17"/>
      <c r="Y2901" s="17"/>
      <c r="Z2901" s="17"/>
    </row>
    <row r="2902">
      <c r="A2902" s="17"/>
      <c r="B2902" s="17"/>
      <c r="C2902" s="17"/>
      <c r="D2902" s="17"/>
      <c r="E2902" s="17"/>
      <c r="F2902" s="17"/>
      <c r="G2902" s="17"/>
      <c r="H2902" s="17"/>
      <c r="I2902" s="17"/>
      <c r="J2902" s="17"/>
      <c r="K2902" s="17"/>
      <c r="L2902" s="17"/>
      <c r="M2902" s="17"/>
      <c r="N2902" s="17"/>
      <c r="O2902" s="17"/>
      <c r="P2902" s="17"/>
      <c r="Q2902" s="17"/>
      <c r="R2902" s="17"/>
      <c r="S2902" s="17"/>
      <c r="T2902" s="17"/>
      <c r="U2902" s="17"/>
      <c r="V2902" s="17"/>
      <c r="W2902" s="17"/>
      <c r="X2902" s="17"/>
      <c r="Y2902" s="17"/>
      <c r="Z2902" s="17"/>
    </row>
    <row r="2903">
      <c r="A2903" s="17"/>
      <c r="B2903" s="17"/>
      <c r="C2903" s="17"/>
      <c r="D2903" s="17"/>
      <c r="E2903" s="17"/>
      <c r="F2903" s="17"/>
      <c r="G2903" s="17"/>
      <c r="H2903" s="17"/>
      <c r="I2903" s="17"/>
      <c r="J2903" s="17"/>
      <c r="K2903" s="17"/>
      <c r="L2903" s="17"/>
      <c r="M2903" s="17"/>
      <c r="N2903" s="17"/>
      <c r="O2903" s="17"/>
      <c r="P2903" s="17"/>
      <c r="Q2903" s="17"/>
      <c r="R2903" s="17"/>
      <c r="S2903" s="17"/>
      <c r="T2903" s="17"/>
      <c r="U2903" s="17"/>
      <c r="V2903" s="17"/>
      <c r="W2903" s="17"/>
      <c r="X2903" s="17"/>
      <c r="Y2903" s="17"/>
      <c r="Z2903" s="17"/>
    </row>
    <row r="2904">
      <c r="A2904" s="17"/>
      <c r="B2904" s="17"/>
      <c r="C2904" s="17"/>
      <c r="D2904" s="17"/>
      <c r="E2904" s="17"/>
      <c r="F2904" s="17"/>
      <c r="G2904" s="17"/>
      <c r="H2904" s="17"/>
      <c r="I2904" s="17"/>
      <c r="J2904" s="17"/>
      <c r="K2904" s="17"/>
      <c r="L2904" s="17"/>
      <c r="M2904" s="17"/>
      <c r="N2904" s="17"/>
      <c r="O2904" s="17"/>
      <c r="P2904" s="17"/>
      <c r="Q2904" s="17"/>
      <c r="R2904" s="17"/>
      <c r="S2904" s="17"/>
      <c r="T2904" s="17"/>
      <c r="U2904" s="17"/>
      <c r="V2904" s="17"/>
      <c r="W2904" s="17"/>
      <c r="X2904" s="17"/>
      <c r="Y2904" s="17"/>
      <c r="Z2904" s="17"/>
    </row>
    <row r="2905">
      <c r="A2905" s="17"/>
      <c r="B2905" s="17"/>
      <c r="C2905" s="17"/>
      <c r="D2905" s="17"/>
      <c r="E2905" s="17"/>
      <c r="F2905" s="17"/>
      <c r="G2905" s="17"/>
      <c r="H2905" s="17"/>
      <c r="I2905" s="17"/>
      <c r="J2905" s="17"/>
      <c r="K2905" s="17"/>
      <c r="L2905" s="17"/>
      <c r="M2905" s="17"/>
      <c r="N2905" s="17"/>
      <c r="O2905" s="17"/>
      <c r="P2905" s="17"/>
      <c r="Q2905" s="17"/>
      <c r="R2905" s="17"/>
      <c r="S2905" s="17"/>
      <c r="T2905" s="17"/>
      <c r="U2905" s="17"/>
      <c r="V2905" s="17"/>
      <c r="W2905" s="17"/>
      <c r="X2905" s="17"/>
      <c r="Y2905" s="17"/>
      <c r="Z2905" s="17"/>
    </row>
    <row r="2906">
      <c r="A2906" s="17"/>
      <c r="B2906" s="17"/>
      <c r="C2906" s="17"/>
      <c r="D2906" s="17"/>
      <c r="E2906" s="17"/>
      <c r="F2906" s="17"/>
      <c r="G2906" s="17"/>
      <c r="H2906" s="17"/>
      <c r="I2906" s="17"/>
      <c r="J2906" s="17"/>
      <c r="K2906" s="17"/>
      <c r="L2906" s="17"/>
      <c r="M2906" s="17"/>
      <c r="N2906" s="17"/>
      <c r="O2906" s="17"/>
      <c r="P2906" s="17"/>
      <c r="Q2906" s="17"/>
      <c r="R2906" s="17"/>
      <c r="S2906" s="17"/>
      <c r="T2906" s="17"/>
      <c r="U2906" s="17"/>
      <c r="V2906" s="17"/>
      <c r="W2906" s="17"/>
      <c r="X2906" s="17"/>
      <c r="Y2906" s="17"/>
      <c r="Z2906" s="17"/>
    </row>
    <row r="2907">
      <c r="A2907" s="17"/>
      <c r="B2907" s="17"/>
      <c r="C2907" s="17"/>
      <c r="D2907" s="17"/>
      <c r="E2907" s="17"/>
      <c r="F2907" s="17"/>
      <c r="G2907" s="17"/>
      <c r="H2907" s="17"/>
      <c r="I2907" s="17"/>
      <c r="J2907" s="17"/>
      <c r="K2907" s="17"/>
      <c r="L2907" s="17"/>
      <c r="M2907" s="17"/>
      <c r="N2907" s="17"/>
      <c r="O2907" s="17"/>
      <c r="P2907" s="17"/>
      <c r="Q2907" s="17"/>
      <c r="R2907" s="17"/>
      <c r="S2907" s="17"/>
      <c r="T2907" s="17"/>
      <c r="U2907" s="17"/>
      <c r="V2907" s="17"/>
      <c r="W2907" s="17"/>
      <c r="X2907" s="17"/>
      <c r="Y2907" s="17"/>
      <c r="Z2907" s="17"/>
    </row>
    <row r="2908">
      <c r="A2908" s="17"/>
      <c r="B2908" s="17"/>
      <c r="C2908" s="17"/>
      <c r="D2908" s="17"/>
      <c r="E2908" s="17"/>
      <c r="F2908" s="17"/>
      <c r="G2908" s="17"/>
      <c r="H2908" s="17"/>
      <c r="I2908" s="17"/>
      <c r="J2908" s="17"/>
      <c r="K2908" s="17"/>
      <c r="L2908" s="17"/>
      <c r="M2908" s="17"/>
      <c r="N2908" s="17"/>
      <c r="O2908" s="17"/>
      <c r="P2908" s="17"/>
      <c r="Q2908" s="17"/>
      <c r="R2908" s="17"/>
      <c r="S2908" s="17"/>
      <c r="T2908" s="17"/>
      <c r="U2908" s="17"/>
      <c r="V2908" s="17"/>
      <c r="W2908" s="17"/>
      <c r="X2908" s="17"/>
      <c r="Y2908" s="17"/>
      <c r="Z2908" s="17"/>
    </row>
    <row r="2909">
      <c r="A2909" s="17"/>
      <c r="B2909" s="17"/>
      <c r="C2909" s="17"/>
      <c r="D2909" s="17"/>
      <c r="E2909" s="17"/>
      <c r="F2909" s="17"/>
      <c r="G2909" s="17"/>
      <c r="H2909" s="17"/>
      <c r="I2909" s="17"/>
      <c r="J2909" s="17"/>
      <c r="K2909" s="17"/>
      <c r="L2909" s="17"/>
      <c r="M2909" s="17"/>
      <c r="N2909" s="17"/>
      <c r="O2909" s="17"/>
      <c r="P2909" s="17"/>
      <c r="Q2909" s="17"/>
      <c r="R2909" s="17"/>
      <c r="S2909" s="17"/>
      <c r="T2909" s="17"/>
      <c r="U2909" s="17"/>
      <c r="V2909" s="17"/>
      <c r="W2909" s="17"/>
      <c r="X2909" s="17"/>
      <c r="Y2909" s="17"/>
      <c r="Z2909" s="17"/>
    </row>
    <row r="2910">
      <c r="A2910" s="17"/>
      <c r="B2910" s="17"/>
      <c r="C2910" s="17"/>
      <c r="D2910" s="17"/>
      <c r="E2910" s="17"/>
      <c r="F2910" s="17"/>
      <c r="G2910" s="17"/>
      <c r="H2910" s="17"/>
      <c r="I2910" s="17"/>
      <c r="J2910" s="17"/>
      <c r="K2910" s="17"/>
      <c r="L2910" s="17"/>
      <c r="M2910" s="17"/>
      <c r="N2910" s="17"/>
      <c r="O2910" s="17"/>
      <c r="P2910" s="17"/>
      <c r="Q2910" s="17"/>
      <c r="R2910" s="17"/>
      <c r="S2910" s="17"/>
      <c r="T2910" s="17"/>
      <c r="U2910" s="17"/>
      <c r="V2910" s="17"/>
      <c r="W2910" s="17"/>
      <c r="X2910" s="17"/>
      <c r="Y2910" s="17"/>
      <c r="Z2910" s="17"/>
    </row>
    <row r="2911">
      <c r="A2911" s="17"/>
      <c r="B2911" s="17"/>
      <c r="C2911" s="17"/>
      <c r="D2911" s="17"/>
      <c r="E2911" s="17"/>
      <c r="F2911" s="17"/>
      <c r="G2911" s="17"/>
      <c r="H2911" s="17"/>
      <c r="I2911" s="17"/>
      <c r="J2911" s="17"/>
      <c r="K2911" s="17"/>
      <c r="L2911" s="17"/>
      <c r="M2911" s="17"/>
      <c r="N2911" s="17"/>
      <c r="O2911" s="17"/>
      <c r="P2911" s="17"/>
      <c r="Q2911" s="17"/>
      <c r="R2911" s="17"/>
      <c r="S2911" s="17"/>
      <c r="T2911" s="17"/>
      <c r="U2911" s="17"/>
      <c r="V2911" s="17"/>
      <c r="W2911" s="17"/>
      <c r="X2911" s="17"/>
      <c r="Y2911" s="17"/>
      <c r="Z2911" s="17"/>
    </row>
    <row r="2912">
      <c r="A2912" s="17"/>
      <c r="B2912" s="17"/>
      <c r="C2912" s="17"/>
      <c r="D2912" s="17"/>
      <c r="E2912" s="17"/>
      <c r="F2912" s="17"/>
      <c r="G2912" s="17"/>
      <c r="H2912" s="17"/>
      <c r="I2912" s="17"/>
      <c r="J2912" s="17"/>
      <c r="K2912" s="17"/>
      <c r="L2912" s="17"/>
      <c r="M2912" s="17"/>
      <c r="N2912" s="17"/>
      <c r="O2912" s="17"/>
      <c r="P2912" s="17"/>
      <c r="Q2912" s="17"/>
      <c r="R2912" s="17"/>
      <c r="S2912" s="17"/>
      <c r="T2912" s="17"/>
      <c r="U2912" s="17"/>
      <c r="V2912" s="17"/>
      <c r="W2912" s="17"/>
      <c r="X2912" s="17"/>
      <c r="Y2912" s="17"/>
      <c r="Z2912" s="17"/>
    </row>
    <row r="2913">
      <c r="A2913" s="17"/>
      <c r="B2913" s="17"/>
      <c r="C2913" s="17"/>
      <c r="D2913" s="17"/>
      <c r="E2913" s="17"/>
      <c r="F2913" s="17"/>
      <c r="G2913" s="17"/>
      <c r="H2913" s="17"/>
      <c r="I2913" s="17"/>
      <c r="J2913" s="17"/>
      <c r="K2913" s="17"/>
      <c r="L2913" s="17"/>
      <c r="M2913" s="17"/>
      <c r="N2913" s="17"/>
      <c r="O2913" s="17"/>
      <c r="P2913" s="17"/>
      <c r="Q2913" s="17"/>
      <c r="R2913" s="17"/>
      <c r="S2913" s="17"/>
      <c r="T2913" s="17"/>
      <c r="U2913" s="17"/>
      <c r="V2913" s="17"/>
      <c r="W2913" s="17"/>
      <c r="X2913" s="17"/>
      <c r="Y2913" s="17"/>
      <c r="Z2913" s="17"/>
    </row>
    <row r="2914">
      <c r="A2914" s="17"/>
      <c r="B2914" s="17"/>
      <c r="C2914" s="17"/>
      <c r="D2914" s="17"/>
      <c r="E2914" s="17"/>
      <c r="F2914" s="17"/>
      <c r="G2914" s="17"/>
      <c r="H2914" s="17"/>
      <c r="I2914" s="17"/>
      <c r="J2914" s="17"/>
      <c r="K2914" s="17"/>
      <c r="L2914" s="17"/>
      <c r="M2914" s="17"/>
      <c r="N2914" s="17"/>
      <c r="O2914" s="17"/>
      <c r="P2914" s="17"/>
      <c r="Q2914" s="17"/>
      <c r="R2914" s="17"/>
      <c r="S2914" s="17"/>
      <c r="T2914" s="17"/>
      <c r="U2914" s="17"/>
      <c r="V2914" s="17"/>
      <c r="W2914" s="17"/>
      <c r="X2914" s="17"/>
      <c r="Y2914" s="17"/>
      <c r="Z2914" s="17"/>
    </row>
    <row r="2915">
      <c r="A2915" s="17"/>
      <c r="B2915" s="17"/>
      <c r="C2915" s="17"/>
      <c r="D2915" s="17"/>
      <c r="E2915" s="17"/>
      <c r="F2915" s="17"/>
      <c r="G2915" s="17"/>
      <c r="H2915" s="17"/>
      <c r="I2915" s="17"/>
      <c r="J2915" s="17"/>
      <c r="K2915" s="17"/>
      <c r="L2915" s="17"/>
      <c r="M2915" s="17"/>
      <c r="N2915" s="17"/>
      <c r="O2915" s="17"/>
      <c r="P2915" s="17"/>
      <c r="Q2915" s="17"/>
      <c r="R2915" s="17"/>
      <c r="S2915" s="17"/>
      <c r="T2915" s="17"/>
      <c r="U2915" s="17"/>
      <c r="V2915" s="17"/>
      <c r="W2915" s="17"/>
      <c r="X2915" s="17"/>
      <c r="Y2915" s="17"/>
      <c r="Z2915" s="17"/>
    </row>
    <row r="2916">
      <c r="A2916" s="17"/>
      <c r="B2916" s="17"/>
      <c r="C2916" s="17"/>
      <c r="D2916" s="17"/>
      <c r="E2916" s="17"/>
      <c r="F2916" s="17"/>
      <c r="G2916" s="17"/>
      <c r="H2916" s="17"/>
      <c r="I2916" s="17"/>
      <c r="J2916" s="17"/>
      <c r="K2916" s="17"/>
      <c r="L2916" s="17"/>
      <c r="M2916" s="17"/>
      <c r="N2916" s="17"/>
      <c r="O2916" s="17"/>
      <c r="P2916" s="17"/>
      <c r="Q2916" s="17"/>
      <c r="R2916" s="17"/>
      <c r="S2916" s="17"/>
      <c r="T2916" s="17"/>
      <c r="U2916" s="17"/>
      <c r="V2916" s="17"/>
      <c r="W2916" s="17"/>
      <c r="X2916" s="17"/>
      <c r="Y2916" s="17"/>
      <c r="Z2916" s="17"/>
    </row>
    <row r="2917">
      <c r="A2917" s="17"/>
      <c r="B2917" s="17"/>
      <c r="C2917" s="17"/>
      <c r="D2917" s="17"/>
      <c r="E2917" s="17"/>
      <c r="F2917" s="17"/>
      <c r="G2917" s="17"/>
      <c r="H2917" s="17"/>
      <c r="I2917" s="17"/>
      <c r="J2917" s="17"/>
      <c r="K2917" s="17"/>
      <c r="L2917" s="17"/>
      <c r="M2917" s="17"/>
      <c r="N2917" s="17"/>
      <c r="O2917" s="17"/>
      <c r="P2917" s="17"/>
      <c r="Q2917" s="17"/>
      <c r="R2917" s="17"/>
      <c r="S2917" s="17"/>
      <c r="T2917" s="17"/>
      <c r="U2917" s="17"/>
      <c r="V2917" s="17"/>
      <c r="W2917" s="17"/>
      <c r="X2917" s="17"/>
      <c r="Y2917" s="17"/>
      <c r="Z2917" s="17"/>
    </row>
    <row r="2918">
      <c r="A2918" s="17"/>
      <c r="B2918" s="17"/>
      <c r="C2918" s="17"/>
      <c r="D2918" s="17"/>
      <c r="E2918" s="17"/>
      <c r="F2918" s="17"/>
      <c r="G2918" s="17"/>
      <c r="H2918" s="17"/>
      <c r="I2918" s="17"/>
      <c r="J2918" s="17"/>
      <c r="K2918" s="17"/>
      <c r="L2918" s="17"/>
      <c r="M2918" s="17"/>
      <c r="N2918" s="17"/>
      <c r="O2918" s="17"/>
      <c r="P2918" s="17"/>
      <c r="Q2918" s="17"/>
      <c r="R2918" s="17"/>
      <c r="S2918" s="17"/>
      <c r="T2918" s="17"/>
      <c r="U2918" s="17"/>
      <c r="V2918" s="17"/>
      <c r="W2918" s="17"/>
      <c r="X2918" s="17"/>
      <c r="Y2918" s="17"/>
      <c r="Z2918" s="17"/>
    </row>
    <row r="2919">
      <c r="A2919" s="17"/>
      <c r="B2919" s="17"/>
      <c r="C2919" s="17"/>
      <c r="D2919" s="17"/>
      <c r="E2919" s="17"/>
      <c r="F2919" s="17"/>
      <c r="G2919" s="17"/>
      <c r="H2919" s="17"/>
      <c r="I2919" s="17"/>
      <c r="J2919" s="17"/>
      <c r="K2919" s="17"/>
      <c r="L2919" s="17"/>
      <c r="M2919" s="17"/>
      <c r="N2919" s="17"/>
      <c r="O2919" s="17"/>
      <c r="P2919" s="17"/>
      <c r="Q2919" s="17"/>
      <c r="R2919" s="17"/>
      <c r="S2919" s="17"/>
      <c r="T2919" s="17"/>
      <c r="U2919" s="17"/>
      <c r="V2919" s="17"/>
      <c r="W2919" s="17"/>
      <c r="X2919" s="17"/>
      <c r="Y2919" s="17"/>
      <c r="Z2919" s="17"/>
    </row>
    <row r="2920">
      <c r="A2920" s="17"/>
      <c r="B2920" s="17"/>
      <c r="C2920" s="17"/>
      <c r="D2920" s="17"/>
      <c r="E2920" s="17"/>
      <c r="F2920" s="17"/>
      <c r="G2920" s="17"/>
      <c r="H2920" s="17"/>
      <c r="I2920" s="17"/>
      <c r="J2920" s="17"/>
      <c r="K2920" s="17"/>
      <c r="L2920" s="17"/>
      <c r="M2920" s="17"/>
      <c r="N2920" s="17"/>
      <c r="O2920" s="17"/>
      <c r="P2920" s="17"/>
      <c r="Q2920" s="17"/>
      <c r="R2920" s="17"/>
      <c r="S2920" s="17"/>
      <c r="T2920" s="17"/>
      <c r="U2920" s="17"/>
      <c r="V2920" s="17"/>
      <c r="W2920" s="17"/>
      <c r="X2920" s="17"/>
      <c r="Y2920" s="17"/>
      <c r="Z2920" s="17"/>
    </row>
    <row r="2921">
      <c r="A2921" s="17"/>
      <c r="B2921" s="17"/>
      <c r="C2921" s="17"/>
      <c r="D2921" s="17"/>
      <c r="E2921" s="17"/>
      <c r="F2921" s="17"/>
      <c r="G2921" s="17"/>
      <c r="H2921" s="17"/>
      <c r="I2921" s="17"/>
      <c r="J2921" s="17"/>
      <c r="K2921" s="17"/>
      <c r="L2921" s="17"/>
      <c r="M2921" s="17"/>
      <c r="N2921" s="17"/>
      <c r="O2921" s="17"/>
      <c r="P2921" s="17"/>
      <c r="Q2921" s="17"/>
      <c r="R2921" s="17"/>
      <c r="S2921" s="17"/>
      <c r="T2921" s="17"/>
      <c r="U2921" s="17"/>
      <c r="V2921" s="17"/>
      <c r="W2921" s="17"/>
      <c r="X2921" s="17"/>
      <c r="Y2921" s="17"/>
      <c r="Z2921" s="17"/>
    </row>
    <row r="2922">
      <c r="A2922" s="17"/>
      <c r="B2922" s="17"/>
      <c r="C2922" s="17"/>
      <c r="D2922" s="17"/>
      <c r="E2922" s="17"/>
      <c r="F2922" s="17"/>
      <c r="G2922" s="17"/>
      <c r="H2922" s="17"/>
      <c r="I2922" s="17"/>
      <c r="J2922" s="17"/>
      <c r="K2922" s="17"/>
      <c r="L2922" s="17"/>
      <c r="M2922" s="17"/>
      <c r="N2922" s="17"/>
      <c r="O2922" s="17"/>
      <c r="P2922" s="17"/>
      <c r="Q2922" s="17"/>
      <c r="R2922" s="17"/>
      <c r="S2922" s="17"/>
      <c r="T2922" s="17"/>
      <c r="U2922" s="17"/>
      <c r="V2922" s="17"/>
      <c r="W2922" s="17"/>
      <c r="X2922" s="17"/>
      <c r="Y2922" s="17"/>
      <c r="Z2922" s="17"/>
    </row>
    <row r="2923">
      <c r="A2923" s="17"/>
      <c r="B2923" s="17"/>
      <c r="C2923" s="17"/>
      <c r="D2923" s="17"/>
      <c r="E2923" s="17"/>
      <c r="F2923" s="17"/>
      <c r="G2923" s="17"/>
      <c r="H2923" s="17"/>
      <c r="I2923" s="17"/>
      <c r="J2923" s="17"/>
      <c r="K2923" s="17"/>
      <c r="L2923" s="17"/>
      <c r="M2923" s="17"/>
      <c r="N2923" s="17"/>
      <c r="O2923" s="17"/>
      <c r="P2923" s="17"/>
      <c r="Q2923" s="17"/>
      <c r="R2923" s="17"/>
      <c r="S2923" s="17"/>
      <c r="T2923" s="17"/>
      <c r="U2923" s="17"/>
      <c r="V2923" s="17"/>
      <c r="W2923" s="17"/>
      <c r="X2923" s="17"/>
      <c r="Y2923" s="17"/>
      <c r="Z2923" s="17"/>
    </row>
    <row r="2924">
      <c r="A2924" s="17"/>
      <c r="B2924" s="17"/>
      <c r="C2924" s="17"/>
      <c r="D2924" s="17"/>
      <c r="E2924" s="17"/>
      <c r="F2924" s="17"/>
      <c r="G2924" s="17"/>
      <c r="H2924" s="17"/>
      <c r="I2924" s="17"/>
      <c r="J2924" s="17"/>
      <c r="K2924" s="17"/>
      <c r="L2924" s="17"/>
      <c r="M2924" s="17"/>
      <c r="N2924" s="17"/>
      <c r="O2924" s="17"/>
      <c r="P2924" s="17"/>
      <c r="Q2924" s="17"/>
      <c r="R2924" s="17"/>
      <c r="S2924" s="17"/>
      <c r="T2924" s="17"/>
      <c r="U2924" s="17"/>
      <c r="V2924" s="17"/>
      <c r="W2924" s="17"/>
      <c r="X2924" s="17"/>
      <c r="Y2924" s="17"/>
      <c r="Z2924" s="17"/>
    </row>
    <row r="2925">
      <c r="A2925" s="17"/>
      <c r="B2925" s="17"/>
      <c r="C2925" s="17"/>
      <c r="D2925" s="17"/>
      <c r="E2925" s="17"/>
      <c r="F2925" s="17"/>
      <c r="G2925" s="17"/>
      <c r="H2925" s="17"/>
      <c r="I2925" s="17"/>
      <c r="J2925" s="17"/>
      <c r="K2925" s="17"/>
      <c r="L2925" s="17"/>
      <c r="M2925" s="17"/>
      <c r="N2925" s="17"/>
      <c r="O2925" s="17"/>
      <c r="P2925" s="17"/>
      <c r="Q2925" s="17"/>
      <c r="R2925" s="17"/>
      <c r="S2925" s="17"/>
      <c r="T2925" s="17"/>
      <c r="U2925" s="17"/>
      <c r="V2925" s="17"/>
      <c r="W2925" s="17"/>
      <c r="X2925" s="17"/>
      <c r="Y2925" s="17"/>
      <c r="Z2925" s="17"/>
    </row>
    <row r="2926">
      <c r="A2926" s="17"/>
      <c r="B2926" s="17"/>
      <c r="C2926" s="17"/>
      <c r="D2926" s="17"/>
      <c r="E2926" s="17"/>
      <c r="F2926" s="17"/>
      <c r="G2926" s="17"/>
      <c r="H2926" s="17"/>
      <c r="I2926" s="17"/>
      <c r="J2926" s="17"/>
      <c r="K2926" s="17"/>
      <c r="L2926" s="17"/>
      <c r="M2926" s="17"/>
      <c r="N2926" s="17"/>
      <c r="O2926" s="17"/>
      <c r="P2926" s="17"/>
      <c r="Q2926" s="17"/>
      <c r="R2926" s="17"/>
      <c r="S2926" s="17"/>
      <c r="T2926" s="17"/>
      <c r="U2926" s="17"/>
      <c r="V2926" s="17"/>
      <c r="W2926" s="17"/>
      <c r="X2926" s="17"/>
      <c r="Y2926" s="17"/>
      <c r="Z2926" s="17"/>
    </row>
    <row r="2927">
      <c r="A2927" s="17"/>
      <c r="B2927" s="17"/>
      <c r="C2927" s="17"/>
      <c r="D2927" s="17"/>
      <c r="E2927" s="17"/>
      <c r="F2927" s="17"/>
      <c r="G2927" s="17"/>
      <c r="H2927" s="17"/>
      <c r="I2927" s="17"/>
      <c r="J2927" s="17"/>
      <c r="K2927" s="17"/>
      <c r="L2927" s="17"/>
      <c r="M2927" s="17"/>
      <c r="N2927" s="17"/>
      <c r="O2927" s="17"/>
      <c r="P2927" s="17"/>
      <c r="Q2927" s="17"/>
      <c r="R2927" s="17"/>
      <c r="S2927" s="17"/>
      <c r="T2927" s="17"/>
      <c r="U2927" s="17"/>
      <c r="V2927" s="17"/>
      <c r="W2927" s="17"/>
      <c r="X2927" s="17"/>
      <c r="Y2927" s="17"/>
      <c r="Z2927" s="17"/>
    </row>
    <row r="2928">
      <c r="A2928" s="17"/>
      <c r="B2928" s="17"/>
      <c r="C2928" s="17"/>
      <c r="D2928" s="17"/>
      <c r="E2928" s="17"/>
      <c r="F2928" s="17"/>
      <c r="G2928" s="17"/>
      <c r="H2928" s="17"/>
      <c r="I2928" s="17"/>
      <c r="J2928" s="17"/>
      <c r="K2928" s="17"/>
      <c r="L2928" s="17"/>
      <c r="M2928" s="17"/>
      <c r="N2928" s="17"/>
      <c r="O2928" s="17"/>
      <c r="P2928" s="17"/>
      <c r="Q2928" s="17"/>
      <c r="R2928" s="17"/>
      <c r="S2928" s="17"/>
      <c r="T2928" s="17"/>
      <c r="U2928" s="17"/>
      <c r="V2928" s="17"/>
      <c r="W2928" s="17"/>
      <c r="X2928" s="17"/>
      <c r="Y2928" s="17"/>
      <c r="Z2928" s="17"/>
    </row>
    <row r="2929">
      <c r="A2929" s="17"/>
      <c r="B2929" s="17"/>
      <c r="C2929" s="17"/>
      <c r="D2929" s="17"/>
      <c r="E2929" s="17"/>
      <c r="F2929" s="17"/>
      <c r="G2929" s="17"/>
      <c r="H2929" s="17"/>
      <c r="I2929" s="17"/>
      <c r="J2929" s="17"/>
      <c r="K2929" s="17"/>
      <c r="L2929" s="17"/>
      <c r="M2929" s="17"/>
      <c r="N2929" s="17"/>
      <c r="O2929" s="17"/>
      <c r="P2929" s="17"/>
      <c r="Q2929" s="17"/>
      <c r="R2929" s="17"/>
      <c r="S2929" s="17"/>
      <c r="T2929" s="17"/>
      <c r="U2929" s="17"/>
      <c r="V2929" s="17"/>
      <c r="W2929" s="17"/>
      <c r="X2929" s="17"/>
      <c r="Y2929" s="17"/>
      <c r="Z2929" s="17"/>
    </row>
    <row r="2930">
      <c r="A2930" s="17"/>
      <c r="B2930" s="17"/>
      <c r="C2930" s="17"/>
      <c r="D2930" s="17"/>
      <c r="E2930" s="17"/>
      <c r="F2930" s="17"/>
      <c r="G2930" s="17"/>
      <c r="H2930" s="17"/>
      <c r="I2930" s="17"/>
      <c r="J2930" s="17"/>
      <c r="K2930" s="17"/>
      <c r="L2930" s="17"/>
      <c r="M2930" s="17"/>
      <c r="N2930" s="17"/>
      <c r="O2930" s="17"/>
      <c r="P2930" s="17"/>
      <c r="Q2930" s="17"/>
      <c r="R2930" s="17"/>
      <c r="S2930" s="17"/>
      <c r="T2930" s="17"/>
      <c r="U2930" s="17"/>
      <c r="V2930" s="17"/>
      <c r="W2930" s="17"/>
      <c r="X2930" s="17"/>
      <c r="Y2930" s="17"/>
      <c r="Z2930" s="17"/>
    </row>
    <row r="2931">
      <c r="A2931" s="17"/>
      <c r="B2931" s="17"/>
      <c r="C2931" s="17"/>
      <c r="D2931" s="17"/>
      <c r="E2931" s="17"/>
      <c r="F2931" s="17"/>
      <c r="G2931" s="17"/>
      <c r="H2931" s="17"/>
      <c r="I2931" s="17"/>
      <c r="J2931" s="17"/>
      <c r="K2931" s="17"/>
      <c r="L2931" s="17"/>
      <c r="M2931" s="17"/>
      <c r="N2931" s="17"/>
      <c r="O2931" s="17"/>
      <c r="P2931" s="17"/>
      <c r="Q2931" s="17"/>
      <c r="R2931" s="17"/>
      <c r="S2931" s="17"/>
      <c r="T2931" s="17"/>
      <c r="U2931" s="17"/>
      <c r="V2931" s="17"/>
      <c r="W2931" s="17"/>
      <c r="X2931" s="17"/>
      <c r="Y2931" s="17"/>
      <c r="Z2931" s="17"/>
    </row>
    <row r="2932">
      <c r="A2932" s="17"/>
      <c r="B2932" s="17"/>
      <c r="C2932" s="17"/>
      <c r="D2932" s="17"/>
      <c r="E2932" s="17"/>
      <c r="F2932" s="17"/>
      <c r="G2932" s="17"/>
      <c r="H2932" s="17"/>
      <c r="I2932" s="17"/>
      <c r="J2932" s="17"/>
      <c r="K2932" s="17"/>
      <c r="L2932" s="17"/>
      <c r="M2932" s="17"/>
      <c r="N2932" s="17"/>
      <c r="O2932" s="17"/>
      <c r="P2932" s="17"/>
      <c r="Q2932" s="17"/>
      <c r="R2932" s="17"/>
      <c r="S2932" s="17"/>
      <c r="T2932" s="17"/>
      <c r="U2932" s="17"/>
      <c r="V2932" s="17"/>
      <c r="W2932" s="17"/>
      <c r="X2932" s="17"/>
      <c r="Y2932" s="17"/>
      <c r="Z2932" s="17"/>
    </row>
    <row r="2933">
      <c r="A2933" s="17"/>
      <c r="B2933" s="17"/>
      <c r="C2933" s="17"/>
      <c r="D2933" s="17"/>
      <c r="E2933" s="17"/>
      <c r="F2933" s="17"/>
      <c r="G2933" s="17"/>
      <c r="H2933" s="17"/>
      <c r="I2933" s="17"/>
      <c r="J2933" s="17"/>
      <c r="K2933" s="17"/>
      <c r="L2933" s="17"/>
      <c r="M2933" s="17"/>
      <c r="N2933" s="17"/>
      <c r="O2933" s="17"/>
      <c r="P2933" s="17"/>
      <c r="Q2933" s="17"/>
      <c r="R2933" s="17"/>
      <c r="S2933" s="17"/>
      <c r="T2933" s="17"/>
      <c r="U2933" s="17"/>
      <c r="V2933" s="17"/>
      <c r="W2933" s="17"/>
      <c r="X2933" s="17"/>
      <c r="Y2933" s="17"/>
      <c r="Z2933" s="17"/>
    </row>
    <row r="2934">
      <c r="A2934" s="17"/>
      <c r="B2934" s="17"/>
      <c r="C2934" s="17"/>
      <c r="D2934" s="17"/>
      <c r="E2934" s="17"/>
      <c r="F2934" s="17"/>
      <c r="G2934" s="17"/>
      <c r="H2934" s="17"/>
      <c r="I2934" s="17"/>
      <c r="J2934" s="17"/>
      <c r="K2934" s="17"/>
      <c r="L2934" s="17"/>
      <c r="M2934" s="17"/>
      <c r="N2934" s="17"/>
      <c r="O2934" s="17"/>
      <c r="P2934" s="17"/>
      <c r="Q2934" s="17"/>
      <c r="R2934" s="17"/>
      <c r="S2934" s="17"/>
      <c r="T2934" s="17"/>
      <c r="U2934" s="17"/>
      <c r="V2934" s="17"/>
      <c r="W2934" s="17"/>
      <c r="X2934" s="17"/>
      <c r="Y2934" s="17"/>
      <c r="Z2934" s="17"/>
    </row>
    <row r="2935">
      <c r="A2935" s="17"/>
      <c r="B2935" s="17"/>
      <c r="C2935" s="17"/>
      <c r="D2935" s="17"/>
      <c r="E2935" s="17"/>
      <c r="F2935" s="17"/>
      <c r="G2935" s="17"/>
      <c r="H2935" s="17"/>
      <c r="I2935" s="17"/>
      <c r="J2935" s="17"/>
      <c r="K2935" s="17"/>
      <c r="L2935" s="17"/>
      <c r="M2935" s="17"/>
      <c r="N2935" s="17"/>
      <c r="O2935" s="17"/>
      <c r="P2935" s="17"/>
      <c r="Q2935" s="17"/>
      <c r="R2935" s="17"/>
      <c r="S2935" s="17"/>
      <c r="T2935" s="17"/>
      <c r="U2935" s="17"/>
      <c r="V2935" s="17"/>
      <c r="W2935" s="17"/>
      <c r="X2935" s="17"/>
      <c r="Y2935" s="17"/>
      <c r="Z2935" s="17"/>
    </row>
    <row r="2936">
      <c r="A2936" s="17"/>
      <c r="B2936" s="17"/>
      <c r="C2936" s="17"/>
      <c r="D2936" s="17"/>
      <c r="E2936" s="17"/>
      <c r="F2936" s="17"/>
      <c r="G2936" s="17"/>
      <c r="H2936" s="17"/>
      <c r="I2936" s="17"/>
      <c r="J2936" s="17"/>
      <c r="K2936" s="17"/>
      <c r="L2936" s="17"/>
      <c r="M2936" s="17"/>
      <c r="N2936" s="17"/>
      <c r="O2936" s="17"/>
      <c r="P2936" s="17"/>
      <c r="Q2936" s="17"/>
      <c r="R2936" s="17"/>
      <c r="S2936" s="17"/>
      <c r="T2936" s="17"/>
      <c r="U2936" s="17"/>
      <c r="V2936" s="17"/>
      <c r="W2936" s="17"/>
      <c r="X2936" s="17"/>
      <c r="Y2936" s="17"/>
      <c r="Z2936" s="17"/>
    </row>
    <row r="2937">
      <c r="A2937" s="17"/>
      <c r="B2937" s="17"/>
      <c r="C2937" s="17"/>
      <c r="D2937" s="17"/>
      <c r="E2937" s="17"/>
      <c r="F2937" s="17"/>
      <c r="G2937" s="17"/>
      <c r="H2937" s="17"/>
      <c r="I2937" s="17"/>
      <c r="J2937" s="17"/>
      <c r="K2937" s="17"/>
      <c r="L2937" s="17"/>
      <c r="M2937" s="17"/>
      <c r="N2937" s="17"/>
      <c r="O2937" s="17"/>
      <c r="P2937" s="17"/>
      <c r="Q2937" s="17"/>
      <c r="R2937" s="17"/>
      <c r="S2937" s="17"/>
      <c r="T2937" s="17"/>
      <c r="U2937" s="17"/>
      <c r="V2937" s="17"/>
      <c r="W2937" s="17"/>
      <c r="X2937" s="17"/>
      <c r="Y2937" s="17"/>
      <c r="Z2937" s="17"/>
    </row>
    <row r="2938">
      <c r="A2938" s="17"/>
      <c r="B2938" s="17"/>
      <c r="C2938" s="17"/>
      <c r="D2938" s="17"/>
      <c r="E2938" s="17"/>
      <c r="F2938" s="17"/>
      <c r="G2938" s="17"/>
      <c r="H2938" s="17"/>
      <c r="I2938" s="17"/>
      <c r="J2938" s="17"/>
      <c r="K2938" s="17"/>
      <c r="L2938" s="17"/>
      <c r="M2938" s="17"/>
      <c r="N2938" s="17"/>
      <c r="O2938" s="17"/>
      <c r="P2938" s="17"/>
      <c r="Q2938" s="17"/>
      <c r="R2938" s="17"/>
      <c r="S2938" s="17"/>
      <c r="T2938" s="17"/>
      <c r="U2938" s="17"/>
      <c r="V2938" s="17"/>
      <c r="W2938" s="17"/>
      <c r="X2938" s="17"/>
      <c r="Y2938" s="17"/>
      <c r="Z2938" s="17"/>
    </row>
    <row r="2939">
      <c r="A2939" s="17"/>
      <c r="B2939" s="17"/>
      <c r="C2939" s="17"/>
      <c r="D2939" s="17"/>
      <c r="E2939" s="17"/>
      <c r="F2939" s="17"/>
      <c r="G2939" s="17"/>
      <c r="H2939" s="17"/>
      <c r="I2939" s="17"/>
      <c r="J2939" s="17"/>
      <c r="K2939" s="17"/>
      <c r="L2939" s="17"/>
      <c r="M2939" s="17"/>
      <c r="N2939" s="17"/>
      <c r="O2939" s="17"/>
      <c r="P2939" s="17"/>
      <c r="Q2939" s="17"/>
      <c r="R2939" s="17"/>
      <c r="S2939" s="17"/>
      <c r="T2939" s="17"/>
      <c r="U2939" s="17"/>
      <c r="V2939" s="17"/>
      <c r="W2939" s="17"/>
      <c r="X2939" s="17"/>
      <c r="Y2939" s="17"/>
      <c r="Z2939" s="17"/>
    </row>
    <row r="2940">
      <c r="A2940" s="17"/>
      <c r="B2940" s="17"/>
      <c r="C2940" s="17"/>
      <c r="D2940" s="17"/>
      <c r="E2940" s="17"/>
      <c r="F2940" s="17"/>
      <c r="G2940" s="17"/>
      <c r="H2940" s="17"/>
      <c r="I2940" s="17"/>
      <c r="J2940" s="17"/>
      <c r="K2940" s="17"/>
      <c r="L2940" s="17"/>
      <c r="M2940" s="17"/>
      <c r="N2940" s="17"/>
      <c r="O2940" s="17"/>
      <c r="P2940" s="17"/>
      <c r="Q2940" s="17"/>
      <c r="R2940" s="17"/>
      <c r="S2940" s="17"/>
      <c r="T2940" s="17"/>
      <c r="U2940" s="17"/>
      <c r="V2940" s="17"/>
      <c r="W2940" s="17"/>
      <c r="X2940" s="17"/>
      <c r="Y2940" s="17"/>
      <c r="Z2940" s="17"/>
    </row>
    <row r="2941">
      <c r="A2941" s="17"/>
      <c r="B2941" s="17"/>
      <c r="C2941" s="17"/>
      <c r="D2941" s="17"/>
      <c r="E2941" s="17"/>
      <c r="F2941" s="17"/>
      <c r="G2941" s="17"/>
      <c r="H2941" s="17"/>
      <c r="I2941" s="17"/>
      <c r="J2941" s="17"/>
      <c r="K2941" s="17"/>
      <c r="L2941" s="17"/>
      <c r="M2941" s="17"/>
      <c r="N2941" s="17"/>
      <c r="O2941" s="17"/>
      <c r="P2941" s="17"/>
      <c r="Q2941" s="17"/>
      <c r="R2941" s="17"/>
      <c r="S2941" s="17"/>
      <c r="T2941" s="17"/>
      <c r="U2941" s="17"/>
      <c r="V2941" s="17"/>
      <c r="W2941" s="17"/>
      <c r="X2941" s="17"/>
      <c r="Y2941" s="17"/>
      <c r="Z2941" s="17"/>
    </row>
    <row r="2942">
      <c r="A2942" s="17"/>
      <c r="B2942" s="17"/>
      <c r="C2942" s="17"/>
      <c r="D2942" s="17"/>
      <c r="E2942" s="17"/>
      <c r="F2942" s="17"/>
      <c r="G2942" s="17"/>
      <c r="H2942" s="17"/>
      <c r="I2942" s="17"/>
      <c r="J2942" s="17"/>
      <c r="K2942" s="17"/>
      <c r="L2942" s="17"/>
      <c r="M2942" s="17"/>
      <c r="N2942" s="17"/>
      <c r="O2942" s="17"/>
      <c r="P2942" s="17"/>
      <c r="Q2942" s="17"/>
      <c r="R2942" s="17"/>
      <c r="S2942" s="17"/>
      <c r="T2942" s="17"/>
      <c r="U2942" s="17"/>
      <c r="V2942" s="17"/>
      <c r="W2942" s="17"/>
      <c r="X2942" s="17"/>
      <c r="Y2942" s="17"/>
      <c r="Z2942" s="17"/>
    </row>
    <row r="2943">
      <c r="A2943" s="17"/>
      <c r="B2943" s="17"/>
      <c r="C2943" s="17"/>
      <c r="D2943" s="17"/>
      <c r="E2943" s="17"/>
      <c r="F2943" s="17"/>
      <c r="G2943" s="17"/>
      <c r="H2943" s="17"/>
      <c r="I2943" s="17"/>
      <c r="J2943" s="17"/>
      <c r="K2943" s="17"/>
      <c r="L2943" s="17"/>
      <c r="M2943" s="17"/>
      <c r="N2943" s="17"/>
      <c r="O2943" s="17"/>
      <c r="P2943" s="17"/>
      <c r="Q2943" s="17"/>
      <c r="R2943" s="17"/>
      <c r="S2943" s="17"/>
      <c r="T2943" s="17"/>
      <c r="U2943" s="17"/>
      <c r="V2943" s="17"/>
      <c r="W2943" s="17"/>
      <c r="X2943" s="17"/>
      <c r="Y2943" s="17"/>
      <c r="Z2943" s="17"/>
    </row>
    <row r="2944">
      <c r="A2944" s="17"/>
      <c r="B2944" s="17"/>
      <c r="C2944" s="17"/>
      <c r="D2944" s="17"/>
      <c r="E2944" s="17"/>
      <c r="F2944" s="17"/>
      <c r="G2944" s="17"/>
      <c r="H2944" s="17"/>
      <c r="I2944" s="17"/>
      <c r="J2944" s="17"/>
      <c r="K2944" s="17"/>
      <c r="L2944" s="17"/>
      <c r="M2944" s="17"/>
      <c r="N2944" s="17"/>
      <c r="O2944" s="17"/>
      <c r="P2944" s="17"/>
      <c r="Q2944" s="17"/>
      <c r="R2944" s="17"/>
      <c r="S2944" s="17"/>
      <c r="T2944" s="17"/>
      <c r="U2944" s="17"/>
      <c r="V2944" s="17"/>
      <c r="W2944" s="17"/>
      <c r="X2944" s="17"/>
      <c r="Y2944" s="17"/>
      <c r="Z2944" s="17"/>
    </row>
    <row r="2945">
      <c r="A2945" s="17"/>
      <c r="B2945" s="17"/>
      <c r="C2945" s="17"/>
      <c r="D2945" s="17"/>
      <c r="E2945" s="17"/>
      <c r="F2945" s="17"/>
      <c r="G2945" s="17"/>
      <c r="H2945" s="17"/>
      <c r="I2945" s="17"/>
      <c r="J2945" s="17"/>
      <c r="K2945" s="17"/>
      <c r="L2945" s="17"/>
      <c r="M2945" s="17"/>
      <c r="N2945" s="17"/>
      <c r="O2945" s="17"/>
      <c r="P2945" s="17"/>
      <c r="Q2945" s="17"/>
      <c r="R2945" s="17"/>
      <c r="S2945" s="17"/>
      <c r="T2945" s="17"/>
      <c r="U2945" s="17"/>
      <c r="V2945" s="17"/>
      <c r="W2945" s="17"/>
      <c r="X2945" s="17"/>
      <c r="Y2945" s="17"/>
      <c r="Z2945" s="17"/>
    </row>
    <row r="2946">
      <c r="A2946" s="17"/>
      <c r="B2946" s="17"/>
      <c r="C2946" s="17"/>
      <c r="D2946" s="17"/>
      <c r="E2946" s="17"/>
      <c r="F2946" s="17"/>
      <c r="G2946" s="17"/>
      <c r="H2946" s="17"/>
      <c r="I2946" s="17"/>
      <c r="J2946" s="17"/>
      <c r="K2946" s="17"/>
      <c r="L2946" s="17"/>
      <c r="M2946" s="17"/>
      <c r="N2946" s="17"/>
      <c r="O2946" s="17"/>
      <c r="P2946" s="17"/>
      <c r="Q2946" s="17"/>
      <c r="R2946" s="17"/>
      <c r="S2946" s="17"/>
      <c r="T2946" s="17"/>
      <c r="U2946" s="17"/>
      <c r="V2946" s="17"/>
      <c r="W2946" s="17"/>
      <c r="X2946" s="17"/>
      <c r="Y2946" s="17"/>
      <c r="Z2946" s="17"/>
    </row>
    <row r="2947">
      <c r="A2947" s="17"/>
      <c r="B2947" s="17"/>
      <c r="C2947" s="17"/>
      <c r="D2947" s="17"/>
      <c r="E2947" s="17"/>
      <c r="F2947" s="17"/>
      <c r="G2947" s="17"/>
      <c r="H2947" s="17"/>
      <c r="I2947" s="17"/>
      <c r="J2947" s="17"/>
      <c r="K2947" s="17"/>
      <c r="L2947" s="17"/>
      <c r="M2947" s="17"/>
      <c r="N2947" s="17"/>
      <c r="O2947" s="17"/>
      <c r="P2947" s="17"/>
      <c r="Q2947" s="17"/>
      <c r="R2947" s="17"/>
      <c r="S2947" s="17"/>
      <c r="T2947" s="17"/>
      <c r="U2947" s="17"/>
      <c r="V2947" s="17"/>
      <c r="W2947" s="17"/>
      <c r="X2947" s="17"/>
      <c r="Y2947" s="17"/>
      <c r="Z2947" s="17"/>
    </row>
    <row r="2948">
      <c r="A2948" s="17"/>
      <c r="B2948" s="17"/>
      <c r="C2948" s="17"/>
      <c r="D2948" s="17"/>
      <c r="E2948" s="17"/>
      <c r="F2948" s="17"/>
      <c r="G2948" s="17"/>
      <c r="H2948" s="17"/>
      <c r="I2948" s="17"/>
      <c r="J2948" s="17"/>
      <c r="K2948" s="17"/>
      <c r="L2948" s="17"/>
      <c r="M2948" s="17"/>
      <c r="N2948" s="17"/>
      <c r="O2948" s="17"/>
      <c r="P2948" s="17"/>
      <c r="Q2948" s="17"/>
      <c r="R2948" s="17"/>
      <c r="S2948" s="17"/>
      <c r="T2948" s="17"/>
      <c r="U2948" s="17"/>
      <c r="V2948" s="17"/>
      <c r="W2948" s="17"/>
      <c r="X2948" s="17"/>
      <c r="Y2948" s="17"/>
      <c r="Z2948" s="17"/>
    </row>
    <row r="2949">
      <c r="A2949" s="17"/>
      <c r="B2949" s="17"/>
      <c r="C2949" s="17"/>
      <c r="D2949" s="17"/>
      <c r="E2949" s="17"/>
      <c r="F2949" s="17"/>
      <c r="G2949" s="17"/>
      <c r="H2949" s="17"/>
      <c r="I2949" s="17"/>
      <c r="J2949" s="17"/>
      <c r="K2949" s="17"/>
      <c r="L2949" s="17"/>
      <c r="M2949" s="17"/>
      <c r="N2949" s="17"/>
      <c r="O2949" s="17"/>
      <c r="P2949" s="17"/>
      <c r="Q2949" s="17"/>
      <c r="R2949" s="17"/>
      <c r="S2949" s="17"/>
      <c r="T2949" s="17"/>
      <c r="U2949" s="17"/>
      <c r="V2949" s="17"/>
      <c r="W2949" s="17"/>
      <c r="X2949" s="17"/>
      <c r="Y2949" s="17"/>
      <c r="Z2949" s="17"/>
    </row>
    <row r="2950">
      <c r="A2950" s="17"/>
      <c r="B2950" s="17"/>
      <c r="C2950" s="17"/>
      <c r="D2950" s="17"/>
      <c r="E2950" s="17"/>
      <c r="F2950" s="17"/>
      <c r="G2950" s="17"/>
      <c r="H2950" s="17"/>
      <c r="I2950" s="17"/>
      <c r="J2950" s="17"/>
      <c r="K2950" s="17"/>
      <c r="L2950" s="17"/>
      <c r="M2950" s="17"/>
      <c r="N2950" s="17"/>
      <c r="O2950" s="17"/>
      <c r="P2950" s="17"/>
      <c r="Q2950" s="17"/>
      <c r="R2950" s="17"/>
      <c r="S2950" s="17"/>
      <c r="T2950" s="17"/>
      <c r="U2950" s="17"/>
      <c r="V2950" s="17"/>
      <c r="W2950" s="17"/>
      <c r="X2950" s="17"/>
      <c r="Y2950" s="17"/>
      <c r="Z2950" s="17"/>
    </row>
    <row r="2951">
      <c r="A2951" s="17"/>
      <c r="B2951" s="17"/>
      <c r="C2951" s="17"/>
      <c r="D2951" s="17"/>
      <c r="E2951" s="17"/>
      <c r="F2951" s="17"/>
      <c r="G2951" s="17"/>
      <c r="H2951" s="17"/>
      <c r="I2951" s="17"/>
      <c r="J2951" s="17"/>
      <c r="K2951" s="17"/>
      <c r="L2951" s="17"/>
      <c r="M2951" s="17"/>
      <c r="N2951" s="17"/>
      <c r="O2951" s="17"/>
      <c r="P2951" s="17"/>
      <c r="Q2951" s="17"/>
      <c r="R2951" s="17"/>
      <c r="S2951" s="17"/>
      <c r="T2951" s="17"/>
      <c r="U2951" s="17"/>
      <c r="V2951" s="17"/>
      <c r="W2951" s="17"/>
      <c r="X2951" s="17"/>
      <c r="Y2951" s="17"/>
      <c r="Z2951" s="17"/>
    </row>
    <row r="2952">
      <c r="A2952" s="17"/>
      <c r="B2952" s="17"/>
      <c r="C2952" s="17"/>
      <c r="D2952" s="17"/>
      <c r="E2952" s="17"/>
      <c r="F2952" s="17"/>
      <c r="G2952" s="17"/>
      <c r="H2952" s="17"/>
      <c r="I2952" s="17"/>
      <c r="J2952" s="17"/>
      <c r="K2952" s="17"/>
      <c r="L2952" s="17"/>
      <c r="M2952" s="17"/>
      <c r="N2952" s="17"/>
      <c r="O2952" s="17"/>
      <c r="P2952" s="17"/>
      <c r="Q2952" s="17"/>
      <c r="R2952" s="17"/>
      <c r="S2952" s="17"/>
      <c r="T2952" s="17"/>
      <c r="U2952" s="17"/>
      <c r="V2952" s="17"/>
      <c r="W2952" s="17"/>
      <c r="X2952" s="17"/>
      <c r="Y2952" s="17"/>
      <c r="Z2952" s="17"/>
    </row>
    <row r="2953">
      <c r="A2953" s="17"/>
      <c r="B2953" s="17"/>
      <c r="C2953" s="17"/>
      <c r="D2953" s="17"/>
      <c r="E2953" s="17"/>
      <c r="F2953" s="17"/>
      <c r="G2953" s="17"/>
      <c r="H2953" s="17"/>
      <c r="I2953" s="17"/>
      <c r="J2953" s="17"/>
      <c r="K2953" s="17"/>
      <c r="L2953" s="17"/>
      <c r="M2953" s="17"/>
      <c r="N2953" s="17"/>
      <c r="O2953" s="17"/>
      <c r="P2953" s="17"/>
      <c r="Q2953" s="17"/>
      <c r="R2953" s="17"/>
      <c r="S2953" s="17"/>
      <c r="T2953" s="17"/>
      <c r="U2953" s="17"/>
      <c r="V2953" s="17"/>
      <c r="W2953" s="17"/>
      <c r="X2953" s="17"/>
      <c r="Y2953" s="17"/>
      <c r="Z2953" s="17"/>
    </row>
    <row r="2954">
      <c r="A2954" s="17"/>
      <c r="B2954" s="17"/>
      <c r="C2954" s="17"/>
      <c r="D2954" s="17"/>
      <c r="E2954" s="17"/>
      <c r="F2954" s="17"/>
      <c r="G2954" s="17"/>
      <c r="H2954" s="17"/>
      <c r="I2954" s="17"/>
      <c r="J2954" s="17"/>
      <c r="K2954" s="17"/>
      <c r="L2954" s="17"/>
      <c r="M2954" s="17"/>
      <c r="N2954" s="17"/>
      <c r="O2954" s="17"/>
      <c r="P2954" s="17"/>
      <c r="Q2954" s="17"/>
      <c r="R2954" s="17"/>
      <c r="S2954" s="17"/>
      <c r="T2954" s="17"/>
      <c r="U2954" s="17"/>
      <c r="V2954" s="17"/>
      <c r="W2954" s="17"/>
      <c r="X2954" s="17"/>
      <c r="Y2954" s="17"/>
      <c r="Z2954" s="17"/>
    </row>
    <row r="2955">
      <c r="A2955" s="17"/>
      <c r="B2955" s="17"/>
      <c r="C2955" s="17"/>
      <c r="D2955" s="17"/>
      <c r="E2955" s="17"/>
      <c r="F2955" s="17"/>
      <c r="G2955" s="17"/>
      <c r="H2955" s="17"/>
      <c r="I2955" s="17"/>
      <c r="J2955" s="17"/>
      <c r="K2955" s="17"/>
      <c r="L2955" s="17"/>
      <c r="M2955" s="17"/>
      <c r="N2955" s="17"/>
      <c r="O2955" s="17"/>
      <c r="P2955" s="17"/>
      <c r="Q2955" s="17"/>
      <c r="R2955" s="17"/>
      <c r="S2955" s="17"/>
      <c r="T2955" s="17"/>
      <c r="U2955" s="17"/>
      <c r="V2955" s="17"/>
      <c r="W2955" s="17"/>
      <c r="X2955" s="17"/>
      <c r="Y2955" s="17"/>
      <c r="Z2955" s="17"/>
    </row>
    <row r="2956">
      <c r="A2956" s="17"/>
      <c r="B2956" s="17"/>
      <c r="C2956" s="17"/>
      <c r="D2956" s="17"/>
      <c r="E2956" s="17"/>
      <c r="F2956" s="17"/>
      <c r="G2956" s="17"/>
      <c r="H2956" s="17"/>
      <c r="I2956" s="17"/>
      <c r="J2956" s="17"/>
      <c r="K2956" s="17"/>
      <c r="L2956" s="17"/>
      <c r="M2956" s="17"/>
      <c r="N2956" s="17"/>
      <c r="O2956" s="17"/>
      <c r="P2956" s="17"/>
      <c r="Q2956" s="17"/>
      <c r="R2956" s="17"/>
      <c r="S2956" s="17"/>
      <c r="T2956" s="17"/>
      <c r="U2956" s="17"/>
      <c r="V2956" s="17"/>
      <c r="W2956" s="17"/>
      <c r="X2956" s="17"/>
      <c r="Y2956" s="17"/>
      <c r="Z2956" s="17"/>
    </row>
    <row r="2957">
      <c r="A2957" s="17"/>
      <c r="B2957" s="17"/>
      <c r="C2957" s="17"/>
      <c r="D2957" s="17"/>
      <c r="E2957" s="17"/>
      <c r="F2957" s="17"/>
      <c r="G2957" s="17"/>
      <c r="H2957" s="17"/>
      <c r="I2957" s="17"/>
      <c r="J2957" s="17"/>
      <c r="K2957" s="17"/>
      <c r="L2957" s="17"/>
      <c r="M2957" s="17"/>
      <c r="N2957" s="17"/>
      <c r="O2957" s="17"/>
      <c r="P2957" s="17"/>
      <c r="Q2957" s="17"/>
      <c r="R2957" s="17"/>
      <c r="S2957" s="17"/>
      <c r="T2957" s="17"/>
      <c r="U2957" s="17"/>
      <c r="V2957" s="17"/>
      <c r="W2957" s="17"/>
      <c r="X2957" s="17"/>
      <c r="Y2957" s="17"/>
      <c r="Z2957" s="17"/>
    </row>
    <row r="2958">
      <c r="A2958" s="17"/>
      <c r="B2958" s="17"/>
      <c r="C2958" s="17"/>
      <c r="D2958" s="17"/>
      <c r="E2958" s="17"/>
      <c r="F2958" s="17"/>
      <c r="G2958" s="17"/>
      <c r="H2958" s="17"/>
      <c r="I2958" s="17"/>
      <c r="J2958" s="17"/>
      <c r="K2958" s="17"/>
      <c r="L2958" s="17"/>
      <c r="M2958" s="17"/>
      <c r="N2958" s="17"/>
      <c r="O2958" s="17"/>
      <c r="P2958" s="17"/>
      <c r="Q2958" s="17"/>
      <c r="R2958" s="17"/>
      <c r="S2958" s="17"/>
      <c r="T2958" s="17"/>
      <c r="U2958" s="17"/>
      <c r="V2958" s="17"/>
      <c r="W2958" s="17"/>
      <c r="X2958" s="17"/>
      <c r="Y2958" s="17"/>
      <c r="Z2958" s="17"/>
    </row>
    <row r="2959">
      <c r="A2959" s="17"/>
      <c r="B2959" s="17"/>
      <c r="C2959" s="17"/>
      <c r="D2959" s="17"/>
      <c r="E2959" s="17"/>
      <c r="F2959" s="17"/>
      <c r="G2959" s="17"/>
      <c r="H2959" s="17"/>
      <c r="I2959" s="17"/>
      <c r="J2959" s="17"/>
      <c r="K2959" s="17"/>
      <c r="L2959" s="17"/>
      <c r="M2959" s="17"/>
      <c r="N2959" s="17"/>
      <c r="O2959" s="17"/>
      <c r="P2959" s="17"/>
      <c r="Q2959" s="17"/>
      <c r="R2959" s="17"/>
      <c r="S2959" s="17"/>
      <c r="T2959" s="17"/>
      <c r="U2959" s="17"/>
      <c r="V2959" s="17"/>
      <c r="W2959" s="17"/>
      <c r="X2959" s="17"/>
      <c r="Y2959" s="17"/>
      <c r="Z2959" s="17"/>
    </row>
    <row r="2960">
      <c r="A2960" s="17"/>
      <c r="B2960" s="17"/>
      <c r="C2960" s="17"/>
      <c r="D2960" s="17"/>
      <c r="E2960" s="17"/>
      <c r="F2960" s="17"/>
      <c r="G2960" s="17"/>
      <c r="H2960" s="17"/>
      <c r="I2960" s="17"/>
      <c r="J2960" s="17"/>
      <c r="K2960" s="17"/>
      <c r="L2960" s="17"/>
      <c r="M2960" s="17"/>
      <c r="N2960" s="17"/>
      <c r="O2960" s="17"/>
      <c r="P2960" s="17"/>
      <c r="Q2960" s="17"/>
      <c r="R2960" s="17"/>
      <c r="S2960" s="17"/>
      <c r="T2960" s="17"/>
      <c r="U2960" s="17"/>
      <c r="V2960" s="17"/>
      <c r="W2960" s="17"/>
      <c r="X2960" s="17"/>
      <c r="Y2960" s="17"/>
      <c r="Z2960" s="17"/>
    </row>
    <row r="2961">
      <c r="A2961" s="17"/>
      <c r="B2961" s="17"/>
      <c r="C2961" s="17"/>
      <c r="D2961" s="17"/>
      <c r="E2961" s="17"/>
      <c r="F2961" s="17"/>
      <c r="G2961" s="17"/>
      <c r="H2961" s="17"/>
      <c r="I2961" s="17"/>
      <c r="J2961" s="17"/>
      <c r="K2961" s="17"/>
      <c r="L2961" s="17"/>
      <c r="M2961" s="17"/>
      <c r="N2961" s="17"/>
      <c r="O2961" s="17"/>
      <c r="P2961" s="17"/>
      <c r="Q2961" s="17"/>
      <c r="R2961" s="17"/>
      <c r="S2961" s="17"/>
      <c r="T2961" s="17"/>
      <c r="U2961" s="17"/>
      <c r="V2961" s="17"/>
      <c r="W2961" s="17"/>
      <c r="X2961" s="17"/>
      <c r="Y2961" s="17"/>
      <c r="Z2961" s="17"/>
    </row>
    <row r="2962">
      <c r="A2962" s="17"/>
      <c r="B2962" s="17"/>
      <c r="C2962" s="17"/>
      <c r="D2962" s="17"/>
      <c r="E2962" s="17"/>
      <c r="F2962" s="17"/>
      <c r="G2962" s="17"/>
      <c r="H2962" s="17"/>
      <c r="I2962" s="17"/>
      <c r="J2962" s="17"/>
      <c r="K2962" s="17"/>
      <c r="L2962" s="17"/>
      <c r="M2962" s="17"/>
      <c r="N2962" s="17"/>
      <c r="O2962" s="17"/>
      <c r="P2962" s="17"/>
      <c r="Q2962" s="17"/>
      <c r="R2962" s="17"/>
      <c r="S2962" s="17"/>
      <c r="T2962" s="17"/>
      <c r="U2962" s="17"/>
      <c r="V2962" s="17"/>
      <c r="W2962" s="17"/>
      <c r="X2962" s="17"/>
      <c r="Y2962" s="17"/>
      <c r="Z2962" s="17"/>
    </row>
    <row r="2963">
      <c r="A2963" s="17"/>
      <c r="B2963" s="17"/>
      <c r="C2963" s="17"/>
      <c r="D2963" s="17"/>
      <c r="E2963" s="17"/>
      <c r="F2963" s="17"/>
      <c r="G2963" s="17"/>
      <c r="H2963" s="17"/>
      <c r="I2963" s="17"/>
      <c r="J2963" s="17"/>
      <c r="K2963" s="17"/>
      <c r="L2963" s="17"/>
      <c r="M2963" s="17"/>
      <c r="N2963" s="17"/>
      <c r="O2963" s="17"/>
      <c r="P2963" s="17"/>
      <c r="Q2963" s="17"/>
      <c r="R2963" s="17"/>
      <c r="S2963" s="17"/>
      <c r="T2963" s="17"/>
      <c r="U2963" s="17"/>
      <c r="V2963" s="17"/>
      <c r="W2963" s="17"/>
      <c r="X2963" s="17"/>
      <c r="Y2963" s="17"/>
      <c r="Z2963" s="17"/>
    </row>
    <row r="2964">
      <c r="A2964" s="17"/>
      <c r="B2964" s="17"/>
      <c r="C2964" s="17"/>
      <c r="D2964" s="17"/>
      <c r="E2964" s="17"/>
      <c r="F2964" s="17"/>
      <c r="G2964" s="17"/>
      <c r="H2964" s="17"/>
      <c r="I2964" s="17"/>
      <c r="J2964" s="17"/>
      <c r="K2964" s="17"/>
      <c r="L2964" s="17"/>
      <c r="M2964" s="17"/>
      <c r="N2964" s="17"/>
      <c r="O2964" s="17"/>
      <c r="P2964" s="17"/>
      <c r="Q2964" s="17"/>
      <c r="R2964" s="17"/>
      <c r="S2964" s="17"/>
      <c r="T2964" s="17"/>
      <c r="U2964" s="17"/>
      <c r="V2964" s="17"/>
      <c r="W2964" s="17"/>
      <c r="X2964" s="17"/>
      <c r="Y2964" s="17"/>
      <c r="Z2964" s="17"/>
    </row>
    <row r="2965">
      <c r="A2965" s="17"/>
      <c r="B2965" s="17"/>
      <c r="C2965" s="17"/>
      <c r="D2965" s="17"/>
      <c r="E2965" s="17"/>
      <c r="F2965" s="17"/>
      <c r="G2965" s="17"/>
      <c r="H2965" s="17"/>
      <c r="I2965" s="17"/>
      <c r="J2965" s="17"/>
      <c r="K2965" s="17"/>
      <c r="L2965" s="17"/>
      <c r="M2965" s="17"/>
      <c r="N2965" s="17"/>
      <c r="O2965" s="17"/>
      <c r="P2965" s="17"/>
      <c r="Q2965" s="17"/>
      <c r="R2965" s="17"/>
      <c r="S2965" s="17"/>
      <c r="T2965" s="17"/>
      <c r="U2965" s="17"/>
      <c r="V2965" s="17"/>
      <c r="W2965" s="17"/>
      <c r="X2965" s="17"/>
      <c r="Y2965" s="17"/>
      <c r="Z2965" s="17"/>
    </row>
    <row r="2966">
      <c r="A2966" s="17"/>
      <c r="B2966" s="17"/>
      <c r="C2966" s="17"/>
      <c r="D2966" s="17"/>
      <c r="E2966" s="17"/>
      <c r="F2966" s="17"/>
      <c r="G2966" s="17"/>
      <c r="H2966" s="17"/>
      <c r="I2966" s="17"/>
      <c r="J2966" s="17"/>
      <c r="K2966" s="17"/>
      <c r="L2966" s="17"/>
      <c r="M2966" s="17"/>
      <c r="N2966" s="17"/>
      <c r="O2966" s="17"/>
      <c r="P2966" s="17"/>
      <c r="Q2966" s="17"/>
      <c r="R2966" s="17"/>
      <c r="S2966" s="17"/>
      <c r="T2966" s="17"/>
      <c r="U2966" s="17"/>
      <c r="V2966" s="17"/>
      <c r="W2966" s="17"/>
      <c r="X2966" s="17"/>
      <c r="Y2966" s="17"/>
      <c r="Z2966" s="17"/>
    </row>
    <row r="2967">
      <c r="A2967" s="17"/>
      <c r="B2967" s="17"/>
      <c r="C2967" s="17"/>
      <c r="D2967" s="17"/>
      <c r="E2967" s="17"/>
      <c r="F2967" s="17"/>
      <c r="G2967" s="17"/>
      <c r="H2967" s="17"/>
      <c r="I2967" s="17"/>
      <c r="J2967" s="17"/>
      <c r="K2967" s="17"/>
      <c r="L2967" s="17"/>
      <c r="M2967" s="17"/>
      <c r="N2967" s="17"/>
      <c r="O2967" s="17"/>
      <c r="P2967" s="17"/>
      <c r="Q2967" s="17"/>
      <c r="R2967" s="17"/>
      <c r="S2967" s="17"/>
      <c r="T2967" s="17"/>
      <c r="U2967" s="17"/>
      <c r="V2967" s="17"/>
      <c r="W2967" s="17"/>
      <c r="X2967" s="17"/>
      <c r="Y2967" s="17"/>
      <c r="Z2967" s="17"/>
    </row>
    <row r="2968">
      <c r="A2968" s="17"/>
      <c r="B2968" s="17"/>
      <c r="C2968" s="17"/>
      <c r="D2968" s="17"/>
      <c r="E2968" s="17"/>
      <c r="F2968" s="17"/>
      <c r="G2968" s="17"/>
      <c r="H2968" s="17"/>
      <c r="I2968" s="17"/>
      <c r="J2968" s="17"/>
      <c r="K2968" s="17"/>
      <c r="L2968" s="17"/>
      <c r="M2968" s="17"/>
      <c r="N2968" s="17"/>
      <c r="O2968" s="17"/>
      <c r="P2968" s="17"/>
      <c r="Q2968" s="17"/>
      <c r="R2968" s="17"/>
      <c r="S2968" s="17"/>
      <c r="T2968" s="17"/>
      <c r="U2968" s="17"/>
      <c r="V2968" s="17"/>
      <c r="W2968" s="17"/>
      <c r="X2968" s="17"/>
      <c r="Y2968" s="17"/>
      <c r="Z2968" s="17"/>
    </row>
    <row r="2969">
      <c r="A2969" s="17"/>
      <c r="B2969" s="17"/>
      <c r="C2969" s="17"/>
      <c r="D2969" s="17"/>
      <c r="E2969" s="17"/>
      <c r="F2969" s="17"/>
      <c r="G2969" s="17"/>
      <c r="H2969" s="17"/>
      <c r="I2969" s="17"/>
      <c r="J2969" s="17"/>
      <c r="K2969" s="17"/>
      <c r="L2969" s="17"/>
      <c r="M2969" s="17"/>
      <c r="N2969" s="17"/>
      <c r="O2969" s="17"/>
      <c r="P2969" s="17"/>
      <c r="Q2969" s="17"/>
      <c r="R2969" s="17"/>
      <c r="S2969" s="17"/>
      <c r="T2969" s="17"/>
      <c r="U2969" s="17"/>
      <c r="V2969" s="17"/>
      <c r="W2969" s="17"/>
      <c r="X2969" s="17"/>
      <c r="Y2969" s="17"/>
      <c r="Z2969" s="17"/>
    </row>
    <row r="2970">
      <c r="A2970" s="17"/>
      <c r="B2970" s="17"/>
      <c r="C2970" s="17"/>
      <c r="D2970" s="17"/>
      <c r="E2970" s="17"/>
      <c r="F2970" s="17"/>
      <c r="G2970" s="17"/>
      <c r="H2970" s="17"/>
      <c r="I2970" s="17"/>
      <c r="J2970" s="17"/>
      <c r="K2970" s="17"/>
      <c r="L2970" s="17"/>
      <c r="M2970" s="17"/>
      <c r="N2970" s="17"/>
      <c r="O2970" s="17"/>
      <c r="P2970" s="17"/>
      <c r="Q2970" s="17"/>
      <c r="R2970" s="17"/>
      <c r="S2970" s="17"/>
      <c r="T2970" s="17"/>
      <c r="U2970" s="17"/>
      <c r="V2970" s="17"/>
      <c r="W2970" s="17"/>
      <c r="X2970" s="17"/>
      <c r="Y2970" s="17"/>
      <c r="Z2970" s="17"/>
    </row>
    <row r="2971">
      <c r="A2971" s="17"/>
      <c r="B2971" s="17"/>
      <c r="C2971" s="17"/>
      <c r="D2971" s="17"/>
      <c r="E2971" s="17"/>
      <c r="F2971" s="17"/>
      <c r="G2971" s="17"/>
      <c r="H2971" s="17"/>
      <c r="I2971" s="17"/>
      <c r="J2971" s="17"/>
      <c r="K2971" s="17"/>
      <c r="L2971" s="17"/>
      <c r="M2971" s="17"/>
      <c r="N2971" s="17"/>
      <c r="O2971" s="17"/>
      <c r="P2971" s="17"/>
      <c r="Q2971" s="17"/>
      <c r="R2971" s="17"/>
      <c r="S2971" s="17"/>
      <c r="T2971" s="17"/>
      <c r="U2971" s="17"/>
      <c r="V2971" s="17"/>
      <c r="W2971" s="17"/>
      <c r="X2971" s="17"/>
      <c r="Y2971" s="17"/>
      <c r="Z2971" s="17"/>
    </row>
    <row r="2972">
      <c r="A2972" s="17"/>
      <c r="B2972" s="17"/>
      <c r="C2972" s="17"/>
      <c r="D2972" s="17"/>
      <c r="E2972" s="17"/>
      <c r="F2972" s="17"/>
      <c r="G2972" s="17"/>
      <c r="H2972" s="17"/>
      <c r="I2972" s="17"/>
      <c r="J2972" s="17"/>
      <c r="K2972" s="17"/>
      <c r="L2972" s="17"/>
      <c r="M2972" s="17"/>
      <c r="N2972" s="17"/>
      <c r="O2972" s="17"/>
      <c r="P2972" s="17"/>
      <c r="Q2972" s="17"/>
      <c r="R2972" s="17"/>
      <c r="S2972" s="17"/>
      <c r="T2972" s="17"/>
      <c r="U2972" s="17"/>
      <c r="V2972" s="17"/>
      <c r="W2972" s="17"/>
      <c r="X2972" s="17"/>
      <c r="Y2972" s="17"/>
      <c r="Z2972" s="17"/>
    </row>
    <row r="2973">
      <c r="A2973" s="17"/>
      <c r="B2973" s="17"/>
      <c r="C2973" s="17"/>
      <c r="D2973" s="17"/>
      <c r="E2973" s="17"/>
      <c r="F2973" s="17"/>
      <c r="G2973" s="17"/>
      <c r="H2973" s="17"/>
      <c r="I2973" s="17"/>
      <c r="J2973" s="17"/>
      <c r="K2973" s="17"/>
      <c r="L2973" s="17"/>
      <c r="M2973" s="17"/>
      <c r="N2973" s="17"/>
      <c r="O2973" s="17"/>
      <c r="P2973" s="17"/>
      <c r="Q2973" s="17"/>
      <c r="R2973" s="17"/>
      <c r="S2973" s="17"/>
      <c r="T2973" s="17"/>
      <c r="U2973" s="17"/>
      <c r="V2973" s="17"/>
      <c r="W2973" s="17"/>
      <c r="X2973" s="17"/>
      <c r="Y2973" s="17"/>
      <c r="Z2973" s="17"/>
    </row>
    <row r="2974">
      <c r="A2974" s="17"/>
      <c r="B2974" s="17"/>
      <c r="C2974" s="17"/>
      <c r="D2974" s="17"/>
      <c r="E2974" s="17"/>
      <c r="F2974" s="17"/>
      <c r="G2974" s="17"/>
      <c r="H2974" s="17"/>
      <c r="I2974" s="17"/>
      <c r="J2974" s="17"/>
      <c r="K2974" s="17"/>
      <c r="L2974" s="17"/>
      <c r="M2974" s="17"/>
      <c r="N2974" s="17"/>
      <c r="O2974" s="17"/>
      <c r="P2974" s="17"/>
      <c r="Q2974" s="17"/>
      <c r="R2974" s="17"/>
      <c r="S2974" s="17"/>
      <c r="T2974" s="17"/>
      <c r="U2974" s="17"/>
      <c r="V2974" s="17"/>
      <c r="W2974" s="17"/>
      <c r="X2974" s="17"/>
      <c r="Y2974" s="17"/>
      <c r="Z2974" s="17"/>
    </row>
    <row r="2975">
      <c r="A2975" s="17"/>
      <c r="B2975" s="17"/>
      <c r="C2975" s="17"/>
      <c r="D2975" s="17"/>
      <c r="E2975" s="17"/>
      <c r="F2975" s="17"/>
      <c r="G2975" s="17"/>
      <c r="H2975" s="17"/>
      <c r="I2975" s="17"/>
      <c r="J2975" s="17"/>
      <c r="K2975" s="17"/>
      <c r="L2975" s="17"/>
      <c r="M2975" s="17"/>
      <c r="N2975" s="17"/>
      <c r="O2975" s="17"/>
      <c r="P2975" s="17"/>
      <c r="Q2975" s="17"/>
      <c r="R2975" s="17"/>
      <c r="S2975" s="17"/>
      <c r="T2975" s="17"/>
      <c r="U2975" s="17"/>
      <c r="V2975" s="17"/>
      <c r="W2975" s="17"/>
      <c r="X2975" s="17"/>
      <c r="Y2975" s="17"/>
      <c r="Z2975" s="17"/>
    </row>
    <row r="2976">
      <c r="A2976" s="17"/>
      <c r="B2976" s="17"/>
      <c r="C2976" s="17"/>
      <c r="D2976" s="17"/>
      <c r="E2976" s="17"/>
      <c r="F2976" s="17"/>
      <c r="G2976" s="17"/>
      <c r="H2976" s="17"/>
      <c r="I2976" s="17"/>
      <c r="J2976" s="17"/>
      <c r="K2976" s="17"/>
      <c r="L2976" s="17"/>
      <c r="M2976" s="17"/>
      <c r="N2976" s="17"/>
      <c r="O2976" s="17"/>
      <c r="P2976" s="17"/>
      <c r="Q2976" s="17"/>
      <c r="R2976" s="17"/>
      <c r="S2976" s="17"/>
      <c r="T2976" s="17"/>
      <c r="U2976" s="17"/>
      <c r="V2976" s="17"/>
      <c r="W2976" s="17"/>
      <c r="X2976" s="17"/>
      <c r="Y2976" s="17"/>
      <c r="Z2976" s="17"/>
    </row>
    <row r="2977">
      <c r="A2977" s="17"/>
      <c r="B2977" s="17"/>
      <c r="C2977" s="17"/>
      <c r="D2977" s="17"/>
      <c r="E2977" s="17"/>
      <c r="F2977" s="17"/>
      <c r="G2977" s="17"/>
      <c r="H2977" s="17"/>
      <c r="I2977" s="17"/>
      <c r="J2977" s="17"/>
      <c r="K2977" s="17"/>
      <c r="L2977" s="17"/>
      <c r="M2977" s="17"/>
      <c r="N2977" s="17"/>
      <c r="O2977" s="17"/>
      <c r="P2977" s="17"/>
      <c r="Q2977" s="17"/>
      <c r="R2977" s="17"/>
      <c r="S2977" s="17"/>
      <c r="T2977" s="17"/>
      <c r="U2977" s="17"/>
      <c r="V2977" s="17"/>
      <c r="W2977" s="17"/>
      <c r="X2977" s="17"/>
      <c r="Y2977" s="17"/>
      <c r="Z2977" s="17"/>
    </row>
    <row r="2978">
      <c r="A2978" s="17"/>
      <c r="B2978" s="17"/>
      <c r="C2978" s="17"/>
      <c r="D2978" s="17"/>
      <c r="E2978" s="17"/>
      <c r="F2978" s="17"/>
      <c r="G2978" s="17"/>
      <c r="H2978" s="17"/>
      <c r="I2978" s="17"/>
      <c r="J2978" s="17"/>
      <c r="K2978" s="17"/>
      <c r="L2978" s="17"/>
      <c r="M2978" s="17"/>
      <c r="N2978" s="17"/>
      <c r="O2978" s="17"/>
      <c r="P2978" s="17"/>
      <c r="Q2978" s="17"/>
      <c r="R2978" s="17"/>
      <c r="S2978" s="17"/>
      <c r="T2978" s="17"/>
      <c r="U2978" s="17"/>
      <c r="V2978" s="17"/>
      <c r="W2978" s="17"/>
      <c r="X2978" s="17"/>
      <c r="Y2978" s="17"/>
      <c r="Z2978" s="17"/>
    </row>
    <row r="2979">
      <c r="A2979" s="17"/>
      <c r="B2979" s="17"/>
      <c r="C2979" s="17"/>
      <c r="D2979" s="17"/>
      <c r="E2979" s="17"/>
      <c r="F2979" s="17"/>
      <c r="G2979" s="17"/>
      <c r="H2979" s="17"/>
      <c r="I2979" s="17"/>
      <c r="J2979" s="17"/>
      <c r="K2979" s="17"/>
      <c r="L2979" s="17"/>
      <c r="M2979" s="17"/>
      <c r="N2979" s="17"/>
      <c r="O2979" s="17"/>
      <c r="P2979" s="17"/>
      <c r="Q2979" s="17"/>
      <c r="R2979" s="17"/>
      <c r="S2979" s="17"/>
      <c r="T2979" s="17"/>
      <c r="U2979" s="17"/>
      <c r="V2979" s="17"/>
      <c r="W2979" s="17"/>
      <c r="X2979" s="17"/>
      <c r="Y2979" s="17"/>
      <c r="Z2979" s="17"/>
    </row>
    <row r="2980">
      <c r="A2980" s="17"/>
      <c r="B2980" s="17"/>
      <c r="C2980" s="17"/>
      <c r="D2980" s="17"/>
      <c r="E2980" s="17"/>
      <c r="F2980" s="17"/>
      <c r="G2980" s="17"/>
      <c r="H2980" s="17"/>
      <c r="I2980" s="17"/>
      <c r="J2980" s="17"/>
      <c r="K2980" s="17"/>
      <c r="L2980" s="17"/>
      <c r="M2980" s="17"/>
      <c r="N2980" s="17"/>
      <c r="O2980" s="17"/>
      <c r="P2980" s="17"/>
      <c r="Q2980" s="17"/>
      <c r="R2980" s="17"/>
      <c r="S2980" s="17"/>
      <c r="T2980" s="17"/>
      <c r="U2980" s="17"/>
      <c r="V2980" s="17"/>
      <c r="W2980" s="17"/>
      <c r="X2980" s="17"/>
      <c r="Y2980" s="17"/>
      <c r="Z2980" s="17"/>
    </row>
    <row r="2981">
      <c r="A2981" s="17"/>
      <c r="B2981" s="17"/>
      <c r="C2981" s="17"/>
      <c r="D2981" s="17"/>
      <c r="E2981" s="17"/>
      <c r="F2981" s="17"/>
      <c r="G2981" s="17"/>
      <c r="H2981" s="17"/>
      <c r="I2981" s="17"/>
      <c r="J2981" s="17"/>
      <c r="K2981" s="17"/>
      <c r="L2981" s="17"/>
      <c r="M2981" s="17"/>
      <c r="N2981" s="17"/>
      <c r="O2981" s="17"/>
      <c r="P2981" s="17"/>
      <c r="Q2981" s="17"/>
      <c r="R2981" s="17"/>
      <c r="S2981" s="17"/>
      <c r="T2981" s="17"/>
      <c r="U2981" s="17"/>
      <c r="V2981" s="17"/>
      <c r="W2981" s="17"/>
      <c r="X2981" s="17"/>
      <c r="Y2981" s="17"/>
      <c r="Z2981" s="17"/>
    </row>
    <row r="2982">
      <c r="A2982" s="17"/>
      <c r="B2982" s="17"/>
      <c r="C2982" s="17"/>
      <c r="D2982" s="17"/>
      <c r="E2982" s="17"/>
      <c r="F2982" s="17"/>
      <c r="G2982" s="17"/>
      <c r="H2982" s="17"/>
      <c r="I2982" s="17"/>
      <c r="J2982" s="17"/>
      <c r="K2982" s="17"/>
      <c r="L2982" s="17"/>
      <c r="M2982" s="17"/>
      <c r="N2982" s="17"/>
      <c r="O2982" s="17"/>
      <c r="P2982" s="17"/>
      <c r="Q2982" s="17"/>
      <c r="R2982" s="17"/>
      <c r="S2982" s="17"/>
      <c r="T2982" s="17"/>
      <c r="U2982" s="17"/>
      <c r="V2982" s="17"/>
      <c r="W2982" s="17"/>
      <c r="X2982" s="17"/>
      <c r="Y2982" s="17"/>
      <c r="Z2982" s="17"/>
    </row>
    <row r="2983">
      <c r="A2983" s="17"/>
      <c r="B2983" s="17"/>
      <c r="C2983" s="17"/>
      <c r="D2983" s="17"/>
      <c r="E2983" s="17"/>
      <c r="F2983" s="17"/>
      <c r="G2983" s="17"/>
      <c r="H2983" s="17"/>
      <c r="I2983" s="17"/>
      <c r="J2983" s="17"/>
      <c r="K2983" s="17"/>
      <c r="L2983" s="17"/>
      <c r="M2983" s="17"/>
      <c r="N2983" s="17"/>
      <c r="O2983" s="17"/>
      <c r="P2983" s="17"/>
      <c r="Q2983" s="17"/>
      <c r="R2983" s="17"/>
      <c r="S2983" s="17"/>
      <c r="T2983" s="17"/>
      <c r="U2983" s="17"/>
      <c r="V2983" s="17"/>
      <c r="W2983" s="17"/>
      <c r="X2983" s="17"/>
      <c r="Y2983" s="17"/>
      <c r="Z2983" s="17"/>
    </row>
    <row r="2984">
      <c r="A2984" s="17"/>
      <c r="B2984" s="17"/>
      <c r="C2984" s="17"/>
      <c r="D2984" s="17"/>
      <c r="E2984" s="17"/>
      <c r="F2984" s="17"/>
      <c r="G2984" s="17"/>
      <c r="H2984" s="17"/>
      <c r="I2984" s="17"/>
      <c r="J2984" s="17"/>
      <c r="K2984" s="17"/>
      <c r="L2984" s="17"/>
      <c r="M2984" s="17"/>
      <c r="N2984" s="17"/>
      <c r="O2984" s="17"/>
      <c r="P2984" s="17"/>
      <c r="Q2984" s="17"/>
      <c r="R2984" s="17"/>
      <c r="S2984" s="17"/>
      <c r="T2984" s="17"/>
      <c r="U2984" s="17"/>
      <c r="V2984" s="17"/>
      <c r="W2984" s="17"/>
      <c r="X2984" s="17"/>
      <c r="Y2984" s="17"/>
      <c r="Z2984" s="17"/>
    </row>
    <row r="2985">
      <c r="A2985" s="17"/>
      <c r="B2985" s="17"/>
      <c r="C2985" s="17"/>
      <c r="D2985" s="17"/>
      <c r="E2985" s="17"/>
      <c r="F2985" s="17"/>
      <c r="G2985" s="17"/>
      <c r="H2985" s="17"/>
      <c r="I2985" s="17"/>
      <c r="J2985" s="17"/>
      <c r="K2985" s="17"/>
      <c r="L2985" s="17"/>
      <c r="M2985" s="17"/>
      <c r="N2985" s="17"/>
      <c r="O2985" s="17"/>
      <c r="P2985" s="17"/>
      <c r="Q2985" s="17"/>
      <c r="R2985" s="17"/>
      <c r="S2985" s="17"/>
      <c r="T2985" s="17"/>
      <c r="U2985" s="17"/>
      <c r="V2985" s="17"/>
      <c r="W2985" s="17"/>
      <c r="X2985" s="17"/>
      <c r="Y2985" s="17"/>
      <c r="Z2985" s="17"/>
    </row>
    <row r="2986">
      <c r="A2986" s="17"/>
      <c r="B2986" s="17"/>
      <c r="C2986" s="17"/>
      <c r="D2986" s="17"/>
      <c r="E2986" s="17"/>
      <c r="F2986" s="17"/>
      <c r="G2986" s="17"/>
      <c r="H2986" s="17"/>
      <c r="I2986" s="17"/>
      <c r="J2986" s="17"/>
      <c r="K2986" s="17"/>
      <c r="L2986" s="17"/>
      <c r="M2986" s="17"/>
      <c r="N2986" s="17"/>
      <c r="O2986" s="17"/>
      <c r="P2986" s="17"/>
      <c r="Q2986" s="17"/>
      <c r="R2986" s="17"/>
      <c r="S2986" s="17"/>
      <c r="T2986" s="17"/>
      <c r="U2986" s="17"/>
      <c r="V2986" s="17"/>
      <c r="W2986" s="17"/>
      <c r="X2986" s="17"/>
      <c r="Y2986" s="17"/>
      <c r="Z2986" s="17"/>
    </row>
    <row r="2987">
      <c r="A2987" s="17"/>
      <c r="B2987" s="17"/>
      <c r="C2987" s="17"/>
      <c r="D2987" s="17"/>
      <c r="E2987" s="17"/>
      <c r="F2987" s="17"/>
      <c r="G2987" s="17"/>
      <c r="H2987" s="17"/>
      <c r="I2987" s="17"/>
      <c r="J2987" s="17"/>
      <c r="K2987" s="17"/>
      <c r="L2987" s="17"/>
      <c r="M2987" s="17"/>
      <c r="N2987" s="17"/>
      <c r="O2987" s="17"/>
      <c r="P2987" s="17"/>
      <c r="Q2987" s="17"/>
      <c r="R2987" s="17"/>
      <c r="S2987" s="17"/>
      <c r="T2987" s="17"/>
      <c r="U2987" s="17"/>
      <c r="V2987" s="17"/>
      <c r="W2987" s="17"/>
      <c r="X2987" s="17"/>
      <c r="Y2987" s="17"/>
      <c r="Z2987" s="17"/>
    </row>
    <row r="2988">
      <c r="A2988" s="17"/>
      <c r="B2988" s="17"/>
      <c r="C2988" s="17"/>
      <c r="D2988" s="17"/>
      <c r="E2988" s="17"/>
      <c r="F2988" s="17"/>
      <c r="G2988" s="17"/>
      <c r="H2988" s="17"/>
      <c r="I2988" s="17"/>
      <c r="J2988" s="17"/>
      <c r="K2988" s="17"/>
      <c r="L2988" s="17"/>
      <c r="M2988" s="17"/>
      <c r="N2988" s="17"/>
      <c r="O2988" s="17"/>
      <c r="P2988" s="17"/>
      <c r="Q2988" s="17"/>
      <c r="R2988" s="17"/>
      <c r="S2988" s="17"/>
      <c r="T2988" s="17"/>
      <c r="U2988" s="17"/>
      <c r="V2988" s="17"/>
      <c r="W2988" s="17"/>
      <c r="X2988" s="17"/>
      <c r="Y2988" s="17"/>
      <c r="Z2988" s="17"/>
    </row>
    <row r="2989">
      <c r="A2989" s="17"/>
      <c r="B2989" s="17"/>
      <c r="C2989" s="17"/>
      <c r="D2989" s="17"/>
      <c r="E2989" s="17"/>
      <c r="F2989" s="17"/>
      <c r="G2989" s="17"/>
      <c r="H2989" s="17"/>
      <c r="I2989" s="17"/>
      <c r="J2989" s="17"/>
      <c r="K2989" s="17"/>
      <c r="L2989" s="17"/>
      <c r="M2989" s="17"/>
      <c r="N2989" s="17"/>
      <c r="O2989" s="17"/>
      <c r="P2989" s="17"/>
      <c r="Q2989" s="17"/>
      <c r="R2989" s="17"/>
      <c r="S2989" s="17"/>
      <c r="T2989" s="17"/>
      <c r="U2989" s="17"/>
      <c r="V2989" s="17"/>
      <c r="W2989" s="17"/>
      <c r="X2989" s="17"/>
      <c r="Y2989" s="17"/>
      <c r="Z2989" s="17"/>
    </row>
    <row r="2990">
      <c r="A2990" s="17"/>
      <c r="B2990" s="17"/>
      <c r="C2990" s="17"/>
      <c r="D2990" s="17"/>
      <c r="E2990" s="17"/>
      <c r="F2990" s="17"/>
      <c r="G2990" s="17"/>
      <c r="H2990" s="17"/>
      <c r="I2990" s="17"/>
      <c r="J2990" s="17"/>
      <c r="K2990" s="17"/>
      <c r="L2990" s="17"/>
      <c r="M2990" s="17"/>
      <c r="N2990" s="17"/>
      <c r="O2990" s="17"/>
      <c r="P2990" s="17"/>
      <c r="Q2990" s="17"/>
      <c r="R2990" s="17"/>
      <c r="S2990" s="17"/>
      <c r="T2990" s="17"/>
      <c r="U2990" s="17"/>
      <c r="V2990" s="17"/>
      <c r="W2990" s="17"/>
      <c r="X2990" s="17"/>
      <c r="Y2990" s="17"/>
      <c r="Z2990" s="17"/>
    </row>
    <row r="2991">
      <c r="A2991" s="17"/>
      <c r="B2991" s="17"/>
      <c r="C2991" s="17"/>
      <c r="D2991" s="17"/>
      <c r="E2991" s="17"/>
      <c r="F2991" s="17"/>
      <c r="G2991" s="17"/>
      <c r="H2991" s="17"/>
      <c r="I2991" s="17"/>
      <c r="J2991" s="17"/>
      <c r="K2991" s="17"/>
      <c r="L2991" s="17"/>
      <c r="M2991" s="17"/>
      <c r="N2991" s="17"/>
      <c r="O2991" s="17"/>
      <c r="P2991" s="17"/>
      <c r="Q2991" s="17"/>
      <c r="R2991" s="17"/>
      <c r="S2991" s="17"/>
      <c r="T2991" s="17"/>
      <c r="U2991" s="17"/>
      <c r="V2991" s="17"/>
      <c r="W2991" s="17"/>
      <c r="X2991" s="17"/>
      <c r="Y2991" s="17"/>
      <c r="Z2991" s="17"/>
    </row>
    <row r="2992">
      <c r="A2992" s="17"/>
      <c r="B2992" s="17"/>
      <c r="C2992" s="17"/>
      <c r="D2992" s="17"/>
      <c r="E2992" s="17"/>
      <c r="F2992" s="17"/>
      <c r="G2992" s="17"/>
      <c r="H2992" s="17"/>
      <c r="I2992" s="17"/>
      <c r="J2992" s="17"/>
      <c r="K2992" s="17"/>
      <c r="L2992" s="17"/>
      <c r="M2992" s="17"/>
      <c r="N2992" s="17"/>
      <c r="O2992" s="17"/>
      <c r="P2992" s="17"/>
      <c r="Q2992" s="17"/>
      <c r="R2992" s="17"/>
      <c r="S2992" s="17"/>
      <c r="T2992" s="17"/>
      <c r="U2992" s="17"/>
      <c r="V2992" s="17"/>
      <c r="W2992" s="17"/>
      <c r="X2992" s="17"/>
      <c r="Y2992" s="17"/>
      <c r="Z2992" s="17"/>
    </row>
    <row r="2993">
      <c r="A2993" s="17"/>
      <c r="B2993" s="17"/>
      <c r="C2993" s="17"/>
      <c r="D2993" s="17"/>
      <c r="E2993" s="17"/>
      <c r="F2993" s="17"/>
      <c r="G2993" s="17"/>
      <c r="H2993" s="17"/>
      <c r="I2993" s="17"/>
      <c r="J2993" s="17"/>
      <c r="K2993" s="17"/>
      <c r="L2993" s="17"/>
      <c r="M2993" s="17"/>
      <c r="N2993" s="17"/>
      <c r="O2993" s="17"/>
      <c r="P2993" s="17"/>
      <c r="Q2993" s="17"/>
      <c r="R2993" s="17"/>
      <c r="S2993" s="17"/>
      <c r="T2993" s="17"/>
      <c r="U2993" s="17"/>
      <c r="V2993" s="17"/>
      <c r="W2993" s="17"/>
      <c r="X2993" s="17"/>
      <c r="Y2993" s="17"/>
      <c r="Z2993" s="1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0"/>
    <col customWidth="1" min="2" max="2" width="23.43"/>
    <col customWidth="1" min="3" max="3" width="24.0"/>
    <col customWidth="1" min="4" max="4" width="23.29"/>
    <col customWidth="1" min="5" max="5" width="17.86"/>
    <col customWidth="1" min="7" max="7" width="22.57"/>
    <col customWidth="1" min="9" max="9" width="20.57"/>
    <col customWidth="1" min="10" max="10" width="19.86"/>
    <col customWidth="1" min="11" max="11" width="29.71"/>
    <col customWidth="1" min="13" max="13" width="19.86"/>
  </cols>
  <sheetData>
    <row r="1">
      <c r="A1" s="20" t="s">
        <v>2556</v>
      </c>
      <c r="N1" s="17"/>
      <c r="O1" s="17"/>
      <c r="P1" s="17"/>
      <c r="Q1" s="17"/>
      <c r="R1" s="17"/>
      <c r="S1" s="17"/>
      <c r="T1" s="17"/>
      <c r="U1" s="17"/>
      <c r="V1" s="17"/>
      <c r="W1" s="17"/>
      <c r="X1" s="17"/>
      <c r="Y1" s="17"/>
      <c r="Z1" s="17"/>
    </row>
    <row r="2">
      <c r="N2" s="17"/>
      <c r="O2" s="17"/>
      <c r="P2" s="17"/>
      <c r="Q2" s="17"/>
      <c r="R2" s="17"/>
      <c r="S2" s="17"/>
      <c r="T2" s="17"/>
      <c r="U2" s="17"/>
      <c r="V2" s="17"/>
      <c r="W2" s="17"/>
      <c r="X2" s="17"/>
      <c r="Y2" s="17"/>
      <c r="Z2" s="17"/>
    </row>
    <row r="3">
      <c r="N3" s="17"/>
      <c r="O3" s="17"/>
      <c r="P3" s="17"/>
      <c r="Q3" s="17"/>
      <c r="R3" s="17"/>
      <c r="S3" s="17"/>
      <c r="T3" s="17"/>
      <c r="U3" s="17"/>
      <c r="V3" s="17"/>
      <c r="W3" s="17"/>
      <c r="X3" s="17"/>
      <c r="Y3" s="17"/>
      <c r="Z3" s="17"/>
    </row>
    <row r="4">
      <c r="A4" s="17"/>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B54" s="17"/>
      <c r="D54" s="17"/>
      <c r="F54" s="17"/>
      <c r="G54" s="17" t="s">
        <v>2560</v>
      </c>
      <c r="H54" s="17"/>
      <c r="I54" s="17" t="s">
        <v>2561</v>
      </c>
      <c r="J54" s="17"/>
      <c r="L54" s="17"/>
      <c r="M54" s="17"/>
      <c r="N54" s="17"/>
      <c r="O54" s="17"/>
      <c r="P54" s="17"/>
      <c r="Q54" s="17"/>
      <c r="R54" s="17"/>
      <c r="S54" s="17"/>
      <c r="T54" s="17"/>
      <c r="U54" s="17"/>
      <c r="V54" s="17"/>
      <c r="W54" s="17"/>
      <c r="X54" s="17"/>
      <c r="Y54" s="17"/>
      <c r="Z54" s="17"/>
    </row>
    <row r="55">
      <c r="B55" s="17"/>
      <c r="D55" s="17"/>
      <c r="F55" s="17"/>
      <c r="G55" s="17">
        <v>8.0</v>
      </c>
      <c r="H55" s="17"/>
      <c r="I55" s="17">
        <v>34.0</v>
      </c>
      <c r="J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23" t="s">
        <v>2548</v>
      </c>
      <c r="B57" s="23" t="s">
        <v>2557</v>
      </c>
      <c r="C57" s="17"/>
      <c r="F57" s="17"/>
      <c r="I57" s="24"/>
      <c r="L57" s="17"/>
      <c r="M57" s="17"/>
      <c r="N57" s="17"/>
      <c r="O57" s="17"/>
      <c r="P57" s="17"/>
      <c r="Q57" s="17"/>
      <c r="R57" s="17"/>
      <c r="S57" s="17"/>
      <c r="T57" s="17"/>
      <c r="U57" s="17"/>
      <c r="V57" s="17"/>
      <c r="W57" s="17"/>
      <c r="X57" s="17"/>
      <c r="Y57" s="17"/>
      <c r="Z57" s="17"/>
    </row>
    <row r="58">
      <c r="A58" s="17" t="s">
        <v>2564</v>
      </c>
      <c r="B58" s="17">
        <v>119370.0</v>
      </c>
      <c r="C58" s="17"/>
      <c r="F58" s="17"/>
      <c r="I58" s="17"/>
      <c r="L58" s="17"/>
      <c r="M58" s="17"/>
      <c r="N58" s="17"/>
      <c r="O58" s="17"/>
      <c r="P58" s="17"/>
      <c r="Q58" s="17"/>
      <c r="R58" s="17"/>
      <c r="S58" s="17"/>
      <c r="T58" s="17"/>
      <c r="U58" s="17"/>
      <c r="V58" s="17"/>
      <c r="W58" s="17"/>
      <c r="X58" s="17"/>
      <c r="Y58" s="17"/>
      <c r="Z58" s="17"/>
    </row>
    <row r="59">
      <c r="A59" s="17" t="s">
        <v>2566</v>
      </c>
      <c r="B59" s="17">
        <v>82049.0</v>
      </c>
      <c r="C59" s="17"/>
      <c r="F59" s="17"/>
      <c r="I59" s="17"/>
      <c r="L59" s="17"/>
      <c r="M59" s="17"/>
      <c r="N59" s="17"/>
      <c r="O59" s="17"/>
      <c r="P59" s="17"/>
      <c r="Q59" s="17"/>
      <c r="R59" s="17"/>
      <c r="S59" s="17"/>
      <c r="T59" s="17"/>
      <c r="U59" s="17"/>
      <c r="V59" s="17"/>
      <c r="W59" s="17"/>
      <c r="X59" s="17"/>
      <c r="Y59" s="17"/>
      <c r="Z59" s="17"/>
    </row>
    <row r="60">
      <c r="A60" s="17" t="s">
        <v>2568</v>
      </c>
      <c r="B60" s="17">
        <v>77145.0</v>
      </c>
      <c r="C60" s="17"/>
      <c r="D60" s="17"/>
      <c r="E60" s="17"/>
      <c r="F60" s="17"/>
      <c r="G60" s="17"/>
      <c r="H60" s="17"/>
      <c r="I60" s="17"/>
      <c r="L60" s="17"/>
      <c r="M60" s="17"/>
      <c r="N60" s="17"/>
      <c r="O60" s="17"/>
      <c r="P60" s="17"/>
      <c r="Q60" s="17"/>
      <c r="R60" s="17"/>
      <c r="S60" s="17"/>
      <c r="T60" s="17"/>
      <c r="U60" s="17"/>
      <c r="V60" s="17"/>
      <c r="W60" s="17"/>
      <c r="X60" s="17"/>
      <c r="Y60" s="17"/>
      <c r="Z60" s="17"/>
    </row>
    <row r="61">
      <c r="A61" s="17" t="s">
        <v>2570</v>
      </c>
      <c r="B61" s="17">
        <v>68871.0</v>
      </c>
      <c r="C61" s="17"/>
      <c r="D61" s="17"/>
      <c r="E61" s="17"/>
      <c r="F61" s="17"/>
      <c r="G61" s="17"/>
      <c r="H61" s="17"/>
      <c r="I61" s="17"/>
      <c r="L61" s="17"/>
      <c r="M61" s="17"/>
      <c r="N61" s="17"/>
      <c r="O61" s="17"/>
      <c r="P61" s="17"/>
      <c r="Q61" s="17"/>
      <c r="R61" s="17"/>
      <c r="S61" s="17"/>
      <c r="T61" s="17"/>
      <c r="U61" s="17"/>
      <c r="V61" s="17"/>
      <c r="W61" s="17"/>
      <c r="X61" s="17"/>
      <c r="Y61" s="17"/>
      <c r="Z61" s="17"/>
    </row>
    <row r="62">
      <c r="A62" s="17" t="s">
        <v>2572</v>
      </c>
      <c r="B62" s="17">
        <v>68045.0</v>
      </c>
      <c r="C62" s="17"/>
      <c r="D62" s="17"/>
      <c r="E62" s="17"/>
      <c r="F62" s="17"/>
      <c r="G62" s="17"/>
      <c r="H62" s="17"/>
      <c r="I62" s="17"/>
      <c r="L62" s="17"/>
      <c r="M62" s="17"/>
      <c r="N62" s="17"/>
      <c r="O62" s="17"/>
      <c r="P62" s="17"/>
      <c r="Q62" s="17"/>
      <c r="R62" s="17"/>
      <c r="S62" s="17"/>
      <c r="T62" s="17"/>
      <c r="U62" s="17"/>
      <c r="V62" s="17"/>
      <c r="W62" s="17"/>
      <c r="X62" s="17"/>
      <c r="Y62" s="17"/>
      <c r="Z62" s="17"/>
    </row>
    <row r="63">
      <c r="A63" s="17" t="s">
        <v>2574</v>
      </c>
      <c r="B63" s="17">
        <v>64459.0</v>
      </c>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t="s">
        <v>2575</v>
      </c>
      <c r="B64" s="17">
        <v>46546.0</v>
      </c>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t="s">
        <v>2576</v>
      </c>
      <c r="B65" s="17">
        <v>24468.0</v>
      </c>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D67" s="17"/>
      <c r="E67" s="25"/>
      <c r="F67" s="17"/>
      <c r="G67" s="17"/>
      <c r="H67" s="17"/>
      <c r="I67" s="17"/>
      <c r="J67" s="17"/>
      <c r="K67" s="17"/>
      <c r="L67" s="17"/>
      <c r="M67" s="17"/>
      <c r="N67" s="17"/>
      <c r="O67" s="17"/>
      <c r="P67" s="17"/>
      <c r="Q67" s="17"/>
      <c r="R67" s="17"/>
      <c r="S67" s="17"/>
      <c r="T67" s="17"/>
      <c r="U67" s="17"/>
      <c r="V67" s="17"/>
      <c r="W67" s="17"/>
      <c r="X67" s="17"/>
      <c r="Y67" s="17"/>
      <c r="Z67" s="17"/>
    </row>
    <row r="68">
      <c r="D68" s="17"/>
      <c r="E68" s="17"/>
      <c r="F68" s="17"/>
      <c r="G68" s="17"/>
      <c r="H68" s="17"/>
      <c r="I68" s="17"/>
      <c r="J68" s="17"/>
      <c r="K68" s="17"/>
      <c r="L68" s="17"/>
      <c r="M68" s="17"/>
      <c r="N68" s="17"/>
      <c r="O68" s="17"/>
      <c r="P68" s="17"/>
      <c r="Q68" s="17"/>
      <c r="R68" s="17"/>
      <c r="S68" s="17"/>
      <c r="T68" s="17"/>
      <c r="U68" s="17"/>
      <c r="V68" s="17"/>
      <c r="W68" s="17"/>
      <c r="X68" s="17"/>
      <c r="Y68" s="17"/>
      <c r="Z68" s="17"/>
    </row>
    <row r="69">
      <c r="D69" s="17"/>
      <c r="E69" s="17"/>
      <c r="F69" s="17"/>
      <c r="G69" s="17"/>
      <c r="H69" s="17"/>
      <c r="I69" s="17"/>
      <c r="J69" s="17"/>
      <c r="K69" s="17"/>
      <c r="L69" s="17"/>
      <c r="M69" s="17"/>
      <c r="N69" s="17"/>
      <c r="O69" s="17"/>
      <c r="P69" s="17"/>
      <c r="Q69" s="17"/>
      <c r="R69" s="17"/>
      <c r="S69" s="17"/>
      <c r="T69" s="17"/>
      <c r="U69" s="17"/>
      <c r="V69" s="17"/>
      <c r="W69" s="17"/>
      <c r="X69" s="17"/>
      <c r="Y69" s="17"/>
      <c r="Z69" s="17"/>
    </row>
    <row r="70">
      <c r="D70" s="17"/>
      <c r="E70" s="17"/>
      <c r="F70" s="17"/>
      <c r="G70" s="17"/>
      <c r="H70" s="17"/>
      <c r="I70" s="17"/>
      <c r="J70" s="17"/>
      <c r="K70" s="17"/>
      <c r="L70" s="17"/>
      <c r="M70" s="17"/>
      <c r="N70" s="17"/>
      <c r="O70" s="17"/>
      <c r="P70" s="17"/>
      <c r="Q70" s="17"/>
      <c r="R70" s="17"/>
      <c r="S70" s="17"/>
      <c r="T70" s="17"/>
      <c r="U70" s="17"/>
      <c r="V70" s="17"/>
      <c r="W70" s="17"/>
      <c r="X70" s="17"/>
      <c r="Y70" s="17"/>
      <c r="Z70" s="17"/>
    </row>
    <row r="71">
      <c r="D71" s="17"/>
      <c r="E71" s="17"/>
      <c r="F71" s="17"/>
      <c r="G71" s="17"/>
      <c r="H71" s="17"/>
      <c r="I71" s="17"/>
      <c r="J71" s="17"/>
      <c r="K71" s="17"/>
      <c r="L71" s="17"/>
      <c r="M71" s="17"/>
      <c r="N71" s="17"/>
      <c r="O71" s="17"/>
      <c r="P71" s="17"/>
      <c r="Q71" s="17"/>
      <c r="R71" s="17"/>
      <c r="S71" s="17"/>
      <c r="T71" s="17"/>
      <c r="U71" s="17"/>
      <c r="V71" s="17"/>
      <c r="W71" s="17"/>
      <c r="X71" s="17"/>
      <c r="Y71" s="17"/>
      <c r="Z71" s="17"/>
    </row>
    <row r="72">
      <c r="D72" s="17"/>
      <c r="E72" s="17"/>
      <c r="F72" s="17"/>
      <c r="G72" s="17"/>
      <c r="H72" s="17"/>
      <c r="I72" s="17"/>
      <c r="J72" s="17"/>
      <c r="K72" s="17"/>
      <c r="L72" s="17"/>
      <c r="M72" s="17"/>
      <c r="N72" s="17"/>
      <c r="O72" s="17"/>
      <c r="P72" s="17"/>
      <c r="Q72" s="17"/>
      <c r="R72" s="17"/>
      <c r="S72" s="17"/>
      <c r="T72" s="17"/>
      <c r="U72" s="17"/>
      <c r="V72" s="17"/>
      <c r="W72" s="17"/>
      <c r="X72" s="17"/>
      <c r="Y72" s="17"/>
      <c r="Z72" s="17"/>
    </row>
    <row r="73">
      <c r="D73" s="17"/>
      <c r="E73" s="17"/>
      <c r="F73" s="17"/>
      <c r="G73" s="17"/>
      <c r="H73" s="17"/>
      <c r="I73" s="17"/>
      <c r="J73" s="17"/>
      <c r="K73" s="17"/>
      <c r="L73" s="17"/>
      <c r="M73" s="17"/>
      <c r="N73" s="17"/>
      <c r="O73" s="17"/>
      <c r="P73" s="17"/>
      <c r="Q73" s="17"/>
      <c r="R73" s="17"/>
      <c r="S73" s="17"/>
      <c r="T73" s="17"/>
      <c r="U73" s="17"/>
      <c r="V73" s="17"/>
      <c r="W73" s="17"/>
      <c r="X73" s="17"/>
      <c r="Y73" s="17"/>
      <c r="Z73" s="17"/>
    </row>
    <row r="74">
      <c r="D74" s="17"/>
      <c r="E74" s="17"/>
      <c r="F74" s="17"/>
      <c r="G74" s="17"/>
      <c r="H74" s="17"/>
      <c r="I74" s="17"/>
      <c r="J74" s="17"/>
      <c r="K74" s="17"/>
      <c r="L74" s="17"/>
      <c r="M74" s="17"/>
      <c r="N74" s="17"/>
      <c r="O74" s="17"/>
      <c r="P74" s="17"/>
      <c r="Q74" s="17"/>
      <c r="R74" s="17"/>
      <c r="S74" s="17"/>
      <c r="T74" s="17"/>
      <c r="U74" s="17"/>
      <c r="V74" s="17"/>
      <c r="W74" s="17"/>
      <c r="X74" s="17"/>
      <c r="Y74" s="17"/>
      <c r="Z74" s="17"/>
    </row>
    <row r="75">
      <c r="D75" s="17"/>
      <c r="E75" s="17"/>
      <c r="F75" s="17"/>
      <c r="G75" s="17"/>
      <c r="H75" s="17"/>
      <c r="I75" s="17"/>
      <c r="J75" s="17"/>
      <c r="K75" s="17"/>
      <c r="L75" s="17"/>
      <c r="M75" s="17"/>
      <c r="N75" s="17"/>
      <c r="O75" s="17"/>
      <c r="P75" s="17"/>
      <c r="Q75" s="17"/>
      <c r="R75" s="17"/>
      <c r="S75" s="17"/>
      <c r="T75" s="17"/>
      <c r="U75" s="17"/>
      <c r="V75" s="17"/>
      <c r="W75" s="17"/>
      <c r="X75" s="17"/>
      <c r="Y75" s="17"/>
      <c r="Z75" s="17"/>
    </row>
    <row r="76">
      <c r="D76" s="17"/>
      <c r="E76" s="17"/>
      <c r="F76" s="17"/>
      <c r="G76" s="17"/>
      <c r="H76" s="17"/>
      <c r="I76" s="17"/>
      <c r="J76" s="17"/>
      <c r="K76" s="17"/>
      <c r="L76" s="17"/>
      <c r="M76" s="17"/>
      <c r="N76" s="17"/>
      <c r="O76" s="17"/>
      <c r="P76" s="17"/>
      <c r="Q76" s="17"/>
      <c r="R76" s="17"/>
      <c r="S76" s="17"/>
      <c r="T76" s="17"/>
      <c r="U76" s="17"/>
      <c r="V76" s="17"/>
      <c r="W76" s="17"/>
      <c r="X76" s="17"/>
      <c r="Y76" s="17"/>
      <c r="Z76" s="17"/>
    </row>
    <row r="77">
      <c r="D77" s="17"/>
      <c r="E77" s="17"/>
      <c r="F77" s="17"/>
      <c r="G77" s="17"/>
      <c r="H77" s="17"/>
      <c r="I77" s="17"/>
      <c r="J77" s="17"/>
      <c r="K77" s="17"/>
      <c r="L77" s="17"/>
      <c r="M77" s="17"/>
      <c r="N77" s="17"/>
      <c r="O77" s="17"/>
      <c r="P77" s="17"/>
      <c r="Q77" s="17"/>
      <c r="R77" s="17"/>
      <c r="S77" s="17"/>
      <c r="T77" s="17"/>
      <c r="U77" s="17"/>
      <c r="V77" s="17"/>
      <c r="W77" s="17"/>
      <c r="X77" s="17"/>
      <c r="Y77" s="17"/>
      <c r="Z77" s="17"/>
    </row>
    <row r="78">
      <c r="D78" s="17"/>
      <c r="E78" s="17"/>
      <c r="F78" s="17"/>
      <c r="G78" s="17"/>
      <c r="H78" s="17"/>
      <c r="I78" s="17"/>
      <c r="J78" s="17"/>
      <c r="K78" s="17"/>
      <c r="L78" s="17"/>
      <c r="M78" s="17"/>
      <c r="N78" s="17"/>
      <c r="O78" s="17"/>
      <c r="P78" s="17"/>
      <c r="Q78" s="17"/>
      <c r="R78" s="17"/>
      <c r="S78" s="17"/>
      <c r="T78" s="17"/>
      <c r="U78" s="17"/>
      <c r="V78" s="17"/>
      <c r="W78" s="17"/>
      <c r="X78" s="17"/>
      <c r="Y78" s="17"/>
      <c r="Z78" s="17"/>
    </row>
    <row r="79">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sheetData>
  <mergeCells count="1">
    <mergeCell ref="A1:M3"/>
  </mergeCells>
  <drawing r:id="rId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1.0"/>
    <col customWidth="1" min="2" max="2" width="22.71"/>
    <col customWidth="1" min="3" max="3" width="28.43"/>
    <col customWidth="1" min="4" max="4" width="19.86"/>
  </cols>
  <sheetData>
    <row r="1">
      <c r="A1" s="27" t="s">
        <v>2591</v>
      </c>
      <c r="B1" s="28"/>
      <c r="C1" s="28"/>
      <c r="D1" s="29"/>
      <c r="E1" s="17"/>
      <c r="F1" s="17"/>
      <c r="G1" s="17"/>
      <c r="H1" s="17"/>
      <c r="I1" s="17"/>
      <c r="J1" s="17"/>
      <c r="K1" s="17"/>
      <c r="L1" s="17"/>
      <c r="M1" s="17"/>
      <c r="N1" s="17"/>
      <c r="O1" s="17"/>
      <c r="P1" s="17"/>
      <c r="Q1" s="17"/>
      <c r="R1" s="17"/>
      <c r="S1" s="17"/>
      <c r="T1" s="17"/>
      <c r="U1" s="17"/>
      <c r="V1" s="17"/>
      <c r="W1" s="17"/>
      <c r="X1" s="17"/>
      <c r="Y1" s="17"/>
      <c r="Z1" s="17"/>
    </row>
    <row r="2">
      <c r="A2" s="30" t="s">
        <v>2592</v>
      </c>
      <c r="B2" s="31" t="s">
        <v>2593</v>
      </c>
      <c r="C2" s="31" t="s">
        <v>2594</v>
      </c>
      <c r="D2" s="31" t="s">
        <v>2562</v>
      </c>
      <c r="E2" s="17"/>
      <c r="F2" s="17"/>
      <c r="G2" s="17"/>
      <c r="H2" s="17"/>
      <c r="I2" s="17"/>
      <c r="J2" s="17"/>
      <c r="K2" s="17"/>
      <c r="L2" s="17"/>
      <c r="M2" s="17"/>
      <c r="N2" s="17"/>
      <c r="O2" s="17"/>
      <c r="P2" s="17"/>
      <c r="Q2" s="17"/>
      <c r="R2" s="17"/>
      <c r="S2" s="17"/>
      <c r="T2" s="17"/>
      <c r="U2" s="17"/>
      <c r="V2" s="17"/>
      <c r="W2" s="17"/>
      <c r="X2" s="17"/>
      <c r="Y2" s="17"/>
      <c r="Z2" s="17"/>
    </row>
    <row r="3">
      <c r="A3" s="32" t="str">
        <f t="array" ref="A3:A10">UNIQUE(Order_data!C2:C2493)</f>
        <v>Colaba</v>
      </c>
      <c r="B3" s="33">
        <f>countifs(Order_data!$C$2:$C$2493,$A3)</f>
        <v>252</v>
      </c>
      <c r="C3" s="33">
        <f>countifs(Order_data!$C$2:$C$2493,$A3,Order_data!$I$2:$I$2493,Order_data!$I$12)</f>
        <v>38</v>
      </c>
      <c r="D3" s="34">
        <f t="shared" ref="D3:D11" si="1">C3/B3</f>
        <v>0.1507936508</v>
      </c>
      <c r="E3" s="17"/>
      <c r="F3" s="17"/>
      <c r="G3" s="17"/>
      <c r="H3" s="17"/>
      <c r="I3" s="17"/>
      <c r="J3" s="17"/>
      <c r="K3" s="17"/>
      <c r="L3" s="17"/>
      <c r="M3" s="17"/>
      <c r="N3" s="17"/>
      <c r="O3" s="17"/>
      <c r="P3" s="17"/>
      <c r="Q3" s="17"/>
      <c r="R3" s="17"/>
      <c r="S3" s="17"/>
      <c r="T3" s="17"/>
      <c r="U3" s="17"/>
      <c r="V3" s="17"/>
      <c r="W3" s="17"/>
      <c r="X3" s="17"/>
      <c r="Y3" s="17"/>
      <c r="Z3" s="17"/>
    </row>
    <row r="4">
      <c r="A4" s="32" t="s">
        <v>2574</v>
      </c>
      <c r="B4" s="33">
        <f>countifs(Order_data!$C$2:$C$2493,$A4)</f>
        <v>261</v>
      </c>
      <c r="C4" s="33">
        <f>countifs(Order_data!$C$2:$C$2493,$A4,Order_data!$I$2:$I$2493,Order_data!$I$12)</f>
        <v>37</v>
      </c>
      <c r="D4" s="35">
        <f t="shared" si="1"/>
        <v>0.1417624521</v>
      </c>
      <c r="E4" s="17"/>
      <c r="F4" s="17"/>
      <c r="G4" s="17"/>
      <c r="H4" s="17"/>
      <c r="I4" s="17"/>
      <c r="J4" s="17"/>
      <c r="K4" s="17"/>
      <c r="L4" s="17"/>
      <c r="M4" s="17"/>
      <c r="N4" s="17"/>
      <c r="O4" s="17"/>
      <c r="P4" s="17"/>
      <c r="Q4" s="17"/>
      <c r="R4" s="17"/>
      <c r="S4" s="17"/>
      <c r="T4" s="17"/>
      <c r="U4" s="17"/>
      <c r="V4" s="17"/>
      <c r="W4" s="17"/>
      <c r="X4" s="17"/>
      <c r="Y4" s="17"/>
      <c r="Z4" s="17"/>
    </row>
    <row r="5">
      <c r="A5" s="32" t="s">
        <v>2564</v>
      </c>
      <c r="B5" s="33">
        <f>countifs(Order_data!$C$2:$C$2493,$A5)</f>
        <v>467</v>
      </c>
      <c r="C5" s="33">
        <f>countifs(Order_data!$C$2:$C$2493,$A5,Order_data!$I$2:$I$2493,Order_data!$I$12)</f>
        <v>62</v>
      </c>
      <c r="D5" s="36">
        <f t="shared" si="1"/>
        <v>0.1327623126</v>
      </c>
      <c r="E5" s="17"/>
      <c r="F5" s="17"/>
      <c r="G5" s="17"/>
      <c r="H5" s="17"/>
      <c r="I5" s="17"/>
      <c r="J5" s="17"/>
      <c r="K5" s="17"/>
      <c r="L5" s="17"/>
      <c r="M5" s="17"/>
      <c r="N5" s="17"/>
      <c r="O5" s="17"/>
      <c r="P5" s="17"/>
      <c r="Q5" s="17"/>
      <c r="R5" s="17"/>
      <c r="S5" s="17"/>
      <c r="T5" s="17"/>
      <c r="U5" s="17"/>
      <c r="V5" s="17"/>
      <c r="W5" s="17"/>
      <c r="X5" s="17"/>
      <c r="Y5" s="17"/>
      <c r="Z5" s="17"/>
    </row>
    <row r="6">
      <c r="A6" s="32" t="s">
        <v>2568</v>
      </c>
      <c r="B6" s="33">
        <f>countifs(Order_data!$C$2:$C$2493,$A6)</f>
        <v>285</v>
      </c>
      <c r="C6" s="33">
        <f>countifs(Order_data!$C$2:$C$2493,$A6,Order_data!$I$2:$I$2493,Order_data!$I$12)</f>
        <v>34</v>
      </c>
      <c r="D6" s="37">
        <f t="shared" si="1"/>
        <v>0.1192982456</v>
      </c>
      <c r="E6" s="17"/>
      <c r="F6" s="17"/>
      <c r="G6" s="17"/>
      <c r="H6" s="17"/>
      <c r="I6" s="17"/>
      <c r="J6" s="17"/>
      <c r="K6" s="17"/>
      <c r="L6" s="17"/>
      <c r="M6" s="17"/>
      <c r="N6" s="17"/>
      <c r="O6" s="17"/>
      <c r="P6" s="17"/>
      <c r="Q6" s="17"/>
      <c r="R6" s="17"/>
      <c r="S6" s="17"/>
      <c r="T6" s="17"/>
      <c r="U6" s="17"/>
      <c r="V6" s="17"/>
      <c r="W6" s="17"/>
      <c r="X6" s="17"/>
      <c r="Y6" s="17"/>
      <c r="Z6" s="17"/>
    </row>
    <row r="7">
      <c r="A7" s="32" t="s">
        <v>2572</v>
      </c>
      <c r="B7" s="33">
        <f>countifs(Order_data!$C$2:$C$2493,$A7)</f>
        <v>247</v>
      </c>
      <c r="C7" s="33">
        <f>countifs(Order_data!$C$2:$C$2493,$A7,Order_data!$I$2:$I$2493,Order_data!$I$12)</f>
        <v>36</v>
      </c>
      <c r="D7" s="38">
        <f t="shared" si="1"/>
        <v>0.1457489879</v>
      </c>
      <c r="E7" s="17"/>
      <c r="F7" s="17"/>
      <c r="G7" s="17"/>
      <c r="H7" s="17"/>
      <c r="I7" s="17"/>
      <c r="J7" s="17"/>
      <c r="K7" s="17"/>
      <c r="L7" s="17"/>
      <c r="M7" s="17"/>
      <c r="N7" s="17"/>
      <c r="O7" s="17"/>
      <c r="P7" s="17"/>
      <c r="Q7" s="17"/>
      <c r="R7" s="17"/>
      <c r="S7" s="17"/>
      <c r="T7" s="17"/>
      <c r="U7" s="17"/>
      <c r="V7" s="17"/>
      <c r="W7" s="17"/>
      <c r="X7" s="17"/>
      <c r="Y7" s="17"/>
      <c r="Z7" s="17"/>
    </row>
    <row r="8">
      <c r="A8" s="32" t="s">
        <v>2576</v>
      </c>
      <c r="B8" s="33">
        <f>countifs(Order_data!$C$2:$C$2493,$A8)</f>
        <v>242</v>
      </c>
      <c r="C8" s="33">
        <f>countifs(Order_data!$C$2:$C$2493,$A8,Order_data!$I$2:$I$2493,Order_data!$I$12)</f>
        <v>140</v>
      </c>
      <c r="D8" s="39">
        <f t="shared" si="1"/>
        <v>0.5785123967</v>
      </c>
      <c r="E8" s="17"/>
      <c r="F8" s="17"/>
      <c r="G8" s="17"/>
      <c r="H8" s="17"/>
      <c r="I8" s="17"/>
      <c r="J8" s="17"/>
      <c r="K8" s="17"/>
      <c r="L8" s="17"/>
      <c r="M8" s="17"/>
      <c r="N8" s="17"/>
      <c r="O8" s="17"/>
      <c r="P8" s="17"/>
      <c r="Q8" s="17"/>
      <c r="R8" s="17"/>
      <c r="S8" s="17"/>
      <c r="T8" s="17"/>
      <c r="U8" s="17"/>
      <c r="V8" s="17"/>
      <c r="W8" s="17"/>
      <c r="X8" s="17"/>
      <c r="Y8" s="17"/>
      <c r="Z8" s="17"/>
    </row>
    <row r="9">
      <c r="A9" s="32" t="s">
        <v>2575</v>
      </c>
      <c r="B9" s="33">
        <f>countifs(Order_data!$C$2:$C$2493,$A9)</f>
        <v>230</v>
      </c>
      <c r="C9" s="33">
        <f>countifs(Order_data!$C$2:$C$2493,$A9,Order_data!$I$2:$I$2493,Order_data!$I$12)</f>
        <v>36</v>
      </c>
      <c r="D9" s="40">
        <f t="shared" si="1"/>
        <v>0.1565217391</v>
      </c>
      <c r="E9" s="17"/>
      <c r="F9" s="17"/>
      <c r="G9" s="17"/>
      <c r="H9" s="17"/>
      <c r="I9" s="17"/>
      <c r="J9" s="17"/>
      <c r="K9" s="17"/>
      <c r="L9" s="17"/>
      <c r="M9" s="17"/>
      <c r="N9" s="17"/>
      <c r="O9" s="17"/>
      <c r="P9" s="17"/>
      <c r="Q9" s="17"/>
      <c r="R9" s="17"/>
      <c r="S9" s="17"/>
      <c r="T9" s="17"/>
      <c r="U9" s="17"/>
      <c r="V9" s="17"/>
      <c r="W9" s="17"/>
      <c r="X9" s="17"/>
      <c r="Y9" s="17"/>
      <c r="Z9" s="17"/>
    </row>
    <row r="10">
      <c r="A10" s="32" t="s">
        <v>2566</v>
      </c>
      <c r="B10" s="33">
        <f>countifs(Order_data!$C$2:$C$2493,$A10)</f>
        <v>508</v>
      </c>
      <c r="C10" s="33">
        <f>countifs(Order_data!$C$2:$C$2493,$A10,Order_data!$I$2:$I$2493,Order_data!$I$12)</f>
        <v>221</v>
      </c>
      <c r="D10" s="41">
        <f t="shared" si="1"/>
        <v>0.4350393701</v>
      </c>
      <c r="E10" s="17"/>
      <c r="F10" s="17"/>
      <c r="G10" s="17"/>
      <c r="H10" s="17"/>
      <c r="I10" s="17"/>
      <c r="J10" s="17"/>
      <c r="K10" s="17"/>
      <c r="L10" s="17"/>
      <c r="M10" s="17"/>
      <c r="N10" s="17"/>
      <c r="O10" s="17"/>
      <c r="P10" s="17"/>
      <c r="Q10" s="17"/>
      <c r="R10" s="17"/>
      <c r="S10" s="17"/>
      <c r="T10" s="17"/>
      <c r="U10" s="17"/>
      <c r="V10" s="17"/>
      <c r="W10" s="17"/>
      <c r="X10" s="17"/>
      <c r="Y10" s="17"/>
      <c r="Z10" s="17"/>
    </row>
    <row r="11">
      <c r="A11" s="42" t="s">
        <v>2595</v>
      </c>
      <c r="B11" s="33">
        <f t="shared" ref="B11:C11" si="2">sum(B3:B10)</f>
        <v>2492</v>
      </c>
      <c r="C11" s="33">
        <f t="shared" si="2"/>
        <v>604</v>
      </c>
      <c r="D11" s="43">
        <f t="shared" si="1"/>
        <v>0.2423756019</v>
      </c>
      <c r="E11" s="17"/>
      <c r="F11" s="17"/>
      <c r="G11" s="17"/>
      <c r="H11" s="17"/>
      <c r="I11" s="17"/>
      <c r="J11" s="17"/>
      <c r="K11" s="17"/>
      <c r="L11" s="17"/>
      <c r="M11" s="17"/>
      <c r="N11" s="17"/>
      <c r="O11" s="17"/>
      <c r="P11" s="17"/>
      <c r="Q11" s="17"/>
      <c r="R11" s="17"/>
      <c r="S11" s="17"/>
      <c r="T11" s="17"/>
      <c r="U11" s="17"/>
      <c r="V11" s="17"/>
      <c r="W11" s="17"/>
      <c r="X11" s="17"/>
      <c r="Y11" s="17"/>
      <c r="Z11" s="17"/>
    </row>
    <row r="12">
      <c r="A12" s="44"/>
      <c r="B12" s="45"/>
      <c r="C12" s="45"/>
      <c r="D12" s="46"/>
      <c r="E12" s="17"/>
      <c r="F12" s="17"/>
      <c r="G12" s="17"/>
      <c r="H12" s="17"/>
      <c r="I12" s="17"/>
      <c r="J12" s="17"/>
      <c r="K12" s="17"/>
      <c r="L12" s="17"/>
      <c r="M12" s="17"/>
      <c r="N12" s="17"/>
      <c r="O12" s="17"/>
      <c r="P12" s="17"/>
      <c r="Q12" s="17"/>
      <c r="R12" s="17"/>
      <c r="S12" s="17"/>
      <c r="T12" s="17"/>
      <c r="U12" s="17"/>
      <c r="V12" s="17"/>
      <c r="W12" s="17"/>
      <c r="X12" s="17"/>
      <c r="Y12" s="17"/>
      <c r="Z12" s="17"/>
    </row>
    <row r="13">
      <c r="A13" s="47"/>
      <c r="B13" s="47"/>
      <c r="C13" s="47"/>
      <c r="D13" s="47"/>
      <c r="E13" s="17"/>
      <c r="F13" s="17"/>
      <c r="G13" s="17"/>
      <c r="H13" s="17"/>
      <c r="I13" s="17"/>
      <c r="J13" s="17"/>
      <c r="K13" s="17"/>
      <c r="L13" s="17"/>
      <c r="M13" s="17"/>
      <c r="N13" s="17"/>
      <c r="O13" s="17"/>
      <c r="P13" s="17"/>
      <c r="Q13" s="17"/>
      <c r="R13" s="17"/>
      <c r="S13" s="17"/>
      <c r="T13" s="17"/>
      <c r="U13" s="17"/>
      <c r="V13" s="17"/>
      <c r="W13" s="17"/>
      <c r="X13" s="17"/>
      <c r="Y13" s="17"/>
      <c r="Z13" s="17"/>
    </row>
    <row r="14">
      <c r="A14" s="48" t="s">
        <v>2596</v>
      </c>
      <c r="B14" s="28"/>
      <c r="C14" s="29"/>
      <c r="D14" s="47"/>
      <c r="E14" s="17"/>
      <c r="F14" s="17"/>
      <c r="G14" s="17"/>
      <c r="H14" s="17"/>
      <c r="I14" s="17"/>
      <c r="J14" s="17"/>
      <c r="K14" s="17"/>
      <c r="L14" s="17"/>
      <c r="M14" s="17"/>
      <c r="N14" s="17"/>
      <c r="O14" s="17"/>
      <c r="P14" s="17"/>
      <c r="Q14" s="17"/>
      <c r="R14" s="17"/>
      <c r="S14" s="17"/>
      <c r="T14" s="17"/>
      <c r="U14" s="17"/>
      <c r="V14" s="17"/>
      <c r="W14" s="17"/>
      <c r="X14" s="17"/>
      <c r="Y14" s="17"/>
      <c r="Z14" s="17"/>
    </row>
    <row r="15">
      <c r="A15" s="30" t="s">
        <v>2544</v>
      </c>
      <c r="B15" s="30" t="s">
        <v>2576</v>
      </c>
      <c r="C15" s="30" t="s">
        <v>2566</v>
      </c>
      <c r="D15" s="47"/>
      <c r="E15" s="17"/>
      <c r="F15" s="17"/>
      <c r="G15" s="17"/>
      <c r="H15" s="17"/>
      <c r="I15" s="17"/>
      <c r="J15" s="17"/>
      <c r="K15" s="17"/>
      <c r="L15" s="17"/>
      <c r="M15" s="17"/>
      <c r="N15" s="17"/>
      <c r="O15" s="17"/>
      <c r="P15" s="17"/>
      <c r="Q15" s="17"/>
      <c r="R15" s="17"/>
      <c r="S15" s="17"/>
      <c r="T15" s="17"/>
      <c r="U15" s="17"/>
      <c r="V15" s="17"/>
      <c r="W15" s="17"/>
      <c r="X15" s="17"/>
      <c r="Y15" s="17"/>
      <c r="Z15" s="17"/>
    </row>
    <row r="16">
      <c r="A16" s="32" t="str">
        <f>IFERROR(__xludf.DUMMYFUNCTION("UNIQUE(filter(Order_data!$J$2:$J$2493,Order_data!$I$2:$I$2493=Order_data!$I$2472))"),"Delayed Delivery")</f>
        <v>Delayed Delivery</v>
      </c>
      <c r="B16" s="35">
        <f>if($B$15="Overall",countifs(Order_data!$J$2:$J$2493,$A16,Order_data!$I$2:$I$2493,Order_data!$I$2472)/countifs(Order_data!$I$2:$I$2493,Order_data!$I$2472),countifs(Order_data!$J$2:$J$2493,$A16,Order_data!$C$2:$C$2493,$B$15,Order_data!$I$2:$I$2493,Order_data!$I$2472)/countifs(Order_data!$C$2:$C$2493,$B$15,Order_data!$I$2:$I$2493,Order_data!$I$2472))</f>
        <v>0.4428571429</v>
      </c>
      <c r="C16" s="35">
        <f>countifs(Order_data!$J$2:$J$2493,$A16,Order_data!$C$2:$C$2493,$C$15,Order_data!$I$2:$I$2493,"Cancelled")/countifs(Order_data!$C$2:$C$2493,$C$15,Order_data!$I$2:$I$2493,Order_data!$I$2472)</f>
        <v>0.4841628959</v>
      </c>
      <c r="D16" s="47"/>
      <c r="E16" s="17"/>
      <c r="F16" s="17"/>
      <c r="G16" s="17"/>
      <c r="H16" s="17"/>
      <c r="I16" s="17"/>
      <c r="J16" s="17"/>
      <c r="K16" s="17"/>
      <c r="L16" s="17"/>
      <c r="M16" s="17"/>
      <c r="N16" s="17"/>
      <c r="O16" s="17"/>
      <c r="P16" s="17"/>
      <c r="Q16" s="17"/>
      <c r="R16" s="17"/>
      <c r="S16" s="17"/>
      <c r="T16" s="17"/>
      <c r="U16" s="17"/>
      <c r="V16" s="17"/>
      <c r="W16" s="17"/>
      <c r="X16" s="17"/>
      <c r="Y16" s="17"/>
      <c r="Z16" s="17"/>
    </row>
    <row r="17">
      <c r="A17" s="32" t="str">
        <f>IFERROR(__xludf.DUMMYFUNCTION("""COMPUTED_VALUE"""),"High Delivery Fees")</f>
        <v>High Delivery Fees</v>
      </c>
      <c r="B17" s="35">
        <f>if($B$15="Overall",countifs(Order_data!$J$2:$J$2493,$A17,Order_data!$I$2:$I$2493,Order_data!$I$2472)/countifs(Order_data!$I$2:$I$2493,Order_data!$I$2472),countifs(Order_data!$J$2:$J$2493,$A17,Order_data!$C$2:$C$2493,$B$15,Order_data!$I$2:$I$2493,Order_data!$I$2472)/countifs(Order_data!$C$2:$C$2493,$B$15,Order_data!$I$2:$I$2493,Order_data!$I$2472))</f>
        <v>0.08571428571</v>
      </c>
      <c r="C17" s="35">
        <f>countifs(Order_data!$J$2:$J$2493,$A17,Order_data!$C$2:$C$2493,$C$15,Order_data!$I$2:$I$2493,"Cancelled")/countifs(Order_data!$C$2:$C$2493,$C$15,Order_data!$I$2:$I$2493,Order_data!$I$2472)</f>
        <v>0.06787330317</v>
      </c>
      <c r="D17" s="47"/>
      <c r="E17" s="17"/>
      <c r="F17" s="17"/>
      <c r="G17" s="17"/>
      <c r="H17" s="17"/>
      <c r="I17" s="17"/>
      <c r="J17" s="17"/>
      <c r="K17" s="17"/>
      <c r="L17" s="17"/>
      <c r="M17" s="17"/>
      <c r="N17" s="17"/>
      <c r="O17" s="17"/>
      <c r="P17" s="17"/>
      <c r="Q17" s="17"/>
      <c r="R17" s="17"/>
      <c r="S17" s="17"/>
      <c r="T17" s="17"/>
      <c r="U17" s="17"/>
      <c r="V17" s="17"/>
      <c r="W17" s="17"/>
      <c r="X17" s="17"/>
      <c r="Y17" s="17"/>
      <c r="Z17" s="17"/>
    </row>
    <row r="18">
      <c r="A18" s="32" t="str">
        <f>IFERROR(__xludf.DUMMYFUNCTION("""COMPUTED_VALUE"""),"Payment Issues")</f>
        <v>Payment Issues</v>
      </c>
      <c r="B18" s="35">
        <f>if($B$15="Overall",countifs(Order_data!$J$2:$J$2493,$A18,Order_data!$I$2:$I$2493,Order_data!$I$2472)/countifs(Order_data!$I$2:$I$2493,Order_data!$I$2472),countifs(Order_data!$J$2:$J$2493,$A18,Order_data!$C$2:$C$2493,$B$15,Order_data!$I$2:$I$2493,Order_data!$I$2472)/countifs(Order_data!$C$2:$C$2493,$B$15,Order_data!$I$2:$I$2493,Order_data!$I$2472))</f>
        <v>0.06428571429</v>
      </c>
      <c r="C18" s="35">
        <f>countifs(Order_data!$J$2:$J$2493,$A18,Order_data!$C$2:$C$2493,$C$15,Order_data!$I$2:$I$2493,"Cancelled")/countifs(Order_data!$C$2:$C$2493,$C$15,Order_data!$I$2:$I$2493,Order_data!$I$2472)</f>
        <v>0.04524886878</v>
      </c>
      <c r="D18" s="47"/>
      <c r="E18" s="17"/>
      <c r="F18" s="17"/>
      <c r="G18" s="17"/>
      <c r="H18" s="17"/>
      <c r="I18" s="17"/>
      <c r="J18" s="17"/>
      <c r="K18" s="17"/>
      <c r="L18" s="17"/>
      <c r="M18" s="17"/>
      <c r="N18" s="17"/>
      <c r="O18" s="17"/>
      <c r="P18" s="17"/>
      <c r="Q18" s="17"/>
      <c r="R18" s="17"/>
      <c r="S18" s="17"/>
      <c r="T18" s="17"/>
      <c r="U18" s="17"/>
      <c r="V18" s="17"/>
      <c r="W18" s="17"/>
      <c r="X18" s="17"/>
      <c r="Y18" s="17"/>
      <c r="Z18" s="17"/>
    </row>
    <row r="19">
      <c r="A19" s="32" t="str">
        <f>IFERROR(__xludf.DUMMYFUNCTION("""COMPUTED_VALUE"""),"Out of Stock")</f>
        <v>Out of Stock</v>
      </c>
      <c r="B19" s="35">
        <f>if($B$15="Overall",countifs(Order_data!$J$2:$J$2493,$A19,Order_data!$I$2:$I$2493,Order_data!$I$2472)/countifs(Order_data!$I$2:$I$2493,Order_data!$I$2472),countifs(Order_data!$J$2:$J$2493,$A19,Order_data!$C$2:$C$2493,$B$15,Order_data!$I$2:$I$2493,Order_data!$I$2472)/countifs(Order_data!$C$2:$C$2493,$B$15,Order_data!$I$2:$I$2493,Order_data!$I$2472))</f>
        <v>0.05</v>
      </c>
      <c r="C19" s="35">
        <f>countifs(Order_data!$J$2:$J$2493,$A19,Order_data!$C$2:$C$2493,$C$15,Order_data!$I$2:$I$2493,"Cancelled")/countifs(Order_data!$C$2:$C$2493,$C$15,Order_data!$I$2:$I$2493,Order_data!$I$2472)</f>
        <v>0.0814479638</v>
      </c>
      <c r="D19" s="47"/>
      <c r="E19" s="17"/>
      <c r="F19" s="17"/>
      <c r="G19" s="17"/>
      <c r="H19" s="17"/>
      <c r="I19" s="17"/>
      <c r="J19" s="17"/>
      <c r="K19" s="17"/>
      <c r="L19" s="17"/>
      <c r="M19" s="17"/>
      <c r="N19" s="17"/>
      <c r="O19" s="17"/>
      <c r="P19" s="17"/>
      <c r="Q19" s="17"/>
      <c r="R19" s="17"/>
      <c r="S19" s="17"/>
      <c r="T19" s="17"/>
      <c r="U19" s="17"/>
      <c r="V19" s="17"/>
      <c r="W19" s="17"/>
      <c r="X19" s="17"/>
      <c r="Y19" s="17"/>
      <c r="Z19" s="17"/>
    </row>
    <row r="20">
      <c r="A20" s="32" t="str">
        <f>IFERROR(__xludf.DUMMYFUNCTION("""COMPUTED_VALUE"""),"App Glitches")</f>
        <v>App Glitches</v>
      </c>
      <c r="B20" s="35">
        <f>if($B$15="Overall",countifs(Order_data!$J$2:$J$2493,$A20,Order_data!$I$2:$I$2493,Order_data!$I$2472)/countifs(Order_data!$I$2:$I$2493,Order_data!$I$2472),countifs(Order_data!$J$2:$J$2493,$A20,Order_data!$C$2:$C$2493,$B$15,Order_data!$I$2:$I$2493,Order_data!$I$2472)/countifs(Order_data!$C$2:$C$2493,$B$15,Order_data!$I$2:$I$2493,Order_data!$I$2472))</f>
        <v>0.3571428571</v>
      </c>
      <c r="C20" s="35">
        <f>countifs(Order_data!$J$2:$J$2493,$A20,Order_data!$C$2:$C$2493,$C$15,Order_data!$I$2:$I$2493,"Cancelled")/countifs(Order_data!$C$2:$C$2493,$C$15,Order_data!$I$2:$I$2493,Order_data!$I$2472)</f>
        <v>0.3212669683</v>
      </c>
      <c r="D20" s="47"/>
      <c r="E20" s="17"/>
      <c r="F20" s="17"/>
      <c r="G20" s="17"/>
      <c r="H20" s="17"/>
      <c r="I20" s="17"/>
      <c r="J20" s="17"/>
      <c r="K20" s="17"/>
      <c r="L20" s="17"/>
      <c r="M20" s="17"/>
      <c r="N20" s="17"/>
      <c r="O20" s="17"/>
      <c r="P20" s="17"/>
      <c r="Q20" s="17"/>
      <c r="R20" s="17"/>
      <c r="S20" s="17"/>
      <c r="T20" s="17"/>
      <c r="U20" s="17"/>
      <c r="V20" s="17"/>
      <c r="W20" s="17"/>
      <c r="X20" s="17"/>
      <c r="Y20" s="17"/>
      <c r="Z20" s="17"/>
    </row>
    <row r="21">
      <c r="A21" s="44"/>
      <c r="B21" s="46"/>
      <c r="C21" s="46"/>
      <c r="D21" s="47"/>
      <c r="E21" s="17"/>
      <c r="F21" s="17"/>
      <c r="G21" s="17"/>
      <c r="H21" s="17"/>
      <c r="I21" s="17"/>
      <c r="J21" s="17"/>
      <c r="K21" s="17"/>
      <c r="L21" s="17"/>
      <c r="M21" s="17"/>
      <c r="N21" s="17"/>
      <c r="O21" s="17"/>
      <c r="P21" s="17"/>
      <c r="Q21" s="17"/>
      <c r="R21" s="17"/>
      <c r="S21" s="17"/>
      <c r="T21" s="17"/>
      <c r="U21" s="17"/>
      <c r="V21" s="17"/>
      <c r="W21" s="17"/>
      <c r="X21" s="17"/>
      <c r="Y21" s="17"/>
      <c r="Z21" s="17"/>
    </row>
    <row r="22">
      <c r="A22" s="47"/>
      <c r="B22" s="47"/>
      <c r="C22" s="47"/>
      <c r="D22" s="47"/>
      <c r="E22" s="17"/>
      <c r="F22" s="17"/>
      <c r="G22" s="17"/>
      <c r="H22" s="17"/>
      <c r="I22" s="17"/>
      <c r="J22" s="17"/>
      <c r="K22" s="17"/>
      <c r="L22" s="17"/>
      <c r="M22" s="17"/>
      <c r="N22" s="17"/>
      <c r="O22" s="17"/>
      <c r="P22" s="17"/>
      <c r="Q22" s="17"/>
      <c r="R22" s="17"/>
      <c r="S22" s="17"/>
      <c r="T22" s="17"/>
      <c r="U22" s="17"/>
      <c r="V22" s="17"/>
      <c r="W22" s="17"/>
      <c r="X22" s="17"/>
      <c r="Y22" s="17"/>
      <c r="Z22" s="17"/>
    </row>
    <row r="23">
      <c r="A23" s="31" t="s">
        <v>2597</v>
      </c>
      <c r="B23" s="31" t="str">
        <f>A16</f>
        <v>Delayed Delivery</v>
      </c>
      <c r="C23" s="49"/>
      <c r="D23" s="47"/>
      <c r="E23" s="17"/>
      <c r="F23" s="17"/>
      <c r="G23" s="17"/>
      <c r="H23" s="17"/>
      <c r="I23" s="17"/>
      <c r="J23" s="17"/>
      <c r="K23" s="17"/>
      <c r="L23" s="17"/>
      <c r="M23" s="17"/>
      <c r="N23" s="17"/>
      <c r="O23" s="17"/>
      <c r="P23" s="17"/>
      <c r="Q23" s="17"/>
      <c r="R23" s="17"/>
      <c r="S23" s="17"/>
      <c r="T23" s="17"/>
      <c r="U23" s="17"/>
      <c r="V23" s="17"/>
      <c r="W23" s="17"/>
      <c r="X23" s="17"/>
      <c r="Y23" s="17"/>
      <c r="Z23" s="17"/>
    </row>
    <row r="24">
      <c r="A24" s="30" t="s">
        <v>2598</v>
      </c>
      <c r="B24" s="31" t="str">
        <f t="shared" ref="B24:C24" si="3">B15</f>
        <v>Malad</v>
      </c>
      <c r="C24" s="31" t="str">
        <f t="shared" si="3"/>
        <v>Juhu</v>
      </c>
      <c r="D24" s="47"/>
      <c r="E24" s="17"/>
      <c r="F24" s="17"/>
      <c r="G24" s="17"/>
      <c r="H24" s="17"/>
      <c r="I24" s="17"/>
      <c r="J24" s="17"/>
      <c r="K24" s="17"/>
      <c r="L24" s="17"/>
      <c r="M24" s="17"/>
      <c r="N24" s="17"/>
      <c r="O24" s="17"/>
      <c r="P24" s="17"/>
      <c r="Q24" s="17"/>
      <c r="R24" s="17"/>
      <c r="S24" s="17"/>
      <c r="T24" s="17"/>
      <c r="U24" s="17"/>
      <c r="V24" s="17"/>
      <c r="W24" s="17"/>
      <c r="X24" s="17"/>
      <c r="Y24" s="17"/>
      <c r="Z24" s="17"/>
    </row>
    <row r="25">
      <c r="A25" s="32" t="str">
        <f>IFERROR(__xludf.DUMMYFUNCTION("if($B$15=""Overall"",UNIQUE(filter(Order_data!$K$2:$K$2493,Order_data!$K$2:$K$2493&lt;&gt;"""")),unique(filter(Order_data!$K$2:$K$2493,(Order_data!$C$2:$C$2493=$B$15)+(Order_data!$C$2:$C$2493=$C$15),(Order_data!$K$2:$K$2493&lt;&gt;""""),Order_data!$J$2:$J$2493=$B$23)"&amp;"))"),"Bad Weather Conditions")</f>
        <v>Bad Weather Conditions</v>
      </c>
      <c r="B25" s="50">
        <f>if(A25&lt;&gt;"",if($B$15="Overall",countifs(Order_data!$C$2:$C$2493,$B$15,Order_data!$K$2:$K$2493,$A25)/countifs(Order_data!$J$2:$J$2493,$B$23),countifs(Order_data!$I$2:$I$2493,"Cancelled",Order_data!$K$2:$K$2493,$A25,Order_data!$J$2:$J$2493,$B$23,Order_data!$C$2:$C$2493,$B$15)/countifs(Order_data!$I$2:$I$2493,Order_data!$I$12,Order_data!$C$2:$C$2493,$B$15,Order_data!$J$2:$J$2493,$B$23)),"")</f>
        <v>0.3225806452</v>
      </c>
      <c r="C25" s="50">
        <f>countifs(Order_data!$I$2:$I$2493,"Cancelled",Order_data!$K$2:$K$2493,$A25,Order_data!$J$2:$J$2493,$B$23,Order_data!$C$2:$C$2493,$C$15)/countifs(Order_data!$I$2:$I$2493,Order_data!$I$12,Order_data!$C$2:$C$2493,$C$15,Order_data!$J$2:$J$2493,$B$23)</f>
        <v>0.3177570093</v>
      </c>
      <c r="D25" s="47"/>
      <c r="E25" s="17"/>
      <c r="F25" s="17"/>
      <c r="G25" s="17"/>
      <c r="H25" s="17"/>
      <c r="I25" s="17"/>
      <c r="J25" s="17"/>
      <c r="K25" s="17"/>
      <c r="L25" s="17"/>
      <c r="M25" s="17"/>
      <c r="N25" s="17"/>
      <c r="O25" s="17"/>
      <c r="P25" s="17"/>
      <c r="Q25" s="17"/>
      <c r="R25" s="17"/>
      <c r="S25" s="17"/>
      <c r="T25" s="17"/>
      <c r="U25" s="17"/>
      <c r="V25" s="17"/>
      <c r="W25" s="17"/>
      <c r="X25" s="17"/>
      <c r="Y25" s="17"/>
      <c r="Z25" s="17"/>
    </row>
    <row r="26">
      <c r="A26" s="32" t="str">
        <f>IFERROR(__xludf.DUMMYFUNCTION("""COMPUTED_VALUE"""),"Traffic Accidents or Road Closures")</f>
        <v>Traffic Accidents or Road Closures</v>
      </c>
      <c r="B26" s="50">
        <f>if(A26&lt;&gt;"",if($B$15="Overall",countifs(Order_data!$C$2:$C$2493,$B$15,Order_data!$K$2:$K$2493,$A26)/countifs(Order_data!$J$2:$J$2493,$B$23),countifs(Order_data!$I$2:$I$2493,"Cancelled",Order_data!$K$2:$K$2493,$A26,Order_data!$J$2:$J$2493,$B$23,Order_data!$C$2:$C$2493,$B$15)/countifs(Order_data!$I$2:$I$2493,Order_data!$I$12,Order_data!$C$2:$C$2493,$B$15,Order_data!$J$2:$J$2493,$B$23)),"")</f>
        <v>0.04838709677</v>
      </c>
      <c r="C26" s="50">
        <f>countifs(Order_data!$I$2:$I$2493,"Cancelled",Order_data!$K$2:$K$2493,$A26,Order_data!$J$2:$J$2493,$B$23,Order_data!$C$2:$C$2493,$C$15)/countifs(Order_data!$I$2:$I$2493,Order_data!$I$12,Order_data!$C$2:$C$2493,$C$15,Order_data!$J$2:$J$2493,$B$23)</f>
        <v>0.08411214953</v>
      </c>
      <c r="D26" s="47"/>
      <c r="E26" s="17"/>
      <c r="F26" s="17"/>
      <c r="G26" s="17"/>
      <c r="H26" s="17"/>
      <c r="I26" s="17"/>
      <c r="J26" s="17"/>
      <c r="K26" s="17"/>
      <c r="L26" s="17"/>
      <c r="M26" s="17"/>
      <c r="N26" s="17"/>
      <c r="O26" s="17"/>
      <c r="P26" s="17"/>
      <c r="Q26" s="17"/>
      <c r="R26" s="17"/>
      <c r="S26" s="17"/>
      <c r="T26" s="17"/>
      <c r="U26" s="17"/>
      <c r="V26" s="17"/>
      <c r="W26" s="17"/>
      <c r="X26" s="17"/>
      <c r="Y26" s="17"/>
      <c r="Z26" s="17"/>
    </row>
    <row r="27">
      <c r="A27" s="32" t="str">
        <f>IFERROR(__xludf.DUMMYFUNCTION("""COMPUTED_VALUE"""),"Heavy Traffic")</f>
        <v>Heavy Traffic</v>
      </c>
      <c r="B27" s="50">
        <f>if(A27&lt;&gt;"",if($B$15="Overall",countifs(Order_data!$C$2:$C$2493,$B$15,Order_data!$K$2:$K$2493,$A27)/countifs(Order_data!$J$2:$J$2493,$B$23),countifs(Order_data!$I$2:$I$2493,"Cancelled",Order_data!$K$2:$K$2493,$A27,Order_data!$J$2:$J$2493,$B$23,Order_data!$C$2:$C$2493,$B$15)/countifs(Order_data!$I$2:$I$2493,Order_data!$I$12,Order_data!$C$2:$C$2493,$B$15,Order_data!$J$2:$J$2493,$B$23)),"")</f>
        <v>0.3709677419</v>
      </c>
      <c r="C27" s="50">
        <f>countifs(Order_data!$I$2:$I$2493,"Cancelled",Order_data!$K$2:$K$2493,$A27,Order_data!$J$2:$J$2493,$B$23,Order_data!$C$2:$C$2493,$C$15)/countifs(Order_data!$I$2:$I$2493,Order_data!$I$12,Order_data!$C$2:$C$2493,$C$15,Order_data!$J$2:$J$2493,$B$23)</f>
        <v>0.3831775701</v>
      </c>
      <c r="D27" s="47"/>
      <c r="E27" s="17"/>
      <c r="F27" s="17"/>
      <c r="G27" s="17"/>
      <c r="H27" s="17"/>
      <c r="I27" s="17"/>
      <c r="J27" s="17"/>
      <c r="K27" s="17"/>
      <c r="L27" s="17"/>
      <c r="M27" s="17"/>
      <c r="N27" s="17"/>
      <c r="O27" s="17"/>
      <c r="P27" s="17"/>
      <c r="Q27" s="17"/>
      <c r="R27" s="17"/>
      <c r="S27" s="17"/>
      <c r="T27" s="17"/>
      <c r="U27" s="17"/>
      <c r="V27" s="17"/>
      <c r="W27" s="17"/>
      <c r="X27" s="17"/>
      <c r="Y27" s="17"/>
      <c r="Z27" s="17"/>
    </row>
    <row r="28">
      <c r="A28" s="32" t="str">
        <f>IFERROR(__xludf.DUMMYFUNCTION("""COMPUTED_VALUE"""),"Vehicle Breakdown")</f>
        <v>Vehicle Breakdown</v>
      </c>
      <c r="B28" s="50">
        <f>if(A28&lt;&gt;"",if($B$15="Overall",countifs(Order_data!$C$2:$C$2493,$B$15,Order_data!$K$2:$K$2493,$A28)/countifs(Order_data!$J$2:$J$2493,$B$23),countifs(Order_data!$I$2:$I$2493,"Cancelled",Order_data!$K$2:$K$2493,$A28,Order_data!$J$2:$J$2493,$B$23,Order_data!$C$2:$C$2493,$B$15)/countifs(Order_data!$I$2:$I$2493,Order_data!$I$12,Order_data!$C$2:$C$2493,$B$15,Order_data!$J$2:$J$2493,$B$23)),"")</f>
        <v>0.08064516129</v>
      </c>
      <c r="C28" s="50">
        <f>countifs(Order_data!$I$2:$I$2493,"Cancelled",Order_data!$K$2:$K$2493,$A28,Order_data!$J$2:$J$2493,$B$23,Order_data!$C$2:$C$2493,$C$15)/countifs(Order_data!$I$2:$I$2493,Order_data!$I$12,Order_data!$C$2:$C$2493,$C$15,Order_data!$J$2:$J$2493,$B$23)</f>
        <v>0.06542056075</v>
      </c>
      <c r="D28" s="47"/>
      <c r="E28" s="17"/>
      <c r="F28" s="17"/>
      <c r="G28" s="17"/>
      <c r="H28" s="17"/>
      <c r="I28" s="17"/>
      <c r="J28" s="17"/>
      <c r="K28" s="17"/>
      <c r="L28" s="17"/>
      <c r="M28" s="17"/>
      <c r="N28" s="17"/>
      <c r="O28" s="17"/>
      <c r="P28" s="17"/>
      <c r="Q28" s="17"/>
      <c r="R28" s="17"/>
      <c r="S28" s="17"/>
      <c r="T28" s="17"/>
      <c r="U28" s="17"/>
      <c r="V28" s="17"/>
      <c r="W28" s="17"/>
      <c r="X28" s="17"/>
      <c r="Y28" s="17"/>
      <c r="Z28" s="17"/>
    </row>
    <row r="29">
      <c r="A29" s="32" t="str">
        <f>IFERROR(__xludf.DUMMYFUNCTION("""COMPUTED_VALUE"""),"High Order Volume")</f>
        <v>High Order Volume</v>
      </c>
      <c r="B29" s="50">
        <f>if(A29&lt;&gt;"",if($B$15="Overall",countifs(Order_data!$C$2:$C$2493,$B$15,Order_data!$K$2:$K$2493,$A29)/countifs(Order_data!$J$2:$J$2493,$B$23),countifs(Order_data!$I$2:$I$2493,"Cancelled",Order_data!$K$2:$K$2493,$A29,Order_data!$J$2:$J$2493,$B$23,Order_data!$C$2:$C$2493,$B$15)/countifs(Order_data!$I$2:$I$2493,Order_data!$I$12,Order_data!$C$2:$C$2493,$B$15,Order_data!$J$2:$J$2493,$B$23)),"")</f>
        <v>0.1290322581</v>
      </c>
      <c r="C29" s="50">
        <f>countifs(Order_data!$I$2:$I$2493,"Cancelled",Order_data!$K$2:$K$2493,$A29,Order_data!$J$2:$J$2493,$B$23,Order_data!$C$2:$C$2493,$C$15)/countifs(Order_data!$I$2:$I$2493,Order_data!$I$12,Order_data!$C$2:$C$2493,$C$15,Order_data!$J$2:$J$2493,$B$23)</f>
        <v>0.07476635514</v>
      </c>
      <c r="D29" s="47"/>
      <c r="E29" s="17"/>
      <c r="F29" s="17"/>
      <c r="G29" s="17"/>
      <c r="H29" s="17"/>
      <c r="I29" s="17"/>
      <c r="J29" s="17"/>
      <c r="K29" s="17"/>
      <c r="L29" s="17"/>
      <c r="M29" s="17"/>
      <c r="N29" s="17"/>
      <c r="O29" s="17"/>
      <c r="P29" s="17"/>
      <c r="Q29" s="17"/>
      <c r="R29" s="17"/>
      <c r="S29" s="17"/>
      <c r="T29" s="17"/>
      <c r="U29" s="17"/>
      <c r="V29" s="17"/>
      <c r="W29" s="17"/>
      <c r="X29" s="17"/>
      <c r="Y29" s="17"/>
      <c r="Z29" s="17"/>
    </row>
    <row r="30">
      <c r="A30" s="51" t="str">
        <f>IFERROR(__xludf.DUMMYFUNCTION("""COMPUTED_VALUE"""),"Incorrect Address or Location")</f>
        <v>Incorrect Address or Location</v>
      </c>
      <c r="B30" s="52">
        <f>if(A30&lt;&gt;"",if($B$15="Overall",countifs(Order_data!$C$2:$C$2493,$B$15,Order_data!$K$2:$K$2493,$A30)/countifs(Order_data!$J$2:$J$2493,$B$23),countifs(Order_data!$I$2:$I$2493,"Cancelled",Order_data!$K$2:$K$2493,$A30,Order_data!$J$2:$J$2493,$B$23,Order_data!$C$2:$C$2493,$B$15)/countifs(Order_data!$I$2:$I$2493,Order_data!$I$12,Order_data!$C$2:$C$2493,$B$15,Order_data!$J$2:$J$2493,$B$23)),"")</f>
        <v>0.04838709677</v>
      </c>
      <c r="C30" s="52">
        <f>countifs(Order_data!$I$2:$I$2493,"Cancelled",Order_data!$K$2:$K$2493,$A30,Order_data!$J$2:$J$2493,$B$23,Order_data!$C$2:$C$2493,$C$15)/countifs(Order_data!$I$2:$I$2493,Order_data!$I$12,Order_data!$C$2:$C$2493,$C$15,Order_data!$J$2:$J$2493,$B$23)</f>
        <v>0.07476635514</v>
      </c>
      <c r="D30" s="47"/>
      <c r="E30" s="17"/>
      <c r="F30" s="17"/>
      <c r="G30" s="17"/>
      <c r="H30" s="17"/>
      <c r="I30" s="17"/>
      <c r="J30" s="17"/>
      <c r="K30" s="17"/>
      <c r="L30" s="17"/>
      <c r="M30" s="17"/>
      <c r="N30" s="17"/>
      <c r="O30" s="17"/>
      <c r="P30" s="17"/>
      <c r="Q30" s="17"/>
      <c r="R30" s="17"/>
      <c r="S30" s="17"/>
      <c r="T30" s="17"/>
      <c r="U30" s="17"/>
      <c r="V30" s="17"/>
      <c r="W30" s="17"/>
      <c r="X30" s="17"/>
      <c r="Y30" s="17"/>
      <c r="Z30" s="17"/>
    </row>
    <row r="31">
      <c r="A31" s="53"/>
      <c r="B31" s="54"/>
      <c r="C31" s="54"/>
      <c r="D31" s="47"/>
      <c r="E31" s="17"/>
      <c r="F31" s="17"/>
      <c r="G31" s="17"/>
      <c r="H31" s="17"/>
      <c r="I31" s="17"/>
      <c r="J31" s="17"/>
      <c r="K31" s="17"/>
      <c r="L31" s="17"/>
      <c r="M31" s="17"/>
      <c r="N31" s="17"/>
      <c r="O31" s="17"/>
      <c r="P31" s="17"/>
      <c r="Q31" s="17"/>
      <c r="R31" s="17"/>
      <c r="S31" s="17"/>
      <c r="T31" s="17"/>
      <c r="U31" s="17"/>
      <c r="V31" s="17"/>
      <c r="W31" s="17"/>
      <c r="X31" s="17"/>
      <c r="Y31" s="17"/>
      <c r="Z31" s="17"/>
    </row>
    <row r="32">
      <c r="A32" s="55"/>
      <c r="B32" s="56"/>
      <c r="C32" s="57"/>
      <c r="D32" s="47"/>
      <c r="E32" s="17"/>
      <c r="F32" s="17"/>
      <c r="G32" s="17"/>
      <c r="H32" s="17"/>
      <c r="I32" s="17"/>
      <c r="J32" s="17"/>
      <c r="K32" s="17"/>
      <c r="L32" s="17"/>
      <c r="M32" s="17"/>
      <c r="N32" s="17"/>
      <c r="O32" s="17"/>
      <c r="P32" s="17"/>
      <c r="Q32" s="17"/>
      <c r="R32" s="17"/>
      <c r="S32" s="17"/>
      <c r="T32" s="17"/>
      <c r="U32" s="17"/>
      <c r="V32" s="17"/>
      <c r="W32" s="17"/>
      <c r="X32" s="17"/>
      <c r="Y32" s="17"/>
      <c r="Z32" s="17"/>
    </row>
    <row r="33">
      <c r="A33" s="31" t="s">
        <v>2597</v>
      </c>
      <c r="B33" s="30" t="s">
        <v>2567</v>
      </c>
      <c r="C33" s="57"/>
      <c r="D33" s="47"/>
      <c r="E33" s="17"/>
      <c r="F33" s="17"/>
      <c r="G33" s="17"/>
      <c r="H33" s="17"/>
      <c r="I33" s="17"/>
      <c r="J33" s="17"/>
      <c r="K33" s="17"/>
      <c r="L33" s="17"/>
      <c r="M33" s="17"/>
      <c r="N33" s="17"/>
      <c r="O33" s="17"/>
      <c r="P33" s="17"/>
      <c r="Q33" s="17"/>
      <c r="R33" s="17"/>
      <c r="S33" s="17"/>
      <c r="T33" s="17"/>
      <c r="U33" s="17"/>
      <c r="V33" s="17"/>
      <c r="W33" s="17"/>
      <c r="X33" s="17"/>
      <c r="Y33" s="17"/>
      <c r="Z33" s="17"/>
    </row>
    <row r="34">
      <c r="A34" s="30" t="s">
        <v>2598</v>
      </c>
      <c r="B34" s="31" t="s">
        <v>2595</v>
      </c>
      <c r="C34" s="57"/>
      <c r="D34" s="47"/>
      <c r="E34" s="17"/>
      <c r="F34" s="17"/>
      <c r="G34" s="17"/>
      <c r="H34" s="17"/>
      <c r="I34" s="17"/>
      <c r="J34" s="17"/>
      <c r="K34" s="17"/>
      <c r="L34" s="17"/>
      <c r="M34" s="17"/>
      <c r="N34" s="17"/>
      <c r="O34" s="17"/>
      <c r="P34" s="17"/>
      <c r="Q34" s="17"/>
      <c r="R34" s="17"/>
      <c r="S34" s="17"/>
      <c r="T34" s="17"/>
      <c r="U34" s="17"/>
      <c r="V34" s="17"/>
      <c r="W34" s="17"/>
      <c r="X34" s="17"/>
      <c r="Y34" s="17"/>
      <c r="Z34" s="17"/>
    </row>
    <row r="35">
      <c r="A35" s="32" t="str">
        <f>IFERROR(__xludf.DUMMYFUNCTION("UNIQUE(filter(Order_data!$K$2:$K$2493,Order_data!$J$2:$J$2493=$B$33))"),"Slow Loading Time")</f>
        <v>Slow Loading Time</v>
      </c>
      <c r="B35" s="58">
        <f>countifs(Order_data!K$2:K$2493,$A35,Order_data!$J$2:$J$2493,$B$33,Order_data!$I$2:$I$2493,Order_data!$I$2472)/countifs(Order_data!$J$2:$J$2493,$B$33)</f>
        <v>0.4011299435</v>
      </c>
      <c r="C35" s="57"/>
      <c r="D35" s="47"/>
      <c r="E35" s="17"/>
      <c r="F35" s="17"/>
      <c r="G35" s="17"/>
      <c r="H35" s="17"/>
      <c r="I35" s="17"/>
      <c r="J35" s="17"/>
      <c r="K35" s="17"/>
      <c r="L35" s="17"/>
      <c r="M35" s="17"/>
      <c r="N35" s="17"/>
      <c r="O35" s="17"/>
      <c r="P35" s="17"/>
      <c r="Q35" s="17"/>
      <c r="R35" s="17"/>
      <c r="S35" s="17"/>
      <c r="T35" s="17"/>
      <c r="U35" s="17"/>
      <c r="V35" s="17"/>
      <c r="W35" s="17"/>
      <c r="X35" s="17"/>
      <c r="Y35" s="17"/>
      <c r="Z35" s="17"/>
    </row>
    <row r="36">
      <c r="A36" s="32" t="str">
        <f>IFERROR(__xludf.DUMMYFUNCTION("""COMPUTED_VALUE"""),"Payment Button Malfunction")</f>
        <v>Payment Button Malfunction</v>
      </c>
      <c r="B36" s="58">
        <f>countifs(Order_data!K$2:K$2493,$A36,Order_data!$J$2:$J$2493,$B$33,Order_data!$I$2:$I$2493,Order_data!$I$2472)/countifs(Order_data!$J$2:$J$2493,$B$33)</f>
        <v>0.3333333333</v>
      </c>
      <c r="C36" s="57"/>
      <c r="D36" s="47"/>
      <c r="E36" s="17"/>
      <c r="F36" s="17"/>
      <c r="G36" s="17"/>
      <c r="H36" s="17"/>
      <c r="I36" s="17"/>
      <c r="J36" s="17"/>
      <c r="K36" s="17"/>
      <c r="L36" s="17"/>
      <c r="M36" s="17"/>
      <c r="N36" s="17"/>
      <c r="O36" s="17"/>
      <c r="P36" s="17"/>
      <c r="Q36" s="17"/>
      <c r="R36" s="17"/>
      <c r="S36" s="17"/>
      <c r="T36" s="17"/>
      <c r="U36" s="17"/>
      <c r="V36" s="17"/>
      <c r="W36" s="17"/>
      <c r="X36" s="17"/>
      <c r="Y36" s="17"/>
      <c r="Z36" s="17"/>
    </row>
    <row r="37">
      <c r="A37" s="32" t="str">
        <f>IFERROR(__xludf.DUMMYFUNCTION("""COMPUTED_VALUE"""),"Inconsistent Data Display")</f>
        <v>Inconsistent Data Display</v>
      </c>
      <c r="B37" s="58">
        <f>countifs(Order_data!K$2:K$2493,$A37,Order_data!$J$2:$J$2493,$B$33,Order_data!$I$2:$I$2493,Order_data!$I$2472)/countifs(Order_data!$J$2:$J$2493,$B$33)</f>
        <v>0.0790960452</v>
      </c>
      <c r="C37" s="57"/>
      <c r="D37" s="47"/>
      <c r="E37" s="17"/>
      <c r="F37" s="17"/>
      <c r="G37" s="17"/>
      <c r="H37" s="17"/>
      <c r="I37" s="17"/>
      <c r="J37" s="17"/>
      <c r="K37" s="17"/>
      <c r="L37" s="17"/>
      <c r="M37" s="17"/>
      <c r="N37" s="17"/>
      <c r="O37" s="17"/>
      <c r="P37" s="17"/>
      <c r="Q37" s="17"/>
      <c r="R37" s="17"/>
      <c r="S37" s="17"/>
      <c r="T37" s="17"/>
      <c r="U37" s="17"/>
      <c r="V37" s="17"/>
      <c r="W37" s="17"/>
      <c r="X37" s="17"/>
      <c r="Y37" s="17"/>
      <c r="Z37" s="17"/>
    </row>
    <row r="38">
      <c r="A38" s="32" t="str">
        <f>IFERROR(__xludf.DUMMYFUNCTION("""COMPUTED_VALUE"""),"App Freezes")</f>
        <v>App Freezes</v>
      </c>
      <c r="B38" s="58">
        <f>countifs(Order_data!K$2:K$2493,$A38,Order_data!$J$2:$J$2493,$B$33,Order_data!$I$2:$I$2493,Order_data!$I$2472)/countifs(Order_data!$J$2:$J$2493,$B$33)</f>
        <v>0.06779661017</v>
      </c>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32" t="str">
        <f>IFERROR(__xludf.DUMMYFUNCTION("""COMPUTED_VALUE"""),"Error Messages")</f>
        <v>Error Messages</v>
      </c>
      <c r="B39" s="58">
        <f>countifs(Order_data!K$2:K$2493,$A39,Order_data!$J$2:$J$2493,$B$33,Order_data!$I$2:$I$2493,Order_data!$I$2472)/countifs(Order_data!$J$2:$J$2493,$B$33)</f>
        <v>0.05084745763</v>
      </c>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32" t="str">
        <f>IFERROR(__xludf.DUMMYFUNCTION("""COMPUTED_VALUE"""),"Missing Content")</f>
        <v>Missing Content</v>
      </c>
      <c r="B40" s="58">
        <f>countifs(Order_data!K$2:K$2493,$A40,Order_data!$J$2:$J$2493,$B$33,Order_data!$I$2:$I$2493,Order_data!$I$2472)/countifs(Order_data!$J$2:$J$2493,$B$33)</f>
        <v>0.06779661017</v>
      </c>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sheetData>
  <mergeCells count="2">
    <mergeCell ref="A1:D1"/>
    <mergeCell ref="A14:C14"/>
  </mergeCells>
  <conditionalFormatting sqref="D3:D11">
    <cfRule type="colorScale" priority="1">
      <colorScale>
        <cfvo type="min"/>
        <cfvo type="max"/>
        <color rgb="FFFFFFFF"/>
        <color rgb="FFE67C73"/>
      </colorScale>
    </cfRule>
  </conditionalFormatting>
  <conditionalFormatting sqref="B16:B20">
    <cfRule type="colorScale" priority="2">
      <colorScale>
        <cfvo type="min"/>
        <cfvo type="max"/>
        <color rgb="FFFFFFFF"/>
        <color rgb="FFE67C73"/>
      </colorScale>
    </cfRule>
  </conditionalFormatting>
  <conditionalFormatting sqref="C16:C20">
    <cfRule type="colorScale" priority="3">
      <colorScale>
        <cfvo type="min"/>
        <cfvo type="max"/>
        <color rgb="FFFFFFFF"/>
        <color rgb="FFE67C73"/>
      </colorScale>
    </cfRule>
  </conditionalFormatting>
  <conditionalFormatting sqref="B25:B30">
    <cfRule type="colorScale" priority="4">
      <colorScale>
        <cfvo type="min"/>
        <cfvo type="max"/>
        <color rgb="FFFFFFFF"/>
        <color rgb="FFE67C73"/>
      </colorScale>
    </cfRule>
  </conditionalFormatting>
  <conditionalFormatting sqref="C25:C30">
    <cfRule type="colorScale" priority="5">
      <colorScale>
        <cfvo type="min"/>
        <cfvo type="max"/>
        <color rgb="FFFFFFFF"/>
        <color rgb="FFE67C73"/>
      </colorScale>
    </cfRule>
  </conditionalFormatting>
  <conditionalFormatting sqref="B35:B40">
    <cfRule type="colorScale" priority="6">
      <colorScale>
        <cfvo type="min"/>
        <cfvo type="max"/>
        <color rgb="FFFFFFFF"/>
        <color rgb="FFE67C73"/>
      </colorScale>
    </cfRule>
  </conditionalFormatting>
  <dataValidations>
    <dataValidation type="list" allowBlank="1" showErrorMessage="1" sqref="B15">
      <formula1>'Cancellation Report'!$A$3:$A$11</formula1>
    </dataValidation>
    <dataValidation type="list" allowBlank="1" showErrorMessage="1" sqref="C15">
      <formula1>'Cancellation Report'!$A$3:$A$10</formula1>
    </dataValidation>
  </dataValidations>
  <drawing r:id="rId1"/>
  <tableParts count="2">
    <tablePart r:id="rId4"/>
    <tablePart r:id="rId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0"/>
  </cols>
  <sheetData>
    <row r="1">
      <c r="A1" s="59" t="s">
        <v>2599</v>
      </c>
      <c r="B1" s="59" t="s">
        <v>2600</v>
      </c>
      <c r="C1" s="17"/>
      <c r="D1" s="17"/>
      <c r="E1" s="17"/>
      <c r="F1" s="17"/>
      <c r="G1" s="17"/>
      <c r="H1" s="17"/>
      <c r="I1" s="17"/>
      <c r="J1" s="17"/>
      <c r="K1" s="17"/>
      <c r="L1" s="17"/>
      <c r="M1" s="17"/>
      <c r="N1" s="17"/>
      <c r="O1" s="17"/>
      <c r="P1" s="17"/>
      <c r="Q1" s="17"/>
      <c r="R1" s="17"/>
      <c r="S1" s="17"/>
      <c r="T1" s="17"/>
      <c r="U1" s="17"/>
      <c r="V1" s="17"/>
      <c r="W1" s="17"/>
      <c r="X1" s="17"/>
      <c r="Y1" s="17"/>
      <c r="Z1" s="17"/>
    </row>
    <row r="2">
      <c r="A2" s="60" t="s">
        <v>2601</v>
      </c>
      <c r="B2" s="60">
        <v>333.0</v>
      </c>
      <c r="C2" s="17"/>
      <c r="D2" s="17"/>
      <c r="E2" s="17"/>
      <c r="F2" s="17"/>
      <c r="G2" s="17"/>
      <c r="H2" s="17"/>
      <c r="I2" s="17"/>
      <c r="J2" s="17"/>
      <c r="K2" s="17"/>
      <c r="L2" s="17"/>
      <c r="M2" s="17"/>
      <c r="N2" s="17"/>
      <c r="O2" s="17"/>
      <c r="P2" s="17"/>
      <c r="Q2" s="17"/>
      <c r="R2" s="17"/>
      <c r="S2" s="17"/>
      <c r="T2" s="17"/>
      <c r="U2" s="17"/>
      <c r="V2" s="17"/>
      <c r="W2" s="17"/>
      <c r="X2" s="17"/>
      <c r="Y2" s="17"/>
      <c r="Z2" s="17"/>
    </row>
    <row r="3">
      <c r="A3" s="60" t="s">
        <v>2601</v>
      </c>
      <c r="B3" s="60">
        <v>233.0</v>
      </c>
      <c r="C3" s="17"/>
      <c r="D3" s="17"/>
      <c r="E3" s="17"/>
      <c r="F3" s="17"/>
      <c r="G3" s="17"/>
      <c r="H3" s="17"/>
      <c r="I3" s="17"/>
      <c r="J3" s="17"/>
      <c r="K3" s="17"/>
      <c r="L3" s="17"/>
      <c r="M3" s="17"/>
      <c r="N3" s="17"/>
      <c r="O3" s="17"/>
      <c r="P3" s="17"/>
      <c r="Q3" s="17"/>
      <c r="R3" s="17"/>
      <c r="S3" s="17"/>
      <c r="T3" s="17"/>
      <c r="U3" s="17"/>
      <c r="V3" s="17"/>
      <c r="W3" s="17"/>
      <c r="X3" s="17"/>
      <c r="Y3" s="17"/>
      <c r="Z3" s="17"/>
    </row>
    <row r="4">
      <c r="A4" s="60" t="s">
        <v>2602</v>
      </c>
      <c r="B4" s="60">
        <v>332.0</v>
      </c>
      <c r="C4" s="17"/>
      <c r="D4" s="17"/>
      <c r="E4" s="17"/>
      <c r="F4" s="17"/>
      <c r="G4" s="17"/>
      <c r="H4" s="17"/>
      <c r="I4" s="17"/>
      <c r="J4" s="17"/>
      <c r="K4" s="17"/>
      <c r="L4" s="17"/>
      <c r="M4" s="17"/>
      <c r="N4" s="17"/>
      <c r="O4" s="17"/>
      <c r="P4" s="17"/>
      <c r="Q4" s="17"/>
      <c r="R4" s="17"/>
      <c r="S4" s="17"/>
      <c r="T4" s="17"/>
      <c r="U4" s="17"/>
      <c r="V4" s="17"/>
      <c r="W4" s="17"/>
      <c r="X4" s="17"/>
      <c r="Y4" s="17"/>
      <c r="Z4" s="17"/>
    </row>
    <row r="5">
      <c r="A5" s="60" t="s">
        <v>2602</v>
      </c>
      <c r="B5" s="60">
        <v>323.0</v>
      </c>
      <c r="C5" s="17"/>
      <c r="D5" s="17"/>
      <c r="E5" s="17"/>
      <c r="F5" s="17"/>
      <c r="G5" s="17"/>
      <c r="H5" s="17"/>
      <c r="I5" s="17"/>
      <c r="J5" s="17"/>
      <c r="K5" s="17"/>
      <c r="L5" s="17"/>
      <c r="M5" s="17"/>
      <c r="N5" s="17"/>
      <c r="O5" s="17"/>
      <c r="P5" s="17"/>
      <c r="Q5" s="17"/>
      <c r="R5" s="17"/>
      <c r="S5" s="17"/>
      <c r="T5" s="17"/>
      <c r="U5" s="17"/>
      <c r="V5" s="17"/>
      <c r="W5" s="17"/>
      <c r="X5" s="17"/>
      <c r="Y5" s="17"/>
      <c r="Z5" s="17"/>
    </row>
    <row r="6">
      <c r="A6" s="60" t="s">
        <v>2602</v>
      </c>
      <c r="B6" s="60">
        <v>223.0</v>
      </c>
      <c r="C6" s="17"/>
      <c r="D6" s="17"/>
      <c r="E6" s="17"/>
      <c r="F6" s="17"/>
      <c r="G6" s="17"/>
      <c r="H6" s="17"/>
      <c r="I6" s="17"/>
      <c r="J6" s="17"/>
      <c r="K6" s="17"/>
      <c r="L6" s="17"/>
      <c r="M6" s="17"/>
      <c r="N6" s="17"/>
      <c r="O6" s="17"/>
      <c r="P6" s="17"/>
      <c r="Q6" s="17"/>
      <c r="R6" s="17"/>
      <c r="S6" s="17"/>
      <c r="T6" s="17"/>
      <c r="U6" s="17"/>
      <c r="V6" s="17"/>
      <c r="W6" s="17"/>
      <c r="X6" s="17"/>
      <c r="Y6" s="17"/>
      <c r="Z6" s="17"/>
    </row>
    <row r="7">
      <c r="A7" s="60" t="s">
        <v>2602</v>
      </c>
      <c r="B7" s="60">
        <v>322.0</v>
      </c>
      <c r="C7" s="17"/>
      <c r="D7" s="17"/>
      <c r="E7" s="17"/>
      <c r="F7" s="17"/>
      <c r="G7" s="17"/>
      <c r="H7" s="17"/>
      <c r="I7" s="17"/>
      <c r="J7" s="17"/>
      <c r="K7" s="17"/>
      <c r="L7" s="17"/>
      <c r="M7" s="17"/>
      <c r="N7" s="17"/>
      <c r="O7" s="17"/>
      <c r="P7" s="17"/>
      <c r="Q7" s="17"/>
      <c r="R7" s="17"/>
      <c r="S7" s="17"/>
      <c r="T7" s="17"/>
      <c r="U7" s="17"/>
      <c r="V7" s="17"/>
      <c r="W7" s="17"/>
      <c r="X7" s="17"/>
      <c r="Y7" s="17"/>
      <c r="Z7" s="17"/>
    </row>
    <row r="8">
      <c r="A8" s="60" t="s">
        <v>2602</v>
      </c>
      <c r="B8" s="60">
        <v>232.0</v>
      </c>
      <c r="C8" s="17"/>
      <c r="D8" s="17"/>
      <c r="E8" s="17"/>
      <c r="F8" s="17"/>
      <c r="G8" s="17"/>
      <c r="H8" s="17"/>
      <c r="I8" s="17"/>
      <c r="J8" s="17"/>
      <c r="K8" s="17"/>
      <c r="L8" s="17"/>
      <c r="M8" s="17"/>
      <c r="N8" s="17"/>
      <c r="O8" s="17"/>
      <c r="P8" s="17"/>
      <c r="Q8" s="17"/>
      <c r="R8" s="17"/>
      <c r="S8" s="17"/>
      <c r="T8" s="17"/>
      <c r="U8" s="17"/>
      <c r="V8" s="17"/>
      <c r="W8" s="17"/>
      <c r="X8" s="17"/>
      <c r="Y8" s="17"/>
      <c r="Z8" s="17"/>
    </row>
    <row r="9">
      <c r="A9" s="60" t="s">
        <v>2603</v>
      </c>
      <c r="B9" s="60">
        <v>313.0</v>
      </c>
      <c r="C9" s="17"/>
      <c r="D9" s="17"/>
      <c r="E9" s="17"/>
      <c r="F9" s="17"/>
      <c r="G9" s="17"/>
      <c r="H9" s="17"/>
      <c r="I9" s="17"/>
      <c r="J9" s="17"/>
      <c r="K9" s="17"/>
      <c r="L9" s="17"/>
      <c r="M9" s="17"/>
      <c r="N9" s="17"/>
      <c r="O9" s="17"/>
      <c r="P9" s="17"/>
      <c r="Q9" s="17"/>
      <c r="R9" s="17"/>
      <c r="S9" s="17"/>
      <c r="T9" s="17"/>
      <c r="U9" s="17"/>
      <c r="V9" s="17"/>
      <c r="W9" s="17"/>
      <c r="X9" s="17"/>
      <c r="Y9" s="17"/>
      <c r="Z9" s="17"/>
    </row>
    <row r="10">
      <c r="A10" s="60" t="s">
        <v>2603</v>
      </c>
      <c r="B10" s="60">
        <v>133.0</v>
      </c>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60" t="s">
        <v>2603</v>
      </c>
      <c r="B11" s="60">
        <v>231.0</v>
      </c>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60" t="s">
        <v>2603</v>
      </c>
      <c r="B12" s="60">
        <v>321.0</v>
      </c>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60" t="s">
        <v>2603</v>
      </c>
      <c r="B13" s="60">
        <v>312.0</v>
      </c>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60" t="s">
        <v>2603</v>
      </c>
      <c r="B14" s="60">
        <v>222.0</v>
      </c>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60" t="s">
        <v>2603</v>
      </c>
      <c r="B15" s="60">
        <v>213.0</v>
      </c>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60" t="s">
        <v>2603</v>
      </c>
      <c r="B16" s="60">
        <v>132.0</v>
      </c>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60" t="s">
        <v>2603</v>
      </c>
      <c r="B17" s="60">
        <v>221.0</v>
      </c>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60" t="s">
        <v>2603</v>
      </c>
      <c r="B18" s="60">
        <v>212.0</v>
      </c>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60" t="s">
        <v>2603</v>
      </c>
      <c r="B19" s="60">
        <v>311.0</v>
      </c>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60" t="s">
        <v>2603</v>
      </c>
      <c r="B20" s="60">
        <v>131.0</v>
      </c>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60" t="s">
        <v>2603</v>
      </c>
      <c r="B21" s="60">
        <v>122.0</v>
      </c>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60" t="s">
        <v>2603</v>
      </c>
      <c r="B22" s="60">
        <v>121.0</v>
      </c>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60" t="s">
        <v>2603</v>
      </c>
      <c r="B23" s="60">
        <v>112.0</v>
      </c>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60" t="s">
        <v>2603</v>
      </c>
      <c r="B24" s="60">
        <v>211.0</v>
      </c>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60" t="s">
        <v>2603</v>
      </c>
      <c r="B25" s="60">
        <v>111.0</v>
      </c>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14"/>
    <col customWidth="1" min="2" max="2" width="22.29"/>
    <col customWidth="1" min="3" max="3" width="23.0"/>
    <col customWidth="1" min="4" max="4" width="18.57"/>
    <col customWidth="1" min="5" max="5" width="18.14"/>
    <col customWidth="1" min="6" max="6" width="17.0"/>
    <col customWidth="1" min="7" max="7" width="17.86"/>
    <col customWidth="1" min="8" max="8" width="19.43"/>
    <col customWidth="1" min="9" max="9" width="18.86"/>
    <col customWidth="1" min="11" max="11" width="39.86"/>
  </cols>
  <sheetData>
    <row r="1">
      <c r="A1" s="59" t="s">
        <v>2547</v>
      </c>
      <c r="B1" s="59" t="s">
        <v>2604</v>
      </c>
      <c r="C1" s="59" t="s">
        <v>2605</v>
      </c>
      <c r="D1" s="59" t="s">
        <v>2606</v>
      </c>
      <c r="E1" s="59" t="s">
        <v>2607</v>
      </c>
      <c r="F1" s="59" t="s">
        <v>2608</v>
      </c>
      <c r="G1" s="61" t="s">
        <v>2609</v>
      </c>
      <c r="H1" s="61" t="s">
        <v>2610</v>
      </c>
      <c r="I1" s="61" t="s">
        <v>2611</v>
      </c>
      <c r="J1" s="61" t="s">
        <v>2600</v>
      </c>
      <c r="K1" s="61" t="s">
        <v>2612</v>
      </c>
      <c r="L1" s="17"/>
      <c r="M1" s="17"/>
      <c r="N1" s="17"/>
      <c r="O1" s="17"/>
      <c r="P1" s="17"/>
      <c r="Q1" s="17"/>
      <c r="R1" s="17"/>
      <c r="S1" s="17"/>
      <c r="T1" s="17"/>
      <c r="U1" s="17"/>
      <c r="V1" s="17"/>
      <c r="W1" s="17"/>
      <c r="X1" s="17"/>
      <c r="Y1" s="17"/>
      <c r="Z1" s="17"/>
    </row>
    <row r="2">
      <c r="A2" s="18" t="str">
        <f t="array" ref="A2:A35">UNIQUE(Order_data!B2:B2493)</f>
        <v>Anaya Rao</v>
      </c>
      <c r="B2" s="62">
        <f>maxifs(Order_data!$G$2:$G$2493,Order_data!$B$2:$B$2493,$A2,Order_data!$I$2:$I$2493,Order_data!$I$2474)</f>
        <v>45290</v>
      </c>
      <c r="C2" s="18">
        <f>countifs(Order_data!$B$2:$B$2493,$A2,Order_data!$I$2:$I$2493,Order_data!$I$2470)</f>
        <v>100</v>
      </c>
      <c r="D2" s="18">
        <f>sumifs(Order_data!$N$2:$N$2493,Order_data!$B$2:$B$2493,$A2,Order_data!$I$2:$I$2493,Order_data!$I$2479)</f>
        <v>27562</v>
      </c>
      <c r="E2" s="63">
        <v>45292.0</v>
      </c>
      <c r="F2" s="18">
        <f t="shared" ref="F2:F35" si="1">E2-B2</f>
        <v>2</v>
      </c>
      <c r="G2" s="18">
        <f>if($F2&lt;='RFM Score Calculation'!$B$5,3,if($F2&gt;'RFM Score Calculation'!$B$4,1,2))</f>
        <v>3</v>
      </c>
      <c r="H2" s="18">
        <f>if($C2&lt;='RFM Score Calculation'!$C$5,1,if($C2&gt;'RFM Score Calculation'!$C$4,3,2))</f>
        <v>3</v>
      </c>
      <c r="I2" s="18">
        <f>if($D2&lt;='RFM Score Calculation'!$D$5,1,if($D2&gt;'RFM Score Calculation'!$D$4,3,2))</f>
        <v>3</v>
      </c>
      <c r="J2" s="64">
        <f t="shared" ref="J2:J35" si="2">value(G2&amp;H2&amp;I2)</f>
        <v>333</v>
      </c>
      <c r="K2" s="18" t="str">
        <f t="array" ref="K2">XLOOKUP($J2,'Segment Table'!$B$2:$B$25,'Segment Table'!$A$2:$A$25)</f>
        <v>Top-tier Customers</v>
      </c>
      <c r="L2" s="17"/>
      <c r="M2" s="17"/>
      <c r="N2" s="17"/>
      <c r="O2" s="17"/>
      <c r="P2" s="17"/>
      <c r="Q2" s="17"/>
      <c r="R2" s="17"/>
      <c r="S2" s="17"/>
      <c r="T2" s="17"/>
      <c r="U2" s="17"/>
      <c r="V2" s="17"/>
      <c r="W2" s="17"/>
      <c r="X2" s="17"/>
      <c r="Y2" s="17"/>
      <c r="Z2" s="17"/>
    </row>
    <row r="3">
      <c r="A3" s="18" t="s">
        <v>2613</v>
      </c>
      <c r="B3" s="62">
        <f>maxifs(Order_data!$G$2:$G$2493,Order_data!$B$2:$B$2493,$A3,Order_data!$I$2:$I$2493,Order_data!$I$2474)</f>
        <v>45288</v>
      </c>
      <c r="C3" s="18">
        <f>countifs(Order_data!$B$2:$B$2493,$A3,Order_data!$I$2:$I$2493,Order_data!$I$2470)</f>
        <v>96</v>
      </c>
      <c r="D3" s="18">
        <f>sumifs(Order_data!$N$2:$N$2493,Order_data!$B$2:$B$2493,$A3,Order_data!$I$2:$I$2493,Order_data!$I$2479)</f>
        <v>27245</v>
      </c>
      <c r="E3" s="63">
        <v>45292.0</v>
      </c>
      <c r="F3" s="18">
        <f t="shared" si="1"/>
        <v>4</v>
      </c>
      <c r="G3" s="18">
        <f>if($F3&lt;='RFM Score Calculation'!$B$5,3,if($F3&gt;'RFM Score Calculation'!$B$4,1,2))</f>
        <v>2</v>
      </c>
      <c r="H3" s="18">
        <f>if($C3&lt;='RFM Score Calculation'!$C$5,1,if($C3&gt;'RFM Score Calculation'!$C$4,3,2))</f>
        <v>3</v>
      </c>
      <c r="I3" s="18">
        <f>if($D3&lt;='RFM Score Calculation'!$D$5,1,if($D3&gt;'RFM Score Calculation'!$D$4,3,2))</f>
        <v>3</v>
      </c>
      <c r="J3" s="64">
        <f t="shared" si="2"/>
        <v>233</v>
      </c>
      <c r="K3" s="18" t="str">
        <f t="array" ref="K3">XLOOKUP($J3,'Segment Table'!$B$2:$B$25,'Segment Table'!$A$2:$A$25)</f>
        <v>Top-tier Customers</v>
      </c>
      <c r="L3" s="17"/>
      <c r="M3" s="17"/>
      <c r="N3" s="17"/>
      <c r="O3" s="17"/>
      <c r="P3" s="17"/>
      <c r="Q3" s="17"/>
      <c r="R3" s="17"/>
      <c r="S3" s="17"/>
      <c r="T3" s="17"/>
      <c r="U3" s="17"/>
      <c r="V3" s="17"/>
      <c r="W3" s="17"/>
      <c r="X3" s="17"/>
      <c r="Y3" s="17"/>
      <c r="Z3" s="17"/>
    </row>
    <row r="4">
      <c r="A4" s="18" t="s">
        <v>2614</v>
      </c>
      <c r="B4" s="62">
        <f>maxifs(Order_data!$G$2:$G$2493,Order_data!$B$2:$B$2493,$A4,Order_data!$I$2:$I$2493,Order_data!$I$2474)</f>
        <v>45290</v>
      </c>
      <c r="C4" s="18">
        <f>countifs(Order_data!$B$2:$B$2493,$A4,Order_data!$I$2:$I$2493,Order_data!$I$2470)</f>
        <v>87</v>
      </c>
      <c r="D4" s="18">
        <f>sumifs(Order_data!$N$2:$N$2493,Order_data!$B$2:$B$2493,$A4,Order_data!$I$2:$I$2493,Order_data!$I$2479)</f>
        <v>24213</v>
      </c>
      <c r="E4" s="63">
        <v>45292.0</v>
      </c>
      <c r="F4" s="18">
        <f t="shared" si="1"/>
        <v>2</v>
      </c>
      <c r="G4" s="18">
        <f>if($F4&lt;='RFM Score Calculation'!$B$5,3,if($F4&gt;'RFM Score Calculation'!$B$4,1,2))</f>
        <v>3</v>
      </c>
      <c r="H4" s="18">
        <f>if($C4&lt;='RFM Score Calculation'!$C$5,1,if($C4&gt;'RFM Score Calculation'!$C$4,3,2))</f>
        <v>3</v>
      </c>
      <c r="I4" s="18">
        <f>if($D4&lt;='RFM Score Calculation'!$D$5,1,if($D4&gt;'RFM Score Calculation'!$D$4,3,2))</f>
        <v>2</v>
      </c>
      <c r="J4" s="64">
        <f t="shared" si="2"/>
        <v>332</v>
      </c>
      <c r="K4" s="18" t="str">
        <f t="array" ref="K4">XLOOKUP($J4,'Segment Table'!$B$2:$B$25,'Segment Table'!$A$2:$A$25)</f>
        <v>Loyal Customers</v>
      </c>
      <c r="L4" s="17"/>
      <c r="M4" s="17"/>
      <c r="N4" s="17"/>
      <c r="O4" s="17"/>
      <c r="P4" s="17"/>
      <c r="Q4" s="17"/>
      <c r="R4" s="17"/>
      <c r="S4" s="17"/>
      <c r="T4" s="17"/>
      <c r="U4" s="17"/>
      <c r="V4" s="17"/>
      <c r="W4" s="17"/>
      <c r="X4" s="17"/>
      <c r="Y4" s="17"/>
      <c r="Z4" s="17"/>
    </row>
    <row r="5">
      <c r="A5" s="18" t="s">
        <v>2615</v>
      </c>
      <c r="B5" s="62">
        <f>maxifs(Order_data!$G$2:$G$2493,Order_data!$B$2:$B$2493,$A5,Order_data!$I$2:$I$2493,Order_data!$I$2474)</f>
        <v>45290</v>
      </c>
      <c r="C5" s="18">
        <f>countifs(Order_data!$B$2:$B$2493,$A5,Order_data!$I$2:$I$2493,Order_data!$I$2470)</f>
        <v>90</v>
      </c>
      <c r="D5" s="18">
        <f>sumifs(Order_data!$N$2:$N$2493,Order_data!$B$2:$B$2493,$A5,Order_data!$I$2:$I$2493,Order_data!$I$2479)</f>
        <v>22237</v>
      </c>
      <c r="E5" s="63">
        <v>45292.0</v>
      </c>
      <c r="F5" s="18">
        <f t="shared" si="1"/>
        <v>2</v>
      </c>
      <c r="G5" s="18">
        <f>if($F5&lt;='RFM Score Calculation'!$B$5,3,if($F5&gt;'RFM Score Calculation'!$B$4,1,2))</f>
        <v>3</v>
      </c>
      <c r="H5" s="18">
        <f>if($C5&lt;='RFM Score Calculation'!$C$5,1,if($C5&gt;'RFM Score Calculation'!$C$4,3,2))</f>
        <v>3</v>
      </c>
      <c r="I5" s="18">
        <f>if($D5&lt;='RFM Score Calculation'!$D$5,1,if($D5&gt;'RFM Score Calculation'!$D$4,3,2))</f>
        <v>2</v>
      </c>
      <c r="J5" s="64">
        <f t="shared" si="2"/>
        <v>332</v>
      </c>
      <c r="K5" s="18" t="str">
        <f t="array" ref="K5">XLOOKUP($J5,'Segment Table'!$B$2:$B$25,'Segment Table'!$A$2:$A$25)</f>
        <v>Loyal Customers</v>
      </c>
      <c r="L5" s="17"/>
      <c r="M5" s="17"/>
      <c r="N5" s="17"/>
      <c r="O5" s="17"/>
      <c r="P5" s="17"/>
      <c r="Q5" s="17"/>
      <c r="R5" s="17"/>
      <c r="S5" s="17"/>
      <c r="T5" s="17"/>
      <c r="U5" s="17"/>
      <c r="V5" s="17"/>
      <c r="W5" s="17"/>
      <c r="X5" s="17"/>
      <c r="Y5" s="17"/>
      <c r="Z5" s="17"/>
    </row>
    <row r="6">
      <c r="A6" s="18" t="s">
        <v>2616</v>
      </c>
      <c r="B6" s="62">
        <f>maxifs(Order_data!$G$2:$G$2493,Order_data!$B$2:$B$2493,$A6,Order_data!$I$2:$I$2493,Order_data!$I$2474)</f>
        <v>45289</v>
      </c>
      <c r="C6" s="18">
        <f>countifs(Order_data!$B$2:$B$2493,$A6,Order_data!$I$2:$I$2493,Order_data!$I$2470)</f>
        <v>96</v>
      </c>
      <c r="D6" s="18">
        <f>sumifs(Order_data!$N$2:$N$2493,Order_data!$B$2:$B$2493,$A6,Order_data!$I$2:$I$2493,Order_data!$I$2479)</f>
        <v>27495</v>
      </c>
      <c r="E6" s="63">
        <v>45292.0</v>
      </c>
      <c r="F6" s="18">
        <f t="shared" si="1"/>
        <v>3</v>
      </c>
      <c r="G6" s="18">
        <f>if($F6&lt;='RFM Score Calculation'!$B$5,3,if($F6&gt;'RFM Score Calculation'!$B$4,1,2))</f>
        <v>2</v>
      </c>
      <c r="H6" s="18">
        <f>if($C6&lt;='RFM Score Calculation'!$C$5,1,if($C6&gt;'RFM Score Calculation'!$C$4,3,2))</f>
        <v>3</v>
      </c>
      <c r="I6" s="18">
        <f>if($D6&lt;='RFM Score Calculation'!$D$5,1,if($D6&gt;'RFM Score Calculation'!$D$4,3,2))</f>
        <v>3</v>
      </c>
      <c r="J6" s="64">
        <f t="shared" si="2"/>
        <v>233</v>
      </c>
      <c r="K6" s="18" t="str">
        <f t="array" ref="K6">XLOOKUP($J6,'Segment Table'!$B$2:$B$25,'Segment Table'!$A$2:$A$25)</f>
        <v>Top-tier Customers</v>
      </c>
      <c r="L6" s="17"/>
      <c r="M6" s="17"/>
      <c r="N6" s="17"/>
      <c r="O6" s="17"/>
      <c r="P6" s="17"/>
      <c r="Q6" s="17"/>
      <c r="R6" s="17"/>
      <c r="S6" s="17"/>
      <c r="T6" s="17"/>
      <c r="U6" s="17"/>
      <c r="V6" s="17"/>
      <c r="W6" s="17"/>
      <c r="X6" s="17"/>
      <c r="Y6" s="17"/>
      <c r="Z6" s="17"/>
    </row>
    <row r="7">
      <c r="A7" s="18" t="s">
        <v>2617</v>
      </c>
      <c r="B7" s="62">
        <f>maxifs(Order_data!$G$2:$G$2493,Order_data!$B$2:$B$2493,$A7,Order_data!$I$2:$I$2493,Order_data!$I$2474)</f>
        <v>45281</v>
      </c>
      <c r="C7" s="18">
        <f>countifs(Order_data!$B$2:$B$2493,$A7,Order_data!$I$2:$I$2493,Order_data!$I$2470)</f>
        <v>60</v>
      </c>
      <c r="D7" s="18">
        <f>sumifs(Order_data!$N$2:$N$2493,Order_data!$B$2:$B$2493,$A7,Order_data!$I$2:$I$2493,Order_data!$I$2479)</f>
        <v>12323</v>
      </c>
      <c r="E7" s="63">
        <v>45292.0</v>
      </c>
      <c r="F7" s="18">
        <f t="shared" si="1"/>
        <v>11</v>
      </c>
      <c r="G7" s="18">
        <f>if($F7&lt;='RFM Score Calculation'!$B$5,3,if($F7&gt;'RFM Score Calculation'!$B$4,1,2))</f>
        <v>1</v>
      </c>
      <c r="H7" s="18">
        <f>if($C7&lt;='RFM Score Calculation'!$C$5,1,if($C7&gt;'RFM Score Calculation'!$C$4,3,2))</f>
        <v>2</v>
      </c>
      <c r="I7" s="18">
        <f>if($D7&lt;='RFM Score Calculation'!$D$5,1,if($D7&gt;'RFM Score Calculation'!$D$4,3,2))</f>
        <v>2</v>
      </c>
      <c r="J7" s="64">
        <f t="shared" si="2"/>
        <v>122</v>
      </c>
      <c r="K7" s="18" t="str">
        <f t="array" ref="K7">XLOOKUP($J7,'Segment Table'!$B$2:$B$25,'Segment Table'!$A$2:$A$25)</f>
        <v>Potential Loyal Customers</v>
      </c>
      <c r="L7" s="17"/>
      <c r="M7" s="17"/>
      <c r="N7" s="17"/>
      <c r="O7" s="17"/>
      <c r="P7" s="17"/>
      <c r="Q7" s="17"/>
      <c r="R7" s="17"/>
      <c r="S7" s="17"/>
      <c r="T7" s="17"/>
      <c r="U7" s="17"/>
      <c r="V7" s="17"/>
      <c r="W7" s="17"/>
      <c r="X7" s="17"/>
      <c r="Y7" s="17"/>
      <c r="Z7" s="17"/>
    </row>
    <row r="8">
      <c r="A8" s="18" t="s">
        <v>2618</v>
      </c>
      <c r="B8" s="62">
        <f>maxifs(Order_data!$G$2:$G$2493,Order_data!$B$2:$B$2493,$A8,Order_data!$I$2:$I$2493,Order_data!$I$2474)</f>
        <v>45289</v>
      </c>
      <c r="C8" s="18">
        <f>countifs(Order_data!$B$2:$B$2493,$A8,Order_data!$I$2:$I$2493,Order_data!$I$2470)</f>
        <v>102</v>
      </c>
      <c r="D8" s="18">
        <f>sumifs(Order_data!$N$2:$N$2493,Order_data!$B$2:$B$2493,$A8,Order_data!$I$2:$I$2493,Order_data!$I$2479)</f>
        <v>21474</v>
      </c>
      <c r="E8" s="63">
        <v>45292.0</v>
      </c>
      <c r="F8" s="18">
        <f t="shared" si="1"/>
        <v>3</v>
      </c>
      <c r="G8" s="18">
        <f>if($F8&lt;='RFM Score Calculation'!$B$5,3,if($F8&gt;'RFM Score Calculation'!$B$4,1,2))</f>
        <v>2</v>
      </c>
      <c r="H8" s="18">
        <f>if($C8&lt;='RFM Score Calculation'!$C$5,1,if($C8&gt;'RFM Score Calculation'!$C$4,3,2))</f>
        <v>3</v>
      </c>
      <c r="I8" s="18">
        <f>if($D8&lt;='RFM Score Calculation'!$D$5,1,if($D8&gt;'RFM Score Calculation'!$D$4,3,2))</f>
        <v>2</v>
      </c>
      <c r="J8" s="64">
        <f t="shared" si="2"/>
        <v>232</v>
      </c>
      <c r="K8" s="18" t="str">
        <f t="array" ref="K8">XLOOKUP($J8,'Segment Table'!$B$2:$B$25,'Segment Table'!$A$2:$A$25)</f>
        <v>Loyal Customers</v>
      </c>
      <c r="L8" s="17"/>
      <c r="M8" s="17"/>
      <c r="N8" s="17"/>
      <c r="O8" s="17"/>
      <c r="P8" s="17"/>
      <c r="Q8" s="17"/>
      <c r="R8" s="17"/>
      <c r="S8" s="17"/>
      <c r="T8" s="17"/>
      <c r="U8" s="17"/>
      <c r="V8" s="17"/>
      <c r="W8" s="17"/>
      <c r="X8" s="17"/>
      <c r="Y8" s="17"/>
      <c r="Z8" s="17"/>
    </row>
    <row r="9">
      <c r="A9" s="18" t="s">
        <v>2619</v>
      </c>
      <c r="B9" s="62">
        <f>maxifs(Order_data!$G$2:$G$2493,Order_data!$B$2:$B$2493,$A9,Order_data!$I$2:$I$2493,Order_data!$I$2474)</f>
        <v>45287</v>
      </c>
      <c r="C9" s="18">
        <f>countifs(Order_data!$B$2:$B$2493,$A9,Order_data!$I$2:$I$2493,Order_data!$I$2470)</f>
        <v>21</v>
      </c>
      <c r="D9" s="18">
        <f>sumifs(Order_data!$N$2:$N$2493,Order_data!$B$2:$B$2493,$A9,Order_data!$I$2:$I$2493,Order_data!$I$2479)</f>
        <v>10735</v>
      </c>
      <c r="E9" s="63">
        <v>45292.0</v>
      </c>
      <c r="F9" s="18">
        <f t="shared" si="1"/>
        <v>5</v>
      </c>
      <c r="G9" s="18">
        <f>if($F9&lt;='RFM Score Calculation'!$B$5,3,if($F9&gt;'RFM Score Calculation'!$B$4,1,2))</f>
        <v>2</v>
      </c>
      <c r="H9" s="18">
        <f>if($C9&lt;='RFM Score Calculation'!$C$5,1,if($C9&gt;'RFM Score Calculation'!$C$4,3,2))</f>
        <v>1</v>
      </c>
      <c r="I9" s="18">
        <f>if($D9&lt;='RFM Score Calculation'!$D$5,1,if($D9&gt;'RFM Score Calculation'!$D$4,3,2))</f>
        <v>2</v>
      </c>
      <c r="J9" s="64">
        <f t="shared" si="2"/>
        <v>212</v>
      </c>
      <c r="K9" s="18" t="str">
        <f t="array" ref="K9">XLOOKUP($J9,'Segment Table'!$B$2:$B$25,'Segment Table'!$A$2:$A$25)</f>
        <v>Potential Loyal Customers</v>
      </c>
      <c r="L9" s="17"/>
      <c r="M9" s="17"/>
      <c r="N9" s="17"/>
      <c r="O9" s="17"/>
      <c r="P9" s="17"/>
      <c r="Q9" s="17"/>
      <c r="R9" s="17"/>
      <c r="S9" s="17"/>
      <c r="T9" s="17"/>
      <c r="U9" s="17"/>
      <c r="V9" s="17"/>
      <c r="W9" s="17"/>
      <c r="X9" s="17"/>
      <c r="Y9" s="17"/>
      <c r="Z9" s="17"/>
    </row>
    <row r="10">
      <c r="A10" s="18" t="s">
        <v>2620</v>
      </c>
      <c r="B10" s="62">
        <f>maxifs(Order_data!$G$2:$G$2493,Order_data!$B$2:$B$2493,$A10,Order_data!$I$2:$I$2493,Order_data!$I$2474)</f>
        <v>45290</v>
      </c>
      <c r="C10" s="18">
        <f>countifs(Order_data!$B$2:$B$2493,$A10,Order_data!$I$2:$I$2493,Order_data!$I$2470)</f>
        <v>91</v>
      </c>
      <c r="D10" s="18">
        <f>sumifs(Order_data!$N$2:$N$2493,Order_data!$B$2:$B$2493,$A10,Order_data!$I$2:$I$2493,Order_data!$I$2479)</f>
        <v>27448</v>
      </c>
      <c r="E10" s="63">
        <v>45292.0</v>
      </c>
      <c r="F10" s="18">
        <f t="shared" si="1"/>
        <v>2</v>
      </c>
      <c r="G10" s="18">
        <f>if($F10&lt;='RFM Score Calculation'!$B$5,3,if($F10&gt;'RFM Score Calculation'!$B$4,1,2))</f>
        <v>3</v>
      </c>
      <c r="H10" s="18">
        <f>if($C10&lt;='RFM Score Calculation'!$C$5,1,if($C10&gt;'RFM Score Calculation'!$C$4,3,2))</f>
        <v>3</v>
      </c>
      <c r="I10" s="18">
        <f>if($D10&lt;='RFM Score Calculation'!$D$5,1,if($D10&gt;'RFM Score Calculation'!$D$4,3,2))</f>
        <v>3</v>
      </c>
      <c r="J10" s="64">
        <f t="shared" si="2"/>
        <v>333</v>
      </c>
      <c r="K10" s="18" t="str">
        <f t="array" ref="K10">XLOOKUP($J10,'Segment Table'!$B$2:$B$25,'Segment Table'!$A$2:$A$25)</f>
        <v>Top-tier Customers</v>
      </c>
      <c r="L10" s="17"/>
      <c r="M10" s="17"/>
      <c r="N10" s="17"/>
      <c r="O10" s="17"/>
      <c r="P10" s="17"/>
      <c r="Q10" s="17"/>
      <c r="R10" s="17"/>
      <c r="S10" s="17"/>
      <c r="T10" s="17"/>
      <c r="U10" s="17"/>
      <c r="V10" s="17"/>
      <c r="W10" s="17"/>
      <c r="X10" s="17"/>
      <c r="Y10" s="17"/>
      <c r="Z10" s="17"/>
    </row>
    <row r="11">
      <c r="A11" s="18" t="s">
        <v>2621</v>
      </c>
      <c r="B11" s="62">
        <f>maxifs(Order_data!$G$2:$G$2493,Order_data!$B$2:$B$2493,$A11,Order_data!$I$2:$I$2493,Order_data!$I$2474)</f>
        <v>45290</v>
      </c>
      <c r="C11" s="18">
        <f>countifs(Order_data!$B$2:$B$2493,$A11,Order_data!$I$2:$I$2493,Order_data!$I$2470)</f>
        <v>84</v>
      </c>
      <c r="D11" s="18">
        <f>sumifs(Order_data!$N$2:$N$2493,Order_data!$B$2:$B$2493,$A11,Order_data!$I$2:$I$2493,Order_data!$I$2479)</f>
        <v>19157</v>
      </c>
      <c r="E11" s="63">
        <v>45292.0</v>
      </c>
      <c r="F11" s="18">
        <f t="shared" si="1"/>
        <v>2</v>
      </c>
      <c r="G11" s="18">
        <f>if($F11&lt;='RFM Score Calculation'!$B$5,3,if($F11&gt;'RFM Score Calculation'!$B$4,1,2))</f>
        <v>3</v>
      </c>
      <c r="H11" s="18">
        <f>if($C11&lt;='RFM Score Calculation'!$C$5,1,if($C11&gt;'RFM Score Calculation'!$C$4,3,2))</f>
        <v>2</v>
      </c>
      <c r="I11" s="18">
        <f>if($D11&lt;='RFM Score Calculation'!$D$5,1,if($D11&gt;'RFM Score Calculation'!$D$4,3,2))</f>
        <v>2</v>
      </c>
      <c r="J11" s="64">
        <f t="shared" si="2"/>
        <v>322</v>
      </c>
      <c r="K11" s="18" t="str">
        <f t="array" ref="K11">XLOOKUP($J11,'Segment Table'!$B$2:$B$25,'Segment Table'!$A$2:$A$25)</f>
        <v>Loyal Customers</v>
      </c>
      <c r="L11" s="17"/>
      <c r="M11" s="17"/>
      <c r="N11" s="17"/>
      <c r="O11" s="17"/>
      <c r="P11" s="17"/>
      <c r="Q11" s="17"/>
      <c r="R11" s="17"/>
      <c r="S11" s="17"/>
      <c r="T11" s="17"/>
      <c r="U11" s="17"/>
      <c r="V11" s="17"/>
      <c r="W11" s="17"/>
      <c r="X11" s="17"/>
      <c r="Y11" s="17"/>
      <c r="Z11" s="17"/>
    </row>
    <row r="12">
      <c r="A12" s="18" t="s">
        <v>2622</v>
      </c>
      <c r="B12" s="62">
        <f>maxifs(Order_data!$G$2:$G$2493,Order_data!$B$2:$B$2493,$A12,Order_data!$I$2:$I$2493,Order_data!$I$2474)</f>
        <v>45288</v>
      </c>
      <c r="C12" s="18">
        <f>countifs(Order_data!$B$2:$B$2493,$A12,Order_data!$I$2:$I$2493,Order_data!$I$2470)</f>
        <v>25</v>
      </c>
      <c r="D12" s="18">
        <f>sumifs(Order_data!$N$2:$N$2493,Order_data!$B$2:$B$2493,$A12,Order_data!$I$2:$I$2493,Order_data!$I$2479)</f>
        <v>7339</v>
      </c>
      <c r="E12" s="63">
        <v>45292.0</v>
      </c>
      <c r="F12" s="18">
        <f t="shared" si="1"/>
        <v>4</v>
      </c>
      <c r="G12" s="18">
        <f>if($F12&lt;='RFM Score Calculation'!$B$5,3,if($F12&gt;'RFM Score Calculation'!$B$4,1,2))</f>
        <v>2</v>
      </c>
      <c r="H12" s="18">
        <f>if($C12&lt;='RFM Score Calculation'!$C$5,1,if($C12&gt;'RFM Score Calculation'!$C$4,3,2))</f>
        <v>1</v>
      </c>
      <c r="I12" s="18">
        <f>if($D12&lt;='RFM Score Calculation'!$D$5,1,if($D12&gt;'RFM Score Calculation'!$D$4,3,2))</f>
        <v>1</v>
      </c>
      <c r="J12" s="64">
        <f t="shared" si="2"/>
        <v>211</v>
      </c>
      <c r="K12" s="18" t="str">
        <f t="array" ref="K12">XLOOKUP($J12,'Segment Table'!$B$2:$B$25,'Segment Table'!$A$2:$A$25)</f>
        <v>Potential Loyal Customers</v>
      </c>
      <c r="L12" s="17"/>
      <c r="M12" s="17"/>
      <c r="N12" s="17"/>
      <c r="O12" s="17"/>
      <c r="P12" s="17"/>
      <c r="Q12" s="17"/>
      <c r="R12" s="17"/>
      <c r="S12" s="17"/>
      <c r="T12" s="17"/>
      <c r="U12" s="17"/>
      <c r="V12" s="17"/>
      <c r="W12" s="17"/>
      <c r="X12" s="17"/>
      <c r="Y12" s="17"/>
      <c r="Z12" s="17"/>
    </row>
    <row r="13">
      <c r="A13" s="18" t="s">
        <v>2623</v>
      </c>
      <c r="B13" s="62">
        <f>maxifs(Order_data!$G$2:$G$2493,Order_data!$B$2:$B$2493,$A13,Order_data!$I$2:$I$2493,Order_data!$I$2474)</f>
        <v>45288</v>
      </c>
      <c r="C13" s="18">
        <f>countifs(Order_data!$B$2:$B$2493,$A13,Order_data!$I$2:$I$2493,Order_data!$I$2470)</f>
        <v>92</v>
      </c>
      <c r="D13" s="18">
        <f>sumifs(Order_data!$N$2:$N$2493,Order_data!$B$2:$B$2493,$A13,Order_data!$I$2:$I$2493,Order_data!$I$2479)</f>
        <v>27549</v>
      </c>
      <c r="E13" s="63">
        <v>45292.0</v>
      </c>
      <c r="F13" s="18">
        <f t="shared" si="1"/>
        <v>4</v>
      </c>
      <c r="G13" s="18">
        <f>if($F13&lt;='RFM Score Calculation'!$B$5,3,if($F13&gt;'RFM Score Calculation'!$B$4,1,2))</f>
        <v>2</v>
      </c>
      <c r="H13" s="18">
        <f>if($C13&lt;='RFM Score Calculation'!$C$5,1,if($C13&gt;'RFM Score Calculation'!$C$4,3,2))</f>
        <v>3</v>
      </c>
      <c r="I13" s="18">
        <f>if($D13&lt;='RFM Score Calculation'!$D$5,1,if($D13&gt;'RFM Score Calculation'!$D$4,3,2))</f>
        <v>3</v>
      </c>
      <c r="J13" s="64">
        <f t="shared" si="2"/>
        <v>233</v>
      </c>
      <c r="K13" s="18" t="str">
        <f t="array" ref="K13">XLOOKUP($J13,'Segment Table'!$B$2:$B$25,'Segment Table'!$A$2:$A$25)</f>
        <v>Top-tier Customers</v>
      </c>
      <c r="L13" s="17"/>
      <c r="M13" s="17"/>
      <c r="N13" s="17"/>
      <c r="O13" s="17"/>
      <c r="P13" s="17"/>
      <c r="Q13" s="17"/>
      <c r="R13" s="17"/>
      <c r="S13" s="17"/>
      <c r="T13" s="17"/>
      <c r="U13" s="17"/>
      <c r="V13" s="17"/>
      <c r="W13" s="17"/>
      <c r="X13" s="17"/>
      <c r="Y13" s="17"/>
      <c r="Z13" s="17"/>
    </row>
    <row r="14">
      <c r="A14" s="18" t="s">
        <v>2624</v>
      </c>
      <c r="B14" s="62">
        <f>maxifs(Order_data!$G$2:$G$2493,Order_data!$B$2:$B$2493,$A14,Order_data!$I$2:$I$2493,Order_data!$I$2474)</f>
        <v>45286</v>
      </c>
      <c r="C14" s="18">
        <f>countifs(Order_data!$B$2:$B$2493,$A14,Order_data!$I$2:$I$2493,Order_data!$I$2470)</f>
        <v>15</v>
      </c>
      <c r="D14" s="18">
        <f>sumifs(Order_data!$N$2:$N$2493,Order_data!$B$2:$B$2493,$A14,Order_data!$I$2:$I$2493,Order_data!$I$2479)</f>
        <v>11377</v>
      </c>
      <c r="E14" s="63">
        <v>45292.0</v>
      </c>
      <c r="F14" s="18">
        <f t="shared" si="1"/>
        <v>6</v>
      </c>
      <c r="G14" s="18">
        <f>if($F14&lt;='RFM Score Calculation'!$B$5,3,if($F14&gt;'RFM Score Calculation'!$B$4,1,2))</f>
        <v>2</v>
      </c>
      <c r="H14" s="18">
        <f>if($C14&lt;='RFM Score Calculation'!$C$5,1,if($C14&gt;'RFM Score Calculation'!$C$4,3,2))</f>
        <v>1</v>
      </c>
      <c r="I14" s="18">
        <f>if($D14&lt;='RFM Score Calculation'!$D$5,1,if($D14&gt;'RFM Score Calculation'!$D$4,3,2))</f>
        <v>2</v>
      </c>
      <c r="J14" s="64">
        <f t="shared" si="2"/>
        <v>212</v>
      </c>
      <c r="K14" s="18" t="str">
        <f t="array" ref="K14">XLOOKUP($J14,'Segment Table'!$B$2:$B$25,'Segment Table'!$A$2:$A$25)</f>
        <v>Potential Loyal Customers</v>
      </c>
      <c r="L14" s="17"/>
      <c r="M14" s="17"/>
      <c r="N14" s="17"/>
      <c r="O14" s="17"/>
      <c r="P14" s="17"/>
      <c r="Q14" s="17"/>
      <c r="R14" s="17"/>
      <c r="S14" s="17"/>
      <c r="T14" s="17"/>
      <c r="U14" s="17"/>
      <c r="V14" s="17"/>
      <c r="W14" s="17"/>
      <c r="X14" s="17"/>
      <c r="Y14" s="17"/>
      <c r="Z14" s="17"/>
    </row>
    <row r="15">
      <c r="A15" s="18" t="s">
        <v>2625</v>
      </c>
      <c r="B15" s="62">
        <f>maxifs(Order_data!$G$2:$G$2493,Order_data!$B$2:$B$2493,$A15,Order_data!$I$2:$I$2493,Order_data!$I$2474)</f>
        <v>45290</v>
      </c>
      <c r="C15" s="18">
        <f>countifs(Order_data!$B$2:$B$2493,$A15,Order_data!$I$2:$I$2493,Order_data!$I$2470)</f>
        <v>28</v>
      </c>
      <c r="D15" s="18">
        <f>sumifs(Order_data!$N$2:$N$2493,Order_data!$B$2:$B$2493,$A15,Order_data!$I$2:$I$2493,Order_data!$I$2479)</f>
        <v>13450</v>
      </c>
      <c r="E15" s="63">
        <v>45292.0</v>
      </c>
      <c r="F15" s="18">
        <f t="shared" si="1"/>
        <v>2</v>
      </c>
      <c r="G15" s="18">
        <f>if($F15&lt;='RFM Score Calculation'!$B$5,3,if($F15&gt;'RFM Score Calculation'!$B$4,1,2))</f>
        <v>3</v>
      </c>
      <c r="H15" s="18">
        <f>if($C15&lt;='RFM Score Calculation'!$C$5,1,if($C15&gt;'RFM Score Calculation'!$C$4,3,2))</f>
        <v>1</v>
      </c>
      <c r="I15" s="18">
        <f>if($D15&lt;='RFM Score Calculation'!$D$5,1,if($D15&gt;'RFM Score Calculation'!$D$4,3,2))</f>
        <v>2</v>
      </c>
      <c r="J15" s="64">
        <f t="shared" si="2"/>
        <v>312</v>
      </c>
      <c r="K15" s="18" t="str">
        <f t="array" ref="K15">XLOOKUP($J15,'Segment Table'!$B$2:$B$25,'Segment Table'!$A$2:$A$25)</f>
        <v>Potential Loyal Customers</v>
      </c>
      <c r="L15" s="17"/>
      <c r="M15" s="17"/>
      <c r="N15" s="17"/>
      <c r="O15" s="17"/>
      <c r="P15" s="17"/>
      <c r="Q15" s="17"/>
      <c r="R15" s="17"/>
      <c r="S15" s="17"/>
      <c r="T15" s="17"/>
      <c r="U15" s="17"/>
      <c r="V15" s="17"/>
      <c r="W15" s="17"/>
      <c r="X15" s="17"/>
      <c r="Y15" s="17"/>
      <c r="Z15" s="17"/>
    </row>
    <row r="16">
      <c r="A16" s="18" t="s">
        <v>2626</v>
      </c>
      <c r="B16" s="62">
        <f>maxifs(Order_data!$G$2:$G$2493,Order_data!$B$2:$B$2493,$A16,Order_data!$I$2:$I$2493,Order_data!$I$2474)</f>
        <v>45285</v>
      </c>
      <c r="C16" s="18">
        <f>countifs(Order_data!$B$2:$B$2493,$A16,Order_data!$I$2:$I$2493,Order_data!$I$2470)</f>
        <v>29</v>
      </c>
      <c r="D16" s="18">
        <f>sumifs(Order_data!$N$2:$N$2493,Order_data!$B$2:$B$2493,$A16,Order_data!$I$2:$I$2493,Order_data!$I$2479)</f>
        <v>9608</v>
      </c>
      <c r="E16" s="63">
        <v>45292.0</v>
      </c>
      <c r="F16" s="18">
        <f t="shared" si="1"/>
        <v>7</v>
      </c>
      <c r="G16" s="18">
        <f>if($F16&lt;='RFM Score Calculation'!$B$5,3,if($F16&gt;'RFM Score Calculation'!$B$4,1,2))</f>
        <v>2</v>
      </c>
      <c r="H16" s="18">
        <f>if($C16&lt;='RFM Score Calculation'!$C$5,1,if($C16&gt;'RFM Score Calculation'!$C$4,3,2))</f>
        <v>2</v>
      </c>
      <c r="I16" s="18">
        <f>if($D16&lt;='RFM Score Calculation'!$D$5,1,if($D16&gt;'RFM Score Calculation'!$D$4,3,2))</f>
        <v>2</v>
      </c>
      <c r="J16" s="64">
        <f t="shared" si="2"/>
        <v>222</v>
      </c>
      <c r="K16" s="18" t="str">
        <f t="array" ref="K16">XLOOKUP($J16,'Segment Table'!$B$2:$B$25,'Segment Table'!$A$2:$A$25)</f>
        <v>Potential Loyal Customers</v>
      </c>
      <c r="L16" s="17"/>
      <c r="M16" s="17"/>
      <c r="N16" s="17"/>
      <c r="O16" s="17"/>
      <c r="P16" s="17"/>
      <c r="Q16" s="17"/>
      <c r="R16" s="17"/>
      <c r="S16" s="17"/>
      <c r="T16" s="17"/>
      <c r="U16" s="17"/>
      <c r="V16" s="17"/>
      <c r="W16" s="17"/>
      <c r="X16" s="17"/>
      <c r="Y16" s="17"/>
      <c r="Z16" s="17"/>
    </row>
    <row r="17">
      <c r="A17" s="18" t="s">
        <v>2627</v>
      </c>
      <c r="B17" s="62">
        <f>maxifs(Order_data!$G$2:$G$2493,Order_data!$B$2:$B$2493,$A17,Order_data!$I$2:$I$2493,Order_data!$I$2474)</f>
        <v>45286</v>
      </c>
      <c r="C17" s="18">
        <f>countifs(Order_data!$B$2:$B$2493,$A17,Order_data!$I$2:$I$2493,Order_data!$I$2470)</f>
        <v>23</v>
      </c>
      <c r="D17" s="18">
        <f>sumifs(Order_data!$N$2:$N$2493,Order_data!$B$2:$B$2493,$A17,Order_data!$I$2:$I$2493,Order_data!$I$2479)</f>
        <v>9452</v>
      </c>
      <c r="E17" s="63">
        <v>45292.0</v>
      </c>
      <c r="F17" s="18">
        <f t="shared" si="1"/>
        <v>6</v>
      </c>
      <c r="G17" s="18">
        <f>if($F17&lt;='RFM Score Calculation'!$B$5,3,if($F17&gt;'RFM Score Calculation'!$B$4,1,2))</f>
        <v>2</v>
      </c>
      <c r="H17" s="18">
        <f>if($C17&lt;='RFM Score Calculation'!$C$5,1,if($C17&gt;'RFM Score Calculation'!$C$4,3,2))</f>
        <v>1</v>
      </c>
      <c r="I17" s="18">
        <f>if($D17&lt;='RFM Score Calculation'!$D$5,1,if($D17&gt;'RFM Score Calculation'!$D$4,3,2))</f>
        <v>2</v>
      </c>
      <c r="J17" s="64">
        <f t="shared" si="2"/>
        <v>212</v>
      </c>
      <c r="K17" s="18" t="str">
        <f t="array" ref="K17">XLOOKUP($J17,'Segment Table'!$B$2:$B$25,'Segment Table'!$A$2:$A$25)</f>
        <v>Potential Loyal Customers</v>
      </c>
      <c r="L17" s="17"/>
      <c r="M17" s="17"/>
      <c r="N17" s="17"/>
      <c r="O17" s="17"/>
      <c r="P17" s="17"/>
      <c r="Q17" s="17"/>
      <c r="R17" s="17"/>
      <c r="S17" s="17"/>
      <c r="T17" s="17"/>
      <c r="U17" s="17"/>
      <c r="V17" s="17"/>
      <c r="W17" s="17"/>
      <c r="X17" s="17"/>
      <c r="Y17" s="17"/>
      <c r="Z17" s="17"/>
    </row>
    <row r="18">
      <c r="A18" s="18" t="s">
        <v>2628</v>
      </c>
      <c r="B18" s="62">
        <f>maxifs(Order_data!$G$2:$G$2493,Order_data!$B$2:$B$2493,$A18,Order_data!$I$2:$I$2493,Order_data!$I$2474)</f>
        <v>45286</v>
      </c>
      <c r="C18" s="18">
        <f>countifs(Order_data!$B$2:$B$2493,$A18,Order_data!$I$2:$I$2493,Order_data!$I$2470)</f>
        <v>17</v>
      </c>
      <c r="D18" s="18">
        <f>sumifs(Order_data!$N$2:$N$2493,Order_data!$B$2:$B$2493,$A18,Order_data!$I$2:$I$2493,Order_data!$I$2479)</f>
        <v>6015</v>
      </c>
      <c r="E18" s="63">
        <v>45292.0</v>
      </c>
      <c r="F18" s="18">
        <f t="shared" si="1"/>
        <v>6</v>
      </c>
      <c r="G18" s="18">
        <f>if($F18&lt;='RFM Score Calculation'!$B$5,3,if($F18&gt;'RFM Score Calculation'!$B$4,1,2))</f>
        <v>2</v>
      </c>
      <c r="H18" s="18">
        <f>if($C18&lt;='RFM Score Calculation'!$C$5,1,if($C18&gt;'RFM Score Calculation'!$C$4,3,2))</f>
        <v>1</v>
      </c>
      <c r="I18" s="18">
        <f>if($D18&lt;='RFM Score Calculation'!$D$5,1,if($D18&gt;'RFM Score Calculation'!$D$4,3,2))</f>
        <v>1</v>
      </c>
      <c r="J18" s="64">
        <f t="shared" si="2"/>
        <v>211</v>
      </c>
      <c r="K18" s="18" t="str">
        <f t="array" ref="K18">XLOOKUP($J18,'Segment Table'!$B$2:$B$25,'Segment Table'!$A$2:$A$25)</f>
        <v>Potential Loyal Customers</v>
      </c>
      <c r="L18" s="17"/>
      <c r="M18" s="17"/>
      <c r="N18" s="17"/>
      <c r="O18" s="17"/>
      <c r="P18" s="17"/>
      <c r="Q18" s="17"/>
      <c r="R18" s="17"/>
      <c r="S18" s="17"/>
      <c r="T18" s="17"/>
      <c r="U18" s="17"/>
      <c r="V18" s="17"/>
      <c r="W18" s="17"/>
      <c r="X18" s="17"/>
      <c r="Y18" s="17"/>
      <c r="Z18" s="17"/>
    </row>
    <row r="19">
      <c r="A19" s="18" t="s">
        <v>2629</v>
      </c>
      <c r="B19" s="62">
        <f>maxifs(Order_data!$G$2:$G$2493,Order_data!$B$2:$B$2493,$A19,Order_data!$I$2:$I$2493,Order_data!$I$2474)</f>
        <v>45282</v>
      </c>
      <c r="C19" s="18">
        <f>countifs(Order_data!$B$2:$B$2493,$A19,Order_data!$I$2:$I$2493,Order_data!$I$2470)</f>
        <v>49</v>
      </c>
      <c r="D19" s="18">
        <f>sumifs(Order_data!$N$2:$N$2493,Order_data!$B$2:$B$2493,$A19,Order_data!$I$2:$I$2493,Order_data!$I$2479)</f>
        <v>13214</v>
      </c>
      <c r="E19" s="63">
        <v>45292.0</v>
      </c>
      <c r="F19" s="18">
        <f t="shared" si="1"/>
        <v>10</v>
      </c>
      <c r="G19" s="18">
        <f>if($F19&lt;='RFM Score Calculation'!$B$5,3,if($F19&gt;'RFM Score Calculation'!$B$4,1,2))</f>
        <v>1</v>
      </c>
      <c r="H19" s="18">
        <f>if($C19&lt;='RFM Score Calculation'!$C$5,1,if($C19&gt;'RFM Score Calculation'!$C$4,3,2))</f>
        <v>2</v>
      </c>
      <c r="I19" s="18">
        <f>if($D19&lt;='RFM Score Calculation'!$D$5,1,if($D19&gt;'RFM Score Calculation'!$D$4,3,2))</f>
        <v>2</v>
      </c>
      <c r="J19" s="64">
        <f t="shared" si="2"/>
        <v>122</v>
      </c>
      <c r="K19" s="18" t="str">
        <f t="array" ref="K19">XLOOKUP($J19,'Segment Table'!$B$2:$B$25,'Segment Table'!$A$2:$A$25)</f>
        <v>Potential Loyal Customers</v>
      </c>
      <c r="L19" s="17"/>
      <c r="M19" s="17"/>
      <c r="N19" s="17"/>
      <c r="O19" s="17"/>
      <c r="P19" s="17"/>
      <c r="Q19" s="17"/>
      <c r="R19" s="17"/>
      <c r="S19" s="17"/>
      <c r="T19" s="17"/>
      <c r="U19" s="17"/>
      <c r="V19" s="17"/>
      <c r="W19" s="17"/>
      <c r="X19" s="17"/>
      <c r="Y19" s="17"/>
      <c r="Z19" s="17"/>
    </row>
    <row r="20">
      <c r="A20" s="18" t="s">
        <v>2630</v>
      </c>
      <c r="B20" s="62">
        <f>maxifs(Order_data!$G$2:$G$2493,Order_data!$B$2:$B$2493,$A20,Order_data!$I$2:$I$2493,Order_data!$I$2474)</f>
        <v>45289</v>
      </c>
      <c r="C20" s="18">
        <f>countifs(Order_data!$B$2:$B$2493,$A20,Order_data!$I$2:$I$2493,Order_data!$I$2470)</f>
        <v>98</v>
      </c>
      <c r="D20" s="18">
        <f>sumifs(Order_data!$N$2:$N$2493,Order_data!$B$2:$B$2493,$A20,Order_data!$I$2:$I$2493,Order_data!$I$2479)</f>
        <v>24851</v>
      </c>
      <c r="E20" s="63">
        <v>45292.0</v>
      </c>
      <c r="F20" s="18">
        <f t="shared" si="1"/>
        <v>3</v>
      </c>
      <c r="G20" s="18">
        <f>if($F20&lt;='RFM Score Calculation'!$B$5,3,if($F20&gt;'RFM Score Calculation'!$B$4,1,2))</f>
        <v>2</v>
      </c>
      <c r="H20" s="18">
        <f>if($C20&lt;='RFM Score Calculation'!$C$5,1,if($C20&gt;'RFM Score Calculation'!$C$4,3,2))</f>
        <v>3</v>
      </c>
      <c r="I20" s="18">
        <f>if($D20&lt;='RFM Score Calculation'!$D$5,1,if($D20&gt;'RFM Score Calculation'!$D$4,3,2))</f>
        <v>3</v>
      </c>
      <c r="J20" s="64">
        <f t="shared" si="2"/>
        <v>233</v>
      </c>
      <c r="K20" s="18" t="str">
        <f t="array" ref="K20">XLOOKUP($J20,'Segment Table'!$B$2:$B$25,'Segment Table'!$A$2:$A$25)</f>
        <v>Top-tier Customers</v>
      </c>
      <c r="L20" s="17"/>
      <c r="M20" s="17"/>
      <c r="N20" s="17"/>
      <c r="O20" s="17"/>
      <c r="P20" s="17"/>
      <c r="Q20" s="17"/>
      <c r="R20" s="17"/>
      <c r="S20" s="17"/>
      <c r="T20" s="17"/>
      <c r="U20" s="17"/>
      <c r="V20" s="17"/>
      <c r="W20" s="17"/>
      <c r="X20" s="17"/>
      <c r="Y20" s="17"/>
      <c r="Z20" s="17"/>
    </row>
    <row r="21">
      <c r="A21" s="18" t="s">
        <v>2631</v>
      </c>
      <c r="B21" s="62">
        <f>maxifs(Order_data!$G$2:$G$2493,Order_data!$B$2:$B$2493,$A21,Order_data!$I$2:$I$2493,Order_data!$I$2474)</f>
        <v>45289</v>
      </c>
      <c r="C21" s="18">
        <f>countifs(Order_data!$B$2:$B$2493,$A21,Order_data!$I$2:$I$2493,Order_data!$I$2470)</f>
        <v>42</v>
      </c>
      <c r="D21" s="18">
        <f>sumifs(Order_data!$N$2:$N$2493,Order_data!$B$2:$B$2493,$A21,Order_data!$I$2:$I$2493,Order_data!$I$2479)</f>
        <v>10085</v>
      </c>
      <c r="E21" s="63">
        <v>45292.0</v>
      </c>
      <c r="F21" s="18">
        <f t="shared" si="1"/>
        <v>3</v>
      </c>
      <c r="G21" s="18">
        <f>if($F21&lt;='RFM Score Calculation'!$B$5,3,if($F21&gt;'RFM Score Calculation'!$B$4,1,2))</f>
        <v>2</v>
      </c>
      <c r="H21" s="18">
        <f>if($C21&lt;='RFM Score Calculation'!$C$5,1,if($C21&gt;'RFM Score Calculation'!$C$4,3,2))</f>
        <v>2</v>
      </c>
      <c r="I21" s="18">
        <f>if($D21&lt;='RFM Score Calculation'!$D$5,1,if($D21&gt;'RFM Score Calculation'!$D$4,3,2))</f>
        <v>2</v>
      </c>
      <c r="J21" s="64">
        <f t="shared" si="2"/>
        <v>222</v>
      </c>
      <c r="K21" s="18" t="str">
        <f t="array" ref="K21">XLOOKUP($J21,'Segment Table'!$B$2:$B$25,'Segment Table'!$A$2:$A$25)</f>
        <v>Potential Loyal Customers</v>
      </c>
      <c r="L21" s="17"/>
      <c r="M21" s="17"/>
      <c r="N21" s="17"/>
      <c r="O21" s="17"/>
      <c r="P21" s="17"/>
      <c r="Q21" s="17"/>
      <c r="R21" s="17"/>
      <c r="S21" s="17"/>
      <c r="T21" s="17"/>
      <c r="U21" s="17"/>
      <c r="V21" s="17"/>
      <c r="W21" s="17"/>
      <c r="X21" s="17"/>
      <c r="Y21" s="17"/>
      <c r="Z21" s="17"/>
    </row>
    <row r="22">
      <c r="A22" s="18" t="s">
        <v>2632</v>
      </c>
      <c r="B22" s="62">
        <f>maxifs(Order_data!$G$2:$G$2493,Order_data!$B$2:$B$2493,$A22,Order_data!$I$2:$I$2493,Order_data!$I$2474)</f>
        <v>45289</v>
      </c>
      <c r="C22" s="18">
        <f>countifs(Order_data!$B$2:$B$2493,$A22,Order_data!$I$2:$I$2493,Order_data!$I$2470)</f>
        <v>13</v>
      </c>
      <c r="D22" s="18">
        <f>sumifs(Order_data!$N$2:$N$2493,Order_data!$B$2:$B$2493,$A22,Order_data!$I$2:$I$2493,Order_data!$I$2479)</f>
        <v>6940</v>
      </c>
      <c r="E22" s="63">
        <v>45292.0</v>
      </c>
      <c r="F22" s="18">
        <f t="shared" si="1"/>
        <v>3</v>
      </c>
      <c r="G22" s="18">
        <f>if($F22&lt;='RFM Score Calculation'!$B$5,3,if($F22&gt;'RFM Score Calculation'!$B$4,1,2))</f>
        <v>2</v>
      </c>
      <c r="H22" s="18">
        <f>if($C22&lt;='RFM Score Calculation'!$C$5,1,if($C22&gt;'RFM Score Calculation'!$C$4,3,2))</f>
        <v>1</v>
      </c>
      <c r="I22" s="18">
        <f>if($D22&lt;='RFM Score Calculation'!$D$5,1,if($D22&gt;'RFM Score Calculation'!$D$4,3,2))</f>
        <v>1</v>
      </c>
      <c r="J22" s="64">
        <f t="shared" si="2"/>
        <v>211</v>
      </c>
      <c r="K22" s="18" t="str">
        <f t="array" ref="K22">XLOOKUP($J22,'Segment Table'!$B$2:$B$25,'Segment Table'!$A$2:$A$25)</f>
        <v>Potential Loyal Customers</v>
      </c>
      <c r="L22" s="17"/>
      <c r="M22" s="17"/>
      <c r="N22" s="17"/>
      <c r="O22" s="17"/>
      <c r="P22" s="17"/>
      <c r="Q22" s="17"/>
      <c r="R22" s="17"/>
      <c r="S22" s="17"/>
      <c r="T22" s="17"/>
      <c r="U22" s="17"/>
      <c r="V22" s="17"/>
      <c r="W22" s="17"/>
      <c r="X22" s="17"/>
      <c r="Y22" s="17"/>
      <c r="Z22" s="17"/>
    </row>
    <row r="23">
      <c r="A23" s="18" t="s">
        <v>2633</v>
      </c>
      <c r="B23" s="62">
        <f>maxifs(Order_data!$G$2:$G$2493,Order_data!$B$2:$B$2493,$A23,Order_data!$I$2:$I$2493,Order_data!$I$2474)</f>
        <v>45288</v>
      </c>
      <c r="C23" s="18">
        <f>countifs(Order_data!$B$2:$B$2493,$A23,Order_data!$I$2:$I$2493,Order_data!$I$2470)</f>
        <v>99</v>
      </c>
      <c r="D23" s="18">
        <f>sumifs(Order_data!$N$2:$N$2493,Order_data!$B$2:$B$2493,$A23,Order_data!$I$2:$I$2493,Order_data!$I$2479)</f>
        <v>29403</v>
      </c>
      <c r="E23" s="63">
        <v>45292.0</v>
      </c>
      <c r="F23" s="18">
        <f t="shared" si="1"/>
        <v>4</v>
      </c>
      <c r="G23" s="18">
        <f>if($F23&lt;='RFM Score Calculation'!$B$5,3,if($F23&gt;'RFM Score Calculation'!$B$4,1,2))</f>
        <v>2</v>
      </c>
      <c r="H23" s="18">
        <f>if($C23&lt;='RFM Score Calculation'!$C$5,1,if($C23&gt;'RFM Score Calculation'!$C$4,3,2))</f>
        <v>3</v>
      </c>
      <c r="I23" s="18">
        <f>if($D23&lt;='RFM Score Calculation'!$D$5,1,if($D23&gt;'RFM Score Calculation'!$D$4,3,2))</f>
        <v>3</v>
      </c>
      <c r="J23" s="64">
        <f t="shared" si="2"/>
        <v>233</v>
      </c>
      <c r="K23" s="18" t="str">
        <f t="array" ref="K23">XLOOKUP($J23,'Segment Table'!$B$2:$B$25,'Segment Table'!$A$2:$A$25)</f>
        <v>Top-tier Customers</v>
      </c>
      <c r="L23" s="17"/>
      <c r="M23" s="17"/>
      <c r="N23" s="17"/>
      <c r="O23" s="17"/>
      <c r="P23" s="17"/>
      <c r="Q23" s="17"/>
      <c r="R23" s="17"/>
      <c r="S23" s="17"/>
      <c r="T23" s="17"/>
      <c r="U23" s="17"/>
      <c r="V23" s="17"/>
      <c r="W23" s="17"/>
      <c r="X23" s="17"/>
      <c r="Y23" s="17"/>
      <c r="Z23" s="17"/>
    </row>
    <row r="24">
      <c r="A24" s="18" t="s">
        <v>2634</v>
      </c>
      <c r="B24" s="62">
        <f>maxifs(Order_data!$G$2:$G$2493,Order_data!$B$2:$B$2493,$A24,Order_data!$I$2:$I$2493,Order_data!$I$2474)</f>
        <v>45286</v>
      </c>
      <c r="C24" s="18">
        <f>countifs(Order_data!$B$2:$B$2493,$A24,Order_data!$I$2:$I$2493,Order_data!$I$2470)</f>
        <v>88</v>
      </c>
      <c r="D24" s="18">
        <f>sumifs(Order_data!$N$2:$N$2493,Order_data!$B$2:$B$2493,$A24,Order_data!$I$2:$I$2493,Order_data!$I$2479)</f>
        <v>24922</v>
      </c>
      <c r="E24" s="63">
        <v>45292.0</v>
      </c>
      <c r="F24" s="18">
        <f t="shared" si="1"/>
        <v>6</v>
      </c>
      <c r="G24" s="18">
        <f>if($F24&lt;='RFM Score Calculation'!$B$5,3,if($F24&gt;'RFM Score Calculation'!$B$4,1,2))</f>
        <v>2</v>
      </c>
      <c r="H24" s="18">
        <f>if($C24&lt;='RFM Score Calculation'!$C$5,1,if($C24&gt;'RFM Score Calculation'!$C$4,3,2))</f>
        <v>3</v>
      </c>
      <c r="I24" s="18">
        <f>if($D24&lt;='RFM Score Calculation'!$D$5,1,if($D24&gt;'RFM Score Calculation'!$D$4,3,2))</f>
        <v>3</v>
      </c>
      <c r="J24" s="64">
        <f t="shared" si="2"/>
        <v>233</v>
      </c>
      <c r="K24" s="18" t="str">
        <f t="array" ref="K24">XLOOKUP($J24,'Segment Table'!$B$2:$B$25,'Segment Table'!$A$2:$A$25)</f>
        <v>Top-tier Customers</v>
      </c>
      <c r="L24" s="17"/>
      <c r="M24" s="17"/>
      <c r="N24" s="17"/>
      <c r="O24" s="17"/>
      <c r="P24" s="17"/>
      <c r="Q24" s="17"/>
      <c r="R24" s="17"/>
      <c r="S24" s="17"/>
      <c r="T24" s="17"/>
      <c r="U24" s="17"/>
      <c r="V24" s="17"/>
      <c r="W24" s="17"/>
      <c r="X24" s="17"/>
      <c r="Y24" s="17"/>
      <c r="Z24" s="17"/>
    </row>
    <row r="25">
      <c r="A25" s="18" t="s">
        <v>2635</v>
      </c>
      <c r="B25" s="62">
        <f>maxifs(Order_data!$G$2:$G$2493,Order_data!$B$2:$B$2493,$A25,Order_data!$I$2:$I$2493,Order_data!$I$2474)</f>
        <v>45281</v>
      </c>
      <c r="C25" s="18">
        <f>countifs(Order_data!$B$2:$B$2493,$A25,Order_data!$I$2:$I$2493,Order_data!$I$2470)</f>
        <v>46</v>
      </c>
      <c r="D25" s="18">
        <f>sumifs(Order_data!$N$2:$N$2493,Order_data!$B$2:$B$2493,$A25,Order_data!$I$2:$I$2493,Order_data!$I$2479)</f>
        <v>12809</v>
      </c>
      <c r="E25" s="63">
        <v>45292.0</v>
      </c>
      <c r="F25" s="18">
        <f t="shared" si="1"/>
        <v>11</v>
      </c>
      <c r="G25" s="18">
        <f>if($F25&lt;='RFM Score Calculation'!$B$5,3,if($F25&gt;'RFM Score Calculation'!$B$4,1,2))</f>
        <v>1</v>
      </c>
      <c r="H25" s="18">
        <f>if($C25&lt;='RFM Score Calculation'!$C$5,1,if($C25&gt;'RFM Score Calculation'!$C$4,3,2))</f>
        <v>2</v>
      </c>
      <c r="I25" s="18">
        <f>if($D25&lt;='RFM Score Calculation'!$D$5,1,if($D25&gt;'RFM Score Calculation'!$D$4,3,2))</f>
        <v>2</v>
      </c>
      <c r="J25" s="64">
        <f t="shared" si="2"/>
        <v>122</v>
      </c>
      <c r="K25" s="18" t="str">
        <f t="array" ref="K25">XLOOKUP($J25,'Segment Table'!$B$2:$B$25,'Segment Table'!$A$2:$A$25)</f>
        <v>Potential Loyal Customers</v>
      </c>
      <c r="L25" s="17"/>
      <c r="M25" s="17"/>
      <c r="N25" s="17"/>
      <c r="O25" s="17"/>
      <c r="P25" s="17"/>
      <c r="Q25" s="17"/>
      <c r="R25" s="17"/>
      <c r="S25" s="17"/>
      <c r="T25" s="17"/>
      <c r="U25" s="17"/>
      <c r="V25" s="17"/>
      <c r="W25" s="17"/>
      <c r="X25" s="17"/>
      <c r="Y25" s="17"/>
      <c r="Z25" s="17"/>
    </row>
    <row r="26">
      <c r="A26" s="18" t="s">
        <v>2636</v>
      </c>
      <c r="B26" s="62">
        <f>maxifs(Order_data!$G$2:$G$2493,Order_data!$B$2:$B$2493,$A26,Order_data!$I$2:$I$2493,Order_data!$I$2474)</f>
        <v>45286</v>
      </c>
      <c r="C26" s="18">
        <f>countifs(Order_data!$B$2:$B$2493,$A26,Order_data!$I$2:$I$2493,Order_data!$I$2470)</f>
        <v>44</v>
      </c>
      <c r="D26" s="18">
        <f>sumifs(Order_data!$N$2:$N$2493,Order_data!$B$2:$B$2493,$A26,Order_data!$I$2:$I$2493,Order_data!$I$2479)</f>
        <v>10010</v>
      </c>
      <c r="E26" s="63">
        <v>45292.0</v>
      </c>
      <c r="F26" s="18">
        <f t="shared" si="1"/>
        <v>6</v>
      </c>
      <c r="G26" s="18">
        <f>if($F26&lt;='RFM Score Calculation'!$B$5,3,if($F26&gt;'RFM Score Calculation'!$B$4,1,2))</f>
        <v>2</v>
      </c>
      <c r="H26" s="18">
        <f>if($C26&lt;='RFM Score Calculation'!$C$5,1,if($C26&gt;'RFM Score Calculation'!$C$4,3,2))</f>
        <v>2</v>
      </c>
      <c r="I26" s="18">
        <f>if($D26&lt;='RFM Score Calculation'!$D$5,1,if($D26&gt;'RFM Score Calculation'!$D$4,3,2))</f>
        <v>2</v>
      </c>
      <c r="J26" s="64">
        <f t="shared" si="2"/>
        <v>222</v>
      </c>
      <c r="K26" s="18" t="str">
        <f t="array" ref="K26">XLOOKUP($J26,'Segment Table'!$B$2:$B$25,'Segment Table'!$A$2:$A$25)</f>
        <v>Potential Loyal Customers</v>
      </c>
      <c r="L26" s="17"/>
      <c r="M26" s="17"/>
      <c r="N26" s="17"/>
      <c r="O26" s="17"/>
      <c r="P26" s="17"/>
      <c r="Q26" s="17"/>
      <c r="R26" s="17"/>
      <c r="S26" s="17"/>
      <c r="T26" s="17"/>
      <c r="U26" s="17"/>
      <c r="V26" s="17"/>
      <c r="W26" s="17"/>
      <c r="X26" s="17"/>
      <c r="Y26" s="17"/>
      <c r="Z26" s="17"/>
    </row>
    <row r="27">
      <c r="A27" s="18" t="s">
        <v>2637</v>
      </c>
      <c r="B27" s="62">
        <f>maxifs(Order_data!$G$2:$G$2493,Order_data!$B$2:$B$2493,$A27,Order_data!$I$2:$I$2493,Order_data!$I$2474)</f>
        <v>45286</v>
      </c>
      <c r="C27" s="18">
        <f>countifs(Order_data!$B$2:$B$2493,$A27,Order_data!$I$2:$I$2493,Order_data!$I$2470)</f>
        <v>77</v>
      </c>
      <c r="D27" s="18">
        <f>sumifs(Order_data!$N$2:$N$2493,Order_data!$B$2:$B$2493,$A27,Order_data!$I$2:$I$2493,Order_data!$I$2479)</f>
        <v>22332</v>
      </c>
      <c r="E27" s="63">
        <v>45292.0</v>
      </c>
      <c r="F27" s="18">
        <f t="shared" si="1"/>
        <v>6</v>
      </c>
      <c r="G27" s="18">
        <f>if($F27&lt;='RFM Score Calculation'!$B$5,3,if($F27&gt;'RFM Score Calculation'!$B$4,1,2))</f>
        <v>2</v>
      </c>
      <c r="H27" s="18">
        <f>if($C27&lt;='RFM Score Calculation'!$C$5,1,if($C27&gt;'RFM Score Calculation'!$C$4,3,2))</f>
        <v>2</v>
      </c>
      <c r="I27" s="18">
        <f>if($D27&lt;='RFM Score Calculation'!$D$5,1,if($D27&gt;'RFM Score Calculation'!$D$4,3,2))</f>
        <v>2</v>
      </c>
      <c r="J27" s="64">
        <f t="shared" si="2"/>
        <v>222</v>
      </c>
      <c r="K27" s="18" t="str">
        <f t="array" ref="K27">XLOOKUP($J27,'Segment Table'!$B$2:$B$25,'Segment Table'!$A$2:$A$25)</f>
        <v>Potential Loyal Customers</v>
      </c>
      <c r="L27" s="17"/>
      <c r="M27" s="17"/>
      <c r="N27" s="17"/>
      <c r="O27" s="17"/>
      <c r="P27" s="17"/>
      <c r="Q27" s="17"/>
      <c r="R27" s="17"/>
      <c r="S27" s="17"/>
      <c r="T27" s="17"/>
      <c r="U27" s="17"/>
      <c r="V27" s="17"/>
      <c r="W27" s="17"/>
      <c r="X27" s="17"/>
      <c r="Y27" s="17"/>
      <c r="Z27" s="17"/>
    </row>
    <row r="28">
      <c r="A28" s="18" t="s">
        <v>2638</v>
      </c>
      <c r="B28" s="62">
        <f>maxifs(Order_data!$G$2:$G$2493,Order_data!$B$2:$B$2493,$A28,Order_data!$I$2:$I$2493,Order_data!$I$2474)</f>
        <v>45290</v>
      </c>
      <c r="C28" s="18">
        <f>countifs(Order_data!$B$2:$B$2493,$A28,Order_data!$I$2:$I$2493,Order_data!$I$2470)</f>
        <v>12</v>
      </c>
      <c r="D28" s="18">
        <f>sumifs(Order_data!$N$2:$N$2493,Order_data!$B$2:$B$2493,$A28,Order_data!$I$2:$I$2493,Order_data!$I$2479)</f>
        <v>4825</v>
      </c>
      <c r="E28" s="63">
        <v>45292.0</v>
      </c>
      <c r="F28" s="18">
        <f t="shared" si="1"/>
        <v>2</v>
      </c>
      <c r="G28" s="18">
        <f>if($F28&lt;='RFM Score Calculation'!$B$5,3,if($F28&gt;'RFM Score Calculation'!$B$4,1,2))</f>
        <v>3</v>
      </c>
      <c r="H28" s="18">
        <f>if($C28&lt;='RFM Score Calculation'!$C$5,1,if($C28&gt;'RFM Score Calculation'!$C$4,3,2))</f>
        <v>1</v>
      </c>
      <c r="I28" s="18">
        <f>if($D28&lt;='RFM Score Calculation'!$D$5,1,if($D28&gt;'RFM Score Calculation'!$D$4,3,2))</f>
        <v>1</v>
      </c>
      <c r="J28" s="64">
        <f t="shared" si="2"/>
        <v>311</v>
      </c>
      <c r="K28" s="18" t="str">
        <f t="array" ref="K28">XLOOKUP($J28,'Segment Table'!$B$2:$B$25,'Segment Table'!$A$2:$A$25)</f>
        <v>Potential Loyal Customers</v>
      </c>
      <c r="L28" s="17"/>
      <c r="M28" s="17"/>
      <c r="N28" s="17"/>
      <c r="O28" s="17"/>
      <c r="P28" s="17"/>
      <c r="Q28" s="17"/>
      <c r="R28" s="17"/>
      <c r="S28" s="17"/>
      <c r="T28" s="17"/>
      <c r="U28" s="17"/>
      <c r="V28" s="17"/>
      <c r="W28" s="17"/>
      <c r="X28" s="17"/>
      <c r="Y28" s="17"/>
      <c r="Z28" s="17"/>
    </row>
    <row r="29">
      <c r="A29" s="18" t="s">
        <v>2639</v>
      </c>
      <c r="B29" s="62">
        <f>maxifs(Order_data!$G$2:$G$2493,Order_data!$B$2:$B$2493,$A29,Order_data!$I$2:$I$2493,Order_data!$I$2474)</f>
        <v>45288</v>
      </c>
      <c r="C29" s="18">
        <f>countifs(Order_data!$B$2:$B$2493,$A29,Order_data!$I$2:$I$2493,Order_data!$I$2470)</f>
        <v>88</v>
      </c>
      <c r="D29" s="18">
        <f>sumifs(Order_data!$N$2:$N$2493,Order_data!$B$2:$B$2493,$A29,Order_data!$I$2:$I$2493,Order_data!$I$2479)</f>
        <v>25291</v>
      </c>
      <c r="E29" s="63">
        <v>45292.0</v>
      </c>
      <c r="F29" s="18">
        <f t="shared" si="1"/>
        <v>4</v>
      </c>
      <c r="G29" s="18">
        <f>if($F29&lt;='RFM Score Calculation'!$B$5,3,if($F29&gt;'RFM Score Calculation'!$B$4,1,2))</f>
        <v>2</v>
      </c>
      <c r="H29" s="18">
        <f>if($C29&lt;='RFM Score Calculation'!$C$5,1,if($C29&gt;'RFM Score Calculation'!$C$4,3,2))</f>
        <v>3</v>
      </c>
      <c r="I29" s="18">
        <f>if($D29&lt;='RFM Score Calculation'!$D$5,1,if($D29&gt;'RFM Score Calculation'!$D$4,3,2))</f>
        <v>3</v>
      </c>
      <c r="J29" s="64">
        <f t="shared" si="2"/>
        <v>233</v>
      </c>
      <c r="K29" s="18" t="str">
        <f t="array" ref="K29">XLOOKUP($J29,'Segment Table'!$B$2:$B$25,'Segment Table'!$A$2:$A$25)</f>
        <v>Top-tier Customers</v>
      </c>
      <c r="L29" s="17"/>
      <c r="M29" s="17"/>
      <c r="N29" s="17"/>
      <c r="O29" s="17"/>
      <c r="P29" s="17"/>
      <c r="Q29" s="17"/>
      <c r="R29" s="17"/>
      <c r="S29" s="17"/>
      <c r="T29" s="17"/>
      <c r="U29" s="17"/>
      <c r="V29" s="17"/>
      <c r="W29" s="17"/>
      <c r="X29" s="17"/>
      <c r="Y29" s="17"/>
      <c r="Z29" s="17"/>
    </row>
    <row r="30">
      <c r="A30" s="18" t="s">
        <v>2640</v>
      </c>
      <c r="B30" s="62">
        <f>maxifs(Order_data!$G$2:$G$2493,Order_data!$B$2:$B$2493,$A30,Order_data!$I$2:$I$2493,Order_data!$I$2474)</f>
        <v>45286</v>
      </c>
      <c r="C30" s="18">
        <f>countifs(Order_data!$B$2:$B$2493,$A30,Order_data!$I$2:$I$2493,Order_data!$I$2470)</f>
        <v>98</v>
      </c>
      <c r="D30" s="18">
        <f>sumifs(Order_data!$N$2:$N$2493,Order_data!$B$2:$B$2493,$A30,Order_data!$I$2:$I$2493,Order_data!$I$2479)</f>
        <v>24431</v>
      </c>
      <c r="E30" s="63">
        <v>45292.0</v>
      </c>
      <c r="F30" s="18">
        <f t="shared" si="1"/>
        <v>6</v>
      </c>
      <c r="G30" s="18">
        <f>if($F30&lt;='RFM Score Calculation'!$B$5,3,if($F30&gt;'RFM Score Calculation'!$B$4,1,2))</f>
        <v>2</v>
      </c>
      <c r="H30" s="18">
        <f>if($C30&lt;='RFM Score Calculation'!$C$5,1,if($C30&gt;'RFM Score Calculation'!$C$4,3,2))</f>
        <v>3</v>
      </c>
      <c r="I30" s="18">
        <f>if($D30&lt;='RFM Score Calculation'!$D$5,1,if($D30&gt;'RFM Score Calculation'!$D$4,3,2))</f>
        <v>3</v>
      </c>
      <c r="J30" s="64">
        <f t="shared" si="2"/>
        <v>233</v>
      </c>
      <c r="K30" s="18" t="str">
        <f t="array" ref="K30">XLOOKUP($J30,'Segment Table'!$B$2:$B$25,'Segment Table'!$A$2:$A$25)</f>
        <v>Top-tier Customers</v>
      </c>
      <c r="L30" s="17"/>
      <c r="M30" s="17"/>
      <c r="N30" s="17"/>
      <c r="O30" s="17"/>
      <c r="P30" s="17"/>
      <c r="Q30" s="17"/>
      <c r="R30" s="17"/>
      <c r="S30" s="17"/>
      <c r="T30" s="17"/>
      <c r="U30" s="17"/>
      <c r="V30" s="17"/>
      <c r="W30" s="17"/>
      <c r="X30" s="17"/>
      <c r="Y30" s="17"/>
      <c r="Z30" s="17"/>
    </row>
    <row r="31">
      <c r="A31" s="18" t="s">
        <v>2641</v>
      </c>
      <c r="B31" s="62">
        <f>maxifs(Order_data!$G$2:$G$2493,Order_data!$B$2:$B$2493,$A31,Order_data!$I$2:$I$2493,Order_data!$I$2474)</f>
        <v>45287</v>
      </c>
      <c r="C31" s="18">
        <f>countifs(Order_data!$B$2:$B$2493,$A31,Order_data!$I$2:$I$2493,Order_data!$I$2470)</f>
        <v>15</v>
      </c>
      <c r="D31" s="18">
        <f>sumifs(Order_data!$N$2:$N$2493,Order_data!$B$2:$B$2493,$A31,Order_data!$I$2:$I$2493,Order_data!$I$2479)</f>
        <v>8923</v>
      </c>
      <c r="E31" s="63">
        <v>45292.0</v>
      </c>
      <c r="F31" s="18">
        <f t="shared" si="1"/>
        <v>5</v>
      </c>
      <c r="G31" s="18">
        <f>if($F31&lt;='RFM Score Calculation'!$B$5,3,if($F31&gt;'RFM Score Calculation'!$B$4,1,2))</f>
        <v>2</v>
      </c>
      <c r="H31" s="18">
        <f>if($C31&lt;='RFM Score Calculation'!$C$5,1,if($C31&gt;'RFM Score Calculation'!$C$4,3,2))</f>
        <v>1</v>
      </c>
      <c r="I31" s="18">
        <f>if($D31&lt;='RFM Score Calculation'!$D$5,1,if($D31&gt;'RFM Score Calculation'!$D$4,3,2))</f>
        <v>2</v>
      </c>
      <c r="J31" s="64">
        <f t="shared" si="2"/>
        <v>212</v>
      </c>
      <c r="K31" s="18" t="str">
        <f t="array" ref="K31">XLOOKUP($J31,'Segment Table'!$B$2:$B$25,'Segment Table'!$A$2:$A$25)</f>
        <v>Potential Loyal Customers</v>
      </c>
      <c r="L31" s="17"/>
      <c r="M31" s="17"/>
      <c r="N31" s="17"/>
      <c r="O31" s="17"/>
      <c r="P31" s="17"/>
      <c r="Q31" s="17"/>
      <c r="R31" s="17"/>
      <c r="S31" s="17"/>
      <c r="T31" s="17"/>
      <c r="U31" s="17"/>
      <c r="V31" s="17"/>
      <c r="W31" s="17"/>
      <c r="X31" s="17"/>
      <c r="Y31" s="17"/>
      <c r="Z31" s="17"/>
    </row>
    <row r="32">
      <c r="A32" s="18" t="s">
        <v>2642</v>
      </c>
      <c r="B32" s="62">
        <f>maxifs(Order_data!$G$2:$G$2493,Order_data!$B$2:$B$2493,$A32,Order_data!$I$2:$I$2493,Order_data!$I$2474)</f>
        <v>45283</v>
      </c>
      <c r="C32" s="18">
        <f>countifs(Order_data!$B$2:$B$2493,$A32,Order_data!$I$2:$I$2493,Order_data!$I$2470)</f>
        <v>13</v>
      </c>
      <c r="D32" s="18">
        <f>sumifs(Order_data!$N$2:$N$2493,Order_data!$B$2:$B$2493,$A32,Order_data!$I$2:$I$2493,Order_data!$I$2479)</f>
        <v>6680</v>
      </c>
      <c r="E32" s="63">
        <v>45292.0</v>
      </c>
      <c r="F32" s="18">
        <f t="shared" si="1"/>
        <v>9</v>
      </c>
      <c r="G32" s="18">
        <f>if($F32&lt;='RFM Score Calculation'!$B$5,3,if($F32&gt;'RFM Score Calculation'!$B$4,1,2))</f>
        <v>1</v>
      </c>
      <c r="H32" s="18">
        <f>if($C32&lt;='RFM Score Calculation'!$C$5,1,if($C32&gt;'RFM Score Calculation'!$C$4,3,2))</f>
        <v>1</v>
      </c>
      <c r="I32" s="18">
        <f>if($D32&lt;='RFM Score Calculation'!$D$5,1,if($D32&gt;'RFM Score Calculation'!$D$4,3,2))</f>
        <v>1</v>
      </c>
      <c r="J32" s="64">
        <f t="shared" si="2"/>
        <v>111</v>
      </c>
      <c r="K32" s="18" t="str">
        <f t="array" ref="K32">XLOOKUP($J32,'Segment Table'!$B$2:$B$25,'Segment Table'!$A$2:$A$25)</f>
        <v>Potential Loyal Customers</v>
      </c>
      <c r="L32" s="17"/>
      <c r="M32" s="17"/>
      <c r="N32" s="17"/>
      <c r="O32" s="17"/>
      <c r="P32" s="17"/>
      <c r="Q32" s="17"/>
      <c r="R32" s="17"/>
      <c r="S32" s="17"/>
      <c r="T32" s="17"/>
      <c r="U32" s="17"/>
      <c r="V32" s="17"/>
      <c r="W32" s="17"/>
      <c r="X32" s="17"/>
      <c r="Y32" s="17"/>
      <c r="Z32" s="17"/>
    </row>
    <row r="33">
      <c r="A33" s="18" t="s">
        <v>2643</v>
      </c>
      <c r="B33" s="62">
        <f>maxifs(Order_data!$G$2:$G$2493,Order_data!$B$2:$B$2493,$A33,Order_data!$I$2:$I$2493,Order_data!$I$2474)</f>
        <v>45285</v>
      </c>
      <c r="C33" s="18">
        <f>countifs(Order_data!$B$2:$B$2493,$A33,Order_data!$I$2:$I$2493,Order_data!$I$2470)</f>
        <v>14</v>
      </c>
      <c r="D33" s="18">
        <f>sumifs(Order_data!$N$2:$N$2493,Order_data!$B$2:$B$2493,$A33,Order_data!$I$2:$I$2493,Order_data!$I$2479)</f>
        <v>5451</v>
      </c>
      <c r="E33" s="63">
        <v>45292.0</v>
      </c>
      <c r="F33" s="18">
        <f t="shared" si="1"/>
        <v>7</v>
      </c>
      <c r="G33" s="18">
        <f>if($F33&lt;='RFM Score Calculation'!$B$5,3,if($F33&gt;'RFM Score Calculation'!$B$4,1,2))</f>
        <v>2</v>
      </c>
      <c r="H33" s="18">
        <f>if($C33&lt;='RFM Score Calculation'!$C$5,1,if($C33&gt;'RFM Score Calculation'!$C$4,3,2))</f>
        <v>1</v>
      </c>
      <c r="I33" s="18">
        <f>if($D33&lt;='RFM Score Calculation'!$D$5,1,if($D33&gt;'RFM Score Calculation'!$D$4,3,2))</f>
        <v>1</v>
      </c>
      <c r="J33" s="64">
        <f t="shared" si="2"/>
        <v>211</v>
      </c>
      <c r="K33" s="18" t="str">
        <f t="array" ref="K33">XLOOKUP($J33,'Segment Table'!$B$2:$B$25,'Segment Table'!$A$2:$A$25)</f>
        <v>Potential Loyal Customers</v>
      </c>
      <c r="L33" s="17"/>
      <c r="M33" s="17"/>
      <c r="N33" s="17"/>
      <c r="O33" s="17"/>
      <c r="P33" s="17"/>
      <c r="Q33" s="17"/>
      <c r="R33" s="17"/>
      <c r="S33" s="17"/>
      <c r="T33" s="17"/>
      <c r="U33" s="17"/>
      <c r="V33" s="17"/>
      <c r="W33" s="17"/>
      <c r="X33" s="17"/>
      <c r="Y33" s="17"/>
      <c r="Z33" s="17"/>
    </row>
    <row r="34">
      <c r="A34" s="18" t="s">
        <v>2644</v>
      </c>
      <c r="B34" s="62">
        <f>maxifs(Order_data!$G$2:$G$2493,Order_data!$B$2:$B$2493,$A34,Order_data!$I$2:$I$2493,Order_data!$I$2474)</f>
        <v>45284</v>
      </c>
      <c r="C34" s="18">
        <f>countifs(Order_data!$B$2:$B$2493,$A34,Order_data!$I$2:$I$2493,Order_data!$I$2470)</f>
        <v>20</v>
      </c>
      <c r="D34" s="18">
        <f>sumifs(Order_data!$N$2:$N$2493,Order_data!$B$2:$B$2493,$A34,Order_data!$I$2:$I$2493,Order_data!$I$2479)</f>
        <v>8775</v>
      </c>
      <c r="E34" s="63">
        <v>45292.0</v>
      </c>
      <c r="F34" s="18">
        <f t="shared" si="1"/>
        <v>8</v>
      </c>
      <c r="G34" s="18">
        <f>if($F34&lt;='RFM Score Calculation'!$B$5,3,if($F34&gt;'RFM Score Calculation'!$B$4,1,2))</f>
        <v>1</v>
      </c>
      <c r="H34" s="18">
        <f>if($C34&lt;='RFM Score Calculation'!$C$5,1,if($C34&gt;'RFM Score Calculation'!$C$4,3,2))</f>
        <v>1</v>
      </c>
      <c r="I34" s="18">
        <f>if($D34&lt;='RFM Score Calculation'!$D$5,1,if($D34&gt;'RFM Score Calculation'!$D$4,3,2))</f>
        <v>2</v>
      </c>
      <c r="J34" s="64">
        <f t="shared" si="2"/>
        <v>112</v>
      </c>
      <c r="K34" s="18" t="str">
        <f t="array" ref="K34">XLOOKUP($J34,'Segment Table'!$B$2:$B$25,'Segment Table'!$A$2:$A$25)</f>
        <v>Potential Loyal Customers</v>
      </c>
      <c r="L34" s="17"/>
      <c r="M34" s="17"/>
      <c r="N34" s="17"/>
      <c r="O34" s="17"/>
      <c r="P34" s="17"/>
      <c r="Q34" s="17"/>
      <c r="R34" s="17"/>
      <c r="S34" s="17"/>
      <c r="T34" s="17"/>
      <c r="U34" s="17"/>
      <c r="V34" s="17"/>
      <c r="W34" s="17"/>
      <c r="X34" s="17"/>
      <c r="Y34" s="17"/>
      <c r="Z34" s="17"/>
    </row>
    <row r="35">
      <c r="A35" s="18" t="s">
        <v>2645</v>
      </c>
      <c r="B35" s="62">
        <f>maxifs(Order_data!$G$2:$G$2493,Order_data!$B$2:$B$2493,$A35,Order_data!$I$2:$I$2493,Order_data!$I$2474)</f>
        <v>45284</v>
      </c>
      <c r="C35" s="18">
        <f>countifs(Order_data!$B$2:$B$2493,$A35,Order_data!$I$2:$I$2493,Order_data!$I$2470)</f>
        <v>16</v>
      </c>
      <c r="D35" s="18">
        <f>sumifs(Order_data!$N$2:$N$2493,Order_data!$B$2:$B$2493,$A35,Order_data!$I$2:$I$2493,Order_data!$I$2479)</f>
        <v>7332</v>
      </c>
      <c r="E35" s="63">
        <v>45292.0</v>
      </c>
      <c r="F35" s="18">
        <f t="shared" si="1"/>
        <v>8</v>
      </c>
      <c r="G35" s="18">
        <f>if($F35&lt;='RFM Score Calculation'!$B$5,3,if($F35&gt;'RFM Score Calculation'!$B$4,1,2))</f>
        <v>1</v>
      </c>
      <c r="H35" s="18">
        <f>if($C35&lt;='RFM Score Calculation'!$C$5,1,if($C35&gt;'RFM Score Calculation'!$C$4,3,2))</f>
        <v>1</v>
      </c>
      <c r="I35" s="18">
        <f>if($D35&lt;='RFM Score Calculation'!$D$5,1,if($D35&gt;'RFM Score Calculation'!$D$4,3,2))</f>
        <v>1</v>
      </c>
      <c r="J35" s="64">
        <f t="shared" si="2"/>
        <v>111</v>
      </c>
      <c r="K35" s="18" t="str">
        <f t="array" ref="K35">XLOOKUP($J35,'Segment Table'!$B$2:$B$25,'Segment Table'!$A$2:$A$25)</f>
        <v>Potential Loyal Customers</v>
      </c>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57"/>
  </cols>
  <sheetData>
    <row r="1">
      <c r="A1" s="61" t="s">
        <v>2646</v>
      </c>
      <c r="B1" s="61" t="s">
        <v>2608</v>
      </c>
      <c r="C1" s="61" t="s">
        <v>2647</v>
      </c>
      <c r="D1" s="61" t="s">
        <v>2648</v>
      </c>
    </row>
    <row r="2">
      <c r="A2" s="65" t="s">
        <v>2649</v>
      </c>
      <c r="B2" s="66">
        <f>round(average('RFM Segmentation'!F2:F35),0)</f>
        <v>5</v>
      </c>
      <c r="C2" s="66">
        <f>round(average('RFM Segmentation'!C2:C35),0)</f>
        <v>56</v>
      </c>
      <c r="D2" s="66">
        <f>round(average('RFM Segmentation'!D2:D35),0)</f>
        <v>16205</v>
      </c>
    </row>
    <row r="3">
      <c r="A3" s="65" t="s">
        <v>2650</v>
      </c>
      <c r="B3" s="66">
        <f t="shared" ref="B3:D3" si="1">B2/2</f>
        <v>2.5</v>
      </c>
      <c r="C3" s="66">
        <f t="shared" si="1"/>
        <v>28</v>
      </c>
      <c r="D3" s="66">
        <f t="shared" si="1"/>
        <v>8102.5</v>
      </c>
    </row>
    <row r="4">
      <c r="A4" s="65" t="s">
        <v>2651</v>
      </c>
      <c r="B4" s="66">
        <f t="shared" ref="B4:D4" si="2">B2+B3</f>
        <v>7.5</v>
      </c>
      <c r="C4" s="66">
        <f t="shared" si="2"/>
        <v>84</v>
      </c>
      <c r="D4" s="66">
        <f t="shared" si="2"/>
        <v>24307.5</v>
      </c>
    </row>
    <row r="5">
      <c r="A5" s="65" t="s">
        <v>2652</v>
      </c>
      <c r="B5" s="66">
        <f t="shared" ref="B5:D5" si="3">B2-B3</f>
        <v>2.5</v>
      </c>
      <c r="C5" s="66">
        <f t="shared" si="3"/>
        <v>28</v>
      </c>
      <c r="D5" s="66">
        <f t="shared" si="3"/>
        <v>8102.5</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6.43"/>
    <col customWidth="1" min="2" max="2" width="26.43"/>
    <col customWidth="1" min="3" max="3" width="30.14"/>
    <col customWidth="1" min="4" max="4" width="18.57"/>
    <col customWidth="1" min="5" max="5" width="27.71"/>
    <col customWidth="1" min="6" max="6" width="22.29"/>
    <col customWidth="1" min="7" max="7" width="24.14"/>
    <col customWidth="1" min="8" max="8" width="22.29"/>
    <col customWidth="1" min="9" max="9" width="25.43"/>
  </cols>
  <sheetData>
    <row r="1">
      <c r="A1" s="67" t="s">
        <v>2653</v>
      </c>
      <c r="B1" s="68"/>
      <c r="C1" s="68"/>
      <c r="D1" s="68"/>
      <c r="E1" s="68"/>
      <c r="F1" s="68"/>
      <c r="G1" s="68"/>
      <c r="H1" s="68"/>
      <c r="I1" s="69"/>
      <c r="J1" s="17"/>
      <c r="K1" s="17"/>
      <c r="L1" s="17"/>
      <c r="M1" s="17"/>
      <c r="N1" s="17"/>
      <c r="O1" s="17"/>
      <c r="P1" s="17"/>
      <c r="Q1" s="17"/>
      <c r="R1" s="17"/>
      <c r="S1" s="17"/>
      <c r="T1" s="17"/>
      <c r="U1" s="17"/>
      <c r="V1" s="17"/>
      <c r="W1" s="17"/>
      <c r="X1" s="17"/>
      <c r="Y1" s="17"/>
      <c r="Z1" s="17"/>
    </row>
    <row r="2">
      <c r="A2" s="61" t="s">
        <v>2654</v>
      </c>
      <c r="B2" s="61" t="s">
        <v>2655</v>
      </c>
      <c r="C2" s="61" t="s">
        <v>2656</v>
      </c>
      <c r="D2" s="70" t="s">
        <v>2657</v>
      </c>
      <c r="E2" s="29"/>
      <c r="F2" s="70" t="s">
        <v>2658</v>
      </c>
      <c r="G2" s="29"/>
      <c r="H2" s="70" t="s">
        <v>2659</v>
      </c>
      <c r="I2" s="29"/>
      <c r="J2" s="17"/>
      <c r="K2" s="17"/>
      <c r="L2" s="17"/>
      <c r="M2" s="17"/>
      <c r="N2" s="17"/>
      <c r="O2" s="17"/>
      <c r="P2" s="17"/>
      <c r="Q2" s="17"/>
      <c r="R2" s="17"/>
      <c r="S2" s="17"/>
      <c r="T2" s="17"/>
      <c r="U2" s="17"/>
      <c r="V2" s="17"/>
      <c r="W2" s="17"/>
      <c r="X2" s="17"/>
      <c r="Y2" s="17"/>
      <c r="Z2" s="17"/>
    </row>
    <row r="3">
      <c r="A3" s="71" t="str">
        <f t="array" ref="A3:A6">UNIQUE('RFM Segmentation'!K2:K42)</f>
        <v>Top-tier Customers</v>
      </c>
      <c r="B3" s="72">
        <f>countifs('RFM Segmentation'!$K$2:$K$42,$A3)</f>
        <v>10</v>
      </c>
      <c r="C3" s="73">
        <f t="shared" ref="C3:C5" si="1">B3/sum($B$3:$B$5)</f>
        <v>0.2941176471</v>
      </c>
      <c r="D3" s="74">
        <f>averageifs('RFM Segmentation'!$F$2:$F$42,'RFM Segmentation'!$K$2:$K$42,$A3)</f>
        <v>3.8</v>
      </c>
      <c r="E3" s="75" t="str">
        <f>IFERROR(__xludf.DUMMYFUNCTION("SPARKLINE(D3,{""charttype"",""bar"";""max"",max($D$3:$D$5);""color1"",""#6d9eeb""})"),"")</f>
        <v/>
      </c>
      <c r="F3" s="76">
        <f>averageifs('RFM Segmentation'!$C$2:$C$42,'RFM Segmentation'!$K$2:$K$42,$A3)</f>
        <v>94.6</v>
      </c>
      <c r="G3" s="47" t="str">
        <f>IFERROR(__xludf.DUMMYFUNCTION("SPARKLINE($F3,{""charttype"",""bar"";""max"",max($F$3:$F$5);""color1"",""#6d9eeb""})"),"")</f>
        <v/>
      </c>
      <c r="H3" s="77">
        <f>averageifs('RFM Segmentation'!$D$2:$D$42,'RFM Segmentation'!$K$2:$K$42,$A3)</f>
        <v>26619.7</v>
      </c>
      <c r="I3" s="75" t="str">
        <f>IFERROR(__xludf.DUMMYFUNCTION("SPARKLINE($H3,{""charttype"",""bar"";""max"",max($H$3:$H$5);""color1"",""#6d9eeb""})"),"")</f>
        <v/>
      </c>
      <c r="J3" s="17"/>
      <c r="K3" s="17"/>
      <c r="L3" s="17"/>
      <c r="M3" s="17"/>
      <c r="N3" s="17"/>
      <c r="O3" s="17"/>
      <c r="P3" s="17"/>
      <c r="Q3" s="17"/>
      <c r="R3" s="17"/>
      <c r="S3" s="17"/>
      <c r="T3" s="17"/>
      <c r="U3" s="17"/>
      <c r="V3" s="17"/>
      <c r="W3" s="17"/>
      <c r="X3" s="17"/>
      <c r="Y3" s="17"/>
      <c r="Z3" s="17"/>
    </row>
    <row r="4">
      <c r="A4" s="71" t="s">
        <v>2602</v>
      </c>
      <c r="B4" s="72">
        <f>countifs('RFM Segmentation'!$K$2:$K$42,$A4)</f>
        <v>4</v>
      </c>
      <c r="C4" s="73">
        <f t="shared" si="1"/>
        <v>0.1176470588</v>
      </c>
      <c r="D4" s="74">
        <f>averageifs('RFM Segmentation'!$F$2:$F$42,'RFM Segmentation'!$K$2:$K$42,$A4)</f>
        <v>2.25</v>
      </c>
      <c r="E4" s="75" t="str">
        <f>IFERROR(__xludf.DUMMYFUNCTION("SPARKLINE(D4,{""charttype"",""bar"";""max"",max($D$3:$D$5);""color1"",""#6d9eeb""})"),"")</f>
        <v/>
      </c>
      <c r="F4" s="76">
        <f>averageifs('RFM Segmentation'!$C$2:$C$42,'RFM Segmentation'!$K$2:$K$42,$A4)</f>
        <v>90.75</v>
      </c>
      <c r="G4" s="47" t="str">
        <f>IFERROR(__xludf.DUMMYFUNCTION("SPARKLINE($F4,{""charttype"",""bar"";""max"",max($F$3:$F$5);""color1"",""#6d9eeb""})"),"")</f>
        <v/>
      </c>
      <c r="H4" s="77">
        <f>averageifs('RFM Segmentation'!$D$2:$D$42,'RFM Segmentation'!$K$2:$K$42,$A4)</f>
        <v>21770.25</v>
      </c>
      <c r="I4" s="75" t="str">
        <f>IFERROR(__xludf.DUMMYFUNCTION("SPARKLINE($H4,{""charttype"",""bar"";""max"",max($H$3:$H$5);""color1"",""#6d9eeb""})"),"")</f>
        <v/>
      </c>
      <c r="J4" s="17"/>
      <c r="K4" s="17"/>
      <c r="L4" s="17"/>
      <c r="M4" s="17"/>
      <c r="N4" s="17"/>
      <c r="O4" s="17"/>
      <c r="P4" s="17"/>
      <c r="Q4" s="17"/>
      <c r="R4" s="17"/>
      <c r="S4" s="17"/>
      <c r="T4" s="17"/>
      <c r="U4" s="17"/>
      <c r="V4" s="17"/>
      <c r="W4" s="17"/>
      <c r="X4" s="17"/>
      <c r="Y4" s="17"/>
      <c r="Z4" s="17"/>
    </row>
    <row r="5">
      <c r="A5" s="78" t="s">
        <v>2603</v>
      </c>
      <c r="B5" s="79">
        <f>countifs('RFM Segmentation'!$K$2:$K$42,$A5)</f>
        <v>20</v>
      </c>
      <c r="C5" s="80">
        <f t="shared" si="1"/>
        <v>0.5882352941</v>
      </c>
      <c r="D5" s="81">
        <f>averageifs('RFM Segmentation'!$F$2:$F$42,'RFM Segmentation'!$K$2:$K$42,$A5)</f>
        <v>6.25</v>
      </c>
      <c r="E5" s="82" t="str">
        <f>IFERROR(__xludf.DUMMYFUNCTION("SPARKLINE(D5,{""charttype"",""bar"";""max"",max($D$3:$D$5);""color1"",""#6d9eeb""})"),"")</f>
        <v/>
      </c>
      <c r="F5" s="83">
        <f>averageifs('RFM Segmentation'!$C$2:$C$42,'RFM Segmentation'!$K$2:$K$42,$A5)</f>
        <v>28.95</v>
      </c>
      <c r="G5" s="84" t="str">
        <f>IFERROR(__xludf.DUMMYFUNCTION("SPARKLINE($F5,{""charttype"",""bar"";""max"",max($F$3:$F$5);""color1"",""#6d9eeb""})"),"")</f>
        <v/>
      </c>
      <c r="H5" s="85">
        <f>averageifs('RFM Segmentation'!$D$2:$D$42,'RFM Segmentation'!$K$2:$K$42,$A5)</f>
        <v>9883.75</v>
      </c>
      <c r="I5" s="82" t="str">
        <f>IFERROR(__xludf.DUMMYFUNCTION("SPARKLINE($H5,{""charttype"",""bar"";""max"",max($H$3:$H$5);""color1"",""#6d9eeb""})"),"")</f>
        <v/>
      </c>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86" t="s">
        <v>2603</v>
      </c>
      <c r="B8" s="68"/>
      <c r="C8" s="68"/>
      <c r="D8" s="68"/>
      <c r="E8" s="68"/>
      <c r="F8" s="68"/>
      <c r="G8" s="68"/>
      <c r="H8" s="69"/>
      <c r="I8" s="17"/>
      <c r="J8" s="17"/>
      <c r="K8" s="17"/>
      <c r="L8" s="17"/>
      <c r="M8" s="17"/>
      <c r="N8" s="17"/>
      <c r="O8" s="17"/>
      <c r="P8" s="17"/>
      <c r="Q8" s="17"/>
      <c r="R8" s="17"/>
      <c r="S8" s="17"/>
      <c r="T8" s="17"/>
      <c r="U8" s="17"/>
      <c r="V8" s="17"/>
      <c r="W8" s="17"/>
      <c r="X8" s="17"/>
      <c r="Y8" s="17"/>
      <c r="Z8" s="17"/>
    </row>
    <row r="9" ht="8.25" customHeight="1">
      <c r="A9" s="87"/>
      <c r="B9" s="88"/>
      <c r="C9" s="88"/>
      <c r="D9" s="88"/>
      <c r="E9" s="88"/>
      <c r="F9" s="88"/>
      <c r="G9" s="88"/>
      <c r="H9" s="89"/>
      <c r="I9" s="17"/>
      <c r="J9" s="17"/>
      <c r="K9" s="17"/>
      <c r="L9" s="17"/>
      <c r="M9" s="17"/>
      <c r="N9" s="17"/>
      <c r="O9" s="17"/>
      <c r="P9" s="17"/>
      <c r="Q9" s="17"/>
      <c r="R9" s="17"/>
      <c r="S9" s="17"/>
      <c r="T9" s="17"/>
      <c r="U9" s="17"/>
      <c r="V9" s="17"/>
      <c r="W9" s="17"/>
      <c r="X9" s="17"/>
      <c r="Y9" s="17"/>
      <c r="Z9" s="17"/>
    </row>
    <row r="10">
      <c r="A10" s="61" t="s">
        <v>2660</v>
      </c>
      <c r="B10" s="90" t="s">
        <v>2661</v>
      </c>
      <c r="C10" s="28"/>
      <c r="D10" s="28"/>
      <c r="E10" s="28"/>
      <c r="F10" s="29"/>
      <c r="G10" s="90" t="s">
        <v>2662</v>
      </c>
      <c r="H10" s="29"/>
      <c r="I10" s="17"/>
      <c r="J10" s="17"/>
      <c r="K10" s="17"/>
      <c r="L10" s="17"/>
      <c r="M10" s="17"/>
      <c r="N10" s="17"/>
      <c r="O10" s="17"/>
      <c r="P10" s="17"/>
      <c r="Q10" s="17"/>
      <c r="R10" s="17"/>
      <c r="S10" s="17"/>
      <c r="T10" s="17"/>
      <c r="U10" s="17"/>
      <c r="V10" s="17"/>
      <c r="W10" s="17"/>
      <c r="X10" s="17"/>
      <c r="Y10" s="17"/>
      <c r="Z10" s="17"/>
    </row>
    <row r="11">
      <c r="A11" s="18" t="str">
        <f>IFERROR(__xludf.DUMMYFUNCTION("filter('RFM Segmentation'!$A$2:$A$35,'RFM Segmentation'!$K$2:$K$35=$A$8)"),"Mehul Thakkar")</f>
        <v>Mehul Thakkar</v>
      </c>
      <c r="B11" s="18" t="str">
        <f>IFERROR(__xludf.DUMMYFUNCTION("if($A11&lt;&gt;"""",transpose(query(sort(filter(Order_data!$B$2:$I$2493,Order_data!$B$2:$B$2493=$A11),6,FALSE),""Select Col8 limit 5"")),"""")"),"Cancelled")</f>
        <v>Cancelled</v>
      </c>
      <c r="C11" s="18" t="str">
        <f>IFERROR(__xludf.DUMMYFUNCTION("""COMPUTED_VALUE"""),"Cancelled")</f>
        <v>Cancelled</v>
      </c>
      <c r="D11" s="18" t="str">
        <f>IFERROR(__xludf.DUMMYFUNCTION("""COMPUTED_VALUE"""),"Delivered")</f>
        <v>Delivered</v>
      </c>
      <c r="E11" s="18" t="str">
        <f>IFERROR(__xludf.DUMMYFUNCTION("""COMPUTED_VALUE"""),"Delivered")</f>
        <v>Delivered</v>
      </c>
      <c r="F11" s="18" t="str">
        <f>IFERROR(__xludf.DUMMYFUNCTION("""COMPUTED_VALUE"""),"Cancelled")</f>
        <v>Cancelled</v>
      </c>
      <c r="G11" s="91" t="str">
        <f t="shared" ref="G11:G30" si="2">if(or(and($B11="Cancelled",$C11="Cancelled"),and($C11="Cancelled",$D11="Cancelled"),and($D11="Cancelled",$E11="Cancelled"),and($E11="Cancelled",$F11="Cancelled")),"Consecutive Cancellation",if($A11&lt;&gt;"","No Consecutive Cancellation",""))</f>
        <v>Consecutive Cancellation</v>
      </c>
      <c r="H11" s="29"/>
      <c r="I11" s="17"/>
      <c r="J11" s="17"/>
      <c r="K11" s="17"/>
      <c r="L11" s="17"/>
      <c r="M11" s="17"/>
      <c r="N11" s="17"/>
      <c r="O11" s="17"/>
      <c r="P11" s="17"/>
      <c r="Q11" s="17"/>
      <c r="R11" s="17"/>
      <c r="S11" s="17"/>
      <c r="T11" s="17"/>
      <c r="U11" s="17"/>
      <c r="V11" s="17"/>
      <c r="W11" s="17"/>
      <c r="X11" s="17"/>
      <c r="Y11" s="17"/>
      <c r="Z11" s="17"/>
    </row>
    <row r="12">
      <c r="A12" s="18" t="str">
        <f>IFERROR(__xludf.DUMMYFUNCTION("""COMPUTED_VALUE"""),"Sahil Desai")</f>
        <v>Sahil Desai</v>
      </c>
      <c r="B12" s="18" t="str">
        <f>IFERROR(__xludf.DUMMYFUNCTION("if($A12&lt;&gt;"""",transpose(query(sort(filter(Order_data!$B$2:$I$2493,Order_data!$B$2:$B$2493=$A12),6,FALSE),""Select Col8 limit 5"")),"""")"),"Delivered")</f>
        <v>Delivered</v>
      </c>
      <c r="C12" s="18" t="str">
        <f>IFERROR(__xludf.DUMMYFUNCTION("""COMPUTED_VALUE"""),"Delivered")</f>
        <v>Delivered</v>
      </c>
      <c r="D12" s="18" t="str">
        <f>IFERROR(__xludf.DUMMYFUNCTION("""COMPUTED_VALUE"""),"Delivered")</f>
        <v>Delivered</v>
      </c>
      <c r="E12" s="18" t="str">
        <f>IFERROR(__xludf.DUMMYFUNCTION("""COMPUTED_VALUE"""),"Delivered")</f>
        <v>Delivered</v>
      </c>
      <c r="F12" s="18" t="str">
        <f>IFERROR(__xludf.DUMMYFUNCTION("""COMPUTED_VALUE"""),"Delivered")</f>
        <v>Delivered</v>
      </c>
      <c r="G12" s="91" t="str">
        <f t="shared" si="2"/>
        <v>No Consecutive Cancellation</v>
      </c>
      <c r="H12" s="29"/>
      <c r="I12" s="17"/>
      <c r="J12" s="17"/>
      <c r="K12" s="17"/>
      <c r="L12" s="17"/>
      <c r="M12" s="17"/>
      <c r="N12" s="17"/>
      <c r="O12" s="17"/>
      <c r="P12" s="17"/>
      <c r="Q12" s="17"/>
      <c r="R12" s="17"/>
      <c r="S12" s="17"/>
      <c r="T12" s="17"/>
      <c r="U12" s="17"/>
      <c r="V12" s="17"/>
      <c r="W12" s="17"/>
      <c r="X12" s="17"/>
      <c r="Y12" s="17"/>
      <c r="Z12" s="17"/>
    </row>
    <row r="13">
      <c r="A13" s="18" t="str">
        <f>IFERROR(__xludf.DUMMYFUNCTION("""COMPUTED_VALUE"""),"Simran Bhatt")</f>
        <v>Simran Bhatt</v>
      </c>
      <c r="B13" s="18" t="str">
        <f>IFERROR(__xludf.DUMMYFUNCTION("if($A13&lt;&gt;"""",transpose(query(sort(filter(Order_data!$B$2:$I$2493,Order_data!$B$2:$B$2493=$A13),6,FALSE),""Select Col8 limit 5"")),"""")"),"Delivered")</f>
        <v>Delivered</v>
      </c>
      <c r="C13" s="18" t="str">
        <f>IFERROR(__xludf.DUMMYFUNCTION("""COMPUTED_VALUE"""),"Delivered")</f>
        <v>Delivered</v>
      </c>
      <c r="D13" s="18" t="str">
        <f>IFERROR(__xludf.DUMMYFUNCTION("""COMPUTED_VALUE"""),"Delivered")</f>
        <v>Delivered</v>
      </c>
      <c r="E13" s="18" t="str">
        <f>IFERROR(__xludf.DUMMYFUNCTION("""COMPUTED_VALUE"""),"Delivered")</f>
        <v>Delivered</v>
      </c>
      <c r="F13" s="18" t="str">
        <f>IFERROR(__xludf.DUMMYFUNCTION("""COMPUTED_VALUE"""),"Delivered")</f>
        <v>Delivered</v>
      </c>
      <c r="G13" s="91" t="str">
        <f t="shared" si="2"/>
        <v>No Consecutive Cancellation</v>
      </c>
      <c r="H13" s="29"/>
      <c r="I13" s="17"/>
      <c r="J13" s="17"/>
      <c r="K13" s="17"/>
      <c r="L13" s="17"/>
      <c r="M13" s="17"/>
      <c r="N13" s="17"/>
      <c r="O13" s="17"/>
      <c r="P13" s="17"/>
      <c r="Q13" s="17"/>
      <c r="R13" s="17"/>
      <c r="S13" s="17"/>
      <c r="T13" s="17"/>
      <c r="U13" s="17"/>
      <c r="V13" s="17"/>
      <c r="W13" s="17"/>
      <c r="X13" s="17"/>
      <c r="Y13" s="17"/>
      <c r="Z13" s="17"/>
    </row>
    <row r="14">
      <c r="A14" s="18" t="str">
        <f>IFERROR(__xludf.DUMMYFUNCTION("""COMPUTED_VALUE"""),"Kunal Sharma")</f>
        <v>Kunal Sharma</v>
      </c>
      <c r="B14" s="18" t="str">
        <f>IFERROR(__xludf.DUMMYFUNCTION("if($A14&lt;&gt;"""",transpose(query(sort(filter(Order_data!$B$2:$I$2493,Order_data!$B$2:$B$2493=$A14),6,FALSE),""Select Col8 limit 5"")),"""")"),"Delivered")</f>
        <v>Delivered</v>
      </c>
      <c r="C14" s="18" t="str">
        <f>IFERROR(__xludf.DUMMYFUNCTION("""COMPUTED_VALUE"""),"Delivered")</f>
        <v>Delivered</v>
      </c>
      <c r="D14" s="18" t="str">
        <f>IFERROR(__xludf.DUMMYFUNCTION("""COMPUTED_VALUE"""),"Delivered")</f>
        <v>Delivered</v>
      </c>
      <c r="E14" s="18" t="str">
        <f>IFERROR(__xludf.DUMMYFUNCTION("""COMPUTED_VALUE"""),"Delivered")</f>
        <v>Delivered</v>
      </c>
      <c r="F14" s="18" t="str">
        <f>IFERROR(__xludf.DUMMYFUNCTION("""COMPUTED_VALUE"""),"Delivered")</f>
        <v>Delivered</v>
      </c>
      <c r="G14" s="91" t="str">
        <f t="shared" si="2"/>
        <v>No Consecutive Cancellation</v>
      </c>
      <c r="H14" s="29"/>
      <c r="I14" s="17"/>
      <c r="J14" s="17"/>
      <c r="K14" s="17"/>
      <c r="L14" s="17"/>
      <c r="M14" s="17"/>
      <c r="N14" s="17"/>
      <c r="O14" s="17"/>
      <c r="P14" s="17"/>
      <c r="Q14" s="17"/>
      <c r="R14" s="17"/>
      <c r="S14" s="17"/>
      <c r="T14" s="17"/>
      <c r="U14" s="17"/>
      <c r="V14" s="17"/>
      <c r="W14" s="17"/>
      <c r="X14" s="17"/>
      <c r="Y14" s="17"/>
      <c r="Z14" s="17"/>
    </row>
    <row r="15">
      <c r="A15" s="18" t="str">
        <f>IFERROR(__xludf.DUMMYFUNCTION("""COMPUTED_VALUE"""),"Sana Malik")</f>
        <v>Sana Malik</v>
      </c>
      <c r="B15" s="18" t="str">
        <f>IFERROR(__xludf.DUMMYFUNCTION("if($A15&lt;&gt;"""",transpose(query(sort(filter(Order_data!$B$2:$I$2493,Order_data!$B$2:$B$2493=$A15),6,FALSE),""Select Col8 limit 5"")),"""")"),"Delivered")</f>
        <v>Delivered</v>
      </c>
      <c r="C15" s="18" t="str">
        <f>IFERROR(__xludf.DUMMYFUNCTION("""COMPUTED_VALUE"""),"Delivered")</f>
        <v>Delivered</v>
      </c>
      <c r="D15" s="18" t="str">
        <f>IFERROR(__xludf.DUMMYFUNCTION("""COMPUTED_VALUE"""),"Delivered")</f>
        <v>Delivered</v>
      </c>
      <c r="E15" s="18" t="str">
        <f>IFERROR(__xludf.DUMMYFUNCTION("""COMPUTED_VALUE"""),"Delivered")</f>
        <v>Delivered</v>
      </c>
      <c r="F15" s="18" t="str">
        <f>IFERROR(__xludf.DUMMYFUNCTION("""COMPUTED_VALUE"""),"Delivered")</f>
        <v>Delivered</v>
      </c>
      <c r="G15" s="91" t="str">
        <f t="shared" si="2"/>
        <v>No Consecutive Cancellation</v>
      </c>
      <c r="H15" s="29"/>
      <c r="I15" s="17"/>
      <c r="J15" s="17"/>
      <c r="K15" s="17"/>
      <c r="L15" s="17"/>
      <c r="M15" s="17"/>
      <c r="N15" s="17"/>
      <c r="O15" s="17"/>
      <c r="P15" s="17"/>
      <c r="Q15" s="17"/>
      <c r="R15" s="17"/>
      <c r="S15" s="17"/>
      <c r="T15" s="17"/>
      <c r="U15" s="17"/>
      <c r="V15" s="17"/>
      <c r="W15" s="17"/>
      <c r="X15" s="17"/>
      <c r="Y15" s="17"/>
      <c r="Z15" s="17"/>
    </row>
    <row r="16">
      <c r="A16" s="18" t="str">
        <f>IFERROR(__xludf.DUMMYFUNCTION("""COMPUTED_VALUE"""),"Yash Verma")</f>
        <v>Yash Verma</v>
      </c>
      <c r="B16" s="18" t="str">
        <f>IFERROR(__xludf.DUMMYFUNCTION("if($A16&lt;&gt;"""",transpose(query(sort(filter(Order_data!$B$2:$I$2493,Order_data!$B$2:$B$2493=$A16),6,FALSE),""Select Col8 limit 5"")),"""")"),"Delivered")</f>
        <v>Delivered</v>
      </c>
      <c r="C16" s="18" t="str">
        <f>IFERROR(__xludf.DUMMYFUNCTION("""COMPUTED_VALUE"""),"Delivered")</f>
        <v>Delivered</v>
      </c>
      <c r="D16" s="18" t="str">
        <f>IFERROR(__xludf.DUMMYFUNCTION("""COMPUTED_VALUE"""),"Delivered")</f>
        <v>Delivered</v>
      </c>
      <c r="E16" s="18" t="str">
        <f>IFERROR(__xludf.DUMMYFUNCTION("""COMPUTED_VALUE"""),"Delivered")</f>
        <v>Delivered</v>
      </c>
      <c r="F16" s="18" t="str">
        <f>IFERROR(__xludf.DUMMYFUNCTION("""COMPUTED_VALUE"""),"Delivered")</f>
        <v>Delivered</v>
      </c>
      <c r="G16" s="91" t="str">
        <f t="shared" si="2"/>
        <v>No Consecutive Cancellation</v>
      </c>
      <c r="H16" s="29"/>
      <c r="I16" s="17"/>
      <c r="J16" s="17"/>
      <c r="K16" s="17"/>
      <c r="L16" s="17"/>
      <c r="M16" s="17"/>
      <c r="N16" s="17"/>
      <c r="O16" s="17"/>
      <c r="P16" s="17"/>
      <c r="Q16" s="17"/>
      <c r="R16" s="17"/>
      <c r="S16" s="17"/>
      <c r="T16" s="17"/>
      <c r="U16" s="17"/>
      <c r="V16" s="17"/>
      <c r="W16" s="17"/>
      <c r="X16" s="17"/>
      <c r="Y16" s="17"/>
      <c r="Z16" s="17"/>
    </row>
    <row r="17">
      <c r="A17" s="18" t="str">
        <f>IFERROR(__xludf.DUMMYFUNCTION("""COMPUTED_VALUE"""),"Ritika Dutta")</f>
        <v>Ritika Dutta</v>
      </c>
      <c r="B17" s="18" t="str">
        <f>IFERROR(__xludf.DUMMYFUNCTION("if($A17&lt;&gt;"""",transpose(query(sort(filter(Order_data!$B$2:$I$2493,Order_data!$B$2:$B$2493=$A17),6,FALSE),""Select Col8 limit 5"")),"""")"),"Delivered")</f>
        <v>Delivered</v>
      </c>
      <c r="C17" s="18" t="str">
        <f>IFERROR(__xludf.DUMMYFUNCTION("""COMPUTED_VALUE"""),"Delivered")</f>
        <v>Delivered</v>
      </c>
      <c r="D17" s="18" t="str">
        <f>IFERROR(__xludf.DUMMYFUNCTION("""COMPUTED_VALUE"""),"Delivered")</f>
        <v>Delivered</v>
      </c>
      <c r="E17" s="18" t="str">
        <f>IFERROR(__xludf.DUMMYFUNCTION("""COMPUTED_VALUE"""),"Delivered")</f>
        <v>Delivered</v>
      </c>
      <c r="F17" s="18" t="str">
        <f>IFERROR(__xludf.DUMMYFUNCTION("""COMPUTED_VALUE"""),"Delivered")</f>
        <v>Delivered</v>
      </c>
      <c r="G17" s="91" t="str">
        <f t="shared" si="2"/>
        <v>No Consecutive Cancellation</v>
      </c>
      <c r="H17" s="29"/>
      <c r="I17" s="17"/>
      <c r="J17" s="17"/>
      <c r="K17" s="17"/>
      <c r="L17" s="17"/>
      <c r="M17" s="17"/>
      <c r="N17" s="17"/>
      <c r="O17" s="17"/>
      <c r="P17" s="17"/>
      <c r="Q17" s="17"/>
      <c r="R17" s="17"/>
      <c r="S17" s="17"/>
      <c r="T17" s="17"/>
      <c r="U17" s="17"/>
      <c r="V17" s="17"/>
      <c r="W17" s="17"/>
      <c r="X17" s="17"/>
      <c r="Y17" s="17"/>
      <c r="Z17" s="17"/>
    </row>
    <row r="18">
      <c r="A18" s="18" t="str">
        <f>IFERROR(__xludf.DUMMYFUNCTION("""COMPUTED_VALUE"""),"Aditya Basu")</f>
        <v>Aditya Basu</v>
      </c>
      <c r="B18" s="18" t="str">
        <f>IFERROR(__xludf.DUMMYFUNCTION("if($A18&lt;&gt;"""",transpose(query(sort(filter(Order_data!$B$2:$I$2493,Order_data!$B$2:$B$2493=$A18),6,FALSE),""Select Col8 limit 5"")),"""")"),"Delivered")</f>
        <v>Delivered</v>
      </c>
      <c r="C18" s="18" t="str">
        <f>IFERROR(__xludf.DUMMYFUNCTION("""COMPUTED_VALUE"""),"Delivered")</f>
        <v>Delivered</v>
      </c>
      <c r="D18" s="18" t="str">
        <f>IFERROR(__xludf.DUMMYFUNCTION("""COMPUTED_VALUE"""),"Delivered")</f>
        <v>Delivered</v>
      </c>
      <c r="E18" s="18" t="str">
        <f>IFERROR(__xludf.DUMMYFUNCTION("""COMPUTED_VALUE"""),"Delivered")</f>
        <v>Delivered</v>
      </c>
      <c r="F18" s="18" t="str">
        <f>IFERROR(__xludf.DUMMYFUNCTION("""COMPUTED_VALUE"""),"Delivered")</f>
        <v>Delivered</v>
      </c>
      <c r="G18" s="91" t="str">
        <f t="shared" si="2"/>
        <v>No Consecutive Cancellation</v>
      </c>
      <c r="H18" s="29"/>
      <c r="I18" s="17"/>
      <c r="J18" s="17"/>
      <c r="K18" s="17"/>
      <c r="L18" s="17"/>
      <c r="M18" s="17"/>
      <c r="N18" s="17"/>
      <c r="O18" s="17"/>
      <c r="P18" s="17"/>
      <c r="Q18" s="17"/>
      <c r="R18" s="17"/>
      <c r="S18" s="17"/>
      <c r="T18" s="17"/>
      <c r="U18" s="17"/>
      <c r="V18" s="17"/>
      <c r="W18" s="17"/>
      <c r="X18" s="17"/>
      <c r="Y18" s="17"/>
      <c r="Z18" s="17"/>
    </row>
    <row r="19">
      <c r="A19" s="18" t="str">
        <f>IFERROR(__xludf.DUMMYFUNCTION("""COMPUTED_VALUE"""),"Siya Reddy")</f>
        <v>Siya Reddy</v>
      </c>
      <c r="B19" s="18" t="str">
        <f>IFERROR(__xludf.DUMMYFUNCTION("if($A19&lt;&gt;"""",transpose(query(sort(filter(Order_data!$B$2:$I$2493,Order_data!$B$2:$B$2493=$A19),6,FALSE),""Select Col8 limit 5"")),"""")"),"Cancelled")</f>
        <v>Cancelled</v>
      </c>
      <c r="C19" s="18" t="str">
        <f>IFERROR(__xludf.DUMMYFUNCTION("""COMPUTED_VALUE"""),"Delivered")</f>
        <v>Delivered</v>
      </c>
      <c r="D19" s="18" t="str">
        <f>IFERROR(__xludf.DUMMYFUNCTION("""COMPUTED_VALUE"""),"Delivered")</f>
        <v>Delivered</v>
      </c>
      <c r="E19" s="18" t="str">
        <f>IFERROR(__xludf.DUMMYFUNCTION("""COMPUTED_VALUE"""),"Cancelled")</f>
        <v>Cancelled</v>
      </c>
      <c r="F19" s="18" t="str">
        <f>IFERROR(__xludf.DUMMYFUNCTION("""COMPUTED_VALUE"""),"Cancelled")</f>
        <v>Cancelled</v>
      </c>
      <c r="G19" s="91" t="str">
        <f t="shared" si="2"/>
        <v>Consecutive Cancellation</v>
      </c>
      <c r="H19" s="29"/>
      <c r="I19" s="17"/>
      <c r="J19" s="17"/>
      <c r="K19" s="17"/>
      <c r="L19" s="17"/>
      <c r="M19" s="17"/>
      <c r="N19" s="17"/>
      <c r="O19" s="17"/>
      <c r="P19" s="17"/>
      <c r="Q19" s="17"/>
      <c r="R19" s="17"/>
      <c r="S19" s="17"/>
      <c r="T19" s="17"/>
      <c r="U19" s="17"/>
      <c r="V19" s="17"/>
      <c r="W19" s="17"/>
      <c r="X19" s="17"/>
      <c r="Y19" s="17"/>
      <c r="Z19" s="17"/>
    </row>
    <row r="20">
      <c r="A20" s="18" t="str">
        <f>IFERROR(__xludf.DUMMYFUNCTION("""COMPUTED_VALUE"""),"Kritika Shetty")</f>
        <v>Kritika Shetty</v>
      </c>
      <c r="B20" s="18" t="str">
        <f>IFERROR(__xludf.DUMMYFUNCTION("if($A20&lt;&gt;"""",transpose(query(sort(filter(Order_data!$B$2:$I$2493,Order_data!$B$2:$B$2493=$A20),6,FALSE),""Select Col8 limit 5"")),"""")"),"Delivered")</f>
        <v>Delivered</v>
      </c>
      <c r="C20" s="18" t="str">
        <f>IFERROR(__xludf.DUMMYFUNCTION("""COMPUTED_VALUE"""),"Delivered")</f>
        <v>Delivered</v>
      </c>
      <c r="D20" s="18" t="str">
        <f>IFERROR(__xludf.DUMMYFUNCTION("""COMPUTED_VALUE"""),"Delivered")</f>
        <v>Delivered</v>
      </c>
      <c r="E20" s="18" t="str">
        <f>IFERROR(__xludf.DUMMYFUNCTION("""COMPUTED_VALUE"""),"Cancelled")</f>
        <v>Cancelled</v>
      </c>
      <c r="F20" s="18" t="str">
        <f>IFERROR(__xludf.DUMMYFUNCTION("""COMPUTED_VALUE"""),"Cancelled")</f>
        <v>Cancelled</v>
      </c>
      <c r="G20" s="91" t="str">
        <f t="shared" si="2"/>
        <v>Consecutive Cancellation</v>
      </c>
      <c r="H20" s="29"/>
      <c r="I20" s="17"/>
      <c r="J20" s="17"/>
      <c r="K20" s="17"/>
      <c r="L20" s="17"/>
      <c r="M20" s="17"/>
      <c r="N20" s="17"/>
      <c r="O20" s="17"/>
      <c r="P20" s="17"/>
      <c r="Q20" s="17"/>
      <c r="R20" s="17"/>
      <c r="S20" s="17"/>
      <c r="T20" s="17"/>
      <c r="U20" s="17"/>
      <c r="V20" s="17"/>
      <c r="W20" s="17"/>
      <c r="X20" s="17"/>
      <c r="Y20" s="17"/>
      <c r="Z20" s="17"/>
    </row>
    <row r="21">
      <c r="A21" s="18" t="str">
        <f>IFERROR(__xludf.DUMMYFUNCTION("""COMPUTED_VALUE"""),"Riya Chakraborty")</f>
        <v>Riya Chakraborty</v>
      </c>
      <c r="B21" s="18" t="str">
        <f>IFERROR(__xludf.DUMMYFUNCTION("if($A21&lt;&gt;"""",transpose(query(sort(filter(Order_data!$B$2:$I$2493,Order_data!$B$2:$B$2493=$A21),6,FALSE),""Select Col8 limit 5"")),"""")"),"Delivered")</f>
        <v>Delivered</v>
      </c>
      <c r="C21" s="18" t="str">
        <f>IFERROR(__xludf.DUMMYFUNCTION("""COMPUTED_VALUE"""),"Delivered")</f>
        <v>Delivered</v>
      </c>
      <c r="D21" s="18" t="str">
        <f>IFERROR(__xludf.DUMMYFUNCTION("""COMPUTED_VALUE"""),"Delivered")</f>
        <v>Delivered</v>
      </c>
      <c r="E21" s="18" t="str">
        <f>IFERROR(__xludf.DUMMYFUNCTION("""COMPUTED_VALUE"""),"Delivered")</f>
        <v>Delivered</v>
      </c>
      <c r="F21" s="18" t="str">
        <f>IFERROR(__xludf.DUMMYFUNCTION("""COMPUTED_VALUE"""),"Delivered")</f>
        <v>Delivered</v>
      </c>
      <c r="G21" s="91" t="str">
        <f t="shared" si="2"/>
        <v>No Consecutive Cancellation</v>
      </c>
      <c r="H21" s="29"/>
      <c r="I21" s="17"/>
      <c r="J21" s="17"/>
      <c r="K21" s="17"/>
      <c r="L21" s="17"/>
      <c r="M21" s="17"/>
      <c r="N21" s="17"/>
      <c r="O21" s="17"/>
      <c r="P21" s="17"/>
      <c r="Q21" s="17"/>
      <c r="R21" s="17"/>
      <c r="S21" s="17"/>
      <c r="T21" s="17"/>
      <c r="U21" s="17"/>
      <c r="V21" s="17"/>
      <c r="W21" s="17"/>
      <c r="X21" s="17"/>
      <c r="Y21" s="17"/>
      <c r="Z21" s="17"/>
    </row>
    <row r="22">
      <c r="A22" s="18" t="str">
        <f>IFERROR(__xludf.DUMMYFUNCTION("""COMPUTED_VALUE"""),"Ishita Banerjee")</f>
        <v>Ishita Banerjee</v>
      </c>
      <c r="B22" s="18" t="str">
        <f>IFERROR(__xludf.DUMMYFUNCTION("if($A22&lt;&gt;"""",transpose(query(sort(filter(Order_data!$B$2:$I$2493,Order_data!$B$2:$B$2493=$A22),6,FALSE),""Select Col8 limit 5"")),"""")"),"Cancelled")</f>
        <v>Cancelled</v>
      </c>
      <c r="C22" s="18" t="str">
        <f>IFERROR(__xludf.DUMMYFUNCTION("""COMPUTED_VALUE"""),"Delivered")</f>
        <v>Delivered</v>
      </c>
      <c r="D22" s="18" t="str">
        <f>IFERROR(__xludf.DUMMYFUNCTION("""COMPUTED_VALUE"""),"Cancelled")</f>
        <v>Cancelled</v>
      </c>
      <c r="E22" s="18" t="str">
        <f>IFERROR(__xludf.DUMMYFUNCTION("""COMPUTED_VALUE"""),"Delivered")</f>
        <v>Delivered</v>
      </c>
      <c r="F22" s="18" t="str">
        <f>IFERROR(__xludf.DUMMYFUNCTION("""COMPUTED_VALUE"""),"Cancelled")</f>
        <v>Cancelled</v>
      </c>
      <c r="G22" s="91" t="str">
        <f t="shared" si="2"/>
        <v>No Consecutive Cancellation</v>
      </c>
      <c r="H22" s="29"/>
      <c r="I22" s="17"/>
      <c r="J22" s="17"/>
      <c r="K22" s="17"/>
      <c r="L22" s="17"/>
      <c r="M22" s="17"/>
      <c r="N22" s="17"/>
      <c r="O22" s="17"/>
      <c r="P22" s="17"/>
      <c r="Q22" s="17"/>
      <c r="R22" s="17"/>
      <c r="S22" s="17"/>
      <c r="T22" s="17"/>
      <c r="U22" s="17"/>
      <c r="V22" s="17"/>
      <c r="W22" s="17"/>
      <c r="X22" s="17"/>
      <c r="Y22" s="17"/>
      <c r="Z22" s="17"/>
    </row>
    <row r="23">
      <c r="A23" s="18" t="str">
        <f>IFERROR(__xludf.DUMMYFUNCTION("""COMPUTED_VALUE"""),"Arvind Kulkarni")</f>
        <v>Arvind Kulkarni</v>
      </c>
      <c r="B23" s="18" t="str">
        <f>IFERROR(__xludf.DUMMYFUNCTION("if($A23&lt;&gt;"""",transpose(query(sort(filter(Order_data!$B$2:$I$2493,Order_data!$B$2:$B$2493=$A23),6,FALSE),""Select Col8 limit 5"")),"""")"),"Cancelled")</f>
        <v>Cancelled</v>
      </c>
      <c r="C23" s="18" t="str">
        <f>IFERROR(__xludf.DUMMYFUNCTION("""COMPUTED_VALUE"""),"Delivered")</f>
        <v>Delivered</v>
      </c>
      <c r="D23" s="18" t="str">
        <f>IFERROR(__xludf.DUMMYFUNCTION("""COMPUTED_VALUE"""),"Delivered")</f>
        <v>Delivered</v>
      </c>
      <c r="E23" s="18" t="str">
        <f>IFERROR(__xludf.DUMMYFUNCTION("""COMPUTED_VALUE"""),"Cancelled")</f>
        <v>Cancelled</v>
      </c>
      <c r="F23" s="18" t="str">
        <f>IFERROR(__xludf.DUMMYFUNCTION("""COMPUTED_VALUE"""),"Delivered")</f>
        <v>Delivered</v>
      </c>
      <c r="G23" s="91" t="str">
        <f t="shared" si="2"/>
        <v>No Consecutive Cancellation</v>
      </c>
      <c r="H23" s="29"/>
      <c r="I23" s="17"/>
      <c r="J23" s="17"/>
      <c r="K23" s="17"/>
      <c r="L23" s="17"/>
      <c r="M23" s="17"/>
      <c r="N23" s="17"/>
      <c r="O23" s="17"/>
      <c r="P23" s="17"/>
      <c r="Q23" s="17"/>
      <c r="R23" s="17"/>
      <c r="S23" s="17"/>
      <c r="T23" s="17"/>
      <c r="U23" s="17"/>
      <c r="V23" s="17"/>
      <c r="W23" s="17"/>
      <c r="X23" s="17"/>
      <c r="Y23" s="17"/>
      <c r="Z23" s="17"/>
    </row>
    <row r="24">
      <c r="A24" s="18" t="str">
        <f>IFERROR(__xludf.DUMMYFUNCTION("""COMPUTED_VALUE"""),"Pallavi Ghosh")</f>
        <v>Pallavi Ghosh</v>
      </c>
      <c r="B24" s="18" t="str">
        <f>IFERROR(__xludf.DUMMYFUNCTION("if($A24&lt;&gt;"""",transpose(query(sort(filter(Order_data!$B$2:$I$2493,Order_data!$B$2:$B$2493=$A24),6,FALSE),""Select Col8 limit 5"")),"""")"),"Cancelled")</f>
        <v>Cancelled</v>
      </c>
      <c r="C24" s="18" t="str">
        <f>IFERROR(__xludf.DUMMYFUNCTION("""COMPUTED_VALUE"""),"Delivered")</f>
        <v>Delivered</v>
      </c>
      <c r="D24" s="18" t="str">
        <f>IFERROR(__xludf.DUMMYFUNCTION("""COMPUTED_VALUE"""),"Delivered")</f>
        <v>Delivered</v>
      </c>
      <c r="E24" s="18" t="str">
        <f>IFERROR(__xludf.DUMMYFUNCTION("""COMPUTED_VALUE"""),"Delivered")</f>
        <v>Delivered</v>
      </c>
      <c r="F24" s="18" t="str">
        <f>IFERROR(__xludf.DUMMYFUNCTION("""COMPUTED_VALUE"""),"Delivered")</f>
        <v>Delivered</v>
      </c>
      <c r="G24" s="91" t="str">
        <f t="shared" si="2"/>
        <v>No Consecutive Cancellation</v>
      </c>
      <c r="H24" s="29"/>
      <c r="I24" s="17"/>
      <c r="J24" s="17"/>
      <c r="K24" s="17"/>
      <c r="L24" s="17"/>
      <c r="M24" s="17"/>
      <c r="N24" s="17"/>
      <c r="O24" s="17"/>
      <c r="P24" s="17"/>
      <c r="Q24" s="17"/>
      <c r="R24" s="17"/>
      <c r="S24" s="17"/>
      <c r="T24" s="17"/>
      <c r="U24" s="17"/>
      <c r="V24" s="17"/>
      <c r="W24" s="17"/>
      <c r="X24" s="17"/>
      <c r="Y24" s="17"/>
      <c r="Z24" s="17"/>
    </row>
    <row r="25">
      <c r="A25" s="18" t="str">
        <f>IFERROR(__xludf.DUMMYFUNCTION("""COMPUTED_VALUE"""),"Nitin Sehgal")</f>
        <v>Nitin Sehgal</v>
      </c>
      <c r="B25" s="18" t="str">
        <f>IFERROR(__xludf.DUMMYFUNCTION("if($A25&lt;&gt;"""",transpose(query(sort(filter(Order_data!$B$2:$I$2493,Order_data!$B$2:$B$2493=$A25),6,FALSE),""Select Col8 limit 5"")),"""")"),"Delivered")</f>
        <v>Delivered</v>
      </c>
      <c r="C25" s="18" t="str">
        <f>IFERROR(__xludf.DUMMYFUNCTION("""COMPUTED_VALUE"""),"Delivered")</f>
        <v>Delivered</v>
      </c>
      <c r="D25" s="18" t="str">
        <f>IFERROR(__xludf.DUMMYFUNCTION("""COMPUTED_VALUE"""),"Delivered")</f>
        <v>Delivered</v>
      </c>
      <c r="E25" s="18" t="str">
        <f>IFERROR(__xludf.DUMMYFUNCTION("""COMPUTED_VALUE"""),"Delivered")</f>
        <v>Delivered</v>
      </c>
      <c r="F25" s="18" t="str">
        <f>IFERROR(__xludf.DUMMYFUNCTION("""COMPUTED_VALUE"""),"Delivered")</f>
        <v>Delivered</v>
      </c>
      <c r="G25" s="91" t="str">
        <f t="shared" si="2"/>
        <v>No Consecutive Cancellation</v>
      </c>
      <c r="H25" s="29"/>
      <c r="I25" s="17"/>
      <c r="J25" s="17"/>
      <c r="K25" s="17"/>
      <c r="L25" s="17"/>
      <c r="M25" s="17"/>
      <c r="N25" s="17"/>
      <c r="O25" s="17"/>
      <c r="P25" s="17"/>
      <c r="Q25" s="17"/>
      <c r="R25" s="17"/>
      <c r="S25" s="17"/>
      <c r="T25" s="17"/>
      <c r="U25" s="17"/>
      <c r="V25" s="17"/>
      <c r="W25" s="17"/>
      <c r="X25" s="17"/>
      <c r="Y25" s="17"/>
      <c r="Z25" s="17"/>
    </row>
    <row r="26">
      <c r="A26" s="18" t="str">
        <f>IFERROR(__xludf.DUMMYFUNCTION("""COMPUTED_VALUE"""),"Shruti Aggarwal")</f>
        <v>Shruti Aggarwal</v>
      </c>
      <c r="B26" s="18" t="str">
        <f>IFERROR(__xludf.DUMMYFUNCTION("if($A26&lt;&gt;"""",transpose(query(sort(filter(Order_data!$B$2:$I$2493,Order_data!$B$2:$B$2493=$A26),6,FALSE),""Select Col8 limit 5"")),"""")"),"Delivered")</f>
        <v>Delivered</v>
      </c>
      <c r="C26" s="18" t="str">
        <f>IFERROR(__xludf.DUMMYFUNCTION("""COMPUTED_VALUE"""),"Delivered")</f>
        <v>Delivered</v>
      </c>
      <c r="D26" s="18" t="str">
        <f>IFERROR(__xludf.DUMMYFUNCTION("""COMPUTED_VALUE"""),"Delivered")</f>
        <v>Delivered</v>
      </c>
      <c r="E26" s="18" t="str">
        <f>IFERROR(__xludf.DUMMYFUNCTION("""COMPUTED_VALUE"""),"Delivered")</f>
        <v>Delivered</v>
      </c>
      <c r="F26" s="18" t="str">
        <f>IFERROR(__xludf.DUMMYFUNCTION("""COMPUTED_VALUE"""),"Delivered")</f>
        <v>Delivered</v>
      </c>
      <c r="G26" s="91" t="str">
        <f t="shared" si="2"/>
        <v>No Consecutive Cancellation</v>
      </c>
      <c r="H26" s="29"/>
      <c r="I26" s="17"/>
      <c r="J26" s="17"/>
      <c r="K26" s="17"/>
      <c r="L26" s="17"/>
      <c r="M26" s="17"/>
      <c r="N26" s="17"/>
      <c r="O26" s="17"/>
      <c r="P26" s="17"/>
      <c r="Q26" s="17"/>
      <c r="R26" s="17"/>
      <c r="S26" s="17"/>
      <c r="T26" s="17"/>
      <c r="U26" s="17"/>
      <c r="V26" s="17"/>
      <c r="W26" s="17"/>
      <c r="X26" s="17"/>
      <c r="Y26" s="17"/>
      <c r="Z26" s="17"/>
    </row>
    <row r="27">
      <c r="A27" s="18" t="str">
        <f>IFERROR(__xludf.DUMMYFUNCTION("""COMPUTED_VALUE"""),"Harsh Vardhan")</f>
        <v>Harsh Vardhan</v>
      </c>
      <c r="B27" s="18" t="str">
        <f>IFERROR(__xludf.DUMMYFUNCTION("if($A27&lt;&gt;"""",transpose(query(sort(filter(Order_data!$B$2:$I$2493,Order_data!$B$2:$B$2493=$A27),6,FALSE),""Select Col8 limit 5"")),"""")"),"Delivered")</f>
        <v>Delivered</v>
      </c>
      <c r="C27" s="18" t="str">
        <f>IFERROR(__xludf.DUMMYFUNCTION("""COMPUTED_VALUE"""),"Delivered")</f>
        <v>Delivered</v>
      </c>
      <c r="D27" s="18" t="str">
        <f>IFERROR(__xludf.DUMMYFUNCTION("""COMPUTED_VALUE"""),"Delivered")</f>
        <v>Delivered</v>
      </c>
      <c r="E27" s="18" t="str">
        <f>IFERROR(__xludf.DUMMYFUNCTION("""COMPUTED_VALUE"""),"Delivered")</f>
        <v>Delivered</v>
      </c>
      <c r="F27" s="18" t="str">
        <f>IFERROR(__xludf.DUMMYFUNCTION("""COMPUTED_VALUE"""),"Delivered")</f>
        <v>Delivered</v>
      </c>
      <c r="G27" s="91" t="str">
        <f t="shared" si="2"/>
        <v>No Consecutive Cancellation</v>
      </c>
      <c r="H27" s="29"/>
      <c r="I27" s="17"/>
      <c r="J27" s="17"/>
      <c r="K27" s="17"/>
      <c r="L27" s="17"/>
      <c r="M27" s="17"/>
      <c r="N27" s="17"/>
      <c r="O27" s="17"/>
      <c r="P27" s="17"/>
      <c r="Q27" s="17"/>
      <c r="R27" s="17"/>
      <c r="S27" s="17"/>
      <c r="T27" s="17"/>
      <c r="U27" s="17"/>
      <c r="V27" s="17"/>
      <c r="W27" s="17"/>
      <c r="X27" s="17"/>
      <c r="Y27" s="17"/>
      <c r="Z27" s="17"/>
    </row>
    <row r="28">
      <c r="A28" s="18" t="str">
        <f>IFERROR(__xludf.DUMMYFUNCTION("""COMPUTED_VALUE"""),"Leena Das")</f>
        <v>Leena Das</v>
      </c>
      <c r="B28" s="18" t="str">
        <f>IFERROR(__xludf.DUMMYFUNCTION("if($A28&lt;&gt;"""",transpose(query(sort(filter(Order_data!$B$2:$I$2493,Order_data!$B$2:$B$2493=$A28),6,FALSE),""Select Col8 limit 5"")),"""")"),"Delivered")</f>
        <v>Delivered</v>
      </c>
      <c r="C28" s="18" t="str">
        <f>IFERROR(__xludf.DUMMYFUNCTION("""COMPUTED_VALUE"""),"Delivered")</f>
        <v>Delivered</v>
      </c>
      <c r="D28" s="18" t="str">
        <f>IFERROR(__xludf.DUMMYFUNCTION("""COMPUTED_VALUE"""),"Delivered")</f>
        <v>Delivered</v>
      </c>
      <c r="E28" s="18" t="str">
        <f>IFERROR(__xludf.DUMMYFUNCTION("""COMPUTED_VALUE"""),"Delivered")</f>
        <v>Delivered</v>
      </c>
      <c r="F28" s="18" t="str">
        <f>IFERROR(__xludf.DUMMYFUNCTION("""COMPUTED_VALUE"""),"Delivered")</f>
        <v>Delivered</v>
      </c>
      <c r="G28" s="91" t="str">
        <f t="shared" si="2"/>
        <v>No Consecutive Cancellation</v>
      </c>
      <c r="H28" s="29"/>
      <c r="I28" s="17"/>
      <c r="J28" s="17"/>
      <c r="K28" s="17"/>
      <c r="L28" s="17"/>
      <c r="M28" s="17"/>
      <c r="N28" s="17"/>
      <c r="O28" s="17"/>
      <c r="P28" s="17"/>
      <c r="Q28" s="17"/>
      <c r="R28" s="17"/>
      <c r="S28" s="17"/>
      <c r="T28" s="17"/>
      <c r="U28" s="17"/>
      <c r="V28" s="17"/>
      <c r="W28" s="17"/>
      <c r="X28" s="17"/>
      <c r="Y28" s="17"/>
      <c r="Z28" s="17"/>
    </row>
    <row r="29">
      <c r="A29" s="18" t="str">
        <f>IFERROR(__xludf.DUMMYFUNCTION("""COMPUTED_VALUE"""),"Aditya Rao")</f>
        <v>Aditya Rao</v>
      </c>
      <c r="B29" s="18" t="str">
        <f>IFERROR(__xludf.DUMMYFUNCTION("if($A29&lt;&gt;"""",transpose(query(sort(filter(Order_data!$B$2:$I$2493,Order_data!$B$2:$B$2493=$A29),6,FALSE),""Select Col8 limit 5"")),"""")"),"Delivered")</f>
        <v>Delivered</v>
      </c>
      <c r="C29" s="18" t="str">
        <f>IFERROR(__xludf.DUMMYFUNCTION("""COMPUTED_VALUE"""),"Delivered")</f>
        <v>Delivered</v>
      </c>
      <c r="D29" s="18" t="str">
        <f>IFERROR(__xludf.DUMMYFUNCTION("""COMPUTED_VALUE"""),"Delivered")</f>
        <v>Delivered</v>
      </c>
      <c r="E29" s="18" t="str">
        <f>IFERROR(__xludf.DUMMYFUNCTION("""COMPUTED_VALUE"""),"Cancelled")</f>
        <v>Cancelled</v>
      </c>
      <c r="F29" s="18" t="str">
        <f>IFERROR(__xludf.DUMMYFUNCTION("""COMPUTED_VALUE"""),"Delivered")</f>
        <v>Delivered</v>
      </c>
      <c r="G29" s="91" t="str">
        <f t="shared" si="2"/>
        <v>No Consecutive Cancellation</v>
      </c>
      <c r="H29" s="29"/>
      <c r="I29" s="17"/>
      <c r="J29" s="17"/>
      <c r="K29" s="17"/>
      <c r="L29" s="17"/>
      <c r="M29" s="17"/>
      <c r="N29" s="17"/>
      <c r="O29" s="17"/>
      <c r="P29" s="17"/>
      <c r="Q29" s="17"/>
      <c r="R29" s="17"/>
      <c r="S29" s="17"/>
      <c r="T29" s="17"/>
      <c r="U29" s="17"/>
      <c r="V29" s="17"/>
      <c r="W29" s="17"/>
      <c r="X29" s="17"/>
      <c r="Y29" s="17"/>
      <c r="Z29" s="17"/>
    </row>
    <row r="30">
      <c r="A30" s="18" t="str">
        <f>IFERROR(__xludf.DUMMYFUNCTION("""COMPUTED_VALUE"""),"Kavya Menon")</f>
        <v>Kavya Menon</v>
      </c>
      <c r="B30" s="18" t="str">
        <f>IFERROR(__xludf.DUMMYFUNCTION("if($A30&lt;&gt;"""",transpose(query(sort(filter(Order_data!$B$2:$I$2493,Order_data!$B$2:$B$2493=$A30),6,FALSE),""Select Col8 limit 5"")),"""")"),"Delivered")</f>
        <v>Delivered</v>
      </c>
      <c r="C30" s="18" t="str">
        <f>IFERROR(__xludf.DUMMYFUNCTION("""COMPUTED_VALUE"""),"Delivered")</f>
        <v>Delivered</v>
      </c>
      <c r="D30" s="18" t="str">
        <f>IFERROR(__xludf.DUMMYFUNCTION("""COMPUTED_VALUE"""),"Delivered")</f>
        <v>Delivered</v>
      </c>
      <c r="E30" s="18" t="str">
        <f>IFERROR(__xludf.DUMMYFUNCTION("""COMPUTED_VALUE"""),"Delivered")</f>
        <v>Delivered</v>
      </c>
      <c r="F30" s="18" t="str">
        <f>IFERROR(__xludf.DUMMYFUNCTION("""COMPUTED_VALUE"""),"Delivered")</f>
        <v>Delivered</v>
      </c>
      <c r="G30" s="91" t="str">
        <f t="shared" si="2"/>
        <v>No Consecutive Cancellation</v>
      </c>
      <c r="H30" s="29"/>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92" t="s">
        <v>2663</v>
      </c>
      <c r="B33" s="68"/>
      <c r="C33" s="68"/>
      <c r="D33" s="68"/>
      <c r="E33" s="68"/>
      <c r="F33" s="68"/>
      <c r="G33" s="68"/>
      <c r="H33" s="69"/>
      <c r="I33" s="93"/>
      <c r="J33" s="17"/>
      <c r="K33" s="17"/>
      <c r="L33" s="17"/>
      <c r="M33" s="17"/>
      <c r="N33" s="17"/>
      <c r="O33" s="17"/>
      <c r="P33" s="17"/>
      <c r="Q33" s="17"/>
      <c r="R33" s="17"/>
      <c r="S33" s="17"/>
      <c r="T33" s="17"/>
      <c r="U33" s="17"/>
      <c r="V33" s="17"/>
      <c r="W33" s="17"/>
      <c r="X33" s="17"/>
      <c r="Y33" s="17"/>
      <c r="Z33" s="17"/>
    </row>
    <row r="34">
      <c r="A34" s="48" t="str">
        <f>A8</f>
        <v>Potential Loyal Customers</v>
      </c>
      <c r="B34" s="28"/>
      <c r="C34" s="28"/>
      <c r="D34" s="28"/>
      <c r="E34" s="28"/>
      <c r="F34" s="28"/>
      <c r="G34" s="28"/>
      <c r="H34" s="29"/>
      <c r="I34" s="94"/>
      <c r="J34" s="17"/>
      <c r="K34" s="17"/>
      <c r="L34" s="17"/>
      <c r="M34" s="17"/>
      <c r="N34" s="17"/>
      <c r="O34" s="17"/>
      <c r="P34" s="17"/>
      <c r="Q34" s="17"/>
      <c r="R34" s="17"/>
      <c r="S34" s="17"/>
      <c r="T34" s="17"/>
      <c r="U34" s="17"/>
      <c r="V34" s="17"/>
      <c r="W34" s="17"/>
      <c r="X34" s="17"/>
      <c r="Y34" s="17"/>
      <c r="Z34" s="17"/>
    </row>
    <row r="35">
      <c r="A35" s="95" t="s">
        <v>2544</v>
      </c>
      <c r="B35" s="90" t="str">
        <f>IFERROR(__xludf.DUMMYFUNCTION("transpose(filter($A$11:$A$30,($B$11:$B$30=""Cancelled"")+($C$11:$C$30=""Cancelled"")+($D$11:$D$30=""Cancelled"")+($E$11:$E$30=""Cancelled"")+($F$11:$F$30=""Cancelled"")))"),"Mehul Thakkar")</f>
        <v>Mehul Thakkar</v>
      </c>
      <c r="C35" s="90" t="str">
        <f>IFERROR(__xludf.DUMMYFUNCTION("""COMPUTED_VALUE"""),"Siya Reddy")</f>
        <v>Siya Reddy</v>
      </c>
      <c r="D35" s="90" t="str">
        <f>IFERROR(__xludf.DUMMYFUNCTION("""COMPUTED_VALUE"""),"Kritika Shetty")</f>
        <v>Kritika Shetty</v>
      </c>
      <c r="E35" s="90" t="str">
        <f>IFERROR(__xludf.DUMMYFUNCTION("""COMPUTED_VALUE"""),"Ishita Banerjee")</f>
        <v>Ishita Banerjee</v>
      </c>
      <c r="F35" s="61" t="str">
        <f>IFERROR(__xludf.DUMMYFUNCTION("""COMPUTED_VALUE"""),"Arvind Kulkarni")</f>
        <v>Arvind Kulkarni</v>
      </c>
      <c r="G35" s="96" t="str">
        <f>IFERROR(__xludf.DUMMYFUNCTION("""COMPUTED_VALUE"""),"Pallavi Ghosh")</f>
        <v>Pallavi Ghosh</v>
      </c>
      <c r="H35" s="96" t="str">
        <f>IFERROR(__xludf.DUMMYFUNCTION("""COMPUTED_VALUE"""),"Aditya Rao")</f>
        <v>Aditya Rao</v>
      </c>
      <c r="I35" s="97"/>
      <c r="J35" s="17"/>
      <c r="K35" s="17"/>
      <c r="L35" s="17"/>
      <c r="M35" s="17"/>
      <c r="N35" s="17"/>
      <c r="O35" s="17"/>
      <c r="P35" s="17"/>
      <c r="Q35" s="17"/>
      <c r="R35" s="17"/>
      <c r="S35" s="17"/>
      <c r="T35" s="17"/>
      <c r="U35" s="17"/>
      <c r="V35" s="17"/>
      <c r="W35" s="17"/>
      <c r="X35" s="17"/>
      <c r="Y35" s="17"/>
      <c r="Z35" s="17"/>
    </row>
    <row r="36">
      <c r="A36" s="71" t="str">
        <f>IFERROR(__xludf.DUMMYFUNCTION("unique(query(filter(Order_data!$B$2:$J$2493,Order_data!$I$2:$I$2493=Order_data!$I$2472),""Select Col9""))"),"Delayed Delivery")</f>
        <v>Delayed Delivery</v>
      </c>
      <c r="B36" s="98">
        <f>IFERROR(__xludf.DUMMYFUNCTION("if(B$35&lt;&gt;"""", countifs(query(ARRAY_CONSTRAIN(sort(filter(Order_data!$B$2:$J$2493,Order_data!$B$2:$B$2493=B$35),6,FALSE),5,10),""Select Col9""),$A36),"""")"),2.0)</f>
        <v>2</v>
      </c>
      <c r="C36" s="98">
        <f>IFERROR(__xludf.DUMMYFUNCTION("if(C$35&lt;&gt;"""", countifs(query(ARRAY_CONSTRAIN(sort(filter(Order_data!$B$2:$J$2493,Order_data!$B$2:$B$2493=C$35),6,FALSE),5,10),""Select Col9""),$A36),"""")"),1.0)</f>
        <v>1</v>
      </c>
      <c r="D36" s="98">
        <f>IFERROR(__xludf.DUMMYFUNCTION("if(D$35&lt;&gt;"""", countifs(query(ARRAY_CONSTRAIN(sort(filter(Order_data!$B$2:$J$2493,Order_data!$B$2:$B$2493=D$35),6,FALSE),5,10),""Select Col9""),$A36),"""")"),1.0)</f>
        <v>1</v>
      </c>
      <c r="E36" s="98">
        <f>IFERROR(__xludf.DUMMYFUNCTION("if(E$35&lt;&gt;"""", countifs(query(ARRAY_CONSTRAIN(sort(filter(Order_data!$B$2:$J$2493,Order_data!$B$2:$B$2493=E$35),6,FALSE),5,10),""Select Col9""),$A36),"""")"),2.0)</f>
        <v>2</v>
      </c>
      <c r="F36" s="98">
        <f>IFERROR(__xludf.DUMMYFUNCTION("if(F$35&lt;&gt;"""", countifs(query(ARRAY_CONSTRAIN(sort(filter(Order_data!$B$2:$J$2493,Order_data!$B$2:$B$2493=F$35),6,FALSE),5,10),""Select Col9""),$A36),"""")"),0.0)</f>
        <v>0</v>
      </c>
      <c r="G36" s="98">
        <f>IFERROR(__xludf.DUMMYFUNCTION("if(G$35&lt;&gt;"""", countifs(query(ARRAY_CONSTRAIN(sort(filter(Order_data!$B$2:$J$2493,Order_data!$B$2:$B$2493=G$35),6,FALSE),5,10),""Select Col9""),$A36),"""")"),0.0)</f>
        <v>0</v>
      </c>
      <c r="H36" s="99">
        <f>IFERROR(__xludf.DUMMYFUNCTION("if(H$35&lt;&gt;"""", countifs(query(ARRAY_CONSTRAIN(sort(filter(Order_data!$B$2:$J$2493,Order_data!$B$2:$B$2493=H$35),6,FALSE),5,10),""Select Col9""),$A36),"""")"),0.0)</f>
        <v>0</v>
      </c>
      <c r="I36" s="100"/>
      <c r="J36" s="17"/>
      <c r="K36" s="17"/>
      <c r="L36" s="17"/>
      <c r="M36" s="17"/>
      <c r="N36" s="17"/>
      <c r="O36" s="17"/>
      <c r="P36" s="17"/>
      <c r="Q36" s="17"/>
      <c r="R36" s="17"/>
      <c r="S36" s="17"/>
      <c r="T36" s="17"/>
      <c r="U36" s="17"/>
      <c r="V36" s="17"/>
      <c r="W36" s="17"/>
      <c r="X36" s="17"/>
      <c r="Y36" s="17"/>
      <c r="Z36" s="17"/>
    </row>
    <row r="37">
      <c r="A37" s="71" t="str">
        <f>IFERROR(__xludf.DUMMYFUNCTION("""COMPUTED_VALUE"""),"High Delivery Fees")</f>
        <v>High Delivery Fees</v>
      </c>
      <c r="B37" s="98">
        <f>IFERROR(__xludf.DUMMYFUNCTION("if(B$35&lt;&gt;"""", countifs(query(ARRAY_CONSTRAIN(sort(filter(Order_data!$B$2:$J$2493,Order_data!$B$2:$B$2493=B$35),6,FALSE),5,10),""Select Col9""),$A37),"""")"),0.0)</f>
        <v>0</v>
      </c>
      <c r="C37" s="98">
        <f>IFERROR(__xludf.DUMMYFUNCTION("if(C$35&lt;&gt;"""", countifs(query(ARRAY_CONSTRAIN(sort(filter(Order_data!$B$2:$J$2493,Order_data!$B$2:$B$2493=C$35),6,FALSE),5,10),""Select Col9""),$A37),"""")"),1.0)</f>
        <v>1</v>
      </c>
      <c r="D37" s="98">
        <f>IFERROR(__xludf.DUMMYFUNCTION("if(D$35&lt;&gt;"""", countifs(query(ARRAY_CONSTRAIN(sort(filter(Order_data!$B$2:$J$2493,Order_data!$B$2:$B$2493=D$35),6,FALSE),5,10),""Select Col9""),$A37),"""")"),0.0)</f>
        <v>0</v>
      </c>
      <c r="E37" s="98">
        <f>IFERROR(__xludf.DUMMYFUNCTION("if(E$35&lt;&gt;"""", countifs(query(ARRAY_CONSTRAIN(sort(filter(Order_data!$B$2:$J$2493,Order_data!$B$2:$B$2493=E$35),6,FALSE),5,10),""Select Col9""),$A37),"""")"),0.0)</f>
        <v>0</v>
      </c>
      <c r="F37" s="98">
        <f>IFERROR(__xludf.DUMMYFUNCTION("if(F$35&lt;&gt;"""", countifs(query(ARRAY_CONSTRAIN(sort(filter(Order_data!$B$2:$J$2493,Order_data!$B$2:$B$2493=F$35),6,FALSE),5,10),""Select Col9""),$A37),"""")"),1.0)</f>
        <v>1</v>
      </c>
      <c r="G37" s="98">
        <f>IFERROR(__xludf.DUMMYFUNCTION("if(G$35&lt;&gt;"""", countifs(query(ARRAY_CONSTRAIN(sort(filter(Order_data!$B$2:$J$2493,Order_data!$B$2:$B$2493=G$35),6,FALSE),5,10),""Select Col9""),$A37),"""")"),0.0)</f>
        <v>0</v>
      </c>
      <c r="H37" s="99">
        <f>IFERROR(__xludf.DUMMYFUNCTION("if(H$35&lt;&gt;"""", countifs(query(ARRAY_CONSTRAIN(sort(filter(Order_data!$B$2:$J$2493,Order_data!$B$2:$B$2493=H$35),6,FALSE),5,10),""Select Col9""),$A37),"""")"),0.0)</f>
        <v>0</v>
      </c>
      <c r="I37" s="100"/>
      <c r="J37" s="17"/>
      <c r="K37" s="17"/>
      <c r="L37" s="17"/>
      <c r="M37" s="17"/>
      <c r="N37" s="17"/>
      <c r="O37" s="17"/>
      <c r="P37" s="17"/>
      <c r="Q37" s="17"/>
      <c r="R37" s="17"/>
      <c r="S37" s="17"/>
      <c r="T37" s="17"/>
      <c r="U37" s="17"/>
      <c r="V37" s="17"/>
      <c r="W37" s="17"/>
      <c r="X37" s="17"/>
      <c r="Y37" s="17"/>
      <c r="Z37" s="17"/>
    </row>
    <row r="38">
      <c r="A38" s="71" t="str">
        <f>IFERROR(__xludf.DUMMYFUNCTION("""COMPUTED_VALUE"""),"Payment Issues")</f>
        <v>Payment Issues</v>
      </c>
      <c r="B38" s="98">
        <f>IFERROR(__xludf.DUMMYFUNCTION("if(B$35&lt;&gt;"""", countifs(query(ARRAY_CONSTRAIN(sort(filter(Order_data!$B$2:$J$2493,Order_data!$B$2:$B$2493=B$35),6,FALSE),5,10),""Select Col9""),$A38),"""")"),1.0)</f>
        <v>1</v>
      </c>
      <c r="C38" s="98">
        <f>IFERROR(__xludf.DUMMYFUNCTION("if(C$35&lt;&gt;"""", countifs(query(ARRAY_CONSTRAIN(sort(filter(Order_data!$B$2:$J$2493,Order_data!$B$2:$B$2493=C$35),6,FALSE),5,10),""Select Col9""),$A38),"""")"),0.0)</f>
        <v>0</v>
      </c>
      <c r="D38" s="98">
        <f>IFERROR(__xludf.DUMMYFUNCTION("if(D$35&lt;&gt;"""", countifs(query(ARRAY_CONSTRAIN(sort(filter(Order_data!$B$2:$J$2493,Order_data!$B$2:$B$2493=D$35),6,FALSE),5,10),""Select Col9""),$A38),"""")"),0.0)</f>
        <v>0</v>
      </c>
      <c r="E38" s="98">
        <f>IFERROR(__xludf.DUMMYFUNCTION("if(E$35&lt;&gt;"""", countifs(query(ARRAY_CONSTRAIN(sort(filter(Order_data!$B$2:$J$2493,Order_data!$B$2:$B$2493=E$35),6,FALSE),5,10),""Select Col9""),$A38),"""")"),0.0)</f>
        <v>0</v>
      </c>
      <c r="F38" s="98">
        <f>IFERROR(__xludf.DUMMYFUNCTION("if(F$35&lt;&gt;"""", countifs(query(ARRAY_CONSTRAIN(sort(filter(Order_data!$B$2:$J$2493,Order_data!$B$2:$B$2493=F$35),6,FALSE),5,10),""Select Col9""),$A38),"""")"),0.0)</f>
        <v>0</v>
      </c>
      <c r="G38" s="98">
        <f>IFERROR(__xludf.DUMMYFUNCTION("if(G$35&lt;&gt;"""", countifs(query(ARRAY_CONSTRAIN(sort(filter(Order_data!$B$2:$J$2493,Order_data!$B$2:$B$2493=G$35),6,FALSE),5,10),""Select Col9""),$A38),"""")"),0.0)</f>
        <v>0</v>
      </c>
      <c r="H38" s="99">
        <f>IFERROR(__xludf.DUMMYFUNCTION("if(H$35&lt;&gt;"""", countifs(query(ARRAY_CONSTRAIN(sort(filter(Order_data!$B$2:$J$2493,Order_data!$B$2:$B$2493=H$35),6,FALSE),5,10),""Select Col9""),$A38),"""")"),0.0)</f>
        <v>0</v>
      </c>
      <c r="I38" s="100"/>
      <c r="J38" s="17"/>
      <c r="K38" s="17"/>
      <c r="L38" s="17"/>
      <c r="M38" s="17"/>
      <c r="N38" s="17"/>
      <c r="O38" s="17"/>
      <c r="P38" s="17"/>
      <c r="Q38" s="17"/>
      <c r="R38" s="17"/>
      <c r="S38" s="17"/>
      <c r="T38" s="17"/>
      <c r="U38" s="17"/>
      <c r="V38" s="17"/>
      <c r="W38" s="17"/>
      <c r="X38" s="17"/>
      <c r="Y38" s="17"/>
      <c r="Z38" s="17"/>
    </row>
    <row r="39">
      <c r="A39" s="71" t="str">
        <f>IFERROR(__xludf.DUMMYFUNCTION("""COMPUTED_VALUE"""),"Out of Stock")</f>
        <v>Out of Stock</v>
      </c>
      <c r="B39" s="98">
        <f>IFERROR(__xludf.DUMMYFUNCTION("if(B$35&lt;&gt;"""", countifs(query(ARRAY_CONSTRAIN(sort(filter(Order_data!$B$2:$J$2493,Order_data!$B$2:$B$2493=B$35),6,FALSE),5,10),""Select Col9""),$A39),"""")"),0.0)</f>
        <v>0</v>
      </c>
      <c r="C39" s="98">
        <f>IFERROR(__xludf.DUMMYFUNCTION("if(C$35&lt;&gt;"""", countifs(query(ARRAY_CONSTRAIN(sort(filter(Order_data!$B$2:$J$2493,Order_data!$B$2:$B$2493=C$35),6,FALSE),5,10),""Select Col9""),$A39),"""")"),1.0)</f>
        <v>1</v>
      </c>
      <c r="D39" s="98">
        <f>IFERROR(__xludf.DUMMYFUNCTION("if(D$35&lt;&gt;"""", countifs(query(ARRAY_CONSTRAIN(sort(filter(Order_data!$B$2:$J$2493,Order_data!$B$2:$B$2493=D$35),6,FALSE),5,10),""Select Col9""),$A39),"""")"),0.0)</f>
        <v>0</v>
      </c>
      <c r="E39" s="98">
        <f>IFERROR(__xludf.DUMMYFUNCTION("if(E$35&lt;&gt;"""", countifs(query(ARRAY_CONSTRAIN(sort(filter(Order_data!$B$2:$J$2493,Order_data!$B$2:$B$2493=E$35),6,FALSE),5,10),""Select Col9""),$A39),"""")"),0.0)</f>
        <v>0</v>
      </c>
      <c r="F39" s="98">
        <f>IFERROR(__xludf.DUMMYFUNCTION("if(F$35&lt;&gt;"""", countifs(query(ARRAY_CONSTRAIN(sort(filter(Order_data!$B$2:$J$2493,Order_data!$B$2:$B$2493=F$35),6,FALSE),5,10),""Select Col9""),$A39),"""")"),0.0)</f>
        <v>0</v>
      </c>
      <c r="G39" s="98">
        <f>IFERROR(__xludf.DUMMYFUNCTION("if(G$35&lt;&gt;"""", countifs(query(ARRAY_CONSTRAIN(sort(filter(Order_data!$B$2:$J$2493,Order_data!$B$2:$B$2493=G$35),6,FALSE),5,10),""Select Col9""),$A39),"""")"),1.0)</f>
        <v>1</v>
      </c>
      <c r="H39" s="99">
        <f>IFERROR(__xludf.DUMMYFUNCTION("if(H$35&lt;&gt;"""", countifs(query(ARRAY_CONSTRAIN(sort(filter(Order_data!$B$2:$J$2493,Order_data!$B$2:$B$2493=H$35),6,FALSE),5,10),""Select Col9""),$A39),"""")"),1.0)</f>
        <v>1</v>
      </c>
      <c r="I39" s="100"/>
      <c r="J39" s="17"/>
      <c r="K39" s="17"/>
      <c r="L39" s="17"/>
      <c r="M39" s="17"/>
      <c r="N39" s="17"/>
      <c r="O39" s="17"/>
      <c r="P39" s="17"/>
      <c r="Q39" s="17"/>
      <c r="R39" s="17"/>
      <c r="S39" s="17"/>
      <c r="T39" s="17"/>
      <c r="U39" s="17"/>
      <c r="V39" s="17"/>
      <c r="W39" s="17"/>
      <c r="X39" s="17"/>
      <c r="Y39" s="17"/>
      <c r="Z39" s="17"/>
    </row>
    <row r="40">
      <c r="A40" s="71" t="str">
        <f>IFERROR(__xludf.DUMMYFUNCTION("""COMPUTED_VALUE"""),"App Glitches")</f>
        <v>App Glitches</v>
      </c>
      <c r="B40" s="98">
        <f>IFERROR(__xludf.DUMMYFUNCTION("if(B$35&lt;&gt;"""", countifs(query(ARRAY_CONSTRAIN(sort(filter(Order_data!$B$2:$J$2493,Order_data!$B$2:$B$2493=B$35),6,FALSE),5,10),""Select Col9""),$A40),"""")"),0.0)</f>
        <v>0</v>
      </c>
      <c r="C40" s="98">
        <f>IFERROR(__xludf.DUMMYFUNCTION("if(C$35&lt;&gt;"""", countifs(query(ARRAY_CONSTRAIN(sort(filter(Order_data!$B$2:$J$2493,Order_data!$B$2:$B$2493=C$35),6,FALSE),5,10),""Select Col9""),$A40),"""")"),0.0)</f>
        <v>0</v>
      </c>
      <c r="D40" s="98">
        <f>IFERROR(__xludf.DUMMYFUNCTION("if(D$35&lt;&gt;"""", countifs(query(ARRAY_CONSTRAIN(sort(filter(Order_data!$B$2:$J$2493,Order_data!$B$2:$B$2493=D$35),6,FALSE),5,10),""Select Col9""),$A40),"""")"),1.0)</f>
        <v>1</v>
      </c>
      <c r="E40" s="98">
        <f>IFERROR(__xludf.DUMMYFUNCTION("if(E$35&lt;&gt;"""", countifs(query(ARRAY_CONSTRAIN(sort(filter(Order_data!$B$2:$J$2493,Order_data!$B$2:$B$2493=E$35),6,FALSE),5,10),""Select Col9""),$A40),"""")"),1.0)</f>
        <v>1</v>
      </c>
      <c r="F40" s="98">
        <f>IFERROR(__xludf.DUMMYFUNCTION("if(F$35&lt;&gt;"""", countifs(query(ARRAY_CONSTRAIN(sort(filter(Order_data!$B$2:$J$2493,Order_data!$B$2:$B$2493=F$35),6,FALSE),5,10),""Select Col9""),$A40),"""")"),1.0)</f>
        <v>1</v>
      </c>
      <c r="G40" s="98">
        <f>IFERROR(__xludf.DUMMYFUNCTION("if(G$35&lt;&gt;"""", countifs(query(ARRAY_CONSTRAIN(sort(filter(Order_data!$B$2:$J$2493,Order_data!$B$2:$B$2493=G$35),6,FALSE),5,10),""Select Col9""),$A40),"""")"),0.0)</f>
        <v>0</v>
      </c>
      <c r="H40" s="99">
        <f>IFERROR(__xludf.DUMMYFUNCTION("if(H$35&lt;&gt;"""", countifs(query(ARRAY_CONSTRAIN(sort(filter(Order_data!$B$2:$J$2493,Order_data!$B$2:$B$2493=H$35),6,FALSE),5,10),""Select Col9""),$A40),"""")"),0.0)</f>
        <v>0</v>
      </c>
      <c r="I40" s="100"/>
      <c r="J40" s="17"/>
      <c r="K40" s="17"/>
      <c r="L40" s="17"/>
      <c r="M40" s="17"/>
      <c r="N40" s="17"/>
      <c r="O40" s="17"/>
      <c r="P40" s="17"/>
      <c r="Q40" s="17"/>
      <c r="R40" s="17"/>
      <c r="S40" s="17"/>
      <c r="T40" s="17"/>
      <c r="U40" s="17"/>
      <c r="V40" s="17"/>
      <c r="W40" s="17"/>
      <c r="X40" s="17"/>
      <c r="Y40" s="17"/>
      <c r="Z40" s="17"/>
    </row>
    <row r="41" ht="30.0" customHeight="1">
      <c r="A41" s="101" t="s">
        <v>2664</v>
      </c>
      <c r="B41" s="102" t="str">
        <f>IFERROR(__xludf.DUMMYFUNCTION("if(B$35&lt;&gt;"""",textjoin("", "",TRUE,filter($A$36:$A$40,B$36:B$40=max(B$36:B$40))),"""")"),"Delayed Delivery")</f>
        <v>Delayed Delivery</v>
      </c>
      <c r="C41" s="102" t="str">
        <f>IFERROR(__xludf.DUMMYFUNCTION("if(C$35&lt;&gt;"""",textjoin("", "",TRUE,filter($A$36:$A$40,C$36:C$40=max(C$36:C$40))),"""")"),"Delayed Delivery, High Delivery Fees, Out of Stock")</f>
        <v>Delayed Delivery, High Delivery Fees, Out of Stock</v>
      </c>
      <c r="D41" s="102" t="str">
        <f>IFERROR(__xludf.DUMMYFUNCTION("if(D$35&lt;&gt;"""",textjoin("", "",TRUE,filter($A$36:$A$40,D$36:D$40=max(D$36:D$40))),"""")"),"Delayed Delivery, App Glitches")</f>
        <v>Delayed Delivery, App Glitches</v>
      </c>
      <c r="E41" s="102" t="str">
        <f>IFERROR(__xludf.DUMMYFUNCTION("if(E$35&lt;&gt;"""",textjoin("", "",TRUE,filter($A$36:$A$40,E$36:E$40=max(E$36:E$40))),"""")"),"Delayed Delivery")</f>
        <v>Delayed Delivery</v>
      </c>
      <c r="F41" s="102" t="str">
        <f>IFERROR(__xludf.DUMMYFUNCTION("if(F$35&lt;&gt;"""",textjoin("", "",TRUE,filter($A$36:$A$40,F$36:F$40=max(F$36:F$40))),"""")"),"High Delivery Fees, App Glitches")</f>
        <v>High Delivery Fees, App Glitches</v>
      </c>
      <c r="G41" s="102" t="str">
        <f>IFERROR(__xludf.DUMMYFUNCTION("if(G$35&lt;&gt;"""",textjoin("", "",TRUE,filter($A$36:$A$40,G$36:G$40=max(G$36:G$40))),"""")"),"Out of Stock")</f>
        <v>Out of Stock</v>
      </c>
      <c r="H41" s="103" t="str">
        <f>IFERROR(__xludf.DUMMYFUNCTION("if(H$35&lt;&gt;"""",textjoin("", "",TRUE,filter($A$36:$A$40,H$36:H$40=max(H$36:H$40))),"""")"),"Out of Stock")</f>
        <v>Out of Stock</v>
      </c>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04" t="s">
        <v>2665</v>
      </c>
      <c r="B44" s="69"/>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70" t="str">
        <f>A8</f>
        <v>Potential Loyal Customers</v>
      </c>
      <c r="B45" s="29"/>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05" t="s">
        <v>2544</v>
      </c>
      <c r="B46" s="49" t="s">
        <v>2666</v>
      </c>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71" t="str">
        <f t="shared" ref="A47:A51" si="3">A36</f>
        <v>Delayed Delivery</v>
      </c>
      <c r="B47" s="99">
        <f t="shared" ref="B47:B51" si="4">sum(B36:H36)</f>
        <v>6</v>
      </c>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71" t="str">
        <f t="shared" si="3"/>
        <v>High Delivery Fees</v>
      </c>
      <c r="B48" s="99">
        <f t="shared" si="4"/>
        <v>2</v>
      </c>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71" t="str">
        <f t="shared" si="3"/>
        <v>Payment Issues</v>
      </c>
      <c r="B49" s="99">
        <f t="shared" si="4"/>
        <v>1</v>
      </c>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71" t="str">
        <f t="shared" si="3"/>
        <v>Out of Stock</v>
      </c>
      <c r="B50" s="99">
        <f t="shared" si="4"/>
        <v>3</v>
      </c>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71" t="str">
        <f t="shared" si="3"/>
        <v>App Glitches</v>
      </c>
      <c r="B51" s="99">
        <f t="shared" si="4"/>
        <v>3</v>
      </c>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06"/>
      <c r="B52" s="10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sheetData>
  <mergeCells count="31">
    <mergeCell ref="A1:I1"/>
    <mergeCell ref="D2:E2"/>
    <mergeCell ref="F2:G2"/>
    <mergeCell ref="H2:I2"/>
    <mergeCell ref="A8:H9"/>
    <mergeCell ref="B10:F10"/>
    <mergeCell ref="G10:H10"/>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A34:H34"/>
    <mergeCell ref="A44:B44"/>
    <mergeCell ref="A45:B45"/>
    <mergeCell ref="G25:H25"/>
    <mergeCell ref="G26:H26"/>
    <mergeCell ref="G27:H27"/>
    <mergeCell ref="G28:H28"/>
    <mergeCell ref="G29:H29"/>
    <mergeCell ref="G30:H30"/>
    <mergeCell ref="A33:H33"/>
  </mergeCells>
  <conditionalFormatting sqref="B11:F30">
    <cfRule type="cellIs" dxfId="4" priority="1" operator="equal">
      <formula>"Delivered"</formula>
    </cfRule>
  </conditionalFormatting>
  <conditionalFormatting sqref="B11:F30">
    <cfRule type="cellIs" dxfId="5" priority="2" operator="equal">
      <formula>"Cancelled"</formula>
    </cfRule>
  </conditionalFormatting>
  <conditionalFormatting sqref="B36:H40">
    <cfRule type="cellIs" dxfId="5" priority="3" operator="greaterThanOrEqual">
      <formula>1</formula>
    </cfRule>
  </conditionalFormatting>
  <conditionalFormatting sqref="B47:B51">
    <cfRule type="colorScale" priority="4">
      <colorScale>
        <cfvo type="min"/>
        <cfvo type="max"/>
        <color rgb="FFFFFFFF"/>
        <color rgb="FFE67C73"/>
      </colorScale>
    </cfRule>
  </conditionalFormatting>
  <dataValidations>
    <dataValidation type="list" allowBlank="1" showErrorMessage="1" sqref="A8">
      <formula1>'RFM Segmentation'!$K$2:$K$35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0.57"/>
    <col customWidth="1" min="2" max="2" width="34.14"/>
    <col customWidth="1" min="3" max="3" width="16.43"/>
  </cols>
  <sheetData>
    <row r="1">
      <c r="A1" s="70" t="str">
        <f>'Top Customer Analysis'!A8</f>
        <v>Potential Loyal Customers</v>
      </c>
      <c r="B1" s="28"/>
      <c r="C1" s="28"/>
      <c r="D1" s="28"/>
      <c r="E1" s="28"/>
      <c r="F1" s="28"/>
      <c r="G1" s="28"/>
      <c r="H1" s="28"/>
      <c r="I1" s="28"/>
      <c r="J1" s="28"/>
      <c r="K1" s="28"/>
      <c r="L1" s="28"/>
      <c r="M1" s="29"/>
      <c r="N1" s="17"/>
      <c r="O1" s="17"/>
      <c r="P1" s="17"/>
      <c r="Q1" s="17"/>
      <c r="R1" s="17"/>
      <c r="S1" s="17"/>
      <c r="T1" s="17"/>
      <c r="U1" s="17"/>
      <c r="V1" s="17"/>
      <c r="W1" s="17"/>
      <c r="X1" s="17"/>
      <c r="Y1" s="17"/>
      <c r="Z1" s="17"/>
    </row>
    <row r="2">
      <c r="A2" s="61" t="s">
        <v>2667</v>
      </c>
      <c r="B2" s="61" t="s">
        <v>2668</v>
      </c>
      <c r="C2" s="90" t="s">
        <v>2669</v>
      </c>
      <c r="D2" s="28"/>
      <c r="E2" s="28"/>
      <c r="F2" s="28"/>
      <c r="G2" s="28"/>
      <c r="H2" s="28"/>
      <c r="I2" s="28"/>
      <c r="J2" s="28"/>
      <c r="K2" s="28"/>
      <c r="L2" s="28"/>
      <c r="M2" s="29"/>
      <c r="N2" s="17"/>
      <c r="O2" s="17"/>
      <c r="P2" s="17"/>
      <c r="Q2" s="17"/>
      <c r="R2" s="17"/>
      <c r="S2" s="17"/>
      <c r="T2" s="17"/>
      <c r="U2" s="17"/>
      <c r="V2" s="17"/>
      <c r="W2" s="17"/>
      <c r="X2" s="17"/>
      <c r="Y2" s="17"/>
      <c r="Z2" s="17"/>
    </row>
    <row r="3" ht="31.5" customHeight="1">
      <c r="A3" s="65" t="str">
        <f>IFERROR(__xludf.DUMMYFUNCTION("filter('Top Customer Analysis'!A11:A30,('Top Customer Analysis'!B11:B30=""Cancelled"")+('Top Customer Analysis'!G11:G30=""Consecutive Cancellation""))"),"Mehul Thakkar")</f>
        <v>Mehul Thakkar</v>
      </c>
      <c r="B3" s="103" t="str">
        <f>IFERROR(__xludf.DUMMYFUNCTION("if($A3&lt;&gt;"""", filter('Top Customer Analysis'!$B$41:$H$41,'Top Customer Analysis'!$B$35:$H$35=$A3),"""")"),"Delayed Delivery")</f>
        <v>Delayed Delivery</v>
      </c>
      <c r="C3" s="102" t="str">
        <f t="shared" ref="C3:C8" si="1">if($B3&lt;&gt;"",if($B3=$A$22,"You are one of our most valued customers! We've enhanced our delivery operations for faster and fresher deliveries. As a token of appreciation for your patience, enjoy 10% off your next order!",if($B3=$A$23,"You are one of our most valued customers! The app issues have been resolved, ensuring a smoother shopping experience. Enjoy free delivery on your next purchase as a thank-you for your understanding!",if($B3=$A$24,"You are one of our most valued customers! Our payment process is now more secure and user-friendly. To thank you for your patience, enjoy 10% off your next order of fresh produce or snacks!",if($B3=$A$25,"You are one of our most valued customers! We've reduced delivery fees to give you more value on every purchase. As a thank-you, enjoy free delivery on your next order of fruits, vegetables, or snacks!",if($B3=$A$26,"You are one of our most valued customers! The items you’ve been waiting for are back in stock. Shop now and enjoy a free sample of a new snack or drink with your next order!","As one of our most valued customers, we're delighted to offer you 20% off your next order and a free snack of your choice as a token of our gratitude. Thank you for your continued trust in us!"))))),"")</f>
        <v>You are one of our most valued customers! We've enhanced our delivery operations for faster and fresher deliveries. As a token of appreciation for your patience, enjoy 10% off your next order!</v>
      </c>
      <c r="D3" s="28"/>
      <c r="E3" s="28"/>
      <c r="F3" s="28"/>
      <c r="G3" s="28"/>
      <c r="H3" s="28"/>
      <c r="I3" s="28"/>
      <c r="J3" s="28"/>
      <c r="K3" s="28"/>
      <c r="L3" s="28"/>
      <c r="M3" s="29"/>
      <c r="N3" s="17"/>
      <c r="O3" s="17"/>
      <c r="P3" s="17"/>
      <c r="Q3" s="17"/>
      <c r="R3" s="17"/>
      <c r="S3" s="17"/>
      <c r="T3" s="17"/>
      <c r="U3" s="17"/>
      <c r="V3" s="17"/>
      <c r="W3" s="17"/>
      <c r="X3" s="17"/>
      <c r="Y3" s="17"/>
      <c r="Z3" s="17"/>
    </row>
    <row r="4" ht="31.5" customHeight="1">
      <c r="A4" s="65" t="str">
        <f>IFERROR(__xludf.DUMMYFUNCTION("""COMPUTED_VALUE"""),"Siya Reddy")</f>
        <v>Siya Reddy</v>
      </c>
      <c r="B4" s="103" t="str">
        <f>IFERROR(__xludf.DUMMYFUNCTION("if($A4&lt;&gt;"""", filter('Top Customer Analysis'!$B$41:$H$41,'Top Customer Analysis'!$B$35:$H$35=$A4),"""")"),"Delayed Delivery, High Delivery Fees, Out of Stock")</f>
        <v>Delayed Delivery, High Delivery Fees, Out of Stock</v>
      </c>
      <c r="C4" s="102" t="str">
        <f t="shared" si="1"/>
        <v>As one of our most valued customers, we're delighted to offer you 20% off your next order and a free snack of your choice as a token of our gratitude. Thank you for your continued trust in us!</v>
      </c>
      <c r="D4" s="28"/>
      <c r="E4" s="28"/>
      <c r="F4" s="28"/>
      <c r="G4" s="28"/>
      <c r="H4" s="28"/>
      <c r="I4" s="28"/>
      <c r="J4" s="28"/>
      <c r="K4" s="28"/>
      <c r="L4" s="28"/>
      <c r="M4" s="29"/>
      <c r="N4" s="17"/>
      <c r="O4" s="17"/>
      <c r="P4" s="17"/>
      <c r="Q4" s="17"/>
      <c r="R4" s="17"/>
      <c r="S4" s="17"/>
      <c r="T4" s="17"/>
      <c r="U4" s="17"/>
      <c r="V4" s="17"/>
      <c r="W4" s="17"/>
      <c r="X4" s="17"/>
      <c r="Y4" s="17"/>
      <c r="Z4" s="17"/>
    </row>
    <row r="5" ht="31.5" customHeight="1">
      <c r="A5" s="65" t="str">
        <f>IFERROR(__xludf.DUMMYFUNCTION("""COMPUTED_VALUE"""),"Kritika Shetty")</f>
        <v>Kritika Shetty</v>
      </c>
      <c r="B5" s="103" t="str">
        <f>IFERROR(__xludf.DUMMYFUNCTION("if($A5&lt;&gt;"""", filter('Top Customer Analysis'!$B$41:$H$41,'Top Customer Analysis'!$B$35:$H$35=$A5),"""")"),"Delayed Delivery, App Glitches")</f>
        <v>Delayed Delivery, App Glitches</v>
      </c>
      <c r="C5" s="102" t="str">
        <f t="shared" si="1"/>
        <v>As one of our most valued customers, we're delighted to offer you 20% off your next order and a free snack of your choice as a token of our gratitude. Thank you for your continued trust in us!</v>
      </c>
      <c r="D5" s="28"/>
      <c r="E5" s="28"/>
      <c r="F5" s="28"/>
      <c r="G5" s="28"/>
      <c r="H5" s="28"/>
      <c r="I5" s="28"/>
      <c r="J5" s="28"/>
      <c r="K5" s="28"/>
      <c r="L5" s="28"/>
      <c r="M5" s="29"/>
      <c r="N5" s="17"/>
      <c r="O5" s="17"/>
      <c r="P5" s="17"/>
      <c r="Q5" s="17"/>
      <c r="R5" s="17"/>
      <c r="S5" s="17"/>
      <c r="T5" s="17"/>
      <c r="U5" s="17"/>
      <c r="V5" s="17"/>
      <c r="W5" s="17"/>
      <c r="X5" s="17"/>
      <c r="Y5" s="17"/>
      <c r="Z5" s="17"/>
    </row>
    <row r="6" ht="31.5" customHeight="1">
      <c r="A6" s="65" t="str">
        <f>IFERROR(__xludf.DUMMYFUNCTION("""COMPUTED_VALUE"""),"Ishita Banerjee")</f>
        <v>Ishita Banerjee</v>
      </c>
      <c r="B6" s="103" t="str">
        <f>IFERROR(__xludf.DUMMYFUNCTION("if($A6&lt;&gt;"""", filter('Top Customer Analysis'!$B$41:$H$41,'Top Customer Analysis'!$B$35:$H$35=$A6),"""")"),"Delayed Delivery")</f>
        <v>Delayed Delivery</v>
      </c>
      <c r="C6" s="102" t="str">
        <f t="shared" si="1"/>
        <v>You are one of our most valued customers! We've enhanced our delivery operations for faster and fresher deliveries. As a token of appreciation for your patience, enjoy 10% off your next order!</v>
      </c>
      <c r="D6" s="28"/>
      <c r="E6" s="28"/>
      <c r="F6" s="28"/>
      <c r="G6" s="28"/>
      <c r="H6" s="28"/>
      <c r="I6" s="28"/>
      <c r="J6" s="28"/>
      <c r="K6" s="28"/>
      <c r="L6" s="28"/>
      <c r="M6" s="29"/>
      <c r="N6" s="17"/>
      <c r="O6" s="17"/>
      <c r="P6" s="17"/>
      <c r="Q6" s="17"/>
      <c r="R6" s="17"/>
      <c r="S6" s="17"/>
      <c r="T6" s="17"/>
      <c r="U6" s="17"/>
      <c r="V6" s="17"/>
      <c r="W6" s="17"/>
      <c r="X6" s="17"/>
      <c r="Y6" s="17"/>
      <c r="Z6" s="17"/>
    </row>
    <row r="7" ht="31.5" customHeight="1">
      <c r="A7" s="65" t="str">
        <f>IFERROR(__xludf.DUMMYFUNCTION("""COMPUTED_VALUE"""),"Arvind Kulkarni")</f>
        <v>Arvind Kulkarni</v>
      </c>
      <c r="B7" s="103" t="str">
        <f>IFERROR(__xludf.DUMMYFUNCTION("if($A7&lt;&gt;"""", filter('Top Customer Analysis'!$B$41:$H$41,'Top Customer Analysis'!$B$35:$H$35=$A7),"""")"),"High Delivery Fees, App Glitches")</f>
        <v>High Delivery Fees, App Glitches</v>
      </c>
      <c r="C7" s="102" t="str">
        <f t="shared" si="1"/>
        <v>As one of our most valued customers, we're delighted to offer you 20% off your next order and a free snack of your choice as a token of our gratitude. Thank you for your continued trust in us!</v>
      </c>
      <c r="D7" s="28"/>
      <c r="E7" s="28"/>
      <c r="F7" s="28"/>
      <c r="G7" s="28"/>
      <c r="H7" s="28"/>
      <c r="I7" s="28"/>
      <c r="J7" s="28"/>
      <c r="K7" s="28"/>
      <c r="L7" s="28"/>
      <c r="M7" s="29"/>
      <c r="N7" s="17"/>
      <c r="O7" s="17"/>
      <c r="P7" s="17"/>
      <c r="Q7" s="17"/>
      <c r="R7" s="17"/>
      <c r="S7" s="17"/>
      <c r="T7" s="17"/>
      <c r="U7" s="17"/>
      <c r="V7" s="17"/>
      <c r="W7" s="17"/>
      <c r="X7" s="17"/>
      <c r="Y7" s="17"/>
      <c r="Z7" s="17"/>
    </row>
    <row r="8" ht="31.5" customHeight="1">
      <c r="A8" s="108" t="str">
        <f>IFERROR(__xludf.DUMMYFUNCTION("""COMPUTED_VALUE"""),"Pallavi Ghosh")</f>
        <v>Pallavi Ghosh</v>
      </c>
      <c r="B8" s="103" t="str">
        <f>IFERROR(__xludf.DUMMYFUNCTION("if($A8&lt;&gt;"""", filter('Top Customer Analysis'!$B$41:$H$41,'Top Customer Analysis'!$B$35:$H$35=$A8),"""")"),"Out of Stock")</f>
        <v>Out of Stock</v>
      </c>
      <c r="C8" s="102" t="str">
        <f t="shared" si="1"/>
        <v>You are one of our most valued customers! The items you’ve been waiting for are back in stock. Shop now and enjoy a free sample of a new snack or drink with your next order!</v>
      </c>
      <c r="D8" s="28"/>
      <c r="E8" s="28"/>
      <c r="F8" s="28"/>
      <c r="G8" s="28"/>
      <c r="H8" s="28"/>
      <c r="I8" s="28"/>
      <c r="J8" s="28"/>
      <c r="K8" s="28"/>
      <c r="L8" s="28"/>
      <c r="M8" s="29"/>
      <c r="N8" s="17"/>
      <c r="O8" s="17"/>
      <c r="P8" s="17"/>
      <c r="Q8" s="17"/>
      <c r="R8" s="17"/>
      <c r="S8" s="17"/>
      <c r="T8" s="17"/>
      <c r="U8" s="17"/>
      <c r="V8" s="17"/>
      <c r="W8" s="17"/>
      <c r="X8" s="17"/>
      <c r="Y8" s="17"/>
      <c r="Z8" s="17"/>
    </row>
    <row r="9" ht="15.75" customHeight="1">
      <c r="A9" s="109"/>
      <c r="B9" s="109"/>
      <c r="C9" s="109"/>
      <c r="D9" s="109"/>
      <c r="E9" s="109"/>
      <c r="F9" s="109"/>
      <c r="G9" s="109"/>
      <c r="H9" s="109"/>
      <c r="I9" s="109"/>
      <c r="J9" s="109"/>
      <c r="K9" s="109"/>
      <c r="L9" s="109"/>
      <c r="M9" s="109"/>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24" t="s">
        <v>2670</v>
      </c>
      <c r="B21" s="24" t="s">
        <v>2669</v>
      </c>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24" t="s">
        <v>2565</v>
      </c>
      <c r="B22" s="24" t="s">
        <v>2671</v>
      </c>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24" t="s">
        <v>2672</v>
      </c>
      <c r="B23" s="24" t="s">
        <v>2673</v>
      </c>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24" t="s">
        <v>2571</v>
      </c>
      <c r="B24" s="24" t="s">
        <v>2674</v>
      </c>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24" t="s">
        <v>2573</v>
      </c>
      <c r="B25" s="24" t="s">
        <v>2675</v>
      </c>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24" t="s">
        <v>2569</v>
      </c>
      <c r="B26" s="24" t="s">
        <v>2676</v>
      </c>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24" t="s">
        <v>2677</v>
      </c>
      <c r="B27" s="24" t="s">
        <v>2678</v>
      </c>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sheetData>
  <mergeCells count="8">
    <mergeCell ref="A1:M1"/>
    <mergeCell ref="C2:M2"/>
    <mergeCell ref="C3:M3"/>
    <mergeCell ref="C4:M4"/>
    <mergeCell ref="C5:M5"/>
    <mergeCell ref="C6:M6"/>
    <mergeCell ref="C7:M7"/>
    <mergeCell ref="C8:M8"/>
  </mergeCells>
  <drawing r:id="rId1"/>
</worksheet>
</file>